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comments11.xml" ContentType="application/vnd.openxmlformats-officedocument.spreadsheetml.comments+xml"/>
  <Override PartName="/xl/threadedComments/threadedComment10.xml" ContentType="application/vnd.ms-excel.threadedcomments+xml"/>
  <Override PartName="/xl/comments12.xml" ContentType="application/vnd.openxmlformats-officedocument.spreadsheetml.comments+xml"/>
  <Override PartName="/xl/threadedComments/threadedComment11.xml" ContentType="application/vnd.ms-excel.threadedcomments+xml"/>
  <Override PartName="/xl/comments13.xml" ContentType="application/vnd.openxmlformats-officedocument.spreadsheetml.comments+xml"/>
  <Override PartName="/xl/threadedComments/threadedComment12.xml" ContentType="application/vnd.ms-excel.threadedcomments+xml"/>
  <Override PartName="/xl/comments14.xml" ContentType="application/vnd.openxmlformats-officedocument.spreadsheetml.comments+xml"/>
  <Override PartName="/xl/threadedComments/threadedComment13.xml" ContentType="application/vnd.ms-excel.threadedcomments+xml"/>
  <Override PartName="/xl/comments15.xml" ContentType="application/vnd.openxmlformats-officedocument.spreadsheetml.comments+xml"/>
  <Override PartName="/xl/threadedComments/threadedComment14.xml" ContentType="application/vnd.ms-excel.threadedcomments+xml"/>
  <Override PartName="/xl/comments16.xml" ContentType="application/vnd.openxmlformats-officedocument.spreadsheetml.comments+xml"/>
  <Override PartName="/xl/threadedComments/threadedComment15.xml" ContentType="application/vnd.ms-excel.threadedcomments+xml"/>
  <Override PartName="/xl/comments17.xml" ContentType="application/vnd.openxmlformats-officedocument.spreadsheetml.comments+xml"/>
  <Override PartName="/xl/threadedComments/threadedComment16.xml" ContentType="application/vnd.ms-excel.threadedcomments+xml"/>
  <Override PartName="/xl/comments18.xml" ContentType="application/vnd.openxmlformats-officedocument.spreadsheetml.comments+xml"/>
  <Override PartName="/xl/threadedComments/threadedComment17.xml" ContentType="application/vnd.ms-excel.threadedcomments+xml"/>
  <Override PartName="/xl/comments19.xml" ContentType="application/vnd.openxmlformats-officedocument.spreadsheetml.comments+xml"/>
  <Override PartName="/xl/threadedComments/threadedComment18.xml" ContentType="application/vnd.ms-excel.threadedcomments+xml"/>
  <Override PartName="/xl/comments20.xml" ContentType="application/vnd.openxmlformats-officedocument.spreadsheetml.comments+xml"/>
  <Override PartName="/xl/threadedComments/threadedComment19.xml" ContentType="application/vnd.ms-excel.threadedcomments+xml"/>
  <Override PartName="/xl/comments21.xml" ContentType="application/vnd.openxmlformats-officedocument.spreadsheetml.comments+xml"/>
  <Override PartName="/xl/threadedComments/threadedComment20.xml" ContentType="application/vnd.ms-excel.threadedcomments+xml"/>
  <Override PartName="/xl/comments22.xml" ContentType="application/vnd.openxmlformats-officedocument.spreadsheetml.comments+xml"/>
  <Override PartName="/xl/threadedComments/threadedComment21.xml" ContentType="application/vnd.ms-excel.threadedcomments+xml"/>
  <Override PartName="/xl/comments23.xml" ContentType="application/vnd.openxmlformats-officedocument.spreadsheetml.comments+xml"/>
  <Override PartName="/xl/threadedComments/threadedComment2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mc:AlternateContent xmlns:mc="http://schemas.openxmlformats.org/markup-compatibility/2006">
    <mc:Choice Requires="x15">
      <x15ac:absPath xmlns:x15ac="http://schemas.microsoft.com/office/spreadsheetml/2010/11/ac" url="https://uark.sharepoint.com/teams/AFRIWATER/Shared Documents/General/Decision Tool_Working file/_Releases/"/>
    </mc:Choice>
  </mc:AlternateContent>
  <xr:revisionPtr revIDLastSave="931" documentId="8_{4780A9CA-DEE0-4235-87CC-ECA2BF96D7AE}" xr6:coauthVersionLast="47" xr6:coauthVersionMax="47" xr10:uidLastSave="{95B0E4AB-76E5-413B-95A7-EAF889A7F52B}"/>
  <bookViews>
    <workbookView xWindow="-23148" yWindow="-1548" windowWidth="23256" windowHeight="13896" tabRatio="664" xr2:uid="{DBEA0F30-9529-4B57-9F68-6DD0C11737AF}"/>
  </bookViews>
  <sheets>
    <sheet name="UI.Welcome" sheetId="167" r:id="rId1"/>
    <sheet name="UI.Example" sheetId="144" r:id="rId2"/>
    <sheet name="UI.Farm" sheetId="143" r:id="rId3"/>
    <sheet name="UI.Animals" sheetId="146" r:id="rId4"/>
    <sheet name="UI.Manure" sheetId="164" r:id="rId5"/>
    <sheet name="UI.Streams" sheetId="162" r:id="rId6"/>
    <sheet name="UI.Tractor" sheetId="161" r:id="rId7"/>
    <sheet name="UI.Cap" sheetId="163" r:id="rId8"/>
    <sheet name="UI.OpExpenses" sheetId="142" r:id="rId9"/>
    <sheet name="UI.Priorities" sheetId="131" r:id="rId10"/>
    <sheet name="UI.Choice" sheetId="134" r:id="rId11"/>
    <sheet name="UI.Inputs" sheetId="166" r:id="rId12"/>
    <sheet name="Results.Summary" sheetId="203" r:id="rId13"/>
    <sheet name="Results.Scenarios" sheetId="139" r:id="rId14"/>
    <sheet name="Results.Econ" sheetId="137" r:id="rId15"/>
    <sheet name="Results.Env" sheetId="138" r:id="rId16"/>
    <sheet name="Results.Tech" sheetId="168" r:id="rId17"/>
    <sheet name="Results.Resources" sheetId="204" r:id="rId18"/>
    <sheet name="Results.Nutrients" sheetId="205" r:id="rId19"/>
    <sheet name="UD" sheetId="112" state="hidden" r:id="rId20"/>
    <sheet name="Units" sheetId="120" state="hidden" r:id="rId21"/>
    <sheet name="Plot.Tables" sheetId="133" state="hidden" r:id="rId22"/>
    <sheet name="UI.Styles" sheetId="153" state="hidden" r:id="rId23"/>
    <sheet name="Econ.Equations" sheetId="115" state="hidden" r:id="rId24"/>
    <sheet name="Econ.inputsTable" sheetId="117" state="hidden" r:id="rId25"/>
    <sheet name="Econ.Tables" sheetId="116" state="hidden" r:id="rId26"/>
    <sheet name="Utilities&amp;Labor" sheetId="114" state="hidden" r:id="rId27"/>
    <sheet name="Drops" sheetId="156" state="hidden" r:id="rId28"/>
    <sheet name="T.Electricity" sheetId="119" state="hidden" r:id="rId29"/>
    <sheet name="T.Regional_Data" sheetId="181" state="hidden" r:id="rId30"/>
    <sheet name="T.MCF" sheetId="207" state="hidden" r:id="rId31"/>
    <sheet name="Swine_Scenarios_Tech" sheetId="179" state="hidden" r:id="rId32"/>
    <sheet name="Cover_Size" sheetId="197" state="hidden" r:id="rId33"/>
    <sheet name="Lagoon_Design" sheetId="183" state="hidden" r:id="rId34"/>
    <sheet name="Output.Rankings" sheetId="132" state="hidden" r:id="rId35"/>
    <sheet name="Regressions" sheetId="128" state="hidden" r:id="rId36"/>
    <sheet name="EconResultsDetail" sheetId="141" state="hidden" r:id="rId37"/>
    <sheet name="EconIntermediate" sheetId="159" state="hidden" r:id="rId38"/>
    <sheet name="EconResultsSummary" sheetId="145" state="hidden" r:id="rId39"/>
    <sheet name="Sc.Table" sheetId="135" state="hidden" r:id="rId40"/>
    <sheet name="Sc.Ranked" sheetId="206" state="hidden" r:id="rId41"/>
    <sheet name="PT.waste_generation" sheetId="188" state="hidden" r:id="rId42"/>
    <sheet name="PT.deep_pit" sheetId="180" state="hidden" r:id="rId43"/>
    <sheet name="PT.shallow_flush" sheetId="194" state="hidden" r:id="rId44"/>
    <sheet name="PT.shallow_scrape" sheetId="198" state="hidden" r:id="rId45"/>
    <sheet name="PT.shallow_plug" sheetId="199" state="hidden" r:id="rId46"/>
    <sheet name="PT.reception_pit" sheetId="184" state="hidden" r:id="rId47"/>
    <sheet name="PT.slope_screen" sheetId="190" state="hidden" r:id="rId48"/>
    <sheet name="PT.anaer_digest" sheetId="192" state="hidden" r:id="rId49"/>
    <sheet name="PT.cover_digest" sheetId="196" state="hidden" r:id="rId50"/>
    <sheet name="PT.anaer_lagoon" sheetId="187" state="hidden" r:id="rId51"/>
    <sheet name="PT.storage_tank" sheetId="200" state="hidden" r:id="rId52"/>
    <sheet name="PT.composting" sheetId="189" state="hidden" r:id="rId53"/>
    <sheet name="Solid_Sep_Design" sheetId="191" state="hidden" r:id="rId54"/>
    <sheet name="LCA_PT_Template" sheetId="201" state="hidden" r:id="rId55"/>
    <sheet name="TT_PT_Template" sheetId="202" state="hidden" r:id="rId56"/>
    <sheet name="LCIA Summary output" sheetId="111" state="hidden" r:id="rId57"/>
    <sheet name="Sc1" sheetId="97" state="hidden" r:id="rId58"/>
    <sheet name="Sc2" sheetId="125" state="hidden" r:id="rId59"/>
    <sheet name="Sc3" sheetId="98" state="hidden" r:id="rId60"/>
    <sheet name="Sc4" sheetId="122" state="hidden" r:id="rId61"/>
    <sheet name="Sc5" sheetId="121" state="hidden" r:id="rId62"/>
    <sheet name="Sc6" sheetId="100" state="hidden" r:id="rId63"/>
    <sheet name="Sc7" sheetId="123" state="hidden" r:id="rId64"/>
    <sheet name="Sc8" sheetId="124" state="hidden" r:id="rId65"/>
    <sheet name="Sc9" sheetId="99" state="hidden" r:id="rId66"/>
    <sheet name="Sc10" sheetId="126" state="hidden" r:id="rId67"/>
    <sheet name="Sc11" sheetId="127" state="hidden" r:id="rId68"/>
    <sheet name="Sc12" sheetId="107" state="hidden" r:id="rId69"/>
    <sheet name="Sc13" sheetId="151" state="hidden" r:id="rId70"/>
    <sheet name="Sc14" sheetId="152" state="hidden" r:id="rId71"/>
  </sheets>
  <definedNames>
    <definedName name="_xlnm._FilterDatabase" localSheetId="24" hidden="1">Econ.inputsTable!$A$1:$R$125</definedName>
    <definedName name="_xlnm._FilterDatabase" localSheetId="19" hidden="1">UD!$A$1:$AF$779</definedName>
    <definedName name="_xlnm._FilterDatabase" localSheetId="20" hidden="1">Units!$A$1:$N$160</definedName>
    <definedName name="DROPS.crops.apply_for">Drops!$B$8:$C$8</definedName>
    <definedName name="DROPS.crops.apply_method">Drops!$B$13:$C$13</definedName>
    <definedName name="DROPS.econ_manure.export_concern">Drops!$B$15:$D$15</definedName>
    <definedName name="DROPS.example.dropdown">Drops!$B$7:$F$7</definedName>
    <definedName name="DROPS.land_application.distance">Drops!$B$9:$K$9</definedName>
    <definedName name="DROPS.recharge_events.water_type_pullplug">Drops!$B$4:$C$4</definedName>
    <definedName name="DROPS.storage_tank.agi_type">Drops!$B$16:$D$16</definedName>
    <definedName name="DROPS.tanker.size">Drops!$B$10:$E$10</definedName>
    <definedName name="DROPS.tractor.application_time">Drops!$B$11:$T$11</definedName>
    <definedName name="DROPS.tractor.distance_from_field">Drops!$B$9:$K$9</definedName>
    <definedName name="DROPS.u.env_results_type" comment="The 2 categories for environmental results, the chosen category determines rankings for environmental fields">Drops!$B$6:$C$6</definedName>
    <definedName name="DROPS.u.state">Drops!$B$3:$AZ$3</definedName>
    <definedName name="DROPS.u.state_climate_zone">Drops!$B$17:$K$17</definedName>
    <definedName name="DROPS.u.state_region">Drops!$B$14:$MG$14</definedName>
    <definedName name="DROPS.u.unit_system">Drops!$B$5:$C$5</definedName>
    <definedName name="DROPS.YES_NO">Drops!$B$12:$C$12</definedName>
    <definedName name="econ_build.metal_building">UD!$D$236</definedName>
    <definedName name="front_end_loader_bucket_capacity">UD!$D$537</definedName>
    <definedName name="front_end_loader_bucket_fill_rate">UD!$D$538</definedName>
    <definedName name="front_end_loader_hp">UD!$D$536</definedName>
    <definedName name="_xlnm.Print_Area" localSheetId="14">'Results.Econ'!$C$10:$T$60</definedName>
    <definedName name="_xlnm.Print_Area" localSheetId="15">'Results.Env'!$C$10:$T$79</definedName>
    <definedName name="_xlnm.Print_Area" localSheetId="18">'Results.Nutrients'!$C$10:$T$96</definedName>
    <definedName name="_xlnm.Print_Area" localSheetId="17">'Results.Resources'!$C$10:$T$81</definedName>
    <definedName name="_xlnm.Print_Area" localSheetId="13">'Results.Scenarios'!$C$10:$V$206</definedName>
    <definedName name="_xlnm.Print_Area" localSheetId="12">'Results.Summary'!$C$10:$T$57</definedName>
    <definedName name="_xlnm.Print_Area" localSheetId="16">'Results.Tech'!$C$10:$T$63</definedName>
    <definedName name="_xlnm.Print_Area" localSheetId="3">UI.Animals!$C$10:$T$205</definedName>
    <definedName name="_xlnm.Print_Area" localSheetId="7">UI.Cap!$C$10:$T$79</definedName>
    <definedName name="_xlnm.Print_Area" localSheetId="10">UI.Choice!$C$10:$V$69</definedName>
    <definedName name="_xlnm.Print_Area" localSheetId="2">UI.Farm!$C$10:$T$173</definedName>
    <definedName name="_xlnm.Print_Area" localSheetId="11">UI.Inputs!$C$10:$T$336</definedName>
    <definedName name="_xlnm.Print_Area" localSheetId="4">UI.Manure!$C$10:$T$196</definedName>
    <definedName name="_xlnm.Print_Area" localSheetId="8">UI.OpExpenses!$C$10:$T$65</definedName>
    <definedName name="_xlnm.Print_Area" localSheetId="9">UI.Priorities!$C$10:$V$150</definedName>
    <definedName name="_xlnm.Print_Area" localSheetId="5">UI.Streams!$C$10:$T$103</definedName>
    <definedName name="_xlnm.Print_Area" localSheetId="6">UI.Tractor!$C$10:$T$60</definedName>
    <definedName name="_xlnm.Print_Area" localSheetId="0">UI.Welcome!$C$10:$T$51</definedName>
    <definedName name="_xlnm.Print_Titles" localSheetId="15">'Results.Env'!$10:$12</definedName>
    <definedName name="_xlnm.Print_Titles" localSheetId="18">'Results.Nutrients'!$10:$11</definedName>
    <definedName name="_xlnm.Print_Titles" localSheetId="17">'Results.Resources'!$10:$11</definedName>
    <definedName name="_xlnm.Print_Titles" localSheetId="13">'Results.Scenarios'!$10:$17</definedName>
    <definedName name="_xlnm.Print_Titles" localSheetId="2">UI.Farm!$10:$16</definedName>
    <definedName name="SC.Table.Baselines" comment="The baseline scenario list which is used in UI.Farm. The user will select a baseline scenario which is then compared to 4 alternates.">Sc.Table!$H$12:$H$38</definedName>
    <definedName name="SC.Table.Rank">Sc.Table!$B$2:$B$38</definedName>
    <definedName name="SC.Table.Scenario_Desc">Sc.Table!$J$2:$J$38</definedName>
    <definedName name="SC.Table.Scenario_ID">Sc.Table!$G$2:$G$38</definedName>
    <definedName name="SC.Table.Scenario_Properties">Sc.Table!$H$2:$H$38</definedName>
    <definedName name="SC.Table.True_ID">Sc.Table!$A$2:$A$38</definedName>
    <definedName name="SC.Table.True_Scenario_Properties">Sc.Table!$I$2:$I$38</definedName>
    <definedName name="TO.AHP.RANKS">Output.Rankings!$AD$84:$AD$110</definedName>
    <definedName name="UC.495_rule">Units!$E$226</definedName>
    <definedName name="UC.acre_to_ft2">Units!$E$223</definedName>
    <definedName name="UC.acre_to_hectare">Units!$E$183</definedName>
    <definedName name="UC.acre_to_m2">Units!$E$220</definedName>
    <definedName name="UC.BTU_to_MJ">Units!$E$240</definedName>
    <definedName name="UC.cm_to_in">Units!$E$190</definedName>
    <definedName name="UC.day_to_hour">Units!$E$210</definedName>
    <definedName name="UC.day_to_year">Units!$E$209</definedName>
    <definedName name="UC.ft_to_in">Units!$E$224</definedName>
    <definedName name="UC.ft_to_m">Units!$E$188</definedName>
    <definedName name="UC.ft2_to_m2">Units!$E$191</definedName>
    <definedName name="UC.ft3_to_bushel">Units!$E$180</definedName>
    <definedName name="UC.ft3_to_L">Units!$E$179</definedName>
    <definedName name="UC.ft3_to_m3">Units!$E$178</definedName>
    <definedName name="UC.g_to_lb">Units!$E$198</definedName>
    <definedName name="UC.gal_to_ft3">Units!$E$169</definedName>
    <definedName name="UC.gal_to_L">Units!$E$167</definedName>
    <definedName name="UC.gal_to_m3">Units!$E$168</definedName>
    <definedName name="UC.hectare_to_acre">Units!$E$184</definedName>
    <definedName name="UC.hour_to_day">Units!$E$211</definedName>
    <definedName name="UC.hour_to_min">Units!$E$212</definedName>
    <definedName name="UC.hour_to_sec">Units!$E$213</definedName>
    <definedName name="UC.hp_to_kW">Units!$E$222</definedName>
    <definedName name="UC.in_to_cm">Units!$E$189</definedName>
    <definedName name="UC.in_to_m">Units!$E$187</definedName>
    <definedName name="UC.K_to_K2O">Units!$E$238</definedName>
    <definedName name="UC.K2O_to_K">Units!$E$237</definedName>
    <definedName name="UC.kg_to_lb">Units!$E$197</definedName>
    <definedName name="UC.km_to_mile">Units!$E$185</definedName>
    <definedName name="UC.kWh_to_MJ">Units!$E$242</definedName>
    <definedName name="UC.L_to_ft3">Units!$E$171</definedName>
    <definedName name="UC.L_to_gal">Units!$E$170</definedName>
    <definedName name="UC.L_to_m3">Units!$E$172</definedName>
    <definedName name="UC.lb_to_g">Units!$E$195</definedName>
    <definedName name="UC.lb_to_kg">Units!$E$194</definedName>
    <definedName name="UC.lb_to_mg">Units!$E$196</definedName>
    <definedName name="UC.m_to_ft">Units!$E$205</definedName>
    <definedName name="UC.m2_to_acre">Units!$E$193</definedName>
    <definedName name="UC.m2_to_ft2">Units!$E$192</definedName>
    <definedName name="UC.m3_to_bushel">Units!$E$177</definedName>
    <definedName name="UC.m3_to_ft3">Units!$E$174</definedName>
    <definedName name="UC.m3_to_gal">Units!$E$176</definedName>
    <definedName name="UC.m3_to_L">Units!$E$173</definedName>
    <definedName name="UC.m3_to_yd3">Units!$E$175</definedName>
    <definedName name="UC.mile_to_ft">Units!$E$225</definedName>
    <definedName name="UC.mile_to_km">Units!$E$186</definedName>
    <definedName name="UC.min_to_hour">Units!$E$214</definedName>
    <definedName name="UC.min_to_sec">Units!$E$215</definedName>
    <definedName name="UC.MJ_to_BTU">Units!$E$239</definedName>
    <definedName name="UC.MJ_to_kWh">Units!$E$241</definedName>
    <definedName name="UC.MJ_to_MMBTU">Units!$E$243</definedName>
    <definedName name="UC.month_to_day">Units!$E$219</definedName>
    <definedName name="UC.N_to_N2O">Units!$E$245</definedName>
    <definedName name="UC.N_to_NH3">Units!$E$230</definedName>
    <definedName name="UC.N_to_NH4">Units!$E$231</definedName>
    <definedName name="UC.N_to_NO3">Units!$E$232</definedName>
    <definedName name="UC.N2O_to_N">Units!$E$244</definedName>
    <definedName name="UC.NH3_to_N">Units!$E$227</definedName>
    <definedName name="UC.NH4_to_N">Units!$E$228</definedName>
    <definedName name="UC.NO3_to_N">Units!$E$229</definedName>
    <definedName name="UC.P_to_P2O5">Units!$E$236</definedName>
    <definedName name="UC.P_to_PO4">Units!$E$235</definedName>
    <definedName name="UC.P2O5_to_P">Units!$E$234</definedName>
    <definedName name="UC.PO4_to_P">Units!$E$233</definedName>
    <definedName name="UC.pump_US">Units!$E$221</definedName>
    <definedName name="UC.sec_to_hour">Units!$E$216</definedName>
    <definedName name="UC.sec_to_min">Units!$E$217</definedName>
    <definedName name="UC.ton_to_kg">Units!$E$203</definedName>
    <definedName name="UC.ton_to_lb">Units!$E$201</definedName>
    <definedName name="UC.ton_to_tonne">Units!$E$199</definedName>
    <definedName name="UC.tonne_to_kg">Units!$E$202</definedName>
    <definedName name="UC.tonne_to_lb">Units!$E$204</definedName>
    <definedName name="UC.tonne_to_ton">Units!$E$200</definedName>
    <definedName name="UC.week_to_day">Units!$E$218</definedName>
    <definedName name="UC.yd3_to_ft3">Units!$E$182</definedName>
    <definedName name="UC.yd3_to_m3">Units!$E$181</definedName>
    <definedName name="UC.year_to_day">Units!$E$206</definedName>
    <definedName name="UC.year_to_hour">Units!$E$208</definedName>
    <definedName name="UC.year_to_week">Units!$E$207</definedName>
    <definedName name="UD_Desc">UD!$P$2:$P$834</definedName>
    <definedName name="UDC" comment="The conversion factor for a given UD entry. This factor is typically a value of one but may be changed if alternative units are available for the entry.">UD!$T$2:$T$834</definedName>
    <definedName name="UDD" comment="The default values column in UD tab">UD!$H$2:$H$834</definedName>
    <definedName name="UDF_Unit" comment="The final unit used by the calculation sheets for a given user input">UD!$E$2:$E$834</definedName>
    <definedName name="UDMax" comment="Return the maximum value for the looked up name">UD!$M$2:$M$834</definedName>
    <definedName name="UDMin" comment="Return the minimum values for the looked up name">UD!$L$2:$L$834</definedName>
    <definedName name="UDN" comment="The name array in the UD tab">UD!$C$2:$C$834</definedName>
    <definedName name="UDU" comment="The user provided value in the UD tab">UD!$G$2:$G$834</definedName>
    <definedName name="UDUnit" comment="The reference range for the units in UD sheet.">UD!$I$2:$I$834</definedName>
    <definedName name="UDV" comment="The final value from UD which is used for calculations">UD!$D$2:$D$834</definedName>
    <definedName name="UDV.adj.construction_cost">UD!$D$2</definedName>
    <definedName name="UDV.adj.routine_equip_cost">UD!$D$3</definedName>
    <definedName name="UDV.adj.special_tech_cost">UD!$D$4</definedName>
    <definedName name="UDV.anaer_digest.CH4_fraction">UD!$D$5</definedName>
    <definedName name="UDV.anaer_digest.CH4_kWhr">UD!$D$6</definedName>
    <definedName name="UDV.anaer_digest.CH4_MJ">UD!$D$7</definedName>
    <definedName name="UDV.anaer_digest.gas_fraction">UD!$D$8</definedName>
    <definedName name="UDV.anaer_digest.gas_gen">UD!$D$9</definedName>
    <definedName name="UDV.anaer_digest.HRT">UD!$D$10</definedName>
    <definedName name="UDV.anaer_digest.max_height">UD!$D$11</definedName>
    <definedName name="UDV.anaer_digest.min_count">UD!$D$12</definedName>
    <definedName name="UDV.anaer_digest.N_retained">UD!$D$13</definedName>
    <definedName name="UDV.anaer_digest.ratio_h_r">UD!$D$14</definedName>
    <definedName name="UDV.anaer_digest.sludge_fraction">UD!$D$15</definedName>
    <definedName name="UDV.anaer_digest.sludge_time">UD!$D$16</definedName>
    <definedName name="UDV.anaer_digest.storage_safety_factor">UD!$D$17</definedName>
    <definedName name="UDV.anaer_digest.vs_reduced">UD!$D$18</definedName>
    <definedName name="UDV.anaer_digest_effluent.K">UD!$D$19</definedName>
    <definedName name="UDV.anaer_digest_effluent.N">UD!$D$20</definedName>
    <definedName name="UDV.anaer_digest_effluent.P">UD!$D$21</definedName>
    <definedName name="UDV.anaer_digest_effluent.TAN">UD!$D$22</definedName>
    <definedName name="UDV.anaer_digest_effluent.TS">UD!$D$23</definedName>
    <definedName name="UDV.anaer_digest_effluent.VS">UD!$D$24</definedName>
    <definedName name="UDV.anaer_digest_liquid.prop">UD!$D$25</definedName>
    <definedName name="UDV.anaer_digest_sludge.K">UD!$D$26</definedName>
    <definedName name="UDV.anaer_digest_sludge.N">UD!$D$27</definedName>
    <definedName name="UDV.anaer_digest_sludge.P">UD!$D$28</definedName>
    <definedName name="UDV.anaer_digest_sludge.prop">UD!$D$29</definedName>
    <definedName name="UDV.anaer_digest_sludge.TS">UD!$D$30</definedName>
    <definedName name="UDV.anaer_lagoon.agitation">UD!$D$31</definedName>
    <definedName name="UDV.anaer_lagoon.berm_width">UD!$D$32</definedName>
    <definedName name="UDV.anaer_lagoon.depth">UD!$D$33</definedName>
    <definedName name="UDV.anaer_lagoon.effluent_K">UD!$D$34</definedName>
    <definedName name="UDV.anaer_lagoon.effluent_N">UD!$D$35</definedName>
    <definedName name="UDV.anaer_lagoon.effluent_P">UD!$D$38</definedName>
    <definedName name="UDV.anaer_lagoon.effluent_removal">UD!$D$39</definedName>
    <definedName name="UDV.anaer_lagoon.effluent_TAN">UD!$D$40</definedName>
    <definedName name="UDV.anaer_lagoon.effluent_time">UD!$D$41</definedName>
    <definedName name="UDV.anaer_lagoon.effluent_TS">UD!$D$42</definedName>
    <definedName name="UDV.anaer_lagoon.effluent_TS_lost">UD!$D$69</definedName>
    <definedName name="UDV.anaer_lagoon.effluent_TS_target">UD!$D$70</definedName>
    <definedName name="UDV.anaer_lagoon.effluent_VS">UD!$D$43</definedName>
    <definedName name="UDV.anaer_lagoon.evap_modifier">UD!$D$44</definedName>
    <definedName name="UDV.anaer_lagoon.evap_modifier_flush">UD!$D$45</definedName>
    <definedName name="UDV.anaer_lagoon.evap_modifier_ob">UD!$D$46</definedName>
    <definedName name="UDV.anaer_lagoon.evap_modifier_scrape">UD!$D$47</definedName>
    <definedName name="UDV.anaer_lagoon.evap_modifier_sl">UD!$D$48</definedName>
    <definedName name="UDV.anaer_lagoon.freeboard">UD!$D$49</definedName>
    <definedName name="UDV.anaer_lagoon.HRT">UD!$D$50</definedName>
    <definedName name="UDV.anaer_lagoon.irrigation_events">UD!$D$71</definedName>
    <definedName name="UDV.anaer_lagoon.liquid_events">UD!$D$51</definedName>
    <definedName name="UDV.anaer_lagoon.N_loss_atmosphere">UD!$D$36</definedName>
    <definedName name="UDV.anaer_lagoon.N_retained">UD!$D$37</definedName>
    <definedName name="UDV.anaer_lagoon.pump_and_motor_efficiency">UD!$D$52</definedName>
    <definedName name="UDV.anaer_lagoon.recycle_pump_flowrate">UD!$D$53</definedName>
    <definedName name="UDV.anaer_lagoon.recycle_pump_headloss">UD!$D$54</definedName>
    <definedName name="UDV.anaer_lagoon.slope">UD!$D$55</definedName>
    <definedName name="UDV.anaer_lagoon.sludge_accumulation_ratio">UD!$D$56</definedName>
    <definedName name="UDV.anaer_lagoon.sludge_accumulation_ratio_base">UD!$D$73</definedName>
    <definedName name="UDV.anaer_lagoon.sludge_accumulation_ratio_sol_sep">UD!$D$74</definedName>
    <definedName name="UDV.anaer_lagoon.sludge_accumulation_ratio_storage_modifier">UD!$D$72</definedName>
    <definedName name="UDV.anaer_lagoon.sludge_events">UD!$D$57</definedName>
    <definedName name="UDV.anaer_lagoon.sludge_K">UD!$D$58</definedName>
    <definedName name="UDV.anaer_lagoon.sludge_N">UD!$D$59</definedName>
    <definedName name="UDV.anaer_lagoon.sludge_N_retained">UD!$D$60</definedName>
    <definedName name="UDV.anaer_lagoon.sludge_P">UD!$D$61</definedName>
    <definedName name="UDV.anaer_lagoon.sludge_time">UD!$D$62</definedName>
    <definedName name="UDV.anaer_lagoon.sludge_toggle">UD!$D$68</definedName>
    <definedName name="UDV.anaer_lagoon.sludge_TS">UD!$D$63</definedName>
    <definedName name="UDV.anaer_lagoon.treatment_toggle">UD!$D$67</definedName>
    <definedName name="UDV.anaer_lagoon.volume_sludge">UD!$D$64</definedName>
    <definedName name="UDV.anaer_lagoon.VS_loading_rate">UD!$D$65</definedName>
    <definedName name="UDV.anaer_lagoon.VSLR_multiplier">UD!$D$66</definedName>
    <definedName name="UDV.anaer_lagoon.VSLR_odor_multiplier">UD!$D$75</definedName>
    <definedName name="UDV.anaer_lagoon.VSLR_solids_multiplier">UD!$D$76</definedName>
    <definedName name="UDV.animal.a_count">UD!$D$77</definedName>
    <definedName name="UDV.animal.a_K">UD!$D$78</definedName>
    <definedName name="UDV.animal.a_K2O">UD!$D$60</definedName>
    <definedName name="UDV.animal.a_manure">UD!$D$79</definedName>
    <definedName name="UDV.animal.a_N">UD!$D$80</definedName>
    <definedName name="UDV.animal.a_P">UD!$D$81</definedName>
    <definedName name="UDV.animal.a_P2O5">UD!$D$63</definedName>
    <definedName name="UDV.animal.a_TAN">UD!$D$82</definedName>
    <definedName name="UDV.animal.a_treated">UD!$D$83</definedName>
    <definedName name="UDV.animal.a_TS">UD!$D$84</definedName>
    <definedName name="UDV.animal.a_VS">UD!$D$85</definedName>
    <definedName name="UDV.animal.a_weight">UD!$D$86</definedName>
    <definedName name="UDV.animal.abcde_count">UD!$D$87</definedName>
    <definedName name="UDV.animal.b_count">UD!$D$88</definedName>
    <definedName name="UDV.animal.b_K">UD!$D$89</definedName>
    <definedName name="UDV.animal.b_K2O">UD!$D$80</definedName>
    <definedName name="UDV.animal.b_manure">UD!$D$90</definedName>
    <definedName name="UDV.animal.b_N">UD!$D$91</definedName>
    <definedName name="UDV.animal.b_P">UD!$D$92</definedName>
    <definedName name="UDV.animal.b_P2O5">UD!$D$83</definedName>
    <definedName name="UDV.animal.b_TAN">UD!$D$93</definedName>
    <definedName name="UDV.animal.b_treated">UD!$D$94</definedName>
    <definedName name="UDV.animal.b_TS">UD!$D$95</definedName>
    <definedName name="UDV.animal.b_VS">UD!$D$96</definedName>
    <definedName name="UDV.animal.b_weight">UD!$D$97</definedName>
    <definedName name="UDV.animal.c_count">UD!$D$98</definedName>
    <definedName name="UDV.animal.c_K">UD!$D$99</definedName>
    <definedName name="UDV.animal.c_K2O">UD!$D$89</definedName>
    <definedName name="UDV.animal.c_manure">UD!$D$100</definedName>
    <definedName name="UDV.animal.c_N">UD!$D$101</definedName>
    <definedName name="UDV.animal.c_P">UD!$D$102</definedName>
    <definedName name="UDV.animal.c_P2O5">UD!$D$92</definedName>
    <definedName name="UDV.animal.c_TAN">UD!$D$103</definedName>
    <definedName name="UDV.animal.c_treated">UD!$D$104</definedName>
    <definedName name="UDV.animal.c_TS">UD!$D$105</definedName>
    <definedName name="UDV.animal.c_VS">UD!$D$106</definedName>
    <definedName name="UDV.animal.c_weight">UD!$D$107</definedName>
    <definedName name="UDV.animal.d_count">UD!$D$108</definedName>
    <definedName name="UDV.animal.d_K">UD!$D$109</definedName>
    <definedName name="UDV.animal.d_K2O">UD!$D$98</definedName>
    <definedName name="UDV.animal.d_manure">UD!$D$110</definedName>
    <definedName name="UDV.animal.d_N">UD!$D$111</definedName>
    <definedName name="UDV.animal.d_P">UD!$D$112</definedName>
    <definedName name="UDV.animal.d_P2O5">UD!$D$101</definedName>
    <definedName name="UDV.animal.d_TAN">UD!$D$113</definedName>
    <definedName name="UDV.animal.d_treated">UD!$D$114</definedName>
    <definedName name="UDV.animal.d_TS">UD!$D$115</definedName>
    <definedName name="UDV.animal.d_VS">UD!$D$116</definedName>
    <definedName name="UDV.animal.d_weight">UD!$D$117</definedName>
    <definedName name="UDV.animal.e_count">UD!$D$118</definedName>
    <definedName name="UDV.animal.e_K">UD!$D$119</definedName>
    <definedName name="UDV.animal.e_K2O">UD!$D$563</definedName>
    <definedName name="UDV.animal.e_manure">UD!$D$120</definedName>
    <definedName name="UDV.animal.e_N">UD!$D$121</definedName>
    <definedName name="UDV.animal.e_P">UD!$D$122</definedName>
    <definedName name="UDV.animal.e_P2O5">UD!$D$566</definedName>
    <definedName name="UDV.animal.e_TAN">UD!$D$123</definedName>
    <definedName name="UDV.animal.e_treated">UD!$D$124</definedName>
    <definedName name="UDV.animal.e_TS">UD!$D$125</definedName>
    <definedName name="UDV.animal.e_VS">UD!$D$126</definedName>
    <definedName name="UDV.animal.e_weight">UD!$D$127</definedName>
    <definedName name="UDV.animal.K2O">UD!$D$128</definedName>
    <definedName name="UDV.animal.manure">UD!$D$129</definedName>
    <definedName name="UDV.animal.N">UD!$D$130</definedName>
    <definedName name="UDV.animal.P2O5">UD!$D$131</definedName>
    <definedName name="UDV.animal.TAN">UD!$D$132</definedName>
    <definedName name="UDV.animal.total">UD!$D$133</definedName>
    <definedName name="UDV.animal.TS">UD!$D$134</definedName>
    <definedName name="UDV.animal.VS">UD!$D$135</definedName>
    <definedName name="UDV.animal_d_weight">UD!$D$105</definedName>
    <definedName name="UDV.barn_recharge.N_loss">UD!$D$136</definedName>
    <definedName name="UDV.barn_scrape.N_loss">UD!$D$137</definedName>
    <definedName name="UDV.bed_organic.density">UD!$D$138</definedName>
    <definedName name="UDV.bed_organic.dry_matter">UD!$D$139</definedName>
    <definedName name="UDV.bed_organic.fraction_recycled">UD!$D$140</definedName>
    <definedName name="UDV.bed_organic.usage">UD!$D$141</definedName>
    <definedName name="UDV.bed_sand.density">UD!$D$142</definedName>
    <definedName name="UDV.bed_sand.dry_matter">UD!$D$143</definedName>
    <definedName name="UDV.bed_sand.usage">UD!$D$144</definedName>
    <definedName name="UDV.box_spreader.capacity">UD!$D$146</definedName>
    <definedName name="UDV.box_spreader.hp">UD!$D$145</definedName>
    <definedName name="UDV.box_spreader.time_spreader_to_field">UD!$D$147</definedName>
    <definedName name="UDV.compost.area_safety_factor">UD!$D$160</definedName>
    <definedName name="UDV.compost.carbon_K_remaining">UD!$D$169</definedName>
    <definedName name="UDV.compost.carbon_N_remaining">UD!$D$167</definedName>
    <definedName name="UDV.compost.carbon_P_remaining">UD!$D$168</definedName>
    <definedName name="UDV.compost.carbon_TS_remaining">UD!$D$166</definedName>
    <definedName name="UDV.compost.density_bulk">UD!$D$178</definedName>
    <definedName name="UDV.compost.density_carbon">UD!$D$155</definedName>
    <definedName name="UDV.compost.emit_CH4">UD!$D$187</definedName>
    <definedName name="UDV.compost.emit_CO2">UD!$D$188</definedName>
    <definedName name="UDV.compost.emit_N2O">UD!$D$189</definedName>
    <definedName name="UDV.compost.final_density">UD!$D$179</definedName>
    <definedName name="UDV.compost.fraction_carbon">UD!$D$151</definedName>
    <definedName name="UDV.compost.fraction_compost_area">UD!$D$159</definedName>
    <definedName name="UDV.compost.fraction_dry_final">UD!$D$180</definedName>
    <definedName name="UDV.compost.fraction_fine_compost">UD!$D$153</definedName>
    <definedName name="UDV.compost.fraction_screened_compost">UD!$D$152</definedName>
    <definedName name="UDV.compost.fraction_volume_loss">UD!$D$181</definedName>
    <definedName name="UDV.compost.fraction_wet_final">UD!$D$182</definedName>
    <definedName name="UDV.compost.height_row">UD!$D$150</definedName>
    <definedName name="UDV.compost.K_carbon">UD!$D$158</definedName>
    <definedName name="UDV.compost.K_loss">UD!$D$183</definedName>
    <definedName name="UDV.compost.length_row">UD!$D$148</definedName>
    <definedName name="UDV.compost.manure_K_remaining">UD!$D$165</definedName>
    <definedName name="UDV.compost.manure_N_remaining">UD!$D$163</definedName>
    <definedName name="UDV.compost.manure_P_remaining">UD!$D$164</definedName>
    <definedName name="UDV.compost.manure_TS_remaining">UD!$D$161</definedName>
    <definedName name="UDV.compost.manure_VS_remaining">UD!$D$162</definedName>
    <definedName name="UDV.compost.mc_carbon">UD!$D$154</definedName>
    <definedName name="UDV.compost.mc_compost">UD!$D$170</definedName>
    <definedName name="UDV.compost.N_carbon">UD!$D$156</definedName>
    <definedName name="UDV.compost.N_loss">UD!$D$184</definedName>
    <definedName name="UDV.compost.P_carbon">UD!$D$157</definedName>
    <definedName name="UDV.compost.P_loss">UD!$D$185</definedName>
    <definedName name="UDV.compost.screening_fuel">UD!$D$175</definedName>
    <definedName name="UDV.compost.screening_rate">UD!$D$174</definedName>
    <definedName name="UDV.compost.time">UD!$D$186</definedName>
    <definedName name="UDV.compost.time_curing_to_spreader">UD!$D$177</definedName>
    <definedName name="UDV.compost.time_screen_to_storage">UD!$D$172</definedName>
    <definedName name="UDV.compost.time_storage_to_compost">UD!$D$171</definedName>
    <definedName name="UDV.compost.volume_day0_to_cured">UD!$D$176</definedName>
    <definedName name="UDV.compost.volume_day0_to_screening">UD!$D$173</definedName>
    <definedName name="UDV.compost.width_row">UD!$D$149</definedName>
    <definedName name="UDV.compost_density">UD!$D$708</definedName>
    <definedName name="UDV.compost_emit.CH4">UD!$D$187</definedName>
    <definedName name="UDV.compost_emit.CO2">UD!$D$188</definedName>
    <definedName name="UDV.compost_emit.N2O">UD!$D$189</definedName>
    <definedName name="UDV.cover_digest.berm_width">UD!$D$190</definedName>
    <definedName name="UDV.cover_digest.CH4_fraction">UD!$D$191</definedName>
    <definedName name="UDV.cover_digest.depth">UD!$D$192</definedName>
    <definedName name="UDV.cover_digest.freeboard">UD!$D$193</definedName>
    <definedName name="UDV.cover_digest.gas_fraction">UD!$D$210</definedName>
    <definedName name="UDV.cover_digest.gas_gen">UD!$D$194</definedName>
    <definedName name="UDV.cover_digest.HRT">UD!$D$212</definedName>
    <definedName name="UDV.cover_digest.liquid_prop">UD!$D$196</definedName>
    <definedName name="UDV.cover_digest.N_retained">UD!$D$195</definedName>
    <definedName name="UDV.cover_digest.slope">UD!$D$198</definedName>
    <definedName name="UDV.cover_digest.sludge_prop">UD!$D$197</definedName>
    <definedName name="UDV.cover_digest.storage_safety_factor">UD!$D$199</definedName>
    <definedName name="UDV.cover_digest.VS_loading_rate">UD!$D$222</definedName>
    <definedName name="UDV.cover_digest.vs_reduced">UD!$D$200</definedName>
    <definedName name="UDV.cover_digest.VSLR_multiplier">UD!$D$223</definedName>
    <definedName name="UDV.cover_digest.VSLR_odor_multiplier">UD!$D$224</definedName>
    <definedName name="UDV.cover_digest.VSLR_solids_multiplier">UD!$D$225</definedName>
    <definedName name="UDV.cover_lagoon.CH4_fraction">UD!$D$201</definedName>
    <definedName name="UDV.cover_lagoon.CH4_kWhr">UD!$D$202</definedName>
    <definedName name="UDV.cover_lagoon.effluent_K">UD!$D$203</definedName>
    <definedName name="UDV.cover_lagoon.effluent_N">UD!$D$204</definedName>
    <definedName name="UDV.cover_lagoon.effluent_P">UD!$D$205</definedName>
    <definedName name="UDV.cover_lagoon.effluent_TAN">UD!$D$206</definedName>
    <definedName name="UDV.cover_lagoon.effluent_time">UD!$D$207</definedName>
    <definedName name="UDV.cover_lagoon.effluent_TS">UD!$D$208</definedName>
    <definedName name="UDV.cover_lagoon.effluent_VS">UD!$D$209</definedName>
    <definedName name="UDV.cover_lagoon.gas_fraction">UD!$D$210</definedName>
    <definedName name="UDV.cover_lagoon.gas_gen">UD!$D$211</definedName>
    <definedName name="UDV.cover_lagoon.liquid_events">UD!$D$213</definedName>
    <definedName name="UDV.cover_lagoon.sludge_accumulation_ratio">UD!$D$214</definedName>
    <definedName name="UDV.cover_lagoon.sludge_events">UD!$D$215</definedName>
    <definedName name="UDV.cover_lagoon.sludge_fraction">UD!$D$216</definedName>
    <definedName name="UDV.cover_lagoon.sludge_K">UD!$D$217</definedName>
    <definedName name="UDV.cover_lagoon.sludge_N">UD!$D$218</definedName>
    <definedName name="UDV.cover_lagoon.sludge_P">UD!$D$219</definedName>
    <definedName name="UDV.cover_lagoon.sludge_time">UD!$D$220</definedName>
    <definedName name="UDV.cover_lagoon.sludge_TS">UD!$D$221</definedName>
    <definedName name="UDV.crops.acres_available">UD!$D$226</definedName>
    <definedName name="UDV.crops.application_max_irrigation">UD!$D$227</definedName>
    <definedName name="UDV.crops.application_max_liquids">UD!$D$228</definedName>
    <definedName name="UDV.crops.application_max_sludge">UD!$D$229</definedName>
    <definedName name="UDV.crops.application_wait_irrigation">UD!$D$230</definedName>
    <definedName name="UDV.crops.application_wait_liquids">UD!$D$231</definedName>
    <definedName name="UDV.crops.application_wait_sludge">UD!$D$232</definedName>
    <definedName name="UDV.crops.apply_for">UD!$D$233</definedName>
    <definedName name="UDV.crops.apply_method">UD!$D$234</definedName>
    <definedName name="UDV.crops.K_avail">UD!$D$235</definedName>
    <definedName name="UDV.crops.K_lost">UD!$D$236</definedName>
    <definedName name="UDV.crops.K_need">UD!$D$237</definedName>
    <definedName name="UDV.crops.K2O_avail_injection">UD!$D$238</definedName>
    <definedName name="UDV.crops.K2O_avail_surface">UD!$D$239</definedName>
    <definedName name="UDV.crops.N_avail">UD!$D$240</definedName>
    <definedName name="UDV.crops.N_avail_injection">UD!$D$241</definedName>
    <definedName name="UDV.crops.N_avail_surface">UD!$D$242</definedName>
    <definedName name="UDV.crops.N_lost">UD!$D$243</definedName>
    <definedName name="UDV.crops.N_need">UD!$D$244</definedName>
    <definedName name="UDV.crops.P_avail">UD!$D$245</definedName>
    <definedName name="UDV.crops.P_lost">UD!$D$246</definedName>
    <definedName name="UDV.crops.P_need">UD!$D$247</definedName>
    <definedName name="UDV.crops.P2O5_avail_injection">UD!$D$248</definedName>
    <definedName name="UDV.crops.P2O5_avail_surface">UD!$D$249</definedName>
    <definedName name="UDV.density.manure">UD!$D$250</definedName>
    <definedName name="UDV.dhl.agitation_trailer">UD!$D$251</definedName>
    <definedName name="UDV.dhl.agitation_trailer_fuel">UD!$D$252</definedName>
    <definedName name="UDV.dhl.agitation_utilization">UD!$D$253</definedName>
    <definedName name="UDV.dhl.application_maneuver_factor">UD!$D$254</definedName>
    <definedName name="UDV.dhl.applicator_pump_size">UD!$D$255</definedName>
    <definedName name="UDV.dhl.booster_pump">UD!$D$256</definedName>
    <definedName name="UDV.dhl.booster_pump_fuel">UD!$D$257</definedName>
    <definedName name="UDV.dhl.booster_utilization">UD!$D$258</definedName>
    <definedName name="UDV.dhl.diesel_powered_pump_size">UD!$D$259</definedName>
    <definedName name="UDV.dhl.distance_booster">UD!$D$260</definedName>
    <definedName name="UDV.dhl.hose_mover">UD!$D$261</definedName>
    <definedName name="UDV.dhl.hose_mover_fuel">UD!$D$262</definedName>
    <definedName name="UDV.dhl.hose_mover_utilization">UD!$D$263</definedName>
    <definedName name="UDV.dhl.lead_pump">UD!$D$264</definedName>
    <definedName name="UDV.dhl.lead_pump_fuel">UD!$D$265</definedName>
    <definedName name="UDV.dhl.lead_utilization">UD!$D$266</definedName>
    <definedName name="UDV.dhl.pick_up">UD!$D$267</definedName>
    <definedName name="UDV.dhl.pick_up_fuel">UD!$D$268</definedName>
    <definedName name="UDV.dhl.pickup_fuel">UD!$D$268</definedName>
    <definedName name="UDV.dhl.pickup_utilization">UD!$D$269</definedName>
    <definedName name="UDV.dhl.speed_applicator">UD!$D$270</definedName>
    <definedName name="UDV.dhl.toolbar_utilization">UD!$D$271</definedName>
    <definedName name="UDV.dhl.tractor_applicator">UD!$D$272</definedName>
    <definedName name="UDV.dhl.tractor_applicator_hp">UD!$D$273</definedName>
    <definedName name="UDV.dhl.tractor_pulley_hp">UD!$D$274</definedName>
    <definedName name="UDV.dhl.width_toolbar">UD!$D$275</definedName>
    <definedName name="UDV.dpss.agitation">UD!$D$276</definedName>
    <definedName name="UDV.dpss.depth">UD!$D$277</definedName>
    <definedName name="UDV.dpss.effluent_K">UD!$D$280</definedName>
    <definedName name="UDV.dpss.effluent_N">UD!$D$281</definedName>
    <definedName name="UDV.dpss.effluent_P">UD!$D$282</definedName>
    <definedName name="UDV.dpss.effluent_TAN">UD!$D$283</definedName>
    <definedName name="UDV.dpss.effluent_time">UD!$D$286</definedName>
    <definedName name="UDV.dpss.effluent_TS">UD!$D$284</definedName>
    <definedName name="UDV.dpss.effluent_VS">UD!$D$285</definedName>
    <definedName name="UDV.dpss.HRT">UD!$D$278</definedName>
    <definedName name="UDV.dpss.removal_events">UD!$D$287</definedName>
    <definedName name="UDV.dpss.width">UD!$D$279</definedName>
    <definedName name="UDV.dpss_aer.agitation">UD!$D$288</definedName>
    <definedName name="UDV.dpss_aer.depth">UD!$D$291</definedName>
    <definedName name="UDV.dpss_aer.drive_motor_hp">UD!$D$294</definedName>
    <definedName name="UDV.dpss_aer.drive_per_area">UD!$D$292</definedName>
    <definedName name="UDV.dpss_aer.effluent_K">UD!$D$296</definedName>
    <definedName name="UDV.dpss_aer.effluent_N">UD!$D$297</definedName>
    <definedName name="UDV.dpss_aer.effluent_P">UD!$D$298</definedName>
    <definedName name="UDV.dpss_aer.effluent_TAN">UD!$D$299</definedName>
    <definedName name="UDV.dpss_aer.effluent_time">UD!$D$302</definedName>
    <definedName name="UDV.dpss_aer.effluent_TS">UD!$D$300</definedName>
    <definedName name="UDV.dpss_aer.effluent_VS">UD!$D$301</definedName>
    <definedName name="UDV.dpss_aer.HRT">UD!$D$290</definedName>
    <definedName name="UDV.dpss_aer.motor_per_drive">UD!$D$293</definedName>
    <definedName name="UDV.dpss_aer.removal_events">UD!$D$303</definedName>
    <definedName name="UDV.dpss_aer.time_aeration">UD!$D$295</definedName>
    <definedName name="UDV.dpss_aer.width">UD!$D$289</definedName>
    <definedName name="UDV.econ_agi.diesel_trailer">UD!$D$304</definedName>
    <definedName name="UDV.econ_agi.electric_pump">UD!$D$305</definedName>
    <definedName name="UDV.econ_agi.pto">UD!$D$306</definedName>
    <definedName name="UDV.econ_agi.pump_motor">UD!$D$307</definedName>
    <definedName name="UDV.econ_attachments.scraper">UD!$D$308</definedName>
    <definedName name="UDV.econ_auto_scrape.chain">UD!$D$309</definedName>
    <definedName name="UDV.econ_auto_scrape.install">UD!$D$310</definedName>
    <definedName name="UDV.econ_box_spreader.one_size">UD!$D$311</definedName>
    <definedName name="UDV.econ_build.compost_building">UD!$D$312</definedName>
    <definedName name="UDV.econ_build.concrete_sand_lane">UD!$D$313</definedName>
    <definedName name="UDV.econ_build.concrete_slab_no_side">UD!$D$314</definedName>
    <definedName name="UDV.econ_build.covered_building_cost">UD!$D$315</definedName>
    <definedName name="UDV.econ_build.covered_building_size">UD!$D$316</definedName>
    <definedName name="UDV.econ_build.metal_building">UD!$D$317</definedName>
    <definedName name="UDV.econ_capital.interest_rate">UD!$D$318</definedName>
    <definedName name="UDV.econ_centrifuge.158ft3">UD!$D$319</definedName>
    <definedName name="UDV.econ_centrifuge.209ft3">UD!$D$320</definedName>
    <definedName name="UDV.econ_centrifuge.452ft3">UD!$D$321</definedName>
    <definedName name="UDV.econ_cng.connected">UD!$D$322</definedName>
    <definedName name="UDV.econ_cng.on_farm_use_no_grid_pct">UD!$D$323</definedName>
    <definedName name="UDV.econ_cng.on_farm_use_yes_grid_pct">UD!$D$324</definedName>
    <definedName name="UDV.econ_cng.scrub_effic">UD!$D$325</definedName>
    <definedName name="UDV.econ_cng.sell_to_grid_no_grid_pct">UD!$D$326</definedName>
    <definedName name="UDV.econ_cng.sell_to_grid_price">UD!$D$327</definedName>
    <definedName name="UDV.econ_cng.sell_to_grid_yes_grid_pct">UD!$D$328</definedName>
    <definedName name="UDV.econ_compost.wood_chips">UD!$D$329</definedName>
    <definedName name="UDV.econ_compost_vessel.20.0ft">UD!$D$330</definedName>
    <definedName name="UDV.econ_compost_vessel.9.8ft">UD!$D$331</definedName>
    <definedName name="UDV.econ_elec.connected">UD!$D$332</definedName>
    <definedName name="UDV.econ_elec.generation_equipment">UD!$D$333</definedName>
    <definedName name="UDV.econ_elec.grid_connection">UD!$D$334</definedName>
    <definedName name="UDV.econ_elec.on_farm_use_no_grid_pct">UD!$D$335</definedName>
    <definedName name="UDV.econ_elec.on_farm_use_yes_grid_pct">UD!$D$336</definedName>
    <definedName name="UDV.econ_elec.sell_to_grid_no_grid_pct">UD!$D$337</definedName>
    <definedName name="UDV.econ_elec.sell_to_grid_price">UD!$D$338</definedName>
    <definedName name="UDV.econ_elec.sell_to_grid_yes_grid_pct">UD!$D$339</definedName>
    <definedName name="UDV.econ_energy.carbon_credits">UD!$D$340</definedName>
    <definedName name="UDV.econ_energy.renewable_energy_credits">UD!$D$341</definedName>
    <definedName name="UDV.econ_fertilizer.K2O">UD!$D$342</definedName>
    <definedName name="UDV.econ_fertilizer.N">UD!$D$343</definedName>
    <definedName name="UDV.econ_fertilizer.P2O5">UD!$D$344</definedName>
    <definedName name="UDV.econ_hose.hose_drag_flex_660ft">UD!$D$345</definedName>
    <definedName name="UDV.econ_hose.hose_pulley">UD!$D$346</definedName>
    <definedName name="UDV.econ_hose.hose_reel_hydraulic">UD!$D$347</definedName>
    <definedName name="UDV.econ_liner.lagoon_geomembrane">UD!$D$348</definedName>
    <definedName name="UDV.econ_manure.compost_export_cost">UD!$D$349</definedName>
    <definedName name="UDV.econ_manure.compost_export_pct">UD!$D$350</definedName>
    <definedName name="UDV.econ_manure.compost_give_cost">UD!$D$351</definedName>
    <definedName name="UDV.econ_manure.compost_give_pct">UD!$D$352</definedName>
    <definedName name="UDV.econ_manure.compost_sell_pct">UD!$D$353</definedName>
    <definedName name="UDV.econ_manure.compost_sell_price">UD!$D$354</definedName>
    <definedName name="UDV.econ_manure.export_concern">UD!$D$355</definedName>
    <definedName name="UDV.econ_manure.liquid_export_cost">UD!$D$356</definedName>
    <definedName name="UDV.econ_manure.liquid_export_pct">UD!$D$357</definedName>
    <definedName name="UDV.econ_manure.liquid_give_cost">UD!$D$358</definedName>
    <definedName name="UDV.econ_manure.liquid_give_pct">UD!$D$359</definedName>
    <definedName name="UDV.econ_manure.liquid_sell_pct">UD!$D$360</definedName>
    <definedName name="UDV.econ_manure.liquid_sell_price">UD!$D$361</definedName>
    <definedName name="UDV.econ_manure.liquid_to_ton">UD!$D$362</definedName>
    <definedName name="UDV.econ_manure.sep_solids_export_cost">UD!$D$363</definedName>
    <definedName name="UDV.econ_manure.sep_solids_export_pct">UD!$D$364</definedName>
    <definedName name="UDV.econ_manure.sep_solids_give_cost">UD!$D$365</definedName>
    <definedName name="UDV.econ_manure.sep_solids_give_pct">UD!$D$366</definedName>
    <definedName name="UDV.econ_manure.sep_solids_sell_pct">UD!$D$367</definedName>
    <definedName name="UDV.econ_manure.sep_solids_sell_price">UD!$D$368</definedName>
    <definedName name="UDV.econ_manure.set_solids_export_cost">UD!$D$369</definedName>
    <definedName name="UDV.econ_manure.set_solids_export_pct">UD!$D$370</definedName>
    <definedName name="UDV.econ_manure.set_solids_give_cost">UD!$D$371</definedName>
    <definedName name="UDV.econ_manure.set_solids_give_pct">UD!$D$372</definedName>
    <definedName name="UDV.econ_manure.set_solids_sell_pct">UD!$D$373</definedName>
    <definedName name="UDV.econ_manure.set_solids_sell_price">UD!$D$374</definedName>
    <definedName name="UDV.econ_manure.sludge_export_cost">UD!$D$375</definedName>
    <definedName name="UDV.econ_manure.sludge_export_pct">UD!$D$376</definedName>
    <definedName name="UDV.econ_manure.sludge_give_cost">UD!$D$377</definedName>
    <definedName name="UDV.econ_manure.sludge_give_pct">UD!$D$378</definedName>
    <definedName name="UDV.econ_manure.sludge_sell_pct">UD!$D$379</definedName>
    <definedName name="UDV.econ_manure.sludge_sell_price">UD!$D$380</definedName>
    <definedName name="UDV.econ_manure.sludge_to_ton">UD!$D$381</definedName>
    <definedName name="UDV.econ_manure.slurry_export_cost">UD!$D$382</definedName>
    <definedName name="UDV.econ_manure.slurry_export_pct">UD!$D$383</definedName>
    <definedName name="UDV.econ_manure.slurry_give_cost">UD!$D$384</definedName>
    <definedName name="UDV.econ_manure.slurry_give_pct">UD!$D$385</definedName>
    <definedName name="UDV.econ_manure.slurry_sell_pct">UD!$D$386</definedName>
    <definedName name="UDV.econ_manure.slurry_sell_price">UD!$D$387</definedName>
    <definedName name="UDV.econ_manure.slurry_to_ton">UD!$D$388</definedName>
    <definedName name="UDV.econ_methane.fate">UD!$D$389</definedName>
    <definedName name="UDV.econ_motor.100hp">UD!$D$390</definedName>
    <definedName name="UDV.econ_motor.10hp">UD!$D$391</definedName>
    <definedName name="UDV.econ_motor.11hp">UD!$D$392</definedName>
    <definedName name="UDV.econ_motor.12hp">UD!$D$393</definedName>
    <definedName name="UDV.econ_motor.15hp">UD!$D$394</definedName>
    <definedName name="UDV.econ_motor.1hp">UD!$D$395</definedName>
    <definedName name="UDV.econ_motor.26hp">UD!$D$396</definedName>
    <definedName name="UDV.econ_motor.2hp">UD!$D$397</definedName>
    <definedName name="UDV.econ_motor.35hp">UD!$D$398</definedName>
    <definedName name="UDV.econ_motor.3hp">UD!$D$399</definedName>
    <definedName name="UDV.econ_motor.4hp">UD!$D$400</definedName>
    <definedName name="UDV.econ_motor.5hp">UD!$D$401</definedName>
    <definedName name="UDV.econ_motor.6hp">UD!$D$402</definedName>
    <definedName name="UDV.econ_motor.75hp">UD!$D$403</definedName>
    <definedName name="UDV.econ_motor.7hp">UD!$D$404</definedName>
    <definedName name="UDV.econ_motor.8hp">UD!$D$405</definedName>
    <definedName name="UDV.econ_motor.9hp">UD!$D$406</definedName>
    <definedName name="UDV.econ_pipe.12in_underground_flush">UD!$D$407</definedName>
    <definedName name="UDV.econ_pipe.manure">UD!$D$408</definedName>
    <definedName name="UDV.econ_power.drive_unit">UD!$D$409</definedName>
    <definedName name="UDV.econ_pump.diesel_booster">UD!$D$410</definedName>
    <definedName name="UDV.econ_pump.diesel_lead">UD!$D$411</definedName>
    <definedName name="UDV.econ_pump.non_pto_flush">UD!$D$412</definedName>
    <definedName name="UDV.econ_pump.side_mount_double">UD!$D$413</definedName>
    <definedName name="UDV.econ_pump.side_mount_quad">UD!$D$414</definedName>
    <definedName name="UDV.econ_pump.side_mount_single">UD!$D$415</definedName>
    <definedName name="UDV.econ_pump.tractor_pto">UD!$D$416</definedName>
    <definedName name="UDV.econ_rds.138ft">UD!$D$417</definedName>
    <definedName name="UDV.econ_rds.188ft">UD!$D$418</definedName>
    <definedName name="UDV.econ_rds.94ft">UD!$D$419</definedName>
    <definedName name="UDV.econ_roller_press.24in">UD!$D$420</definedName>
    <definedName name="UDV.econ_roller_press.36in">UD!$D$421</definedName>
    <definedName name="UDV.econ_roller_press.48in">UD!$D$422</definedName>
    <definedName name="UDV.econ_roller_press.72in">UD!$D$423</definedName>
    <definedName name="UDV.econ_screw_press.double_15hp">UD!$D$424</definedName>
    <definedName name="UDV.econ_screw_press.single_10hp">UD!$D$425</definedName>
    <definedName name="UDV.econ_screw_press.single_15hp">UD!$D$426</definedName>
    <definedName name="UDV.econ_skid_steer.loader">UD!$D$427</definedName>
    <definedName name="UDV.econ_slope_screen.32ft">UD!$D$428</definedName>
    <definedName name="UDV.econ_slope_screen.64ft">UD!$D$429</definedName>
    <definedName name="UDV.econ_slope_screen.96ft">UD!$D$430</definedName>
    <definedName name="UDV.econ_tanker.cost">UD!$D$431</definedName>
    <definedName name="UDV.econ_toolbar.boom">UD!$D$432</definedName>
    <definedName name="UDV.econ_toolbar.injection">UD!$D$433</definedName>
    <definedName name="UDV.econ_toolbar.loader">UD!$D$434</definedName>
    <definedName name="UDV.econ_toolbar.rake">UD!$D$435</definedName>
    <definedName name="UDV.econ_toolbar.rotary_tiller_13ft">UD!$D$436</definedName>
    <definedName name="UDV.econ_toolbar.rotary_tiller_20ft">UD!$D$437</definedName>
    <definedName name="UDV.econ_toolbar.rotary_tiller_6ft">UD!$D$438</definedName>
    <definedName name="UDV.econ_tractor.160hp">UD!$D$439</definedName>
    <definedName name="UDV.econ_tractor.180hp">UD!$D$440</definedName>
    <definedName name="UDV.econ_tractor.250hp">UD!$D$441</definedName>
    <definedName name="UDV.econ_tractor.340hp">UD!$D$442</definedName>
    <definedName name="UDV.econ_tractor.580hp">UD!$D$443</definedName>
    <definedName name="UDV.econ_tractor.85hp">UD!$D$444</definedName>
    <definedName name="UDV.econ_tractor.94hp">UD!$D$445</definedName>
    <definedName name="UDV.econ_transfer_channel.chain">UD!$D$446</definedName>
    <definedName name="UDV.econ_transfer_channel.install">UD!$D$447</definedName>
    <definedName name="UDV.econ_transfer_channel.pipe_and_install">UD!$D$448</definedName>
    <definedName name="UDV.econ_transfer_trolley.20.0ft">UD!$D$449</definedName>
    <definedName name="UDV.econ_transfer_trolley.9.8ft">UD!$D$450</definedName>
    <definedName name="UDV.econ_truck.pickup">UD!$D$451</definedName>
    <definedName name="UDV.effluent_AD_pond.N">UD!$D$452</definedName>
    <definedName name="UDV.effluent_CL_pond.N">UD!$D$453</definedName>
    <definedName name="UDV.electricity.avg_cost">UD!$D$454</definedName>
    <definedName name="UDV.emit_CH4.BD">UD!$D$457</definedName>
    <definedName name="UDV.emit_CH4.CO2e_cf">UD!$D$458</definedName>
    <definedName name="UDV.emit_CH4.combustion_ratio">UD!$D$455</definedName>
    <definedName name="UDV.emit_CH4.density">UD!$D$456</definedName>
    <definedName name="UDV.emit_CH4.IPCC">UD!$D$459</definedName>
    <definedName name="UDV.emit_CH4.MCF">UD!$D$460</definedName>
    <definedName name="UDV.emit_CH4.MCF_anaer_digest">UD!$D$473</definedName>
    <definedName name="UDV.emit_CH4.MCF_anaer_lagoon">UD!$D$461</definedName>
    <definedName name="UDV.emit_CH4.MCF_cover_digest">UD!$D$474</definedName>
    <definedName name="UDV.emit_CH4.MCF_shallow_flush">UD!$D$464</definedName>
    <definedName name="UDV.emit_CH4.MCF_shallow_plug">UD!$D$467</definedName>
    <definedName name="UDV.emit_CH4.MCF_shallow_scrape">UD!$D$465</definedName>
    <definedName name="UDV.emit_CH4.MCF_shallow_scrape_compost">UD!$D$466</definedName>
    <definedName name="UDV.emit_CH4.MCF_slurry_dpss">UD!$D$462</definedName>
    <definedName name="UDV.emit_CH4.MCF_slurry_dpss_aerated">UD!$D$463</definedName>
    <definedName name="UDV.emit_CH4.MCF_solids">UD!$D$469</definedName>
    <definedName name="UDV.emit_CH4.MCF_solids_cover_compact">UD!$D$470</definedName>
    <definedName name="UDV.emit_CH4.MCF_storage_tank">UD!$D$468</definedName>
    <definedName name="UDV.emit_CH4.MCF_windrow_compost_intense">UD!$D$471</definedName>
    <definedName name="UDV.emit_CH4.MCF_windrow_compost_passive">UD!$D$472</definedName>
    <definedName name="UDV.emit_CH4.MS">UD!$D$475</definedName>
    <definedName name="UDV.emit_CH4.VS_days">UD!$D$476</definedName>
    <definedName name="UDV.emit_gas.FA">UD!$D$477</definedName>
    <definedName name="UDV.emit_gas.FA_head">UD!$D$478</definedName>
    <definedName name="UDV.emit_N2O_direct.CO2e_cf">UD!$D$479</definedName>
    <definedName name="UDV.emit_N2O_direct.EF">UD!$D$480</definedName>
    <definedName name="UDV.emit_N2O_direct.ef3_anaer_digest">UD!$D$492</definedName>
    <definedName name="UDV.emit_N2O_direct.ef3_anaer_lagoon">UD!$D$494</definedName>
    <definedName name="UDV.emit_N2O_direct.ef3_bedded_pack">UD!$D$505</definedName>
    <definedName name="UDV.emit_N2O_direct.ef3_cover_digest">UD!$D$493</definedName>
    <definedName name="UDV.emit_N2O_direct.ef3_cover_lagoon">UD!$D$493</definedName>
    <definedName name="UDV.emit_N2O_direct.ef3_pit">UD!$D$495</definedName>
    <definedName name="UDV.emit_N2O_direct.ef3_pit_aerated">UD!$D$496</definedName>
    <definedName name="UDV.emit_N2O_direct.ef3_pond_crust">UD!$D$497</definedName>
    <definedName name="UDV.emit_N2O_direct.ef3_pond_no_crust">UD!$D$498</definedName>
    <definedName name="UDV.emit_N2O_direct.ef3_shallow_flush">UD!$D$500</definedName>
    <definedName name="UDV.emit_N2O_direct.ef3_shallow_plug">UD!$D$502</definedName>
    <definedName name="UDV.emit_N2O_direct.ef3_shallow_scrape">UD!$D$501</definedName>
    <definedName name="UDV.emit_N2O_direct.ef3_solids">UD!$D$499</definedName>
    <definedName name="UDV.emit_N2O_direct.ef3_storage_tank">UD!$D$503</definedName>
    <definedName name="UDV.emit_N2O_direct.ef3_windrow">UD!$D$504</definedName>
    <definedName name="UDV.emit_N2O_direct.fraction_MMS">UD!$D$481</definedName>
    <definedName name="UDV.emit_N2O_direct.N_days">UD!$D$482</definedName>
    <definedName name="UDV.emit_N2O_direct.N_to_N2O">UD!$D$483</definedName>
    <definedName name="UDV.emit_N2O_indirect.CO2E">UD!$D$484</definedName>
    <definedName name="UDV.emit_N2O_indirect.EF">UD!$D$485</definedName>
    <definedName name="UDV.emit_N2O_indirect.ef4">UD!$D$491</definedName>
    <definedName name="UDV.emit_N2O_indirect.fraction_NH4">UD!$D$486</definedName>
    <definedName name="UDV.emit_N2O_indirect.N_days">UD!$D$487</definedName>
    <definedName name="UDV.emit_N2O_indirect.N_to_N2O">UD!$D$488</definedName>
    <definedName name="UDV.emit_NH3.lossfrac_anaer_digest">UD!$D$506</definedName>
    <definedName name="UDV.emit_NH3.lossfrac_anaer_lagoon">UD!$D$508</definedName>
    <definedName name="UDV.emit_NH3.lossfrac_bedded_pack">UD!$D$519</definedName>
    <definedName name="UDV.emit_NH3.lossfrac_cover_digest">UD!$D$507</definedName>
    <definedName name="UDV.emit_NH3.lossfrac_cover_lagoon">UD!$D$507</definedName>
    <definedName name="UDV.emit_NH3.lossfrac_pit_aerated">UD!$D$509</definedName>
    <definedName name="UDV.emit_NH3.lossfrac_pit_no_air">UD!$D$510</definedName>
    <definedName name="UDV.emit_NH3.lossfrac_pond_crust">UD!$D$511</definedName>
    <definedName name="UDV.emit_NH3.lossfrac_pond_no_crust">UD!$D$512</definedName>
    <definedName name="UDV.emit_NH3.lossfrac_shallow_flush">UD!$D$513</definedName>
    <definedName name="UDV.emit_NH3.lossfrac_shallow_plug">UD!$D$515</definedName>
    <definedName name="UDV.emit_NH3.lossfrac_shallow_scrape">UD!$D$514</definedName>
    <definedName name="UDV.emit_NH3.lossfrac_solids">UD!$D$517</definedName>
    <definedName name="UDV.emit_NH3.lossfrac_storage_tank">UD!$D$516</definedName>
    <definedName name="UDV.emit_NH3.lossfrac_windrow">UD!$D$518</definedName>
    <definedName name="UDV.emit_NH3_N_proportion.TAN_days">UD!$D$489</definedName>
    <definedName name="UDV.emit_NH3_N_proportion_TAN.EF">UD!$D$490</definedName>
    <definedName name="UDV.energy.CH4_MJ">UD!$D$520</definedName>
    <definedName name="UDV.energy.CH4_MMBTU">UD!$D$521</definedName>
    <definedName name="UDV.energy.CH4_to_energy">UD!$D$522</definedName>
    <definedName name="UDV.fac_lagoon_AD_eff.N">UD!$D$758</definedName>
    <definedName name="UDV.fac_lagoon_AD_sludge.N">UD!$D$523</definedName>
    <definedName name="UDV.fac_lagoon_CL_eff.N">UD!$D$524</definedName>
    <definedName name="UDV.fac_lagoon_CL_sludge.N">UD!$D$525</definedName>
    <definedName name="UDV.flush_waste.max_pump_time">UD!$D$527</definedName>
    <definedName name="UDV.flush_waste.tank_flushes">UD!$D$533</definedName>
    <definedName name="UDV.flush_waste.tank_volume">UD!$D$535</definedName>
    <definedName name="UDV.front_end_loader.bucket_capacity">UD!$D$537</definedName>
    <definedName name="UDV.front_end_loader.bucket_fill_rate">UD!$D$538</definedName>
    <definedName name="UDV.front_end_loader.hp">UD!$D$536</definedName>
    <definedName name="UDV.fuel.diesel_avg_cost">UD!$D$539</definedName>
    <definedName name="UDV.fuel.gasoline_avg_cost">UD!$D$540</definedName>
    <definedName name="UDV.fuel.naturalgas_avg_cost">UD!$D$541</definedName>
    <definedName name="UDV.fuel.propane_avg_cost">UD!$D$542</definedName>
    <definedName name="UDV.handling_manure.a_deeppit">UD!$D$543</definedName>
    <definedName name="UDV.handling_manure.a_flush">UD!$D$544</definedName>
    <definedName name="UDV.handling_manure.a_pullplug">UD!$D$545</definedName>
    <definedName name="UDV.handling_manure.a_scrape">UD!$D$546</definedName>
    <definedName name="UDV.handling_manure.b_deeppit">UD!$D$547</definedName>
    <definedName name="UDV.handling_manure.b_flush">UD!$D$548</definedName>
    <definedName name="UDV.handling_manure.b_pullplug">UD!$D$549</definedName>
    <definedName name="UDV.handling_manure.b_scrape">UD!$D$550</definedName>
    <definedName name="UDV.handling_manure.c_deeppit">UD!$D$551</definedName>
    <definedName name="UDV.handling_manure.c_flush">UD!$D$552</definedName>
    <definedName name="UDV.handling_manure.c_pullplug">UD!$D$553</definedName>
    <definedName name="UDV.handling_manure.c_scrape">UD!$D$554</definedName>
    <definedName name="UDV.handling_manure.d_deeppit">UD!$D$555</definedName>
    <definedName name="UDV.handling_manure.d_flush">UD!$D$556</definedName>
    <definedName name="UDV.handling_manure.d_pullplug">UD!$D$557</definedName>
    <definedName name="UDV.handling_manure.d_scrape">UD!$D$558</definedName>
    <definedName name="UDV.handling_manure.distance_pump_to_barn">UD!$D$528</definedName>
    <definedName name="UDV.handling_manure.distance_pump_to_split">UD!$D$529</definedName>
    <definedName name="UDV.handling_manure.distance_split_to_barn">UD!$D$530</definedName>
    <definedName name="UDV.handling_manure.e_deeppit">UD!$D$559</definedName>
    <definedName name="UDV.handling_manure.e_flush">UD!$D$560</definedName>
    <definedName name="UDV.handling_manure.e_pullplug">UD!$D$561</definedName>
    <definedName name="UDV.handling_manure.e_scrape">UD!$D$562</definedName>
    <definedName name="UDV.handling_manure.flow_deeppit">UD!$D$563</definedName>
    <definedName name="UDV.handling_manure.flow_flush">UD!$D$564</definedName>
    <definedName name="UDV.handling_manure.flow_pullplug">UD!$D$565</definedName>
    <definedName name="UDV.handling_manure.flow_scrape">UD!$D$566</definedName>
    <definedName name="UDV.handling_manure.head_per_barn">UD!$D$531</definedName>
    <definedName name="UDV.incline_removal.density_dry">UD!$D$567</definedName>
    <definedName name="UDV.incline_removal.density_wet">UD!$D$568</definedName>
    <definedName name="UDV.incline_removal.fraction_solar_dry">UD!$D$569</definedName>
    <definedName name="UDV.incline_removal.K">UD!$D$570</definedName>
    <definedName name="UDV.incline_removal.P">UD!$D$571</definedName>
    <definedName name="UDV.incline_removal.TAN">UD!$D$572</definedName>
    <definedName name="UDV.incline_removal.TKN">UD!$D$573</definedName>
    <definedName name="UDV.incline_removal.TS">UD!$D$574</definedName>
    <definedName name="UDV.incline_removal.VS">UD!$D$575</definedName>
    <definedName name="UDV.incline_removal.wet_solids">UD!$D$576</definedName>
    <definedName name="UDV.irrigation.allocation">UD!$D$578</definedName>
    <definedName name="UDV.irrigation.fraction_applied">UD!$D$577</definedName>
    <definedName name="UDV.irrigation.pump_flowrate">UD!$D$579</definedName>
    <definedName name="UDV.irrigation.pump_power">UD!$D$580</definedName>
    <definedName name="UDV.labor.non_specialized_cost">UD!$D$581</definedName>
    <definedName name="UDV.labor.specialized_cost">UD!$D$582</definedName>
    <definedName name="UDV.labor.tractor_x">UD!$D$586</definedName>
    <definedName name="UDV.land_application.agitation_tractor_power">UD!$D$587</definedName>
    <definedName name="UDV.land_application.avg_distance">UD!$D$588</definedName>
    <definedName name="UDV.land_application.distance">UD!$D$412</definedName>
    <definedName name="UDV.land_application.field_maneuver_time">UD!$D$589</definedName>
    <definedName name="UDV.land_application.max_distance">UD!$D$590</definedName>
    <definedName name="UDV.land_application.storage_agitation_max_time">UD!$D$591</definedName>
    <definedName name="UDV.land_application.storage_maneuver_time">UD!$D$592</definedName>
    <definedName name="UDV.land_application.storage_pump_max_time">UD!$D$593</definedName>
    <definedName name="UDV.land_application.storage_to_tanker_load_rate">UD!$D$594</definedName>
    <definedName name="UDV.land_application.tanker_loaded_speed">UD!$D$595</definedName>
    <definedName name="UDV.land_application.tanker_pump_power">UD!$D$596</definedName>
    <definedName name="UDV.land_application.tanker_tractor_power">UD!$D$597</definedName>
    <definedName name="UDV.land_application.tanker_unload_rate">UD!$D$598</definedName>
    <definedName name="UDV.land_application.tanker_unloaded_speed">UD!$D$599</definedName>
    <definedName name="UDV.land_application.tanker_volume">UD!$D$600</definedName>
    <definedName name="UDV.land_application.volume">UD!$D$416</definedName>
    <definedName name="UDV.lca.CO2_toggle">UD!$D$635</definedName>
    <definedName name="UDV.lca.diesel_combustion_gwp">UD!$D$603</definedName>
    <definedName name="UDV.lca.diesel_ef">UD!$D$612</definedName>
    <definedName name="UDV.lca.diesel_gwp">UD!$D$605</definedName>
    <definedName name="UDV.lca.diesel_land">UD!$D$626</definedName>
    <definedName name="UDV.lca.diesel_wf">UD!$D$619</definedName>
    <definedName name="UDV.lca.electricity_ef">UD!$D$611</definedName>
    <definedName name="UDV.lca.electricity_gwp">UD!$D$604</definedName>
    <definedName name="UDV.lca.electricity_land">UD!$D$625</definedName>
    <definedName name="UDV.lca.electricity_wf">UD!$D$618</definedName>
    <definedName name="UDV.lca.K2O_ef">UD!$D$616</definedName>
    <definedName name="UDV.lca.K2O_gwp">UD!$D$609</definedName>
    <definedName name="UDV.lca.K2O_KCI">UD!$D$634</definedName>
    <definedName name="UDV.lca.K2O_land">UD!$D$630</definedName>
    <definedName name="UDV.lca.K2O_wf">UD!$D$623</definedName>
    <definedName name="UDV.lca.MJ_per_gal_diesel">UD!$D$602</definedName>
    <definedName name="UDV.lca.MJ_per_kg_oil_eq">UD!$D$601</definedName>
    <definedName name="UDV.lca.P2O5_ef">UD!$D$615</definedName>
    <definedName name="UDV.lca.P2O5_gwp">UD!$D$608</definedName>
    <definedName name="UDV.lca.P2O5_land">UD!$D$629</definedName>
    <definedName name="UDV.lca.P2O5_TSP">UD!$D$633</definedName>
    <definedName name="UDV.lca.P2O5_wf">UD!$D$622</definedName>
    <definedName name="UDV.lca.sand_ef">UD!$D$617</definedName>
    <definedName name="UDV.lca.sand_gwp">UD!$D$610</definedName>
    <definedName name="UDV.lca.sand_land">UD!$D$631</definedName>
    <definedName name="UDV.lca.sand_wf">UD!$D$624</definedName>
    <definedName name="UDV.lca.urea_ef">UD!$D$614</definedName>
    <definedName name="UDV.lca.urea_gwp">UD!$D$607</definedName>
    <definedName name="UDV.lca.urea_land">UD!$D$628</definedName>
    <definedName name="UDV.lca.urea_n_content">UD!$D$632</definedName>
    <definedName name="UDV.lca.urea_wf">UD!$D$621</definedName>
    <definedName name="UDV.lca.water_ef">UD!$D$613</definedName>
    <definedName name="UDV.lca.water_gwp">UD!$D$606</definedName>
    <definedName name="UDV.lca.water_land">UD!$D$627</definedName>
    <definedName name="UDV.lca.water_wf">UD!$D$620</definedName>
    <definedName name="UDV.manure.removal_factor">UD!$D$636</definedName>
    <definedName name="UDV.manure_transfer_channel.length_per_animal">UD!$D$637</definedName>
    <definedName name="UDV.OPEX_labor.irrigation">UD!$D$583</definedName>
    <definedName name="UDV.OPEX_labor.tractor_active">UD!$D$584</definedName>
    <definedName name="UDV.OPEX_labor.tractor_stationary">UD!$D$585</definedName>
    <definedName name="UDV.pullplug.time_recharge">UD!$D$638</definedName>
    <definedName name="UDV.rain.drainage_area">UD!$D$639</definedName>
    <definedName name="UDV.rain.evaporation">UD!$D$640</definedName>
    <definedName name="UDV.rain.regular">UD!$D$641</definedName>
    <definedName name="UDV.rain.storm2524">UD!$D$642</definedName>
    <definedName name="UDV.random_rename.N">UD!#REF!</definedName>
    <definedName name="UDV.reception_pit.agitation_motor_hp">UD!$D$643</definedName>
    <definedName name="UDV.reception_pit.concrete_thickness">UD!$D$644</definedName>
    <definedName name="UDV.reception_pit.depth">UD!$D$645</definedName>
    <definedName name="UDV.reception_pit.pump_flowrate">UD!$D$646</definedName>
    <definedName name="UDV.reception_pit.pump_hours">UD!$D$647</definedName>
    <definedName name="UDV.reception_pit.removal_time">UD!$D$648</definedName>
    <definedName name="UDV.reception_pit.width">UD!$D$649</definedName>
    <definedName name="UDV.recharge_event.draining_pullplug">UD!$D$650</definedName>
    <definedName name="UDV.recharge_event.water_type_pullplug">UD!$D$651</definedName>
    <definedName name="UDV.rfw.fraction_recycled">UD!$D$652</definedName>
    <definedName name="UDV.rfw.K">UD!$D$653</definedName>
    <definedName name="UDV.rfw.K2O">UD!$D$654</definedName>
    <definedName name="UDV.rfw.N">UD!$D$655</definedName>
    <definedName name="UDV.rfw.P">UD!$D$656</definedName>
    <definedName name="UDV.rfw.P2O5">UD!$D$657</definedName>
    <definedName name="UDV.rfw.TAN">UD!$D$658</definedName>
    <definedName name="UDV.rfw.TS">UD!$D$659</definedName>
    <definedName name="UDV.rfw.VS">UD!$D$660</definedName>
    <definedName name="UDV.scrape_auto.head_per_alley">UD!$D$661</definedName>
    <definedName name="UDV.scrape_auto.interval">UD!$D$662</definedName>
    <definedName name="UDV.scrape_auto.lanes_per_driver">UD!$D$671</definedName>
    <definedName name="UDV.scrape_auto.length_per_driver">UD!$D$669</definedName>
    <definedName name="UDV.scrape_auto.length_per_head">UD!$D$668</definedName>
    <definedName name="UDV.scrape_auto.motors_per_driver">UD!$D$670</definedName>
    <definedName name="UDV.scrape_auto.scrape_per_day">UD!$D$665</definedName>
    <definedName name="UDV.scrape_auto.scrapers_per_driver">UD!$D$672</definedName>
    <definedName name="UDV.scrape_auto.size_motor">UD!$D$666</definedName>
    <definedName name="UDV.scrape_auto.speed">UD!$D$667</definedName>
    <definedName name="UDV.scrape_auto.stalls_per_width">UD!$D$674</definedName>
    <definedName name="UDV.scrape_auto.tc_length_per_driver">UD!$D$663</definedName>
    <definedName name="UDV.scrape_auto.tc_length_per_motor">UD!$D$664</definedName>
    <definedName name="UDV.scrape_auto.tc_scrape_per_day">UD!$D$673</definedName>
    <definedName name="UDV.scrape_auto.width_stall">UD!$D$675</definedName>
    <definedName name="UDV.scrape_vaccum.volume_unloading_rate">UD!$D$738</definedName>
    <definedName name="UDV.separated_solids.bucket_capacity">UD!$D$676</definedName>
    <definedName name="UDV.separated_solids.bucket_fill_rate">UD!$D$677</definedName>
    <definedName name="UDV.separated_solids.concrete_thickness">UD!$D$678</definedName>
    <definedName name="UDV.separated_solids.density_solids">UD!$D$679</definedName>
    <definedName name="UDV.separated_solids.excess_pile_height">UD!$D$680</definedName>
    <definedName name="UDV.separated_solids.interval_land_application">UD!$D$681</definedName>
    <definedName name="UDV.separated_solids.interval_solids_moving">UD!$D$682</definedName>
    <definedName name="UDV.separated_solids.lossfrac_N">#REF!</definedName>
    <definedName name="UDV.separated_solids.N_retained">UD!$D$683</definedName>
    <definedName name="UDV.separated_solids.spreader_capacity">UD!$D$684</definedName>
    <definedName name="UDV.separated_solids.storage_days">UD!$D$685</definedName>
    <definedName name="UDV.separated_solids.storage_safety_factor">UD!$D$686</definedName>
    <definedName name="UDV.separated_solids.time_separator_to_storage">UD!$D$687</definedName>
    <definedName name="UDV.separated_solids.time_spreader_to_field">UD!$D$688</definedName>
    <definedName name="UDV.separated_solids.time_storage_to_spreader">UD!$D$689</definedName>
    <definedName name="UDV.separated_solids.tractor_mover_hp">UD!$D$690</definedName>
    <definedName name="UDV.separated_solids.tractor_spreader_hp">UD!$D$691</definedName>
    <definedName name="UDV.separation_land_sand.tractor_mover_hp">UD!$D$576</definedName>
    <definedName name="UDV.shallow_pit.depth">UD!$D$693</definedName>
    <definedName name="UDV.shallow_pit.flush_liquids_storage">UD!$D$699</definedName>
    <definedName name="UDV.shallow_pit.flush_N_remaining">UD!$D$697</definedName>
    <definedName name="UDV.shallow_pit.flush_storage">UD!$D$699</definedName>
    <definedName name="UDV.shallow_pit.flush_waste_storage">UD!$D$698</definedName>
    <definedName name="UDV.shallow_pit.length">UD!$D$692</definedName>
    <definedName name="UDV.shallow_pit.plug_liquids_storage">UD!$D$696</definedName>
    <definedName name="UDV.shallow_pit.plug_N_remaining">UD!$D$694</definedName>
    <definedName name="UDV.shallow_pit.plug_waste_storage">UD!$D$695</definedName>
    <definedName name="UDV.shallow_pit.scrape_compost_storage">UD!$D$703</definedName>
    <definedName name="UDV.shallow_pit.scrape_liquids_storage">UD!$D$702</definedName>
    <definedName name="UDV.shallow_pit.scrape_N_remaining">UD!$D$700</definedName>
    <definedName name="UDV.shallow_pit.scrape_waste_storage">UD!$D$701</definedName>
    <definedName name="UDV.shallow_pit.waste_storage">UD!$D$698</definedName>
    <definedName name="UDV.sprinkler.adj_water_used">UD!$D$704</definedName>
    <definedName name="UDV.sprinkler.cycles">UD!$D$705</definedName>
    <definedName name="UDV.sprinkler.evaporative_cooling">UD!$D$706</definedName>
    <definedName name="UDV.sprinkler.flow">UD!$D$707</definedName>
    <definedName name="UDV.sprinkler.fresh_water_used">UD!$D$708</definedName>
    <definedName name="UDV.sprinkler.on_time">UD!$D$709</definedName>
    <definedName name="UDV.sprinkler.used">UD!$D$710</definedName>
    <definedName name="UDV.storage_facilities.max_depth">UD!$D$711</definedName>
    <definedName name="UDV.storage_pond.pump_and_motor_efficiency">UD!$D$712</definedName>
    <definedName name="UDV.storage_pond.recycle_pump_flowrate">UD!$D$713</definedName>
    <definedName name="UDV.storage_pond.recycle_pump_headloss">UD!$D$714</definedName>
    <definedName name="UDV.storage_tank.agi_type">UD!$D$723</definedName>
    <definedName name="UDV.storage_tank.depth">UD!$D$718</definedName>
    <definedName name="UDV.storage_tank.depth_freeboard">UD!$D$719</definedName>
    <definedName name="UDV.storage_tank.depth_residual">UD!$D$722</definedName>
    <definedName name="UDV.storage_tank.effluent_K_retained">UD!$D$727</definedName>
    <definedName name="UDV.storage_tank.effluent_N_retained">UD!$D$725</definedName>
    <definedName name="UDV.storage_tank.effluent_P_retained">UD!$D$726</definedName>
    <definedName name="UDV.storage_tank.effluent_TS_lost">UD!$D$716</definedName>
    <definedName name="UDV.storage_tank.effluent_TS_target">UD!$D$717</definedName>
    <definedName name="UDV.storage_tank.HRT">UD!$D$715</definedName>
    <definedName name="UDV.storage_tank.max_radius">UD!$D$720</definedName>
    <definedName name="UDV.storage_tank.min_radius">UD!$D$721</definedName>
    <definedName name="UDV.storage_tank.removal_events">UD!$D$724</definedName>
    <definedName name="UDV.storage_tank_eff.K">UD!$D$728</definedName>
    <definedName name="UDV.storage_tank_eff.N">UD!$D$729</definedName>
    <definedName name="UDV.storage_tank_eff.P">UD!$D$730</definedName>
    <definedName name="UDV.storage_tank_eff.TAN">UD!$D$731</definedName>
    <definedName name="UDV.storage_tank_eff.TS">UD!$D$732</definedName>
    <definedName name="UDV.storage_tank_eff.VS">UD!$D$733</definedName>
    <definedName name="UDV.tractor.application_time_non_sludge">UD!$D$734</definedName>
    <definedName name="UDV.tractor.application_time_sludge">UD!$D$735</definedName>
    <definedName name="UDV.tractor.application_time_sludge_multiplier">UD!$D$736</definedName>
    <definedName name="UDV.tractor.fuel_efficiency">UD!$D$737</definedName>
    <definedName name="UDV.tractor.max_usage_daily">UD!$D$738</definedName>
    <definedName name="UDV.tractor.max_usage_yearly">UD!$D$739</definedName>
    <definedName name="UDV.tractor.min_usage_yearly">UD!$D$740</definedName>
    <definedName name="UDV.u.alt1_rank">UD!$D$742</definedName>
    <definedName name="UDV.u.alt2_rank">UD!$D$743</definedName>
    <definedName name="UDV.u.alt3_rank">UD!$D$744</definedName>
    <definedName name="UDV.u.alt4_rank">UD!$D$745</definedName>
    <definedName name="UDV.u.baseline_rank">UD!$D$746</definedName>
    <definedName name="UDV.u.env_results_type">UD!$D$741</definedName>
    <definedName name="UDV.u.farm_alt1">UD!$D$747</definedName>
    <definedName name="UDV.u.farm_alt2">UD!$D$748</definedName>
    <definedName name="UDV.u.farm_alt3">UD!$D$749</definedName>
    <definedName name="UDV.u.farm_alt4">UD!$D$750</definedName>
    <definedName name="UDV.u.farm_baseline">UD!$D$751</definedName>
    <definedName name="UDV.u.farm_name">UD!$D$752</definedName>
    <definedName name="UDV.u.state">UD!$D$753</definedName>
    <definedName name="UDV.u.state_abrv">UD!$D$754</definedName>
    <definedName name="UDV.u.state_climate_zone">UD!$D$757</definedName>
    <definedName name="UDV.u.state_region">UD!$D$755</definedName>
    <definedName name="UDV.u.state_temp_days">UD!$D$756</definedName>
    <definedName name="UDV.u.unit_index">UD!$D$758</definedName>
    <definedName name="UDV.u.unit_system">UD!$D$759</definedName>
    <definedName name="UDV.water.avg_cost">UD!$D$760</definedName>
    <definedName name="UDV.water.irrigation_amount">UD!$D$761</definedName>
    <definedName name="UDV.weight.cost_capex">UD!$D$762</definedName>
    <definedName name="UDV.weight.cost_fert">UD!$D$763</definedName>
    <definedName name="UDV.weight.cost_net">UD!$D$764</definedName>
    <definedName name="UDV.weight.cost_opex">UD!$D$765</definedName>
    <definedName name="UDV.weight.cost_revenues">UD!$D$766</definedName>
    <definedName name="UDV.weight.cost_savings">UD!$D$767</definedName>
    <definedName name="UDV.weight.env_carbon">UD!$D$768</definedName>
    <definedName name="UDV.weight.env_energy">UD!$D$769</definedName>
    <definedName name="UDV.weight.env_land">UD!$D$770</definedName>
    <definedName name="UDV.weight.env_nitrogen">UD!$D$771</definedName>
    <definedName name="UDV.weight.env_phos">UD!$D$772</definedName>
    <definedName name="UDV.weight.env_water">UD!$D$773</definedName>
    <definedName name="UDV.weight.tech_adoption">UD!$D$774</definedName>
    <definedName name="UDV.weight.tech_integrity">UD!$D$775</definedName>
    <definedName name="UDV.weight.tech_labor">UD!$D$776</definedName>
    <definedName name="UDV.weight.tech_land">UD!$D$777</definedName>
    <definedName name="UDV.weight.tech_reliability">UD!$D$778</definedName>
    <definedName name="UDV.weight.tech_transport">UD!$D$779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161" l="1"/>
  <c r="H29" i="161"/>
  <c r="G176" i="200"/>
  <c r="G175" i="200"/>
  <c r="H144" i="187"/>
  <c r="AF31" i="112"/>
  <c r="AE31" i="112"/>
  <c r="AD31" i="112"/>
  <c r="E31" i="112" s="1"/>
  <c r="Z31" i="112"/>
  <c r="C31" i="112"/>
  <c r="H221" i="187"/>
  <c r="H222" i="187"/>
  <c r="H223" i="187"/>
  <c r="H224" i="187"/>
  <c r="H219" i="187"/>
  <c r="H220" i="187"/>
  <c r="AF36" i="111"/>
  <c r="AG35" i="111"/>
  <c r="AI6" i="111"/>
  <c r="AI35" i="111" s="1"/>
  <c r="AI37" i="111" s="1"/>
  <c r="AF73" i="111"/>
  <c r="AG72" i="111"/>
  <c r="AF110" i="111"/>
  <c r="AG109" i="111"/>
  <c r="AF147" i="111"/>
  <c r="AG146" i="111"/>
  <c r="AF184" i="111"/>
  <c r="AG183" i="111"/>
  <c r="AF221" i="111"/>
  <c r="AG220" i="111"/>
  <c r="AF258" i="111"/>
  <c r="AG257" i="111"/>
  <c r="AF295" i="111"/>
  <c r="AG294" i="111"/>
  <c r="AF332" i="111"/>
  <c r="AG331" i="111"/>
  <c r="AF369" i="111"/>
  <c r="AG368" i="111"/>
  <c r="AF406" i="111"/>
  <c r="AG405" i="111"/>
  <c r="AF443" i="111"/>
  <c r="AG442" i="111"/>
  <c r="AF517" i="111"/>
  <c r="AG516" i="111"/>
  <c r="F517" i="111"/>
  <c r="G516" i="111"/>
  <c r="F480" i="111"/>
  <c r="G479" i="111"/>
  <c r="F443" i="111"/>
  <c r="G442" i="111"/>
  <c r="F406" i="111"/>
  <c r="G405" i="111"/>
  <c r="F369" i="111"/>
  <c r="G368" i="111"/>
  <c r="F332" i="111"/>
  <c r="G331" i="111"/>
  <c r="F295" i="111"/>
  <c r="G294" i="111"/>
  <c r="F258" i="111"/>
  <c r="G257" i="111"/>
  <c r="F221" i="111"/>
  <c r="G220" i="111"/>
  <c r="F184" i="111"/>
  <c r="G183" i="111"/>
  <c r="F147" i="111"/>
  <c r="G146" i="111"/>
  <c r="F110" i="111"/>
  <c r="G109" i="111"/>
  <c r="F73" i="111"/>
  <c r="G72" i="111"/>
  <c r="E635" i="112"/>
  <c r="AF635" i="112"/>
  <c r="AE635" i="112"/>
  <c r="AD635" i="112"/>
  <c r="Z635" i="112"/>
  <c r="C635" i="112"/>
  <c r="B80" i="151"/>
  <c r="D80" i="151"/>
  <c r="B82" i="127"/>
  <c r="D82" i="127"/>
  <c r="B82" i="126"/>
  <c r="D82" i="126"/>
  <c r="B82" i="99"/>
  <c r="D82" i="99"/>
  <c r="B82" i="124"/>
  <c r="D82" i="124"/>
  <c r="B87" i="123"/>
  <c r="D87" i="123"/>
  <c r="B76" i="100"/>
  <c r="D76" i="100"/>
  <c r="I37" i="111"/>
  <c r="I35" i="111"/>
  <c r="I6" i="111"/>
  <c r="X601" i="112"/>
  <c r="Y601" i="112"/>
  <c r="X602" i="112"/>
  <c r="Y602" i="112"/>
  <c r="AD601" i="112"/>
  <c r="E601" i="112" s="1"/>
  <c r="AE601" i="112"/>
  <c r="AF601" i="112"/>
  <c r="AD602" i="112"/>
  <c r="E602" i="112" s="1"/>
  <c r="AE602" i="112"/>
  <c r="AF602" i="112"/>
  <c r="Z602" i="112"/>
  <c r="Z601" i="112"/>
  <c r="C602" i="112"/>
  <c r="C601" i="112"/>
  <c r="N13" i="111"/>
  <c r="N10" i="111"/>
  <c r="AD632" i="112" l="1"/>
  <c r="E632" i="112" s="1"/>
  <c r="AE632" i="112"/>
  <c r="AF632" i="112"/>
  <c r="AD633" i="112"/>
  <c r="E633" i="112" s="1"/>
  <c r="AE633" i="112"/>
  <c r="AF633" i="112"/>
  <c r="AD634" i="112"/>
  <c r="E634" i="112" s="1"/>
  <c r="AE634" i="112"/>
  <c r="AF634" i="112"/>
  <c r="Z634" i="112"/>
  <c r="Z633" i="112"/>
  <c r="Z632" i="112"/>
  <c r="X634" i="112"/>
  <c r="X633" i="112"/>
  <c r="X632" i="112"/>
  <c r="C634" i="112"/>
  <c r="C633" i="112"/>
  <c r="C632" i="112"/>
  <c r="X631" i="112" l="1"/>
  <c r="Y631" i="112"/>
  <c r="X630" i="112"/>
  <c r="Y630" i="112"/>
  <c r="X629" i="112"/>
  <c r="Y629" i="112"/>
  <c r="X628" i="112"/>
  <c r="Y628" i="112"/>
  <c r="X627" i="112"/>
  <c r="Y627" i="112"/>
  <c r="X626" i="112"/>
  <c r="Y626" i="112"/>
  <c r="X625" i="112"/>
  <c r="Y625" i="112"/>
  <c r="Z626" i="112"/>
  <c r="AD626" i="112"/>
  <c r="E626" i="112" s="1"/>
  <c r="AE626" i="112"/>
  <c r="AF626" i="112"/>
  <c r="Z627" i="112"/>
  <c r="AD627" i="112"/>
  <c r="E627" i="112" s="1"/>
  <c r="AE627" i="112"/>
  <c r="AF627" i="112"/>
  <c r="Z628" i="112"/>
  <c r="AD628" i="112"/>
  <c r="E628" i="112" s="1"/>
  <c r="AE628" i="112"/>
  <c r="AF628" i="112"/>
  <c r="Z629" i="112"/>
  <c r="AD629" i="112"/>
  <c r="E629" i="112" s="1"/>
  <c r="AE629" i="112"/>
  <c r="AF629" i="112"/>
  <c r="Z630" i="112"/>
  <c r="AD630" i="112"/>
  <c r="E630" i="112" s="1"/>
  <c r="AE630" i="112"/>
  <c r="AF630" i="112"/>
  <c r="Z631" i="112"/>
  <c r="AD631" i="112"/>
  <c r="E631" i="112" s="1"/>
  <c r="AE631" i="112"/>
  <c r="AF631" i="112"/>
  <c r="AD625" i="112"/>
  <c r="E625" i="112" s="1"/>
  <c r="AE625" i="112"/>
  <c r="AF625" i="112"/>
  <c r="Z625" i="112"/>
  <c r="A5" i="120" l="1"/>
  <c r="M5" i="120"/>
  <c r="J5" i="120"/>
  <c r="C631" i="112"/>
  <c r="C630" i="112"/>
  <c r="C629" i="112"/>
  <c r="C628" i="112"/>
  <c r="C627" i="112"/>
  <c r="C626" i="112"/>
  <c r="C625" i="112"/>
  <c r="W496" i="112" l="1"/>
  <c r="W509" i="112"/>
  <c r="Z288" i="112" l="1"/>
  <c r="AD288" i="112"/>
  <c r="E288" i="112" s="1"/>
  <c r="AE288" i="112"/>
  <c r="AF288" i="112"/>
  <c r="C288" i="112"/>
  <c r="Z276" i="112"/>
  <c r="AD276" i="112"/>
  <c r="E276" i="112" s="1"/>
  <c r="AE276" i="112"/>
  <c r="AF276" i="112"/>
  <c r="C276" i="112"/>
  <c r="B54" i="125" l="1"/>
  <c r="D54" i="125"/>
  <c r="B53" i="125"/>
  <c r="N322" i="152"/>
  <c r="M322" i="152"/>
  <c r="L322" i="152"/>
  <c r="K322" i="152"/>
  <c r="J322" i="152"/>
  <c r="I322" i="152"/>
  <c r="H322" i="152"/>
  <c r="G322" i="152"/>
  <c r="F322" i="152"/>
  <c r="E322" i="152"/>
  <c r="D321" i="152"/>
  <c r="C321" i="152"/>
  <c r="K314" i="152"/>
  <c r="I314" i="152"/>
  <c r="G314" i="152"/>
  <c r="D314" i="152"/>
  <c r="N323" i="151"/>
  <c r="M323" i="151"/>
  <c r="L323" i="151"/>
  <c r="K323" i="151"/>
  <c r="J323" i="151"/>
  <c r="I323" i="151"/>
  <c r="H323" i="151"/>
  <c r="G323" i="151"/>
  <c r="F323" i="151"/>
  <c r="E323" i="151"/>
  <c r="D322" i="151"/>
  <c r="C322" i="151"/>
  <c r="K315" i="151"/>
  <c r="I315" i="151"/>
  <c r="G315" i="151"/>
  <c r="D315" i="151"/>
  <c r="N324" i="107"/>
  <c r="M324" i="107"/>
  <c r="L324" i="107"/>
  <c r="K324" i="107"/>
  <c r="J324" i="107"/>
  <c r="I324" i="107"/>
  <c r="H324" i="107"/>
  <c r="G324" i="107"/>
  <c r="F324" i="107"/>
  <c r="E324" i="107"/>
  <c r="D323" i="107"/>
  <c r="C323" i="107"/>
  <c r="K316" i="107"/>
  <c r="I316" i="107"/>
  <c r="G316" i="107"/>
  <c r="D316" i="107"/>
  <c r="N324" i="127"/>
  <c r="M324" i="127"/>
  <c r="L324" i="127"/>
  <c r="K324" i="127"/>
  <c r="J324" i="127"/>
  <c r="I324" i="127"/>
  <c r="H324" i="127"/>
  <c r="G324" i="127"/>
  <c r="F324" i="127"/>
  <c r="E324" i="127"/>
  <c r="D323" i="127"/>
  <c r="C323" i="127"/>
  <c r="K316" i="127"/>
  <c r="I316" i="127"/>
  <c r="G316" i="127"/>
  <c r="D316" i="127"/>
  <c r="N324" i="126"/>
  <c r="M324" i="126"/>
  <c r="L324" i="126"/>
  <c r="K324" i="126"/>
  <c r="J324" i="126"/>
  <c r="I324" i="126"/>
  <c r="H324" i="126"/>
  <c r="G324" i="126"/>
  <c r="F324" i="126"/>
  <c r="E324" i="126"/>
  <c r="D323" i="126"/>
  <c r="C323" i="126"/>
  <c r="K316" i="126"/>
  <c r="I316" i="126"/>
  <c r="G316" i="126"/>
  <c r="D316" i="126"/>
  <c r="N324" i="99"/>
  <c r="M324" i="99"/>
  <c r="L324" i="99"/>
  <c r="K324" i="99"/>
  <c r="J324" i="99"/>
  <c r="I324" i="99"/>
  <c r="H324" i="99"/>
  <c r="G324" i="99"/>
  <c r="F324" i="99"/>
  <c r="E324" i="99"/>
  <c r="D323" i="99"/>
  <c r="C323" i="99"/>
  <c r="K316" i="99"/>
  <c r="I316" i="99"/>
  <c r="G316" i="99"/>
  <c r="D316" i="99"/>
  <c r="N324" i="124"/>
  <c r="M324" i="124"/>
  <c r="L324" i="124"/>
  <c r="K324" i="124"/>
  <c r="J324" i="124"/>
  <c r="I324" i="124"/>
  <c r="H324" i="124"/>
  <c r="G324" i="124"/>
  <c r="F324" i="124"/>
  <c r="E324" i="124"/>
  <c r="D323" i="124"/>
  <c r="C323" i="124"/>
  <c r="K316" i="124"/>
  <c r="I316" i="124"/>
  <c r="G316" i="124"/>
  <c r="D316" i="124"/>
  <c r="N324" i="123"/>
  <c r="M324" i="123"/>
  <c r="L324" i="123"/>
  <c r="K324" i="123"/>
  <c r="J324" i="123"/>
  <c r="I324" i="123"/>
  <c r="H324" i="123"/>
  <c r="G324" i="123"/>
  <c r="F324" i="123"/>
  <c r="E324" i="123"/>
  <c r="D323" i="123"/>
  <c r="C323" i="123"/>
  <c r="K316" i="123"/>
  <c r="I316" i="123"/>
  <c r="G316" i="123"/>
  <c r="D316" i="123"/>
  <c r="N324" i="100"/>
  <c r="M324" i="100"/>
  <c r="L324" i="100"/>
  <c r="K324" i="100"/>
  <c r="J324" i="100"/>
  <c r="I324" i="100"/>
  <c r="H324" i="100"/>
  <c r="G324" i="100"/>
  <c r="F324" i="100"/>
  <c r="E324" i="100"/>
  <c r="D323" i="100"/>
  <c r="C323" i="100"/>
  <c r="K316" i="100"/>
  <c r="I316" i="100"/>
  <c r="G316" i="100"/>
  <c r="D316" i="100"/>
  <c r="N322" i="121"/>
  <c r="M322" i="121"/>
  <c r="L322" i="121"/>
  <c r="K322" i="121"/>
  <c r="J322" i="121"/>
  <c r="I322" i="121"/>
  <c r="H322" i="121"/>
  <c r="G322" i="121"/>
  <c r="F322" i="121"/>
  <c r="E322" i="121"/>
  <c r="D321" i="121"/>
  <c r="C321" i="121"/>
  <c r="K314" i="121"/>
  <c r="I314" i="121"/>
  <c r="G314" i="121"/>
  <c r="D314" i="121"/>
  <c r="C321" i="122"/>
  <c r="D321" i="122"/>
  <c r="E322" i="122"/>
  <c r="F322" i="122"/>
  <c r="G322" i="122"/>
  <c r="H322" i="122"/>
  <c r="I322" i="122"/>
  <c r="J322" i="122"/>
  <c r="K322" i="122"/>
  <c r="L322" i="122"/>
  <c r="M322" i="122"/>
  <c r="N322" i="122"/>
  <c r="D314" i="122"/>
  <c r="G314" i="122"/>
  <c r="I314" i="122"/>
  <c r="K314" i="122"/>
  <c r="C321" i="98"/>
  <c r="D321" i="98"/>
  <c r="E322" i="98"/>
  <c r="F322" i="98"/>
  <c r="G322" i="98"/>
  <c r="H322" i="98"/>
  <c r="I322" i="98"/>
  <c r="J322" i="98"/>
  <c r="K322" i="98"/>
  <c r="L322" i="98"/>
  <c r="M322" i="98"/>
  <c r="N322" i="98"/>
  <c r="D314" i="98"/>
  <c r="G314" i="98"/>
  <c r="I314" i="98"/>
  <c r="K314" i="98"/>
  <c r="C319" i="125"/>
  <c r="D319" i="125"/>
  <c r="E320" i="125"/>
  <c r="F320" i="125"/>
  <c r="G320" i="125"/>
  <c r="H320" i="125"/>
  <c r="I320" i="125"/>
  <c r="J320" i="125"/>
  <c r="K320" i="125"/>
  <c r="L320" i="125"/>
  <c r="M320" i="125"/>
  <c r="N320" i="125"/>
  <c r="D312" i="125"/>
  <c r="G312" i="125"/>
  <c r="I312" i="125"/>
  <c r="K312" i="125"/>
  <c r="C319" i="97"/>
  <c r="D319" i="97"/>
  <c r="E320" i="97"/>
  <c r="F320" i="97"/>
  <c r="G320" i="97"/>
  <c r="H320" i="97"/>
  <c r="I320" i="97"/>
  <c r="J320" i="97"/>
  <c r="K320" i="97"/>
  <c r="L320" i="97"/>
  <c r="M320" i="97"/>
  <c r="N320" i="97"/>
  <c r="D312" i="97"/>
  <c r="G312" i="97"/>
  <c r="I312" i="97"/>
  <c r="K312" i="97"/>
  <c r="L496" i="112" l="1"/>
  <c r="M496" i="112"/>
  <c r="H496" i="112"/>
  <c r="I496" i="112"/>
  <c r="C496" i="112"/>
  <c r="E496" i="112"/>
  <c r="N496" i="112" l="1"/>
  <c r="F496" i="112" s="1"/>
  <c r="D496" i="112" s="1"/>
  <c r="H143" i="180" s="1"/>
  <c r="BD271" i="146"/>
  <c r="D6" i="111"/>
  <c r="B75" i="98"/>
  <c r="D75" i="98"/>
  <c r="B76" i="98"/>
  <c r="D76" i="98"/>
  <c r="B77" i="98"/>
  <c r="D77" i="98"/>
  <c r="B71" i="98"/>
  <c r="D71" i="98"/>
  <c r="B72" i="98"/>
  <c r="D72" i="98"/>
  <c r="B73" i="98"/>
  <c r="D73" i="98"/>
  <c r="B105" i="152" l="1"/>
  <c r="D105" i="152"/>
  <c r="B106" i="152"/>
  <c r="D106" i="152"/>
  <c r="B107" i="152"/>
  <c r="D107" i="152"/>
  <c r="B101" i="152"/>
  <c r="D101" i="152"/>
  <c r="B102" i="152"/>
  <c r="D102" i="152"/>
  <c r="B103" i="152"/>
  <c r="D103" i="152"/>
  <c r="B97" i="152"/>
  <c r="D97" i="152"/>
  <c r="B98" i="152"/>
  <c r="D98" i="152"/>
  <c r="B99" i="152"/>
  <c r="D99" i="152"/>
  <c r="B82" i="151"/>
  <c r="D82" i="151"/>
  <c r="B83" i="151"/>
  <c r="D83" i="151"/>
  <c r="B84" i="151"/>
  <c r="D84" i="151"/>
  <c r="B77" i="151"/>
  <c r="D77" i="151"/>
  <c r="B78" i="151"/>
  <c r="D78" i="151"/>
  <c r="B79" i="151"/>
  <c r="D79" i="151"/>
  <c r="B79" i="107"/>
  <c r="D79" i="107"/>
  <c r="B80" i="107"/>
  <c r="D80" i="107"/>
  <c r="B81" i="107"/>
  <c r="D81" i="107"/>
  <c r="B83" i="107"/>
  <c r="D83" i="107"/>
  <c r="B84" i="107"/>
  <c r="D84" i="107"/>
  <c r="B85" i="107"/>
  <c r="D85" i="107"/>
  <c r="B88" i="127"/>
  <c r="D88" i="127"/>
  <c r="B89" i="127"/>
  <c r="D89" i="127"/>
  <c r="B90" i="127"/>
  <c r="D90" i="127"/>
  <c r="B84" i="127"/>
  <c r="D84" i="127"/>
  <c r="B85" i="127"/>
  <c r="D85" i="127"/>
  <c r="B86" i="127"/>
  <c r="D86" i="127"/>
  <c r="B79" i="127"/>
  <c r="D79" i="127"/>
  <c r="B80" i="127"/>
  <c r="D80" i="127"/>
  <c r="B81" i="127"/>
  <c r="D81" i="127"/>
  <c r="B88" i="126"/>
  <c r="D88" i="126"/>
  <c r="B89" i="126"/>
  <c r="D89" i="126"/>
  <c r="B90" i="126"/>
  <c r="D90" i="126"/>
  <c r="B84" i="126"/>
  <c r="D84" i="126"/>
  <c r="B85" i="126"/>
  <c r="D85" i="126"/>
  <c r="B86" i="126"/>
  <c r="D86" i="126"/>
  <c r="B79" i="126"/>
  <c r="D79" i="126"/>
  <c r="B80" i="126"/>
  <c r="D80" i="126"/>
  <c r="B81" i="126"/>
  <c r="D81" i="126"/>
  <c r="B88" i="99"/>
  <c r="D88" i="99"/>
  <c r="B89" i="99"/>
  <c r="D89" i="99"/>
  <c r="B90" i="99"/>
  <c r="D90" i="99"/>
  <c r="B84" i="99"/>
  <c r="D84" i="99"/>
  <c r="B85" i="99"/>
  <c r="D85" i="99"/>
  <c r="B86" i="99"/>
  <c r="D86" i="99"/>
  <c r="B79" i="99"/>
  <c r="D79" i="99"/>
  <c r="B80" i="99"/>
  <c r="D80" i="99"/>
  <c r="B81" i="99"/>
  <c r="D81" i="99"/>
  <c r="B88" i="124"/>
  <c r="D88" i="124"/>
  <c r="B89" i="124"/>
  <c r="D89" i="124"/>
  <c r="B90" i="124"/>
  <c r="D90" i="124"/>
  <c r="B84" i="124"/>
  <c r="D84" i="124"/>
  <c r="B85" i="124"/>
  <c r="D85" i="124"/>
  <c r="B86" i="124"/>
  <c r="D86" i="124"/>
  <c r="B79" i="124"/>
  <c r="D79" i="124"/>
  <c r="B80" i="124"/>
  <c r="D80" i="124"/>
  <c r="B81" i="124"/>
  <c r="D81" i="124"/>
  <c r="B93" i="123"/>
  <c r="D93" i="123"/>
  <c r="B94" i="123"/>
  <c r="D94" i="123"/>
  <c r="B95" i="123"/>
  <c r="D95" i="123"/>
  <c r="B89" i="123"/>
  <c r="D89" i="123"/>
  <c r="B90" i="123"/>
  <c r="D90" i="123"/>
  <c r="B91" i="123"/>
  <c r="D91" i="123"/>
  <c r="B84" i="123"/>
  <c r="D84" i="123"/>
  <c r="B85" i="123"/>
  <c r="D85" i="123"/>
  <c r="B86" i="123"/>
  <c r="D86" i="123"/>
  <c r="B82" i="100"/>
  <c r="D82" i="100"/>
  <c r="B83" i="100"/>
  <c r="D83" i="100"/>
  <c r="B84" i="100"/>
  <c r="D84" i="100"/>
  <c r="B78" i="100"/>
  <c r="D78" i="100"/>
  <c r="B79" i="100"/>
  <c r="D79" i="100"/>
  <c r="B80" i="100"/>
  <c r="D80" i="100"/>
  <c r="B73" i="100"/>
  <c r="D73" i="100"/>
  <c r="B74" i="100"/>
  <c r="D74" i="100"/>
  <c r="B75" i="100"/>
  <c r="D75" i="100"/>
  <c r="B73" i="121"/>
  <c r="D73" i="121"/>
  <c r="B74" i="121"/>
  <c r="D74" i="121"/>
  <c r="B75" i="121"/>
  <c r="D75" i="121"/>
  <c r="B69" i="121"/>
  <c r="D69" i="121"/>
  <c r="B70" i="121"/>
  <c r="D70" i="121"/>
  <c r="B71" i="121"/>
  <c r="D71" i="121"/>
  <c r="B83" i="122"/>
  <c r="D83" i="122"/>
  <c r="B84" i="122"/>
  <c r="D84" i="122"/>
  <c r="B85" i="122"/>
  <c r="D85" i="122"/>
  <c r="B79" i="122"/>
  <c r="D79" i="122"/>
  <c r="B80" i="122"/>
  <c r="D80" i="122"/>
  <c r="B81" i="122"/>
  <c r="D81" i="122"/>
  <c r="B50" i="125"/>
  <c r="D50" i="125"/>
  <c r="B51" i="125"/>
  <c r="D51" i="125"/>
  <c r="B52" i="125"/>
  <c r="D52" i="125"/>
  <c r="B50" i="97"/>
  <c r="D50" i="97"/>
  <c r="B51" i="97"/>
  <c r="D51" i="97"/>
  <c r="B52" i="97"/>
  <c r="D52" i="97"/>
  <c r="E516" i="112"/>
  <c r="I516" i="112"/>
  <c r="M516" i="112"/>
  <c r="C516" i="112"/>
  <c r="I503" i="112"/>
  <c r="H503" i="112"/>
  <c r="E503" i="112"/>
  <c r="C503" i="112"/>
  <c r="AF195" i="112"/>
  <c r="AE195" i="112"/>
  <c r="AD195" i="112"/>
  <c r="E195" i="112" s="1"/>
  <c r="Z195" i="112"/>
  <c r="C195" i="112"/>
  <c r="AF700" i="112"/>
  <c r="AE700" i="112"/>
  <c r="AD700" i="112"/>
  <c r="E700" i="112" s="1"/>
  <c r="Z700" i="112"/>
  <c r="C700" i="112"/>
  <c r="AF697" i="112"/>
  <c r="AE697" i="112"/>
  <c r="AD697" i="112"/>
  <c r="E697" i="112" s="1"/>
  <c r="Z697" i="112"/>
  <c r="C697" i="112"/>
  <c r="AD694" i="112"/>
  <c r="E694" i="112" s="1"/>
  <c r="AE694" i="112"/>
  <c r="AF694" i="112"/>
  <c r="Z694" i="112"/>
  <c r="C694" i="112"/>
  <c r="E502" i="112"/>
  <c r="I502" i="112"/>
  <c r="H502" i="112"/>
  <c r="C502" i="112"/>
  <c r="E501" i="112"/>
  <c r="I501" i="112"/>
  <c r="M501" i="112"/>
  <c r="C501" i="112"/>
  <c r="E500" i="112"/>
  <c r="I500" i="112"/>
  <c r="L500" i="112"/>
  <c r="C500" i="112"/>
  <c r="E515" i="112"/>
  <c r="I515" i="112"/>
  <c r="M515" i="112"/>
  <c r="C515" i="112"/>
  <c r="E514" i="112"/>
  <c r="I514" i="112"/>
  <c r="H514" i="112"/>
  <c r="C514" i="112"/>
  <c r="E513" i="112"/>
  <c r="I513" i="112"/>
  <c r="M513" i="112"/>
  <c r="C513" i="112"/>
  <c r="AD683" i="112"/>
  <c r="E683" i="112" s="1"/>
  <c r="AE683" i="112"/>
  <c r="AF683" i="112"/>
  <c r="Z683" i="112"/>
  <c r="C683" i="112"/>
  <c r="AF13" i="112"/>
  <c r="AE13" i="112"/>
  <c r="AD13" i="112"/>
  <c r="E13" i="112" s="1"/>
  <c r="Z13" i="112"/>
  <c r="C13" i="112"/>
  <c r="G245" i="120"/>
  <c r="F245" i="120"/>
  <c r="E245" i="120"/>
  <c r="G244" i="120"/>
  <c r="F244" i="120"/>
  <c r="E495" i="112"/>
  <c r="I495" i="112"/>
  <c r="M495" i="112"/>
  <c r="C495" i="112"/>
  <c r="G151" i="180"/>
  <c r="H151" i="180"/>
  <c r="E509" i="112"/>
  <c r="I509" i="112"/>
  <c r="L509" i="112"/>
  <c r="C509" i="112"/>
  <c r="E510" i="112"/>
  <c r="I510" i="112"/>
  <c r="M510" i="112"/>
  <c r="C510" i="112"/>
  <c r="E491" i="112"/>
  <c r="I491" i="112"/>
  <c r="L491" i="112"/>
  <c r="C491" i="112"/>
  <c r="E519" i="112"/>
  <c r="I519" i="112"/>
  <c r="M519" i="112"/>
  <c r="C519" i="112"/>
  <c r="E518" i="112"/>
  <c r="I518" i="112"/>
  <c r="L518" i="112"/>
  <c r="C518" i="112"/>
  <c r="E517" i="112"/>
  <c r="I517" i="112"/>
  <c r="M517" i="112"/>
  <c r="C517" i="112"/>
  <c r="E512" i="112"/>
  <c r="I512" i="112"/>
  <c r="H512" i="112"/>
  <c r="C512" i="112"/>
  <c r="E511" i="112"/>
  <c r="I511" i="112"/>
  <c r="M511" i="112"/>
  <c r="C511" i="112"/>
  <c r="E508" i="112"/>
  <c r="I508" i="112"/>
  <c r="L508" i="112"/>
  <c r="C508" i="112"/>
  <c r="E507" i="112"/>
  <c r="I507" i="112"/>
  <c r="M507" i="112"/>
  <c r="C507" i="112"/>
  <c r="E506" i="112"/>
  <c r="I506" i="112"/>
  <c r="H506" i="112"/>
  <c r="C506" i="112"/>
  <c r="E505" i="112"/>
  <c r="I505" i="112"/>
  <c r="L505" i="112"/>
  <c r="C505" i="112"/>
  <c r="E504" i="112"/>
  <c r="I504" i="112"/>
  <c r="H504" i="112"/>
  <c r="C504" i="112"/>
  <c r="E499" i="112"/>
  <c r="I499" i="112"/>
  <c r="M499" i="112"/>
  <c r="C499" i="112"/>
  <c r="E498" i="112"/>
  <c r="I498" i="112"/>
  <c r="M498" i="112"/>
  <c r="C498" i="112"/>
  <c r="E497" i="112"/>
  <c r="I497" i="112"/>
  <c r="H497" i="112"/>
  <c r="C497" i="112"/>
  <c r="E494" i="112"/>
  <c r="I494" i="112"/>
  <c r="M494" i="112"/>
  <c r="C494" i="112"/>
  <c r="E493" i="112"/>
  <c r="I493" i="112"/>
  <c r="H493" i="112"/>
  <c r="C493" i="112"/>
  <c r="E492" i="112"/>
  <c r="I492" i="112"/>
  <c r="M492" i="112"/>
  <c r="C492" i="112"/>
  <c r="H516" i="112" l="1"/>
  <c r="L516" i="112"/>
  <c r="N516" i="112" s="1"/>
  <c r="L503" i="112"/>
  <c r="M503" i="112"/>
  <c r="N503" i="112" s="1"/>
  <c r="F503" i="112" s="1"/>
  <c r="D503" i="112" s="1"/>
  <c r="G151" i="200" s="1"/>
  <c r="L502" i="112"/>
  <c r="M502" i="112"/>
  <c r="H501" i="112"/>
  <c r="H500" i="112"/>
  <c r="H515" i="112"/>
  <c r="L501" i="112"/>
  <c r="N501" i="112" s="1"/>
  <c r="M500" i="112"/>
  <c r="N500" i="112" s="1"/>
  <c r="L495" i="112"/>
  <c r="N495" i="112" s="1"/>
  <c r="L514" i="112"/>
  <c r="M514" i="112"/>
  <c r="L515" i="112"/>
  <c r="N515" i="112" s="1"/>
  <c r="L513" i="112"/>
  <c r="N513" i="112" s="1"/>
  <c r="H513" i="112"/>
  <c r="H495" i="112"/>
  <c r="M493" i="112"/>
  <c r="L504" i="112"/>
  <c r="M504" i="112"/>
  <c r="L506" i="112"/>
  <c r="M518" i="112"/>
  <c r="N518" i="112" s="1"/>
  <c r="H507" i="112"/>
  <c r="H510" i="112"/>
  <c r="M509" i="112"/>
  <c r="N509" i="112" s="1"/>
  <c r="M506" i="112"/>
  <c r="M512" i="112"/>
  <c r="H509" i="112"/>
  <c r="M491" i="112"/>
  <c r="N491" i="112" s="1"/>
  <c r="L493" i="112"/>
  <c r="L512" i="112"/>
  <c r="L510" i="112"/>
  <c r="N510" i="112" s="1"/>
  <c r="M505" i="112"/>
  <c r="N505" i="112" s="1"/>
  <c r="H511" i="112"/>
  <c r="L497" i="112"/>
  <c r="M497" i="112"/>
  <c r="L511" i="112"/>
  <c r="N511" i="112" s="1"/>
  <c r="H519" i="112"/>
  <c r="M508" i="112"/>
  <c r="N508" i="112" s="1"/>
  <c r="L519" i="112"/>
  <c r="N519" i="112" s="1"/>
  <c r="H518" i="112"/>
  <c r="H492" i="112"/>
  <c r="L492" i="112"/>
  <c r="N492" i="112" s="1"/>
  <c r="H499" i="112"/>
  <c r="L499" i="112"/>
  <c r="N499" i="112" s="1"/>
  <c r="H498" i="112"/>
  <c r="L498" i="112"/>
  <c r="N498" i="112" s="1"/>
  <c r="L507" i="112"/>
  <c r="N507" i="112" s="1"/>
  <c r="H494" i="112"/>
  <c r="H517" i="112"/>
  <c r="L517" i="112"/>
  <c r="N517" i="112" s="1"/>
  <c r="H505" i="112"/>
  <c r="L494" i="112"/>
  <c r="N494" i="112" s="1"/>
  <c r="F516" i="112" l="1"/>
  <c r="D516" i="112" s="1"/>
  <c r="W725" i="112" s="1"/>
  <c r="N502" i="112"/>
  <c r="F502" i="112" s="1"/>
  <c r="D502" i="112" s="1"/>
  <c r="G58" i="199" s="1"/>
  <c r="F513" i="112"/>
  <c r="D513" i="112" s="1"/>
  <c r="G62" i="194" s="1"/>
  <c r="G147" i="200"/>
  <c r="F515" i="112"/>
  <c r="D515" i="112" s="1"/>
  <c r="F500" i="112"/>
  <c r="D500" i="112" s="1"/>
  <c r="G66" i="194" s="1"/>
  <c r="F501" i="112"/>
  <c r="D501" i="112" s="1"/>
  <c r="F495" i="112"/>
  <c r="D495" i="112" s="1"/>
  <c r="G143" i="180" s="1"/>
  <c r="F517" i="112"/>
  <c r="D517" i="112" s="1"/>
  <c r="G186" i="190" s="1"/>
  <c r="N504" i="112"/>
  <c r="F504" i="112" s="1"/>
  <c r="D504" i="112" s="1"/>
  <c r="G100" i="189" s="1"/>
  <c r="N514" i="112"/>
  <c r="F514" i="112" s="1"/>
  <c r="D514" i="112" s="1"/>
  <c r="F507" i="112"/>
  <c r="D507" i="112" s="1"/>
  <c r="N506" i="112"/>
  <c r="F506" i="112" s="1"/>
  <c r="D506" i="112" s="1"/>
  <c r="F519" i="112"/>
  <c r="D519" i="112" s="1"/>
  <c r="F492" i="112"/>
  <c r="D492" i="112" s="1"/>
  <c r="N493" i="112"/>
  <c r="F493" i="112" s="1"/>
  <c r="D493" i="112" s="1"/>
  <c r="F510" i="112"/>
  <c r="D510" i="112" s="1"/>
  <c r="F509" i="112"/>
  <c r="D509" i="112" s="1"/>
  <c r="F499" i="112"/>
  <c r="D499" i="112" s="1"/>
  <c r="G190" i="190" s="1"/>
  <c r="N512" i="112"/>
  <c r="F512" i="112" s="1"/>
  <c r="D512" i="112" s="1"/>
  <c r="F511" i="112"/>
  <c r="D511" i="112" s="1"/>
  <c r="N497" i="112"/>
  <c r="F497" i="112" s="1"/>
  <c r="D497" i="112" s="1"/>
  <c r="F494" i="112"/>
  <c r="D494" i="112" s="1"/>
  <c r="F498" i="112"/>
  <c r="D498" i="112" s="1"/>
  <c r="F505" i="112"/>
  <c r="D505" i="112" s="1"/>
  <c r="F518" i="112"/>
  <c r="D518" i="112" s="1"/>
  <c r="G96" i="189" s="1"/>
  <c r="G71" i="196" l="1"/>
  <c r="H71" i="196"/>
  <c r="I71" i="196"/>
  <c r="I67" i="192"/>
  <c r="G67" i="192"/>
  <c r="H67" i="192"/>
  <c r="I63" i="192"/>
  <c r="G63" i="192"/>
  <c r="H63" i="192"/>
  <c r="W13" i="112"/>
  <c r="G75" i="196"/>
  <c r="I75" i="196"/>
  <c r="H75" i="196"/>
  <c r="W195" i="112" a="1"/>
  <c r="W195" i="112" s="1"/>
  <c r="H75" i="198"/>
  <c r="W700" i="112"/>
  <c r="G75" i="198"/>
  <c r="W694" i="112"/>
  <c r="G54" i="199"/>
  <c r="H79" i="198"/>
  <c r="G79" i="198"/>
  <c r="W281" i="112"/>
  <c r="W697" i="112"/>
  <c r="W297" i="112"/>
  <c r="H139" i="180"/>
  <c r="G139" i="180"/>
  <c r="W683" i="112"/>
  <c r="AE249" i="187"/>
  <c r="AR249" i="187"/>
  <c r="O249" i="187"/>
  <c r="AA249" i="187"/>
  <c r="AN249" i="187"/>
  <c r="K249" i="187"/>
  <c r="W249" i="187"/>
  <c r="AJ249" i="187"/>
  <c r="S249" i="187"/>
  <c r="G249" i="187"/>
  <c r="G467" i="122" l="1"/>
  <c r="G469" i="122"/>
  <c r="G471" i="122"/>
  <c r="G473" i="122"/>
  <c r="G474" i="122"/>
  <c r="G475" i="122"/>
  <c r="Q80" i="144" l="1"/>
  <c r="N461" i="151"/>
  <c r="M461" i="151"/>
  <c r="E461" i="151"/>
  <c r="CH10" i="132" l="1"/>
  <c r="CH9" i="132"/>
  <c r="CF10" i="132"/>
  <c r="CF9" i="132"/>
  <c r="CH8" i="132"/>
  <c r="CH7" i="132"/>
  <c r="CF8" i="132"/>
  <c r="CF7" i="132"/>
  <c r="H43" i="192" l="1"/>
  <c r="I43" i="192"/>
  <c r="G43" i="192"/>
  <c r="D87" i="127"/>
  <c r="B87" i="127"/>
  <c r="D87" i="126"/>
  <c r="B87" i="126"/>
  <c r="D87" i="99"/>
  <c r="B87" i="99"/>
  <c r="D87" i="124"/>
  <c r="B87" i="124"/>
  <c r="D92" i="123"/>
  <c r="B92" i="123"/>
  <c r="D81" i="100"/>
  <c r="B81" i="100"/>
  <c r="B104" i="152"/>
  <c r="D104" i="152"/>
  <c r="D100" i="152"/>
  <c r="B100" i="152"/>
  <c r="D96" i="152"/>
  <c r="B96" i="152"/>
  <c r="B76" i="151"/>
  <c r="D81" i="151"/>
  <c r="B81" i="151"/>
  <c r="D82" i="107"/>
  <c r="B82" i="107"/>
  <c r="D83" i="127"/>
  <c r="B83" i="127"/>
  <c r="D83" i="126"/>
  <c r="B83" i="126"/>
  <c r="D83" i="99"/>
  <c r="B83" i="99"/>
  <c r="D83" i="124"/>
  <c r="B83" i="124"/>
  <c r="D88" i="123"/>
  <c r="B88" i="123"/>
  <c r="D77" i="100"/>
  <c r="B77" i="100"/>
  <c r="D74" i="98"/>
  <c r="B74" i="98"/>
  <c r="B82" i="122"/>
  <c r="D82" i="122"/>
  <c r="D72" i="121"/>
  <c r="B72" i="121"/>
  <c r="D68" i="121"/>
  <c r="B68" i="121"/>
  <c r="B67" i="121"/>
  <c r="D78" i="122"/>
  <c r="B78" i="122"/>
  <c r="B70" i="98"/>
  <c r="D70" i="98"/>
  <c r="B48" i="125"/>
  <c r="B49" i="125"/>
  <c r="D49" i="125"/>
  <c r="B48" i="97"/>
  <c r="B49" i="97"/>
  <c r="D49" i="97"/>
  <c r="Z474" i="112"/>
  <c r="AD474" i="112"/>
  <c r="E474" i="112" s="1"/>
  <c r="AE474" i="112"/>
  <c r="AF474" i="112"/>
  <c r="C474" i="112"/>
  <c r="Z473" i="112"/>
  <c r="AD473" i="112"/>
  <c r="E473" i="112" s="1"/>
  <c r="AE473" i="112"/>
  <c r="AF473" i="112"/>
  <c r="C473" i="112"/>
  <c r="Z468" i="112"/>
  <c r="AD468" i="112"/>
  <c r="E468" i="112" s="1"/>
  <c r="AE468" i="112"/>
  <c r="AF468" i="112"/>
  <c r="C468" i="112"/>
  <c r="Z467" i="112"/>
  <c r="AD467" i="112"/>
  <c r="E467" i="112" s="1"/>
  <c r="AE467" i="112"/>
  <c r="AF467" i="112"/>
  <c r="C467" i="112"/>
  <c r="Z466" i="112"/>
  <c r="AD466" i="112"/>
  <c r="E466" i="112" s="1"/>
  <c r="AE466" i="112"/>
  <c r="AF466" i="112"/>
  <c r="C466" i="112"/>
  <c r="Z465" i="112"/>
  <c r="AD465" i="112"/>
  <c r="E465" i="112" s="1"/>
  <c r="AE465" i="112"/>
  <c r="AF465" i="112"/>
  <c r="C465" i="112"/>
  <c r="Z464" i="112"/>
  <c r="AD464" i="112"/>
  <c r="E464" i="112" s="1"/>
  <c r="AE464" i="112"/>
  <c r="AF464" i="112"/>
  <c r="C464" i="112"/>
  <c r="Z463" i="112"/>
  <c r="AD463" i="112"/>
  <c r="E463" i="112" s="1"/>
  <c r="AE463" i="112"/>
  <c r="AF463" i="112"/>
  <c r="C463" i="112"/>
  <c r="A59" i="207"/>
  <c r="A58" i="207"/>
  <c r="A57" i="207"/>
  <c r="A56" i="207"/>
  <c r="A50" i="207"/>
  <c r="A51" i="207"/>
  <c r="A52" i="207"/>
  <c r="A53" i="207"/>
  <c r="A54" i="207"/>
  <c r="A55" i="207"/>
  <c r="A49" i="207"/>
  <c r="N757" i="112"/>
  <c r="AF757" i="112"/>
  <c r="AE757" i="112"/>
  <c r="AD757" i="112"/>
  <c r="Z757" i="112"/>
  <c r="C757" i="112"/>
  <c r="AF472" i="112"/>
  <c r="AE472" i="112"/>
  <c r="AD472" i="112"/>
  <c r="E472" i="112" s="1"/>
  <c r="Z472" i="112"/>
  <c r="C472" i="112"/>
  <c r="AF471" i="112"/>
  <c r="AE471" i="112"/>
  <c r="AD471" i="112"/>
  <c r="E471" i="112" s="1"/>
  <c r="Z471" i="112"/>
  <c r="C471" i="112"/>
  <c r="AF470" i="112"/>
  <c r="AE470" i="112"/>
  <c r="AD470" i="112"/>
  <c r="E470" i="112" s="1"/>
  <c r="Z470" i="112"/>
  <c r="C470" i="112"/>
  <c r="AF469" i="112"/>
  <c r="AE469" i="112"/>
  <c r="AD469" i="112"/>
  <c r="E469" i="112" s="1"/>
  <c r="Z469" i="112"/>
  <c r="C469" i="112"/>
  <c r="AF462" i="112"/>
  <c r="AE462" i="112"/>
  <c r="AD462" i="112"/>
  <c r="E462" i="112" s="1"/>
  <c r="Z462" i="112"/>
  <c r="C462" i="112"/>
  <c r="AF461" i="112"/>
  <c r="AE461" i="112"/>
  <c r="AD461" i="112"/>
  <c r="E461" i="112" s="1"/>
  <c r="Z461" i="112"/>
  <c r="C461" i="112"/>
  <c r="AF624" i="112" l="1"/>
  <c r="AE624" i="112"/>
  <c r="AD624" i="112"/>
  <c r="Z624" i="112"/>
  <c r="AF623" i="112"/>
  <c r="AE623" i="112"/>
  <c r="AD623" i="112"/>
  <c r="Z623" i="112"/>
  <c r="AF622" i="112"/>
  <c r="AE622" i="112"/>
  <c r="AD622" i="112"/>
  <c r="Z622" i="112"/>
  <c r="AF621" i="112"/>
  <c r="AE621" i="112"/>
  <c r="AD621" i="112"/>
  <c r="Z621" i="112"/>
  <c r="AF620" i="112"/>
  <c r="AE620" i="112"/>
  <c r="AD620" i="112"/>
  <c r="Z620" i="112"/>
  <c r="AF619" i="112"/>
  <c r="AE619" i="112"/>
  <c r="AD619" i="112"/>
  <c r="Z619" i="112"/>
  <c r="AF618" i="112"/>
  <c r="AE618" i="112"/>
  <c r="AD618" i="112"/>
  <c r="Z618" i="112"/>
  <c r="AF617" i="112"/>
  <c r="AE617" i="112"/>
  <c r="AD617" i="112"/>
  <c r="Z617" i="112"/>
  <c r="AF616" i="112"/>
  <c r="AE616" i="112"/>
  <c r="AD616" i="112"/>
  <c r="Z616" i="112"/>
  <c r="AF615" i="112"/>
  <c r="AE615" i="112"/>
  <c r="AD615" i="112"/>
  <c r="Z615" i="112"/>
  <c r="AF614" i="112"/>
  <c r="AE614" i="112"/>
  <c r="AD614" i="112"/>
  <c r="Z614" i="112"/>
  <c r="AF613" i="112"/>
  <c r="AE613" i="112"/>
  <c r="AD613" i="112"/>
  <c r="Z613" i="112"/>
  <c r="AF612" i="112"/>
  <c r="AE612" i="112"/>
  <c r="AD612" i="112"/>
  <c r="Z612" i="112"/>
  <c r="AF611" i="112"/>
  <c r="AE611" i="112"/>
  <c r="AD611" i="112"/>
  <c r="Z611" i="112"/>
  <c r="AF610" i="112"/>
  <c r="AE610" i="112"/>
  <c r="AD610" i="112"/>
  <c r="Z610" i="112"/>
  <c r="AF609" i="112"/>
  <c r="AE609" i="112"/>
  <c r="AD609" i="112"/>
  <c r="Z609" i="112"/>
  <c r="AF608" i="112"/>
  <c r="AE608" i="112"/>
  <c r="AD608" i="112"/>
  <c r="Z608" i="112"/>
  <c r="AF607" i="112"/>
  <c r="AE607" i="112"/>
  <c r="AD607" i="112"/>
  <c r="Z607" i="112"/>
  <c r="AF606" i="112"/>
  <c r="AE606" i="112"/>
  <c r="AD606" i="112"/>
  <c r="Z606" i="112"/>
  <c r="AF605" i="112"/>
  <c r="AE605" i="112"/>
  <c r="AD605" i="112"/>
  <c r="Z605" i="112"/>
  <c r="AF604" i="112"/>
  <c r="AE604" i="112"/>
  <c r="AD604" i="112"/>
  <c r="Z604" i="112"/>
  <c r="AF603" i="112"/>
  <c r="AE603" i="112"/>
  <c r="AD603" i="112"/>
  <c r="Z603" i="112"/>
  <c r="AF538" i="112"/>
  <c r="AE538" i="112"/>
  <c r="AD538" i="112"/>
  <c r="Z538" i="112"/>
  <c r="AF537" i="112"/>
  <c r="AE537" i="112"/>
  <c r="AD537" i="112"/>
  <c r="Z537" i="112"/>
  <c r="AF536" i="112"/>
  <c r="AE536" i="112"/>
  <c r="AD536" i="112"/>
  <c r="Z536" i="112"/>
  <c r="AF456" i="112"/>
  <c r="AE456" i="112"/>
  <c r="AD456" i="112"/>
  <c r="Z456" i="112"/>
  <c r="AF455" i="112"/>
  <c r="AE455" i="112"/>
  <c r="AD455" i="112"/>
  <c r="Z455" i="112"/>
  <c r="AF225" i="112"/>
  <c r="AE225" i="112"/>
  <c r="AD225" i="112"/>
  <c r="Z225" i="112"/>
  <c r="AF224" i="112"/>
  <c r="AE224" i="112"/>
  <c r="AD224" i="112"/>
  <c r="Z224" i="112"/>
  <c r="AF147" i="112"/>
  <c r="AE147" i="112"/>
  <c r="AD147" i="112"/>
  <c r="Z147" i="112"/>
  <c r="AF146" i="112"/>
  <c r="AE146" i="112"/>
  <c r="AD146" i="112"/>
  <c r="Z146" i="112"/>
  <c r="AF145" i="112"/>
  <c r="AE145" i="112"/>
  <c r="AD145" i="112"/>
  <c r="Z145" i="112"/>
  <c r="AF18" i="112"/>
  <c r="AE18" i="112"/>
  <c r="AD18" i="112"/>
  <c r="Z18" i="112"/>
  <c r="AF17" i="112"/>
  <c r="AE17" i="112"/>
  <c r="AD17" i="112"/>
  <c r="Z17" i="112"/>
  <c r="AF14" i="112"/>
  <c r="AE14" i="112"/>
  <c r="AD14" i="112"/>
  <c r="Z14" i="112"/>
  <c r="AF12" i="112"/>
  <c r="AE12" i="112"/>
  <c r="AD12" i="112"/>
  <c r="Z12" i="112"/>
  <c r="AF11" i="112"/>
  <c r="AE11" i="112"/>
  <c r="AD11" i="112"/>
  <c r="Z11" i="112"/>
  <c r="C224" i="112" l="1"/>
  <c r="E224" i="112"/>
  <c r="C17" i="112"/>
  <c r="E17" i="112"/>
  <c r="C14" i="112"/>
  <c r="E14" i="112"/>
  <c r="C11" i="112"/>
  <c r="E11" i="112"/>
  <c r="C18" i="112"/>
  <c r="E18" i="112"/>
  <c r="C12" i="112"/>
  <c r="E12" i="112"/>
  <c r="C455" i="112" l="1"/>
  <c r="C456" i="112"/>
  <c r="E456" i="112"/>
  <c r="N456" i="112"/>
  <c r="E455" i="112"/>
  <c r="N455" i="112"/>
  <c r="R57" i="151" l="1"/>
  <c r="R58" i="151"/>
  <c r="R59" i="151"/>
  <c r="R60" i="151"/>
  <c r="R61" i="151"/>
  <c r="R62" i="151"/>
  <c r="R63" i="151"/>
  <c r="U58" i="151"/>
  <c r="U59" i="151"/>
  <c r="U60" i="151"/>
  <c r="U61" i="151"/>
  <c r="U62" i="151"/>
  <c r="U63" i="151"/>
  <c r="E612" i="152"/>
  <c r="M612" i="152"/>
  <c r="N612" i="152"/>
  <c r="E773" i="152"/>
  <c r="M773" i="152"/>
  <c r="N773" i="152"/>
  <c r="C760" i="152"/>
  <c r="D760" i="152"/>
  <c r="D741" i="152"/>
  <c r="G741" i="152"/>
  <c r="I741" i="152"/>
  <c r="K741" i="152"/>
  <c r="C603" i="152"/>
  <c r="D603" i="152"/>
  <c r="D588" i="152"/>
  <c r="G588" i="152"/>
  <c r="I588" i="152"/>
  <c r="K588" i="152"/>
  <c r="C536" i="112"/>
  <c r="C537" i="112"/>
  <c r="C538" i="112"/>
  <c r="C145" i="112"/>
  <c r="C146" i="112"/>
  <c r="C147" i="112"/>
  <c r="E147" i="112"/>
  <c r="E146" i="112"/>
  <c r="E145" i="112"/>
  <c r="E538" i="112"/>
  <c r="E537" i="112"/>
  <c r="E536" i="112"/>
  <c r="C603" i="112"/>
  <c r="C604" i="112"/>
  <c r="C605" i="112"/>
  <c r="C606" i="112"/>
  <c r="C607" i="112"/>
  <c r="C608" i="112"/>
  <c r="C609" i="112"/>
  <c r="C610" i="112"/>
  <c r="C611" i="112"/>
  <c r="C612" i="112"/>
  <c r="C613" i="112"/>
  <c r="C614" i="112"/>
  <c r="C615" i="112"/>
  <c r="C616" i="112"/>
  <c r="C617" i="112"/>
  <c r="C618" i="112"/>
  <c r="C619" i="112"/>
  <c r="C620" i="112"/>
  <c r="C621" i="112"/>
  <c r="C622" i="112"/>
  <c r="C623" i="112"/>
  <c r="C624" i="112"/>
  <c r="E624" i="112"/>
  <c r="Y624" i="112"/>
  <c r="X624" i="112"/>
  <c r="E623" i="112"/>
  <c r="Y623" i="112"/>
  <c r="X623" i="112"/>
  <c r="E622" i="112"/>
  <c r="Y622" i="112"/>
  <c r="X622" i="112"/>
  <c r="E621" i="112"/>
  <c r="Y621" i="112"/>
  <c r="X621" i="112"/>
  <c r="E620" i="112"/>
  <c r="Y620" i="112"/>
  <c r="X620" i="112"/>
  <c r="E619" i="112"/>
  <c r="Y619" i="112"/>
  <c r="X619" i="112"/>
  <c r="E618" i="112"/>
  <c r="Y618" i="112"/>
  <c r="X618" i="112"/>
  <c r="E617" i="112"/>
  <c r="Y617" i="112"/>
  <c r="X617" i="112"/>
  <c r="E616" i="112"/>
  <c r="Y616" i="112"/>
  <c r="X616" i="112"/>
  <c r="E615" i="112"/>
  <c r="Y615" i="112"/>
  <c r="X615" i="112"/>
  <c r="E614" i="112"/>
  <c r="Y614" i="112"/>
  <c r="X614" i="112"/>
  <c r="E613" i="112"/>
  <c r="Y613" i="112"/>
  <c r="X613" i="112"/>
  <c r="E612" i="112"/>
  <c r="Y612" i="112"/>
  <c r="X612" i="112"/>
  <c r="E611" i="112"/>
  <c r="Y611" i="112"/>
  <c r="X611" i="112"/>
  <c r="E610" i="112"/>
  <c r="Y610" i="112"/>
  <c r="X610" i="112"/>
  <c r="E609" i="112"/>
  <c r="Y609" i="112"/>
  <c r="X609" i="112"/>
  <c r="E608" i="112"/>
  <c r="Y608" i="112"/>
  <c r="X608" i="112"/>
  <c r="E607" i="112"/>
  <c r="Y607" i="112"/>
  <c r="X607" i="112"/>
  <c r="E606" i="112"/>
  <c r="Y606" i="112"/>
  <c r="X606" i="112"/>
  <c r="E605" i="112"/>
  <c r="Y605" i="112"/>
  <c r="X605" i="112"/>
  <c r="E604" i="112"/>
  <c r="E603" i="112"/>
  <c r="Y603" i="112"/>
  <c r="X603" i="112"/>
  <c r="I15" i="196"/>
  <c r="H15" i="196"/>
  <c r="G15" i="196"/>
  <c r="C225" i="112"/>
  <c r="E225" i="112"/>
  <c r="R39" i="107" l="1"/>
  <c r="U39" i="107"/>
  <c r="R40" i="107"/>
  <c r="U40" i="107"/>
  <c r="R41" i="107"/>
  <c r="U41" i="107"/>
  <c r="R42" i="107"/>
  <c r="U42" i="107"/>
  <c r="R43" i="107"/>
  <c r="U43" i="107"/>
  <c r="R44" i="107"/>
  <c r="U44" i="107"/>
  <c r="R45" i="107"/>
  <c r="U45" i="107"/>
  <c r="R46" i="107"/>
  <c r="U46" i="107"/>
  <c r="R47" i="107"/>
  <c r="U47" i="107"/>
  <c r="R48" i="107"/>
  <c r="U48" i="107"/>
  <c r="R50" i="107"/>
  <c r="U50" i="107"/>
  <c r="R51" i="107"/>
  <c r="U51" i="107"/>
  <c r="R52" i="107"/>
  <c r="U52" i="107"/>
  <c r="R53" i="107"/>
  <c r="U53" i="107"/>
  <c r="R54" i="107"/>
  <c r="U54" i="107"/>
  <c r="R55" i="107"/>
  <c r="U55" i="107"/>
  <c r="R56" i="107"/>
  <c r="U56" i="107"/>
  <c r="R58" i="107"/>
  <c r="U58" i="107"/>
  <c r="R59" i="107"/>
  <c r="U59" i="107"/>
  <c r="R60" i="107"/>
  <c r="U60" i="107"/>
  <c r="R61" i="107"/>
  <c r="U61" i="107"/>
  <c r="R62" i="107"/>
  <c r="U62" i="107"/>
  <c r="R63" i="107"/>
  <c r="U63" i="107"/>
  <c r="R65" i="107"/>
  <c r="U65" i="107"/>
  <c r="R66" i="107"/>
  <c r="U66" i="107"/>
  <c r="R67" i="107"/>
  <c r="U67" i="107"/>
  <c r="R68" i="107"/>
  <c r="U68" i="107"/>
  <c r="R69" i="107"/>
  <c r="U69" i="107"/>
  <c r="R70" i="107"/>
  <c r="U70" i="107"/>
  <c r="R71" i="107"/>
  <c r="U71" i="107"/>
  <c r="R72" i="107"/>
  <c r="U72" i="107"/>
  <c r="R73" i="107"/>
  <c r="U73" i="107"/>
  <c r="R75" i="107"/>
  <c r="U75" i="107"/>
  <c r="R79" i="107"/>
  <c r="U79" i="107"/>
  <c r="R80" i="107"/>
  <c r="U80" i="107"/>
  <c r="U82" i="107"/>
  <c r="R83" i="107"/>
  <c r="U83" i="107"/>
  <c r="R84" i="107"/>
  <c r="U84" i="107"/>
  <c r="R85" i="107"/>
  <c r="U85" i="107"/>
  <c r="R86" i="107"/>
  <c r="U86" i="107"/>
  <c r="R87" i="107"/>
  <c r="U87" i="107"/>
  <c r="R89" i="107"/>
  <c r="U89" i="107"/>
  <c r="R90" i="107"/>
  <c r="U90" i="107"/>
  <c r="N743" i="127"/>
  <c r="M743" i="127"/>
  <c r="E743" i="127"/>
  <c r="D730" i="127"/>
  <c r="C730" i="127"/>
  <c r="K711" i="127"/>
  <c r="I711" i="127"/>
  <c r="G711" i="127"/>
  <c r="D711" i="127"/>
  <c r="N600" i="127"/>
  <c r="M600" i="127"/>
  <c r="E600" i="127"/>
  <c r="D591" i="127"/>
  <c r="C591" i="127"/>
  <c r="K576" i="127"/>
  <c r="I576" i="127"/>
  <c r="G576" i="127"/>
  <c r="D576" i="127"/>
  <c r="N735" i="126"/>
  <c r="M735" i="126"/>
  <c r="E735" i="126"/>
  <c r="D722" i="126"/>
  <c r="C722" i="126"/>
  <c r="K703" i="126"/>
  <c r="I703" i="126"/>
  <c r="G703" i="126"/>
  <c r="D703" i="126"/>
  <c r="N592" i="126"/>
  <c r="M592" i="126"/>
  <c r="E592" i="126"/>
  <c r="D583" i="126"/>
  <c r="C583" i="126"/>
  <c r="K568" i="126"/>
  <c r="I568" i="126"/>
  <c r="G568" i="126"/>
  <c r="D568" i="126"/>
  <c r="D7" i="111"/>
  <c r="N745" i="99"/>
  <c r="M745" i="99"/>
  <c r="E745" i="99"/>
  <c r="D732" i="99"/>
  <c r="C732" i="99"/>
  <c r="K713" i="99"/>
  <c r="I713" i="99"/>
  <c r="G713" i="99"/>
  <c r="D713" i="99"/>
  <c r="N602" i="99"/>
  <c r="M602" i="99"/>
  <c r="E602" i="99"/>
  <c r="D593" i="99"/>
  <c r="C593" i="99"/>
  <c r="K578" i="99"/>
  <c r="I578" i="99"/>
  <c r="G578" i="99"/>
  <c r="D578" i="99"/>
  <c r="N742" i="124"/>
  <c r="M742" i="124"/>
  <c r="E742" i="124"/>
  <c r="D729" i="124"/>
  <c r="C729" i="124"/>
  <c r="K710" i="124"/>
  <c r="I710" i="124"/>
  <c r="G710" i="124"/>
  <c r="D710" i="124"/>
  <c r="N599" i="124"/>
  <c r="M599" i="124"/>
  <c r="E599" i="124"/>
  <c r="D590" i="124"/>
  <c r="C590" i="124"/>
  <c r="K575" i="124"/>
  <c r="I575" i="124"/>
  <c r="G575" i="124"/>
  <c r="D575" i="124"/>
  <c r="E390" i="124"/>
  <c r="N734" i="123"/>
  <c r="M734" i="123"/>
  <c r="E734" i="123"/>
  <c r="D721" i="123"/>
  <c r="C721" i="123"/>
  <c r="K702" i="123"/>
  <c r="I702" i="123"/>
  <c r="G702" i="123"/>
  <c r="D702" i="123"/>
  <c r="N591" i="123"/>
  <c r="M591" i="123"/>
  <c r="E591" i="123"/>
  <c r="D582" i="123"/>
  <c r="C582" i="123"/>
  <c r="K567" i="123"/>
  <c r="I567" i="123"/>
  <c r="G567" i="123"/>
  <c r="D567" i="123"/>
  <c r="E424" i="123"/>
  <c r="N743" i="100"/>
  <c r="M743" i="100"/>
  <c r="E743" i="100"/>
  <c r="D730" i="100"/>
  <c r="C730" i="100"/>
  <c r="K711" i="100"/>
  <c r="I711" i="100"/>
  <c r="G711" i="100"/>
  <c r="D711" i="100"/>
  <c r="N600" i="100"/>
  <c r="M600" i="100"/>
  <c r="E600" i="100"/>
  <c r="D591" i="100"/>
  <c r="C591" i="100"/>
  <c r="K576" i="100"/>
  <c r="I576" i="100"/>
  <c r="G576" i="100"/>
  <c r="D576" i="100"/>
  <c r="N643" i="121" l="1"/>
  <c r="M643" i="121"/>
  <c r="E643" i="121"/>
  <c r="N634" i="122"/>
  <c r="M634" i="122"/>
  <c r="E634" i="122"/>
  <c r="N644" i="98"/>
  <c r="M644" i="98"/>
  <c r="E644" i="98"/>
  <c r="D630" i="121"/>
  <c r="C630" i="121"/>
  <c r="K611" i="121"/>
  <c r="I611" i="121"/>
  <c r="G611" i="121"/>
  <c r="D611" i="121"/>
  <c r="N501" i="98"/>
  <c r="M501" i="98"/>
  <c r="E501" i="98"/>
  <c r="N491" i="122"/>
  <c r="M491" i="122"/>
  <c r="E491" i="122"/>
  <c r="N500" i="121"/>
  <c r="M500" i="121"/>
  <c r="E500" i="121"/>
  <c r="D491" i="121"/>
  <c r="C491" i="121"/>
  <c r="K476" i="121"/>
  <c r="I476" i="121"/>
  <c r="G476" i="121"/>
  <c r="D476" i="121"/>
  <c r="D621" i="122" l="1"/>
  <c r="C621" i="122"/>
  <c r="D631" i="98"/>
  <c r="C631" i="98"/>
  <c r="X4" i="152"/>
  <c r="AA4" i="152"/>
  <c r="X5" i="152"/>
  <c r="AA5" i="152"/>
  <c r="X6" i="152"/>
  <c r="AA6" i="152"/>
  <c r="X7" i="152"/>
  <c r="AA7" i="152"/>
  <c r="X8" i="152"/>
  <c r="AA8" i="152"/>
  <c r="X9" i="152"/>
  <c r="AA9" i="152"/>
  <c r="X10" i="152"/>
  <c r="AA10" i="152"/>
  <c r="X11" i="152"/>
  <c r="AA11" i="152"/>
  <c r="X12" i="152"/>
  <c r="AA12" i="152"/>
  <c r="X13" i="152"/>
  <c r="AA13" i="152"/>
  <c r="X14" i="152"/>
  <c r="AA14" i="152"/>
  <c r="X15" i="152"/>
  <c r="AA15" i="152"/>
  <c r="X16" i="152"/>
  <c r="AA16" i="152"/>
  <c r="X17" i="152"/>
  <c r="AA17" i="152"/>
  <c r="X18" i="152"/>
  <c r="AA18" i="152"/>
  <c r="X19" i="152"/>
  <c r="AA19" i="152"/>
  <c r="X20" i="152"/>
  <c r="AA20" i="152"/>
  <c r="X21" i="152"/>
  <c r="AA21" i="152"/>
  <c r="X22" i="152"/>
  <c r="AA22" i="152"/>
  <c r="X23" i="152"/>
  <c r="AA23" i="152"/>
  <c r="X24" i="152"/>
  <c r="AA24" i="152"/>
  <c r="X25" i="152"/>
  <c r="AA25" i="152"/>
  <c r="X26" i="152"/>
  <c r="AA26" i="152"/>
  <c r="X27" i="152"/>
  <c r="AA27" i="152"/>
  <c r="X28" i="152"/>
  <c r="AA28" i="152"/>
  <c r="X29" i="152"/>
  <c r="AA29" i="152"/>
  <c r="X30" i="152"/>
  <c r="AA30" i="152"/>
  <c r="X31" i="152"/>
  <c r="AA31" i="152"/>
  <c r="X32" i="152"/>
  <c r="AA32" i="152"/>
  <c r="X33" i="152"/>
  <c r="AA33" i="152"/>
  <c r="X34" i="152"/>
  <c r="AA34" i="152"/>
  <c r="X35" i="152"/>
  <c r="AA35" i="152"/>
  <c r="X36" i="152"/>
  <c r="AA36" i="152"/>
  <c r="X37" i="152"/>
  <c r="AA37" i="152"/>
  <c r="X38" i="152"/>
  <c r="AA38" i="152"/>
  <c r="X39" i="152"/>
  <c r="AA39" i="152"/>
  <c r="X40" i="152"/>
  <c r="AA40" i="152"/>
  <c r="X4" i="127"/>
  <c r="AA4" i="127"/>
  <c r="X5" i="127"/>
  <c r="AA5" i="127"/>
  <c r="X6" i="127"/>
  <c r="AA6" i="127"/>
  <c r="X7" i="127"/>
  <c r="AA7" i="127"/>
  <c r="X8" i="127"/>
  <c r="AA8" i="127"/>
  <c r="X9" i="127"/>
  <c r="AA9" i="127"/>
  <c r="X10" i="127"/>
  <c r="AA10" i="127"/>
  <c r="X11" i="127"/>
  <c r="AA11" i="127"/>
  <c r="X12" i="127"/>
  <c r="AA12" i="127"/>
  <c r="X13" i="127"/>
  <c r="AA13" i="127"/>
  <c r="X14" i="127"/>
  <c r="AA14" i="127"/>
  <c r="X15" i="127"/>
  <c r="AA15" i="127"/>
  <c r="X16" i="127"/>
  <c r="AA16" i="127"/>
  <c r="X17" i="127"/>
  <c r="AA17" i="127"/>
  <c r="X18" i="127"/>
  <c r="AA18" i="127"/>
  <c r="X19" i="127"/>
  <c r="AA19" i="127"/>
  <c r="X20" i="127"/>
  <c r="AA20" i="127"/>
  <c r="X21" i="127"/>
  <c r="AA21" i="127"/>
  <c r="X22" i="127"/>
  <c r="AA22" i="127"/>
  <c r="X23" i="127"/>
  <c r="AA23" i="127"/>
  <c r="X24" i="127"/>
  <c r="AA24" i="127"/>
  <c r="X25" i="127"/>
  <c r="AA25" i="127"/>
  <c r="X26" i="127"/>
  <c r="AA26" i="127"/>
  <c r="X27" i="127"/>
  <c r="AA27" i="127"/>
  <c r="X28" i="127"/>
  <c r="AA28" i="127"/>
  <c r="X29" i="127"/>
  <c r="AA29" i="127"/>
  <c r="X30" i="127"/>
  <c r="AA30" i="127"/>
  <c r="X31" i="127"/>
  <c r="AA31" i="127"/>
  <c r="X32" i="127"/>
  <c r="AA32" i="127"/>
  <c r="X33" i="127"/>
  <c r="AA33" i="127"/>
  <c r="X34" i="127"/>
  <c r="AA34" i="127"/>
  <c r="X35" i="127"/>
  <c r="AA35" i="127"/>
  <c r="X36" i="127"/>
  <c r="AA36" i="127"/>
  <c r="X37" i="127"/>
  <c r="AA37" i="127"/>
  <c r="X38" i="127"/>
  <c r="AA38" i="127"/>
  <c r="X39" i="127"/>
  <c r="AA39" i="127"/>
  <c r="X40" i="127"/>
  <c r="AA40" i="127"/>
  <c r="X4" i="126"/>
  <c r="AA4" i="126"/>
  <c r="X5" i="126"/>
  <c r="AA5" i="126"/>
  <c r="X6" i="126"/>
  <c r="AA6" i="126"/>
  <c r="X7" i="126"/>
  <c r="AA7" i="126"/>
  <c r="X8" i="126"/>
  <c r="AA8" i="126"/>
  <c r="X9" i="126"/>
  <c r="AA9" i="126"/>
  <c r="X10" i="126"/>
  <c r="AA10" i="126"/>
  <c r="X11" i="126"/>
  <c r="AA11" i="126"/>
  <c r="X12" i="126"/>
  <c r="AA12" i="126"/>
  <c r="X13" i="126"/>
  <c r="AA13" i="126"/>
  <c r="X14" i="126"/>
  <c r="AA14" i="126"/>
  <c r="X15" i="126"/>
  <c r="AA15" i="126"/>
  <c r="X16" i="126"/>
  <c r="AA16" i="126"/>
  <c r="X17" i="126"/>
  <c r="AA17" i="126"/>
  <c r="X18" i="126"/>
  <c r="AA18" i="126"/>
  <c r="X19" i="126"/>
  <c r="AA19" i="126"/>
  <c r="X20" i="126"/>
  <c r="AA20" i="126"/>
  <c r="X21" i="126"/>
  <c r="AA21" i="126"/>
  <c r="X22" i="126"/>
  <c r="AA22" i="126"/>
  <c r="X23" i="126"/>
  <c r="AA23" i="126"/>
  <c r="X24" i="126"/>
  <c r="AA24" i="126"/>
  <c r="X25" i="126"/>
  <c r="AA25" i="126"/>
  <c r="X26" i="126"/>
  <c r="AA26" i="126"/>
  <c r="X27" i="126"/>
  <c r="AA27" i="126"/>
  <c r="X28" i="126"/>
  <c r="AA28" i="126"/>
  <c r="X29" i="126"/>
  <c r="AA29" i="126"/>
  <c r="X30" i="126"/>
  <c r="AA30" i="126"/>
  <c r="X31" i="126"/>
  <c r="AA31" i="126"/>
  <c r="X32" i="126"/>
  <c r="AA32" i="126"/>
  <c r="X33" i="126"/>
  <c r="AA33" i="126"/>
  <c r="X34" i="126"/>
  <c r="AA34" i="126"/>
  <c r="X35" i="126"/>
  <c r="AA35" i="126"/>
  <c r="X36" i="126"/>
  <c r="AA36" i="126"/>
  <c r="X37" i="126"/>
  <c r="AA37" i="126"/>
  <c r="X38" i="126"/>
  <c r="AA38" i="126"/>
  <c r="X39" i="126"/>
  <c r="AA39" i="126"/>
  <c r="X40" i="126"/>
  <c r="AA40" i="126"/>
  <c r="X4" i="99"/>
  <c r="AA4" i="99"/>
  <c r="X5" i="99"/>
  <c r="AA5" i="99"/>
  <c r="X6" i="99"/>
  <c r="AA6" i="99"/>
  <c r="X7" i="99"/>
  <c r="AA7" i="99"/>
  <c r="X8" i="99"/>
  <c r="AA8" i="99"/>
  <c r="X9" i="99"/>
  <c r="AA9" i="99"/>
  <c r="X10" i="99"/>
  <c r="AA10" i="99"/>
  <c r="X11" i="99"/>
  <c r="AA11" i="99"/>
  <c r="X12" i="99"/>
  <c r="AA12" i="99"/>
  <c r="X13" i="99"/>
  <c r="AA13" i="99"/>
  <c r="X14" i="99"/>
  <c r="AA14" i="99"/>
  <c r="X15" i="99"/>
  <c r="AA15" i="99"/>
  <c r="X16" i="99"/>
  <c r="AA16" i="99"/>
  <c r="X17" i="99"/>
  <c r="AA17" i="99"/>
  <c r="X18" i="99"/>
  <c r="AA18" i="99"/>
  <c r="X19" i="99"/>
  <c r="AA19" i="99"/>
  <c r="X20" i="99"/>
  <c r="AA20" i="99"/>
  <c r="X21" i="99"/>
  <c r="AA21" i="99"/>
  <c r="X22" i="99"/>
  <c r="AA22" i="99"/>
  <c r="X23" i="99"/>
  <c r="AA23" i="99"/>
  <c r="X24" i="99"/>
  <c r="AA24" i="99"/>
  <c r="X25" i="99"/>
  <c r="AA25" i="99"/>
  <c r="X26" i="99"/>
  <c r="AA26" i="99"/>
  <c r="X27" i="99"/>
  <c r="AA27" i="99"/>
  <c r="X28" i="99"/>
  <c r="AA28" i="99"/>
  <c r="X29" i="99"/>
  <c r="AA29" i="99"/>
  <c r="X30" i="99"/>
  <c r="AA30" i="99"/>
  <c r="X31" i="99"/>
  <c r="AA31" i="99"/>
  <c r="X32" i="99"/>
  <c r="AA32" i="99"/>
  <c r="X33" i="99"/>
  <c r="AA33" i="99"/>
  <c r="X34" i="99"/>
  <c r="AA34" i="99"/>
  <c r="X35" i="99"/>
  <c r="AA35" i="99"/>
  <c r="X36" i="99"/>
  <c r="AA36" i="99"/>
  <c r="X37" i="99"/>
  <c r="AA37" i="99"/>
  <c r="X38" i="99"/>
  <c r="AA38" i="99"/>
  <c r="X39" i="99"/>
  <c r="AA39" i="99"/>
  <c r="X40" i="99"/>
  <c r="AA40" i="99"/>
  <c r="X4" i="124"/>
  <c r="AA4" i="124"/>
  <c r="X5" i="124"/>
  <c r="AA5" i="124"/>
  <c r="X6" i="124"/>
  <c r="AA6" i="124"/>
  <c r="X7" i="124"/>
  <c r="AA7" i="124"/>
  <c r="X8" i="124"/>
  <c r="AA8" i="124"/>
  <c r="X9" i="124"/>
  <c r="AA9" i="124"/>
  <c r="X10" i="124"/>
  <c r="AA10" i="124"/>
  <c r="X11" i="124"/>
  <c r="AA11" i="124"/>
  <c r="X12" i="124"/>
  <c r="AA12" i="124"/>
  <c r="X13" i="124"/>
  <c r="AA13" i="124"/>
  <c r="X14" i="124"/>
  <c r="AA14" i="124"/>
  <c r="X15" i="124"/>
  <c r="AA15" i="124"/>
  <c r="X16" i="124"/>
  <c r="AA16" i="124"/>
  <c r="X17" i="124"/>
  <c r="AA17" i="124"/>
  <c r="X18" i="124"/>
  <c r="AA18" i="124"/>
  <c r="X19" i="124"/>
  <c r="AA19" i="124"/>
  <c r="X20" i="124"/>
  <c r="AA20" i="124"/>
  <c r="X21" i="124"/>
  <c r="AA21" i="124"/>
  <c r="X22" i="124"/>
  <c r="AA22" i="124"/>
  <c r="X23" i="124"/>
  <c r="AA23" i="124"/>
  <c r="X24" i="124"/>
  <c r="AA24" i="124"/>
  <c r="X25" i="124"/>
  <c r="AA25" i="124"/>
  <c r="X26" i="124"/>
  <c r="AA26" i="124"/>
  <c r="X27" i="124"/>
  <c r="AA27" i="124"/>
  <c r="X28" i="124"/>
  <c r="AA28" i="124"/>
  <c r="X29" i="124"/>
  <c r="AA29" i="124"/>
  <c r="X30" i="124"/>
  <c r="AA30" i="124"/>
  <c r="X31" i="124"/>
  <c r="AA31" i="124"/>
  <c r="X32" i="124"/>
  <c r="AA32" i="124"/>
  <c r="X33" i="124"/>
  <c r="AA33" i="124"/>
  <c r="X34" i="124"/>
  <c r="AA34" i="124"/>
  <c r="X35" i="124"/>
  <c r="AA35" i="124"/>
  <c r="X36" i="124"/>
  <c r="AA36" i="124"/>
  <c r="X37" i="124"/>
  <c r="AA37" i="124"/>
  <c r="X38" i="124"/>
  <c r="AA38" i="124"/>
  <c r="X39" i="124"/>
  <c r="AA39" i="124"/>
  <c r="X40" i="124"/>
  <c r="AA40" i="124"/>
  <c r="X4" i="123"/>
  <c r="AA4" i="123"/>
  <c r="X5" i="123"/>
  <c r="AA5" i="123"/>
  <c r="X6" i="123"/>
  <c r="AA6" i="123"/>
  <c r="X7" i="123"/>
  <c r="AA7" i="123"/>
  <c r="X8" i="123"/>
  <c r="AA8" i="123"/>
  <c r="X9" i="123"/>
  <c r="AA9" i="123"/>
  <c r="X10" i="123"/>
  <c r="AA10" i="123"/>
  <c r="X11" i="123"/>
  <c r="AA11" i="123"/>
  <c r="X12" i="123"/>
  <c r="AA12" i="123"/>
  <c r="X13" i="123"/>
  <c r="AA13" i="123"/>
  <c r="X14" i="123"/>
  <c r="AA14" i="123"/>
  <c r="X15" i="123"/>
  <c r="AA15" i="123"/>
  <c r="X16" i="123"/>
  <c r="AA16" i="123"/>
  <c r="X17" i="123"/>
  <c r="AA17" i="123"/>
  <c r="X18" i="123"/>
  <c r="AA18" i="123"/>
  <c r="X19" i="123"/>
  <c r="AA19" i="123"/>
  <c r="X20" i="123"/>
  <c r="AA20" i="123"/>
  <c r="X21" i="123"/>
  <c r="AA21" i="123"/>
  <c r="X22" i="123"/>
  <c r="AA22" i="123"/>
  <c r="X23" i="123"/>
  <c r="AA23" i="123"/>
  <c r="X24" i="123"/>
  <c r="AA24" i="123"/>
  <c r="X25" i="123"/>
  <c r="AA25" i="123"/>
  <c r="X26" i="123"/>
  <c r="AA26" i="123"/>
  <c r="X27" i="123"/>
  <c r="AA27" i="123"/>
  <c r="X28" i="123"/>
  <c r="AA28" i="123"/>
  <c r="X29" i="123"/>
  <c r="AA29" i="123"/>
  <c r="X30" i="123"/>
  <c r="AA30" i="123"/>
  <c r="X31" i="123"/>
  <c r="AA31" i="123"/>
  <c r="X32" i="123"/>
  <c r="AA32" i="123"/>
  <c r="X33" i="123"/>
  <c r="AA33" i="123"/>
  <c r="X34" i="123"/>
  <c r="AA34" i="123"/>
  <c r="X35" i="123"/>
  <c r="AA35" i="123"/>
  <c r="X36" i="123"/>
  <c r="AA36" i="123"/>
  <c r="X37" i="123"/>
  <c r="AA37" i="123"/>
  <c r="X38" i="123"/>
  <c r="AA38" i="123"/>
  <c r="X39" i="123"/>
  <c r="AA39" i="123"/>
  <c r="X40" i="123"/>
  <c r="AA40" i="123"/>
  <c r="X4" i="100"/>
  <c r="AA4" i="100"/>
  <c r="X5" i="100"/>
  <c r="AA5" i="100"/>
  <c r="X6" i="100"/>
  <c r="AA6" i="100"/>
  <c r="X7" i="100"/>
  <c r="AA7" i="100"/>
  <c r="X8" i="100"/>
  <c r="AA8" i="100"/>
  <c r="X9" i="100"/>
  <c r="AA9" i="100"/>
  <c r="X10" i="100"/>
  <c r="AA10" i="100"/>
  <c r="X11" i="100"/>
  <c r="AA11" i="100"/>
  <c r="X12" i="100"/>
  <c r="AA12" i="100"/>
  <c r="X13" i="100"/>
  <c r="AA13" i="100"/>
  <c r="X14" i="100"/>
  <c r="AA14" i="100"/>
  <c r="X15" i="100"/>
  <c r="AA15" i="100"/>
  <c r="X16" i="100"/>
  <c r="AA16" i="100"/>
  <c r="X17" i="100"/>
  <c r="AA17" i="100"/>
  <c r="X18" i="100"/>
  <c r="AA18" i="100"/>
  <c r="X19" i="100"/>
  <c r="AA19" i="100"/>
  <c r="X20" i="100"/>
  <c r="AA20" i="100"/>
  <c r="X21" i="100"/>
  <c r="AA21" i="100"/>
  <c r="X22" i="100"/>
  <c r="AA22" i="100"/>
  <c r="X23" i="100"/>
  <c r="AA23" i="100"/>
  <c r="X24" i="100"/>
  <c r="AA24" i="100"/>
  <c r="X25" i="100"/>
  <c r="AA25" i="100"/>
  <c r="X26" i="100"/>
  <c r="AA26" i="100"/>
  <c r="X27" i="100"/>
  <c r="AA27" i="100"/>
  <c r="X28" i="100"/>
  <c r="AA28" i="100"/>
  <c r="X29" i="100"/>
  <c r="AA29" i="100"/>
  <c r="X30" i="100"/>
  <c r="AA30" i="100"/>
  <c r="X31" i="100"/>
  <c r="AA31" i="100"/>
  <c r="X32" i="100"/>
  <c r="AA32" i="100"/>
  <c r="X33" i="100"/>
  <c r="AA33" i="100"/>
  <c r="X34" i="100"/>
  <c r="AA34" i="100"/>
  <c r="X35" i="100"/>
  <c r="AA35" i="100"/>
  <c r="X36" i="100"/>
  <c r="AA36" i="100"/>
  <c r="X37" i="100"/>
  <c r="AA37" i="100"/>
  <c r="X38" i="100"/>
  <c r="AA38" i="100"/>
  <c r="X39" i="100"/>
  <c r="AA39" i="100"/>
  <c r="X40" i="100"/>
  <c r="AA40" i="100"/>
  <c r="X5" i="121"/>
  <c r="AA5" i="121"/>
  <c r="X6" i="121"/>
  <c r="AA6" i="121"/>
  <c r="X7" i="121"/>
  <c r="AA7" i="121"/>
  <c r="X8" i="121"/>
  <c r="AA8" i="121"/>
  <c r="X9" i="121"/>
  <c r="AA9" i="121"/>
  <c r="X10" i="121"/>
  <c r="AA10" i="121"/>
  <c r="X11" i="121"/>
  <c r="AA11" i="121"/>
  <c r="X12" i="121"/>
  <c r="AA12" i="121"/>
  <c r="X13" i="121"/>
  <c r="AA13" i="121"/>
  <c r="X14" i="121"/>
  <c r="AA14" i="121"/>
  <c r="X15" i="121"/>
  <c r="AA15" i="121"/>
  <c r="X16" i="121"/>
  <c r="AA16" i="121"/>
  <c r="X17" i="121"/>
  <c r="AA17" i="121"/>
  <c r="X18" i="121"/>
  <c r="AA18" i="121"/>
  <c r="X19" i="121"/>
  <c r="AA19" i="121"/>
  <c r="X20" i="121"/>
  <c r="AA20" i="121"/>
  <c r="X21" i="121"/>
  <c r="AA21" i="121"/>
  <c r="X22" i="121"/>
  <c r="AA22" i="121"/>
  <c r="X23" i="121"/>
  <c r="AA23" i="121"/>
  <c r="X24" i="121"/>
  <c r="AA24" i="121"/>
  <c r="X25" i="121"/>
  <c r="AA25" i="121"/>
  <c r="X26" i="121"/>
  <c r="AA26" i="121"/>
  <c r="X27" i="121"/>
  <c r="AA27" i="121"/>
  <c r="X28" i="121"/>
  <c r="AA28" i="121"/>
  <c r="X29" i="121"/>
  <c r="AA29" i="121"/>
  <c r="X30" i="121"/>
  <c r="AA30" i="121"/>
  <c r="X31" i="121"/>
  <c r="AA31" i="121"/>
  <c r="X32" i="121"/>
  <c r="AA32" i="121"/>
  <c r="X33" i="121"/>
  <c r="AA33" i="121"/>
  <c r="X34" i="121"/>
  <c r="AA34" i="121"/>
  <c r="X35" i="121"/>
  <c r="AA35" i="121"/>
  <c r="X36" i="121"/>
  <c r="AA36" i="121"/>
  <c r="X37" i="121"/>
  <c r="AA37" i="121"/>
  <c r="X38" i="121"/>
  <c r="AA38" i="121"/>
  <c r="X39" i="121"/>
  <c r="AA39" i="121"/>
  <c r="X40" i="121"/>
  <c r="AA40" i="121"/>
  <c r="X41" i="121"/>
  <c r="AA41" i="121"/>
  <c r="X4" i="122"/>
  <c r="AA4" i="122"/>
  <c r="X5" i="122"/>
  <c r="AA5" i="122"/>
  <c r="X6" i="122"/>
  <c r="AA6" i="122"/>
  <c r="X7" i="122"/>
  <c r="AA7" i="122"/>
  <c r="X8" i="122"/>
  <c r="AA8" i="122"/>
  <c r="X9" i="122"/>
  <c r="AA9" i="122"/>
  <c r="X10" i="122"/>
  <c r="AA10" i="122"/>
  <c r="X11" i="122"/>
  <c r="AA11" i="122"/>
  <c r="X12" i="122"/>
  <c r="AA12" i="122"/>
  <c r="X13" i="122"/>
  <c r="AA13" i="122"/>
  <c r="X14" i="122"/>
  <c r="AA14" i="122"/>
  <c r="X15" i="122"/>
  <c r="AA15" i="122"/>
  <c r="X16" i="122"/>
  <c r="AA16" i="122"/>
  <c r="X17" i="122"/>
  <c r="AA17" i="122"/>
  <c r="X18" i="122"/>
  <c r="AA18" i="122"/>
  <c r="X19" i="122"/>
  <c r="AA19" i="122"/>
  <c r="X20" i="122"/>
  <c r="AA20" i="122"/>
  <c r="X21" i="122"/>
  <c r="AA21" i="122"/>
  <c r="X22" i="122"/>
  <c r="AA22" i="122"/>
  <c r="X23" i="122"/>
  <c r="AA23" i="122"/>
  <c r="X24" i="122"/>
  <c r="AA24" i="122"/>
  <c r="X25" i="122"/>
  <c r="AA25" i="122"/>
  <c r="X26" i="122"/>
  <c r="AA26" i="122"/>
  <c r="X27" i="122"/>
  <c r="AA27" i="122"/>
  <c r="X28" i="122"/>
  <c r="AA28" i="122"/>
  <c r="X29" i="122"/>
  <c r="AA29" i="122"/>
  <c r="X30" i="122"/>
  <c r="AA30" i="122"/>
  <c r="X31" i="122"/>
  <c r="AA31" i="122"/>
  <c r="X32" i="122"/>
  <c r="AA32" i="122"/>
  <c r="X33" i="122"/>
  <c r="AA33" i="122"/>
  <c r="X34" i="122"/>
  <c r="AA34" i="122"/>
  <c r="X35" i="122"/>
  <c r="AA35" i="122"/>
  <c r="X36" i="122"/>
  <c r="AA36" i="122"/>
  <c r="X37" i="122"/>
  <c r="AA37" i="122"/>
  <c r="X38" i="122"/>
  <c r="AA38" i="122"/>
  <c r="X39" i="122"/>
  <c r="AA39" i="122"/>
  <c r="X40" i="122"/>
  <c r="AA40" i="122"/>
  <c r="X11" i="98"/>
  <c r="AA11" i="98"/>
  <c r="X12" i="98"/>
  <c r="AA12" i="98"/>
  <c r="X13" i="98"/>
  <c r="AA13" i="98"/>
  <c r="X14" i="98"/>
  <c r="AA14" i="98"/>
  <c r="X15" i="98"/>
  <c r="AA15" i="98"/>
  <c r="X16" i="98"/>
  <c r="AA16" i="98"/>
  <c r="X17" i="98"/>
  <c r="AA17" i="98"/>
  <c r="X18" i="98"/>
  <c r="AA18" i="98"/>
  <c r="X19" i="98"/>
  <c r="AA19" i="98"/>
  <c r="X20" i="98"/>
  <c r="AA20" i="98"/>
  <c r="X21" i="98"/>
  <c r="AA21" i="98"/>
  <c r="X22" i="98"/>
  <c r="AA22" i="98"/>
  <c r="X23" i="98"/>
  <c r="AA23" i="98"/>
  <c r="X24" i="98"/>
  <c r="AA24" i="98"/>
  <c r="X25" i="98"/>
  <c r="AA25" i="98"/>
  <c r="X26" i="98"/>
  <c r="AA26" i="98"/>
  <c r="X27" i="98"/>
  <c r="AA27" i="98"/>
  <c r="X28" i="98"/>
  <c r="AA28" i="98"/>
  <c r="X29" i="98"/>
  <c r="AA29" i="98"/>
  <c r="X30" i="98"/>
  <c r="AA30" i="98"/>
  <c r="X31" i="98"/>
  <c r="AA31" i="98"/>
  <c r="X32" i="98"/>
  <c r="AA32" i="98"/>
  <c r="X33" i="98"/>
  <c r="AA33" i="98"/>
  <c r="X34" i="98"/>
  <c r="AA34" i="98"/>
  <c r="X35" i="98"/>
  <c r="AA35" i="98"/>
  <c r="X36" i="98"/>
  <c r="AA36" i="98"/>
  <c r="X37" i="98"/>
  <c r="AA37" i="98"/>
  <c r="X38" i="98"/>
  <c r="AA38" i="98"/>
  <c r="X39" i="98"/>
  <c r="AA39" i="98"/>
  <c r="X40" i="98"/>
  <c r="AA40" i="98"/>
  <c r="K602" i="122" l="1"/>
  <c r="I602" i="122"/>
  <c r="G602" i="122"/>
  <c r="D602" i="122"/>
  <c r="K612" i="98"/>
  <c r="I612" i="98"/>
  <c r="G612" i="98"/>
  <c r="D612" i="98"/>
  <c r="K467" i="122"/>
  <c r="I467" i="122"/>
  <c r="D467" i="122"/>
  <c r="D482" i="122"/>
  <c r="C482" i="122"/>
  <c r="D492" i="98"/>
  <c r="C492" i="98"/>
  <c r="K477" i="98"/>
  <c r="I477" i="98"/>
  <c r="G477" i="98"/>
  <c r="D477" i="98"/>
  <c r="H101" i="198" l="1"/>
  <c r="T14" i="151" s="1"/>
  <c r="K402" i="125"/>
  <c r="I402" i="125"/>
  <c r="G402" i="125"/>
  <c r="D402" i="125"/>
  <c r="K401" i="125"/>
  <c r="I401" i="125"/>
  <c r="D350" i="125"/>
  <c r="C350" i="125"/>
  <c r="K343" i="125" l="1"/>
  <c r="K342" i="125"/>
  <c r="D343" i="125"/>
  <c r="D342" i="125"/>
  <c r="G343" i="125"/>
  <c r="G342" i="125"/>
  <c r="I343" i="125"/>
  <c r="I342" i="125"/>
  <c r="N4" i="116" l="1"/>
  <c r="N5" i="116"/>
  <c r="N6" i="116"/>
  <c r="N7" i="116"/>
  <c r="N8" i="116"/>
  <c r="N9" i="116"/>
  <c r="N10" i="116"/>
  <c r="N11" i="116"/>
  <c r="N12" i="116"/>
  <c r="N13" i="116"/>
  <c r="N14" i="116"/>
  <c r="N15" i="116"/>
  <c r="N16" i="116"/>
  <c r="N17" i="116"/>
  <c r="N18" i="116"/>
  <c r="N19" i="116"/>
  <c r="N20" i="116"/>
  <c r="N21" i="116"/>
  <c r="N22" i="116"/>
  <c r="N23" i="116"/>
  <c r="N24" i="116"/>
  <c r="N25" i="116"/>
  <c r="N26" i="116"/>
  <c r="N27" i="116"/>
  <c r="N28" i="116"/>
  <c r="N29" i="116"/>
  <c r="N30" i="116"/>
  <c r="N31" i="116"/>
  <c r="N32" i="116"/>
  <c r="N33" i="116"/>
  <c r="N34" i="116"/>
  <c r="N35" i="116"/>
  <c r="N36" i="116"/>
  <c r="N37" i="116"/>
  <c r="N38" i="116"/>
  <c r="N39" i="116"/>
  <c r="N40" i="116"/>
  <c r="N41" i="116"/>
  <c r="N42" i="116"/>
  <c r="N43" i="116"/>
  <c r="N44" i="116"/>
  <c r="N45" i="116"/>
  <c r="N46" i="116"/>
  <c r="N47" i="116"/>
  <c r="N48" i="116"/>
  <c r="N49" i="116"/>
  <c r="N50" i="116"/>
  <c r="N51" i="116"/>
  <c r="N52" i="116"/>
  <c r="N53" i="116"/>
  <c r="N54" i="116"/>
  <c r="N55" i="116"/>
  <c r="N56" i="116"/>
  <c r="N57" i="116"/>
  <c r="N58" i="116"/>
  <c r="N59" i="116"/>
  <c r="N60" i="116"/>
  <c r="N61" i="116"/>
  <c r="N62" i="116"/>
  <c r="N63" i="116"/>
  <c r="N64" i="116"/>
  <c r="N65" i="116"/>
  <c r="N66" i="116"/>
  <c r="N67" i="116"/>
  <c r="N68" i="116"/>
  <c r="N69" i="116"/>
  <c r="N70" i="116"/>
  <c r="N71" i="116"/>
  <c r="N72" i="116"/>
  <c r="N73" i="116"/>
  <c r="N74" i="116"/>
  <c r="N75" i="116"/>
  <c r="N76" i="116"/>
  <c r="N77" i="116"/>
  <c r="N78" i="116"/>
  <c r="N79" i="116"/>
  <c r="N80" i="116"/>
  <c r="N81" i="116"/>
  <c r="N82" i="116"/>
  <c r="N83" i="116"/>
  <c r="N84" i="116"/>
  <c r="N85" i="116"/>
  <c r="N86" i="116"/>
  <c r="N87" i="116"/>
  <c r="N88" i="116"/>
  <c r="N89" i="116"/>
  <c r="N90" i="116"/>
  <c r="N91" i="116"/>
  <c r="N92" i="116"/>
  <c r="N93" i="116"/>
  <c r="N94" i="116"/>
  <c r="N95" i="116"/>
  <c r="N96" i="116"/>
  <c r="N97" i="116"/>
  <c r="N98" i="116"/>
  <c r="N99" i="116"/>
  <c r="N100" i="116"/>
  <c r="N101" i="116"/>
  <c r="N102" i="116"/>
  <c r="N103" i="116"/>
  <c r="N104" i="116"/>
  <c r="N105" i="116"/>
  <c r="N106" i="116"/>
  <c r="N107" i="116"/>
  <c r="N108" i="116"/>
  <c r="N109" i="116"/>
  <c r="N110" i="116"/>
  <c r="N111" i="116"/>
  <c r="N112" i="116"/>
  <c r="N113" i="116"/>
  <c r="N114" i="116"/>
  <c r="N115" i="116"/>
  <c r="N116" i="116"/>
  <c r="N117" i="116"/>
  <c r="N118" i="116"/>
  <c r="N119" i="116"/>
  <c r="N120" i="116"/>
  <c r="N121" i="116"/>
  <c r="N122" i="116"/>
  <c r="N123" i="116"/>
  <c r="N124" i="116"/>
  <c r="N125" i="116"/>
  <c r="N126" i="116"/>
  <c r="N127" i="116"/>
  <c r="N128" i="116"/>
  <c r="N129" i="116"/>
  <c r="N130" i="116"/>
  <c r="N131" i="116"/>
  <c r="N3" i="116"/>
  <c r="C147" i="116"/>
  <c r="C131" i="116"/>
  <c r="B51" i="152" l="1"/>
  <c r="D51" i="152"/>
  <c r="B52" i="152"/>
  <c r="D52" i="152"/>
  <c r="D50" i="152"/>
  <c r="B50" i="152"/>
  <c r="D38" i="152"/>
  <c r="B38" i="152"/>
  <c r="B66" i="152"/>
  <c r="D66" i="152"/>
  <c r="B67" i="152"/>
  <c r="D67" i="152"/>
  <c r="D65" i="152"/>
  <c r="B65" i="152"/>
  <c r="D89" i="152"/>
  <c r="D90" i="152"/>
  <c r="D92" i="152"/>
  <c r="D93" i="152"/>
  <c r="D94" i="152"/>
  <c r="D88" i="152"/>
  <c r="R81" i="152"/>
  <c r="U81" i="152"/>
  <c r="R82" i="152"/>
  <c r="U82" i="152"/>
  <c r="R83" i="152"/>
  <c r="U83" i="152"/>
  <c r="R84" i="152"/>
  <c r="U84" i="152"/>
  <c r="R85" i="152"/>
  <c r="U85" i="152"/>
  <c r="R86" i="152"/>
  <c r="U86" i="152"/>
  <c r="R87" i="152"/>
  <c r="U87" i="152"/>
  <c r="R88" i="152"/>
  <c r="U88" i="152"/>
  <c r="R89" i="152"/>
  <c r="U89" i="152"/>
  <c r="R90" i="152"/>
  <c r="U90" i="152"/>
  <c r="R91" i="152"/>
  <c r="U91" i="152"/>
  <c r="R92" i="152"/>
  <c r="U92" i="152"/>
  <c r="R93" i="152"/>
  <c r="U93" i="152"/>
  <c r="R94" i="152"/>
  <c r="U94" i="152"/>
  <c r="R95" i="152"/>
  <c r="U95" i="152"/>
  <c r="R96" i="152"/>
  <c r="U96" i="152"/>
  <c r="R97" i="152"/>
  <c r="U97" i="152"/>
  <c r="R98" i="152"/>
  <c r="U98" i="152"/>
  <c r="R99" i="152"/>
  <c r="U99" i="152"/>
  <c r="R100" i="152"/>
  <c r="U100" i="152"/>
  <c r="R101" i="152"/>
  <c r="U101" i="152"/>
  <c r="R102" i="152"/>
  <c r="U102" i="152"/>
  <c r="R103" i="152"/>
  <c r="U103" i="152"/>
  <c r="R104" i="152"/>
  <c r="U104" i="152"/>
  <c r="R105" i="152"/>
  <c r="U105" i="152"/>
  <c r="R106" i="152"/>
  <c r="U106" i="152"/>
  <c r="U80" i="152"/>
  <c r="R80" i="152"/>
  <c r="U79" i="152"/>
  <c r="R79" i="152"/>
  <c r="U78" i="152"/>
  <c r="R78" i="152"/>
  <c r="U77" i="152"/>
  <c r="R77" i="152"/>
  <c r="U76" i="152"/>
  <c r="R76" i="152"/>
  <c r="U75" i="152"/>
  <c r="R75" i="152"/>
  <c r="U74" i="152"/>
  <c r="R74" i="152"/>
  <c r="U73" i="152"/>
  <c r="R73" i="152"/>
  <c r="U72" i="152"/>
  <c r="R72" i="152"/>
  <c r="U71" i="152"/>
  <c r="R71" i="152"/>
  <c r="U70" i="152"/>
  <c r="R70" i="152"/>
  <c r="U69" i="152"/>
  <c r="R69" i="152"/>
  <c r="U68" i="152"/>
  <c r="R68" i="152"/>
  <c r="U67" i="152"/>
  <c r="R67" i="152"/>
  <c r="U66" i="152"/>
  <c r="R66" i="152"/>
  <c r="U65" i="152"/>
  <c r="R65" i="152"/>
  <c r="U64" i="152"/>
  <c r="R64" i="152"/>
  <c r="U63" i="152"/>
  <c r="R63" i="152"/>
  <c r="U62" i="152"/>
  <c r="R62" i="152"/>
  <c r="U61" i="152"/>
  <c r="R61" i="152"/>
  <c r="U60" i="152"/>
  <c r="R60" i="152"/>
  <c r="U59" i="152"/>
  <c r="R59" i="152"/>
  <c r="U58" i="152"/>
  <c r="R58" i="152"/>
  <c r="U57" i="152"/>
  <c r="R57" i="152"/>
  <c r="U56" i="152"/>
  <c r="R56" i="152"/>
  <c r="U55" i="152"/>
  <c r="R55" i="152"/>
  <c r="U54" i="152"/>
  <c r="R54" i="152"/>
  <c r="U53" i="152"/>
  <c r="R53" i="152"/>
  <c r="U52" i="152"/>
  <c r="R52" i="152"/>
  <c r="U51" i="152"/>
  <c r="R51" i="152"/>
  <c r="U50" i="152"/>
  <c r="R50" i="152"/>
  <c r="U49" i="152"/>
  <c r="R49" i="152"/>
  <c r="U48" i="152"/>
  <c r="R48" i="152"/>
  <c r="U47" i="152"/>
  <c r="R47" i="152"/>
  <c r="U46" i="152"/>
  <c r="R46" i="152"/>
  <c r="U45" i="152"/>
  <c r="R45" i="152"/>
  <c r="U44" i="152"/>
  <c r="R44" i="152"/>
  <c r="U43" i="152"/>
  <c r="R43" i="152"/>
  <c r="U42" i="152"/>
  <c r="R42" i="152"/>
  <c r="U41" i="152"/>
  <c r="R41" i="152"/>
  <c r="U40" i="152"/>
  <c r="R40" i="152"/>
  <c r="U39" i="152"/>
  <c r="R39" i="152"/>
  <c r="U38" i="152"/>
  <c r="R38" i="152"/>
  <c r="U37" i="152"/>
  <c r="R37" i="152"/>
  <c r="U36" i="152"/>
  <c r="R36" i="152"/>
  <c r="U35" i="152"/>
  <c r="R35" i="152"/>
  <c r="U34" i="152"/>
  <c r="R34" i="152"/>
  <c r="U33" i="152"/>
  <c r="R33" i="152"/>
  <c r="U32" i="152"/>
  <c r="R32" i="152"/>
  <c r="U20" i="152"/>
  <c r="R20" i="152"/>
  <c r="U19" i="152"/>
  <c r="R19" i="152"/>
  <c r="U18" i="152"/>
  <c r="R18" i="152"/>
  <c r="U17" i="152"/>
  <c r="R17" i="152"/>
  <c r="U16" i="152"/>
  <c r="R16" i="152"/>
  <c r="U15" i="152"/>
  <c r="R15" i="152"/>
  <c r="U14" i="152"/>
  <c r="R14" i="152"/>
  <c r="U8" i="152"/>
  <c r="R8" i="152"/>
  <c r="U7" i="152"/>
  <c r="R7" i="152"/>
  <c r="U6" i="152"/>
  <c r="R6" i="152"/>
  <c r="U5" i="152"/>
  <c r="R5" i="152"/>
  <c r="U4" i="152"/>
  <c r="R4" i="152"/>
  <c r="AA3" i="152"/>
  <c r="X3" i="152"/>
  <c r="D86" i="152"/>
  <c r="B86" i="152"/>
  <c r="D85" i="152"/>
  <c r="B85" i="152"/>
  <c r="D84" i="152"/>
  <c r="B84" i="152"/>
  <c r="D82" i="152"/>
  <c r="B82" i="152"/>
  <c r="D81" i="152"/>
  <c r="B81" i="152"/>
  <c r="D80" i="152"/>
  <c r="B80" i="152"/>
  <c r="D78" i="152"/>
  <c r="B78" i="152"/>
  <c r="D77" i="152"/>
  <c r="B77" i="152"/>
  <c r="D76" i="152"/>
  <c r="B76" i="152"/>
  <c r="D74" i="152"/>
  <c r="B74" i="152"/>
  <c r="D73" i="152"/>
  <c r="B73" i="152"/>
  <c r="D72" i="152"/>
  <c r="B72" i="152"/>
  <c r="D64" i="152"/>
  <c r="B64" i="152"/>
  <c r="D63" i="152"/>
  <c r="B63" i="152"/>
  <c r="D62" i="152"/>
  <c r="B62" i="152"/>
  <c r="D61" i="152"/>
  <c r="B61" i="152"/>
  <c r="D57" i="152"/>
  <c r="B57" i="152"/>
  <c r="D56" i="152"/>
  <c r="B56" i="152"/>
  <c r="D55" i="152"/>
  <c r="B55" i="152"/>
  <c r="D49" i="152"/>
  <c r="B49" i="152"/>
  <c r="D48" i="152"/>
  <c r="B48" i="152"/>
  <c r="D46" i="152"/>
  <c r="B46" i="152"/>
  <c r="D45" i="152"/>
  <c r="B45" i="152"/>
  <c r="D43" i="152"/>
  <c r="B43" i="152"/>
  <c r="D41" i="152"/>
  <c r="B41" i="152"/>
  <c r="D37" i="152"/>
  <c r="B37" i="152"/>
  <c r="D36" i="152"/>
  <c r="B36" i="152"/>
  <c r="D35" i="152"/>
  <c r="B35" i="152"/>
  <c r="D34" i="152"/>
  <c r="B34" i="152"/>
  <c r="D69" i="151"/>
  <c r="D70" i="151"/>
  <c r="D72" i="151"/>
  <c r="D73" i="151"/>
  <c r="D74" i="151"/>
  <c r="D76" i="151"/>
  <c r="D68" i="151"/>
  <c r="B58" i="151"/>
  <c r="D58" i="151"/>
  <c r="B59" i="151"/>
  <c r="D59" i="151"/>
  <c r="B60" i="151"/>
  <c r="D60" i="151"/>
  <c r="B61" i="151"/>
  <c r="D61" i="151"/>
  <c r="D57" i="151"/>
  <c r="B57" i="151"/>
  <c r="B51" i="151"/>
  <c r="D51" i="151"/>
  <c r="D50" i="151"/>
  <c r="B50" i="151"/>
  <c r="D38" i="151"/>
  <c r="B38" i="151"/>
  <c r="R39" i="151"/>
  <c r="U39" i="151"/>
  <c r="R40" i="151"/>
  <c r="U40" i="151"/>
  <c r="R41" i="151"/>
  <c r="U41" i="151"/>
  <c r="R42" i="151"/>
  <c r="U42" i="151"/>
  <c r="R43" i="151"/>
  <c r="U43" i="151"/>
  <c r="R44" i="151"/>
  <c r="U44" i="151"/>
  <c r="R45" i="151"/>
  <c r="U45" i="151"/>
  <c r="R46" i="151"/>
  <c r="U46" i="151"/>
  <c r="R47" i="151"/>
  <c r="U47" i="151"/>
  <c r="R49" i="151"/>
  <c r="U49" i="151"/>
  <c r="R50" i="151"/>
  <c r="U50" i="151"/>
  <c r="R51" i="151"/>
  <c r="U51" i="151"/>
  <c r="R52" i="151"/>
  <c r="U52" i="151"/>
  <c r="R53" i="151"/>
  <c r="U53" i="151"/>
  <c r="R54" i="151"/>
  <c r="T54" i="151"/>
  <c r="U54" i="151"/>
  <c r="R55" i="151"/>
  <c r="T55" i="151"/>
  <c r="U55" i="151"/>
  <c r="R56" i="151"/>
  <c r="U56" i="151"/>
  <c r="U57" i="151"/>
  <c r="U38" i="151"/>
  <c r="R38" i="151"/>
  <c r="R35" i="151"/>
  <c r="U35" i="151"/>
  <c r="R36" i="151"/>
  <c r="U36" i="151"/>
  <c r="R37" i="151"/>
  <c r="U37" i="151"/>
  <c r="U34" i="151"/>
  <c r="R34" i="151"/>
  <c r="U20" i="151"/>
  <c r="R20" i="151"/>
  <c r="U19" i="151"/>
  <c r="R19" i="151"/>
  <c r="U18" i="151"/>
  <c r="R18" i="151"/>
  <c r="U17" i="151"/>
  <c r="R17" i="151"/>
  <c r="U16" i="151"/>
  <c r="R16" i="151"/>
  <c r="U15" i="151"/>
  <c r="R15" i="151"/>
  <c r="U14" i="151"/>
  <c r="R14" i="151"/>
  <c r="U8" i="151"/>
  <c r="R8" i="151"/>
  <c r="U7" i="151"/>
  <c r="R7" i="151"/>
  <c r="U6" i="151"/>
  <c r="R6" i="151"/>
  <c r="U5" i="151"/>
  <c r="R5" i="151"/>
  <c r="U4" i="151"/>
  <c r="R4" i="151"/>
  <c r="C10" i="151"/>
  <c r="D49" i="151"/>
  <c r="B49" i="151"/>
  <c r="D48" i="151"/>
  <c r="B48" i="151"/>
  <c r="D43" i="151"/>
  <c r="B43" i="151"/>
  <c r="D37" i="151"/>
  <c r="B37" i="151"/>
  <c r="D36" i="151"/>
  <c r="B36" i="151"/>
  <c r="D35" i="151"/>
  <c r="B35" i="151"/>
  <c r="D34" i="151"/>
  <c r="B34" i="151"/>
  <c r="C12" i="151"/>
  <c r="C11" i="151"/>
  <c r="D78" i="107"/>
  <c r="B78" i="107"/>
  <c r="B68" i="107"/>
  <c r="D68" i="107"/>
  <c r="B69" i="107"/>
  <c r="D69" i="107"/>
  <c r="D67" i="107"/>
  <c r="B67" i="107"/>
  <c r="B60" i="107"/>
  <c r="D60" i="107"/>
  <c r="B61" i="107"/>
  <c r="D61" i="107"/>
  <c r="D59" i="107"/>
  <c r="B59" i="107"/>
  <c r="B41" i="107"/>
  <c r="D41" i="107"/>
  <c r="D40" i="107"/>
  <c r="B40" i="107"/>
  <c r="B53" i="107"/>
  <c r="D53" i="107"/>
  <c r="D52" i="107"/>
  <c r="B52" i="107"/>
  <c r="B46" i="107"/>
  <c r="D46" i="107"/>
  <c r="D45" i="107"/>
  <c r="B45" i="107"/>
  <c r="U38" i="107"/>
  <c r="R38" i="107"/>
  <c r="R35" i="107"/>
  <c r="U35" i="107"/>
  <c r="R36" i="107"/>
  <c r="U36" i="107"/>
  <c r="R37" i="107"/>
  <c r="U37" i="107"/>
  <c r="U34" i="107"/>
  <c r="R34" i="107"/>
  <c r="C14" i="107"/>
  <c r="D44" i="107"/>
  <c r="B44" i="107"/>
  <c r="D43" i="107"/>
  <c r="B43" i="107"/>
  <c r="D39" i="107"/>
  <c r="B39" i="107"/>
  <c r="D35" i="107"/>
  <c r="B35" i="107"/>
  <c r="D33" i="107"/>
  <c r="B33" i="107"/>
  <c r="D32" i="107"/>
  <c r="B32" i="107"/>
  <c r="D31" i="107"/>
  <c r="B31" i="107"/>
  <c r="C16" i="107"/>
  <c r="C15" i="107"/>
  <c r="U20" i="107"/>
  <c r="R20" i="107"/>
  <c r="U19" i="107"/>
  <c r="R19" i="107"/>
  <c r="U18" i="107"/>
  <c r="R18" i="107"/>
  <c r="U17" i="107"/>
  <c r="R17" i="107"/>
  <c r="U16" i="107"/>
  <c r="R16" i="107"/>
  <c r="U15" i="107"/>
  <c r="R15" i="107"/>
  <c r="U14" i="107"/>
  <c r="R14" i="107"/>
  <c r="U8" i="107"/>
  <c r="R8" i="107"/>
  <c r="U7" i="107"/>
  <c r="R7" i="107"/>
  <c r="U6" i="107"/>
  <c r="R6" i="107"/>
  <c r="U5" i="107"/>
  <c r="R5" i="107"/>
  <c r="U4" i="107"/>
  <c r="R4" i="107"/>
  <c r="A1" i="152"/>
  <c r="A1" i="151"/>
  <c r="D43" i="126"/>
  <c r="B43" i="126"/>
  <c r="D39" i="126"/>
  <c r="B39" i="126"/>
  <c r="B32" i="126"/>
  <c r="D32" i="126"/>
  <c r="B33" i="126"/>
  <c r="D33" i="126"/>
  <c r="D31" i="126"/>
  <c r="B31" i="126"/>
  <c r="T41" i="126"/>
  <c r="R17" i="126"/>
  <c r="U17" i="126"/>
  <c r="R18" i="126"/>
  <c r="U18" i="126"/>
  <c r="R19" i="126"/>
  <c r="U19" i="126"/>
  <c r="R20" i="126"/>
  <c r="U20" i="126"/>
  <c r="R5" i="126"/>
  <c r="U5" i="126"/>
  <c r="R6" i="126"/>
  <c r="U6" i="126"/>
  <c r="R7" i="126"/>
  <c r="U7" i="126"/>
  <c r="R8" i="126"/>
  <c r="U8" i="126"/>
  <c r="R14" i="126"/>
  <c r="U14" i="126"/>
  <c r="R15" i="126"/>
  <c r="U15" i="126"/>
  <c r="R16" i="126"/>
  <c r="U16" i="126"/>
  <c r="U4" i="126"/>
  <c r="R4" i="126"/>
  <c r="D78" i="126"/>
  <c r="B78" i="126"/>
  <c r="B77" i="126"/>
  <c r="D73" i="126"/>
  <c r="B73" i="126"/>
  <c r="D72" i="126"/>
  <c r="B72" i="126"/>
  <c r="D71" i="126"/>
  <c r="B71" i="126"/>
  <c r="B70" i="126"/>
  <c r="D69" i="126"/>
  <c r="B69" i="126"/>
  <c r="D68" i="126"/>
  <c r="B68" i="126"/>
  <c r="D67" i="126"/>
  <c r="B67" i="126"/>
  <c r="B66" i="126"/>
  <c r="D65" i="126"/>
  <c r="B65" i="126"/>
  <c r="D64" i="126"/>
  <c r="B64" i="126"/>
  <c r="D63" i="126"/>
  <c r="B63" i="126"/>
  <c r="B62" i="126"/>
  <c r="D61" i="126"/>
  <c r="B61" i="126"/>
  <c r="D60" i="126"/>
  <c r="B60" i="126"/>
  <c r="D59" i="126"/>
  <c r="B59" i="126"/>
  <c r="B58" i="126"/>
  <c r="D55" i="126"/>
  <c r="B55" i="126"/>
  <c r="D54" i="126"/>
  <c r="B54" i="126"/>
  <c r="D53" i="126"/>
  <c r="B53" i="126"/>
  <c r="D52" i="126"/>
  <c r="B52" i="126"/>
  <c r="B51" i="126"/>
  <c r="D48" i="126"/>
  <c r="B48" i="126"/>
  <c r="D47" i="126"/>
  <c r="B47" i="126"/>
  <c r="D46" i="126"/>
  <c r="B46" i="126"/>
  <c r="D45" i="126"/>
  <c r="B45" i="126"/>
  <c r="D44" i="126"/>
  <c r="B44" i="126"/>
  <c r="B42" i="126"/>
  <c r="D41" i="126"/>
  <c r="B41" i="126"/>
  <c r="D40" i="126"/>
  <c r="B40" i="126"/>
  <c r="B37" i="126"/>
  <c r="D36" i="126"/>
  <c r="B36" i="126"/>
  <c r="D35" i="126"/>
  <c r="B35" i="126"/>
  <c r="B30" i="126"/>
  <c r="U85" i="126"/>
  <c r="R85" i="126"/>
  <c r="U84" i="126"/>
  <c r="R84" i="126"/>
  <c r="U83" i="126"/>
  <c r="R83" i="126"/>
  <c r="U82" i="126"/>
  <c r="R82" i="126"/>
  <c r="U81" i="126"/>
  <c r="R81" i="126"/>
  <c r="U80" i="126"/>
  <c r="R80" i="126"/>
  <c r="U79" i="126"/>
  <c r="R79" i="126"/>
  <c r="U78" i="126"/>
  <c r="R78" i="126"/>
  <c r="U77" i="126"/>
  <c r="R77" i="126"/>
  <c r="U76" i="126"/>
  <c r="R76" i="126"/>
  <c r="U75" i="126"/>
  <c r="R75" i="126"/>
  <c r="U74" i="126"/>
  <c r="R74" i="126"/>
  <c r="U73" i="126"/>
  <c r="R73" i="126"/>
  <c r="U72" i="126"/>
  <c r="R72" i="126"/>
  <c r="U71" i="126"/>
  <c r="R71" i="126"/>
  <c r="U70" i="126"/>
  <c r="R70" i="126"/>
  <c r="U69" i="126"/>
  <c r="R69" i="126"/>
  <c r="U68" i="126"/>
  <c r="R68" i="126"/>
  <c r="U67" i="126"/>
  <c r="R67" i="126"/>
  <c r="U66" i="126"/>
  <c r="R66" i="126"/>
  <c r="U65" i="126"/>
  <c r="R65" i="126"/>
  <c r="U64" i="126"/>
  <c r="R64" i="126"/>
  <c r="U63" i="126"/>
  <c r="R63" i="126"/>
  <c r="U62" i="126"/>
  <c r="R62" i="126"/>
  <c r="U61" i="126"/>
  <c r="R61" i="126"/>
  <c r="U60" i="126"/>
  <c r="R60" i="126"/>
  <c r="U59" i="126"/>
  <c r="R59" i="126"/>
  <c r="U58" i="126"/>
  <c r="R58" i="126"/>
  <c r="U57" i="126"/>
  <c r="R57" i="126"/>
  <c r="U56" i="126"/>
  <c r="R56" i="126"/>
  <c r="U55" i="126"/>
  <c r="R55" i="126"/>
  <c r="U54" i="126"/>
  <c r="R54" i="126"/>
  <c r="U53" i="126"/>
  <c r="R53" i="126"/>
  <c r="U52" i="126"/>
  <c r="R52" i="126"/>
  <c r="U51" i="126"/>
  <c r="R51" i="126"/>
  <c r="U50" i="126"/>
  <c r="R50" i="126"/>
  <c r="U49" i="126"/>
  <c r="R49" i="126"/>
  <c r="U48" i="126"/>
  <c r="R48" i="126"/>
  <c r="U47" i="126"/>
  <c r="R47" i="126"/>
  <c r="U46" i="126"/>
  <c r="R46" i="126"/>
  <c r="U45" i="126"/>
  <c r="R45" i="126"/>
  <c r="U44" i="126"/>
  <c r="R44" i="126"/>
  <c r="U43" i="126"/>
  <c r="R43" i="126"/>
  <c r="U42" i="126"/>
  <c r="R42" i="126"/>
  <c r="U41" i="126"/>
  <c r="R41" i="126"/>
  <c r="U40" i="126"/>
  <c r="R40" i="126"/>
  <c r="U39" i="126"/>
  <c r="R39" i="126"/>
  <c r="U38" i="126"/>
  <c r="R38" i="126"/>
  <c r="U37" i="126"/>
  <c r="R37" i="126"/>
  <c r="U36" i="126"/>
  <c r="R36" i="126"/>
  <c r="U35" i="126"/>
  <c r="R35" i="126"/>
  <c r="U34" i="126"/>
  <c r="R34" i="126"/>
  <c r="AA3" i="126"/>
  <c r="X3" i="126"/>
  <c r="A1" i="126"/>
  <c r="D43" i="123"/>
  <c r="B43" i="123"/>
  <c r="B36" i="123"/>
  <c r="D36" i="123"/>
  <c r="B37" i="123"/>
  <c r="D37" i="123"/>
  <c r="D35" i="123"/>
  <c r="B35" i="123"/>
  <c r="D48" i="123"/>
  <c r="B48" i="123"/>
  <c r="R5" i="123"/>
  <c r="U5" i="123"/>
  <c r="R6" i="123"/>
  <c r="U6" i="123"/>
  <c r="R7" i="123"/>
  <c r="U7" i="123"/>
  <c r="R8" i="123"/>
  <c r="U8" i="123"/>
  <c r="R14" i="123"/>
  <c r="U14" i="123"/>
  <c r="R15" i="123"/>
  <c r="U15" i="123"/>
  <c r="R16" i="123"/>
  <c r="U16" i="123"/>
  <c r="R17" i="123"/>
  <c r="U17" i="123"/>
  <c r="R18" i="123"/>
  <c r="U18" i="123"/>
  <c r="R19" i="123"/>
  <c r="U19" i="123"/>
  <c r="R20" i="123"/>
  <c r="U20" i="123"/>
  <c r="U4" i="123"/>
  <c r="R4" i="123"/>
  <c r="H92" i="198"/>
  <c r="T5" i="151" s="1"/>
  <c r="H93" i="198"/>
  <c r="T6" i="151" s="1"/>
  <c r="H94" i="198"/>
  <c r="T7" i="151" s="1"/>
  <c r="H95" i="198"/>
  <c r="T8" i="151" s="1"/>
  <c r="H96" i="198"/>
  <c r="T9" i="151" s="1"/>
  <c r="H97" i="198"/>
  <c r="T10" i="151" s="1"/>
  <c r="H98" i="198"/>
  <c r="T11" i="151" s="1"/>
  <c r="H99" i="198"/>
  <c r="T12" i="151" s="1"/>
  <c r="H100" i="198"/>
  <c r="T13" i="151" s="1"/>
  <c r="T40" i="123"/>
  <c r="D83" i="123"/>
  <c r="B83" i="123"/>
  <c r="D78" i="123"/>
  <c r="B78" i="123"/>
  <c r="D77" i="123"/>
  <c r="B77" i="123"/>
  <c r="D76" i="123"/>
  <c r="B76" i="123"/>
  <c r="D74" i="123"/>
  <c r="B74" i="123"/>
  <c r="D73" i="123"/>
  <c r="B73" i="123"/>
  <c r="D72" i="123"/>
  <c r="B72" i="123"/>
  <c r="D70" i="123"/>
  <c r="B70" i="123"/>
  <c r="D69" i="123"/>
  <c r="B69" i="123"/>
  <c r="D68" i="123"/>
  <c r="B68" i="123"/>
  <c r="D66" i="123"/>
  <c r="B66" i="123"/>
  <c r="D65" i="123"/>
  <c r="B65" i="123"/>
  <c r="D64" i="123"/>
  <c r="B64" i="123"/>
  <c r="D60" i="123"/>
  <c r="B60" i="123"/>
  <c r="D59" i="123"/>
  <c r="B59" i="123"/>
  <c r="D58" i="123"/>
  <c r="B58" i="123"/>
  <c r="D57" i="123"/>
  <c r="B57" i="123"/>
  <c r="D53" i="123"/>
  <c r="B53" i="123"/>
  <c r="D52" i="123"/>
  <c r="B52" i="123"/>
  <c r="D51" i="123"/>
  <c r="B51" i="123"/>
  <c r="D50" i="123"/>
  <c r="B50" i="123"/>
  <c r="D49" i="123"/>
  <c r="B49" i="123"/>
  <c r="D46" i="123"/>
  <c r="B46" i="123"/>
  <c r="D45" i="123"/>
  <c r="B45" i="123"/>
  <c r="D41" i="123"/>
  <c r="B41" i="123"/>
  <c r="D34" i="123"/>
  <c r="B34" i="123"/>
  <c r="U84" i="123"/>
  <c r="R84" i="123"/>
  <c r="U83" i="123"/>
  <c r="R83" i="123"/>
  <c r="U82" i="123"/>
  <c r="R82" i="123"/>
  <c r="U81" i="123"/>
  <c r="R81" i="123"/>
  <c r="U80" i="123"/>
  <c r="R80" i="123"/>
  <c r="U79" i="123"/>
  <c r="R79" i="123"/>
  <c r="U78" i="123"/>
  <c r="R78" i="123"/>
  <c r="U77" i="123"/>
  <c r="R77" i="123"/>
  <c r="U76" i="123"/>
  <c r="R76" i="123"/>
  <c r="U75" i="123"/>
  <c r="R75" i="123"/>
  <c r="U74" i="123"/>
  <c r="R74" i="123"/>
  <c r="U73" i="123"/>
  <c r="R73" i="123"/>
  <c r="U72" i="123"/>
  <c r="R72" i="123"/>
  <c r="U71" i="123"/>
  <c r="R71" i="123"/>
  <c r="U70" i="123"/>
  <c r="R70" i="123"/>
  <c r="U69" i="123"/>
  <c r="R69" i="123"/>
  <c r="U68" i="123"/>
  <c r="R68" i="123"/>
  <c r="U67" i="123"/>
  <c r="R67" i="123"/>
  <c r="U66" i="123"/>
  <c r="R66" i="123"/>
  <c r="U65" i="123"/>
  <c r="R65" i="123"/>
  <c r="U64" i="123"/>
  <c r="R64" i="123"/>
  <c r="U63" i="123"/>
  <c r="R63" i="123"/>
  <c r="U62" i="123"/>
  <c r="R62" i="123"/>
  <c r="U61" i="123"/>
  <c r="R61" i="123"/>
  <c r="U60" i="123"/>
  <c r="R60" i="123"/>
  <c r="U59" i="123"/>
  <c r="R59" i="123"/>
  <c r="U58" i="123"/>
  <c r="R58" i="123"/>
  <c r="U57" i="123"/>
  <c r="R57" i="123"/>
  <c r="U56" i="123"/>
  <c r="R56" i="123"/>
  <c r="U55" i="123"/>
  <c r="R55" i="123"/>
  <c r="U54" i="123"/>
  <c r="R54" i="123"/>
  <c r="U53" i="123"/>
  <c r="R53" i="123"/>
  <c r="U52" i="123"/>
  <c r="R52" i="123"/>
  <c r="U51" i="123"/>
  <c r="R51" i="123"/>
  <c r="U50" i="123"/>
  <c r="R50" i="123"/>
  <c r="U49" i="123"/>
  <c r="R49" i="123"/>
  <c r="U48" i="123"/>
  <c r="R48" i="123"/>
  <c r="U47" i="123"/>
  <c r="R47" i="123"/>
  <c r="U46" i="123"/>
  <c r="R46" i="123"/>
  <c r="U45" i="123"/>
  <c r="R45" i="123"/>
  <c r="U44" i="123"/>
  <c r="R44" i="123"/>
  <c r="U43" i="123"/>
  <c r="R43" i="123"/>
  <c r="U42" i="123"/>
  <c r="R42" i="123"/>
  <c r="U41" i="123"/>
  <c r="R41" i="123"/>
  <c r="U40" i="123"/>
  <c r="R40" i="123"/>
  <c r="U39" i="123"/>
  <c r="R39" i="123"/>
  <c r="U38" i="123"/>
  <c r="R38" i="123"/>
  <c r="U37" i="123"/>
  <c r="R37" i="123"/>
  <c r="U36" i="123"/>
  <c r="R36" i="123"/>
  <c r="U35" i="123"/>
  <c r="R35" i="123"/>
  <c r="U34" i="123"/>
  <c r="R34" i="123"/>
  <c r="U33" i="123"/>
  <c r="R33" i="123"/>
  <c r="U32" i="123"/>
  <c r="R32" i="123"/>
  <c r="AA3" i="123"/>
  <c r="X3" i="123"/>
  <c r="A1" i="123"/>
  <c r="B43" i="122"/>
  <c r="D43" i="122"/>
  <c r="B34" i="122"/>
  <c r="D34" i="122"/>
  <c r="B35" i="122"/>
  <c r="D35" i="122"/>
  <c r="B36" i="122"/>
  <c r="D36" i="122"/>
  <c r="B38" i="122"/>
  <c r="D38" i="122"/>
  <c r="R32" i="122"/>
  <c r="U32" i="122"/>
  <c r="R33" i="122"/>
  <c r="U33" i="122"/>
  <c r="R34" i="122"/>
  <c r="U34" i="122"/>
  <c r="R35" i="122"/>
  <c r="U35" i="122"/>
  <c r="R36" i="122"/>
  <c r="U36" i="122"/>
  <c r="R37" i="122"/>
  <c r="U37" i="122"/>
  <c r="R38" i="122"/>
  <c r="U38" i="122"/>
  <c r="R39" i="122"/>
  <c r="U39" i="122"/>
  <c r="R40" i="122"/>
  <c r="U40" i="122"/>
  <c r="R41" i="122"/>
  <c r="U41" i="122"/>
  <c r="R42" i="122"/>
  <c r="U42" i="122"/>
  <c r="R43" i="122"/>
  <c r="U43" i="122"/>
  <c r="R44" i="122"/>
  <c r="U44" i="122"/>
  <c r="R45" i="122"/>
  <c r="U45" i="122"/>
  <c r="R46" i="122"/>
  <c r="U46" i="122"/>
  <c r="R47" i="122"/>
  <c r="U47" i="122"/>
  <c r="R48" i="122"/>
  <c r="U48" i="122"/>
  <c r="R49" i="122"/>
  <c r="U49" i="122"/>
  <c r="R50" i="122"/>
  <c r="U50" i="122"/>
  <c r="R51" i="122"/>
  <c r="U51" i="122"/>
  <c r="R52" i="122"/>
  <c r="U52" i="122"/>
  <c r="R53" i="122"/>
  <c r="U53" i="122"/>
  <c r="R54" i="122"/>
  <c r="U54" i="122"/>
  <c r="R55" i="122"/>
  <c r="U55" i="122"/>
  <c r="R56" i="122"/>
  <c r="U56" i="122"/>
  <c r="R57" i="122"/>
  <c r="U57" i="122"/>
  <c r="R58" i="122"/>
  <c r="U58" i="122"/>
  <c r="R59" i="122"/>
  <c r="U59" i="122"/>
  <c r="R60" i="122"/>
  <c r="U60" i="122"/>
  <c r="R61" i="122"/>
  <c r="U61" i="122"/>
  <c r="R62" i="122"/>
  <c r="U62" i="122"/>
  <c r="R63" i="122"/>
  <c r="U63" i="122"/>
  <c r="R64" i="122"/>
  <c r="U64" i="122"/>
  <c r="R65" i="122"/>
  <c r="U65" i="122"/>
  <c r="R66" i="122"/>
  <c r="U66" i="122"/>
  <c r="R67" i="122"/>
  <c r="U67" i="122"/>
  <c r="R68" i="122"/>
  <c r="U68" i="122"/>
  <c r="R69" i="122"/>
  <c r="U69" i="122"/>
  <c r="R70" i="122"/>
  <c r="U70" i="122"/>
  <c r="R71" i="122"/>
  <c r="U71" i="122"/>
  <c r="R72" i="122"/>
  <c r="U72" i="122"/>
  <c r="R73" i="122"/>
  <c r="U73" i="122"/>
  <c r="R74" i="122"/>
  <c r="U74" i="122"/>
  <c r="R75" i="122"/>
  <c r="U75" i="122"/>
  <c r="X3" i="122"/>
  <c r="AA3" i="122"/>
  <c r="B33" i="122"/>
  <c r="D33" i="122"/>
  <c r="B45" i="122"/>
  <c r="D45" i="122"/>
  <c r="B46" i="122"/>
  <c r="D46" i="122"/>
  <c r="B47" i="122"/>
  <c r="D47" i="122"/>
  <c r="B39" i="122"/>
  <c r="D39" i="122"/>
  <c r="B40" i="122"/>
  <c r="D40" i="122"/>
  <c r="U31" i="122"/>
  <c r="R31" i="122"/>
  <c r="H113" i="198"/>
  <c r="G113" i="198"/>
  <c r="H89" i="198"/>
  <c r="G89" i="198"/>
  <c r="R5" i="122"/>
  <c r="U5" i="122"/>
  <c r="R6" i="122"/>
  <c r="U6" i="122"/>
  <c r="R7" i="122"/>
  <c r="U7" i="122"/>
  <c r="R8" i="122"/>
  <c r="U8" i="122"/>
  <c r="R14" i="122"/>
  <c r="U14" i="122"/>
  <c r="R15" i="122"/>
  <c r="U15" i="122"/>
  <c r="R16" i="122"/>
  <c r="U16" i="122"/>
  <c r="R17" i="122"/>
  <c r="U17" i="122"/>
  <c r="R18" i="122"/>
  <c r="U18" i="122"/>
  <c r="R19" i="122"/>
  <c r="U19" i="122"/>
  <c r="R20" i="122"/>
  <c r="U20" i="122"/>
  <c r="U4" i="122"/>
  <c r="R4" i="122"/>
  <c r="D73" i="122"/>
  <c r="B73" i="122"/>
  <c r="D72" i="122"/>
  <c r="B72" i="122"/>
  <c r="D71" i="122"/>
  <c r="B71" i="122"/>
  <c r="D69" i="122"/>
  <c r="B69" i="122"/>
  <c r="D68" i="122"/>
  <c r="B68" i="122"/>
  <c r="D67" i="122"/>
  <c r="B67" i="122"/>
  <c r="D65" i="122"/>
  <c r="B65" i="122"/>
  <c r="D64" i="122"/>
  <c r="B64" i="122"/>
  <c r="D63" i="122"/>
  <c r="B63" i="122"/>
  <c r="D61" i="122"/>
  <c r="B61" i="122"/>
  <c r="D60" i="122"/>
  <c r="B60" i="122"/>
  <c r="D59" i="122"/>
  <c r="B59" i="122"/>
  <c r="D55" i="122"/>
  <c r="B55" i="122"/>
  <c r="D54" i="122"/>
  <c r="B54" i="122"/>
  <c r="D53" i="122"/>
  <c r="B53" i="122"/>
  <c r="D52" i="122"/>
  <c r="B52" i="122"/>
  <c r="A1" i="122"/>
  <c r="A1" i="107"/>
  <c r="R5" i="127"/>
  <c r="U5" i="127"/>
  <c r="R6" i="127"/>
  <c r="U6" i="127"/>
  <c r="R7" i="127"/>
  <c r="U7" i="127"/>
  <c r="R8" i="127"/>
  <c r="U8" i="127"/>
  <c r="R9" i="127"/>
  <c r="U9" i="127"/>
  <c r="R10" i="127"/>
  <c r="U10" i="127"/>
  <c r="R11" i="127"/>
  <c r="U11" i="127"/>
  <c r="U4" i="127"/>
  <c r="R4" i="127"/>
  <c r="D43" i="127"/>
  <c r="B43" i="127"/>
  <c r="D39" i="127"/>
  <c r="B39" i="127"/>
  <c r="D34" i="127"/>
  <c r="B34" i="127"/>
  <c r="T24" i="127"/>
  <c r="U69" i="127"/>
  <c r="R69" i="127"/>
  <c r="U68" i="127"/>
  <c r="R68" i="127"/>
  <c r="U67" i="127"/>
  <c r="R67" i="127"/>
  <c r="U66" i="127"/>
  <c r="R66" i="127"/>
  <c r="U65" i="127"/>
  <c r="R65" i="127"/>
  <c r="U64" i="127"/>
  <c r="R64" i="127"/>
  <c r="U63" i="127"/>
  <c r="R63" i="127"/>
  <c r="U62" i="127"/>
  <c r="R62" i="127"/>
  <c r="U61" i="127"/>
  <c r="R61" i="127"/>
  <c r="U60" i="127"/>
  <c r="R60" i="127"/>
  <c r="U59" i="127"/>
  <c r="R59" i="127"/>
  <c r="U58" i="127"/>
  <c r="R58" i="127"/>
  <c r="U57" i="127"/>
  <c r="R57" i="127"/>
  <c r="U56" i="127"/>
  <c r="R56" i="127"/>
  <c r="U55" i="127"/>
  <c r="R55" i="127"/>
  <c r="U54" i="127"/>
  <c r="R54" i="127"/>
  <c r="U53" i="127"/>
  <c r="R53" i="127"/>
  <c r="U52" i="127"/>
  <c r="R52" i="127"/>
  <c r="U51" i="127"/>
  <c r="R51" i="127"/>
  <c r="U50" i="127"/>
  <c r="R50" i="127"/>
  <c r="U49" i="127"/>
  <c r="R49" i="127"/>
  <c r="U48" i="127"/>
  <c r="R48" i="127"/>
  <c r="U47" i="127"/>
  <c r="R47" i="127"/>
  <c r="U46" i="127"/>
  <c r="R46" i="127"/>
  <c r="U45" i="127"/>
  <c r="R45" i="127"/>
  <c r="U44" i="127"/>
  <c r="R44" i="127"/>
  <c r="U43" i="127"/>
  <c r="R43" i="127"/>
  <c r="U42" i="127"/>
  <c r="R42" i="127"/>
  <c r="U41" i="127"/>
  <c r="R41" i="127"/>
  <c r="U40" i="127"/>
  <c r="R40" i="127"/>
  <c r="U39" i="127"/>
  <c r="R39" i="127"/>
  <c r="U38" i="127"/>
  <c r="R38" i="127"/>
  <c r="U37" i="127"/>
  <c r="R37" i="127"/>
  <c r="U36" i="127"/>
  <c r="R36" i="127"/>
  <c r="U35" i="127"/>
  <c r="R35" i="127"/>
  <c r="U34" i="127"/>
  <c r="R34" i="127"/>
  <c r="U33" i="127"/>
  <c r="R33" i="127"/>
  <c r="U32" i="127"/>
  <c r="R32" i="127"/>
  <c r="U31" i="127"/>
  <c r="R31" i="127"/>
  <c r="U30" i="127"/>
  <c r="R30" i="127"/>
  <c r="U29" i="127"/>
  <c r="R29" i="127"/>
  <c r="U28" i="127"/>
  <c r="R28" i="127"/>
  <c r="U27" i="127"/>
  <c r="R27" i="127"/>
  <c r="U26" i="127"/>
  <c r="R26" i="127"/>
  <c r="U25" i="127"/>
  <c r="R25" i="127"/>
  <c r="U24" i="127"/>
  <c r="R24" i="127"/>
  <c r="U23" i="127"/>
  <c r="R23" i="127"/>
  <c r="U22" i="127"/>
  <c r="R22" i="127"/>
  <c r="U21" i="127"/>
  <c r="R21" i="127"/>
  <c r="U20" i="127"/>
  <c r="R20" i="127"/>
  <c r="U19" i="127"/>
  <c r="R19" i="127"/>
  <c r="U18" i="127"/>
  <c r="R18" i="127"/>
  <c r="U17" i="127"/>
  <c r="R17" i="127"/>
  <c r="AA3" i="127"/>
  <c r="X3" i="127"/>
  <c r="D78" i="127"/>
  <c r="B78" i="127"/>
  <c r="D73" i="127"/>
  <c r="B73" i="127"/>
  <c r="D72" i="127"/>
  <c r="B72" i="127"/>
  <c r="D71" i="127"/>
  <c r="B71" i="127"/>
  <c r="D69" i="127"/>
  <c r="B69" i="127"/>
  <c r="D68" i="127"/>
  <c r="B68" i="127"/>
  <c r="D67" i="127"/>
  <c r="B67" i="127"/>
  <c r="D65" i="127"/>
  <c r="B65" i="127"/>
  <c r="D64" i="127"/>
  <c r="B64" i="127"/>
  <c r="D63" i="127"/>
  <c r="B63" i="127"/>
  <c r="D61" i="127"/>
  <c r="B61" i="127"/>
  <c r="D60" i="127"/>
  <c r="B60" i="127"/>
  <c r="D59" i="127"/>
  <c r="B59" i="127"/>
  <c r="D55" i="127"/>
  <c r="B55" i="127"/>
  <c r="D54" i="127"/>
  <c r="B54" i="127"/>
  <c r="D53" i="127"/>
  <c r="B53" i="127"/>
  <c r="D52" i="127"/>
  <c r="B52" i="127"/>
  <c r="D48" i="127"/>
  <c r="B48" i="127"/>
  <c r="D47" i="127"/>
  <c r="B47" i="127"/>
  <c r="D46" i="127"/>
  <c r="B46" i="127"/>
  <c r="D45" i="127"/>
  <c r="B45" i="127"/>
  <c r="D44" i="127"/>
  <c r="B44" i="127"/>
  <c r="D41" i="127"/>
  <c r="B41" i="127"/>
  <c r="D40" i="127"/>
  <c r="B40" i="127"/>
  <c r="D36" i="127"/>
  <c r="B36" i="127"/>
  <c r="D35" i="127"/>
  <c r="B35" i="127"/>
  <c r="A1" i="127"/>
  <c r="B72" i="99"/>
  <c r="D72" i="99"/>
  <c r="B73" i="99"/>
  <c r="D73" i="99"/>
  <c r="B36" i="99"/>
  <c r="D36" i="99"/>
  <c r="B46" i="99"/>
  <c r="D46" i="99"/>
  <c r="B47" i="99"/>
  <c r="D47" i="99"/>
  <c r="B48" i="99"/>
  <c r="D48" i="99"/>
  <c r="B52" i="99"/>
  <c r="D52" i="99"/>
  <c r="B53" i="99"/>
  <c r="D53" i="99"/>
  <c r="B54" i="99"/>
  <c r="D54" i="99"/>
  <c r="B55" i="99"/>
  <c r="D55" i="99"/>
  <c r="B40" i="99"/>
  <c r="D40" i="99"/>
  <c r="B41" i="99"/>
  <c r="D41" i="99"/>
  <c r="B58" i="99"/>
  <c r="B59" i="99"/>
  <c r="D59" i="99"/>
  <c r="B60" i="99"/>
  <c r="D60" i="99"/>
  <c r="B61" i="99"/>
  <c r="D61" i="99"/>
  <c r="B62" i="99"/>
  <c r="B63" i="99"/>
  <c r="D63" i="99"/>
  <c r="B64" i="99"/>
  <c r="D64" i="99"/>
  <c r="B65" i="99"/>
  <c r="D65" i="99"/>
  <c r="B66" i="99"/>
  <c r="B67" i="99"/>
  <c r="D67" i="99"/>
  <c r="B68" i="99"/>
  <c r="D68" i="99"/>
  <c r="B69" i="99"/>
  <c r="D69" i="99"/>
  <c r="B70" i="99"/>
  <c r="B71" i="99"/>
  <c r="D71" i="99"/>
  <c r="R26" i="99"/>
  <c r="U26" i="99"/>
  <c r="R27" i="99"/>
  <c r="U27" i="99"/>
  <c r="R28" i="99"/>
  <c r="U28" i="99"/>
  <c r="R29" i="99"/>
  <c r="U29" i="99"/>
  <c r="R30" i="99"/>
  <c r="U30" i="99"/>
  <c r="R31" i="99"/>
  <c r="U31" i="99"/>
  <c r="R32" i="99"/>
  <c r="U32" i="99"/>
  <c r="R33" i="99"/>
  <c r="U33" i="99"/>
  <c r="R34" i="99"/>
  <c r="U34" i="99"/>
  <c r="R35" i="99"/>
  <c r="U35" i="99"/>
  <c r="R36" i="99"/>
  <c r="U36" i="99"/>
  <c r="R37" i="99"/>
  <c r="U37" i="99"/>
  <c r="R38" i="99"/>
  <c r="U38" i="99"/>
  <c r="R39" i="99"/>
  <c r="U39" i="99"/>
  <c r="R40" i="99"/>
  <c r="U40" i="99"/>
  <c r="R41" i="99"/>
  <c r="U41" i="99"/>
  <c r="R42" i="99"/>
  <c r="U42" i="99"/>
  <c r="R43" i="99"/>
  <c r="U43" i="99"/>
  <c r="R44" i="99"/>
  <c r="U44" i="99"/>
  <c r="R45" i="99"/>
  <c r="U45" i="99"/>
  <c r="R46" i="99"/>
  <c r="U46" i="99"/>
  <c r="R47" i="99"/>
  <c r="U47" i="99"/>
  <c r="R48" i="99"/>
  <c r="U48" i="99"/>
  <c r="R49" i="99"/>
  <c r="U49" i="99"/>
  <c r="R50" i="99"/>
  <c r="U50" i="99"/>
  <c r="R51" i="99"/>
  <c r="U51" i="99"/>
  <c r="R52" i="99"/>
  <c r="U52" i="99"/>
  <c r="R53" i="99"/>
  <c r="U53" i="99"/>
  <c r="R54" i="99"/>
  <c r="U54" i="99"/>
  <c r="R55" i="99"/>
  <c r="U55" i="99"/>
  <c r="R56" i="99"/>
  <c r="U56" i="99"/>
  <c r="R57" i="99"/>
  <c r="U57" i="99"/>
  <c r="R58" i="99"/>
  <c r="U58" i="99"/>
  <c r="R59" i="99"/>
  <c r="U59" i="99"/>
  <c r="R60" i="99"/>
  <c r="U60" i="99"/>
  <c r="R61" i="99"/>
  <c r="U61" i="99"/>
  <c r="R62" i="99"/>
  <c r="U62" i="99"/>
  <c r="R63" i="99"/>
  <c r="U63" i="99"/>
  <c r="R64" i="99"/>
  <c r="U64" i="99"/>
  <c r="R65" i="99"/>
  <c r="U65" i="99"/>
  <c r="R66" i="99"/>
  <c r="U66" i="99"/>
  <c r="R67" i="99"/>
  <c r="U67" i="99"/>
  <c r="R68" i="99"/>
  <c r="U68" i="99"/>
  <c r="X3" i="99"/>
  <c r="AA3" i="99"/>
  <c r="U25" i="99"/>
  <c r="R25" i="99"/>
  <c r="B45" i="99"/>
  <c r="D45" i="99"/>
  <c r="B77" i="99"/>
  <c r="B78" i="99"/>
  <c r="D78" i="99"/>
  <c r="R22" i="99"/>
  <c r="U22" i="99"/>
  <c r="R23" i="99"/>
  <c r="U23" i="99"/>
  <c r="R24" i="99"/>
  <c r="T24" i="99"/>
  <c r="U24" i="99"/>
  <c r="U21" i="99"/>
  <c r="R21" i="99"/>
  <c r="R18" i="99"/>
  <c r="U18" i="99"/>
  <c r="R19" i="99"/>
  <c r="U19" i="99"/>
  <c r="R20" i="99"/>
  <c r="U20" i="99"/>
  <c r="U17" i="99"/>
  <c r="R17" i="99"/>
  <c r="B35" i="99"/>
  <c r="D35" i="99"/>
  <c r="B44" i="99"/>
  <c r="D44" i="99"/>
  <c r="D34" i="99"/>
  <c r="D43" i="99"/>
  <c r="D39" i="99"/>
  <c r="B34" i="99"/>
  <c r="B43" i="99"/>
  <c r="B39" i="99"/>
  <c r="B51" i="99"/>
  <c r="B42" i="99"/>
  <c r="B37" i="99"/>
  <c r="B33" i="99"/>
  <c r="R5" i="99"/>
  <c r="U5" i="99"/>
  <c r="R6" i="99"/>
  <c r="U6" i="99"/>
  <c r="R7" i="99"/>
  <c r="U7" i="99"/>
  <c r="R8" i="99"/>
  <c r="U8" i="99"/>
  <c r="R14" i="99"/>
  <c r="U14" i="99"/>
  <c r="R15" i="99"/>
  <c r="U15" i="99"/>
  <c r="U4" i="99"/>
  <c r="R4" i="99"/>
  <c r="A1" i="99"/>
  <c r="CF30" i="132" l="1"/>
  <c r="CF29" i="132"/>
  <c r="CH30" i="132"/>
  <c r="CH29" i="132"/>
  <c r="R22" i="124"/>
  <c r="U22" i="124"/>
  <c r="R23" i="124"/>
  <c r="U23" i="124"/>
  <c r="R24" i="124"/>
  <c r="U24" i="124"/>
  <c r="R25" i="124"/>
  <c r="U25" i="124"/>
  <c r="R26" i="124"/>
  <c r="U26" i="124"/>
  <c r="R27" i="124"/>
  <c r="U27" i="124"/>
  <c r="R28" i="124"/>
  <c r="U28" i="124"/>
  <c r="R29" i="124"/>
  <c r="U29" i="124"/>
  <c r="R30" i="124"/>
  <c r="U30" i="124"/>
  <c r="R31" i="124"/>
  <c r="U31" i="124"/>
  <c r="R32" i="124"/>
  <c r="U32" i="124"/>
  <c r="R33" i="124"/>
  <c r="U33" i="124"/>
  <c r="R34" i="124"/>
  <c r="U34" i="124"/>
  <c r="R35" i="124"/>
  <c r="U35" i="124"/>
  <c r="R36" i="124"/>
  <c r="U36" i="124"/>
  <c r="R37" i="124"/>
  <c r="U37" i="124"/>
  <c r="R38" i="124"/>
  <c r="U38" i="124"/>
  <c r="R39" i="124"/>
  <c r="U39" i="124"/>
  <c r="R40" i="124"/>
  <c r="U40" i="124"/>
  <c r="R41" i="124"/>
  <c r="U41" i="124"/>
  <c r="R42" i="124"/>
  <c r="U42" i="124"/>
  <c r="R43" i="124"/>
  <c r="U43" i="124"/>
  <c r="R44" i="124"/>
  <c r="U44" i="124"/>
  <c r="R45" i="124"/>
  <c r="U45" i="124"/>
  <c r="R46" i="124"/>
  <c r="U46" i="124"/>
  <c r="R47" i="124"/>
  <c r="U47" i="124"/>
  <c r="R48" i="124"/>
  <c r="U48" i="124"/>
  <c r="R49" i="124"/>
  <c r="U49" i="124"/>
  <c r="R50" i="124"/>
  <c r="U50" i="124"/>
  <c r="R51" i="124"/>
  <c r="U51" i="124"/>
  <c r="R52" i="124"/>
  <c r="U52" i="124"/>
  <c r="R53" i="124"/>
  <c r="U53" i="124"/>
  <c r="R54" i="124"/>
  <c r="U54" i="124"/>
  <c r="R55" i="124"/>
  <c r="U55" i="124"/>
  <c r="R56" i="124"/>
  <c r="U56" i="124"/>
  <c r="R57" i="124"/>
  <c r="U57" i="124"/>
  <c r="R58" i="124"/>
  <c r="U58" i="124"/>
  <c r="R59" i="124"/>
  <c r="U59" i="124"/>
  <c r="R60" i="124"/>
  <c r="U60" i="124"/>
  <c r="R61" i="124"/>
  <c r="U61" i="124"/>
  <c r="R62" i="124"/>
  <c r="U62" i="124"/>
  <c r="R63" i="124"/>
  <c r="U63" i="124"/>
  <c r="R64" i="124"/>
  <c r="U64" i="124"/>
  <c r="X3" i="124"/>
  <c r="AA3" i="124"/>
  <c r="U21" i="124"/>
  <c r="R21" i="124"/>
  <c r="R21" i="100"/>
  <c r="U21" i="100"/>
  <c r="R22" i="100"/>
  <c r="U22" i="100"/>
  <c r="R23" i="100"/>
  <c r="U23" i="100"/>
  <c r="R24" i="100"/>
  <c r="U24" i="100"/>
  <c r="R25" i="100"/>
  <c r="U25" i="100"/>
  <c r="R17" i="124"/>
  <c r="U17" i="124"/>
  <c r="R18" i="124"/>
  <c r="U18" i="124"/>
  <c r="R19" i="124"/>
  <c r="U19" i="124"/>
  <c r="R20" i="124"/>
  <c r="T20" i="124"/>
  <c r="U20" i="124"/>
  <c r="U16" i="124"/>
  <c r="R16" i="124"/>
  <c r="R13" i="124"/>
  <c r="U13" i="124"/>
  <c r="R14" i="124"/>
  <c r="U14" i="124"/>
  <c r="R15" i="124"/>
  <c r="U15" i="124"/>
  <c r="U12" i="124"/>
  <c r="R12" i="124"/>
  <c r="R5" i="124"/>
  <c r="U5" i="124"/>
  <c r="R6" i="124"/>
  <c r="U6" i="124"/>
  <c r="R7" i="124"/>
  <c r="U7" i="124"/>
  <c r="R8" i="124"/>
  <c r="U8" i="124"/>
  <c r="R9" i="124"/>
  <c r="U9" i="124"/>
  <c r="R10" i="124"/>
  <c r="U10" i="124"/>
  <c r="R11" i="124"/>
  <c r="U11" i="124"/>
  <c r="U4" i="124"/>
  <c r="R4" i="124"/>
  <c r="B73" i="124"/>
  <c r="D73" i="124"/>
  <c r="B46" i="124"/>
  <c r="D46" i="124"/>
  <c r="B47" i="124"/>
  <c r="D47" i="124"/>
  <c r="B48" i="124"/>
  <c r="D48" i="124"/>
  <c r="B52" i="124"/>
  <c r="D52" i="124"/>
  <c r="B53" i="124"/>
  <c r="D53" i="124"/>
  <c r="B54" i="124"/>
  <c r="D54" i="124"/>
  <c r="B55" i="124"/>
  <c r="D55" i="124"/>
  <c r="B40" i="124"/>
  <c r="D40" i="124"/>
  <c r="B41" i="124"/>
  <c r="D41" i="124"/>
  <c r="B59" i="124"/>
  <c r="D59" i="124"/>
  <c r="B60" i="124"/>
  <c r="D60" i="124"/>
  <c r="B61" i="124"/>
  <c r="D61" i="124"/>
  <c r="B63" i="124"/>
  <c r="D63" i="124"/>
  <c r="B64" i="124"/>
  <c r="D64" i="124"/>
  <c r="B65" i="124"/>
  <c r="D65" i="124"/>
  <c r="B67" i="124"/>
  <c r="D67" i="124"/>
  <c r="B68" i="124"/>
  <c r="D68" i="124"/>
  <c r="B69" i="124"/>
  <c r="D69" i="124"/>
  <c r="B71" i="124"/>
  <c r="D71" i="124"/>
  <c r="B72" i="124"/>
  <c r="D72" i="124"/>
  <c r="D36" i="124"/>
  <c r="B36" i="124"/>
  <c r="B77" i="124"/>
  <c r="B78" i="124"/>
  <c r="D78" i="124"/>
  <c r="D45" i="124"/>
  <c r="B45" i="124"/>
  <c r="B43" i="100"/>
  <c r="D43" i="100"/>
  <c r="D35" i="100"/>
  <c r="B35" i="100"/>
  <c r="B44" i="124"/>
  <c r="D44" i="124"/>
  <c r="B34" i="124"/>
  <c r="D34" i="124"/>
  <c r="B43" i="124"/>
  <c r="D43" i="124"/>
  <c r="B39" i="124"/>
  <c r="D39" i="124"/>
  <c r="B35" i="124"/>
  <c r="D35" i="124"/>
  <c r="A1" i="124"/>
  <c r="B70" i="124"/>
  <c r="B66" i="124"/>
  <c r="B62" i="124"/>
  <c r="B58" i="124"/>
  <c r="B51" i="124"/>
  <c r="B42" i="124"/>
  <c r="B37" i="124"/>
  <c r="B33" i="124"/>
  <c r="D44" i="100"/>
  <c r="D72" i="100"/>
  <c r="B44" i="100"/>
  <c r="B72" i="100"/>
  <c r="B33" i="100"/>
  <c r="B34" i="100"/>
  <c r="D34" i="100"/>
  <c r="B42" i="100"/>
  <c r="D42" i="100"/>
  <c r="B37" i="100"/>
  <c r="B38" i="100"/>
  <c r="D38" i="100"/>
  <c r="B56" i="100"/>
  <c r="D56" i="100"/>
  <c r="B57" i="100"/>
  <c r="D57" i="100"/>
  <c r="B58" i="100"/>
  <c r="D58" i="100"/>
  <c r="B59" i="100"/>
  <c r="B60" i="100"/>
  <c r="D60" i="100"/>
  <c r="B61" i="100"/>
  <c r="D61" i="100"/>
  <c r="B62" i="100"/>
  <c r="D62" i="100"/>
  <c r="B63" i="100"/>
  <c r="B64" i="100"/>
  <c r="D64" i="100"/>
  <c r="B65" i="100"/>
  <c r="D65" i="100"/>
  <c r="B66" i="100"/>
  <c r="D66" i="100"/>
  <c r="B67" i="100"/>
  <c r="B68" i="100"/>
  <c r="D68" i="100"/>
  <c r="B69" i="100"/>
  <c r="D69" i="100"/>
  <c r="B70" i="100"/>
  <c r="D70" i="100"/>
  <c r="B36" i="100"/>
  <c r="D36" i="100"/>
  <c r="B41" i="100"/>
  <c r="B45" i="100"/>
  <c r="D45" i="100"/>
  <c r="B46" i="100"/>
  <c r="D46" i="100"/>
  <c r="B47" i="100"/>
  <c r="D47" i="100"/>
  <c r="B48" i="100"/>
  <c r="B49" i="100"/>
  <c r="D49" i="100"/>
  <c r="B50" i="100"/>
  <c r="D50" i="100"/>
  <c r="B51" i="100"/>
  <c r="D51" i="100"/>
  <c r="B52" i="100"/>
  <c r="D52" i="100"/>
  <c r="B39" i="100"/>
  <c r="D39" i="100"/>
  <c r="B40" i="100"/>
  <c r="D40" i="100"/>
  <c r="B55" i="100"/>
  <c r="R27" i="100"/>
  <c r="U27" i="100"/>
  <c r="R28" i="100"/>
  <c r="U28" i="100"/>
  <c r="R29" i="100"/>
  <c r="U29" i="100"/>
  <c r="R30" i="100"/>
  <c r="U30" i="100"/>
  <c r="R31" i="100"/>
  <c r="U31" i="100"/>
  <c r="R32" i="100"/>
  <c r="U32" i="100"/>
  <c r="R33" i="100"/>
  <c r="U33" i="100"/>
  <c r="R34" i="100"/>
  <c r="U34" i="100"/>
  <c r="R35" i="100"/>
  <c r="U35" i="100"/>
  <c r="R36" i="100"/>
  <c r="U36" i="100"/>
  <c r="R37" i="100"/>
  <c r="U37" i="100"/>
  <c r="R38" i="100"/>
  <c r="U38" i="100"/>
  <c r="R39" i="100"/>
  <c r="U39" i="100"/>
  <c r="R40" i="100"/>
  <c r="U40" i="100"/>
  <c r="R41" i="100"/>
  <c r="U41" i="100"/>
  <c r="R42" i="100"/>
  <c r="U42" i="100"/>
  <c r="R43" i="100"/>
  <c r="U43" i="100"/>
  <c r="R44" i="100"/>
  <c r="U44" i="100"/>
  <c r="R45" i="100"/>
  <c r="U45" i="100"/>
  <c r="R46" i="100"/>
  <c r="U46" i="100"/>
  <c r="R47" i="100"/>
  <c r="U47" i="100"/>
  <c r="R48" i="100"/>
  <c r="U48" i="100"/>
  <c r="R49" i="100"/>
  <c r="U49" i="100"/>
  <c r="R50" i="100"/>
  <c r="U50" i="100"/>
  <c r="R51" i="100"/>
  <c r="U51" i="100"/>
  <c r="R52" i="100"/>
  <c r="U52" i="100"/>
  <c r="R53" i="100"/>
  <c r="U53" i="100"/>
  <c r="R54" i="100"/>
  <c r="U54" i="100"/>
  <c r="R55" i="100"/>
  <c r="U55" i="100"/>
  <c r="R56" i="100"/>
  <c r="U56" i="100"/>
  <c r="R57" i="100"/>
  <c r="U57" i="100"/>
  <c r="R58" i="100"/>
  <c r="U58" i="100"/>
  <c r="R59" i="100"/>
  <c r="U59" i="100"/>
  <c r="R60" i="100"/>
  <c r="U60" i="100"/>
  <c r="R61" i="100"/>
  <c r="U61" i="100"/>
  <c r="R62" i="100"/>
  <c r="U62" i="100"/>
  <c r="R63" i="100"/>
  <c r="U63" i="100"/>
  <c r="R64" i="100"/>
  <c r="U64" i="100"/>
  <c r="R65" i="100"/>
  <c r="U65" i="100"/>
  <c r="R66" i="100"/>
  <c r="U66" i="100"/>
  <c r="R67" i="100"/>
  <c r="U67" i="100"/>
  <c r="R68" i="100"/>
  <c r="U68" i="100"/>
  <c r="R69" i="100"/>
  <c r="U69" i="100"/>
  <c r="X3" i="100"/>
  <c r="AA3" i="100"/>
  <c r="U26" i="100"/>
  <c r="R26" i="100"/>
  <c r="R18" i="100"/>
  <c r="U18" i="100"/>
  <c r="R19" i="100"/>
  <c r="U19" i="100"/>
  <c r="R20" i="100"/>
  <c r="U20" i="100"/>
  <c r="R17" i="100"/>
  <c r="U17" i="100"/>
  <c r="R5" i="100"/>
  <c r="U5" i="100"/>
  <c r="R6" i="100"/>
  <c r="U6" i="100"/>
  <c r="R7" i="100"/>
  <c r="U7" i="100"/>
  <c r="R8" i="100"/>
  <c r="U8" i="100"/>
  <c r="R14" i="100"/>
  <c r="U14" i="100"/>
  <c r="R15" i="100"/>
  <c r="U15" i="100"/>
  <c r="U4" i="100"/>
  <c r="R4" i="100"/>
  <c r="W11" i="121"/>
  <c r="W25" i="121"/>
  <c r="W4" i="121"/>
  <c r="X4" i="121"/>
  <c r="AA4" i="121"/>
  <c r="R14" i="121"/>
  <c r="U14" i="121"/>
  <c r="R15" i="121"/>
  <c r="U15" i="121"/>
  <c r="R16" i="121"/>
  <c r="U16" i="121"/>
  <c r="R17" i="121"/>
  <c r="U17" i="121"/>
  <c r="R18" i="121"/>
  <c r="U18" i="121"/>
  <c r="R19" i="121"/>
  <c r="U19" i="121"/>
  <c r="Q20" i="121"/>
  <c r="R20" i="121"/>
  <c r="U20" i="121"/>
  <c r="R21" i="121"/>
  <c r="U21" i="121"/>
  <c r="R22" i="121"/>
  <c r="U22" i="121"/>
  <c r="Q23" i="121"/>
  <c r="R23" i="121"/>
  <c r="U23" i="121"/>
  <c r="R24" i="121"/>
  <c r="U24" i="121"/>
  <c r="R25" i="121"/>
  <c r="U25" i="121"/>
  <c r="R26" i="121"/>
  <c r="U26" i="121"/>
  <c r="R27" i="121"/>
  <c r="U27" i="121"/>
  <c r="R28" i="121"/>
  <c r="U28" i="121"/>
  <c r="R29" i="121"/>
  <c r="U29" i="121"/>
  <c r="R30" i="121"/>
  <c r="U30" i="121"/>
  <c r="R31" i="121"/>
  <c r="U31" i="121"/>
  <c r="R32" i="121"/>
  <c r="U32" i="121"/>
  <c r="R33" i="121"/>
  <c r="U33" i="121"/>
  <c r="R34" i="121"/>
  <c r="U34" i="121"/>
  <c r="R35" i="121"/>
  <c r="U35" i="121"/>
  <c r="R36" i="121"/>
  <c r="U36" i="121"/>
  <c r="Q37" i="121"/>
  <c r="R37" i="121"/>
  <c r="U37" i="121"/>
  <c r="R38" i="121"/>
  <c r="U38" i="121"/>
  <c r="R39" i="121"/>
  <c r="U39" i="121"/>
  <c r="R40" i="121"/>
  <c r="U40" i="121"/>
  <c r="R41" i="121"/>
  <c r="U41" i="121"/>
  <c r="R42" i="121"/>
  <c r="U42" i="121"/>
  <c r="R43" i="121"/>
  <c r="U43" i="121"/>
  <c r="R44" i="121"/>
  <c r="U44" i="121"/>
  <c r="R45" i="121"/>
  <c r="U45" i="121"/>
  <c r="R46" i="121"/>
  <c r="U46" i="121"/>
  <c r="R47" i="121"/>
  <c r="U47" i="121"/>
  <c r="R48" i="121"/>
  <c r="U48" i="121"/>
  <c r="U49" i="121"/>
  <c r="R50" i="121"/>
  <c r="U50" i="121"/>
  <c r="R51" i="121"/>
  <c r="U51" i="121"/>
  <c r="R52" i="121"/>
  <c r="U52" i="121"/>
  <c r="Q53" i="121"/>
  <c r="R53" i="121"/>
  <c r="U53" i="121"/>
  <c r="R54" i="121"/>
  <c r="U54" i="121"/>
  <c r="R55" i="121"/>
  <c r="U55" i="121"/>
  <c r="R56" i="121"/>
  <c r="U56" i="121"/>
  <c r="Q13" i="121"/>
  <c r="U13" i="121"/>
  <c r="R13" i="121"/>
  <c r="R5" i="121"/>
  <c r="U5" i="121"/>
  <c r="R6" i="121"/>
  <c r="U6" i="121"/>
  <c r="R7" i="121"/>
  <c r="U7" i="121"/>
  <c r="R8" i="121"/>
  <c r="U8" i="121"/>
  <c r="R9" i="121"/>
  <c r="U9" i="121"/>
  <c r="R10" i="121"/>
  <c r="U10" i="121"/>
  <c r="R11" i="121"/>
  <c r="U11" i="121"/>
  <c r="R12" i="121"/>
  <c r="U12" i="121"/>
  <c r="Q4" i="121"/>
  <c r="B34" i="121"/>
  <c r="D34" i="121"/>
  <c r="B37" i="121"/>
  <c r="D37" i="121"/>
  <c r="B38" i="121"/>
  <c r="D38" i="121"/>
  <c r="B39" i="121"/>
  <c r="D39" i="121"/>
  <c r="B44" i="121"/>
  <c r="B45" i="121"/>
  <c r="D45" i="121"/>
  <c r="B46" i="121"/>
  <c r="D46" i="121"/>
  <c r="B47" i="121"/>
  <c r="D47" i="121"/>
  <c r="B48" i="121"/>
  <c r="D48" i="121"/>
  <c r="B42" i="121"/>
  <c r="D42" i="121"/>
  <c r="B43" i="121"/>
  <c r="D43" i="121"/>
  <c r="B51" i="121"/>
  <c r="B52" i="121"/>
  <c r="D52" i="121"/>
  <c r="B53" i="121"/>
  <c r="D53" i="121"/>
  <c r="B54" i="121"/>
  <c r="D54" i="121"/>
  <c r="B55" i="121"/>
  <c r="B56" i="121"/>
  <c r="D56" i="121"/>
  <c r="B57" i="121"/>
  <c r="D57" i="121"/>
  <c r="B58" i="121"/>
  <c r="D58" i="121"/>
  <c r="B59" i="121"/>
  <c r="B60" i="121"/>
  <c r="D60" i="121"/>
  <c r="B61" i="121"/>
  <c r="D61" i="121"/>
  <c r="B62" i="121"/>
  <c r="D62" i="121"/>
  <c r="B63" i="121"/>
  <c r="B64" i="121"/>
  <c r="D64" i="121"/>
  <c r="B65" i="121"/>
  <c r="D65" i="121"/>
  <c r="B66" i="121"/>
  <c r="D66" i="121"/>
  <c r="D33" i="121"/>
  <c r="D36" i="121"/>
  <c r="D41" i="121"/>
  <c r="B33" i="121"/>
  <c r="B35" i="121"/>
  <c r="B36" i="121"/>
  <c r="B40" i="121"/>
  <c r="B41" i="121"/>
  <c r="B32" i="121"/>
  <c r="B34" i="98"/>
  <c r="D34" i="98"/>
  <c r="B35" i="98"/>
  <c r="D35" i="98"/>
  <c r="B36" i="98"/>
  <c r="D36" i="98"/>
  <c r="B38" i="98"/>
  <c r="D38" i="98"/>
  <c r="B39" i="98"/>
  <c r="D39" i="98"/>
  <c r="B40" i="98"/>
  <c r="D40" i="98"/>
  <c r="B41" i="98"/>
  <c r="D41" i="98"/>
  <c r="B65" i="98"/>
  <c r="D65" i="98"/>
  <c r="B66" i="98"/>
  <c r="D66" i="98"/>
  <c r="B45" i="98"/>
  <c r="D45" i="98"/>
  <c r="B46" i="98"/>
  <c r="D46" i="98"/>
  <c r="B47" i="98"/>
  <c r="D47" i="98"/>
  <c r="B48" i="98"/>
  <c r="B49" i="98"/>
  <c r="D49" i="98"/>
  <c r="B50" i="98"/>
  <c r="D50" i="98"/>
  <c r="B51" i="98"/>
  <c r="D51" i="98"/>
  <c r="B52" i="98"/>
  <c r="B53" i="98"/>
  <c r="D53" i="98"/>
  <c r="B54" i="98"/>
  <c r="D54" i="98"/>
  <c r="B55" i="98"/>
  <c r="D55" i="98"/>
  <c r="B56" i="98"/>
  <c r="B57" i="98"/>
  <c r="D57" i="98"/>
  <c r="B58" i="98"/>
  <c r="D58" i="98"/>
  <c r="B59" i="98"/>
  <c r="D59" i="98"/>
  <c r="D62" i="98"/>
  <c r="B62" i="98"/>
  <c r="D64" i="98"/>
  <c r="B64" i="98"/>
  <c r="D33" i="98"/>
  <c r="B33" i="98"/>
  <c r="D61" i="98"/>
  <c r="C61" i="98"/>
  <c r="B61" i="98"/>
  <c r="D43" i="98"/>
  <c r="D42" i="98"/>
  <c r="D47" i="125"/>
  <c r="B47" i="125"/>
  <c r="D46" i="125"/>
  <c r="B46" i="125"/>
  <c r="D45" i="125"/>
  <c r="B45" i="125"/>
  <c r="B44" i="125"/>
  <c r="D43" i="125"/>
  <c r="B43" i="125"/>
  <c r="D42" i="125"/>
  <c r="B42" i="125"/>
  <c r="D41" i="125"/>
  <c r="B41" i="125"/>
  <c r="B40" i="125"/>
  <c r="D39" i="125"/>
  <c r="B39" i="125"/>
  <c r="D38" i="125"/>
  <c r="B38" i="125"/>
  <c r="B37" i="125"/>
  <c r="D36" i="125"/>
  <c r="B36" i="125"/>
  <c r="D35" i="125"/>
  <c r="B35" i="125"/>
  <c r="D34" i="125"/>
  <c r="B34" i="125"/>
  <c r="D33" i="125"/>
  <c r="B33" i="125"/>
  <c r="D32" i="125"/>
  <c r="B32" i="125"/>
  <c r="B31" i="125"/>
  <c r="R40" i="125"/>
  <c r="U40" i="125"/>
  <c r="R41" i="125"/>
  <c r="U41" i="125"/>
  <c r="R42" i="125"/>
  <c r="U42" i="125"/>
  <c r="R43" i="125"/>
  <c r="U43" i="125"/>
  <c r="R44" i="125"/>
  <c r="U44" i="125"/>
  <c r="Q45" i="125"/>
  <c r="R46" i="125"/>
  <c r="U46" i="125"/>
  <c r="R47" i="125"/>
  <c r="U47" i="125"/>
  <c r="Q48" i="125"/>
  <c r="R49" i="125"/>
  <c r="U49" i="125"/>
  <c r="R50" i="125"/>
  <c r="U50" i="125"/>
  <c r="R51" i="125"/>
  <c r="U51" i="125"/>
  <c r="R52" i="125"/>
  <c r="U52" i="125"/>
  <c r="R53" i="125"/>
  <c r="U53" i="125"/>
  <c r="R6" i="125"/>
  <c r="U6" i="125"/>
  <c r="R7" i="125"/>
  <c r="U7" i="125"/>
  <c r="R8" i="125"/>
  <c r="U8" i="125"/>
  <c r="R9" i="125"/>
  <c r="U9" i="125"/>
  <c r="R10" i="125"/>
  <c r="U10" i="125"/>
  <c r="R11" i="125"/>
  <c r="U11" i="125"/>
  <c r="R12" i="125"/>
  <c r="U12" i="125"/>
  <c r="Q13" i="125"/>
  <c r="R14" i="125"/>
  <c r="U14" i="125"/>
  <c r="R15" i="125"/>
  <c r="U15" i="125"/>
  <c r="R16" i="125"/>
  <c r="U16" i="125"/>
  <c r="R17" i="125"/>
  <c r="U17" i="125"/>
  <c r="R18" i="125"/>
  <c r="U18" i="125"/>
  <c r="R19" i="125"/>
  <c r="U19" i="125"/>
  <c r="R20" i="125"/>
  <c r="U20" i="125"/>
  <c r="R21" i="125"/>
  <c r="U21" i="125"/>
  <c r="R22" i="125"/>
  <c r="U22" i="125"/>
  <c r="R23" i="125"/>
  <c r="U23" i="125"/>
  <c r="R24" i="125"/>
  <c r="U24" i="125"/>
  <c r="R25" i="125"/>
  <c r="U25" i="125"/>
  <c r="R26" i="125"/>
  <c r="U26" i="125"/>
  <c r="R27" i="125"/>
  <c r="U27" i="125"/>
  <c r="Q28" i="125"/>
  <c r="R29" i="125"/>
  <c r="U29" i="125"/>
  <c r="R30" i="125"/>
  <c r="U30" i="125"/>
  <c r="R31" i="125"/>
  <c r="U31" i="125"/>
  <c r="R32" i="125"/>
  <c r="U32" i="125"/>
  <c r="R33" i="125"/>
  <c r="U33" i="125"/>
  <c r="R34" i="125"/>
  <c r="U34" i="125"/>
  <c r="R35" i="125"/>
  <c r="U35" i="125"/>
  <c r="R36" i="125"/>
  <c r="U36" i="125"/>
  <c r="R37" i="125"/>
  <c r="U37" i="125"/>
  <c r="R38" i="125"/>
  <c r="U38" i="125"/>
  <c r="R39" i="125"/>
  <c r="U39" i="125"/>
  <c r="U5" i="125"/>
  <c r="R5" i="125"/>
  <c r="Q4" i="125"/>
  <c r="R8" i="97"/>
  <c r="U8" i="97"/>
  <c r="R9" i="97"/>
  <c r="U9" i="97"/>
  <c r="D34" i="97"/>
  <c r="D35" i="97"/>
  <c r="D36" i="97"/>
  <c r="B34" i="97"/>
  <c r="B35" i="97"/>
  <c r="B36" i="97"/>
  <c r="B32" i="97"/>
  <c r="D32" i="97"/>
  <c r="B33" i="97"/>
  <c r="D33" i="97"/>
  <c r="B37" i="97"/>
  <c r="B38" i="97"/>
  <c r="D38" i="97"/>
  <c r="B39" i="97"/>
  <c r="D39" i="97"/>
  <c r="B40" i="97"/>
  <c r="B41" i="97"/>
  <c r="D41" i="97"/>
  <c r="B42" i="97"/>
  <c r="D42" i="97"/>
  <c r="B43" i="97"/>
  <c r="D43" i="97"/>
  <c r="B44" i="97"/>
  <c r="B45" i="97"/>
  <c r="D45" i="97"/>
  <c r="B46" i="97"/>
  <c r="D46" i="97"/>
  <c r="B47" i="97"/>
  <c r="D47" i="97"/>
  <c r="B31" i="97"/>
  <c r="R36" i="97" l="1"/>
  <c r="U36" i="97"/>
  <c r="R37" i="97"/>
  <c r="U37" i="97"/>
  <c r="R38" i="97"/>
  <c r="U38" i="97"/>
  <c r="R39" i="97"/>
  <c r="U39" i="97"/>
  <c r="R40" i="97"/>
  <c r="U40" i="97"/>
  <c r="R41" i="97"/>
  <c r="U41" i="97"/>
  <c r="R42" i="97"/>
  <c r="U42" i="97"/>
  <c r="R43" i="97"/>
  <c r="U43" i="97"/>
  <c r="R44" i="97"/>
  <c r="U44" i="97"/>
  <c r="R45" i="97"/>
  <c r="U45" i="97"/>
  <c r="Q46" i="97"/>
  <c r="R47" i="97"/>
  <c r="U47" i="97"/>
  <c r="R48" i="97"/>
  <c r="U48" i="97"/>
  <c r="R16" i="97"/>
  <c r="U16" i="97"/>
  <c r="R17" i="97"/>
  <c r="U17" i="97"/>
  <c r="R18" i="97"/>
  <c r="U18" i="97"/>
  <c r="R19" i="97"/>
  <c r="U19" i="97"/>
  <c r="R20" i="97"/>
  <c r="U20" i="97"/>
  <c r="R21" i="97"/>
  <c r="U21" i="97"/>
  <c r="R22" i="97"/>
  <c r="U22" i="97"/>
  <c r="R23" i="97"/>
  <c r="U23" i="97"/>
  <c r="R24" i="97"/>
  <c r="U24" i="97"/>
  <c r="R25" i="97"/>
  <c r="U25" i="97"/>
  <c r="R26" i="97"/>
  <c r="U26" i="97"/>
  <c r="R27" i="97"/>
  <c r="U27" i="97"/>
  <c r="R28" i="97"/>
  <c r="U28" i="97"/>
  <c r="Q29" i="97"/>
  <c r="R30" i="97"/>
  <c r="U30" i="97"/>
  <c r="R31" i="97"/>
  <c r="U31" i="97"/>
  <c r="R32" i="97"/>
  <c r="U32" i="97"/>
  <c r="R33" i="97"/>
  <c r="U33" i="97"/>
  <c r="R34" i="97"/>
  <c r="U34" i="97"/>
  <c r="R35" i="97"/>
  <c r="U35" i="97"/>
  <c r="U15" i="97"/>
  <c r="R15" i="97"/>
  <c r="Q14" i="97"/>
  <c r="Q5" i="97"/>
  <c r="R13" i="97"/>
  <c r="U13" i="97"/>
  <c r="R7" i="97"/>
  <c r="U7" i="97"/>
  <c r="R10" i="97"/>
  <c r="U10" i="97"/>
  <c r="R11" i="97"/>
  <c r="U11" i="97"/>
  <c r="R12" i="97"/>
  <c r="U12" i="97"/>
  <c r="U6" i="97"/>
  <c r="R6" i="97"/>
  <c r="BF122" i="163"/>
  <c r="BF121" i="163"/>
  <c r="BE241" i="164" l="1"/>
  <c r="BE240" i="164"/>
  <c r="BE239" i="164"/>
  <c r="BE238" i="164"/>
  <c r="BE237" i="164"/>
  <c r="BE236" i="164"/>
  <c r="BE242" i="164"/>
  <c r="BE271" i="164"/>
  <c r="BE270" i="164"/>
  <c r="BE269" i="164"/>
  <c r="BE268" i="164"/>
  <c r="BE267" i="164"/>
  <c r="BE266" i="164"/>
  <c r="BE265" i="164"/>
  <c r="BE264" i="164"/>
  <c r="BE263" i="164"/>
  <c r="BE262" i="164"/>
  <c r="BE261" i="164"/>
  <c r="BE260" i="164"/>
  <c r="BE259" i="164"/>
  <c r="BE258" i="164"/>
  <c r="BE257" i="164"/>
  <c r="BE256" i="164"/>
  <c r="BE255" i="164"/>
  <c r="BE254" i="164"/>
  <c r="BE253" i="164"/>
  <c r="BE252" i="164"/>
  <c r="BE251" i="164"/>
  <c r="BE250" i="164"/>
  <c r="BE249" i="164"/>
  <c r="BE248" i="164"/>
  <c r="BE247" i="164"/>
  <c r="BE246" i="164"/>
  <c r="BE245" i="164"/>
  <c r="BE244" i="164"/>
  <c r="BE243" i="164"/>
  <c r="BG242" i="164"/>
  <c r="BD242" i="164" s="1"/>
  <c r="BG271" i="164"/>
  <c r="BO271" i="164" s="1"/>
  <c r="Q185" i="164" s="1"/>
  <c r="BG270" i="164"/>
  <c r="BD270" i="164" s="1"/>
  <c r="BG269" i="164"/>
  <c r="BD269" i="164" s="1"/>
  <c r="BG268" i="164"/>
  <c r="BD268" i="164" s="1"/>
  <c r="BG267" i="164"/>
  <c r="BO267" i="164" s="1"/>
  <c r="Q173" i="164" s="1"/>
  <c r="BG266" i="164"/>
  <c r="BD266" i="164" s="1"/>
  <c r="BG265" i="164"/>
  <c r="BD265" i="164" s="1"/>
  <c r="BG264" i="164"/>
  <c r="BD264" i="164" s="1"/>
  <c r="BG263" i="164"/>
  <c r="BD263" i="164" s="1"/>
  <c r="BG262" i="164"/>
  <c r="BD262" i="164" s="1"/>
  <c r="BG261" i="164"/>
  <c r="BD261" i="164" s="1"/>
  <c r="BG260" i="164"/>
  <c r="BO260" i="164" s="1"/>
  <c r="Q146" i="164" s="1"/>
  <c r="BG259" i="164"/>
  <c r="BO259" i="164" s="1"/>
  <c r="Q137" i="164" s="1"/>
  <c r="BG258" i="164"/>
  <c r="BO258" i="164" s="1"/>
  <c r="Q134" i="164" s="1"/>
  <c r="BG257" i="164"/>
  <c r="BD257" i="164" s="1"/>
  <c r="BG256" i="164"/>
  <c r="BO256" i="164" s="1"/>
  <c r="Q128" i="164" s="1"/>
  <c r="BG255" i="164"/>
  <c r="BD255" i="164" s="1"/>
  <c r="BG254" i="164"/>
  <c r="BO254" i="164" s="1"/>
  <c r="Q122" i="164" s="1"/>
  <c r="BG253" i="164"/>
  <c r="BD253" i="164" s="1"/>
  <c r="BG252" i="164"/>
  <c r="BO252" i="164" s="1"/>
  <c r="Q110" i="164" s="1"/>
  <c r="BG251" i="164"/>
  <c r="BD251" i="164" s="1"/>
  <c r="BG250" i="164"/>
  <c r="BD250" i="164" s="1"/>
  <c r="BG249" i="164"/>
  <c r="BO249" i="164" s="1"/>
  <c r="Q101" i="164" s="1"/>
  <c r="BG248" i="164"/>
  <c r="BO248" i="164" s="1"/>
  <c r="Q98" i="164" s="1"/>
  <c r="BG247" i="164"/>
  <c r="BD247" i="164" s="1"/>
  <c r="BG246" i="164"/>
  <c r="BD246" i="164" s="1"/>
  <c r="BG245" i="164"/>
  <c r="BO245" i="164" s="1"/>
  <c r="Q83" i="164" s="1"/>
  <c r="BG244" i="164"/>
  <c r="BO244" i="164" s="1"/>
  <c r="Q80" i="164" s="1"/>
  <c r="BG243" i="164"/>
  <c r="BO243" i="164" s="1"/>
  <c r="Q77" i="164" s="1"/>
  <c r="BO246" i="164"/>
  <c r="Q86" i="164" s="1"/>
  <c r="BO247" i="164"/>
  <c r="Q89" i="164" s="1"/>
  <c r="BO253" i="164"/>
  <c r="Q113" i="164" s="1"/>
  <c r="BN226" i="143"/>
  <c r="Q142" i="143" s="1"/>
  <c r="BO242" i="164" l="1"/>
  <c r="Q74" i="164" s="1"/>
  <c r="BD254" i="164"/>
  <c r="BD267" i="164"/>
  <c r="BD256" i="164"/>
  <c r="BO265" i="164"/>
  <c r="Q161" i="164" s="1"/>
  <c r="BO261" i="164"/>
  <c r="Q149" i="164" s="1"/>
  <c r="BO255" i="164"/>
  <c r="Q125" i="164" s="1"/>
  <c r="BD249" i="164"/>
  <c r="BD244" i="164"/>
  <c r="BD271" i="164"/>
  <c r="BD258" i="164"/>
  <c r="BD245" i="164"/>
  <c r="BD260" i="164"/>
  <c r="BD243" i="164"/>
  <c r="BO270" i="164"/>
  <c r="Q182" i="164" s="1"/>
  <c r="BD259" i="164"/>
  <c r="BO264" i="164"/>
  <c r="Q158" i="164" s="1"/>
  <c r="BO266" i="164"/>
  <c r="Q170" i="164" s="1"/>
  <c r="BO250" i="164"/>
  <c r="Q104" i="164" s="1"/>
  <c r="BD252" i="164"/>
  <c r="BD248" i="164"/>
  <c r="H39" i="198"/>
  <c r="G39" i="198"/>
  <c r="Z703" i="112"/>
  <c r="AD703" i="112"/>
  <c r="E703" i="112" s="1"/>
  <c r="AE703" i="112"/>
  <c r="AF703" i="112"/>
  <c r="C703" i="112"/>
  <c r="AF590" i="112"/>
  <c r="AE590" i="112"/>
  <c r="AD590" i="112"/>
  <c r="Z590" i="112"/>
  <c r="AD588" i="112"/>
  <c r="AE588" i="112"/>
  <c r="AF588" i="112"/>
  <c r="Z588" i="112"/>
  <c r="D41" i="203" l="1"/>
  <c r="D42" i="203"/>
  <c r="D40" i="203"/>
  <c r="D25" i="203"/>
  <c r="D26" i="203"/>
  <c r="D27" i="203"/>
  <c r="D28" i="203"/>
  <c r="D29" i="203"/>
  <c r="D24" i="203"/>
  <c r="Z742" i="112" l="1"/>
  <c r="AD742" i="112"/>
  <c r="E742" i="112" s="1"/>
  <c r="AE742" i="112"/>
  <c r="AF742" i="112"/>
  <c r="Z743" i="112"/>
  <c r="AD743" i="112"/>
  <c r="E743" i="112" s="1"/>
  <c r="AE743" i="112"/>
  <c r="AF743" i="112"/>
  <c r="Z744" i="112"/>
  <c r="AD744" i="112"/>
  <c r="E744" i="112" s="1"/>
  <c r="AE744" i="112"/>
  <c r="AF744" i="112"/>
  <c r="Z745" i="112"/>
  <c r="AD745" i="112"/>
  <c r="E745" i="112" s="1"/>
  <c r="AE745" i="112"/>
  <c r="AF745" i="112"/>
  <c r="Z746" i="112"/>
  <c r="AD746" i="112"/>
  <c r="E746" i="112" s="1"/>
  <c r="AE746" i="112"/>
  <c r="AF746" i="112"/>
  <c r="C746" i="112"/>
  <c r="C745" i="112"/>
  <c r="C744" i="112"/>
  <c r="C743" i="112"/>
  <c r="C742" i="112"/>
  <c r="A103" i="133" l="1"/>
  <c r="A102" i="133"/>
  <c r="A101" i="133"/>
  <c r="A100" i="133"/>
  <c r="A99" i="133"/>
  <c r="A98" i="133"/>
  <c r="A97" i="133"/>
  <c r="A96" i="133"/>
  <c r="A95" i="133"/>
  <c r="A94" i="133"/>
  <c r="A93" i="133"/>
  <c r="A92" i="133"/>
  <c r="A87" i="133"/>
  <c r="A86" i="133"/>
  <c r="A85" i="133"/>
  <c r="A84" i="133"/>
  <c r="A83" i="133"/>
  <c r="B80" i="133"/>
  <c r="C69" i="133"/>
  <c r="C68" i="133"/>
  <c r="C67" i="133"/>
  <c r="C59" i="133"/>
  <c r="D23" i="168" s="1"/>
  <c r="C60" i="133"/>
  <c r="D24" i="168" s="1"/>
  <c r="C61" i="133"/>
  <c r="D25" i="168" s="1"/>
  <c r="C19" i="133"/>
  <c r="C18" i="133"/>
  <c r="C16" i="133"/>
  <c r="C15" i="133"/>
  <c r="C14" i="133"/>
  <c r="C13" i="133"/>
  <c r="C12" i="133"/>
  <c r="C9" i="133"/>
  <c r="C8" i="133"/>
  <c r="C7" i="133"/>
  <c r="C6" i="133"/>
  <c r="C5" i="133"/>
  <c r="C4" i="133"/>
  <c r="C80" i="133" l="1"/>
  <c r="D26" i="204" l="1"/>
  <c r="D48" i="203"/>
  <c r="AD340" i="112"/>
  <c r="AE340" i="112"/>
  <c r="AF340" i="112"/>
  <c r="Z340" i="112"/>
  <c r="E85" i="143" l="1"/>
  <c r="BF217" i="143"/>
  <c r="BD217" i="143" s="1"/>
  <c r="BK217" i="143" s="1"/>
  <c r="BM217" i="143" l="1"/>
  <c r="R29" i="166" s="1"/>
  <c r="BN217" i="143"/>
  <c r="G710" i="112"/>
  <c r="BC217" i="143"/>
  <c r="F710" i="112" l="1"/>
  <c r="M29" i="166"/>
  <c r="H752" i="112"/>
  <c r="H747" i="112"/>
  <c r="H748" i="112"/>
  <c r="H749" i="112"/>
  <c r="H750" i="112"/>
  <c r="H751" i="112"/>
  <c r="H355" i="112"/>
  <c r="BE180" i="131"/>
  <c r="G355" i="112" s="1"/>
  <c r="BE181" i="131"/>
  <c r="BK181" i="131" s="1"/>
  <c r="BM204" i="131"/>
  <c r="BM203" i="131"/>
  <c r="BM202" i="131"/>
  <c r="BM201" i="131"/>
  <c r="BM200" i="131"/>
  <c r="BM199" i="131"/>
  <c r="BM198" i="131"/>
  <c r="BM197" i="131"/>
  <c r="BM196" i="131"/>
  <c r="BM195" i="131"/>
  <c r="BM194" i="131"/>
  <c r="BM193" i="131"/>
  <c r="BM192" i="131"/>
  <c r="BM191" i="131"/>
  <c r="BM190" i="131"/>
  <c r="BM189" i="131"/>
  <c r="BM188" i="131"/>
  <c r="BM187" i="131"/>
  <c r="BN204" i="131"/>
  <c r="BL204" i="131" s="1"/>
  <c r="BN203" i="131"/>
  <c r="BK203" i="131" s="1"/>
  <c r="BN202" i="131"/>
  <c r="BL202" i="131" s="1"/>
  <c r="BN201" i="131"/>
  <c r="BL201" i="131" s="1"/>
  <c r="BN200" i="131"/>
  <c r="BL200" i="131" s="1"/>
  <c r="BN199" i="131"/>
  <c r="BL199" i="131" s="1"/>
  <c r="BN198" i="131"/>
  <c r="BL198" i="131" s="1"/>
  <c r="BN197" i="131"/>
  <c r="BL197" i="131" s="1"/>
  <c r="BN196" i="131"/>
  <c r="BK196" i="131" s="1"/>
  <c r="BN195" i="131"/>
  <c r="BL195" i="131" s="1"/>
  <c r="BN194" i="131"/>
  <c r="BL194" i="131" s="1"/>
  <c r="BN193" i="131"/>
  <c r="BL193" i="131" s="1"/>
  <c r="BN192" i="131"/>
  <c r="BJ192" i="131" s="1"/>
  <c r="BN191" i="131"/>
  <c r="BK191" i="131" s="1"/>
  <c r="BN190" i="131"/>
  <c r="BL190" i="131" s="1"/>
  <c r="BN189" i="131"/>
  <c r="BL189" i="131" s="1"/>
  <c r="BN188" i="131"/>
  <c r="BL188" i="131" s="1"/>
  <c r="BN187" i="131"/>
  <c r="BK187" i="131" s="1"/>
  <c r="BP204" i="131"/>
  <c r="BP203" i="131"/>
  <c r="BP202" i="131"/>
  <c r="BP201" i="131"/>
  <c r="BP200" i="131"/>
  <c r="BP199" i="131"/>
  <c r="BP198" i="131"/>
  <c r="BP197" i="131"/>
  <c r="BP196" i="131"/>
  <c r="BP195" i="131"/>
  <c r="BP194" i="131"/>
  <c r="BP193" i="131"/>
  <c r="BP192" i="131"/>
  <c r="BP191" i="131"/>
  <c r="BP190" i="131"/>
  <c r="BP189" i="131"/>
  <c r="BP188" i="131"/>
  <c r="BP187" i="131"/>
  <c r="BE136" i="205"/>
  <c r="BD136" i="205"/>
  <c r="BC136" i="205"/>
  <c r="BB136" i="205"/>
  <c r="BA136" i="205"/>
  <c r="BE121" i="204"/>
  <c r="BD121" i="204"/>
  <c r="BC121" i="204"/>
  <c r="BB121" i="204"/>
  <c r="BA121" i="204"/>
  <c r="BJ196" i="131" l="1"/>
  <c r="BJ189" i="131"/>
  <c r="BS189" i="131" s="1"/>
  <c r="G741" i="112"/>
  <c r="BJ187" i="131"/>
  <c r="BL187" i="131"/>
  <c r="BK189" i="131"/>
  <c r="BJ190" i="131"/>
  <c r="BI190" i="131" s="1"/>
  <c r="BD181" i="131"/>
  <c r="BK180" i="131"/>
  <c r="BD180" i="131" s="1"/>
  <c r="BL196" i="131"/>
  <c r="BS196" i="131" s="1"/>
  <c r="BL203" i="131"/>
  <c r="BJ199" i="131"/>
  <c r="BI199" i="131" s="1"/>
  <c r="BK188" i="131"/>
  <c r="BK199" i="131"/>
  <c r="BL192" i="131"/>
  <c r="BI192" i="131" s="1"/>
  <c r="BJ204" i="131"/>
  <c r="BI204" i="131" s="1"/>
  <c r="BK204" i="131"/>
  <c r="BK194" i="131"/>
  <c r="BL191" i="131"/>
  <c r="BK192" i="131"/>
  <c r="BJ191" i="131"/>
  <c r="BK200" i="131"/>
  <c r="BJ200" i="131"/>
  <c r="BS200" i="131" s="1"/>
  <c r="BJ201" i="131"/>
  <c r="BS201" i="131" s="1"/>
  <c r="BJ203" i="131"/>
  <c r="BK201" i="131"/>
  <c r="BK190" i="131"/>
  <c r="BJ195" i="131"/>
  <c r="BK195" i="131"/>
  <c r="BJ194" i="131"/>
  <c r="BJ188" i="131"/>
  <c r="BJ193" i="131"/>
  <c r="BK193" i="131"/>
  <c r="BJ198" i="131"/>
  <c r="BK198" i="131"/>
  <c r="BJ197" i="131"/>
  <c r="BK197" i="131"/>
  <c r="BJ202" i="131"/>
  <c r="BK202" i="131"/>
  <c r="BI191" i="131" l="1"/>
  <c r="BH191" i="131" s="1"/>
  <c r="M292" i="166" s="1"/>
  <c r="BI187" i="131"/>
  <c r="BH187" i="131" s="1"/>
  <c r="M284" i="166" s="1"/>
  <c r="BS190" i="131"/>
  <c r="BI189" i="131"/>
  <c r="BH189" i="131" s="1"/>
  <c r="M288" i="166" s="1"/>
  <c r="BI196" i="131"/>
  <c r="BH196" i="131" s="1"/>
  <c r="M302" i="166" s="1"/>
  <c r="BS187" i="131"/>
  <c r="BT187" i="131" s="1"/>
  <c r="R284" i="166" s="1"/>
  <c r="F741" i="112"/>
  <c r="M281" i="166"/>
  <c r="F355" i="112"/>
  <c r="M279" i="166"/>
  <c r="BT196" i="131"/>
  <c r="R302" i="166" s="1"/>
  <c r="J93" i="131"/>
  <c r="BT189" i="131"/>
  <c r="R288" i="166" s="1"/>
  <c r="J66" i="131"/>
  <c r="BT190" i="131"/>
  <c r="R290" i="166" s="1"/>
  <c r="J69" i="131"/>
  <c r="BT201" i="131"/>
  <c r="R312" i="166" s="1"/>
  <c r="J114" i="131"/>
  <c r="BT200" i="131"/>
  <c r="R310" i="166" s="1"/>
  <c r="J111" i="131"/>
  <c r="BS199" i="131"/>
  <c r="BS203" i="131"/>
  <c r="BS204" i="131"/>
  <c r="BS192" i="131"/>
  <c r="BH204" i="131"/>
  <c r="M318" i="166" s="1"/>
  <c r="BI200" i="131"/>
  <c r="BH200" i="131" s="1"/>
  <c r="M310" i="166" s="1"/>
  <c r="BH199" i="131"/>
  <c r="M308" i="166" s="1"/>
  <c r="BI203" i="131"/>
  <c r="BH203" i="131" s="1"/>
  <c r="M316" i="166" s="1"/>
  <c r="BI201" i="131"/>
  <c r="BH201" i="131" s="1"/>
  <c r="M312" i="166" s="1"/>
  <c r="BH192" i="131"/>
  <c r="M294" i="166" s="1"/>
  <c r="BS191" i="131"/>
  <c r="BH190" i="131"/>
  <c r="M290" i="166" s="1"/>
  <c r="BS193" i="131"/>
  <c r="BI193" i="131"/>
  <c r="BH193" i="131" s="1"/>
  <c r="M296" i="166" s="1"/>
  <c r="BI198" i="131"/>
  <c r="BH198" i="131" s="1"/>
  <c r="M306" i="166" s="1"/>
  <c r="BS198" i="131"/>
  <c r="BI197" i="131"/>
  <c r="BH197" i="131" s="1"/>
  <c r="M304" i="166" s="1"/>
  <c r="BS197" i="131"/>
  <c r="BS195" i="131"/>
  <c r="BI195" i="131"/>
  <c r="BH195" i="131" s="1"/>
  <c r="M300" i="166" s="1"/>
  <c r="BS188" i="131"/>
  <c r="BI188" i="131"/>
  <c r="BH188" i="131" s="1"/>
  <c r="M286" i="166" s="1"/>
  <c r="BS194" i="131"/>
  <c r="BI194" i="131"/>
  <c r="BH194" i="131" s="1"/>
  <c r="M298" i="166" s="1"/>
  <c r="BI202" i="131"/>
  <c r="BH202" i="131" s="1"/>
  <c r="M314" i="166" s="1"/>
  <c r="BS202" i="131"/>
  <c r="BS207" i="131" l="1"/>
  <c r="BQ211" i="131" s="1"/>
  <c r="D139" i="131" s="1"/>
  <c r="J60" i="131"/>
  <c r="BT204" i="131"/>
  <c r="R318" i="166" s="1"/>
  <c r="J123" i="131"/>
  <c r="BT197" i="131"/>
  <c r="R304" i="166" s="1"/>
  <c r="J96" i="131"/>
  <c r="BT199" i="131"/>
  <c r="R308" i="166" s="1"/>
  <c r="J108" i="131"/>
  <c r="BT202" i="131"/>
  <c r="R314" i="166" s="1"/>
  <c r="J117" i="131"/>
  <c r="BT188" i="131"/>
  <c r="R286" i="166" s="1"/>
  <c r="J63" i="131"/>
  <c r="BT203" i="131"/>
  <c r="R316" i="166" s="1"/>
  <c r="J120" i="131"/>
  <c r="BT191" i="131"/>
  <c r="R292" i="166" s="1"/>
  <c r="J72" i="131"/>
  <c r="BT198" i="131"/>
  <c r="R306" i="166" s="1"/>
  <c r="J99" i="131"/>
  <c r="BT193" i="131"/>
  <c r="R296" i="166" s="1"/>
  <c r="J84" i="131"/>
  <c r="BT194" i="131"/>
  <c r="R298" i="166" s="1"/>
  <c r="J87" i="131"/>
  <c r="BT195" i="131"/>
  <c r="R300" i="166" s="1"/>
  <c r="J90" i="131"/>
  <c r="BT192" i="131"/>
  <c r="R294" i="166" s="1"/>
  <c r="J75" i="131"/>
  <c r="H25" i="184"/>
  <c r="I25" i="184"/>
  <c r="J25" i="184"/>
  <c r="K25" i="184"/>
  <c r="L25" i="184"/>
  <c r="M25" i="184"/>
  <c r="N25" i="184"/>
  <c r="O25" i="184"/>
  <c r="G25" i="184"/>
  <c r="AD171" i="112" l="1"/>
  <c r="E171" i="112" s="1"/>
  <c r="AE171" i="112"/>
  <c r="AF171" i="112"/>
  <c r="AD172" i="112"/>
  <c r="E172" i="112" s="1"/>
  <c r="AE172" i="112"/>
  <c r="AF172" i="112"/>
  <c r="AD173" i="112"/>
  <c r="E173" i="112" s="1"/>
  <c r="AE173" i="112"/>
  <c r="AF173" i="112"/>
  <c r="AD174" i="112"/>
  <c r="E174" i="112" s="1"/>
  <c r="AE174" i="112"/>
  <c r="AF174" i="112"/>
  <c r="AD175" i="112"/>
  <c r="E175" i="112" s="1"/>
  <c r="AE175" i="112"/>
  <c r="AF175" i="112"/>
  <c r="AD176" i="112"/>
  <c r="E176" i="112" s="1"/>
  <c r="AE176" i="112"/>
  <c r="AF176" i="112"/>
  <c r="AD177" i="112"/>
  <c r="E177" i="112" s="1"/>
  <c r="AE177" i="112"/>
  <c r="AF177" i="112"/>
  <c r="Z175" i="112"/>
  <c r="Z174" i="112"/>
  <c r="Z176" i="112"/>
  <c r="Z173" i="112"/>
  <c r="Z177" i="112"/>
  <c r="Z172" i="112"/>
  <c r="Z171" i="112"/>
  <c r="C177" i="112"/>
  <c r="C176" i="112"/>
  <c r="C175" i="112"/>
  <c r="C174" i="112"/>
  <c r="C173" i="112"/>
  <c r="C172" i="112"/>
  <c r="C171" i="112"/>
  <c r="AD161" i="112"/>
  <c r="E161" i="112" s="1"/>
  <c r="AE161" i="112"/>
  <c r="AF161" i="112"/>
  <c r="AD162" i="112"/>
  <c r="E162" i="112" s="1"/>
  <c r="AE162" i="112"/>
  <c r="AF162" i="112"/>
  <c r="AD163" i="112"/>
  <c r="E163" i="112" s="1"/>
  <c r="AE163" i="112"/>
  <c r="AF163" i="112"/>
  <c r="AD164" i="112"/>
  <c r="E164" i="112" s="1"/>
  <c r="AE164" i="112"/>
  <c r="AF164" i="112"/>
  <c r="AD165" i="112"/>
  <c r="E165" i="112" s="1"/>
  <c r="AE165" i="112"/>
  <c r="AF165" i="112"/>
  <c r="AD166" i="112"/>
  <c r="E166" i="112" s="1"/>
  <c r="AE166" i="112"/>
  <c r="AF166" i="112"/>
  <c r="AD167" i="112"/>
  <c r="E167" i="112" s="1"/>
  <c r="AE167" i="112"/>
  <c r="AF167" i="112"/>
  <c r="AD168" i="112"/>
  <c r="E168" i="112" s="1"/>
  <c r="AE168" i="112"/>
  <c r="AF168" i="112"/>
  <c r="AD169" i="112"/>
  <c r="E169" i="112" s="1"/>
  <c r="AE169" i="112"/>
  <c r="AF169" i="112"/>
  <c r="AD170" i="112"/>
  <c r="E170" i="112" s="1"/>
  <c r="AE170" i="112"/>
  <c r="AF170" i="112"/>
  <c r="Z162" i="112"/>
  <c r="Z163" i="112"/>
  <c r="Z164" i="112"/>
  <c r="Z165" i="112"/>
  <c r="Z166" i="112"/>
  <c r="Z167" i="112"/>
  <c r="Z168" i="112"/>
  <c r="Z169" i="112"/>
  <c r="Z170" i="112"/>
  <c r="Z161" i="112"/>
  <c r="C162" i="112"/>
  <c r="C163" i="112"/>
  <c r="C164" i="112"/>
  <c r="C165" i="112"/>
  <c r="C166" i="112"/>
  <c r="C167" i="112"/>
  <c r="C168" i="112"/>
  <c r="C169" i="112"/>
  <c r="C170" i="112"/>
  <c r="C161" i="112"/>
  <c r="AD159" i="112"/>
  <c r="E159" i="112" s="1"/>
  <c r="AE159" i="112"/>
  <c r="AF159" i="112"/>
  <c r="AD160" i="112"/>
  <c r="E160" i="112" s="1"/>
  <c r="AE160" i="112"/>
  <c r="AF160" i="112"/>
  <c r="Z160" i="112"/>
  <c r="Z159" i="112"/>
  <c r="C160" i="112"/>
  <c r="C159" i="112"/>
  <c r="Z157" i="112"/>
  <c r="AD157" i="112"/>
  <c r="E157" i="112" s="1"/>
  <c r="AE157" i="112"/>
  <c r="AF157" i="112"/>
  <c r="Z158" i="112"/>
  <c r="AD158" i="112"/>
  <c r="E158" i="112" s="1"/>
  <c r="AE158" i="112"/>
  <c r="AF158" i="112"/>
  <c r="X157" i="112"/>
  <c r="X158" i="112"/>
  <c r="X156" i="112"/>
  <c r="W158" i="112"/>
  <c r="W157" i="112"/>
  <c r="Y157" i="112"/>
  <c r="Y158" i="112"/>
  <c r="Y156" i="112"/>
  <c r="W156" i="112"/>
  <c r="AD156" i="112"/>
  <c r="E156" i="112" s="1"/>
  <c r="AE156" i="112"/>
  <c r="AF156" i="112"/>
  <c r="Z156" i="112"/>
  <c r="AD155" i="112"/>
  <c r="E155" i="112" s="1"/>
  <c r="AE155" i="112"/>
  <c r="AF155" i="112"/>
  <c r="W155" i="112"/>
  <c r="Y155" i="112"/>
  <c r="X155" i="112"/>
  <c r="Z155" i="112"/>
  <c r="Z154" i="112"/>
  <c r="AD154" i="112"/>
  <c r="E154" i="112" s="1"/>
  <c r="AE154" i="112"/>
  <c r="AF154" i="112"/>
  <c r="Z152" i="112"/>
  <c r="AD152" i="112"/>
  <c r="E152" i="112" s="1"/>
  <c r="AE152" i="112"/>
  <c r="AF152" i="112"/>
  <c r="Z153" i="112"/>
  <c r="AD153" i="112"/>
  <c r="E153" i="112" s="1"/>
  <c r="AE153" i="112"/>
  <c r="AF153" i="112"/>
  <c r="AD151" i="112"/>
  <c r="E151" i="112" s="1"/>
  <c r="AE151" i="112"/>
  <c r="AF151" i="112"/>
  <c r="Z151" i="112"/>
  <c r="C158" i="112"/>
  <c r="C157" i="112"/>
  <c r="C156" i="112"/>
  <c r="C155" i="112"/>
  <c r="C154" i="112"/>
  <c r="C153" i="112"/>
  <c r="C152" i="112"/>
  <c r="C151" i="112"/>
  <c r="K5" i="189" l="1"/>
  <c r="K6" i="189" s="1"/>
  <c r="K7" i="189" s="1"/>
  <c r="L29" i="189"/>
  <c r="L30" i="189" s="1"/>
  <c r="L31" i="189" s="1"/>
  <c r="L33" i="189" s="1"/>
  <c r="J47" i="189"/>
  <c r="D45" i="191"/>
  <c r="D48" i="191"/>
  <c r="O48" i="191"/>
  <c r="K48" i="191"/>
  <c r="O47" i="191"/>
  <c r="K47" i="191"/>
  <c r="O46" i="191"/>
  <c r="K46" i="191"/>
  <c r="K42" i="191"/>
  <c r="K43" i="191"/>
  <c r="K44" i="191"/>
  <c r="K45" i="191"/>
  <c r="K49" i="191"/>
  <c r="K41" i="191"/>
  <c r="O49" i="191"/>
  <c r="O45" i="191"/>
  <c r="O44" i="191"/>
  <c r="O43" i="191"/>
  <c r="O42" i="191"/>
  <c r="O41" i="191"/>
  <c r="O40" i="191"/>
  <c r="S47" i="189"/>
  <c r="S48" i="189"/>
  <c r="S46" i="189"/>
  <c r="Q13" i="189"/>
  <c r="O15" i="189"/>
  <c r="AD73" i="112" l="1"/>
  <c r="AE73" i="112"/>
  <c r="AF73" i="112"/>
  <c r="AD74" i="112"/>
  <c r="AE74" i="112"/>
  <c r="AF74" i="112"/>
  <c r="Z74" i="112"/>
  <c r="Z73" i="112"/>
  <c r="U14" i="98"/>
  <c r="U15" i="98"/>
  <c r="AD531" i="112"/>
  <c r="E531" i="112" s="1"/>
  <c r="AE531" i="112"/>
  <c r="AF531" i="112"/>
  <c r="Z531" i="112"/>
  <c r="C531" i="112"/>
  <c r="Z529" i="112"/>
  <c r="AD529" i="112"/>
  <c r="E529" i="112" s="1"/>
  <c r="AE529" i="112"/>
  <c r="AF529" i="112"/>
  <c r="Z530" i="112"/>
  <c r="AD530" i="112"/>
  <c r="E530" i="112" s="1"/>
  <c r="AE530" i="112"/>
  <c r="AF530" i="112"/>
  <c r="C530" i="112"/>
  <c r="C529" i="112"/>
  <c r="H4" i="187"/>
  <c r="H5" i="187"/>
  <c r="H6" i="187"/>
  <c r="H7" i="187"/>
  <c r="H8" i="187"/>
  <c r="H9" i="187"/>
  <c r="H10" i="187"/>
  <c r="H11" i="187"/>
  <c r="H12" i="187"/>
  <c r="H13" i="187"/>
  <c r="H14" i="187"/>
  <c r="H15" i="187"/>
  <c r="H16" i="187"/>
  <c r="H17" i="187"/>
  <c r="H18" i="187"/>
  <c r="H19" i="187"/>
  <c r="H20" i="187"/>
  <c r="H21" i="187"/>
  <c r="H22" i="187"/>
  <c r="H23" i="187"/>
  <c r="H24" i="187"/>
  <c r="H25" i="187"/>
  <c r="H27" i="187"/>
  <c r="H28" i="187"/>
  <c r="H29" i="187"/>
  <c r="H30" i="187"/>
  <c r="H31" i="187"/>
  <c r="H32" i="187"/>
  <c r="H33" i="187"/>
  <c r="H34" i="187"/>
  <c r="H35" i="187"/>
  <c r="H36" i="187"/>
  <c r="H37" i="187"/>
  <c r="H38" i="187"/>
  <c r="H39" i="187"/>
  <c r="H40" i="187"/>
  <c r="H41" i="187"/>
  <c r="H42" i="187"/>
  <c r="H43" i="187"/>
  <c r="H44" i="187"/>
  <c r="H45" i="187"/>
  <c r="H46" i="187"/>
  <c r="H47" i="187"/>
  <c r="H48" i="187"/>
  <c r="H49" i="187"/>
  <c r="H50" i="187"/>
  <c r="H51" i="187"/>
  <c r="H52" i="187"/>
  <c r="H53" i="187"/>
  <c r="H54" i="187"/>
  <c r="H55" i="187"/>
  <c r="H57" i="187"/>
  <c r="H58" i="187"/>
  <c r="H59" i="187"/>
  <c r="H60" i="187"/>
  <c r="H61" i="187"/>
  <c r="H63" i="187"/>
  <c r="H64" i="187"/>
  <c r="H65" i="187"/>
  <c r="H66" i="187"/>
  <c r="H67" i="187"/>
  <c r="H68" i="187"/>
  <c r="H69" i="187"/>
  <c r="H70" i="187"/>
  <c r="H71" i="187"/>
  <c r="H72" i="187"/>
  <c r="H73" i="187"/>
  <c r="H74" i="187"/>
  <c r="H75" i="187"/>
  <c r="H76" i="187"/>
  <c r="H77" i="187"/>
  <c r="H78" i="187"/>
  <c r="H79" i="187"/>
  <c r="H81" i="187"/>
  <c r="H82" i="187"/>
  <c r="H83" i="187"/>
  <c r="H84" i="187"/>
  <c r="H85" i="187"/>
  <c r="H86" i="187"/>
  <c r="H87" i="187"/>
  <c r="H89" i="187"/>
  <c r="H90" i="187"/>
  <c r="H91" i="187"/>
  <c r="H92" i="187"/>
  <c r="H93" i="187"/>
  <c r="H94" i="187"/>
  <c r="H95" i="187"/>
  <c r="H96" i="187"/>
  <c r="H97" i="187"/>
  <c r="H98" i="187"/>
  <c r="H99" i="187"/>
  <c r="H100" i="187"/>
  <c r="H101" i="187"/>
  <c r="H102" i="187"/>
  <c r="H103" i="187"/>
  <c r="H104" i="187"/>
  <c r="H105" i="187"/>
  <c r="H106" i="187"/>
  <c r="H107" i="187"/>
  <c r="H108" i="187"/>
  <c r="H109" i="187"/>
  <c r="H110" i="187"/>
  <c r="H111" i="187"/>
  <c r="H112" i="187"/>
  <c r="H113" i="187"/>
  <c r="H114" i="187"/>
  <c r="H115" i="187"/>
  <c r="H116" i="187"/>
  <c r="H117" i="187"/>
  <c r="H118" i="187"/>
  <c r="H119" i="187"/>
  <c r="H120" i="187"/>
  <c r="H122" i="187"/>
  <c r="H123" i="187"/>
  <c r="H124" i="187"/>
  <c r="H125" i="187"/>
  <c r="H126" i="187"/>
  <c r="H127" i="187"/>
  <c r="H128" i="187"/>
  <c r="H129" i="187"/>
  <c r="H130" i="187"/>
  <c r="H131" i="187"/>
  <c r="H132" i="187"/>
  <c r="H133" i="187"/>
  <c r="H134" i="187"/>
  <c r="H135" i="187"/>
  <c r="H136" i="187"/>
  <c r="H137" i="187"/>
  <c r="H138" i="187"/>
  <c r="H139" i="187"/>
  <c r="H140" i="187"/>
  <c r="H142" i="187"/>
  <c r="H143" i="187"/>
  <c r="H145" i="187"/>
  <c r="H146" i="187"/>
  <c r="H147" i="187"/>
  <c r="H148" i="187"/>
  <c r="H149" i="187"/>
  <c r="H150" i="187"/>
  <c r="H151" i="187"/>
  <c r="H153" i="187"/>
  <c r="H154" i="187"/>
  <c r="H155" i="187"/>
  <c r="H156" i="187"/>
  <c r="H157" i="187"/>
  <c r="H158" i="187"/>
  <c r="H159" i="187"/>
  <c r="H160" i="187"/>
  <c r="H161" i="187"/>
  <c r="H162" i="187"/>
  <c r="H163" i="187"/>
  <c r="H164" i="187"/>
  <c r="H165" i="187"/>
  <c r="H166" i="187"/>
  <c r="H167" i="187"/>
  <c r="H168" i="187"/>
  <c r="H169" i="187"/>
  <c r="H170" i="187"/>
  <c r="H171" i="187"/>
  <c r="H172" i="187"/>
  <c r="H173" i="187"/>
  <c r="H174" i="187"/>
  <c r="H176" i="187"/>
  <c r="H177" i="187"/>
  <c r="H178" i="187"/>
  <c r="H179" i="187"/>
  <c r="H180" i="187"/>
  <c r="H181" i="187"/>
  <c r="H182" i="187"/>
  <c r="H183" i="187"/>
  <c r="H184" i="187"/>
  <c r="H186" i="187"/>
  <c r="H187" i="187"/>
  <c r="H188" i="187"/>
  <c r="H189" i="187"/>
  <c r="H190" i="187"/>
  <c r="H191" i="187"/>
  <c r="H192" i="187"/>
  <c r="H193" i="187"/>
  <c r="H194" i="187"/>
  <c r="H197" i="187"/>
  <c r="H198" i="187"/>
  <c r="H199" i="187"/>
  <c r="H200" i="187"/>
  <c r="H201" i="187"/>
  <c r="H202" i="187"/>
  <c r="H203" i="187"/>
  <c r="H204" i="187"/>
  <c r="H205" i="187"/>
  <c r="H206" i="187"/>
  <c r="H207" i="187"/>
  <c r="H208" i="187"/>
  <c r="H209" i="187"/>
  <c r="H210" i="187"/>
  <c r="H211" i="187"/>
  <c r="H212" i="187"/>
  <c r="H213" i="187"/>
  <c r="H215" i="187"/>
  <c r="H217" i="187"/>
  <c r="H216" i="187"/>
  <c r="H218" i="187"/>
  <c r="H225" i="187"/>
  <c r="H226" i="187"/>
  <c r="H227" i="187"/>
  <c r="H228" i="187"/>
  <c r="H229" i="187"/>
  <c r="H230" i="187"/>
  <c r="H231" i="187"/>
  <c r="H232" i="187"/>
  <c r="H3" i="187"/>
  <c r="AD148" i="112" l="1"/>
  <c r="E148" i="112" s="1"/>
  <c r="AE148" i="112"/>
  <c r="AF148" i="112"/>
  <c r="AD149" i="112"/>
  <c r="E149" i="112" s="1"/>
  <c r="AE149" i="112"/>
  <c r="AF149" i="112"/>
  <c r="AD150" i="112"/>
  <c r="E150" i="112" s="1"/>
  <c r="AE150" i="112"/>
  <c r="AF150" i="112"/>
  <c r="Z149" i="112"/>
  <c r="Z150" i="112"/>
  <c r="Z148" i="112"/>
  <c r="W149" i="112"/>
  <c r="W148" i="112"/>
  <c r="W150" i="112"/>
  <c r="C150" i="112"/>
  <c r="C149" i="112"/>
  <c r="C148" i="112"/>
  <c r="N723" i="112" l="1"/>
  <c r="F723" i="112" s="1"/>
  <c r="D723" i="112" s="1"/>
  <c r="G61" i="200" s="1"/>
  <c r="G262" i="200" s="1"/>
  <c r="N710" i="112"/>
  <c r="H723" i="112"/>
  <c r="AD716" i="112"/>
  <c r="E716" i="112" s="1"/>
  <c r="AE716" i="112"/>
  <c r="AF716" i="112"/>
  <c r="AD717" i="112"/>
  <c r="E717" i="112" s="1"/>
  <c r="AE717" i="112"/>
  <c r="AF717" i="112"/>
  <c r="AD718" i="112"/>
  <c r="E718" i="112" s="1"/>
  <c r="AE718" i="112"/>
  <c r="AF718" i="112"/>
  <c r="AD719" i="112"/>
  <c r="E719" i="112" s="1"/>
  <c r="AE719" i="112"/>
  <c r="AF719" i="112"/>
  <c r="AD720" i="112"/>
  <c r="E720" i="112" s="1"/>
  <c r="AE720" i="112"/>
  <c r="AF720" i="112"/>
  <c r="AD721" i="112"/>
  <c r="E721" i="112" s="1"/>
  <c r="AE721" i="112"/>
  <c r="AF721" i="112"/>
  <c r="AD722" i="112"/>
  <c r="E722" i="112" s="1"/>
  <c r="AE722" i="112"/>
  <c r="AF722" i="112"/>
  <c r="AD723" i="112"/>
  <c r="E723" i="112" s="1"/>
  <c r="AE723" i="112"/>
  <c r="AF723" i="112"/>
  <c r="AD724" i="112"/>
  <c r="E724" i="112" s="1"/>
  <c r="AE724" i="112"/>
  <c r="AF724" i="112"/>
  <c r="AD725" i="112"/>
  <c r="E725" i="112" s="1"/>
  <c r="AE725" i="112"/>
  <c r="AF725" i="112"/>
  <c r="AD726" i="112"/>
  <c r="E726" i="112" s="1"/>
  <c r="AE726" i="112"/>
  <c r="AF726" i="112"/>
  <c r="AD727" i="112"/>
  <c r="E727" i="112" s="1"/>
  <c r="AE727" i="112"/>
  <c r="AF727" i="112"/>
  <c r="Z726" i="112"/>
  <c r="Z727" i="112"/>
  <c r="Z725" i="112"/>
  <c r="C727" i="112"/>
  <c r="C726" i="112"/>
  <c r="C725" i="112"/>
  <c r="Z724" i="112"/>
  <c r="Z723" i="112"/>
  <c r="Z719" i="112"/>
  <c r="Z720" i="112"/>
  <c r="Z721" i="112"/>
  <c r="Z722" i="112"/>
  <c r="Z718" i="112"/>
  <c r="Z717" i="112"/>
  <c r="Z716" i="112"/>
  <c r="C724" i="112"/>
  <c r="C723" i="112"/>
  <c r="C722" i="112"/>
  <c r="C721" i="112"/>
  <c r="C720" i="112"/>
  <c r="C719" i="112"/>
  <c r="C718" i="112"/>
  <c r="C717" i="112"/>
  <c r="C716" i="112"/>
  <c r="T42" i="107" l="1"/>
  <c r="G28" i="188"/>
  <c r="U5" i="98" l="1"/>
  <c r="U6" i="98"/>
  <c r="U7" i="98"/>
  <c r="U8" i="98"/>
  <c r="U4" i="98"/>
  <c r="Q4" i="98"/>
  <c r="U32" i="98"/>
  <c r="U33" i="98"/>
  <c r="U34" i="98"/>
  <c r="U35" i="98"/>
  <c r="U36" i="98"/>
  <c r="U37" i="98"/>
  <c r="U38" i="98"/>
  <c r="U39" i="98"/>
  <c r="Q40" i="98"/>
  <c r="U40" i="98"/>
  <c r="U41" i="98"/>
  <c r="U42" i="98"/>
  <c r="U43" i="98"/>
  <c r="U44" i="98"/>
  <c r="U45" i="98"/>
  <c r="U46" i="98"/>
  <c r="U47" i="98"/>
  <c r="U48" i="98"/>
  <c r="U49" i="98"/>
  <c r="U50" i="98"/>
  <c r="U51" i="98"/>
  <c r="U52" i="98"/>
  <c r="U53" i="98"/>
  <c r="U54" i="98"/>
  <c r="U55" i="98"/>
  <c r="Q56" i="98"/>
  <c r="U56" i="98"/>
  <c r="U57" i="98"/>
  <c r="U58" i="98"/>
  <c r="U59" i="98"/>
  <c r="W3" i="98"/>
  <c r="X3" i="98"/>
  <c r="AA3" i="98"/>
  <c r="X4" i="98"/>
  <c r="AA4" i="98"/>
  <c r="X5" i="98"/>
  <c r="AA5" i="98"/>
  <c r="X6" i="98"/>
  <c r="AA6" i="98"/>
  <c r="X7" i="98"/>
  <c r="AA7" i="98"/>
  <c r="X8" i="98"/>
  <c r="AA8" i="98"/>
  <c r="X9" i="98"/>
  <c r="AA9" i="98"/>
  <c r="W10" i="98"/>
  <c r="X10" i="98"/>
  <c r="AA10" i="98"/>
  <c r="W24" i="98"/>
  <c r="U17" i="98"/>
  <c r="U18" i="98"/>
  <c r="U19" i="98"/>
  <c r="U20" i="98"/>
  <c r="U21" i="98"/>
  <c r="U22" i="98"/>
  <c r="Q23" i="98"/>
  <c r="U23" i="98"/>
  <c r="U24" i="98"/>
  <c r="U25" i="98"/>
  <c r="Q26" i="98"/>
  <c r="U26" i="98"/>
  <c r="U27" i="98"/>
  <c r="U28" i="98"/>
  <c r="U29" i="98"/>
  <c r="U30" i="98"/>
  <c r="U31" i="98"/>
  <c r="U16" i="98"/>
  <c r="Q16" i="98"/>
  <c r="AD498" i="111" l="1"/>
  <c r="AD491" i="111"/>
  <c r="AD490" i="111"/>
  <c r="AD424" i="111"/>
  <c r="AD165" i="111"/>
  <c r="AD157" i="111"/>
  <c r="AD128" i="111"/>
  <c r="AD120" i="111"/>
  <c r="AD91" i="111"/>
  <c r="AD54" i="111"/>
  <c r="AD46" i="111"/>
  <c r="AD17" i="111"/>
  <c r="AD9" i="111"/>
  <c r="G35" i="111"/>
  <c r="H246" i="180" l="1"/>
  <c r="G246" i="180"/>
  <c r="H301" i="180"/>
  <c r="G301" i="180"/>
  <c r="H34" i="184"/>
  <c r="I34" i="184"/>
  <c r="J34" i="184"/>
  <c r="K34" i="184"/>
  <c r="L34" i="184"/>
  <c r="M34" i="184"/>
  <c r="N34" i="184"/>
  <c r="O34" i="184"/>
  <c r="G34" i="184"/>
  <c r="G202" i="190"/>
  <c r="G233" i="190" s="1"/>
  <c r="H87" i="196"/>
  <c r="H95" i="196" s="1"/>
  <c r="I87" i="196"/>
  <c r="I95" i="196" s="1"/>
  <c r="G87" i="196"/>
  <c r="G95" i="196" s="1"/>
  <c r="H80" i="192"/>
  <c r="I80" i="192"/>
  <c r="G80" i="192"/>
  <c r="C133" i="187"/>
  <c r="C134" i="187"/>
  <c r="C135" i="187"/>
  <c r="C136" i="187"/>
  <c r="C137" i="187"/>
  <c r="C138" i="187"/>
  <c r="C139" i="187"/>
  <c r="C132" i="187"/>
  <c r="G213" i="190"/>
  <c r="T90" i="152" s="1"/>
  <c r="AR26" i="187" l="1"/>
  <c r="AR56" i="187"/>
  <c r="AR259" i="187"/>
  <c r="AR304" i="187" s="1"/>
  <c r="AR346" i="187"/>
  <c r="AN26" i="187"/>
  <c r="AN44" i="187"/>
  <c r="AN56" i="187"/>
  <c r="AN259" i="187"/>
  <c r="AN346" i="187"/>
  <c r="AJ346" i="187"/>
  <c r="AJ259" i="187"/>
  <c r="AJ304" i="187" s="1"/>
  <c r="AJ56" i="187"/>
  <c r="AJ44" i="187"/>
  <c r="AJ26" i="187"/>
  <c r="AE26" i="187"/>
  <c r="AE44" i="187"/>
  <c r="AE56" i="187"/>
  <c r="AE259" i="187"/>
  <c r="AE304" i="187" s="1"/>
  <c r="AE346" i="187"/>
  <c r="AA26" i="187"/>
  <c r="AA44" i="187"/>
  <c r="AA56" i="187"/>
  <c r="AA259" i="187"/>
  <c r="AA304" i="187" s="1"/>
  <c r="AA346" i="187"/>
  <c r="Z699" i="112"/>
  <c r="AD699" i="112"/>
  <c r="E699" i="112" s="1"/>
  <c r="AE699" i="112"/>
  <c r="AF699" i="112"/>
  <c r="Z701" i="112"/>
  <c r="AD701" i="112"/>
  <c r="E701" i="112" s="1"/>
  <c r="AE701" i="112"/>
  <c r="AF701" i="112"/>
  <c r="Z702" i="112"/>
  <c r="AD702" i="112"/>
  <c r="E702" i="112" s="1"/>
  <c r="AE702" i="112"/>
  <c r="AF702" i="112"/>
  <c r="Z695" i="112"/>
  <c r="AD695" i="112"/>
  <c r="E695" i="112" s="1"/>
  <c r="AE695" i="112"/>
  <c r="AF695" i="112"/>
  <c r="Z696" i="112"/>
  <c r="AD696" i="112"/>
  <c r="E696" i="112" s="1"/>
  <c r="AE696" i="112"/>
  <c r="AF696" i="112"/>
  <c r="C702" i="112"/>
  <c r="C701" i="112"/>
  <c r="C696" i="112"/>
  <c r="C695" i="112"/>
  <c r="AN304" i="187" l="1"/>
  <c r="T69" i="127" s="1"/>
  <c r="AF673" i="112"/>
  <c r="AE673" i="112"/>
  <c r="AD673" i="112"/>
  <c r="E673" i="112" s="1"/>
  <c r="Z673" i="112"/>
  <c r="C673" i="112"/>
  <c r="AD670" i="112" l="1"/>
  <c r="E670" i="112" s="1"/>
  <c r="AE670" i="112"/>
  <c r="AF670" i="112"/>
  <c r="AD671" i="112"/>
  <c r="E671" i="112" s="1"/>
  <c r="AE671" i="112"/>
  <c r="AF671" i="112"/>
  <c r="AD672" i="112"/>
  <c r="E672" i="112" s="1"/>
  <c r="AE672" i="112"/>
  <c r="AF672" i="112"/>
  <c r="Z671" i="112"/>
  <c r="Z672" i="112"/>
  <c r="Z670" i="112"/>
  <c r="C670" i="112"/>
  <c r="C671" i="112"/>
  <c r="C672" i="112"/>
  <c r="AD669" i="112"/>
  <c r="E669" i="112" s="1"/>
  <c r="AE669" i="112"/>
  <c r="AF669" i="112"/>
  <c r="Z669" i="112"/>
  <c r="C669" i="112"/>
  <c r="AD668" i="112"/>
  <c r="E668" i="112" s="1"/>
  <c r="AE668" i="112"/>
  <c r="AF668" i="112"/>
  <c r="Z668" i="112"/>
  <c r="Z675" i="112"/>
  <c r="C668" i="112"/>
  <c r="AL20" i="181" l="1"/>
  <c r="AL21" i="181"/>
  <c r="AL22" i="181"/>
  <c r="AL23" i="181"/>
  <c r="AL24" i="181"/>
  <c r="AL25" i="181"/>
  <c r="AL26" i="181"/>
  <c r="AL27" i="181"/>
  <c r="AL28" i="181"/>
  <c r="AL29" i="181"/>
  <c r="AL30" i="181"/>
  <c r="AL31" i="181"/>
  <c r="AL32" i="181"/>
  <c r="AL33" i="181"/>
  <c r="AL34" i="181"/>
  <c r="AL35" i="181"/>
  <c r="AL36" i="181"/>
  <c r="AL37" i="181"/>
  <c r="AL38" i="181"/>
  <c r="AL39" i="181"/>
  <c r="AL40" i="181"/>
  <c r="AL41" i="181"/>
  <c r="AL42" i="181"/>
  <c r="AL43" i="181"/>
  <c r="AL44" i="181"/>
  <c r="AL45" i="181"/>
  <c r="AL46" i="181"/>
  <c r="AL47" i="181"/>
  <c r="AL48" i="181"/>
  <c r="AL49" i="181"/>
  <c r="AL50" i="181"/>
  <c r="AL51" i="181"/>
  <c r="AL52" i="181"/>
  <c r="AL53" i="181"/>
  <c r="AL54" i="181"/>
  <c r="AL55" i="181"/>
  <c r="AL56" i="181"/>
  <c r="AL57" i="181"/>
  <c r="AL58" i="181"/>
  <c r="AL59" i="181"/>
  <c r="AL60" i="181"/>
  <c r="AL61" i="181"/>
  <c r="AL62" i="181"/>
  <c r="AL63" i="181"/>
  <c r="AL64" i="181"/>
  <c r="AL65" i="181"/>
  <c r="AL66" i="181"/>
  <c r="AL67" i="181"/>
  <c r="AL68" i="181"/>
  <c r="AL69" i="181"/>
  <c r="AL70" i="181"/>
  <c r="AL71" i="181"/>
  <c r="AL72" i="181"/>
  <c r="AL73" i="181"/>
  <c r="AL74" i="181"/>
  <c r="AL75" i="181"/>
  <c r="AL76" i="181"/>
  <c r="AL77" i="181"/>
  <c r="AL78" i="181"/>
  <c r="AL79" i="181"/>
  <c r="AL80" i="181"/>
  <c r="AL81" i="181"/>
  <c r="AL82" i="181"/>
  <c r="AL83" i="181"/>
  <c r="AL84" i="181"/>
  <c r="AL85" i="181"/>
  <c r="AL86" i="181"/>
  <c r="AL87" i="181"/>
  <c r="AL88" i="181"/>
  <c r="AL89" i="181"/>
  <c r="AL90" i="181"/>
  <c r="AL91" i="181"/>
  <c r="AL92" i="181"/>
  <c r="AL93" i="181"/>
  <c r="AL94" i="181"/>
  <c r="AL95" i="181"/>
  <c r="AL96" i="181"/>
  <c r="AL97" i="181"/>
  <c r="AL98" i="181"/>
  <c r="AL99" i="181"/>
  <c r="AL100" i="181"/>
  <c r="AL101" i="181"/>
  <c r="AL102" i="181"/>
  <c r="AL103" i="181"/>
  <c r="AL104" i="181"/>
  <c r="AL105" i="181"/>
  <c r="AL106" i="181"/>
  <c r="AL107" i="181"/>
  <c r="AL108" i="181"/>
  <c r="AL109" i="181"/>
  <c r="AL110" i="181"/>
  <c r="AL111" i="181"/>
  <c r="AL112" i="181"/>
  <c r="AL113" i="181"/>
  <c r="AL114" i="181"/>
  <c r="AL115" i="181"/>
  <c r="AL116" i="181"/>
  <c r="AL117" i="181"/>
  <c r="AL118" i="181"/>
  <c r="AL119" i="181"/>
  <c r="AL120" i="181"/>
  <c r="AL121" i="181"/>
  <c r="AL122" i="181"/>
  <c r="AL123" i="181"/>
  <c r="AL124" i="181"/>
  <c r="AL125" i="181"/>
  <c r="AL126" i="181"/>
  <c r="AL127" i="181"/>
  <c r="AL128" i="181"/>
  <c r="AL129" i="181"/>
  <c r="AL130" i="181"/>
  <c r="AL131" i="181"/>
  <c r="AL132" i="181"/>
  <c r="AL133" i="181"/>
  <c r="AL134" i="181"/>
  <c r="AL135" i="181"/>
  <c r="AL136" i="181"/>
  <c r="AL137" i="181"/>
  <c r="AL138" i="181"/>
  <c r="AL139" i="181"/>
  <c r="AL140" i="181"/>
  <c r="AL141" i="181"/>
  <c r="AL142" i="181"/>
  <c r="AL143" i="181"/>
  <c r="AL144" i="181"/>
  <c r="AL145" i="181"/>
  <c r="AL146" i="181"/>
  <c r="AL147" i="181"/>
  <c r="AL148" i="181"/>
  <c r="AL149" i="181"/>
  <c r="AL150" i="181"/>
  <c r="AL151" i="181"/>
  <c r="AL152" i="181"/>
  <c r="AL153" i="181"/>
  <c r="AL154" i="181"/>
  <c r="AL155" i="181"/>
  <c r="AL156" i="181"/>
  <c r="AL157" i="181"/>
  <c r="AL158" i="181"/>
  <c r="AL159" i="181"/>
  <c r="AL160" i="181"/>
  <c r="AL161" i="181"/>
  <c r="AL162" i="181"/>
  <c r="AL163" i="181"/>
  <c r="AL164" i="181"/>
  <c r="AL165" i="181"/>
  <c r="AL166" i="181"/>
  <c r="AL167" i="181"/>
  <c r="AL168" i="181"/>
  <c r="AL169" i="181"/>
  <c r="AL170" i="181"/>
  <c r="AL171" i="181"/>
  <c r="AL172" i="181"/>
  <c r="AL173" i="181"/>
  <c r="AL174" i="181"/>
  <c r="AL175" i="181"/>
  <c r="AL176" i="181"/>
  <c r="AL177" i="181"/>
  <c r="AL178" i="181"/>
  <c r="AL179" i="181"/>
  <c r="AL180" i="181"/>
  <c r="AL181" i="181"/>
  <c r="AL182" i="181"/>
  <c r="AL183" i="181"/>
  <c r="AL184" i="181"/>
  <c r="AL185" i="181"/>
  <c r="AL186" i="181"/>
  <c r="AL187" i="181"/>
  <c r="AL188" i="181"/>
  <c r="AL189" i="181"/>
  <c r="AL190" i="181"/>
  <c r="AL191" i="181"/>
  <c r="AL192" i="181"/>
  <c r="AL193" i="181"/>
  <c r="AL194" i="181"/>
  <c r="AL195" i="181"/>
  <c r="AL196" i="181"/>
  <c r="AL197" i="181"/>
  <c r="AL198" i="181"/>
  <c r="AL199" i="181"/>
  <c r="AL200" i="181"/>
  <c r="AL201" i="181"/>
  <c r="AL202" i="181"/>
  <c r="AL203" i="181"/>
  <c r="AL204" i="181"/>
  <c r="AL205" i="181"/>
  <c r="AL206" i="181"/>
  <c r="AL207" i="181"/>
  <c r="AL208" i="181"/>
  <c r="AL209" i="181"/>
  <c r="AL210" i="181"/>
  <c r="AL211" i="181"/>
  <c r="AL212" i="181"/>
  <c r="AL213" i="181"/>
  <c r="AL214" i="181"/>
  <c r="AL215" i="181"/>
  <c r="AL216" i="181"/>
  <c r="AL217" i="181"/>
  <c r="AL218" i="181"/>
  <c r="AL219" i="181"/>
  <c r="AL220" i="181"/>
  <c r="AL221" i="181"/>
  <c r="AL222" i="181"/>
  <c r="AL223" i="181"/>
  <c r="AL224" i="181"/>
  <c r="AL225" i="181"/>
  <c r="AL226" i="181"/>
  <c r="AL227" i="181"/>
  <c r="AL228" i="181"/>
  <c r="AL229" i="181"/>
  <c r="AL230" i="181"/>
  <c r="AL231" i="181"/>
  <c r="AL232" i="181"/>
  <c r="AL233" i="181"/>
  <c r="AL234" i="181"/>
  <c r="AL235" i="181"/>
  <c r="AL236" i="181"/>
  <c r="AL237" i="181"/>
  <c r="AL238" i="181"/>
  <c r="AL239" i="181"/>
  <c r="AL240" i="181"/>
  <c r="AL241" i="181"/>
  <c r="AL242" i="181"/>
  <c r="AL243" i="181"/>
  <c r="AL244" i="181"/>
  <c r="AL245" i="181"/>
  <c r="AL246" i="181"/>
  <c r="AL247" i="181"/>
  <c r="AL248" i="181"/>
  <c r="AL249" i="181"/>
  <c r="AL250" i="181"/>
  <c r="AL251" i="181"/>
  <c r="AL252" i="181"/>
  <c r="AL253" i="181"/>
  <c r="AL254" i="181"/>
  <c r="AL255" i="181"/>
  <c r="AL256" i="181"/>
  <c r="AL257" i="181"/>
  <c r="AL258" i="181"/>
  <c r="AL259" i="181"/>
  <c r="AL260" i="181"/>
  <c r="AL261" i="181"/>
  <c r="AL262" i="181"/>
  <c r="AL263" i="181"/>
  <c r="AL264" i="181"/>
  <c r="AL265" i="181"/>
  <c r="AL266" i="181"/>
  <c r="AL267" i="181"/>
  <c r="AL268" i="181"/>
  <c r="AL269" i="181"/>
  <c r="AL270" i="181"/>
  <c r="AL271" i="181"/>
  <c r="AL272" i="181"/>
  <c r="AL273" i="181"/>
  <c r="AL274" i="181"/>
  <c r="AL275" i="181"/>
  <c r="AL276" i="181"/>
  <c r="AL277" i="181"/>
  <c r="AL278" i="181"/>
  <c r="AL279" i="181"/>
  <c r="AL280" i="181"/>
  <c r="AL281" i="181"/>
  <c r="AL282" i="181"/>
  <c r="AL283" i="181"/>
  <c r="AL284" i="181"/>
  <c r="AL285" i="181"/>
  <c r="AL286" i="181"/>
  <c r="AL287" i="181"/>
  <c r="AL288" i="181"/>
  <c r="AL289" i="181"/>
  <c r="AL290" i="181"/>
  <c r="AL291" i="181"/>
  <c r="AL292" i="181"/>
  <c r="AL293" i="181"/>
  <c r="AL294" i="181"/>
  <c r="AL295" i="181"/>
  <c r="AL296" i="181"/>
  <c r="AL297" i="181"/>
  <c r="AL298" i="181"/>
  <c r="AL299" i="181"/>
  <c r="AL300" i="181"/>
  <c r="AL301" i="181"/>
  <c r="AL302" i="181"/>
  <c r="AL303" i="181"/>
  <c r="AL304" i="181"/>
  <c r="AL305" i="181"/>
  <c r="AL306" i="181"/>
  <c r="AL307" i="181"/>
  <c r="AL308" i="181"/>
  <c r="AL309" i="181"/>
  <c r="AL310" i="181"/>
  <c r="AL311" i="181"/>
  <c r="AL312" i="181"/>
  <c r="AL313" i="181"/>
  <c r="AL314" i="181"/>
  <c r="AL315" i="181"/>
  <c r="AL316" i="181"/>
  <c r="AL317" i="181"/>
  <c r="AL318" i="181"/>
  <c r="AL319" i="181"/>
  <c r="AL320" i="181"/>
  <c r="AL321" i="181"/>
  <c r="AL322" i="181"/>
  <c r="AL323" i="181"/>
  <c r="AL324" i="181"/>
  <c r="AL325" i="181"/>
  <c r="AL326" i="181"/>
  <c r="AL327" i="181"/>
  <c r="AL328" i="181"/>
  <c r="AL329" i="181"/>
  <c r="AL330" i="181"/>
  <c r="AL331" i="181"/>
  <c r="AL332" i="181"/>
  <c r="AL333" i="181"/>
  <c r="AL334" i="181"/>
  <c r="AL335" i="181"/>
  <c r="AL336" i="181"/>
  <c r="AL337" i="181"/>
  <c r="AL338" i="181"/>
  <c r="AL339" i="181"/>
  <c r="AL340" i="181"/>
  <c r="AL341" i="181"/>
  <c r="AL342" i="181"/>
  <c r="AL343" i="181"/>
  <c r="AL344" i="181"/>
  <c r="AL345" i="181"/>
  <c r="AL346" i="181"/>
  <c r="AL347" i="181"/>
  <c r="AL348" i="181"/>
  <c r="AL349" i="181"/>
  <c r="AL350" i="181"/>
  <c r="AL351" i="181"/>
  <c r="AL352" i="181"/>
  <c r="AL353" i="181"/>
  <c r="AL354" i="181"/>
  <c r="AL355" i="181"/>
  <c r="AL356" i="181"/>
  <c r="AL357" i="181"/>
  <c r="AL358" i="181"/>
  <c r="AL359" i="181"/>
  <c r="AL360" i="181"/>
  <c r="AL361" i="181"/>
  <c r="AL362" i="181"/>
  <c r="AL19" i="181"/>
  <c r="Z20" i="181"/>
  <c r="AA20" i="181" s="1"/>
  <c r="Z21" i="181"/>
  <c r="AA21" i="181" s="1"/>
  <c r="Z22" i="181"/>
  <c r="AA22" i="181" s="1"/>
  <c r="Z23" i="181"/>
  <c r="AA23" i="181" s="1"/>
  <c r="Z24" i="181"/>
  <c r="AA24" i="181" s="1"/>
  <c r="Z25" i="181"/>
  <c r="AA25" i="181" s="1"/>
  <c r="Z26" i="181"/>
  <c r="AA26" i="181" s="1"/>
  <c r="Z27" i="181"/>
  <c r="AA27" i="181" s="1"/>
  <c r="Z28" i="181"/>
  <c r="AA28" i="181" s="1"/>
  <c r="Z29" i="181"/>
  <c r="AA29" i="181" s="1"/>
  <c r="Z30" i="181"/>
  <c r="AA30" i="181" s="1"/>
  <c r="Z31" i="181"/>
  <c r="AA31" i="181" s="1"/>
  <c r="Z32" i="181"/>
  <c r="AA32" i="181" s="1"/>
  <c r="Z33" i="181"/>
  <c r="AA33" i="181" s="1"/>
  <c r="Z34" i="181"/>
  <c r="AA34" i="181" s="1"/>
  <c r="Z35" i="181"/>
  <c r="AA35" i="181" s="1"/>
  <c r="Z36" i="181"/>
  <c r="AA36" i="181" s="1"/>
  <c r="Z37" i="181"/>
  <c r="AA37" i="181" s="1"/>
  <c r="Z38" i="181"/>
  <c r="AA38" i="181" s="1"/>
  <c r="Z39" i="181"/>
  <c r="AA39" i="181" s="1"/>
  <c r="Z40" i="181"/>
  <c r="AA40" i="181" s="1"/>
  <c r="Z41" i="181"/>
  <c r="AA41" i="181" s="1"/>
  <c r="Z42" i="181"/>
  <c r="AA42" i="181" s="1"/>
  <c r="Z43" i="181"/>
  <c r="AA43" i="181" s="1"/>
  <c r="Z44" i="181"/>
  <c r="AA44" i="181" s="1"/>
  <c r="Z45" i="181"/>
  <c r="AA45" i="181" s="1"/>
  <c r="Z46" i="181"/>
  <c r="AA46" i="181" s="1"/>
  <c r="Z47" i="181"/>
  <c r="AA47" i="181" s="1"/>
  <c r="Z48" i="181"/>
  <c r="AA48" i="181" s="1"/>
  <c r="Z49" i="181"/>
  <c r="AA49" i="181" s="1"/>
  <c r="Z50" i="181"/>
  <c r="AA50" i="181" s="1"/>
  <c r="Z51" i="181"/>
  <c r="AA51" i="181" s="1"/>
  <c r="Z52" i="181"/>
  <c r="AA52" i="181" s="1"/>
  <c r="Z53" i="181"/>
  <c r="AA53" i="181" s="1"/>
  <c r="Z54" i="181"/>
  <c r="AA54" i="181" s="1"/>
  <c r="Z55" i="181"/>
  <c r="AA55" i="181" s="1"/>
  <c r="Z56" i="181"/>
  <c r="AA56" i="181" s="1"/>
  <c r="Z57" i="181"/>
  <c r="AA57" i="181" s="1"/>
  <c r="Z58" i="181"/>
  <c r="AA58" i="181" s="1"/>
  <c r="Z59" i="181"/>
  <c r="AA59" i="181" s="1"/>
  <c r="Z60" i="181"/>
  <c r="AA60" i="181" s="1"/>
  <c r="Z61" i="181"/>
  <c r="AA61" i="181" s="1"/>
  <c r="Z62" i="181"/>
  <c r="AA62" i="181" s="1"/>
  <c r="Z63" i="181"/>
  <c r="AA63" i="181" s="1"/>
  <c r="Z64" i="181"/>
  <c r="AA64" i="181" s="1"/>
  <c r="Z65" i="181"/>
  <c r="AA65" i="181" s="1"/>
  <c r="Z66" i="181"/>
  <c r="AA66" i="181" s="1"/>
  <c r="Z67" i="181"/>
  <c r="AA67" i="181" s="1"/>
  <c r="Z68" i="181"/>
  <c r="AA68" i="181" s="1"/>
  <c r="Z69" i="181"/>
  <c r="AA69" i="181" s="1"/>
  <c r="Z70" i="181"/>
  <c r="AA70" i="181" s="1"/>
  <c r="Z71" i="181"/>
  <c r="AA71" i="181" s="1"/>
  <c r="Z72" i="181"/>
  <c r="AA72" i="181" s="1"/>
  <c r="Z73" i="181"/>
  <c r="AA73" i="181" s="1"/>
  <c r="Z74" i="181"/>
  <c r="AA74" i="181" s="1"/>
  <c r="Z75" i="181"/>
  <c r="AA75" i="181" s="1"/>
  <c r="Z76" i="181"/>
  <c r="AA76" i="181" s="1"/>
  <c r="Z77" i="181"/>
  <c r="AA77" i="181" s="1"/>
  <c r="Z78" i="181"/>
  <c r="AA78" i="181" s="1"/>
  <c r="Z79" i="181"/>
  <c r="AA79" i="181" s="1"/>
  <c r="Z80" i="181"/>
  <c r="AA80" i="181" s="1"/>
  <c r="Z81" i="181"/>
  <c r="AA81" i="181" s="1"/>
  <c r="Z82" i="181"/>
  <c r="AA82" i="181" s="1"/>
  <c r="Z83" i="181"/>
  <c r="AA83" i="181" s="1"/>
  <c r="Z84" i="181"/>
  <c r="AA84" i="181" s="1"/>
  <c r="Z85" i="181"/>
  <c r="AA85" i="181" s="1"/>
  <c r="Z86" i="181"/>
  <c r="AA86" i="181" s="1"/>
  <c r="Z87" i="181"/>
  <c r="AA87" i="181" s="1"/>
  <c r="Z88" i="181"/>
  <c r="AA88" i="181" s="1"/>
  <c r="Z89" i="181"/>
  <c r="AA89" i="181" s="1"/>
  <c r="Z90" i="181"/>
  <c r="AA90" i="181" s="1"/>
  <c r="Z91" i="181"/>
  <c r="AA91" i="181" s="1"/>
  <c r="Z92" i="181"/>
  <c r="AA92" i="181" s="1"/>
  <c r="Z93" i="181"/>
  <c r="AA93" i="181" s="1"/>
  <c r="Z94" i="181"/>
  <c r="AA94" i="181" s="1"/>
  <c r="Z95" i="181"/>
  <c r="AA95" i="181" s="1"/>
  <c r="Z96" i="181"/>
  <c r="AA96" i="181" s="1"/>
  <c r="Z97" i="181"/>
  <c r="AA97" i="181" s="1"/>
  <c r="Z98" i="181"/>
  <c r="AA98" i="181" s="1"/>
  <c r="Z99" i="181"/>
  <c r="AA99" i="181" s="1"/>
  <c r="Z100" i="181"/>
  <c r="AA100" i="181" s="1"/>
  <c r="Z101" i="181"/>
  <c r="AA101" i="181" s="1"/>
  <c r="Z102" i="181"/>
  <c r="AA102" i="181" s="1"/>
  <c r="Z103" i="181"/>
  <c r="AA103" i="181" s="1"/>
  <c r="Z104" i="181"/>
  <c r="AA104" i="181" s="1"/>
  <c r="Z105" i="181"/>
  <c r="AA105" i="181" s="1"/>
  <c r="Z106" i="181"/>
  <c r="AA106" i="181" s="1"/>
  <c r="Z107" i="181"/>
  <c r="AA107" i="181" s="1"/>
  <c r="Z108" i="181"/>
  <c r="AA108" i="181" s="1"/>
  <c r="Z109" i="181"/>
  <c r="AA109" i="181" s="1"/>
  <c r="Z110" i="181"/>
  <c r="AA110" i="181" s="1"/>
  <c r="Z111" i="181"/>
  <c r="AA111" i="181" s="1"/>
  <c r="Z112" i="181"/>
  <c r="AA112" i="181" s="1"/>
  <c r="Z113" i="181"/>
  <c r="AA113" i="181" s="1"/>
  <c r="Z114" i="181"/>
  <c r="AA114" i="181" s="1"/>
  <c r="Z115" i="181"/>
  <c r="AA115" i="181" s="1"/>
  <c r="Z116" i="181"/>
  <c r="AA116" i="181" s="1"/>
  <c r="Z117" i="181"/>
  <c r="AA117" i="181" s="1"/>
  <c r="Z118" i="181"/>
  <c r="AA118" i="181" s="1"/>
  <c r="Z119" i="181"/>
  <c r="AA119" i="181" s="1"/>
  <c r="Z120" i="181"/>
  <c r="AA120" i="181" s="1"/>
  <c r="Z121" i="181"/>
  <c r="AA121" i="181" s="1"/>
  <c r="Z122" i="181"/>
  <c r="AA122" i="181" s="1"/>
  <c r="Z123" i="181"/>
  <c r="AA123" i="181" s="1"/>
  <c r="Z124" i="181"/>
  <c r="AA124" i="181" s="1"/>
  <c r="Z125" i="181"/>
  <c r="AA125" i="181" s="1"/>
  <c r="Z126" i="181"/>
  <c r="AA126" i="181" s="1"/>
  <c r="Z127" i="181"/>
  <c r="AA127" i="181" s="1"/>
  <c r="Z128" i="181"/>
  <c r="AA128" i="181" s="1"/>
  <c r="Z129" i="181"/>
  <c r="AA129" i="181" s="1"/>
  <c r="Z130" i="181"/>
  <c r="AA130" i="181" s="1"/>
  <c r="Z131" i="181"/>
  <c r="AA131" i="181" s="1"/>
  <c r="Z132" i="181"/>
  <c r="AA132" i="181" s="1"/>
  <c r="Z133" i="181"/>
  <c r="AA133" i="181" s="1"/>
  <c r="Z134" i="181"/>
  <c r="AA134" i="181" s="1"/>
  <c r="Z135" i="181"/>
  <c r="AA135" i="181" s="1"/>
  <c r="Z136" i="181"/>
  <c r="AA136" i="181" s="1"/>
  <c r="Z137" i="181"/>
  <c r="AA137" i="181" s="1"/>
  <c r="Z138" i="181"/>
  <c r="AA138" i="181" s="1"/>
  <c r="Z139" i="181"/>
  <c r="AA139" i="181" s="1"/>
  <c r="Z140" i="181"/>
  <c r="AA140" i="181" s="1"/>
  <c r="Z141" i="181"/>
  <c r="AA141" i="181" s="1"/>
  <c r="Z142" i="181"/>
  <c r="AA142" i="181" s="1"/>
  <c r="Z143" i="181"/>
  <c r="AA143" i="181" s="1"/>
  <c r="Z144" i="181"/>
  <c r="AA144" i="181" s="1"/>
  <c r="Z145" i="181"/>
  <c r="AA145" i="181" s="1"/>
  <c r="Z146" i="181"/>
  <c r="AA146" i="181" s="1"/>
  <c r="Z147" i="181"/>
  <c r="AA147" i="181" s="1"/>
  <c r="Z148" i="181"/>
  <c r="AA148" i="181" s="1"/>
  <c r="Z149" i="181"/>
  <c r="AA149" i="181" s="1"/>
  <c r="Z150" i="181"/>
  <c r="AA150" i="181" s="1"/>
  <c r="Z151" i="181"/>
  <c r="AA151" i="181" s="1"/>
  <c r="Z152" i="181"/>
  <c r="AA152" i="181" s="1"/>
  <c r="Z153" i="181"/>
  <c r="AA153" i="181" s="1"/>
  <c r="Z154" i="181"/>
  <c r="AA154" i="181" s="1"/>
  <c r="Z155" i="181"/>
  <c r="AA155" i="181" s="1"/>
  <c r="Z156" i="181"/>
  <c r="AA156" i="181" s="1"/>
  <c r="Z157" i="181"/>
  <c r="AA157" i="181" s="1"/>
  <c r="Z158" i="181"/>
  <c r="AA158" i="181" s="1"/>
  <c r="Z159" i="181"/>
  <c r="AA159" i="181" s="1"/>
  <c r="Z160" i="181"/>
  <c r="AA160" i="181" s="1"/>
  <c r="Z161" i="181"/>
  <c r="AA161" i="181" s="1"/>
  <c r="Z162" i="181"/>
  <c r="AA162" i="181" s="1"/>
  <c r="Z163" i="181"/>
  <c r="AA163" i="181" s="1"/>
  <c r="Z164" i="181"/>
  <c r="AA164" i="181" s="1"/>
  <c r="Z165" i="181"/>
  <c r="AA165" i="181" s="1"/>
  <c r="Z166" i="181"/>
  <c r="AA166" i="181" s="1"/>
  <c r="Z167" i="181"/>
  <c r="AA167" i="181" s="1"/>
  <c r="Z168" i="181"/>
  <c r="AA168" i="181" s="1"/>
  <c r="Z169" i="181"/>
  <c r="AA169" i="181" s="1"/>
  <c r="Z170" i="181"/>
  <c r="AA170" i="181" s="1"/>
  <c r="Z171" i="181"/>
  <c r="AA171" i="181" s="1"/>
  <c r="Z172" i="181"/>
  <c r="AA172" i="181" s="1"/>
  <c r="Z173" i="181"/>
  <c r="AA173" i="181" s="1"/>
  <c r="Z174" i="181"/>
  <c r="AA174" i="181" s="1"/>
  <c r="Z175" i="181"/>
  <c r="AA175" i="181" s="1"/>
  <c r="Z176" i="181"/>
  <c r="AA176" i="181" s="1"/>
  <c r="Z177" i="181"/>
  <c r="AA177" i="181" s="1"/>
  <c r="Z178" i="181"/>
  <c r="AA178" i="181" s="1"/>
  <c r="Z179" i="181"/>
  <c r="AA179" i="181" s="1"/>
  <c r="Z180" i="181"/>
  <c r="AA180" i="181" s="1"/>
  <c r="Z181" i="181"/>
  <c r="AA181" i="181" s="1"/>
  <c r="Z182" i="181"/>
  <c r="AA182" i="181" s="1"/>
  <c r="Z183" i="181"/>
  <c r="AA183" i="181" s="1"/>
  <c r="Z184" i="181"/>
  <c r="AA184" i="181" s="1"/>
  <c r="Z185" i="181"/>
  <c r="AA185" i="181" s="1"/>
  <c r="Z186" i="181"/>
  <c r="AA186" i="181" s="1"/>
  <c r="Z187" i="181"/>
  <c r="AA187" i="181" s="1"/>
  <c r="Z188" i="181"/>
  <c r="AA188" i="181" s="1"/>
  <c r="Z189" i="181"/>
  <c r="AA189" i="181" s="1"/>
  <c r="Z190" i="181"/>
  <c r="AA190" i="181" s="1"/>
  <c r="Z191" i="181"/>
  <c r="AA191" i="181" s="1"/>
  <c r="Z192" i="181"/>
  <c r="AA192" i="181" s="1"/>
  <c r="Z193" i="181"/>
  <c r="AA193" i="181" s="1"/>
  <c r="Z194" i="181"/>
  <c r="AA194" i="181" s="1"/>
  <c r="Z195" i="181"/>
  <c r="AA195" i="181" s="1"/>
  <c r="Z196" i="181"/>
  <c r="AA196" i="181" s="1"/>
  <c r="Z197" i="181"/>
  <c r="AA197" i="181" s="1"/>
  <c r="Z198" i="181"/>
  <c r="AA198" i="181" s="1"/>
  <c r="Z199" i="181"/>
  <c r="AA199" i="181" s="1"/>
  <c r="Z200" i="181"/>
  <c r="AA200" i="181" s="1"/>
  <c r="Z201" i="181"/>
  <c r="AA201" i="181" s="1"/>
  <c r="Z202" i="181"/>
  <c r="AA202" i="181" s="1"/>
  <c r="Z203" i="181"/>
  <c r="AA203" i="181" s="1"/>
  <c r="Z204" i="181"/>
  <c r="AA204" i="181" s="1"/>
  <c r="Z205" i="181"/>
  <c r="AA205" i="181" s="1"/>
  <c r="Z206" i="181"/>
  <c r="AA206" i="181" s="1"/>
  <c r="Z207" i="181"/>
  <c r="AA207" i="181" s="1"/>
  <c r="Z208" i="181"/>
  <c r="AA208" i="181" s="1"/>
  <c r="Z209" i="181"/>
  <c r="AA209" i="181" s="1"/>
  <c r="Z210" i="181"/>
  <c r="AA210" i="181" s="1"/>
  <c r="Z211" i="181"/>
  <c r="AA211" i="181" s="1"/>
  <c r="Z212" i="181"/>
  <c r="AA212" i="181" s="1"/>
  <c r="Z213" i="181"/>
  <c r="AA213" i="181" s="1"/>
  <c r="Z214" i="181"/>
  <c r="AA214" i="181" s="1"/>
  <c r="Z215" i="181"/>
  <c r="AA215" i="181" s="1"/>
  <c r="Z216" i="181"/>
  <c r="AA216" i="181" s="1"/>
  <c r="Z217" i="181"/>
  <c r="AA217" i="181" s="1"/>
  <c r="Z218" i="181"/>
  <c r="AA218" i="181" s="1"/>
  <c r="Z219" i="181"/>
  <c r="AA219" i="181" s="1"/>
  <c r="Z220" i="181"/>
  <c r="AA220" i="181" s="1"/>
  <c r="Z221" i="181"/>
  <c r="AA221" i="181" s="1"/>
  <c r="Z222" i="181"/>
  <c r="AA222" i="181" s="1"/>
  <c r="Z223" i="181"/>
  <c r="AA223" i="181" s="1"/>
  <c r="Z224" i="181"/>
  <c r="AA224" i="181" s="1"/>
  <c r="Z225" i="181"/>
  <c r="AA225" i="181" s="1"/>
  <c r="Z226" i="181"/>
  <c r="AA226" i="181" s="1"/>
  <c r="Z227" i="181"/>
  <c r="AA227" i="181" s="1"/>
  <c r="Z228" i="181"/>
  <c r="AA228" i="181" s="1"/>
  <c r="Z229" i="181"/>
  <c r="AA229" i="181" s="1"/>
  <c r="Z230" i="181"/>
  <c r="AA230" i="181" s="1"/>
  <c r="Z231" i="181"/>
  <c r="AA231" i="181" s="1"/>
  <c r="Z232" i="181"/>
  <c r="AA232" i="181" s="1"/>
  <c r="Z233" i="181"/>
  <c r="AA233" i="181" s="1"/>
  <c r="Z234" i="181"/>
  <c r="AA234" i="181" s="1"/>
  <c r="Z235" i="181"/>
  <c r="AA235" i="181" s="1"/>
  <c r="Z236" i="181"/>
  <c r="AA236" i="181" s="1"/>
  <c r="Z237" i="181"/>
  <c r="AA237" i="181" s="1"/>
  <c r="Z238" i="181"/>
  <c r="AA238" i="181" s="1"/>
  <c r="Z239" i="181"/>
  <c r="AA239" i="181" s="1"/>
  <c r="Z240" i="181"/>
  <c r="AA240" i="181" s="1"/>
  <c r="Z241" i="181"/>
  <c r="AA241" i="181" s="1"/>
  <c r="Z242" i="181"/>
  <c r="AA242" i="181" s="1"/>
  <c r="Z243" i="181"/>
  <c r="AA243" i="181" s="1"/>
  <c r="Z244" i="181"/>
  <c r="AA244" i="181" s="1"/>
  <c r="Z245" i="181"/>
  <c r="AA245" i="181" s="1"/>
  <c r="Z246" i="181"/>
  <c r="AA246" i="181" s="1"/>
  <c r="Z247" i="181"/>
  <c r="AA247" i="181" s="1"/>
  <c r="Z248" i="181"/>
  <c r="AA248" i="181" s="1"/>
  <c r="Z249" i="181"/>
  <c r="AA249" i="181" s="1"/>
  <c r="Z250" i="181"/>
  <c r="AA250" i="181" s="1"/>
  <c r="Z251" i="181"/>
  <c r="AA251" i="181" s="1"/>
  <c r="Z252" i="181"/>
  <c r="AA252" i="181" s="1"/>
  <c r="Z253" i="181"/>
  <c r="AA253" i="181" s="1"/>
  <c r="Z254" i="181"/>
  <c r="AA254" i="181" s="1"/>
  <c r="Z255" i="181"/>
  <c r="AA255" i="181" s="1"/>
  <c r="Z256" i="181"/>
  <c r="AA256" i="181" s="1"/>
  <c r="Z257" i="181"/>
  <c r="AA257" i="181" s="1"/>
  <c r="Z258" i="181"/>
  <c r="AA258" i="181" s="1"/>
  <c r="Z259" i="181"/>
  <c r="AA259" i="181" s="1"/>
  <c r="Z260" i="181"/>
  <c r="AA260" i="181" s="1"/>
  <c r="Z261" i="181"/>
  <c r="AA261" i="181" s="1"/>
  <c r="Z262" i="181"/>
  <c r="AA262" i="181" s="1"/>
  <c r="Z263" i="181"/>
  <c r="AA263" i="181" s="1"/>
  <c r="Z264" i="181"/>
  <c r="AA264" i="181" s="1"/>
  <c r="Z265" i="181"/>
  <c r="AA265" i="181" s="1"/>
  <c r="Z266" i="181"/>
  <c r="AA266" i="181" s="1"/>
  <c r="Z267" i="181"/>
  <c r="AA267" i="181" s="1"/>
  <c r="Z268" i="181"/>
  <c r="AA268" i="181" s="1"/>
  <c r="Z269" i="181"/>
  <c r="AA269" i="181" s="1"/>
  <c r="Z270" i="181"/>
  <c r="AA270" i="181" s="1"/>
  <c r="Z271" i="181"/>
  <c r="AA271" i="181" s="1"/>
  <c r="Z272" i="181"/>
  <c r="AA272" i="181" s="1"/>
  <c r="Z273" i="181"/>
  <c r="AA273" i="181" s="1"/>
  <c r="Z274" i="181"/>
  <c r="AA274" i="181" s="1"/>
  <c r="Z275" i="181"/>
  <c r="AA275" i="181" s="1"/>
  <c r="Z276" i="181"/>
  <c r="AA276" i="181" s="1"/>
  <c r="Z277" i="181"/>
  <c r="AA277" i="181" s="1"/>
  <c r="Z278" i="181"/>
  <c r="AA278" i="181" s="1"/>
  <c r="Z279" i="181"/>
  <c r="AA279" i="181" s="1"/>
  <c r="Z280" i="181"/>
  <c r="AA280" i="181" s="1"/>
  <c r="Z281" i="181"/>
  <c r="AA281" i="181" s="1"/>
  <c r="Z282" i="181"/>
  <c r="AA282" i="181" s="1"/>
  <c r="Z283" i="181"/>
  <c r="AA283" i="181" s="1"/>
  <c r="Z284" i="181"/>
  <c r="AA284" i="181" s="1"/>
  <c r="Z285" i="181"/>
  <c r="AA285" i="181" s="1"/>
  <c r="Z286" i="181"/>
  <c r="AA286" i="181" s="1"/>
  <c r="Z287" i="181"/>
  <c r="AA287" i="181" s="1"/>
  <c r="Z288" i="181"/>
  <c r="AA288" i="181" s="1"/>
  <c r="Z289" i="181"/>
  <c r="AA289" i="181" s="1"/>
  <c r="Z290" i="181"/>
  <c r="AA290" i="181" s="1"/>
  <c r="Z291" i="181"/>
  <c r="AA291" i="181" s="1"/>
  <c r="Z292" i="181"/>
  <c r="AA292" i="181" s="1"/>
  <c r="Z293" i="181"/>
  <c r="AA293" i="181" s="1"/>
  <c r="Z294" i="181"/>
  <c r="AA294" i="181" s="1"/>
  <c r="Z295" i="181"/>
  <c r="AA295" i="181" s="1"/>
  <c r="Z296" i="181"/>
  <c r="AA296" i="181" s="1"/>
  <c r="Z297" i="181"/>
  <c r="AA297" i="181" s="1"/>
  <c r="Z298" i="181"/>
  <c r="AA298" i="181" s="1"/>
  <c r="Z299" i="181"/>
  <c r="AA299" i="181" s="1"/>
  <c r="Z300" i="181"/>
  <c r="AA300" i="181" s="1"/>
  <c r="Z301" i="181"/>
  <c r="AA301" i="181" s="1"/>
  <c r="Z302" i="181"/>
  <c r="AA302" i="181" s="1"/>
  <c r="Z303" i="181"/>
  <c r="AA303" i="181" s="1"/>
  <c r="Z304" i="181"/>
  <c r="AA304" i="181" s="1"/>
  <c r="Z305" i="181"/>
  <c r="AA305" i="181" s="1"/>
  <c r="Z306" i="181"/>
  <c r="AA306" i="181" s="1"/>
  <c r="Z307" i="181"/>
  <c r="AA307" i="181" s="1"/>
  <c r="Z308" i="181"/>
  <c r="AA308" i="181" s="1"/>
  <c r="Z309" i="181"/>
  <c r="AA309" i="181" s="1"/>
  <c r="Z310" i="181"/>
  <c r="AA310" i="181" s="1"/>
  <c r="Z311" i="181"/>
  <c r="AA311" i="181" s="1"/>
  <c r="Z312" i="181"/>
  <c r="AA312" i="181" s="1"/>
  <c r="Z313" i="181"/>
  <c r="AA313" i="181" s="1"/>
  <c r="Z314" i="181"/>
  <c r="AA314" i="181" s="1"/>
  <c r="Z315" i="181"/>
  <c r="AA315" i="181" s="1"/>
  <c r="Z316" i="181"/>
  <c r="AA316" i="181" s="1"/>
  <c r="Z317" i="181"/>
  <c r="AA317" i="181" s="1"/>
  <c r="Z318" i="181"/>
  <c r="AA318" i="181" s="1"/>
  <c r="Z319" i="181"/>
  <c r="AA319" i="181" s="1"/>
  <c r="Z320" i="181"/>
  <c r="AA320" i="181" s="1"/>
  <c r="Z321" i="181"/>
  <c r="AA321" i="181" s="1"/>
  <c r="Z322" i="181"/>
  <c r="AA322" i="181" s="1"/>
  <c r="Z323" i="181"/>
  <c r="AA323" i="181" s="1"/>
  <c r="Z324" i="181"/>
  <c r="AA324" i="181" s="1"/>
  <c r="Z325" i="181"/>
  <c r="AA325" i="181" s="1"/>
  <c r="Z326" i="181"/>
  <c r="AA326" i="181" s="1"/>
  <c r="Z327" i="181"/>
  <c r="AA327" i="181" s="1"/>
  <c r="Z328" i="181"/>
  <c r="AA328" i="181" s="1"/>
  <c r="Z329" i="181"/>
  <c r="AA329" i="181" s="1"/>
  <c r="Z330" i="181"/>
  <c r="AA330" i="181" s="1"/>
  <c r="Z331" i="181"/>
  <c r="AA331" i="181" s="1"/>
  <c r="Z332" i="181"/>
  <c r="AA332" i="181" s="1"/>
  <c r="Z333" i="181"/>
  <c r="AA333" i="181" s="1"/>
  <c r="Z334" i="181"/>
  <c r="AA334" i="181" s="1"/>
  <c r="Z335" i="181"/>
  <c r="AA335" i="181" s="1"/>
  <c r="Z336" i="181"/>
  <c r="AA336" i="181" s="1"/>
  <c r="Z337" i="181"/>
  <c r="AA337" i="181" s="1"/>
  <c r="Z338" i="181"/>
  <c r="AA338" i="181" s="1"/>
  <c r="Z339" i="181"/>
  <c r="AA339" i="181" s="1"/>
  <c r="Z340" i="181"/>
  <c r="AA340" i="181" s="1"/>
  <c r="Z341" i="181"/>
  <c r="AA341" i="181" s="1"/>
  <c r="Z342" i="181"/>
  <c r="AA342" i="181" s="1"/>
  <c r="Z343" i="181"/>
  <c r="AA343" i="181" s="1"/>
  <c r="Z344" i="181"/>
  <c r="AA344" i="181" s="1"/>
  <c r="Z345" i="181"/>
  <c r="AA345" i="181" s="1"/>
  <c r="Z346" i="181"/>
  <c r="AA346" i="181" s="1"/>
  <c r="Z347" i="181"/>
  <c r="AA347" i="181" s="1"/>
  <c r="Z348" i="181"/>
  <c r="AA348" i="181" s="1"/>
  <c r="Z349" i="181"/>
  <c r="AA349" i="181" s="1"/>
  <c r="Z350" i="181"/>
  <c r="AA350" i="181" s="1"/>
  <c r="Z351" i="181"/>
  <c r="AA351" i="181" s="1"/>
  <c r="Z352" i="181"/>
  <c r="AA352" i="181" s="1"/>
  <c r="Z353" i="181"/>
  <c r="AA353" i="181" s="1"/>
  <c r="Z354" i="181"/>
  <c r="AA354" i="181" s="1"/>
  <c r="Z355" i="181"/>
  <c r="AA355" i="181" s="1"/>
  <c r="Z356" i="181"/>
  <c r="AA356" i="181" s="1"/>
  <c r="Z357" i="181"/>
  <c r="AA357" i="181" s="1"/>
  <c r="Z358" i="181"/>
  <c r="AA358" i="181" s="1"/>
  <c r="Z359" i="181"/>
  <c r="AA359" i="181" s="1"/>
  <c r="Z360" i="181"/>
  <c r="AA360" i="181" s="1"/>
  <c r="Z361" i="181"/>
  <c r="AA361" i="181" s="1"/>
  <c r="Z362" i="181"/>
  <c r="AA362" i="181" s="1"/>
  <c r="Z19" i="181"/>
  <c r="AA19" i="181" s="1"/>
  <c r="AD698" i="112" l="1"/>
  <c r="E698" i="112" s="1"/>
  <c r="AE698" i="112"/>
  <c r="AF698" i="112"/>
  <c r="Z698" i="112"/>
  <c r="AD692" i="112"/>
  <c r="E692" i="112" s="1"/>
  <c r="AE692" i="112"/>
  <c r="AF692" i="112"/>
  <c r="AD693" i="112"/>
  <c r="E693" i="112" s="1"/>
  <c r="AE693" i="112"/>
  <c r="AF693" i="112"/>
  <c r="Z693" i="112"/>
  <c r="Z692" i="112"/>
  <c r="C699" i="112"/>
  <c r="C698" i="112"/>
  <c r="C693" i="112"/>
  <c r="C692" i="112"/>
  <c r="C100" i="198" l="1"/>
  <c r="B100" i="198"/>
  <c r="C99" i="198"/>
  <c r="B99" i="198"/>
  <c r="C98" i="198"/>
  <c r="B98" i="198"/>
  <c r="C97" i="198"/>
  <c r="B97" i="198"/>
  <c r="C96" i="198"/>
  <c r="B96" i="198"/>
  <c r="D94" i="194"/>
  <c r="B94" i="194"/>
  <c r="D91" i="194"/>
  <c r="U13" i="99" s="1"/>
  <c r="B91" i="194"/>
  <c r="D90" i="194"/>
  <c r="U12" i="99" s="1"/>
  <c r="B90" i="194"/>
  <c r="D89" i="194"/>
  <c r="U11" i="99" s="1"/>
  <c r="B89" i="194"/>
  <c r="D88" i="194"/>
  <c r="U10" i="99" s="1"/>
  <c r="B88" i="194"/>
  <c r="D87" i="194"/>
  <c r="U9" i="99" s="1"/>
  <c r="B87" i="194"/>
  <c r="AD638" i="112"/>
  <c r="E638" i="112" s="1"/>
  <c r="AE638" i="112"/>
  <c r="AF638" i="112"/>
  <c r="Z638" i="112"/>
  <c r="C638" i="112"/>
  <c r="AD528" i="112"/>
  <c r="E528" i="112" s="1"/>
  <c r="AE528" i="112"/>
  <c r="AF528" i="112"/>
  <c r="Z528" i="112"/>
  <c r="C528" i="112"/>
  <c r="R9" i="123" l="1"/>
  <c r="R9" i="152"/>
  <c r="R9" i="151"/>
  <c r="R9" i="126"/>
  <c r="R9" i="107"/>
  <c r="R9" i="122"/>
  <c r="U10" i="152"/>
  <c r="U10" i="122"/>
  <c r="U10" i="151"/>
  <c r="U10" i="107"/>
  <c r="U10" i="123"/>
  <c r="U10" i="126"/>
  <c r="U12" i="107"/>
  <c r="U12" i="123"/>
  <c r="U12" i="152"/>
  <c r="U12" i="151"/>
  <c r="U12" i="126"/>
  <c r="U12" i="122"/>
  <c r="R10" i="122"/>
  <c r="R10" i="152"/>
  <c r="R10" i="151"/>
  <c r="R10" i="107"/>
  <c r="R10" i="123"/>
  <c r="R10" i="126"/>
  <c r="R13" i="107"/>
  <c r="R13" i="122"/>
  <c r="R13" i="151"/>
  <c r="R13" i="123"/>
  <c r="R13" i="152"/>
  <c r="R13" i="126"/>
  <c r="U9" i="123"/>
  <c r="U9" i="152"/>
  <c r="U9" i="151"/>
  <c r="U9" i="107"/>
  <c r="U9" i="126"/>
  <c r="U9" i="122"/>
  <c r="R11" i="151"/>
  <c r="R11" i="122"/>
  <c r="R11" i="107"/>
  <c r="R11" i="123"/>
  <c r="R11" i="126"/>
  <c r="R11" i="152"/>
  <c r="U11" i="122"/>
  <c r="U11" i="107"/>
  <c r="U11" i="126"/>
  <c r="U11" i="123"/>
  <c r="U11" i="152"/>
  <c r="U11" i="151"/>
  <c r="R12" i="107"/>
  <c r="R12" i="122"/>
  <c r="R12" i="123"/>
  <c r="R12" i="152"/>
  <c r="R12" i="126"/>
  <c r="R12" i="151"/>
  <c r="U13" i="126"/>
  <c r="U13" i="122"/>
  <c r="U13" i="152"/>
  <c r="U13" i="151"/>
  <c r="U13" i="123"/>
  <c r="U13" i="107"/>
  <c r="R16" i="99"/>
  <c r="R16" i="100"/>
  <c r="R12" i="100"/>
  <c r="R12" i="99"/>
  <c r="R13" i="100"/>
  <c r="R13" i="99"/>
  <c r="R9" i="100"/>
  <c r="R9" i="99"/>
  <c r="R11" i="100"/>
  <c r="R11" i="99"/>
  <c r="U16" i="99"/>
  <c r="U16" i="100"/>
  <c r="R10" i="100"/>
  <c r="R10" i="99"/>
  <c r="U9" i="98"/>
  <c r="U9" i="100"/>
  <c r="U10" i="98"/>
  <c r="U10" i="100"/>
  <c r="U11" i="98"/>
  <c r="U11" i="100"/>
  <c r="U12" i="98"/>
  <c r="U12" i="100"/>
  <c r="U13" i="98"/>
  <c r="U13" i="100"/>
  <c r="AD295" i="112"/>
  <c r="E295" i="112" s="1"/>
  <c r="AE295" i="112"/>
  <c r="AF295" i="112"/>
  <c r="Z295" i="112"/>
  <c r="C295" i="112"/>
  <c r="AD293" i="112"/>
  <c r="AE293" i="112"/>
  <c r="AF293" i="112"/>
  <c r="AD294" i="112"/>
  <c r="E294" i="112" s="1"/>
  <c r="AE294" i="112"/>
  <c r="AF294" i="112"/>
  <c r="Z294" i="112"/>
  <c r="Z293" i="112"/>
  <c r="C294" i="112"/>
  <c r="C418" i="107" l="1"/>
  <c r="C424" i="152"/>
  <c r="E293" i="112"/>
  <c r="C293" i="112"/>
  <c r="W292" i="112"/>
  <c r="Y292" i="112"/>
  <c r="X292" i="112"/>
  <c r="C292" i="112"/>
  <c r="AD292" i="112"/>
  <c r="E292" i="112" s="1"/>
  <c r="AE292" i="112"/>
  <c r="AF292" i="112"/>
  <c r="Z292" i="112"/>
  <c r="J10" i="120"/>
  <c r="M10" i="120" s="1"/>
  <c r="A10" i="120"/>
  <c r="H49" i="180"/>
  <c r="G49" i="180"/>
  <c r="J11" i="197" l="1"/>
  <c r="J12" i="197"/>
  <c r="J13" i="197"/>
  <c r="J14" i="197"/>
  <c r="J15" i="197"/>
  <c r="J16" i="197"/>
  <c r="J17" i="197"/>
  <c r="J18" i="197"/>
  <c r="J19" i="197"/>
  <c r="J10" i="197"/>
  <c r="I9" i="197"/>
  <c r="H9" i="197"/>
  <c r="AU39" i="197"/>
  <c r="AT39" i="197"/>
  <c r="AS39" i="197"/>
  <c r="AR39" i="197"/>
  <c r="AU38" i="197"/>
  <c r="AT38" i="197"/>
  <c r="AS38" i="197"/>
  <c r="AR38" i="197"/>
  <c r="G9" i="197"/>
  <c r="AD39" i="197"/>
  <c r="AC39" i="197"/>
  <c r="AB39" i="197"/>
  <c r="AA39" i="197"/>
  <c r="AD38" i="197"/>
  <c r="AC38" i="197"/>
  <c r="AB38" i="197"/>
  <c r="AA38" i="197"/>
  <c r="F19" i="197"/>
  <c r="F18" i="197"/>
  <c r="F17" i="197"/>
  <c r="F16" i="197"/>
  <c r="F15" i="197"/>
  <c r="F14" i="197"/>
  <c r="F13" i="197"/>
  <c r="F12" i="197"/>
  <c r="F11" i="197"/>
  <c r="F10" i="197"/>
  <c r="V20" i="181"/>
  <c r="W20" i="181"/>
  <c r="V21" i="181"/>
  <c r="W21" i="181"/>
  <c r="V22" i="181"/>
  <c r="W22" i="181"/>
  <c r="V23" i="181"/>
  <c r="W23" i="181"/>
  <c r="V24" i="181"/>
  <c r="W24" i="181"/>
  <c r="V25" i="181"/>
  <c r="W25" i="181"/>
  <c r="V26" i="181"/>
  <c r="W26" i="181"/>
  <c r="V27" i="181"/>
  <c r="W27" i="181"/>
  <c r="V28" i="181"/>
  <c r="W28" i="181"/>
  <c r="V29" i="181"/>
  <c r="W29" i="181"/>
  <c r="V30" i="181"/>
  <c r="W30" i="181"/>
  <c r="V31" i="181"/>
  <c r="W31" i="181"/>
  <c r="V32" i="181"/>
  <c r="W32" i="181"/>
  <c r="V33" i="181"/>
  <c r="W33" i="181"/>
  <c r="V34" i="181"/>
  <c r="W34" i="181"/>
  <c r="V35" i="181"/>
  <c r="W35" i="181"/>
  <c r="V36" i="181"/>
  <c r="W36" i="181"/>
  <c r="V37" i="181"/>
  <c r="W37" i="181"/>
  <c r="V38" i="181"/>
  <c r="W38" i="181"/>
  <c r="V39" i="181"/>
  <c r="W39" i="181"/>
  <c r="V40" i="181"/>
  <c r="W40" i="181"/>
  <c r="V41" i="181"/>
  <c r="W41" i="181"/>
  <c r="V42" i="181"/>
  <c r="W42" i="181"/>
  <c r="V43" i="181"/>
  <c r="W43" i="181"/>
  <c r="V44" i="181"/>
  <c r="W44" i="181"/>
  <c r="V45" i="181"/>
  <c r="W45" i="181"/>
  <c r="V46" i="181"/>
  <c r="W46" i="181"/>
  <c r="V47" i="181"/>
  <c r="W47" i="181"/>
  <c r="V48" i="181"/>
  <c r="W48" i="181"/>
  <c r="V49" i="181"/>
  <c r="W49" i="181"/>
  <c r="V50" i="181"/>
  <c r="W50" i="181"/>
  <c r="V51" i="181"/>
  <c r="W51" i="181"/>
  <c r="V52" i="181"/>
  <c r="W52" i="181"/>
  <c r="V53" i="181"/>
  <c r="W53" i="181"/>
  <c r="V54" i="181"/>
  <c r="W54" i="181"/>
  <c r="V55" i="181"/>
  <c r="W55" i="181"/>
  <c r="V56" i="181"/>
  <c r="W56" i="181"/>
  <c r="V57" i="181"/>
  <c r="W57" i="181"/>
  <c r="V58" i="181"/>
  <c r="W58" i="181"/>
  <c r="V59" i="181"/>
  <c r="W59" i="181"/>
  <c r="V60" i="181"/>
  <c r="W60" i="181"/>
  <c r="V61" i="181"/>
  <c r="W61" i="181"/>
  <c r="V62" i="181"/>
  <c r="W62" i="181"/>
  <c r="V63" i="181"/>
  <c r="W63" i="181"/>
  <c r="V64" i="181"/>
  <c r="W64" i="181"/>
  <c r="V65" i="181"/>
  <c r="W65" i="181"/>
  <c r="V66" i="181"/>
  <c r="W66" i="181"/>
  <c r="V67" i="181"/>
  <c r="W67" i="181"/>
  <c r="V68" i="181"/>
  <c r="W68" i="181"/>
  <c r="V69" i="181"/>
  <c r="W69" i="181"/>
  <c r="V70" i="181"/>
  <c r="W70" i="181"/>
  <c r="V71" i="181"/>
  <c r="W71" i="181"/>
  <c r="V72" i="181"/>
  <c r="W72" i="181"/>
  <c r="V73" i="181"/>
  <c r="W73" i="181"/>
  <c r="V74" i="181"/>
  <c r="W74" i="181"/>
  <c r="V75" i="181"/>
  <c r="W75" i="181"/>
  <c r="V76" i="181"/>
  <c r="W76" i="181"/>
  <c r="V77" i="181"/>
  <c r="W77" i="181"/>
  <c r="V78" i="181"/>
  <c r="W78" i="181"/>
  <c r="V79" i="181"/>
  <c r="W79" i="181"/>
  <c r="V80" i="181"/>
  <c r="W80" i="181"/>
  <c r="V81" i="181"/>
  <c r="W81" i="181"/>
  <c r="V82" i="181"/>
  <c r="W82" i="181"/>
  <c r="V83" i="181"/>
  <c r="W83" i="181"/>
  <c r="V84" i="181"/>
  <c r="W84" i="181"/>
  <c r="V85" i="181"/>
  <c r="W85" i="181"/>
  <c r="V86" i="181"/>
  <c r="W86" i="181"/>
  <c r="V87" i="181"/>
  <c r="W87" i="181"/>
  <c r="V88" i="181"/>
  <c r="W88" i="181"/>
  <c r="V89" i="181"/>
  <c r="W89" i="181"/>
  <c r="V90" i="181"/>
  <c r="W90" i="181"/>
  <c r="V91" i="181"/>
  <c r="W91" i="181"/>
  <c r="V92" i="181"/>
  <c r="W92" i="181"/>
  <c r="V93" i="181"/>
  <c r="W93" i="181"/>
  <c r="V94" i="181"/>
  <c r="W94" i="181"/>
  <c r="V95" i="181"/>
  <c r="W95" i="181"/>
  <c r="V96" i="181"/>
  <c r="W96" i="181"/>
  <c r="V97" i="181"/>
  <c r="W97" i="181"/>
  <c r="V98" i="181"/>
  <c r="W98" i="181"/>
  <c r="V99" i="181"/>
  <c r="W99" i="181"/>
  <c r="V100" i="181"/>
  <c r="W100" i="181"/>
  <c r="V101" i="181"/>
  <c r="W101" i="181"/>
  <c r="V102" i="181"/>
  <c r="W102" i="181"/>
  <c r="V103" i="181"/>
  <c r="W103" i="181"/>
  <c r="V104" i="181"/>
  <c r="W104" i="181"/>
  <c r="V105" i="181"/>
  <c r="W105" i="181"/>
  <c r="V106" i="181"/>
  <c r="W106" i="181"/>
  <c r="V107" i="181"/>
  <c r="W107" i="181"/>
  <c r="V108" i="181"/>
  <c r="W108" i="181"/>
  <c r="V109" i="181"/>
  <c r="W109" i="181"/>
  <c r="V110" i="181"/>
  <c r="W110" i="181"/>
  <c r="V111" i="181"/>
  <c r="W111" i="181"/>
  <c r="V112" i="181"/>
  <c r="W112" i="181"/>
  <c r="V113" i="181"/>
  <c r="W113" i="181"/>
  <c r="V114" i="181"/>
  <c r="W114" i="181"/>
  <c r="V115" i="181"/>
  <c r="W115" i="181"/>
  <c r="V116" i="181"/>
  <c r="W116" i="181"/>
  <c r="V117" i="181"/>
  <c r="W117" i="181"/>
  <c r="V118" i="181"/>
  <c r="W118" i="181"/>
  <c r="V119" i="181"/>
  <c r="W119" i="181"/>
  <c r="V120" i="181"/>
  <c r="W120" i="181"/>
  <c r="V121" i="181"/>
  <c r="W121" i="181"/>
  <c r="V122" i="181"/>
  <c r="W122" i="181"/>
  <c r="V123" i="181"/>
  <c r="W123" i="181"/>
  <c r="V124" i="181"/>
  <c r="W124" i="181"/>
  <c r="V125" i="181"/>
  <c r="W125" i="181"/>
  <c r="V126" i="181"/>
  <c r="W126" i="181"/>
  <c r="V127" i="181"/>
  <c r="W127" i="181"/>
  <c r="V128" i="181"/>
  <c r="W128" i="181"/>
  <c r="V129" i="181"/>
  <c r="W129" i="181"/>
  <c r="V130" i="181"/>
  <c r="W130" i="181"/>
  <c r="V131" i="181"/>
  <c r="W131" i="181"/>
  <c r="V132" i="181"/>
  <c r="W132" i="181"/>
  <c r="V133" i="181"/>
  <c r="W133" i="181"/>
  <c r="V134" i="181"/>
  <c r="W134" i="181"/>
  <c r="V135" i="181"/>
  <c r="W135" i="181"/>
  <c r="V136" i="181"/>
  <c r="W136" i="181"/>
  <c r="V137" i="181"/>
  <c r="W137" i="181"/>
  <c r="V138" i="181"/>
  <c r="W138" i="181"/>
  <c r="V139" i="181"/>
  <c r="W139" i="181"/>
  <c r="V140" i="181"/>
  <c r="W140" i="181"/>
  <c r="V141" i="181"/>
  <c r="W141" i="181"/>
  <c r="V142" i="181"/>
  <c r="W142" i="181"/>
  <c r="V143" i="181"/>
  <c r="W143" i="181"/>
  <c r="V144" i="181"/>
  <c r="W144" i="181"/>
  <c r="V145" i="181"/>
  <c r="W145" i="181"/>
  <c r="V146" i="181"/>
  <c r="W146" i="181"/>
  <c r="V147" i="181"/>
  <c r="W147" i="181"/>
  <c r="V148" i="181"/>
  <c r="W148" i="181"/>
  <c r="V149" i="181"/>
  <c r="W149" i="181"/>
  <c r="V150" i="181"/>
  <c r="W150" i="181"/>
  <c r="V151" i="181"/>
  <c r="W151" i="181"/>
  <c r="V152" i="181"/>
  <c r="W152" i="181"/>
  <c r="V153" i="181"/>
  <c r="W153" i="181"/>
  <c r="V154" i="181"/>
  <c r="W154" i="181"/>
  <c r="V155" i="181"/>
  <c r="W155" i="181"/>
  <c r="V156" i="181"/>
  <c r="W156" i="181"/>
  <c r="V157" i="181"/>
  <c r="W157" i="181"/>
  <c r="V158" i="181"/>
  <c r="W158" i="181"/>
  <c r="V159" i="181"/>
  <c r="W159" i="181"/>
  <c r="V160" i="181"/>
  <c r="W160" i="181"/>
  <c r="V161" i="181"/>
  <c r="W161" i="181"/>
  <c r="V162" i="181"/>
  <c r="W162" i="181"/>
  <c r="V163" i="181"/>
  <c r="W163" i="181"/>
  <c r="V164" i="181"/>
  <c r="W164" i="181"/>
  <c r="V165" i="181"/>
  <c r="W165" i="181"/>
  <c r="V166" i="181"/>
  <c r="W166" i="181"/>
  <c r="V167" i="181"/>
  <c r="W167" i="181"/>
  <c r="V168" i="181"/>
  <c r="W168" i="181"/>
  <c r="V169" i="181"/>
  <c r="W169" i="181"/>
  <c r="V170" i="181"/>
  <c r="W170" i="181"/>
  <c r="V171" i="181"/>
  <c r="W171" i="181"/>
  <c r="V172" i="181"/>
  <c r="W172" i="181"/>
  <c r="V173" i="181"/>
  <c r="W173" i="181"/>
  <c r="V174" i="181"/>
  <c r="W174" i="181"/>
  <c r="V175" i="181"/>
  <c r="W175" i="181"/>
  <c r="V176" i="181"/>
  <c r="W176" i="181"/>
  <c r="V177" i="181"/>
  <c r="W177" i="181"/>
  <c r="V178" i="181"/>
  <c r="W178" i="181"/>
  <c r="V179" i="181"/>
  <c r="W179" i="181"/>
  <c r="V180" i="181"/>
  <c r="W180" i="181"/>
  <c r="V181" i="181"/>
  <c r="W181" i="181"/>
  <c r="V182" i="181"/>
  <c r="W182" i="181"/>
  <c r="V183" i="181"/>
  <c r="W183" i="181"/>
  <c r="V184" i="181"/>
  <c r="W184" i="181"/>
  <c r="V185" i="181"/>
  <c r="W185" i="181"/>
  <c r="V186" i="181"/>
  <c r="W186" i="181"/>
  <c r="V187" i="181"/>
  <c r="W187" i="181"/>
  <c r="V188" i="181"/>
  <c r="W188" i="181"/>
  <c r="V189" i="181"/>
  <c r="W189" i="181"/>
  <c r="V190" i="181"/>
  <c r="W190" i="181"/>
  <c r="V191" i="181"/>
  <c r="W191" i="181"/>
  <c r="V192" i="181"/>
  <c r="W192" i="181"/>
  <c r="V193" i="181"/>
  <c r="W193" i="181"/>
  <c r="V194" i="181"/>
  <c r="W194" i="181"/>
  <c r="V195" i="181"/>
  <c r="W195" i="181"/>
  <c r="V196" i="181"/>
  <c r="W196" i="181"/>
  <c r="V197" i="181"/>
  <c r="W197" i="181"/>
  <c r="V198" i="181"/>
  <c r="W198" i="181"/>
  <c r="V199" i="181"/>
  <c r="W199" i="181"/>
  <c r="V200" i="181"/>
  <c r="W200" i="181"/>
  <c r="V201" i="181"/>
  <c r="W201" i="181"/>
  <c r="V202" i="181"/>
  <c r="W202" i="181"/>
  <c r="V203" i="181"/>
  <c r="W203" i="181"/>
  <c r="V204" i="181"/>
  <c r="W204" i="181"/>
  <c r="V205" i="181"/>
  <c r="W205" i="181"/>
  <c r="V206" i="181"/>
  <c r="W206" i="181"/>
  <c r="V207" i="181"/>
  <c r="W207" i="181"/>
  <c r="V208" i="181"/>
  <c r="W208" i="181"/>
  <c r="V209" i="181"/>
  <c r="W209" i="181"/>
  <c r="V210" i="181"/>
  <c r="W210" i="181"/>
  <c r="V211" i="181"/>
  <c r="W211" i="181"/>
  <c r="V212" i="181"/>
  <c r="W212" i="181"/>
  <c r="V213" i="181"/>
  <c r="W213" i="181"/>
  <c r="V214" i="181"/>
  <c r="W214" i="181"/>
  <c r="V215" i="181"/>
  <c r="W215" i="181"/>
  <c r="V216" i="181"/>
  <c r="W216" i="181"/>
  <c r="V217" i="181"/>
  <c r="W217" i="181"/>
  <c r="V218" i="181"/>
  <c r="W218" i="181"/>
  <c r="V219" i="181"/>
  <c r="W219" i="181"/>
  <c r="V220" i="181"/>
  <c r="W220" i="181"/>
  <c r="V221" i="181"/>
  <c r="W221" i="181"/>
  <c r="V222" i="181"/>
  <c r="W222" i="181"/>
  <c r="V223" i="181"/>
  <c r="W223" i="181"/>
  <c r="V224" i="181"/>
  <c r="W224" i="181"/>
  <c r="V225" i="181"/>
  <c r="W225" i="181"/>
  <c r="V226" i="181"/>
  <c r="W226" i="181"/>
  <c r="V227" i="181"/>
  <c r="W227" i="181"/>
  <c r="V228" i="181"/>
  <c r="W228" i="181"/>
  <c r="V229" i="181"/>
  <c r="W229" i="181"/>
  <c r="V230" i="181"/>
  <c r="W230" i="181"/>
  <c r="V231" i="181"/>
  <c r="W231" i="181"/>
  <c r="V232" i="181"/>
  <c r="W232" i="181"/>
  <c r="V233" i="181"/>
  <c r="W233" i="181"/>
  <c r="V234" i="181"/>
  <c r="W234" i="181"/>
  <c r="V235" i="181"/>
  <c r="W235" i="181"/>
  <c r="V236" i="181"/>
  <c r="W236" i="181"/>
  <c r="V237" i="181"/>
  <c r="W237" i="181"/>
  <c r="V238" i="181"/>
  <c r="W238" i="181"/>
  <c r="V239" i="181"/>
  <c r="W239" i="181"/>
  <c r="V240" i="181"/>
  <c r="W240" i="181"/>
  <c r="V241" i="181"/>
  <c r="W241" i="181"/>
  <c r="V242" i="181"/>
  <c r="W242" i="181"/>
  <c r="V243" i="181"/>
  <c r="W243" i="181"/>
  <c r="V244" i="181"/>
  <c r="W244" i="181"/>
  <c r="V245" i="181"/>
  <c r="W245" i="181"/>
  <c r="V246" i="181"/>
  <c r="W246" i="181"/>
  <c r="V247" i="181"/>
  <c r="W247" i="181"/>
  <c r="V248" i="181"/>
  <c r="W248" i="181"/>
  <c r="V249" i="181"/>
  <c r="W249" i="181"/>
  <c r="V250" i="181"/>
  <c r="W250" i="181"/>
  <c r="V251" i="181"/>
  <c r="W251" i="181"/>
  <c r="V252" i="181"/>
  <c r="W252" i="181"/>
  <c r="V253" i="181"/>
  <c r="W253" i="181"/>
  <c r="V254" i="181"/>
  <c r="W254" i="181"/>
  <c r="V255" i="181"/>
  <c r="W255" i="181"/>
  <c r="V256" i="181"/>
  <c r="W256" i="181"/>
  <c r="V257" i="181"/>
  <c r="W257" i="181"/>
  <c r="V258" i="181"/>
  <c r="W258" i="181"/>
  <c r="V259" i="181"/>
  <c r="W259" i="181"/>
  <c r="V260" i="181"/>
  <c r="W260" i="181"/>
  <c r="V261" i="181"/>
  <c r="W261" i="181"/>
  <c r="V262" i="181"/>
  <c r="W262" i="181"/>
  <c r="V263" i="181"/>
  <c r="W263" i="181"/>
  <c r="V264" i="181"/>
  <c r="W264" i="181"/>
  <c r="V265" i="181"/>
  <c r="W265" i="181"/>
  <c r="V266" i="181"/>
  <c r="W266" i="181"/>
  <c r="V267" i="181"/>
  <c r="W267" i="181"/>
  <c r="V268" i="181"/>
  <c r="W268" i="181"/>
  <c r="V269" i="181"/>
  <c r="W269" i="181"/>
  <c r="V270" i="181"/>
  <c r="W270" i="181"/>
  <c r="V271" i="181"/>
  <c r="W271" i="181"/>
  <c r="V272" i="181"/>
  <c r="W272" i="181"/>
  <c r="V273" i="181"/>
  <c r="W273" i="181"/>
  <c r="V274" i="181"/>
  <c r="W274" i="181"/>
  <c r="V275" i="181"/>
  <c r="W275" i="181"/>
  <c r="V276" i="181"/>
  <c r="W276" i="181"/>
  <c r="V277" i="181"/>
  <c r="W277" i="181"/>
  <c r="V278" i="181"/>
  <c r="W278" i="181"/>
  <c r="V279" i="181"/>
  <c r="W279" i="181"/>
  <c r="V280" i="181"/>
  <c r="W280" i="181"/>
  <c r="V281" i="181"/>
  <c r="W281" i="181"/>
  <c r="V282" i="181"/>
  <c r="W282" i="181"/>
  <c r="V283" i="181"/>
  <c r="W283" i="181"/>
  <c r="V284" i="181"/>
  <c r="W284" i="181"/>
  <c r="V285" i="181"/>
  <c r="W285" i="181"/>
  <c r="V286" i="181"/>
  <c r="W286" i="181"/>
  <c r="V287" i="181"/>
  <c r="W287" i="181"/>
  <c r="V288" i="181"/>
  <c r="W288" i="181"/>
  <c r="V289" i="181"/>
  <c r="W289" i="181"/>
  <c r="V290" i="181"/>
  <c r="W290" i="181"/>
  <c r="V291" i="181"/>
  <c r="W291" i="181"/>
  <c r="V292" i="181"/>
  <c r="W292" i="181"/>
  <c r="V293" i="181"/>
  <c r="W293" i="181"/>
  <c r="V294" i="181"/>
  <c r="W294" i="181"/>
  <c r="V295" i="181"/>
  <c r="W295" i="181"/>
  <c r="V296" i="181"/>
  <c r="W296" i="181"/>
  <c r="V297" i="181"/>
  <c r="W297" i="181"/>
  <c r="V298" i="181"/>
  <c r="W298" i="181"/>
  <c r="V299" i="181"/>
  <c r="W299" i="181"/>
  <c r="V300" i="181"/>
  <c r="W300" i="181"/>
  <c r="V301" i="181"/>
  <c r="W301" i="181"/>
  <c r="V302" i="181"/>
  <c r="W302" i="181"/>
  <c r="V303" i="181"/>
  <c r="W303" i="181"/>
  <c r="V304" i="181"/>
  <c r="W304" i="181"/>
  <c r="V305" i="181"/>
  <c r="W305" i="181"/>
  <c r="V306" i="181"/>
  <c r="W306" i="181"/>
  <c r="V307" i="181"/>
  <c r="W307" i="181"/>
  <c r="V308" i="181"/>
  <c r="W308" i="181"/>
  <c r="V309" i="181"/>
  <c r="W309" i="181"/>
  <c r="V310" i="181"/>
  <c r="W310" i="181"/>
  <c r="V311" i="181"/>
  <c r="W311" i="181"/>
  <c r="V312" i="181"/>
  <c r="W312" i="181"/>
  <c r="V313" i="181"/>
  <c r="W313" i="181"/>
  <c r="V314" i="181"/>
  <c r="W314" i="181"/>
  <c r="V315" i="181"/>
  <c r="W315" i="181"/>
  <c r="V316" i="181"/>
  <c r="W316" i="181"/>
  <c r="V317" i="181"/>
  <c r="W317" i="181"/>
  <c r="V318" i="181"/>
  <c r="W318" i="181"/>
  <c r="V319" i="181"/>
  <c r="W319" i="181"/>
  <c r="V320" i="181"/>
  <c r="W320" i="181"/>
  <c r="V321" i="181"/>
  <c r="W321" i="181"/>
  <c r="V322" i="181"/>
  <c r="W322" i="181"/>
  <c r="V323" i="181"/>
  <c r="W323" i="181"/>
  <c r="V324" i="181"/>
  <c r="W324" i="181"/>
  <c r="V325" i="181"/>
  <c r="W325" i="181"/>
  <c r="V326" i="181"/>
  <c r="W326" i="181"/>
  <c r="V327" i="181"/>
  <c r="W327" i="181"/>
  <c r="V328" i="181"/>
  <c r="W328" i="181"/>
  <c r="V329" i="181"/>
  <c r="W329" i="181"/>
  <c r="V330" i="181"/>
  <c r="W330" i="181"/>
  <c r="V331" i="181"/>
  <c r="W331" i="181"/>
  <c r="V332" i="181"/>
  <c r="W332" i="181"/>
  <c r="V333" i="181"/>
  <c r="W333" i="181"/>
  <c r="V334" i="181"/>
  <c r="W334" i="181"/>
  <c r="V335" i="181"/>
  <c r="W335" i="181"/>
  <c r="V336" i="181"/>
  <c r="W336" i="181"/>
  <c r="V337" i="181"/>
  <c r="W337" i="181"/>
  <c r="V338" i="181"/>
  <c r="W338" i="181"/>
  <c r="V339" i="181"/>
  <c r="W339" i="181"/>
  <c r="V340" i="181"/>
  <c r="W340" i="181"/>
  <c r="V341" i="181"/>
  <c r="W341" i="181"/>
  <c r="V342" i="181"/>
  <c r="W342" i="181"/>
  <c r="V343" i="181"/>
  <c r="W343" i="181"/>
  <c r="V344" i="181"/>
  <c r="W344" i="181"/>
  <c r="V345" i="181"/>
  <c r="W345" i="181"/>
  <c r="V346" i="181"/>
  <c r="W346" i="181"/>
  <c r="V347" i="181"/>
  <c r="W347" i="181"/>
  <c r="V348" i="181"/>
  <c r="W348" i="181"/>
  <c r="V349" i="181"/>
  <c r="W349" i="181"/>
  <c r="V350" i="181"/>
  <c r="W350" i="181"/>
  <c r="V351" i="181"/>
  <c r="W351" i="181"/>
  <c r="V352" i="181"/>
  <c r="W352" i="181"/>
  <c r="V353" i="181"/>
  <c r="W353" i="181"/>
  <c r="V354" i="181"/>
  <c r="W354" i="181"/>
  <c r="V355" i="181"/>
  <c r="W355" i="181"/>
  <c r="V356" i="181"/>
  <c r="W356" i="181"/>
  <c r="V357" i="181"/>
  <c r="W357" i="181"/>
  <c r="V358" i="181"/>
  <c r="W358" i="181"/>
  <c r="V359" i="181"/>
  <c r="W359" i="181"/>
  <c r="V360" i="181"/>
  <c r="W360" i="181"/>
  <c r="V361" i="181"/>
  <c r="W361" i="181"/>
  <c r="V362" i="181"/>
  <c r="W362" i="181"/>
  <c r="W19" i="181"/>
  <c r="W18" i="181"/>
  <c r="V18" i="181"/>
  <c r="V19" i="181"/>
  <c r="W198" i="112"/>
  <c r="W193" i="112"/>
  <c r="AD199" i="112"/>
  <c r="E199" i="112" s="1"/>
  <c r="AE199" i="112"/>
  <c r="AF199" i="112"/>
  <c r="Z199" i="112"/>
  <c r="C199" i="112"/>
  <c r="AD193" i="112"/>
  <c r="E193" i="112" s="1"/>
  <c r="AE193" i="112"/>
  <c r="AF193" i="112"/>
  <c r="Z193" i="112"/>
  <c r="C193" i="112"/>
  <c r="AD192" i="112"/>
  <c r="E192" i="112" s="1"/>
  <c r="AE192" i="112"/>
  <c r="AF192" i="112"/>
  <c r="Z192" i="112"/>
  <c r="C192" i="112"/>
  <c r="AD190" i="112"/>
  <c r="E190" i="112" s="1"/>
  <c r="AE190" i="112"/>
  <c r="AF190" i="112"/>
  <c r="Z190" i="112"/>
  <c r="C190" i="112"/>
  <c r="AD198" i="112"/>
  <c r="E198" i="112" s="1"/>
  <c r="AE198" i="112"/>
  <c r="AF198" i="112"/>
  <c r="Z198" i="112"/>
  <c r="C198" i="112"/>
  <c r="AD191" i="112"/>
  <c r="E191" i="112" s="1"/>
  <c r="AE191" i="112"/>
  <c r="AF191" i="112"/>
  <c r="AD194" i="112"/>
  <c r="E194" i="112" s="1"/>
  <c r="AE194" i="112"/>
  <c r="AF194" i="112"/>
  <c r="Z194" i="112"/>
  <c r="Z191" i="112"/>
  <c r="C191" i="112"/>
  <c r="C194" i="112"/>
  <c r="C200" i="112"/>
  <c r="AD200" i="112"/>
  <c r="E200" i="112" s="1"/>
  <c r="AE200" i="112"/>
  <c r="AF200" i="112"/>
  <c r="Z200" i="112"/>
  <c r="Y207" i="112" l="1"/>
  <c r="X207" i="112"/>
  <c r="J20" i="116" l="1"/>
  <c r="J21" i="116"/>
  <c r="J22" i="116"/>
  <c r="J23" i="116"/>
  <c r="J24" i="116"/>
  <c r="J25" i="116"/>
  <c r="J26" i="116"/>
  <c r="J27" i="116"/>
  <c r="J28" i="116"/>
  <c r="J29" i="116"/>
  <c r="J30" i="116"/>
  <c r="J31" i="116"/>
  <c r="J32" i="116"/>
  <c r="J33" i="116"/>
  <c r="J34" i="116"/>
  <c r="J35" i="116"/>
  <c r="J36" i="116"/>
  <c r="J37" i="116"/>
  <c r="J38" i="116"/>
  <c r="J39" i="116"/>
  <c r="J40" i="116"/>
  <c r="J41" i="116"/>
  <c r="J42" i="116"/>
  <c r="J43" i="116"/>
  <c r="J44" i="116"/>
  <c r="J45" i="116"/>
  <c r="J46" i="116"/>
  <c r="J47" i="116"/>
  <c r="J48" i="116"/>
  <c r="J49" i="116"/>
  <c r="J50" i="116"/>
  <c r="J51" i="116"/>
  <c r="J52" i="116"/>
  <c r="J53" i="116"/>
  <c r="J54" i="116"/>
  <c r="J55" i="116"/>
  <c r="J56" i="116"/>
  <c r="J57" i="116"/>
  <c r="J58" i="116"/>
  <c r="J59" i="116"/>
  <c r="J60" i="116"/>
  <c r="J61" i="116"/>
  <c r="J62" i="116"/>
  <c r="J63" i="116"/>
  <c r="J64" i="116"/>
  <c r="J65" i="116"/>
  <c r="J66" i="116"/>
  <c r="J67" i="116"/>
  <c r="J68" i="116"/>
  <c r="J69" i="116"/>
  <c r="J70" i="116"/>
  <c r="J71" i="116"/>
  <c r="J72" i="116"/>
  <c r="J73" i="116"/>
  <c r="J74" i="116"/>
  <c r="J75" i="116"/>
  <c r="J76" i="116"/>
  <c r="J77" i="116"/>
  <c r="J78" i="116"/>
  <c r="J79" i="116"/>
  <c r="J80" i="116"/>
  <c r="J81" i="116"/>
  <c r="J82" i="116"/>
  <c r="J83" i="116"/>
  <c r="J84" i="116"/>
  <c r="J85" i="116"/>
  <c r="J86" i="116"/>
  <c r="J87" i="116"/>
  <c r="J88" i="116"/>
  <c r="J89" i="116"/>
  <c r="J90" i="116"/>
  <c r="J91" i="116"/>
  <c r="J92" i="116"/>
  <c r="J93" i="116"/>
  <c r="J94" i="116"/>
  <c r="J95" i="116"/>
  <c r="J96" i="116"/>
  <c r="J97" i="116"/>
  <c r="J98" i="116"/>
  <c r="J99" i="116"/>
  <c r="J100" i="116"/>
  <c r="J101" i="116"/>
  <c r="J102" i="116"/>
  <c r="J103" i="116"/>
  <c r="J104" i="116"/>
  <c r="J105" i="116"/>
  <c r="J106" i="116"/>
  <c r="J107" i="116"/>
  <c r="J108" i="116"/>
  <c r="J109" i="116"/>
  <c r="J110" i="116"/>
  <c r="J111" i="116"/>
  <c r="J112" i="116"/>
  <c r="J113" i="116"/>
  <c r="J114" i="116"/>
  <c r="J115" i="116"/>
  <c r="J116" i="116"/>
  <c r="J117" i="116"/>
  <c r="J118" i="116"/>
  <c r="J119" i="116"/>
  <c r="J120" i="116"/>
  <c r="J121" i="116"/>
  <c r="J122" i="116"/>
  <c r="J123" i="116"/>
  <c r="J124" i="116"/>
  <c r="J125" i="116"/>
  <c r="J126" i="116"/>
  <c r="J127" i="116"/>
  <c r="J128" i="116"/>
  <c r="J129" i="116"/>
  <c r="J130" i="116"/>
  <c r="J131" i="116"/>
  <c r="J4" i="116"/>
  <c r="J5" i="116"/>
  <c r="J6" i="116"/>
  <c r="J7" i="116"/>
  <c r="J8" i="116"/>
  <c r="J9" i="116"/>
  <c r="J10" i="116"/>
  <c r="J11" i="116"/>
  <c r="J12" i="116"/>
  <c r="J13" i="116"/>
  <c r="J14" i="116"/>
  <c r="J15" i="116"/>
  <c r="J16" i="116"/>
  <c r="J17" i="116"/>
  <c r="J18" i="116"/>
  <c r="J19" i="116"/>
  <c r="J3" i="116" l="1"/>
  <c r="AD222" i="112"/>
  <c r="AE222" i="112"/>
  <c r="AF222" i="112"/>
  <c r="Z222" i="112"/>
  <c r="O20" i="191" l="1"/>
  <c r="O19" i="191"/>
  <c r="F19" i="191"/>
  <c r="F20" i="191" s="1"/>
  <c r="E19" i="191"/>
  <c r="E20" i="191" s="1"/>
  <c r="D19" i="191"/>
  <c r="D20" i="191" s="1"/>
  <c r="O18" i="191"/>
  <c r="O17" i="191"/>
  <c r="O16" i="191"/>
  <c r="O15" i="191"/>
  <c r="O14" i="191"/>
  <c r="O13" i="191"/>
  <c r="G26" i="190"/>
  <c r="I73" i="120"/>
  <c r="L73" i="120" s="1"/>
  <c r="A73" i="120"/>
  <c r="K88" i="120"/>
  <c r="I88" i="120"/>
  <c r="L88" i="120" s="1"/>
  <c r="A88" i="120"/>
  <c r="G193" i="120"/>
  <c r="F193" i="120"/>
  <c r="H26" i="180"/>
  <c r="H58" i="180"/>
  <c r="H64" i="180"/>
  <c r="H72" i="180"/>
  <c r="H79" i="180"/>
  <c r="H86" i="180"/>
  <c r="H117" i="180"/>
  <c r="H42" i="180"/>
  <c r="H162" i="180"/>
  <c r="H185" i="180"/>
  <c r="H195" i="180"/>
  <c r="H206" i="180"/>
  <c r="H224" i="180"/>
  <c r="G224" i="180"/>
  <c r="G206" i="180"/>
  <c r="G195" i="180"/>
  <c r="G185" i="180"/>
  <c r="G162" i="180"/>
  <c r="G42" i="180"/>
  <c r="G117" i="180"/>
  <c r="G86" i="180"/>
  <c r="G79" i="180"/>
  <c r="G72" i="180"/>
  <c r="G64" i="180"/>
  <c r="G58" i="180"/>
  <c r="G26" i="180"/>
  <c r="W346" i="187"/>
  <c r="W259" i="187"/>
  <c r="W304" i="187" s="1"/>
  <c r="W56" i="187"/>
  <c r="W26" i="187"/>
  <c r="S346" i="187"/>
  <c r="S259" i="187"/>
  <c r="S304" i="187" s="1"/>
  <c r="S56" i="187"/>
  <c r="S26" i="187"/>
  <c r="O346" i="187"/>
  <c r="K346" i="187"/>
  <c r="G346" i="187"/>
  <c r="G259" i="187"/>
  <c r="G304" i="187" s="1"/>
  <c r="O259" i="187"/>
  <c r="O304" i="187" s="1"/>
  <c r="K259" i="187"/>
  <c r="G56" i="187"/>
  <c r="K56" i="187"/>
  <c r="O56" i="187"/>
  <c r="G26" i="187"/>
  <c r="K26" i="187"/>
  <c r="O26" i="187"/>
  <c r="AF303" i="112"/>
  <c r="AE303" i="112"/>
  <c r="AD303" i="112"/>
  <c r="E303" i="112" s="1"/>
  <c r="Z303" i="112"/>
  <c r="C303" i="112"/>
  <c r="AD287" i="112"/>
  <c r="E287" i="112" s="1"/>
  <c r="AE287" i="112"/>
  <c r="AF287" i="112"/>
  <c r="Z287" i="112"/>
  <c r="C287" i="112"/>
  <c r="AF290" i="112"/>
  <c r="AE290" i="112"/>
  <c r="AD290" i="112"/>
  <c r="E290" i="112" s="1"/>
  <c r="Z290" i="112"/>
  <c r="C290" i="112"/>
  <c r="Y302" i="112"/>
  <c r="X302" i="112"/>
  <c r="AF302" i="112"/>
  <c r="AE302" i="112"/>
  <c r="AD302" i="112"/>
  <c r="E302" i="112" s="1"/>
  <c r="Z302" i="112"/>
  <c r="C302" i="112"/>
  <c r="AF286" i="112"/>
  <c r="AE286" i="112"/>
  <c r="AD286" i="112"/>
  <c r="E286" i="112" s="1"/>
  <c r="Z286" i="112"/>
  <c r="C286" i="112"/>
  <c r="K304" i="187" l="1"/>
  <c r="T75" i="122" s="1"/>
  <c r="C67" i="112"/>
  <c r="C68" i="112"/>
  <c r="C69" i="112"/>
  <c r="C70" i="112"/>
  <c r="C71" i="112"/>
  <c r="C72" i="112"/>
  <c r="C73" i="112"/>
  <c r="C74" i="112"/>
  <c r="C75" i="112"/>
  <c r="C76" i="112"/>
  <c r="Z67" i="112"/>
  <c r="Z68" i="112"/>
  <c r="Z69" i="112"/>
  <c r="Z70" i="112"/>
  <c r="Z71" i="112"/>
  <c r="Z72" i="112"/>
  <c r="Z75" i="112"/>
  <c r="Z76" i="112"/>
  <c r="E74" i="112"/>
  <c r="E73" i="112"/>
  <c r="AF76" i="112"/>
  <c r="AE76" i="112"/>
  <c r="AD76" i="112"/>
  <c r="E76" i="112" s="1"/>
  <c r="AF75" i="112"/>
  <c r="AE75" i="112"/>
  <c r="AD75" i="112"/>
  <c r="E75" i="112" s="1"/>
  <c r="AD72" i="112"/>
  <c r="E72" i="112" s="1"/>
  <c r="AE72" i="112"/>
  <c r="AF72" i="112"/>
  <c r="AD69" i="112"/>
  <c r="E69" i="112" s="1"/>
  <c r="AE69" i="112"/>
  <c r="AF69" i="112"/>
  <c r="AD70" i="112"/>
  <c r="E70" i="112" s="1"/>
  <c r="AE70" i="112"/>
  <c r="AF70" i="112"/>
  <c r="AD71" i="112"/>
  <c r="E71" i="112" s="1"/>
  <c r="AE71" i="112"/>
  <c r="AF71" i="112"/>
  <c r="AD67" i="112"/>
  <c r="E67" i="112" s="1"/>
  <c r="AE67" i="112"/>
  <c r="AF67" i="112"/>
  <c r="AD68" i="112"/>
  <c r="E68" i="112" s="1"/>
  <c r="AE68" i="112"/>
  <c r="AF68" i="112"/>
  <c r="C577" i="112"/>
  <c r="C578" i="112"/>
  <c r="C579" i="112"/>
  <c r="C580" i="112"/>
  <c r="AD579" i="112"/>
  <c r="E579" i="112" s="1"/>
  <c r="AE579" i="112"/>
  <c r="AF579" i="112"/>
  <c r="AD580" i="112"/>
  <c r="E580" i="112" s="1"/>
  <c r="AE580" i="112"/>
  <c r="AF580" i="112"/>
  <c r="Z580" i="112"/>
  <c r="Z579" i="112"/>
  <c r="AD576" i="112"/>
  <c r="AE576" i="112"/>
  <c r="AF576" i="112"/>
  <c r="AD577" i="112"/>
  <c r="E577" i="112" s="1"/>
  <c r="AE577" i="112"/>
  <c r="AF577" i="112"/>
  <c r="AD578" i="112"/>
  <c r="E578" i="112" s="1"/>
  <c r="AE578" i="112"/>
  <c r="AF578" i="112"/>
  <c r="Z577" i="112"/>
  <c r="Z578" i="112"/>
  <c r="W74" i="112"/>
  <c r="AD289" i="112"/>
  <c r="E289" i="112" s="1"/>
  <c r="AE289" i="112"/>
  <c r="AF289" i="112"/>
  <c r="AD291" i="112"/>
  <c r="E291" i="112" s="1"/>
  <c r="AE291" i="112"/>
  <c r="AF291" i="112"/>
  <c r="Z291" i="112"/>
  <c r="Z289" i="112"/>
  <c r="C291" i="112"/>
  <c r="C280" i="112"/>
  <c r="C281" i="112"/>
  <c r="C282" i="112"/>
  <c r="C283" i="112"/>
  <c r="C284" i="112"/>
  <c r="C285" i="112"/>
  <c r="C289" i="112"/>
  <c r="AD583" i="112" l="1"/>
  <c r="E583" i="112" s="1"/>
  <c r="AE583" i="112"/>
  <c r="AF583" i="112"/>
  <c r="Z583" i="112"/>
  <c r="C583" i="112"/>
  <c r="L115" i="120"/>
  <c r="I115" i="120"/>
  <c r="A115" i="120"/>
  <c r="C6" i="112" l="1"/>
  <c r="C7" i="112"/>
  <c r="C8" i="112"/>
  <c r="C9" i="112"/>
  <c r="C10" i="112"/>
  <c r="C15" i="112"/>
  <c r="C16" i="112"/>
  <c r="C19" i="112"/>
  <c r="C20" i="112"/>
  <c r="C21" i="112"/>
  <c r="C22" i="112"/>
  <c r="C23" i="112"/>
  <c r="C24" i="112"/>
  <c r="C26" i="112"/>
  <c r="C27" i="112"/>
  <c r="C28" i="112"/>
  <c r="C30" i="112"/>
  <c r="C32" i="112"/>
  <c r="C39" i="112"/>
  <c r="C49" i="112"/>
  <c r="C33" i="112"/>
  <c r="C50" i="112"/>
  <c r="C55" i="112"/>
  <c r="C62" i="112"/>
  <c r="C64" i="112"/>
  <c r="C51" i="112"/>
  <c r="C52" i="112"/>
  <c r="C53" i="112"/>
  <c r="C54" i="112"/>
  <c r="C56" i="112"/>
  <c r="C57" i="112"/>
  <c r="C66" i="112"/>
  <c r="C44" i="112"/>
  <c r="C48" i="112"/>
  <c r="C45" i="112"/>
  <c r="C47" i="112"/>
  <c r="C46" i="112"/>
  <c r="C77" i="112"/>
  <c r="C129" i="112"/>
  <c r="C134" i="112"/>
  <c r="C135" i="112"/>
  <c r="C130" i="112"/>
  <c r="C132" i="112"/>
  <c r="C131" i="112"/>
  <c r="C128" i="112"/>
  <c r="C83" i="112"/>
  <c r="C94" i="112"/>
  <c r="C104" i="112"/>
  <c r="C114" i="112"/>
  <c r="C124" i="112"/>
  <c r="C78" i="112"/>
  <c r="C79" i="112"/>
  <c r="C80" i="112"/>
  <c r="C81" i="112"/>
  <c r="C82" i="112"/>
  <c r="C84" i="112"/>
  <c r="C85" i="112"/>
  <c r="C86" i="112"/>
  <c r="C87" i="112"/>
  <c r="C88" i="112"/>
  <c r="C89" i="112"/>
  <c r="C90" i="112"/>
  <c r="C91" i="112"/>
  <c r="C92" i="112"/>
  <c r="C93" i="112"/>
  <c r="C95" i="112"/>
  <c r="C96" i="112"/>
  <c r="C97" i="112"/>
  <c r="C98" i="112"/>
  <c r="C99" i="112"/>
  <c r="C100" i="112"/>
  <c r="C101" i="112"/>
  <c r="C102" i="112"/>
  <c r="C103" i="112"/>
  <c r="C105" i="112"/>
  <c r="C106" i="112"/>
  <c r="C107" i="112"/>
  <c r="C108" i="112"/>
  <c r="C109" i="112"/>
  <c r="C110" i="112"/>
  <c r="C111" i="112"/>
  <c r="C112" i="112"/>
  <c r="C113" i="112"/>
  <c r="C115" i="112"/>
  <c r="C116" i="112"/>
  <c r="C117" i="112"/>
  <c r="C133" i="112"/>
  <c r="C138" i="112"/>
  <c r="C139" i="112"/>
  <c r="C141" i="112"/>
  <c r="C140" i="112"/>
  <c r="C142" i="112"/>
  <c r="C143" i="112"/>
  <c r="C144" i="112"/>
  <c r="C203" i="112"/>
  <c r="C204" i="112"/>
  <c r="C205" i="112"/>
  <c r="C206" i="112"/>
  <c r="C208" i="112"/>
  <c r="C209" i="112"/>
  <c r="C207" i="112"/>
  <c r="C213" i="112"/>
  <c r="C201" i="112"/>
  <c r="C202" i="112"/>
  <c r="C520" i="112"/>
  <c r="C521" i="112"/>
  <c r="C210" i="112"/>
  <c r="C211" i="112"/>
  <c r="C212" i="112"/>
  <c r="C216" i="112"/>
  <c r="C214" i="112"/>
  <c r="C215" i="112"/>
  <c r="C220" i="112"/>
  <c r="C222" i="112"/>
  <c r="C223" i="112"/>
  <c r="C217" i="112"/>
  <c r="C218" i="112"/>
  <c r="C219" i="112"/>
  <c r="C221" i="112"/>
  <c r="C196" i="112"/>
  <c r="C197" i="112"/>
  <c r="C226" i="112"/>
  <c r="C233" i="112"/>
  <c r="C234" i="112"/>
  <c r="C237" i="112"/>
  <c r="C244" i="112"/>
  <c r="C247" i="112"/>
  <c r="C250" i="112"/>
  <c r="C296" i="112"/>
  <c r="C297" i="112"/>
  <c r="C298" i="112"/>
  <c r="C299" i="112"/>
  <c r="C300" i="112"/>
  <c r="C301" i="112"/>
  <c r="C304" i="112"/>
  <c r="C305" i="112"/>
  <c r="C307" i="112"/>
  <c r="C306" i="112"/>
  <c r="C308" i="112"/>
  <c r="C309" i="112"/>
  <c r="C310" i="112"/>
  <c r="C395" i="112"/>
  <c r="C397" i="112"/>
  <c r="C399" i="112"/>
  <c r="C400" i="112"/>
  <c r="C401" i="112"/>
  <c r="C402" i="112"/>
  <c r="C404" i="112"/>
  <c r="C405" i="112"/>
  <c r="C406" i="112"/>
  <c r="C391" i="112"/>
  <c r="C392" i="112"/>
  <c r="C393" i="112"/>
  <c r="C394" i="112"/>
  <c r="C396" i="112"/>
  <c r="C398" i="112"/>
  <c r="C403" i="112"/>
  <c r="C390" i="112"/>
  <c r="C409" i="112"/>
  <c r="C446" i="112"/>
  <c r="C447" i="112"/>
  <c r="C448" i="112"/>
  <c r="C313" i="112"/>
  <c r="C314" i="112"/>
  <c r="C315" i="112"/>
  <c r="C316" i="112"/>
  <c r="C317" i="112"/>
  <c r="C312" i="112"/>
  <c r="C331" i="112"/>
  <c r="C330" i="112"/>
  <c r="C329" i="112"/>
  <c r="C450" i="112"/>
  <c r="C449" i="112"/>
  <c r="C340" i="112"/>
  <c r="C341" i="112"/>
  <c r="C333" i="112"/>
  <c r="C334" i="112"/>
  <c r="C332" i="112"/>
  <c r="C322" i="112"/>
  <c r="C336" i="112"/>
  <c r="C335" i="112"/>
  <c r="C339" i="112"/>
  <c r="C337" i="112"/>
  <c r="C338" i="112"/>
  <c r="C324" i="112"/>
  <c r="C323" i="112"/>
  <c r="C328" i="112"/>
  <c r="C326" i="112"/>
  <c r="C327" i="112"/>
  <c r="C325" i="112"/>
  <c r="C342" i="112"/>
  <c r="C343" i="112"/>
  <c r="C344" i="112"/>
  <c r="C345" i="112"/>
  <c r="C346" i="112"/>
  <c r="C347" i="112"/>
  <c r="C586" i="112"/>
  <c r="C584" i="112"/>
  <c r="C585" i="112"/>
  <c r="C348" i="112"/>
  <c r="C355" i="112"/>
  <c r="C349" i="112"/>
  <c r="C350" i="112"/>
  <c r="C351" i="112"/>
  <c r="C352" i="112"/>
  <c r="C353" i="112"/>
  <c r="C354" i="112"/>
  <c r="C356" i="112"/>
  <c r="C357" i="112"/>
  <c r="C358" i="112"/>
  <c r="C359" i="112"/>
  <c r="C360" i="112"/>
  <c r="C361" i="112"/>
  <c r="C375" i="112"/>
  <c r="C376" i="112"/>
  <c r="C377" i="112"/>
  <c r="C378" i="112"/>
  <c r="C379" i="112"/>
  <c r="C380" i="112"/>
  <c r="C382" i="112"/>
  <c r="C383" i="112"/>
  <c r="C384" i="112"/>
  <c r="C385" i="112"/>
  <c r="C386" i="112"/>
  <c r="C387" i="112"/>
  <c r="C363" i="112"/>
  <c r="C364" i="112"/>
  <c r="C365" i="112"/>
  <c r="C366" i="112"/>
  <c r="C367" i="112"/>
  <c r="C368" i="112"/>
  <c r="C369" i="112"/>
  <c r="C370" i="112"/>
  <c r="C371" i="112"/>
  <c r="C372" i="112"/>
  <c r="C373" i="112"/>
  <c r="C374" i="112"/>
  <c r="C362" i="112"/>
  <c r="C388" i="112"/>
  <c r="C381" i="112"/>
  <c r="C408" i="112"/>
  <c r="C410" i="112"/>
  <c r="C411" i="112"/>
  <c r="C412" i="112"/>
  <c r="C416" i="112"/>
  <c r="C415" i="112"/>
  <c r="C413" i="112"/>
  <c r="C414" i="112"/>
  <c r="C419" i="112"/>
  <c r="C417" i="112"/>
  <c r="C418" i="112"/>
  <c r="C420" i="112"/>
  <c r="C421" i="112"/>
  <c r="C422" i="112"/>
  <c r="C423" i="112"/>
  <c r="C425" i="112"/>
  <c r="C426" i="112"/>
  <c r="C424" i="112"/>
  <c r="C427" i="112"/>
  <c r="C428" i="112"/>
  <c r="C429" i="112"/>
  <c r="C430" i="112"/>
  <c r="C319" i="112"/>
  <c r="C320" i="112"/>
  <c r="C321" i="112"/>
  <c r="C431" i="112"/>
  <c r="C432" i="112"/>
  <c r="C433" i="112"/>
  <c r="C311" i="112"/>
  <c r="C451" i="112"/>
  <c r="C434" i="112"/>
  <c r="C438" i="112"/>
  <c r="C436" i="112"/>
  <c r="C437" i="112"/>
  <c r="C435" i="112"/>
  <c r="C444" i="112"/>
  <c r="C445" i="112"/>
  <c r="C439" i="112"/>
  <c r="C440" i="112"/>
  <c r="C441" i="112"/>
  <c r="C442" i="112"/>
  <c r="C443" i="112"/>
  <c r="C407" i="112"/>
  <c r="C318" i="112"/>
  <c r="C457" i="112"/>
  <c r="C459" i="112"/>
  <c r="C460" i="112"/>
  <c r="C475" i="112"/>
  <c r="C476" i="112"/>
  <c r="C458" i="112"/>
  <c r="C477" i="112"/>
  <c r="C478" i="112"/>
  <c r="C480" i="112"/>
  <c r="C481" i="112"/>
  <c r="C482" i="112"/>
  <c r="C483" i="112"/>
  <c r="C484" i="112"/>
  <c r="C479" i="112"/>
  <c r="C485" i="112"/>
  <c r="C486" i="112"/>
  <c r="C487" i="112"/>
  <c r="C488" i="112"/>
  <c r="C522" i="112"/>
  <c r="C34" i="112"/>
  <c r="C36" i="112"/>
  <c r="C37" i="112"/>
  <c r="C41" i="112"/>
  <c r="C35" i="112"/>
  <c r="C38" i="112"/>
  <c r="C40" i="112"/>
  <c r="C42" i="112"/>
  <c r="C43" i="112"/>
  <c r="C58" i="112"/>
  <c r="C59" i="112"/>
  <c r="C61" i="112"/>
  <c r="C63" i="112"/>
  <c r="C60" i="112"/>
  <c r="C65" i="112"/>
  <c r="C532" i="112"/>
  <c r="C534" i="112"/>
  <c r="C526" i="112"/>
  <c r="C539" i="112"/>
  <c r="C540" i="112"/>
  <c r="C541" i="112"/>
  <c r="C542" i="112"/>
  <c r="C564" i="112"/>
  <c r="C566" i="112"/>
  <c r="C581" i="112"/>
  <c r="C582" i="112"/>
  <c r="C588" i="112"/>
  <c r="C590" i="112"/>
  <c r="C600" i="112"/>
  <c r="C587" i="112"/>
  <c r="C597" i="112"/>
  <c r="C596" i="112"/>
  <c r="C589" i="112"/>
  <c r="C591" i="112"/>
  <c r="C592" i="112"/>
  <c r="C593" i="112"/>
  <c r="C594" i="112"/>
  <c r="C595" i="112"/>
  <c r="C598" i="112"/>
  <c r="C599" i="112"/>
  <c r="C637" i="112"/>
  <c r="C652" i="112"/>
  <c r="C654" i="112"/>
  <c r="C653" i="112"/>
  <c r="C655" i="112"/>
  <c r="C657" i="112"/>
  <c r="C656" i="112"/>
  <c r="C658" i="112"/>
  <c r="C659" i="112"/>
  <c r="C660" i="112"/>
  <c r="C710" i="112"/>
  <c r="C704" i="112"/>
  <c r="C708" i="112"/>
  <c r="C706" i="112"/>
  <c r="C715" i="112"/>
  <c r="C728" i="112"/>
  <c r="C729" i="112"/>
  <c r="C730" i="112"/>
  <c r="C731" i="112"/>
  <c r="C732" i="112"/>
  <c r="C733" i="112"/>
  <c r="C734" i="112"/>
  <c r="C736" i="112"/>
  <c r="C735" i="112"/>
  <c r="C740" i="112"/>
  <c r="C738" i="112"/>
  <c r="C739" i="112"/>
  <c r="C737" i="112"/>
  <c r="C454" i="112"/>
  <c r="C752" i="112"/>
  <c r="C751" i="112"/>
  <c r="C747" i="112"/>
  <c r="C748" i="112"/>
  <c r="C749" i="112"/>
  <c r="C750" i="112"/>
  <c r="C753" i="112"/>
  <c r="C754" i="112"/>
  <c r="C756" i="112"/>
  <c r="C755" i="112"/>
  <c r="C760" i="112"/>
  <c r="C761" i="112"/>
  <c r="C762" i="112"/>
  <c r="C763" i="112"/>
  <c r="C764" i="112"/>
  <c r="C765" i="112"/>
  <c r="C766" i="112"/>
  <c r="C767" i="112"/>
  <c r="C768" i="112"/>
  <c r="C769" i="112"/>
  <c r="C770" i="112"/>
  <c r="C771" i="112"/>
  <c r="C772" i="112"/>
  <c r="C773" i="112"/>
  <c r="C774" i="112"/>
  <c r="C778" i="112"/>
  <c r="C775" i="112"/>
  <c r="C776" i="112"/>
  <c r="C777" i="112"/>
  <c r="C779" i="112"/>
  <c r="C543" i="112"/>
  <c r="C544" i="112"/>
  <c r="C545" i="112"/>
  <c r="C546" i="112"/>
  <c r="C547" i="112"/>
  <c r="C548" i="112"/>
  <c r="C549" i="112"/>
  <c r="C550" i="112"/>
  <c r="C551" i="112"/>
  <c r="C552" i="112"/>
  <c r="C553" i="112"/>
  <c r="C554" i="112"/>
  <c r="C555" i="112"/>
  <c r="C556" i="112"/>
  <c r="C557" i="112"/>
  <c r="C558" i="112"/>
  <c r="C559" i="112"/>
  <c r="C560" i="112"/>
  <c r="C561" i="112"/>
  <c r="C562" i="112"/>
  <c r="C709" i="112"/>
  <c r="C705" i="112"/>
  <c r="C707" i="112"/>
  <c r="C118" i="112"/>
  <c r="C119" i="112"/>
  <c r="C120" i="112"/>
  <c r="C121" i="112"/>
  <c r="C122" i="112"/>
  <c r="C123" i="112"/>
  <c r="C125" i="112"/>
  <c r="C126" i="112"/>
  <c r="C127" i="112"/>
  <c r="C565" i="112"/>
  <c r="C563" i="112"/>
  <c r="C650" i="112"/>
  <c r="C651" i="112"/>
  <c r="C489" i="112"/>
  <c r="C490" i="112"/>
  <c r="C759" i="112"/>
  <c r="C758" i="112"/>
  <c r="C570" i="112"/>
  <c r="C571" i="112"/>
  <c r="C572" i="112"/>
  <c r="C573" i="112"/>
  <c r="C574" i="112"/>
  <c r="C575" i="112"/>
  <c r="C576" i="112"/>
  <c r="C569" i="112"/>
  <c r="C568" i="112"/>
  <c r="C567" i="112"/>
  <c r="C178" i="112"/>
  <c r="C180" i="112"/>
  <c r="C181" i="112"/>
  <c r="C182" i="112"/>
  <c r="C186" i="112"/>
  <c r="C187" i="112"/>
  <c r="C188" i="112"/>
  <c r="C189" i="112"/>
  <c r="C741" i="112"/>
  <c r="C272" i="112"/>
  <c r="C261" i="112"/>
  <c r="C264" i="112"/>
  <c r="C256" i="112"/>
  <c r="C251" i="112"/>
  <c r="C252" i="112"/>
  <c r="C273" i="112"/>
  <c r="C262" i="112"/>
  <c r="C265" i="112"/>
  <c r="C257" i="112"/>
  <c r="C268" i="112"/>
  <c r="C270" i="112"/>
  <c r="C275" i="112"/>
  <c r="C274" i="112"/>
  <c r="C260" i="112"/>
  <c r="C266" i="112"/>
  <c r="C258" i="112"/>
  <c r="C253" i="112"/>
  <c r="C269" i="112"/>
  <c r="C271" i="112"/>
  <c r="C263" i="112"/>
  <c r="C254" i="112"/>
  <c r="C255" i="112"/>
  <c r="C267" i="112"/>
  <c r="C259" i="112"/>
  <c r="C3" i="112"/>
  <c r="C2" i="112"/>
  <c r="C4" i="112"/>
  <c r="C636" i="112"/>
  <c r="C230" i="112"/>
  <c r="C231" i="112"/>
  <c r="C232" i="112"/>
  <c r="C227" i="112"/>
  <c r="C228" i="112"/>
  <c r="C229" i="112"/>
  <c r="C242" i="112"/>
  <c r="C241" i="112"/>
  <c r="C249" i="112"/>
  <c r="C248" i="112"/>
  <c r="C239" i="112"/>
  <c r="C238" i="112"/>
  <c r="C240" i="112"/>
  <c r="C243" i="112"/>
  <c r="C245" i="112"/>
  <c r="C246" i="112"/>
  <c r="C235" i="112"/>
  <c r="C236" i="112"/>
  <c r="C389" i="112"/>
  <c r="C25" i="112"/>
  <c r="C29" i="112"/>
  <c r="C137" i="112"/>
  <c r="C136" i="112"/>
  <c r="C642" i="112"/>
  <c r="C641" i="112"/>
  <c r="C640" i="112"/>
  <c r="C639" i="112"/>
  <c r="C648" i="112"/>
  <c r="C649" i="112"/>
  <c r="C645" i="112"/>
  <c r="C643" i="112"/>
  <c r="C646" i="112"/>
  <c r="C647" i="112"/>
  <c r="C644" i="112"/>
  <c r="C184" i="112"/>
  <c r="C185" i="112"/>
  <c r="C183" i="112"/>
  <c r="C179" i="112"/>
  <c r="C278" i="112"/>
  <c r="C279" i="112"/>
  <c r="C277" i="112"/>
  <c r="C664" i="112"/>
  <c r="C663" i="112"/>
  <c r="C666" i="112"/>
  <c r="C662" i="112"/>
  <c r="C665" i="112"/>
  <c r="C667" i="112"/>
  <c r="C675" i="112"/>
  <c r="C674" i="112"/>
  <c r="C661" i="112"/>
  <c r="C713" i="112"/>
  <c r="C714" i="112"/>
  <c r="C712" i="112"/>
  <c r="C533" i="112"/>
  <c r="C535" i="112"/>
  <c r="C527" i="112"/>
  <c r="C523" i="112"/>
  <c r="C524" i="112"/>
  <c r="C525" i="112"/>
  <c r="C452" i="112"/>
  <c r="C453" i="112"/>
  <c r="C676" i="112"/>
  <c r="C677" i="112"/>
  <c r="C678" i="112"/>
  <c r="C679" i="112"/>
  <c r="C680" i="112"/>
  <c r="C681" i="112"/>
  <c r="C682" i="112"/>
  <c r="C684" i="112"/>
  <c r="C685" i="112"/>
  <c r="C686" i="112"/>
  <c r="C687" i="112"/>
  <c r="C688" i="112"/>
  <c r="C689" i="112"/>
  <c r="C690" i="112"/>
  <c r="C691" i="112"/>
  <c r="C711" i="112"/>
  <c r="AD242" i="112"/>
  <c r="E242" i="112" s="1"/>
  <c r="AE242" i="112"/>
  <c r="AF242" i="112"/>
  <c r="AD241" i="112"/>
  <c r="E241" i="112" s="1"/>
  <c r="AE241" i="112"/>
  <c r="AF241" i="112"/>
  <c r="AD249" i="112"/>
  <c r="E249" i="112" s="1"/>
  <c r="AE249" i="112"/>
  <c r="AF249" i="112"/>
  <c r="AD248" i="112"/>
  <c r="E248" i="112" s="1"/>
  <c r="AE248" i="112"/>
  <c r="AF248" i="112"/>
  <c r="AD239" i="112"/>
  <c r="E239" i="112" s="1"/>
  <c r="AE239" i="112"/>
  <c r="AF239" i="112"/>
  <c r="AD238" i="112"/>
  <c r="E238" i="112" s="1"/>
  <c r="AE238" i="112"/>
  <c r="AF238" i="112"/>
  <c r="AD240" i="112"/>
  <c r="E240" i="112" s="1"/>
  <c r="AE240" i="112"/>
  <c r="AF240" i="112"/>
  <c r="AD243" i="112"/>
  <c r="E243" i="112" s="1"/>
  <c r="AE243" i="112"/>
  <c r="AF243" i="112"/>
  <c r="AD245" i="112"/>
  <c r="E245" i="112" s="1"/>
  <c r="AE245" i="112"/>
  <c r="AF245" i="112"/>
  <c r="AD246" i="112"/>
  <c r="E246" i="112" s="1"/>
  <c r="AE246" i="112"/>
  <c r="AF246" i="112"/>
  <c r="AD235" i="112"/>
  <c r="E235" i="112" s="1"/>
  <c r="AE235" i="112"/>
  <c r="AF235" i="112"/>
  <c r="AD236" i="112"/>
  <c r="E236" i="112" s="1"/>
  <c r="AE236" i="112"/>
  <c r="AF236" i="112"/>
  <c r="Z241" i="112"/>
  <c r="Z249" i="112"/>
  <c r="Z248" i="112"/>
  <c r="Z239" i="112"/>
  <c r="Z238" i="112"/>
  <c r="Z240" i="112"/>
  <c r="Z243" i="112"/>
  <c r="Z245" i="112"/>
  <c r="Z246" i="112"/>
  <c r="Z235" i="112"/>
  <c r="Z236" i="112"/>
  <c r="Z242" i="112"/>
  <c r="AD227" i="112"/>
  <c r="E227" i="112" s="1"/>
  <c r="AE227" i="112"/>
  <c r="AF227" i="112"/>
  <c r="AD228" i="112"/>
  <c r="E228" i="112" s="1"/>
  <c r="AE228" i="112"/>
  <c r="AF228" i="112"/>
  <c r="AD229" i="112"/>
  <c r="E229" i="112" s="1"/>
  <c r="AE229" i="112"/>
  <c r="AF229" i="112"/>
  <c r="Z228" i="112"/>
  <c r="Z229" i="112"/>
  <c r="Z227" i="112"/>
  <c r="AD230" i="112"/>
  <c r="E230" i="112" s="1"/>
  <c r="AE230" i="112"/>
  <c r="AF230" i="112"/>
  <c r="AD231" i="112"/>
  <c r="E231" i="112" s="1"/>
  <c r="AE231" i="112"/>
  <c r="AF231" i="112"/>
  <c r="AD232" i="112"/>
  <c r="E232" i="112" s="1"/>
  <c r="AE232" i="112"/>
  <c r="AF232" i="112"/>
  <c r="Z231" i="112"/>
  <c r="Z232" i="112"/>
  <c r="Z230" i="112"/>
  <c r="Y232" i="112"/>
  <c r="W232" i="112"/>
  <c r="Y231" i="112"/>
  <c r="W231" i="112"/>
  <c r="AD713" i="112"/>
  <c r="E713" i="112" s="1"/>
  <c r="AE713" i="112"/>
  <c r="AF713" i="112"/>
  <c r="AD714" i="112"/>
  <c r="E714" i="112" s="1"/>
  <c r="AE714" i="112"/>
  <c r="AF714" i="112"/>
  <c r="AD712" i="112"/>
  <c r="E712" i="112" s="1"/>
  <c r="AE712" i="112"/>
  <c r="AF712" i="112"/>
  <c r="Z712" i="112"/>
  <c r="Z714" i="112"/>
  <c r="Z713" i="112"/>
  <c r="AD637" i="112"/>
  <c r="E637" i="112" s="1"/>
  <c r="AE637" i="112"/>
  <c r="AF637" i="112"/>
  <c r="Z637" i="112"/>
  <c r="AD532" i="112"/>
  <c r="E532" i="112" s="1"/>
  <c r="AE532" i="112"/>
  <c r="AF532" i="112"/>
  <c r="AD534" i="112"/>
  <c r="E534" i="112" s="1"/>
  <c r="AE534" i="112"/>
  <c r="AF534" i="112"/>
  <c r="AD526" i="112"/>
  <c r="E526" i="112" s="1"/>
  <c r="AE526" i="112"/>
  <c r="AF526" i="112"/>
  <c r="Z526" i="112"/>
  <c r="Z534" i="112"/>
  <c r="Z532" i="112"/>
  <c r="BF90" i="161"/>
  <c r="N145" i="128"/>
  <c r="N146" i="128"/>
  <c r="N147" i="128"/>
  <c r="N148" i="128"/>
  <c r="N149" i="128"/>
  <c r="N150" i="128"/>
  <c r="N144" i="128"/>
  <c r="AF100" i="128"/>
  <c r="AF101" i="128"/>
  <c r="AF102" i="128"/>
  <c r="AF103" i="128"/>
  <c r="AF104" i="128"/>
  <c r="AF105" i="128"/>
  <c r="AF106" i="128"/>
  <c r="AF107" i="128"/>
  <c r="AF108" i="128"/>
  <c r="AF109" i="128"/>
  <c r="AF110" i="128"/>
  <c r="AF111" i="128"/>
  <c r="AF112" i="128"/>
  <c r="AF113" i="128"/>
  <c r="AF114" i="128"/>
  <c r="AF115" i="128"/>
  <c r="AF116" i="128"/>
  <c r="AF117" i="128"/>
  <c r="AF118" i="128"/>
  <c r="AF99" i="128"/>
  <c r="M123" i="128"/>
  <c r="M124" i="128"/>
  <c r="M125" i="128"/>
  <c r="M126" i="128"/>
  <c r="M127" i="128"/>
  <c r="M128"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94" i="128"/>
  <c r="C5" i="112"/>
  <c r="AD533" i="112"/>
  <c r="E533" i="112" s="1"/>
  <c r="AE533" i="112"/>
  <c r="AF533" i="112"/>
  <c r="AD535" i="112"/>
  <c r="E535" i="112" s="1"/>
  <c r="AE535" i="112"/>
  <c r="AF535" i="112"/>
  <c r="AD527" i="112"/>
  <c r="E527" i="112" s="1"/>
  <c r="AE527" i="112"/>
  <c r="AF527" i="112"/>
  <c r="Z527" i="112"/>
  <c r="Z535" i="112"/>
  <c r="Z533" i="112"/>
  <c r="AD277" i="112"/>
  <c r="AE277" i="112"/>
  <c r="AF277" i="112"/>
  <c r="AD664" i="112"/>
  <c r="E664" i="112" s="1"/>
  <c r="AE664" i="112"/>
  <c r="AF664" i="112"/>
  <c r="AD663" i="112"/>
  <c r="E663" i="112" s="1"/>
  <c r="AE663" i="112"/>
  <c r="AF663" i="112"/>
  <c r="Z664" i="112"/>
  <c r="Z663" i="112"/>
  <c r="P27" i="184"/>
  <c r="P28" i="184"/>
  <c r="P29" i="184"/>
  <c r="AD711" i="112"/>
  <c r="AE711" i="112"/>
  <c r="AF711" i="112"/>
  <c r="Z711" i="112"/>
  <c r="AD648" i="112"/>
  <c r="E648" i="112" s="1"/>
  <c r="AE648" i="112"/>
  <c r="AF648" i="112"/>
  <c r="AD649" i="112"/>
  <c r="E649" i="112" s="1"/>
  <c r="AE649" i="112"/>
  <c r="AF649" i="112"/>
  <c r="AD645" i="112"/>
  <c r="E645" i="112" s="1"/>
  <c r="AE645" i="112"/>
  <c r="AF645" i="112"/>
  <c r="AD643" i="112"/>
  <c r="E643" i="112" s="1"/>
  <c r="AE643" i="112"/>
  <c r="AF643" i="112"/>
  <c r="AD646" i="112"/>
  <c r="E646" i="112" s="1"/>
  <c r="AE646" i="112"/>
  <c r="AF646" i="112"/>
  <c r="AD647" i="112"/>
  <c r="E647" i="112" s="1"/>
  <c r="AE647" i="112"/>
  <c r="AF647" i="112"/>
  <c r="AD644" i="112"/>
  <c r="E644" i="112" s="1"/>
  <c r="AE644" i="112"/>
  <c r="AF644" i="112"/>
  <c r="Z644" i="112"/>
  <c r="Z647" i="112"/>
  <c r="Z646" i="112"/>
  <c r="Z643" i="112"/>
  <c r="Z645" i="112"/>
  <c r="Z649" i="112"/>
  <c r="Z648" i="112"/>
  <c r="FM53" i="183"/>
  <c r="FL53" i="183"/>
  <c r="FK53" i="183"/>
  <c r="FJ53" i="183"/>
  <c r="FI53" i="183"/>
  <c r="FH53" i="183"/>
  <c r="FG53" i="183"/>
  <c r="FF53" i="183"/>
  <c r="FE53" i="183"/>
  <c r="FD53" i="183"/>
  <c r="FC53" i="183"/>
  <c r="FB53" i="183"/>
  <c r="FA53" i="183"/>
  <c r="EZ53" i="183"/>
  <c r="FM52" i="183"/>
  <c r="FL52" i="183"/>
  <c r="FK52" i="183"/>
  <c r="FJ52" i="183"/>
  <c r="FI52" i="183"/>
  <c r="FH52" i="183"/>
  <c r="FG52" i="183"/>
  <c r="FF52" i="183"/>
  <c r="FE52" i="183"/>
  <c r="FD52" i="183"/>
  <c r="FC52" i="183"/>
  <c r="FB52" i="183"/>
  <c r="FA52" i="183"/>
  <c r="EZ52" i="183"/>
  <c r="EZ42" i="183"/>
  <c r="EX42" i="183"/>
  <c r="EZ41" i="183"/>
  <c r="EX41" i="183"/>
  <c r="EZ40" i="183"/>
  <c r="EX40" i="183"/>
  <c r="EZ38" i="183"/>
  <c r="EX38" i="183"/>
  <c r="EZ37" i="183"/>
  <c r="EX37" i="183"/>
  <c r="EZ36" i="183"/>
  <c r="EX36" i="183"/>
  <c r="EZ35" i="183"/>
  <c r="EX35" i="183"/>
  <c r="EZ34" i="183"/>
  <c r="EX34" i="183"/>
  <c r="EZ33" i="183"/>
  <c r="EX33" i="183"/>
  <c r="EV53" i="183"/>
  <c r="EU53" i="183"/>
  <c r="ET53" i="183"/>
  <c r="ES53" i="183"/>
  <c r="ER53" i="183"/>
  <c r="EQ53" i="183"/>
  <c r="EP53" i="183"/>
  <c r="EO53" i="183"/>
  <c r="EN53" i="183"/>
  <c r="EM53" i="183"/>
  <c r="EL53" i="183"/>
  <c r="EK53" i="183"/>
  <c r="EJ53" i="183"/>
  <c r="EI53" i="183"/>
  <c r="EV52" i="183"/>
  <c r="EU52" i="183"/>
  <c r="ET52" i="183"/>
  <c r="ES52" i="183"/>
  <c r="ER52" i="183"/>
  <c r="EQ52" i="183"/>
  <c r="EP52" i="183"/>
  <c r="EO52" i="183"/>
  <c r="EN52" i="183"/>
  <c r="EM52" i="183"/>
  <c r="EL52" i="183"/>
  <c r="EK52" i="183"/>
  <c r="EJ52" i="183"/>
  <c r="EI52" i="183"/>
  <c r="EI42" i="183"/>
  <c r="EG42" i="183"/>
  <c r="EI41" i="183"/>
  <c r="EG41" i="183"/>
  <c r="EI40" i="183"/>
  <c r="EG40" i="183"/>
  <c r="EI38" i="183"/>
  <c r="EG38" i="183"/>
  <c r="EI37" i="183"/>
  <c r="EG37" i="183"/>
  <c r="EI36" i="183"/>
  <c r="EG36" i="183"/>
  <c r="EI35" i="183"/>
  <c r="EG35" i="183"/>
  <c r="EI34" i="183"/>
  <c r="EG34" i="183"/>
  <c r="EI33" i="183"/>
  <c r="EG33" i="183"/>
  <c r="EE53" i="183"/>
  <c r="ED53" i="183"/>
  <c r="EC53" i="183"/>
  <c r="EB53" i="183"/>
  <c r="EA53" i="183"/>
  <c r="DZ53" i="183"/>
  <c r="DY53" i="183"/>
  <c r="DX53" i="183"/>
  <c r="DW53" i="183"/>
  <c r="DV53" i="183"/>
  <c r="DU53" i="183"/>
  <c r="DT53" i="183"/>
  <c r="DS53" i="183"/>
  <c r="DR53" i="183"/>
  <c r="EE52" i="183"/>
  <c r="ED52" i="183"/>
  <c r="EC52" i="183"/>
  <c r="EB52" i="183"/>
  <c r="EA52" i="183"/>
  <c r="DZ52" i="183"/>
  <c r="DY52" i="183"/>
  <c r="DX52" i="183"/>
  <c r="DW52" i="183"/>
  <c r="DV52" i="183"/>
  <c r="DU52" i="183"/>
  <c r="DT52" i="183"/>
  <c r="DS52" i="183"/>
  <c r="DR52" i="183"/>
  <c r="DR42" i="183"/>
  <c r="DP42" i="183"/>
  <c r="DR41" i="183"/>
  <c r="DP41" i="183"/>
  <c r="DR40" i="183"/>
  <c r="DP40" i="183"/>
  <c r="DR38" i="183"/>
  <c r="DP38" i="183"/>
  <c r="DR37" i="183"/>
  <c r="DP37" i="183"/>
  <c r="DR36" i="183"/>
  <c r="DP36" i="183"/>
  <c r="DR35" i="183"/>
  <c r="DP35" i="183"/>
  <c r="DR34" i="183"/>
  <c r="DP34" i="183"/>
  <c r="DR33" i="183"/>
  <c r="DP33" i="183"/>
  <c r="DN53" i="183"/>
  <c r="DM53" i="183"/>
  <c r="DL53" i="183"/>
  <c r="DK53" i="183"/>
  <c r="DJ53" i="183"/>
  <c r="DI53" i="183"/>
  <c r="DH53" i="183"/>
  <c r="DG53" i="183"/>
  <c r="DF53" i="183"/>
  <c r="DE53" i="183"/>
  <c r="DD53" i="183"/>
  <c r="DC53" i="183"/>
  <c r="DB53" i="183"/>
  <c r="DA53" i="183"/>
  <c r="CW53" i="183"/>
  <c r="CV53" i="183"/>
  <c r="CU53" i="183"/>
  <c r="CT53" i="183"/>
  <c r="CS53" i="183"/>
  <c r="CR53" i="183"/>
  <c r="CQ53" i="183"/>
  <c r="CP53" i="183"/>
  <c r="CO53" i="183"/>
  <c r="CN53" i="183"/>
  <c r="CM53" i="183"/>
  <c r="CL53" i="183"/>
  <c r="CK53" i="183"/>
  <c r="CJ53" i="183"/>
  <c r="CF53" i="183"/>
  <c r="CE53" i="183"/>
  <c r="CD53" i="183"/>
  <c r="CC53" i="183"/>
  <c r="CB53" i="183"/>
  <c r="CA53" i="183"/>
  <c r="BZ53" i="183"/>
  <c r="BY53" i="183"/>
  <c r="BX53" i="183"/>
  <c r="BW53" i="183"/>
  <c r="BV53" i="183"/>
  <c r="BU53" i="183"/>
  <c r="BT53" i="183"/>
  <c r="BS53" i="183"/>
  <c r="BO53" i="183"/>
  <c r="BN53" i="183"/>
  <c r="BM53" i="183"/>
  <c r="BL53" i="183"/>
  <c r="BK53" i="183"/>
  <c r="BJ53" i="183"/>
  <c r="BI53" i="183"/>
  <c r="BH53" i="183"/>
  <c r="BG53" i="183"/>
  <c r="BF53" i="183"/>
  <c r="BE53" i="183"/>
  <c r="BD53" i="183"/>
  <c r="BC53" i="183"/>
  <c r="BB53" i="183"/>
  <c r="AX53" i="183"/>
  <c r="AW53" i="183"/>
  <c r="AV53" i="183"/>
  <c r="AU53" i="183"/>
  <c r="AT53" i="183"/>
  <c r="AS53" i="183"/>
  <c r="AR53" i="183"/>
  <c r="AQ53" i="183"/>
  <c r="AP53" i="183"/>
  <c r="AO53" i="183"/>
  <c r="AN53" i="183"/>
  <c r="AM53" i="183"/>
  <c r="AL53" i="183"/>
  <c r="AK53" i="183"/>
  <c r="AG53" i="183"/>
  <c r="AF53" i="183"/>
  <c r="AE53" i="183"/>
  <c r="AD53" i="183"/>
  <c r="AC53" i="183"/>
  <c r="AB53" i="183"/>
  <c r="AA53" i="183"/>
  <c r="Z53" i="183"/>
  <c r="Y53" i="183"/>
  <c r="X53" i="183"/>
  <c r="W53" i="183"/>
  <c r="V53" i="183"/>
  <c r="U53" i="183"/>
  <c r="T53" i="183"/>
  <c r="DN52" i="183"/>
  <c r="DM52" i="183"/>
  <c r="DL52" i="183"/>
  <c r="DK52" i="183"/>
  <c r="DJ52" i="183"/>
  <c r="DI52" i="183"/>
  <c r="DH52" i="183"/>
  <c r="DG52" i="183"/>
  <c r="DF52" i="183"/>
  <c r="DE52" i="183"/>
  <c r="DD52" i="183"/>
  <c r="DC52" i="183"/>
  <c r="DB52" i="183"/>
  <c r="DA52" i="183"/>
  <c r="CW52" i="183"/>
  <c r="CV52" i="183"/>
  <c r="CU52" i="183"/>
  <c r="CT52" i="183"/>
  <c r="CS52" i="183"/>
  <c r="CR52" i="183"/>
  <c r="CQ52" i="183"/>
  <c r="CP52" i="183"/>
  <c r="CO52" i="183"/>
  <c r="CN52" i="183"/>
  <c r="CM52" i="183"/>
  <c r="CL52" i="183"/>
  <c r="CK52" i="183"/>
  <c r="CJ52" i="183"/>
  <c r="CF52" i="183"/>
  <c r="CE52" i="183"/>
  <c r="CD52" i="183"/>
  <c r="CC52" i="183"/>
  <c r="CB52" i="183"/>
  <c r="CA52" i="183"/>
  <c r="BZ52" i="183"/>
  <c r="BY52" i="183"/>
  <c r="BX52" i="183"/>
  <c r="BW52" i="183"/>
  <c r="BV52" i="183"/>
  <c r="BU52" i="183"/>
  <c r="BT52" i="183"/>
  <c r="BS52" i="183"/>
  <c r="BO52" i="183"/>
  <c r="BN52" i="183"/>
  <c r="BM52" i="183"/>
  <c r="BL52" i="183"/>
  <c r="BK52" i="183"/>
  <c r="BJ52" i="183"/>
  <c r="BI52" i="183"/>
  <c r="BH52" i="183"/>
  <c r="BG52" i="183"/>
  <c r="BF52" i="183"/>
  <c r="BE52" i="183"/>
  <c r="BD52" i="183"/>
  <c r="BC52" i="183"/>
  <c r="BB52" i="183"/>
  <c r="AX52" i="183"/>
  <c r="AW52" i="183"/>
  <c r="AV52" i="183"/>
  <c r="AU52" i="183"/>
  <c r="AT52" i="183"/>
  <c r="AS52" i="183"/>
  <c r="AR52" i="183"/>
  <c r="AQ52" i="183"/>
  <c r="AP52" i="183"/>
  <c r="AO52" i="183"/>
  <c r="AN52" i="183"/>
  <c r="AM52" i="183"/>
  <c r="AL52" i="183"/>
  <c r="AK52" i="183"/>
  <c r="AG52" i="183"/>
  <c r="AF52" i="183"/>
  <c r="AE52" i="183"/>
  <c r="AD52" i="183"/>
  <c r="AC52" i="183"/>
  <c r="AB52" i="183"/>
  <c r="AA52" i="183"/>
  <c r="Z52" i="183"/>
  <c r="Y52" i="183"/>
  <c r="X52" i="183"/>
  <c r="W52" i="183"/>
  <c r="V52" i="183"/>
  <c r="U52" i="183"/>
  <c r="T52" i="183"/>
  <c r="DA42" i="183"/>
  <c r="BS42" i="183"/>
  <c r="BQ42" i="183"/>
  <c r="BB42" i="183"/>
  <c r="AZ42" i="183"/>
  <c r="CY42" i="183" s="1"/>
  <c r="AK42" i="183"/>
  <c r="CJ42" i="183" s="1"/>
  <c r="AI42" i="183"/>
  <c r="CH42" i="183" s="1"/>
  <c r="R42" i="183"/>
  <c r="DA41" i="183"/>
  <c r="CJ41" i="183"/>
  <c r="CH41" i="183"/>
  <c r="BS41" i="183"/>
  <c r="BB41" i="183"/>
  <c r="AZ41" i="183"/>
  <c r="CY41" i="183" s="1"/>
  <c r="AK41" i="183"/>
  <c r="AI41" i="183"/>
  <c r="R41" i="183"/>
  <c r="BQ41" i="183" s="1"/>
  <c r="CH40" i="183"/>
  <c r="BS40" i="183"/>
  <c r="BQ40" i="183"/>
  <c r="BB40" i="183"/>
  <c r="DA40" i="183" s="1"/>
  <c r="AZ40" i="183"/>
  <c r="CY40" i="183" s="1"/>
  <c r="AK40" i="183"/>
  <c r="CJ40" i="183" s="1"/>
  <c r="AI40" i="183"/>
  <c r="R40" i="183"/>
  <c r="CH38" i="183"/>
  <c r="BS38" i="183"/>
  <c r="BQ38" i="183"/>
  <c r="BB38" i="183"/>
  <c r="DA38" i="183" s="1"/>
  <c r="AZ38" i="183"/>
  <c r="CY38" i="183" s="1"/>
  <c r="AK38" i="183"/>
  <c r="CJ38" i="183" s="1"/>
  <c r="AI38" i="183"/>
  <c r="T38" i="183"/>
  <c r="R38" i="183"/>
  <c r="DA37" i="183"/>
  <c r="CY37" i="183"/>
  <c r="CJ37" i="183"/>
  <c r="BB37" i="183"/>
  <c r="AZ37" i="183"/>
  <c r="AK37" i="183"/>
  <c r="AI37" i="183"/>
  <c r="CH37" i="183" s="1"/>
  <c r="T37" i="183"/>
  <c r="BS37" i="183" s="1"/>
  <c r="R37" i="183"/>
  <c r="BQ37" i="183" s="1"/>
  <c r="CY36" i="183"/>
  <c r="CJ36" i="183"/>
  <c r="CH36" i="183"/>
  <c r="BS36" i="183"/>
  <c r="BB36" i="183"/>
  <c r="DA36" i="183" s="1"/>
  <c r="AZ36" i="183"/>
  <c r="AK36" i="183"/>
  <c r="AI36" i="183"/>
  <c r="T36" i="183"/>
  <c r="R36" i="183"/>
  <c r="BQ36" i="183" s="1"/>
  <c r="DA35" i="183"/>
  <c r="BS35" i="183"/>
  <c r="BQ35" i="183"/>
  <c r="BB35" i="183"/>
  <c r="AZ35" i="183"/>
  <c r="CY35" i="183" s="1"/>
  <c r="AK35" i="183"/>
  <c r="CJ35" i="183" s="1"/>
  <c r="AI35" i="183"/>
  <c r="CH35" i="183" s="1"/>
  <c r="T35" i="183"/>
  <c r="R35" i="183"/>
  <c r="DA34" i="183"/>
  <c r="CY34" i="183"/>
  <c r="CJ34" i="183"/>
  <c r="BB34" i="183"/>
  <c r="AZ34" i="183"/>
  <c r="AK34" i="183"/>
  <c r="AI34" i="183"/>
  <c r="CH34" i="183" s="1"/>
  <c r="T34" i="183"/>
  <c r="BS34" i="183" s="1"/>
  <c r="R34" i="183"/>
  <c r="BQ34" i="183" s="1"/>
  <c r="CH33" i="183"/>
  <c r="BQ33" i="183"/>
  <c r="BB33" i="183"/>
  <c r="DA33" i="183" s="1"/>
  <c r="AZ33" i="183"/>
  <c r="CY33" i="183" s="1"/>
  <c r="AK33" i="183"/>
  <c r="CJ33" i="183" s="1"/>
  <c r="AI33" i="183"/>
  <c r="T33" i="183"/>
  <c r="BS33" i="183" s="1"/>
  <c r="R33" i="183"/>
  <c r="Y19" i="183"/>
  <c r="N19" i="183"/>
  <c r="Y18" i="183"/>
  <c r="N18" i="183"/>
  <c r="Y17" i="183"/>
  <c r="N17" i="183"/>
  <c r="Y16" i="183"/>
  <c r="N16" i="183"/>
  <c r="Y15" i="183"/>
  <c r="N15" i="183"/>
  <c r="Y14" i="183"/>
  <c r="N14" i="183"/>
  <c r="Y13" i="183"/>
  <c r="N13" i="183"/>
  <c r="Y12" i="183"/>
  <c r="N12" i="183"/>
  <c r="Y11" i="183"/>
  <c r="N11" i="183"/>
  <c r="Y10" i="183"/>
  <c r="N10" i="183"/>
  <c r="Y9" i="183"/>
  <c r="N9" i="183"/>
  <c r="Y8" i="183"/>
  <c r="N8" i="183"/>
  <c r="Y7" i="183"/>
  <c r="N7" i="183"/>
  <c r="Y6" i="183"/>
  <c r="N6" i="183"/>
  <c r="Y5" i="183"/>
  <c r="N5" i="183"/>
  <c r="Y4" i="183"/>
  <c r="N4" i="183"/>
  <c r="Y3" i="183"/>
  <c r="N3" i="183"/>
  <c r="Y2" i="183"/>
  <c r="N2" i="183"/>
  <c r="AD66" i="112"/>
  <c r="AE66" i="112"/>
  <c r="AF66" i="112"/>
  <c r="AD44" i="112"/>
  <c r="E44" i="112" s="1"/>
  <c r="AE44" i="112"/>
  <c r="AF44" i="112"/>
  <c r="AD48" i="112"/>
  <c r="E48" i="112" s="1"/>
  <c r="AE48" i="112"/>
  <c r="AF48" i="112"/>
  <c r="AD45" i="112"/>
  <c r="E45" i="112" s="1"/>
  <c r="AE45" i="112"/>
  <c r="AF45" i="112"/>
  <c r="AD47" i="112"/>
  <c r="E47" i="112" s="1"/>
  <c r="AE47" i="112"/>
  <c r="AF47" i="112"/>
  <c r="AD46" i="112"/>
  <c r="E46" i="112" s="1"/>
  <c r="AE46" i="112"/>
  <c r="AF46" i="112"/>
  <c r="Z44" i="112"/>
  <c r="Z48" i="112"/>
  <c r="Z45" i="112"/>
  <c r="Z47" i="112"/>
  <c r="Z46" i="112"/>
  <c r="BK105" i="134" l="1"/>
  <c r="BK106" i="134"/>
  <c r="BK107" i="134"/>
  <c r="BK104" i="134"/>
  <c r="BH217" i="143"/>
  <c r="BG217" i="143"/>
  <c r="P29" i="166" s="1"/>
  <c r="BL217" i="143"/>
  <c r="D29" i="166" s="1"/>
  <c r="BR190" i="131"/>
  <c r="D290" i="166" s="1"/>
  <c r="BR200" i="131"/>
  <c r="D310" i="166" s="1"/>
  <c r="BR197" i="131"/>
  <c r="D304" i="166" s="1"/>
  <c r="BR191" i="131"/>
  <c r="D292" i="166" s="1"/>
  <c r="BL180" i="131"/>
  <c r="BR189" i="131"/>
  <c r="D288" i="166" s="1"/>
  <c r="BR188" i="131"/>
  <c r="D286" i="166" s="1"/>
  <c r="BR193" i="131"/>
  <c r="D296" i="166" s="1"/>
  <c r="BR199" i="131"/>
  <c r="D308" i="166" s="1"/>
  <c r="BJ180" i="131"/>
  <c r="BR204" i="131"/>
  <c r="D318" i="166" s="1"/>
  <c r="BR196" i="131"/>
  <c r="D302" i="166" s="1"/>
  <c r="BR202" i="131"/>
  <c r="D314" i="166" s="1"/>
  <c r="BR187" i="131"/>
  <c r="D284" i="166" s="1"/>
  <c r="BI180" i="131"/>
  <c r="BR195" i="131"/>
  <c r="D300" i="166" s="1"/>
  <c r="BR201" i="131"/>
  <c r="D312" i="166" s="1"/>
  <c r="BR192" i="131"/>
  <c r="D294" i="166" s="1"/>
  <c r="BR198" i="131"/>
  <c r="D306" i="166" s="1"/>
  <c r="BH180" i="131"/>
  <c r="BR203" i="131"/>
  <c r="D316" i="166" s="1"/>
  <c r="BR194" i="131"/>
  <c r="D298" i="166" s="1"/>
  <c r="BG180" i="131"/>
  <c r="BF180" i="131"/>
  <c r="BM180" i="131" s="1"/>
  <c r="R279" i="166" s="1"/>
  <c r="BL181" i="131"/>
  <c r="BL90" i="161"/>
  <c r="D231" i="166" s="1"/>
  <c r="BD90" i="161"/>
  <c r="G590" i="112" l="1"/>
  <c r="Z277" i="112"/>
  <c r="E277" i="112"/>
  <c r="AD279" i="112"/>
  <c r="E279" i="112" s="1"/>
  <c r="AE279" i="112"/>
  <c r="AF279" i="112"/>
  <c r="Z279" i="112"/>
  <c r="A11" i="120"/>
  <c r="BG236" i="164"/>
  <c r="BD236" i="164" s="1"/>
  <c r="E711" i="112"/>
  <c r="M148" i="120"/>
  <c r="L148" i="120"/>
  <c r="K148" i="120"/>
  <c r="I148" i="120"/>
  <c r="A148" i="120"/>
  <c r="I132" i="120"/>
  <c r="L132" i="120" s="1"/>
  <c r="A132" i="120"/>
  <c r="M8" i="120"/>
  <c r="K8" i="120"/>
  <c r="I8" i="120"/>
  <c r="A8" i="120"/>
  <c r="J153" i="120"/>
  <c r="M153" i="120" s="1"/>
  <c r="A153" i="120"/>
  <c r="M6" i="120"/>
  <c r="K6" i="120"/>
  <c r="I6" i="120"/>
  <c r="A6" i="120"/>
  <c r="I143" i="120"/>
  <c r="M143" i="120" s="1"/>
  <c r="A143" i="120"/>
  <c r="A74" i="120"/>
  <c r="AD568" i="112"/>
  <c r="E568" i="112" s="1"/>
  <c r="AE568" i="112"/>
  <c r="AF568" i="112"/>
  <c r="AD567" i="112"/>
  <c r="E567" i="112" s="1"/>
  <c r="AE567" i="112"/>
  <c r="AF567" i="112"/>
  <c r="Z567" i="112"/>
  <c r="Z568" i="112"/>
  <c r="AD678" i="112"/>
  <c r="E678" i="112" s="1"/>
  <c r="AE678" i="112"/>
  <c r="AF678" i="112"/>
  <c r="Z678" i="112"/>
  <c r="G213" i="120"/>
  <c r="F213" i="120"/>
  <c r="E213" i="120"/>
  <c r="E216" i="120"/>
  <c r="F216" i="120"/>
  <c r="G216" i="120"/>
  <c r="J53" i="120"/>
  <c r="M53" i="120" s="1"/>
  <c r="A53" i="120"/>
  <c r="E211" i="120"/>
  <c r="F211" i="120"/>
  <c r="G211" i="120"/>
  <c r="E208" i="120"/>
  <c r="F208" i="120"/>
  <c r="G208" i="120"/>
  <c r="E209" i="120"/>
  <c r="F209" i="120"/>
  <c r="G209" i="120"/>
  <c r="E217" i="120"/>
  <c r="F217" i="120"/>
  <c r="G217" i="120"/>
  <c r="E214" i="120"/>
  <c r="F214" i="120"/>
  <c r="G214" i="120"/>
  <c r="A119" i="120"/>
  <c r="A38" i="120"/>
  <c r="AD662" i="112"/>
  <c r="E662" i="112" s="1"/>
  <c r="AE662" i="112"/>
  <c r="AF662" i="112"/>
  <c r="Z662" i="112"/>
  <c r="AF661" i="112"/>
  <c r="AE661" i="112"/>
  <c r="AD661" i="112"/>
  <c r="E661" i="112" s="1"/>
  <c r="Z661" i="112"/>
  <c r="AF674" i="112"/>
  <c r="AE674" i="112"/>
  <c r="AD674" i="112"/>
  <c r="E674" i="112" s="1"/>
  <c r="Z674" i="112"/>
  <c r="AF675" i="112"/>
  <c r="AE675" i="112"/>
  <c r="AD675" i="112"/>
  <c r="E675" i="112" s="1"/>
  <c r="AF667" i="112"/>
  <c r="AE667" i="112"/>
  <c r="AD667" i="112"/>
  <c r="E667" i="112" s="1"/>
  <c r="Z667" i="112"/>
  <c r="AF665" i="112"/>
  <c r="AE665" i="112"/>
  <c r="AD665" i="112"/>
  <c r="E665" i="112" s="1"/>
  <c r="Z665" i="112"/>
  <c r="AF666" i="112"/>
  <c r="AE666" i="112"/>
  <c r="AD666" i="112"/>
  <c r="E666" i="112" s="1"/>
  <c r="Z666" i="112"/>
  <c r="AF569" i="112"/>
  <c r="AE569" i="112"/>
  <c r="AD569" i="112"/>
  <c r="E569" i="112" s="1"/>
  <c r="Z569" i="112"/>
  <c r="E590" i="112"/>
  <c r="BH90" i="161" s="1"/>
  <c r="Z448" i="112"/>
  <c r="AF140" i="112"/>
  <c r="AE140" i="112"/>
  <c r="AD140" i="112"/>
  <c r="E140" i="112" s="1"/>
  <c r="Z140" i="112"/>
  <c r="I135" i="120"/>
  <c r="L135" i="120" s="1"/>
  <c r="A135" i="120"/>
  <c r="J118" i="120"/>
  <c r="M118" i="120" s="1"/>
  <c r="I118" i="120"/>
  <c r="L118" i="120" s="1"/>
  <c r="A118" i="120"/>
  <c r="A106" i="120"/>
  <c r="A109" i="120"/>
  <c r="J52" i="120"/>
  <c r="M52" i="120" s="1"/>
  <c r="A52" i="120"/>
  <c r="L98" i="120"/>
  <c r="K98" i="120"/>
  <c r="I98" i="120"/>
  <c r="A98" i="120"/>
  <c r="AD521" i="112"/>
  <c r="E521" i="112" s="1"/>
  <c r="AE521" i="112"/>
  <c r="AF521" i="112"/>
  <c r="Z521" i="112"/>
  <c r="AD737" i="112"/>
  <c r="E737" i="112" s="1"/>
  <c r="AE737" i="112"/>
  <c r="AF737" i="112"/>
  <c r="Z737" i="112"/>
  <c r="AD736" i="112"/>
  <c r="E736" i="112" s="1"/>
  <c r="AE736" i="112"/>
  <c r="AF736" i="112"/>
  <c r="Z736" i="112"/>
  <c r="AD710" i="112"/>
  <c r="AE710" i="112"/>
  <c r="AF710" i="112"/>
  <c r="Z710" i="112"/>
  <c r="H710" i="112"/>
  <c r="BE217" i="143" s="1"/>
  <c r="D710" i="112"/>
  <c r="W709" i="112" s="1"/>
  <c r="AD676" i="112"/>
  <c r="E676" i="112" s="1"/>
  <c r="AE676" i="112"/>
  <c r="AF676" i="112"/>
  <c r="AD677" i="112"/>
  <c r="E677" i="112" s="1"/>
  <c r="AE677" i="112"/>
  <c r="AF677" i="112"/>
  <c r="AD679" i="112"/>
  <c r="E679" i="112" s="1"/>
  <c r="AE679" i="112"/>
  <c r="AF679" i="112"/>
  <c r="AD680" i="112"/>
  <c r="E680" i="112" s="1"/>
  <c r="AE680" i="112"/>
  <c r="AF680" i="112"/>
  <c r="AD681" i="112"/>
  <c r="E681" i="112" s="1"/>
  <c r="AE681" i="112"/>
  <c r="AF681" i="112"/>
  <c r="AD682" i="112"/>
  <c r="E682" i="112" s="1"/>
  <c r="AE682" i="112"/>
  <c r="AF682" i="112"/>
  <c r="AD684" i="112"/>
  <c r="E684" i="112" s="1"/>
  <c r="AE684" i="112"/>
  <c r="AF684" i="112"/>
  <c r="AD685" i="112"/>
  <c r="E685" i="112" s="1"/>
  <c r="AE685" i="112"/>
  <c r="AF685" i="112"/>
  <c r="AD686" i="112"/>
  <c r="E686" i="112" s="1"/>
  <c r="AE686" i="112"/>
  <c r="AF686" i="112"/>
  <c r="AD687" i="112"/>
  <c r="E687" i="112" s="1"/>
  <c r="AE687" i="112"/>
  <c r="AF687" i="112"/>
  <c r="AD688" i="112"/>
  <c r="E688" i="112" s="1"/>
  <c r="AE688" i="112"/>
  <c r="AF688" i="112"/>
  <c r="AD689" i="112"/>
  <c r="E689" i="112" s="1"/>
  <c r="AE689" i="112"/>
  <c r="AF689" i="112"/>
  <c r="AD690" i="112"/>
  <c r="E690" i="112" s="1"/>
  <c r="AE690" i="112"/>
  <c r="AF690" i="112"/>
  <c r="AD691" i="112"/>
  <c r="E691" i="112" s="1"/>
  <c r="AE691" i="112"/>
  <c r="AF691" i="112"/>
  <c r="Z691" i="112"/>
  <c r="Z690" i="112"/>
  <c r="Z689" i="112"/>
  <c r="Z688" i="112"/>
  <c r="Z687" i="112"/>
  <c r="Z686" i="112"/>
  <c r="Z685" i="112"/>
  <c r="Z684" i="112"/>
  <c r="Z682" i="112"/>
  <c r="Z681" i="112"/>
  <c r="Z680" i="112"/>
  <c r="Z679" i="112"/>
  <c r="Z677" i="112"/>
  <c r="Z676" i="112"/>
  <c r="AD656" i="112"/>
  <c r="E656" i="112" s="1"/>
  <c r="AE656" i="112"/>
  <c r="AF656" i="112"/>
  <c r="Z656" i="112"/>
  <c r="AD653" i="112"/>
  <c r="E653" i="112" s="1"/>
  <c r="AE653" i="112"/>
  <c r="AF653" i="112"/>
  <c r="Z653" i="112"/>
  <c r="AD598" i="112"/>
  <c r="E598" i="112" s="1"/>
  <c r="AE598" i="112"/>
  <c r="AF598" i="112"/>
  <c r="AD599" i="112"/>
  <c r="E599" i="112" s="1"/>
  <c r="AE599" i="112"/>
  <c r="AF599" i="112"/>
  <c r="Z599" i="112"/>
  <c r="Z598" i="112"/>
  <c r="AD591" i="112"/>
  <c r="E591" i="112" s="1"/>
  <c r="AE591" i="112"/>
  <c r="AF591" i="112"/>
  <c r="AD592" i="112"/>
  <c r="E592" i="112" s="1"/>
  <c r="AE592" i="112"/>
  <c r="AF592" i="112"/>
  <c r="AD593" i="112"/>
  <c r="E593" i="112" s="1"/>
  <c r="AE593" i="112"/>
  <c r="AF593" i="112"/>
  <c r="AD594" i="112"/>
  <c r="E594" i="112" s="1"/>
  <c r="AE594" i="112"/>
  <c r="AF594" i="112"/>
  <c r="AD595" i="112"/>
  <c r="E595" i="112" s="1"/>
  <c r="AE595" i="112"/>
  <c r="AF595" i="112"/>
  <c r="Z595" i="112"/>
  <c r="Z594" i="112"/>
  <c r="Z593" i="112"/>
  <c r="Z592" i="112"/>
  <c r="Z591" i="112"/>
  <c r="AD589" i="112"/>
  <c r="E589" i="112" s="1"/>
  <c r="AE589" i="112"/>
  <c r="AF589" i="112"/>
  <c r="Z589" i="112"/>
  <c r="Y521" i="112"/>
  <c r="X521" i="112"/>
  <c r="A105" i="120"/>
  <c r="G243" i="120"/>
  <c r="F243" i="120"/>
  <c r="AD597" i="112"/>
  <c r="E597" i="112" s="1"/>
  <c r="AE597" i="112"/>
  <c r="AF597" i="112"/>
  <c r="AD596" i="112"/>
  <c r="E596" i="112" s="1"/>
  <c r="AE596" i="112"/>
  <c r="AF596" i="112"/>
  <c r="Z596" i="112"/>
  <c r="Z597" i="112"/>
  <c r="AD587" i="112"/>
  <c r="E587" i="112" s="1"/>
  <c r="AE587" i="112"/>
  <c r="AF587" i="112"/>
  <c r="Z587" i="112"/>
  <c r="AD584" i="112"/>
  <c r="E584" i="112" s="1"/>
  <c r="AE584" i="112"/>
  <c r="AF584" i="112"/>
  <c r="AD585" i="112"/>
  <c r="E585" i="112" s="1"/>
  <c r="AE585" i="112"/>
  <c r="AF585" i="112"/>
  <c r="Z585" i="112"/>
  <c r="Z584" i="112"/>
  <c r="AD572" i="112"/>
  <c r="E572" i="112" s="1"/>
  <c r="AE572" i="112"/>
  <c r="AF572" i="112"/>
  <c r="Z572" i="112"/>
  <c r="AD479" i="112"/>
  <c r="E479" i="112" s="1"/>
  <c r="AE479" i="112"/>
  <c r="AF479" i="112"/>
  <c r="Z479" i="112"/>
  <c r="N479" i="112"/>
  <c r="AD477" i="112"/>
  <c r="E477" i="112" s="1"/>
  <c r="AE477" i="112"/>
  <c r="AF477" i="112"/>
  <c r="AD478" i="112"/>
  <c r="E478" i="112" s="1"/>
  <c r="AE478" i="112"/>
  <c r="AF478" i="112"/>
  <c r="Z478" i="112"/>
  <c r="Z477" i="112"/>
  <c r="N478" i="112"/>
  <c r="N477" i="112"/>
  <c r="AD458" i="112"/>
  <c r="E458" i="112" s="1"/>
  <c r="AE458" i="112"/>
  <c r="AF458" i="112"/>
  <c r="Z458" i="112"/>
  <c r="N458" i="112"/>
  <c r="AD452" i="112"/>
  <c r="E452" i="112" s="1"/>
  <c r="AE452" i="112"/>
  <c r="AF452" i="112"/>
  <c r="AD453" i="112"/>
  <c r="E453" i="112" s="1"/>
  <c r="AE453" i="112"/>
  <c r="AF453" i="112"/>
  <c r="Z453" i="112"/>
  <c r="Z452" i="112"/>
  <c r="AD448" i="112"/>
  <c r="E448" i="112" s="1"/>
  <c r="AE448" i="112"/>
  <c r="AF448" i="112"/>
  <c r="AD398" i="112"/>
  <c r="E398" i="112" s="1"/>
  <c r="AE398" i="112"/>
  <c r="AF398" i="112"/>
  <c r="Z398" i="112"/>
  <c r="AD390" i="112"/>
  <c r="E390" i="112" s="1"/>
  <c r="AE390" i="112"/>
  <c r="AF390" i="112"/>
  <c r="Z390" i="112"/>
  <c r="AD317" i="112"/>
  <c r="E317" i="112" s="1"/>
  <c r="AE317" i="112"/>
  <c r="AF317" i="112"/>
  <c r="Z317" i="112"/>
  <c r="AD268" i="112"/>
  <c r="E268" i="112" s="1"/>
  <c r="AE268" i="112"/>
  <c r="AF268" i="112"/>
  <c r="AD270" i="112"/>
  <c r="E270" i="112" s="1"/>
  <c r="AE270" i="112"/>
  <c r="AF270" i="112"/>
  <c r="AD275" i="112"/>
  <c r="E275" i="112" s="1"/>
  <c r="AE275" i="112"/>
  <c r="AF275" i="112"/>
  <c r="AD274" i="112"/>
  <c r="E274" i="112" s="1"/>
  <c r="AE274" i="112"/>
  <c r="AF274" i="112"/>
  <c r="AD260" i="112"/>
  <c r="E260" i="112" s="1"/>
  <c r="AE260" i="112"/>
  <c r="AF260" i="112"/>
  <c r="AD266" i="112"/>
  <c r="E266" i="112" s="1"/>
  <c r="AE266" i="112"/>
  <c r="AF266" i="112"/>
  <c r="AD258" i="112"/>
  <c r="E258" i="112" s="1"/>
  <c r="AE258" i="112"/>
  <c r="AF258" i="112"/>
  <c r="AD253" i="112"/>
  <c r="E253" i="112" s="1"/>
  <c r="AE253" i="112"/>
  <c r="AF253" i="112"/>
  <c r="AD269" i="112"/>
  <c r="E269" i="112" s="1"/>
  <c r="AE269" i="112"/>
  <c r="AF269" i="112"/>
  <c r="AD271" i="112"/>
  <c r="E271" i="112" s="1"/>
  <c r="AE271" i="112"/>
  <c r="AF271" i="112"/>
  <c r="AD263" i="112"/>
  <c r="E263" i="112" s="1"/>
  <c r="AE263" i="112"/>
  <c r="AF263" i="112"/>
  <c r="AD254" i="112"/>
  <c r="E254" i="112" s="1"/>
  <c r="AE254" i="112"/>
  <c r="AF254" i="112"/>
  <c r="AD255" i="112"/>
  <c r="E255" i="112" s="1"/>
  <c r="AE255" i="112"/>
  <c r="AF255" i="112"/>
  <c r="Z268" i="112"/>
  <c r="Z270" i="112"/>
  <c r="Z275" i="112"/>
  <c r="Z274" i="112"/>
  <c r="Z260" i="112"/>
  <c r="Z266" i="112"/>
  <c r="Z258" i="112"/>
  <c r="Z253" i="112"/>
  <c r="Z269" i="112"/>
  <c r="Z271" i="112"/>
  <c r="Z263" i="112"/>
  <c r="Z254" i="112"/>
  <c r="Z255" i="112"/>
  <c r="AD273" i="112"/>
  <c r="E273" i="112" s="1"/>
  <c r="AE273" i="112"/>
  <c r="AF273" i="112"/>
  <c r="AD262" i="112"/>
  <c r="E262" i="112" s="1"/>
  <c r="AE262" i="112"/>
  <c r="AF262" i="112"/>
  <c r="AD265" i="112"/>
  <c r="E265" i="112" s="1"/>
  <c r="AE265" i="112"/>
  <c r="AF265" i="112"/>
  <c r="AD257" i="112"/>
  <c r="E257" i="112" s="1"/>
  <c r="AE257" i="112"/>
  <c r="AF257" i="112"/>
  <c r="Z273" i="112"/>
  <c r="Z257" i="112"/>
  <c r="Z265" i="112"/>
  <c r="Z262" i="112"/>
  <c r="AD252" i="112"/>
  <c r="E252" i="112" s="1"/>
  <c r="AE252" i="112"/>
  <c r="AF252" i="112"/>
  <c r="Z252" i="112"/>
  <c r="AD223" i="112"/>
  <c r="E223" i="112" s="1"/>
  <c r="AE223" i="112"/>
  <c r="AF223" i="112"/>
  <c r="Z223" i="112"/>
  <c r="AD215" i="112"/>
  <c r="E215" i="112" s="1"/>
  <c r="AE215" i="112"/>
  <c r="AF215" i="112"/>
  <c r="Z215" i="112"/>
  <c r="AD214" i="112"/>
  <c r="E214" i="112" s="1"/>
  <c r="AE214" i="112"/>
  <c r="AF214" i="112"/>
  <c r="Z214" i="112"/>
  <c r="AD213" i="112"/>
  <c r="E213" i="112" s="1"/>
  <c r="AE213" i="112"/>
  <c r="AF213" i="112"/>
  <c r="Z213" i="112"/>
  <c r="AD207" i="112"/>
  <c r="E207" i="112" s="1"/>
  <c r="AE207" i="112"/>
  <c r="AF207" i="112"/>
  <c r="Z207" i="112"/>
  <c r="AD197" i="112"/>
  <c r="E197" i="112" s="1"/>
  <c r="AE197" i="112"/>
  <c r="AF197" i="112"/>
  <c r="Z197" i="112"/>
  <c r="AD196" i="112"/>
  <c r="E196" i="112" s="1"/>
  <c r="AE196" i="112"/>
  <c r="AF196" i="112"/>
  <c r="Z196" i="112"/>
  <c r="E66" i="112"/>
  <c r="Z66" i="112"/>
  <c r="AD65" i="112"/>
  <c r="E65" i="112" s="1"/>
  <c r="AE65" i="112"/>
  <c r="AF65" i="112"/>
  <c r="Z65" i="112"/>
  <c r="AD60" i="112"/>
  <c r="E60" i="112" s="1"/>
  <c r="AE60" i="112"/>
  <c r="AF60" i="112"/>
  <c r="Z60" i="112"/>
  <c r="AD57" i="112"/>
  <c r="E57" i="112" s="1"/>
  <c r="AE57" i="112"/>
  <c r="AF57" i="112"/>
  <c r="Z57" i="112"/>
  <c r="AD56" i="112"/>
  <c r="E56" i="112" s="1"/>
  <c r="AE56" i="112"/>
  <c r="AF56" i="112"/>
  <c r="Z56" i="112"/>
  <c r="AD54" i="112"/>
  <c r="E54" i="112" s="1"/>
  <c r="AE54" i="112"/>
  <c r="AF54" i="112"/>
  <c r="Z54" i="112"/>
  <c r="AD53" i="112"/>
  <c r="E53" i="112" s="1"/>
  <c r="AE53" i="112"/>
  <c r="AF53" i="112"/>
  <c r="Z53" i="112"/>
  <c r="AD52" i="112"/>
  <c r="E52" i="112" s="1"/>
  <c r="AE52" i="112"/>
  <c r="AF52" i="112"/>
  <c r="Z52" i="112"/>
  <c r="AF41" i="112"/>
  <c r="AE41" i="112"/>
  <c r="AD41" i="112"/>
  <c r="E41" i="112" s="1"/>
  <c r="Z41" i="112"/>
  <c r="AF37" i="112"/>
  <c r="AE37" i="112"/>
  <c r="AD37" i="112"/>
  <c r="E37" i="112" s="1"/>
  <c r="Z37" i="112"/>
  <c r="AF36" i="112"/>
  <c r="AE36" i="112"/>
  <c r="AD36" i="112"/>
  <c r="E36" i="112" s="1"/>
  <c r="Z36" i="112"/>
  <c r="AF51" i="112"/>
  <c r="AE51" i="112"/>
  <c r="AD51" i="112"/>
  <c r="E51" i="112" s="1"/>
  <c r="Z51" i="112"/>
  <c r="Z522" i="112"/>
  <c r="AD522" i="112"/>
  <c r="E522" i="112" s="1"/>
  <c r="AE522" i="112"/>
  <c r="AF522" i="112"/>
  <c r="G242" i="120"/>
  <c r="F242" i="120"/>
  <c r="G241" i="120"/>
  <c r="F241" i="120"/>
  <c r="E241" i="120"/>
  <c r="E242" i="120" s="1"/>
  <c r="E239" i="120"/>
  <c r="E243" i="120" s="1"/>
  <c r="L105" i="120" s="1"/>
  <c r="A104" i="120"/>
  <c r="AD520" i="112"/>
  <c r="AE520" i="112"/>
  <c r="AF520" i="112"/>
  <c r="Z520" i="112"/>
  <c r="G240" i="120"/>
  <c r="F240" i="120"/>
  <c r="G239" i="120"/>
  <c r="F239" i="120"/>
  <c r="M3" i="120"/>
  <c r="M7" i="120"/>
  <c r="M13" i="120"/>
  <c r="M21" i="120"/>
  <c r="M22" i="120"/>
  <c r="M23" i="120"/>
  <c r="M25" i="120"/>
  <c r="M26" i="120"/>
  <c r="M27" i="120"/>
  <c r="M28" i="120"/>
  <c r="M29" i="120"/>
  <c r="M30" i="120"/>
  <c r="M32" i="120"/>
  <c r="M34" i="120"/>
  <c r="M36" i="120"/>
  <c r="M37" i="120"/>
  <c r="M39" i="120"/>
  <c r="M41" i="120"/>
  <c r="M43" i="120"/>
  <c r="M49" i="120"/>
  <c r="M59" i="120"/>
  <c r="M60" i="120"/>
  <c r="M61" i="120"/>
  <c r="M62" i="120"/>
  <c r="M69" i="120"/>
  <c r="M70" i="120"/>
  <c r="M71" i="120"/>
  <c r="M89" i="120"/>
  <c r="M93" i="120"/>
  <c r="M94" i="120"/>
  <c r="M95" i="120"/>
  <c r="M96" i="120"/>
  <c r="M97" i="120"/>
  <c r="M99" i="120"/>
  <c r="M100" i="120"/>
  <c r="M103" i="120"/>
  <c r="M110" i="120"/>
  <c r="M116" i="120"/>
  <c r="M120" i="120"/>
  <c r="M121" i="120"/>
  <c r="M122" i="120"/>
  <c r="M123" i="120"/>
  <c r="M124" i="120"/>
  <c r="M125" i="120"/>
  <c r="M126" i="120"/>
  <c r="M127" i="120"/>
  <c r="M129" i="120"/>
  <c r="M131" i="120"/>
  <c r="M137" i="120"/>
  <c r="M144" i="120"/>
  <c r="M146" i="120"/>
  <c r="M149" i="120" s="1"/>
  <c r="M147" i="120"/>
  <c r="M152" i="120"/>
  <c r="M154" i="120"/>
  <c r="M155" i="120"/>
  <c r="M156" i="120"/>
  <c r="M157" i="120"/>
  <c r="M158" i="120"/>
  <c r="M159" i="120"/>
  <c r="M160" i="120"/>
  <c r="I144" i="120"/>
  <c r="I137" i="120"/>
  <c r="I136" i="120"/>
  <c r="I129" i="120"/>
  <c r="I92" i="120"/>
  <c r="M92" i="120" s="1"/>
  <c r="I79" i="120"/>
  <c r="I78" i="120"/>
  <c r="I86" i="120"/>
  <c r="L86" i="120" s="1"/>
  <c r="A86" i="120"/>
  <c r="J60" i="120"/>
  <c r="K154" i="120"/>
  <c r="J154" i="120"/>
  <c r="I154" i="120"/>
  <c r="L154" i="120" s="1"/>
  <c r="A154" i="120"/>
  <c r="A149" i="120"/>
  <c r="I142" i="120"/>
  <c r="M142" i="120" s="1"/>
  <c r="A142" i="120"/>
  <c r="K126" i="120"/>
  <c r="J126" i="120"/>
  <c r="I126" i="120"/>
  <c r="A126" i="120"/>
  <c r="L125" i="120"/>
  <c r="K125" i="120"/>
  <c r="J125" i="120"/>
  <c r="I125" i="120"/>
  <c r="A125" i="120"/>
  <c r="L123" i="120"/>
  <c r="K123" i="120"/>
  <c r="J123" i="120"/>
  <c r="I123" i="120"/>
  <c r="A123" i="120"/>
  <c r="A117" i="120"/>
  <c r="A114" i="120"/>
  <c r="A112" i="120"/>
  <c r="A107" i="120"/>
  <c r="L99" i="120"/>
  <c r="K99" i="120"/>
  <c r="J99" i="120"/>
  <c r="I99" i="120"/>
  <c r="A99" i="120"/>
  <c r="A92" i="120"/>
  <c r="A76" i="120"/>
  <c r="A75" i="120"/>
  <c r="J54" i="120"/>
  <c r="M54" i="120" s="1"/>
  <c r="A54" i="120"/>
  <c r="I51" i="120"/>
  <c r="L51" i="120" s="1"/>
  <c r="A51" i="120"/>
  <c r="I46" i="120"/>
  <c r="L46" i="120" s="1"/>
  <c r="G169" i="120"/>
  <c r="F169" i="120"/>
  <c r="A161" i="120"/>
  <c r="I161" i="120"/>
  <c r="J161" i="120"/>
  <c r="K161" i="120"/>
  <c r="L161" i="120"/>
  <c r="M161" i="120"/>
  <c r="G238" i="120"/>
  <c r="F238" i="120"/>
  <c r="G237" i="120"/>
  <c r="F237" i="120"/>
  <c r="G236" i="120"/>
  <c r="F236" i="120"/>
  <c r="G235" i="120"/>
  <c r="F235" i="120"/>
  <c r="G234" i="120"/>
  <c r="F234" i="120"/>
  <c r="G233" i="120"/>
  <c r="F233" i="120"/>
  <c r="G232" i="120"/>
  <c r="F232" i="120"/>
  <c r="G231" i="120"/>
  <c r="F231" i="120"/>
  <c r="G230" i="120"/>
  <c r="F230" i="120"/>
  <c r="G229" i="120"/>
  <c r="F229" i="120"/>
  <c r="G228" i="120"/>
  <c r="F228" i="120"/>
  <c r="G227" i="120"/>
  <c r="F227" i="120"/>
  <c r="G225" i="120"/>
  <c r="F225" i="120"/>
  <c r="G224" i="120"/>
  <c r="F224" i="120"/>
  <c r="G223" i="120"/>
  <c r="F223" i="120"/>
  <c r="G222" i="120"/>
  <c r="F222" i="120"/>
  <c r="G220" i="120"/>
  <c r="F220" i="120"/>
  <c r="G219" i="120"/>
  <c r="F219" i="120"/>
  <c r="G218" i="120"/>
  <c r="F218" i="120"/>
  <c r="G215" i="120"/>
  <c r="F215" i="120"/>
  <c r="G212" i="120"/>
  <c r="F212" i="120"/>
  <c r="G210" i="120"/>
  <c r="F210" i="120"/>
  <c r="G207" i="120"/>
  <c r="F207" i="120"/>
  <c r="G206" i="120"/>
  <c r="F206" i="120"/>
  <c r="G205" i="120"/>
  <c r="F205" i="120"/>
  <c r="G204" i="120"/>
  <c r="F204" i="120"/>
  <c r="G203" i="120"/>
  <c r="F203" i="120"/>
  <c r="G202" i="120"/>
  <c r="F202" i="120"/>
  <c r="G201" i="120"/>
  <c r="F201" i="120"/>
  <c r="G200" i="120"/>
  <c r="F200" i="120"/>
  <c r="G199" i="120"/>
  <c r="F199" i="120"/>
  <c r="G198" i="120"/>
  <c r="F198" i="120"/>
  <c r="G197" i="120"/>
  <c r="F197" i="120"/>
  <c r="G196" i="120"/>
  <c r="F196" i="120"/>
  <c r="G195" i="120"/>
  <c r="F195" i="120"/>
  <c r="G194" i="120"/>
  <c r="F194" i="120"/>
  <c r="G192" i="120"/>
  <c r="F192" i="120"/>
  <c r="G191" i="120"/>
  <c r="F191" i="120"/>
  <c r="G190" i="120"/>
  <c r="F190" i="120"/>
  <c r="G189" i="120"/>
  <c r="F189" i="120"/>
  <c r="G188" i="120"/>
  <c r="F188" i="120"/>
  <c r="G187" i="120"/>
  <c r="F187" i="120"/>
  <c r="G186" i="120"/>
  <c r="F186" i="120"/>
  <c r="G185" i="120"/>
  <c r="F185" i="120"/>
  <c r="G184" i="120"/>
  <c r="F184" i="120"/>
  <c r="G183" i="120"/>
  <c r="F183" i="120"/>
  <c r="G182" i="120"/>
  <c r="F182" i="120"/>
  <c r="G181" i="120"/>
  <c r="F181" i="120"/>
  <c r="G180" i="120"/>
  <c r="F180" i="120"/>
  <c r="G179" i="120"/>
  <c r="F179" i="120"/>
  <c r="G178" i="120"/>
  <c r="F178" i="120"/>
  <c r="G177" i="120"/>
  <c r="F177" i="120"/>
  <c r="G176" i="120"/>
  <c r="F176" i="120"/>
  <c r="G175" i="120"/>
  <c r="F175" i="120"/>
  <c r="G174" i="120"/>
  <c r="F174" i="120"/>
  <c r="G173" i="120"/>
  <c r="F173" i="120"/>
  <c r="G172" i="120"/>
  <c r="F172" i="120"/>
  <c r="G171" i="120"/>
  <c r="F171" i="120"/>
  <c r="G170" i="120"/>
  <c r="F170" i="120"/>
  <c r="G167" i="120"/>
  <c r="G168" i="120"/>
  <c r="F168" i="120"/>
  <c r="A46" i="120"/>
  <c r="A45" i="120"/>
  <c r="A33" i="120"/>
  <c r="A31" i="120"/>
  <c r="A18" i="120"/>
  <c r="G711" i="112" l="1"/>
  <c r="W707" i="112"/>
  <c r="W705" i="112"/>
  <c r="K143" i="120"/>
  <c r="J105" i="120"/>
  <c r="K105" i="120"/>
  <c r="J104" i="120"/>
  <c r="M104" i="120" s="1"/>
  <c r="K142" i="120"/>
  <c r="K92" i="120"/>
  <c r="BD159" i="162" l="1"/>
  <c r="BF159" i="162"/>
  <c r="BN159" i="162" s="1"/>
  <c r="BF164" i="162"/>
  <c r="BN164" i="162" s="1"/>
  <c r="BD164" i="162"/>
  <c r="BF165" i="162"/>
  <c r="BN165" i="162" s="1"/>
  <c r="BF163" i="162"/>
  <c r="BN163" i="162" s="1"/>
  <c r="BF162" i="162"/>
  <c r="BN162" i="162" s="1"/>
  <c r="BF161" i="162"/>
  <c r="BN161" i="162" s="1"/>
  <c r="BF160" i="162"/>
  <c r="BN160" i="162" s="1"/>
  <c r="BF158" i="162"/>
  <c r="BN158" i="162" s="1"/>
  <c r="BF157" i="162"/>
  <c r="BF156" i="162"/>
  <c r="A516" i="151"/>
  <c r="A515" i="151"/>
  <c r="A514" i="151"/>
  <c r="G546" i="152"/>
  <c r="G545" i="152"/>
  <c r="G544" i="152"/>
  <c r="A578" i="152"/>
  <c r="A577" i="152"/>
  <c r="A576" i="152"/>
  <c r="A564" i="152"/>
  <c r="A563" i="152"/>
  <c r="A562" i="152"/>
  <c r="A566" i="127"/>
  <c r="A565" i="127"/>
  <c r="A564" i="127"/>
  <c r="A552" i="127"/>
  <c r="A551" i="127"/>
  <c r="A550" i="127"/>
  <c r="A558" i="126"/>
  <c r="A557" i="126"/>
  <c r="A556" i="126"/>
  <c r="A544" i="126"/>
  <c r="A543" i="126"/>
  <c r="A542" i="126"/>
  <c r="A568" i="99"/>
  <c r="A567" i="99"/>
  <c r="A566" i="99"/>
  <c r="A554" i="99"/>
  <c r="A553" i="99"/>
  <c r="A552" i="99"/>
  <c r="A565" i="124"/>
  <c r="A564" i="124"/>
  <c r="A563" i="124"/>
  <c r="A551" i="124"/>
  <c r="A550" i="124"/>
  <c r="A549" i="124"/>
  <c r="A557" i="123"/>
  <c r="A556" i="123"/>
  <c r="A555" i="123"/>
  <c r="A543" i="123"/>
  <c r="A542" i="123"/>
  <c r="A541" i="123"/>
  <c r="A566" i="100"/>
  <c r="A565" i="100"/>
  <c r="A564" i="100"/>
  <c r="A552" i="100"/>
  <c r="A551" i="100"/>
  <c r="A550" i="100"/>
  <c r="A466" i="121"/>
  <c r="A465" i="121"/>
  <c r="A464" i="121"/>
  <c r="A452" i="121"/>
  <c r="A451" i="121"/>
  <c r="A450" i="121"/>
  <c r="A457" i="122"/>
  <c r="A456" i="122"/>
  <c r="A455" i="122"/>
  <c r="A443" i="122"/>
  <c r="A442" i="122"/>
  <c r="A441" i="122"/>
  <c r="A467" i="98"/>
  <c r="A466" i="98"/>
  <c r="A465" i="98"/>
  <c r="A453" i="98"/>
  <c r="A452" i="98"/>
  <c r="A451" i="98"/>
  <c r="A479" i="107"/>
  <c r="A478" i="107"/>
  <c r="A477" i="107"/>
  <c r="A392" i="125"/>
  <c r="A391" i="125"/>
  <c r="A390" i="125"/>
  <c r="A360" i="97"/>
  <c r="A359" i="97"/>
  <c r="A358" i="97"/>
  <c r="T874" i="152" l="1"/>
  <c r="I874" i="152"/>
  <c r="D874" i="152"/>
  <c r="Q874" i="152"/>
  <c r="K874" i="152"/>
  <c r="U874" i="152"/>
  <c r="L874" i="152"/>
  <c r="S874" i="152"/>
  <c r="J874" i="152"/>
  <c r="O874" i="152"/>
  <c r="N874" i="152"/>
  <c r="P874" i="152"/>
  <c r="R874" i="152"/>
  <c r="U842" i="152"/>
  <c r="K842" i="152"/>
  <c r="I842" i="152"/>
  <c r="Q842" i="152"/>
  <c r="J842" i="152"/>
  <c r="D842" i="152"/>
  <c r="R842" i="152"/>
  <c r="L842" i="152"/>
  <c r="O842" i="152"/>
  <c r="P842" i="152"/>
  <c r="T842" i="152"/>
  <c r="N842" i="152"/>
  <c r="S842" i="152"/>
  <c r="N695" i="107"/>
  <c r="K695" i="107"/>
  <c r="U695" i="107"/>
  <c r="L695" i="107"/>
  <c r="J695" i="107"/>
  <c r="Q695" i="107"/>
  <c r="I695" i="107"/>
  <c r="D695" i="107"/>
  <c r="O695" i="107"/>
  <c r="P695" i="107"/>
  <c r="T695" i="107"/>
  <c r="R695" i="107"/>
  <c r="S695" i="107"/>
  <c r="L663" i="107"/>
  <c r="I663" i="107"/>
  <c r="U663" i="107"/>
  <c r="P663" i="107"/>
  <c r="K663" i="107"/>
  <c r="D663" i="107"/>
  <c r="S663" i="107"/>
  <c r="J663" i="107"/>
  <c r="T663" i="107"/>
  <c r="N663" i="107"/>
  <c r="R663" i="107"/>
  <c r="O663" i="107"/>
  <c r="Q663" i="107"/>
  <c r="Q828" i="127"/>
  <c r="O828" i="127"/>
  <c r="U828" i="127"/>
  <c r="L828" i="127"/>
  <c r="J828" i="127"/>
  <c r="R828" i="127"/>
  <c r="N828" i="127"/>
  <c r="K828" i="127"/>
  <c r="I828" i="127"/>
  <c r="D828" i="127"/>
  <c r="P828" i="127"/>
  <c r="S828" i="127"/>
  <c r="T828" i="127"/>
  <c r="U795" i="127"/>
  <c r="T795" i="127"/>
  <c r="S795" i="127"/>
  <c r="J795" i="127"/>
  <c r="K795" i="127"/>
  <c r="D795" i="127"/>
  <c r="L795" i="127"/>
  <c r="I795" i="127"/>
  <c r="N795" i="127"/>
  <c r="P795" i="127"/>
  <c r="O795" i="127"/>
  <c r="R795" i="127"/>
  <c r="Q795" i="127"/>
  <c r="T820" i="126"/>
  <c r="P820" i="126"/>
  <c r="L820" i="126"/>
  <c r="I820" i="126"/>
  <c r="D820" i="126"/>
  <c r="S820" i="126"/>
  <c r="N820" i="126"/>
  <c r="K820" i="126"/>
  <c r="J820" i="126"/>
  <c r="U820" i="126"/>
  <c r="R820" i="126"/>
  <c r="Q820" i="126"/>
  <c r="O820" i="126"/>
  <c r="K787" i="126"/>
  <c r="U787" i="126"/>
  <c r="T787" i="126"/>
  <c r="J787" i="126"/>
  <c r="R787" i="126"/>
  <c r="P787" i="126"/>
  <c r="L787" i="126"/>
  <c r="I787" i="126"/>
  <c r="D787" i="126"/>
  <c r="O787" i="126"/>
  <c r="S787" i="126"/>
  <c r="Q787" i="126"/>
  <c r="N787" i="126"/>
  <c r="T830" i="99"/>
  <c r="P830" i="99"/>
  <c r="L830" i="99"/>
  <c r="I830" i="99"/>
  <c r="D830" i="99"/>
  <c r="R830" i="99"/>
  <c r="N830" i="99"/>
  <c r="K830" i="99"/>
  <c r="J830" i="99"/>
  <c r="U830" i="99"/>
  <c r="S830" i="99"/>
  <c r="O830" i="99"/>
  <c r="Q830" i="99"/>
  <c r="S797" i="99"/>
  <c r="T797" i="99"/>
  <c r="R797" i="99"/>
  <c r="P797" i="99"/>
  <c r="I797" i="99"/>
  <c r="U797" i="99"/>
  <c r="J797" i="99"/>
  <c r="L797" i="99"/>
  <c r="K797" i="99"/>
  <c r="D797" i="99"/>
  <c r="N797" i="99"/>
  <c r="O797" i="99"/>
  <c r="Q797" i="99"/>
  <c r="T827" i="124"/>
  <c r="Q827" i="124"/>
  <c r="L827" i="124"/>
  <c r="I827" i="124"/>
  <c r="D827" i="124"/>
  <c r="R827" i="124"/>
  <c r="J827" i="124"/>
  <c r="U827" i="124"/>
  <c r="S827" i="124"/>
  <c r="K827" i="124"/>
  <c r="O827" i="124"/>
  <c r="P827" i="124"/>
  <c r="N827" i="124"/>
  <c r="Q794" i="124"/>
  <c r="I794" i="124"/>
  <c r="K794" i="124"/>
  <c r="U794" i="124"/>
  <c r="J794" i="124"/>
  <c r="R794" i="124"/>
  <c r="D794" i="124"/>
  <c r="N794" i="124"/>
  <c r="L794" i="124"/>
  <c r="O794" i="124"/>
  <c r="T794" i="124"/>
  <c r="P794" i="124"/>
  <c r="S794" i="124"/>
  <c r="D819" i="123"/>
  <c r="T819" i="123"/>
  <c r="S819" i="123"/>
  <c r="K819" i="123"/>
  <c r="J819" i="123"/>
  <c r="U819" i="123"/>
  <c r="R819" i="123"/>
  <c r="I819" i="123"/>
  <c r="L819" i="123"/>
  <c r="O819" i="123"/>
  <c r="Q819" i="123"/>
  <c r="P819" i="123"/>
  <c r="N819" i="123"/>
  <c r="J786" i="123"/>
  <c r="D786" i="123"/>
  <c r="U786" i="123"/>
  <c r="K786" i="123"/>
  <c r="I786" i="123"/>
  <c r="S786" i="123"/>
  <c r="R786" i="123"/>
  <c r="L786" i="123"/>
  <c r="Q786" i="123"/>
  <c r="P786" i="123"/>
  <c r="T786" i="123"/>
  <c r="N786" i="123"/>
  <c r="O786" i="123"/>
  <c r="Q828" i="100"/>
  <c r="U828" i="100"/>
  <c r="R828" i="100"/>
  <c r="K828" i="100"/>
  <c r="I828" i="100"/>
  <c r="S828" i="100"/>
  <c r="P828" i="100"/>
  <c r="L828" i="100"/>
  <c r="D828" i="100"/>
  <c r="J828" i="100"/>
  <c r="O828" i="100"/>
  <c r="T828" i="100"/>
  <c r="N828" i="100"/>
  <c r="U795" i="100"/>
  <c r="R795" i="100"/>
  <c r="S795" i="100"/>
  <c r="O795" i="100"/>
  <c r="L795" i="100"/>
  <c r="J795" i="100"/>
  <c r="D795" i="100"/>
  <c r="T795" i="100"/>
  <c r="N795" i="100"/>
  <c r="K795" i="100"/>
  <c r="I795" i="100"/>
  <c r="P795" i="100"/>
  <c r="Q795" i="100"/>
  <c r="D607" i="125"/>
  <c r="O607" i="125"/>
  <c r="N607" i="125"/>
  <c r="P607" i="125"/>
  <c r="I607" i="125"/>
  <c r="J607" i="125"/>
  <c r="K607" i="125"/>
  <c r="L607" i="125"/>
  <c r="R607" i="125"/>
  <c r="Q607" i="125"/>
  <c r="U607" i="125"/>
  <c r="S607" i="125"/>
  <c r="T607" i="125"/>
  <c r="D577" i="125"/>
  <c r="I577" i="125"/>
  <c r="J577" i="125"/>
  <c r="K577" i="125"/>
  <c r="L577" i="125"/>
  <c r="N577" i="125"/>
  <c r="O577" i="125"/>
  <c r="P577" i="125"/>
  <c r="U577" i="125"/>
  <c r="R577" i="125"/>
  <c r="T577" i="125"/>
  <c r="S577" i="125"/>
  <c r="Q577" i="125"/>
  <c r="D574" i="97"/>
  <c r="P574" i="97"/>
  <c r="I574" i="97"/>
  <c r="J574" i="97"/>
  <c r="K574" i="97"/>
  <c r="L574" i="97"/>
  <c r="N574" i="97"/>
  <c r="O574" i="97"/>
  <c r="R574" i="97"/>
  <c r="U574" i="97"/>
  <c r="T574" i="97"/>
  <c r="S574" i="97"/>
  <c r="Q574" i="97"/>
  <c r="C546" i="97"/>
  <c r="I546" i="97"/>
  <c r="BG237" i="164"/>
  <c r="BD237" i="164" s="1"/>
  <c r="V874" i="152" l="1"/>
  <c r="W874" i="152"/>
  <c r="W842" i="152"/>
  <c r="V842" i="152"/>
  <c r="W695" i="107"/>
  <c r="V695" i="107"/>
  <c r="W663" i="107"/>
  <c r="V663" i="107"/>
  <c r="W828" i="127"/>
  <c r="V828" i="127"/>
  <c r="V795" i="127"/>
  <c r="W795" i="127"/>
  <c r="V820" i="126"/>
  <c r="W820" i="126"/>
  <c r="V787" i="126"/>
  <c r="W787" i="126"/>
  <c r="V830" i="99"/>
  <c r="W830" i="99"/>
  <c r="V797" i="99"/>
  <c r="W797" i="99"/>
  <c r="V827" i="124"/>
  <c r="W827" i="124"/>
  <c r="W794" i="124"/>
  <c r="V794" i="124"/>
  <c r="V819" i="123"/>
  <c r="W819" i="123"/>
  <c r="W786" i="123"/>
  <c r="V786" i="123"/>
  <c r="W828" i="100"/>
  <c r="V828" i="100"/>
  <c r="W795" i="100"/>
  <c r="V795" i="100"/>
  <c r="W574" i="97"/>
  <c r="W607" i="125"/>
  <c r="V607" i="125"/>
  <c r="V577" i="125"/>
  <c r="W577" i="125"/>
  <c r="V574" i="97"/>
  <c r="G652" i="112"/>
  <c r="BO237" i="164"/>
  <c r="Q33" i="164" s="1"/>
  <c r="AD586" i="112"/>
  <c r="E586" i="112" s="1"/>
  <c r="AE586" i="112"/>
  <c r="AF586" i="112"/>
  <c r="Z586" i="112"/>
  <c r="AD707" i="112" l="1"/>
  <c r="AE707" i="112"/>
  <c r="AF707" i="112"/>
  <c r="L136" i="120"/>
  <c r="Z707" i="112"/>
  <c r="A136" i="120"/>
  <c r="AD355" i="112" l="1"/>
  <c r="AE355" i="112"/>
  <c r="AF355" i="112"/>
  <c r="Z355" i="112"/>
  <c r="AD761" i="112" l="1"/>
  <c r="E761" i="112" s="1"/>
  <c r="AE761" i="112"/>
  <c r="AF761" i="112"/>
  <c r="Z761" i="112"/>
  <c r="J133" i="120"/>
  <c r="M133" i="120" s="1"/>
  <c r="A133" i="120"/>
  <c r="H741" i="112"/>
  <c r="BF181" i="131" s="1"/>
  <c r="BM181" i="131" s="1"/>
  <c r="R281" i="166" s="1"/>
  <c r="T14" i="179" a="1"/>
  <c r="T14" i="179"/>
  <c r="S14" i="179" a="1"/>
  <c r="S14" i="179"/>
  <c r="U14" i="179" s="1"/>
  <c r="L14" i="179" s="1"/>
  <c r="T12" i="179" a="1"/>
  <c r="T12" i="179" s="1"/>
  <c r="S12" i="179" a="1"/>
  <c r="S12" i="179"/>
  <c r="U12" i="179" s="1"/>
  <c r="L12" i="179" s="1"/>
  <c r="T9" i="179" a="1"/>
  <c r="T9" i="179"/>
  <c r="S9" i="179" a="1"/>
  <c r="S9" i="179"/>
  <c r="U9" i="179" s="1"/>
  <c r="L9" i="179" s="1"/>
  <c r="T7" i="179" a="1"/>
  <c r="T7" i="179"/>
  <c r="S7" i="179" a="1"/>
  <c r="S7" i="179"/>
  <c r="U7" i="179" s="1"/>
  <c r="L7" i="179" s="1"/>
  <c r="T4" i="179" a="1"/>
  <c r="T4" i="179"/>
  <c r="S4" i="179" a="1"/>
  <c r="S4" i="179"/>
  <c r="U4" i="179" s="1"/>
  <c r="L4" i="179" s="1"/>
  <c r="T2" i="179" a="1"/>
  <c r="T2" i="179"/>
  <c r="S2" i="179" a="1"/>
  <c r="S2" i="179"/>
  <c r="U2" i="179" s="1"/>
  <c r="L2" i="179" s="1"/>
  <c r="C2" i="179"/>
  <c r="E2" i="179"/>
  <c r="Q2" i="179"/>
  <c r="R2" i="179"/>
  <c r="Y2" i="179"/>
  <c r="C3" i="179"/>
  <c r="E3" i="179"/>
  <c r="Q3" i="179"/>
  <c r="R3" i="179"/>
  <c r="S3" i="179" s="1" a="1"/>
  <c r="S3" i="179" s="1"/>
  <c r="Y3" i="179"/>
  <c r="C4" i="179"/>
  <c r="E4" i="179"/>
  <c r="Q4" i="179"/>
  <c r="R4" i="179"/>
  <c r="Y4" i="179"/>
  <c r="C5" i="179"/>
  <c r="E5" i="179"/>
  <c r="Q5" i="179"/>
  <c r="R5" i="179"/>
  <c r="T5" i="179" s="1" a="1"/>
  <c r="T5" i="179" s="1"/>
  <c r="Y5" i="179"/>
  <c r="C6" i="179"/>
  <c r="E6" i="179"/>
  <c r="Q6" i="179"/>
  <c r="R6" i="179" s="1"/>
  <c r="C7" i="179"/>
  <c r="E7" i="179"/>
  <c r="Q7" i="179"/>
  <c r="R7" i="179"/>
  <c r="C8" i="179"/>
  <c r="E8" i="179"/>
  <c r="Q8" i="179"/>
  <c r="R8" i="179"/>
  <c r="S8" i="179" s="1" a="1"/>
  <c r="S8" i="179" s="1"/>
  <c r="C9" i="179"/>
  <c r="E9" i="179"/>
  <c r="Q9" i="179"/>
  <c r="R9" i="179"/>
  <c r="C10" i="179"/>
  <c r="E10" i="179"/>
  <c r="Q10" i="179"/>
  <c r="R10" i="179"/>
  <c r="T10" i="179" s="1" a="1"/>
  <c r="T10" i="179" s="1"/>
  <c r="C11" i="179"/>
  <c r="E11" i="179"/>
  <c r="Q11" i="179"/>
  <c r="R11" i="179" s="1"/>
  <c r="C12" i="179"/>
  <c r="E12" i="179"/>
  <c r="Q12" i="179"/>
  <c r="R12" i="179"/>
  <c r="C13" i="179"/>
  <c r="E13" i="179"/>
  <c r="Q13" i="179"/>
  <c r="R13" i="179"/>
  <c r="T13" i="179" s="1" a="1"/>
  <c r="T13" i="179" s="1"/>
  <c r="C14" i="179"/>
  <c r="E14" i="179"/>
  <c r="Q14" i="179"/>
  <c r="R14" i="179"/>
  <c r="C15" i="179"/>
  <c r="E15" i="179"/>
  <c r="Q15" i="179"/>
  <c r="R15" i="179"/>
  <c r="S15" i="179" s="1" a="1"/>
  <c r="S15" i="179" s="1"/>
  <c r="C16" i="179"/>
  <c r="E16" i="179"/>
  <c r="Q16" i="179"/>
  <c r="R16" i="179" s="1"/>
  <c r="C17" i="179"/>
  <c r="E17" i="179"/>
  <c r="C18" i="179"/>
  <c r="E18" i="179"/>
  <c r="C19" i="179"/>
  <c r="E19" i="179"/>
  <c r="C20" i="179"/>
  <c r="E20" i="179"/>
  <c r="C21" i="179"/>
  <c r="E21" i="179"/>
  <c r="C22" i="179"/>
  <c r="E22" i="179"/>
  <c r="C23" i="179"/>
  <c r="E23" i="179"/>
  <c r="C24" i="179"/>
  <c r="E24" i="179"/>
  <c r="C25" i="179"/>
  <c r="E25" i="179"/>
  <c r="C26" i="179"/>
  <c r="E26" i="179"/>
  <c r="C27" i="179"/>
  <c r="E27" i="179"/>
  <c r="C28" i="179"/>
  <c r="E28" i="179"/>
  <c r="U8" i="179" l="1"/>
  <c r="L8" i="179" s="1"/>
  <c r="T6" i="179" a="1"/>
  <c r="T6" i="179" s="1"/>
  <c r="S6" i="179" a="1"/>
  <c r="S6" i="179" s="1"/>
  <c r="U6" i="179" s="1"/>
  <c r="L6" i="179" s="1"/>
  <c r="T11" i="179" a="1"/>
  <c r="T11" i="179" s="1"/>
  <c r="S11" i="179" a="1"/>
  <c r="S11" i="179" s="1"/>
  <c r="U11" i="179" s="1"/>
  <c r="L11" i="179" s="1"/>
  <c r="T16" i="179" a="1"/>
  <c r="T16" i="179" s="1"/>
  <c r="S16" i="179" a="1"/>
  <c r="S16" i="179" s="1"/>
  <c r="S13" i="179" a="1"/>
  <c r="S13" i="179" s="1"/>
  <c r="U13" i="179" s="1"/>
  <c r="L13" i="179" s="1"/>
  <c r="T3" i="179" a="1"/>
  <c r="T3" i="179" s="1"/>
  <c r="U3" i="179" s="1"/>
  <c r="L3" i="179" s="1"/>
  <c r="S5" i="179" a="1"/>
  <c r="S5" i="179" s="1"/>
  <c r="U5" i="179" s="1"/>
  <c r="L5" i="179" s="1"/>
  <c r="S10" i="179" a="1"/>
  <c r="S10" i="179" s="1"/>
  <c r="U10" i="179" s="1"/>
  <c r="L10" i="179" s="1"/>
  <c r="T15" i="179" a="1"/>
  <c r="T15" i="179" s="1"/>
  <c r="U15" i="179" s="1"/>
  <c r="L15" i="179" s="1"/>
  <c r="T8" i="179" a="1"/>
  <c r="T8" i="179" s="1"/>
  <c r="D19" i="179" l="1"/>
  <c r="G19" i="179" s="1"/>
  <c r="D2" i="179"/>
  <c r="G2" i="179" s="1"/>
  <c r="D12" i="179"/>
  <c r="G12" i="179" s="1"/>
  <c r="D6" i="179"/>
  <c r="G6" i="179" s="1"/>
  <c r="D4" i="179"/>
  <c r="G4" i="179" s="1"/>
  <c r="D23" i="179"/>
  <c r="G23" i="179" s="1"/>
  <c r="D10" i="179"/>
  <c r="G10" i="179" s="1"/>
  <c r="D17" i="179"/>
  <c r="G17" i="179" s="1"/>
  <c r="D22" i="179"/>
  <c r="G22" i="179" s="1"/>
  <c r="D16" i="179"/>
  <c r="G16" i="179" s="1"/>
  <c r="D9" i="179"/>
  <c r="G9" i="179" s="1"/>
  <c r="D14" i="179"/>
  <c r="G14" i="179" s="1"/>
  <c r="D21" i="179"/>
  <c r="G21" i="179" s="1"/>
  <c r="D26" i="179"/>
  <c r="G26" i="179" s="1"/>
  <c r="D20" i="179"/>
  <c r="G20" i="179" s="1"/>
  <c r="D25" i="179"/>
  <c r="G25" i="179" s="1"/>
  <c r="D27" i="179"/>
  <c r="G27" i="179" s="1"/>
  <c r="D15" i="179"/>
  <c r="G15" i="179" s="1"/>
  <c r="D8" i="179"/>
  <c r="G8" i="179" s="1"/>
  <c r="D24" i="179"/>
  <c r="G24" i="179" s="1"/>
  <c r="D18" i="179"/>
  <c r="G18" i="179" s="1"/>
  <c r="U16" i="179"/>
  <c r="L16" i="179" s="1"/>
  <c r="D28" i="179" s="1"/>
  <c r="G28" i="179" s="1"/>
  <c r="D11" i="179" l="1"/>
  <c r="G11" i="179" s="1"/>
  <c r="D3" i="179"/>
  <c r="G3" i="179" s="1"/>
  <c r="D13" i="179"/>
  <c r="G13" i="179" s="1"/>
  <c r="D7" i="179"/>
  <c r="G7" i="179" s="1"/>
  <c r="D5" i="179"/>
  <c r="G5" i="179" s="1"/>
  <c r="G509" i="151" l="1"/>
  <c r="G508" i="151"/>
  <c r="G507" i="151"/>
  <c r="G506" i="151"/>
  <c r="G474" i="125"/>
  <c r="G473" i="125"/>
  <c r="G472" i="125"/>
  <c r="G471" i="125"/>
  <c r="G383" i="125"/>
  <c r="G384" i="125"/>
  <c r="G385" i="125"/>
  <c r="G382" i="125"/>
  <c r="G350" i="97"/>
  <c r="G441" i="97"/>
  <c r="G442" i="97"/>
  <c r="G443" i="97"/>
  <c r="G440" i="97"/>
  <c r="G351" i="97"/>
  <c r="G352" i="97"/>
  <c r="G353" i="97"/>
  <c r="F389" i="112"/>
  <c r="H107" i="128"/>
  <c r="AD706" i="112"/>
  <c r="E706" i="112" s="1"/>
  <c r="AE706" i="112"/>
  <c r="AF706" i="112"/>
  <c r="Z706" i="112"/>
  <c r="I147" i="120"/>
  <c r="L147" i="120" s="1"/>
  <c r="J147" i="120"/>
  <c r="K147" i="120"/>
  <c r="A147" i="120"/>
  <c r="N708" i="112"/>
  <c r="AD708" i="112"/>
  <c r="E708" i="112" s="1"/>
  <c r="AE708" i="112"/>
  <c r="AF708" i="112"/>
  <c r="Z708" i="112"/>
  <c r="X6" i="111"/>
  <c r="AD127" i="128" l="1"/>
  <c r="AD126" i="128"/>
  <c r="D355" i="112"/>
  <c r="C56" i="133" l="1"/>
  <c r="C62" i="133" l="1"/>
  <c r="D26" i="168" s="1"/>
  <c r="BF223" i="143"/>
  <c r="E46" i="146"/>
  <c r="A587" i="151"/>
  <c r="A588" i="151"/>
  <c r="A589" i="151"/>
  <c r="A590" i="151"/>
  <c r="A591" i="151"/>
  <c r="A592" i="151"/>
  <c r="A593" i="151"/>
  <c r="L586" i="151" l="1"/>
  <c r="R586" i="151"/>
  <c r="I586" i="151"/>
  <c r="N586" i="151"/>
  <c r="D586" i="151"/>
  <c r="J586" i="151"/>
  <c r="O586" i="151"/>
  <c r="P586" i="151"/>
  <c r="U586" i="151"/>
  <c r="K586" i="151"/>
  <c r="T586" i="151"/>
  <c r="Q586" i="151"/>
  <c r="S586" i="151"/>
  <c r="D43" i="203"/>
  <c r="BD223" i="143"/>
  <c r="BK223" i="143" s="1" a="1"/>
  <c r="BK223" i="143" s="1"/>
  <c r="BC223" i="143" s="1"/>
  <c r="M41" i="166" s="1"/>
  <c r="W586" i="151" l="1"/>
  <c r="V586" i="151"/>
  <c r="G234" i="112"/>
  <c r="BN223" i="143"/>
  <c r="F234" i="112"/>
  <c r="N41" i="166"/>
  <c r="BM223" i="143"/>
  <c r="R41" i="166" s="1"/>
  <c r="V83" i="112" l="1"/>
  <c r="V94" i="112"/>
  <c r="V104" i="112"/>
  <c r="V114" i="112"/>
  <c r="V124" i="112"/>
  <c r="V233" i="112"/>
  <c r="V234" i="112"/>
  <c r="V752" i="112"/>
  <c r="V751" i="112"/>
  <c r="V747" i="112"/>
  <c r="V748" i="112"/>
  <c r="V749" i="112"/>
  <c r="V750" i="112"/>
  <c r="V651" i="112"/>
  <c r="V759" i="112"/>
  <c r="V389" i="112"/>
  <c r="AD125" i="128"/>
  <c r="Z525" i="112" l="1"/>
  <c r="I525" i="112"/>
  <c r="E525" i="112"/>
  <c r="Z524" i="112"/>
  <c r="I524" i="112"/>
  <c r="E524" i="112"/>
  <c r="Z523" i="112"/>
  <c r="I523" i="112"/>
  <c r="E523" i="112"/>
  <c r="Y760" i="112" l="1"/>
  <c r="X760" i="112"/>
  <c r="Y454" i="112"/>
  <c r="X454" i="112"/>
  <c r="AD431" i="112"/>
  <c r="E431" i="112" s="1"/>
  <c r="AE431" i="112"/>
  <c r="AF431" i="112"/>
  <c r="Z431" i="112"/>
  <c r="A7" i="120" l="1"/>
  <c r="A9" i="120"/>
  <c r="I9" i="120"/>
  <c r="L9" i="120" l="1"/>
  <c r="O3" i="145" a="1"/>
  <c r="O3" i="145" s="1"/>
  <c r="C113" i="145" s="1"/>
  <c r="AF755" i="112" l="1"/>
  <c r="AE755" i="112"/>
  <c r="AD755" i="112"/>
  <c r="E755" i="112" s="1"/>
  <c r="Z755" i="112"/>
  <c r="W755" i="112"/>
  <c r="H755" i="112" s="1"/>
  <c r="V755" i="112" s="1"/>
  <c r="X755" i="112" l="1"/>
  <c r="W548" i="112"/>
  <c r="Y548" i="112"/>
  <c r="Y560" i="112"/>
  <c r="O629" i="152"/>
  <c r="AD32" i="112" l="1"/>
  <c r="AE32" i="112"/>
  <c r="AF32" i="112"/>
  <c r="Z32" i="112"/>
  <c r="J48" i="120"/>
  <c r="M48" i="120" s="1"/>
  <c r="A48" i="120"/>
  <c r="Z412" i="112" l="1"/>
  <c r="AD412" i="112"/>
  <c r="AE412" i="112"/>
  <c r="AF412" i="112"/>
  <c r="A16" i="120"/>
  <c r="Z278" i="112"/>
  <c r="AD278" i="112"/>
  <c r="E278" i="112" s="1"/>
  <c r="AE278" i="112"/>
  <c r="AF278" i="112"/>
  <c r="I7" i="120" l="1"/>
  <c r="L7" i="120" s="1"/>
  <c r="K71" i="120"/>
  <c r="J71" i="120"/>
  <c r="K137" i="120"/>
  <c r="J137" i="120"/>
  <c r="L103" i="120"/>
  <c r="K103" i="120"/>
  <c r="J103" i="120"/>
  <c r="I103" i="120"/>
  <c r="A71" i="120"/>
  <c r="A137" i="120"/>
  <c r="A103" i="120"/>
  <c r="K7" i="120"/>
  <c r="J7" i="120"/>
  <c r="K59" i="120"/>
  <c r="J59" i="120"/>
  <c r="L58" i="120"/>
  <c r="K58" i="120"/>
  <c r="I58" i="120"/>
  <c r="A58" i="120"/>
  <c r="A59" i="120"/>
  <c r="A72" i="120"/>
  <c r="A57" i="120"/>
  <c r="Z582" i="112"/>
  <c r="AD582" i="112"/>
  <c r="E582" i="112" s="1"/>
  <c r="AE582" i="112"/>
  <c r="AF582" i="112"/>
  <c r="L137" i="120" l="1"/>
  <c r="Y21" i="111"/>
  <c r="X21" i="111"/>
  <c r="AF374" i="112" l="1"/>
  <c r="AE374" i="112"/>
  <c r="AD374" i="112"/>
  <c r="E374" i="112" s="1"/>
  <c r="Z374" i="112"/>
  <c r="AF371" i="112"/>
  <c r="AE371" i="112"/>
  <c r="AD371" i="112"/>
  <c r="E371" i="112" s="1"/>
  <c r="Z371" i="112"/>
  <c r="AF369" i="112"/>
  <c r="AE369" i="112"/>
  <c r="AD369" i="112"/>
  <c r="E369" i="112" s="1"/>
  <c r="Z369" i="112"/>
  <c r="AF368" i="112"/>
  <c r="AE368" i="112"/>
  <c r="AD368" i="112"/>
  <c r="E368" i="112" s="1"/>
  <c r="Z368" i="112"/>
  <c r="AF365" i="112"/>
  <c r="AE365" i="112"/>
  <c r="AD365" i="112"/>
  <c r="E365" i="112" s="1"/>
  <c r="Z365" i="112"/>
  <c r="AF363" i="112"/>
  <c r="AE363" i="112"/>
  <c r="AD363" i="112"/>
  <c r="E363" i="112" s="1"/>
  <c r="Z363" i="112"/>
  <c r="AF354" i="112"/>
  <c r="AE354" i="112"/>
  <c r="AD354" i="112"/>
  <c r="E354" i="112" s="1"/>
  <c r="Z354" i="112"/>
  <c r="AF351" i="112"/>
  <c r="AE351" i="112"/>
  <c r="AD351" i="112"/>
  <c r="E351" i="112" s="1"/>
  <c r="Z351" i="112"/>
  <c r="AD349" i="112"/>
  <c r="E349" i="112" s="1"/>
  <c r="AE349" i="112"/>
  <c r="AF349" i="112"/>
  <c r="Z349" i="112"/>
  <c r="E340" i="112"/>
  <c r="E412" i="112"/>
  <c r="I22" i="120" l="1"/>
  <c r="L22" i="120" s="1"/>
  <c r="I59" i="120"/>
  <c r="L59" i="120" s="1"/>
  <c r="AD760" i="112"/>
  <c r="E760" i="112" s="1"/>
  <c r="AE760" i="112"/>
  <c r="AF760" i="112"/>
  <c r="Z760" i="112"/>
  <c r="Y127" i="112"/>
  <c r="X127" i="112"/>
  <c r="N704" i="112"/>
  <c r="Y650" i="112"/>
  <c r="X650" i="112"/>
  <c r="W650" i="112"/>
  <c r="I21" i="120" l="1"/>
  <c r="L21" i="120" s="1"/>
  <c r="J72" i="120"/>
  <c r="M72" i="120" s="1"/>
  <c r="J58" i="120"/>
  <c r="M58" i="120" s="1"/>
  <c r="AD83" i="112"/>
  <c r="AE83" i="112"/>
  <c r="AF83" i="112"/>
  <c r="AD94" i="112"/>
  <c r="AE94" i="112"/>
  <c r="AF94" i="112"/>
  <c r="AD104" i="112"/>
  <c r="AE104" i="112"/>
  <c r="AF104" i="112"/>
  <c r="AD114" i="112"/>
  <c r="AE114" i="112"/>
  <c r="AF114" i="112"/>
  <c r="AD124" i="112"/>
  <c r="AE124" i="112"/>
  <c r="AF124" i="112"/>
  <c r="Z94" i="112"/>
  <c r="Z104" i="112"/>
  <c r="Z114" i="112"/>
  <c r="Z124" i="112"/>
  <c r="Z83" i="112"/>
  <c r="AF220" i="112"/>
  <c r="AE220" i="112"/>
  <c r="AD220" i="112"/>
  <c r="E220" i="112" s="1"/>
  <c r="AF16" i="112"/>
  <c r="AE16" i="112"/>
  <c r="AD16" i="112"/>
  <c r="E16" i="112" s="1"/>
  <c r="Z220" i="112"/>
  <c r="Z16" i="112"/>
  <c r="AD62" i="112"/>
  <c r="E62" i="112" s="1"/>
  <c r="AE62" i="112"/>
  <c r="AF62" i="112"/>
  <c r="Z62" i="112"/>
  <c r="AF741" i="112"/>
  <c r="AE741" i="112"/>
  <c r="AD741" i="112"/>
  <c r="E741" i="112" s="1"/>
  <c r="BH181" i="131" s="1"/>
  <c r="AF759" i="112"/>
  <c r="AE759" i="112"/>
  <c r="AD759" i="112"/>
  <c r="AF651" i="112"/>
  <c r="AE651" i="112"/>
  <c r="AD651" i="112"/>
  <c r="AF750" i="112"/>
  <c r="AE750" i="112"/>
  <c r="AD750" i="112"/>
  <c r="E750" i="112" s="1"/>
  <c r="AF749" i="112"/>
  <c r="AE749" i="112"/>
  <c r="AD749" i="112"/>
  <c r="E749" i="112" s="1"/>
  <c r="AF748" i="112"/>
  <c r="AE748" i="112"/>
  <c r="AD748" i="112"/>
  <c r="E748" i="112" s="1"/>
  <c r="AF747" i="112"/>
  <c r="AE747" i="112"/>
  <c r="AD747" i="112"/>
  <c r="E747" i="112" s="1"/>
  <c r="AF751" i="112"/>
  <c r="AE751" i="112"/>
  <c r="AD751" i="112"/>
  <c r="E751" i="112" s="1"/>
  <c r="Z741" i="112"/>
  <c r="Z759" i="112"/>
  <c r="Z651" i="112"/>
  <c r="Z750" i="112"/>
  <c r="Z749" i="112"/>
  <c r="Z748" i="112"/>
  <c r="Z747" i="112"/>
  <c r="Z751" i="112"/>
  <c r="AD753" i="112"/>
  <c r="E753" i="112" s="1"/>
  <c r="AE753" i="112"/>
  <c r="AF753" i="112"/>
  <c r="AD754" i="112"/>
  <c r="E754" i="112" s="1"/>
  <c r="AE754" i="112"/>
  <c r="AF754" i="112"/>
  <c r="Z754" i="112"/>
  <c r="Z753" i="112"/>
  <c r="AD758" i="112"/>
  <c r="E758" i="112" s="1"/>
  <c r="AE758" i="112"/>
  <c r="AF758" i="112"/>
  <c r="Z758" i="112"/>
  <c r="AD752" i="112"/>
  <c r="E752" i="112" s="1"/>
  <c r="AE752" i="112"/>
  <c r="AF752" i="112"/>
  <c r="Z752" i="112"/>
  <c r="L95" i="120"/>
  <c r="K95" i="120"/>
  <c r="J95" i="120"/>
  <c r="I95" i="120"/>
  <c r="A95" i="120"/>
  <c r="AD3" i="112"/>
  <c r="E3" i="112" s="1"/>
  <c r="AE3" i="112"/>
  <c r="AF3" i="112"/>
  <c r="AD2" i="112"/>
  <c r="E2" i="112" s="1"/>
  <c r="AE2" i="112"/>
  <c r="AF2" i="112"/>
  <c r="AD4" i="112"/>
  <c r="E4" i="112" s="1"/>
  <c r="AE4" i="112"/>
  <c r="AF4" i="112"/>
  <c r="Z2" i="112"/>
  <c r="Z4" i="112"/>
  <c r="Z3" i="112"/>
  <c r="E520" i="112"/>
  <c r="AF7" i="112"/>
  <c r="AE7" i="112"/>
  <c r="AD7" i="112"/>
  <c r="E7" i="112" s="1"/>
  <c r="Z7" i="112"/>
  <c r="AD709" i="112"/>
  <c r="E709" i="112" s="1"/>
  <c r="AE709" i="112"/>
  <c r="AF709" i="112"/>
  <c r="Z709" i="112"/>
  <c r="AD64" i="112"/>
  <c r="E64" i="112" s="1"/>
  <c r="AE64" i="112"/>
  <c r="AF64" i="112"/>
  <c r="Z64" i="112"/>
  <c r="J141" i="120"/>
  <c r="M141" i="120" s="1"/>
  <c r="A141" i="120"/>
  <c r="AF211" i="112"/>
  <c r="AE211" i="112"/>
  <c r="AD211" i="112"/>
  <c r="E211" i="112" s="1"/>
  <c r="AF9" i="112"/>
  <c r="AE9" i="112"/>
  <c r="AD9" i="112"/>
  <c r="E9" i="112" s="1"/>
  <c r="Z211" i="112"/>
  <c r="Z9" i="112"/>
  <c r="AD457" i="112"/>
  <c r="E457" i="112" s="1"/>
  <c r="AE457" i="112"/>
  <c r="AF457" i="112"/>
  <c r="Z457" i="112"/>
  <c r="AD639" i="112"/>
  <c r="E639" i="112" s="1"/>
  <c r="AE639" i="112"/>
  <c r="AF639" i="112"/>
  <c r="Z639" i="112"/>
  <c r="AF33" i="112"/>
  <c r="AE33" i="112"/>
  <c r="AD33" i="112"/>
  <c r="E33" i="112" s="1"/>
  <c r="E32" i="112"/>
  <c r="Z33" i="112"/>
  <c r="AF126" i="112"/>
  <c r="AE126" i="112"/>
  <c r="AD126" i="112"/>
  <c r="E126" i="112" s="1"/>
  <c r="Z126" i="112"/>
  <c r="AF125" i="112"/>
  <c r="AE125" i="112"/>
  <c r="AD125" i="112"/>
  <c r="E125" i="112" s="1"/>
  <c r="Z125" i="112"/>
  <c r="AF123" i="112"/>
  <c r="AE123" i="112"/>
  <c r="AD123" i="112"/>
  <c r="E123" i="112" s="1"/>
  <c r="Z123" i="112"/>
  <c r="AF122" i="112"/>
  <c r="AE122" i="112"/>
  <c r="AD122" i="112"/>
  <c r="E122" i="112" s="1"/>
  <c r="Z122" i="112"/>
  <c r="AF121" i="112"/>
  <c r="AE121" i="112"/>
  <c r="AD121" i="112"/>
  <c r="E121" i="112" s="1"/>
  <c r="Z121" i="112"/>
  <c r="AF120" i="112"/>
  <c r="AE120" i="112"/>
  <c r="AD120" i="112"/>
  <c r="E120" i="112" s="1"/>
  <c r="Z120" i="112"/>
  <c r="AD119" i="112"/>
  <c r="E119" i="112" s="1"/>
  <c r="AE119" i="112"/>
  <c r="AF119" i="112"/>
  <c r="Z119" i="112"/>
  <c r="AD127" i="112"/>
  <c r="E127" i="112" s="1"/>
  <c r="AE127" i="112"/>
  <c r="AF127" i="112"/>
  <c r="Z127" i="112"/>
  <c r="AD247" i="112"/>
  <c r="E247" i="112" s="1"/>
  <c r="AE247" i="112"/>
  <c r="AF247" i="112"/>
  <c r="Z247" i="112"/>
  <c r="AD244" i="112"/>
  <c r="E244" i="112" s="1"/>
  <c r="AE244" i="112"/>
  <c r="AF244" i="112"/>
  <c r="Z244" i="112"/>
  <c r="AD237" i="112"/>
  <c r="E237" i="112" s="1"/>
  <c r="AE237" i="112"/>
  <c r="AF237" i="112"/>
  <c r="Z237" i="112"/>
  <c r="E707" i="112"/>
  <c r="J151" i="120"/>
  <c r="M151" i="120" s="1"/>
  <c r="G151" i="120"/>
  <c r="L151" i="120" s="1"/>
  <c r="AD543" i="112"/>
  <c r="E543" i="112" s="1"/>
  <c r="AE543" i="112"/>
  <c r="AF543" i="112"/>
  <c r="AD544" i="112"/>
  <c r="E544" i="112" s="1"/>
  <c r="AE544" i="112"/>
  <c r="AF544" i="112"/>
  <c r="AD545" i="112"/>
  <c r="E545" i="112" s="1"/>
  <c r="AE545" i="112"/>
  <c r="AF545" i="112"/>
  <c r="AD546" i="112"/>
  <c r="E546" i="112" s="1"/>
  <c r="AE546" i="112"/>
  <c r="AF546" i="112"/>
  <c r="AD547" i="112"/>
  <c r="E547" i="112" s="1"/>
  <c r="AE547" i="112"/>
  <c r="AF547" i="112"/>
  <c r="AD548" i="112"/>
  <c r="E548" i="112" s="1"/>
  <c r="AE548" i="112"/>
  <c r="AF548" i="112"/>
  <c r="AD549" i="112"/>
  <c r="E549" i="112" s="1"/>
  <c r="AE549" i="112"/>
  <c r="AF549" i="112"/>
  <c r="AD550" i="112"/>
  <c r="E550" i="112" s="1"/>
  <c r="AE550" i="112"/>
  <c r="AF550" i="112"/>
  <c r="AD551" i="112"/>
  <c r="E551" i="112" s="1"/>
  <c r="AE551" i="112"/>
  <c r="AF551" i="112"/>
  <c r="AD552" i="112"/>
  <c r="E552" i="112" s="1"/>
  <c r="AE552" i="112"/>
  <c r="AF552" i="112"/>
  <c r="AD553" i="112"/>
  <c r="E553" i="112" s="1"/>
  <c r="AE553" i="112"/>
  <c r="AF553" i="112"/>
  <c r="AD554" i="112"/>
  <c r="E554" i="112" s="1"/>
  <c r="AE554" i="112"/>
  <c r="AF554" i="112"/>
  <c r="AD555" i="112"/>
  <c r="E555" i="112" s="1"/>
  <c r="AE555" i="112"/>
  <c r="AF555" i="112"/>
  <c r="AD556" i="112"/>
  <c r="E556" i="112" s="1"/>
  <c r="AE556" i="112"/>
  <c r="AF556" i="112"/>
  <c r="AD557" i="112"/>
  <c r="E557" i="112" s="1"/>
  <c r="AE557" i="112"/>
  <c r="AF557" i="112"/>
  <c r="AD558" i="112"/>
  <c r="E558" i="112" s="1"/>
  <c r="AE558" i="112"/>
  <c r="AF558" i="112"/>
  <c r="AD559" i="112"/>
  <c r="E559" i="112" s="1"/>
  <c r="AE559" i="112"/>
  <c r="AF559" i="112"/>
  <c r="AD560" i="112"/>
  <c r="E560" i="112" s="1"/>
  <c r="AE560" i="112"/>
  <c r="AF560" i="112"/>
  <c r="AD561" i="112"/>
  <c r="E561" i="112" s="1"/>
  <c r="AE561" i="112"/>
  <c r="AF561" i="112"/>
  <c r="AD562" i="112"/>
  <c r="E562" i="112" s="1"/>
  <c r="AE562" i="112"/>
  <c r="AF562" i="112"/>
  <c r="Z544" i="112"/>
  <c r="Z545" i="112"/>
  <c r="Z546" i="112"/>
  <c r="Z547" i="112"/>
  <c r="Z548" i="112"/>
  <c r="Z549" i="112"/>
  <c r="Z550" i="112"/>
  <c r="Z551" i="112"/>
  <c r="Z552" i="112"/>
  <c r="Z553" i="112"/>
  <c r="Z554" i="112"/>
  <c r="Z555" i="112"/>
  <c r="Z556" i="112"/>
  <c r="Z557" i="112"/>
  <c r="Z558" i="112"/>
  <c r="Z559" i="112"/>
  <c r="Z560" i="112"/>
  <c r="Z561" i="112"/>
  <c r="Z562" i="112"/>
  <c r="Z543" i="112"/>
  <c r="Y562" i="112"/>
  <c r="X562" i="112"/>
  <c r="W562" i="112"/>
  <c r="Y561" i="112"/>
  <c r="X561" i="112"/>
  <c r="W561" i="112"/>
  <c r="X560" i="112"/>
  <c r="W560" i="112"/>
  <c r="Y559" i="112"/>
  <c r="X559" i="112"/>
  <c r="W559" i="112"/>
  <c r="Y558" i="112"/>
  <c r="X558" i="112"/>
  <c r="W558" i="112"/>
  <c r="Y557" i="112"/>
  <c r="X557" i="112"/>
  <c r="W557" i="112"/>
  <c r="Y556" i="112"/>
  <c r="X556" i="112"/>
  <c r="W556" i="112"/>
  <c r="Y555" i="112"/>
  <c r="Y538" i="112" s="1"/>
  <c r="X555" i="112"/>
  <c r="X538" i="112" s="1"/>
  <c r="W555" i="112"/>
  <c r="Y554" i="112"/>
  <c r="Y537" i="112" s="1"/>
  <c r="X554" i="112"/>
  <c r="X537" i="112" s="1"/>
  <c r="W554" i="112"/>
  <c r="Y553" i="112"/>
  <c r="X553" i="112"/>
  <c r="W553" i="112"/>
  <c r="Y552" i="112"/>
  <c r="X552" i="112"/>
  <c r="W552" i="112"/>
  <c r="Y551" i="112"/>
  <c r="X551" i="112"/>
  <c r="W551" i="112"/>
  <c r="Y550" i="112"/>
  <c r="X550" i="112"/>
  <c r="W550" i="112"/>
  <c r="Y549" i="112"/>
  <c r="X549" i="112"/>
  <c r="W549" i="112"/>
  <c r="X548" i="112"/>
  <c r="Y547" i="112"/>
  <c r="X547" i="112"/>
  <c r="W547" i="112"/>
  <c r="Y546" i="112"/>
  <c r="X546" i="112"/>
  <c r="W546" i="112"/>
  <c r="Y545" i="112"/>
  <c r="X545" i="112"/>
  <c r="W545" i="112"/>
  <c r="Y544" i="112"/>
  <c r="X544" i="112"/>
  <c r="W544" i="112"/>
  <c r="Y543" i="112"/>
  <c r="X543" i="112"/>
  <c r="W543" i="112"/>
  <c r="AD565" i="112"/>
  <c r="E565" i="112" s="1"/>
  <c r="AE565" i="112"/>
  <c r="AF565" i="112"/>
  <c r="Z565" i="112"/>
  <c r="AF563" i="112"/>
  <c r="AD563" i="112"/>
  <c r="E563" i="112" s="1"/>
  <c r="AF566" i="112"/>
  <c r="AD566" i="112"/>
  <c r="E566" i="112" s="1"/>
  <c r="AF564" i="112"/>
  <c r="AD564" i="112"/>
  <c r="E564" i="112" s="1"/>
  <c r="Z563" i="112"/>
  <c r="Z566" i="112"/>
  <c r="Z564" i="112"/>
  <c r="AD704" i="112"/>
  <c r="E704" i="112" s="1"/>
  <c r="AE704" i="112"/>
  <c r="AF704" i="112"/>
  <c r="Z704" i="112"/>
  <c r="AF202" i="112"/>
  <c r="AE202" i="112"/>
  <c r="AD202" i="112"/>
  <c r="E202" i="112" s="1"/>
  <c r="AF6" i="112"/>
  <c r="AE6" i="112"/>
  <c r="AD6" i="112"/>
  <c r="E6" i="112" s="1"/>
  <c r="Z202" i="112"/>
  <c r="Z6" i="112"/>
  <c r="E222" i="112"/>
  <c r="AF179" i="112"/>
  <c r="AE179" i="112"/>
  <c r="AD179" i="112"/>
  <c r="E179" i="112" s="1"/>
  <c r="AF178" i="112"/>
  <c r="AE178" i="112"/>
  <c r="AD178" i="112"/>
  <c r="E178" i="112" s="1"/>
  <c r="AF459" i="112"/>
  <c r="AE459" i="112"/>
  <c r="AD459" i="112"/>
  <c r="E459" i="112" s="1"/>
  <c r="AF142" i="112"/>
  <c r="AE142" i="112"/>
  <c r="AD142" i="112"/>
  <c r="E142" i="112" s="1"/>
  <c r="AF138" i="112"/>
  <c r="AE138" i="112"/>
  <c r="AD138" i="112"/>
  <c r="E138" i="112" s="1"/>
  <c r="Z179" i="112"/>
  <c r="Z178" i="112"/>
  <c r="Z459" i="112"/>
  <c r="Z142" i="112"/>
  <c r="Z138" i="112"/>
  <c r="AD250" i="112"/>
  <c r="E250" i="112" s="1"/>
  <c r="AE250" i="112"/>
  <c r="AF250" i="112"/>
  <c r="Z250" i="112"/>
  <c r="AF144" i="112"/>
  <c r="AE144" i="112"/>
  <c r="AD144" i="112"/>
  <c r="E144" i="112" s="1"/>
  <c r="Z144" i="112"/>
  <c r="AF116" i="112"/>
  <c r="AE116" i="112"/>
  <c r="AD116" i="112"/>
  <c r="E116" i="112" s="1"/>
  <c r="Z116" i="112"/>
  <c r="AF115" i="112"/>
  <c r="AE115" i="112"/>
  <c r="AD115" i="112"/>
  <c r="E115" i="112" s="1"/>
  <c r="Z115" i="112"/>
  <c r="AF113" i="112"/>
  <c r="AE113" i="112"/>
  <c r="AD113" i="112"/>
  <c r="E113" i="112" s="1"/>
  <c r="Z113" i="112"/>
  <c r="AF112" i="112"/>
  <c r="AE112" i="112"/>
  <c r="AD112" i="112"/>
  <c r="E112" i="112" s="1"/>
  <c r="Z112" i="112"/>
  <c r="AF111" i="112"/>
  <c r="AE111" i="112"/>
  <c r="AD111" i="112"/>
  <c r="E111" i="112" s="1"/>
  <c r="Z111" i="112"/>
  <c r="AF110" i="112"/>
  <c r="AE110" i="112"/>
  <c r="AD110" i="112"/>
  <c r="E110" i="112" s="1"/>
  <c r="Z110" i="112"/>
  <c r="AF109" i="112"/>
  <c r="AE109" i="112"/>
  <c r="AD109" i="112"/>
  <c r="E109" i="112" s="1"/>
  <c r="Z109" i="112"/>
  <c r="AF106" i="112"/>
  <c r="AE106" i="112"/>
  <c r="AD106" i="112"/>
  <c r="E106" i="112" s="1"/>
  <c r="Z106" i="112"/>
  <c r="AF105" i="112"/>
  <c r="AE105" i="112"/>
  <c r="AD105" i="112"/>
  <c r="E105" i="112" s="1"/>
  <c r="Z105" i="112"/>
  <c r="AF103" i="112"/>
  <c r="AE103" i="112"/>
  <c r="AD103" i="112"/>
  <c r="E103" i="112" s="1"/>
  <c r="Z103" i="112"/>
  <c r="AF102" i="112"/>
  <c r="AE102" i="112"/>
  <c r="AD102" i="112"/>
  <c r="E102" i="112" s="1"/>
  <c r="Z102" i="112"/>
  <c r="AF101" i="112"/>
  <c r="AE101" i="112"/>
  <c r="AD101" i="112"/>
  <c r="E101" i="112" s="1"/>
  <c r="Z101" i="112"/>
  <c r="AF100" i="112"/>
  <c r="AE100" i="112"/>
  <c r="AD100" i="112"/>
  <c r="E100" i="112" s="1"/>
  <c r="Z100" i="112"/>
  <c r="AF99" i="112"/>
  <c r="AE99" i="112"/>
  <c r="AD99" i="112"/>
  <c r="E99" i="112" s="1"/>
  <c r="Z99" i="112"/>
  <c r="AF96" i="112"/>
  <c r="AE96" i="112"/>
  <c r="AD96" i="112"/>
  <c r="E96" i="112" s="1"/>
  <c r="Z96" i="112"/>
  <c r="AF95" i="112"/>
  <c r="AE95" i="112"/>
  <c r="AD95" i="112"/>
  <c r="E95" i="112" s="1"/>
  <c r="Z95" i="112"/>
  <c r="AF93" i="112"/>
  <c r="AE93" i="112"/>
  <c r="AD93" i="112"/>
  <c r="E93" i="112" s="1"/>
  <c r="Z93" i="112"/>
  <c r="AF92" i="112"/>
  <c r="AE92" i="112"/>
  <c r="AD92" i="112"/>
  <c r="E92" i="112" s="1"/>
  <c r="Z92" i="112"/>
  <c r="AF91" i="112"/>
  <c r="AE91" i="112"/>
  <c r="AD91" i="112"/>
  <c r="E91" i="112" s="1"/>
  <c r="Z91" i="112"/>
  <c r="AF90" i="112"/>
  <c r="AE90" i="112"/>
  <c r="AD90" i="112"/>
  <c r="E90" i="112" s="1"/>
  <c r="Z90" i="112"/>
  <c r="AF89" i="112"/>
  <c r="AE89" i="112"/>
  <c r="AD89" i="112"/>
  <c r="E89" i="112" s="1"/>
  <c r="Z89" i="112"/>
  <c r="AF85" i="112"/>
  <c r="AE85" i="112"/>
  <c r="AD85" i="112"/>
  <c r="E85" i="112" s="1"/>
  <c r="Z85" i="112"/>
  <c r="AF84" i="112"/>
  <c r="AE84" i="112"/>
  <c r="AD84" i="112"/>
  <c r="E84" i="112" s="1"/>
  <c r="Z84" i="112"/>
  <c r="AF82" i="112"/>
  <c r="AE82" i="112"/>
  <c r="AD82" i="112"/>
  <c r="E82" i="112" s="1"/>
  <c r="Z82" i="112"/>
  <c r="AF81" i="112"/>
  <c r="AE81" i="112"/>
  <c r="AD81" i="112"/>
  <c r="E81" i="112" s="1"/>
  <c r="Z81" i="112"/>
  <c r="AF80" i="112"/>
  <c r="AE80" i="112"/>
  <c r="AD80" i="112"/>
  <c r="E80" i="112" s="1"/>
  <c r="Z80" i="112"/>
  <c r="AF79" i="112"/>
  <c r="AE79" i="112"/>
  <c r="AD79" i="112"/>
  <c r="E79" i="112" s="1"/>
  <c r="BI242" i="164" s="1"/>
  <c r="Z79" i="112"/>
  <c r="AD78" i="112"/>
  <c r="E78" i="112" s="1"/>
  <c r="AE78" i="112"/>
  <c r="AF78" i="112"/>
  <c r="Z78" i="112"/>
  <c r="AF117" i="112"/>
  <c r="AE117" i="112"/>
  <c r="AD117" i="112"/>
  <c r="E117" i="112" s="1"/>
  <c r="Z117" i="112"/>
  <c r="AF107" i="112"/>
  <c r="AE107" i="112"/>
  <c r="AD107" i="112"/>
  <c r="E107" i="112" s="1"/>
  <c r="Z107" i="112"/>
  <c r="AF97" i="112"/>
  <c r="AE97" i="112"/>
  <c r="AD97" i="112"/>
  <c r="E97" i="112" s="1"/>
  <c r="Z97" i="112"/>
  <c r="AD86" i="112"/>
  <c r="E86" i="112" s="1"/>
  <c r="AE86" i="112"/>
  <c r="AF86" i="112"/>
  <c r="Z86" i="112"/>
  <c r="Z261" i="112"/>
  <c r="AD261" i="112"/>
  <c r="E261" i="112" s="1"/>
  <c r="AE261" i="112"/>
  <c r="AF261" i="112"/>
  <c r="Z264" i="112"/>
  <c r="AD264" i="112"/>
  <c r="E264" i="112" s="1"/>
  <c r="AE264" i="112"/>
  <c r="AF264" i="112"/>
  <c r="Z256" i="112"/>
  <c r="AD256" i="112"/>
  <c r="E256" i="112" s="1"/>
  <c r="AE256" i="112"/>
  <c r="AF256" i="112"/>
  <c r="Z251" i="112"/>
  <c r="AD251" i="112"/>
  <c r="E251" i="112" s="1"/>
  <c r="AE251" i="112"/>
  <c r="AF251" i="112"/>
  <c r="Z267" i="112"/>
  <c r="AD267" i="112"/>
  <c r="E267" i="112" s="1"/>
  <c r="AE267" i="112"/>
  <c r="AF267" i="112"/>
  <c r="AD272" i="112"/>
  <c r="E272" i="112" s="1"/>
  <c r="AE272" i="112"/>
  <c r="AF272" i="112"/>
  <c r="Z272" i="112"/>
  <c r="AF128" i="112"/>
  <c r="AE128" i="112"/>
  <c r="AD128" i="112"/>
  <c r="E128" i="112" s="1"/>
  <c r="Z128" i="112"/>
  <c r="AF131" i="112"/>
  <c r="AE131" i="112"/>
  <c r="AD131" i="112"/>
  <c r="E131" i="112" s="1"/>
  <c r="Z131" i="112"/>
  <c r="AF132" i="112"/>
  <c r="AE132" i="112"/>
  <c r="AD132" i="112"/>
  <c r="E132" i="112" s="1"/>
  <c r="Z132" i="112"/>
  <c r="AF130" i="112"/>
  <c r="AE130" i="112"/>
  <c r="AD130" i="112"/>
  <c r="E130" i="112" s="1"/>
  <c r="Z130" i="112"/>
  <c r="AF135" i="112"/>
  <c r="AE135" i="112"/>
  <c r="AD135" i="112"/>
  <c r="E135" i="112" s="1"/>
  <c r="Z135" i="112"/>
  <c r="AF134" i="112"/>
  <c r="AE134" i="112"/>
  <c r="AD134" i="112"/>
  <c r="E134" i="112" s="1"/>
  <c r="Z134" i="112"/>
  <c r="AF129" i="112"/>
  <c r="AE129" i="112"/>
  <c r="AD129" i="112"/>
  <c r="E129" i="112" s="1"/>
  <c r="Z129" i="112"/>
  <c r="AD141" i="112"/>
  <c r="E141" i="112" s="1"/>
  <c r="AE141" i="112"/>
  <c r="AF141" i="112"/>
  <c r="Z141" i="112"/>
  <c r="A70" i="120"/>
  <c r="L68" i="120"/>
  <c r="K68" i="120"/>
  <c r="J68" i="120"/>
  <c r="M68" i="120" s="1"/>
  <c r="I68" i="120"/>
  <c r="A68" i="120"/>
  <c r="AD490" i="112"/>
  <c r="E490" i="112" s="1"/>
  <c r="AE490" i="112"/>
  <c r="AF490" i="112"/>
  <c r="Z490" i="112"/>
  <c r="AD485" i="112"/>
  <c r="E485" i="112" s="1"/>
  <c r="AE485" i="112"/>
  <c r="AF485" i="112"/>
  <c r="Z485" i="112"/>
  <c r="AF488" i="112"/>
  <c r="AE488" i="112"/>
  <c r="AD488" i="112"/>
  <c r="E488" i="112" s="1"/>
  <c r="AF483" i="112"/>
  <c r="AE483" i="112"/>
  <c r="AD483" i="112"/>
  <c r="E483" i="112" s="1"/>
  <c r="Z488" i="112"/>
  <c r="Z483" i="112"/>
  <c r="AD480" i="112"/>
  <c r="E480" i="112" s="1"/>
  <c r="AE480" i="112"/>
  <c r="AF480" i="112"/>
  <c r="Z480" i="112"/>
  <c r="I77" i="120"/>
  <c r="A77" i="120"/>
  <c r="AD189" i="112"/>
  <c r="E189" i="112" s="1"/>
  <c r="AE189" i="112"/>
  <c r="AF189" i="112"/>
  <c r="Z189" i="112"/>
  <c r="L83" i="120"/>
  <c r="K83" i="120"/>
  <c r="J83" i="120"/>
  <c r="M83" i="120" s="1"/>
  <c r="I83" i="120"/>
  <c r="A83" i="120"/>
  <c r="AF489" i="112"/>
  <c r="AE489" i="112"/>
  <c r="AD489" i="112"/>
  <c r="E489" i="112" s="1"/>
  <c r="AF487" i="112"/>
  <c r="AE487" i="112"/>
  <c r="AD487" i="112"/>
  <c r="E487" i="112" s="1"/>
  <c r="AF482" i="112"/>
  <c r="AE482" i="112"/>
  <c r="AD482" i="112"/>
  <c r="E482" i="112" s="1"/>
  <c r="Z489" i="112"/>
  <c r="Z487" i="112"/>
  <c r="Z482" i="112"/>
  <c r="AF484" i="112"/>
  <c r="AE484" i="112"/>
  <c r="AD484" i="112"/>
  <c r="E484" i="112" s="1"/>
  <c r="Z484" i="112"/>
  <c r="AD188" i="112"/>
  <c r="E188" i="112" s="1"/>
  <c r="AE188" i="112"/>
  <c r="AF188" i="112"/>
  <c r="Z188" i="112"/>
  <c r="L81" i="120"/>
  <c r="K81" i="120"/>
  <c r="J81" i="120"/>
  <c r="M81" i="120" s="1"/>
  <c r="I81" i="120"/>
  <c r="A81" i="120"/>
  <c r="AD187" i="112"/>
  <c r="E187" i="112" s="1"/>
  <c r="AE187" i="112"/>
  <c r="AF187" i="112"/>
  <c r="Z187" i="112"/>
  <c r="L80" i="120"/>
  <c r="K80" i="120"/>
  <c r="J80" i="120"/>
  <c r="M80" i="120" s="1"/>
  <c r="I80" i="120"/>
  <c r="A80" i="120"/>
  <c r="AF739" i="112"/>
  <c r="AE739" i="112"/>
  <c r="AD739" i="112"/>
  <c r="E739" i="112" s="1"/>
  <c r="AF740" i="112"/>
  <c r="AE740" i="112"/>
  <c r="AD740" i="112"/>
  <c r="E740" i="112" s="1"/>
  <c r="Z739" i="112"/>
  <c r="Z740" i="112"/>
  <c r="AD738" i="112"/>
  <c r="E738" i="112" s="1"/>
  <c r="AE738" i="112"/>
  <c r="AF738" i="112"/>
  <c r="Z738" i="112"/>
  <c r="AF118" i="112"/>
  <c r="AE118" i="112"/>
  <c r="AD118" i="112"/>
  <c r="E118" i="112" s="1"/>
  <c r="AF133" i="112"/>
  <c r="AE133" i="112"/>
  <c r="AD133" i="112"/>
  <c r="E133" i="112" s="1"/>
  <c r="AF108" i="112"/>
  <c r="AE108" i="112"/>
  <c r="AD108" i="112"/>
  <c r="E108" i="112" s="1"/>
  <c r="AF98" i="112"/>
  <c r="AE98" i="112"/>
  <c r="AD98" i="112"/>
  <c r="E98" i="112" s="1"/>
  <c r="AF88" i="112"/>
  <c r="AE88" i="112"/>
  <c r="AD88" i="112"/>
  <c r="E88" i="112" s="1"/>
  <c r="AF87" i="112"/>
  <c r="AE87" i="112"/>
  <c r="AD87" i="112"/>
  <c r="E87" i="112" s="1"/>
  <c r="AF77" i="112"/>
  <c r="AE77" i="112"/>
  <c r="AD77" i="112"/>
  <c r="E77" i="112" s="1"/>
  <c r="Z118" i="112"/>
  <c r="Z133" i="112"/>
  <c r="Z108" i="112"/>
  <c r="Z98" i="112"/>
  <c r="Z88" i="112"/>
  <c r="Z87" i="112"/>
  <c r="Z77" i="112"/>
  <c r="L37" i="120"/>
  <c r="K37" i="120"/>
  <c r="J37" i="120"/>
  <c r="I37" i="120"/>
  <c r="A37" i="120"/>
  <c r="AD55" i="112"/>
  <c r="E55" i="112" s="1"/>
  <c r="AE55" i="112"/>
  <c r="AF55" i="112"/>
  <c r="Z55" i="112"/>
  <c r="AD259" i="112"/>
  <c r="E259" i="112" s="1"/>
  <c r="AE259" i="112"/>
  <c r="AF259" i="112"/>
  <c r="Z259" i="112"/>
  <c r="E588" i="112"/>
  <c r="A50" i="120"/>
  <c r="A145" i="120"/>
  <c r="AD600" i="112"/>
  <c r="E600" i="112" s="1"/>
  <c r="AE600" i="112"/>
  <c r="AF600" i="112"/>
  <c r="Z600" i="112"/>
  <c r="A130" i="120"/>
  <c r="AF659" i="112"/>
  <c r="AE659" i="112"/>
  <c r="AD659" i="112"/>
  <c r="E659" i="112" s="1"/>
  <c r="AF658" i="112"/>
  <c r="AE658" i="112"/>
  <c r="AD658" i="112"/>
  <c r="E658" i="112" s="1"/>
  <c r="AF657" i="112"/>
  <c r="AE657" i="112"/>
  <c r="AD657" i="112"/>
  <c r="E657" i="112" s="1"/>
  <c r="AF655" i="112"/>
  <c r="AE655" i="112"/>
  <c r="AD655" i="112"/>
  <c r="E655" i="112" s="1"/>
  <c r="AF654" i="112"/>
  <c r="AE654" i="112"/>
  <c r="AD654" i="112"/>
  <c r="E654" i="112" s="1"/>
  <c r="AF63" i="112"/>
  <c r="AE63" i="112"/>
  <c r="AD63" i="112"/>
  <c r="E63" i="112" s="1"/>
  <c r="AF221" i="112"/>
  <c r="AE221" i="112"/>
  <c r="AD221" i="112"/>
  <c r="E221" i="112" s="1"/>
  <c r="AF30" i="112"/>
  <c r="AE30" i="112"/>
  <c r="AD30" i="112"/>
  <c r="E30" i="112" s="1"/>
  <c r="Z659" i="112"/>
  <c r="Z658" i="112"/>
  <c r="Z657" i="112"/>
  <c r="Z655" i="112"/>
  <c r="Z654" i="112"/>
  <c r="Z63" i="112"/>
  <c r="Z221" i="112"/>
  <c r="Z30" i="112"/>
  <c r="AD316" i="112"/>
  <c r="E316" i="112" s="1"/>
  <c r="AE316" i="112"/>
  <c r="AF316" i="112"/>
  <c r="Z316" i="112"/>
  <c r="AD49" i="112"/>
  <c r="E49" i="112" s="1"/>
  <c r="AE49" i="112"/>
  <c r="AF49" i="112"/>
  <c r="Z49" i="112"/>
  <c r="AD217" i="112"/>
  <c r="E217" i="112" s="1"/>
  <c r="AE217" i="112"/>
  <c r="AF217" i="112"/>
  <c r="AD218" i="112"/>
  <c r="E218" i="112" s="1"/>
  <c r="AE218" i="112"/>
  <c r="AF218" i="112"/>
  <c r="AD219" i="112"/>
  <c r="E219" i="112" s="1"/>
  <c r="AE219" i="112"/>
  <c r="AF219" i="112"/>
  <c r="Z218" i="112"/>
  <c r="Z219" i="112"/>
  <c r="Z217" i="112"/>
  <c r="AD650" i="112"/>
  <c r="E650" i="112" s="1"/>
  <c r="AE650" i="112"/>
  <c r="AF650" i="112"/>
  <c r="Z650" i="112"/>
  <c r="AF389" i="112"/>
  <c r="AE389" i="112"/>
  <c r="AD389" i="112"/>
  <c r="AF322" i="112"/>
  <c r="AE322" i="112"/>
  <c r="AD322" i="112"/>
  <c r="E322" i="112" s="1"/>
  <c r="AF332" i="112"/>
  <c r="AE332" i="112"/>
  <c r="AD332" i="112"/>
  <c r="E332" i="112" s="1"/>
  <c r="Z389" i="112"/>
  <c r="Z322" i="112"/>
  <c r="Z332" i="112"/>
  <c r="AD476" i="112"/>
  <c r="E476" i="112" s="1"/>
  <c r="AE476" i="112"/>
  <c r="AF476" i="112"/>
  <c r="Z476" i="112"/>
  <c r="AF212" i="112"/>
  <c r="AE212" i="112"/>
  <c r="AD212" i="112"/>
  <c r="E212" i="112" s="1"/>
  <c r="AF10" i="112"/>
  <c r="AE10" i="112"/>
  <c r="AD10" i="112"/>
  <c r="E10" i="112" s="1"/>
  <c r="Z212" i="112"/>
  <c r="Z10" i="112"/>
  <c r="AD734" i="112"/>
  <c r="E734" i="112" s="1"/>
  <c r="AE734" i="112"/>
  <c r="AF734" i="112"/>
  <c r="AD735" i="112"/>
  <c r="E735" i="112" s="1"/>
  <c r="AE735" i="112"/>
  <c r="AF735" i="112"/>
  <c r="Z735" i="112"/>
  <c r="Z734" i="112"/>
  <c r="AF186" i="112"/>
  <c r="AE186" i="112"/>
  <c r="AD186" i="112"/>
  <c r="E186" i="112" s="1"/>
  <c r="AF756" i="112"/>
  <c r="AE756" i="112"/>
  <c r="AD756" i="112"/>
  <c r="E756" i="112" s="1"/>
  <c r="AF715" i="112"/>
  <c r="AE715" i="112"/>
  <c r="AD715" i="112"/>
  <c r="E715" i="112" s="1"/>
  <c r="AF50" i="112"/>
  <c r="AE50" i="112"/>
  <c r="AD50" i="112"/>
  <c r="E50" i="112" s="1"/>
  <c r="AF39" i="112"/>
  <c r="AE39" i="112"/>
  <c r="AD39" i="112"/>
  <c r="E39" i="112" s="1"/>
  <c r="Z186" i="112"/>
  <c r="Z756" i="112"/>
  <c r="Z715" i="112"/>
  <c r="Z50" i="112"/>
  <c r="Z39" i="112"/>
  <c r="AD705" i="112"/>
  <c r="E705" i="112" s="1"/>
  <c r="AE705" i="112"/>
  <c r="AF705" i="112"/>
  <c r="Z705" i="112"/>
  <c r="AD362" i="112"/>
  <c r="E362" i="112" s="1"/>
  <c r="AE362" i="112"/>
  <c r="AF362" i="112"/>
  <c r="AD388" i="112"/>
  <c r="E388" i="112" s="1"/>
  <c r="AE388" i="112"/>
  <c r="AF388" i="112"/>
  <c r="AD381" i="112"/>
  <c r="E381" i="112" s="1"/>
  <c r="AE381" i="112"/>
  <c r="AF381" i="112"/>
  <c r="Z388" i="112"/>
  <c r="Z381" i="112"/>
  <c r="Z362" i="112"/>
  <c r="Z641" i="112"/>
  <c r="AD641" i="112"/>
  <c r="E641" i="112" s="1"/>
  <c r="AE641" i="112"/>
  <c r="AF641" i="112"/>
  <c r="Z640" i="112"/>
  <c r="AD640" i="112"/>
  <c r="E640" i="112" s="1"/>
  <c r="AE640" i="112"/>
  <c r="AF640" i="112"/>
  <c r="AD642" i="112"/>
  <c r="E642" i="112" s="1"/>
  <c r="AE642" i="112"/>
  <c r="AF642" i="112"/>
  <c r="Z642" i="112"/>
  <c r="AD226" i="112"/>
  <c r="E226" i="112" s="1"/>
  <c r="AE226" i="112"/>
  <c r="AF226" i="112"/>
  <c r="Z226" i="112"/>
  <c r="AF373" i="112"/>
  <c r="AE373" i="112"/>
  <c r="AD373" i="112"/>
  <c r="E373" i="112" s="1"/>
  <c r="Z373" i="112"/>
  <c r="AF372" i="112"/>
  <c r="AE372" i="112"/>
  <c r="AD372" i="112"/>
  <c r="E372" i="112" s="1"/>
  <c r="Z372" i="112"/>
  <c r="AF370" i="112"/>
  <c r="AE370" i="112"/>
  <c r="AD370" i="112"/>
  <c r="E370" i="112" s="1"/>
  <c r="Z370" i="112"/>
  <c r="AF367" i="112"/>
  <c r="AE367" i="112"/>
  <c r="AD367" i="112"/>
  <c r="E367" i="112" s="1"/>
  <c r="Z367" i="112"/>
  <c r="AF366" i="112"/>
  <c r="AE366" i="112"/>
  <c r="AD366" i="112"/>
  <c r="E366" i="112" s="1"/>
  <c r="Z366" i="112"/>
  <c r="AF364" i="112"/>
  <c r="AE364" i="112"/>
  <c r="AD364" i="112"/>
  <c r="E364" i="112" s="1"/>
  <c r="Z364" i="112"/>
  <c r="AF386" i="112"/>
  <c r="AE386" i="112"/>
  <c r="AD386" i="112"/>
  <c r="E386" i="112" s="1"/>
  <c r="Z386" i="112"/>
  <c r="AF385" i="112"/>
  <c r="AE385" i="112"/>
  <c r="AD385" i="112"/>
  <c r="E385" i="112" s="1"/>
  <c r="Z385" i="112"/>
  <c r="AF383" i="112"/>
  <c r="AE383" i="112"/>
  <c r="AD383" i="112"/>
  <c r="E383" i="112" s="1"/>
  <c r="Z383" i="112"/>
  <c r="AF379" i="112"/>
  <c r="AE379" i="112"/>
  <c r="AD379" i="112"/>
  <c r="E379" i="112" s="1"/>
  <c r="Z379" i="112"/>
  <c r="AF378" i="112"/>
  <c r="AE378" i="112"/>
  <c r="AD378" i="112"/>
  <c r="E378" i="112" s="1"/>
  <c r="Z378" i="112"/>
  <c r="AF376" i="112"/>
  <c r="AE376" i="112"/>
  <c r="AD376" i="112"/>
  <c r="E376" i="112" s="1"/>
  <c r="Z376" i="112"/>
  <c r="AF360" i="112"/>
  <c r="AE360" i="112"/>
  <c r="AD360" i="112"/>
  <c r="E360" i="112" s="1"/>
  <c r="Z360" i="112"/>
  <c r="AF359" i="112"/>
  <c r="AE359" i="112"/>
  <c r="AD359" i="112"/>
  <c r="E359" i="112" s="1"/>
  <c r="Z359" i="112"/>
  <c r="AF357" i="112"/>
  <c r="AE357" i="112"/>
  <c r="AD357" i="112"/>
  <c r="E357" i="112" s="1"/>
  <c r="Z357" i="112"/>
  <c r="AF353" i="112"/>
  <c r="AE353" i="112"/>
  <c r="AD353" i="112"/>
  <c r="E353" i="112" s="1"/>
  <c r="Z353" i="112"/>
  <c r="AF352" i="112"/>
  <c r="AE352" i="112"/>
  <c r="AD352" i="112"/>
  <c r="E352" i="112" s="1"/>
  <c r="Z352" i="112"/>
  <c r="AD350" i="112"/>
  <c r="E350" i="112" s="1"/>
  <c r="AE350" i="112"/>
  <c r="AF350" i="112"/>
  <c r="Z350" i="112"/>
  <c r="AD329" i="112"/>
  <c r="E329" i="112" s="1"/>
  <c r="AE329" i="112"/>
  <c r="AF329" i="112"/>
  <c r="Z329" i="112"/>
  <c r="Z341" i="112"/>
  <c r="AD342" i="112"/>
  <c r="E342" i="112" s="1"/>
  <c r="AE342" i="112"/>
  <c r="AF342" i="112"/>
  <c r="AD343" i="112"/>
  <c r="E343" i="112" s="1"/>
  <c r="AE343" i="112"/>
  <c r="AF343" i="112"/>
  <c r="AD344" i="112"/>
  <c r="E344" i="112" s="1"/>
  <c r="AE344" i="112"/>
  <c r="AF344" i="112"/>
  <c r="Z343" i="112"/>
  <c r="Z344" i="112"/>
  <c r="Z342" i="112"/>
  <c r="AD454" i="112"/>
  <c r="E454" i="112" s="1"/>
  <c r="AE454" i="112"/>
  <c r="AF454" i="112"/>
  <c r="Z454" i="112"/>
  <c r="AD581" i="112"/>
  <c r="E581" i="112" s="1"/>
  <c r="AE581" i="112"/>
  <c r="AF581" i="112"/>
  <c r="Z581" i="112"/>
  <c r="AF542" i="112"/>
  <c r="AE542" i="112"/>
  <c r="AD542" i="112"/>
  <c r="E542" i="112" s="1"/>
  <c r="Z542" i="112"/>
  <c r="AF540" i="112"/>
  <c r="AE540" i="112"/>
  <c r="AD540" i="112"/>
  <c r="E540" i="112" s="1"/>
  <c r="Z540" i="112"/>
  <c r="AD539" i="112"/>
  <c r="E539" i="112" s="1"/>
  <c r="AE539" i="112"/>
  <c r="AF539" i="112"/>
  <c r="Z539" i="112"/>
  <c r="AD348" i="112"/>
  <c r="E348" i="112" s="1"/>
  <c r="AE348" i="112"/>
  <c r="AF348" i="112"/>
  <c r="Z348" i="112"/>
  <c r="I17" i="120"/>
  <c r="AF449" i="112"/>
  <c r="AE449" i="112"/>
  <c r="AD449" i="112"/>
  <c r="E449" i="112" s="1"/>
  <c r="Z449" i="112"/>
  <c r="AF450" i="112"/>
  <c r="AE450" i="112"/>
  <c r="AD450" i="112"/>
  <c r="E450" i="112" s="1"/>
  <c r="Z450" i="112"/>
  <c r="AF330" i="112"/>
  <c r="AE330" i="112"/>
  <c r="AD330" i="112"/>
  <c r="E330" i="112" s="1"/>
  <c r="Z330" i="112"/>
  <c r="AF331" i="112"/>
  <c r="AE331" i="112"/>
  <c r="AD331" i="112"/>
  <c r="E331" i="112" s="1"/>
  <c r="Z331" i="112"/>
  <c r="AF312" i="112"/>
  <c r="AE312" i="112"/>
  <c r="AD312" i="112"/>
  <c r="E312" i="112" s="1"/>
  <c r="Z312" i="112"/>
  <c r="AF315" i="112"/>
  <c r="AE315" i="112"/>
  <c r="AD315" i="112"/>
  <c r="E315" i="112" s="1"/>
  <c r="Z315" i="112"/>
  <c r="AF314" i="112"/>
  <c r="AE314" i="112"/>
  <c r="AD314" i="112"/>
  <c r="E314" i="112" s="1"/>
  <c r="Z314" i="112"/>
  <c r="AD313" i="112"/>
  <c r="E313" i="112" s="1"/>
  <c r="AE313" i="112"/>
  <c r="AF313" i="112"/>
  <c r="Z313" i="112"/>
  <c r="AF407" i="112"/>
  <c r="AE407" i="112"/>
  <c r="AD407" i="112"/>
  <c r="E407" i="112" s="1"/>
  <c r="Z407" i="112"/>
  <c r="AF408" i="112"/>
  <c r="AE408" i="112"/>
  <c r="AD408" i="112"/>
  <c r="E408" i="112" s="1"/>
  <c r="Z408" i="112"/>
  <c r="AD446" i="112"/>
  <c r="E446" i="112" s="1"/>
  <c r="AE446" i="112"/>
  <c r="AF446" i="112"/>
  <c r="Z446" i="112"/>
  <c r="AD541" i="112"/>
  <c r="E541" i="112" s="1"/>
  <c r="AE541" i="112"/>
  <c r="AF541" i="112"/>
  <c r="Z541" i="112"/>
  <c r="AF387" i="112"/>
  <c r="AE387" i="112"/>
  <c r="AD387" i="112"/>
  <c r="E387" i="112" s="1"/>
  <c r="Z387" i="112"/>
  <c r="AF384" i="112"/>
  <c r="AE384" i="112"/>
  <c r="AD384" i="112"/>
  <c r="E384" i="112" s="1"/>
  <c r="Z384" i="112"/>
  <c r="AF382" i="112"/>
  <c r="AE382" i="112"/>
  <c r="AD382" i="112"/>
  <c r="E382" i="112" s="1"/>
  <c r="Z382" i="112"/>
  <c r="AF380" i="112"/>
  <c r="AE380" i="112"/>
  <c r="AD380" i="112"/>
  <c r="E380" i="112" s="1"/>
  <c r="Z380" i="112"/>
  <c r="AF377" i="112"/>
  <c r="AE377" i="112"/>
  <c r="AD377" i="112"/>
  <c r="E377" i="112" s="1"/>
  <c r="Z377" i="112"/>
  <c r="AF375" i="112"/>
  <c r="AE375" i="112"/>
  <c r="AD375" i="112"/>
  <c r="E375" i="112" s="1"/>
  <c r="Z375" i="112"/>
  <c r="AF361" i="112"/>
  <c r="AE361" i="112"/>
  <c r="AD361" i="112"/>
  <c r="E361" i="112" s="1"/>
  <c r="Z361" i="112"/>
  <c r="AF358" i="112"/>
  <c r="AE358" i="112"/>
  <c r="AD358" i="112"/>
  <c r="E358" i="112" s="1"/>
  <c r="Z358" i="112"/>
  <c r="AD356" i="112"/>
  <c r="E356" i="112" s="1"/>
  <c r="AE356" i="112"/>
  <c r="AF356" i="112"/>
  <c r="Z356" i="112"/>
  <c r="AF443" i="112"/>
  <c r="AE443" i="112"/>
  <c r="AD443" i="112"/>
  <c r="E443" i="112" s="1"/>
  <c r="Z443" i="112"/>
  <c r="AF442" i="112"/>
  <c r="AE442" i="112"/>
  <c r="AD442" i="112"/>
  <c r="E442" i="112" s="1"/>
  <c r="Z442" i="112"/>
  <c r="AF441" i="112"/>
  <c r="AE441" i="112"/>
  <c r="AD441" i="112"/>
  <c r="E441" i="112" s="1"/>
  <c r="Z441" i="112"/>
  <c r="AF440" i="112"/>
  <c r="AE440" i="112"/>
  <c r="AD440" i="112"/>
  <c r="E440" i="112" s="1"/>
  <c r="Z440" i="112"/>
  <c r="AF439" i="112"/>
  <c r="AE439" i="112"/>
  <c r="AD439" i="112"/>
  <c r="E439" i="112" s="1"/>
  <c r="Z439" i="112"/>
  <c r="AF445" i="112"/>
  <c r="AE445" i="112"/>
  <c r="AD445" i="112"/>
  <c r="E445" i="112" s="1"/>
  <c r="Z445" i="112"/>
  <c r="AF444" i="112"/>
  <c r="AE444" i="112"/>
  <c r="AD444" i="112"/>
  <c r="E444" i="112" s="1"/>
  <c r="Z444" i="112"/>
  <c r="AF435" i="112"/>
  <c r="AE435" i="112"/>
  <c r="AD435" i="112"/>
  <c r="E435" i="112" s="1"/>
  <c r="Z435" i="112"/>
  <c r="AF437" i="112"/>
  <c r="AE437" i="112"/>
  <c r="AD437" i="112"/>
  <c r="E437" i="112" s="1"/>
  <c r="Z437" i="112"/>
  <c r="AF436" i="112"/>
  <c r="AE436" i="112"/>
  <c r="AD436" i="112"/>
  <c r="E436" i="112" s="1"/>
  <c r="Z436" i="112"/>
  <c r="AF438" i="112"/>
  <c r="AE438" i="112"/>
  <c r="AD438" i="112"/>
  <c r="E438" i="112" s="1"/>
  <c r="Z438" i="112"/>
  <c r="AF434" i="112"/>
  <c r="AE434" i="112"/>
  <c r="AD434" i="112"/>
  <c r="E434" i="112" s="1"/>
  <c r="Z434" i="112"/>
  <c r="AF451" i="112"/>
  <c r="AE451" i="112"/>
  <c r="AD451" i="112"/>
  <c r="E451" i="112" s="1"/>
  <c r="Z451" i="112"/>
  <c r="AF311" i="112"/>
  <c r="AE311" i="112"/>
  <c r="AD311" i="112"/>
  <c r="E311" i="112" s="1"/>
  <c r="Z311" i="112"/>
  <c r="AF433" i="112"/>
  <c r="AE433" i="112"/>
  <c r="AD433" i="112"/>
  <c r="E433" i="112" s="1"/>
  <c r="Z433" i="112"/>
  <c r="AF432" i="112"/>
  <c r="AE432" i="112"/>
  <c r="AD432" i="112"/>
  <c r="E432" i="112" s="1"/>
  <c r="Z432" i="112"/>
  <c r="AF321" i="112"/>
  <c r="AE321" i="112"/>
  <c r="AD321" i="112"/>
  <c r="E321" i="112" s="1"/>
  <c r="Z321" i="112"/>
  <c r="AF320" i="112"/>
  <c r="AE320" i="112"/>
  <c r="AD320" i="112"/>
  <c r="E320" i="112" s="1"/>
  <c r="Z320" i="112"/>
  <c r="AF319" i="112"/>
  <c r="AE319" i="112"/>
  <c r="AD319" i="112"/>
  <c r="E319" i="112" s="1"/>
  <c r="Z319" i="112"/>
  <c r="AF430" i="112"/>
  <c r="AE430" i="112"/>
  <c r="AD430" i="112"/>
  <c r="E430" i="112" s="1"/>
  <c r="Z430" i="112"/>
  <c r="AF429" i="112"/>
  <c r="AE429" i="112"/>
  <c r="AD429" i="112"/>
  <c r="E429" i="112" s="1"/>
  <c r="Z429" i="112"/>
  <c r="AF428" i="112"/>
  <c r="AE428" i="112"/>
  <c r="AD428" i="112"/>
  <c r="E428" i="112" s="1"/>
  <c r="Z428" i="112"/>
  <c r="AF427" i="112"/>
  <c r="AE427" i="112"/>
  <c r="AD427" i="112"/>
  <c r="E427" i="112" s="1"/>
  <c r="Z427" i="112"/>
  <c r="AF424" i="112"/>
  <c r="AE424" i="112"/>
  <c r="AD424" i="112"/>
  <c r="E424" i="112" s="1"/>
  <c r="Z424" i="112"/>
  <c r="AF426" i="112"/>
  <c r="AE426" i="112"/>
  <c r="AD426" i="112"/>
  <c r="E426" i="112" s="1"/>
  <c r="Z426" i="112"/>
  <c r="AF425" i="112"/>
  <c r="AE425" i="112"/>
  <c r="AD425" i="112"/>
  <c r="E425" i="112" s="1"/>
  <c r="Z425" i="112"/>
  <c r="AF423" i="112"/>
  <c r="AE423" i="112"/>
  <c r="AD423" i="112"/>
  <c r="E423" i="112" s="1"/>
  <c r="Z423" i="112"/>
  <c r="AF422" i="112"/>
  <c r="AE422" i="112"/>
  <c r="AD422" i="112"/>
  <c r="E422" i="112" s="1"/>
  <c r="Z422" i="112"/>
  <c r="AF421" i="112"/>
  <c r="AE421" i="112"/>
  <c r="AD421" i="112"/>
  <c r="E421" i="112" s="1"/>
  <c r="Z421" i="112"/>
  <c r="AF420" i="112"/>
  <c r="AE420" i="112"/>
  <c r="AD420" i="112"/>
  <c r="E420" i="112" s="1"/>
  <c r="Z420" i="112"/>
  <c r="AF418" i="112"/>
  <c r="AE418" i="112"/>
  <c r="AD418" i="112"/>
  <c r="E418" i="112" s="1"/>
  <c r="Z418" i="112"/>
  <c r="AF417" i="112"/>
  <c r="AE417" i="112"/>
  <c r="AD417" i="112"/>
  <c r="E417" i="112" s="1"/>
  <c r="Z417" i="112"/>
  <c r="AF419" i="112"/>
  <c r="AE419" i="112"/>
  <c r="AD419" i="112"/>
  <c r="E419" i="112" s="1"/>
  <c r="Z419" i="112"/>
  <c r="AF414" i="112"/>
  <c r="AE414" i="112"/>
  <c r="AD414" i="112"/>
  <c r="E414" i="112" s="1"/>
  <c r="Z414" i="112"/>
  <c r="AF413" i="112"/>
  <c r="AE413" i="112"/>
  <c r="AD413" i="112"/>
  <c r="E413" i="112" s="1"/>
  <c r="Z413" i="112"/>
  <c r="AF415" i="112"/>
  <c r="AE415" i="112"/>
  <c r="AD415" i="112"/>
  <c r="E415" i="112" s="1"/>
  <c r="Z415" i="112"/>
  <c r="AF416" i="112"/>
  <c r="AE416" i="112"/>
  <c r="AD416" i="112"/>
  <c r="E416" i="112" s="1"/>
  <c r="Z416" i="112"/>
  <c r="AF411" i="112"/>
  <c r="AE411" i="112"/>
  <c r="AD411" i="112"/>
  <c r="E411" i="112" s="1"/>
  <c r="Z411" i="112"/>
  <c r="AF410" i="112"/>
  <c r="AE410" i="112"/>
  <c r="AD410" i="112"/>
  <c r="E410" i="112" s="1"/>
  <c r="Z410" i="112"/>
  <c r="AF347" i="112"/>
  <c r="AE347" i="112"/>
  <c r="AD347" i="112"/>
  <c r="E347" i="112" s="1"/>
  <c r="Z347" i="112"/>
  <c r="AF346" i="112"/>
  <c r="AE346" i="112"/>
  <c r="AD346" i="112"/>
  <c r="E346" i="112" s="1"/>
  <c r="Z346" i="112"/>
  <c r="AF345" i="112"/>
  <c r="AE345" i="112"/>
  <c r="AD345" i="112"/>
  <c r="E345" i="112" s="1"/>
  <c r="Z345" i="112"/>
  <c r="AF334" i="112"/>
  <c r="AE334" i="112"/>
  <c r="AD334" i="112"/>
  <c r="E334" i="112" s="1"/>
  <c r="Z334" i="112"/>
  <c r="AF409" i="112"/>
  <c r="AE409" i="112"/>
  <c r="AD409" i="112"/>
  <c r="E409" i="112" s="1"/>
  <c r="Z409" i="112"/>
  <c r="AF403" i="112"/>
  <c r="AE403" i="112"/>
  <c r="AD403" i="112"/>
  <c r="E403" i="112" s="1"/>
  <c r="Z403" i="112"/>
  <c r="AF396" i="112"/>
  <c r="AE396" i="112"/>
  <c r="AD396" i="112"/>
  <c r="E396" i="112" s="1"/>
  <c r="Z396" i="112"/>
  <c r="AF394" i="112"/>
  <c r="AE394" i="112"/>
  <c r="AD394" i="112"/>
  <c r="E394" i="112" s="1"/>
  <c r="Z394" i="112"/>
  <c r="AF393" i="112"/>
  <c r="AE393" i="112"/>
  <c r="AD393" i="112"/>
  <c r="E393" i="112" s="1"/>
  <c r="Z393" i="112"/>
  <c r="AF392" i="112"/>
  <c r="AE392" i="112"/>
  <c r="AD392" i="112"/>
  <c r="E392" i="112" s="1"/>
  <c r="Z392" i="112"/>
  <c r="AF391" i="112"/>
  <c r="AE391" i="112"/>
  <c r="AD391" i="112"/>
  <c r="E391" i="112" s="1"/>
  <c r="Z391" i="112"/>
  <c r="AF406" i="112"/>
  <c r="AE406" i="112"/>
  <c r="AD406" i="112"/>
  <c r="E406" i="112" s="1"/>
  <c r="Z406" i="112"/>
  <c r="AF405" i="112"/>
  <c r="AE405" i="112"/>
  <c r="AD405" i="112"/>
  <c r="E405" i="112" s="1"/>
  <c r="Z405" i="112"/>
  <c r="AF404" i="112"/>
  <c r="AE404" i="112"/>
  <c r="AD404" i="112"/>
  <c r="E404" i="112" s="1"/>
  <c r="Z404" i="112"/>
  <c r="AF402" i="112"/>
  <c r="AE402" i="112"/>
  <c r="AD402" i="112"/>
  <c r="E402" i="112" s="1"/>
  <c r="Z402" i="112"/>
  <c r="AF401" i="112"/>
  <c r="AE401" i="112"/>
  <c r="AD401" i="112"/>
  <c r="E401" i="112" s="1"/>
  <c r="Z401" i="112"/>
  <c r="AF400" i="112"/>
  <c r="AE400" i="112"/>
  <c r="AD400" i="112"/>
  <c r="E400" i="112" s="1"/>
  <c r="Z400" i="112"/>
  <c r="AF399" i="112"/>
  <c r="AE399" i="112"/>
  <c r="AD399" i="112"/>
  <c r="E399" i="112" s="1"/>
  <c r="Z399" i="112"/>
  <c r="AF397" i="112"/>
  <c r="AE397" i="112"/>
  <c r="AD397" i="112"/>
  <c r="E397" i="112" s="1"/>
  <c r="Z397" i="112"/>
  <c r="AF395" i="112"/>
  <c r="AE395" i="112"/>
  <c r="AD395" i="112"/>
  <c r="E395" i="112" s="1"/>
  <c r="Z395" i="112"/>
  <c r="AF309" i="112"/>
  <c r="AE309" i="112"/>
  <c r="AD309" i="112"/>
  <c r="E309" i="112" s="1"/>
  <c r="Z309" i="112"/>
  <c r="AF308" i="112"/>
  <c r="AE308" i="112"/>
  <c r="AD308" i="112"/>
  <c r="E308" i="112" s="1"/>
  <c r="Z308" i="112"/>
  <c r="AF306" i="112"/>
  <c r="AE306" i="112"/>
  <c r="AD306" i="112"/>
  <c r="E306" i="112" s="1"/>
  <c r="Z306" i="112"/>
  <c r="AF307" i="112"/>
  <c r="AE307" i="112"/>
  <c r="AD307" i="112"/>
  <c r="E307" i="112" s="1"/>
  <c r="Z307" i="112"/>
  <c r="AF305" i="112"/>
  <c r="AE305" i="112"/>
  <c r="AD305" i="112"/>
  <c r="E305" i="112" s="1"/>
  <c r="Z305" i="112"/>
  <c r="AD304" i="112"/>
  <c r="E304" i="112" s="1"/>
  <c r="AE304" i="112"/>
  <c r="AF304" i="112"/>
  <c r="Z304" i="112"/>
  <c r="A14" i="120"/>
  <c r="AD233" i="112"/>
  <c r="AE233" i="112"/>
  <c r="AF233" i="112"/>
  <c r="AD234" i="112"/>
  <c r="AE234" i="112"/>
  <c r="AF234" i="112"/>
  <c r="Z234" i="112"/>
  <c r="Z233" i="112"/>
  <c r="AF183" i="112"/>
  <c r="AE183" i="112"/>
  <c r="AD183" i="112"/>
  <c r="E183" i="112" s="1"/>
  <c r="Z183" i="112"/>
  <c r="AF185" i="112"/>
  <c r="AE185" i="112"/>
  <c r="AD185" i="112"/>
  <c r="E185" i="112" s="1"/>
  <c r="Z185" i="112"/>
  <c r="AF184" i="112"/>
  <c r="AE184" i="112"/>
  <c r="AD184" i="112"/>
  <c r="E184" i="112" s="1"/>
  <c r="Z184" i="112"/>
  <c r="AF136" i="112"/>
  <c r="AE136" i="112"/>
  <c r="AD136" i="112"/>
  <c r="E136" i="112" s="1"/>
  <c r="Z136" i="112"/>
  <c r="AF137" i="112"/>
  <c r="AE137" i="112"/>
  <c r="AD137" i="112"/>
  <c r="E137" i="112" s="1"/>
  <c r="Z137" i="112"/>
  <c r="AF29" i="112"/>
  <c r="AE29" i="112"/>
  <c r="AD29" i="112"/>
  <c r="E29" i="112" s="1"/>
  <c r="Z29" i="112"/>
  <c r="AF25" i="112"/>
  <c r="AE25" i="112"/>
  <c r="AD25" i="112"/>
  <c r="E25" i="112" s="1"/>
  <c r="Z25" i="112"/>
  <c r="AF636" i="112"/>
  <c r="AE636" i="112"/>
  <c r="AD636" i="112"/>
  <c r="E636" i="112" s="1"/>
  <c r="Z636" i="112"/>
  <c r="AF182" i="112"/>
  <c r="AE182" i="112"/>
  <c r="AD182" i="112"/>
  <c r="E182" i="112" s="1"/>
  <c r="Z182" i="112"/>
  <c r="AF181" i="112"/>
  <c r="AE181" i="112"/>
  <c r="AD181" i="112"/>
  <c r="E181" i="112" s="1"/>
  <c r="Z181" i="112"/>
  <c r="AF180" i="112"/>
  <c r="AE180" i="112"/>
  <c r="AD180" i="112"/>
  <c r="E180" i="112" s="1"/>
  <c r="Z180" i="112"/>
  <c r="E576" i="112"/>
  <c r="Z576" i="112"/>
  <c r="AF575" i="112"/>
  <c r="AE575" i="112"/>
  <c r="AD575" i="112"/>
  <c r="E575" i="112" s="1"/>
  <c r="Z575" i="112"/>
  <c r="AF574" i="112"/>
  <c r="AE574" i="112"/>
  <c r="AD574" i="112"/>
  <c r="E574" i="112" s="1"/>
  <c r="Z574" i="112"/>
  <c r="AF573" i="112"/>
  <c r="AE573" i="112"/>
  <c r="AD573" i="112"/>
  <c r="E573" i="112" s="1"/>
  <c r="Z573" i="112"/>
  <c r="AF571" i="112"/>
  <c r="AE571" i="112"/>
  <c r="AD571" i="112"/>
  <c r="E571" i="112" s="1"/>
  <c r="Z571" i="112"/>
  <c r="AF570" i="112"/>
  <c r="AE570" i="112"/>
  <c r="AD570" i="112"/>
  <c r="E570" i="112" s="1"/>
  <c r="Z570" i="112"/>
  <c r="AF779" i="112"/>
  <c r="AE779" i="112"/>
  <c r="AD779" i="112"/>
  <c r="Z779" i="112"/>
  <c r="AF777" i="112"/>
  <c r="AE777" i="112"/>
  <c r="AD777" i="112"/>
  <c r="Z777" i="112"/>
  <c r="AF776" i="112"/>
  <c r="AE776" i="112"/>
  <c r="AD776" i="112"/>
  <c r="Z776" i="112"/>
  <c r="AF775" i="112"/>
  <c r="AE775" i="112"/>
  <c r="AD775" i="112"/>
  <c r="Z775" i="112"/>
  <c r="AF778" i="112"/>
  <c r="AE778" i="112"/>
  <c r="AD778" i="112"/>
  <c r="Z778" i="112"/>
  <c r="AF774" i="112"/>
  <c r="AE774" i="112"/>
  <c r="AD774" i="112"/>
  <c r="Z774" i="112"/>
  <c r="AF773" i="112"/>
  <c r="AE773" i="112"/>
  <c r="AD773" i="112"/>
  <c r="Z773" i="112"/>
  <c r="AF772" i="112"/>
  <c r="AE772" i="112"/>
  <c r="AD772" i="112"/>
  <c r="Z772" i="112"/>
  <c r="AF771" i="112"/>
  <c r="AE771" i="112"/>
  <c r="AD771" i="112"/>
  <c r="Z771" i="112"/>
  <c r="AF770" i="112"/>
  <c r="AE770" i="112"/>
  <c r="AD770" i="112"/>
  <c r="Z770" i="112"/>
  <c r="AF769" i="112"/>
  <c r="AE769" i="112"/>
  <c r="AD769" i="112"/>
  <c r="Z769" i="112"/>
  <c r="AF768" i="112"/>
  <c r="AE768" i="112"/>
  <c r="AD768" i="112"/>
  <c r="Z768" i="112"/>
  <c r="AF767" i="112"/>
  <c r="AE767" i="112"/>
  <c r="AD767" i="112"/>
  <c r="Z767" i="112"/>
  <c r="AF766" i="112"/>
  <c r="AE766" i="112"/>
  <c r="AD766" i="112"/>
  <c r="Z766" i="112"/>
  <c r="AF765" i="112"/>
  <c r="AE765" i="112"/>
  <c r="AD765" i="112"/>
  <c r="Z765" i="112"/>
  <c r="AF764" i="112"/>
  <c r="AE764" i="112"/>
  <c r="AD764" i="112"/>
  <c r="Z764" i="112"/>
  <c r="AF763" i="112"/>
  <c r="AE763" i="112"/>
  <c r="AD763" i="112"/>
  <c r="Z763" i="112"/>
  <c r="AF762" i="112"/>
  <c r="AE762" i="112"/>
  <c r="AD762" i="112"/>
  <c r="Z762" i="112"/>
  <c r="AF733" i="112"/>
  <c r="AE733" i="112"/>
  <c r="AD733" i="112"/>
  <c r="E733" i="112" s="1"/>
  <c r="Z733" i="112"/>
  <c r="AF732" i="112"/>
  <c r="AE732" i="112"/>
  <c r="AD732" i="112"/>
  <c r="E732" i="112" s="1"/>
  <c r="Z732" i="112"/>
  <c r="AF731" i="112"/>
  <c r="AE731" i="112"/>
  <c r="AD731" i="112"/>
  <c r="E731" i="112" s="1"/>
  <c r="Z731" i="112"/>
  <c r="AF730" i="112"/>
  <c r="AE730" i="112"/>
  <c r="AD730" i="112"/>
  <c r="E730" i="112" s="1"/>
  <c r="Z730" i="112"/>
  <c r="AF729" i="112"/>
  <c r="AE729" i="112"/>
  <c r="AD729" i="112"/>
  <c r="E729" i="112" s="1"/>
  <c r="Z729" i="112"/>
  <c r="AF728" i="112"/>
  <c r="AE728" i="112"/>
  <c r="AD728" i="112"/>
  <c r="E728" i="112" s="1"/>
  <c r="Z728" i="112"/>
  <c r="AF660" i="112"/>
  <c r="AE660" i="112"/>
  <c r="AD660" i="112"/>
  <c r="E660" i="112" s="1"/>
  <c r="Z660" i="112"/>
  <c r="AF652" i="112"/>
  <c r="AE652" i="112"/>
  <c r="AD652" i="112"/>
  <c r="E652" i="112" s="1"/>
  <c r="Z652" i="112"/>
  <c r="AF61" i="112"/>
  <c r="AE61" i="112"/>
  <c r="AD61" i="112"/>
  <c r="E61" i="112" s="1"/>
  <c r="Z61" i="112"/>
  <c r="AF59" i="112"/>
  <c r="AE59" i="112"/>
  <c r="AD59" i="112"/>
  <c r="E59" i="112" s="1"/>
  <c r="Z59" i="112"/>
  <c r="AF58" i="112"/>
  <c r="AE58" i="112"/>
  <c r="AD58" i="112"/>
  <c r="E58" i="112" s="1"/>
  <c r="Z58" i="112"/>
  <c r="AF43" i="112"/>
  <c r="AE43" i="112"/>
  <c r="AD43" i="112"/>
  <c r="E43" i="112" s="1"/>
  <c r="Z43" i="112"/>
  <c r="AF42" i="112"/>
  <c r="AE42" i="112"/>
  <c r="AD42" i="112"/>
  <c r="E42" i="112" s="1"/>
  <c r="Z42" i="112"/>
  <c r="AF40" i="112"/>
  <c r="AE40" i="112"/>
  <c r="AD40" i="112"/>
  <c r="E40" i="112" s="1"/>
  <c r="Z40" i="112"/>
  <c r="AF38" i="112"/>
  <c r="AE38" i="112"/>
  <c r="AD38" i="112"/>
  <c r="E38" i="112" s="1"/>
  <c r="Z38" i="112"/>
  <c r="AF35" i="112"/>
  <c r="AE35" i="112"/>
  <c r="AD35" i="112"/>
  <c r="E35" i="112" s="1"/>
  <c r="Z35" i="112"/>
  <c r="AF34" i="112"/>
  <c r="AE34" i="112"/>
  <c r="AD34" i="112"/>
  <c r="E34" i="112" s="1"/>
  <c r="Z34" i="112"/>
  <c r="AF486" i="112"/>
  <c r="AE486" i="112"/>
  <c r="AD486" i="112"/>
  <c r="E486" i="112" s="1"/>
  <c r="Z486" i="112"/>
  <c r="AF481" i="112"/>
  <c r="AE481" i="112"/>
  <c r="AD481" i="112"/>
  <c r="E481" i="112" s="1"/>
  <c r="Z481" i="112"/>
  <c r="AF475" i="112"/>
  <c r="AE475" i="112"/>
  <c r="AD475" i="112"/>
  <c r="E475" i="112" s="1"/>
  <c r="Z475" i="112"/>
  <c r="AF460" i="112"/>
  <c r="AE460" i="112"/>
  <c r="AD460" i="112"/>
  <c r="E460" i="112" s="1"/>
  <c r="Z460" i="112"/>
  <c r="AF318" i="112"/>
  <c r="AE318" i="112"/>
  <c r="AD318" i="112"/>
  <c r="E318" i="112" s="1"/>
  <c r="Z318" i="112"/>
  <c r="AF325" i="112"/>
  <c r="AE325" i="112"/>
  <c r="AD325" i="112"/>
  <c r="E325" i="112" s="1"/>
  <c r="Z325" i="112"/>
  <c r="AF327" i="112"/>
  <c r="AE327" i="112"/>
  <c r="AD327" i="112"/>
  <c r="E327" i="112" s="1"/>
  <c r="Z327" i="112"/>
  <c r="AF326" i="112"/>
  <c r="AE326" i="112"/>
  <c r="AD326" i="112"/>
  <c r="E326" i="112" s="1"/>
  <c r="Z326" i="112"/>
  <c r="AF328" i="112"/>
  <c r="AE328" i="112"/>
  <c r="AD328" i="112"/>
  <c r="E328" i="112" s="1"/>
  <c r="Z328" i="112"/>
  <c r="AF323" i="112"/>
  <c r="AE323" i="112"/>
  <c r="AD323" i="112"/>
  <c r="E323" i="112" s="1"/>
  <c r="Z323" i="112"/>
  <c r="AF324" i="112"/>
  <c r="AE324" i="112"/>
  <c r="AD324" i="112"/>
  <c r="E324" i="112" s="1"/>
  <c r="Z324" i="112"/>
  <c r="AF338" i="112"/>
  <c r="AE338" i="112"/>
  <c r="AD338" i="112"/>
  <c r="E338" i="112" s="1"/>
  <c r="Z338" i="112"/>
  <c r="AF337" i="112"/>
  <c r="AE337" i="112"/>
  <c r="AD337" i="112"/>
  <c r="E337" i="112" s="1"/>
  <c r="Z337" i="112"/>
  <c r="AF339" i="112"/>
  <c r="AE339" i="112"/>
  <c r="AD339" i="112"/>
  <c r="E339" i="112" s="1"/>
  <c r="Z339" i="112"/>
  <c r="AF335" i="112"/>
  <c r="AE335" i="112"/>
  <c r="AD335" i="112"/>
  <c r="E335" i="112" s="1"/>
  <c r="Z335" i="112"/>
  <c r="AF336" i="112"/>
  <c r="AE336" i="112"/>
  <c r="AD336" i="112"/>
  <c r="E336" i="112" s="1"/>
  <c r="Z336" i="112"/>
  <c r="AF333" i="112"/>
  <c r="AE333" i="112"/>
  <c r="AD333" i="112"/>
  <c r="E333" i="112" s="1"/>
  <c r="Z333" i="112"/>
  <c r="AF447" i="112"/>
  <c r="AE447" i="112"/>
  <c r="AD447" i="112"/>
  <c r="E447" i="112" s="1"/>
  <c r="Z447" i="112"/>
  <c r="AF310" i="112"/>
  <c r="AE310" i="112"/>
  <c r="AD310" i="112"/>
  <c r="E310" i="112" s="1"/>
  <c r="Z310" i="112"/>
  <c r="AF285" i="112"/>
  <c r="AE285" i="112"/>
  <c r="AD285" i="112"/>
  <c r="E285" i="112" s="1"/>
  <c r="Z285" i="112"/>
  <c r="AF284" i="112"/>
  <c r="AE284" i="112"/>
  <c r="AD284" i="112"/>
  <c r="E284" i="112" s="1"/>
  <c r="Z284" i="112"/>
  <c r="AF283" i="112"/>
  <c r="AE283" i="112"/>
  <c r="AD283" i="112"/>
  <c r="E283" i="112" s="1"/>
  <c r="Z283" i="112"/>
  <c r="AF282" i="112"/>
  <c r="AE282" i="112"/>
  <c r="AD282" i="112"/>
  <c r="E282" i="112" s="1"/>
  <c r="Z282" i="112"/>
  <c r="AF281" i="112"/>
  <c r="AE281" i="112"/>
  <c r="AD281" i="112"/>
  <c r="E281" i="112" s="1"/>
  <c r="Z281" i="112"/>
  <c r="AF280" i="112"/>
  <c r="AE280" i="112"/>
  <c r="AD280" i="112"/>
  <c r="E280" i="112" s="1"/>
  <c r="Z280" i="112"/>
  <c r="AF301" i="112"/>
  <c r="AE301" i="112"/>
  <c r="AD301" i="112"/>
  <c r="E301" i="112" s="1"/>
  <c r="Z301" i="112"/>
  <c r="AF300" i="112"/>
  <c r="AE300" i="112"/>
  <c r="AD300" i="112"/>
  <c r="E300" i="112" s="1"/>
  <c r="Z300" i="112"/>
  <c r="AF299" i="112"/>
  <c r="AE299" i="112"/>
  <c r="AD299" i="112"/>
  <c r="E299" i="112" s="1"/>
  <c r="Z299" i="112"/>
  <c r="AF298" i="112"/>
  <c r="AE298" i="112"/>
  <c r="AD298" i="112"/>
  <c r="E298" i="112" s="1"/>
  <c r="Z298" i="112"/>
  <c r="AF297" i="112"/>
  <c r="AE297" i="112"/>
  <c r="AD297" i="112"/>
  <c r="E297" i="112" s="1"/>
  <c r="Z297" i="112"/>
  <c r="AD296" i="112"/>
  <c r="E296" i="112" s="1"/>
  <c r="AE296" i="112"/>
  <c r="AF296" i="112"/>
  <c r="Z296" i="112"/>
  <c r="AF216" i="112"/>
  <c r="AE216" i="112"/>
  <c r="AD216" i="112"/>
  <c r="E216" i="112" s="1"/>
  <c r="Z216" i="112"/>
  <c r="AF210" i="112"/>
  <c r="AE210" i="112"/>
  <c r="AD210" i="112"/>
  <c r="E210" i="112" s="1"/>
  <c r="Z210" i="112"/>
  <c r="AF201" i="112"/>
  <c r="AE201" i="112"/>
  <c r="AD201" i="112"/>
  <c r="E201" i="112" s="1"/>
  <c r="Z201" i="112"/>
  <c r="AF209" i="112"/>
  <c r="AE209" i="112"/>
  <c r="AD209" i="112"/>
  <c r="E209" i="112" s="1"/>
  <c r="Z209" i="112"/>
  <c r="AF208" i="112"/>
  <c r="AE208" i="112"/>
  <c r="AD208" i="112"/>
  <c r="E208" i="112" s="1"/>
  <c r="Z208" i="112"/>
  <c r="AF206" i="112"/>
  <c r="AE206" i="112"/>
  <c r="AD206" i="112"/>
  <c r="E206" i="112" s="1"/>
  <c r="Z206" i="112"/>
  <c r="AF205" i="112"/>
  <c r="AE205" i="112"/>
  <c r="AD205" i="112"/>
  <c r="E205" i="112" s="1"/>
  <c r="Z205" i="112"/>
  <c r="AF204" i="112"/>
  <c r="AE204" i="112"/>
  <c r="AD204" i="112"/>
  <c r="E204" i="112" s="1"/>
  <c r="Z204" i="112"/>
  <c r="AF203" i="112"/>
  <c r="AE203" i="112"/>
  <c r="AD203" i="112"/>
  <c r="E203" i="112" s="1"/>
  <c r="Z203" i="112"/>
  <c r="AF143" i="112"/>
  <c r="AE143" i="112"/>
  <c r="AD143" i="112"/>
  <c r="E143" i="112" s="1"/>
  <c r="Z143" i="112"/>
  <c r="AF139" i="112"/>
  <c r="AE139" i="112"/>
  <c r="AD139" i="112"/>
  <c r="E139" i="112" s="1"/>
  <c r="Z139" i="112"/>
  <c r="AF28" i="112"/>
  <c r="AE28" i="112"/>
  <c r="AD28" i="112"/>
  <c r="E28" i="112" s="1"/>
  <c r="Z28" i="112"/>
  <c r="AF27" i="112"/>
  <c r="AE27" i="112"/>
  <c r="AD27" i="112"/>
  <c r="E27" i="112" s="1"/>
  <c r="Z27" i="112"/>
  <c r="AF26" i="112"/>
  <c r="AE26" i="112"/>
  <c r="AD26" i="112"/>
  <c r="E26" i="112" s="1"/>
  <c r="Z26" i="112"/>
  <c r="AF24" i="112"/>
  <c r="AE24" i="112"/>
  <c r="AD24" i="112"/>
  <c r="E24" i="112" s="1"/>
  <c r="Z24" i="112"/>
  <c r="AF23" i="112"/>
  <c r="AE23" i="112"/>
  <c r="AD23" i="112"/>
  <c r="E23" i="112" s="1"/>
  <c r="Z23" i="112"/>
  <c r="AF22" i="112"/>
  <c r="AE22" i="112"/>
  <c r="AD22" i="112"/>
  <c r="E22" i="112" s="1"/>
  <c r="Z22" i="112"/>
  <c r="AF21" i="112"/>
  <c r="AE21" i="112"/>
  <c r="AD21" i="112"/>
  <c r="E21" i="112" s="1"/>
  <c r="Z21" i="112"/>
  <c r="AF20" i="112"/>
  <c r="AE20" i="112"/>
  <c r="AD20" i="112"/>
  <c r="E20" i="112" s="1"/>
  <c r="Z20" i="112"/>
  <c r="AF19" i="112"/>
  <c r="AE19" i="112"/>
  <c r="AD19" i="112"/>
  <c r="E19" i="112" s="1"/>
  <c r="Z19" i="112"/>
  <c r="AF15" i="112"/>
  <c r="AE15" i="112"/>
  <c r="AD15" i="112"/>
  <c r="E15" i="112" s="1"/>
  <c r="Z15" i="112"/>
  <c r="AF8" i="112"/>
  <c r="AE8" i="112"/>
  <c r="AD8" i="112"/>
  <c r="E8" i="112" s="1"/>
  <c r="Z8" i="112"/>
  <c r="AD5" i="112"/>
  <c r="E5" i="112" s="1"/>
  <c r="AE5" i="112"/>
  <c r="AF5" i="112"/>
  <c r="Z5" i="112"/>
  <c r="A3" i="120"/>
  <c r="A4" i="120"/>
  <c r="A12" i="120"/>
  <c r="A13" i="120"/>
  <c r="A17" i="120"/>
  <c r="A19" i="120"/>
  <c r="A20" i="120"/>
  <c r="A22" i="120"/>
  <c r="A21" i="120"/>
  <c r="A23" i="120"/>
  <c r="A25" i="120"/>
  <c r="A26" i="120"/>
  <c r="A27" i="120"/>
  <c r="A28" i="120"/>
  <c r="A29" i="120"/>
  <c r="A30" i="120"/>
  <c r="A39" i="120"/>
  <c r="A32" i="120"/>
  <c r="A34" i="120"/>
  <c r="A35" i="120"/>
  <c r="A36" i="120"/>
  <c r="A40" i="120"/>
  <c r="A41" i="120"/>
  <c r="A42" i="120"/>
  <c r="A43" i="120"/>
  <c r="A44" i="120"/>
  <c r="A47" i="120"/>
  <c r="A49" i="120"/>
  <c r="A56" i="120"/>
  <c r="A55" i="120"/>
  <c r="A60" i="120"/>
  <c r="A61" i="120"/>
  <c r="A62" i="120"/>
  <c r="A63" i="120"/>
  <c r="A64" i="120"/>
  <c r="A65" i="120"/>
  <c r="A66" i="120"/>
  <c r="A67" i="120"/>
  <c r="A69" i="120"/>
  <c r="A78" i="120"/>
  <c r="A79" i="120"/>
  <c r="A82" i="120"/>
  <c r="A84" i="120"/>
  <c r="A85" i="120"/>
  <c r="A87" i="120"/>
  <c r="A89" i="120"/>
  <c r="A90" i="120"/>
  <c r="A91" i="120"/>
  <c r="A93" i="120"/>
  <c r="A94" i="120"/>
  <c r="A15" i="120"/>
  <c r="A96" i="120"/>
  <c r="A97" i="120"/>
  <c r="A100" i="120"/>
  <c r="A101" i="120"/>
  <c r="A102" i="120"/>
  <c r="A108" i="120"/>
  <c r="A110" i="120"/>
  <c r="A111" i="120"/>
  <c r="A113" i="120"/>
  <c r="A116" i="120"/>
  <c r="A120" i="120"/>
  <c r="A121" i="120"/>
  <c r="A122" i="120"/>
  <c r="A124" i="120"/>
  <c r="A127" i="120"/>
  <c r="A128" i="120"/>
  <c r="A129" i="120"/>
  <c r="A131" i="120"/>
  <c r="A134" i="120"/>
  <c r="A138" i="120"/>
  <c r="A139" i="120"/>
  <c r="A140" i="120"/>
  <c r="A144" i="120"/>
  <c r="A146" i="120"/>
  <c r="A152" i="120"/>
  <c r="A155" i="120"/>
  <c r="A156" i="120"/>
  <c r="A157" i="120"/>
  <c r="A158" i="120"/>
  <c r="A159" i="120"/>
  <c r="A160" i="120"/>
  <c r="A2" i="120"/>
  <c r="I27" i="120"/>
  <c r="I29" i="120"/>
  <c r="L29" i="120" s="1"/>
  <c r="A151" i="120" l="1"/>
  <c r="J65" i="120" l="1"/>
  <c r="M65" i="120" s="1"/>
  <c r="J84" i="120"/>
  <c r="M84" i="120" s="1"/>
  <c r="J66" i="120"/>
  <c r="M66" i="120" s="1"/>
  <c r="J67" i="120"/>
  <c r="M67" i="120" s="1"/>
  <c r="J82" i="120"/>
  <c r="M82" i="120" s="1"/>
  <c r="J55" i="120"/>
  <c r="M55" i="120" s="1"/>
  <c r="I157" i="120"/>
  <c r="J157" i="120"/>
  <c r="K157" i="120"/>
  <c r="L157" i="120"/>
  <c r="I158" i="120"/>
  <c r="J158" i="120"/>
  <c r="K158" i="120"/>
  <c r="L158" i="120"/>
  <c r="I159" i="120"/>
  <c r="J159" i="120"/>
  <c r="K159" i="120"/>
  <c r="L159" i="120"/>
  <c r="I160" i="120"/>
  <c r="J160" i="120"/>
  <c r="K160" i="120"/>
  <c r="L160" i="120"/>
  <c r="J29" i="120"/>
  <c r="K29" i="120"/>
  <c r="I34" i="120"/>
  <c r="J34" i="120"/>
  <c r="K34" i="120"/>
  <c r="L34" i="120"/>
  <c r="I139" i="120"/>
  <c r="K139" i="120"/>
  <c r="L139" i="120"/>
  <c r="I96" i="120"/>
  <c r="J96" i="120"/>
  <c r="K96" i="120"/>
  <c r="L96" i="120"/>
  <c r="I67" i="120"/>
  <c r="K67" i="120"/>
  <c r="L67" i="120"/>
  <c r="I66" i="120"/>
  <c r="K66" i="120"/>
  <c r="L66" i="120"/>
  <c r="I84" i="120"/>
  <c r="K84" i="120"/>
  <c r="L84" i="120"/>
  <c r="I65" i="120"/>
  <c r="K65" i="120"/>
  <c r="L65" i="120"/>
  <c r="J90" i="120"/>
  <c r="M90" i="120" s="1"/>
  <c r="I26" i="120"/>
  <c r="L26" i="120" s="1"/>
  <c r="I43" i="120"/>
  <c r="L43" i="120" s="1"/>
  <c r="I3" i="120"/>
  <c r="L3" i="120" s="1"/>
  <c r="J85" i="120"/>
  <c r="M85" i="120" s="1"/>
  <c r="L85" i="120"/>
  <c r="K85" i="120"/>
  <c r="I85" i="120"/>
  <c r="I62" i="120"/>
  <c r="L62" i="120" s="1"/>
  <c r="I61" i="120"/>
  <c r="L61" i="120" s="1"/>
  <c r="I60" i="120"/>
  <c r="L60" i="120" s="1"/>
  <c r="J61" i="120"/>
  <c r="K61" i="120"/>
  <c r="J62" i="120"/>
  <c r="K62" i="120"/>
  <c r="K60" i="120"/>
  <c r="L27" i="120"/>
  <c r="J87" i="120"/>
  <c r="M87" i="120" s="1"/>
  <c r="I127" i="120"/>
  <c r="L127" i="120" s="1"/>
  <c r="I128" i="120"/>
  <c r="K128" i="120" s="1"/>
  <c r="M128" i="120" s="1"/>
  <c r="K47" i="120"/>
  <c r="M47" i="120" s="1"/>
  <c r="I47" i="120"/>
  <c r="J134" i="120"/>
  <c r="M134" i="120" s="1"/>
  <c r="J138" i="120"/>
  <c r="M138" i="120" s="1"/>
  <c r="J56" i="120"/>
  <c r="M56" i="120" s="1"/>
  <c r="J150" i="120"/>
  <c r="M150" i="120" s="1"/>
  <c r="I146" i="120"/>
  <c r="I28" i="120"/>
  <c r="L144" i="120"/>
  <c r="I49" i="120"/>
  <c r="L49" i="120" s="1"/>
  <c r="I20" i="120"/>
  <c r="K42" i="120"/>
  <c r="M42" i="120" s="1"/>
  <c r="I39" i="120"/>
  <c r="J39" i="120"/>
  <c r="K39" i="120"/>
  <c r="L39" i="120"/>
  <c r="I42" i="120"/>
  <c r="I90" i="120"/>
  <c r="K90" i="120"/>
  <c r="L90" i="120"/>
  <c r="I41" i="120"/>
  <c r="J41" i="120"/>
  <c r="K41" i="120"/>
  <c r="L41" i="120"/>
  <c r="I12" i="120"/>
  <c r="J12" i="120"/>
  <c r="I93" i="120"/>
  <c r="J93" i="120"/>
  <c r="K93" i="120"/>
  <c r="L93" i="120"/>
  <c r="I13" i="120"/>
  <c r="J13" i="120"/>
  <c r="K13" i="120"/>
  <c r="L13" i="120"/>
  <c r="I155" i="120"/>
  <c r="J155" i="120"/>
  <c r="K155" i="120"/>
  <c r="L155" i="120"/>
  <c r="J128" i="120"/>
  <c r="L128" i="120"/>
  <c r="J127" i="120"/>
  <c r="K127" i="120"/>
  <c r="K43" i="120"/>
  <c r="J43" i="120"/>
  <c r="K3" i="120"/>
  <c r="J3" i="120"/>
  <c r="I30" i="120"/>
  <c r="J30" i="120"/>
  <c r="K30" i="120"/>
  <c r="L30" i="120"/>
  <c r="I134" i="120"/>
  <c r="K134" i="120"/>
  <c r="L134" i="120"/>
  <c r="I32" i="120"/>
  <c r="J32" i="120"/>
  <c r="K32" i="120"/>
  <c r="L32" i="120"/>
  <c r="I124" i="120"/>
  <c r="J124" i="120"/>
  <c r="K124" i="120"/>
  <c r="L124" i="120"/>
  <c r="I82" i="120"/>
  <c r="K82" i="120"/>
  <c r="L82" i="120"/>
  <c r="I55" i="120"/>
  <c r="K55" i="120"/>
  <c r="L55" i="120"/>
  <c r="I97" i="120"/>
  <c r="J97" i="120"/>
  <c r="K97" i="120"/>
  <c r="L97" i="120"/>
  <c r="I36" i="120"/>
  <c r="J36" i="120"/>
  <c r="K36" i="120"/>
  <c r="L36" i="120"/>
  <c r="J146" i="120"/>
  <c r="J149" i="120" s="1"/>
  <c r="K146" i="120"/>
  <c r="K149" i="120" s="1"/>
  <c r="I94" i="120"/>
  <c r="J94" i="120"/>
  <c r="K94" i="120"/>
  <c r="L94" i="120"/>
  <c r="I156" i="120"/>
  <c r="J156" i="120"/>
  <c r="K156" i="120"/>
  <c r="L156" i="120"/>
  <c r="J116" i="120"/>
  <c r="I116" i="120"/>
  <c r="L116" i="120"/>
  <c r="K116" i="120"/>
  <c r="K21" i="120"/>
  <c r="J21" i="120"/>
  <c r="L87" i="120"/>
  <c r="K87" i="120"/>
  <c r="I87" i="120"/>
  <c r="AG656" i="112" s="1"/>
  <c r="K27" i="120"/>
  <c r="J27" i="120"/>
  <c r="K22" i="120"/>
  <c r="J22" i="120"/>
  <c r="L25" i="120"/>
  <c r="L100" i="120"/>
  <c r="L138" i="120"/>
  <c r="L120" i="120"/>
  <c r="L122" i="120"/>
  <c r="L121" i="120"/>
  <c r="L23" i="120"/>
  <c r="L110" i="120"/>
  <c r="L56" i="120"/>
  <c r="I25" i="120"/>
  <c r="I100" i="120"/>
  <c r="I138" i="120"/>
  <c r="I120" i="120"/>
  <c r="I122" i="120"/>
  <c r="I121" i="120"/>
  <c r="I23" i="120"/>
  <c r="I110" i="120"/>
  <c r="I56" i="120"/>
  <c r="J26" i="120"/>
  <c r="J25" i="120"/>
  <c r="J49" i="120"/>
  <c r="J100" i="120"/>
  <c r="J144" i="120"/>
  <c r="J129" i="120"/>
  <c r="J120" i="120"/>
  <c r="J122" i="120"/>
  <c r="J121" i="120"/>
  <c r="J23" i="120"/>
  <c r="J110" i="120"/>
  <c r="J28" i="120"/>
  <c r="K26" i="120"/>
  <c r="K25" i="120"/>
  <c r="K49" i="120"/>
  <c r="K100" i="120"/>
  <c r="K144" i="120"/>
  <c r="K129" i="120"/>
  <c r="K138" i="120"/>
  <c r="K120" i="120"/>
  <c r="K122" i="120"/>
  <c r="K121" i="120"/>
  <c r="K23" i="120"/>
  <c r="K110" i="120"/>
  <c r="K28" i="120"/>
  <c r="K56" i="120"/>
  <c r="G150" i="120"/>
  <c r="F167" i="120"/>
  <c r="F24" i="120"/>
  <c r="L17" i="120"/>
  <c r="L19" i="120"/>
  <c r="I63" i="120"/>
  <c r="L63" i="120" s="1"/>
  <c r="L2" i="120"/>
  <c r="J91" i="120"/>
  <c r="M91" i="120" s="1"/>
  <c r="L146" i="120" l="1"/>
  <c r="L149" i="120" s="1"/>
  <c r="I149" i="120"/>
  <c r="L129" i="120"/>
  <c r="AE564" i="112"/>
  <c r="AE563" i="112"/>
  <c r="AE566" i="112"/>
  <c r="G24" i="120"/>
  <c r="AE341" i="112" s="1"/>
  <c r="AD341" i="112"/>
  <c r="E341" i="112" s="1"/>
  <c r="L150" i="120"/>
  <c r="A150" i="120"/>
  <c r="L42" i="120"/>
  <c r="H24" i="120" l="1"/>
  <c r="A24" i="120" s="1"/>
  <c r="AF341" i="112" l="1"/>
  <c r="J140" i="120"/>
  <c r="M140" i="120" s="1"/>
  <c r="L64" i="120"/>
  <c r="K44" i="120"/>
  <c r="M44" i="120" s="1"/>
  <c r="K4" i="120"/>
  <c r="M4" i="120" s="1"/>
  <c r="L47" i="120"/>
  <c r="C443" i="152" l="1"/>
  <c r="K360" i="100" l="1"/>
  <c r="M62" i="119" l="1"/>
  <c r="N62" i="119"/>
  <c r="M63" i="119"/>
  <c r="N63" i="119"/>
  <c r="M64" i="119"/>
  <c r="N64" i="119"/>
  <c r="M65" i="119"/>
  <c r="N65" i="119"/>
  <c r="M66" i="119"/>
  <c r="N66" i="119"/>
  <c r="M67" i="119"/>
  <c r="N67" i="119"/>
  <c r="M68" i="119"/>
  <c r="N68" i="119"/>
  <c r="M69" i="119"/>
  <c r="N69" i="119"/>
  <c r="M70" i="119"/>
  <c r="N70" i="119"/>
  <c r="M71" i="119"/>
  <c r="N71" i="119"/>
  <c r="M72" i="119"/>
  <c r="N72" i="119"/>
  <c r="M73" i="119"/>
  <c r="N73" i="119"/>
  <c r="M74" i="119"/>
  <c r="N74" i="119"/>
  <c r="M75" i="119"/>
  <c r="N75" i="119"/>
  <c r="M76" i="119"/>
  <c r="N76" i="119"/>
  <c r="M77" i="119"/>
  <c r="N77" i="119"/>
  <c r="M78" i="119"/>
  <c r="N78" i="119"/>
  <c r="M79" i="119"/>
  <c r="N79" i="119"/>
  <c r="M80" i="119"/>
  <c r="N80" i="119"/>
  <c r="M81" i="119"/>
  <c r="N81" i="119"/>
  <c r="M82" i="119"/>
  <c r="N82" i="119"/>
  <c r="M83" i="119"/>
  <c r="N83" i="119"/>
  <c r="M84" i="119"/>
  <c r="N84" i="119"/>
  <c r="M85" i="119"/>
  <c r="N85" i="119"/>
  <c r="M86" i="119"/>
  <c r="N86" i="119"/>
  <c r="M87" i="119"/>
  <c r="N87" i="119"/>
  <c r="M88" i="119"/>
  <c r="N88" i="119"/>
  <c r="M89" i="119"/>
  <c r="N89" i="119"/>
  <c r="M90" i="119"/>
  <c r="N90" i="119"/>
  <c r="M91" i="119"/>
  <c r="N91" i="119"/>
  <c r="M92" i="119"/>
  <c r="N92" i="119"/>
  <c r="M93" i="119"/>
  <c r="N93" i="119"/>
  <c r="M94" i="119"/>
  <c r="N94" i="119"/>
  <c r="M95" i="119"/>
  <c r="N95" i="119"/>
  <c r="M96" i="119"/>
  <c r="N96" i="119"/>
  <c r="M97" i="119"/>
  <c r="N97" i="119"/>
  <c r="M98" i="119"/>
  <c r="N98" i="119"/>
  <c r="M99" i="119"/>
  <c r="N99" i="119"/>
  <c r="M100" i="119"/>
  <c r="N100" i="119"/>
  <c r="M101" i="119"/>
  <c r="N101" i="119"/>
  <c r="M102" i="119"/>
  <c r="N102" i="119"/>
  <c r="M103" i="119"/>
  <c r="N103" i="119"/>
  <c r="M104" i="119"/>
  <c r="N104" i="119"/>
  <c r="M105" i="119"/>
  <c r="N105" i="119"/>
  <c r="M106" i="119"/>
  <c r="N106" i="119"/>
  <c r="M107" i="119"/>
  <c r="N107" i="119"/>
  <c r="M108" i="119"/>
  <c r="N108" i="119"/>
  <c r="M109" i="119"/>
  <c r="N109" i="119"/>
  <c r="M110" i="119"/>
  <c r="N110" i="119"/>
  <c r="M111" i="119"/>
  <c r="N111" i="119"/>
  <c r="M112" i="119"/>
  <c r="N112" i="119"/>
  <c r="N61" i="119"/>
  <c r="M61" i="119"/>
  <c r="BF228" i="143" l="1"/>
  <c r="BD228" i="143" l="1"/>
  <c r="G340" i="112" s="1"/>
  <c r="AD3" i="159" l="1"/>
  <c r="BD107" i="134"/>
  <c r="BD106" i="134"/>
  <c r="BD105" i="134"/>
  <c r="BD104" i="134"/>
  <c r="D741" i="112"/>
  <c r="G750" i="112" l="1"/>
  <c r="D332" i="166"/>
  <c r="BJ107" i="134"/>
  <c r="BL107" i="134" s="1"/>
  <c r="R332" i="166" s="1"/>
  <c r="G749" i="112"/>
  <c r="D330" i="166"/>
  <c r="BJ106" i="134"/>
  <c r="BL106" i="134" s="1"/>
  <c r="R330" i="166" s="1"/>
  <c r="G748" i="112"/>
  <c r="D328" i="166"/>
  <c r="BJ105" i="134"/>
  <c r="BL105" i="134" s="1"/>
  <c r="R328" i="166" s="1"/>
  <c r="G747" i="112"/>
  <c r="D326" i="166"/>
  <c r="BJ104" i="134"/>
  <c r="BL104" i="134" s="1"/>
  <c r="R326" i="166" s="1"/>
  <c r="BU136" i="163"/>
  <c r="BW136" i="163"/>
  <c r="BU137" i="163"/>
  <c r="BW137" i="163"/>
  <c r="BU138" i="163"/>
  <c r="BW138" i="163"/>
  <c r="BU139" i="163"/>
  <c r="BW139" i="163"/>
  <c r="BU140" i="163"/>
  <c r="BW140" i="163"/>
  <c r="BU141" i="163"/>
  <c r="BW141" i="163"/>
  <c r="BU142" i="163"/>
  <c r="BW142" i="163"/>
  <c r="BU143" i="163"/>
  <c r="BW143" i="163"/>
  <c r="BU144" i="163"/>
  <c r="BW144" i="163"/>
  <c r="BU145" i="163"/>
  <c r="BW145" i="163"/>
  <c r="BF261" i="146"/>
  <c r="BF270" i="146"/>
  <c r="BF267" i="146"/>
  <c r="BF264" i="146"/>
  <c r="BF258" i="146"/>
  <c r="BG241" i="164"/>
  <c r="BD241" i="164" s="1"/>
  <c r="BG240" i="164"/>
  <c r="BD240" i="164" s="1"/>
  <c r="BG239" i="164"/>
  <c r="BD239" i="164" s="1"/>
  <c r="BG238" i="164"/>
  <c r="BD238" i="164" s="1"/>
  <c r="F759" i="112"/>
  <c r="D759" i="112" s="1"/>
  <c r="BF220" i="143"/>
  <c r="BD267" i="146" l="1"/>
  <c r="BK267" i="146" s="1"/>
  <c r="BN267" i="146" s="1"/>
  <c r="BD270" i="146"/>
  <c r="BK270" i="146" s="1"/>
  <c r="BN270" i="146" s="1"/>
  <c r="BD264" i="146"/>
  <c r="BK264" i="146" s="1"/>
  <c r="BN264" i="146" s="1"/>
  <c r="BD261" i="146"/>
  <c r="BK261" i="146" s="1"/>
  <c r="BN261" i="146" s="1"/>
  <c r="BD258" i="146"/>
  <c r="BK258" i="146" s="1"/>
  <c r="BN258" i="146" s="1"/>
  <c r="G566" i="112"/>
  <c r="BO239" i="164"/>
  <c r="Q46" i="164" s="1"/>
  <c r="G563" i="112"/>
  <c r="BO241" i="164"/>
  <c r="Q52" i="164" s="1"/>
  <c r="G564" i="112"/>
  <c r="BO238" i="164"/>
  <c r="Q43" i="164" s="1"/>
  <c r="G565" i="112"/>
  <c r="BD220" i="143"/>
  <c r="G707" i="112" s="1"/>
  <c r="I57" i="120"/>
  <c r="L57" i="120" s="1"/>
  <c r="I71" i="120"/>
  <c r="J139" i="120"/>
  <c r="M139" i="120" s="1"/>
  <c r="L71" i="120" l="1"/>
  <c r="L20" i="120"/>
  <c r="L28" i="120"/>
  <c r="E151" i="146"/>
  <c r="E186" i="146"/>
  <c r="E116" i="146"/>
  <c r="E81" i="146"/>
  <c r="G179" i="146"/>
  <c r="G144" i="146"/>
  <c r="G109" i="146"/>
  <c r="G74" i="146"/>
  <c r="G39" i="146"/>
  <c r="G124" i="112"/>
  <c r="N124" i="112" s="1"/>
  <c r="G114" i="112"/>
  <c r="N114" i="112" s="1"/>
  <c r="G104" i="112"/>
  <c r="N104" i="112" s="1"/>
  <c r="G94" i="112"/>
  <c r="N94" i="112" s="1"/>
  <c r="G83" i="112"/>
  <c r="N83" i="112" s="1"/>
  <c r="BM258" i="146"/>
  <c r="R59" i="166" s="1"/>
  <c r="BM264" i="146"/>
  <c r="R71" i="166" s="1"/>
  <c r="BM267" i="146"/>
  <c r="R77" i="166" s="1"/>
  <c r="BM270" i="146"/>
  <c r="R83" i="166" s="1"/>
  <c r="BM261" i="146"/>
  <c r="R65" i="166" s="1"/>
  <c r="AC126" i="128" l="1"/>
  <c r="BF263" i="146"/>
  <c r="BF262" i="146"/>
  <c r="BD262" i="146" s="1"/>
  <c r="BF272" i="146"/>
  <c r="BF271" i="146"/>
  <c r="BF269" i="146"/>
  <c r="BF268" i="146"/>
  <c r="BD268" i="146" s="1"/>
  <c r="BF266" i="146"/>
  <c r="BF265" i="146"/>
  <c r="BF260" i="146"/>
  <c r="BF259" i="146"/>
  <c r="BD259" i="146" s="1"/>
  <c r="BF227" i="143"/>
  <c r="BF226" i="143"/>
  <c r="BD226" i="143" s="1"/>
  <c r="G237" i="112" s="1"/>
  <c r="BF225" i="143"/>
  <c r="BF224" i="143"/>
  <c r="BF222" i="143"/>
  <c r="BF221" i="143"/>
  <c r="BD221" i="143" s="1"/>
  <c r="G226" i="112" s="1"/>
  <c r="BF219" i="143"/>
  <c r="BF218" i="143"/>
  <c r="BF216" i="143"/>
  <c r="BF215" i="143"/>
  <c r="BF214" i="143"/>
  <c r="BD265" i="146" l="1"/>
  <c r="BN265" i="146"/>
  <c r="BD214" i="143"/>
  <c r="BK214" i="143" s="1"/>
  <c r="BM214" i="143" s="1"/>
  <c r="R23" i="166" s="1"/>
  <c r="BD216" i="143"/>
  <c r="BD227" i="143"/>
  <c r="G734" i="112" s="1"/>
  <c r="BD224" i="143"/>
  <c r="G244" i="112" s="1"/>
  <c r="BD222" i="143"/>
  <c r="BK222" i="143" s="1"/>
  <c r="BM222" i="143" s="1"/>
  <c r="R39" i="166" s="1"/>
  <c r="BD260" i="146"/>
  <c r="G86" i="112" s="1"/>
  <c r="BD269" i="146"/>
  <c r="G107" i="112" s="1"/>
  <c r="BD263" i="146"/>
  <c r="G127" i="112" s="1"/>
  <c r="BD215" i="143"/>
  <c r="N25" i="166" s="1"/>
  <c r="BD219" i="143"/>
  <c r="BD266" i="146"/>
  <c r="G97" i="112" s="1"/>
  <c r="BD272" i="146"/>
  <c r="G117" i="112" s="1"/>
  <c r="BD225" i="143"/>
  <c r="G247" i="112" s="1"/>
  <c r="BD218" i="143"/>
  <c r="G709" i="112" s="1"/>
  <c r="G755" i="112"/>
  <c r="N755" i="112" s="1"/>
  <c r="BK216" i="143"/>
  <c r="BM216" i="143" s="1"/>
  <c r="R27" i="166" s="1"/>
  <c r="G705" i="112"/>
  <c r="G752" i="112"/>
  <c r="G233" i="112" l="1"/>
  <c r="BN214" i="143"/>
  <c r="G751" i="112"/>
  <c r="BK215" i="143"/>
  <c r="BN215" i="143" s="1"/>
  <c r="BN216" i="143"/>
  <c r="BN222" i="143"/>
  <c r="BC214" i="143"/>
  <c r="M23" i="166" s="1"/>
  <c r="BC215" i="143" l="1"/>
  <c r="M25" i="166" s="1"/>
  <c r="BM215" i="143"/>
  <c r="F752" i="112"/>
  <c r="D752" i="112" s="1"/>
  <c r="N23" i="166"/>
  <c r="BW135" i="163"/>
  <c r="BU135" i="163"/>
  <c r="BW134" i="163"/>
  <c r="BU134" i="163"/>
  <c r="BW133" i="163"/>
  <c r="BU133" i="163"/>
  <c r="BW132" i="163"/>
  <c r="BU132" i="163"/>
  <c r="BW131" i="163"/>
  <c r="BU131" i="163"/>
  <c r="BW130" i="163"/>
  <c r="BU130" i="163"/>
  <c r="BW129" i="163"/>
  <c r="BU129" i="163"/>
  <c r="BD121" i="163"/>
  <c r="G2" i="112" s="1"/>
  <c r="BD122" i="163"/>
  <c r="G3" i="112" s="1"/>
  <c r="O47" i="162"/>
  <c r="O44" i="162"/>
  <c r="O41" i="162"/>
  <c r="O38" i="162"/>
  <c r="O35" i="162"/>
  <c r="BE176" i="162"/>
  <c r="BD155" i="162" s="1"/>
  <c r="BD176" i="162"/>
  <c r="BD150" i="162" s="1"/>
  <c r="BC176" i="162"/>
  <c r="BE175" i="162"/>
  <c r="BD154" i="162" s="1"/>
  <c r="BD175" i="162"/>
  <c r="BD149" i="162" s="1"/>
  <c r="BC175" i="162"/>
  <c r="BE174" i="162"/>
  <c r="BD153" i="162" s="1"/>
  <c r="BD174" i="162"/>
  <c r="BD148" i="162" s="1"/>
  <c r="BC174" i="162"/>
  <c r="BE173" i="162"/>
  <c r="BD152" i="162" s="1"/>
  <c r="BD173" i="162"/>
  <c r="BD147" i="162" s="1"/>
  <c r="BC173" i="162"/>
  <c r="BE172" i="162"/>
  <c r="BD151" i="162" s="1"/>
  <c r="BD172" i="162"/>
  <c r="BD146" i="162" s="1"/>
  <c r="BC172" i="162"/>
  <c r="BH172" i="162" s="1"/>
  <c r="BD165" i="162"/>
  <c r="BD163" i="162"/>
  <c r="BD162" i="162"/>
  <c r="BD161" i="162"/>
  <c r="BD160" i="162"/>
  <c r="BD158" i="162"/>
  <c r="G375" i="112" s="1"/>
  <c r="BD157" i="162"/>
  <c r="BD156" i="162"/>
  <c r="BF94" i="161"/>
  <c r="BF93" i="161"/>
  <c r="BF92" i="161"/>
  <c r="BF91" i="161"/>
  <c r="BF89" i="161"/>
  <c r="BF111" i="142"/>
  <c r="BF110" i="142"/>
  <c r="BF109" i="142"/>
  <c r="BF108" i="142"/>
  <c r="BF107" i="142"/>
  <c r="BF106" i="142"/>
  <c r="BF112" i="142"/>
  <c r="BF105" i="142"/>
  <c r="BD94" i="161" l="1"/>
  <c r="G739" i="112" s="1"/>
  <c r="BD93" i="161"/>
  <c r="G738" i="112" s="1"/>
  <c r="BD89" i="161"/>
  <c r="BD92" i="161"/>
  <c r="G740" i="112" s="1"/>
  <c r="BD91" i="161"/>
  <c r="BK91" i="161" s="1"/>
  <c r="BN91" i="161" s="1"/>
  <c r="BD112" i="142"/>
  <c r="G760" i="112" s="1"/>
  <c r="BN112" i="142"/>
  <c r="Q54" i="142" s="1"/>
  <c r="BD107" i="142"/>
  <c r="G539" i="112" s="1"/>
  <c r="BD108" i="142"/>
  <c r="G540" i="112" s="1"/>
  <c r="BD105" i="142"/>
  <c r="G581" i="112" s="1"/>
  <c r="BD109" i="142"/>
  <c r="G343" i="112" s="1"/>
  <c r="BD106" i="142"/>
  <c r="G454" i="112" s="1"/>
  <c r="BN106" i="142"/>
  <c r="Q36" i="142" s="1"/>
  <c r="BD111" i="142"/>
  <c r="G342" i="112" s="1"/>
  <c r="BN111" i="142"/>
  <c r="Q51" i="142" s="1"/>
  <c r="BD110" i="142"/>
  <c r="G344" i="112" s="1"/>
  <c r="BD145" i="162"/>
  <c r="BH176" i="162"/>
  <c r="BD144" i="162"/>
  <c r="BH175" i="162"/>
  <c r="BD143" i="162"/>
  <c r="G376" i="112" s="1"/>
  <c r="BH174" i="162"/>
  <c r="BD142" i="162"/>
  <c r="BH173" i="162"/>
  <c r="BD141" i="162"/>
  <c r="BF172" i="162"/>
  <c r="BF174" i="162"/>
  <c r="BG174" i="162"/>
  <c r="BG173" i="162"/>
  <c r="BF173" i="162"/>
  <c r="BF176" i="162"/>
  <c r="BG176" i="162"/>
  <c r="BG172" i="162"/>
  <c r="BF175" i="162"/>
  <c r="BG175" i="162"/>
  <c r="BV130" i="163"/>
  <c r="BV143" i="163"/>
  <c r="BV138" i="163"/>
  <c r="BV141" i="163"/>
  <c r="BV139" i="163"/>
  <c r="BV140" i="163"/>
  <c r="BV136" i="163"/>
  <c r="BV144" i="163"/>
  <c r="BV142" i="163"/>
  <c r="BV137" i="163"/>
  <c r="BV145" i="163"/>
  <c r="BV134" i="163"/>
  <c r="BV132" i="163"/>
  <c r="BV129" i="163"/>
  <c r="BV133" i="163"/>
  <c r="BV131" i="163"/>
  <c r="BV135" i="163"/>
  <c r="G588" i="112"/>
  <c r="G600" i="112" l="1"/>
  <c r="BM174" i="162"/>
  <c r="BM91" i="161"/>
  <c r="R233" i="166" s="1"/>
  <c r="R37" i="161"/>
  <c r="BM176" i="162"/>
  <c r="Q47" i="162" s="1"/>
  <c r="BM175" i="162"/>
  <c r="Q44" i="162" s="1"/>
  <c r="BM172" i="162"/>
  <c r="Q35" i="162" s="1"/>
  <c r="BM173" i="162"/>
  <c r="Q38" i="162" s="1"/>
  <c r="Q41" i="162"/>
  <c r="A34" i="135"/>
  <c r="A13" i="135"/>
  <c r="A14" i="135"/>
  <c r="A15" i="135"/>
  <c r="A16" i="135"/>
  <c r="A17" i="135"/>
  <c r="A18" i="135"/>
  <c r="A19" i="135"/>
  <c r="A20" i="135"/>
  <c r="A21" i="135"/>
  <c r="A22" i="135"/>
  <c r="A23" i="135"/>
  <c r="A24" i="135"/>
  <c r="A25" i="135"/>
  <c r="A26" i="135"/>
  <c r="A27" i="135"/>
  <c r="A28" i="135"/>
  <c r="A29" i="135"/>
  <c r="A30" i="135"/>
  <c r="A31" i="135"/>
  <c r="A32" i="135"/>
  <c r="A33" i="135"/>
  <c r="A35" i="135"/>
  <c r="A36" i="135"/>
  <c r="A37" i="135"/>
  <c r="A38" i="135"/>
  <c r="A12" i="135"/>
  <c r="C32" i="132"/>
  <c r="C33" i="132"/>
  <c r="C8" i="132"/>
  <c r="C9" i="132"/>
  <c r="C10" i="132"/>
  <c r="C11" i="132"/>
  <c r="C12" i="132"/>
  <c r="C13" i="132"/>
  <c r="C14" i="132"/>
  <c r="C15" i="132"/>
  <c r="C16" i="132"/>
  <c r="C17" i="132"/>
  <c r="C18" i="132"/>
  <c r="C19" i="132"/>
  <c r="C20" i="132"/>
  <c r="C21" i="132"/>
  <c r="C22" i="132"/>
  <c r="C23" i="132"/>
  <c r="C24" i="132"/>
  <c r="C25" i="132"/>
  <c r="C26" i="132"/>
  <c r="C27" i="132"/>
  <c r="C28" i="132"/>
  <c r="C29" i="132"/>
  <c r="C30" i="132"/>
  <c r="C31" i="132"/>
  <c r="C7" i="132"/>
  <c r="H13" i="135"/>
  <c r="H14" i="135"/>
  <c r="H15" i="135"/>
  <c r="H16" i="135"/>
  <c r="H17" i="135"/>
  <c r="H18" i="135"/>
  <c r="H19" i="135"/>
  <c r="H20" i="135"/>
  <c r="H21" i="135"/>
  <c r="H22" i="135"/>
  <c r="H23" i="135"/>
  <c r="H24" i="135"/>
  <c r="H25" i="135"/>
  <c r="H26" i="135"/>
  <c r="H27" i="135"/>
  <c r="H28" i="135"/>
  <c r="H29" i="135"/>
  <c r="H30" i="135"/>
  <c r="H31" i="135"/>
  <c r="H32" i="135"/>
  <c r="H33" i="135"/>
  <c r="H34" i="135"/>
  <c r="H35" i="135"/>
  <c r="H36" i="135"/>
  <c r="H37" i="135"/>
  <c r="H38" i="135"/>
  <c r="H12" i="135"/>
  <c r="BE12" i="132" l="1"/>
  <c r="CV12" i="132" s="1"/>
  <c r="BE13" i="132"/>
  <c r="CV13" i="132" s="1"/>
  <c r="BE11" i="132"/>
  <c r="CV11" i="132" s="1"/>
  <c r="BE10" i="132"/>
  <c r="CV10" i="132" s="1"/>
  <c r="BE9" i="132"/>
  <c r="CV9" i="132" s="1"/>
  <c r="BE8" i="132"/>
  <c r="CV8" i="132" s="1"/>
  <c r="BE33" i="132"/>
  <c r="CV33" i="132" s="1"/>
  <c r="BE32" i="132"/>
  <c r="CV32" i="132" s="1"/>
  <c r="BE25" i="132"/>
  <c r="CV25" i="132" s="1"/>
  <c r="BE15" i="132"/>
  <c r="CV15" i="132" s="1"/>
  <c r="BE7" i="132"/>
  <c r="CV7" i="132" s="1"/>
  <c r="BE24" i="132"/>
  <c r="CV24" i="132" s="1"/>
  <c r="BE23" i="132"/>
  <c r="CV23" i="132" s="1"/>
  <c r="BE18" i="132"/>
  <c r="CV18" i="132" s="1"/>
  <c r="BE22" i="132"/>
  <c r="CV22" i="132" s="1"/>
  <c r="BE17" i="132"/>
  <c r="CV17" i="132" s="1"/>
  <c r="BE21" i="132"/>
  <c r="CV21" i="132" s="1"/>
  <c r="BE14" i="132"/>
  <c r="CV14" i="132" s="1"/>
  <c r="BE31" i="132"/>
  <c r="CV31" i="132" s="1"/>
  <c r="BE20" i="132"/>
  <c r="CV20" i="132" s="1"/>
  <c r="BE16" i="132"/>
  <c r="CV16" i="132" s="1"/>
  <c r="BE30" i="132"/>
  <c r="CV30" i="132" s="1"/>
  <c r="BE29" i="132"/>
  <c r="CV29" i="132" s="1"/>
  <c r="BE28" i="132"/>
  <c r="CV28" i="132" s="1"/>
  <c r="BE27" i="132"/>
  <c r="CV27" i="132" s="1"/>
  <c r="BE26" i="132"/>
  <c r="CV26" i="132" s="1"/>
  <c r="BE19" i="132"/>
  <c r="CV19" i="132" s="1"/>
  <c r="T47" i="132" l="1"/>
  <c r="V47" i="132"/>
  <c r="U47" i="132"/>
  <c r="T46" i="132"/>
  <c r="V46" i="132"/>
  <c r="U46" i="132"/>
  <c r="U48" i="132" l="1"/>
  <c r="U62" i="132"/>
  <c r="U51" i="132"/>
  <c r="U63" i="132"/>
  <c r="U64" i="132"/>
  <c r="U65" i="132"/>
  <c r="U66" i="132"/>
  <c r="U57" i="132"/>
  <c r="U77" i="132"/>
  <c r="U67" i="132"/>
  <c r="U52" i="132"/>
  <c r="U68" i="132"/>
  <c r="U70" i="132"/>
  <c r="U73" i="132"/>
  <c r="U53" i="132"/>
  <c r="U69" i="132"/>
  <c r="U54" i="132"/>
  <c r="U60" i="132"/>
  <c r="U55" i="132"/>
  <c r="U71" i="132"/>
  <c r="U72" i="132"/>
  <c r="U61" i="132"/>
  <c r="U56" i="132"/>
  <c r="U76" i="132"/>
  <c r="U75" i="132"/>
  <c r="U58" i="132"/>
  <c r="U74" i="132"/>
  <c r="U59" i="132"/>
  <c r="V48" i="132"/>
  <c r="V63" i="132" s="1"/>
  <c r="T48" i="132"/>
  <c r="V53" i="132" l="1"/>
  <c r="V71" i="132"/>
  <c r="V56" i="132"/>
  <c r="V54" i="132"/>
  <c r="V65" i="132"/>
  <c r="V75" i="132"/>
  <c r="V74" i="132"/>
  <c r="V67" i="132"/>
  <c r="V58" i="132"/>
  <c r="V51" i="132"/>
  <c r="V76" i="132"/>
  <c r="V61" i="132"/>
  <c r="V77" i="132"/>
  <c r="V52" i="132"/>
  <c r="V73" i="132"/>
  <c r="V72" i="132"/>
  <c r="V66" i="132"/>
  <c r="V57" i="132"/>
  <c r="V69" i="132"/>
  <c r="V59" i="132"/>
  <c r="V55" i="132"/>
  <c r="V70" i="132"/>
  <c r="V68" i="132"/>
  <c r="V64" i="132"/>
  <c r="V60" i="132"/>
  <c r="V62" i="132"/>
  <c r="T56" i="132"/>
  <c r="T64" i="132"/>
  <c r="T72" i="132"/>
  <c r="T59" i="132"/>
  <c r="T67" i="132"/>
  <c r="T75" i="132"/>
  <c r="T53" i="132"/>
  <c r="T62" i="132"/>
  <c r="T70" i="132"/>
  <c r="T77" i="132"/>
  <c r="T66" i="132"/>
  <c r="T65" i="132"/>
  <c r="T73" i="132"/>
  <c r="T60" i="132"/>
  <c r="T68" i="132"/>
  <c r="T63" i="132"/>
  <c r="T71" i="132"/>
  <c r="T58" i="132"/>
  <c r="T74" i="132"/>
  <c r="T52" i="132"/>
  <c r="T55" i="132"/>
  <c r="T61" i="132"/>
  <c r="T69" i="132"/>
  <c r="T76" i="132"/>
  <c r="T51" i="132"/>
  <c r="T57" i="132"/>
  <c r="T54" i="132"/>
  <c r="V78" i="132" l="1"/>
  <c r="T78" i="132"/>
  <c r="U78" i="132"/>
  <c r="H113" i="128"/>
  <c r="AD128" i="128" l="1"/>
  <c r="S12" i="145"/>
  <c r="S13" i="145"/>
  <c r="S11" i="145"/>
  <c r="S10" i="145"/>
  <c r="D12" i="145"/>
  <c r="F74" i="132" l="1"/>
  <c r="F75" i="132"/>
  <c r="F76" i="132"/>
  <c r="F77" i="132"/>
  <c r="D74" i="132"/>
  <c r="D75" i="132"/>
  <c r="D76" i="132"/>
  <c r="D77" i="132"/>
  <c r="N539" i="151" l="1"/>
  <c r="M539" i="151"/>
  <c r="G539" i="151"/>
  <c r="F539" i="151"/>
  <c r="E539" i="151"/>
  <c r="O538" i="151"/>
  <c r="O56" i="145"/>
  <c r="O57" i="145"/>
  <c r="N592" i="151" l="1"/>
  <c r="K221" i="141" s="1"/>
  <c r="L588" i="151"/>
  <c r="I217" i="141" s="1"/>
  <c r="K589" i="151"/>
  <c r="L589" i="151"/>
  <c r="I218" i="141" s="1"/>
  <c r="K591" i="151"/>
  <c r="U591" i="151"/>
  <c r="R220" i="141" s="1"/>
  <c r="J591" i="151"/>
  <c r="G220" i="141" s="1"/>
  <c r="L591" i="151"/>
  <c r="I220" i="141" s="1"/>
  <c r="I590" i="151"/>
  <c r="F219" i="141" s="1"/>
  <c r="J587" i="151"/>
  <c r="K587" i="151"/>
  <c r="K588" i="151"/>
  <c r="L590" i="151"/>
  <c r="I219" i="141" s="1"/>
  <c r="D587" i="151"/>
  <c r="I587" i="151"/>
  <c r="I592" i="151"/>
  <c r="F221" i="141" s="1"/>
  <c r="U587" i="151"/>
  <c r="I588" i="151"/>
  <c r="F217" i="141" s="1"/>
  <c r="F587" i="151"/>
  <c r="C216" i="141" s="1"/>
  <c r="J590" i="151"/>
  <c r="G219" i="141" s="1"/>
  <c r="K590" i="151"/>
  <c r="T592" i="151"/>
  <c r="Q221" i="141" s="1"/>
  <c r="I589" i="151"/>
  <c r="F218" i="141" s="1"/>
  <c r="I591" i="151"/>
  <c r="F220" i="141" s="1"/>
  <c r="J589" i="151"/>
  <c r="G218" i="141" s="1"/>
  <c r="J588" i="151"/>
  <c r="G217" i="141" s="1"/>
  <c r="L587" i="151"/>
  <c r="C591" i="151"/>
  <c r="T591" i="151"/>
  <c r="Q220" i="141" s="1"/>
  <c r="P591" i="151"/>
  <c r="M220" i="141" s="1"/>
  <c r="O591" i="151"/>
  <c r="L220" i="141" s="1"/>
  <c r="C587" i="151"/>
  <c r="C592" i="151"/>
  <c r="D590" i="151"/>
  <c r="C590" i="151"/>
  <c r="N587" i="151"/>
  <c r="Q591" i="151"/>
  <c r="N220" i="141" s="1"/>
  <c r="N591" i="151"/>
  <c r="K220" i="141" s="1"/>
  <c r="S591" i="151"/>
  <c r="P220" i="141" s="1"/>
  <c r="T587" i="151"/>
  <c r="R591" i="151"/>
  <c r="O220" i="141" s="1"/>
  <c r="S587" i="151"/>
  <c r="R587" i="151"/>
  <c r="P587" i="151"/>
  <c r="Q587" i="151"/>
  <c r="O587" i="151"/>
  <c r="O592" i="151"/>
  <c r="L221" i="141" s="1"/>
  <c r="U592" i="151"/>
  <c r="R221" i="141" s="1"/>
  <c r="Q216" i="141" l="1"/>
  <c r="L216" i="141"/>
  <c r="N216" i="141"/>
  <c r="M216" i="141"/>
  <c r="R216" i="141"/>
  <c r="P216" i="141"/>
  <c r="K216" i="141"/>
  <c r="I216" i="141"/>
  <c r="G216" i="141"/>
  <c r="F216" i="141"/>
  <c r="I593" i="151"/>
  <c r="H220" i="141"/>
  <c r="H218" i="141"/>
  <c r="H217" i="141"/>
  <c r="H219" i="141"/>
  <c r="H216" i="141"/>
  <c r="O216" i="141"/>
  <c r="W591" i="151"/>
  <c r="T220" i="141" s="1"/>
  <c r="E590" i="151"/>
  <c r="W587" i="151"/>
  <c r="V591" i="151"/>
  <c r="S220" i="141" s="1"/>
  <c r="V587" i="151"/>
  <c r="E587" i="151"/>
  <c r="S216" i="141" l="1"/>
  <c r="T216" i="141"/>
  <c r="C575" i="151"/>
  <c r="F222" i="141"/>
  <c r="N616" i="107"/>
  <c r="M616" i="107"/>
  <c r="G616" i="107"/>
  <c r="F616" i="107"/>
  <c r="E616" i="107"/>
  <c r="D615" i="107"/>
  <c r="C615" i="107"/>
  <c r="D614" i="107"/>
  <c r="C614" i="107"/>
  <c r="D613" i="107"/>
  <c r="C613" i="107"/>
  <c r="D612" i="107"/>
  <c r="C612" i="107"/>
  <c r="D611" i="107"/>
  <c r="C611" i="107"/>
  <c r="D610" i="107"/>
  <c r="C610" i="107"/>
  <c r="D609" i="107"/>
  <c r="C609" i="107"/>
  <c r="D608" i="107"/>
  <c r="C608" i="107"/>
  <c r="D607" i="107"/>
  <c r="C607" i="107"/>
  <c r="D606" i="107"/>
  <c r="C606" i="107"/>
  <c r="D605" i="107"/>
  <c r="C605" i="107"/>
  <c r="D604" i="107"/>
  <c r="C604" i="107"/>
  <c r="K597" i="107"/>
  <c r="I597" i="107"/>
  <c r="E597" i="107"/>
  <c r="D597" i="107"/>
  <c r="K596" i="107"/>
  <c r="I596" i="107"/>
  <c r="G596" i="107"/>
  <c r="D596" i="107"/>
  <c r="K595" i="107"/>
  <c r="I595" i="107"/>
  <c r="G595" i="107"/>
  <c r="D595" i="107"/>
  <c r="K594" i="107"/>
  <c r="I594" i="107"/>
  <c r="G594" i="107"/>
  <c r="D594" i="107"/>
  <c r="K593" i="107"/>
  <c r="I593" i="107"/>
  <c r="K592" i="107"/>
  <c r="I592" i="107"/>
  <c r="G592" i="107"/>
  <c r="D592" i="107"/>
  <c r="K591" i="107"/>
  <c r="I591" i="107"/>
  <c r="G591" i="107"/>
  <c r="D591" i="107"/>
  <c r="K590" i="107"/>
  <c r="I590" i="107"/>
  <c r="G590" i="107"/>
  <c r="D590" i="107"/>
  <c r="K589" i="107"/>
  <c r="I589" i="107"/>
  <c r="K588" i="107"/>
  <c r="I588" i="107"/>
  <c r="G588" i="107"/>
  <c r="D588" i="107"/>
  <c r="K587" i="107"/>
  <c r="I587" i="107"/>
  <c r="G587" i="107"/>
  <c r="D587" i="107"/>
  <c r="K586" i="107"/>
  <c r="I586" i="107"/>
  <c r="G586" i="107"/>
  <c r="D586" i="107"/>
  <c r="N510" i="107"/>
  <c r="M510" i="107"/>
  <c r="G510" i="107"/>
  <c r="F510" i="107"/>
  <c r="E510" i="107"/>
  <c r="D509" i="107"/>
  <c r="C509" i="107"/>
  <c r="D508" i="107"/>
  <c r="C508" i="107"/>
  <c r="D507" i="107"/>
  <c r="C507" i="107"/>
  <c r="D506" i="107"/>
  <c r="C506" i="107"/>
  <c r="D505" i="107"/>
  <c r="C505" i="107"/>
  <c r="D504" i="107"/>
  <c r="C504" i="107"/>
  <c r="D503" i="107"/>
  <c r="C503" i="107"/>
  <c r="D502" i="107"/>
  <c r="C502" i="107"/>
  <c r="K495" i="107"/>
  <c r="I495" i="107"/>
  <c r="G495" i="107"/>
  <c r="D495" i="107"/>
  <c r="K494" i="107"/>
  <c r="I494" i="107"/>
  <c r="G494" i="107"/>
  <c r="D494" i="107"/>
  <c r="K493" i="107"/>
  <c r="I493" i="107"/>
  <c r="G493" i="107"/>
  <c r="D493" i="107"/>
  <c r="K492" i="107"/>
  <c r="I492" i="107"/>
  <c r="K491" i="107"/>
  <c r="I491" i="107"/>
  <c r="G491" i="107"/>
  <c r="D491" i="107"/>
  <c r="K490" i="107"/>
  <c r="I490" i="107"/>
  <c r="K489" i="107"/>
  <c r="I489" i="107"/>
  <c r="G489" i="107"/>
  <c r="D489" i="107"/>
  <c r="K488" i="107"/>
  <c r="I488" i="107"/>
  <c r="T668" i="107" l="1"/>
  <c r="T700" i="107"/>
  <c r="C700" i="107"/>
  <c r="U700" i="107"/>
  <c r="U668" i="107"/>
  <c r="C668" i="107"/>
  <c r="I668" i="107"/>
  <c r="F202" i="141" s="1"/>
  <c r="O700" i="107"/>
  <c r="I700" i="107"/>
  <c r="F211" i="141" s="1"/>
  <c r="N668" i="107"/>
  <c r="O668" i="107"/>
  <c r="N700" i="107"/>
  <c r="K211" i="141" l="1"/>
  <c r="K202" i="141"/>
  <c r="L211" i="141"/>
  <c r="R202" i="141"/>
  <c r="R211" i="141"/>
  <c r="L202" i="141"/>
  <c r="Q211" i="141"/>
  <c r="Q202" i="141"/>
  <c r="S3" i="145" a="1"/>
  <c r="S3" i="145" s="1"/>
  <c r="S3" i="159" s="1"/>
  <c r="T3" i="145" a="1"/>
  <c r="T3" i="145" s="1"/>
  <c r="T3" i="159" s="1"/>
  <c r="U3" i="145" a="1"/>
  <c r="U3" i="145" s="1"/>
  <c r="U3" i="159" s="1"/>
  <c r="V3" i="145" a="1"/>
  <c r="V3" i="145" s="1"/>
  <c r="V3" i="159" s="1"/>
  <c r="W3" i="145" a="1"/>
  <c r="W3" i="145" s="1"/>
  <c r="W3" i="159" s="1"/>
  <c r="X3" i="145" a="1"/>
  <c r="X3" i="145" s="1"/>
  <c r="X3" i="159" s="1"/>
  <c r="Y3" i="145" a="1"/>
  <c r="Y3" i="145" s="1"/>
  <c r="Y3" i="159" s="1"/>
  <c r="Z3" i="145" a="1"/>
  <c r="Z3" i="145" s="1"/>
  <c r="Z3" i="159" s="1"/>
  <c r="AA3" i="145" a="1"/>
  <c r="AA3" i="145" s="1"/>
  <c r="AA3" i="159" s="1"/>
  <c r="AB3" i="145" a="1"/>
  <c r="AB3" i="145" s="1"/>
  <c r="AB3" i="159" s="1"/>
  <c r="AC3" i="145" a="1"/>
  <c r="AC3" i="145" s="1"/>
  <c r="AC3" i="159" s="1"/>
  <c r="AE3" i="145" a="1"/>
  <c r="AE3" i="145" s="1"/>
  <c r="AE3" i="159" s="1"/>
  <c r="R3" i="145" a="1"/>
  <c r="R3" i="145" s="1"/>
  <c r="R3" i="159" s="1"/>
  <c r="E3" i="145" a="1"/>
  <c r="E3" i="145" s="1"/>
  <c r="F3" i="145" a="1"/>
  <c r="F3" i="145" s="1"/>
  <c r="G3" i="145" a="1"/>
  <c r="G3" i="145" s="1"/>
  <c r="H3" i="145" a="1"/>
  <c r="H3" i="145" s="1"/>
  <c r="I3" i="145" a="1"/>
  <c r="I3" i="145" s="1"/>
  <c r="J3" i="145" a="1"/>
  <c r="J3" i="145" s="1"/>
  <c r="K3" i="145" a="1"/>
  <c r="K3" i="145" s="1"/>
  <c r="L3" i="145" a="1"/>
  <c r="L3" i="145" s="1"/>
  <c r="M3" i="145" a="1"/>
  <c r="M3" i="145" s="1"/>
  <c r="N3" i="145" a="1"/>
  <c r="N3" i="145" s="1"/>
  <c r="O3" i="159"/>
  <c r="P3" i="145" a="1"/>
  <c r="P3" i="145" s="1"/>
  <c r="D3" i="145" a="1"/>
  <c r="D3" i="145" s="1"/>
  <c r="C3" i="145" a="1"/>
  <c r="C3" i="145" s="1"/>
  <c r="C87" i="145" s="1"/>
  <c r="D43" i="159"/>
  <c r="D44" i="159" s="1"/>
  <c r="B43" i="159"/>
  <c r="B44" i="159" s="1"/>
  <c r="AE29" i="159"/>
  <c r="AC29" i="159"/>
  <c r="AB29" i="159"/>
  <c r="AA29" i="159"/>
  <c r="Z29" i="159"/>
  <c r="Y29" i="159"/>
  <c r="X29" i="159"/>
  <c r="W29" i="159"/>
  <c r="V29" i="159"/>
  <c r="U29" i="159"/>
  <c r="T29" i="159"/>
  <c r="S29" i="159"/>
  <c r="R29" i="159"/>
  <c r="P29" i="159"/>
  <c r="O29" i="159"/>
  <c r="N29" i="159"/>
  <c r="M29" i="159"/>
  <c r="L29" i="159"/>
  <c r="K29" i="159"/>
  <c r="J29" i="159"/>
  <c r="I29" i="159"/>
  <c r="H29" i="159"/>
  <c r="G29" i="159"/>
  <c r="F29" i="159"/>
  <c r="E29" i="159"/>
  <c r="D29" i="159"/>
  <c r="C29" i="159"/>
  <c r="O12" i="159" l="1"/>
  <c r="O10" i="159"/>
  <c r="O11" i="159"/>
  <c r="S11" i="159"/>
  <c r="S12" i="159"/>
  <c r="S14" i="159"/>
  <c r="S13" i="159"/>
  <c r="S10" i="159"/>
  <c r="S15" i="159"/>
  <c r="R14" i="159"/>
  <c r="R12" i="159"/>
  <c r="R15" i="159"/>
  <c r="R10" i="159"/>
  <c r="R13" i="159"/>
  <c r="R11" i="159"/>
  <c r="R17" i="159" s="1"/>
  <c r="V13" i="159"/>
  <c r="V11" i="159"/>
  <c r="V10" i="159"/>
  <c r="V14" i="159"/>
  <c r="V12" i="159"/>
  <c r="V15" i="159"/>
  <c r="AA10" i="159"/>
  <c r="AA13" i="159"/>
  <c r="AA11" i="159"/>
  <c r="AA12" i="159"/>
  <c r="AA14" i="159"/>
  <c r="AA15" i="159"/>
  <c r="Z10" i="159"/>
  <c r="Z13" i="159"/>
  <c r="Z11" i="159"/>
  <c r="Z14" i="159"/>
  <c r="Z12" i="159"/>
  <c r="Z15" i="159"/>
  <c r="T13" i="159"/>
  <c r="T11" i="159"/>
  <c r="T14" i="159"/>
  <c r="T12" i="159"/>
  <c r="T10" i="159"/>
  <c r="T15" i="159"/>
  <c r="AE15" i="159"/>
  <c r="AE13" i="159"/>
  <c r="AE14" i="159"/>
  <c r="Y10" i="159"/>
  <c r="Y13" i="159"/>
  <c r="Y11" i="159"/>
  <c r="Y14" i="159"/>
  <c r="Y12" i="159"/>
  <c r="Y15" i="159"/>
  <c r="AB10" i="159"/>
  <c r="AB15" i="159"/>
  <c r="AB13" i="159"/>
  <c r="AB12" i="159"/>
  <c r="AB11" i="159"/>
  <c r="AB14" i="159"/>
  <c r="X10" i="159"/>
  <c r="X13" i="159"/>
  <c r="X11" i="159"/>
  <c r="X14" i="159"/>
  <c r="X12" i="159"/>
  <c r="X15" i="159"/>
  <c r="U13" i="159"/>
  <c r="U11" i="159"/>
  <c r="U12" i="159"/>
  <c r="U14" i="159"/>
  <c r="U10" i="159"/>
  <c r="U15" i="159"/>
  <c r="AC10" i="159"/>
  <c r="AC14" i="159"/>
  <c r="AC13" i="159"/>
  <c r="AC11" i="159"/>
  <c r="AC12" i="159"/>
  <c r="AC15" i="159"/>
  <c r="W10" i="159"/>
  <c r="W13" i="159"/>
  <c r="W11" i="159"/>
  <c r="W14" i="159"/>
  <c r="W12" i="159"/>
  <c r="W15" i="159"/>
  <c r="K3" i="159"/>
  <c r="I101" i="145"/>
  <c r="I94" i="145"/>
  <c r="H3" i="159"/>
  <c r="F101" i="145"/>
  <c r="F94" i="145"/>
  <c r="G3" i="159"/>
  <c r="E101" i="145"/>
  <c r="E94" i="145"/>
  <c r="M3" i="159"/>
  <c r="K94" i="145"/>
  <c r="K101" i="145"/>
  <c r="J3" i="159"/>
  <c r="H94" i="145"/>
  <c r="H101" i="145"/>
  <c r="I3" i="159"/>
  <c r="G94" i="145"/>
  <c r="G101" i="145"/>
  <c r="F3" i="159"/>
  <c r="D101" i="145"/>
  <c r="D94" i="145"/>
  <c r="N3" i="159"/>
  <c r="N4" i="159" s="1"/>
  <c r="N7" i="159" s="1"/>
  <c r="E87" i="145"/>
  <c r="L3" i="159"/>
  <c r="J94" i="145"/>
  <c r="J101" i="145"/>
  <c r="E3" i="159"/>
  <c r="C101" i="145"/>
  <c r="C94" i="145"/>
  <c r="D3" i="159"/>
  <c r="D87" i="145"/>
  <c r="P3" i="159"/>
  <c r="C107" i="145"/>
  <c r="L94" i="145"/>
  <c r="L101" i="145"/>
  <c r="R6" i="159"/>
  <c r="R9" i="159" s="1"/>
  <c r="R4" i="159"/>
  <c r="R7" i="159" s="1"/>
  <c r="AE5" i="159"/>
  <c r="AE8" i="159" s="1"/>
  <c r="H5" i="159"/>
  <c r="H8" i="159" s="1"/>
  <c r="AA5" i="159"/>
  <c r="AA8" i="159" s="1"/>
  <c r="Y5" i="159"/>
  <c r="Y8" i="159" s="1"/>
  <c r="O6" i="159"/>
  <c r="O9" i="159" s="1"/>
  <c r="O5" i="159"/>
  <c r="O8" i="159" s="1"/>
  <c r="O4" i="159"/>
  <c r="O7" i="159" s="1"/>
  <c r="V5" i="159"/>
  <c r="V8" i="159" s="1"/>
  <c r="U5" i="159"/>
  <c r="U8" i="159" s="1"/>
  <c r="L5" i="159"/>
  <c r="L8" i="159" s="1"/>
  <c r="AC4" i="159"/>
  <c r="AC7" i="159" s="1"/>
  <c r="AC6" i="159"/>
  <c r="AC9" i="159" s="1"/>
  <c r="AB5" i="159"/>
  <c r="AB8" i="159" s="1"/>
  <c r="Z5" i="159"/>
  <c r="Z8" i="159" s="1"/>
  <c r="X5" i="159"/>
  <c r="X8" i="159" s="1"/>
  <c r="W5" i="159"/>
  <c r="W8" i="159" s="1"/>
  <c r="T5" i="159"/>
  <c r="T8" i="159" s="1"/>
  <c r="S6" i="159"/>
  <c r="S9" i="159" s="1"/>
  <c r="S4" i="159"/>
  <c r="S7" i="159" s="1"/>
  <c r="C3" i="159"/>
  <c r="AC10" i="132" l="1"/>
  <c r="AC26" i="132"/>
  <c r="AC9" i="132"/>
  <c r="AC27" i="132"/>
  <c r="AC11" i="132"/>
  <c r="AC19" i="132"/>
  <c r="AC29" i="132"/>
  <c r="AC23" i="132"/>
  <c r="AC14" i="132"/>
  <c r="AC33" i="132"/>
  <c r="AC24" i="132"/>
  <c r="AC17" i="132"/>
  <c r="AC25" i="132"/>
  <c r="AC7" i="132"/>
  <c r="AC13" i="132"/>
  <c r="AC32" i="132"/>
  <c r="AC16" i="132"/>
  <c r="AC30" i="132"/>
  <c r="AC18" i="132"/>
  <c r="AC21" i="132"/>
  <c r="AC31" i="132"/>
  <c r="AC22" i="132"/>
  <c r="AC15" i="132"/>
  <c r="AC8" i="132"/>
  <c r="BR8" i="132" s="1" a="1"/>
  <c r="BR8" i="132" s="1"/>
  <c r="AC20" i="132"/>
  <c r="AC12" i="132"/>
  <c r="AC28" i="132"/>
  <c r="T21" i="159"/>
  <c r="T19" i="159"/>
  <c r="W19" i="159"/>
  <c r="X19" i="159"/>
  <c r="AA19" i="159"/>
  <c r="AC19" i="159"/>
  <c r="Y19" i="159"/>
  <c r="V21" i="159"/>
  <c r="S21" i="159"/>
  <c r="AB21" i="159"/>
  <c r="Y17" i="159"/>
  <c r="AA17" i="159"/>
  <c r="S17" i="159"/>
  <c r="F10" i="159"/>
  <c r="F13" i="159"/>
  <c r="F11" i="159"/>
  <c r="F12" i="159"/>
  <c r="W17" i="159"/>
  <c r="W21" i="159"/>
  <c r="AB17" i="159"/>
  <c r="Z19" i="159"/>
  <c r="R21" i="159"/>
  <c r="J15" i="159"/>
  <c r="J12" i="159"/>
  <c r="J14" i="159"/>
  <c r="J10" i="159"/>
  <c r="J13" i="159"/>
  <c r="J11" i="159"/>
  <c r="R19" i="159"/>
  <c r="C14" i="159"/>
  <c r="C15" i="159"/>
  <c r="C12" i="159"/>
  <c r="C11" i="159"/>
  <c r="P14" i="159"/>
  <c r="P15" i="159"/>
  <c r="P13" i="159"/>
  <c r="AC17" i="159"/>
  <c r="AB19" i="159"/>
  <c r="Z17" i="159"/>
  <c r="D10" i="159"/>
  <c r="D13" i="159"/>
  <c r="D11" i="159"/>
  <c r="D12" i="159"/>
  <c r="M14" i="159"/>
  <c r="M12" i="159"/>
  <c r="M15" i="159"/>
  <c r="M10" i="159"/>
  <c r="M13" i="159"/>
  <c r="M11" i="159"/>
  <c r="U19" i="159"/>
  <c r="Z21" i="159"/>
  <c r="AC21" i="159"/>
  <c r="E5" i="159"/>
  <c r="E8" i="159" s="1"/>
  <c r="E10" i="159"/>
  <c r="E13" i="159"/>
  <c r="E11" i="159"/>
  <c r="E12" i="159"/>
  <c r="G10" i="159"/>
  <c r="G12" i="159"/>
  <c r="G13" i="159"/>
  <c r="G11" i="159"/>
  <c r="U21" i="159"/>
  <c r="S19" i="159"/>
  <c r="K15" i="159"/>
  <c r="K12" i="159"/>
  <c r="K10" i="159"/>
  <c r="K13" i="159"/>
  <c r="K11" i="159"/>
  <c r="K14" i="159"/>
  <c r="V17" i="159"/>
  <c r="X17" i="159"/>
  <c r="T17" i="159"/>
  <c r="I5" i="159"/>
  <c r="I8" i="159" s="1"/>
  <c r="I15" i="159"/>
  <c r="I10" i="159"/>
  <c r="I13" i="159"/>
  <c r="I12" i="159"/>
  <c r="I11" i="159"/>
  <c r="I14" i="159"/>
  <c r="Y21" i="159"/>
  <c r="K5" i="159"/>
  <c r="K8" i="159" s="1"/>
  <c r="X21" i="159"/>
  <c r="L15" i="159"/>
  <c r="L14" i="159"/>
  <c r="L10" i="159"/>
  <c r="L13" i="159"/>
  <c r="L12" i="159"/>
  <c r="L11" i="159"/>
  <c r="H10" i="159"/>
  <c r="H12" i="159"/>
  <c r="H13" i="159"/>
  <c r="H11" i="159"/>
  <c r="U17" i="159"/>
  <c r="AA21" i="159"/>
  <c r="N6" i="159"/>
  <c r="N9" i="159" s="1"/>
  <c r="N14" i="159"/>
  <c r="N12" i="159"/>
  <c r="N15" i="159"/>
  <c r="N13" i="159"/>
  <c r="N11" i="159"/>
  <c r="N10" i="159"/>
  <c r="V19" i="159"/>
  <c r="O16" i="159"/>
  <c r="O18" i="159"/>
  <c r="M5" i="159"/>
  <c r="M8" i="159" s="1"/>
  <c r="G5" i="159"/>
  <c r="G8" i="159" s="1"/>
  <c r="D6" i="159"/>
  <c r="D4" i="159"/>
  <c r="D7" i="159" s="1"/>
  <c r="P5" i="159"/>
  <c r="P8" i="159" s="1"/>
  <c r="F5" i="159"/>
  <c r="F8" i="159" s="1"/>
  <c r="J5" i="159"/>
  <c r="J8" i="159" s="1"/>
  <c r="C6" i="159"/>
  <c r="C9" i="159" s="1"/>
  <c r="C4" i="159"/>
  <c r="C7" i="159" s="1"/>
  <c r="C13" i="159"/>
  <c r="C10" i="159"/>
  <c r="BP26" i="132" l="1" a="1"/>
  <c r="BP26" i="132" s="1"/>
  <c r="BO31" i="132" a="1"/>
  <c r="BO31" i="132" s="1"/>
  <c r="BQ31" i="132" a="1"/>
  <c r="BQ31" i="132" s="1"/>
  <c r="BP16" i="132" a="1"/>
  <c r="BP16" i="132" s="1"/>
  <c r="BT22" i="132" a="1"/>
  <c r="BT22" i="132" s="1"/>
  <c r="BP10" i="132" a="1"/>
  <c r="BP10" i="132" s="1"/>
  <c r="BT26" i="132" a="1"/>
  <c r="BT26" i="132" s="1"/>
  <c r="BT14" i="132" a="1"/>
  <c r="BT14" i="132" s="1"/>
  <c r="BP8" i="132" a="1"/>
  <c r="BP8" i="132" s="1"/>
  <c r="BR10" i="132" a="1"/>
  <c r="BR10" i="132" s="1"/>
  <c r="BR26" i="132" a="1"/>
  <c r="BR26" i="132" s="1"/>
  <c r="BT20" i="132" a="1"/>
  <c r="BT20" i="132" s="1"/>
  <c r="BR22" i="132" a="1"/>
  <c r="BR22" i="132" s="1"/>
  <c r="BT10" i="132" a="1"/>
  <c r="BT10" i="132" s="1"/>
  <c r="BT28" i="132" a="1"/>
  <c r="BT28" i="132" s="1"/>
  <c r="BR14" i="132" a="1"/>
  <c r="BR14" i="132" s="1"/>
  <c r="BR20" i="132" a="1"/>
  <c r="BR20" i="132" s="1"/>
  <c r="BP22" i="132" a="1"/>
  <c r="BP22" i="132" s="1"/>
  <c r="BT8" i="132" a="1"/>
  <c r="BT8" i="132" s="1"/>
  <c r="BP20" i="132" a="1"/>
  <c r="BP20" i="132" s="1"/>
  <c r="BP12" i="132" a="1"/>
  <c r="BP12" i="132" s="1"/>
  <c r="BP28" i="132" a="1"/>
  <c r="BP28" i="132" s="1"/>
  <c r="BR28" i="132" a="1"/>
  <c r="BR28" i="132" s="1"/>
  <c r="BT16" i="132" a="1"/>
  <c r="BT16" i="132" s="1"/>
  <c r="BR24" i="132" a="1"/>
  <c r="BR24" i="132" s="1"/>
  <c r="BT18" i="132" a="1"/>
  <c r="BT18" i="132" s="1"/>
  <c r="BT12" i="132" a="1"/>
  <c r="BT12" i="132" s="1"/>
  <c r="BR12" i="132" a="1"/>
  <c r="BR12" i="132" s="1"/>
  <c r="BR18" i="132" a="1"/>
  <c r="BR18" i="132" s="1"/>
  <c r="BR30" i="132" a="1"/>
  <c r="BR30" i="132" s="1"/>
  <c r="BT24" i="132" a="1"/>
  <c r="BT24" i="132" s="1"/>
  <c r="BP30" i="132" a="1"/>
  <c r="BP30" i="132" s="1"/>
  <c r="BP24" i="132" a="1"/>
  <c r="BP24" i="132" s="1"/>
  <c r="BR16" i="132" a="1"/>
  <c r="BR16" i="132" s="1"/>
  <c r="BT30" i="132" a="1"/>
  <c r="BT30" i="132" s="1"/>
  <c r="BP14" i="132" a="1"/>
  <c r="BP14" i="132" s="1"/>
  <c r="BP18" i="132" a="1"/>
  <c r="BP18" i="132" s="1"/>
  <c r="H17" i="159"/>
  <c r="K19" i="159"/>
  <c r="G21" i="159"/>
  <c r="C21" i="159"/>
  <c r="M17" i="159"/>
  <c r="N21" i="159"/>
  <c r="N17" i="159"/>
  <c r="J17" i="159"/>
  <c r="L21" i="159"/>
  <c r="K17" i="159"/>
  <c r="E17" i="159"/>
  <c r="D21" i="159"/>
  <c r="J19" i="159"/>
  <c r="I17" i="159"/>
  <c r="G19" i="159"/>
  <c r="D19" i="159"/>
  <c r="M21" i="159"/>
  <c r="M19" i="159"/>
  <c r="D17" i="159"/>
  <c r="I21" i="159"/>
  <c r="H21" i="159"/>
  <c r="E21" i="159"/>
  <c r="F17" i="159"/>
  <c r="E19" i="159"/>
  <c r="H19" i="159"/>
  <c r="J21" i="159"/>
  <c r="F19" i="159"/>
  <c r="I19" i="159"/>
  <c r="L19" i="159"/>
  <c r="C17" i="159"/>
  <c r="G17" i="159"/>
  <c r="N19" i="159"/>
  <c r="L17" i="159"/>
  <c r="K21" i="159"/>
  <c r="C19" i="159"/>
  <c r="F21" i="159"/>
  <c r="D9" i="159"/>
  <c r="N741" i="112"/>
  <c r="BR21" i="132" l="1" a="1"/>
  <c r="BR21" i="132" s="1"/>
  <c r="BR23" i="132" a="1"/>
  <c r="BR23" i="132" s="1"/>
  <c r="BT25" i="132" a="1"/>
  <c r="BT25" i="132" s="1"/>
  <c r="BR13" i="132" a="1"/>
  <c r="BR13" i="132" s="1"/>
  <c r="BP25" i="132" a="1"/>
  <c r="BP25" i="132" s="1"/>
  <c r="BP11" i="132" a="1"/>
  <c r="BP11" i="132" s="1"/>
  <c r="BT9" i="132" a="1"/>
  <c r="BT9" i="132" s="1"/>
  <c r="BR11" i="132" a="1"/>
  <c r="BR11" i="132" s="1"/>
  <c r="BP21" i="132" a="1"/>
  <c r="BP21" i="132" s="1"/>
  <c r="BR29" i="132" a="1"/>
  <c r="BR29" i="132" s="1"/>
  <c r="BP27" i="132" a="1"/>
  <c r="BP27" i="132" s="1"/>
  <c r="BP23" i="132" a="1"/>
  <c r="BP23" i="132" s="1"/>
  <c r="BP13" i="132" a="1"/>
  <c r="BP13" i="132" s="1"/>
  <c r="BT11" i="132" a="1"/>
  <c r="BT11" i="132" s="1"/>
  <c r="BT29" i="132" a="1"/>
  <c r="BT29" i="132" s="1"/>
  <c r="BR27" i="132" a="1"/>
  <c r="BR27" i="132" s="1"/>
  <c r="BT13" i="132" a="1"/>
  <c r="BT13" i="132" s="1"/>
  <c r="BT19" i="132" a="1"/>
  <c r="BT19" i="132" s="1"/>
  <c r="BT15" i="132" a="1"/>
  <c r="BT15" i="132" s="1"/>
  <c r="BR25" i="132" a="1"/>
  <c r="BR25" i="132" s="1"/>
  <c r="BT27" i="132" a="1"/>
  <c r="BT27" i="132" s="1"/>
  <c r="BR17" i="132" a="1"/>
  <c r="BR17" i="132" s="1"/>
  <c r="BT21" i="132" a="1"/>
  <c r="BT21" i="132" s="1"/>
  <c r="BR9" i="132" a="1"/>
  <c r="BR9" i="132" s="1"/>
  <c r="BT23" i="132" a="1"/>
  <c r="BT23" i="132" s="1"/>
  <c r="BP29" i="132" a="1"/>
  <c r="BP29" i="132" s="1"/>
  <c r="BR15" i="132" a="1"/>
  <c r="BR15" i="132" s="1"/>
  <c r="BP15" i="132" a="1"/>
  <c r="BP15" i="132" s="1"/>
  <c r="BP19" i="132" a="1"/>
  <c r="BP19" i="132" s="1"/>
  <c r="BP17" i="132" a="1"/>
  <c r="BP17" i="132" s="1"/>
  <c r="BT17" i="132" a="1"/>
  <c r="BT17" i="132" s="1"/>
  <c r="BT7" i="132" a="1"/>
  <c r="BT7" i="132" s="1"/>
  <c r="BP7" i="132" a="1"/>
  <c r="BP7" i="132" s="1"/>
  <c r="BP9" i="132" a="1"/>
  <c r="BP9" i="132" s="1"/>
  <c r="BR7" i="132" a="1"/>
  <c r="BR7" i="132" s="1"/>
  <c r="BR19" i="132" a="1"/>
  <c r="BR19" i="132" s="1"/>
  <c r="AB127" i="128"/>
  <c r="D438" i="107" l="1"/>
  <c r="E437" i="107"/>
  <c r="C438" i="107"/>
  <c r="C437" i="107"/>
  <c r="I430" i="107"/>
  <c r="D430" i="107"/>
  <c r="I429" i="107"/>
  <c r="K430" i="107"/>
  <c r="K429" i="107"/>
  <c r="K428" i="107"/>
  <c r="I428" i="107"/>
  <c r="D429" i="107" l="1"/>
  <c r="D428" i="107"/>
  <c r="Y75" i="111" l="1"/>
  <c r="X75" i="111"/>
  <c r="Y84" i="111"/>
  <c r="AT33" i="132" s="1"/>
  <c r="Y81" i="111"/>
  <c r="AT32" i="132" s="1"/>
  <c r="Y78" i="111"/>
  <c r="AT31" i="132" s="1"/>
  <c r="X84" i="111"/>
  <c r="AS33" i="132" s="1"/>
  <c r="X81" i="111"/>
  <c r="AS32" i="132" s="1"/>
  <c r="X78" i="111"/>
  <c r="AS31" i="132" s="1"/>
  <c r="AD8" i="132"/>
  <c r="AD9" i="132"/>
  <c r="AD10" i="132"/>
  <c r="AD11" i="132"/>
  <c r="AD12" i="132"/>
  <c r="AD13" i="132"/>
  <c r="AD14" i="132"/>
  <c r="AD15" i="132"/>
  <c r="AD16" i="132"/>
  <c r="AD17" i="132"/>
  <c r="AD18" i="132"/>
  <c r="AD19" i="132"/>
  <c r="AD20" i="132"/>
  <c r="AD21" i="132"/>
  <c r="AD22" i="132"/>
  <c r="AD23" i="132"/>
  <c r="AD24" i="132"/>
  <c r="AD25" i="132"/>
  <c r="AD26" i="132"/>
  <c r="AD27" i="132"/>
  <c r="AD28" i="132"/>
  <c r="AD29" i="132"/>
  <c r="AD30" i="132"/>
  <c r="AD31" i="132"/>
  <c r="AD32" i="132"/>
  <c r="AD33" i="132"/>
  <c r="AD7" i="132"/>
  <c r="D491" i="151"/>
  <c r="C491" i="151"/>
  <c r="D490" i="151"/>
  <c r="C490" i="151"/>
  <c r="D489" i="151"/>
  <c r="C489" i="151"/>
  <c r="K483" i="151"/>
  <c r="I483" i="151"/>
  <c r="D483" i="151"/>
  <c r="K482" i="151"/>
  <c r="I482" i="151"/>
  <c r="K481" i="151"/>
  <c r="I481" i="151"/>
  <c r="D457" i="151"/>
  <c r="D456" i="151"/>
  <c r="D455" i="151"/>
  <c r="C457" i="151"/>
  <c r="C456" i="151"/>
  <c r="C455" i="151"/>
  <c r="D454" i="151"/>
  <c r="K446" i="151"/>
  <c r="I446" i="151"/>
  <c r="G446" i="151"/>
  <c r="D446" i="151"/>
  <c r="K445" i="151"/>
  <c r="I445" i="151"/>
  <c r="G445" i="151"/>
  <c r="D445" i="151"/>
  <c r="K444" i="151"/>
  <c r="I444" i="151"/>
  <c r="I443" i="151"/>
  <c r="G444" i="151"/>
  <c r="D444" i="151"/>
  <c r="K443" i="151"/>
  <c r="G443" i="151"/>
  <c r="D443" i="151"/>
  <c r="AM11" i="132" l="1"/>
  <c r="AV11" i="132"/>
  <c r="AV29" i="132"/>
  <c r="AM29" i="132"/>
  <c r="AM22" i="132"/>
  <c r="AV22" i="132"/>
  <c r="AM28" i="132"/>
  <c r="AV28" i="132"/>
  <c r="AM21" i="132"/>
  <c r="AV21" i="132"/>
  <c r="AV13" i="132"/>
  <c r="AM13" i="132"/>
  <c r="AM27" i="132"/>
  <c r="AV27" i="132"/>
  <c r="AM9" i="132"/>
  <c r="AV9" i="132"/>
  <c r="AV20" i="132"/>
  <c r="AM20" i="132"/>
  <c r="AV15" i="132"/>
  <c r="AM15" i="132"/>
  <c r="AM25" i="132"/>
  <c r="AV25" i="132"/>
  <c r="AM23" i="132"/>
  <c r="AV23" i="132"/>
  <c r="AV19" i="132"/>
  <c r="AM19" i="132"/>
  <c r="AM14" i="132"/>
  <c r="AV14" i="132"/>
  <c r="AM10" i="132"/>
  <c r="AV10" i="132"/>
  <c r="AV7" i="132"/>
  <c r="AM7" i="132"/>
  <c r="AM18" i="132"/>
  <c r="AV18" i="132"/>
  <c r="AV31" i="132"/>
  <c r="AM31" i="132"/>
  <c r="AM12" i="132"/>
  <c r="AV12" i="132"/>
  <c r="AM8" i="132"/>
  <c r="AV8" i="132"/>
  <c r="AV33" i="132"/>
  <c r="AM33" i="132"/>
  <c r="AV17" i="132"/>
  <c r="AM17" i="132"/>
  <c r="AV30" i="132"/>
  <c r="AM30" i="132"/>
  <c r="AM26" i="132"/>
  <c r="AV26" i="132"/>
  <c r="AM24" i="132"/>
  <c r="AV24" i="132"/>
  <c r="AV32" i="132"/>
  <c r="AM32" i="132"/>
  <c r="AV16" i="132"/>
  <c r="AM16" i="132"/>
  <c r="C454" i="151" l="1"/>
  <c r="D404" i="151"/>
  <c r="C404" i="151"/>
  <c r="D403" i="151"/>
  <c r="C403" i="151"/>
  <c r="D402" i="151"/>
  <c r="C402" i="151"/>
  <c r="K395" i="151"/>
  <c r="I395" i="151"/>
  <c r="D395" i="151"/>
  <c r="K394" i="151"/>
  <c r="I394" i="151"/>
  <c r="D394" i="151"/>
  <c r="K393" i="151"/>
  <c r="I393" i="151"/>
  <c r="D393" i="151"/>
  <c r="F108" i="132" l="1"/>
  <c r="F109" i="132"/>
  <c r="F110" i="132"/>
  <c r="D108" i="132"/>
  <c r="D109" i="132"/>
  <c r="D110" i="132"/>
  <c r="G37" i="135"/>
  <c r="G38" i="135"/>
  <c r="G36" i="135"/>
  <c r="G12" i="135"/>
  <c r="E405" i="151"/>
  <c r="H405" i="151"/>
  <c r="I405" i="151"/>
  <c r="J405" i="151"/>
  <c r="K405" i="151"/>
  <c r="L405" i="151"/>
  <c r="M405" i="151"/>
  <c r="N405" i="151"/>
  <c r="C371" i="151"/>
  <c r="D371" i="151"/>
  <c r="C372" i="151"/>
  <c r="D372" i="151"/>
  <c r="E373" i="151"/>
  <c r="H373" i="151"/>
  <c r="I373" i="151"/>
  <c r="J373" i="151"/>
  <c r="K373" i="151"/>
  <c r="L373" i="151"/>
  <c r="M373" i="151"/>
  <c r="N373" i="151"/>
  <c r="D361" i="151"/>
  <c r="G361" i="151"/>
  <c r="I361" i="151"/>
  <c r="K361" i="151"/>
  <c r="D362" i="151"/>
  <c r="G362" i="151"/>
  <c r="I362" i="151"/>
  <c r="K362" i="151"/>
  <c r="D363" i="151"/>
  <c r="G363" i="151"/>
  <c r="I363" i="151"/>
  <c r="K363" i="151"/>
  <c r="D364" i="151"/>
  <c r="G364" i="151"/>
  <c r="I364" i="151"/>
  <c r="K364" i="151"/>
  <c r="S589" i="151" l="1"/>
  <c r="P218" i="141" s="1"/>
  <c r="U590" i="151"/>
  <c r="R219" i="141" s="1"/>
  <c r="T590" i="151"/>
  <c r="Q219" i="141" s="1"/>
  <c r="Q589" i="151"/>
  <c r="N218" i="141" s="1"/>
  <c r="R589" i="151"/>
  <c r="O218" i="141" s="1"/>
  <c r="P589" i="151"/>
  <c r="M218" i="141" s="1"/>
  <c r="U589" i="151"/>
  <c r="R218" i="141" s="1"/>
  <c r="T589" i="151"/>
  <c r="Q218" i="141" s="1"/>
  <c r="S588" i="151"/>
  <c r="R588" i="151"/>
  <c r="Q588" i="151"/>
  <c r="P588" i="151"/>
  <c r="U588" i="151"/>
  <c r="T588" i="151"/>
  <c r="Q82" i="111"/>
  <c r="Q81" i="111"/>
  <c r="Q80" i="111"/>
  <c r="AE31" i="132"/>
  <c r="AW31" i="132"/>
  <c r="AN31" i="132"/>
  <c r="AW33" i="132"/>
  <c r="AE33" i="132"/>
  <c r="AN33" i="132"/>
  <c r="Q79" i="111"/>
  <c r="Q78" i="111"/>
  <c r="Q77" i="111"/>
  <c r="AE7" i="132"/>
  <c r="AW7" i="132"/>
  <c r="AW32" i="132"/>
  <c r="AE32" i="132"/>
  <c r="AN32" i="132"/>
  <c r="C75" i="132"/>
  <c r="R217" i="141" l="1"/>
  <c r="U593" i="151"/>
  <c r="M217" i="141"/>
  <c r="Q217" i="141"/>
  <c r="T593" i="151"/>
  <c r="P217" i="141"/>
  <c r="N217" i="141"/>
  <c r="O217" i="141"/>
  <c r="C76" i="132"/>
  <c r="C77" i="132"/>
  <c r="R222" i="141"/>
  <c r="V589" i="151"/>
  <c r="S218" i="141" s="1"/>
  <c r="Q222" i="141"/>
  <c r="C108" i="132"/>
  <c r="W589" i="151"/>
  <c r="T218" i="141" s="1"/>
  <c r="V588" i="151"/>
  <c r="W588" i="151"/>
  <c r="C110" i="132"/>
  <c r="C109" i="132"/>
  <c r="Q85" i="111"/>
  <c r="Q83" i="111"/>
  <c r="Q84" i="111"/>
  <c r="O72" i="145"/>
  <c r="O73" i="145"/>
  <c r="S217" i="141" l="1"/>
  <c r="T217" i="141"/>
  <c r="D403" i="152"/>
  <c r="C403" i="152"/>
  <c r="D402" i="152"/>
  <c r="C402" i="152"/>
  <c r="D401" i="152"/>
  <c r="C401" i="152"/>
  <c r="K394" i="152"/>
  <c r="I394" i="152"/>
  <c r="D394" i="152"/>
  <c r="K393" i="152"/>
  <c r="I393" i="152"/>
  <c r="D393" i="152"/>
  <c r="K392" i="152"/>
  <c r="I392" i="152"/>
  <c r="D392" i="152"/>
  <c r="E404" i="152"/>
  <c r="H404" i="152"/>
  <c r="I404" i="152"/>
  <c r="J404" i="152"/>
  <c r="K404" i="152"/>
  <c r="L404" i="152"/>
  <c r="M404" i="152"/>
  <c r="N404" i="152"/>
  <c r="D772" i="152"/>
  <c r="C772" i="152"/>
  <c r="D771" i="152"/>
  <c r="C771" i="152"/>
  <c r="D770" i="152"/>
  <c r="C770" i="152"/>
  <c r="D769" i="152"/>
  <c r="C769" i="152"/>
  <c r="D768" i="152"/>
  <c r="C768" i="152"/>
  <c r="D767" i="152"/>
  <c r="C767" i="152"/>
  <c r="D766" i="152"/>
  <c r="C766" i="152"/>
  <c r="D765" i="152"/>
  <c r="C765" i="152"/>
  <c r="D764" i="152"/>
  <c r="C764" i="152"/>
  <c r="D763" i="152"/>
  <c r="C763" i="152"/>
  <c r="D762" i="152"/>
  <c r="C762" i="152"/>
  <c r="D761" i="152"/>
  <c r="C761" i="152"/>
  <c r="K753" i="152"/>
  <c r="I753" i="152"/>
  <c r="E753" i="152"/>
  <c r="D753" i="152"/>
  <c r="K752" i="152"/>
  <c r="I752" i="152"/>
  <c r="G752" i="152"/>
  <c r="D752" i="152"/>
  <c r="K751" i="152"/>
  <c r="I751" i="152"/>
  <c r="G751" i="152"/>
  <c r="D751" i="152"/>
  <c r="K750" i="152"/>
  <c r="I750" i="152"/>
  <c r="G750" i="152"/>
  <c r="D750" i="152"/>
  <c r="K749" i="152"/>
  <c r="I749" i="152"/>
  <c r="K748" i="152"/>
  <c r="I748" i="152"/>
  <c r="G748" i="152"/>
  <c r="D748" i="152"/>
  <c r="K747" i="152"/>
  <c r="I747" i="152"/>
  <c r="G747" i="152"/>
  <c r="D747" i="152"/>
  <c r="K746" i="152"/>
  <c r="I746" i="152"/>
  <c r="G746" i="152"/>
  <c r="D746" i="152"/>
  <c r="K745" i="152"/>
  <c r="I745" i="152"/>
  <c r="K744" i="152"/>
  <c r="I744" i="152"/>
  <c r="G744" i="152"/>
  <c r="D744" i="152"/>
  <c r="K743" i="152"/>
  <c r="I743" i="152"/>
  <c r="G743" i="152"/>
  <c r="D743" i="152"/>
  <c r="K742" i="152"/>
  <c r="I742" i="152"/>
  <c r="G742" i="152"/>
  <c r="D742" i="152"/>
  <c r="D611" i="152"/>
  <c r="C611" i="152"/>
  <c r="D610" i="152"/>
  <c r="C610" i="152"/>
  <c r="D609" i="152"/>
  <c r="C609" i="152"/>
  <c r="D608" i="152"/>
  <c r="C608" i="152"/>
  <c r="D607" i="152"/>
  <c r="C607" i="152"/>
  <c r="D606" i="152"/>
  <c r="C606" i="152"/>
  <c r="D605" i="152"/>
  <c r="C605" i="152"/>
  <c r="D604" i="152"/>
  <c r="C604" i="152"/>
  <c r="K596" i="152"/>
  <c r="I596" i="152"/>
  <c r="G596" i="152"/>
  <c r="D596" i="152"/>
  <c r="K595" i="152"/>
  <c r="I595" i="152"/>
  <c r="G595" i="152"/>
  <c r="D595" i="152"/>
  <c r="K594" i="152"/>
  <c r="I594" i="152"/>
  <c r="G594" i="152"/>
  <c r="D594" i="152"/>
  <c r="K593" i="152"/>
  <c r="I593" i="152"/>
  <c r="K592" i="152"/>
  <c r="I592" i="152"/>
  <c r="G592" i="152"/>
  <c r="D592" i="152"/>
  <c r="K591" i="152"/>
  <c r="I591" i="152"/>
  <c r="K590" i="152"/>
  <c r="I590" i="152"/>
  <c r="G590" i="152"/>
  <c r="D590" i="152"/>
  <c r="K589" i="152"/>
  <c r="I589" i="152"/>
  <c r="A881" i="152"/>
  <c r="A880" i="152"/>
  <c r="A879" i="152"/>
  <c r="A878" i="152"/>
  <c r="A877" i="152"/>
  <c r="A876" i="152"/>
  <c r="A875" i="152"/>
  <c r="A849" i="152"/>
  <c r="A848" i="152"/>
  <c r="A847" i="152"/>
  <c r="A846" i="152"/>
  <c r="A845" i="152"/>
  <c r="A844" i="152"/>
  <c r="A843" i="152"/>
  <c r="N791" i="152"/>
  <c r="M791" i="152"/>
  <c r="G791" i="152"/>
  <c r="F791" i="152"/>
  <c r="E791" i="152"/>
  <c r="O790" i="152"/>
  <c r="N630" i="152"/>
  <c r="M630" i="152"/>
  <c r="T848" i="152" s="1"/>
  <c r="G630" i="152"/>
  <c r="F630" i="152"/>
  <c r="E630" i="152"/>
  <c r="N372" i="152"/>
  <c r="M372" i="152"/>
  <c r="L372" i="152"/>
  <c r="K372" i="152"/>
  <c r="J372" i="152"/>
  <c r="I372" i="152"/>
  <c r="H372" i="152"/>
  <c r="E372" i="152"/>
  <c r="D371" i="152"/>
  <c r="C371" i="152"/>
  <c r="D370" i="152"/>
  <c r="C370" i="152"/>
  <c r="K363" i="152"/>
  <c r="I363" i="152"/>
  <c r="G363" i="152"/>
  <c r="D363" i="152"/>
  <c r="K362" i="152"/>
  <c r="I362" i="152"/>
  <c r="G362" i="152"/>
  <c r="D362" i="152"/>
  <c r="K361" i="152"/>
  <c r="I361" i="152"/>
  <c r="G361" i="152"/>
  <c r="D361" i="152"/>
  <c r="K360" i="152"/>
  <c r="I360" i="152"/>
  <c r="G360" i="152"/>
  <c r="D360" i="152"/>
  <c r="D514" i="152"/>
  <c r="C514" i="152"/>
  <c r="D513" i="152"/>
  <c r="C513" i="152"/>
  <c r="D512" i="152"/>
  <c r="C512" i="152"/>
  <c r="K505" i="152"/>
  <c r="I505" i="152"/>
  <c r="D505" i="152"/>
  <c r="K504" i="152"/>
  <c r="I504" i="152"/>
  <c r="K503" i="152"/>
  <c r="I503" i="152"/>
  <c r="D459" i="152"/>
  <c r="C459" i="152"/>
  <c r="D458" i="152"/>
  <c r="C458" i="152"/>
  <c r="D457" i="152"/>
  <c r="C457" i="152"/>
  <c r="D456" i="152"/>
  <c r="C456" i="152"/>
  <c r="D455" i="152"/>
  <c r="C455" i="152"/>
  <c r="K447" i="152"/>
  <c r="I447" i="152"/>
  <c r="G447" i="152"/>
  <c r="D447" i="152"/>
  <c r="K446" i="152"/>
  <c r="I446" i="152"/>
  <c r="G446" i="152"/>
  <c r="D446" i="152"/>
  <c r="K445" i="152"/>
  <c r="I445" i="152"/>
  <c r="G445" i="152"/>
  <c r="D445" i="152"/>
  <c r="K444" i="152"/>
  <c r="I444" i="152"/>
  <c r="G444" i="152"/>
  <c r="D444" i="152"/>
  <c r="K443" i="152"/>
  <c r="I443" i="152"/>
  <c r="G443" i="152"/>
  <c r="D443" i="152"/>
  <c r="K442" i="152"/>
  <c r="I442" i="152"/>
  <c r="G442" i="152"/>
  <c r="D442" i="152"/>
  <c r="K441" i="152"/>
  <c r="I441" i="152"/>
  <c r="G441" i="152"/>
  <c r="D441" i="152"/>
  <c r="K440" i="152"/>
  <c r="I440" i="152"/>
  <c r="G440" i="152"/>
  <c r="D440" i="152"/>
  <c r="K439" i="152"/>
  <c r="I439" i="152"/>
  <c r="G439" i="152"/>
  <c r="D439" i="152"/>
  <c r="N461" i="152"/>
  <c r="M461" i="152"/>
  <c r="E461" i="152"/>
  <c r="E421" i="152"/>
  <c r="E418" i="152"/>
  <c r="E417" i="152"/>
  <c r="U880" i="152" l="1"/>
  <c r="U848" i="152"/>
  <c r="T845" i="152"/>
  <c r="T877" i="152"/>
  <c r="U844" i="152"/>
  <c r="U876" i="152"/>
  <c r="U845" i="152"/>
  <c r="U877" i="152"/>
  <c r="T844" i="152"/>
  <c r="T876" i="152"/>
  <c r="T880" i="152"/>
  <c r="S844" i="152"/>
  <c r="S876" i="152"/>
  <c r="R876" i="152"/>
  <c r="R844" i="152"/>
  <c r="F875" i="152"/>
  <c r="I879" i="152"/>
  <c r="K875" i="152"/>
  <c r="L877" i="152"/>
  <c r="I876" i="152"/>
  <c r="I843" i="152"/>
  <c r="J876" i="152"/>
  <c r="K877" i="152"/>
  <c r="N847" i="152"/>
  <c r="P879" i="152"/>
  <c r="S879" i="152"/>
  <c r="C847" i="152"/>
  <c r="P843" i="152"/>
  <c r="R847" i="152"/>
  <c r="I844" i="152"/>
  <c r="J877" i="152"/>
  <c r="K878" i="152"/>
  <c r="D875" i="152"/>
  <c r="C848" i="152"/>
  <c r="C880" i="152"/>
  <c r="C843" i="152"/>
  <c r="K876" i="152"/>
  <c r="I845" i="152"/>
  <c r="J878" i="152"/>
  <c r="K879" i="152"/>
  <c r="N875" i="152"/>
  <c r="T843" i="152"/>
  <c r="C875" i="152"/>
  <c r="R879" i="152"/>
  <c r="I846" i="152"/>
  <c r="J879" i="152"/>
  <c r="N879" i="152"/>
  <c r="R843" i="152"/>
  <c r="T847" i="152"/>
  <c r="D878" i="152"/>
  <c r="I847" i="152"/>
  <c r="Q843" i="152"/>
  <c r="U875" i="152"/>
  <c r="J875" i="152"/>
  <c r="I848" i="152"/>
  <c r="O843" i="152"/>
  <c r="Q847" i="152"/>
  <c r="T875" i="152"/>
  <c r="Q875" i="152"/>
  <c r="N843" i="152"/>
  <c r="I877" i="152"/>
  <c r="I875" i="152"/>
  <c r="L879" i="152"/>
  <c r="L843" i="152"/>
  <c r="O847" i="152"/>
  <c r="T879" i="152"/>
  <c r="C879" i="152"/>
  <c r="K846" i="152"/>
  <c r="S843" i="152"/>
  <c r="I880" i="152"/>
  <c r="L844" i="152"/>
  <c r="J846" i="152"/>
  <c r="P875" i="152"/>
  <c r="L878" i="152"/>
  <c r="K843" i="152"/>
  <c r="L845" i="152"/>
  <c r="O875" i="152"/>
  <c r="Q879" i="152"/>
  <c r="U843" i="152"/>
  <c r="D843" i="152"/>
  <c r="I878" i="152"/>
  <c r="K847" i="152"/>
  <c r="F843" i="152"/>
  <c r="J843" i="152"/>
  <c r="K844" i="152"/>
  <c r="L846" i="152"/>
  <c r="O879" i="152"/>
  <c r="U847" i="152"/>
  <c r="J845" i="152"/>
  <c r="L875" i="152"/>
  <c r="J844" i="152"/>
  <c r="K845" i="152"/>
  <c r="L847" i="152"/>
  <c r="D846" i="152"/>
  <c r="R875" i="152"/>
  <c r="U879" i="152"/>
  <c r="J847" i="152"/>
  <c r="L876" i="152"/>
  <c r="P847" i="152"/>
  <c r="S847" i="152"/>
  <c r="S875" i="152"/>
  <c r="Q844" i="152"/>
  <c r="Q876" i="152"/>
  <c r="P844" i="152"/>
  <c r="P876" i="152"/>
  <c r="J443" i="152"/>
  <c r="I881" i="152" l="1"/>
  <c r="I849" i="152"/>
  <c r="N483" i="152"/>
  <c r="M483" i="152"/>
  <c r="L483" i="152"/>
  <c r="K483" i="152"/>
  <c r="J483" i="152"/>
  <c r="I483" i="152"/>
  <c r="H483" i="152"/>
  <c r="G483" i="152"/>
  <c r="F483" i="152"/>
  <c r="E483" i="152"/>
  <c r="D482" i="152"/>
  <c r="C482" i="152"/>
  <c r="K475" i="152"/>
  <c r="I475" i="152"/>
  <c r="G475" i="152"/>
  <c r="D475" i="152"/>
  <c r="K474" i="152"/>
  <c r="I474" i="152"/>
  <c r="G474" i="152"/>
  <c r="D474" i="152"/>
  <c r="N846" i="152" l="1"/>
  <c r="N878" i="152"/>
  <c r="O846" i="152"/>
  <c r="O878" i="152"/>
  <c r="P846" i="152"/>
  <c r="P878" i="152"/>
  <c r="Q846" i="152"/>
  <c r="Q878" i="152"/>
  <c r="R846" i="152"/>
  <c r="R878" i="152"/>
  <c r="S846" i="152"/>
  <c r="S878" i="152"/>
  <c r="T846" i="152"/>
  <c r="T849" i="152" s="1"/>
  <c r="T878" i="152"/>
  <c r="T881" i="152" s="1"/>
  <c r="U846" i="152"/>
  <c r="U849" i="152" s="1"/>
  <c r="U878" i="152"/>
  <c r="U881" i="152" s="1"/>
  <c r="N576" i="112"/>
  <c r="A698" i="98" l="1"/>
  <c r="N651" i="112" l="1"/>
  <c r="F651" i="112" s="1"/>
  <c r="D651" i="112" s="1"/>
  <c r="G368" i="112" l="1"/>
  <c r="G363" i="112"/>
  <c r="G387" i="112"/>
  <c r="G382" i="112"/>
  <c r="G380" i="112"/>
  <c r="G361" i="112"/>
  <c r="G356" i="112"/>
  <c r="G354" i="112"/>
  <c r="G349" i="112"/>
  <c r="C445" i="152" l="1"/>
  <c r="O458" i="152" l="1"/>
  <c r="J445" i="152"/>
  <c r="AB125" i="128" l="1"/>
  <c r="L91" i="128" l="1"/>
  <c r="M91" i="128"/>
  <c r="AB126" i="128"/>
  <c r="AC125" i="128"/>
  <c r="AC127" i="128"/>
  <c r="AC128" i="128"/>
  <c r="G126" i="112" l="1"/>
  <c r="G125" i="112"/>
  <c r="G122" i="112"/>
  <c r="G121" i="112"/>
  <c r="G120" i="112"/>
  <c r="G119" i="112"/>
  <c r="I20" i="128"/>
  <c r="I19" i="128"/>
  <c r="I18" i="128"/>
  <c r="B20" i="128"/>
  <c r="B19" i="128"/>
  <c r="B18" i="128"/>
  <c r="Y15" i="128"/>
  <c r="Y16" i="128" l="1"/>
  <c r="Y25" i="128" s="1"/>
  <c r="Y31" i="128" s="1"/>
  <c r="Y85" i="128" s="1"/>
  <c r="Y17" i="128"/>
  <c r="Y27" i="128" s="1"/>
  <c r="Y33" i="128" s="1"/>
  <c r="Z85" i="128" s="1"/>
  <c r="Y26" i="128"/>
  <c r="Y32" i="128" s="1"/>
  <c r="AA85" i="128" s="1"/>
  <c r="Z15" i="128"/>
  <c r="Z16" i="128" s="1"/>
  <c r="AA15" i="128"/>
  <c r="AA17" i="128" s="1"/>
  <c r="AB15" i="128"/>
  <c r="AB17" i="128" s="1"/>
  <c r="AC15" i="128"/>
  <c r="AD15" i="128"/>
  <c r="AE15" i="128"/>
  <c r="AF15" i="128"/>
  <c r="AA11" i="128"/>
  <c r="AB11" i="128"/>
  <c r="AC11" i="128"/>
  <c r="AD11" i="128"/>
  <c r="AE11" i="128"/>
  <c r="AF11" i="128"/>
  <c r="Z11" i="128"/>
  <c r="AA10" i="128"/>
  <c r="AB10" i="128"/>
  <c r="AC10" i="128"/>
  <c r="AD10" i="128"/>
  <c r="AE10" i="128"/>
  <c r="AF10" i="128"/>
  <c r="Z10" i="128"/>
  <c r="AB26" i="128" l="1"/>
  <c r="AB27" i="128" s="1"/>
  <c r="AB33" i="128" s="1"/>
  <c r="AF16" i="128"/>
  <c r="AE26" i="128"/>
  <c r="AE16" i="128"/>
  <c r="AD26" i="128"/>
  <c r="AD32" i="128" s="1"/>
  <c r="AD16" i="128"/>
  <c r="AC26" i="128"/>
  <c r="AC32" i="128" s="1"/>
  <c r="AC16" i="128"/>
  <c r="AF17" i="128"/>
  <c r="AF26" i="128"/>
  <c r="Z17" i="128"/>
  <c r="AE17" i="128"/>
  <c r="Z26" i="128"/>
  <c r="AA26" i="128"/>
  <c r="AA32" i="128" s="1"/>
  <c r="AC17" i="128"/>
  <c r="AB16" i="128"/>
  <c r="AD17" i="128"/>
  <c r="AA16" i="128"/>
  <c r="AE32" i="128" l="1"/>
  <c r="AE25" i="128"/>
  <c r="AE31" i="128" s="1"/>
  <c r="AB25" i="128"/>
  <c r="AB31" i="128" s="1"/>
  <c r="AB32" i="128"/>
  <c r="AD25" i="128"/>
  <c r="AD31" i="128" s="1"/>
  <c r="AC25" i="128"/>
  <c r="AC31" i="128" s="1"/>
  <c r="AC27" i="128"/>
  <c r="AC33" i="128" s="1"/>
  <c r="AD27" i="128"/>
  <c r="AD33" i="128" s="1"/>
  <c r="AE27" i="128"/>
  <c r="AE33" i="128" s="1"/>
  <c r="Z25" i="128"/>
  <c r="Z31" i="128" s="1"/>
  <c r="Z32" i="128"/>
  <c r="Z27" i="128"/>
  <c r="Z33" i="128" s="1"/>
  <c r="AA25" i="128"/>
  <c r="AA31" i="128" s="1"/>
  <c r="AA27" i="128"/>
  <c r="AA33" i="128" s="1"/>
  <c r="G32" i="135" l="1"/>
  <c r="D104" i="132"/>
  <c r="G22" i="135"/>
  <c r="AW17" i="132" l="1"/>
  <c r="AN17" i="132"/>
  <c r="AE17" i="132"/>
  <c r="AE27" i="132"/>
  <c r="AN27" i="132"/>
  <c r="AW27" i="132"/>
  <c r="AS30" i="132"/>
  <c r="AT30" i="132"/>
  <c r="AS12" i="132"/>
  <c r="AT12" i="132"/>
  <c r="AS7" i="132"/>
  <c r="X9" i="111" l="1"/>
  <c r="AS8" i="132" s="1"/>
  <c r="Y72" i="111" l="1"/>
  <c r="AT29" i="132" s="1"/>
  <c r="X72" i="111"/>
  <c r="AS29" i="132" s="1"/>
  <c r="Y69" i="111"/>
  <c r="AT28" i="132" s="1"/>
  <c r="X69" i="111"/>
  <c r="AS28" i="132" s="1"/>
  <c r="Y66" i="111"/>
  <c r="AT27" i="132" s="1"/>
  <c r="X66" i="111"/>
  <c r="AS27" i="132" s="1"/>
  <c r="Y63" i="111"/>
  <c r="AT26" i="132" s="1"/>
  <c r="X63" i="111"/>
  <c r="AS26" i="132" s="1"/>
  <c r="Y60" i="111"/>
  <c r="AT25" i="132" s="1"/>
  <c r="X60" i="111"/>
  <c r="AS25" i="132" s="1"/>
  <c r="Y57" i="111"/>
  <c r="AT24" i="132" s="1"/>
  <c r="X57" i="111"/>
  <c r="AS24" i="132" s="1"/>
  <c r="Y54" i="111"/>
  <c r="AT23" i="132" s="1"/>
  <c r="X54" i="111"/>
  <c r="AS23" i="132" s="1"/>
  <c r="Y51" i="111"/>
  <c r="AT22" i="132" s="1"/>
  <c r="X51" i="111"/>
  <c r="AS22" i="132" s="1"/>
  <c r="Y48" i="111"/>
  <c r="AT21" i="132" s="1"/>
  <c r="X48" i="111"/>
  <c r="AS21" i="132" s="1"/>
  <c r="Y45" i="111"/>
  <c r="AT20" i="132" s="1"/>
  <c r="X45" i="111"/>
  <c r="AS20" i="132" s="1"/>
  <c r="X42" i="111"/>
  <c r="AS19" i="132" s="1"/>
  <c r="Y42" i="111"/>
  <c r="AT19" i="132" s="1"/>
  <c r="Y39" i="111"/>
  <c r="AT18" i="132" s="1"/>
  <c r="X39" i="111"/>
  <c r="AS18" i="132" s="1"/>
  <c r="Y36" i="111"/>
  <c r="AT17" i="132" s="1"/>
  <c r="X36" i="111"/>
  <c r="AS17" i="132" s="1"/>
  <c r="Y33" i="111"/>
  <c r="AT16" i="132" s="1"/>
  <c r="X33" i="111"/>
  <c r="AS16" i="132" s="1"/>
  <c r="Y30" i="111"/>
  <c r="AT15" i="132" s="1"/>
  <c r="X30" i="111"/>
  <c r="AS15" i="132" s="1"/>
  <c r="Y27" i="111"/>
  <c r="AT14" i="132" s="1"/>
  <c r="X27" i="111"/>
  <c r="AS14" i="132" s="1"/>
  <c r="Y24" i="111"/>
  <c r="AT13" i="132" s="1"/>
  <c r="X24" i="111"/>
  <c r="AS13" i="132" s="1"/>
  <c r="Y18" i="111"/>
  <c r="AT11" i="132" s="1"/>
  <c r="X18" i="111"/>
  <c r="AS11" i="132" s="1"/>
  <c r="Y15" i="111"/>
  <c r="AT10" i="132" s="1"/>
  <c r="X15" i="111"/>
  <c r="AS10" i="132" s="1"/>
  <c r="Y12" i="111"/>
  <c r="AT9" i="132" s="1"/>
  <c r="X12" i="111"/>
  <c r="AS9" i="132" s="1"/>
  <c r="Y9" i="111"/>
  <c r="AT8" i="132" s="1"/>
  <c r="Y6" i="111"/>
  <c r="AT7" i="132" s="1"/>
  <c r="C452" i="126" l="1"/>
  <c r="D451" i="126"/>
  <c r="C451" i="126"/>
  <c r="K441" i="126"/>
  <c r="I441" i="126"/>
  <c r="G441" i="126"/>
  <c r="D441" i="126"/>
  <c r="K440" i="126"/>
  <c r="I440" i="126"/>
  <c r="G440" i="126"/>
  <c r="D440" i="126"/>
  <c r="C419" i="99"/>
  <c r="D418" i="99"/>
  <c r="C418" i="99"/>
  <c r="K408" i="99"/>
  <c r="I408" i="99"/>
  <c r="G408" i="99"/>
  <c r="D408" i="99"/>
  <c r="K407" i="99"/>
  <c r="I407" i="99"/>
  <c r="G407" i="99"/>
  <c r="D407" i="99"/>
  <c r="C418" i="127"/>
  <c r="D417" i="127"/>
  <c r="C417" i="127"/>
  <c r="K407" i="127"/>
  <c r="I407" i="127"/>
  <c r="G407" i="127"/>
  <c r="D407" i="127"/>
  <c r="K406" i="127"/>
  <c r="I406" i="127"/>
  <c r="G406" i="127"/>
  <c r="D406" i="127"/>
  <c r="N351" i="125" l="1"/>
  <c r="M351" i="125"/>
  <c r="J351" i="125"/>
  <c r="I351" i="125"/>
  <c r="H351" i="125"/>
  <c r="E351" i="125"/>
  <c r="K351" i="125"/>
  <c r="N529" i="125"/>
  <c r="M529" i="125"/>
  <c r="G529" i="125"/>
  <c r="F529" i="125"/>
  <c r="E529" i="125"/>
  <c r="D528" i="125"/>
  <c r="C528" i="125"/>
  <c r="D527" i="125"/>
  <c r="C527" i="125"/>
  <c r="D526" i="125"/>
  <c r="C526" i="125"/>
  <c r="D525" i="125"/>
  <c r="C525" i="125"/>
  <c r="D524" i="125"/>
  <c r="C524" i="125"/>
  <c r="D523" i="125"/>
  <c r="C523" i="125"/>
  <c r="D522" i="125"/>
  <c r="C522" i="125"/>
  <c r="D521" i="125"/>
  <c r="C521" i="125"/>
  <c r="D520" i="125"/>
  <c r="C520" i="125"/>
  <c r="D519" i="125"/>
  <c r="C519" i="125"/>
  <c r="D518" i="125"/>
  <c r="C518" i="125"/>
  <c r="D517" i="125"/>
  <c r="C517" i="125"/>
  <c r="K510" i="125"/>
  <c r="I510" i="125"/>
  <c r="E510" i="125"/>
  <c r="D510" i="125"/>
  <c r="K509" i="125"/>
  <c r="I509" i="125"/>
  <c r="G509" i="125"/>
  <c r="D509" i="125"/>
  <c r="K508" i="125"/>
  <c r="I508" i="125"/>
  <c r="G508" i="125"/>
  <c r="D508" i="125"/>
  <c r="K507" i="125"/>
  <c r="I507" i="125"/>
  <c r="G507" i="125"/>
  <c r="D507" i="125"/>
  <c r="K506" i="125"/>
  <c r="I506" i="125"/>
  <c r="K505" i="125"/>
  <c r="I505" i="125"/>
  <c r="G505" i="125"/>
  <c r="D505" i="125"/>
  <c r="K504" i="125"/>
  <c r="I504" i="125"/>
  <c r="G504" i="125"/>
  <c r="D504" i="125"/>
  <c r="K503" i="125"/>
  <c r="I503" i="125"/>
  <c r="G503" i="125"/>
  <c r="D503" i="125"/>
  <c r="K502" i="125"/>
  <c r="I502" i="125"/>
  <c r="K501" i="125"/>
  <c r="I501" i="125"/>
  <c r="G501" i="125"/>
  <c r="D501" i="125"/>
  <c r="K500" i="125"/>
  <c r="I500" i="125"/>
  <c r="G500" i="125"/>
  <c r="D500" i="125"/>
  <c r="K499" i="125"/>
  <c r="I499" i="125"/>
  <c r="G499" i="125"/>
  <c r="D499" i="125"/>
  <c r="N423" i="125"/>
  <c r="M423" i="125"/>
  <c r="G423" i="125"/>
  <c r="F423" i="125"/>
  <c r="E423" i="125"/>
  <c r="D422" i="125"/>
  <c r="C422" i="125"/>
  <c r="D421" i="125"/>
  <c r="C421" i="125"/>
  <c r="D420" i="125"/>
  <c r="C420" i="125"/>
  <c r="D419" i="125"/>
  <c r="C419" i="125"/>
  <c r="D418" i="125"/>
  <c r="C418" i="125"/>
  <c r="D417" i="125"/>
  <c r="C417" i="125"/>
  <c r="D416" i="125"/>
  <c r="C416" i="125"/>
  <c r="D415" i="125"/>
  <c r="C415" i="125"/>
  <c r="K408" i="125"/>
  <c r="I408" i="125"/>
  <c r="G408" i="125"/>
  <c r="D408" i="125"/>
  <c r="K407" i="125"/>
  <c r="I407" i="125"/>
  <c r="G407" i="125"/>
  <c r="D407" i="125"/>
  <c r="K406" i="125"/>
  <c r="I406" i="125"/>
  <c r="G406" i="125"/>
  <c r="D406" i="125"/>
  <c r="K405" i="125"/>
  <c r="I405" i="125"/>
  <c r="K404" i="125"/>
  <c r="I404" i="125"/>
  <c r="G404" i="125"/>
  <c r="D404" i="125"/>
  <c r="K403" i="125"/>
  <c r="I403" i="125"/>
  <c r="P608" i="125" l="1"/>
  <c r="T608" i="125"/>
  <c r="U608" i="125"/>
  <c r="R578" i="125"/>
  <c r="I578" i="125"/>
  <c r="Q578" i="125"/>
  <c r="P578" i="125"/>
  <c r="I608" i="125"/>
  <c r="Q608" i="125"/>
  <c r="J608" i="125"/>
  <c r="R608" i="125"/>
  <c r="U578" i="125"/>
  <c r="L578" i="125"/>
  <c r="K608" i="125"/>
  <c r="T578" i="125"/>
  <c r="K578" i="125"/>
  <c r="L608" i="125"/>
  <c r="J578" i="125"/>
  <c r="T609" i="125"/>
  <c r="I579" i="125"/>
  <c r="U609" i="125"/>
  <c r="N579" i="125"/>
  <c r="T579" i="125"/>
  <c r="N609" i="125"/>
  <c r="U579" i="125"/>
  <c r="O609" i="125"/>
  <c r="C579" i="125"/>
  <c r="C609" i="125"/>
  <c r="O579" i="125"/>
  <c r="I609" i="125"/>
  <c r="T580" i="125" l="1"/>
  <c r="I610" i="125"/>
  <c r="C596" i="125" s="1"/>
  <c r="U610" i="125"/>
  <c r="T610" i="125"/>
  <c r="U580" i="125"/>
  <c r="I580" i="125"/>
  <c r="C566" i="125" s="1"/>
  <c r="V578" i="125"/>
  <c r="V608" i="125"/>
  <c r="D72" i="145"/>
  <c r="D73" i="145"/>
  <c r="S72" i="145"/>
  <c r="S73" i="145"/>
  <c r="A835" i="127" l="1"/>
  <c r="A834" i="127"/>
  <c r="A833" i="127"/>
  <c r="A832" i="127"/>
  <c r="A831" i="127"/>
  <c r="A830" i="127"/>
  <c r="A829" i="127"/>
  <c r="A802" i="127"/>
  <c r="A801" i="127"/>
  <c r="A800" i="127"/>
  <c r="A799" i="127"/>
  <c r="A798" i="127"/>
  <c r="A797" i="127"/>
  <c r="A796" i="127"/>
  <c r="A827" i="126"/>
  <c r="A826" i="126"/>
  <c r="A825" i="126"/>
  <c r="A824" i="126"/>
  <c r="A823" i="126"/>
  <c r="A822" i="126"/>
  <c r="A821" i="126"/>
  <c r="A794" i="126"/>
  <c r="A793" i="126"/>
  <c r="A792" i="126"/>
  <c r="A791" i="126"/>
  <c r="A790" i="126"/>
  <c r="A789" i="126"/>
  <c r="A788" i="126"/>
  <c r="A837" i="99"/>
  <c r="A836" i="99"/>
  <c r="A835" i="99"/>
  <c r="A834" i="99"/>
  <c r="A833" i="99"/>
  <c r="A832" i="99"/>
  <c r="A831" i="99"/>
  <c r="A804" i="99"/>
  <c r="A803" i="99"/>
  <c r="A802" i="99"/>
  <c r="A801" i="99"/>
  <c r="A800" i="99"/>
  <c r="A799" i="99"/>
  <c r="A798" i="99"/>
  <c r="A834" i="124"/>
  <c r="A833" i="124"/>
  <c r="A832" i="124"/>
  <c r="A831" i="124"/>
  <c r="A830" i="124"/>
  <c r="A829" i="124"/>
  <c r="A828" i="124"/>
  <c r="A801" i="124"/>
  <c r="A800" i="124"/>
  <c r="A799" i="124"/>
  <c r="A798" i="124"/>
  <c r="A797" i="124"/>
  <c r="A796" i="124"/>
  <c r="A795" i="124"/>
  <c r="A826" i="123"/>
  <c r="A825" i="123"/>
  <c r="A824" i="123"/>
  <c r="A823" i="123"/>
  <c r="A822" i="123"/>
  <c r="A821" i="123"/>
  <c r="A820" i="123"/>
  <c r="A793" i="123"/>
  <c r="A792" i="123"/>
  <c r="A791" i="123"/>
  <c r="A790" i="123"/>
  <c r="A789" i="123"/>
  <c r="A788" i="123"/>
  <c r="A787" i="123"/>
  <c r="A835" i="100"/>
  <c r="A834" i="100"/>
  <c r="A833" i="100"/>
  <c r="A832" i="100"/>
  <c r="A831" i="100"/>
  <c r="A830" i="100"/>
  <c r="A829" i="100"/>
  <c r="A802" i="100"/>
  <c r="A801" i="100"/>
  <c r="A800" i="100"/>
  <c r="A799" i="100"/>
  <c r="A798" i="100"/>
  <c r="A797" i="100"/>
  <c r="A796" i="100"/>
  <c r="A731" i="121"/>
  <c r="A730" i="121"/>
  <c r="A729" i="121"/>
  <c r="A728" i="121"/>
  <c r="A727" i="121"/>
  <c r="A700" i="121"/>
  <c r="A699" i="121"/>
  <c r="A698" i="121"/>
  <c r="A697" i="121"/>
  <c r="A696" i="121"/>
  <c r="A720" i="122"/>
  <c r="A719" i="122"/>
  <c r="A718" i="122"/>
  <c r="A717" i="122"/>
  <c r="A690" i="122"/>
  <c r="A689" i="122"/>
  <c r="A688" i="122"/>
  <c r="A687" i="122"/>
  <c r="R25" i="141"/>
  <c r="Q25" i="141"/>
  <c r="F25" i="141"/>
  <c r="R24" i="141"/>
  <c r="Q24" i="141"/>
  <c r="L24" i="141"/>
  <c r="K24" i="141"/>
  <c r="F24" i="141"/>
  <c r="S23" i="141"/>
  <c r="R23" i="141"/>
  <c r="Q23" i="141"/>
  <c r="O23" i="141"/>
  <c r="N23" i="141"/>
  <c r="M23" i="141"/>
  <c r="I23" i="141"/>
  <c r="H23" i="141"/>
  <c r="G23" i="141"/>
  <c r="F23" i="141"/>
  <c r="M17" i="141"/>
  <c r="N17" i="141"/>
  <c r="O17" i="141"/>
  <c r="Q17" i="141"/>
  <c r="R17" i="141"/>
  <c r="S17" i="141"/>
  <c r="Q18" i="141"/>
  <c r="R18" i="141"/>
  <c r="Q19" i="141"/>
  <c r="R19" i="141"/>
  <c r="F19" i="141"/>
  <c r="F18" i="141"/>
  <c r="I17" i="141"/>
  <c r="H17" i="141"/>
  <c r="G17" i="141"/>
  <c r="F17" i="141"/>
  <c r="A732" i="98"/>
  <c r="A731" i="98"/>
  <c r="A730" i="98"/>
  <c r="A729" i="98"/>
  <c r="A728" i="98"/>
  <c r="A699" i="98"/>
  <c r="A700" i="98"/>
  <c r="A701" i="98"/>
  <c r="A697" i="98"/>
  <c r="L726" i="121" l="1"/>
  <c r="S726" i="121"/>
  <c r="P726" i="121"/>
  <c r="I726" i="121"/>
  <c r="N726" i="121"/>
  <c r="Q726" i="121"/>
  <c r="J726" i="121"/>
  <c r="U726" i="121"/>
  <c r="O726" i="121"/>
  <c r="D726" i="121"/>
  <c r="R726" i="121"/>
  <c r="K726" i="121"/>
  <c r="T726" i="121"/>
  <c r="J695" i="121"/>
  <c r="Q695" i="121"/>
  <c r="U695" i="121"/>
  <c r="D695" i="121"/>
  <c r="S695" i="121"/>
  <c r="T695" i="121"/>
  <c r="O695" i="121"/>
  <c r="R695" i="121"/>
  <c r="I695" i="121"/>
  <c r="L695" i="121"/>
  <c r="K695" i="121"/>
  <c r="N695" i="121"/>
  <c r="P695" i="121"/>
  <c r="D716" i="122"/>
  <c r="T716" i="122"/>
  <c r="U716" i="122"/>
  <c r="I716" i="122"/>
  <c r="J716" i="122"/>
  <c r="K716" i="122"/>
  <c r="L716" i="122"/>
  <c r="N716" i="122"/>
  <c r="O716" i="122"/>
  <c r="Q716" i="122"/>
  <c r="R716" i="122"/>
  <c r="P716" i="122"/>
  <c r="S716" i="122"/>
  <c r="R686" i="122"/>
  <c r="D686" i="122"/>
  <c r="I686" i="122"/>
  <c r="J686" i="122"/>
  <c r="K686" i="122"/>
  <c r="L686" i="122"/>
  <c r="N686" i="122"/>
  <c r="O686" i="122"/>
  <c r="P686" i="122"/>
  <c r="S686" i="122"/>
  <c r="T686" i="122"/>
  <c r="U686" i="122"/>
  <c r="Q686" i="122"/>
  <c r="O727" i="98"/>
  <c r="D727" i="98"/>
  <c r="P727" i="98"/>
  <c r="R727" i="98"/>
  <c r="I727" i="98"/>
  <c r="J727" i="98"/>
  <c r="K727" i="98"/>
  <c r="L727" i="98"/>
  <c r="N727" i="98"/>
  <c r="Q727" i="98"/>
  <c r="U727" i="98"/>
  <c r="S727" i="98"/>
  <c r="T727" i="98"/>
  <c r="D696" i="98"/>
  <c r="I696" i="98"/>
  <c r="R696" i="98"/>
  <c r="J696" i="98"/>
  <c r="K696" i="98"/>
  <c r="L696" i="98"/>
  <c r="N696" i="98"/>
  <c r="O696" i="98"/>
  <c r="P696" i="98"/>
  <c r="Q696" i="98"/>
  <c r="U696" i="98"/>
  <c r="T696" i="98"/>
  <c r="S696" i="98"/>
  <c r="N406" i="107"/>
  <c r="M406" i="107"/>
  <c r="L406" i="107"/>
  <c r="K406" i="107"/>
  <c r="J406" i="107"/>
  <c r="I406" i="107"/>
  <c r="H406" i="107"/>
  <c r="E406" i="107"/>
  <c r="D405" i="107"/>
  <c r="C405" i="107"/>
  <c r="D404" i="107"/>
  <c r="C404" i="107"/>
  <c r="D403" i="107"/>
  <c r="C403" i="107"/>
  <c r="K396" i="107"/>
  <c r="I396" i="107"/>
  <c r="D396" i="107"/>
  <c r="K395" i="107"/>
  <c r="I395" i="107"/>
  <c r="D395" i="107"/>
  <c r="K394" i="107"/>
  <c r="I394" i="107"/>
  <c r="D394" i="107"/>
  <c r="N374" i="107"/>
  <c r="M374" i="107"/>
  <c r="L374" i="107"/>
  <c r="K374" i="107"/>
  <c r="J374" i="107"/>
  <c r="I374" i="107"/>
  <c r="H374" i="107"/>
  <c r="E374" i="107"/>
  <c r="D373" i="107"/>
  <c r="C373" i="107"/>
  <c r="D372" i="107"/>
  <c r="C372" i="107"/>
  <c r="K365" i="107"/>
  <c r="I365" i="107"/>
  <c r="G365" i="107"/>
  <c r="D365" i="107"/>
  <c r="K364" i="107"/>
  <c r="I364" i="107"/>
  <c r="G364" i="107"/>
  <c r="D364" i="107"/>
  <c r="K363" i="107"/>
  <c r="I363" i="107"/>
  <c r="G363" i="107"/>
  <c r="D363" i="107"/>
  <c r="K362" i="107"/>
  <c r="I362" i="107"/>
  <c r="G362" i="107"/>
  <c r="D362" i="107"/>
  <c r="Q7" i="111"/>
  <c r="Q6" i="111"/>
  <c r="Q5" i="111"/>
  <c r="V726" i="121" l="1"/>
  <c r="W726" i="121"/>
  <c r="W695" i="121"/>
  <c r="V695" i="121"/>
  <c r="W716" i="122"/>
  <c r="V716" i="122"/>
  <c r="W686" i="122"/>
  <c r="V686" i="122"/>
  <c r="W727" i="98"/>
  <c r="V727" i="98"/>
  <c r="W696" i="98"/>
  <c r="V696" i="98"/>
  <c r="G24" i="135"/>
  <c r="AW19" i="132" l="1"/>
  <c r="AN19" i="132"/>
  <c r="AE19" i="132"/>
  <c r="DD8" i="132"/>
  <c r="CX8" i="132"/>
  <c r="DQ7" i="132"/>
  <c r="DP7" i="132"/>
  <c r="DJ7" i="132"/>
  <c r="DI7" i="132"/>
  <c r="DD7" i="132"/>
  <c r="CX7" i="132"/>
  <c r="DL6" i="132"/>
  <c r="DK6" i="132"/>
  <c r="DH6" i="132"/>
  <c r="AN7" i="132" l="1"/>
  <c r="D85" i="132"/>
  <c r="E85" i="132"/>
  <c r="F85" i="132"/>
  <c r="D86" i="132"/>
  <c r="E86" i="132"/>
  <c r="F86" i="132"/>
  <c r="D87" i="132"/>
  <c r="E87" i="132"/>
  <c r="F87" i="132"/>
  <c r="D88" i="132"/>
  <c r="E88" i="132"/>
  <c r="F88" i="132"/>
  <c r="D89" i="132"/>
  <c r="E89" i="132"/>
  <c r="F89" i="132"/>
  <c r="D90" i="132"/>
  <c r="E90" i="132"/>
  <c r="F90" i="132"/>
  <c r="D91" i="132"/>
  <c r="E91" i="132"/>
  <c r="F91" i="132"/>
  <c r="D92" i="132"/>
  <c r="E92" i="132"/>
  <c r="F92" i="132"/>
  <c r="D93" i="132"/>
  <c r="E93" i="132"/>
  <c r="F93" i="132"/>
  <c r="D94" i="132"/>
  <c r="E94" i="132"/>
  <c r="F94" i="132"/>
  <c r="D95" i="132"/>
  <c r="E95" i="132"/>
  <c r="F95" i="132"/>
  <c r="D96" i="132"/>
  <c r="E96" i="132"/>
  <c r="F96" i="132"/>
  <c r="D97" i="132"/>
  <c r="E97" i="132"/>
  <c r="F97" i="132"/>
  <c r="D98" i="132"/>
  <c r="E98" i="132"/>
  <c r="F98" i="132"/>
  <c r="D99" i="132"/>
  <c r="E99" i="132"/>
  <c r="F99" i="132"/>
  <c r="D100" i="132"/>
  <c r="E100" i="132"/>
  <c r="F100" i="132"/>
  <c r="D101" i="132"/>
  <c r="E101" i="132"/>
  <c r="F101" i="132"/>
  <c r="D102" i="132"/>
  <c r="E102" i="132"/>
  <c r="F102" i="132"/>
  <c r="D103" i="132"/>
  <c r="E103" i="132"/>
  <c r="F103" i="132"/>
  <c r="E104" i="132"/>
  <c r="F104" i="132"/>
  <c r="D105" i="132"/>
  <c r="E105" i="132"/>
  <c r="F105" i="132"/>
  <c r="D106" i="132"/>
  <c r="F106" i="132"/>
  <c r="D107" i="132"/>
  <c r="F107" i="132"/>
  <c r="F52" i="132"/>
  <c r="F53" i="132"/>
  <c r="F54" i="132"/>
  <c r="F55" i="132"/>
  <c r="F56" i="132"/>
  <c r="F57" i="132"/>
  <c r="F58" i="132"/>
  <c r="F59" i="132"/>
  <c r="F60" i="132"/>
  <c r="F61" i="132"/>
  <c r="F62" i="132"/>
  <c r="F63" i="132"/>
  <c r="F64" i="132"/>
  <c r="F65" i="132"/>
  <c r="F66" i="132"/>
  <c r="F67" i="132"/>
  <c r="F68" i="132"/>
  <c r="F69" i="132"/>
  <c r="F70" i="132"/>
  <c r="F71" i="132"/>
  <c r="F72" i="132"/>
  <c r="F73" i="132"/>
  <c r="F51" i="132"/>
  <c r="D52" i="132"/>
  <c r="D53" i="132"/>
  <c r="D54" i="132"/>
  <c r="D55" i="132"/>
  <c r="D56" i="132"/>
  <c r="D57" i="132"/>
  <c r="D58" i="132"/>
  <c r="D59" i="132"/>
  <c r="D60" i="132"/>
  <c r="D61" i="132"/>
  <c r="D62" i="132"/>
  <c r="D63" i="132"/>
  <c r="D64" i="132"/>
  <c r="D65" i="132"/>
  <c r="D66" i="132"/>
  <c r="D67" i="132"/>
  <c r="D68" i="132"/>
  <c r="D69" i="132"/>
  <c r="D70" i="132"/>
  <c r="D71" i="132"/>
  <c r="D72" i="132"/>
  <c r="D73" i="132"/>
  <c r="G13" i="135"/>
  <c r="G14" i="135"/>
  <c r="G15" i="135"/>
  <c r="G16" i="135"/>
  <c r="G17" i="135"/>
  <c r="G18" i="135"/>
  <c r="C57" i="132" s="1"/>
  <c r="G19" i="135"/>
  <c r="G20" i="135"/>
  <c r="G21" i="135"/>
  <c r="C93" i="132" s="1"/>
  <c r="G23" i="135"/>
  <c r="G25" i="135"/>
  <c r="G26" i="135"/>
  <c r="G27" i="135"/>
  <c r="G28" i="135"/>
  <c r="G29" i="135"/>
  <c r="G30" i="135"/>
  <c r="G31" i="135"/>
  <c r="C70" i="132" s="1"/>
  <c r="G33" i="135"/>
  <c r="G34" i="135"/>
  <c r="G35" i="135"/>
  <c r="E84" i="132"/>
  <c r="D84" i="132"/>
  <c r="D51" i="132"/>
  <c r="C94" i="132" l="1"/>
  <c r="C54" i="132"/>
  <c r="AN24" i="132"/>
  <c r="AE24" i="132"/>
  <c r="AW24" i="132"/>
  <c r="AN21" i="132"/>
  <c r="AW21" i="132"/>
  <c r="AE21" i="132"/>
  <c r="AW13" i="132"/>
  <c r="AE13" i="132"/>
  <c r="AN13" i="132"/>
  <c r="Q8" i="111"/>
  <c r="Q10" i="111"/>
  <c r="Q9" i="111"/>
  <c r="Q16" i="111"/>
  <c r="Q14" i="111"/>
  <c r="Q15" i="111"/>
  <c r="AE23" i="132"/>
  <c r="AN23" i="132"/>
  <c r="AW23" i="132"/>
  <c r="C68" i="132"/>
  <c r="AW14" i="132"/>
  <c r="AE14" i="132"/>
  <c r="AN14" i="132"/>
  <c r="AN10" i="132"/>
  <c r="AW10" i="132"/>
  <c r="AE10" i="132"/>
  <c r="AN18" i="132"/>
  <c r="AW18" i="132"/>
  <c r="AE18" i="132"/>
  <c r="Q33" i="111"/>
  <c r="Q34" i="111"/>
  <c r="Q32" i="111"/>
  <c r="AN20" i="132"/>
  <c r="AW20" i="132"/>
  <c r="AE20" i="132"/>
  <c r="AE16" i="132"/>
  <c r="AW16" i="132"/>
  <c r="AN16" i="132"/>
  <c r="AE8" i="132"/>
  <c r="AW8" i="132"/>
  <c r="AN8" i="132"/>
  <c r="Q64" i="111"/>
  <c r="Q63" i="111"/>
  <c r="Q62" i="111"/>
  <c r="AN25" i="132"/>
  <c r="AE25" i="132"/>
  <c r="AW25" i="132"/>
  <c r="C65" i="132"/>
  <c r="AN11" i="132"/>
  <c r="AW11" i="132"/>
  <c r="AE11" i="132"/>
  <c r="AN22" i="132"/>
  <c r="AE22" i="132"/>
  <c r="AW22" i="132"/>
  <c r="C62" i="132"/>
  <c r="AW15" i="132"/>
  <c r="AE15" i="132"/>
  <c r="AN15" i="132"/>
  <c r="AW12" i="132"/>
  <c r="AE12" i="132"/>
  <c r="AN12" i="132"/>
  <c r="AE9" i="132"/>
  <c r="AW9" i="132"/>
  <c r="AN9" i="132"/>
  <c r="AE30" i="132"/>
  <c r="AN30" i="132"/>
  <c r="AW30" i="132"/>
  <c r="C74" i="132"/>
  <c r="Q74" i="111"/>
  <c r="AE29" i="132"/>
  <c r="AN29" i="132"/>
  <c r="AW29" i="132"/>
  <c r="AE28" i="132"/>
  <c r="AN28" i="132"/>
  <c r="AW28" i="132"/>
  <c r="AN26" i="132"/>
  <c r="AE26" i="132"/>
  <c r="AW26" i="132"/>
  <c r="C66" i="132"/>
  <c r="C91" i="132"/>
  <c r="C72" i="132"/>
  <c r="C64" i="132"/>
  <c r="C89" i="132"/>
  <c r="C90" i="132"/>
  <c r="C103" i="132"/>
  <c r="C61" i="132"/>
  <c r="C60" i="132"/>
  <c r="C52" i="132"/>
  <c r="C86" i="132" l="1"/>
  <c r="C69" i="132"/>
  <c r="C85" i="132"/>
  <c r="C53" i="132"/>
  <c r="C106" i="132"/>
  <c r="C73" i="132"/>
  <c r="C87" i="132"/>
  <c r="C95" i="132"/>
  <c r="C98" i="132"/>
  <c r="Q30" i="111"/>
  <c r="Q29" i="111"/>
  <c r="Q31" i="111"/>
  <c r="Q54" i="111"/>
  <c r="Q55" i="111"/>
  <c r="Q53" i="111"/>
  <c r="Q42" i="111"/>
  <c r="Q41" i="111"/>
  <c r="Q43" i="111"/>
  <c r="C102" i="132"/>
  <c r="Q57" i="111"/>
  <c r="Q56" i="111"/>
  <c r="Q58" i="111"/>
  <c r="Q19" i="111"/>
  <c r="Q17" i="111"/>
  <c r="Q18" i="111"/>
  <c r="C101" i="132"/>
  <c r="Q24" i="111"/>
  <c r="Q23" i="111"/>
  <c r="Q25" i="111"/>
  <c r="Q22" i="111"/>
  <c r="Q20" i="111"/>
  <c r="Q21" i="111"/>
  <c r="Q46" i="111"/>
  <c r="Q45" i="111"/>
  <c r="Q44" i="111"/>
  <c r="Q39" i="111"/>
  <c r="Q38" i="111"/>
  <c r="Q40" i="111"/>
  <c r="Q47" i="111"/>
  <c r="Q49" i="111"/>
  <c r="Q48" i="111"/>
  <c r="Q60" i="111"/>
  <c r="Q59" i="111"/>
  <c r="Q61" i="111"/>
  <c r="Q70" i="111"/>
  <c r="Q69" i="111"/>
  <c r="Q68" i="111"/>
  <c r="Q28" i="111"/>
  <c r="Q26" i="111"/>
  <c r="Q27" i="111"/>
  <c r="Q11" i="111"/>
  <c r="Q13" i="111"/>
  <c r="Q12" i="111"/>
  <c r="Q51" i="111"/>
  <c r="Q50" i="111"/>
  <c r="Q52" i="111"/>
  <c r="Q37" i="111"/>
  <c r="Q35" i="111"/>
  <c r="Q36" i="111"/>
  <c r="C84" i="132"/>
  <c r="C51" i="132"/>
  <c r="Q67" i="111"/>
  <c r="Q66" i="111"/>
  <c r="Q65" i="111"/>
  <c r="C107" i="132"/>
  <c r="Q76" i="111"/>
  <c r="Q75" i="111"/>
  <c r="Q71" i="111"/>
  <c r="Q73" i="111"/>
  <c r="Q72" i="111"/>
  <c r="C99" i="132"/>
  <c r="C105" i="132"/>
  <c r="C63" i="132"/>
  <c r="C96" i="132"/>
  <c r="C58" i="132"/>
  <c r="C55" i="132"/>
  <c r="C88" i="132"/>
  <c r="C67" i="132"/>
  <c r="C100" i="132"/>
  <c r="C59" i="132"/>
  <c r="C92" i="132"/>
  <c r="C56" i="132"/>
  <c r="C97" i="132"/>
  <c r="C71" i="132"/>
  <c r="C104" i="132"/>
  <c r="F84" i="132" l="1"/>
  <c r="BH208" i="131" l="1"/>
  <c r="BH210" i="131"/>
  <c r="BH209" i="131"/>
  <c r="BF196" i="131" l="1"/>
  <c r="BF195" i="131"/>
  <c r="BF197" i="131"/>
  <c r="BF198" i="131"/>
  <c r="BF193" i="131"/>
  <c r="BF194" i="131"/>
  <c r="BF199" i="131"/>
  <c r="BF203" i="131"/>
  <c r="BF200" i="131"/>
  <c r="BF204" i="131"/>
  <c r="BF202" i="131"/>
  <c r="BF201" i="131"/>
  <c r="BF192" i="131"/>
  <c r="BF187" i="131"/>
  <c r="BF191" i="131"/>
  <c r="BF189" i="131"/>
  <c r="BF190" i="131"/>
  <c r="BF188" i="131"/>
  <c r="BH211" i="131"/>
  <c r="BG192" i="131" l="1"/>
  <c r="BG203" i="131"/>
  <c r="BG189" i="131"/>
  <c r="BG199" i="131"/>
  <c r="BG196" i="131"/>
  <c r="BG200" i="131"/>
  <c r="BG204" i="131"/>
  <c r="BG187" i="131"/>
  <c r="BG191" i="131"/>
  <c r="BG195" i="131"/>
  <c r="BG197" i="131"/>
  <c r="BG198" i="131"/>
  <c r="BG190" i="131"/>
  <c r="BG193" i="131"/>
  <c r="P296" i="166" s="1"/>
  <c r="BG194" i="131"/>
  <c r="BG188" i="131"/>
  <c r="BG202" i="131"/>
  <c r="BG201" i="131"/>
  <c r="H87" i="131" l="1"/>
  <c r="P298" i="166"/>
  <c r="H63" i="131"/>
  <c r="P286" i="166"/>
  <c r="H69" i="131"/>
  <c r="P290" i="166"/>
  <c r="H99" i="131"/>
  <c r="P306" i="166"/>
  <c r="H90" i="131"/>
  <c r="P300" i="166"/>
  <c r="H72" i="131"/>
  <c r="P292" i="166"/>
  <c r="H123" i="131"/>
  <c r="P318" i="166"/>
  <c r="H93" i="131"/>
  <c r="P302" i="166"/>
  <c r="H120" i="131"/>
  <c r="P316" i="166"/>
  <c r="H96" i="131"/>
  <c r="P304" i="166"/>
  <c r="H60" i="131"/>
  <c r="P284" i="166"/>
  <c r="H111" i="131"/>
  <c r="P310" i="166"/>
  <c r="H108" i="131"/>
  <c r="P308" i="166"/>
  <c r="H66" i="131"/>
  <c r="P288" i="166"/>
  <c r="H114" i="131"/>
  <c r="P312" i="166"/>
  <c r="H117" i="131"/>
  <c r="P314" i="166"/>
  <c r="H75" i="131"/>
  <c r="P294" i="166"/>
  <c r="G768" i="112"/>
  <c r="N768" i="112" s="1"/>
  <c r="F768" i="112" s="1"/>
  <c r="H84" i="131"/>
  <c r="G775" i="112"/>
  <c r="N775" i="112" s="1"/>
  <c r="F775" i="112" s="1"/>
  <c r="G778" i="112"/>
  <c r="G765" i="112"/>
  <c r="G772" i="112"/>
  <c r="G762" i="112"/>
  <c r="G769" i="112"/>
  <c r="G764" i="112"/>
  <c r="G763" i="112"/>
  <c r="G774" i="112"/>
  <c r="G773" i="112"/>
  <c r="G770" i="112"/>
  <c r="G776" i="112"/>
  <c r="F776" i="112" s="1"/>
  <c r="G777" i="112"/>
  <c r="F777" i="112" s="1"/>
  <c r="G779" i="112"/>
  <c r="F779" i="112" s="1"/>
  <c r="G767" i="112"/>
  <c r="G771" i="112"/>
  <c r="G766" i="112"/>
  <c r="N765" i="112" l="1"/>
  <c r="F765" i="112" s="1"/>
  <c r="N771" i="112"/>
  <c r="F771" i="112" s="1"/>
  <c r="N770" i="112"/>
  <c r="F770" i="112" s="1"/>
  <c r="N767" i="112"/>
  <c r="F767" i="112" s="1"/>
  <c r="N763" i="112"/>
  <c r="F763" i="112" s="1"/>
  <c r="N764" i="112"/>
  <c r="F764" i="112" s="1"/>
  <c r="N773" i="112"/>
  <c r="F773" i="112" s="1"/>
  <c r="N769" i="112"/>
  <c r="F769" i="112" s="1"/>
  <c r="N778" i="112"/>
  <c r="F778" i="112" s="1"/>
  <c r="N774" i="112"/>
  <c r="F774" i="112" s="1"/>
  <c r="N762" i="112"/>
  <c r="F762" i="112" s="1"/>
  <c r="N766" i="112"/>
  <c r="F766" i="112" s="1"/>
  <c r="N772" i="112"/>
  <c r="F772" i="112" s="1"/>
  <c r="N498" i="127"/>
  <c r="M498" i="127"/>
  <c r="L498" i="127"/>
  <c r="K498" i="127"/>
  <c r="J498" i="127"/>
  <c r="I498" i="127"/>
  <c r="H498" i="127"/>
  <c r="E498" i="127"/>
  <c r="D497" i="127"/>
  <c r="C497" i="127"/>
  <c r="D496" i="127"/>
  <c r="C496" i="127"/>
  <c r="D495" i="127"/>
  <c r="C495" i="127"/>
  <c r="K488" i="127"/>
  <c r="I488" i="127"/>
  <c r="G488" i="127"/>
  <c r="D488" i="127"/>
  <c r="K487" i="127"/>
  <c r="I487" i="127"/>
  <c r="G487" i="127"/>
  <c r="D487" i="127"/>
  <c r="K486" i="127"/>
  <c r="I486" i="127"/>
  <c r="G486" i="127"/>
  <c r="D486" i="127"/>
  <c r="D742" i="127"/>
  <c r="C742" i="127"/>
  <c r="D741" i="127"/>
  <c r="C741" i="127"/>
  <c r="D740" i="127"/>
  <c r="C740" i="127"/>
  <c r="D739" i="127"/>
  <c r="C739" i="127"/>
  <c r="D738" i="127"/>
  <c r="C738" i="127"/>
  <c r="D737" i="127"/>
  <c r="C737" i="127"/>
  <c r="D736" i="127"/>
  <c r="C736" i="127"/>
  <c r="D735" i="127"/>
  <c r="C735" i="127"/>
  <c r="D734" i="127"/>
  <c r="C734" i="127"/>
  <c r="D733" i="127"/>
  <c r="C733" i="127"/>
  <c r="D732" i="127"/>
  <c r="C732" i="127"/>
  <c r="D731" i="127"/>
  <c r="C731" i="127"/>
  <c r="K723" i="127"/>
  <c r="I723" i="127"/>
  <c r="E723" i="127"/>
  <c r="D723" i="127"/>
  <c r="K722" i="127"/>
  <c r="I722" i="127"/>
  <c r="G722" i="127"/>
  <c r="D722" i="127"/>
  <c r="K721" i="127"/>
  <c r="I721" i="127"/>
  <c r="G721" i="127"/>
  <c r="D721" i="127"/>
  <c r="K720" i="127"/>
  <c r="I720" i="127"/>
  <c r="G720" i="127"/>
  <c r="D720" i="127"/>
  <c r="K719" i="127"/>
  <c r="I719" i="127"/>
  <c r="K718" i="127"/>
  <c r="I718" i="127"/>
  <c r="G718" i="127"/>
  <c r="D718" i="127"/>
  <c r="K717" i="127"/>
  <c r="I717" i="127"/>
  <c r="G717" i="127"/>
  <c r="D717" i="127"/>
  <c r="K716" i="127"/>
  <c r="I716" i="127"/>
  <c r="G716" i="127"/>
  <c r="D716" i="127"/>
  <c r="K715" i="127"/>
  <c r="I715" i="127"/>
  <c r="K714" i="127"/>
  <c r="I714" i="127"/>
  <c r="G714" i="127"/>
  <c r="D714" i="127"/>
  <c r="K713" i="127"/>
  <c r="I713" i="127"/>
  <c r="G713" i="127"/>
  <c r="D713" i="127"/>
  <c r="K712" i="127"/>
  <c r="I712" i="127"/>
  <c r="G712" i="127"/>
  <c r="D712" i="127"/>
  <c r="D599" i="127"/>
  <c r="C599" i="127"/>
  <c r="D598" i="127"/>
  <c r="C598" i="127"/>
  <c r="D597" i="127"/>
  <c r="C597" i="127"/>
  <c r="D596" i="127"/>
  <c r="C596" i="127"/>
  <c r="D595" i="127"/>
  <c r="C595" i="127"/>
  <c r="D594" i="127"/>
  <c r="C594" i="127"/>
  <c r="D593" i="127"/>
  <c r="C593" i="127"/>
  <c r="D592" i="127"/>
  <c r="C592" i="127"/>
  <c r="K584" i="127"/>
  <c r="I584" i="127"/>
  <c r="G584" i="127"/>
  <c r="D584" i="127"/>
  <c r="K583" i="127"/>
  <c r="I583" i="127"/>
  <c r="G583" i="127"/>
  <c r="D583" i="127"/>
  <c r="K582" i="127"/>
  <c r="I582" i="127"/>
  <c r="G582" i="127"/>
  <c r="D582" i="127"/>
  <c r="K581" i="127"/>
  <c r="I581" i="127"/>
  <c r="K580" i="127"/>
  <c r="I580" i="127"/>
  <c r="G580" i="127"/>
  <c r="D580" i="127"/>
  <c r="K579" i="127"/>
  <c r="I579" i="127"/>
  <c r="K578" i="127"/>
  <c r="I578" i="127"/>
  <c r="G578" i="127"/>
  <c r="D578" i="127"/>
  <c r="K577" i="127"/>
  <c r="I577" i="127"/>
  <c r="N461" i="127"/>
  <c r="M461" i="127"/>
  <c r="L461" i="127"/>
  <c r="K461" i="127"/>
  <c r="J461" i="127"/>
  <c r="I461" i="127"/>
  <c r="H461" i="127"/>
  <c r="G461" i="127"/>
  <c r="F461" i="127"/>
  <c r="E461" i="127"/>
  <c r="D460" i="127"/>
  <c r="C460" i="127"/>
  <c r="K453" i="127"/>
  <c r="I453" i="127"/>
  <c r="G453" i="127"/>
  <c r="D453" i="127"/>
  <c r="K452" i="127"/>
  <c r="I452" i="127"/>
  <c r="G452" i="127"/>
  <c r="D452" i="127"/>
  <c r="L419" i="127"/>
  <c r="K419" i="127"/>
  <c r="J419" i="127"/>
  <c r="I419" i="127"/>
  <c r="H419" i="127"/>
  <c r="G419" i="127"/>
  <c r="F419" i="127"/>
  <c r="E419" i="127"/>
  <c r="C416" i="127"/>
  <c r="D415" i="127"/>
  <c r="C415" i="127"/>
  <c r="D414" i="127"/>
  <c r="C414" i="127"/>
  <c r="K405" i="127"/>
  <c r="I405" i="127"/>
  <c r="G405" i="127"/>
  <c r="D405" i="127"/>
  <c r="K404" i="127"/>
  <c r="I404" i="127"/>
  <c r="G404" i="127"/>
  <c r="D404" i="127"/>
  <c r="K403" i="127"/>
  <c r="I403" i="127"/>
  <c r="J403" i="127" s="1"/>
  <c r="G403" i="127"/>
  <c r="D403" i="127"/>
  <c r="K402" i="127"/>
  <c r="I402" i="127"/>
  <c r="J402" i="127" s="1"/>
  <c r="G402" i="127"/>
  <c r="D402" i="127"/>
  <c r="K401" i="127"/>
  <c r="I401" i="127"/>
  <c r="G401" i="127"/>
  <c r="D401" i="127"/>
  <c r="N372" i="127"/>
  <c r="M372" i="127"/>
  <c r="L372" i="127"/>
  <c r="K372" i="127"/>
  <c r="J372" i="127"/>
  <c r="I372" i="127"/>
  <c r="H372" i="127"/>
  <c r="E372" i="127"/>
  <c r="D371" i="127"/>
  <c r="C371" i="127"/>
  <c r="D370" i="127"/>
  <c r="C370" i="127"/>
  <c r="D369" i="127"/>
  <c r="C369" i="127"/>
  <c r="K362" i="127"/>
  <c r="I362" i="127"/>
  <c r="D362" i="127"/>
  <c r="K361" i="127"/>
  <c r="I361" i="127"/>
  <c r="D361" i="127"/>
  <c r="K360" i="127"/>
  <c r="I360" i="127"/>
  <c r="D360" i="127"/>
  <c r="N374" i="126"/>
  <c r="M374" i="126"/>
  <c r="L374" i="126"/>
  <c r="K374" i="126"/>
  <c r="J374" i="126"/>
  <c r="I374" i="126"/>
  <c r="H374" i="126"/>
  <c r="E374" i="126"/>
  <c r="D373" i="126"/>
  <c r="C373" i="126"/>
  <c r="D372" i="126"/>
  <c r="C372" i="126"/>
  <c r="K365" i="126"/>
  <c r="I365" i="126"/>
  <c r="G365" i="126"/>
  <c r="D365" i="126"/>
  <c r="K364" i="126"/>
  <c r="I364" i="126"/>
  <c r="G364" i="126"/>
  <c r="D364" i="126"/>
  <c r="K363" i="126"/>
  <c r="I363" i="126"/>
  <c r="G363" i="126"/>
  <c r="D363" i="126"/>
  <c r="K362" i="126"/>
  <c r="I362" i="126"/>
  <c r="G362" i="126"/>
  <c r="D362" i="126"/>
  <c r="D734" i="126"/>
  <c r="C734" i="126"/>
  <c r="D733" i="126"/>
  <c r="C733" i="126"/>
  <c r="D732" i="126"/>
  <c r="C732" i="126"/>
  <c r="D731" i="126"/>
  <c r="C731" i="126"/>
  <c r="D730" i="126"/>
  <c r="C730" i="126"/>
  <c r="D729" i="126"/>
  <c r="C729" i="126"/>
  <c r="D728" i="126"/>
  <c r="C728" i="126"/>
  <c r="D727" i="126"/>
  <c r="C727" i="126"/>
  <c r="D726" i="126"/>
  <c r="C726" i="126"/>
  <c r="D725" i="126"/>
  <c r="C725" i="126"/>
  <c r="D724" i="126"/>
  <c r="C724" i="126"/>
  <c r="D723" i="126"/>
  <c r="C723" i="126"/>
  <c r="K715" i="126"/>
  <c r="I715" i="126"/>
  <c r="E715" i="126"/>
  <c r="D715" i="126"/>
  <c r="K714" i="126"/>
  <c r="I714" i="126"/>
  <c r="G714" i="126"/>
  <c r="D714" i="126"/>
  <c r="K713" i="126"/>
  <c r="I713" i="126"/>
  <c r="G713" i="126"/>
  <c r="D713" i="126"/>
  <c r="K712" i="126"/>
  <c r="I712" i="126"/>
  <c r="G712" i="126"/>
  <c r="D712" i="126"/>
  <c r="K711" i="126"/>
  <c r="I711" i="126"/>
  <c r="K710" i="126"/>
  <c r="I710" i="126"/>
  <c r="G710" i="126"/>
  <c r="D710" i="126"/>
  <c r="K709" i="126"/>
  <c r="I709" i="126"/>
  <c r="G709" i="126"/>
  <c r="D709" i="126"/>
  <c r="K708" i="126"/>
  <c r="I708" i="126"/>
  <c r="G708" i="126"/>
  <c r="D708" i="126"/>
  <c r="K707" i="126"/>
  <c r="I707" i="126"/>
  <c r="K706" i="126"/>
  <c r="I706" i="126"/>
  <c r="G706" i="126"/>
  <c r="D706" i="126"/>
  <c r="K705" i="126"/>
  <c r="I705" i="126"/>
  <c r="G705" i="126"/>
  <c r="D705" i="126"/>
  <c r="K704" i="126"/>
  <c r="I704" i="126"/>
  <c r="G704" i="126"/>
  <c r="D704" i="126"/>
  <c r="D591" i="126"/>
  <c r="C591" i="126"/>
  <c r="D590" i="126"/>
  <c r="C590" i="126"/>
  <c r="D589" i="126"/>
  <c r="C589" i="126"/>
  <c r="D588" i="126"/>
  <c r="C588" i="126"/>
  <c r="D587" i="126"/>
  <c r="C587" i="126"/>
  <c r="D586" i="126"/>
  <c r="C586" i="126"/>
  <c r="D585" i="126"/>
  <c r="C585" i="126"/>
  <c r="D584" i="126"/>
  <c r="C584" i="126"/>
  <c r="K576" i="126"/>
  <c r="I576" i="126"/>
  <c r="G576" i="126"/>
  <c r="D576" i="126"/>
  <c r="K575" i="126"/>
  <c r="I575" i="126"/>
  <c r="G575" i="126"/>
  <c r="D575" i="126"/>
  <c r="K574" i="126"/>
  <c r="I574" i="126"/>
  <c r="G574" i="126"/>
  <c r="D574" i="126"/>
  <c r="K573" i="126"/>
  <c r="I573" i="126"/>
  <c r="K572" i="126"/>
  <c r="I572" i="126"/>
  <c r="G572" i="126"/>
  <c r="D572" i="126"/>
  <c r="K571" i="126"/>
  <c r="I571" i="126"/>
  <c r="K570" i="126"/>
  <c r="I570" i="126"/>
  <c r="G570" i="126"/>
  <c r="D570" i="126"/>
  <c r="K569" i="126"/>
  <c r="I569" i="126"/>
  <c r="N495" i="126"/>
  <c r="M495" i="126"/>
  <c r="L495" i="126"/>
  <c r="K495" i="126"/>
  <c r="J495" i="126"/>
  <c r="I495" i="126"/>
  <c r="H495" i="126"/>
  <c r="G495" i="126"/>
  <c r="F495" i="126"/>
  <c r="E495" i="126"/>
  <c r="D494" i="126"/>
  <c r="C494" i="126"/>
  <c r="K487" i="126"/>
  <c r="I487" i="126"/>
  <c r="G487" i="126"/>
  <c r="D487" i="126"/>
  <c r="K486" i="126"/>
  <c r="I486" i="126"/>
  <c r="G486" i="126"/>
  <c r="D486" i="126"/>
  <c r="L453" i="126"/>
  <c r="K453" i="126"/>
  <c r="J453" i="126"/>
  <c r="I453" i="126"/>
  <c r="H453" i="126"/>
  <c r="G453" i="126"/>
  <c r="F453" i="126"/>
  <c r="E453" i="126"/>
  <c r="C450" i="126"/>
  <c r="D449" i="126"/>
  <c r="C449" i="126"/>
  <c r="D448" i="126"/>
  <c r="C448" i="126"/>
  <c r="K439" i="126"/>
  <c r="I439" i="126"/>
  <c r="G439" i="126"/>
  <c r="D439" i="126"/>
  <c r="K438" i="126"/>
  <c r="I438" i="126"/>
  <c r="G438" i="126"/>
  <c r="D438" i="126"/>
  <c r="K437" i="126"/>
  <c r="I437" i="126"/>
  <c r="J437" i="126" s="1"/>
  <c r="G437" i="126"/>
  <c r="D437" i="126"/>
  <c r="K436" i="126"/>
  <c r="I436" i="126"/>
  <c r="J436" i="126" s="1"/>
  <c r="G436" i="126"/>
  <c r="D436" i="126"/>
  <c r="K435" i="126"/>
  <c r="I435" i="126"/>
  <c r="G435" i="126"/>
  <c r="D435" i="126"/>
  <c r="N406" i="126"/>
  <c r="M406" i="126"/>
  <c r="L406" i="126"/>
  <c r="K406" i="126"/>
  <c r="J406" i="126"/>
  <c r="I406" i="126"/>
  <c r="H406" i="126"/>
  <c r="E406" i="126"/>
  <c r="D405" i="126"/>
  <c r="C405" i="126"/>
  <c r="D404" i="126"/>
  <c r="C404" i="126"/>
  <c r="D403" i="126"/>
  <c r="C403" i="126"/>
  <c r="K396" i="126"/>
  <c r="I396" i="126"/>
  <c r="D396" i="126"/>
  <c r="K395" i="126"/>
  <c r="I395" i="126"/>
  <c r="D395" i="126"/>
  <c r="K394" i="126"/>
  <c r="I394" i="126"/>
  <c r="D394" i="126"/>
  <c r="N462" i="99"/>
  <c r="M462" i="99"/>
  <c r="L462" i="99"/>
  <c r="K462" i="99"/>
  <c r="J462" i="99"/>
  <c r="I462" i="99"/>
  <c r="H462" i="99"/>
  <c r="G462" i="99"/>
  <c r="F462" i="99"/>
  <c r="E462" i="99"/>
  <c r="D461" i="99"/>
  <c r="C461" i="99"/>
  <c r="K454" i="99"/>
  <c r="I454" i="99"/>
  <c r="G454" i="99"/>
  <c r="D454" i="99"/>
  <c r="K453" i="99"/>
  <c r="I453" i="99"/>
  <c r="G453" i="99"/>
  <c r="D453" i="99"/>
  <c r="G109" i="112" l="1"/>
  <c r="G112" i="112"/>
  <c r="G111" i="112"/>
  <c r="G116" i="112"/>
  <c r="G115" i="112"/>
  <c r="G110" i="112"/>
  <c r="G99" i="112"/>
  <c r="G102" i="112"/>
  <c r="G101" i="112"/>
  <c r="G106" i="112"/>
  <c r="G105" i="112"/>
  <c r="G100" i="112"/>
  <c r="G89" i="112"/>
  <c r="G92" i="112"/>
  <c r="G91" i="112"/>
  <c r="G96" i="112"/>
  <c r="G95" i="112"/>
  <c r="G90" i="112"/>
  <c r="G81" i="112"/>
  <c r="G80" i="112"/>
  <c r="G85" i="112"/>
  <c r="G84" i="112"/>
  <c r="G79" i="112"/>
  <c r="G78" i="112" l="1"/>
  <c r="B5" i="128"/>
  <c r="B17" i="128"/>
  <c r="B16" i="128"/>
  <c r="B15" i="128"/>
  <c r="B14" i="128"/>
  <c r="B13" i="128"/>
  <c r="B12" i="128"/>
  <c r="B11" i="128"/>
  <c r="B10" i="128"/>
  <c r="B9" i="128"/>
  <c r="B8" i="128"/>
  <c r="B7" i="128"/>
  <c r="B6" i="128"/>
  <c r="D416" i="99"/>
  <c r="C417" i="99"/>
  <c r="C416" i="99"/>
  <c r="K406" i="99"/>
  <c r="K405" i="99"/>
  <c r="K404" i="99"/>
  <c r="K403" i="99"/>
  <c r="K402" i="99"/>
  <c r="D415" i="99"/>
  <c r="C415" i="99"/>
  <c r="I406" i="99"/>
  <c r="G406" i="99"/>
  <c r="D406" i="99"/>
  <c r="I405" i="99"/>
  <c r="G405" i="99"/>
  <c r="D405" i="99"/>
  <c r="I404" i="99"/>
  <c r="J404" i="99" s="1"/>
  <c r="G404" i="99"/>
  <c r="D404" i="99"/>
  <c r="I403" i="99"/>
  <c r="J403" i="99" s="1"/>
  <c r="G403" i="99"/>
  <c r="D403" i="99"/>
  <c r="I402" i="99"/>
  <c r="G402" i="99"/>
  <c r="D402" i="99"/>
  <c r="E420" i="99"/>
  <c r="F420" i="99"/>
  <c r="G420" i="99"/>
  <c r="H420" i="99"/>
  <c r="I420" i="99"/>
  <c r="J420" i="99"/>
  <c r="K420" i="99"/>
  <c r="L420" i="99"/>
  <c r="C369" i="99"/>
  <c r="D369" i="99"/>
  <c r="C370" i="99"/>
  <c r="D370" i="99"/>
  <c r="C371" i="99"/>
  <c r="D371" i="99"/>
  <c r="E372" i="99"/>
  <c r="H372" i="99"/>
  <c r="I372" i="99"/>
  <c r="J372" i="99"/>
  <c r="K372" i="99"/>
  <c r="L372" i="99"/>
  <c r="M372" i="99"/>
  <c r="N372" i="99"/>
  <c r="D360" i="99"/>
  <c r="I360" i="99"/>
  <c r="K360" i="99"/>
  <c r="D361" i="99"/>
  <c r="I361" i="99"/>
  <c r="K361" i="99"/>
  <c r="D362" i="99"/>
  <c r="I362" i="99"/>
  <c r="K362" i="99"/>
  <c r="D488" i="99"/>
  <c r="G488" i="99"/>
  <c r="I488" i="99"/>
  <c r="K488" i="99"/>
  <c r="D489" i="99"/>
  <c r="G489" i="99"/>
  <c r="I489" i="99"/>
  <c r="K489" i="99"/>
  <c r="D490" i="99"/>
  <c r="G490" i="99"/>
  <c r="I490" i="99"/>
  <c r="K490" i="99"/>
  <c r="C497" i="99"/>
  <c r="D497" i="99"/>
  <c r="C498" i="99"/>
  <c r="D498" i="99"/>
  <c r="C499" i="99"/>
  <c r="D499" i="99"/>
  <c r="E500" i="99"/>
  <c r="H500" i="99"/>
  <c r="I500" i="99"/>
  <c r="J500" i="99"/>
  <c r="K500" i="99"/>
  <c r="L500" i="99"/>
  <c r="M500" i="99"/>
  <c r="N500" i="99"/>
  <c r="I579" i="99"/>
  <c r="K579" i="99"/>
  <c r="D580" i="99"/>
  <c r="G580" i="99"/>
  <c r="I580" i="99"/>
  <c r="K580" i="99"/>
  <c r="I581" i="99"/>
  <c r="K581" i="99"/>
  <c r="D582" i="99"/>
  <c r="G582" i="99"/>
  <c r="I582" i="99"/>
  <c r="K582" i="99"/>
  <c r="I583" i="99"/>
  <c r="K583" i="99"/>
  <c r="D584" i="99"/>
  <c r="G584" i="99"/>
  <c r="I584" i="99"/>
  <c r="K584" i="99"/>
  <c r="D585" i="99"/>
  <c r="G585" i="99"/>
  <c r="I585" i="99"/>
  <c r="K585" i="99"/>
  <c r="D586" i="99"/>
  <c r="G586" i="99"/>
  <c r="I586" i="99"/>
  <c r="K586" i="99"/>
  <c r="C594" i="99"/>
  <c r="D594" i="99"/>
  <c r="C595" i="99"/>
  <c r="D595" i="99"/>
  <c r="C596" i="99"/>
  <c r="D596" i="99"/>
  <c r="C597" i="99"/>
  <c r="D597" i="99"/>
  <c r="C598" i="99"/>
  <c r="D598" i="99"/>
  <c r="C599" i="99"/>
  <c r="D599" i="99"/>
  <c r="C600" i="99"/>
  <c r="D600" i="99"/>
  <c r="C601" i="99"/>
  <c r="D601" i="99"/>
  <c r="D714" i="99"/>
  <c r="G714" i="99"/>
  <c r="I714" i="99"/>
  <c r="K714" i="99"/>
  <c r="D715" i="99"/>
  <c r="G715" i="99"/>
  <c r="I715" i="99"/>
  <c r="K715" i="99"/>
  <c r="D716" i="99"/>
  <c r="G716" i="99"/>
  <c r="I716" i="99"/>
  <c r="K716" i="99"/>
  <c r="I717" i="99"/>
  <c r="K717" i="99"/>
  <c r="D718" i="99"/>
  <c r="G718" i="99"/>
  <c r="I718" i="99"/>
  <c r="K718" i="99"/>
  <c r="D719" i="99"/>
  <c r="G719" i="99"/>
  <c r="I719" i="99"/>
  <c r="K719" i="99"/>
  <c r="D720" i="99"/>
  <c r="G720" i="99"/>
  <c r="I720" i="99"/>
  <c r="K720" i="99"/>
  <c r="I721" i="99"/>
  <c r="K721" i="99"/>
  <c r="D722" i="99"/>
  <c r="G722" i="99"/>
  <c r="I722" i="99"/>
  <c r="K722" i="99"/>
  <c r="D723" i="99"/>
  <c r="G723" i="99"/>
  <c r="I723" i="99"/>
  <c r="K723" i="99"/>
  <c r="D724" i="99"/>
  <c r="G724" i="99"/>
  <c r="I724" i="99"/>
  <c r="K724" i="99"/>
  <c r="D725" i="99"/>
  <c r="E725" i="99"/>
  <c r="I725" i="99"/>
  <c r="K725" i="99"/>
  <c r="C733" i="99"/>
  <c r="D733" i="99"/>
  <c r="C734" i="99"/>
  <c r="D734" i="99"/>
  <c r="C735" i="99"/>
  <c r="D735" i="99"/>
  <c r="C736" i="99"/>
  <c r="D736" i="99"/>
  <c r="C737" i="99"/>
  <c r="D737" i="99"/>
  <c r="C738" i="99"/>
  <c r="D738" i="99"/>
  <c r="C739" i="99"/>
  <c r="D739" i="99"/>
  <c r="C740" i="99"/>
  <c r="D740" i="99"/>
  <c r="C741" i="99"/>
  <c r="D741" i="99"/>
  <c r="C742" i="99"/>
  <c r="D742" i="99"/>
  <c r="C743" i="99"/>
  <c r="D743" i="99"/>
  <c r="C744" i="99"/>
  <c r="D744" i="99"/>
  <c r="C494" i="124"/>
  <c r="D494" i="124"/>
  <c r="C495" i="124"/>
  <c r="D495" i="124"/>
  <c r="C496" i="124"/>
  <c r="D496" i="124"/>
  <c r="E497" i="124"/>
  <c r="H497" i="124"/>
  <c r="I497" i="124"/>
  <c r="J497" i="124"/>
  <c r="K497" i="124"/>
  <c r="L497" i="124"/>
  <c r="M497" i="124"/>
  <c r="N497" i="124"/>
  <c r="D485" i="124"/>
  <c r="G485" i="124"/>
  <c r="I485" i="124"/>
  <c r="K485" i="124"/>
  <c r="D486" i="124"/>
  <c r="G486" i="124"/>
  <c r="I486" i="124"/>
  <c r="K486" i="124"/>
  <c r="D487" i="124"/>
  <c r="G487" i="124"/>
  <c r="I487" i="124"/>
  <c r="K487" i="124"/>
  <c r="D402" i="124"/>
  <c r="G402" i="124"/>
  <c r="I402" i="124"/>
  <c r="K402" i="124"/>
  <c r="D403" i="124"/>
  <c r="G403" i="124"/>
  <c r="I403" i="124"/>
  <c r="K403" i="124"/>
  <c r="D404" i="124"/>
  <c r="G404" i="124"/>
  <c r="I404" i="124"/>
  <c r="K404" i="124"/>
  <c r="D405" i="124"/>
  <c r="G405" i="124"/>
  <c r="I405" i="124"/>
  <c r="K405" i="124"/>
  <c r="D406" i="124"/>
  <c r="G406" i="124"/>
  <c r="I406" i="124"/>
  <c r="K406" i="124"/>
  <c r="C413" i="124"/>
  <c r="D413" i="124"/>
  <c r="C414" i="124"/>
  <c r="D414" i="124"/>
  <c r="P414" i="124"/>
  <c r="C415" i="124"/>
  <c r="C416" i="124"/>
  <c r="D416" i="124"/>
  <c r="C417" i="124"/>
  <c r="D451" i="124"/>
  <c r="G451" i="124"/>
  <c r="I451" i="124"/>
  <c r="K451" i="124"/>
  <c r="D452" i="124"/>
  <c r="G452" i="124"/>
  <c r="I452" i="124"/>
  <c r="K452" i="124"/>
  <c r="C459" i="124"/>
  <c r="D459" i="124"/>
  <c r="E460" i="124"/>
  <c r="F460" i="124"/>
  <c r="G460" i="124"/>
  <c r="H460" i="124"/>
  <c r="I460" i="124"/>
  <c r="J460" i="124"/>
  <c r="K460" i="124"/>
  <c r="L460" i="124"/>
  <c r="M460" i="124"/>
  <c r="N460" i="124"/>
  <c r="I576" i="124"/>
  <c r="K576" i="124"/>
  <c r="D577" i="124"/>
  <c r="G577" i="124"/>
  <c r="I577" i="124"/>
  <c r="K577" i="124"/>
  <c r="I578" i="124"/>
  <c r="K578" i="124"/>
  <c r="D579" i="124"/>
  <c r="G579" i="124"/>
  <c r="I579" i="124"/>
  <c r="K579" i="124"/>
  <c r="I580" i="124"/>
  <c r="K580" i="124"/>
  <c r="D581" i="124"/>
  <c r="G581" i="124"/>
  <c r="I581" i="124"/>
  <c r="K581" i="124"/>
  <c r="D582" i="124"/>
  <c r="G582" i="124"/>
  <c r="I582" i="124"/>
  <c r="K582" i="124"/>
  <c r="D583" i="124"/>
  <c r="G583" i="124"/>
  <c r="I583" i="124"/>
  <c r="K583" i="124"/>
  <c r="C591" i="124"/>
  <c r="D591" i="124"/>
  <c r="C592" i="124"/>
  <c r="D592" i="124"/>
  <c r="C593" i="124"/>
  <c r="D593" i="124"/>
  <c r="C594" i="124"/>
  <c r="D594" i="124"/>
  <c r="C595" i="124"/>
  <c r="D595" i="124"/>
  <c r="C596" i="124"/>
  <c r="D596" i="124"/>
  <c r="C597" i="124"/>
  <c r="D597" i="124"/>
  <c r="C598" i="124"/>
  <c r="D598" i="124"/>
  <c r="D711" i="124"/>
  <c r="G711" i="124"/>
  <c r="I711" i="124"/>
  <c r="K711" i="124"/>
  <c r="D712" i="124"/>
  <c r="G712" i="124"/>
  <c r="I712" i="124"/>
  <c r="K712" i="124"/>
  <c r="D713" i="124"/>
  <c r="G713" i="124"/>
  <c r="I713" i="124"/>
  <c r="K713" i="124"/>
  <c r="I714" i="124"/>
  <c r="K714" i="124"/>
  <c r="D715" i="124"/>
  <c r="G715" i="124"/>
  <c r="I715" i="124"/>
  <c r="K715" i="124"/>
  <c r="D716" i="124"/>
  <c r="G716" i="124"/>
  <c r="I716" i="124"/>
  <c r="K716" i="124"/>
  <c r="D717" i="124"/>
  <c r="G717" i="124"/>
  <c r="I717" i="124"/>
  <c r="K717" i="124"/>
  <c r="I718" i="124"/>
  <c r="K718" i="124"/>
  <c r="D719" i="124"/>
  <c r="G719" i="124"/>
  <c r="I719" i="124"/>
  <c r="K719" i="124"/>
  <c r="D720" i="124"/>
  <c r="G720" i="124"/>
  <c r="I720" i="124"/>
  <c r="K720" i="124"/>
  <c r="D721" i="124"/>
  <c r="G721" i="124"/>
  <c r="I721" i="124"/>
  <c r="K721" i="124"/>
  <c r="D722" i="124"/>
  <c r="E722" i="124"/>
  <c r="I722" i="124"/>
  <c r="K722" i="124"/>
  <c r="C730" i="124"/>
  <c r="D730" i="124"/>
  <c r="C731" i="124"/>
  <c r="D731" i="124"/>
  <c r="C732" i="124"/>
  <c r="D732" i="124"/>
  <c r="C733" i="124"/>
  <c r="D733" i="124"/>
  <c r="C734" i="124"/>
  <c r="D734" i="124"/>
  <c r="C735" i="124"/>
  <c r="D735" i="124"/>
  <c r="C736" i="124"/>
  <c r="D736" i="124"/>
  <c r="C737" i="124"/>
  <c r="D737" i="124"/>
  <c r="C738" i="124"/>
  <c r="D738" i="124"/>
  <c r="C739" i="124"/>
  <c r="D739" i="124"/>
  <c r="C740" i="124"/>
  <c r="D740" i="124"/>
  <c r="C741" i="124"/>
  <c r="D741" i="124"/>
  <c r="C369" i="124"/>
  <c r="D369" i="124"/>
  <c r="C370" i="124"/>
  <c r="D370" i="124"/>
  <c r="C371" i="124"/>
  <c r="D371" i="124"/>
  <c r="E372" i="124"/>
  <c r="H372" i="124"/>
  <c r="I372" i="124"/>
  <c r="J372" i="124"/>
  <c r="K372" i="124"/>
  <c r="L372" i="124"/>
  <c r="M372" i="124"/>
  <c r="N372" i="124"/>
  <c r="D360" i="124"/>
  <c r="I360" i="124"/>
  <c r="K360" i="124"/>
  <c r="D361" i="124"/>
  <c r="I361" i="124"/>
  <c r="K361" i="124"/>
  <c r="D362" i="124"/>
  <c r="I362" i="124"/>
  <c r="K362" i="124"/>
  <c r="N374" i="123"/>
  <c r="M374" i="123"/>
  <c r="L374" i="123"/>
  <c r="K374" i="123"/>
  <c r="J374" i="123"/>
  <c r="I374" i="123"/>
  <c r="H374" i="123"/>
  <c r="E374" i="123"/>
  <c r="D373" i="123"/>
  <c r="C373" i="123"/>
  <c r="D372" i="123"/>
  <c r="C372" i="123"/>
  <c r="K365" i="123"/>
  <c r="I365" i="123"/>
  <c r="G365" i="123"/>
  <c r="D365" i="123"/>
  <c r="K364" i="123"/>
  <c r="I364" i="123"/>
  <c r="G364" i="123"/>
  <c r="D364" i="123"/>
  <c r="K363" i="123"/>
  <c r="I363" i="123"/>
  <c r="G363" i="123"/>
  <c r="D363" i="123"/>
  <c r="K362" i="123"/>
  <c r="I362" i="123"/>
  <c r="G362" i="123"/>
  <c r="D362" i="123"/>
  <c r="D733" i="123"/>
  <c r="C733" i="123"/>
  <c r="D732" i="123"/>
  <c r="C732" i="123"/>
  <c r="D731" i="123"/>
  <c r="C731" i="123"/>
  <c r="D730" i="123"/>
  <c r="C730" i="123"/>
  <c r="D729" i="123"/>
  <c r="C729" i="123"/>
  <c r="D728" i="123"/>
  <c r="C728" i="123"/>
  <c r="D727" i="123"/>
  <c r="C727" i="123"/>
  <c r="D726" i="123"/>
  <c r="C726" i="123"/>
  <c r="D725" i="123"/>
  <c r="C725" i="123"/>
  <c r="D724" i="123"/>
  <c r="C724" i="123"/>
  <c r="D723" i="123"/>
  <c r="C723" i="123"/>
  <c r="D722" i="123"/>
  <c r="C722" i="123"/>
  <c r="K714" i="123"/>
  <c r="I714" i="123"/>
  <c r="E714" i="123"/>
  <c r="D714" i="123"/>
  <c r="K713" i="123"/>
  <c r="I713" i="123"/>
  <c r="G713" i="123"/>
  <c r="D713" i="123"/>
  <c r="K712" i="123"/>
  <c r="I712" i="123"/>
  <c r="G712" i="123"/>
  <c r="D712" i="123"/>
  <c r="K711" i="123"/>
  <c r="I711" i="123"/>
  <c r="G711" i="123"/>
  <c r="D711" i="123"/>
  <c r="K710" i="123"/>
  <c r="I710" i="123"/>
  <c r="K709" i="123"/>
  <c r="I709" i="123"/>
  <c r="G709" i="123"/>
  <c r="D709" i="123"/>
  <c r="K708" i="123"/>
  <c r="I708" i="123"/>
  <c r="G708" i="123"/>
  <c r="D708" i="123"/>
  <c r="K707" i="123"/>
  <c r="I707" i="123"/>
  <c r="G707" i="123"/>
  <c r="D707" i="123"/>
  <c r="K706" i="123"/>
  <c r="I706" i="123"/>
  <c r="K705" i="123"/>
  <c r="I705" i="123"/>
  <c r="G705" i="123"/>
  <c r="D705" i="123"/>
  <c r="K704" i="123"/>
  <c r="I704" i="123"/>
  <c r="G704" i="123"/>
  <c r="D704" i="123"/>
  <c r="K703" i="123"/>
  <c r="I703" i="123"/>
  <c r="G703" i="123"/>
  <c r="D703" i="123"/>
  <c r="D590" i="123"/>
  <c r="C590" i="123"/>
  <c r="D589" i="123"/>
  <c r="C589" i="123"/>
  <c r="D588" i="123"/>
  <c r="C588" i="123"/>
  <c r="D587" i="123"/>
  <c r="C587" i="123"/>
  <c r="D586" i="123"/>
  <c r="C586" i="123"/>
  <c r="D585" i="123"/>
  <c r="C585" i="123"/>
  <c r="D584" i="123"/>
  <c r="C584" i="123"/>
  <c r="D583" i="123"/>
  <c r="C583" i="123"/>
  <c r="K575" i="123"/>
  <c r="I575" i="123"/>
  <c r="G575" i="123"/>
  <c r="D575" i="123"/>
  <c r="K574" i="123"/>
  <c r="I574" i="123"/>
  <c r="G574" i="123"/>
  <c r="D574" i="123"/>
  <c r="K573" i="123"/>
  <c r="I573" i="123"/>
  <c r="G573" i="123"/>
  <c r="D573" i="123"/>
  <c r="K572" i="123"/>
  <c r="I572" i="123"/>
  <c r="K571" i="123"/>
  <c r="I571" i="123"/>
  <c r="G571" i="123"/>
  <c r="D571" i="123"/>
  <c r="K570" i="123"/>
  <c r="I570" i="123"/>
  <c r="K569" i="123"/>
  <c r="I569" i="123"/>
  <c r="G569" i="123"/>
  <c r="D569" i="123"/>
  <c r="K568" i="123"/>
  <c r="I568" i="123"/>
  <c r="N494" i="123"/>
  <c r="M494" i="123"/>
  <c r="L494" i="123"/>
  <c r="K494" i="123"/>
  <c r="J494" i="123"/>
  <c r="I494" i="123"/>
  <c r="H494" i="123"/>
  <c r="G494" i="123"/>
  <c r="F494" i="123"/>
  <c r="E494" i="123"/>
  <c r="D493" i="123"/>
  <c r="C493" i="123"/>
  <c r="K486" i="123"/>
  <c r="I486" i="123"/>
  <c r="G486" i="123"/>
  <c r="D486" i="123"/>
  <c r="K485" i="123"/>
  <c r="I485" i="123"/>
  <c r="G485" i="123"/>
  <c r="D485" i="123"/>
  <c r="C451" i="123"/>
  <c r="D450" i="123"/>
  <c r="C450" i="123"/>
  <c r="C449" i="123"/>
  <c r="P448" i="123"/>
  <c r="D448" i="123"/>
  <c r="C448" i="123"/>
  <c r="D447" i="123"/>
  <c r="C447" i="123"/>
  <c r="K440" i="123"/>
  <c r="I440" i="123"/>
  <c r="G440" i="123"/>
  <c r="D440" i="123"/>
  <c r="K439" i="123"/>
  <c r="I439" i="123"/>
  <c r="G439" i="123"/>
  <c r="D439" i="123"/>
  <c r="K438" i="123"/>
  <c r="I438" i="123"/>
  <c r="G438" i="123"/>
  <c r="D438" i="123"/>
  <c r="K437" i="123"/>
  <c r="I437" i="123"/>
  <c r="G437" i="123"/>
  <c r="D437" i="123"/>
  <c r="K436" i="123"/>
  <c r="I436" i="123"/>
  <c r="G436" i="123"/>
  <c r="D436" i="123"/>
  <c r="N406" i="123"/>
  <c r="M406" i="123"/>
  <c r="L406" i="123"/>
  <c r="K406" i="123"/>
  <c r="J406" i="123"/>
  <c r="I406" i="123"/>
  <c r="H406" i="123"/>
  <c r="E406" i="123"/>
  <c r="D405" i="123"/>
  <c r="C405" i="123"/>
  <c r="D404" i="123"/>
  <c r="C404" i="123"/>
  <c r="D403" i="123"/>
  <c r="C403" i="123"/>
  <c r="K396" i="123"/>
  <c r="I396" i="123"/>
  <c r="D396" i="123"/>
  <c r="K395" i="123"/>
  <c r="I395" i="123"/>
  <c r="D395" i="123"/>
  <c r="K394" i="123"/>
  <c r="I394" i="123"/>
  <c r="D394" i="123"/>
  <c r="C417" i="100"/>
  <c r="C416" i="100"/>
  <c r="C415" i="100"/>
  <c r="C414" i="100"/>
  <c r="C413" i="100"/>
  <c r="K406" i="100" l="1"/>
  <c r="I406" i="100"/>
  <c r="G406" i="100"/>
  <c r="D406" i="100"/>
  <c r="K405" i="100"/>
  <c r="I405" i="100"/>
  <c r="G405" i="100"/>
  <c r="D405" i="100"/>
  <c r="K404" i="100"/>
  <c r="I404" i="100"/>
  <c r="G404" i="100"/>
  <c r="D404" i="100"/>
  <c r="K403" i="100"/>
  <c r="I403" i="100"/>
  <c r="G403" i="100"/>
  <c r="D403" i="100"/>
  <c r="K402" i="100"/>
  <c r="I402" i="100"/>
  <c r="G402" i="100"/>
  <c r="D402" i="100"/>
  <c r="D371" i="100"/>
  <c r="C371" i="100"/>
  <c r="D370" i="100"/>
  <c r="C370" i="100"/>
  <c r="D369" i="100"/>
  <c r="C369" i="100"/>
  <c r="K362" i="100"/>
  <c r="I362" i="100"/>
  <c r="K361" i="100"/>
  <c r="I361" i="100"/>
  <c r="I360" i="100"/>
  <c r="D416" i="100"/>
  <c r="P414" i="100"/>
  <c r="D414" i="100"/>
  <c r="D413" i="100"/>
  <c r="D362" i="100"/>
  <c r="D361" i="100"/>
  <c r="D360" i="100"/>
  <c r="N459" i="112" l="1"/>
  <c r="N372" i="100"/>
  <c r="M372" i="100"/>
  <c r="L372" i="100"/>
  <c r="K372" i="100"/>
  <c r="J372" i="100"/>
  <c r="I372" i="100"/>
  <c r="H372" i="100"/>
  <c r="E372" i="100"/>
  <c r="D742" i="100"/>
  <c r="C742" i="100"/>
  <c r="D741" i="100"/>
  <c r="C741" i="100"/>
  <c r="D740" i="100"/>
  <c r="C740" i="100"/>
  <c r="D739" i="100"/>
  <c r="C739" i="100"/>
  <c r="D738" i="100"/>
  <c r="C738" i="100"/>
  <c r="D737" i="100"/>
  <c r="C737" i="100"/>
  <c r="D736" i="100"/>
  <c r="C736" i="100"/>
  <c r="D735" i="100"/>
  <c r="C735" i="100"/>
  <c r="D734" i="100"/>
  <c r="C734" i="100"/>
  <c r="D733" i="100"/>
  <c r="C733" i="100"/>
  <c r="D732" i="100"/>
  <c r="C732" i="100"/>
  <c r="D731" i="100"/>
  <c r="C731" i="100"/>
  <c r="K723" i="100"/>
  <c r="I723" i="100"/>
  <c r="E723" i="100"/>
  <c r="D723" i="100"/>
  <c r="K722" i="100"/>
  <c r="I722" i="100"/>
  <c r="G722" i="100"/>
  <c r="D722" i="100"/>
  <c r="K721" i="100"/>
  <c r="I721" i="100"/>
  <c r="G721" i="100"/>
  <c r="D721" i="100"/>
  <c r="K720" i="100"/>
  <c r="I720" i="100"/>
  <c r="G720" i="100"/>
  <c r="D720" i="100"/>
  <c r="K719" i="100"/>
  <c r="I719" i="100"/>
  <c r="K718" i="100"/>
  <c r="I718" i="100"/>
  <c r="G718" i="100"/>
  <c r="D718" i="100"/>
  <c r="K717" i="100"/>
  <c r="I717" i="100"/>
  <c r="G717" i="100"/>
  <c r="D717" i="100"/>
  <c r="K716" i="100"/>
  <c r="I716" i="100"/>
  <c r="G716" i="100"/>
  <c r="D716" i="100"/>
  <c r="K715" i="100"/>
  <c r="I715" i="100"/>
  <c r="K714" i="100"/>
  <c r="I714" i="100"/>
  <c r="G714" i="100"/>
  <c r="D714" i="100"/>
  <c r="K713" i="100"/>
  <c r="I713" i="100"/>
  <c r="G713" i="100"/>
  <c r="D713" i="100"/>
  <c r="K712" i="100"/>
  <c r="I712" i="100"/>
  <c r="G712" i="100"/>
  <c r="D712" i="100"/>
  <c r="D599" i="100"/>
  <c r="C599" i="100"/>
  <c r="D598" i="100"/>
  <c r="C598" i="100"/>
  <c r="D597" i="100"/>
  <c r="C597" i="100"/>
  <c r="D596" i="100"/>
  <c r="C596" i="100"/>
  <c r="D595" i="100"/>
  <c r="C595" i="100"/>
  <c r="D594" i="100"/>
  <c r="C594" i="100"/>
  <c r="D593" i="100"/>
  <c r="C593" i="100"/>
  <c r="D592" i="100"/>
  <c r="C592" i="100"/>
  <c r="K584" i="100"/>
  <c r="I584" i="100"/>
  <c r="G584" i="100"/>
  <c r="D584" i="100"/>
  <c r="K583" i="100"/>
  <c r="I583" i="100"/>
  <c r="G583" i="100"/>
  <c r="D583" i="100"/>
  <c r="K582" i="100"/>
  <c r="I582" i="100"/>
  <c r="G582" i="100"/>
  <c r="D582" i="100"/>
  <c r="K581" i="100"/>
  <c r="I581" i="100"/>
  <c r="K580" i="100"/>
  <c r="I580" i="100"/>
  <c r="G580" i="100"/>
  <c r="D580" i="100"/>
  <c r="K579" i="100"/>
  <c r="I579" i="100"/>
  <c r="K578" i="100"/>
  <c r="I578" i="100"/>
  <c r="G578" i="100"/>
  <c r="D578" i="100"/>
  <c r="K577" i="100"/>
  <c r="I577" i="100"/>
  <c r="N498" i="100"/>
  <c r="M498" i="100"/>
  <c r="L498" i="100"/>
  <c r="K498" i="100"/>
  <c r="J498" i="100"/>
  <c r="I498" i="100"/>
  <c r="H498" i="100"/>
  <c r="E498" i="100"/>
  <c r="D497" i="100"/>
  <c r="C497" i="100"/>
  <c r="D496" i="100"/>
  <c r="C496" i="100"/>
  <c r="D495" i="100"/>
  <c r="C495" i="100"/>
  <c r="K488" i="100"/>
  <c r="I488" i="100"/>
  <c r="G488" i="100"/>
  <c r="D488" i="100"/>
  <c r="K487" i="100"/>
  <c r="I487" i="100"/>
  <c r="G487" i="100"/>
  <c r="D487" i="100"/>
  <c r="K486" i="100"/>
  <c r="I486" i="100"/>
  <c r="G486" i="100"/>
  <c r="D486" i="100"/>
  <c r="N460" i="100"/>
  <c r="M460" i="100"/>
  <c r="L460" i="100"/>
  <c r="K460" i="100"/>
  <c r="J460" i="100"/>
  <c r="I460" i="100"/>
  <c r="H460" i="100"/>
  <c r="G460" i="100"/>
  <c r="F460" i="100"/>
  <c r="E460" i="100"/>
  <c r="D459" i="100"/>
  <c r="C459" i="100"/>
  <c r="K452" i="100"/>
  <c r="I452" i="100"/>
  <c r="G452" i="100"/>
  <c r="D452" i="100"/>
  <c r="K451" i="100"/>
  <c r="I451" i="100"/>
  <c r="G451" i="100"/>
  <c r="D451" i="100"/>
  <c r="D642" i="121" l="1"/>
  <c r="C642" i="121"/>
  <c r="D641" i="121"/>
  <c r="C641" i="121"/>
  <c r="D640" i="121"/>
  <c r="C640" i="121"/>
  <c r="D639" i="121"/>
  <c r="C639" i="121"/>
  <c r="D638" i="121"/>
  <c r="C638" i="121"/>
  <c r="D637" i="121"/>
  <c r="C637" i="121"/>
  <c r="D636" i="121"/>
  <c r="C636" i="121"/>
  <c r="D635" i="121"/>
  <c r="C635" i="121"/>
  <c r="D634" i="121"/>
  <c r="C634" i="121"/>
  <c r="D633" i="121"/>
  <c r="C633" i="121"/>
  <c r="D632" i="121"/>
  <c r="C632" i="121"/>
  <c r="D631" i="121"/>
  <c r="C631" i="121"/>
  <c r="K623" i="121"/>
  <c r="I623" i="121"/>
  <c r="E623" i="121"/>
  <c r="D623" i="121"/>
  <c r="K622" i="121"/>
  <c r="I622" i="121"/>
  <c r="G622" i="121"/>
  <c r="D622" i="121"/>
  <c r="K621" i="121"/>
  <c r="I621" i="121"/>
  <c r="G621" i="121"/>
  <c r="D621" i="121"/>
  <c r="K620" i="121"/>
  <c r="I620" i="121"/>
  <c r="G620" i="121"/>
  <c r="D620" i="121"/>
  <c r="K619" i="121"/>
  <c r="I619" i="121"/>
  <c r="K618" i="121"/>
  <c r="I618" i="121"/>
  <c r="G618" i="121"/>
  <c r="D618" i="121"/>
  <c r="K617" i="121"/>
  <c r="I617" i="121"/>
  <c r="G617" i="121"/>
  <c r="D617" i="121"/>
  <c r="K616" i="121"/>
  <c r="I616" i="121"/>
  <c r="G616" i="121"/>
  <c r="D616" i="121"/>
  <c r="K615" i="121"/>
  <c r="I615" i="121"/>
  <c r="K614" i="121"/>
  <c r="I614" i="121"/>
  <c r="G614" i="121"/>
  <c r="D614" i="121"/>
  <c r="K613" i="121"/>
  <c r="I613" i="121"/>
  <c r="G613" i="121"/>
  <c r="D613" i="121"/>
  <c r="K612" i="121"/>
  <c r="I612" i="121"/>
  <c r="G612" i="121"/>
  <c r="D612" i="121"/>
  <c r="D499" i="121"/>
  <c r="C499" i="121"/>
  <c r="D498" i="121"/>
  <c r="C498" i="121"/>
  <c r="D497" i="121"/>
  <c r="C497" i="121"/>
  <c r="D496" i="121"/>
  <c r="C496" i="121"/>
  <c r="D495" i="121"/>
  <c r="C495" i="121"/>
  <c r="D494" i="121"/>
  <c r="C494" i="121"/>
  <c r="D493" i="121"/>
  <c r="C493" i="121"/>
  <c r="D492" i="121"/>
  <c r="C492" i="121"/>
  <c r="K484" i="121"/>
  <c r="I484" i="121"/>
  <c r="G484" i="121"/>
  <c r="D484" i="121"/>
  <c r="K483" i="121"/>
  <c r="I483" i="121"/>
  <c r="G483" i="121"/>
  <c r="D483" i="121"/>
  <c r="K482" i="121"/>
  <c r="I482" i="121"/>
  <c r="G482" i="121"/>
  <c r="D482" i="121"/>
  <c r="K481" i="121"/>
  <c r="I481" i="121"/>
  <c r="K480" i="121"/>
  <c r="I480" i="121"/>
  <c r="G480" i="121"/>
  <c r="D480" i="121"/>
  <c r="K479" i="121"/>
  <c r="I479" i="121"/>
  <c r="K478" i="121"/>
  <c r="I478" i="121"/>
  <c r="G478" i="121"/>
  <c r="D478" i="121"/>
  <c r="K477" i="121"/>
  <c r="I477" i="121"/>
  <c r="N398" i="121"/>
  <c r="M398" i="121"/>
  <c r="L398" i="121"/>
  <c r="K398" i="121"/>
  <c r="J398" i="121"/>
  <c r="I398" i="121"/>
  <c r="H398" i="121"/>
  <c r="E398" i="121"/>
  <c r="D397" i="121"/>
  <c r="C397" i="121"/>
  <c r="D396" i="121"/>
  <c r="C396" i="121"/>
  <c r="D395" i="121"/>
  <c r="C395" i="121"/>
  <c r="K388" i="121"/>
  <c r="I388" i="121"/>
  <c r="G388" i="121"/>
  <c r="D388" i="121"/>
  <c r="K387" i="121"/>
  <c r="I387" i="121"/>
  <c r="G387" i="121"/>
  <c r="D387" i="121"/>
  <c r="K386" i="121"/>
  <c r="I386" i="121"/>
  <c r="G386" i="121"/>
  <c r="D386" i="121"/>
  <c r="N361" i="121"/>
  <c r="M361" i="121"/>
  <c r="L361" i="121"/>
  <c r="K361" i="121"/>
  <c r="J361" i="121"/>
  <c r="I361" i="121"/>
  <c r="H361" i="121"/>
  <c r="G361" i="121"/>
  <c r="F361" i="121"/>
  <c r="E361" i="121"/>
  <c r="D360" i="121"/>
  <c r="C360" i="121"/>
  <c r="K353" i="121"/>
  <c r="I353" i="121"/>
  <c r="G353" i="121"/>
  <c r="D353" i="121"/>
  <c r="K352" i="121"/>
  <c r="I352" i="121"/>
  <c r="G352" i="121"/>
  <c r="D352" i="121"/>
  <c r="D632" i="122"/>
  <c r="D633" i="122"/>
  <c r="D631" i="122"/>
  <c r="D630" i="122"/>
  <c r="D629" i="122"/>
  <c r="D628" i="122"/>
  <c r="D627" i="122"/>
  <c r="D626" i="122"/>
  <c r="D625" i="122"/>
  <c r="D624" i="122"/>
  <c r="D623" i="122"/>
  <c r="D622" i="122"/>
  <c r="C633" i="122"/>
  <c r="C632" i="122"/>
  <c r="C631" i="122"/>
  <c r="C630" i="122"/>
  <c r="C629" i="122"/>
  <c r="C628" i="122"/>
  <c r="C627" i="122"/>
  <c r="C626" i="122"/>
  <c r="C625" i="122"/>
  <c r="C624" i="122"/>
  <c r="C623" i="122"/>
  <c r="C622" i="122"/>
  <c r="I613" i="122"/>
  <c r="I612" i="122"/>
  <c r="I614" i="122"/>
  <c r="I605" i="122"/>
  <c r="D613" i="122"/>
  <c r="D609" i="122"/>
  <c r="D608" i="122"/>
  <c r="D607" i="122"/>
  <c r="D605" i="122"/>
  <c r="D490" i="122"/>
  <c r="D489" i="122"/>
  <c r="D488" i="122"/>
  <c r="D487" i="122"/>
  <c r="D485" i="122"/>
  <c r="D484" i="122"/>
  <c r="D483" i="122"/>
  <c r="I475" i="122"/>
  <c r="I474" i="122"/>
  <c r="I473" i="122"/>
  <c r="I472" i="122"/>
  <c r="I471" i="122"/>
  <c r="I470" i="122"/>
  <c r="I469" i="122"/>
  <c r="I468" i="122"/>
  <c r="D475" i="122"/>
  <c r="D474" i="122"/>
  <c r="D473" i="122"/>
  <c r="D393" i="122"/>
  <c r="I386" i="122"/>
  <c r="I385" i="122"/>
  <c r="D386" i="122"/>
  <c r="D385" i="122"/>
  <c r="I363" i="122"/>
  <c r="I362" i="122"/>
  <c r="I361" i="122"/>
  <c r="I360" i="122"/>
  <c r="D370" i="122"/>
  <c r="D371" i="122"/>
  <c r="C371" i="122"/>
  <c r="C370" i="122"/>
  <c r="K363" i="122"/>
  <c r="G363" i="122"/>
  <c r="D363" i="122"/>
  <c r="K362" i="122"/>
  <c r="G362" i="122"/>
  <c r="D362" i="122"/>
  <c r="K361" i="122"/>
  <c r="G361" i="122"/>
  <c r="D361" i="122"/>
  <c r="K360" i="122"/>
  <c r="G360" i="122"/>
  <c r="D643" i="98"/>
  <c r="C643" i="98"/>
  <c r="D642" i="98"/>
  <c r="C642" i="98"/>
  <c r="D641" i="98"/>
  <c r="C641" i="98"/>
  <c r="D640" i="98"/>
  <c r="C640" i="98"/>
  <c r="D639" i="98"/>
  <c r="C639" i="98"/>
  <c r="D638" i="98"/>
  <c r="C638" i="98"/>
  <c r="D637" i="98"/>
  <c r="C637" i="98"/>
  <c r="D636" i="98"/>
  <c r="C636" i="98"/>
  <c r="D635" i="98"/>
  <c r="C635" i="98"/>
  <c r="D634" i="98"/>
  <c r="C634" i="98"/>
  <c r="D633" i="98"/>
  <c r="C633" i="98"/>
  <c r="D632" i="98"/>
  <c r="C632" i="98"/>
  <c r="I624" i="98"/>
  <c r="I623" i="98"/>
  <c r="D623" i="98"/>
  <c r="I622" i="98"/>
  <c r="D619" i="98"/>
  <c r="D618" i="98"/>
  <c r="D617" i="98"/>
  <c r="I615" i="98"/>
  <c r="D615" i="98"/>
  <c r="D500" i="98"/>
  <c r="D499" i="98"/>
  <c r="D498" i="98"/>
  <c r="D497" i="98"/>
  <c r="D495" i="98"/>
  <c r="D494" i="98"/>
  <c r="D493" i="98"/>
  <c r="D485" i="98"/>
  <c r="D484" i="98"/>
  <c r="I483" i="98"/>
  <c r="D483" i="98"/>
  <c r="I482" i="98"/>
  <c r="I481" i="98"/>
  <c r="I480" i="98"/>
  <c r="I479" i="98"/>
  <c r="I478" i="98"/>
  <c r="I353" i="98"/>
  <c r="I352" i="98"/>
  <c r="D496" i="97"/>
  <c r="D495" i="97"/>
  <c r="D494" i="97"/>
  <c r="D493" i="97"/>
  <c r="D492" i="97"/>
  <c r="D491" i="97"/>
  <c r="D490" i="97"/>
  <c r="D489" i="97"/>
  <c r="D488" i="97"/>
  <c r="D487" i="97"/>
  <c r="D486" i="97"/>
  <c r="D485" i="97"/>
  <c r="D360" i="122"/>
  <c r="D398" i="98" l="1"/>
  <c r="D396" i="98"/>
  <c r="I388" i="98"/>
  <c r="I387" i="98"/>
  <c r="D387" i="98"/>
  <c r="D360" i="98"/>
  <c r="D353" i="98"/>
  <c r="D352" i="98"/>
  <c r="C496" i="97"/>
  <c r="C495" i="97"/>
  <c r="C494" i="97"/>
  <c r="C493" i="97"/>
  <c r="C492" i="97"/>
  <c r="C491" i="97"/>
  <c r="C490" i="97"/>
  <c r="C489" i="97"/>
  <c r="C488" i="97"/>
  <c r="C487" i="97"/>
  <c r="C486" i="97"/>
  <c r="C485" i="97"/>
  <c r="I478" i="97"/>
  <c r="I477" i="97"/>
  <c r="I476" i="97"/>
  <c r="I469" i="97"/>
  <c r="D477" i="97"/>
  <c r="D473" i="97"/>
  <c r="D472" i="97"/>
  <c r="D471" i="97"/>
  <c r="D469" i="97"/>
  <c r="D390" i="97"/>
  <c r="D389" i="97"/>
  <c r="D388" i="97"/>
  <c r="D387" i="97"/>
  <c r="D385" i="97"/>
  <c r="D384" i="97"/>
  <c r="D383" i="97"/>
  <c r="I374" i="97"/>
  <c r="I373" i="97"/>
  <c r="I372" i="97"/>
  <c r="I371" i="97"/>
  <c r="I370" i="97"/>
  <c r="I369" i="97"/>
  <c r="D376" i="97"/>
  <c r="D375" i="97"/>
  <c r="D374" i="97"/>
  <c r="N372" i="122" l="1"/>
  <c r="M372" i="122"/>
  <c r="L372" i="122"/>
  <c r="K372" i="122"/>
  <c r="J372" i="122"/>
  <c r="I372" i="122"/>
  <c r="H372" i="122"/>
  <c r="E372" i="122"/>
  <c r="K614" i="122" l="1"/>
  <c r="E614" i="122"/>
  <c r="D614" i="122"/>
  <c r="K613" i="122"/>
  <c r="G613" i="122"/>
  <c r="K612" i="122"/>
  <c r="G612" i="122"/>
  <c r="D612" i="122"/>
  <c r="K611" i="122"/>
  <c r="I611" i="122"/>
  <c r="G611" i="122"/>
  <c r="D611" i="122"/>
  <c r="K610" i="122"/>
  <c r="I610" i="122"/>
  <c r="K609" i="122"/>
  <c r="I609" i="122"/>
  <c r="G609" i="122"/>
  <c r="K608" i="122"/>
  <c r="I608" i="122"/>
  <c r="G608" i="122"/>
  <c r="K607" i="122"/>
  <c r="I607" i="122"/>
  <c r="G607" i="122"/>
  <c r="K606" i="122"/>
  <c r="I606" i="122"/>
  <c r="K605" i="122"/>
  <c r="G605" i="122"/>
  <c r="K604" i="122"/>
  <c r="I604" i="122"/>
  <c r="G604" i="122"/>
  <c r="D604" i="122"/>
  <c r="K603" i="122"/>
  <c r="I603" i="122"/>
  <c r="G603" i="122"/>
  <c r="D603" i="122"/>
  <c r="C490" i="122"/>
  <c r="C489" i="122"/>
  <c r="C488" i="122"/>
  <c r="C487" i="122"/>
  <c r="D486" i="122"/>
  <c r="C486" i="122"/>
  <c r="C485" i="122"/>
  <c r="C484" i="122"/>
  <c r="C483" i="122"/>
  <c r="K475" i="122"/>
  <c r="K474" i="122"/>
  <c r="K473" i="122"/>
  <c r="K472" i="122"/>
  <c r="K471" i="122"/>
  <c r="D471" i="122"/>
  <c r="K470" i="122"/>
  <c r="K469" i="122"/>
  <c r="D469" i="122"/>
  <c r="K468" i="122"/>
  <c r="N394" i="122"/>
  <c r="M394" i="122"/>
  <c r="L394" i="122"/>
  <c r="K394" i="122"/>
  <c r="J394" i="122"/>
  <c r="I394" i="122"/>
  <c r="H394" i="122"/>
  <c r="G394" i="122"/>
  <c r="F394" i="122"/>
  <c r="E394" i="122"/>
  <c r="C393" i="122"/>
  <c r="K386" i="122"/>
  <c r="G386" i="122"/>
  <c r="K385" i="122"/>
  <c r="G385" i="122"/>
  <c r="K624" i="98"/>
  <c r="E624" i="98"/>
  <c r="D624" i="98"/>
  <c r="K623" i="98"/>
  <c r="G623" i="98"/>
  <c r="K622" i="98"/>
  <c r="G622" i="98"/>
  <c r="D622" i="98"/>
  <c r="K621" i="98"/>
  <c r="I621" i="98"/>
  <c r="G621" i="98"/>
  <c r="D621" i="98"/>
  <c r="K620" i="98"/>
  <c r="I620" i="98"/>
  <c r="K619" i="98"/>
  <c r="I619" i="98"/>
  <c r="G619" i="98"/>
  <c r="K618" i="98"/>
  <c r="I618" i="98"/>
  <c r="G618" i="98"/>
  <c r="K617" i="98"/>
  <c r="I617" i="98"/>
  <c r="G617" i="98"/>
  <c r="K616" i="98"/>
  <c r="I616" i="98"/>
  <c r="K615" i="98"/>
  <c r="G615" i="98"/>
  <c r="K614" i="98"/>
  <c r="I614" i="98"/>
  <c r="G614" i="98"/>
  <c r="D614" i="98"/>
  <c r="K613" i="98"/>
  <c r="I613" i="98"/>
  <c r="G613" i="98"/>
  <c r="D613" i="98"/>
  <c r="C500" i="98"/>
  <c r="C499" i="98"/>
  <c r="C498" i="98"/>
  <c r="C497" i="98"/>
  <c r="D496" i="98"/>
  <c r="C496" i="98"/>
  <c r="C495" i="98"/>
  <c r="C494" i="98"/>
  <c r="C493" i="98"/>
  <c r="K485" i="98"/>
  <c r="I485" i="98"/>
  <c r="G485" i="98"/>
  <c r="K484" i="98"/>
  <c r="I484" i="98"/>
  <c r="G484" i="98"/>
  <c r="K483" i="98"/>
  <c r="G483" i="98"/>
  <c r="K482" i="98"/>
  <c r="K481" i="98"/>
  <c r="G481" i="98"/>
  <c r="D481" i="98"/>
  <c r="K480" i="98"/>
  <c r="K479" i="98"/>
  <c r="G479" i="98"/>
  <c r="D479" i="98"/>
  <c r="K478" i="98"/>
  <c r="C360" i="98"/>
  <c r="K353" i="98"/>
  <c r="K352" i="98"/>
  <c r="G353" i="98"/>
  <c r="G352" i="98"/>
  <c r="N399" i="98"/>
  <c r="M399" i="98"/>
  <c r="L399" i="98"/>
  <c r="K399" i="98"/>
  <c r="J399" i="98"/>
  <c r="I399" i="98"/>
  <c r="H399" i="98"/>
  <c r="E399" i="98"/>
  <c r="C398" i="98"/>
  <c r="D397" i="98"/>
  <c r="C397" i="98"/>
  <c r="C396" i="98"/>
  <c r="K389" i="98"/>
  <c r="I389" i="98"/>
  <c r="G389" i="98"/>
  <c r="D389" i="98"/>
  <c r="K388" i="98"/>
  <c r="G388" i="98"/>
  <c r="D388" i="98"/>
  <c r="K387" i="98"/>
  <c r="G387" i="98"/>
  <c r="N361" i="98" l="1"/>
  <c r="M361" i="98"/>
  <c r="L361" i="98"/>
  <c r="K361" i="98"/>
  <c r="J361" i="98"/>
  <c r="I361" i="98"/>
  <c r="H361" i="98"/>
  <c r="G361" i="98"/>
  <c r="F361" i="98"/>
  <c r="E361" i="98"/>
  <c r="N754" i="112" l="1"/>
  <c r="N753" i="112"/>
  <c r="K478" i="97" l="1"/>
  <c r="E478" i="97"/>
  <c r="D478" i="97"/>
  <c r="K477" i="97"/>
  <c r="G477" i="97"/>
  <c r="K476" i="97"/>
  <c r="G476" i="97"/>
  <c r="D476" i="97"/>
  <c r="K475" i="97"/>
  <c r="I475" i="97"/>
  <c r="G475" i="97"/>
  <c r="D475" i="97"/>
  <c r="K474" i="97"/>
  <c r="I474" i="97"/>
  <c r="K473" i="97"/>
  <c r="I473" i="97"/>
  <c r="G473" i="97"/>
  <c r="K472" i="97"/>
  <c r="I472" i="97"/>
  <c r="G472" i="97"/>
  <c r="K471" i="97"/>
  <c r="I471" i="97"/>
  <c r="G471" i="97"/>
  <c r="K470" i="97"/>
  <c r="I470" i="97"/>
  <c r="K469" i="97"/>
  <c r="G469" i="97"/>
  <c r="K468" i="97"/>
  <c r="I468" i="97"/>
  <c r="G468" i="97"/>
  <c r="D468" i="97"/>
  <c r="K467" i="97"/>
  <c r="I467" i="97"/>
  <c r="G467" i="97"/>
  <c r="D467" i="97"/>
  <c r="C390" i="97"/>
  <c r="C389" i="97"/>
  <c r="C388" i="97"/>
  <c r="C387" i="97"/>
  <c r="D386" i="97"/>
  <c r="C386" i="97"/>
  <c r="C385" i="97"/>
  <c r="C384" i="97"/>
  <c r="C383" i="97"/>
  <c r="K376" i="97"/>
  <c r="I376" i="97"/>
  <c r="G376" i="97"/>
  <c r="K375" i="97"/>
  <c r="I375" i="97"/>
  <c r="G375" i="97"/>
  <c r="K374" i="97"/>
  <c r="G374" i="97"/>
  <c r="K373" i="97"/>
  <c r="K372" i="97"/>
  <c r="G372" i="97"/>
  <c r="D372" i="97"/>
  <c r="K371" i="97"/>
  <c r="K370" i="97"/>
  <c r="G370" i="97"/>
  <c r="D370" i="97"/>
  <c r="K369" i="97"/>
  <c r="N234" i="112"/>
  <c r="D234" i="112" s="1"/>
  <c r="G264" i="200" s="1"/>
  <c r="T44" i="107" s="1"/>
  <c r="N233" i="112"/>
  <c r="E391" i="97"/>
  <c r="F391" i="97"/>
  <c r="N546" i="97" s="1"/>
  <c r="G391" i="97"/>
  <c r="O546" i="97" s="1"/>
  <c r="M391" i="97"/>
  <c r="T546" i="97" s="1"/>
  <c r="N391" i="97"/>
  <c r="U546" i="97" s="1"/>
  <c r="E497" i="97"/>
  <c r="F497" i="97"/>
  <c r="G497" i="97"/>
  <c r="M497" i="97"/>
  <c r="N497" i="97"/>
  <c r="S272" i="187" l="1"/>
  <c r="T38" i="100" s="1"/>
  <c r="S314" i="187"/>
  <c r="Z12" i="100" s="1"/>
  <c r="S330" i="187"/>
  <c r="Z28" i="100" s="1"/>
  <c r="W272" i="187"/>
  <c r="T53" i="123" s="1"/>
  <c r="W330" i="187"/>
  <c r="Z28" i="123" s="1"/>
  <c r="W314" i="187"/>
  <c r="Z12" i="123" s="1"/>
  <c r="AA272" i="187"/>
  <c r="T33" i="124" s="1"/>
  <c r="AA314" i="187"/>
  <c r="Z12" i="124" s="1"/>
  <c r="AA330" i="187"/>
  <c r="Z28" i="124" s="1"/>
  <c r="AE272" i="187"/>
  <c r="T37" i="99" s="1"/>
  <c r="AE330" i="187"/>
  <c r="Z28" i="99" s="1"/>
  <c r="AE314" i="187"/>
  <c r="Z12" i="99" s="1"/>
  <c r="AJ272" i="187"/>
  <c r="T54" i="126" s="1"/>
  <c r="AJ330" i="187"/>
  <c r="Z28" i="126" s="1"/>
  <c r="AJ314" i="187"/>
  <c r="Z12" i="126" s="1"/>
  <c r="AN272" i="187"/>
  <c r="T37" i="127" s="1"/>
  <c r="AN330" i="187"/>
  <c r="Z28" i="127" s="1"/>
  <c r="AN314" i="187"/>
  <c r="Z12" i="127" s="1"/>
  <c r="AR272" i="187"/>
  <c r="T48" i="152" s="1"/>
  <c r="AR330" i="187"/>
  <c r="Z28" i="152" s="1"/>
  <c r="AR314" i="187"/>
  <c r="Z12" i="152" s="1"/>
  <c r="O314" i="187"/>
  <c r="Z13" i="121" s="1"/>
  <c r="O330" i="187"/>
  <c r="Z29" i="121" s="1"/>
  <c r="O272" i="187"/>
  <c r="T25" i="121" s="1"/>
  <c r="C465" i="107"/>
  <c r="E465" i="107" s="1"/>
  <c r="K272" i="187"/>
  <c r="T43" i="122" s="1"/>
  <c r="C423" i="122" s="1"/>
  <c r="K330" i="187"/>
  <c r="Z28" i="122" s="1"/>
  <c r="K314" i="187"/>
  <c r="Z12" i="122" s="1"/>
  <c r="E90" i="200"/>
  <c r="G330" i="187"/>
  <c r="Z28" i="98" s="1"/>
  <c r="H259" i="180"/>
  <c r="T16" i="125" s="1"/>
  <c r="G272" i="187"/>
  <c r="T28" i="98" s="1"/>
  <c r="E82" i="180"/>
  <c r="G259" i="180"/>
  <c r="T17" i="97" s="1"/>
  <c r="C346" i="97" s="1"/>
  <c r="G314" i="187"/>
  <c r="Z12" i="98" s="1"/>
  <c r="N28" i="112"/>
  <c r="N27" i="112"/>
  <c r="N26" i="112"/>
  <c r="N7" i="112"/>
  <c r="N6" i="112"/>
  <c r="E423" i="122" l="1"/>
  <c r="F474" i="122"/>
  <c r="C681" i="152"/>
  <c r="C544" i="152"/>
  <c r="C555" i="107"/>
  <c r="F494" i="107"/>
  <c r="C532" i="127"/>
  <c r="C651" i="127"/>
  <c r="E651" i="127" s="1"/>
  <c r="C524" i="126"/>
  <c r="C643" i="126"/>
  <c r="E643" i="126" s="1"/>
  <c r="C534" i="99"/>
  <c r="C653" i="99"/>
  <c r="E653" i="99" s="1"/>
  <c r="C531" i="124"/>
  <c r="C650" i="124"/>
  <c r="E650" i="124" s="1"/>
  <c r="C523" i="123"/>
  <c r="C642" i="123"/>
  <c r="E642" i="123" s="1"/>
  <c r="C532" i="100"/>
  <c r="C651" i="100"/>
  <c r="E651" i="100" s="1"/>
  <c r="C432" i="121"/>
  <c r="C551" i="121"/>
  <c r="E551" i="121" s="1"/>
  <c r="C378" i="125"/>
  <c r="C468" i="125"/>
  <c r="BM236" i="164"/>
  <c r="D95" i="166" s="1"/>
  <c r="BI236" i="164"/>
  <c r="BI237" i="164"/>
  <c r="BM237" i="164"/>
  <c r="D97" i="166" s="1"/>
  <c r="BE223" i="143"/>
  <c r="BH223" i="143"/>
  <c r="BI223" i="143"/>
  <c r="BJ223" i="143"/>
  <c r="BL223" i="143"/>
  <c r="D41" i="166" s="1"/>
  <c r="BG223" i="143"/>
  <c r="P41" i="166" s="1"/>
  <c r="BL228" i="143"/>
  <c r="D51" i="166" s="1"/>
  <c r="BH228" i="143"/>
  <c r="BM240" i="164"/>
  <c r="D103" i="166" s="1"/>
  <c r="BI241" i="164"/>
  <c r="BM241" i="164"/>
  <c r="D105" i="166" s="1"/>
  <c r="BI240" i="164"/>
  <c r="BI239" i="164"/>
  <c r="BM238" i="164"/>
  <c r="D99" i="166" s="1"/>
  <c r="BM239" i="164"/>
  <c r="D101" i="166" s="1"/>
  <c r="BI238" i="164"/>
  <c r="BH220" i="143"/>
  <c r="BL220" i="143"/>
  <c r="D35" i="166" s="1"/>
  <c r="BM245" i="164"/>
  <c r="D113" i="166" s="1"/>
  <c r="BM264" i="164"/>
  <c r="D139" i="166" s="1"/>
  <c r="BM271" i="164"/>
  <c r="D153" i="166" s="1"/>
  <c r="BI243" i="164"/>
  <c r="BI256" i="164"/>
  <c r="BI263" i="164"/>
  <c r="BI252" i="164"/>
  <c r="BM251" i="164"/>
  <c r="D161" i="166" s="1"/>
  <c r="BI259" i="164"/>
  <c r="BM263" i="164"/>
  <c r="D137" i="166" s="1"/>
  <c r="BI261" i="164"/>
  <c r="BM270" i="164"/>
  <c r="D151" i="166" s="1"/>
  <c r="BI269" i="164"/>
  <c r="BM258" i="164"/>
  <c r="D127" i="166" s="1"/>
  <c r="BM265" i="164"/>
  <c r="D141" i="166" s="1"/>
  <c r="BM248" i="164"/>
  <c r="D155" i="166" s="1"/>
  <c r="BI244" i="164"/>
  <c r="BI257" i="164"/>
  <c r="BI270" i="164"/>
  <c r="BI253" i="164"/>
  <c r="BM268" i="164"/>
  <c r="D147" i="166" s="1"/>
  <c r="BM269" i="164"/>
  <c r="D149" i="166" s="1"/>
  <c r="BI267" i="164"/>
  <c r="BM243" i="164"/>
  <c r="D109" i="166" s="1"/>
  <c r="BM252" i="164"/>
  <c r="D163" i="166" s="1"/>
  <c r="BI251" i="164"/>
  <c r="BM244" i="164"/>
  <c r="D111" i="166" s="1"/>
  <c r="BI255" i="164"/>
  <c r="BM246" i="164"/>
  <c r="D115" i="166" s="1"/>
  <c r="BM259" i="164"/>
  <c r="D129" i="166" s="1"/>
  <c r="BM266" i="164"/>
  <c r="D143" i="166" s="1"/>
  <c r="BM249" i="164"/>
  <c r="D157" i="166" s="1"/>
  <c r="BI245" i="164"/>
  <c r="BI264" i="164"/>
  <c r="BI271" i="164"/>
  <c r="BM254" i="164"/>
  <c r="D119" i="166" s="1"/>
  <c r="BI249" i="164"/>
  <c r="BM262" i="164"/>
  <c r="D135" i="166" s="1"/>
  <c r="BI260" i="164"/>
  <c r="BM256" i="164"/>
  <c r="D123" i="166" s="1"/>
  <c r="BI254" i="164"/>
  <c r="BM257" i="164"/>
  <c r="D125" i="166" s="1"/>
  <c r="BM247" i="164"/>
  <c r="D117" i="166" s="1"/>
  <c r="BM260" i="164"/>
  <c r="D131" i="166" s="1"/>
  <c r="BM267" i="164"/>
  <c r="D145" i="166" s="1"/>
  <c r="BM250" i="164"/>
  <c r="D159" i="166" s="1"/>
  <c r="BI258" i="164"/>
  <c r="BI265" i="164"/>
  <c r="BI248" i="164"/>
  <c r="BM261" i="164"/>
  <c r="D133" i="166" s="1"/>
  <c r="BI246" i="164"/>
  <c r="BI266" i="164"/>
  <c r="BM255" i="164"/>
  <c r="D121" i="166" s="1"/>
  <c r="BI247" i="164"/>
  <c r="BI250" i="164"/>
  <c r="BI268" i="164"/>
  <c r="BM253" i="164"/>
  <c r="D165" i="166" s="1"/>
  <c r="BI262" i="164"/>
  <c r="BJ267" i="146"/>
  <c r="BJ270" i="146"/>
  <c r="BH270" i="146"/>
  <c r="BI261" i="146"/>
  <c r="BE261" i="146"/>
  <c r="BC261" i="146" s="1"/>
  <c r="BG267" i="146"/>
  <c r="P77" i="166" s="1"/>
  <c r="BJ264" i="146"/>
  <c r="BH264" i="146"/>
  <c r="BG261" i="146"/>
  <c r="P65" i="166" s="1"/>
  <c r="BI258" i="146"/>
  <c r="BG258" i="146"/>
  <c r="P59" i="166" s="1"/>
  <c r="BH261" i="146"/>
  <c r="BH267" i="146"/>
  <c r="BG270" i="146"/>
  <c r="P83" i="166" s="1"/>
  <c r="BE270" i="146"/>
  <c r="BC270" i="146" s="1"/>
  <c r="BE258" i="146"/>
  <c r="BC258" i="146" s="1"/>
  <c r="BI267" i="146"/>
  <c r="BE264" i="146"/>
  <c r="BC264" i="146" s="1"/>
  <c r="BJ261" i="146"/>
  <c r="BG264" i="146"/>
  <c r="P71" i="166" s="1"/>
  <c r="BI270" i="146"/>
  <c r="BL261" i="146"/>
  <c r="D65" i="166" s="1"/>
  <c r="BE267" i="146"/>
  <c r="BC267" i="146" s="1"/>
  <c r="BJ258" i="146"/>
  <c r="BH258" i="146"/>
  <c r="BI264" i="146"/>
  <c r="BL258" i="146"/>
  <c r="D59" i="166" s="1"/>
  <c r="BL270" i="146"/>
  <c r="D83" i="166" s="1"/>
  <c r="BL267" i="146"/>
  <c r="D77" i="166" s="1"/>
  <c r="BL264" i="146"/>
  <c r="D71" i="166" s="1"/>
  <c r="BM242" i="164"/>
  <c r="D107" i="166" s="1"/>
  <c r="BL272" i="146"/>
  <c r="D87" i="166" s="1"/>
  <c r="BH269" i="146"/>
  <c r="BL262" i="146"/>
  <c r="D67" i="166" s="1"/>
  <c r="BH271" i="146"/>
  <c r="BL260" i="146"/>
  <c r="D63" i="166" s="1"/>
  <c r="BL263" i="146"/>
  <c r="D69" i="166" s="1"/>
  <c r="BH272" i="146"/>
  <c r="BL265" i="146"/>
  <c r="D73" i="166" s="1"/>
  <c r="BL259" i="146"/>
  <c r="D61" i="166" s="1"/>
  <c r="BH262" i="146"/>
  <c r="BL266" i="146"/>
  <c r="D75" i="166" s="1"/>
  <c r="BH260" i="146"/>
  <c r="BH263" i="146"/>
  <c r="BL269" i="146"/>
  <c r="D81" i="166" s="1"/>
  <c r="BL268" i="146"/>
  <c r="D79" i="166" s="1"/>
  <c r="BH265" i="146"/>
  <c r="BH259" i="146"/>
  <c r="BH266" i="146"/>
  <c r="BL271" i="146"/>
  <c r="D85" i="166" s="1"/>
  <c r="BH268" i="146"/>
  <c r="BL226" i="143"/>
  <c r="D47" i="166" s="1"/>
  <c r="BL219" i="143"/>
  <c r="D33" i="166" s="1"/>
  <c r="BL216" i="143"/>
  <c r="D27" i="166" s="1"/>
  <c r="BJ215" i="143"/>
  <c r="BJ214" i="143"/>
  <c r="BI214" i="143"/>
  <c r="BL227" i="143"/>
  <c r="D49" i="166" s="1"/>
  <c r="BJ222" i="143"/>
  <c r="BL221" i="143"/>
  <c r="D37" i="166" s="1"/>
  <c r="BL218" i="143"/>
  <c r="D31" i="166" s="1"/>
  <c r="BJ216" i="143"/>
  <c r="BI215" i="143"/>
  <c r="BH225" i="143"/>
  <c r="BH224" i="143"/>
  <c r="BI222" i="143"/>
  <c r="BJ221" i="143"/>
  <c r="BI216" i="143"/>
  <c r="BH215" i="143"/>
  <c r="BH214" i="143"/>
  <c r="BL214" i="143"/>
  <c r="D23" i="166" s="1"/>
  <c r="BH226" i="143"/>
  <c r="BH222" i="143"/>
  <c r="BH216" i="143"/>
  <c r="BH227" i="143"/>
  <c r="BG222" i="143"/>
  <c r="P39" i="166" s="1"/>
  <c r="BH221" i="143"/>
  <c r="BH219" i="143"/>
  <c r="BH218" i="143"/>
  <c r="BL222" i="143"/>
  <c r="D39" i="166" s="1"/>
  <c r="BL215" i="143"/>
  <c r="D25" i="166" s="1"/>
  <c r="BE215" i="143"/>
  <c r="BE214" i="143"/>
  <c r="BL225" i="143"/>
  <c r="D45" i="166" s="1"/>
  <c r="BE222" i="143"/>
  <c r="BC222" i="143" s="1"/>
  <c r="M39" i="166" s="1"/>
  <c r="BE216" i="143"/>
  <c r="BC216" i="143" s="1"/>
  <c r="M27" i="166" s="1"/>
  <c r="BL224" i="143"/>
  <c r="D43" i="166" s="1"/>
  <c r="BL132" i="163"/>
  <c r="BH129" i="163"/>
  <c r="BL124" i="163"/>
  <c r="BL165" i="162"/>
  <c r="D221" i="166" s="1"/>
  <c r="BL164" i="162"/>
  <c r="D219" i="166" s="1"/>
  <c r="BL163" i="162"/>
  <c r="D217" i="166" s="1"/>
  <c r="BL162" i="162"/>
  <c r="D215" i="166" s="1"/>
  <c r="BL161" i="162"/>
  <c r="D213" i="166" s="1"/>
  <c r="BL160" i="162"/>
  <c r="D211" i="166" s="1"/>
  <c r="BL159" i="162"/>
  <c r="D209" i="166" s="1"/>
  <c r="BL158" i="162"/>
  <c r="D207" i="166" s="1"/>
  <c r="BL157" i="162"/>
  <c r="D205" i="166" s="1"/>
  <c r="BL156" i="162"/>
  <c r="D203" i="166" s="1"/>
  <c r="BL155" i="162"/>
  <c r="D201" i="166" s="1"/>
  <c r="BH152" i="162"/>
  <c r="BL149" i="162"/>
  <c r="D189" i="166" s="1"/>
  <c r="BH145" i="162"/>
  <c r="BL142" i="162"/>
  <c r="D175" i="166" s="1"/>
  <c r="BH133" i="163"/>
  <c r="BL128" i="163"/>
  <c r="BH125" i="163"/>
  <c r="BH156" i="162"/>
  <c r="BH149" i="162"/>
  <c r="BL141" i="162"/>
  <c r="D173" i="166" s="1"/>
  <c r="BL133" i="163"/>
  <c r="BH130" i="163"/>
  <c r="BL125" i="163"/>
  <c r="BH153" i="162"/>
  <c r="BH146" i="162"/>
  <c r="BL143" i="162"/>
  <c r="D177" i="166" s="1"/>
  <c r="BH165" i="162"/>
  <c r="BH142" i="162"/>
  <c r="BL134" i="163"/>
  <c r="BH131" i="163"/>
  <c r="BL126" i="163"/>
  <c r="BH123" i="163"/>
  <c r="BH154" i="162"/>
  <c r="BL150" i="162"/>
  <c r="D191" i="166" s="1"/>
  <c r="BH147" i="162"/>
  <c r="BL144" i="162"/>
  <c r="D179" i="166" s="1"/>
  <c r="BL136" i="163"/>
  <c r="BH162" i="162"/>
  <c r="BH159" i="162"/>
  <c r="BL135" i="163"/>
  <c r="BH132" i="163"/>
  <c r="BL127" i="163"/>
  <c r="BH124" i="163"/>
  <c r="BL151" i="162"/>
  <c r="D193" i="166" s="1"/>
  <c r="BH148" i="162"/>
  <c r="BH141" i="162"/>
  <c r="BH164" i="162"/>
  <c r="BH161" i="162"/>
  <c r="BH158" i="162"/>
  <c r="BH155" i="162"/>
  <c r="BL145" i="162"/>
  <c r="D181" i="166" s="1"/>
  <c r="BH151" i="162"/>
  <c r="BH163" i="162"/>
  <c r="BH160" i="162"/>
  <c r="BH157" i="162"/>
  <c r="BL152" i="162"/>
  <c r="D195" i="166" s="1"/>
  <c r="BL148" i="162"/>
  <c r="D187" i="166" s="1"/>
  <c r="BH134" i="163"/>
  <c r="BL129" i="163"/>
  <c r="BH126" i="163"/>
  <c r="BL153" i="162"/>
  <c r="D197" i="166" s="1"/>
  <c r="BL146" i="162"/>
  <c r="D183" i="166" s="1"/>
  <c r="BH143" i="162"/>
  <c r="BH136" i="163"/>
  <c r="BL131" i="163"/>
  <c r="BL123" i="163"/>
  <c r="BH135" i="163"/>
  <c r="BL130" i="163"/>
  <c r="BH127" i="163"/>
  <c r="BL154" i="162"/>
  <c r="D199" i="166" s="1"/>
  <c r="BH150" i="162"/>
  <c r="BL147" i="162"/>
  <c r="D185" i="166" s="1"/>
  <c r="BH144" i="162"/>
  <c r="BH128" i="163"/>
  <c r="BL121" i="163"/>
  <c r="D249" i="166" s="1"/>
  <c r="BH121" i="163"/>
  <c r="BH122" i="163"/>
  <c r="BL122" i="163"/>
  <c r="D247" i="166" s="1"/>
  <c r="BL94" i="161"/>
  <c r="D239" i="166" s="1"/>
  <c r="BH106" i="142"/>
  <c r="BL107" i="142"/>
  <c r="D261" i="166" s="1"/>
  <c r="BH105" i="142"/>
  <c r="BH91" i="161"/>
  <c r="H37" i="161" s="1"/>
  <c r="BH110" i="142"/>
  <c r="BL110" i="142"/>
  <c r="D267" i="166" s="1"/>
  <c r="BH93" i="161"/>
  <c r="H45" i="161" s="1"/>
  <c r="BH89" i="161"/>
  <c r="BH108" i="142"/>
  <c r="BL89" i="161"/>
  <c r="D229" i="166" s="1"/>
  <c r="BH94" i="161"/>
  <c r="H49" i="161" s="1"/>
  <c r="BH112" i="142"/>
  <c r="BL106" i="142"/>
  <c r="D259" i="166" s="1"/>
  <c r="BL109" i="142"/>
  <c r="D265" i="166" s="1"/>
  <c r="BH111" i="142"/>
  <c r="BE91" i="161"/>
  <c r="BL108" i="142"/>
  <c r="D263" i="166" s="1"/>
  <c r="BL105" i="142"/>
  <c r="D257" i="166" s="1"/>
  <c r="BL112" i="142"/>
  <c r="D271" i="166" s="1"/>
  <c r="BE89" i="161"/>
  <c r="BH107" i="142"/>
  <c r="BL111" i="142"/>
  <c r="D269" i="166" s="1"/>
  <c r="BL93" i="161"/>
  <c r="D237" i="166" s="1"/>
  <c r="BL92" i="161"/>
  <c r="D235" i="166" s="1"/>
  <c r="BL91" i="161"/>
  <c r="D233" i="166" s="1"/>
  <c r="BH109" i="142"/>
  <c r="BH92" i="161"/>
  <c r="H41" i="161" s="1"/>
  <c r="G108" i="112" l="1"/>
  <c r="G98" i="112"/>
  <c r="G88" i="112"/>
  <c r="G118" i="112"/>
  <c r="G77" i="112"/>
  <c r="F717" i="127"/>
  <c r="F709" i="126"/>
  <c r="F719" i="99"/>
  <c r="F716" i="124"/>
  <c r="F708" i="123"/>
  <c r="F717" i="100"/>
  <c r="F617" i="121"/>
  <c r="E532" i="127"/>
  <c r="F583" i="127"/>
  <c r="E524" i="126"/>
  <c r="F575" i="126"/>
  <c r="F585" i="99"/>
  <c r="E531" i="124"/>
  <c r="F582" i="124"/>
  <c r="F574" i="123"/>
  <c r="E532" i="100"/>
  <c r="F583" i="100"/>
  <c r="E432" i="121"/>
  <c r="F483" i="121"/>
  <c r="E555" i="107"/>
  <c r="F591" i="107"/>
  <c r="E534" i="99"/>
  <c r="E523" i="123"/>
  <c r="J29" i="161"/>
  <c r="BC91" i="161"/>
  <c r="F600" i="112" s="1"/>
  <c r="J37" i="161"/>
  <c r="F755" i="112"/>
  <c r="D755" i="112" s="1"/>
  <c r="N27" i="166"/>
  <c r="N39" i="166"/>
  <c r="F233" i="112"/>
  <c r="D233" i="112" s="1"/>
  <c r="F83" i="112"/>
  <c r="D83" i="112" s="1"/>
  <c r="W77" i="112" s="1"/>
  <c r="M59" i="166"/>
  <c r="F104" i="112"/>
  <c r="D104" i="112" s="1"/>
  <c r="W98" i="112" s="1"/>
  <c r="M77" i="166"/>
  <c r="F114" i="112"/>
  <c r="D114" i="112" s="1"/>
  <c r="W108" i="112" s="1"/>
  <c r="M83" i="166"/>
  <c r="F124" i="112"/>
  <c r="D124" i="112" s="1"/>
  <c r="W118" i="112" s="1"/>
  <c r="M65" i="166"/>
  <c r="F94" i="112"/>
  <c r="D94" i="112" s="1"/>
  <c r="W88" i="112" s="1"/>
  <c r="M71" i="166"/>
  <c r="D12" i="138" l="1"/>
  <c r="D12" i="137"/>
  <c r="D15" i="204"/>
  <c r="D12" i="203"/>
  <c r="D12" i="205"/>
  <c r="D12" i="168"/>
  <c r="W753" i="112"/>
  <c r="H753" i="112" s="1"/>
  <c r="B44" i="207"/>
  <c r="G178" i="189"/>
  <c r="G129" i="190"/>
  <c r="G101" i="200"/>
  <c r="AJ97" i="187"/>
  <c r="AR97" i="187"/>
  <c r="AA97" i="187"/>
  <c r="AN97" i="187"/>
  <c r="AE97" i="187"/>
  <c r="M233" i="166"/>
  <c r="O97" i="187"/>
  <c r="W97" i="187"/>
  <c r="S97" i="187"/>
  <c r="G93" i="180"/>
  <c r="H93" i="180"/>
  <c r="L18" i="141" l="1"/>
  <c r="K18" i="141"/>
  <c r="I575" i="97" l="1"/>
  <c r="N575" i="97"/>
  <c r="I545" i="97"/>
  <c r="N545" i="97"/>
  <c r="O545" i="97"/>
  <c r="T575" i="97"/>
  <c r="O575" i="97"/>
  <c r="T545" i="97"/>
  <c r="U545" i="97"/>
  <c r="U575" i="97"/>
  <c r="C575" i="97"/>
  <c r="Q12" i="141" l="1"/>
  <c r="T576" i="97"/>
  <c r="R12" i="141"/>
  <c r="U576" i="97"/>
  <c r="K12" i="141"/>
  <c r="N576" i="97"/>
  <c r="L12" i="141"/>
  <c r="O576" i="97"/>
  <c r="F12" i="141"/>
  <c r="I576" i="97"/>
  <c r="R7" i="141"/>
  <c r="U547" i="97"/>
  <c r="L7" i="141"/>
  <c r="O547" i="97"/>
  <c r="K7" i="141"/>
  <c r="N547" i="97"/>
  <c r="Q7" i="141"/>
  <c r="T547" i="97"/>
  <c r="F7" i="141"/>
  <c r="I547" i="97"/>
  <c r="R67" i="145"/>
  <c r="C73" i="145"/>
  <c r="R72" i="145"/>
  <c r="R66" i="145"/>
  <c r="R73" i="145"/>
  <c r="C66" i="145"/>
  <c r="C67" i="145"/>
  <c r="C72" i="145"/>
  <c r="F13" i="141" l="1"/>
  <c r="C563" i="97"/>
  <c r="F8" i="141"/>
  <c r="C534" i="97"/>
  <c r="Q8" i="141"/>
  <c r="K8" i="141"/>
  <c r="K13" i="141"/>
  <c r="L13" i="141"/>
  <c r="Q13" i="141"/>
  <c r="L8" i="141"/>
  <c r="R13" i="141"/>
  <c r="R8" i="141"/>
  <c r="DE8" i="132" l="1"/>
  <c r="DE18" i="132" l="1"/>
  <c r="DE16" i="132" l="1"/>
  <c r="DE15" i="132" l="1"/>
  <c r="DE9" i="132" l="1"/>
  <c r="DE14" i="132" l="1"/>
  <c r="DE12" i="132"/>
  <c r="DE13" i="132"/>
  <c r="DE10" i="132" l="1"/>
  <c r="DE17" i="132" l="1"/>
  <c r="DE11" i="132" l="1"/>
  <c r="D592" i="151" l="1"/>
  <c r="E592" i="151" s="1"/>
  <c r="F592" i="151" l="1"/>
  <c r="C221" i="141" s="1"/>
  <c r="C603" i="151" l="1"/>
  <c r="O13" i="145"/>
  <c r="F751" i="112" l="1"/>
  <c r="D751" i="112" s="1"/>
  <c r="J15" i="205" l="1"/>
  <c r="J16" i="138"/>
  <c r="J16" i="203"/>
  <c r="J15" i="137"/>
  <c r="J15" i="168"/>
  <c r="D24" i="133"/>
  <c r="D23" i="133" s="1"/>
  <c r="J18" i="204"/>
  <c r="J33" i="138"/>
  <c r="E46" i="143"/>
  <c r="D26" i="133" l="1" a="1"/>
  <c r="D26" i="133" s="1"/>
  <c r="D59" i="133" a="1"/>
  <c r="D59" i="133" s="1"/>
  <c r="D60" i="133" a="1"/>
  <c r="D60" i="133" s="1"/>
  <c r="D61" i="133" a="1"/>
  <c r="D61" i="133" s="1"/>
  <c r="J446" i="152"/>
  <c r="O459" i="152"/>
  <c r="G383" i="112" l="1"/>
  <c r="G357" i="112"/>
  <c r="G359" i="112" l="1"/>
  <c r="G367" i="112"/>
  <c r="G360" i="112"/>
  <c r="G386" i="112"/>
  <c r="G366" i="112"/>
  <c r="G378" i="112"/>
  <c r="G352" i="112"/>
  <c r="G385" i="112"/>
  <c r="G364" i="112"/>
  <c r="G379" i="112"/>
  <c r="G353" i="112"/>
  <c r="G350" i="112"/>
  <c r="E70" i="159" l="1"/>
  <c r="C2" i="132"/>
  <c r="C3" i="132"/>
  <c r="G97" i="187"/>
  <c r="K97" i="187"/>
  <c r="B3" i="181"/>
  <c r="AB132" i="128"/>
  <c r="AB133" i="128"/>
  <c r="AB134" i="128"/>
  <c r="AB135" i="128"/>
  <c r="AB136" i="128"/>
  <c r="I26" i="134"/>
  <c r="F375" i="97"/>
  <c r="U554" i="107"/>
  <c r="U417" i="122"/>
  <c r="AA417" i="122"/>
  <c r="U538" i="122"/>
  <c r="AA538" i="122"/>
  <c r="U426" i="121"/>
  <c r="AA426" i="121"/>
  <c r="U547" i="121"/>
  <c r="AA547" i="121"/>
  <c r="F753" i="112"/>
  <c r="D753" i="112" s="1"/>
  <c r="W754" i="112" s="1"/>
  <c r="H754" i="112" s="1"/>
  <c r="G758" i="112"/>
  <c r="D260" i="120"/>
  <c r="N2" i="132" l="1"/>
  <c r="H3" i="181"/>
  <c r="G3" i="181" s="1" a="1"/>
  <c r="G3" i="181" s="1"/>
  <c r="T3" i="181"/>
  <c r="W65" i="112" s="1"/>
  <c r="V754" i="112"/>
  <c r="F754" i="112"/>
  <c r="D754" i="112" s="1"/>
  <c r="C58" i="119" s="1"/>
  <c r="G58" i="119" s="1"/>
  <c r="E468" i="125"/>
  <c r="F504" i="125"/>
  <c r="M3" i="181"/>
  <c r="W212" i="112" s="1"/>
  <c r="L3" i="181"/>
  <c r="W222" i="112" s="1"/>
  <c r="BD100" i="137"/>
  <c r="C436" i="97"/>
  <c r="E346" i="97"/>
  <c r="BE100" i="137"/>
  <c r="C557" i="97"/>
  <c r="C770" i="126"/>
  <c r="C528" i="97"/>
  <c r="C647" i="107"/>
  <c r="C803" i="126"/>
  <c r="C778" i="127"/>
  <c r="C811" i="127"/>
  <c r="C570" i="151"/>
  <c r="C679" i="107"/>
  <c r="C858" i="152"/>
  <c r="C826" i="152"/>
  <c r="C560" i="125"/>
  <c r="C590" i="125"/>
  <c r="C699" i="122"/>
  <c r="C709" i="121"/>
  <c r="C679" i="98"/>
  <c r="C669" i="122"/>
  <c r="C678" i="121"/>
  <c r="C710" i="98"/>
  <c r="C802" i="123"/>
  <c r="C778" i="100"/>
  <c r="C777" i="124"/>
  <c r="C769" i="123"/>
  <c r="C811" i="100"/>
  <c r="C780" i="99"/>
  <c r="C813" i="99"/>
  <c r="C810" i="124"/>
  <c r="W539" i="112"/>
  <c r="W542" i="112"/>
  <c r="W541" i="112"/>
  <c r="W582" i="112"/>
  <c r="W540" i="112"/>
  <c r="W581" i="112"/>
  <c r="W454" i="112"/>
  <c r="W760" i="112"/>
  <c r="N758" i="112"/>
  <c r="F758" i="112" s="1"/>
  <c r="D758" i="112" s="1"/>
  <c r="V753" i="112"/>
  <c r="W757" i="112" l="1"/>
  <c r="H757" i="112" s="1"/>
  <c r="F757" i="112" s="1"/>
  <c r="D757" i="112" s="1"/>
  <c r="W491" i="112" s="1"/>
  <c r="H491" i="112" s="1"/>
  <c r="E3" i="181" a="1"/>
  <c r="E3" i="181" s="1"/>
  <c r="W640" i="112" s="1"/>
  <c r="F3" i="181" a="1"/>
  <c r="F3" i="181" s="1"/>
  <c r="W756" i="112" s="1"/>
  <c r="C3" i="181" a="1"/>
  <c r="C3" i="181" s="1"/>
  <c r="W642" i="112" s="1"/>
  <c r="D3" i="181" a="1"/>
  <c r="D3" i="181" s="1"/>
  <c r="W641" i="112" s="1"/>
  <c r="H58" i="119"/>
  <c r="L58" i="119"/>
  <c r="N58" i="119"/>
  <c r="M58" i="119"/>
  <c r="D58" i="119"/>
  <c r="K59" i="133"/>
  <c r="K26" i="133"/>
  <c r="K61" i="133"/>
  <c r="K60" i="133"/>
  <c r="I58" i="119"/>
  <c r="F58" i="119"/>
  <c r="E58" i="119"/>
  <c r="J58" i="119"/>
  <c r="K58" i="119"/>
  <c r="BA97" i="203"/>
  <c r="BB97" i="203"/>
  <c r="BC97" i="203"/>
  <c r="BD97" i="203"/>
  <c r="BE97" i="203"/>
  <c r="E378" i="125"/>
  <c r="F407" i="125"/>
  <c r="BB100" i="137"/>
  <c r="BC100" i="137"/>
  <c r="E436" i="97"/>
  <c r="F472" i="97"/>
  <c r="BA100" i="137"/>
  <c r="W523" i="112" a="1"/>
  <c r="W523" i="112" s="1"/>
  <c r="D261" i="120"/>
  <c r="Y582" i="112"/>
  <c r="D5" i="120" l="1" a="1"/>
  <c r="D5" i="120" s="1"/>
  <c r="E5" i="120" a="1"/>
  <c r="E5" i="120" s="1"/>
  <c r="C5" i="120" a="1"/>
  <c r="C5" i="120" s="1"/>
  <c r="V491" i="112"/>
  <c r="F491" i="112"/>
  <c r="D491" i="112" s="1"/>
  <c r="B45" i="207"/>
  <c r="B48" i="207" s="1"/>
  <c r="W604" i="112"/>
  <c r="J24" i="168"/>
  <c r="J41" i="203"/>
  <c r="J25" i="168"/>
  <c r="J42" i="203"/>
  <c r="J23" i="168"/>
  <c r="J40" i="203"/>
  <c r="D10" i="120" a="1"/>
  <c r="D10" i="120" s="1"/>
  <c r="AB292" i="112" s="1"/>
  <c r="C10" i="120" a="1"/>
  <c r="C10" i="120" s="1"/>
  <c r="AA292" i="112" s="1"/>
  <c r="E10" i="120" a="1"/>
  <c r="E10" i="120" s="1"/>
  <c r="AC292" i="112" s="1"/>
  <c r="I292" i="112" s="1"/>
  <c r="E73" i="120" a="1"/>
  <c r="E73" i="120" s="1"/>
  <c r="F19" i="133" s="1"/>
  <c r="D73" i="120" a="1"/>
  <c r="D73" i="120" s="1"/>
  <c r="E19" i="133" s="1"/>
  <c r="C73" i="120" a="1"/>
  <c r="C73" i="120" s="1"/>
  <c r="D19" i="133" s="1"/>
  <c r="E88" i="120" a="1"/>
  <c r="E88" i="120" s="1"/>
  <c r="F18" i="133" s="1"/>
  <c r="D88" i="120" a="1"/>
  <c r="D88" i="120" s="1"/>
  <c r="E18" i="133" s="1"/>
  <c r="C88" i="120" a="1"/>
  <c r="C88" i="120" s="1"/>
  <c r="D18" i="133" s="1"/>
  <c r="E115" i="120" a="1"/>
  <c r="E115" i="120" s="1"/>
  <c r="AC583" i="112" s="1"/>
  <c r="I583" i="112" s="1"/>
  <c r="C115" i="120" a="1"/>
  <c r="C115" i="120" s="1"/>
  <c r="AA583" i="112" s="1"/>
  <c r="D115" i="120" a="1"/>
  <c r="D115" i="120" s="1"/>
  <c r="AB583" i="112" s="1"/>
  <c r="E2" i="120" a="1"/>
  <c r="E2" i="120" s="1"/>
  <c r="F16" i="133" s="1"/>
  <c r="D6" i="120" a="1"/>
  <c r="D6" i="120" s="1"/>
  <c r="C9" i="120" a="1"/>
  <c r="C9" i="120" s="1"/>
  <c r="E12" i="120" a="1"/>
  <c r="E12" i="120" s="1"/>
  <c r="C17" i="120" a="1"/>
  <c r="C17" i="120" s="1"/>
  <c r="E19" i="120" a="1"/>
  <c r="E19" i="120" s="1"/>
  <c r="D22" i="120" a="1"/>
  <c r="D22" i="120" s="1"/>
  <c r="AB11" i="112" s="1"/>
  <c r="C25" i="120" a="1"/>
  <c r="C25" i="120" s="1"/>
  <c r="E27" i="120" a="1"/>
  <c r="E27" i="120" s="1"/>
  <c r="D30" i="120" a="1"/>
  <c r="D30" i="120" s="1"/>
  <c r="C33" i="120" a="1"/>
  <c r="C33" i="120" s="1"/>
  <c r="E35" i="120" a="1"/>
  <c r="E35" i="120" s="1"/>
  <c r="AC635" i="112" s="1"/>
  <c r="I635" i="112" s="1"/>
  <c r="D38" i="120" a="1"/>
  <c r="D38" i="120" s="1"/>
  <c r="C41" i="120" a="1"/>
  <c r="C41" i="120" s="1"/>
  <c r="E43" i="120" a="1"/>
  <c r="E43" i="120" s="1"/>
  <c r="D46" i="120" a="1"/>
  <c r="D46" i="120" s="1"/>
  <c r="C49" i="120" a="1"/>
  <c r="C49" i="120" s="1"/>
  <c r="E51" i="120" a="1"/>
  <c r="E51" i="120" s="1"/>
  <c r="D54" i="120" a="1"/>
  <c r="D54" i="120" s="1"/>
  <c r="AB668" i="112" s="1"/>
  <c r="C57" i="120" a="1"/>
  <c r="C57" i="120" s="1"/>
  <c r="E59" i="120" a="1"/>
  <c r="E59" i="120" s="1"/>
  <c r="D62" i="120" a="1"/>
  <c r="D62" i="120" s="1"/>
  <c r="AB247" i="112" s="1"/>
  <c r="C65" i="120" a="1"/>
  <c r="C65" i="120" s="1"/>
  <c r="AA484" i="112" s="1"/>
  <c r="M484" i="112" s="1"/>
  <c r="E67" i="120" a="1"/>
  <c r="E67" i="120" s="1"/>
  <c r="D70" i="120" a="1"/>
  <c r="D70" i="120" s="1"/>
  <c r="AB478" i="112" s="1"/>
  <c r="C74" i="120" a="1"/>
  <c r="C74" i="120" s="1"/>
  <c r="AA455" i="112" s="1"/>
  <c r="H455" i="112" s="1"/>
  <c r="F455" i="112" s="1"/>
  <c r="E76" i="120" a="1"/>
  <c r="E76" i="120" s="1"/>
  <c r="AC479" i="112" s="1"/>
  <c r="I479" i="112" s="1"/>
  <c r="D79" i="120" a="1"/>
  <c r="D79" i="120" s="1"/>
  <c r="AB485" i="112" s="1"/>
  <c r="C82" i="120" a="1"/>
  <c r="C82" i="120" s="1"/>
  <c r="E84" i="120" a="1"/>
  <c r="E84" i="120" s="1"/>
  <c r="D87" i="120" a="1"/>
  <c r="D87" i="120" s="1"/>
  <c r="C91" i="120" a="1"/>
  <c r="C91" i="120" s="1"/>
  <c r="E93" i="120" a="1"/>
  <c r="E93" i="120" s="1"/>
  <c r="D96" i="120" a="1"/>
  <c r="D96" i="120" s="1"/>
  <c r="C99" i="120" a="1"/>
  <c r="C99" i="120" s="1"/>
  <c r="E101" i="120" a="1"/>
  <c r="E101" i="120" s="1"/>
  <c r="D104" i="120" a="1"/>
  <c r="D104" i="120" s="1"/>
  <c r="AB520" i="112" s="1"/>
  <c r="C107" i="120" a="1"/>
  <c r="C107" i="120" s="1"/>
  <c r="E109" i="120" a="1"/>
  <c r="E109" i="120" s="1"/>
  <c r="AC674" i="112" s="1"/>
  <c r="I674" i="112" s="1"/>
  <c r="D112" i="120" a="1"/>
  <c r="D112" i="120" s="1"/>
  <c r="C116" i="120" a="1"/>
  <c r="C116" i="120" s="1"/>
  <c r="AA709" i="112" s="1"/>
  <c r="E118" i="120" a="1"/>
  <c r="E118" i="120" s="1"/>
  <c r="D121" i="120" a="1"/>
  <c r="D121" i="120" s="1"/>
  <c r="C124" i="120" a="1"/>
  <c r="C124" i="120" s="1"/>
  <c r="E126" i="120" a="1"/>
  <c r="E126" i="120" s="1"/>
  <c r="D129" i="120" a="1"/>
  <c r="D129" i="120" s="1"/>
  <c r="C132" i="120" a="1"/>
  <c r="C132" i="120" s="1"/>
  <c r="E134" i="120" a="1"/>
  <c r="E134" i="120" s="1"/>
  <c r="AC565" i="112" s="1"/>
  <c r="I565" i="112" s="1"/>
  <c r="BH240" i="164" s="1"/>
  <c r="P103" i="166" s="1"/>
  <c r="D137" i="120" a="1"/>
  <c r="D137" i="120" s="1"/>
  <c r="C140" i="120" a="1"/>
  <c r="C140" i="120" s="1"/>
  <c r="AA194" i="112" s="1"/>
  <c r="E142" i="120" a="1"/>
  <c r="E142" i="120" s="1"/>
  <c r="D145" i="120" a="1"/>
  <c r="D145" i="120" s="1"/>
  <c r="C148" i="120" a="1"/>
  <c r="C148" i="120" s="1"/>
  <c r="AA579" i="112" s="1"/>
  <c r="E150" i="120" a="1"/>
  <c r="E150" i="120" s="1"/>
  <c r="D153" i="120" a="1"/>
  <c r="D153" i="120" s="1"/>
  <c r="AB174" i="112" s="1"/>
  <c r="C156" i="120" a="1"/>
  <c r="C156" i="120" s="1"/>
  <c r="E158" i="120" a="1"/>
  <c r="E158" i="120" s="1"/>
  <c r="D161" i="120" a="1"/>
  <c r="D161" i="120" s="1"/>
  <c r="D117" i="120" a="1"/>
  <c r="D117" i="120" s="1"/>
  <c r="C127" i="120" a="1"/>
  <c r="C127" i="120" s="1"/>
  <c r="C143" i="120" a="1"/>
  <c r="C143" i="120" s="1"/>
  <c r="C151" i="120" a="1"/>
  <c r="C151" i="120" s="1"/>
  <c r="D156" i="120" a="1"/>
  <c r="D156" i="120" s="1"/>
  <c r="E161" i="120" a="1"/>
  <c r="E161" i="120" s="1"/>
  <c r="E130" i="120" a="1"/>
  <c r="E130" i="120" s="1"/>
  <c r="C3" i="120" a="1"/>
  <c r="C3" i="120" s="1"/>
  <c r="E6" i="120" a="1"/>
  <c r="E6" i="120" s="1"/>
  <c r="D9" i="120" a="1"/>
  <c r="D9" i="120" s="1"/>
  <c r="C13" i="120" a="1"/>
  <c r="C13" i="120" s="1"/>
  <c r="D15" i="120" a="1"/>
  <c r="D15" i="120" s="1"/>
  <c r="D17" i="120" a="1"/>
  <c r="D17" i="120" s="1"/>
  <c r="C20" i="120" a="1"/>
  <c r="C20" i="120" s="1"/>
  <c r="E22" i="120" a="1"/>
  <c r="E22" i="120" s="1"/>
  <c r="AC11" i="112" s="1"/>
  <c r="I11" i="112" s="1"/>
  <c r="D25" i="120" a="1"/>
  <c r="D25" i="120" s="1"/>
  <c r="C28" i="120" a="1"/>
  <c r="C28" i="120" s="1"/>
  <c r="E30" i="120" a="1"/>
  <c r="E30" i="120" s="1"/>
  <c r="D33" i="120" a="1"/>
  <c r="D33" i="120" s="1"/>
  <c r="C36" i="120" a="1"/>
  <c r="C36" i="120" s="1"/>
  <c r="E38" i="120" a="1"/>
  <c r="E38" i="120" s="1"/>
  <c r="D41" i="120" a="1"/>
  <c r="D41" i="120" s="1"/>
  <c r="C44" i="120" a="1"/>
  <c r="C44" i="120" s="1"/>
  <c r="E46" i="120" a="1"/>
  <c r="E46" i="120" s="1"/>
  <c r="D49" i="120" a="1"/>
  <c r="D49" i="120" s="1"/>
  <c r="C52" i="120" a="1"/>
  <c r="C52" i="120" s="1"/>
  <c r="AA667" i="112" s="1"/>
  <c r="E54" i="120" a="1"/>
  <c r="E54" i="120" s="1"/>
  <c r="AC668" i="112" s="1"/>
  <c r="I668" i="112" s="1"/>
  <c r="D57" i="120" a="1"/>
  <c r="D57" i="120" s="1"/>
  <c r="C60" i="120" a="1"/>
  <c r="C60" i="120" s="1"/>
  <c r="AA237" i="112" s="1"/>
  <c r="E62" i="120" a="1"/>
  <c r="E62" i="120" s="1"/>
  <c r="AC247" i="112" s="1"/>
  <c r="I247" i="112" s="1"/>
  <c r="BG225" i="143" s="1"/>
  <c r="D65" i="120" a="1"/>
  <c r="D65" i="120" s="1"/>
  <c r="AB484" i="112" s="1"/>
  <c r="C68" i="120" a="1"/>
  <c r="C68" i="120" s="1"/>
  <c r="E70" i="120" a="1"/>
  <c r="E70" i="120" s="1"/>
  <c r="AC478" i="112" s="1"/>
  <c r="I478" i="112" s="1"/>
  <c r="D74" i="120" a="1"/>
  <c r="D74" i="120" s="1"/>
  <c r="AB455" i="112" s="1"/>
  <c r="C77" i="120" a="1"/>
  <c r="C77" i="120" s="1"/>
  <c r="AA480" i="112" s="1"/>
  <c r="M480" i="112" s="1"/>
  <c r="E79" i="120" a="1"/>
  <c r="E79" i="120" s="1"/>
  <c r="AC485" i="112" s="1"/>
  <c r="I485" i="112" s="1"/>
  <c r="D82" i="120" a="1"/>
  <c r="D82" i="120" s="1"/>
  <c r="C85" i="120" a="1"/>
  <c r="C85" i="120" s="1"/>
  <c r="E87" i="120" a="1"/>
  <c r="E87" i="120" s="1"/>
  <c r="D91" i="120" a="1"/>
  <c r="D91" i="120" s="1"/>
  <c r="C94" i="120" a="1"/>
  <c r="C94" i="120" s="1"/>
  <c r="E96" i="120" a="1"/>
  <c r="E96" i="120" s="1"/>
  <c r="D99" i="120" a="1"/>
  <c r="D99" i="120" s="1"/>
  <c r="C102" i="120" a="1"/>
  <c r="C102" i="120" s="1"/>
  <c r="AA7" i="112" s="1"/>
  <c r="H7" i="112" s="1"/>
  <c r="E104" i="120" a="1"/>
  <c r="E104" i="120" s="1"/>
  <c r="AC520" i="112" s="1"/>
  <c r="I520" i="112" s="1"/>
  <c r="D107" i="120" a="1"/>
  <c r="D107" i="120" s="1"/>
  <c r="C110" i="120" a="1"/>
  <c r="C110" i="120" s="1"/>
  <c r="E112" i="120" a="1"/>
  <c r="E112" i="120" s="1"/>
  <c r="D116" i="120" a="1"/>
  <c r="D116" i="120" s="1"/>
  <c r="AB709" i="112" s="1"/>
  <c r="C119" i="120" a="1"/>
  <c r="C119" i="120" s="1"/>
  <c r="E121" i="120" a="1"/>
  <c r="E121" i="120" s="1"/>
  <c r="D124" i="120" a="1"/>
  <c r="D124" i="120" s="1"/>
  <c r="E129" i="120" a="1"/>
  <c r="E129" i="120" s="1"/>
  <c r="D132" i="120" a="1"/>
  <c r="D132" i="120" s="1"/>
  <c r="C135" i="120" a="1"/>
  <c r="C135" i="120" s="1"/>
  <c r="E137" i="120" a="1"/>
  <c r="E137" i="120" s="1"/>
  <c r="F7" i="133" s="1"/>
  <c r="D140" i="120" a="1"/>
  <c r="D140" i="120" s="1"/>
  <c r="AB194" i="112" s="1"/>
  <c r="E145" i="120" a="1"/>
  <c r="E145" i="120" s="1"/>
  <c r="D148" i="120" a="1"/>
  <c r="D148" i="120" s="1"/>
  <c r="AB579" i="112" s="1"/>
  <c r="E153" i="120" a="1"/>
  <c r="E153" i="120" s="1"/>
  <c r="AC174" i="112" s="1"/>
  <c r="I174" i="112" s="1"/>
  <c r="C159" i="120" a="1"/>
  <c r="C159" i="120" s="1"/>
  <c r="C120" i="120" a="1"/>
  <c r="C120" i="120" s="1"/>
  <c r="E148" i="120" a="1"/>
  <c r="E148" i="120" s="1"/>
  <c r="AC579" i="112" s="1"/>
  <c r="I579" i="112" s="1"/>
  <c r="D159" i="120" a="1"/>
  <c r="D159" i="120" s="1"/>
  <c r="C95" i="120" a="1"/>
  <c r="C95" i="120" s="1"/>
  <c r="AA752" i="112" s="1"/>
  <c r="D3" i="120" a="1"/>
  <c r="D3" i="120" s="1"/>
  <c r="C7" i="120" a="1"/>
  <c r="C7" i="120" s="1"/>
  <c r="E9" i="120" a="1"/>
  <c r="E9" i="120" s="1"/>
  <c r="F12" i="133" s="1"/>
  <c r="D13" i="120" a="1"/>
  <c r="D13" i="120" s="1"/>
  <c r="E15" i="120" a="1"/>
  <c r="E15" i="120" s="1"/>
  <c r="E17" i="120" a="1"/>
  <c r="E17" i="120" s="1"/>
  <c r="D20" i="120" a="1"/>
  <c r="D20" i="120" s="1"/>
  <c r="C23" i="120" a="1"/>
  <c r="C23" i="120" s="1"/>
  <c r="AA454" i="112" s="1"/>
  <c r="E25" i="120" a="1"/>
  <c r="E25" i="120" s="1"/>
  <c r="D28" i="120" a="1"/>
  <c r="D28" i="120" s="1"/>
  <c r="C31" i="120" a="1"/>
  <c r="C31" i="120" s="1"/>
  <c r="AA724" i="112" s="1"/>
  <c r="E33" i="120" a="1"/>
  <c r="E33" i="120" s="1"/>
  <c r="D36" i="120" a="1"/>
  <c r="D36" i="120" s="1"/>
  <c r="C39" i="120" a="1"/>
  <c r="C39" i="120" s="1"/>
  <c r="E41" i="120" a="1"/>
  <c r="E41" i="120" s="1"/>
  <c r="D44" i="120" a="1"/>
  <c r="D44" i="120" s="1"/>
  <c r="C47" i="120" a="1"/>
  <c r="C47" i="120" s="1"/>
  <c r="E49" i="120" a="1"/>
  <c r="E49" i="120" s="1"/>
  <c r="D52" i="120" a="1"/>
  <c r="D52" i="120" s="1"/>
  <c r="AB667" i="112" s="1"/>
  <c r="C55" i="120" a="1"/>
  <c r="C55" i="120" s="1"/>
  <c r="AA490" i="112" s="1"/>
  <c r="M490" i="112" s="1"/>
  <c r="E57" i="120" a="1"/>
  <c r="E57" i="120" s="1"/>
  <c r="D60" i="120" a="1"/>
  <c r="D60" i="120" s="1"/>
  <c r="AB237" i="112" s="1"/>
  <c r="C63" i="120" a="1"/>
  <c r="C63" i="120" s="1"/>
  <c r="E65" i="120" a="1"/>
  <c r="E65" i="120" s="1"/>
  <c r="AC484" i="112" s="1"/>
  <c r="I484" i="112" s="1"/>
  <c r="D68" i="120" a="1"/>
  <c r="D68" i="120" s="1"/>
  <c r="C71" i="120" a="1"/>
  <c r="C71" i="120" s="1"/>
  <c r="E74" i="120" a="1"/>
  <c r="E74" i="120" s="1"/>
  <c r="AC455" i="112" s="1"/>
  <c r="I455" i="112" s="1"/>
  <c r="D77" i="120" a="1"/>
  <c r="D77" i="120" s="1"/>
  <c r="AB480" i="112" s="1"/>
  <c r="C80" i="120" a="1"/>
  <c r="C80" i="120" s="1"/>
  <c r="AA187" i="112" s="1"/>
  <c r="M187" i="112" s="1"/>
  <c r="E82" i="120" a="1"/>
  <c r="E82" i="120" s="1"/>
  <c r="D85" i="120" a="1"/>
  <c r="D85" i="120" s="1"/>
  <c r="C89" i="120" a="1"/>
  <c r="C89" i="120" s="1"/>
  <c r="E91" i="120" a="1"/>
  <c r="E91" i="120" s="1"/>
  <c r="D94" i="120" a="1"/>
  <c r="D94" i="120" s="1"/>
  <c r="C97" i="120" a="1"/>
  <c r="C97" i="120" s="1"/>
  <c r="E99" i="120" a="1"/>
  <c r="E99" i="120" s="1"/>
  <c r="D102" i="120" a="1"/>
  <c r="D102" i="120" s="1"/>
  <c r="AB7" i="112" s="1"/>
  <c r="C105" i="120" a="1"/>
  <c r="C105" i="120" s="1"/>
  <c r="AA521" i="112" s="1"/>
  <c r="E107" i="120" a="1"/>
  <c r="E107" i="120" s="1"/>
  <c r="D110" i="120" a="1"/>
  <c r="D110" i="120" s="1"/>
  <c r="C113" i="120" a="1"/>
  <c r="C113" i="120" s="1"/>
  <c r="E116" i="120" a="1"/>
  <c r="E116" i="120" s="1"/>
  <c r="AC709" i="112" s="1"/>
  <c r="I709" i="112" s="1"/>
  <c r="BG218" i="143" s="1"/>
  <c r="D119" i="120" a="1"/>
  <c r="D119" i="120" s="1"/>
  <c r="C122" i="120" a="1"/>
  <c r="C122" i="120" s="1"/>
  <c r="E124" i="120" a="1"/>
  <c r="E124" i="120" s="1"/>
  <c r="D127" i="120" a="1"/>
  <c r="D127" i="120" s="1"/>
  <c r="C130" i="120" a="1"/>
  <c r="C130" i="120" s="1"/>
  <c r="E132" i="120" a="1"/>
  <c r="E132" i="120" s="1"/>
  <c r="D135" i="120" a="1"/>
  <c r="D135" i="120" s="1"/>
  <c r="C138" i="120" a="1"/>
  <c r="C138" i="120" s="1"/>
  <c r="E140" i="120" a="1"/>
  <c r="E140" i="120" s="1"/>
  <c r="AC194" i="112" s="1"/>
  <c r="D143" i="120" a="1"/>
  <c r="D143" i="120" s="1"/>
  <c r="C146" i="120" a="1"/>
  <c r="C146" i="120" s="1"/>
  <c r="D151" i="120" a="1"/>
  <c r="D151" i="120" s="1"/>
  <c r="C154" i="120" a="1"/>
  <c r="C154" i="120" s="1"/>
  <c r="AA737" i="112" s="1"/>
  <c r="E156" i="120" a="1"/>
  <c r="E156" i="120" s="1"/>
  <c r="D100" i="120" a="1"/>
  <c r="D100" i="120" s="1"/>
  <c r="D130" i="120" a="1"/>
  <c r="D130" i="120" s="1"/>
  <c r="E143" i="120" a="1"/>
  <c r="E143" i="120" s="1"/>
  <c r="C149" i="120" a="1"/>
  <c r="C149" i="120" s="1"/>
  <c r="D15" i="133" s="1"/>
  <c r="D154" i="120" a="1"/>
  <c r="D154" i="120" s="1"/>
  <c r="AB737" i="112" s="1"/>
  <c r="E159" i="120" a="1"/>
  <c r="E159" i="120" s="1"/>
  <c r="D108" i="120" a="1"/>
  <c r="D108" i="120" s="1"/>
  <c r="D141" i="120" a="1"/>
  <c r="D141" i="120" s="1"/>
  <c r="E154" i="120" a="1"/>
  <c r="E154" i="120" s="1"/>
  <c r="AC737" i="112" s="1"/>
  <c r="I737" i="112" s="1"/>
  <c r="E3" i="120" a="1"/>
  <c r="E3" i="120" s="1"/>
  <c r="D7" i="120" a="1"/>
  <c r="D7" i="120" s="1"/>
  <c r="C11" i="120" a="1"/>
  <c r="C11" i="120" s="1"/>
  <c r="AA31" i="112" s="1"/>
  <c r="E13" i="120" a="1"/>
  <c r="E13" i="120" s="1"/>
  <c r="C18" i="120" a="1"/>
  <c r="C18" i="120" s="1"/>
  <c r="AA340" i="112" s="1"/>
  <c r="E20" i="120" a="1"/>
  <c r="E20" i="120" s="1"/>
  <c r="D23" i="120" a="1"/>
  <c r="D23" i="120" s="1"/>
  <c r="AB454" i="112" s="1"/>
  <c r="C26" i="120" a="1"/>
  <c r="C26" i="120" s="1"/>
  <c r="AA541" i="112" s="1"/>
  <c r="E28" i="120" a="1"/>
  <c r="E28" i="120" s="1"/>
  <c r="D31" i="120" a="1"/>
  <c r="D31" i="120" s="1"/>
  <c r="AB724" i="112" s="1"/>
  <c r="C34" i="120" a="1"/>
  <c r="C34" i="120" s="1"/>
  <c r="E36" i="120" a="1"/>
  <c r="E36" i="120" s="1"/>
  <c r="D39" i="120" a="1"/>
  <c r="D39" i="120" s="1"/>
  <c r="C42" i="120" a="1"/>
  <c r="C42" i="120" s="1"/>
  <c r="E44" i="120" a="1"/>
  <c r="E44" i="120" s="1"/>
  <c r="D47" i="120" a="1"/>
  <c r="D47" i="120" s="1"/>
  <c r="C50" i="120" a="1"/>
  <c r="C50" i="120" s="1"/>
  <c r="E52" i="120" a="1"/>
  <c r="E52" i="120" s="1"/>
  <c r="AC667" i="112" s="1"/>
  <c r="I667" i="112" s="1"/>
  <c r="D55" i="120" a="1"/>
  <c r="D55" i="120" s="1"/>
  <c r="AB490" i="112" s="1"/>
  <c r="C58" i="120" a="1"/>
  <c r="C58" i="120" s="1"/>
  <c r="E60" i="120" a="1"/>
  <c r="E60" i="120" s="1"/>
  <c r="AC237" i="112" s="1"/>
  <c r="I237" i="112" s="1"/>
  <c r="BG226" i="143" s="1"/>
  <c r="D63" i="120" a="1"/>
  <c r="D63" i="120" s="1"/>
  <c r="C66" i="120" a="1"/>
  <c r="C66" i="120" s="1"/>
  <c r="E68" i="120" a="1"/>
  <c r="E68" i="120" s="1"/>
  <c r="D71" i="120" a="1"/>
  <c r="D71" i="120" s="1"/>
  <c r="C75" i="120" a="1"/>
  <c r="C75" i="120" s="1"/>
  <c r="AA458" i="112" s="1"/>
  <c r="H458" i="112" s="1"/>
  <c r="F458" i="112" s="1"/>
  <c r="E77" i="120" a="1"/>
  <c r="E77" i="120" s="1"/>
  <c r="AC480" i="112" s="1"/>
  <c r="I480" i="112" s="1"/>
  <c r="D80" i="120" a="1"/>
  <c r="D80" i="120" s="1"/>
  <c r="AB187" i="112" s="1"/>
  <c r="C83" i="120" a="1"/>
  <c r="C83" i="120" s="1"/>
  <c r="AA189" i="112" s="1"/>
  <c r="M189" i="112" s="1"/>
  <c r="E85" i="120" a="1"/>
  <c r="E85" i="120" s="1"/>
  <c r="D89" i="120" a="1"/>
  <c r="D89" i="120" s="1"/>
  <c r="C92" i="120" a="1"/>
  <c r="C92" i="120" s="1"/>
  <c r="E94" i="120" a="1"/>
  <c r="E94" i="120" s="1"/>
  <c r="D97" i="120" a="1"/>
  <c r="D97" i="120" s="1"/>
  <c r="C100" i="120" a="1"/>
  <c r="C100" i="120" s="1"/>
  <c r="E102" i="120" a="1"/>
  <c r="E102" i="120" s="1"/>
  <c r="AC7" i="112" s="1"/>
  <c r="I7" i="112" s="1"/>
  <c r="D105" i="120" a="1"/>
  <c r="D105" i="120" s="1"/>
  <c r="AB521" i="112" s="1"/>
  <c r="C108" i="120" a="1"/>
  <c r="C108" i="120" s="1"/>
  <c r="E110" i="120" a="1"/>
  <c r="E110" i="120" s="1"/>
  <c r="D113" i="120" a="1"/>
  <c r="D113" i="120" s="1"/>
  <c r="C117" i="120" a="1"/>
  <c r="C117" i="120" s="1"/>
  <c r="E119" i="120" a="1"/>
  <c r="E119" i="120" s="1"/>
  <c r="D122" i="120" a="1"/>
  <c r="D122" i="120" s="1"/>
  <c r="C125" i="120" a="1"/>
  <c r="C125" i="120" s="1"/>
  <c r="E127" i="120" a="1"/>
  <c r="E127" i="120" s="1"/>
  <c r="C133" i="120" a="1"/>
  <c r="C133" i="120" s="1"/>
  <c r="AA761" i="112" s="1"/>
  <c r="L761" i="112" s="1"/>
  <c r="E135" i="120" a="1"/>
  <c r="E135" i="120" s="1"/>
  <c r="D138" i="120" a="1"/>
  <c r="D138" i="120" s="1"/>
  <c r="C141" i="120" a="1"/>
  <c r="C141" i="120" s="1"/>
  <c r="D146" i="120" a="1"/>
  <c r="D146" i="120" s="1"/>
  <c r="E151" i="120" a="1"/>
  <c r="E151" i="120" s="1"/>
  <c r="C157" i="120" a="1"/>
  <c r="C157" i="120" s="1"/>
  <c r="C111" i="120" a="1"/>
  <c r="C111" i="120" s="1"/>
  <c r="AA703" i="112" s="1"/>
  <c r="E138" i="120" a="1"/>
  <c r="E138" i="120" s="1"/>
  <c r="D149" i="120" a="1"/>
  <c r="D149" i="120" s="1"/>
  <c r="E15" i="133" s="1"/>
  <c r="C160" i="120" a="1"/>
  <c r="C160" i="120" s="1"/>
  <c r="E39" i="120" a="1"/>
  <c r="E39" i="120" s="1"/>
  <c r="C78" i="120" a="1"/>
  <c r="C78" i="120" s="1"/>
  <c r="C86" i="120" a="1"/>
  <c r="C86" i="120" s="1"/>
  <c r="D92" i="120" a="1"/>
  <c r="D92" i="120" s="1"/>
  <c r="E97" i="120" a="1"/>
  <c r="E97" i="120" s="1"/>
  <c r="E105" i="120" a="1"/>
  <c r="E105" i="120" s="1"/>
  <c r="AC521" i="112" s="1"/>
  <c r="I521" i="112" s="1"/>
  <c r="E113" i="120" a="1"/>
  <c r="E113" i="120" s="1"/>
  <c r="E122" i="120" a="1"/>
  <c r="E122" i="120" s="1"/>
  <c r="C128" i="120" a="1"/>
  <c r="C128" i="120" s="1"/>
  <c r="D133" i="120" a="1"/>
  <c r="D133" i="120" s="1"/>
  <c r="AB761" i="112" s="1"/>
  <c r="D761" i="112" s="1"/>
  <c r="C136" i="120" a="1"/>
  <c r="C136" i="120" s="1"/>
  <c r="AA707" i="112" s="1"/>
  <c r="C144" i="120" a="1"/>
  <c r="C144" i="120" s="1"/>
  <c r="AA175" i="112" s="1"/>
  <c r="C152" i="120" a="1"/>
  <c r="C152" i="120" s="1"/>
  <c r="D157" i="120" a="1"/>
  <c r="D157" i="120" s="1"/>
  <c r="C4" i="120" a="1"/>
  <c r="C4" i="120" s="1"/>
  <c r="AA639" i="112" s="1"/>
  <c r="E7" i="120" a="1"/>
  <c r="E7" i="120" s="1"/>
  <c r="F5" i="133" s="1"/>
  <c r="D11" i="120" a="1"/>
  <c r="D11" i="120" s="1"/>
  <c r="AB31" i="112" s="1"/>
  <c r="D18" i="120" a="1"/>
  <c r="D18" i="120" s="1"/>
  <c r="AB340" i="112" s="1"/>
  <c r="C21" i="120" a="1"/>
  <c r="C21" i="120" s="1"/>
  <c r="E23" i="120" a="1"/>
  <c r="E23" i="120" s="1"/>
  <c r="AC454" i="112" s="1"/>
  <c r="I454" i="112" s="1"/>
  <c r="BG106" i="142" s="1"/>
  <c r="D26" i="120" a="1"/>
  <c r="D26" i="120" s="1"/>
  <c r="AB541" i="112" s="1"/>
  <c r="C29" i="120" a="1"/>
  <c r="C29" i="120" s="1"/>
  <c r="AA329" i="112" s="1"/>
  <c r="E31" i="120" a="1"/>
  <c r="E31" i="120" s="1"/>
  <c r="AC724" i="112" s="1"/>
  <c r="I724" i="112" s="1"/>
  <c r="D34" i="120" a="1"/>
  <c r="D34" i="120" s="1"/>
  <c r="C37" i="120" a="1"/>
  <c r="C37" i="120" s="1"/>
  <c r="AA531" i="112" s="1"/>
  <c r="D42" i="120" a="1"/>
  <c r="D42" i="120" s="1"/>
  <c r="C45" i="120" a="1"/>
  <c r="C45" i="120" s="1"/>
  <c r="E47" i="120" a="1"/>
  <c r="E47" i="120" s="1"/>
  <c r="D50" i="120" a="1"/>
  <c r="D50" i="120" s="1"/>
  <c r="C53" i="120" a="1"/>
  <c r="C53" i="120" s="1"/>
  <c r="E55" i="120" a="1"/>
  <c r="E55" i="120" s="1"/>
  <c r="AC490" i="112" s="1"/>
  <c r="I490" i="112" s="1"/>
  <c r="D58" i="120" a="1"/>
  <c r="D58" i="120" s="1"/>
  <c r="C61" i="120" a="1"/>
  <c r="C61" i="120" s="1"/>
  <c r="AA244" i="112" s="1"/>
  <c r="E63" i="120" a="1"/>
  <c r="E63" i="120" s="1"/>
  <c r="D66" i="120" a="1"/>
  <c r="D66" i="120" s="1"/>
  <c r="C69" i="120" a="1"/>
  <c r="C69" i="120" s="1"/>
  <c r="E71" i="120" a="1"/>
  <c r="E71" i="120" s="1"/>
  <c r="D75" i="120" a="1"/>
  <c r="D75" i="120" s="1"/>
  <c r="AB458" i="112" s="1"/>
  <c r="E80" i="120" a="1"/>
  <c r="E80" i="120" s="1"/>
  <c r="AC187" i="112" s="1"/>
  <c r="I187" i="112" s="1"/>
  <c r="D83" i="120" a="1"/>
  <c r="D83" i="120" s="1"/>
  <c r="AB189" i="112" s="1"/>
  <c r="E89" i="120" a="1"/>
  <c r="E89" i="120" s="1"/>
  <c r="C103" i="120" a="1"/>
  <c r="C103" i="120" s="1"/>
  <c r="D125" i="120" a="1"/>
  <c r="D125" i="120" s="1"/>
  <c r="E146" i="120" a="1"/>
  <c r="E146" i="120" s="1"/>
  <c r="E92" i="120" a="1"/>
  <c r="E92" i="120" s="1"/>
  <c r="C155" i="120" a="1"/>
  <c r="C155" i="120" s="1"/>
  <c r="D4" i="120" a="1"/>
  <c r="D4" i="120" s="1"/>
  <c r="AB639" i="112" s="1"/>
  <c r="C8" i="120" a="1"/>
  <c r="C8" i="120" s="1"/>
  <c r="E11" i="120" a="1"/>
  <c r="E11" i="120" s="1"/>
  <c r="AC31" i="112" s="1"/>
  <c r="I31" i="112" s="1"/>
  <c r="D14" i="120" a="1"/>
  <c r="D14" i="120" s="1"/>
  <c r="D16" i="120" a="1"/>
  <c r="D16" i="120" s="1"/>
  <c r="E18" i="120" a="1"/>
  <c r="E18" i="120" s="1"/>
  <c r="AC340" i="112" s="1"/>
  <c r="D21" i="120" a="1"/>
  <c r="D21" i="120" s="1"/>
  <c r="C24" i="120" a="1"/>
  <c r="C24" i="120" s="1"/>
  <c r="AA341" i="112" s="1"/>
  <c r="E26" i="120" a="1"/>
  <c r="E26" i="120" s="1"/>
  <c r="AC541" i="112" s="1"/>
  <c r="I541" i="112" s="1"/>
  <c r="D29" i="120" a="1"/>
  <c r="D29" i="120" s="1"/>
  <c r="AB329" i="112" s="1"/>
  <c r="C32" i="120" a="1"/>
  <c r="C32" i="120" s="1"/>
  <c r="AA650" i="112" s="1"/>
  <c r="E34" i="120" a="1"/>
  <c r="E34" i="120" s="1"/>
  <c r="D37" i="120" a="1"/>
  <c r="D37" i="120" s="1"/>
  <c r="AB531" i="112" s="1"/>
  <c r="C40" i="120" a="1"/>
  <c r="C40" i="120" s="1"/>
  <c r="E42" i="120" a="1"/>
  <c r="E42" i="120" s="1"/>
  <c r="D45" i="120" a="1"/>
  <c r="D45" i="120" s="1"/>
  <c r="C48" i="120" a="1"/>
  <c r="C48" i="120" s="1"/>
  <c r="E50" i="120" a="1"/>
  <c r="E50" i="120" s="1"/>
  <c r="D53" i="120" a="1"/>
  <c r="D53" i="120" s="1"/>
  <c r="C56" i="120" a="1"/>
  <c r="C56" i="120" s="1"/>
  <c r="E58" i="120" a="1"/>
  <c r="E58" i="120" s="1"/>
  <c r="D61" i="120" a="1"/>
  <c r="D61" i="120" s="1"/>
  <c r="AB244" i="112" s="1"/>
  <c r="C64" i="120" a="1"/>
  <c r="C64" i="120" s="1"/>
  <c r="E66" i="120" a="1"/>
  <c r="E66" i="120" s="1"/>
  <c r="D69" i="120" a="1"/>
  <c r="D69" i="120" s="1"/>
  <c r="C72" i="120" a="1"/>
  <c r="C72" i="120" s="1"/>
  <c r="E75" i="120" a="1"/>
  <c r="E75" i="120" s="1"/>
  <c r="AC458" i="112" s="1"/>
  <c r="I458" i="112" s="1"/>
  <c r="D78" i="120" a="1"/>
  <c r="D78" i="120" s="1"/>
  <c r="C81" i="120" a="1"/>
  <c r="C81" i="120" s="1"/>
  <c r="AA188" i="112" s="1"/>
  <c r="M188" i="112" s="1"/>
  <c r="E83" i="120" a="1"/>
  <c r="E83" i="120" s="1"/>
  <c r="AC189" i="112" s="1"/>
  <c r="I189" i="112" s="1"/>
  <c r="D86" i="120" a="1"/>
  <c r="D86" i="120" s="1"/>
  <c r="C90" i="120" a="1"/>
  <c r="C90" i="120" s="1"/>
  <c r="AA477" i="112" s="1"/>
  <c r="L477" i="112" s="1"/>
  <c r="D95" i="120" a="1"/>
  <c r="D95" i="120" s="1"/>
  <c r="AB752" i="112" s="1"/>
  <c r="C98" i="120" a="1"/>
  <c r="C98" i="120" s="1"/>
  <c r="E100" i="120" a="1"/>
  <c r="E100" i="120" s="1"/>
  <c r="D103" i="120" a="1"/>
  <c r="D103" i="120" s="1"/>
  <c r="C106" i="120" a="1"/>
  <c r="C106" i="120" s="1"/>
  <c r="E108" i="120" a="1"/>
  <c r="E108" i="120" s="1"/>
  <c r="D111" i="120" a="1"/>
  <c r="D111" i="120" s="1"/>
  <c r="AB703" i="112" s="1"/>
  <c r="C114" i="120" a="1"/>
  <c r="C114" i="120" s="1"/>
  <c r="AA147" i="112" s="1"/>
  <c r="E117" i="120" a="1"/>
  <c r="E117" i="120" s="1"/>
  <c r="D120" i="120" a="1"/>
  <c r="D120" i="120" s="1"/>
  <c r="C123" i="120" a="1"/>
  <c r="C123" i="120" s="1"/>
  <c r="E125" i="120" a="1"/>
  <c r="E125" i="120" s="1"/>
  <c r="D128" i="120" a="1"/>
  <c r="D128" i="120" s="1"/>
  <c r="C131" i="120" a="1"/>
  <c r="C131" i="120" s="1"/>
  <c r="E133" i="120" a="1"/>
  <c r="E133" i="120" s="1"/>
  <c r="AC761" i="112" s="1"/>
  <c r="I761" i="112" s="1"/>
  <c r="D136" i="120" a="1"/>
  <c r="D136" i="120" s="1"/>
  <c r="AB707" i="112" s="1"/>
  <c r="C139" i="120" a="1"/>
  <c r="C139" i="120" s="1"/>
  <c r="AA457" i="112" s="1"/>
  <c r="M457" i="112" s="1"/>
  <c r="E141" i="120" a="1"/>
  <c r="E141" i="120" s="1"/>
  <c r="D144" i="120" a="1"/>
  <c r="D144" i="120" s="1"/>
  <c r="AB175" i="112" s="1"/>
  <c r="C147" i="120" a="1"/>
  <c r="C147" i="120" s="1"/>
  <c r="E149" i="120" a="1"/>
  <c r="E149" i="120" s="1"/>
  <c r="F15" i="133" s="1"/>
  <c r="D152" i="120" a="1"/>
  <c r="D152" i="120" s="1"/>
  <c r="E157" i="120" a="1"/>
  <c r="E157" i="120" s="1"/>
  <c r="D160" i="120" a="1"/>
  <c r="D160" i="120" s="1"/>
  <c r="E136" i="120" a="1"/>
  <c r="E136" i="120" s="1"/>
  <c r="AC707" i="112" s="1"/>
  <c r="I707" i="112" s="1"/>
  <c r="BG220" i="143" s="1"/>
  <c r="C150" i="120" a="1"/>
  <c r="C150" i="120" s="1"/>
  <c r="C158" i="120" a="1"/>
  <c r="C158" i="120" s="1"/>
  <c r="E155" i="120" a="1"/>
  <c r="E155" i="120" s="1"/>
  <c r="C2" i="120" a="1"/>
  <c r="C2" i="120" s="1"/>
  <c r="E4" i="120" a="1"/>
  <c r="E4" i="120" s="1"/>
  <c r="AC639" i="112" s="1"/>
  <c r="I639" i="112" s="1"/>
  <c r="D8" i="120" a="1"/>
  <c r="D8" i="120" s="1"/>
  <c r="C12" i="120" a="1"/>
  <c r="C12" i="120" s="1"/>
  <c r="E14" i="120" a="1"/>
  <c r="E14" i="120" s="1"/>
  <c r="E16" i="120" a="1"/>
  <c r="E16" i="120" s="1"/>
  <c r="C19" i="120" a="1"/>
  <c r="C19" i="120" s="1"/>
  <c r="E21" i="120" a="1"/>
  <c r="E21" i="120" s="1"/>
  <c r="D24" i="120" a="1"/>
  <c r="D24" i="120" s="1"/>
  <c r="AB341" i="112" s="1"/>
  <c r="C27" i="120" a="1"/>
  <c r="C27" i="120" s="1"/>
  <c r="E29" i="120" a="1"/>
  <c r="E29" i="120" s="1"/>
  <c r="AC329" i="112" s="1"/>
  <c r="I329" i="112" s="1"/>
  <c r="D32" i="120" a="1"/>
  <c r="D32" i="120" s="1"/>
  <c r="AB650" i="112" s="1"/>
  <c r="C35" i="120" a="1"/>
  <c r="C35" i="120" s="1"/>
  <c r="AA635" i="112" s="1"/>
  <c r="E37" i="120" a="1"/>
  <c r="E37" i="120" s="1"/>
  <c r="AC531" i="112" s="1"/>
  <c r="I531" i="112" s="1"/>
  <c r="D40" i="120" a="1"/>
  <c r="D40" i="120" s="1"/>
  <c r="C43" i="120" a="1"/>
  <c r="C43" i="120" s="1"/>
  <c r="E45" i="120" a="1"/>
  <c r="E45" i="120" s="1"/>
  <c r="D48" i="120" a="1"/>
  <c r="D48" i="120" s="1"/>
  <c r="C51" i="120" a="1"/>
  <c r="C51" i="120" s="1"/>
  <c r="E53" i="120" a="1"/>
  <c r="E53" i="120" s="1"/>
  <c r="D56" i="120" a="1"/>
  <c r="D56" i="120" s="1"/>
  <c r="C59" i="120" a="1"/>
  <c r="C59" i="120" s="1"/>
  <c r="E61" i="120" a="1"/>
  <c r="E61" i="120" s="1"/>
  <c r="AC244" i="112" s="1"/>
  <c r="I244" i="112" s="1"/>
  <c r="BG224" i="143" s="1"/>
  <c r="D64" i="120" a="1"/>
  <c r="D64" i="120" s="1"/>
  <c r="C67" i="120" a="1"/>
  <c r="C67" i="120" s="1"/>
  <c r="E69" i="120" a="1"/>
  <c r="E69" i="120" s="1"/>
  <c r="D72" i="120" a="1"/>
  <c r="D72" i="120" s="1"/>
  <c r="C76" i="120" a="1"/>
  <c r="C76" i="120" s="1"/>
  <c r="AA479" i="112" s="1"/>
  <c r="H479" i="112" s="1"/>
  <c r="F479" i="112" s="1"/>
  <c r="E78" i="120" a="1"/>
  <c r="E78" i="120" s="1"/>
  <c r="D81" i="120" a="1"/>
  <c r="D81" i="120" s="1"/>
  <c r="AB188" i="112" s="1"/>
  <c r="C84" i="120" a="1"/>
  <c r="C84" i="120" s="1"/>
  <c r="E86" i="120" a="1"/>
  <c r="E86" i="120" s="1"/>
  <c r="D90" i="120" a="1"/>
  <c r="D90" i="120" s="1"/>
  <c r="AB477" i="112" s="1"/>
  <c r="C93" i="120" a="1"/>
  <c r="C93" i="120" s="1"/>
  <c r="E95" i="120" a="1"/>
  <c r="E95" i="120" s="1"/>
  <c r="AC752" i="112" s="1"/>
  <c r="I752" i="112" s="1"/>
  <c r="BG214" i="143" s="1"/>
  <c r="P23" i="166" s="1"/>
  <c r="D98" i="120" a="1"/>
  <c r="D98" i="120" s="1"/>
  <c r="C101" i="120" a="1"/>
  <c r="C101" i="120" s="1"/>
  <c r="E103" i="120" a="1"/>
  <c r="E103" i="120" s="1"/>
  <c r="F6" i="133" s="1"/>
  <c r="D106" i="120" a="1"/>
  <c r="D106" i="120" s="1"/>
  <c r="C109" i="120" a="1"/>
  <c r="C109" i="120" s="1"/>
  <c r="AA674" i="112" s="1"/>
  <c r="E111" i="120" a="1"/>
  <c r="E111" i="120" s="1"/>
  <c r="AC703" i="112" s="1"/>
  <c r="I703" i="112" s="1"/>
  <c r="D114" i="120" a="1"/>
  <c r="D114" i="120" s="1"/>
  <c r="AB147" i="112" s="1"/>
  <c r="C118" i="120" a="1"/>
  <c r="C118" i="120" s="1"/>
  <c r="E120" i="120" a="1"/>
  <c r="E120" i="120" s="1"/>
  <c r="D123" i="120" a="1"/>
  <c r="D123" i="120" s="1"/>
  <c r="C126" i="120" a="1"/>
  <c r="C126" i="120" s="1"/>
  <c r="E128" i="120" a="1"/>
  <c r="E128" i="120" s="1"/>
  <c r="D131" i="120" a="1"/>
  <c r="D131" i="120" s="1"/>
  <c r="C134" i="120" a="1"/>
  <c r="C134" i="120" s="1"/>
  <c r="AA565" i="112" s="1"/>
  <c r="D139" i="120" a="1"/>
  <c r="D139" i="120" s="1"/>
  <c r="AB457" i="112" s="1"/>
  <c r="C142" i="120" a="1"/>
  <c r="C142" i="120" s="1"/>
  <c r="E144" i="120" a="1"/>
  <c r="E144" i="120" s="1"/>
  <c r="AC175" i="112" s="1"/>
  <c r="I175" i="112" s="1"/>
  <c r="D147" i="120" a="1"/>
  <c r="D147" i="120" s="1"/>
  <c r="E152" i="120" a="1"/>
  <c r="E152" i="120" s="1"/>
  <c r="D155" i="120" a="1"/>
  <c r="D155" i="120" s="1"/>
  <c r="E160" i="120" a="1"/>
  <c r="E160" i="120" s="1"/>
  <c r="D76" i="120" a="1"/>
  <c r="D76" i="120" s="1"/>
  <c r="AB479" i="112" s="1"/>
  <c r="C112" i="120" a="1"/>
  <c r="C112" i="120" s="1"/>
  <c r="E123" i="120" a="1"/>
  <c r="E123" i="120" s="1"/>
  <c r="C129" i="120" a="1"/>
  <c r="C129" i="120" s="1"/>
  <c r="D134" i="120" a="1"/>
  <c r="D134" i="120" s="1"/>
  <c r="AB565" i="112" s="1"/>
  <c r="E139" i="120" a="1"/>
  <c r="E139" i="120" s="1"/>
  <c r="AC457" i="112" s="1"/>
  <c r="I457" i="112" s="1"/>
  <c r="C145" i="120" a="1"/>
  <c r="C145" i="120" s="1"/>
  <c r="D150" i="120" a="1"/>
  <c r="D150" i="120" s="1"/>
  <c r="C161" i="120" a="1"/>
  <c r="C161" i="120" s="1"/>
  <c r="D2" i="120" a="1"/>
  <c r="D2" i="120" s="1"/>
  <c r="C6" i="120" a="1"/>
  <c r="C6" i="120" s="1"/>
  <c r="E8" i="120" a="1"/>
  <c r="E8" i="120" s="1"/>
  <c r="D12" i="120" a="1"/>
  <c r="D12" i="120" s="1"/>
  <c r="D19" i="120" a="1"/>
  <c r="D19" i="120" s="1"/>
  <c r="C22" i="120" a="1"/>
  <c r="C22" i="120" s="1"/>
  <c r="AA11" i="112" s="1"/>
  <c r="E24" i="120" a="1"/>
  <c r="E24" i="120" s="1"/>
  <c r="AC341" i="112" s="1"/>
  <c r="I341" i="112" s="1"/>
  <c r="D27" i="120" a="1"/>
  <c r="D27" i="120" s="1"/>
  <c r="C30" i="120" a="1"/>
  <c r="C30" i="120" s="1"/>
  <c r="E32" i="120" a="1"/>
  <c r="E32" i="120" s="1"/>
  <c r="AC650" i="112" s="1"/>
  <c r="I650" i="112" s="1"/>
  <c r="D35" i="120" a="1"/>
  <c r="D35" i="120" s="1"/>
  <c r="AB635" i="112" s="1"/>
  <c r="C38" i="120" a="1"/>
  <c r="C38" i="120" s="1"/>
  <c r="E40" i="120" a="1"/>
  <c r="E40" i="120" s="1"/>
  <c r="D43" i="120" a="1"/>
  <c r="D43" i="120" s="1"/>
  <c r="C46" i="120" a="1"/>
  <c r="C46" i="120" s="1"/>
  <c r="E48" i="120" a="1"/>
  <c r="E48" i="120" s="1"/>
  <c r="D51" i="120" a="1"/>
  <c r="D51" i="120" s="1"/>
  <c r="C54" i="120" a="1"/>
  <c r="C54" i="120" s="1"/>
  <c r="AA668" i="112" s="1"/>
  <c r="E56" i="120" a="1"/>
  <c r="E56" i="120" s="1"/>
  <c r="D59" i="120" a="1"/>
  <c r="D59" i="120" s="1"/>
  <c r="C62" i="120" a="1"/>
  <c r="C62" i="120" s="1"/>
  <c r="AA247" i="112" s="1"/>
  <c r="E64" i="120" a="1"/>
  <c r="E64" i="120" s="1"/>
  <c r="D67" i="120" a="1"/>
  <c r="D67" i="120" s="1"/>
  <c r="C70" i="120" a="1"/>
  <c r="C70" i="120" s="1"/>
  <c r="AA478" i="112" s="1"/>
  <c r="L478" i="112" s="1"/>
  <c r="E72" i="120" a="1"/>
  <c r="E72" i="120" s="1"/>
  <c r="F4" i="133" s="1"/>
  <c r="C79" i="120" a="1"/>
  <c r="C79" i="120" s="1"/>
  <c r="AA485" i="112" s="1"/>
  <c r="M485" i="112" s="1"/>
  <c r="E81" i="120" a="1"/>
  <c r="E81" i="120" s="1"/>
  <c r="AC188" i="112" s="1"/>
  <c r="I188" i="112" s="1"/>
  <c r="D84" i="120" a="1"/>
  <c r="D84" i="120" s="1"/>
  <c r="C87" i="120" a="1"/>
  <c r="C87" i="120" s="1"/>
  <c r="E90" i="120" a="1"/>
  <c r="E90" i="120" s="1"/>
  <c r="AC477" i="112" s="1"/>
  <c r="I477" i="112" s="1"/>
  <c r="D93" i="120" a="1"/>
  <c r="D93" i="120" s="1"/>
  <c r="C96" i="120" a="1"/>
  <c r="C96" i="120" s="1"/>
  <c r="E98" i="120" a="1"/>
  <c r="E98" i="120" s="1"/>
  <c r="D101" i="120" a="1"/>
  <c r="D101" i="120" s="1"/>
  <c r="C104" i="120" a="1"/>
  <c r="C104" i="120" s="1"/>
  <c r="AA520" i="112" s="1"/>
  <c r="E106" i="120" a="1"/>
  <c r="E106" i="120" s="1"/>
  <c r="D109" i="120" a="1"/>
  <c r="D109" i="120" s="1"/>
  <c r="AB674" i="112" s="1"/>
  <c r="E114" i="120" a="1"/>
  <c r="E114" i="120" s="1"/>
  <c r="AC147" i="112" s="1"/>
  <c r="I147" i="112" s="1"/>
  <c r="D118" i="120" a="1"/>
  <c r="D118" i="120" s="1"/>
  <c r="C121" i="120" a="1"/>
  <c r="C121" i="120" s="1"/>
  <c r="D126" i="120" a="1"/>
  <c r="D126" i="120" s="1"/>
  <c r="E131" i="120" a="1"/>
  <c r="E131" i="120" s="1"/>
  <c r="C137" i="120" a="1"/>
  <c r="C137" i="120" s="1"/>
  <c r="D142" i="120" a="1"/>
  <c r="D142" i="120" s="1"/>
  <c r="E147" i="120" a="1"/>
  <c r="E147" i="120" s="1"/>
  <c r="C153" i="120" a="1"/>
  <c r="C153" i="120" s="1"/>
  <c r="AA174" i="112" s="1"/>
  <c r="D158" i="120" a="1"/>
  <c r="D158" i="120" s="1"/>
  <c r="H31" i="112" l="1"/>
  <c r="L31" i="112"/>
  <c r="M31" i="112"/>
  <c r="N31" i="112" s="1"/>
  <c r="F31" i="112" s="1"/>
  <c r="D31" i="112" s="1"/>
  <c r="H635" i="112"/>
  <c r="L635" i="112"/>
  <c r="M635" i="112"/>
  <c r="N635" i="112" s="1"/>
  <c r="F635" i="112" s="1"/>
  <c r="D635" i="112" s="1"/>
  <c r="AA601" i="112"/>
  <c r="AA602" i="112"/>
  <c r="AC601" i="112"/>
  <c r="I601" i="112" s="1"/>
  <c r="AC602" i="112"/>
  <c r="I602" i="112" s="1"/>
  <c r="AB602" i="112"/>
  <c r="AB601" i="112"/>
  <c r="AB288" i="112"/>
  <c r="AB633" i="112"/>
  <c r="AB632" i="112"/>
  <c r="AB634" i="112"/>
  <c r="AC288" i="112"/>
  <c r="I288" i="112" s="1"/>
  <c r="AC632" i="112"/>
  <c r="I632" i="112" s="1"/>
  <c r="AC633" i="112"/>
  <c r="I633" i="112" s="1"/>
  <c r="AC634" i="112"/>
  <c r="I634" i="112" s="1"/>
  <c r="AA288" i="112"/>
  <c r="M288" i="112" s="1"/>
  <c r="AA633" i="112"/>
  <c r="AA634" i="112"/>
  <c r="AA632" i="112"/>
  <c r="AA625" i="112"/>
  <c r="AA630" i="112"/>
  <c r="AA628" i="112"/>
  <c r="AA626" i="112"/>
  <c r="AA627" i="112"/>
  <c r="AA631" i="112"/>
  <c r="AA629" i="112"/>
  <c r="AC627" i="112"/>
  <c r="I627" i="112" s="1"/>
  <c r="AC625" i="112"/>
  <c r="I625" i="112" s="1"/>
  <c r="AC630" i="112"/>
  <c r="I630" i="112" s="1"/>
  <c r="AC626" i="112"/>
  <c r="I626" i="112" s="1"/>
  <c r="AC628" i="112"/>
  <c r="I628" i="112" s="1"/>
  <c r="AC631" i="112"/>
  <c r="I631" i="112" s="1"/>
  <c r="AC629" i="112"/>
  <c r="I629" i="112" s="1"/>
  <c r="AB627" i="112"/>
  <c r="AB625" i="112"/>
  <c r="AB630" i="112"/>
  <c r="AB628" i="112"/>
  <c r="AB626" i="112"/>
  <c r="AB631" i="112"/>
  <c r="AB629" i="112"/>
  <c r="AC195" i="112"/>
  <c r="I195" i="112" s="1"/>
  <c r="AC276" i="112"/>
  <c r="I276" i="112" s="1"/>
  <c r="AB195" i="112"/>
  <c r="AB276" i="112"/>
  <c r="AA195" i="112"/>
  <c r="L195" i="112" s="1"/>
  <c r="AA276" i="112"/>
  <c r="H71" i="192"/>
  <c r="I71" i="192"/>
  <c r="G79" i="196"/>
  <c r="G71" i="192"/>
  <c r="G104" i="189"/>
  <c r="G155" i="200"/>
  <c r="H79" i="196"/>
  <c r="I79" i="196"/>
  <c r="AB694" i="112"/>
  <c r="AB697" i="112"/>
  <c r="AB700" i="112"/>
  <c r="AC694" i="112"/>
  <c r="I694" i="112" s="1"/>
  <c r="AC700" i="112"/>
  <c r="I700" i="112" s="1"/>
  <c r="AC697" i="112"/>
  <c r="I697" i="112" s="1"/>
  <c r="G70" i="194"/>
  <c r="G62" i="199"/>
  <c r="H83" i="198"/>
  <c r="G83" i="198"/>
  <c r="AA694" i="112"/>
  <c r="M694" i="112" s="1"/>
  <c r="AA697" i="112"/>
  <c r="AA700" i="112"/>
  <c r="AB13" i="112"/>
  <c r="AB683" i="112"/>
  <c r="AC13" i="112"/>
  <c r="I13" i="112" s="1"/>
  <c r="AC683" i="112"/>
  <c r="I683" i="112" s="1"/>
  <c r="AA13" i="112"/>
  <c r="L13" i="112" s="1"/>
  <c r="AA683" i="112"/>
  <c r="AR253" i="187"/>
  <c r="G253" i="187"/>
  <c r="G194" i="190"/>
  <c r="O253" i="187"/>
  <c r="AA253" i="187"/>
  <c r="AN253" i="187"/>
  <c r="S253" i="187"/>
  <c r="K253" i="187"/>
  <c r="W253" i="187"/>
  <c r="AJ253" i="187"/>
  <c r="AE253" i="187"/>
  <c r="G147" i="180"/>
  <c r="H147" i="180"/>
  <c r="B61" i="207" a="1"/>
  <c r="B61" i="207" s="1"/>
  <c r="W474" i="112" s="1"/>
  <c r="B60" i="207" a="1"/>
  <c r="B60" i="207" s="1"/>
  <c r="W473" i="112" s="1"/>
  <c r="B59" i="207" a="1"/>
  <c r="B59" i="207" s="1"/>
  <c r="W472" i="112" s="1"/>
  <c r="B58" i="207" a="1"/>
  <c r="B58" i="207" s="1"/>
  <c r="W471" i="112" s="1"/>
  <c r="B57" i="207" a="1"/>
  <c r="B57" i="207" s="1"/>
  <c r="W470" i="112" s="1"/>
  <c r="B56" i="207" a="1"/>
  <c r="B56" i="207" s="1"/>
  <c r="W469" i="112" s="1"/>
  <c r="B49" i="207" a="1"/>
  <c r="B49" i="207" s="1"/>
  <c r="W461" i="112" s="1"/>
  <c r="AB757" i="112"/>
  <c r="AA757" i="112"/>
  <c r="AC757" i="112"/>
  <c r="I757" i="112" s="1"/>
  <c r="AB468" i="112"/>
  <c r="AB465" i="112"/>
  <c r="AB473" i="112"/>
  <c r="AB464" i="112"/>
  <c r="AB466" i="112"/>
  <c r="AB474" i="112"/>
  <c r="AB467" i="112"/>
  <c r="AB463" i="112"/>
  <c r="D455" i="112"/>
  <c r="AC467" i="112"/>
  <c r="I467" i="112" s="1"/>
  <c r="AC468" i="112"/>
  <c r="I468" i="112" s="1"/>
  <c r="AC464" i="112"/>
  <c r="I464" i="112" s="1"/>
  <c r="AC465" i="112"/>
  <c r="I465" i="112" s="1"/>
  <c r="AC473" i="112"/>
  <c r="I473" i="112" s="1"/>
  <c r="AC463" i="112"/>
  <c r="I463" i="112" s="1"/>
  <c r="AC466" i="112"/>
  <c r="I466" i="112" s="1"/>
  <c r="AC474" i="112"/>
  <c r="I474" i="112" s="1"/>
  <c r="AA467" i="112"/>
  <c r="AA468" i="112"/>
  <c r="AA465" i="112"/>
  <c r="AA473" i="112"/>
  <c r="AA466" i="112"/>
  <c r="AA463" i="112"/>
  <c r="AA464" i="112"/>
  <c r="AA474" i="112"/>
  <c r="AA461" i="112"/>
  <c r="L461" i="112" s="1"/>
  <c r="AA470" i="112"/>
  <c r="L470" i="112" s="1"/>
  <c r="AA469" i="112"/>
  <c r="L469" i="112" s="1"/>
  <c r="AA472" i="112"/>
  <c r="L472" i="112" s="1"/>
  <c r="AA462" i="112"/>
  <c r="L462" i="112" s="1"/>
  <c r="AA471" i="112"/>
  <c r="L471" i="112" s="1"/>
  <c r="AB461" i="112"/>
  <c r="AB470" i="112"/>
  <c r="AB462" i="112"/>
  <c r="AB469" i="112"/>
  <c r="AB471" i="112"/>
  <c r="AB472" i="112"/>
  <c r="AC461" i="112"/>
  <c r="I461" i="112" s="1"/>
  <c r="AC470" i="112"/>
  <c r="I470" i="112" s="1"/>
  <c r="AC462" i="112"/>
  <c r="I462" i="112" s="1"/>
  <c r="AC471" i="112"/>
  <c r="I471" i="112" s="1"/>
  <c r="AC472" i="112"/>
  <c r="I472" i="112" s="1"/>
  <c r="AC469" i="112"/>
  <c r="I469" i="112" s="1"/>
  <c r="AA676" i="112"/>
  <c r="L676" i="112" s="1"/>
  <c r="AA537" i="112"/>
  <c r="AA538" i="112"/>
  <c r="AA18" i="112"/>
  <c r="AB155" i="112"/>
  <c r="AB456" i="112"/>
  <c r="AA155" i="112"/>
  <c r="H155" i="112" s="1"/>
  <c r="AA456" i="112"/>
  <c r="H456" i="112" s="1"/>
  <c r="AB295" i="112"/>
  <c r="AA684" i="112"/>
  <c r="L684" i="112" s="1"/>
  <c r="AA146" i="112"/>
  <c r="AA673" i="112"/>
  <c r="L673" i="112" s="1"/>
  <c r="AA12" i="112"/>
  <c r="AA611" i="112"/>
  <c r="AA604" i="112"/>
  <c r="AA613" i="112"/>
  <c r="AA606" i="112"/>
  <c r="AA615" i="112"/>
  <c r="AA608" i="112"/>
  <c r="AA617" i="112"/>
  <c r="AA610" i="112"/>
  <c r="AA603" i="112"/>
  <c r="AA612" i="112"/>
  <c r="AA605" i="112"/>
  <c r="AA607" i="112"/>
  <c r="AA614" i="112"/>
  <c r="AA616" i="112"/>
  <c r="AA609" i="112"/>
  <c r="M11" i="112"/>
  <c r="L11" i="112"/>
  <c r="H11" i="112"/>
  <c r="AB673" i="112"/>
  <c r="AB12" i="112"/>
  <c r="AB145" i="112"/>
  <c r="AB536" i="112"/>
  <c r="AB676" i="112"/>
  <c r="AB537" i="112"/>
  <c r="AB18" i="112"/>
  <c r="AB538" i="112"/>
  <c r="AA290" i="112"/>
  <c r="M290" i="112" s="1"/>
  <c r="AC290" i="112"/>
  <c r="I290" i="112" s="1"/>
  <c r="AB290" i="112"/>
  <c r="AA225" i="112"/>
  <c r="AA14" i="112"/>
  <c r="AA224" i="112"/>
  <c r="AA17" i="112"/>
  <c r="AA145" i="112"/>
  <c r="AA536" i="112"/>
  <c r="AC673" i="112"/>
  <c r="I673" i="112" s="1"/>
  <c r="AC12" i="112"/>
  <c r="I12" i="112" s="1"/>
  <c r="AB611" i="112"/>
  <c r="AB604" i="112"/>
  <c r="AB613" i="112"/>
  <c r="AB606" i="112"/>
  <c r="AB615" i="112"/>
  <c r="AB608" i="112"/>
  <c r="AB609" i="112"/>
  <c r="AB617" i="112"/>
  <c r="AB610" i="112"/>
  <c r="AB603" i="112"/>
  <c r="AB612" i="112"/>
  <c r="AB605" i="112"/>
  <c r="AB614" i="112"/>
  <c r="AB607" i="112"/>
  <c r="AB616" i="112"/>
  <c r="AC604" i="112"/>
  <c r="I604" i="112" s="1"/>
  <c r="AC613" i="112"/>
  <c r="I613" i="112" s="1"/>
  <c r="AC606" i="112"/>
  <c r="I606" i="112" s="1"/>
  <c r="AC615" i="112"/>
  <c r="I615" i="112" s="1"/>
  <c r="AC608" i="112"/>
  <c r="I608" i="112" s="1"/>
  <c r="AC609" i="112"/>
  <c r="I609" i="112" s="1"/>
  <c r="AC617" i="112"/>
  <c r="I617" i="112" s="1"/>
  <c r="AC610" i="112"/>
  <c r="I610" i="112" s="1"/>
  <c r="AC603" i="112"/>
  <c r="I603" i="112" s="1"/>
  <c r="AC612" i="112"/>
  <c r="I612" i="112" s="1"/>
  <c r="AC605" i="112"/>
  <c r="I605" i="112" s="1"/>
  <c r="AC614" i="112"/>
  <c r="I614" i="112" s="1"/>
  <c r="AC607" i="112"/>
  <c r="I607" i="112" s="1"/>
  <c r="AC616" i="112"/>
  <c r="I616" i="112" s="1"/>
  <c r="AC611" i="112"/>
  <c r="I611" i="112" s="1"/>
  <c r="AA316" i="112"/>
  <c r="L316" i="112" s="1"/>
  <c r="H147" i="112"/>
  <c r="M147" i="112"/>
  <c r="L147" i="112"/>
  <c r="AA618" i="112"/>
  <c r="AA620" i="112"/>
  <c r="AA622" i="112"/>
  <c r="AA624" i="112"/>
  <c r="AA619" i="112"/>
  <c r="AA621" i="112"/>
  <c r="AA623" i="112"/>
  <c r="AC620" i="112"/>
  <c r="I620" i="112" s="1"/>
  <c r="AC622" i="112"/>
  <c r="I622" i="112" s="1"/>
  <c r="AC624" i="112"/>
  <c r="I624" i="112" s="1"/>
  <c r="AC619" i="112"/>
  <c r="I619" i="112" s="1"/>
  <c r="AC621" i="112"/>
  <c r="I621" i="112" s="1"/>
  <c r="AC623" i="112"/>
  <c r="I623" i="112" s="1"/>
  <c r="AC618" i="112"/>
  <c r="I618" i="112" s="1"/>
  <c r="AB684" i="112"/>
  <c r="AB146" i="112"/>
  <c r="AC145" i="112"/>
  <c r="I145" i="112" s="1"/>
  <c r="AC536" i="112"/>
  <c r="I536" i="112" s="1"/>
  <c r="AB620" i="112"/>
  <c r="AB622" i="112"/>
  <c r="AB624" i="112"/>
  <c r="AB619" i="112"/>
  <c r="AB621" i="112"/>
  <c r="AB623" i="112"/>
  <c r="AB618" i="112"/>
  <c r="AC684" i="112"/>
  <c r="I684" i="112" s="1"/>
  <c r="AC146" i="112"/>
  <c r="I146" i="112" s="1"/>
  <c r="AC155" i="112"/>
  <c r="I155" i="112" s="1"/>
  <c r="AC456" i="112"/>
  <c r="I456" i="112" s="1"/>
  <c r="AC225" i="112"/>
  <c r="I225" i="112" s="1"/>
  <c r="AC14" i="112"/>
  <c r="I14" i="112" s="1"/>
  <c r="AC224" i="112"/>
  <c r="I224" i="112" s="1"/>
  <c r="AC17" i="112"/>
  <c r="I17" i="112" s="1"/>
  <c r="AC316" i="112"/>
  <c r="I316" i="112" s="1"/>
  <c r="AB17" i="112"/>
  <c r="AB225" i="112"/>
  <c r="AB14" i="112"/>
  <c r="AB224" i="112"/>
  <c r="AC295" i="112"/>
  <c r="I295" i="112" s="1"/>
  <c r="AC676" i="112"/>
  <c r="I676" i="112" s="1"/>
  <c r="AC537" i="112"/>
  <c r="I537" i="112" s="1"/>
  <c r="AA295" i="112"/>
  <c r="M295" i="112" s="1"/>
  <c r="AB316" i="112"/>
  <c r="AC538" i="112"/>
  <c r="I538" i="112" s="1"/>
  <c r="AC18" i="112"/>
  <c r="I18" i="112" s="1"/>
  <c r="L341" i="112"/>
  <c r="M341" i="112"/>
  <c r="L329" i="112"/>
  <c r="M329" i="112"/>
  <c r="M709" i="112"/>
  <c r="L709" i="112"/>
  <c r="BI218" i="143" s="1"/>
  <c r="L237" i="112"/>
  <c r="BI226" i="143" s="1"/>
  <c r="M237" i="112"/>
  <c r="L674" i="112"/>
  <c r="M674" i="112"/>
  <c r="M724" i="112"/>
  <c r="L724" i="112"/>
  <c r="L292" i="112"/>
  <c r="M292" i="112"/>
  <c r="L244" i="112"/>
  <c r="BI224" i="143" s="1"/>
  <c r="M244" i="112"/>
  <c r="L579" i="112"/>
  <c r="M579" i="112"/>
  <c r="L247" i="112"/>
  <c r="BI225" i="143" s="1"/>
  <c r="M247" i="112"/>
  <c r="L541" i="112"/>
  <c r="M541" i="112"/>
  <c r="L667" i="112"/>
  <c r="M667" i="112"/>
  <c r="M639" i="112"/>
  <c r="L639" i="112"/>
  <c r="L454" i="112"/>
  <c r="BI106" i="142" s="1"/>
  <c r="M454" i="112"/>
  <c r="M520" i="112"/>
  <c r="L520" i="112"/>
  <c r="L737" i="112"/>
  <c r="M737" i="112"/>
  <c r="M703" i="112"/>
  <c r="L703" i="112"/>
  <c r="H703" i="112"/>
  <c r="L340" i="112"/>
  <c r="BI228" i="143" s="1"/>
  <c r="M340" i="112"/>
  <c r="M521" i="112"/>
  <c r="L521" i="112"/>
  <c r="L175" i="112"/>
  <c r="M175" i="112"/>
  <c r="L668" i="112"/>
  <c r="M668" i="112"/>
  <c r="L707" i="112"/>
  <c r="BI220" i="143" s="1"/>
  <c r="M707" i="112"/>
  <c r="L583" i="112"/>
  <c r="M583" i="112"/>
  <c r="M174" i="112"/>
  <c r="L174" i="112"/>
  <c r="L650" i="112"/>
  <c r="M650" i="112"/>
  <c r="L531" i="112"/>
  <c r="M531" i="112"/>
  <c r="AB723" i="112"/>
  <c r="AB743" i="112"/>
  <c r="AB744" i="112"/>
  <c r="AB742" i="112"/>
  <c r="AB746" i="112"/>
  <c r="AB745" i="112"/>
  <c r="AC260" i="112"/>
  <c r="I260" i="112" s="1"/>
  <c r="AC588" i="112"/>
  <c r="I588" i="112" s="1"/>
  <c r="BG89" i="161" s="1"/>
  <c r="P229" i="166" s="1"/>
  <c r="AC590" i="112"/>
  <c r="I590" i="112" s="1"/>
  <c r="BG90" i="161" s="1"/>
  <c r="P231" i="166" s="1"/>
  <c r="AA723" i="112"/>
  <c r="AA744" i="112"/>
  <c r="L744" i="112" s="1"/>
  <c r="AA742" i="112"/>
  <c r="L742" i="112" s="1"/>
  <c r="AA745" i="112"/>
  <c r="L745" i="112" s="1"/>
  <c r="AA743" i="112"/>
  <c r="L743" i="112" s="1"/>
  <c r="AA746" i="112"/>
  <c r="L746" i="112" s="1"/>
  <c r="F14" i="133"/>
  <c r="F13" i="133"/>
  <c r="F8" i="133"/>
  <c r="B40" i="133" s="1"/>
  <c r="C40" i="133" s="1"/>
  <c r="F9" i="133"/>
  <c r="B41" i="133" s="1"/>
  <c r="C41" i="133" s="1"/>
  <c r="AC723" i="112"/>
  <c r="I723" i="112" s="1"/>
  <c r="AC746" i="112"/>
  <c r="I746" i="112" s="1"/>
  <c r="AC744" i="112"/>
  <c r="I744" i="112" s="1"/>
  <c r="AC743" i="112"/>
  <c r="I743" i="112" s="1"/>
  <c r="AC742" i="112"/>
  <c r="I742" i="112" s="1"/>
  <c r="AC745" i="112"/>
  <c r="I745" i="112" s="1"/>
  <c r="AB260" i="112"/>
  <c r="AB588" i="112"/>
  <c r="AB590" i="112"/>
  <c r="AA260" i="112"/>
  <c r="H260" i="112" s="1"/>
  <c r="AA590" i="112"/>
  <c r="M590" i="112" s="1"/>
  <c r="AA588" i="112"/>
  <c r="D102" i="133" a="1"/>
  <c r="D102" i="133" s="1"/>
  <c r="K102" i="133" s="1"/>
  <c r="J33" i="205" s="1"/>
  <c r="D99" i="133" a="1"/>
  <c r="D99" i="133" s="1"/>
  <c r="K99" i="133" s="1"/>
  <c r="J30" i="205" s="1"/>
  <c r="D98" i="133" a="1"/>
  <c r="D98" i="133" s="1"/>
  <c r="K98" i="133" s="1"/>
  <c r="J29" i="205" s="1"/>
  <c r="D101" i="133" a="1"/>
  <c r="D101" i="133" s="1"/>
  <c r="K101" i="133" s="1"/>
  <c r="J32" i="205" s="1"/>
  <c r="D103" i="133" a="1"/>
  <c r="D103" i="133" s="1"/>
  <c r="K103" i="133" s="1"/>
  <c r="J34" i="205" s="1"/>
  <c r="D100" i="133" a="1"/>
  <c r="D100" i="133" s="1"/>
  <c r="K100" i="133" s="1"/>
  <c r="J31" i="205" s="1"/>
  <c r="D9" i="133"/>
  <c r="D8" i="133"/>
  <c r="B38" i="133"/>
  <c r="C38" i="133" s="1"/>
  <c r="B37" i="133"/>
  <c r="C37" i="133" s="1"/>
  <c r="E12" i="133"/>
  <c r="B36" i="133"/>
  <c r="C36" i="133" s="1"/>
  <c r="E6" i="133"/>
  <c r="D12" i="133"/>
  <c r="B39" i="133"/>
  <c r="C39" i="133" s="1"/>
  <c r="E9" i="133"/>
  <c r="E8" i="133"/>
  <c r="E13" i="133"/>
  <c r="E14" i="133"/>
  <c r="E7" i="133"/>
  <c r="AC226" i="112"/>
  <c r="I226" i="112" s="1"/>
  <c r="BG221" i="143" s="1"/>
  <c r="P37" i="166" s="1"/>
  <c r="B87" i="133"/>
  <c r="C87" i="133" s="1"/>
  <c r="AB226" i="112"/>
  <c r="E16" i="133"/>
  <c r="AA226" i="112"/>
  <c r="L226" i="112" s="1"/>
  <c r="D16" i="133"/>
  <c r="D6" i="133"/>
  <c r="E5" i="133"/>
  <c r="D5" i="133"/>
  <c r="D4" i="133"/>
  <c r="B93" i="133"/>
  <c r="C93" i="133" s="1"/>
  <c r="D24" i="205" s="1"/>
  <c r="B97" i="133"/>
  <c r="C97" i="133" s="1"/>
  <c r="D28" i="205" s="1"/>
  <c r="B96" i="133"/>
  <c r="C96" i="133" s="1"/>
  <c r="D27" i="205" s="1"/>
  <c r="B92" i="133"/>
  <c r="C92" i="133" s="1"/>
  <c r="D23" i="205" s="1"/>
  <c r="B94" i="133"/>
  <c r="C94" i="133" s="1"/>
  <c r="D25" i="205" s="1"/>
  <c r="B95" i="133"/>
  <c r="C95" i="133" s="1"/>
  <c r="D26" i="205" s="1"/>
  <c r="D7" i="133"/>
  <c r="E4" i="133"/>
  <c r="B99" i="133"/>
  <c r="C99" i="133" s="1"/>
  <c r="D30" i="205" s="1"/>
  <c r="B100" i="133"/>
  <c r="C100" i="133" s="1"/>
  <c r="D31" i="205" s="1"/>
  <c r="B103" i="133"/>
  <c r="C103" i="133" s="1"/>
  <c r="D34" i="205" s="1"/>
  <c r="B98" i="133"/>
  <c r="C98" i="133" s="1"/>
  <c r="D29" i="205" s="1"/>
  <c r="B102" i="133"/>
  <c r="C102" i="133" s="1"/>
  <c r="D33" i="205" s="1"/>
  <c r="B101" i="133"/>
  <c r="C101" i="133" s="1"/>
  <c r="D32" i="205" s="1"/>
  <c r="B82" i="133"/>
  <c r="C82" i="133" s="1"/>
  <c r="B81" i="133"/>
  <c r="C81" i="133" s="1"/>
  <c r="D13" i="133"/>
  <c r="D14" i="133"/>
  <c r="I340" i="112"/>
  <c r="BG228" i="143" s="1"/>
  <c r="AA173" i="112"/>
  <c r="AA176" i="112"/>
  <c r="H175" i="112"/>
  <c r="H174" i="112"/>
  <c r="AC173" i="112"/>
  <c r="I173" i="112" s="1"/>
  <c r="AC176" i="112"/>
  <c r="I176" i="112" s="1"/>
  <c r="AB173" i="112"/>
  <c r="AB176" i="112"/>
  <c r="AC165" i="112"/>
  <c r="I165" i="112" s="1"/>
  <c r="AC167" i="112"/>
  <c r="I167" i="112" s="1"/>
  <c r="AC168" i="112"/>
  <c r="I168" i="112" s="1"/>
  <c r="AC164" i="112"/>
  <c r="I164" i="112" s="1"/>
  <c r="AC163" i="112"/>
  <c r="I163" i="112" s="1"/>
  <c r="AC166" i="112"/>
  <c r="I166" i="112" s="1"/>
  <c r="AC161" i="112"/>
  <c r="I161" i="112" s="1"/>
  <c r="AC169" i="112"/>
  <c r="I169" i="112" s="1"/>
  <c r="AC170" i="112"/>
  <c r="I170" i="112" s="1"/>
  <c r="AC162" i="112"/>
  <c r="I162" i="112" s="1"/>
  <c r="AB165" i="112"/>
  <c r="AB168" i="112"/>
  <c r="AB163" i="112"/>
  <c r="AB166" i="112"/>
  <c r="AB164" i="112"/>
  <c r="AB161" i="112"/>
  <c r="AB169" i="112"/>
  <c r="AB170" i="112"/>
  <c r="AB167" i="112"/>
  <c r="AB162" i="112"/>
  <c r="AC171" i="112"/>
  <c r="I171" i="112" s="1"/>
  <c r="AC177" i="112"/>
  <c r="I177" i="112" s="1"/>
  <c r="AC172" i="112"/>
  <c r="I172" i="112" s="1"/>
  <c r="AA168" i="112"/>
  <c r="AA165" i="112"/>
  <c r="AA163" i="112"/>
  <c r="AA166" i="112"/>
  <c r="AA161" i="112"/>
  <c r="AA169" i="112"/>
  <c r="AA164" i="112"/>
  <c r="AA167" i="112"/>
  <c r="AA170" i="112"/>
  <c r="AA162" i="112"/>
  <c r="AA171" i="112"/>
  <c r="AA177" i="112"/>
  <c r="AA172" i="112"/>
  <c r="AB171" i="112"/>
  <c r="AB177" i="112"/>
  <c r="AB172" i="112"/>
  <c r="AA199" i="112"/>
  <c r="AA160" i="112"/>
  <c r="AC199" i="112"/>
  <c r="AC160" i="112"/>
  <c r="I160" i="112" s="1"/>
  <c r="AB199" i="112"/>
  <c r="AB160" i="112"/>
  <c r="AC151" i="112"/>
  <c r="I151" i="112" s="1"/>
  <c r="AC152" i="112"/>
  <c r="I152" i="112" s="1"/>
  <c r="AC153" i="112"/>
  <c r="I153" i="112" s="1"/>
  <c r="AC159" i="112"/>
  <c r="I159" i="112" s="1"/>
  <c r="AC154" i="112"/>
  <c r="I154" i="112" s="1"/>
  <c r="AA153" i="112"/>
  <c r="AA152" i="112"/>
  <c r="AA159" i="112"/>
  <c r="AA154" i="112"/>
  <c r="AA151" i="112"/>
  <c r="AB152" i="112"/>
  <c r="AB153" i="112"/>
  <c r="AB159" i="112"/>
  <c r="AB154" i="112"/>
  <c r="AB151" i="112"/>
  <c r="AA157" i="112"/>
  <c r="AA156" i="112"/>
  <c r="AA158" i="112"/>
  <c r="AB157" i="112"/>
  <c r="AB158" i="112"/>
  <c r="AB156" i="112"/>
  <c r="AC157" i="112"/>
  <c r="I157" i="112" s="1"/>
  <c r="AC156" i="112"/>
  <c r="I156" i="112" s="1"/>
  <c r="AC158" i="112"/>
  <c r="I158" i="112" s="1"/>
  <c r="AC73" i="112"/>
  <c r="AC74" i="112"/>
  <c r="AA73" i="112"/>
  <c r="AA74" i="112"/>
  <c r="H531" i="112"/>
  <c r="AB73" i="112"/>
  <c r="AB74" i="112"/>
  <c r="AC528" i="112"/>
  <c r="I528" i="112" s="1"/>
  <c r="AC529" i="112"/>
  <c r="I529" i="112" s="1"/>
  <c r="AC530" i="112"/>
  <c r="I530" i="112" s="1"/>
  <c r="AA528" i="112"/>
  <c r="AA529" i="112"/>
  <c r="AA530" i="112"/>
  <c r="AB528" i="112"/>
  <c r="AB530" i="112"/>
  <c r="AB529" i="112"/>
  <c r="AB150" i="112"/>
  <c r="AB148" i="112"/>
  <c r="AB149" i="112"/>
  <c r="AC149" i="112"/>
  <c r="I149" i="112" s="1"/>
  <c r="AC148" i="112"/>
  <c r="I148" i="112" s="1"/>
  <c r="AC150" i="112"/>
  <c r="I150" i="112" s="1"/>
  <c r="AA150" i="112"/>
  <c r="AA149" i="112"/>
  <c r="AA148" i="112"/>
  <c r="AA669" i="112"/>
  <c r="AA720" i="112"/>
  <c r="AA719" i="112"/>
  <c r="AA722" i="112"/>
  <c r="AA721" i="112"/>
  <c r="AA718" i="112"/>
  <c r="AC669" i="112"/>
  <c r="I669" i="112" s="1"/>
  <c r="AC721" i="112"/>
  <c r="I721" i="112" s="1"/>
  <c r="AC719" i="112"/>
  <c r="I719" i="112" s="1"/>
  <c r="AC722" i="112"/>
  <c r="I722" i="112" s="1"/>
  <c r="AC718" i="112"/>
  <c r="I718" i="112" s="1"/>
  <c r="AC720" i="112"/>
  <c r="I720" i="112" s="1"/>
  <c r="AB669" i="112"/>
  <c r="AB718" i="112"/>
  <c r="AB719" i="112"/>
  <c r="AB722" i="112"/>
  <c r="AB721" i="112"/>
  <c r="AB720" i="112"/>
  <c r="AC716" i="112"/>
  <c r="I716" i="112" s="1"/>
  <c r="AC725" i="112"/>
  <c r="I725" i="112" s="1"/>
  <c r="AC717" i="112"/>
  <c r="I717" i="112" s="1"/>
  <c r="AC727" i="112"/>
  <c r="I727" i="112" s="1"/>
  <c r="AC726" i="112"/>
  <c r="I726" i="112" s="1"/>
  <c r="AA727" i="112"/>
  <c r="AA717" i="112"/>
  <c r="AA725" i="112"/>
  <c r="AA726" i="112"/>
  <c r="AA716" i="112"/>
  <c r="AB716" i="112"/>
  <c r="AB727" i="112"/>
  <c r="AB717" i="112"/>
  <c r="AB725" i="112"/>
  <c r="AB726" i="112"/>
  <c r="AA696" i="112"/>
  <c r="AA702" i="112"/>
  <c r="AA699" i="112"/>
  <c r="AA695" i="112"/>
  <c r="AA701" i="112"/>
  <c r="AB696" i="112"/>
  <c r="AB702" i="112"/>
  <c r="AB699" i="112"/>
  <c r="AB695" i="112"/>
  <c r="AB701" i="112"/>
  <c r="AC702" i="112"/>
  <c r="I702" i="112" s="1"/>
  <c r="AC696" i="112"/>
  <c r="I696" i="112" s="1"/>
  <c r="AC699" i="112"/>
  <c r="I699" i="112" s="1"/>
  <c r="AC695" i="112"/>
  <c r="I695" i="112" s="1"/>
  <c r="AC701" i="112"/>
  <c r="I701" i="112" s="1"/>
  <c r="H673" i="112"/>
  <c r="AC293" i="112"/>
  <c r="I293" i="112" s="1"/>
  <c r="AC672" i="112"/>
  <c r="I672" i="112" s="1"/>
  <c r="AC670" i="112"/>
  <c r="I670" i="112" s="1"/>
  <c r="AC671" i="112"/>
  <c r="I671" i="112" s="1"/>
  <c r="AA293" i="112"/>
  <c r="AA672" i="112"/>
  <c r="AA671" i="112"/>
  <c r="AA670" i="112"/>
  <c r="AB293" i="112"/>
  <c r="AB671" i="112"/>
  <c r="AB672" i="112"/>
  <c r="AB670" i="112"/>
  <c r="H668" i="112"/>
  <c r="AA190" i="112"/>
  <c r="AA693" i="112"/>
  <c r="AA692" i="112"/>
  <c r="AA638" i="112"/>
  <c r="AA698" i="112"/>
  <c r="AB190" i="112"/>
  <c r="AB693" i="112"/>
  <c r="AB692" i="112"/>
  <c r="AC190" i="112"/>
  <c r="AC693" i="112"/>
  <c r="I693" i="112" s="1"/>
  <c r="AC692" i="112"/>
  <c r="I692" i="112" s="1"/>
  <c r="AB638" i="112"/>
  <c r="AB698" i="112"/>
  <c r="AC638" i="112"/>
  <c r="I638" i="112" s="1"/>
  <c r="AC698" i="112"/>
  <c r="I698" i="112" s="1"/>
  <c r="AA580" i="112"/>
  <c r="AA294" i="112"/>
  <c r="AC580" i="112"/>
  <c r="I580" i="112" s="1"/>
  <c r="AC294" i="112"/>
  <c r="I294" i="112" s="1"/>
  <c r="AB580" i="112"/>
  <c r="AB294" i="112"/>
  <c r="AC661" i="112"/>
  <c r="I661" i="112" s="1"/>
  <c r="AA661" i="112"/>
  <c r="H661" i="112" s="1"/>
  <c r="AB661" i="112"/>
  <c r="H292" i="112"/>
  <c r="AA192" i="112"/>
  <c r="AA193" i="112"/>
  <c r="AC192" i="112"/>
  <c r="AC193" i="112"/>
  <c r="AB192" i="112"/>
  <c r="AB193" i="112"/>
  <c r="AA55" i="112"/>
  <c r="AA198" i="112"/>
  <c r="AB55" i="112"/>
  <c r="AB198" i="112"/>
  <c r="AC55" i="112"/>
  <c r="I55" i="112" s="1"/>
  <c r="AC198" i="112"/>
  <c r="AC200" i="112"/>
  <c r="AC191" i="112"/>
  <c r="AA200" i="112"/>
  <c r="AA191" i="112"/>
  <c r="AB200" i="112"/>
  <c r="AB191" i="112"/>
  <c r="AC65" i="112"/>
  <c r="I65" i="112" s="1"/>
  <c r="AC222" i="112"/>
  <c r="AB65" i="112"/>
  <c r="AB222" i="112"/>
  <c r="AA65" i="112"/>
  <c r="AA222" i="112"/>
  <c r="AC71" i="112"/>
  <c r="AC287" i="112"/>
  <c r="I287" i="112" s="1"/>
  <c r="AC303" i="112"/>
  <c r="I303" i="112" s="1"/>
  <c r="AB71" i="112"/>
  <c r="AB287" i="112"/>
  <c r="AB303" i="112"/>
  <c r="AA71" i="112"/>
  <c r="L71" i="112" s="1"/>
  <c r="AA287" i="112"/>
  <c r="AA303" i="112"/>
  <c r="AB286" i="112"/>
  <c r="AB302" i="112"/>
  <c r="AC302" i="112"/>
  <c r="I302" i="112" s="1"/>
  <c r="AC286" i="112"/>
  <c r="I286" i="112" s="1"/>
  <c r="AA286" i="112"/>
  <c r="AA302" i="112"/>
  <c r="AC578" i="112"/>
  <c r="I578" i="112" s="1"/>
  <c r="AC576" i="112"/>
  <c r="I576" i="112" s="1"/>
  <c r="AC70" i="112"/>
  <c r="AC69" i="112"/>
  <c r="AC577" i="112"/>
  <c r="I577" i="112" s="1"/>
  <c r="AC76" i="112"/>
  <c r="AC72" i="112"/>
  <c r="AC75" i="112"/>
  <c r="AA69" i="112"/>
  <c r="AA576" i="112"/>
  <c r="H576" i="112" s="1"/>
  <c r="AA70" i="112"/>
  <c r="L70" i="112" s="1"/>
  <c r="AA578" i="112"/>
  <c r="AA577" i="112"/>
  <c r="AB64" i="112"/>
  <c r="AB578" i="112"/>
  <c r="AB69" i="112"/>
  <c r="AB576" i="112"/>
  <c r="AB70" i="112"/>
  <c r="AB577" i="112"/>
  <c r="AB75" i="112"/>
  <c r="AB76" i="112"/>
  <c r="AB72" i="112"/>
  <c r="AC68" i="112"/>
  <c r="AC67" i="112"/>
  <c r="AB68" i="112"/>
  <c r="AB67" i="112"/>
  <c r="H579" i="112"/>
  <c r="AA64" i="112"/>
  <c r="AC64" i="112"/>
  <c r="I64" i="112" s="1"/>
  <c r="AA75" i="112"/>
  <c r="AA76" i="112"/>
  <c r="AA72" i="112"/>
  <c r="AA67" i="112"/>
  <c r="AA68" i="112"/>
  <c r="AA291" i="112"/>
  <c r="AA289" i="112"/>
  <c r="AB289" i="112"/>
  <c r="AB291" i="112"/>
  <c r="AC289" i="112"/>
  <c r="I289" i="112" s="1"/>
  <c r="AC291" i="112"/>
  <c r="I291" i="112" s="1"/>
  <c r="H583" i="112"/>
  <c r="D479" i="112"/>
  <c r="H341" i="112"/>
  <c r="AB640" i="112"/>
  <c r="AB642" i="112"/>
  <c r="AB641" i="112"/>
  <c r="AA640" i="112"/>
  <c r="AA642" i="112"/>
  <c r="AA641" i="112"/>
  <c r="AC662" i="112"/>
  <c r="I662" i="112" s="1"/>
  <c r="AC705" i="112"/>
  <c r="I705" i="112" s="1"/>
  <c r="BG219" i="143" s="1"/>
  <c r="AA749" i="112"/>
  <c r="AA759" i="112"/>
  <c r="AA741" i="112"/>
  <c r="AA750" i="112"/>
  <c r="AA651" i="112"/>
  <c r="AA747" i="112"/>
  <c r="AA751" i="112"/>
  <c r="AA748" i="112"/>
  <c r="AC20" i="112"/>
  <c r="I20" i="112" s="1"/>
  <c r="AC26" i="112"/>
  <c r="I26" i="112" s="1"/>
  <c r="AC205" i="112"/>
  <c r="I205" i="112" s="1"/>
  <c r="AC238" i="112"/>
  <c r="I238" i="112" s="1"/>
  <c r="AC23" i="112"/>
  <c r="I23" i="112" s="1"/>
  <c r="AC36" i="112"/>
  <c r="I36" i="112" s="1"/>
  <c r="AC60" i="112"/>
  <c r="I60" i="112" s="1"/>
  <c r="AC241" i="112"/>
  <c r="I241" i="112" s="1"/>
  <c r="AC28" i="112"/>
  <c r="I28" i="112" s="1"/>
  <c r="AC42" i="112"/>
  <c r="I42" i="112" s="1"/>
  <c r="AC208" i="112"/>
  <c r="I208" i="112" s="1"/>
  <c r="AC5" i="112"/>
  <c r="I5" i="112" s="1"/>
  <c r="AC180" i="112"/>
  <c r="I180" i="112" s="1"/>
  <c r="AC253" i="112"/>
  <c r="I253" i="112" s="1"/>
  <c r="AC183" i="112"/>
  <c r="I183" i="112" s="1"/>
  <c r="AC19" i="112"/>
  <c r="I19" i="112" s="1"/>
  <c r="AC59" i="112"/>
  <c r="I59" i="112" s="1"/>
  <c r="AC201" i="112"/>
  <c r="I201" i="112" s="1"/>
  <c r="AC204" i="112"/>
  <c r="I204" i="112" s="1"/>
  <c r="AC22" i="112"/>
  <c r="I22" i="112" s="1"/>
  <c r="AC35" i="112"/>
  <c r="I35" i="112" s="1"/>
  <c r="AC137" i="112"/>
  <c r="I137" i="112" s="1"/>
  <c r="AC140" i="112"/>
  <c r="I140" i="112" s="1"/>
  <c r="AC240" i="112"/>
  <c r="I240" i="112" s="1"/>
  <c r="AC25" i="112"/>
  <c r="I25" i="112" s="1"/>
  <c r="AC38" i="112"/>
  <c r="I38" i="112" s="1"/>
  <c r="AC143" i="112"/>
  <c r="I143" i="112" s="1"/>
  <c r="AC243" i="112"/>
  <c r="I243" i="112" s="1"/>
  <c r="AC210" i="112"/>
  <c r="I210" i="112" s="1"/>
  <c r="AC246" i="112"/>
  <c r="I246" i="112" s="1"/>
  <c r="AC27" i="112"/>
  <c r="I27" i="112" s="1"/>
  <c r="AC52" i="112"/>
  <c r="I52" i="112" s="1"/>
  <c r="AC58" i="112"/>
  <c r="I58" i="112" s="1"/>
  <c r="AC182" i="112"/>
  <c r="I182" i="112" s="1"/>
  <c r="AC21" i="112"/>
  <c r="I21" i="112" s="1"/>
  <c r="AC34" i="112"/>
  <c r="I34" i="112" s="1"/>
  <c r="AC136" i="112"/>
  <c r="I136" i="112" s="1"/>
  <c r="AC206" i="112"/>
  <c r="I206" i="112" s="1"/>
  <c r="AC216" i="112"/>
  <c r="I216" i="112" s="1"/>
  <c r="AC239" i="112"/>
  <c r="I239" i="112" s="1"/>
  <c r="AC24" i="112"/>
  <c r="I24" i="112" s="1"/>
  <c r="AC37" i="112"/>
  <c r="I37" i="112" s="1"/>
  <c r="AC40" i="112"/>
  <c r="I40" i="112" s="1"/>
  <c r="AC139" i="112"/>
  <c r="I139" i="112" s="1"/>
  <c r="AC242" i="112"/>
  <c r="I242" i="112" s="1"/>
  <c r="AC43" i="112"/>
  <c r="I43" i="112" s="1"/>
  <c r="AC61" i="112"/>
  <c r="I61" i="112" s="1"/>
  <c r="AC209" i="112"/>
  <c r="I209" i="112" s="1"/>
  <c r="AC245" i="112"/>
  <c r="I245" i="112" s="1"/>
  <c r="AC8" i="112"/>
  <c r="I8" i="112" s="1"/>
  <c r="AC29" i="112"/>
  <c r="I29" i="112" s="1"/>
  <c r="AC181" i="112"/>
  <c r="I181" i="112" s="1"/>
  <c r="AC196" i="112"/>
  <c r="I196" i="112" s="1"/>
  <c r="AC248" i="112"/>
  <c r="I248" i="112" s="1"/>
  <c r="AC249" i="112"/>
  <c r="I249" i="112" s="1"/>
  <c r="AC282" i="112"/>
  <c r="I282" i="112" s="1"/>
  <c r="AC338" i="112"/>
  <c r="I338" i="112" s="1"/>
  <c r="AC571" i="112"/>
  <c r="I571" i="112" s="1"/>
  <c r="AC184" i="112"/>
  <c r="I184" i="112" s="1"/>
  <c r="AC285" i="112"/>
  <c r="I285" i="112" s="1"/>
  <c r="AC574" i="112"/>
  <c r="I574" i="112" s="1"/>
  <c r="AC15" i="112"/>
  <c r="I15" i="112" s="1"/>
  <c r="AC185" i="112"/>
  <c r="I185" i="112" s="1"/>
  <c r="AC325" i="112"/>
  <c r="I325" i="112" s="1"/>
  <c r="AC677" i="112"/>
  <c r="I677" i="112" s="1"/>
  <c r="AC762" i="112"/>
  <c r="AC764" i="112"/>
  <c r="AC766" i="112"/>
  <c r="AC768" i="112"/>
  <c r="AC770" i="112"/>
  <c r="AC772" i="112"/>
  <c r="AC774" i="112"/>
  <c r="AC776" i="112"/>
  <c r="AC778" i="112"/>
  <c r="AC271" i="112"/>
  <c r="I271" i="112" s="1"/>
  <c r="AC297" i="112"/>
  <c r="I297" i="112" s="1"/>
  <c r="AC328" i="112"/>
  <c r="I328" i="112" s="1"/>
  <c r="AC447" i="112"/>
  <c r="I447" i="112" s="1"/>
  <c r="AC636" i="112"/>
  <c r="I636" i="112" s="1"/>
  <c r="AC706" i="112"/>
  <c r="I706" i="112" s="1"/>
  <c r="AC728" i="112"/>
  <c r="I728" i="112" s="1"/>
  <c r="AC235" i="112"/>
  <c r="I235" i="112" s="1"/>
  <c r="AC300" i="112"/>
  <c r="I300" i="112" s="1"/>
  <c r="AC460" i="112"/>
  <c r="I460" i="112" s="1"/>
  <c r="AC652" i="112"/>
  <c r="I652" i="112" s="1"/>
  <c r="BH237" i="164" s="1"/>
  <c r="P97" i="166" s="1"/>
  <c r="AC731" i="112"/>
  <c r="I731" i="112" s="1"/>
  <c r="AC281" i="112"/>
  <c r="I281" i="112" s="1"/>
  <c r="AC337" i="112"/>
  <c r="I337" i="112" s="1"/>
  <c r="AC453" i="112"/>
  <c r="I453" i="112" s="1"/>
  <c r="AC481" i="112"/>
  <c r="I481" i="112" s="1"/>
  <c r="AC570" i="112"/>
  <c r="I570" i="112" s="1"/>
  <c r="AC236" i="112"/>
  <c r="I236" i="112" s="1"/>
  <c r="AC284" i="112"/>
  <c r="I284" i="112" s="1"/>
  <c r="AC318" i="112"/>
  <c r="I318" i="112" s="1"/>
  <c r="AC573" i="112"/>
  <c r="I573" i="112" s="1"/>
  <c r="AC324" i="112"/>
  <c r="I324" i="112" s="1"/>
  <c r="AC486" i="112"/>
  <c r="I486" i="112" s="1"/>
  <c r="AC296" i="112"/>
  <c r="I296" i="112" s="1"/>
  <c r="AC327" i="112"/>
  <c r="I327" i="112" s="1"/>
  <c r="AC299" i="112"/>
  <c r="I299" i="112" s="1"/>
  <c r="AC333" i="112"/>
  <c r="I333" i="112" s="1"/>
  <c r="AC712" i="112"/>
  <c r="I712" i="112" s="1"/>
  <c r="AC730" i="112"/>
  <c r="I730" i="112" s="1"/>
  <c r="AC197" i="112"/>
  <c r="I197" i="112" s="1"/>
  <c r="AC258" i="112"/>
  <c r="I258" i="112" s="1"/>
  <c r="AC280" i="112"/>
  <c r="I280" i="112" s="1"/>
  <c r="AC336" i="112"/>
  <c r="I336" i="112" s="1"/>
  <c r="AC452" i="112"/>
  <c r="I452" i="112" s="1"/>
  <c r="AC569" i="112"/>
  <c r="I569" i="112" s="1"/>
  <c r="AC733" i="112"/>
  <c r="I733" i="112" s="1"/>
  <c r="AC763" i="112"/>
  <c r="AC765" i="112"/>
  <c r="AC767" i="112"/>
  <c r="AC769" i="112"/>
  <c r="AC771" i="112"/>
  <c r="AC773" i="112"/>
  <c r="AC775" i="112"/>
  <c r="AC777" i="112"/>
  <c r="AC779" i="112"/>
  <c r="AC283" i="112"/>
  <c r="I283" i="112" s="1"/>
  <c r="AC339" i="112"/>
  <c r="I339" i="112" s="1"/>
  <c r="AC572" i="112"/>
  <c r="I572" i="112" s="1"/>
  <c r="AC323" i="112"/>
  <c r="I323" i="112" s="1"/>
  <c r="AC575" i="112"/>
  <c r="I575" i="112" s="1"/>
  <c r="AC660" i="112"/>
  <c r="I660" i="112" s="1"/>
  <c r="AC326" i="112"/>
  <c r="I326" i="112" s="1"/>
  <c r="AC203" i="112"/>
  <c r="I203" i="112" s="1"/>
  <c r="AC298" i="112"/>
  <c r="I298" i="112" s="1"/>
  <c r="AC310" i="112"/>
  <c r="I310" i="112" s="1"/>
  <c r="AC475" i="112"/>
  <c r="I475" i="112" s="1"/>
  <c r="AC729" i="112"/>
  <c r="I729" i="112" s="1"/>
  <c r="AC263" i="112"/>
  <c r="I263" i="112" s="1"/>
  <c r="AC266" i="112"/>
  <c r="I266" i="112" s="1"/>
  <c r="AC269" i="112"/>
  <c r="I269" i="112" s="1"/>
  <c r="AC301" i="112"/>
  <c r="I301" i="112" s="1"/>
  <c r="AC335" i="112"/>
  <c r="I335" i="112" s="1"/>
  <c r="AC522" i="112"/>
  <c r="I522" i="112" s="1"/>
  <c r="AC732" i="112"/>
  <c r="I732" i="112" s="1"/>
  <c r="AC740" i="112"/>
  <c r="I740" i="112" s="1"/>
  <c r="BG92" i="161" s="1"/>
  <c r="P235" i="166" s="1"/>
  <c r="AC739" i="112"/>
  <c r="I739" i="112" s="1"/>
  <c r="BG94" i="161" s="1"/>
  <c r="P239" i="166" s="1"/>
  <c r="AC527" i="112"/>
  <c r="I527" i="112" s="1"/>
  <c r="AC526" i="112"/>
  <c r="I526" i="112" s="1"/>
  <c r="AB231" i="112"/>
  <c r="AB41" i="112"/>
  <c r="AB207" i="112"/>
  <c r="AB232" i="112"/>
  <c r="AB648" i="112"/>
  <c r="AB682" i="112"/>
  <c r="AB685" i="112"/>
  <c r="AB681" i="112"/>
  <c r="AB230" i="112"/>
  <c r="AA97" i="112"/>
  <c r="AA127" i="112"/>
  <c r="AA117" i="112"/>
  <c r="AA86" i="112"/>
  <c r="AA107" i="112"/>
  <c r="AC62" i="112"/>
  <c r="I62" i="112" s="1"/>
  <c r="AC220" i="112"/>
  <c r="I220" i="112" s="1"/>
  <c r="AC16" i="112"/>
  <c r="I16" i="112" s="1"/>
  <c r="AB138" i="112"/>
  <c r="AB250" i="112"/>
  <c r="AB179" i="112"/>
  <c r="AB142" i="112"/>
  <c r="AB178" i="112"/>
  <c r="AB567" i="112"/>
  <c r="AB679" i="112"/>
  <c r="AB459" i="112"/>
  <c r="AB568" i="112"/>
  <c r="AC33" i="112"/>
  <c r="I33" i="112" s="1"/>
  <c r="AC49" i="112"/>
  <c r="I49" i="112" s="1"/>
  <c r="AC644" i="112"/>
  <c r="I644" i="112" s="1"/>
  <c r="AC678" i="112"/>
  <c r="I678" i="112" s="1"/>
  <c r="AC229" i="112"/>
  <c r="I229" i="112" s="1"/>
  <c r="AC228" i="112"/>
  <c r="I228" i="112" s="1"/>
  <c r="AC227" i="112"/>
  <c r="I227" i="112" s="1"/>
  <c r="AA250" i="112"/>
  <c r="AA179" i="112"/>
  <c r="AA178" i="112"/>
  <c r="AA142" i="112"/>
  <c r="AA567" i="112"/>
  <c r="AA679" i="112"/>
  <c r="AA459" i="112"/>
  <c r="H459" i="112" s="1"/>
  <c r="AA568" i="112"/>
  <c r="AA138" i="112"/>
  <c r="AB49" i="112"/>
  <c r="AB33" i="112"/>
  <c r="AB644" i="112"/>
  <c r="AB678" i="112"/>
  <c r="AA539" i="112"/>
  <c r="AA542" i="112"/>
  <c r="AA540" i="112"/>
  <c r="AB591" i="112"/>
  <c r="AB647" i="112"/>
  <c r="AB593" i="112"/>
  <c r="AB738" i="112"/>
  <c r="H480" i="112"/>
  <c r="P259" i="166"/>
  <c r="G36" i="142"/>
  <c r="H761" i="112"/>
  <c r="N761" i="112"/>
  <c r="AC135" i="112"/>
  <c r="I135" i="112" s="1"/>
  <c r="AC128" i="112"/>
  <c r="I128" i="112" s="1"/>
  <c r="AC134" i="112"/>
  <c r="I134" i="112" s="1"/>
  <c r="AC132" i="112"/>
  <c r="I132" i="112" s="1"/>
  <c r="AC131" i="112"/>
  <c r="I131" i="112" s="1"/>
  <c r="AC130" i="112"/>
  <c r="I130" i="112" s="1"/>
  <c r="AC129" i="112"/>
  <c r="I129" i="112" s="1"/>
  <c r="AA600" i="112"/>
  <c r="AB128" i="112"/>
  <c r="AB134" i="112"/>
  <c r="AB132" i="112"/>
  <c r="AB130" i="112"/>
  <c r="AB129" i="112"/>
  <c r="AB131" i="112"/>
  <c r="AB135" i="112"/>
  <c r="AC753" i="112"/>
  <c r="I753" i="112" s="1"/>
  <c r="AC754" i="112"/>
  <c r="I754" i="112" s="1"/>
  <c r="AC755" i="112"/>
  <c r="I755" i="112" s="1"/>
  <c r="BG216" i="143" s="1"/>
  <c r="P27" i="166" s="1"/>
  <c r="AC592" i="112"/>
  <c r="I592" i="112" s="1"/>
  <c r="AC589" i="112"/>
  <c r="I589" i="112" s="1"/>
  <c r="AB581" i="112"/>
  <c r="AB582" i="112"/>
  <c r="AB705" i="112"/>
  <c r="AB662" i="112"/>
  <c r="H709" i="112"/>
  <c r="BE218" i="143" s="1"/>
  <c r="I90" i="143" s="1"/>
  <c r="AC382" i="112"/>
  <c r="I382" i="112" s="1"/>
  <c r="BG157" i="162" s="1"/>
  <c r="AC358" i="112"/>
  <c r="I358" i="112" s="1"/>
  <c r="AC760" i="112"/>
  <c r="I760" i="112" s="1"/>
  <c r="BG112" i="142" s="1"/>
  <c r="AC361" i="112"/>
  <c r="I361" i="112" s="1"/>
  <c r="BG161" i="162" s="1"/>
  <c r="AC384" i="112"/>
  <c r="I384" i="112" s="1"/>
  <c r="AC387" i="112"/>
  <c r="I387" i="112" s="1"/>
  <c r="BG162" i="162" s="1"/>
  <c r="AC375" i="112"/>
  <c r="I375" i="112" s="1"/>
  <c r="BG158" i="162" s="1"/>
  <c r="AC356" i="112"/>
  <c r="I356" i="112" s="1"/>
  <c r="BG156" i="162" s="1"/>
  <c r="AC377" i="112"/>
  <c r="I377" i="112" s="1"/>
  <c r="AC380" i="112"/>
  <c r="I380" i="112" s="1"/>
  <c r="BG163" i="162" s="1"/>
  <c r="AB45" i="112"/>
  <c r="AB2" i="112"/>
  <c r="AB66" i="112"/>
  <c r="AB47" i="112"/>
  <c r="AB44" i="112"/>
  <c r="AB4" i="112"/>
  <c r="AB223" i="112"/>
  <c r="AB3" i="112"/>
  <c r="AB254" i="112"/>
  <c r="AB48" i="112"/>
  <c r="AB585" i="112"/>
  <c r="AB686" i="112"/>
  <c r="AB46" i="112"/>
  <c r="AB584" i="112"/>
  <c r="AB736" i="112"/>
  <c r="AB586" i="112"/>
  <c r="AC735" i="112"/>
  <c r="I735" i="112" s="1"/>
  <c r="AC734" i="112"/>
  <c r="I734" i="112" s="1"/>
  <c r="BG227" i="143" s="1"/>
  <c r="AC476" i="112"/>
  <c r="I476" i="112" s="1"/>
  <c r="AC487" i="112"/>
  <c r="I487" i="112" s="1"/>
  <c r="AC489" i="112"/>
  <c r="I489" i="112" s="1"/>
  <c r="AC482" i="112"/>
  <c r="I482" i="112" s="1"/>
  <c r="AA358" i="112"/>
  <c r="L358" i="112" s="1"/>
  <c r="AA760" i="112"/>
  <c r="AA361" i="112"/>
  <c r="AA384" i="112"/>
  <c r="L384" i="112" s="1"/>
  <c r="AA387" i="112"/>
  <c r="AA375" i="112"/>
  <c r="AA356" i="112"/>
  <c r="AA377" i="112"/>
  <c r="L377" i="112" s="1"/>
  <c r="AA380" i="112"/>
  <c r="AA382" i="112"/>
  <c r="AB382" i="112"/>
  <c r="AB358" i="112"/>
  <c r="AB760" i="112"/>
  <c r="AB361" i="112"/>
  <c r="AB384" i="112"/>
  <c r="AB387" i="112"/>
  <c r="AB375" i="112"/>
  <c r="AB356" i="112"/>
  <c r="AB377" i="112"/>
  <c r="AB380" i="112"/>
  <c r="AC231" i="112"/>
  <c r="I231" i="112" s="1"/>
  <c r="AC41" i="112"/>
  <c r="I41" i="112" s="1"/>
  <c r="AC207" i="112"/>
  <c r="I207" i="112" s="1"/>
  <c r="AC232" i="112"/>
  <c r="I232" i="112" s="1"/>
  <c r="AC648" i="112"/>
  <c r="I648" i="112" s="1"/>
  <c r="AC682" i="112"/>
  <c r="I682" i="112" s="1"/>
  <c r="AC685" i="112"/>
  <c r="I685" i="112" s="1"/>
  <c r="AC681" i="112"/>
  <c r="I681" i="112" s="1"/>
  <c r="AC230" i="112"/>
  <c r="I230" i="112" s="1"/>
  <c r="H340" i="112"/>
  <c r="BE228" i="143" s="1"/>
  <c r="I162" i="143" s="1"/>
  <c r="AA10" i="112"/>
  <c r="AA50" i="112"/>
  <c r="M50" i="112" s="1"/>
  <c r="AA186" i="112"/>
  <c r="AA212" i="112"/>
  <c r="AA278" i="112"/>
  <c r="M278" i="112" s="1"/>
  <c r="AA715" i="112"/>
  <c r="AA756" i="112"/>
  <c r="AA39" i="112"/>
  <c r="AC363" i="112"/>
  <c r="I363" i="112" s="1"/>
  <c r="BG159" i="162" s="1"/>
  <c r="AC369" i="112"/>
  <c r="I369" i="112" s="1"/>
  <c r="AC349" i="112"/>
  <c r="I349" i="112" s="1"/>
  <c r="BG160" i="162" s="1"/>
  <c r="AC365" i="112"/>
  <c r="I365" i="112" s="1"/>
  <c r="AC368" i="112"/>
  <c r="I368" i="112" s="1"/>
  <c r="BG164" i="162" s="1"/>
  <c r="AC371" i="112"/>
  <c r="I371" i="112" s="1"/>
  <c r="AC374" i="112"/>
  <c r="I374" i="112" s="1"/>
  <c r="AC351" i="112"/>
  <c r="I351" i="112" s="1"/>
  <c r="AC354" i="112"/>
  <c r="I354" i="112" s="1"/>
  <c r="BG165" i="162" s="1"/>
  <c r="H674" i="112"/>
  <c r="AB97" i="112"/>
  <c r="AB127" i="112"/>
  <c r="AB117" i="112"/>
  <c r="AB86" i="112"/>
  <c r="AB107" i="112"/>
  <c r="AA594" i="112"/>
  <c r="AA646" i="112"/>
  <c r="AA598" i="112"/>
  <c r="AC748" i="112"/>
  <c r="I748" i="112" s="1"/>
  <c r="AC749" i="112"/>
  <c r="I749" i="112" s="1"/>
  <c r="AC759" i="112"/>
  <c r="AC741" i="112"/>
  <c r="I741" i="112" s="1"/>
  <c r="BG181" i="131" s="1"/>
  <c r="AC750" i="112"/>
  <c r="I750" i="112" s="1"/>
  <c r="AC651" i="112"/>
  <c r="AC747" i="112"/>
  <c r="I747" i="112" s="1"/>
  <c r="AC751" i="112"/>
  <c r="I751" i="112" s="1"/>
  <c r="BG215" i="143" s="1"/>
  <c r="H187" i="112"/>
  <c r="AA734" i="112"/>
  <c r="AA476" i="112"/>
  <c r="M476" i="112" s="1"/>
  <c r="AA735" i="112"/>
  <c r="AB533" i="112"/>
  <c r="AB532" i="112"/>
  <c r="G139" i="143"/>
  <c r="P45" i="166"/>
  <c r="AA344" i="112"/>
  <c r="AA343" i="112"/>
  <c r="AA342" i="112"/>
  <c r="AB592" i="112"/>
  <c r="AB589" i="112"/>
  <c r="AA582" i="112"/>
  <c r="AA581" i="112"/>
  <c r="AA363" i="112"/>
  <c r="AA369" i="112"/>
  <c r="AA349" i="112"/>
  <c r="AA365" i="112"/>
  <c r="L365" i="112" s="1"/>
  <c r="AA368" i="112"/>
  <c r="AA371" i="112"/>
  <c r="L371" i="112" s="1"/>
  <c r="AA374" i="112"/>
  <c r="AA351" i="112"/>
  <c r="L351" i="112" s="1"/>
  <c r="AA354" i="112"/>
  <c r="H244" i="112"/>
  <c r="BE224" i="143" s="1"/>
  <c r="I136" i="143" s="1"/>
  <c r="AA370" i="112"/>
  <c r="AA373" i="112"/>
  <c r="AA376" i="112"/>
  <c r="AA379" i="112"/>
  <c r="AA350" i="112"/>
  <c r="AA353" i="112"/>
  <c r="AA366" i="112"/>
  <c r="AA372" i="112"/>
  <c r="AA357" i="112"/>
  <c r="AA360" i="112"/>
  <c r="AA378" i="112"/>
  <c r="AA352" i="112"/>
  <c r="AA383" i="112"/>
  <c r="AA386" i="112"/>
  <c r="AA359" i="112"/>
  <c r="AA364" i="112"/>
  <c r="AA367" i="112"/>
  <c r="AA385" i="112"/>
  <c r="AA740" i="112"/>
  <c r="AA739" i="112"/>
  <c r="H237" i="112"/>
  <c r="BE226" i="143" s="1"/>
  <c r="I142" i="143" s="1"/>
  <c r="AB312" i="112"/>
  <c r="AB331" i="112"/>
  <c r="AB450" i="112"/>
  <c r="AB315" i="112"/>
  <c r="AB330" i="112"/>
  <c r="AB449" i="112"/>
  <c r="AB314" i="112"/>
  <c r="AB317" i="112"/>
  <c r="AB348" i="112"/>
  <c r="AB313" i="112"/>
  <c r="H484" i="112"/>
  <c r="AB363" i="112"/>
  <c r="AB369" i="112"/>
  <c r="AB349" i="112"/>
  <c r="AB365" i="112"/>
  <c r="AB368" i="112"/>
  <c r="AB371" i="112"/>
  <c r="AB374" i="112"/>
  <c r="AB351" i="112"/>
  <c r="AB354" i="112"/>
  <c r="H329" i="112"/>
  <c r="AA589" i="112"/>
  <c r="AA592" i="112"/>
  <c r="H478" i="112"/>
  <c r="F478" i="112" s="1"/>
  <c r="D478" i="112" s="1"/>
  <c r="AB487" i="112"/>
  <c r="AB489" i="112"/>
  <c r="AB482" i="112"/>
  <c r="H189" i="112"/>
  <c r="AC689" i="112"/>
  <c r="I689" i="112" s="1"/>
  <c r="AC688" i="112"/>
  <c r="I688" i="112" s="1"/>
  <c r="AC687" i="112"/>
  <c r="I687" i="112" s="1"/>
  <c r="AC97" i="112"/>
  <c r="I97" i="112" s="1"/>
  <c r="BG266" i="146" s="1"/>
  <c r="AC127" i="112"/>
  <c r="I127" i="112" s="1"/>
  <c r="BG263" i="146" s="1"/>
  <c r="AC117" i="112"/>
  <c r="I117" i="112" s="1"/>
  <c r="BG272" i="146" s="1"/>
  <c r="AC86" i="112"/>
  <c r="I86" i="112" s="1"/>
  <c r="BG260" i="146" s="1"/>
  <c r="AC107" i="112"/>
  <c r="I107" i="112" s="1"/>
  <c r="BG269" i="146" s="1"/>
  <c r="AB740" i="112"/>
  <c r="AB739" i="112"/>
  <c r="H247" i="112"/>
  <c r="BE225" i="143" s="1"/>
  <c r="I139" i="143" s="1"/>
  <c r="AB408" i="112"/>
  <c r="AB407" i="112"/>
  <c r="AB446" i="112"/>
  <c r="AB448" i="112"/>
  <c r="AA665" i="112"/>
  <c r="AA483" i="112"/>
  <c r="M483" i="112" s="1"/>
  <c r="AA488" i="112"/>
  <c r="M488" i="112" s="1"/>
  <c r="D458" i="112"/>
  <c r="N7" i="111" s="1"/>
  <c r="AB57" i="112"/>
  <c r="AB51" i="112"/>
  <c r="AB215" i="112"/>
  <c r="AB213" i="112"/>
  <c r="AA213" i="112"/>
  <c r="AA57" i="112"/>
  <c r="AA51" i="112"/>
  <c r="AA215" i="112"/>
  <c r="V7" i="112"/>
  <c r="F7" i="112"/>
  <c r="D7" i="112" s="1"/>
  <c r="AB319" i="112"/>
  <c r="AB402" i="112"/>
  <c r="AB418" i="112"/>
  <c r="AB441" i="112"/>
  <c r="AB306" i="112"/>
  <c r="AB405" i="112"/>
  <c r="AB421" i="112"/>
  <c r="AB444" i="112"/>
  <c r="AB309" i="112"/>
  <c r="AB347" i="112"/>
  <c r="AB424" i="112"/>
  <c r="AB431" i="112"/>
  <c r="AB334" i="112"/>
  <c r="AB392" i="112"/>
  <c r="AB411" i="112"/>
  <c r="AB427" i="112"/>
  <c r="AB434" i="112"/>
  <c r="AB395" i="112"/>
  <c r="AB398" i="112"/>
  <c r="AB414" i="112"/>
  <c r="AB430" i="112"/>
  <c r="AB437" i="112"/>
  <c r="AB401" i="112"/>
  <c r="AB417" i="112"/>
  <c r="AB440" i="112"/>
  <c r="AB305" i="112"/>
  <c r="AB321" i="112"/>
  <c r="AB404" i="112"/>
  <c r="AB420" i="112"/>
  <c r="AB443" i="112"/>
  <c r="AB308" i="112"/>
  <c r="AB346" i="112"/>
  <c r="AB423" i="112"/>
  <c r="AB311" i="112"/>
  <c r="AB391" i="112"/>
  <c r="AB410" i="112"/>
  <c r="AB426" i="112"/>
  <c r="AB433" i="112"/>
  <c r="AB394" i="112"/>
  <c r="AB413" i="112"/>
  <c r="AB429" i="112"/>
  <c r="AB436" i="112"/>
  <c r="AB397" i="112"/>
  <c r="AB400" i="112"/>
  <c r="AB416" i="112"/>
  <c r="AB439" i="112"/>
  <c r="AB304" i="112"/>
  <c r="AB320" i="112"/>
  <c r="AB403" i="112"/>
  <c r="AB419" i="112"/>
  <c r="AB442" i="112"/>
  <c r="AB307" i="112"/>
  <c r="AB345" i="112"/>
  <c r="AB406" i="112"/>
  <c r="AB422" i="112"/>
  <c r="AB445" i="112"/>
  <c r="AB390" i="112"/>
  <c r="AB409" i="112"/>
  <c r="AB425" i="112"/>
  <c r="AB432" i="112"/>
  <c r="AB393" i="112"/>
  <c r="AB412" i="112"/>
  <c r="AB428" i="112"/>
  <c r="AB435" i="112"/>
  <c r="AB451" i="112"/>
  <c r="AB396" i="112"/>
  <c r="AB399" i="112"/>
  <c r="AB415" i="112"/>
  <c r="AB438" i="112"/>
  <c r="AC564" i="112"/>
  <c r="I564" i="112" s="1"/>
  <c r="BH238" i="164" s="1"/>
  <c r="P99" i="166" s="1"/>
  <c r="AC563" i="112"/>
  <c r="I563" i="112" s="1"/>
  <c r="BH241" i="164" s="1"/>
  <c r="P105" i="166" s="1"/>
  <c r="AC566" i="112"/>
  <c r="I566" i="112" s="1"/>
  <c r="BH239" i="164" s="1"/>
  <c r="P101" i="166" s="1"/>
  <c r="AA533" i="112"/>
  <c r="AA532" i="112"/>
  <c r="AC408" i="112"/>
  <c r="I408" i="112" s="1"/>
  <c r="AC407" i="112"/>
  <c r="I407" i="112" s="1"/>
  <c r="AC446" i="112"/>
  <c r="I446" i="112" s="1"/>
  <c r="AC448" i="112"/>
  <c r="I448" i="112" s="1"/>
  <c r="P35" i="166"/>
  <c r="G96" i="143"/>
  <c r="AB23" i="112"/>
  <c r="AB36" i="112"/>
  <c r="AB60" i="112"/>
  <c r="AB241" i="112"/>
  <c r="AB28" i="112"/>
  <c r="AB42" i="112"/>
  <c r="AB208" i="112"/>
  <c r="AB5" i="112"/>
  <c r="AB180" i="112"/>
  <c r="AB253" i="112"/>
  <c r="AB183" i="112"/>
  <c r="AB19" i="112"/>
  <c r="AB59" i="112"/>
  <c r="AB201" i="112"/>
  <c r="AB204" i="112"/>
  <c r="AB22" i="112"/>
  <c r="AB35" i="112"/>
  <c r="AB137" i="112"/>
  <c r="AB140" i="112"/>
  <c r="AB240" i="112"/>
  <c r="AB25" i="112"/>
  <c r="AB38" i="112"/>
  <c r="AB143" i="112"/>
  <c r="AB243" i="112"/>
  <c r="AB210" i="112"/>
  <c r="AB246" i="112"/>
  <c r="AB27" i="112"/>
  <c r="AB52" i="112"/>
  <c r="AB58" i="112"/>
  <c r="AB182" i="112"/>
  <c r="AB249" i="112"/>
  <c r="AB185" i="112"/>
  <c r="AB197" i="112"/>
  <c r="AB203" i="112"/>
  <c r="AB21" i="112"/>
  <c r="AB24" i="112"/>
  <c r="AB37" i="112"/>
  <c r="AB40" i="112"/>
  <c r="AB139" i="112"/>
  <c r="AB242" i="112"/>
  <c r="AB43" i="112"/>
  <c r="AB61" i="112"/>
  <c r="AB209" i="112"/>
  <c r="AB245" i="112"/>
  <c r="AB8" i="112"/>
  <c r="AB29" i="112"/>
  <c r="AB181" i="112"/>
  <c r="AB196" i="112"/>
  <c r="AB248" i="112"/>
  <c r="AB15" i="112"/>
  <c r="AB184" i="112"/>
  <c r="AB235" i="112"/>
  <c r="AB285" i="112"/>
  <c r="AB574" i="112"/>
  <c r="AB205" i="112"/>
  <c r="AB325" i="112"/>
  <c r="AB677" i="112"/>
  <c r="AB762" i="112"/>
  <c r="D762" i="112" s="1"/>
  <c r="AB764" i="112"/>
  <c r="D764" i="112" s="1"/>
  <c r="AB766" i="112"/>
  <c r="D766" i="112" s="1"/>
  <c r="AB768" i="112"/>
  <c r="D768" i="112" s="1"/>
  <c r="AB770" i="112"/>
  <c r="D770" i="112" s="1"/>
  <c r="AB772" i="112"/>
  <c r="D772" i="112" s="1"/>
  <c r="AB774" i="112"/>
  <c r="D774" i="112" s="1"/>
  <c r="AB776" i="112"/>
  <c r="D776" i="112" s="1"/>
  <c r="AB778" i="112"/>
  <c r="D778" i="112" s="1"/>
  <c r="AB206" i="112"/>
  <c r="AB271" i="112"/>
  <c r="AB297" i="112"/>
  <c r="AB328" i="112"/>
  <c r="AB447" i="112"/>
  <c r="AB636" i="112"/>
  <c r="AB706" i="112"/>
  <c r="AB728" i="112"/>
  <c r="AB300" i="112"/>
  <c r="AB460" i="112"/>
  <c r="AB652" i="112"/>
  <c r="AB731" i="112"/>
  <c r="AB20" i="112"/>
  <c r="AB34" i="112"/>
  <c r="AB281" i="112"/>
  <c r="AB337" i="112"/>
  <c r="AB453" i="112"/>
  <c r="AB481" i="112"/>
  <c r="AB570" i="112"/>
  <c r="AB216" i="112"/>
  <c r="AB236" i="112"/>
  <c r="AB284" i="112"/>
  <c r="AB318" i="112"/>
  <c r="AB573" i="112"/>
  <c r="AB324" i="112"/>
  <c r="AB486" i="112"/>
  <c r="AB296" i="112"/>
  <c r="AB327" i="112"/>
  <c r="AB299" i="112"/>
  <c r="AB333" i="112"/>
  <c r="AB712" i="112"/>
  <c r="AB730" i="112"/>
  <c r="AB258" i="112"/>
  <c r="AB280" i="112"/>
  <c r="AB336" i="112"/>
  <c r="AB452" i="112"/>
  <c r="AB569" i="112"/>
  <c r="AB733" i="112"/>
  <c r="AB763" i="112"/>
  <c r="D763" i="112" s="1"/>
  <c r="AB765" i="112"/>
  <c r="D765" i="112" s="1"/>
  <c r="AB767" i="112"/>
  <c r="D767" i="112" s="1"/>
  <c r="AB769" i="112"/>
  <c r="D769" i="112" s="1"/>
  <c r="AB771" i="112"/>
  <c r="D771" i="112" s="1"/>
  <c r="AB773" i="112"/>
  <c r="D773" i="112" s="1"/>
  <c r="AB775" i="112"/>
  <c r="D775" i="112" s="1"/>
  <c r="AB777" i="112"/>
  <c r="D777" i="112" s="1"/>
  <c r="AB779" i="112"/>
  <c r="D779" i="112" s="1"/>
  <c r="AB238" i="112"/>
  <c r="AB283" i="112"/>
  <c r="AB339" i="112"/>
  <c r="AB523" i="112"/>
  <c r="AB572" i="112"/>
  <c r="AB26" i="112"/>
  <c r="AB323" i="112"/>
  <c r="AB575" i="112"/>
  <c r="AB660" i="112"/>
  <c r="AB136" i="112"/>
  <c r="AB239" i="112"/>
  <c r="AB326" i="112"/>
  <c r="AB525" i="112"/>
  <c r="AB298" i="112"/>
  <c r="AB310" i="112"/>
  <c r="AB475" i="112"/>
  <c r="AB729" i="112"/>
  <c r="AB263" i="112"/>
  <c r="AB266" i="112"/>
  <c r="AB269" i="112"/>
  <c r="AB301" i="112"/>
  <c r="AB335" i="112"/>
  <c r="AB522" i="112"/>
  <c r="AB732" i="112"/>
  <c r="AB282" i="112"/>
  <c r="AB338" i="112"/>
  <c r="AB571" i="112"/>
  <c r="H485" i="112"/>
  <c r="P43" i="166"/>
  <c r="G136" i="143"/>
  <c r="AA408" i="112"/>
  <c r="AA407" i="112"/>
  <c r="AA446" i="112"/>
  <c r="AA448" i="112"/>
  <c r="AB256" i="112"/>
  <c r="AB252" i="112"/>
  <c r="AB251" i="112"/>
  <c r="AB262" i="112"/>
  <c r="AB265" i="112"/>
  <c r="AB268" i="112"/>
  <c r="AB261" i="112"/>
  <c r="AB264" i="112"/>
  <c r="AB267" i="112"/>
  <c r="AB272" i="112"/>
  <c r="AB257" i="112"/>
  <c r="AB114" i="112"/>
  <c r="AB83" i="112"/>
  <c r="AB104" i="112"/>
  <c r="AB94" i="112"/>
  <c r="AB124" i="112"/>
  <c r="AB710" i="112"/>
  <c r="AB594" i="112"/>
  <c r="AB646" i="112"/>
  <c r="AB598" i="112"/>
  <c r="AA6" i="112"/>
  <c r="H6" i="112" s="1"/>
  <c r="AA202" i="112"/>
  <c r="M202" i="112" s="1"/>
  <c r="H457" i="112"/>
  <c r="AA277" i="112"/>
  <c r="AA32" i="112"/>
  <c r="AA279" i="112"/>
  <c r="AA645" i="112"/>
  <c r="AA664" i="112"/>
  <c r="AA663" i="112"/>
  <c r="AA649" i="112"/>
  <c r="AA680" i="112"/>
  <c r="AC540" i="112"/>
  <c r="I540" i="112" s="1"/>
  <c r="BG108" i="142" s="1"/>
  <c r="AC539" i="112"/>
  <c r="I539" i="112" s="1"/>
  <c r="BG107" i="142" s="1"/>
  <c r="AC542" i="112"/>
  <c r="I542" i="112" s="1"/>
  <c r="AB600" i="112"/>
  <c r="D600" i="112" s="1"/>
  <c r="P31" i="166"/>
  <c r="G90" i="143"/>
  <c r="AB539" i="112"/>
  <c r="AB542" i="112"/>
  <c r="AB540" i="112"/>
  <c r="AB274" i="112"/>
  <c r="AB691" i="112"/>
  <c r="AB597" i="112"/>
  <c r="AB587" i="112"/>
  <c r="AB666" i="112"/>
  <c r="AB273" i="112"/>
  <c r="AB596" i="112"/>
  <c r="AB690" i="112"/>
  <c r="AB643" i="112"/>
  <c r="AC675" i="112"/>
  <c r="I675" i="112" s="1"/>
  <c r="AC637" i="112"/>
  <c r="I637" i="112" s="1"/>
  <c r="AA312" i="112"/>
  <c r="AA331" i="112"/>
  <c r="AA450" i="112"/>
  <c r="AA315" i="112"/>
  <c r="AA330" i="112"/>
  <c r="AA449" i="112"/>
  <c r="AA314" i="112"/>
  <c r="AA317" i="112"/>
  <c r="AA348" i="112"/>
  <c r="AA313" i="112"/>
  <c r="AA28" i="112"/>
  <c r="AA42" i="112"/>
  <c r="AA208" i="112"/>
  <c r="AA5" i="112"/>
  <c r="AA180" i="112"/>
  <c r="AA253" i="112"/>
  <c r="AA183" i="112"/>
  <c r="AA19" i="112"/>
  <c r="AA59" i="112"/>
  <c r="AA201" i="112"/>
  <c r="AA204" i="112"/>
  <c r="AA22" i="112"/>
  <c r="AA35" i="112"/>
  <c r="AA137" i="112"/>
  <c r="AA140" i="112"/>
  <c r="AA240" i="112"/>
  <c r="AA25" i="112"/>
  <c r="AA38" i="112"/>
  <c r="AA143" i="112"/>
  <c r="AA243" i="112"/>
  <c r="AA210" i="112"/>
  <c r="AA246" i="112"/>
  <c r="AA27" i="112"/>
  <c r="AA52" i="112"/>
  <c r="AA58" i="112"/>
  <c r="AA182" i="112"/>
  <c r="AA249" i="112"/>
  <c r="AA185" i="112"/>
  <c r="AA197" i="112"/>
  <c r="AA203" i="112"/>
  <c r="AA236" i="112"/>
  <c r="AA21" i="112"/>
  <c r="AA34" i="112"/>
  <c r="AA136" i="112"/>
  <c r="AA206" i="112"/>
  <c r="AA43" i="112"/>
  <c r="AA61" i="112"/>
  <c r="AA209" i="112"/>
  <c r="AA245" i="112"/>
  <c r="AA8" i="112"/>
  <c r="AA29" i="112"/>
  <c r="AA181" i="112"/>
  <c r="AA196" i="112"/>
  <c r="AA248" i="112"/>
  <c r="AA15" i="112"/>
  <c r="AA184" i="112"/>
  <c r="AA235" i="112"/>
  <c r="AA20" i="112"/>
  <c r="AA26" i="112"/>
  <c r="AA205" i="112"/>
  <c r="AA238" i="112"/>
  <c r="AA139" i="112"/>
  <c r="AA241" i="112"/>
  <c r="AA325" i="112"/>
  <c r="AA677" i="112"/>
  <c r="AA762" i="112"/>
  <c r="AA764" i="112"/>
  <c r="AA766" i="112"/>
  <c r="AA768" i="112"/>
  <c r="AA770" i="112"/>
  <c r="AA772" i="112"/>
  <c r="AA774" i="112"/>
  <c r="AA776" i="112"/>
  <c r="AA778" i="112"/>
  <c r="AA271" i="112"/>
  <c r="AA297" i="112"/>
  <c r="AA328" i="112"/>
  <c r="AA447" i="112"/>
  <c r="AA636" i="112"/>
  <c r="AA706" i="112"/>
  <c r="AA728" i="112"/>
  <c r="AA242" i="112"/>
  <c r="AA300" i="112"/>
  <c r="AA460" i="112"/>
  <c r="AA524" i="112"/>
  <c r="AA652" i="112"/>
  <c r="AA731" i="112"/>
  <c r="AA281" i="112"/>
  <c r="AA337" i="112"/>
  <c r="AA453" i="112"/>
  <c r="AA481" i="112"/>
  <c r="M481" i="112" s="1"/>
  <c r="AA570" i="112"/>
  <c r="AA216" i="112"/>
  <c r="AA284" i="112"/>
  <c r="AA318" i="112"/>
  <c r="AA573" i="112"/>
  <c r="AA324" i="112"/>
  <c r="AA486" i="112"/>
  <c r="M486" i="112" s="1"/>
  <c r="AA296" i="112"/>
  <c r="AA327" i="112"/>
  <c r="AA23" i="112"/>
  <c r="AA36" i="112"/>
  <c r="AA60" i="112"/>
  <c r="AA299" i="112"/>
  <c r="AA333" i="112"/>
  <c r="AA712" i="112"/>
  <c r="AA730" i="112"/>
  <c r="AA24" i="112"/>
  <c r="AA37" i="112"/>
  <c r="AA258" i="112"/>
  <c r="AA280" i="112"/>
  <c r="AA336" i="112"/>
  <c r="AA452" i="112"/>
  <c r="AA569" i="112"/>
  <c r="AA733" i="112"/>
  <c r="AA763" i="112"/>
  <c r="AA765" i="112"/>
  <c r="AA767" i="112"/>
  <c r="AA769" i="112"/>
  <c r="AA771" i="112"/>
  <c r="AA773" i="112"/>
  <c r="AA775" i="112"/>
  <c r="AA777" i="112"/>
  <c r="AA779" i="112"/>
  <c r="AA283" i="112"/>
  <c r="AA339" i="112"/>
  <c r="AA523" i="112"/>
  <c r="AA572" i="112"/>
  <c r="AA323" i="112"/>
  <c r="AA575" i="112"/>
  <c r="AA660" i="112"/>
  <c r="AA239" i="112"/>
  <c r="AA326" i="112"/>
  <c r="AA525" i="112"/>
  <c r="AA40" i="112"/>
  <c r="AA298" i="112"/>
  <c r="AA310" i="112"/>
  <c r="AA475" i="112"/>
  <c r="M475" i="112" s="1"/>
  <c r="AA729" i="112"/>
  <c r="AA263" i="112"/>
  <c r="AA266" i="112"/>
  <c r="AA269" i="112"/>
  <c r="AA301" i="112"/>
  <c r="AA335" i="112"/>
  <c r="AA522" i="112"/>
  <c r="AA732" i="112"/>
  <c r="AA282" i="112"/>
  <c r="AA338" i="112"/>
  <c r="AA571" i="112"/>
  <c r="AA285" i="112"/>
  <c r="AA574" i="112"/>
  <c r="AA705" i="112"/>
  <c r="AA662" i="112"/>
  <c r="AC115" i="112"/>
  <c r="I115" i="112" s="1"/>
  <c r="BH267" i="164" s="1"/>
  <c r="G173" i="164" s="1"/>
  <c r="AC120" i="112"/>
  <c r="I120" i="112" s="1"/>
  <c r="BH248" i="164" s="1"/>
  <c r="G98" i="164" s="1"/>
  <c r="AC89" i="112"/>
  <c r="I89" i="112" s="1"/>
  <c r="BH259" i="164" s="1"/>
  <c r="AC112" i="112"/>
  <c r="I112" i="112" s="1"/>
  <c r="BH270" i="164" s="1"/>
  <c r="G182" i="164" s="1"/>
  <c r="AC141" i="112"/>
  <c r="I141" i="112" s="1"/>
  <c r="AC85" i="112"/>
  <c r="I85" i="112" s="1"/>
  <c r="BH244" i="164" s="1"/>
  <c r="AC119" i="112"/>
  <c r="I119" i="112" s="1"/>
  <c r="BH253" i="164" s="1"/>
  <c r="G113" i="164" s="1"/>
  <c r="AC144" i="112"/>
  <c r="I144" i="112" s="1"/>
  <c r="AC82" i="112"/>
  <c r="I82" i="112" s="1"/>
  <c r="AC106" i="112"/>
  <c r="I106" i="112" s="1"/>
  <c r="BH262" i="164" s="1"/>
  <c r="AC111" i="112"/>
  <c r="I111" i="112" s="1"/>
  <c r="BH269" i="164" s="1"/>
  <c r="G179" i="164" s="1"/>
  <c r="AC84" i="112"/>
  <c r="I84" i="112" s="1"/>
  <c r="BH243" i="164" s="1"/>
  <c r="AC103" i="112"/>
  <c r="I103" i="112" s="1"/>
  <c r="AC81" i="112"/>
  <c r="I81" i="112" s="1"/>
  <c r="BH246" i="164" s="1"/>
  <c r="AC105" i="112"/>
  <c r="I105" i="112" s="1"/>
  <c r="BH261" i="164" s="1"/>
  <c r="AC110" i="112"/>
  <c r="I110" i="112" s="1"/>
  <c r="BH266" i="164" s="1"/>
  <c r="G170" i="164" s="1"/>
  <c r="AC102" i="112"/>
  <c r="I102" i="112" s="1"/>
  <c r="BH264" i="164" s="1"/>
  <c r="AC80" i="112"/>
  <c r="I80" i="112" s="1"/>
  <c r="BH245" i="164" s="1"/>
  <c r="AC109" i="112"/>
  <c r="I109" i="112" s="1"/>
  <c r="BH271" i="164" s="1"/>
  <c r="G185" i="164" s="1"/>
  <c r="AC96" i="112"/>
  <c r="I96" i="112" s="1"/>
  <c r="BH256" i="164" s="1"/>
  <c r="AC101" i="112"/>
  <c r="I101" i="112" s="1"/>
  <c r="BH263" i="164" s="1"/>
  <c r="AC126" i="112"/>
  <c r="I126" i="112" s="1"/>
  <c r="BH250" i="164" s="1"/>
  <c r="G104" i="164" s="1"/>
  <c r="AC79" i="112"/>
  <c r="I79" i="112" s="1"/>
  <c r="BH242" i="164" s="1"/>
  <c r="P107" i="166" s="1"/>
  <c r="AC93" i="112"/>
  <c r="I93" i="112" s="1"/>
  <c r="AC123" i="112"/>
  <c r="I123" i="112" s="1"/>
  <c r="AC78" i="112"/>
  <c r="I78" i="112" s="1"/>
  <c r="BH247" i="164" s="1"/>
  <c r="AC92" i="112"/>
  <c r="I92" i="112" s="1"/>
  <c r="BH258" i="164" s="1"/>
  <c r="AC99" i="112"/>
  <c r="I99" i="112" s="1"/>
  <c r="BH265" i="164" s="1"/>
  <c r="AC122" i="112"/>
  <c r="I122" i="112" s="1"/>
  <c r="BH252" i="164" s="1"/>
  <c r="G110" i="164" s="1"/>
  <c r="AC91" i="112"/>
  <c r="I91" i="112" s="1"/>
  <c r="BH257" i="164" s="1"/>
  <c r="AC116" i="112"/>
  <c r="I116" i="112" s="1"/>
  <c r="BH268" i="164" s="1"/>
  <c r="G176" i="164" s="1"/>
  <c r="AC121" i="112"/>
  <c r="I121" i="112" s="1"/>
  <c r="BH251" i="164" s="1"/>
  <c r="G107" i="164" s="1"/>
  <c r="AC100" i="112"/>
  <c r="I100" i="112" s="1"/>
  <c r="BH260" i="164" s="1"/>
  <c r="AC90" i="112"/>
  <c r="I90" i="112" s="1"/>
  <c r="BH254" i="164" s="1"/>
  <c r="AC113" i="112"/>
  <c r="I113" i="112" s="1"/>
  <c r="AC125" i="112"/>
  <c r="I125" i="112" s="1"/>
  <c r="BH249" i="164" s="1"/>
  <c r="G101" i="164" s="1"/>
  <c r="AC95" i="112"/>
  <c r="I95" i="112" s="1"/>
  <c r="BH255" i="164" s="1"/>
  <c r="AA591" i="112"/>
  <c r="AA647" i="112"/>
  <c r="AA593" i="112"/>
  <c r="AA738" i="112"/>
  <c r="AC251" i="112"/>
  <c r="I251" i="112" s="1"/>
  <c r="AC257" i="112"/>
  <c r="I257" i="112" s="1"/>
  <c r="AC262" i="112"/>
  <c r="I262" i="112" s="1"/>
  <c r="AC265" i="112"/>
  <c r="I265" i="112" s="1"/>
  <c r="AC268" i="112"/>
  <c r="I268" i="112" s="1"/>
  <c r="AC256" i="112"/>
  <c r="I256" i="112" s="1"/>
  <c r="AC261" i="112"/>
  <c r="I261" i="112" s="1"/>
  <c r="AC264" i="112"/>
  <c r="I264" i="112" s="1"/>
  <c r="AC267" i="112"/>
  <c r="I267" i="112" s="1"/>
  <c r="AC252" i="112"/>
  <c r="I252" i="112" s="1"/>
  <c r="AC272" i="112"/>
  <c r="I272" i="112" s="1"/>
  <c r="AB665" i="112"/>
  <c r="AA114" i="112"/>
  <c r="AA83" i="112"/>
  <c r="AA104" i="112"/>
  <c r="AA710" i="112"/>
  <c r="AA124" i="112"/>
  <c r="AA94" i="112"/>
  <c r="H477" i="112"/>
  <c r="F477" i="112" s="1"/>
  <c r="D477" i="112" s="1"/>
  <c r="AB62" i="112"/>
  <c r="AB220" i="112"/>
  <c r="AB16" i="112"/>
  <c r="H541" i="112"/>
  <c r="AA62" i="112"/>
  <c r="AA220" i="112"/>
  <c r="AA16" i="112"/>
  <c r="AC581" i="112"/>
  <c r="I581" i="112" s="1"/>
  <c r="BG105" i="142" s="1"/>
  <c r="AC582" i="112"/>
  <c r="I582" i="112" s="1"/>
  <c r="AC233" i="112"/>
  <c r="AC234" i="112"/>
  <c r="AC355" i="112"/>
  <c r="H667" i="112"/>
  <c r="AC6" i="112"/>
  <c r="I6" i="112" s="1"/>
  <c r="AC202" i="112"/>
  <c r="I202" i="112" s="1"/>
  <c r="AB688" i="112"/>
  <c r="AB687" i="112"/>
  <c r="AB689" i="112"/>
  <c r="AA85" i="112"/>
  <c r="AA119" i="112"/>
  <c r="AA144" i="112"/>
  <c r="AA82" i="112"/>
  <c r="AA106" i="112"/>
  <c r="AA111" i="112"/>
  <c r="AA84" i="112"/>
  <c r="AA103" i="112"/>
  <c r="AA81" i="112"/>
  <c r="AA105" i="112"/>
  <c r="AA110" i="112"/>
  <c r="AA102" i="112"/>
  <c r="AA80" i="112"/>
  <c r="AA109" i="112"/>
  <c r="AA96" i="112"/>
  <c r="AA101" i="112"/>
  <c r="AA126" i="112"/>
  <c r="AA79" i="112"/>
  <c r="AA93" i="112"/>
  <c r="AA123" i="112"/>
  <c r="AA95" i="112"/>
  <c r="AA100" i="112"/>
  <c r="AA125" i="112"/>
  <c r="AA78" i="112"/>
  <c r="AA92" i="112"/>
  <c r="AA91" i="112"/>
  <c r="AA116" i="112"/>
  <c r="AA121" i="112"/>
  <c r="AA90" i="112"/>
  <c r="AA113" i="112"/>
  <c r="AA115" i="112"/>
  <c r="AA120" i="112"/>
  <c r="AA99" i="112"/>
  <c r="AA89" i="112"/>
  <c r="AA141" i="112"/>
  <c r="AA122" i="112"/>
  <c r="AA112" i="112"/>
  <c r="AB6" i="112"/>
  <c r="AB202" i="112"/>
  <c r="AA675" i="112"/>
  <c r="AA637" i="112"/>
  <c r="AA56" i="112"/>
  <c r="AA214" i="112"/>
  <c r="AA270" i="112"/>
  <c r="AA599" i="112"/>
  <c r="AA595" i="112"/>
  <c r="H639" i="112"/>
  <c r="AC39" i="112"/>
  <c r="I39" i="112" s="1"/>
  <c r="AC10" i="112"/>
  <c r="I10" i="112" s="1"/>
  <c r="AC50" i="112"/>
  <c r="I50" i="112" s="1"/>
  <c r="AC186" i="112"/>
  <c r="I186" i="112" s="1"/>
  <c r="AC212" i="112"/>
  <c r="I212" i="112" s="1"/>
  <c r="AC278" i="112"/>
  <c r="I278" i="112" s="1"/>
  <c r="AC715" i="112"/>
  <c r="I715" i="112" s="1"/>
  <c r="AC756" i="112"/>
  <c r="I756" i="112" s="1"/>
  <c r="AA489" i="112"/>
  <c r="M489" i="112" s="1"/>
  <c r="AA482" i="112"/>
  <c r="M482" i="112" s="1"/>
  <c r="AA487" i="112"/>
  <c r="M487" i="112" s="1"/>
  <c r="AB39" i="112"/>
  <c r="AB10" i="112"/>
  <c r="AB50" i="112"/>
  <c r="AB186" i="112"/>
  <c r="AB212" i="112"/>
  <c r="AB278" i="112"/>
  <c r="AB715" i="112"/>
  <c r="AB756" i="112"/>
  <c r="H454" i="112"/>
  <c r="BE106" i="142" s="1"/>
  <c r="I36" i="142" s="1"/>
  <c r="AB211" i="112"/>
  <c r="AB9" i="112"/>
  <c r="AA2" i="112"/>
  <c r="AA66" i="112"/>
  <c r="AA47" i="112"/>
  <c r="AA44" i="112"/>
  <c r="AA4" i="112"/>
  <c r="AA223" i="112"/>
  <c r="AA46" i="112"/>
  <c r="AA3" i="112"/>
  <c r="AA254" i="112"/>
  <c r="AA48" i="112"/>
  <c r="AA585" i="112"/>
  <c r="AA686" i="112"/>
  <c r="AA45" i="112"/>
  <c r="AA584" i="112"/>
  <c r="AA736" i="112"/>
  <c r="AA586" i="112"/>
  <c r="AC56" i="112"/>
  <c r="I56" i="112" s="1"/>
  <c r="AC214" i="112"/>
  <c r="I214" i="112" s="1"/>
  <c r="AA274" i="112"/>
  <c r="AA691" i="112"/>
  <c r="AA597" i="112"/>
  <c r="AA587" i="112"/>
  <c r="AA666" i="112"/>
  <c r="AA273" i="112"/>
  <c r="AA596" i="112"/>
  <c r="AA690" i="112"/>
  <c r="AA643" i="112"/>
  <c r="AB675" i="112"/>
  <c r="AB637" i="112"/>
  <c r="AC114" i="112"/>
  <c r="AC83" i="112"/>
  <c r="AC104" i="112"/>
  <c r="AC94" i="112"/>
  <c r="AC124" i="112"/>
  <c r="AC710" i="112"/>
  <c r="AB89" i="112"/>
  <c r="AB112" i="112"/>
  <c r="AB141" i="112"/>
  <c r="AB85" i="112"/>
  <c r="AB119" i="112"/>
  <c r="AB144" i="112"/>
  <c r="AB82" i="112"/>
  <c r="AB106" i="112"/>
  <c r="AB111" i="112"/>
  <c r="AB84" i="112"/>
  <c r="AB103" i="112"/>
  <c r="AB81" i="112"/>
  <c r="AB105" i="112"/>
  <c r="AB110" i="112"/>
  <c r="AB102" i="112"/>
  <c r="AB80" i="112"/>
  <c r="AB109" i="112"/>
  <c r="AB96" i="112"/>
  <c r="AB101" i="112"/>
  <c r="AB126" i="112"/>
  <c r="AB79" i="112"/>
  <c r="AB93" i="112"/>
  <c r="AB123" i="112"/>
  <c r="D123" i="112" s="1"/>
  <c r="AB95" i="112"/>
  <c r="AB100" i="112"/>
  <c r="AB125" i="112"/>
  <c r="AB99" i="112"/>
  <c r="AB122" i="112"/>
  <c r="AB91" i="112"/>
  <c r="AB116" i="112"/>
  <c r="AB121" i="112"/>
  <c r="AB90" i="112"/>
  <c r="AB113" i="112"/>
  <c r="AB78" i="112"/>
  <c r="AB120" i="112"/>
  <c r="AB92" i="112"/>
  <c r="AB115" i="112"/>
  <c r="AA211" i="112"/>
  <c r="AA9" i="112"/>
  <c r="AB233" i="112"/>
  <c r="AB234" i="112"/>
  <c r="AB355" i="112"/>
  <c r="AC595" i="112"/>
  <c r="I595" i="112" s="1"/>
  <c r="AC270" i="112"/>
  <c r="I270" i="112" s="1"/>
  <c r="AC599" i="112"/>
  <c r="I599" i="112" s="1"/>
  <c r="AB56" i="112"/>
  <c r="AB214" i="112"/>
  <c r="AC483" i="112"/>
  <c r="I483" i="112" s="1"/>
  <c r="AC488" i="112"/>
  <c r="I488" i="112" s="1"/>
  <c r="AC45" i="112"/>
  <c r="I45" i="112" s="1"/>
  <c r="AC2" i="112"/>
  <c r="I2" i="112" s="1"/>
  <c r="BG121" i="163" s="1"/>
  <c r="P249" i="166" s="1"/>
  <c r="AC66" i="112"/>
  <c r="I66" i="112" s="1"/>
  <c r="AC47" i="112"/>
  <c r="I47" i="112" s="1"/>
  <c r="AC44" i="112"/>
  <c r="I44" i="112" s="1"/>
  <c r="AC4" i="112"/>
  <c r="I4" i="112" s="1"/>
  <c r="AC223" i="112"/>
  <c r="I223" i="112" s="1"/>
  <c r="AC46" i="112"/>
  <c r="I46" i="112" s="1"/>
  <c r="AC3" i="112"/>
  <c r="I3" i="112" s="1"/>
  <c r="BG122" i="163" s="1"/>
  <c r="P247" i="166" s="1"/>
  <c r="AC254" i="112"/>
  <c r="I254" i="112" s="1"/>
  <c r="AC585" i="112"/>
  <c r="I585" i="112" s="1"/>
  <c r="AC686" i="112"/>
  <c r="I686" i="112" s="1"/>
  <c r="AC48" i="112"/>
  <c r="I48" i="112" s="1"/>
  <c r="AC584" i="112"/>
  <c r="I584" i="112" s="1"/>
  <c r="AC736" i="112"/>
  <c r="I736" i="112" s="1"/>
  <c r="AC586" i="112"/>
  <c r="I586" i="112" s="1"/>
  <c r="AA556" i="112"/>
  <c r="AA543" i="112"/>
  <c r="AA559" i="112"/>
  <c r="AA546" i="112"/>
  <c r="AA562" i="112"/>
  <c r="AA549" i="112"/>
  <c r="AA552" i="112"/>
  <c r="AA555" i="112"/>
  <c r="AA708" i="112"/>
  <c r="L708" i="112" s="1"/>
  <c r="AA558" i="112"/>
  <c r="AA545" i="112"/>
  <c r="AA561" i="112"/>
  <c r="AA548" i="112"/>
  <c r="AA551" i="112"/>
  <c r="AA554" i="112"/>
  <c r="AA557" i="112"/>
  <c r="AA544" i="112"/>
  <c r="AA560" i="112"/>
  <c r="AA704" i="112"/>
  <c r="L704" i="112" s="1"/>
  <c r="AA547" i="112"/>
  <c r="AA550" i="112"/>
  <c r="AA553" i="112"/>
  <c r="AA535" i="112"/>
  <c r="AA534" i="112"/>
  <c r="H520" i="112"/>
  <c r="AC665" i="112"/>
  <c r="I665" i="112" s="1"/>
  <c r="AB270" i="112"/>
  <c r="AB599" i="112"/>
  <c r="AB595" i="112"/>
  <c r="AA381" i="112"/>
  <c r="AA362" i="112"/>
  <c r="AA388" i="112"/>
  <c r="AA389" i="112"/>
  <c r="AA758" i="112"/>
  <c r="AA332" i="112"/>
  <c r="AA322" i="112"/>
  <c r="AC550" i="112"/>
  <c r="I550" i="112" s="1"/>
  <c r="AC553" i="112"/>
  <c r="I553" i="112" s="1"/>
  <c r="AC556" i="112"/>
  <c r="I556" i="112" s="1"/>
  <c r="AC543" i="112"/>
  <c r="I543" i="112" s="1"/>
  <c r="AC559" i="112"/>
  <c r="I559" i="112" s="1"/>
  <c r="AC546" i="112"/>
  <c r="I546" i="112" s="1"/>
  <c r="AC562" i="112"/>
  <c r="I562" i="112" s="1"/>
  <c r="AC549" i="112"/>
  <c r="I549" i="112" s="1"/>
  <c r="AC552" i="112"/>
  <c r="I552" i="112" s="1"/>
  <c r="AC555" i="112"/>
  <c r="I555" i="112" s="1"/>
  <c r="AC708" i="112"/>
  <c r="I708" i="112" s="1"/>
  <c r="AC558" i="112"/>
  <c r="I558" i="112" s="1"/>
  <c r="AC545" i="112"/>
  <c r="I545" i="112" s="1"/>
  <c r="AC561" i="112"/>
  <c r="I561" i="112" s="1"/>
  <c r="AC548" i="112"/>
  <c r="I548" i="112" s="1"/>
  <c r="AC551" i="112"/>
  <c r="I551" i="112" s="1"/>
  <c r="AC554" i="112"/>
  <c r="I554" i="112" s="1"/>
  <c r="AC557" i="112"/>
  <c r="I557" i="112" s="1"/>
  <c r="AC544" i="112"/>
  <c r="I544" i="112" s="1"/>
  <c r="AC560" i="112"/>
  <c r="I560" i="112" s="1"/>
  <c r="AC704" i="112"/>
  <c r="I704" i="112" s="1"/>
  <c r="AC547" i="112"/>
  <c r="I547" i="112" s="1"/>
  <c r="AB344" i="112"/>
  <c r="AB343" i="112"/>
  <c r="AB342" i="112"/>
  <c r="AA234" i="112"/>
  <c r="AA355" i="112"/>
  <c r="AA233" i="112"/>
  <c r="AC277" i="112"/>
  <c r="I277" i="112" s="1"/>
  <c r="AC32" i="112"/>
  <c r="I32" i="112" s="1"/>
  <c r="AC279" i="112"/>
  <c r="I279" i="112" s="1"/>
  <c r="AC680" i="112"/>
  <c r="I680" i="112" s="1"/>
  <c r="AC645" i="112"/>
  <c r="I645" i="112" s="1"/>
  <c r="AC664" i="112"/>
  <c r="I664" i="112" s="1"/>
  <c r="AC663" i="112"/>
  <c r="I663" i="112" s="1"/>
  <c r="AC649" i="112"/>
  <c r="I649" i="112" s="1"/>
  <c r="H188" i="112"/>
  <c r="AB88" i="112"/>
  <c r="AB118" i="112"/>
  <c r="AB133" i="112"/>
  <c r="AB87" i="112"/>
  <c r="AB108" i="112"/>
  <c r="AB77" i="112"/>
  <c r="AB98" i="112"/>
  <c r="AA231" i="112"/>
  <c r="AA41" i="112"/>
  <c r="AA207" i="112"/>
  <c r="AA230" i="112"/>
  <c r="AA232" i="112"/>
  <c r="AA682" i="112"/>
  <c r="AA685" i="112"/>
  <c r="AA681" i="112"/>
  <c r="AA648" i="112"/>
  <c r="G142" i="143"/>
  <c r="P47" i="166"/>
  <c r="AC312" i="112"/>
  <c r="I312" i="112" s="1"/>
  <c r="AC331" i="112"/>
  <c r="I331" i="112" s="1"/>
  <c r="AC450" i="112"/>
  <c r="I450" i="112" s="1"/>
  <c r="AC315" i="112"/>
  <c r="I315" i="112" s="1"/>
  <c r="AC330" i="112"/>
  <c r="I330" i="112" s="1"/>
  <c r="AC449" i="112"/>
  <c r="I449" i="112" s="1"/>
  <c r="AC314" i="112"/>
  <c r="I314" i="112" s="1"/>
  <c r="AC317" i="112"/>
  <c r="I317" i="112" s="1"/>
  <c r="AC348" i="112"/>
  <c r="I348" i="112" s="1"/>
  <c r="AC313" i="112"/>
  <c r="I313" i="112" s="1"/>
  <c r="AC218" i="112"/>
  <c r="I218" i="112" s="1"/>
  <c r="AC63" i="112"/>
  <c r="I63" i="112" s="1"/>
  <c r="AC221" i="112"/>
  <c r="I221" i="112" s="1"/>
  <c r="AC217" i="112"/>
  <c r="I217" i="112" s="1"/>
  <c r="AC30" i="112"/>
  <c r="I30" i="112" s="1"/>
  <c r="AC219" i="112"/>
  <c r="I219" i="112" s="1"/>
  <c r="AC656" i="112"/>
  <c r="I656" i="112" s="1"/>
  <c r="AC659" i="112"/>
  <c r="I659" i="112" s="1"/>
  <c r="AC655" i="112"/>
  <c r="I655" i="112" s="1"/>
  <c r="AC658" i="112"/>
  <c r="I658" i="112" s="1"/>
  <c r="AC654" i="112"/>
  <c r="I654" i="112" s="1"/>
  <c r="AC657" i="112"/>
  <c r="I657" i="112" s="1"/>
  <c r="AC653" i="112"/>
  <c r="I653" i="112" s="1"/>
  <c r="AA49" i="112"/>
  <c r="AA33" i="112"/>
  <c r="AA644" i="112"/>
  <c r="AA678" i="112"/>
  <c r="AC600" i="112"/>
  <c r="I600" i="112" s="1"/>
  <c r="BG91" i="161" s="1"/>
  <c r="P233" i="166" s="1"/>
  <c r="AC381" i="112"/>
  <c r="I381" i="112" s="1"/>
  <c r="AC362" i="112"/>
  <c r="I362" i="112" s="1"/>
  <c r="AC388" i="112"/>
  <c r="I388" i="112" s="1"/>
  <c r="AB277" i="112"/>
  <c r="AB32" i="112"/>
  <c r="AB279" i="112"/>
  <c r="AB645" i="112"/>
  <c r="AB664" i="112"/>
  <c r="AB663" i="112"/>
  <c r="AB649" i="112"/>
  <c r="AB680" i="112"/>
  <c r="AC641" i="112"/>
  <c r="I641" i="112" s="1"/>
  <c r="AC640" i="112"/>
  <c r="I640" i="112" s="1"/>
  <c r="AC642" i="112"/>
  <c r="I642" i="112" s="1"/>
  <c r="AC533" i="112"/>
  <c r="I533" i="112" s="1"/>
  <c r="AC532" i="112"/>
  <c r="I532" i="112" s="1"/>
  <c r="AB381" i="112"/>
  <c r="AB362" i="112"/>
  <c r="AB388" i="112"/>
  <c r="AA54" i="112"/>
  <c r="AA275" i="112"/>
  <c r="AA714" i="112"/>
  <c r="AA711" i="112"/>
  <c r="AB483" i="112"/>
  <c r="AB488" i="112"/>
  <c r="AC364" i="112"/>
  <c r="I364" i="112" s="1"/>
  <c r="BG144" i="162" s="1"/>
  <c r="AC367" i="112"/>
  <c r="I367" i="112" s="1"/>
  <c r="BG154" i="162" s="1"/>
  <c r="AC385" i="112"/>
  <c r="I385" i="112" s="1"/>
  <c r="BG147" i="162" s="1"/>
  <c r="AC370" i="112"/>
  <c r="I370" i="112" s="1"/>
  <c r="AC373" i="112"/>
  <c r="I373" i="112" s="1"/>
  <c r="AC376" i="112"/>
  <c r="I376" i="112" s="1"/>
  <c r="BG143" i="162" s="1"/>
  <c r="AC379" i="112"/>
  <c r="I379" i="112" s="1"/>
  <c r="BG153" i="162" s="1"/>
  <c r="AC350" i="112"/>
  <c r="I350" i="112" s="1"/>
  <c r="BG145" i="162" s="1"/>
  <c r="AC353" i="112"/>
  <c r="I353" i="112" s="1"/>
  <c r="BG155" i="162" s="1"/>
  <c r="AC366" i="112"/>
  <c r="I366" i="112" s="1"/>
  <c r="BG149" i="162" s="1"/>
  <c r="AC372" i="112"/>
  <c r="I372" i="112" s="1"/>
  <c r="AC357" i="112"/>
  <c r="I357" i="112" s="1"/>
  <c r="BG141" i="162" s="1"/>
  <c r="P173" i="166" s="1"/>
  <c r="AC360" i="112"/>
  <c r="I360" i="112" s="1"/>
  <c r="BG151" i="162" s="1"/>
  <c r="AC378" i="112"/>
  <c r="I378" i="112" s="1"/>
  <c r="BG148" i="162" s="1"/>
  <c r="AC352" i="112"/>
  <c r="I352" i="112" s="1"/>
  <c r="BG150" i="162" s="1"/>
  <c r="AC383" i="112"/>
  <c r="I383" i="112" s="1"/>
  <c r="BG142" i="162" s="1"/>
  <c r="AC386" i="112"/>
  <c r="I386" i="112" s="1"/>
  <c r="BG152" i="162" s="1"/>
  <c r="AC359" i="112"/>
  <c r="I359" i="112" s="1"/>
  <c r="BG146" i="162" s="1"/>
  <c r="AA53" i="112"/>
  <c r="AA255" i="112"/>
  <c r="AA713" i="112"/>
  <c r="AA259" i="112"/>
  <c r="AC396" i="112"/>
  <c r="I396" i="112" s="1"/>
  <c r="AC399" i="112"/>
  <c r="I399" i="112" s="1"/>
  <c r="AC415" i="112"/>
  <c r="I415" i="112" s="1"/>
  <c r="AC438" i="112"/>
  <c r="I438" i="112" s="1"/>
  <c r="AC319" i="112"/>
  <c r="I319" i="112" s="1"/>
  <c r="AC402" i="112"/>
  <c r="I402" i="112" s="1"/>
  <c r="AC418" i="112"/>
  <c r="I418" i="112" s="1"/>
  <c r="AC441" i="112"/>
  <c r="I441" i="112" s="1"/>
  <c r="BG127" i="163" s="1"/>
  <c r="AC306" i="112"/>
  <c r="I306" i="112" s="1"/>
  <c r="AC405" i="112"/>
  <c r="I405" i="112" s="1"/>
  <c r="AC421" i="112"/>
  <c r="I421" i="112" s="1"/>
  <c r="AC444" i="112"/>
  <c r="I444" i="112" s="1"/>
  <c r="BG123" i="163" s="1"/>
  <c r="AC309" i="112"/>
  <c r="I309" i="112" s="1"/>
  <c r="AC347" i="112"/>
  <c r="I347" i="112" s="1"/>
  <c r="AC424" i="112"/>
  <c r="I424" i="112" s="1"/>
  <c r="AC431" i="112"/>
  <c r="I431" i="112" s="1"/>
  <c r="BG132" i="163" s="1"/>
  <c r="AC334" i="112"/>
  <c r="I334" i="112" s="1"/>
  <c r="AC392" i="112"/>
  <c r="I392" i="112" s="1"/>
  <c r="AC411" i="112"/>
  <c r="I411" i="112" s="1"/>
  <c r="AC427" i="112"/>
  <c r="I427" i="112" s="1"/>
  <c r="BG130" i="163" s="1"/>
  <c r="AC434" i="112"/>
  <c r="I434" i="112" s="1"/>
  <c r="BG136" i="163" s="1"/>
  <c r="AC395" i="112"/>
  <c r="I395" i="112" s="1"/>
  <c r="AC398" i="112"/>
  <c r="I398" i="112" s="1"/>
  <c r="AC414" i="112"/>
  <c r="I414" i="112" s="1"/>
  <c r="AC430" i="112"/>
  <c r="I430" i="112" s="1"/>
  <c r="AC437" i="112"/>
  <c r="I437" i="112" s="1"/>
  <c r="AC401" i="112"/>
  <c r="I401" i="112" s="1"/>
  <c r="AC417" i="112"/>
  <c r="I417" i="112" s="1"/>
  <c r="AC440" i="112"/>
  <c r="I440" i="112" s="1"/>
  <c r="BG126" i="163" s="1"/>
  <c r="AC305" i="112"/>
  <c r="I305" i="112" s="1"/>
  <c r="AC321" i="112"/>
  <c r="I321" i="112" s="1"/>
  <c r="AC404" i="112"/>
  <c r="I404" i="112" s="1"/>
  <c r="AC420" i="112"/>
  <c r="I420" i="112" s="1"/>
  <c r="AC443" i="112"/>
  <c r="I443" i="112" s="1"/>
  <c r="BG129" i="163" s="1"/>
  <c r="AC308" i="112"/>
  <c r="I308" i="112" s="1"/>
  <c r="AC346" i="112"/>
  <c r="I346" i="112" s="1"/>
  <c r="AC423" i="112"/>
  <c r="I423" i="112" s="1"/>
  <c r="AC311" i="112"/>
  <c r="I311" i="112" s="1"/>
  <c r="BG135" i="163" s="1"/>
  <c r="AC391" i="112"/>
  <c r="I391" i="112" s="1"/>
  <c r="AC410" i="112"/>
  <c r="I410" i="112" s="1"/>
  <c r="AC426" i="112"/>
  <c r="I426" i="112" s="1"/>
  <c r="AC433" i="112"/>
  <c r="I433" i="112" s="1"/>
  <c r="BG134" i="163" s="1"/>
  <c r="AC394" i="112"/>
  <c r="I394" i="112" s="1"/>
  <c r="AC413" i="112"/>
  <c r="I413" i="112" s="1"/>
  <c r="AC429" i="112"/>
  <c r="I429" i="112" s="1"/>
  <c r="AC436" i="112"/>
  <c r="I436" i="112" s="1"/>
  <c r="AC397" i="112"/>
  <c r="I397" i="112" s="1"/>
  <c r="AC400" i="112"/>
  <c r="I400" i="112" s="1"/>
  <c r="AC416" i="112"/>
  <c r="I416" i="112" s="1"/>
  <c r="AC439" i="112"/>
  <c r="I439" i="112" s="1"/>
  <c r="BG125" i="163" s="1"/>
  <c r="AC304" i="112"/>
  <c r="I304" i="112" s="1"/>
  <c r="AC320" i="112"/>
  <c r="I320" i="112" s="1"/>
  <c r="AC403" i="112"/>
  <c r="I403" i="112" s="1"/>
  <c r="AC419" i="112"/>
  <c r="I419" i="112" s="1"/>
  <c r="AC442" i="112"/>
  <c r="I442" i="112" s="1"/>
  <c r="BG128" i="163" s="1"/>
  <c r="AC307" i="112"/>
  <c r="I307" i="112" s="1"/>
  <c r="AC345" i="112"/>
  <c r="I345" i="112" s="1"/>
  <c r="AC406" i="112"/>
  <c r="I406" i="112" s="1"/>
  <c r="AC422" i="112"/>
  <c r="I422" i="112" s="1"/>
  <c r="AC445" i="112"/>
  <c r="I445" i="112" s="1"/>
  <c r="BG124" i="163" s="1"/>
  <c r="AC390" i="112"/>
  <c r="I390" i="112" s="1"/>
  <c r="AC409" i="112"/>
  <c r="I409" i="112" s="1"/>
  <c r="AC425" i="112"/>
  <c r="I425" i="112" s="1"/>
  <c r="AC432" i="112"/>
  <c r="I432" i="112" s="1"/>
  <c r="BG133" i="163" s="1"/>
  <c r="AC393" i="112"/>
  <c r="I393" i="112" s="1"/>
  <c r="AC412" i="112"/>
  <c r="I412" i="112" s="1"/>
  <c r="AC428" i="112"/>
  <c r="I428" i="112" s="1"/>
  <c r="AC435" i="112"/>
  <c r="I435" i="112" s="1"/>
  <c r="AC451" i="112"/>
  <c r="I451" i="112" s="1"/>
  <c r="BG131" i="163" s="1"/>
  <c r="AB228" i="112"/>
  <c r="AB227" i="112"/>
  <c r="AB229" i="112"/>
  <c r="AA134" i="112"/>
  <c r="AA132" i="112"/>
  <c r="AA131" i="112"/>
  <c r="AA130" i="112"/>
  <c r="AA129" i="112"/>
  <c r="AA135" i="112"/>
  <c r="AA128" i="112"/>
  <c r="AB753" i="112"/>
  <c r="AB754" i="112"/>
  <c r="AB755" i="112"/>
  <c r="G49" i="164"/>
  <c r="AC53" i="112"/>
  <c r="I53" i="112" s="1"/>
  <c r="AC255" i="112"/>
  <c r="I255" i="112" s="1"/>
  <c r="AC713" i="112"/>
  <c r="I713" i="112" s="1"/>
  <c r="AC259" i="112"/>
  <c r="I259" i="112" s="1"/>
  <c r="AC344" i="112"/>
  <c r="I344" i="112" s="1"/>
  <c r="BG110" i="142" s="1"/>
  <c r="AC343" i="112"/>
  <c r="I343" i="112" s="1"/>
  <c r="BG109" i="142" s="1"/>
  <c r="AC342" i="112"/>
  <c r="I342" i="112" s="1"/>
  <c r="BG111" i="142" s="1"/>
  <c r="H737" i="112"/>
  <c r="AB563" i="112"/>
  <c r="AB566" i="112"/>
  <c r="AB564" i="112"/>
  <c r="AA252" i="112"/>
  <c r="AA251" i="112"/>
  <c r="AA262" i="112"/>
  <c r="AA265" i="112"/>
  <c r="AA268" i="112"/>
  <c r="AA256" i="112"/>
  <c r="AA261" i="112"/>
  <c r="AA264" i="112"/>
  <c r="AA267" i="112"/>
  <c r="AA272" i="112"/>
  <c r="AA257" i="112"/>
  <c r="AB54" i="112"/>
  <c r="AB275" i="112"/>
  <c r="AB714" i="112"/>
  <c r="AB711" i="112"/>
  <c r="AB322" i="112"/>
  <c r="AB389" i="112"/>
  <c r="D389" i="112" s="1"/>
  <c r="AB758" i="112"/>
  <c r="AB332" i="112"/>
  <c r="AA526" i="112"/>
  <c r="AA527" i="112"/>
  <c r="H650" i="112"/>
  <c r="AC138" i="112"/>
  <c r="I138" i="112" s="1"/>
  <c r="AC250" i="112"/>
  <c r="I250" i="112" s="1"/>
  <c r="AC179" i="112"/>
  <c r="I179" i="112" s="1"/>
  <c r="AC142" i="112"/>
  <c r="I142" i="112" s="1"/>
  <c r="AC178" i="112"/>
  <c r="I178" i="112" s="1"/>
  <c r="AC568" i="112"/>
  <c r="I568" i="112" s="1"/>
  <c r="AC567" i="112"/>
  <c r="I567" i="112" s="1"/>
  <c r="AC679" i="112"/>
  <c r="I679" i="112" s="1"/>
  <c r="AC459" i="112"/>
  <c r="I459" i="112" s="1"/>
  <c r="AA88" i="112"/>
  <c r="AA118" i="112"/>
  <c r="AA133" i="112"/>
  <c r="AA87" i="112"/>
  <c r="AA108" i="112"/>
  <c r="AA77" i="112"/>
  <c r="AA98" i="112"/>
  <c r="H707" i="112"/>
  <c r="BE220" i="143" s="1"/>
  <c r="I96" i="143" s="1"/>
  <c r="AC274" i="112"/>
  <c r="I274" i="112" s="1"/>
  <c r="AC691" i="112"/>
  <c r="I691" i="112" s="1"/>
  <c r="AC597" i="112"/>
  <c r="I597" i="112" s="1"/>
  <c r="AC587" i="112"/>
  <c r="I587" i="112" s="1"/>
  <c r="AC666" i="112"/>
  <c r="I666" i="112" s="1"/>
  <c r="AC273" i="112"/>
  <c r="I273" i="112" s="1"/>
  <c r="AC596" i="112"/>
  <c r="I596" i="112" s="1"/>
  <c r="AC690" i="112"/>
  <c r="I690" i="112" s="1"/>
  <c r="AC643" i="112"/>
  <c r="I643" i="112" s="1"/>
  <c r="H490" i="112"/>
  <c r="AC535" i="112"/>
  <c r="I535" i="112" s="1"/>
  <c r="AC534" i="112"/>
  <c r="I534" i="112" s="1"/>
  <c r="AA228" i="112"/>
  <c r="AA229" i="112"/>
  <c r="AA227" i="112"/>
  <c r="AB218" i="112"/>
  <c r="AB63" i="112"/>
  <c r="AB221" i="112"/>
  <c r="AB217" i="112"/>
  <c r="AB30" i="112"/>
  <c r="AB219" i="112"/>
  <c r="AB659" i="112"/>
  <c r="AB655" i="112"/>
  <c r="AB658" i="112"/>
  <c r="AB654" i="112"/>
  <c r="AB657" i="112"/>
  <c r="AB653" i="112"/>
  <c r="AB656" i="112"/>
  <c r="AC54" i="112"/>
  <c r="I54" i="112" s="1"/>
  <c r="AC275" i="112"/>
  <c r="I275" i="112" s="1"/>
  <c r="AC714" i="112"/>
  <c r="I714" i="112" s="1"/>
  <c r="AC711" i="112"/>
  <c r="I711" i="112" s="1"/>
  <c r="BH236" i="164" s="1"/>
  <c r="AB526" i="112"/>
  <c r="AB527" i="112"/>
  <c r="AC215" i="112"/>
  <c r="I215" i="112" s="1"/>
  <c r="AC57" i="112"/>
  <c r="I57" i="112" s="1"/>
  <c r="AC51" i="112"/>
  <c r="I51" i="112" s="1"/>
  <c r="AC213" i="112"/>
  <c r="I213" i="112" s="1"/>
  <c r="AC591" i="112"/>
  <c r="I591" i="112" s="1"/>
  <c r="AC647" i="112"/>
  <c r="I647" i="112" s="1"/>
  <c r="AC593" i="112"/>
  <c r="I593" i="112" s="1"/>
  <c r="AC738" i="112"/>
  <c r="I738" i="112" s="1"/>
  <c r="BG93" i="161" s="1"/>
  <c r="P237" i="166" s="1"/>
  <c r="AA688" i="112"/>
  <c r="AA687" i="112"/>
  <c r="AA689" i="112"/>
  <c r="AB553" i="112"/>
  <c r="AB556" i="112"/>
  <c r="AB543" i="112"/>
  <c r="AB559" i="112"/>
  <c r="AB546" i="112"/>
  <c r="AB562" i="112"/>
  <c r="AB549" i="112"/>
  <c r="AB552" i="112"/>
  <c r="AB555" i="112"/>
  <c r="AB708" i="112"/>
  <c r="AB558" i="112"/>
  <c r="AB545" i="112"/>
  <c r="AB561" i="112"/>
  <c r="AB548" i="112"/>
  <c r="AB551" i="112"/>
  <c r="AB554" i="112"/>
  <c r="AB557" i="112"/>
  <c r="AB544" i="112"/>
  <c r="AB560" i="112"/>
  <c r="AB704" i="112"/>
  <c r="AB547" i="112"/>
  <c r="AB550" i="112"/>
  <c r="AC598" i="112"/>
  <c r="I598" i="112" s="1"/>
  <c r="AC594" i="112"/>
  <c r="I594" i="112" s="1"/>
  <c r="AC646" i="112"/>
  <c r="I646" i="112" s="1"/>
  <c r="AA218" i="112"/>
  <c r="AA63" i="112"/>
  <c r="AA221" i="112"/>
  <c r="AA217" i="112"/>
  <c r="AA30" i="112"/>
  <c r="AA219" i="112"/>
  <c r="AA655" i="112"/>
  <c r="AA658" i="112"/>
  <c r="AA654" i="112"/>
  <c r="AA657" i="112"/>
  <c r="AA653" i="112"/>
  <c r="AA656" i="112"/>
  <c r="AA659" i="112"/>
  <c r="AC322" i="112"/>
  <c r="I322" i="112" s="1"/>
  <c r="AC389" i="112"/>
  <c r="AC758" i="112"/>
  <c r="AC332" i="112"/>
  <c r="I332" i="112" s="1"/>
  <c r="AC88" i="112"/>
  <c r="I88" i="112" s="1"/>
  <c r="BG265" i="146" s="1"/>
  <c r="AC118" i="112"/>
  <c r="I118" i="112" s="1"/>
  <c r="BG262" i="146" s="1"/>
  <c r="AC133" i="112"/>
  <c r="I133" i="112" s="1"/>
  <c r="AC87" i="112"/>
  <c r="I87" i="112" s="1"/>
  <c r="AC108" i="112"/>
  <c r="I108" i="112" s="1"/>
  <c r="BG271" i="146" s="1"/>
  <c r="AC77" i="112"/>
  <c r="I77" i="112" s="1"/>
  <c r="BG259" i="146" s="1"/>
  <c r="AC98" i="112"/>
  <c r="I98" i="112" s="1"/>
  <c r="BG268" i="146" s="1"/>
  <c r="AA563" i="112"/>
  <c r="AA566" i="112"/>
  <c r="AA564" i="112"/>
  <c r="AB734" i="112"/>
  <c r="AB476" i="112"/>
  <c r="AB735" i="112"/>
  <c r="AB364" i="112"/>
  <c r="AB367" i="112"/>
  <c r="AB385" i="112"/>
  <c r="AB370" i="112"/>
  <c r="AB373" i="112"/>
  <c r="AB376" i="112"/>
  <c r="AB379" i="112"/>
  <c r="AB350" i="112"/>
  <c r="AB353" i="112"/>
  <c r="AB366" i="112"/>
  <c r="AB372" i="112"/>
  <c r="AB357" i="112"/>
  <c r="AB360" i="112"/>
  <c r="AB378" i="112"/>
  <c r="AB352" i="112"/>
  <c r="AB383" i="112"/>
  <c r="AB386" i="112"/>
  <c r="AB359" i="112"/>
  <c r="AB53" i="112"/>
  <c r="AB255" i="112"/>
  <c r="AB713" i="112"/>
  <c r="AB259" i="112"/>
  <c r="AC211" i="112"/>
  <c r="I211" i="112" s="1"/>
  <c r="AC9" i="112"/>
  <c r="I9" i="112" s="1"/>
  <c r="AB749" i="112"/>
  <c r="AB759" i="112"/>
  <c r="AB741" i="112"/>
  <c r="AB750" i="112"/>
  <c r="AB651" i="112"/>
  <c r="AB747" i="112"/>
  <c r="AB751" i="112"/>
  <c r="AB748" i="112"/>
  <c r="AB535" i="112"/>
  <c r="AB534" i="112"/>
  <c r="AA753" i="112"/>
  <c r="AA754" i="112"/>
  <c r="AA755" i="112"/>
  <c r="R144" i="187" l="1"/>
  <c r="N144" i="187"/>
  <c r="AQ144" i="187"/>
  <c r="O144" i="187"/>
  <c r="K144" i="187"/>
  <c r="J144" i="187"/>
  <c r="S144" i="187"/>
  <c r="AR144" i="187"/>
  <c r="AN144" i="187"/>
  <c r="G144" i="187"/>
  <c r="AM144" i="187"/>
  <c r="F144" i="187"/>
  <c r="AJ144" i="187"/>
  <c r="Z144" i="187"/>
  <c r="AI144" i="187"/>
  <c r="AE144" i="187"/>
  <c r="AD144" i="187"/>
  <c r="AA144" i="187"/>
  <c r="W144" i="187"/>
  <c r="V144" i="187"/>
  <c r="AE17" i="111"/>
  <c r="AE424" i="111"/>
  <c r="AE91" i="111"/>
  <c r="AE165" i="111"/>
  <c r="AE128" i="111"/>
  <c r="AE498" i="111"/>
  <c r="E424" i="111"/>
  <c r="E498" i="111"/>
  <c r="AE54" i="111"/>
  <c r="E91" i="111"/>
  <c r="E17" i="111"/>
  <c r="E54" i="111"/>
  <c r="E165" i="111"/>
  <c r="E128" i="111"/>
  <c r="H288" i="112"/>
  <c r="L288" i="112"/>
  <c r="N288" i="112" s="1"/>
  <c r="F288" i="112" s="1"/>
  <c r="D288" i="112" s="1"/>
  <c r="H154" i="180" s="1"/>
  <c r="L602" i="112"/>
  <c r="H602" i="112"/>
  <c r="M602" i="112"/>
  <c r="N602" i="112" s="1"/>
  <c r="F602" i="112" s="1"/>
  <c r="D602" i="112" s="1"/>
  <c r="M601" i="112"/>
  <c r="H601" i="112"/>
  <c r="L601" i="112"/>
  <c r="H634" i="112"/>
  <c r="M634" i="112"/>
  <c r="L634" i="112"/>
  <c r="L633" i="112"/>
  <c r="M633" i="112"/>
  <c r="H633" i="112"/>
  <c r="H632" i="112"/>
  <c r="M632" i="112"/>
  <c r="L632" i="112"/>
  <c r="H629" i="112"/>
  <c r="M629" i="112"/>
  <c r="L629" i="112"/>
  <c r="H631" i="112"/>
  <c r="M631" i="112"/>
  <c r="L631" i="112"/>
  <c r="H627" i="112"/>
  <c r="L627" i="112"/>
  <c r="M627" i="112"/>
  <c r="L626" i="112"/>
  <c r="H626" i="112"/>
  <c r="M626" i="112"/>
  <c r="H628" i="112"/>
  <c r="M628" i="112"/>
  <c r="L628" i="112"/>
  <c r="L630" i="112"/>
  <c r="H630" i="112"/>
  <c r="M630" i="112"/>
  <c r="N6" i="111"/>
  <c r="L7" i="111"/>
  <c r="H625" i="112"/>
  <c r="L625" i="112"/>
  <c r="M625" i="112"/>
  <c r="N625" i="112" s="1"/>
  <c r="F625" i="112" s="1"/>
  <c r="D625" i="112" s="1"/>
  <c r="M195" i="112"/>
  <c r="N195" i="112" s="1"/>
  <c r="G23" i="164"/>
  <c r="P95" i="166"/>
  <c r="H195" i="112"/>
  <c r="H676" i="112"/>
  <c r="H276" i="112"/>
  <c r="M276" i="112"/>
  <c r="L276" i="112"/>
  <c r="D132" i="132"/>
  <c r="Y81" i="132" s="1"/>
  <c r="Y80" i="132" s="1"/>
  <c r="D130" i="132"/>
  <c r="W81" i="132" s="1"/>
  <c r="W80" i="132" s="1"/>
  <c r="D131" i="132"/>
  <c r="X81" i="132" s="1"/>
  <c r="X80" i="132" s="1"/>
  <c r="D127" i="132"/>
  <c r="T81" i="132" s="1"/>
  <c r="T90" i="132" s="1"/>
  <c r="D129" i="132"/>
  <c r="V81" i="132" s="1"/>
  <c r="V91" i="132" s="1"/>
  <c r="D126" i="132"/>
  <c r="S81" i="132" s="1"/>
  <c r="S80" i="132" s="1"/>
  <c r="D124" i="132"/>
  <c r="Q81" i="132" s="1"/>
  <c r="Q80" i="132" s="1"/>
  <c r="D122" i="132"/>
  <c r="O81" i="132" s="1"/>
  <c r="O80" i="132" s="1"/>
  <c r="D125" i="132"/>
  <c r="R81" i="132" s="1"/>
  <c r="R80" i="132" s="1"/>
  <c r="D121" i="132"/>
  <c r="N81" i="132" s="1"/>
  <c r="N80" i="132" s="1"/>
  <c r="D123" i="132"/>
  <c r="P81" i="132" s="1"/>
  <c r="P80" i="132" s="1"/>
  <c r="D119" i="132"/>
  <c r="L81" i="132" s="1"/>
  <c r="L80" i="132" s="1"/>
  <c r="D117" i="132"/>
  <c r="J81" i="132" s="1"/>
  <c r="J80" i="132" s="1"/>
  <c r="D120" i="132"/>
  <c r="M81" i="132" s="1"/>
  <c r="M80" i="132" s="1"/>
  <c r="D116" i="132"/>
  <c r="I81" i="132" s="1"/>
  <c r="I80" i="132" s="1"/>
  <c r="D115" i="132"/>
  <c r="H81" i="132" s="1"/>
  <c r="D118" i="132"/>
  <c r="K81" i="132" s="1"/>
  <c r="K80" i="132" s="1"/>
  <c r="D128" i="132"/>
  <c r="U81" i="132" s="1"/>
  <c r="U96" i="132" s="1"/>
  <c r="H694" i="112"/>
  <c r="L694" i="112"/>
  <c r="N694" i="112" s="1"/>
  <c r="F694" i="112" s="1"/>
  <c r="D694" i="112" s="1"/>
  <c r="G32" i="199" s="1"/>
  <c r="H700" i="112"/>
  <c r="L700" i="112"/>
  <c r="M700" i="112"/>
  <c r="L697" i="112"/>
  <c r="M697" i="112"/>
  <c r="H697" i="112"/>
  <c r="L683" i="112"/>
  <c r="M683" i="112"/>
  <c r="H683" i="112"/>
  <c r="H13" i="112"/>
  <c r="M13" i="112"/>
  <c r="N13" i="112" s="1"/>
  <c r="H684" i="112"/>
  <c r="D32" i="203"/>
  <c r="D33" i="203"/>
  <c r="D34" i="203"/>
  <c r="D37" i="203"/>
  <c r="D36" i="203"/>
  <c r="D35" i="203"/>
  <c r="H290" i="112"/>
  <c r="M673" i="112"/>
  <c r="N673" i="112" s="1"/>
  <c r="F673" i="112" s="1"/>
  <c r="D673" i="112" s="1"/>
  <c r="M684" i="112"/>
  <c r="N684" i="112" s="1"/>
  <c r="M676" i="112"/>
  <c r="N676" i="112" s="1"/>
  <c r="M465" i="112"/>
  <c r="L465" i="112"/>
  <c r="M468" i="112"/>
  <c r="L468" i="112"/>
  <c r="L467" i="112"/>
  <c r="M467" i="112"/>
  <c r="M460" i="112"/>
  <c r="L460" i="112"/>
  <c r="H461" i="112"/>
  <c r="M474" i="112"/>
  <c r="L474" i="112"/>
  <c r="H474" i="112"/>
  <c r="M461" i="112"/>
  <c r="N461" i="112" s="1"/>
  <c r="L464" i="112"/>
  <c r="M464" i="112"/>
  <c r="L463" i="112"/>
  <c r="M463" i="112"/>
  <c r="M466" i="112"/>
  <c r="L466" i="112"/>
  <c r="M473" i="112"/>
  <c r="L473" i="112"/>
  <c r="H473" i="112"/>
  <c r="H295" i="112"/>
  <c r="L155" i="112"/>
  <c r="M155" i="112"/>
  <c r="M471" i="112"/>
  <c r="H471" i="112"/>
  <c r="M462" i="112"/>
  <c r="M472" i="112"/>
  <c r="H472" i="112"/>
  <c r="M469" i="112"/>
  <c r="H469" i="112"/>
  <c r="M470" i="112"/>
  <c r="H470" i="112"/>
  <c r="L295" i="112"/>
  <c r="N295" i="112" s="1"/>
  <c r="H316" i="112"/>
  <c r="H610" i="112"/>
  <c r="L610" i="112"/>
  <c r="M610" i="112"/>
  <c r="H603" i="112"/>
  <c r="M603" i="112"/>
  <c r="L603" i="112"/>
  <c r="H608" i="112"/>
  <c r="M608" i="112"/>
  <c r="L608" i="112"/>
  <c r="V456" i="112"/>
  <c r="F456" i="112"/>
  <c r="D456" i="112" s="1"/>
  <c r="H615" i="112"/>
  <c r="L615" i="112"/>
  <c r="M615" i="112"/>
  <c r="H617" i="112"/>
  <c r="M617" i="112"/>
  <c r="L617" i="112"/>
  <c r="H623" i="112"/>
  <c r="L623" i="112"/>
  <c r="M623" i="112"/>
  <c r="H606" i="112"/>
  <c r="L606" i="112"/>
  <c r="M606" i="112"/>
  <c r="H621" i="112"/>
  <c r="M621" i="112"/>
  <c r="L621" i="112"/>
  <c r="H613" i="112"/>
  <c r="L613" i="112"/>
  <c r="M613" i="112"/>
  <c r="M316" i="112"/>
  <c r="N316" i="112" s="1"/>
  <c r="M619" i="112"/>
  <c r="H619" i="112"/>
  <c r="L619" i="112"/>
  <c r="L536" i="112"/>
  <c r="M536" i="112"/>
  <c r="H536" i="112"/>
  <c r="H624" i="112"/>
  <c r="L624" i="112"/>
  <c r="M624" i="112"/>
  <c r="M145" i="112"/>
  <c r="H145" i="112"/>
  <c r="L145" i="112"/>
  <c r="L611" i="112"/>
  <c r="H611" i="112"/>
  <c r="M611" i="112"/>
  <c r="H622" i="112"/>
  <c r="L622" i="112"/>
  <c r="M622" i="112"/>
  <c r="N11" i="112"/>
  <c r="F11" i="112" s="1"/>
  <c r="D11" i="112" s="1"/>
  <c r="L620" i="112"/>
  <c r="H620" i="112"/>
  <c r="M620" i="112"/>
  <c r="H609" i="112"/>
  <c r="L609" i="112"/>
  <c r="M609" i="112"/>
  <c r="H618" i="112"/>
  <c r="M618" i="112"/>
  <c r="L618" i="112"/>
  <c r="M17" i="112"/>
  <c r="L17" i="112"/>
  <c r="H17" i="112"/>
  <c r="H616" i="112"/>
  <c r="M616" i="112"/>
  <c r="L616" i="112"/>
  <c r="H18" i="112"/>
  <c r="L18" i="112"/>
  <c r="M18" i="112"/>
  <c r="M224" i="112"/>
  <c r="H224" i="112"/>
  <c r="L224" i="112"/>
  <c r="H614" i="112"/>
  <c r="L614" i="112"/>
  <c r="M614" i="112"/>
  <c r="M12" i="112"/>
  <c r="L12" i="112"/>
  <c r="N147" i="112"/>
  <c r="F147" i="112" s="1"/>
  <c r="D147" i="112" s="1"/>
  <c r="M14" i="112"/>
  <c r="L14" i="112"/>
  <c r="H14" i="112"/>
  <c r="H607" i="112"/>
  <c r="L607" i="112"/>
  <c r="M607" i="112"/>
  <c r="H538" i="112"/>
  <c r="L538" i="112"/>
  <c r="M538" i="112"/>
  <c r="L225" i="112"/>
  <c r="M225" i="112"/>
  <c r="H225" i="112"/>
  <c r="H605" i="112"/>
  <c r="M605" i="112"/>
  <c r="L605" i="112"/>
  <c r="M146" i="112"/>
  <c r="H146" i="112"/>
  <c r="L146" i="112"/>
  <c r="L537" i="112"/>
  <c r="M537" i="112"/>
  <c r="H537" i="112"/>
  <c r="M612" i="112"/>
  <c r="L612" i="112"/>
  <c r="H612" i="112"/>
  <c r="H226" i="112"/>
  <c r="BE221" i="143" s="1"/>
  <c r="I106" i="143" s="1"/>
  <c r="L593" i="112"/>
  <c r="M593" i="112"/>
  <c r="L33" i="112"/>
  <c r="M33" i="112"/>
  <c r="L232" i="112"/>
  <c r="M232" i="112"/>
  <c r="L534" i="112"/>
  <c r="M534" i="112"/>
  <c r="M555" i="112"/>
  <c r="L555" i="112"/>
  <c r="L656" i="112"/>
  <c r="M656" i="112"/>
  <c r="L49" i="112"/>
  <c r="M49" i="112"/>
  <c r="L230" i="112"/>
  <c r="M230" i="112"/>
  <c r="L535" i="112"/>
  <c r="M535" i="112"/>
  <c r="L552" i="112"/>
  <c r="M552" i="112"/>
  <c r="L732" i="112"/>
  <c r="M732" i="112"/>
  <c r="L575" i="112"/>
  <c r="M575" i="112"/>
  <c r="L569" i="112"/>
  <c r="M569" i="112"/>
  <c r="L300" i="112"/>
  <c r="M300" i="112"/>
  <c r="L764" i="112"/>
  <c r="M764" i="112"/>
  <c r="M29" i="112"/>
  <c r="L29" i="112"/>
  <c r="M58" i="112"/>
  <c r="L58" i="112"/>
  <c r="M59" i="112"/>
  <c r="L59" i="112"/>
  <c r="M450" i="112"/>
  <c r="L450" i="112"/>
  <c r="L663" i="112"/>
  <c r="M663" i="112"/>
  <c r="L408" i="112"/>
  <c r="M408" i="112"/>
  <c r="M350" i="112"/>
  <c r="L350" i="112"/>
  <c r="BI145" i="162" s="1"/>
  <c r="L581" i="112"/>
  <c r="BI105" i="142" s="1"/>
  <c r="M581" i="112"/>
  <c r="M361" i="112"/>
  <c r="L361" i="112"/>
  <c r="BI161" i="162" s="1"/>
  <c r="L138" i="112"/>
  <c r="M138" i="112"/>
  <c r="L97" i="112"/>
  <c r="BI266" i="146" s="1"/>
  <c r="M97" i="112"/>
  <c r="L289" i="112"/>
  <c r="M289" i="112"/>
  <c r="L699" i="112"/>
  <c r="M699" i="112"/>
  <c r="L722" i="112"/>
  <c r="M722" i="112"/>
  <c r="L530" i="112"/>
  <c r="M530" i="112"/>
  <c r="L153" i="112"/>
  <c r="M153" i="112"/>
  <c r="L177" i="112"/>
  <c r="M177" i="112"/>
  <c r="L762" i="112"/>
  <c r="M762" i="112"/>
  <c r="L739" i="112"/>
  <c r="BI94" i="161" s="1"/>
  <c r="M739" i="112"/>
  <c r="L760" i="112"/>
  <c r="BI112" i="142" s="1"/>
  <c r="M760" i="112"/>
  <c r="L529" i="112"/>
  <c r="M529" i="112"/>
  <c r="L257" i="112"/>
  <c r="M257" i="112"/>
  <c r="L41" i="112"/>
  <c r="M41" i="112"/>
  <c r="L332" i="112"/>
  <c r="M332" i="112"/>
  <c r="M550" i="112"/>
  <c r="L550" i="112"/>
  <c r="M562" i="112"/>
  <c r="L562" i="112"/>
  <c r="L9" i="112"/>
  <c r="M9" i="112"/>
  <c r="L643" i="112"/>
  <c r="M643" i="112"/>
  <c r="L584" i="112"/>
  <c r="M584" i="112"/>
  <c r="L16" i="112"/>
  <c r="M16" i="112"/>
  <c r="L647" i="112"/>
  <c r="M647" i="112"/>
  <c r="L335" i="112"/>
  <c r="M335" i="112"/>
  <c r="L572" i="112"/>
  <c r="M572" i="112"/>
  <c r="L336" i="112"/>
  <c r="M336" i="112"/>
  <c r="L728" i="112"/>
  <c r="M728" i="112"/>
  <c r="L677" i="112"/>
  <c r="M677" i="112"/>
  <c r="M245" i="112"/>
  <c r="L245" i="112"/>
  <c r="M183" i="112"/>
  <c r="L183" i="112"/>
  <c r="L312" i="112"/>
  <c r="M312" i="112"/>
  <c r="L645" i="112"/>
  <c r="M645" i="112"/>
  <c r="L740" i="112"/>
  <c r="BI92" i="161" s="1"/>
  <c r="M740" i="112"/>
  <c r="L376" i="112"/>
  <c r="BI143" i="162" s="1"/>
  <c r="M376" i="112"/>
  <c r="L68" i="112"/>
  <c r="M68" i="112"/>
  <c r="H638" i="112"/>
  <c r="L638" i="112"/>
  <c r="M638" i="112"/>
  <c r="L696" i="112"/>
  <c r="M696" i="112"/>
  <c r="L720" i="112"/>
  <c r="M720" i="112"/>
  <c r="L528" i="112"/>
  <c r="M528" i="112"/>
  <c r="L162" i="112"/>
  <c r="M162" i="112"/>
  <c r="L657" i="112"/>
  <c r="M657" i="112"/>
  <c r="L654" i="112"/>
  <c r="M654" i="112"/>
  <c r="L272" i="112"/>
  <c r="M272" i="112"/>
  <c r="M711" i="112"/>
  <c r="L711" i="112"/>
  <c r="BJ236" i="164" s="1"/>
  <c r="M23" i="164" s="1"/>
  <c r="L231" i="112"/>
  <c r="M231" i="112"/>
  <c r="L758" i="112"/>
  <c r="M758" i="112"/>
  <c r="M547" i="112"/>
  <c r="L547" i="112"/>
  <c r="L546" i="112"/>
  <c r="M546" i="112"/>
  <c r="L211" i="112"/>
  <c r="M211" i="112"/>
  <c r="L690" i="112"/>
  <c r="M690" i="112"/>
  <c r="L45" i="112"/>
  <c r="M45" i="112"/>
  <c r="L220" i="112"/>
  <c r="M220" i="112"/>
  <c r="M591" i="112"/>
  <c r="L591" i="112"/>
  <c r="L301" i="112"/>
  <c r="M301" i="112"/>
  <c r="L523" i="112"/>
  <c r="M523" i="112"/>
  <c r="L280" i="112"/>
  <c r="M280" i="112"/>
  <c r="L573" i="112"/>
  <c r="M573" i="112"/>
  <c r="L706" i="112"/>
  <c r="M706" i="112"/>
  <c r="L325" i="112"/>
  <c r="M325" i="112"/>
  <c r="L209" i="112"/>
  <c r="M209" i="112"/>
  <c r="M246" i="112"/>
  <c r="L246" i="112"/>
  <c r="M253" i="112"/>
  <c r="L253" i="112"/>
  <c r="L279" i="112"/>
  <c r="M279" i="112"/>
  <c r="L215" i="112"/>
  <c r="M215" i="112"/>
  <c r="M385" i="112"/>
  <c r="L385" i="112"/>
  <c r="BI147" i="162" s="1"/>
  <c r="L373" i="112"/>
  <c r="M373" i="112"/>
  <c r="L679" i="112"/>
  <c r="M679" i="112"/>
  <c r="L641" i="112"/>
  <c r="M641" i="112"/>
  <c r="M67" i="112"/>
  <c r="L67" i="112"/>
  <c r="L692" i="112"/>
  <c r="M692" i="112"/>
  <c r="L669" i="112"/>
  <c r="M669" i="112"/>
  <c r="L158" i="112"/>
  <c r="M158" i="112"/>
  <c r="L170" i="112"/>
  <c r="M170" i="112"/>
  <c r="M322" i="112"/>
  <c r="L322" i="112"/>
  <c r="L171" i="112"/>
  <c r="M171" i="112"/>
  <c r="L658" i="112"/>
  <c r="M658" i="112"/>
  <c r="M227" i="112"/>
  <c r="L227" i="112"/>
  <c r="L267" i="112"/>
  <c r="M267" i="112"/>
  <c r="L714" i="112"/>
  <c r="M714" i="112"/>
  <c r="L559" i="112"/>
  <c r="M559" i="112"/>
  <c r="L686" i="112"/>
  <c r="M686" i="112"/>
  <c r="L141" i="112"/>
  <c r="M141" i="112"/>
  <c r="L144" i="112"/>
  <c r="M144" i="112"/>
  <c r="L62" i="112"/>
  <c r="M62" i="112"/>
  <c r="M269" i="112"/>
  <c r="L269" i="112"/>
  <c r="M339" i="112"/>
  <c r="L339" i="112"/>
  <c r="L258" i="112"/>
  <c r="M258" i="112"/>
  <c r="L318" i="112"/>
  <c r="M318" i="112"/>
  <c r="L636" i="112"/>
  <c r="M636" i="112"/>
  <c r="L241" i="112"/>
  <c r="M241" i="112"/>
  <c r="L61" i="112"/>
  <c r="M61" i="112"/>
  <c r="L210" i="112"/>
  <c r="M210" i="112"/>
  <c r="L180" i="112"/>
  <c r="M180" i="112"/>
  <c r="L32" i="112"/>
  <c r="M32" i="112"/>
  <c r="L51" i="112"/>
  <c r="N51" i="112" s="1"/>
  <c r="L367" i="112"/>
  <c r="BI154" i="162" s="1"/>
  <c r="M367" i="112"/>
  <c r="L370" i="112"/>
  <c r="M370" i="112"/>
  <c r="L342" i="112"/>
  <c r="BI111" i="142" s="1"/>
  <c r="M342" i="112"/>
  <c r="L567" i="112"/>
  <c r="M567" i="112"/>
  <c r="L642" i="112"/>
  <c r="M642" i="112"/>
  <c r="L72" i="112"/>
  <c r="M72" i="112"/>
  <c r="L302" i="112"/>
  <c r="M302" i="112"/>
  <c r="L222" i="112"/>
  <c r="M222" i="112"/>
  <c r="L198" i="112"/>
  <c r="M198" i="112"/>
  <c r="L294" i="112"/>
  <c r="M294" i="112"/>
  <c r="L693" i="112"/>
  <c r="M693" i="112"/>
  <c r="L148" i="112"/>
  <c r="M148" i="112"/>
  <c r="L156" i="112"/>
  <c r="M156" i="112"/>
  <c r="L167" i="112"/>
  <c r="M167" i="112"/>
  <c r="L549" i="112"/>
  <c r="M549" i="112"/>
  <c r="L522" i="112"/>
  <c r="M522" i="112"/>
  <c r="L582" i="112"/>
  <c r="M582" i="112"/>
  <c r="L655" i="112"/>
  <c r="M655" i="112"/>
  <c r="L689" i="112"/>
  <c r="M689" i="112"/>
  <c r="L229" i="112"/>
  <c r="M229" i="112"/>
  <c r="L264" i="112"/>
  <c r="M264" i="112"/>
  <c r="L275" i="112"/>
  <c r="M275" i="112"/>
  <c r="H388" i="112"/>
  <c r="L388" i="112"/>
  <c r="N388" i="112" s="1"/>
  <c r="M560" i="112"/>
  <c r="L560" i="112"/>
  <c r="M543" i="112"/>
  <c r="L543" i="112"/>
  <c r="L596" i="112"/>
  <c r="M596" i="112"/>
  <c r="L585" i="112"/>
  <c r="M585" i="112"/>
  <c r="L266" i="112"/>
  <c r="M266" i="112"/>
  <c r="L283" i="112"/>
  <c r="M283" i="112"/>
  <c r="L37" i="112"/>
  <c r="M37" i="112"/>
  <c r="L284" i="112"/>
  <c r="M284" i="112"/>
  <c r="L447" i="112"/>
  <c r="M447" i="112"/>
  <c r="M139" i="112"/>
  <c r="L139" i="112"/>
  <c r="L43" i="112"/>
  <c r="M43" i="112"/>
  <c r="M243" i="112"/>
  <c r="L243" i="112"/>
  <c r="L5" i="112"/>
  <c r="M5" i="112"/>
  <c r="L277" i="112"/>
  <c r="M277" i="112"/>
  <c r="L57" i="112"/>
  <c r="N57" i="112" s="1"/>
  <c r="L364" i="112"/>
  <c r="BI144" i="162" s="1"/>
  <c r="M364" i="112"/>
  <c r="L343" i="112"/>
  <c r="BI109" i="142" s="1"/>
  <c r="M343" i="112"/>
  <c r="L142" i="112"/>
  <c r="M142" i="112"/>
  <c r="L640" i="112"/>
  <c r="M640" i="112"/>
  <c r="L76" i="112"/>
  <c r="M76" i="112"/>
  <c r="L286" i="112"/>
  <c r="M286" i="112"/>
  <c r="H65" i="112"/>
  <c r="L65" i="112"/>
  <c r="M65" i="112"/>
  <c r="L55" i="112"/>
  <c r="M55" i="112"/>
  <c r="M580" i="112"/>
  <c r="L580" i="112"/>
  <c r="L149" i="112"/>
  <c r="M149" i="112"/>
  <c r="L157" i="112"/>
  <c r="M157" i="112"/>
  <c r="L164" i="112"/>
  <c r="M164" i="112"/>
  <c r="N703" i="112"/>
  <c r="F703" i="112" s="1"/>
  <c r="D703" i="112" s="1"/>
  <c r="L219" i="112"/>
  <c r="M219" i="112"/>
  <c r="L687" i="112"/>
  <c r="M687" i="112"/>
  <c r="L228" i="112"/>
  <c r="M228" i="112"/>
  <c r="M261" i="112"/>
  <c r="L261" i="112"/>
  <c r="L54" i="112"/>
  <c r="M54" i="112"/>
  <c r="H362" i="112"/>
  <c r="L362" i="112"/>
  <c r="N362" i="112" s="1"/>
  <c r="L544" i="112"/>
  <c r="M544" i="112"/>
  <c r="L556" i="112"/>
  <c r="M556" i="112"/>
  <c r="L273" i="112"/>
  <c r="M273" i="112"/>
  <c r="L48" i="112"/>
  <c r="M48" i="112"/>
  <c r="L263" i="112"/>
  <c r="M263" i="112"/>
  <c r="L779" i="112"/>
  <c r="M779" i="112"/>
  <c r="L24" i="112"/>
  <c r="M24" i="112"/>
  <c r="L216" i="112"/>
  <c r="M216" i="112"/>
  <c r="L328" i="112"/>
  <c r="M328" i="112"/>
  <c r="L238" i="112"/>
  <c r="M238" i="112"/>
  <c r="L206" i="112"/>
  <c r="M206" i="112"/>
  <c r="L143" i="112"/>
  <c r="M143" i="112"/>
  <c r="L208" i="112"/>
  <c r="M208" i="112"/>
  <c r="M213" i="112"/>
  <c r="L213" i="112"/>
  <c r="M359" i="112"/>
  <c r="L359" i="112"/>
  <c r="BI146" i="162" s="1"/>
  <c r="L344" i="112"/>
  <c r="BI110" i="142" s="1"/>
  <c r="M344" i="112"/>
  <c r="L600" i="112"/>
  <c r="BI91" i="161" s="1"/>
  <c r="N37" i="161" s="1"/>
  <c r="M600" i="112"/>
  <c r="M178" i="112"/>
  <c r="L178" i="112"/>
  <c r="M75" i="112"/>
  <c r="L75" i="112"/>
  <c r="M150" i="112"/>
  <c r="L150" i="112"/>
  <c r="L169" i="112"/>
  <c r="M169" i="112"/>
  <c r="L588" i="112"/>
  <c r="BI89" i="161" s="1"/>
  <c r="M588" i="112"/>
  <c r="L324" i="112"/>
  <c r="M324" i="112"/>
  <c r="L331" i="112"/>
  <c r="M331" i="112"/>
  <c r="L379" i="112"/>
  <c r="BI153" i="162" s="1"/>
  <c r="M379" i="112"/>
  <c r="L688" i="112"/>
  <c r="M688" i="112"/>
  <c r="L98" i="112"/>
  <c r="BI268" i="146" s="1"/>
  <c r="M98" i="112"/>
  <c r="L256" i="112"/>
  <c r="M256" i="112"/>
  <c r="H381" i="112"/>
  <c r="L381" i="112"/>
  <c r="N381" i="112" s="1"/>
  <c r="M557" i="112"/>
  <c r="L557" i="112"/>
  <c r="L666" i="112"/>
  <c r="M666" i="112"/>
  <c r="L254" i="112"/>
  <c r="M254" i="112"/>
  <c r="L729" i="112"/>
  <c r="M729" i="112"/>
  <c r="L777" i="112"/>
  <c r="M777" i="112"/>
  <c r="L730" i="112"/>
  <c r="M730" i="112"/>
  <c r="L570" i="112"/>
  <c r="M570" i="112"/>
  <c r="L297" i="112"/>
  <c r="M297" i="112"/>
  <c r="M205" i="112"/>
  <c r="L205" i="112"/>
  <c r="L136" i="112"/>
  <c r="M136" i="112"/>
  <c r="L38" i="112"/>
  <c r="M38" i="112"/>
  <c r="L42" i="112"/>
  <c r="M42" i="112"/>
  <c r="L532" i="112"/>
  <c r="M532" i="112"/>
  <c r="M386" i="112"/>
  <c r="L386" i="112"/>
  <c r="BI152" i="162" s="1"/>
  <c r="L354" i="112"/>
  <c r="BI165" i="162" s="1"/>
  <c r="M354" i="112"/>
  <c r="L179" i="112"/>
  <c r="M179" i="112"/>
  <c r="M577" i="112"/>
  <c r="L577" i="112"/>
  <c r="L161" i="112"/>
  <c r="M161" i="112"/>
  <c r="L77" i="112"/>
  <c r="BI259" i="146" s="1"/>
  <c r="M77" i="112"/>
  <c r="L527" i="112"/>
  <c r="M527" i="112"/>
  <c r="L268" i="112"/>
  <c r="M268" i="112"/>
  <c r="M554" i="112"/>
  <c r="L554" i="112"/>
  <c r="L587" i="112"/>
  <c r="M587" i="112"/>
  <c r="L3" i="112"/>
  <c r="BI122" i="163" s="1"/>
  <c r="M3" i="112"/>
  <c r="M775" i="112"/>
  <c r="L775" i="112"/>
  <c r="L712" i="112"/>
  <c r="M712" i="112"/>
  <c r="L271" i="112"/>
  <c r="M271" i="112"/>
  <c r="L34" i="112"/>
  <c r="M34" i="112"/>
  <c r="L25" i="112"/>
  <c r="M25" i="112"/>
  <c r="L533" i="112"/>
  <c r="M533" i="112"/>
  <c r="L592" i="112"/>
  <c r="M592" i="112"/>
  <c r="L383" i="112"/>
  <c r="BI142" i="162" s="1"/>
  <c r="M383" i="112"/>
  <c r="L598" i="112"/>
  <c r="M598" i="112"/>
  <c r="L250" i="112"/>
  <c r="M250" i="112"/>
  <c r="H64" i="112"/>
  <c r="M64" i="112"/>
  <c r="L64" i="112"/>
  <c r="L578" i="112"/>
  <c r="M578" i="112"/>
  <c r="L716" i="112"/>
  <c r="M716" i="112"/>
  <c r="M166" i="112"/>
  <c r="L166" i="112"/>
  <c r="L260" i="112"/>
  <c r="M260" i="112"/>
  <c r="L526" i="112"/>
  <c r="M526" i="112"/>
  <c r="M551" i="112"/>
  <c r="L551" i="112"/>
  <c r="L597" i="112"/>
  <c r="M597" i="112"/>
  <c r="L46" i="112"/>
  <c r="M46" i="112"/>
  <c r="L595" i="112"/>
  <c r="M595" i="112"/>
  <c r="L662" i="112"/>
  <c r="M662" i="112"/>
  <c r="M310" i="112"/>
  <c r="L310" i="112"/>
  <c r="M773" i="112"/>
  <c r="L773" i="112"/>
  <c r="L333" i="112"/>
  <c r="M333" i="112"/>
  <c r="L453" i="112"/>
  <c r="M453" i="112"/>
  <c r="L778" i="112"/>
  <c r="M778" i="112"/>
  <c r="L20" i="112"/>
  <c r="M20" i="112"/>
  <c r="L21" i="112"/>
  <c r="M21" i="112"/>
  <c r="M240" i="112"/>
  <c r="L240" i="112"/>
  <c r="L313" i="112"/>
  <c r="M313" i="112"/>
  <c r="L589" i="112"/>
  <c r="M589" i="112"/>
  <c r="M352" i="112"/>
  <c r="L352" i="112"/>
  <c r="BI150" i="162" s="1"/>
  <c r="L374" i="112"/>
  <c r="M374" i="112"/>
  <c r="L646" i="112"/>
  <c r="M646" i="112"/>
  <c r="M382" i="112"/>
  <c r="L382" i="112"/>
  <c r="BI157" i="162" s="1"/>
  <c r="L540" i="112"/>
  <c r="BI108" i="142" s="1"/>
  <c r="M540" i="112"/>
  <c r="L726" i="112"/>
  <c r="M726" i="112"/>
  <c r="M74" i="112"/>
  <c r="L74" i="112"/>
  <c r="L163" i="112"/>
  <c r="M163" i="112"/>
  <c r="L176" i="112"/>
  <c r="M176" i="112"/>
  <c r="M207" i="112"/>
  <c r="L207" i="112"/>
  <c r="L553" i="112"/>
  <c r="M553" i="112"/>
  <c r="L323" i="112"/>
  <c r="M323" i="112"/>
  <c r="M242" i="112"/>
  <c r="L242" i="112"/>
  <c r="M52" i="112"/>
  <c r="L52" i="112"/>
  <c r="L664" i="112"/>
  <c r="M664" i="112"/>
  <c r="L10" i="112"/>
  <c r="M10" i="112"/>
  <c r="L291" i="112"/>
  <c r="M291" i="112"/>
  <c r="L698" i="112"/>
  <c r="M698" i="112"/>
  <c r="L702" i="112"/>
  <c r="M702" i="112"/>
  <c r="L719" i="112"/>
  <c r="M719" i="112"/>
  <c r="L30" i="112"/>
  <c r="M30" i="112"/>
  <c r="L63" i="112"/>
  <c r="M63" i="112"/>
  <c r="L262" i="112"/>
  <c r="M262" i="112"/>
  <c r="M548" i="112"/>
  <c r="L548" i="112"/>
  <c r="L691" i="112"/>
  <c r="M691" i="112"/>
  <c r="L223" i="112"/>
  <c r="M223" i="112"/>
  <c r="M599" i="112"/>
  <c r="L599" i="112"/>
  <c r="M705" i="112"/>
  <c r="L705" i="112"/>
  <c r="BI219" i="143" s="1"/>
  <c r="L298" i="112"/>
  <c r="M298" i="112"/>
  <c r="M771" i="112"/>
  <c r="L771" i="112"/>
  <c r="L299" i="112"/>
  <c r="M299" i="112"/>
  <c r="L337" i="112"/>
  <c r="M337" i="112"/>
  <c r="M776" i="112"/>
  <c r="L776" i="112"/>
  <c r="M235" i="112"/>
  <c r="L235" i="112"/>
  <c r="M236" i="112"/>
  <c r="L236" i="112"/>
  <c r="L140" i="112"/>
  <c r="M140" i="112"/>
  <c r="L348" i="112"/>
  <c r="M348" i="112"/>
  <c r="M378" i="112"/>
  <c r="L378" i="112"/>
  <c r="BI148" i="162" s="1"/>
  <c r="L594" i="112"/>
  <c r="M594" i="112"/>
  <c r="L380" i="112"/>
  <c r="BI163" i="162" s="1"/>
  <c r="M380" i="112"/>
  <c r="L542" i="112"/>
  <c r="M542" i="112"/>
  <c r="L725" i="112"/>
  <c r="M725" i="112"/>
  <c r="M73" i="112"/>
  <c r="L73" i="112"/>
  <c r="L160" i="112"/>
  <c r="M160" i="112"/>
  <c r="L165" i="112"/>
  <c r="M165" i="112"/>
  <c r="L173" i="112"/>
  <c r="M173" i="112"/>
  <c r="L218" i="112"/>
  <c r="M218" i="112"/>
  <c r="L251" i="112"/>
  <c r="M251" i="112"/>
  <c r="L259" i="112"/>
  <c r="M259" i="112"/>
  <c r="L648" i="112"/>
  <c r="M648" i="112"/>
  <c r="L561" i="112"/>
  <c r="M561" i="112"/>
  <c r="L274" i="112"/>
  <c r="M274" i="112"/>
  <c r="L4" i="112"/>
  <c r="M4" i="112"/>
  <c r="L270" i="112"/>
  <c r="M270" i="112"/>
  <c r="L574" i="112"/>
  <c r="M574" i="112"/>
  <c r="M40" i="112"/>
  <c r="L40" i="112"/>
  <c r="M769" i="112"/>
  <c r="L769" i="112"/>
  <c r="M60" i="112"/>
  <c r="L60" i="112"/>
  <c r="L281" i="112"/>
  <c r="M281" i="112"/>
  <c r="M774" i="112"/>
  <c r="L774" i="112"/>
  <c r="L184" i="112"/>
  <c r="M184" i="112"/>
  <c r="M203" i="112"/>
  <c r="L203" i="112"/>
  <c r="L137" i="112"/>
  <c r="M137" i="112"/>
  <c r="L317" i="112"/>
  <c r="M317" i="112"/>
  <c r="L360" i="112"/>
  <c r="BI151" i="162" s="1"/>
  <c r="M360" i="112"/>
  <c r="L368" i="112"/>
  <c r="BI164" i="162" s="1"/>
  <c r="M368" i="112"/>
  <c r="L735" i="112"/>
  <c r="M735" i="112"/>
  <c r="M756" i="112"/>
  <c r="L756" i="112"/>
  <c r="L539" i="112"/>
  <c r="BI107" i="142" s="1"/>
  <c r="M539" i="112"/>
  <c r="M69" i="112"/>
  <c r="L69" i="112"/>
  <c r="L303" i="112"/>
  <c r="M303" i="112"/>
  <c r="N303" i="112" s="1"/>
  <c r="L670" i="112"/>
  <c r="M670" i="112"/>
  <c r="L717" i="112"/>
  <c r="M717" i="112"/>
  <c r="L199" i="112"/>
  <c r="M199" i="112"/>
  <c r="L168" i="112"/>
  <c r="M168" i="112"/>
  <c r="L653" i="112"/>
  <c r="M653" i="112"/>
  <c r="L19" i="112"/>
  <c r="M19" i="112"/>
  <c r="L217" i="112"/>
  <c r="M217" i="112"/>
  <c r="M108" i="112"/>
  <c r="L108" i="112"/>
  <c r="BI271" i="146" s="1"/>
  <c r="L252" i="112"/>
  <c r="M252" i="112"/>
  <c r="L713" i="112"/>
  <c r="M713" i="112"/>
  <c r="L681" i="112"/>
  <c r="M681" i="112"/>
  <c r="L545" i="112"/>
  <c r="M545" i="112"/>
  <c r="L44" i="112"/>
  <c r="M44" i="112"/>
  <c r="L214" i="112"/>
  <c r="M214" i="112"/>
  <c r="L285" i="112"/>
  <c r="M285" i="112"/>
  <c r="L525" i="112"/>
  <c r="M525" i="112"/>
  <c r="L767" i="112"/>
  <c r="M767" i="112"/>
  <c r="L36" i="112"/>
  <c r="M36" i="112"/>
  <c r="L731" i="112"/>
  <c r="M731" i="112"/>
  <c r="M772" i="112"/>
  <c r="L772" i="112"/>
  <c r="L15" i="112"/>
  <c r="M15" i="112"/>
  <c r="L197" i="112"/>
  <c r="M197" i="112"/>
  <c r="L35" i="112"/>
  <c r="M35" i="112"/>
  <c r="L314" i="112"/>
  <c r="M314" i="112"/>
  <c r="L357" i="112"/>
  <c r="BI141" i="162" s="1"/>
  <c r="M357" i="112"/>
  <c r="L715" i="112"/>
  <c r="M715" i="112"/>
  <c r="M356" i="112"/>
  <c r="L356" i="112"/>
  <c r="BI156" i="162" s="1"/>
  <c r="L107" i="112"/>
  <c r="BI269" i="146" s="1"/>
  <c r="M107" i="112"/>
  <c r="L287" i="112"/>
  <c r="M287" i="112"/>
  <c r="N287" i="112" s="1"/>
  <c r="L671" i="112"/>
  <c r="M671" i="112"/>
  <c r="L727" i="112"/>
  <c r="M727" i="112"/>
  <c r="L151" i="112"/>
  <c r="M151" i="112"/>
  <c r="L452" i="112"/>
  <c r="M452" i="112"/>
  <c r="L568" i="112"/>
  <c r="M568" i="112"/>
  <c r="M221" i="112"/>
  <c r="L221" i="112"/>
  <c r="L265" i="112"/>
  <c r="M265" i="112"/>
  <c r="L118" i="112"/>
  <c r="BI262" i="146" s="1"/>
  <c r="M118" i="112"/>
  <c r="L685" i="112"/>
  <c r="M685" i="112"/>
  <c r="M47" i="112"/>
  <c r="L47" i="112"/>
  <c r="M56" i="112"/>
  <c r="L56" i="112"/>
  <c r="L571" i="112"/>
  <c r="M571" i="112"/>
  <c r="L326" i="112"/>
  <c r="M326" i="112"/>
  <c r="L765" i="112"/>
  <c r="M765" i="112"/>
  <c r="L23" i="112"/>
  <c r="M23" i="112"/>
  <c r="M652" i="112"/>
  <c r="L652" i="112"/>
  <c r="BJ237" i="164" s="1"/>
  <c r="M770" i="112"/>
  <c r="L770" i="112"/>
  <c r="L248" i="112"/>
  <c r="M248" i="112"/>
  <c r="L185" i="112"/>
  <c r="M185" i="112"/>
  <c r="L22" i="112"/>
  <c r="M22" i="112"/>
  <c r="L449" i="112"/>
  <c r="M449" i="112"/>
  <c r="L448" i="112"/>
  <c r="M448" i="112"/>
  <c r="M372" i="112"/>
  <c r="L372" i="112"/>
  <c r="L349" i="112"/>
  <c r="BI160" i="162" s="1"/>
  <c r="M349" i="112"/>
  <c r="L734" i="112"/>
  <c r="BI227" i="143" s="1"/>
  <c r="M734" i="112"/>
  <c r="L375" i="112"/>
  <c r="BI158" i="162" s="1"/>
  <c r="M375" i="112"/>
  <c r="L86" i="112"/>
  <c r="BI260" i="146" s="1"/>
  <c r="M86" i="112"/>
  <c r="L200" i="112"/>
  <c r="M200" i="112"/>
  <c r="L672" i="112"/>
  <c r="M672" i="112"/>
  <c r="L154" i="112"/>
  <c r="M154" i="112"/>
  <c r="E420" i="126"/>
  <c r="E421" i="123"/>
  <c r="E387" i="100"/>
  <c r="E386" i="127"/>
  <c r="E387" i="124"/>
  <c r="L88" i="112"/>
  <c r="BI265" i="146" s="1"/>
  <c r="M88" i="112"/>
  <c r="L255" i="112"/>
  <c r="M255" i="112"/>
  <c r="L678" i="112"/>
  <c r="M678" i="112"/>
  <c r="L558" i="112"/>
  <c r="M558" i="112"/>
  <c r="L53" i="112"/>
  <c r="M53" i="112"/>
  <c r="L644" i="112"/>
  <c r="M644" i="112"/>
  <c r="L682" i="112"/>
  <c r="M682" i="112"/>
  <c r="L66" i="112"/>
  <c r="M66" i="112"/>
  <c r="L637" i="112"/>
  <c r="M637" i="112"/>
  <c r="L338" i="112"/>
  <c r="M338" i="112"/>
  <c r="L239" i="112"/>
  <c r="M239" i="112"/>
  <c r="L763" i="112"/>
  <c r="M763" i="112"/>
  <c r="L327" i="112"/>
  <c r="M327" i="112"/>
  <c r="L524" i="112"/>
  <c r="M524" i="112"/>
  <c r="L768" i="112"/>
  <c r="M768" i="112"/>
  <c r="L196" i="112"/>
  <c r="M196" i="112"/>
  <c r="L249" i="112"/>
  <c r="M249" i="112"/>
  <c r="L204" i="112"/>
  <c r="M204" i="112"/>
  <c r="M330" i="112"/>
  <c r="L330" i="112"/>
  <c r="L680" i="112"/>
  <c r="M680" i="112"/>
  <c r="L446" i="112"/>
  <c r="M446" i="112"/>
  <c r="M366" i="112"/>
  <c r="L366" i="112"/>
  <c r="BI149" i="162" s="1"/>
  <c r="L369" i="112"/>
  <c r="M369" i="112"/>
  <c r="L212" i="112"/>
  <c r="M212" i="112"/>
  <c r="L387" i="112"/>
  <c r="BI162" i="162" s="1"/>
  <c r="M387" i="112"/>
  <c r="L117" i="112"/>
  <c r="BI272" i="146" s="1"/>
  <c r="M117" i="112"/>
  <c r="L741" i="112"/>
  <c r="BI181" i="131" s="1"/>
  <c r="M741" i="112"/>
  <c r="L661" i="112"/>
  <c r="M661" i="112"/>
  <c r="L293" i="112"/>
  <c r="M293" i="112"/>
  <c r="L701" i="112"/>
  <c r="M701" i="112"/>
  <c r="L718" i="112"/>
  <c r="M718" i="112"/>
  <c r="L159" i="112"/>
  <c r="M159" i="112"/>
  <c r="L736" i="112"/>
  <c r="M736" i="112"/>
  <c r="M8" i="112"/>
  <c r="L8" i="112"/>
  <c r="L665" i="112"/>
  <c r="M665" i="112"/>
  <c r="L659" i="112"/>
  <c r="M659" i="112"/>
  <c r="L586" i="112"/>
  <c r="M586" i="112"/>
  <c r="M2" i="112"/>
  <c r="L2" i="112"/>
  <c r="BI121" i="163" s="1"/>
  <c r="L675" i="112"/>
  <c r="M675" i="112"/>
  <c r="L738" i="112"/>
  <c r="BI93" i="161" s="1"/>
  <c r="M738" i="112"/>
  <c r="L282" i="112"/>
  <c r="M282" i="112"/>
  <c r="L660" i="112"/>
  <c r="M660" i="112"/>
  <c r="L733" i="112"/>
  <c r="M733" i="112"/>
  <c r="M296" i="112"/>
  <c r="L296" i="112"/>
  <c r="L766" i="112"/>
  <c r="M766" i="112"/>
  <c r="L181" i="112"/>
  <c r="M181" i="112"/>
  <c r="L182" i="112"/>
  <c r="M182" i="112"/>
  <c r="L201" i="112"/>
  <c r="M201" i="112"/>
  <c r="L315" i="112"/>
  <c r="M315" i="112"/>
  <c r="L649" i="112"/>
  <c r="M649" i="112"/>
  <c r="L407" i="112"/>
  <c r="M407" i="112"/>
  <c r="L353" i="112"/>
  <c r="BI155" i="162" s="1"/>
  <c r="M353" i="112"/>
  <c r="L363" i="112"/>
  <c r="BI159" i="162" s="1"/>
  <c r="M363" i="112"/>
  <c r="L186" i="112"/>
  <c r="M186" i="112"/>
  <c r="L127" i="112"/>
  <c r="BI263" i="146" s="1"/>
  <c r="M127" i="112"/>
  <c r="L695" i="112"/>
  <c r="M695" i="112"/>
  <c r="L721" i="112"/>
  <c r="M721" i="112"/>
  <c r="L152" i="112"/>
  <c r="M152" i="112"/>
  <c r="L172" i="112"/>
  <c r="M172" i="112"/>
  <c r="G173" i="200"/>
  <c r="G275" i="200" s="1"/>
  <c r="T55" i="107" s="1"/>
  <c r="G162" i="143"/>
  <c r="P51" i="166"/>
  <c r="G106" i="143"/>
  <c r="D33" i="204"/>
  <c r="D55" i="203"/>
  <c r="D27" i="204"/>
  <c r="D49" i="203"/>
  <c r="D28" i="204"/>
  <c r="D50" i="203"/>
  <c r="C48" i="133"/>
  <c r="D29" i="138"/>
  <c r="C47" i="133"/>
  <c r="D28" i="138"/>
  <c r="C46" i="133"/>
  <c r="D27" i="138"/>
  <c r="C43" i="133"/>
  <c r="D24" i="138"/>
  <c r="C44" i="133"/>
  <c r="D25" i="138"/>
  <c r="C45" i="133"/>
  <c r="D26" i="138"/>
  <c r="B64" i="133"/>
  <c r="B83" i="133"/>
  <c r="C83" i="133" s="1"/>
  <c r="B85" i="133"/>
  <c r="C85" i="133" s="1"/>
  <c r="B86" i="133"/>
  <c r="C86" i="133" s="1"/>
  <c r="B84" i="133"/>
  <c r="C84" i="133" s="1"/>
  <c r="B112" i="133"/>
  <c r="C112" i="133" s="1"/>
  <c r="B63" i="133"/>
  <c r="C63" i="133" s="1"/>
  <c r="B111" i="133"/>
  <c r="C111" i="133" s="1"/>
  <c r="N174" i="112"/>
  <c r="F174" i="112" s="1"/>
  <c r="D174" i="112" s="1"/>
  <c r="G141" i="189" s="1"/>
  <c r="N175" i="112"/>
  <c r="F175" i="112" s="1"/>
  <c r="D175" i="112" s="1"/>
  <c r="G142" i="189" s="1"/>
  <c r="H172" i="112"/>
  <c r="H177" i="112"/>
  <c r="H171" i="112"/>
  <c r="H162" i="112"/>
  <c r="H170" i="112"/>
  <c r="H167" i="112"/>
  <c r="H164" i="112"/>
  <c r="H169" i="112"/>
  <c r="H161" i="112"/>
  <c r="H166" i="112"/>
  <c r="H163" i="112"/>
  <c r="H165" i="112"/>
  <c r="H168" i="112"/>
  <c r="H669" i="112"/>
  <c r="H176" i="112"/>
  <c r="H173" i="112"/>
  <c r="H151" i="112"/>
  <c r="H154" i="112"/>
  <c r="H159" i="112"/>
  <c r="H152" i="112"/>
  <c r="H153" i="112"/>
  <c r="H158" i="112"/>
  <c r="H156" i="112"/>
  <c r="H157" i="112"/>
  <c r="H160" i="112"/>
  <c r="N531" i="112"/>
  <c r="F531" i="112" s="1"/>
  <c r="D531" i="112" s="1"/>
  <c r="G35" i="199" s="1"/>
  <c r="H530" i="112"/>
  <c r="H529" i="112"/>
  <c r="N292" i="112"/>
  <c r="F292" i="112" s="1"/>
  <c r="D292" i="112" s="1"/>
  <c r="H50" i="180" s="1"/>
  <c r="H148" i="112"/>
  <c r="H149" i="112"/>
  <c r="H150" i="112"/>
  <c r="N724" i="112"/>
  <c r="H716" i="112"/>
  <c r="H726" i="112"/>
  <c r="H725" i="112"/>
  <c r="H717" i="112"/>
  <c r="H727" i="112"/>
  <c r="H718" i="112"/>
  <c r="H721" i="112"/>
  <c r="H722" i="112"/>
  <c r="H719" i="112"/>
  <c r="H720" i="112"/>
  <c r="H698" i="112"/>
  <c r="H693" i="112"/>
  <c r="H701" i="112"/>
  <c r="H695" i="112"/>
  <c r="H699" i="112"/>
  <c r="AQ153" i="187"/>
  <c r="AR270" i="187" s="1"/>
  <c r="T46" i="152" s="1"/>
  <c r="C541" i="152" s="1"/>
  <c r="AR153" i="187"/>
  <c r="AR312" i="187" s="1"/>
  <c r="Z10" i="152" s="1"/>
  <c r="AJ153" i="187"/>
  <c r="Z153" i="187"/>
  <c r="AA270" i="187" s="1"/>
  <c r="T31" i="124" s="1"/>
  <c r="C528" i="124" s="1"/>
  <c r="E528" i="124" s="1"/>
  <c r="AI153" i="187"/>
  <c r="AJ270" i="187" s="1"/>
  <c r="T52" i="126" s="1"/>
  <c r="C521" i="126" s="1"/>
  <c r="E521" i="126" s="1"/>
  <c r="AA153" i="187"/>
  <c r="AM153" i="187"/>
  <c r="AN153" i="187"/>
  <c r="AD153" i="187"/>
  <c r="AE153" i="187"/>
  <c r="H55" i="112"/>
  <c r="H670" i="112"/>
  <c r="H671" i="112"/>
  <c r="H672" i="112"/>
  <c r="N668" i="112"/>
  <c r="F668" i="112" s="1"/>
  <c r="D668" i="112" s="1"/>
  <c r="G44" i="198" s="1"/>
  <c r="H692" i="112"/>
  <c r="H580" i="112"/>
  <c r="H294" i="112"/>
  <c r="H293" i="112"/>
  <c r="H303" i="112"/>
  <c r="H287" i="112"/>
  <c r="O153" i="187"/>
  <c r="O312" i="187" s="1"/>
  <c r="Z11" i="121" s="1"/>
  <c r="N153" i="187"/>
  <c r="O270" i="187" s="1"/>
  <c r="T23" i="121" s="1"/>
  <c r="C429" i="121" s="1"/>
  <c r="E429" i="121" s="1"/>
  <c r="S153" i="187"/>
  <c r="W153" i="187"/>
  <c r="V153" i="187"/>
  <c r="R153" i="187"/>
  <c r="K153" i="187"/>
  <c r="K312" i="187" s="1"/>
  <c r="Z10" i="122" s="1"/>
  <c r="J153" i="187"/>
  <c r="K270" i="187" s="1"/>
  <c r="T41" i="122" s="1"/>
  <c r="C420" i="122" s="1"/>
  <c r="E420" i="122" s="1"/>
  <c r="F153" i="187"/>
  <c r="G270" i="187" s="1"/>
  <c r="T26" i="98" s="1"/>
  <c r="H163" i="180"/>
  <c r="H257" i="180" s="1"/>
  <c r="T14" i="125" s="1"/>
  <c r="C375" i="125" s="1"/>
  <c r="G163" i="180"/>
  <c r="G257" i="180" s="1"/>
  <c r="T15" i="97" s="1"/>
  <c r="C343" i="97" s="1"/>
  <c r="G153" i="187"/>
  <c r="G312" i="187" s="1"/>
  <c r="Z10" i="98" s="1"/>
  <c r="H286" i="112"/>
  <c r="N579" i="112"/>
  <c r="F579" i="112" s="1"/>
  <c r="D579" i="112" s="1"/>
  <c r="H577" i="112"/>
  <c r="H578" i="112"/>
  <c r="N583" i="112"/>
  <c r="F583" i="112" s="1"/>
  <c r="D583" i="112" s="1"/>
  <c r="N737" i="112"/>
  <c r="F737" i="112" s="1"/>
  <c r="D737" i="112" s="1"/>
  <c r="N521" i="112"/>
  <c r="P211" i="166"/>
  <c r="G69" i="162"/>
  <c r="H567" i="112"/>
  <c r="N490" i="112"/>
  <c r="F490" i="112" s="1"/>
  <c r="D490" i="112" s="1"/>
  <c r="V490" i="112"/>
  <c r="H230" i="112"/>
  <c r="H325" i="112"/>
  <c r="H646" i="112"/>
  <c r="H63" i="112"/>
  <c r="H267" i="112"/>
  <c r="H548" i="112"/>
  <c r="H273" i="112"/>
  <c r="H48" i="112"/>
  <c r="H266" i="112"/>
  <c r="H283" i="112"/>
  <c r="H284" i="112"/>
  <c r="H636" i="112"/>
  <c r="H241" i="112"/>
  <c r="H210" i="112"/>
  <c r="H180" i="112"/>
  <c r="H663" i="112"/>
  <c r="H407" i="112"/>
  <c r="G46" i="164"/>
  <c r="V247" i="112"/>
  <c r="BJ225" i="143"/>
  <c r="O139" i="143" s="1"/>
  <c r="N247" i="112"/>
  <c r="N237" i="112"/>
  <c r="V237" i="112"/>
  <c r="BJ226" i="143"/>
  <c r="O142" i="143" s="1"/>
  <c r="H350" i="112"/>
  <c r="BE145" i="162" s="1"/>
  <c r="BT176" i="162" s="1"/>
  <c r="H349" i="112"/>
  <c r="BE160" i="162" s="1"/>
  <c r="I69" i="162" s="1"/>
  <c r="H734" i="112"/>
  <c r="BE227" i="143" s="1"/>
  <c r="I152" i="143" s="1"/>
  <c r="H594" i="112"/>
  <c r="P49" i="166"/>
  <c r="G152" i="143"/>
  <c r="H142" i="112"/>
  <c r="H318" i="112"/>
  <c r="H253" i="112"/>
  <c r="H476" i="112"/>
  <c r="H98" i="112"/>
  <c r="BE268" i="146" s="1"/>
  <c r="I156" i="146" s="1"/>
  <c r="H264" i="112"/>
  <c r="H41" i="112"/>
  <c r="H561" i="112"/>
  <c r="H666" i="112"/>
  <c r="H254" i="112"/>
  <c r="H263" i="112"/>
  <c r="H779" i="112"/>
  <c r="H24" i="112"/>
  <c r="H216" i="112"/>
  <c r="H447" i="112"/>
  <c r="H139" i="112"/>
  <c r="H43" i="112"/>
  <c r="H5" i="112"/>
  <c r="H664" i="112"/>
  <c r="H408" i="112"/>
  <c r="G52" i="164"/>
  <c r="M139" i="143"/>
  <c r="H739" i="112"/>
  <c r="BE94" i="161" s="1"/>
  <c r="J49" i="161" s="1"/>
  <c r="H379" i="112"/>
  <c r="BE153" i="162" s="1"/>
  <c r="BV174" i="162" s="1"/>
  <c r="H369" i="112"/>
  <c r="N187" i="112"/>
  <c r="F187" i="112" s="1"/>
  <c r="D187" i="112" s="1"/>
  <c r="V187" i="112"/>
  <c r="P209" i="166"/>
  <c r="G66" i="162"/>
  <c r="H178" i="112"/>
  <c r="G93" i="143"/>
  <c r="P33" i="166"/>
  <c r="H365" i="112"/>
  <c r="P269" i="166"/>
  <c r="G51" i="142"/>
  <c r="H77" i="112"/>
  <c r="BE259" i="146" s="1"/>
  <c r="I51" i="146" s="1"/>
  <c r="N650" i="112"/>
  <c r="F650" i="112" s="1"/>
  <c r="D650" i="112" s="1"/>
  <c r="V650" i="112"/>
  <c r="H261" i="112"/>
  <c r="P265" i="166"/>
  <c r="G45" i="142"/>
  <c r="H231" i="112"/>
  <c r="H545" i="112"/>
  <c r="H587" i="112"/>
  <c r="H3" i="112"/>
  <c r="BE122" i="163" s="1"/>
  <c r="I65" i="163" s="1"/>
  <c r="N639" i="112"/>
  <c r="F639" i="112" s="1"/>
  <c r="D639" i="112" s="1"/>
  <c r="V639" i="112"/>
  <c r="H729" i="112"/>
  <c r="H777" i="112"/>
  <c r="H730" i="112"/>
  <c r="H570" i="112"/>
  <c r="H328" i="112"/>
  <c r="H238" i="112"/>
  <c r="H206" i="112"/>
  <c r="H143" i="112"/>
  <c r="H208" i="112"/>
  <c r="G43" i="164"/>
  <c r="V478" i="112"/>
  <c r="V484" i="112"/>
  <c r="N484" i="112"/>
  <c r="F484" i="112" s="1"/>
  <c r="D484" i="112" s="1"/>
  <c r="H740" i="112"/>
  <c r="BE92" i="161" s="1"/>
  <c r="J41" i="161" s="1"/>
  <c r="H376" i="112"/>
  <c r="BE143" i="162" s="1"/>
  <c r="BT174" i="162" s="1"/>
  <c r="H363" i="112"/>
  <c r="BE159" i="162" s="1"/>
  <c r="I66" i="162" s="1"/>
  <c r="M39" i="112"/>
  <c r="H39" i="112"/>
  <c r="H382" i="112"/>
  <c r="BE157" i="162" s="1"/>
  <c r="I60" i="162" s="1"/>
  <c r="H179" i="112"/>
  <c r="H221" i="112"/>
  <c r="H54" i="112"/>
  <c r="H475" i="112"/>
  <c r="H775" i="112"/>
  <c r="H712" i="112"/>
  <c r="H481" i="112"/>
  <c r="H297" i="112"/>
  <c r="H205" i="112"/>
  <c r="H136" i="112"/>
  <c r="H38" i="112"/>
  <c r="H42" i="112"/>
  <c r="H279" i="112"/>
  <c r="H488" i="112"/>
  <c r="H385" i="112"/>
  <c r="BE147" i="162" s="1"/>
  <c r="BU173" i="162" s="1"/>
  <c r="H373" i="112"/>
  <c r="H581" i="112"/>
  <c r="BE105" i="142" s="1"/>
  <c r="I33" i="142" s="1"/>
  <c r="H756" i="112"/>
  <c r="H380" i="112"/>
  <c r="BE163" i="162" s="1"/>
  <c r="I85" i="162" s="1"/>
  <c r="P217" i="166"/>
  <c r="G85" i="162"/>
  <c r="H250" i="112"/>
  <c r="H641" i="112"/>
  <c r="H585" i="112"/>
  <c r="P267" i="166"/>
  <c r="G48" i="142"/>
  <c r="H558" i="112"/>
  <c r="H597" i="112"/>
  <c r="H46" i="112"/>
  <c r="H527" i="112"/>
  <c r="H268" i="112"/>
  <c r="H259" i="112"/>
  <c r="H691" i="112"/>
  <c r="H223" i="112"/>
  <c r="H141" i="112"/>
  <c r="H144" i="112"/>
  <c r="V477" i="112"/>
  <c r="H662" i="112"/>
  <c r="H310" i="112"/>
  <c r="H773" i="112"/>
  <c r="H333" i="112"/>
  <c r="H453" i="112"/>
  <c r="H271" i="112"/>
  <c r="H34" i="112"/>
  <c r="H25" i="112"/>
  <c r="H32" i="112"/>
  <c r="H483" i="112"/>
  <c r="H592" i="112"/>
  <c r="H367" i="112"/>
  <c r="BE154" i="162" s="1"/>
  <c r="BV175" i="162" s="1"/>
  <c r="H370" i="112"/>
  <c r="H582" i="112"/>
  <c r="H715" i="112"/>
  <c r="H377" i="112"/>
  <c r="H540" i="112"/>
  <c r="BE108" i="142" s="1"/>
  <c r="I42" i="142" s="1"/>
  <c r="H642" i="112"/>
  <c r="H551" i="112"/>
  <c r="H339" i="112"/>
  <c r="H108" i="112"/>
  <c r="BE271" i="146" s="1"/>
  <c r="I191" i="146" s="1"/>
  <c r="H256" i="112"/>
  <c r="H659" i="112"/>
  <c r="H526" i="112"/>
  <c r="H265" i="112"/>
  <c r="H713" i="112"/>
  <c r="H534" i="112"/>
  <c r="H555" i="112"/>
  <c r="G65" i="163"/>
  <c r="H274" i="112"/>
  <c r="H4" i="112"/>
  <c r="P257" i="166"/>
  <c r="G33" i="142"/>
  <c r="H705" i="112"/>
  <c r="BE219" i="143" s="1"/>
  <c r="I93" i="143" s="1"/>
  <c r="H298" i="112"/>
  <c r="H771" i="112"/>
  <c r="H299" i="112"/>
  <c r="H337" i="112"/>
  <c r="H778" i="112"/>
  <c r="H20" i="112"/>
  <c r="H21" i="112"/>
  <c r="H313" i="112"/>
  <c r="H277" i="112"/>
  <c r="P81" i="166"/>
  <c r="G159" i="146"/>
  <c r="H589" i="112"/>
  <c r="H364" i="112"/>
  <c r="BE144" i="162" s="1"/>
  <c r="BT175" i="162" s="1"/>
  <c r="H278" i="112"/>
  <c r="H356" i="112"/>
  <c r="BE156" i="162" s="1"/>
  <c r="I57" i="162" s="1"/>
  <c r="P203" i="166"/>
  <c r="G57" i="162"/>
  <c r="H542" i="112"/>
  <c r="H640" i="112"/>
  <c r="N520" i="112"/>
  <c r="F520" i="112" s="1"/>
  <c r="D520" i="112" s="1"/>
  <c r="V520" i="112"/>
  <c r="H675" i="112"/>
  <c r="H258" i="112"/>
  <c r="H209" i="112"/>
  <c r="H649" i="112"/>
  <c r="H656" i="112"/>
  <c r="H118" i="112"/>
  <c r="BE262" i="146" s="1"/>
  <c r="I86" i="146" s="1"/>
  <c r="H262" i="112"/>
  <c r="H255" i="112"/>
  <c r="H535" i="112"/>
  <c r="H552" i="112"/>
  <c r="H44" i="112"/>
  <c r="H16" i="112"/>
  <c r="H574" i="112"/>
  <c r="H40" i="112"/>
  <c r="H769" i="112"/>
  <c r="H281" i="112"/>
  <c r="H776" i="112"/>
  <c r="H140" i="112"/>
  <c r="H348" i="112"/>
  <c r="N457" i="112"/>
  <c r="F457" i="112" s="1"/>
  <c r="D457" i="112" s="1"/>
  <c r="V457" i="112"/>
  <c r="G54" i="146"/>
  <c r="P63" i="166"/>
  <c r="N329" i="112"/>
  <c r="F329" i="112" s="1"/>
  <c r="D329" i="112" s="1"/>
  <c r="D131" i="116" s="1"/>
  <c r="V329" i="112"/>
  <c r="H359" i="112"/>
  <c r="BE146" i="162" s="1"/>
  <c r="BU172" i="162" s="1"/>
  <c r="N674" i="112"/>
  <c r="F674" i="112" s="1"/>
  <c r="D674" i="112" s="1"/>
  <c r="H212" i="112"/>
  <c r="H375" i="112"/>
  <c r="BE158" i="162" s="1"/>
  <c r="I63" i="162" s="1"/>
  <c r="P207" i="166"/>
  <c r="G63" i="162"/>
  <c r="H539" i="112"/>
  <c r="BE107" i="142" s="1"/>
  <c r="I39" i="142" s="1"/>
  <c r="H553" i="112"/>
  <c r="H549" i="112"/>
  <c r="H47" i="112"/>
  <c r="H487" i="112"/>
  <c r="H220" i="112"/>
  <c r="H285" i="112"/>
  <c r="H767" i="112"/>
  <c r="H731" i="112"/>
  <c r="H774" i="112"/>
  <c r="H184" i="112"/>
  <c r="H203" i="112"/>
  <c r="H137" i="112"/>
  <c r="H317" i="112"/>
  <c r="G597" i="112"/>
  <c r="N485" i="112"/>
  <c r="F485" i="112" s="1"/>
  <c r="D485" i="112" s="1"/>
  <c r="V485" i="112"/>
  <c r="BJ90" i="161"/>
  <c r="P33" i="161" s="1"/>
  <c r="G194" i="146"/>
  <c r="P87" i="166"/>
  <c r="H386" i="112"/>
  <c r="BE152" i="162" s="1"/>
  <c r="BV173" i="162" s="1"/>
  <c r="H342" i="112"/>
  <c r="BE111" i="142" s="1"/>
  <c r="I51" i="142" s="1"/>
  <c r="H186" i="112"/>
  <c r="H387" i="112"/>
  <c r="BE162" i="162" s="1"/>
  <c r="I82" i="162" s="1"/>
  <c r="P215" i="166"/>
  <c r="G82" i="162"/>
  <c r="H269" i="112"/>
  <c r="H706" i="112"/>
  <c r="H446" i="112"/>
  <c r="H353" i="112"/>
  <c r="BE155" i="162" s="1"/>
  <c r="BV176" i="162" s="1"/>
  <c r="H653" i="112"/>
  <c r="H251" i="112"/>
  <c r="E386" i="99"/>
  <c r="H252" i="112"/>
  <c r="H678" i="112"/>
  <c r="H550" i="112"/>
  <c r="H562" i="112"/>
  <c r="H9" i="112"/>
  <c r="H66" i="112"/>
  <c r="H482" i="112"/>
  <c r="H62" i="112"/>
  <c r="H571" i="112"/>
  <c r="H326" i="112"/>
  <c r="H765" i="112"/>
  <c r="H23" i="112"/>
  <c r="H652" i="112"/>
  <c r="BF237" i="164" s="1"/>
  <c r="I33" i="164" s="1"/>
  <c r="H772" i="112"/>
  <c r="H15" i="112"/>
  <c r="H35" i="112"/>
  <c r="H314" i="112"/>
  <c r="H202" i="112"/>
  <c r="H665" i="112"/>
  <c r="P69" i="166"/>
  <c r="G89" i="146"/>
  <c r="H383" i="112"/>
  <c r="BE142" i="162" s="1"/>
  <c r="BT173" i="162" s="1"/>
  <c r="N244" i="112"/>
  <c r="BJ224" i="143"/>
  <c r="O136" i="143" s="1"/>
  <c r="V244" i="112"/>
  <c r="H343" i="112"/>
  <c r="BE109" i="142" s="1"/>
  <c r="I45" i="142" s="1"/>
  <c r="H50" i="112"/>
  <c r="H384" i="112"/>
  <c r="H53" i="112"/>
  <c r="H657" i="112"/>
  <c r="H644" i="112"/>
  <c r="H547" i="112"/>
  <c r="H546" i="112"/>
  <c r="H211" i="112"/>
  <c r="H586" i="112"/>
  <c r="H2" i="112"/>
  <c r="BE121" i="163" s="1"/>
  <c r="I68" i="163" s="1"/>
  <c r="H489" i="112"/>
  <c r="H595" i="112"/>
  <c r="H338" i="112"/>
  <c r="H239" i="112"/>
  <c r="H763" i="112"/>
  <c r="H327" i="112"/>
  <c r="V576" i="112"/>
  <c r="F576" i="112"/>
  <c r="D576" i="112" s="1"/>
  <c r="G40" i="190" s="1"/>
  <c r="H770" i="112"/>
  <c r="H248" i="112"/>
  <c r="H185" i="112"/>
  <c r="H22" i="112"/>
  <c r="H449" i="112"/>
  <c r="F6" i="112"/>
  <c r="D6" i="112" s="1"/>
  <c r="V6" i="112"/>
  <c r="G124" i="146"/>
  <c r="P75" i="166"/>
  <c r="H352" i="112"/>
  <c r="BE150" i="162" s="1"/>
  <c r="BU176" i="162" s="1"/>
  <c r="M136" i="143"/>
  <c r="H344" i="112"/>
  <c r="BE110" i="142" s="1"/>
  <c r="I48" i="142" s="1"/>
  <c r="P221" i="166"/>
  <c r="G91" i="162"/>
  <c r="H10" i="112"/>
  <c r="H361" i="112"/>
  <c r="BE161" i="162" s="1"/>
  <c r="I79" i="162" s="1"/>
  <c r="P213" i="166"/>
  <c r="G79" i="162"/>
  <c r="H107" i="112"/>
  <c r="BE269" i="146" s="1"/>
  <c r="I159" i="146" s="1"/>
  <c r="N341" i="112"/>
  <c r="F341" i="112" s="1"/>
  <c r="D341" i="112" s="1"/>
  <c r="D108" i="116" s="1"/>
  <c r="V341" i="112"/>
  <c r="H272" i="112"/>
  <c r="H596" i="112"/>
  <c r="P79" i="166"/>
  <c r="G156" i="146"/>
  <c r="H88" i="112"/>
  <c r="BE265" i="146" s="1"/>
  <c r="I121" i="146" s="1"/>
  <c r="G51" i="146"/>
  <c r="P61" i="166"/>
  <c r="P85" i="166"/>
  <c r="G191" i="146"/>
  <c r="H654" i="112"/>
  <c r="H658" i="112"/>
  <c r="H227" i="112"/>
  <c r="H648" i="112"/>
  <c r="N188" i="112"/>
  <c r="F188" i="112" s="1"/>
  <c r="D188" i="112" s="1"/>
  <c r="G77" i="189" s="1" a="1"/>
  <c r="G77" i="189" s="1"/>
  <c r="V188" i="112"/>
  <c r="H559" i="112"/>
  <c r="H599" i="112"/>
  <c r="N541" i="112"/>
  <c r="F541" i="112" s="1"/>
  <c r="D541" i="112" s="1"/>
  <c r="V541" i="112"/>
  <c r="H738" i="112"/>
  <c r="BE93" i="161" s="1"/>
  <c r="J45" i="161" s="1"/>
  <c r="H282" i="112"/>
  <c r="H660" i="112"/>
  <c r="H733" i="112"/>
  <c r="H296" i="112"/>
  <c r="H524" i="112"/>
  <c r="H768" i="112"/>
  <c r="H196" i="112"/>
  <c r="H249" i="112"/>
  <c r="H204" i="112"/>
  <c r="H330" i="112"/>
  <c r="P261" i="166"/>
  <c r="G39" i="142"/>
  <c r="H378" i="112"/>
  <c r="BE148" i="162" s="1"/>
  <c r="BU174" i="162" s="1"/>
  <c r="H354" i="112"/>
  <c r="BE165" i="162" s="1"/>
  <c r="I91" i="162" s="1"/>
  <c r="H760" i="112"/>
  <c r="BE112" i="142" s="1"/>
  <c r="I54" i="142" s="1"/>
  <c r="P271" i="166"/>
  <c r="G54" i="142"/>
  <c r="H86" i="112"/>
  <c r="BE260" i="146" s="1"/>
  <c r="I54" i="146" s="1"/>
  <c r="H360" i="112"/>
  <c r="BE151" i="162" s="1"/>
  <c r="BV172" i="162" s="1"/>
  <c r="H351" i="112"/>
  <c r="H358" i="112"/>
  <c r="H138" i="112"/>
  <c r="H117" i="112"/>
  <c r="BE272" i="146" s="1"/>
  <c r="I194" i="146" s="1"/>
  <c r="M96" i="143"/>
  <c r="H49" i="112"/>
  <c r="H732" i="112"/>
  <c r="H569" i="112"/>
  <c r="H486" i="112"/>
  <c r="H766" i="112"/>
  <c r="H181" i="112"/>
  <c r="H182" i="112"/>
  <c r="H315" i="112"/>
  <c r="P263" i="166"/>
  <c r="G42" i="142"/>
  <c r="P67" i="166"/>
  <c r="G86" i="146"/>
  <c r="H219" i="112"/>
  <c r="H687" i="112"/>
  <c r="H228" i="112"/>
  <c r="H711" i="112"/>
  <c r="BF236" i="164" s="1"/>
  <c r="I23" i="164" s="1"/>
  <c r="H685" i="112"/>
  <c r="N226" i="112"/>
  <c r="BI221" i="143"/>
  <c r="H544" i="112"/>
  <c r="H556" i="112"/>
  <c r="G68" i="163"/>
  <c r="H643" i="112"/>
  <c r="H584" i="112"/>
  <c r="H214" i="112"/>
  <c r="H522" i="112"/>
  <c r="H323" i="112"/>
  <c r="H452" i="112"/>
  <c r="H324" i="112"/>
  <c r="H300" i="112"/>
  <c r="H764" i="112"/>
  <c r="H450" i="112"/>
  <c r="H357" i="112"/>
  <c r="BE141" i="162" s="1"/>
  <c r="BT172" i="162" s="1"/>
  <c r="H374" i="112"/>
  <c r="P205" i="166"/>
  <c r="G60" i="162"/>
  <c r="H568" i="112"/>
  <c r="H127" i="112"/>
  <c r="BE263" i="146" s="1"/>
  <c r="I89" i="146" s="1"/>
  <c r="H533" i="112"/>
  <c r="H689" i="112"/>
  <c r="H229" i="112"/>
  <c r="H560" i="112"/>
  <c r="H736" i="112"/>
  <c r="H270" i="112"/>
  <c r="H575" i="112"/>
  <c r="H460" i="112"/>
  <c r="H201" i="112"/>
  <c r="H714" i="112"/>
  <c r="H682" i="112"/>
  <c r="H557" i="112"/>
  <c r="H690" i="112"/>
  <c r="H45" i="112"/>
  <c r="N454" i="112"/>
  <c r="V454" i="112"/>
  <c r="BJ106" i="142"/>
  <c r="O36" i="142" s="1"/>
  <c r="H56" i="112"/>
  <c r="H647" i="112"/>
  <c r="G74" i="164"/>
  <c r="G86" i="164"/>
  <c r="G77" i="164"/>
  <c r="G89" i="164"/>
  <c r="G80" i="164"/>
  <c r="G83" i="164"/>
  <c r="H335" i="112"/>
  <c r="H572" i="112"/>
  <c r="H336" i="112"/>
  <c r="H242" i="112"/>
  <c r="H762" i="112"/>
  <c r="H8" i="112"/>
  <c r="H52" i="112"/>
  <c r="H19" i="112"/>
  <c r="H331" i="112"/>
  <c r="V189" i="112"/>
  <c r="N189" i="112"/>
  <c r="F189" i="112" s="1"/>
  <c r="D189" i="112" s="1"/>
  <c r="G79" i="189" s="1"/>
  <c r="H372" i="112"/>
  <c r="H371" i="112"/>
  <c r="P219" i="166"/>
  <c r="G88" i="162"/>
  <c r="N340" i="112"/>
  <c r="V340" i="112"/>
  <c r="BJ228" i="143"/>
  <c r="O162" i="143" s="1"/>
  <c r="BJ218" i="143"/>
  <c r="O90" i="143" s="1"/>
  <c r="N709" i="112"/>
  <c r="V709" i="112"/>
  <c r="N480" i="112"/>
  <c r="F480" i="112" s="1"/>
  <c r="D480" i="112" s="1"/>
  <c r="V480" i="112"/>
  <c r="F459" i="112"/>
  <c r="D459" i="112" s="1"/>
  <c r="V459" i="112"/>
  <c r="H97" i="112"/>
  <c r="BE266" i="146" s="1"/>
  <c r="I124" i="146" s="1"/>
  <c r="H655" i="112"/>
  <c r="H681" i="112"/>
  <c r="H543" i="112"/>
  <c r="P73" i="166"/>
  <c r="G121" i="146"/>
  <c r="H30" i="112"/>
  <c r="H688" i="112"/>
  <c r="H217" i="112"/>
  <c r="BJ220" i="143"/>
  <c r="O96" i="143" s="1"/>
  <c r="N707" i="112"/>
  <c r="V707" i="112"/>
  <c r="H257" i="112"/>
  <c r="P187" i="166"/>
  <c r="P179" i="166"/>
  <c r="P197" i="166"/>
  <c r="P189" i="166"/>
  <c r="P199" i="166"/>
  <c r="P181" i="166"/>
  <c r="P191" i="166"/>
  <c r="P183" i="166"/>
  <c r="P175" i="166"/>
  <c r="P201" i="166"/>
  <c r="P193" i="166"/>
  <c r="P185" i="166"/>
  <c r="P177" i="166"/>
  <c r="P195" i="166"/>
  <c r="H275" i="112"/>
  <c r="H232" i="112"/>
  <c r="H554" i="112"/>
  <c r="H686" i="112"/>
  <c r="M36" i="142"/>
  <c r="H637" i="112"/>
  <c r="N667" i="112"/>
  <c r="F667" i="112" s="1"/>
  <c r="D667" i="112" s="1"/>
  <c r="H591" i="112"/>
  <c r="H301" i="112"/>
  <c r="H523" i="112"/>
  <c r="H280" i="112"/>
  <c r="H573" i="112"/>
  <c r="H728" i="112"/>
  <c r="H677" i="112"/>
  <c r="H183" i="112"/>
  <c r="H312" i="112"/>
  <c r="H680" i="112"/>
  <c r="H448" i="112"/>
  <c r="H532" i="112"/>
  <c r="M142" i="143"/>
  <c r="H366" i="112"/>
  <c r="BE149" i="162" s="1"/>
  <c r="BU175" i="162" s="1"/>
  <c r="H368" i="112"/>
  <c r="BE164" i="162" s="1"/>
  <c r="I88" i="162" s="1"/>
  <c r="H598" i="112"/>
  <c r="M162" i="143"/>
  <c r="M90" i="143"/>
  <c r="H679" i="112"/>
  <c r="N627" i="112" l="1"/>
  <c r="F627" i="112" s="1"/>
  <c r="D627" i="112" s="1"/>
  <c r="V288" i="112"/>
  <c r="N601" i="112"/>
  <c r="F601" i="112" s="1"/>
  <c r="D601" i="112" s="1"/>
  <c r="N633" i="112"/>
  <c r="F633" i="112" s="1"/>
  <c r="D633" i="112" s="1"/>
  <c r="N16" i="111" s="1"/>
  <c r="F195" i="112"/>
  <c r="D195" i="112" s="1"/>
  <c r="G52" i="196" s="1" a="1"/>
  <c r="G52" i="196" s="1"/>
  <c r="N632" i="112"/>
  <c r="F632" i="112" s="1"/>
  <c r="D632" i="112" s="1"/>
  <c r="N15" i="111" s="1"/>
  <c r="N634" i="112"/>
  <c r="F634" i="112" s="1"/>
  <c r="D634" i="112" s="1"/>
  <c r="N17" i="111" s="1"/>
  <c r="N626" i="112"/>
  <c r="F626" i="112" s="1"/>
  <c r="D626" i="112" s="1"/>
  <c r="N628" i="112"/>
  <c r="F628" i="112" s="1"/>
  <c r="D628" i="112" s="1"/>
  <c r="N631" i="112"/>
  <c r="F631" i="112" s="1"/>
  <c r="D631" i="112" s="1"/>
  <c r="N630" i="112"/>
  <c r="F630" i="112" s="1"/>
  <c r="D630" i="112" s="1"/>
  <c r="N629" i="112"/>
  <c r="F629" i="112" s="1"/>
  <c r="D629" i="112" s="1"/>
  <c r="F676" i="112"/>
  <c r="D676" i="112" s="1"/>
  <c r="V276" i="112"/>
  <c r="N276" i="112"/>
  <c r="F276" i="112" s="1"/>
  <c r="D276" i="112" s="1"/>
  <c r="G154" i="180" s="1"/>
  <c r="N700" i="112"/>
  <c r="F700" i="112" s="1"/>
  <c r="D700" i="112" s="1"/>
  <c r="U103" i="132"/>
  <c r="U110" i="132"/>
  <c r="U106" i="132"/>
  <c r="U107" i="132"/>
  <c r="V94" i="132"/>
  <c r="V109" i="132"/>
  <c r="V107" i="132"/>
  <c r="V99" i="132"/>
  <c r="V89" i="132"/>
  <c r="V103" i="132"/>
  <c r="V105" i="132"/>
  <c r="V95" i="132"/>
  <c r="V101" i="132"/>
  <c r="V87" i="132"/>
  <c r="V97" i="132"/>
  <c r="V80" i="132"/>
  <c r="V93" i="132"/>
  <c r="V88" i="132"/>
  <c r="T110" i="132"/>
  <c r="V85" i="132"/>
  <c r="V84" i="132"/>
  <c r="T102" i="132"/>
  <c r="V90" i="132"/>
  <c r="T108" i="132"/>
  <c r="V108" i="132"/>
  <c r="T100" i="132"/>
  <c r="V104" i="132"/>
  <c r="T96" i="132"/>
  <c r="V100" i="132"/>
  <c r="V110" i="132"/>
  <c r="V96" i="132"/>
  <c r="V106" i="132"/>
  <c r="V92" i="132"/>
  <c r="V102" i="132"/>
  <c r="V86" i="132"/>
  <c r="V98" i="132"/>
  <c r="T98" i="132"/>
  <c r="T104" i="132"/>
  <c r="T94" i="132"/>
  <c r="T92" i="132"/>
  <c r="T106" i="132"/>
  <c r="T86" i="132"/>
  <c r="T88" i="132"/>
  <c r="T80" i="132"/>
  <c r="T84" i="132"/>
  <c r="T107" i="132"/>
  <c r="T89" i="132"/>
  <c r="T103" i="132"/>
  <c r="T109" i="132"/>
  <c r="T99" i="132"/>
  <c r="T105" i="132"/>
  <c r="T95" i="132"/>
  <c r="T101" i="132"/>
  <c r="T91" i="132"/>
  <c r="T97" i="132"/>
  <c r="T87" i="132"/>
  <c r="T93" i="132"/>
  <c r="T85" i="132"/>
  <c r="U92" i="132"/>
  <c r="U84" i="132"/>
  <c r="U86" i="132"/>
  <c r="U88" i="132"/>
  <c r="U91" i="132"/>
  <c r="U89" i="132"/>
  <c r="U80" i="132"/>
  <c r="U109" i="132"/>
  <c r="U105" i="132"/>
  <c r="U101" i="132"/>
  <c r="U87" i="132"/>
  <c r="U97" i="132"/>
  <c r="U93" i="132"/>
  <c r="U102" i="132"/>
  <c r="U95" i="132"/>
  <c r="U85" i="132"/>
  <c r="U90" i="132"/>
  <c r="U99" i="132"/>
  <c r="U94" i="132"/>
  <c r="U108" i="132"/>
  <c r="U104" i="132"/>
  <c r="I52" i="196" a="1"/>
  <c r="I52" i="196" s="1"/>
  <c r="U98" i="132"/>
  <c r="U100" i="132"/>
  <c r="H52" i="196" a="1"/>
  <c r="H52" i="196" s="1"/>
  <c r="AC81" i="132"/>
  <c r="H80" i="132"/>
  <c r="N697" i="112"/>
  <c r="F697" i="112" s="1"/>
  <c r="D697" i="112" s="1"/>
  <c r="G26" i="194" s="1"/>
  <c r="V226" i="112"/>
  <c r="F684" i="112"/>
  <c r="D684" i="112" s="1"/>
  <c r="F13" i="112"/>
  <c r="D13" i="112" s="1"/>
  <c r="N683" i="112"/>
  <c r="F683" i="112" s="1"/>
  <c r="D683" i="112" s="1"/>
  <c r="G36" i="190" s="1"/>
  <c r="N155" i="112"/>
  <c r="F155" i="112" s="1"/>
  <c r="D155" i="112" s="1"/>
  <c r="G17" i="189" s="1"/>
  <c r="A75" i="133"/>
  <c r="C64" i="133"/>
  <c r="D46" i="138"/>
  <c r="D43" i="138"/>
  <c r="D42" i="138"/>
  <c r="D41" i="138"/>
  <c r="V316" i="112"/>
  <c r="D44" i="138"/>
  <c r="D45" i="138"/>
  <c r="N611" i="112"/>
  <c r="F611" i="112" s="1"/>
  <c r="D611" i="112" s="1"/>
  <c r="AG7" i="111" s="1"/>
  <c r="F316" i="112"/>
  <c r="D316" i="112" s="1"/>
  <c r="D106" i="116" s="1"/>
  <c r="F461" i="112"/>
  <c r="D461" i="112" s="1"/>
  <c r="AE238" i="187" s="1"/>
  <c r="G88" i="189"/>
  <c r="AR237" i="187"/>
  <c r="G237" i="187"/>
  <c r="G54" i="194"/>
  <c r="G139" i="200"/>
  <c r="AN237" i="187"/>
  <c r="G178" i="190"/>
  <c r="S237" i="187"/>
  <c r="I63" i="196"/>
  <c r="AJ237" i="187"/>
  <c r="G46" i="199"/>
  <c r="AE237" i="187"/>
  <c r="O237" i="187"/>
  <c r="K237" i="187"/>
  <c r="H63" i="196"/>
  <c r="AA237" i="187"/>
  <c r="H67" i="198"/>
  <c r="H55" i="192"/>
  <c r="G67" i="198"/>
  <c r="I55" i="192"/>
  <c r="G55" i="192"/>
  <c r="G63" i="196"/>
  <c r="W237" i="187"/>
  <c r="F295" i="112"/>
  <c r="D295" i="112" s="1"/>
  <c r="H53" i="180" s="1"/>
  <c r="H295" i="180" s="1"/>
  <c r="T52" i="125" s="1"/>
  <c r="C333" i="125" s="1"/>
  <c r="E333" i="125" s="1"/>
  <c r="E342" i="125" s="1"/>
  <c r="H130" i="180"/>
  <c r="G54" i="192"/>
  <c r="K236" i="187"/>
  <c r="G66" i="198"/>
  <c r="G87" i="189"/>
  <c r="AR236" i="187"/>
  <c r="G236" i="187"/>
  <c r="G177" i="190"/>
  <c r="O236" i="187"/>
  <c r="H54" i="192"/>
  <c r="G138" i="200"/>
  <c r="AN236" i="187"/>
  <c r="I62" i="196"/>
  <c r="AJ236" i="187"/>
  <c r="G45" i="199"/>
  <c r="H62" i="196"/>
  <c r="AA236" i="187"/>
  <c r="H66" i="198"/>
  <c r="G62" i="196"/>
  <c r="W236" i="187"/>
  <c r="AE236" i="187"/>
  <c r="I54" i="192"/>
  <c r="S236" i="187"/>
  <c r="G53" i="194"/>
  <c r="N145" i="112"/>
  <c r="F145" i="112" s="1"/>
  <c r="D145" i="112" s="1"/>
  <c r="V461" i="112"/>
  <c r="N473" i="112"/>
  <c r="F473" i="112" s="1"/>
  <c r="D473" i="112" s="1"/>
  <c r="V473" i="112"/>
  <c r="F362" i="112"/>
  <c r="D362" i="112" s="1"/>
  <c r="N466" i="112"/>
  <c r="N620" i="112"/>
  <c r="F620" i="112" s="1"/>
  <c r="D620" i="112" s="1"/>
  <c r="AH6" i="111" s="1"/>
  <c r="AH35" i="111" s="1"/>
  <c r="N467" i="112"/>
  <c r="N17" i="112"/>
  <c r="F17" i="112" s="1"/>
  <c r="D17" i="112" s="1"/>
  <c r="V474" i="112"/>
  <c r="N474" i="112"/>
  <c r="F474" i="112" s="1"/>
  <c r="D474" i="112" s="1"/>
  <c r="N468" i="112"/>
  <c r="N464" i="112"/>
  <c r="N463" i="112"/>
  <c r="G131" i="180"/>
  <c r="H131" i="180"/>
  <c r="N12" i="112"/>
  <c r="N465" i="112"/>
  <c r="N55" i="112"/>
  <c r="F55" i="112" s="1"/>
  <c r="D55" i="112" s="1"/>
  <c r="B13" i="183" s="1"/>
  <c r="H10" i="198"/>
  <c r="M10" i="207"/>
  <c r="N225" i="112"/>
  <c r="F225" i="112" s="1"/>
  <c r="D225" i="112" s="1"/>
  <c r="N669" i="112"/>
  <c r="F669" i="112" s="1"/>
  <c r="D669" i="112" s="1"/>
  <c r="V381" i="112"/>
  <c r="N613" i="112"/>
  <c r="F613" i="112" s="1"/>
  <c r="D613" i="112" s="1"/>
  <c r="AG6" i="111" s="1"/>
  <c r="N470" i="112"/>
  <c r="F470" i="112" s="1"/>
  <c r="D470" i="112" s="1"/>
  <c r="V470" i="112"/>
  <c r="N469" i="112"/>
  <c r="F469" i="112" s="1"/>
  <c r="D469" i="112" s="1"/>
  <c r="G179" i="190" s="1"/>
  <c r="V469" i="112"/>
  <c r="N617" i="112"/>
  <c r="F617" i="112" s="1"/>
  <c r="D617" i="112" s="1"/>
  <c r="N472" i="112"/>
  <c r="F472" i="112" s="1"/>
  <c r="D472" i="112" s="1"/>
  <c r="V472" i="112"/>
  <c r="N462" i="112"/>
  <c r="N471" i="112"/>
  <c r="F471" i="112" s="1"/>
  <c r="D471" i="112" s="1"/>
  <c r="G89" i="189" s="1"/>
  <c r="V471" i="112"/>
  <c r="N623" i="112"/>
  <c r="F623" i="112" s="1"/>
  <c r="D623" i="112" s="1"/>
  <c r="F381" i="112"/>
  <c r="D381" i="112" s="1"/>
  <c r="N610" i="112"/>
  <c r="F610" i="112" s="1"/>
  <c r="D610" i="112" s="1"/>
  <c r="N14" i="112"/>
  <c r="F14" i="112" s="1"/>
  <c r="D14" i="112" s="1"/>
  <c r="N607" i="112"/>
  <c r="F607" i="112" s="1"/>
  <c r="D607" i="112" s="1"/>
  <c r="N606" i="112"/>
  <c r="F606" i="112" s="1"/>
  <c r="D606" i="112" s="1"/>
  <c r="N621" i="112"/>
  <c r="F621" i="112" s="1"/>
  <c r="D621" i="112" s="1"/>
  <c r="N224" i="112"/>
  <c r="F224" i="112" s="1"/>
  <c r="D224" i="112" s="1"/>
  <c r="N615" i="112"/>
  <c r="F615" i="112" s="1"/>
  <c r="D615" i="112" s="1"/>
  <c r="N580" i="112"/>
  <c r="F580" i="112" s="1"/>
  <c r="D580" i="112" s="1"/>
  <c r="N608" i="112"/>
  <c r="F608" i="112" s="1"/>
  <c r="D608" i="112" s="1"/>
  <c r="N538" i="112"/>
  <c r="F538" i="112" s="1"/>
  <c r="D538" i="112" s="1"/>
  <c r="N624" i="112"/>
  <c r="F624" i="112" s="1"/>
  <c r="D624" i="112" s="1"/>
  <c r="V388" i="112"/>
  <c r="N537" i="112"/>
  <c r="F537" i="112" s="1"/>
  <c r="D537" i="112" s="1"/>
  <c r="N609" i="112"/>
  <c r="F609" i="112" s="1"/>
  <c r="D609" i="112" s="1"/>
  <c r="N536" i="112"/>
  <c r="F536" i="112" s="1"/>
  <c r="D536" i="112" s="1"/>
  <c r="N146" i="112"/>
  <c r="F146" i="112" s="1"/>
  <c r="D146" i="112" s="1"/>
  <c r="N18" i="112"/>
  <c r="F18" i="112" s="1"/>
  <c r="D18" i="112" s="1"/>
  <c r="N622" i="112"/>
  <c r="F622" i="112" s="1"/>
  <c r="D622" i="112" s="1"/>
  <c r="N619" i="112"/>
  <c r="F619" i="112" s="1"/>
  <c r="D619" i="112" s="1"/>
  <c r="N616" i="112"/>
  <c r="F616" i="112" s="1"/>
  <c r="D616" i="112" s="1"/>
  <c r="N605" i="112"/>
  <c r="F605" i="112" s="1"/>
  <c r="D605" i="112" s="1"/>
  <c r="N603" i="112"/>
  <c r="F603" i="112" s="1"/>
  <c r="D603" i="112" s="1"/>
  <c r="M1" i="111" s="1"/>
  <c r="N612" i="112"/>
  <c r="F612" i="112" s="1"/>
  <c r="D612" i="112" s="1"/>
  <c r="N614" i="112"/>
  <c r="F614" i="112" s="1"/>
  <c r="D614" i="112" s="1"/>
  <c r="N618" i="112"/>
  <c r="F618" i="112" s="1"/>
  <c r="D618" i="112" s="1"/>
  <c r="AH7" i="111" s="1"/>
  <c r="G130" i="180"/>
  <c r="N528" i="112"/>
  <c r="F388" i="112"/>
  <c r="D388" i="112" s="1"/>
  <c r="N260" i="112"/>
  <c r="F260" i="112" s="1"/>
  <c r="D260" i="112" s="1"/>
  <c r="V362" i="112"/>
  <c r="N661" i="112"/>
  <c r="F661" i="112" s="1"/>
  <c r="D661" i="112" s="1"/>
  <c r="N164" i="112"/>
  <c r="F164" i="112" s="1"/>
  <c r="D164" i="112" s="1"/>
  <c r="G55" i="189" s="1"/>
  <c r="V588" i="112"/>
  <c r="N588" i="112"/>
  <c r="BJ89" i="161"/>
  <c r="P29" i="161" s="1"/>
  <c r="N29" i="161"/>
  <c r="V600" i="112"/>
  <c r="N600" i="112"/>
  <c r="BJ91" i="161"/>
  <c r="P37" i="161" s="1"/>
  <c r="S312" i="187"/>
  <c r="Z10" i="100" s="1"/>
  <c r="S270" i="187"/>
  <c r="T36" i="100" s="1"/>
  <c r="C529" i="100" s="1"/>
  <c r="E529" i="100" s="1"/>
  <c r="W270" i="187"/>
  <c r="T51" i="123" s="1"/>
  <c r="C520" i="123" s="1"/>
  <c r="E520" i="123" s="1"/>
  <c r="W312" i="187"/>
  <c r="Z10" i="123" s="1"/>
  <c r="AA312" i="187"/>
  <c r="Z10" i="124" s="1"/>
  <c r="AE312" i="187"/>
  <c r="Z10" i="99" s="1"/>
  <c r="AE270" i="187"/>
  <c r="T35" i="99" s="1"/>
  <c r="C531" i="99" s="1"/>
  <c r="E531" i="99" s="1"/>
  <c r="AJ312" i="187"/>
  <c r="Z10" i="126" s="1"/>
  <c r="AN312" i="187"/>
  <c r="Z10" i="127" s="1"/>
  <c r="AN270" i="187"/>
  <c r="T35" i="127" s="1"/>
  <c r="C529" i="127" s="1"/>
  <c r="E529" i="127" s="1"/>
  <c r="C462" i="107"/>
  <c r="E462" i="107" s="1"/>
  <c r="G43" i="198"/>
  <c r="H43" i="198"/>
  <c r="H44" i="198"/>
  <c r="G57" i="198"/>
  <c r="H57" i="198"/>
  <c r="N171" i="112"/>
  <c r="F171" i="112" s="1"/>
  <c r="D171" i="112" s="1"/>
  <c r="G133" i="189" s="1"/>
  <c r="D31" i="204"/>
  <c r="D53" i="203"/>
  <c r="D29" i="204"/>
  <c r="D51" i="203"/>
  <c r="BJ181" i="131"/>
  <c r="V741" i="112"/>
  <c r="D30" i="204"/>
  <c r="D52" i="203"/>
  <c r="D32" i="204"/>
  <c r="D54" i="203"/>
  <c r="A71" i="133"/>
  <c r="C72" i="133"/>
  <c r="C73" i="133"/>
  <c r="C71" i="133"/>
  <c r="C75" i="133"/>
  <c r="C76" i="133"/>
  <c r="C77" i="133"/>
  <c r="N176" i="112"/>
  <c r="F176" i="112" s="1"/>
  <c r="D176" i="112" s="1"/>
  <c r="G152" i="189" s="1"/>
  <c r="N159" i="112"/>
  <c r="F159" i="112" s="1"/>
  <c r="D159" i="112" s="1"/>
  <c r="G40" i="189" s="1"/>
  <c r="N169" i="112"/>
  <c r="F169" i="112" s="1"/>
  <c r="D169" i="112" s="1"/>
  <c r="G60" i="189" s="1"/>
  <c r="N156" i="112"/>
  <c r="F156" i="112" s="1"/>
  <c r="D156" i="112" s="1"/>
  <c r="G18" i="189" s="1"/>
  <c r="N172" i="112"/>
  <c r="F172" i="112" s="1"/>
  <c r="D172" i="112" s="1"/>
  <c r="G143" i="189" s="1"/>
  <c r="N173" i="112"/>
  <c r="F173" i="112" s="1"/>
  <c r="D173" i="112" s="1"/>
  <c r="G140" i="189" s="1"/>
  <c r="V55" i="112"/>
  <c r="N162" i="112"/>
  <c r="F162" i="112" s="1"/>
  <c r="D162" i="112" s="1"/>
  <c r="G53" i="189" s="1"/>
  <c r="N167" i="112"/>
  <c r="F167" i="112" s="1"/>
  <c r="D167" i="112" s="1"/>
  <c r="G58" i="189" s="1"/>
  <c r="N170" i="112"/>
  <c r="F170" i="112" s="1"/>
  <c r="D170" i="112" s="1"/>
  <c r="G61" i="189" s="1"/>
  <c r="N166" i="112"/>
  <c r="F166" i="112" s="1"/>
  <c r="D166" i="112" s="1"/>
  <c r="G57" i="189" s="1"/>
  <c r="N152" i="112"/>
  <c r="F152" i="112" s="1"/>
  <c r="D152" i="112" s="1"/>
  <c r="G14" i="189" s="1"/>
  <c r="N161" i="112"/>
  <c r="F161" i="112" s="1"/>
  <c r="D161" i="112" s="1"/>
  <c r="G52" i="189" s="1"/>
  <c r="N168" i="112"/>
  <c r="F168" i="112" s="1"/>
  <c r="D168" i="112" s="1"/>
  <c r="G59" i="189" s="1"/>
  <c r="N177" i="112"/>
  <c r="F177" i="112" s="1"/>
  <c r="D177" i="112" s="1"/>
  <c r="G153" i="189" s="1"/>
  <c r="N165" i="112"/>
  <c r="F165" i="112" s="1"/>
  <c r="D165" i="112" s="1"/>
  <c r="G56" i="189" s="1"/>
  <c r="N158" i="112"/>
  <c r="F158" i="112" s="1"/>
  <c r="D158" i="112" s="1"/>
  <c r="G20" i="189" s="1"/>
  <c r="N163" i="112"/>
  <c r="F163" i="112" s="1"/>
  <c r="D163" i="112" s="1"/>
  <c r="G54" i="189" s="1"/>
  <c r="N65" i="112"/>
  <c r="F65" i="112" s="1"/>
  <c r="D65" i="112" s="1"/>
  <c r="AR42" i="187" s="1"/>
  <c r="G42" i="194"/>
  <c r="N160" i="112"/>
  <c r="F160" i="112" s="1"/>
  <c r="D160" i="112" s="1"/>
  <c r="G41" i="189" s="1"/>
  <c r="N727" i="112"/>
  <c r="F727" i="112" s="1"/>
  <c r="D727" i="112" s="1"/>
  <c r="G72" i="200" s="1"/>
  <c r="N153" i="112"/>
  <c r="F153" i="112" s="1"/>
  <c r="D153" i="112" s="1"/>
  <c r="G15" i="189" s="1"/>
  <c r="N157" i="112"/>
  <c r="F157" i="112" s="1"/>
  <c r="D157" i="112" s="1"/>
  <c r="G19" i="189" s="1"/>
  <c r="N154" i="112"/>
  <c r="F154" i="112" s="1"/>
  <c r="D154" i="112" s="1"/>
  <c r="G16" i="189" s="1"/>
  <c r="N151" i="112"/>
  <c r="F151" i="112" s="1"/>
  <c r="D151" i="112" s="1"/>
  <c r="G13" i="189" s="1"/>
  <c r="N718" i="112"/>
  <c r="F718" i="112" s="1"/>
  <c r="D718" i="112" s="1"/>
  <c r="G30" i="200" s="1"/>
  <c r="N530" i="112"/>
  <c r="F530" i="112" s="1"/>
  <c r="D530" i="112" s="1"/>
  <c r="G45" i="194" s="1"/>
  <c r="G200" i="189"/>
  <c r="G132" i="189"/>
  <c r="N149" i="112"/>
  <c r="F149" i="112" s="1"/>
  <c r="D149" i="112" s="1"/>
  <c r="G38" i="189" s="1"/>
  <c r="K38" i="189" s="1"/>
  <c r="N529" i="112"/>
  <c r="F529" i="112" s="1"/>
  <c r="D529" i="112" s="1"/>
  <c r="G37" i="199" s="1"/>
  <c r="N716" i="112"/>
  <c r="F716" i="112" s="1"/>
  <c r="D716" i="112" s="1"/>
  <c r="G13" i="200" s="1"/>
  <c r="N150" i="112"/>
  <c r="F150" i="112" s="1"/>
  <c r="D150" i="112" s="1"/>
  <c r="G39" i="189" s="1"/>
  <c r="N148" i="112"/>
  <c r="F148" i="112" s="1"/>
  <c r="D148" i="112" s="1"/>
  <c r="G37" i="189" s="1"/>
  <c r="N726" i="112"/>
  <c r="F726" i="112" s="1"/>
  <c r="D726" i="112" s="1"/>
  <c r="G71" i="200" s="1"/>
  <c r="N721" i="112"/>
  <c r="F721" i="112" s="1"/>
  <c r="D721" i="112" s="1"/>
  <c r="G36" i="200" s="1"/>
  <c r="N722" i="112"/>
  <c r="F722" i="112" s="1"/>
  <c r="D722" i="112" s="1"/>
  <c r="G37" i="200" s="1"/>
  <c r="N720" i="112"/>
  <c r="F720" i="112" s="1"/>
  <c r="D720" i="112" s="1"/>
  <c r="G35" i="200" s="1"/>
  <c r="N725" i="112"/>
  <c r="F725" i="112" s="1"/>
  <c r="D725" i="112" s="1"/>
  <c r="G70" i="200" s="1"/>
  <c r="N717" i="112"/>
  <c r="F717" i="112" s="1"/>
  <c r="D717" i="112" s="1"/>
  <c r="G14" i="200" s="1"/>
  <c r="N719" i="112"/>
  <c r="F719" i="112" s="1"/>
  <c r="D719" i="112" s="1"/>
  <c r="G31" i="200" s="1"/>
  <c r="N698" i="112"/>
  <c r="F698" i="112" s="1"/>
  <c r="D698" i="112" s="1"/>
  <c r="N671" i="112"/>
  <c r="F671" i="112" s="1"/>
  <c r="D671" i="112" s="1"/>
  <c r="N696" i="112"/>
  <c r="N670" i="112"/>
  <c r="F670" i="112" s="1"/>
  <c r="D670" i="112" s="1"/>
  <c r="N699" i="112"/>
  <c r="F699" i="112" s="1"/>
  <c r="D699" i="112" s="1"/>
  <c r="G11" i="194" s="1"/>
  <c r="N695" i="112"/>
  <c r="F695" i="112" s="1"/>
  <c r="D695" i="112" s="1"/>
  <c r="N702" i="112"/>
  <c r="N701" i="112"/>
  <c r="F701" i="112" s="1"/>
  <c r="D701" i="112" s="1"/>
  <c r="AN134" i="187"/>
  <c r="AE134" i="187"/>
  <c r="AA134" i="187"/>
  <c r="AJ134" i="187"/>
  <c r="AR134" i="187"/>
  <c r="G96" i="190"/>
  <c r="G151" i="190"/>
  <c r="N693" i="112"/>
  <c r="F693" i="112" s="1"/>
  <c r="D693" i="112" s="1"/>
  <c r="AE132" i="187"/>
  <c r="AA132" i="187"/>
  <c r="AJ132" i="187"/>
  <c r="AR132" i="187"/>
  <c r="AN132" i="187"/>
  <c r="N672" i="112"/>
  <c r="F672" i="112" s="1"/>
  <c r="D672" i="112" s="1"/>
  <c r="N638" i="112"/>
  <c r="F638" i="112" s="1"/>
  <c r="D638" i="112" s="1"/>
  <c r="G35" i="188" s="1"/>
  <c r="G39" i="188" s="1"/>
  <c r="G7" i="199" s="1"/>
  <c r="G71" i="199" s="1"/>
  <c r="N692" i="112"/>
  <c r="F692" i="112" s="1"/>
  <c r="D692" i="112" s="1"/>
  <c r="G12" i="198" s="1"/>
  <c r="N294" i="112"/>
  <c r="F294" i="112" s="1"/>
  <c r="D294" i="112" s="1"/>
  <c r="N293" i="112"/>
  <c r="F293" i="112" s="1"/>
  <c r="D293" i="112" s="1"/>
  <c r="F303" i="112"/>
  <c r="D303" i="112" s="1"/>
  <c r="H158" i="180" s="1"/>
  <c r="V64" i="112"/>
  <c r="W521" i="112"/>
  <c r="H521" i="112" s="1"/>
  <c r="F521" i="112" s="1"/>
  <c r="D521" i="112" s="1"/>
  <c r="G24" i="196"/>
  <c r="H24" i="196"/>
  <c r="I24" i="196"/>
  <c r="I16" i="192"/>
  <c r="H16" i="192"/>
  <c r="G16" i="192"/>
  <c r="N64" i="112"/>
  <c r="F64" i="112" s="1"/>
  <c r="D64" i="112" s="1"/>
  <c r="F287" i="112"/>
  <c r="D287" i="112" s="1"/>
  <c r="W134" i="187"/>
  <c r="S134" i="187"/>
  <c r="O134" i="187"/>
  <c r="K132" i="187"/>
  <c r="O132" i="187"/>
  <c r="W132" i="187"/>
  <c r="S132" i="187"/>
  <c r="N289" i="112"/>
  <c r="N286" i="112"/>
  <c r="F286" i="112" s="1"/>
  <c r="D286" i="112" s="1"/>
  <c r="V286" i="112"/>
  <c r="N302" i="112"/>
  <c r="N578" i="112"/>
  <c r="F578" i="112" s="1"/>
  <c r="D578" i="112" s="1"/>
  <c r="N577" i="112"/>
  <c r="F577" i="112" s="1"/>
  <c r="D577" i="112" s="1"/>
  <c r="N291" i="112"/>
  <c r="N598" i="112"/>
  <c r="F598" i="112" s="1"/>
  <c r="D598" i="112" s="1"/>
  <c r="N526" i="112"/>
  <c r="F526" i="112" s="1"/>
  <c r="D526" i="112" s="1"/>
  <c r="N266" i="112"/>
  <c r="F266" i="112" s="1"/>
  <c r="D266" i="112" s="1"/>
  <c r="G132" i="187"/>
  <c r="V775" i="112"/>
  <c r="N680" i="112"/>
  <c r="F680" i="112" s="1"/>
  <c r="D680" i="112" s="1"/>
  <c r="G81" i="190" s="1"/>
  <c r="N688" i="112"/>
  <c r="F688" i="112" s="1"/>
  <c r="D688" i="112" s="1"/>
  <c r="N648" i="112"/>
  <c r="F648" i="112" s="1"/>
  <c r="D648" i="112" s="1"/>
  <c r="N712" i="112"/>
  <c r="F712" i="112" s="1"/>
  <c r="D712" i="112" s="1"/>
  <c r="N253" i="112"/>
  <c r="F253" i="112" s="1"/>
  <c r="D253" i="112" s="1"/>
  <c r="N52" i="112"/>
  <c r="F52" i="112" s="1"/>
  <c r="D52" i="112" s="1"/>
  <c r="N706" i="112"/>
  <c r="F706" i="112" s="1"/>
  <c r="D706" i="112" s="1"/>
  <c r="J91" i="128" s="1"/>
  <c r="N46" i="112"/>
  <c r="F46" i="112" s="1"/>
  <c r="D46" i="112" s="1"/>
  <c r="N240" i="112"/>
  <c r="N246" i="112"/>
  <c r="N663" i="112"/>
  <c r="F663" i="112" s="1"/>
  <c r="D663" i="112" s="1"/>
  <c r="N223" i="112"/>
  <c r="F223" i="112" s="1"/>
  <c r="D223" i="112" s="1"/>
  <c r="N527" i="112"/>
  <c r="F527" i="112" s="1"/>
  <c r="D527" i="112" s="1"/>
  <c r="G25" i="199" s="1"/>
  <c r="N585" i="112"/>
  <c r="F585" i="112" s="1"/>
  <c r="D585" i="112" s="1"/>
  <c r="N643" i="112"/>
  <c r="F643" i="112" s="1"/>
  <c r="D643" i="112" s="1"/>
  <c r="G14" i="184" s="1"/>
  <c r="G27" i="184" s="1"/>
  <c r="T18" i="100" s="1"/>
  <c r="C351" i="100" s="1"/>
  <c r="N569" i="112"/>
  <c r="F569" i="112" s="1"/>
  <c r="D569" i="112" s="1"/>
  <c r="G55" i="190" s="1"/>
  <c r="N666" i="112"/>
  <c r="F666" i="112" s="1"/>
  <c r="D666" i="112" s="1"/>
  <c r="N681" i="112"/>
  <c r="F681" i="112" s="1"/>
  <c r="D681" i="112" s="1"/>
  <c r="N567" i="112"/>
  <c r="F567" i="112" s="1"/>
  <c r="D567" i="112" s="1"/>
  <c r="G56" i="190" s="1"/>
  <c r="N66" i="112"/>
  <c r="F66" i="112" s="1"/>
  <c r="D66" i="112" s="1"/>
  <c r="N686" i="112"/>
  <c r="F686" i="112" s="1"/>
  <c r="D686" i="112" s="1"/>
  <c r="N534" i="112"/>
  <c r="F534" i="112" s="1"/>
  <c r="D534" i="112" s="1"/>
  <c r="V773" i="112"/>
  <c r="V777" i="112"/>
  <c r="V772" i="112"/>
  <c r="N236" i="112"/>
  <c r="N230" i="112"/>
  <c r="F230" i="112" s="1"/>
  <c r="D230" i="112" s="1"/>
  <c r="N532" i="112"/>
  <c r="F532" i="112" s="1"/>
  <c r="D532" i="112" s="1"/>
  <c r="N213" i="112"/>
  <c r="V768" i="112"/>
  <c r="V774" i="112"/>
  <c r="N277" i="112"/>
  <c r="F277" i="112" s="1"/>
  <c r="D277" i="112" s="1"/>
  <c r="W291" i="112" s="1"/>
  <c r="H291" i="112" s="1"/>
  <c r="V776" i="112"/>
  <c r="N637" i="112"/>
  <c r="F637" i="112" s="1"/>
  <c r="D637" i="112" s="1"/>
  <c r="V763" i="112"/>
  <c r="N678" i="112"/>
  <c r="F678" i="112" s="1"/>
  <c r="D678" i="112" s="1"/>
  <c r="G23" i="190" s="1"/>
  <c r="N269" i="112"/>
  <c r="F269" i="112" s="1"/>
  <c r="D269" i="112" s="1"/>
  <c r="N47" i="112"/>
  <c r="F47" i="112" s="1"/>
  <c r="D47" i="112" s="1"/>
  <c r="N662" i="112"/>
  <c r="F662" i="112" s="1"/>
  <c r="D662" i="112" s="1"/>
  <c r="V758" i="112"/>
  <c r="N270" i="112"/>
  <c r="F270" i="112" s="1"/>
  <c r="D270" i="112" s="1"/>
  <c r="G208" i="180" s="1"/>
  <c r="N682" i="112"/>
  <c r="F682" i="112" s="1"/>
  <c r="D682" i="112" s="1"/>
  <c r="G103" i="190" s="1"/>
  <c r="N714" i="112"/>
  <c r="F714" i="112" s="1"/>
  <c r="D714" i="112" s="1"/>
  <c r="BK218" i="143"/>
  <c r="N677" i="112"/>
  <c r="F677" i="112" s="1"/>
  <c r="D677" i="112" s="1"/>
  <c r="N45" i="112"/>
  <c r="F45" i="112" s="1"/>
  <c r="D45" i="112" s="1"/>
  <c r="N685" i="112"/>
  <c r="F685" i="112" s="1"/>
  <c r="D685" i="112" s="1"/>
  <c r="G45" i="190" s="1"/>
  <c r="N665" i="112"/>
  <c r="F665" i="112" s="1"/>
  <c r="D665" i="112" s="1"/>
  <c r="N37" i="112"/>
  <c r="N231" i="112"/>
  <c r="F231" i="112" s="1"/>
  <c r="D231" i="112" s="1"/>
  <c r="N44" i="112"/>
  <c r="F44" i="112" s="1"/>
  <c r="D44" i="112" s="1"/>
  <c r="N258" i="112"/>
  <c r="F258" i="112" s="1"/>
  <c r="D258" i="112" s="1"/>
  <c r="N679" i="112"/>
  <c r="F679" i="112" s="1"/>
  <c r="D679" i="112" s="1"/>
  <c r="N227" i="112"/>
  <c r="F227" i="112" s="1"/>
  <c r="D227" i="112" s="1"/>
  <c r="N646" i="112"/>
  <c r="F646" i="112" s="1"/>
  <c r="D646" i="112" s="1"/>
  <c r="L15" i="184" s="1"/>
  <c r="BK226" i="143"/>
  <c r="BM226" i="143" s="1"/>
  <c r="R47" i="166" s="1"/>
  <c r="V762" i="112"/>
  <c r="N215" i="112"/>
  <c r="N596" i="112"/>
  <c r="F596" i="112" s="1"/>
  <c r="D596" i="112" s="1"/>
  <c r="N54" i="112"/>
  <c r="F54" i="112" s="1"/>
  <c r="D54" i="112" s="1"/>
  <c r="BK224" i="143"/>
  <c r="BK225" i="143"/>
  <c r="BR173" i="162"/>
  <c r="G38" i="162" s="1"/>
  <c r="V728" i="112"/>
  <c r="N728" i="112"/>
  <c r="F728" i="112" s="1"/>
  <c r="D728" i="112" s="1"/>
  <c r="N575" i="112"/>
  <c r="F575" i="112" s="1"/>
  <c r="D575" i="112" s="1"/>
  <c r="F28" i="190" s="1"/>
  <c r="G28" i="190" s="1"/>
  <c r="V575" i="112"/>
  <c r="N366" i="112"/>
  <c r="V366" i="112"/>
  <c r="BJ149" i="162"/>
  <c r="BJ175" i="162" s="1"/>
  <c r="N183" i="112"/>
  <c r="F183" i="112" s="1"/>
  <c r="D183" i="112" s="1"/>
  <c r="V183" i="112"/>
  <c r="N257" i="112"/>
  <c r="F257" i="112" s="1"/>
  <c r="D257" i="112" s="1"/>
  <c r="V257" i="112"/>
  <c r="G155" i="164"/>
  <c r="G131" i="164"/>
  <c r="V543" i="112"/>
  <c r="N543" i="112"/>
  <c r="F543" i="112" s="1"/>
  <c r="D543" i="112" s="1"/>
  <c r="N242" i="112"/>
  <c r="F242" i="112" s="1"/>
  <c r="D242" i="112" s="1"/>
  <c r="V242" i="112"/>
  <c r="P111" i="166"/>
  <c r="P155" i="166"/>
  <c r="P141" i="166"/>
  <c r="P113" i="166"/>
  <c r="P127" i="166"/>
  <c r="P157" i="166"/>
  <c r="P143" i="166"/>
  <c r="P129" i="166"/>
  <c r="P159" i="166"/>
  <c r="P115" i="166"/>
  <c r="P145" i="166"/>
  <c r="P131" i="166"/>
  <c r="P161" i="166"/>
  <c r="P117" i="166"/>
  <c r="P147" i="166"/>
  <c r="P133" i="166"/>
  <c r="P119" i="166"/>
  <c r="P149" i="166"/>
  <c r="P163" i="166"/>
  <c r="P135" i="166"/>
  <c r="P121" i="166"/>
  <c r="P165" i="166"/>
  <c r="P137" i="166"/>
  <c r="P151" i="166"/>
  <c r="P123" i="166"/>
  <c r="P109" i="166"/>
  <c r="P153" i="166"/>
  <c r="P125" i="166"/>
  <c r="P139" i="166"/>
  <c r="N560" i="112"/>
  <c r="F560" i="112" s="1"/>
  <c r="D560" i="112" s="1"/>
  <c r="V560" i="112"/>
  <c r="N523" i="112"/>
  <c r="F523" i="112" s="1"/>
  <c r="D523" i="112" s="1"/>
  <c r="V523" i="112"/>
  <c r="N331" i="112"/>
  <c r="F331" i="112" s="1"/>
  <c r="D331" i="112" s="1"/>
  <c r="D101" i="116" s="1"/>
  <c r="V331" i="112"/>
  <c r="G152" i="164"/>
  <c r="G128" i="164"/>
  <c r="N568" i="112"/>
  <c r="F568" i="112" s="1"/>
  <c r="D568" i="112" s="1"/>
  <c r="G44" i="190" s="1"/>
  <c r="N593" i="112"/>
  <c r="N544" i="112"/>
  <c r="F544" i="112" s="1"/>
  <c r="D544" i="112" s="1"/>
  <c r="V544" i="112"/>
  <c r="N687" i="112"/>
  <c r="F687" i="112" s="1"/>
  <c r="D687" i="112" s="1"/>
  <c r="G99" i="190" s="1"/>
  <c r="V181" i="112"/>
  <c r="N181" i="112"/>
  <c r="F181" i="112" s="1"/>
  <c r="D181" i="112" s="1"/>
  <c r="N360" i="112"/>
  <c r="V360" i="112"/>
  <c r="BJ151" i="162"/>
  <c r="BK172" i="162" s="1"/>
  <c r="N86" i="112"/>
  <c r="V86" i="112"/>
  <c r="BJ260" i="146"/>
  <c r="O54" i="146" s="1"/>
  <c r="V107" i="112"/>
  <c r="BJ269" i="146"/>
  <c r="O159" i="146" s="1"/>
  <c r="N107" i="112"/>
  <c r="V211" i="112"/>
  <c r="N211" i="112"/>
  <c r="F211" i="112" s="1"/>
  <c r="D211" i="112" s="1"/>
  <c r="N53" i="112"/>
  <c r="F53" i="112" s="1"/>
  <c r="D53" i="112" s="1"/>
  <c r="C439" i="123"/>
  <c r="C437" i="123"/>
  <c r="G448" i="123"/>
  <c r="M448" i="123"/>
  <c r="G450" i="123"/>
  <c r="M450" i="123"/>
  <c r="M82" i="162"/>
  <c r="V769" i="112"/>
  <c r="N118" i="112"/>
  <c r="V118" i="112"/>
  <c r="BJ262" i="146"/>
  <c r="O86" i="146" s="1"/>
  <c r="N675" i="112"/>
  <c r="F675" i="112" s="1"/>
  <c r="D675" i="112" s="1"/>
  <c r="N21" i="112"/>
  <c r="F21" i="112" s="1"/>
  <c r="D21" i="112" s="1"/>
  <c r="V21" i="112"/>
  <c r="M191" i="146"/>
  <c r="N540" i="112"/>
  <c r="V540" i="112"/>
  <c r="BJ108" i="142"/>
  <c r="O42" i="142" s="1"/>
  <c r="N592" i="112"/>
  <c r="F592" i="112" s="1"/>
  <c r="D592" i="112" s="1"/>
  <c r="N453" i="112"/>
  <c r="F453" i="112" s="1"/>
  <c r="D453" i="112" s="1"/>
  <c r="V453" i="112"/>
  <c r="N332" i="112"/>
  <c r="F332" i="112" s="1"/>
  <c r="D332" i="112" s="1"/>
  <c r="V332" i="112"/>
  <c r="M85" i="162"/>
  <c r="N279" i="112"/>
  <c r="F279" i="112" s="1"/>
  <c r="D279" i="112" s="1"/>
  <c r="W289" i="112" s="1"/>
  <c r="H289" i="112" s="1"/>
  <c r="N363" i="112"/>
  <c r="V363" i="112"/>
  <c r="BJ159" i="162"/>
  <c r="O66" i="162" s="1"/>
  <c r="N208" i="112"/>
  <c r="F208" i="112" s="1"/>
  <c r="D208" i="112" s="1"/>
  <c r="V208" i="112"/>
  <c r="N570" i="112"/>
  <c r="F570" i="112" s="1"/>
  <c r="D570" i="112" s="1"/>
  <c r="V570" i="112"/>
  <c r="N264" i="112"/>
  <c r="F264" i="112" s="1"/>
  <c r="D264" i="112" s="1"/>
  <c r="V264" i="112"/>
  <c r="N142" i="112"/>
  <c r="F142" i="112" s="1"/>
  <c r="D142" i="112" s="1"/>
  <c r="V142" i="112"/>
  <c r="N350" i="112"/>
  <c r="V350" i="112"/>
  <c r="BJ145" i="162"/>
  <c r="BI176" i="162" s="1"/>
  <c r="N273" i="112"/>
  <c r="F273" i="112" s="1"/>
  <c r="D273" i="112" s="1"/>
  <c r="V273" i="112"/>
  <c r="M88" i="162"/>
  <c r="N245" i="112"/>
  <c r="G137" i="164"/>
  <c r="G161" i="164"/>
  <c r="N690" i="112"/>
  <c r="F690" i="112" s="1"/>
  <c r="D690" i="112" s="1"/>
  <c r="N300" i="112"/>
  <c r="F300" i="112" s="1"/>
  <c r="D300" i="112" s="1"/>
  <c r="V300" i="112"/>
  <c r="BK220" i="143"/>
  <c r="BN220" i="143" s="1"/>
  <c r="Q96" i="143" s="1"/>
  <c r="M54" i="146"/>
  <c r="N204" i="112"/>
  <c r="F204" i="112" s="1"/>
  <c r="D204" i="112" s="1"/>
  <c r="V204" i="112"/>
  <c r="N733" i="112"/>
  <c r="F733" i="112" s="1"/>
  <c r="D733" i="112" s="1"/>
  <c r="V733" i="112"/>
  <c r="N599" i="112"/>
  <c r="F599" i="112" s="1"/>
  <c r="D599" i="112" s="1"/>
  <c r="G172" i="180" s="1"/>
  <c r="M159" i="146"/>
  <c r="V248" i="112"/>
  <c r="N248" i="112"/>
  <c r="F248" i="112" s="1"/>
  <c r="D248" i="112" s="1"/>
  <c r="N383" i="112"/>
  <c r="V383" i="112"/>
  <c r="BJ142" i="162"/>
  <c r="BI173" i="162" s="1"/>
  <c r="N571" i="112"/>
  <c r="F571" i="112" s="1"/>
  <c r="D571" i="112" s="1"/>
  <c r="V571" i="112"/>
  <c r="M86" i="146"/>
  <c r="M42" i="142"/>
  <c r="N333" i="112"/>
  <c r="F333" i="112" s="1"/>
  <c r="D333" i="112" s="1"/>
  <c r="D88" i="116" s="1"/>
  <c r="V333" i="112"/>
  <c r="N141" i="112"/>
  <c r="F141" i="112" s="1"/>
  <c r="D141" i="112" s="1"/>
  <c r="V141" i="112"/>
  <c r="M66" i="162"/>
  <c r="N730" i="112"/>
  <c r="F730" i="112" s="1"/>
  <c r="D730" i="112" s="1"/>
  <c r="V730" i="112"/>
  <c r="N263" i="112"/>
  <c r="F263" i="112" s="1"/>
  <c r="D263" i="112" s="1"/>
  <c r="N550" i="112"/>
  <c r="F550" i="112" s="1"/>
  <c r="D550" i="112" s="1"/>
  <c r="V550" i="112"/>
  <c r="N220" i="112"/>
  <c r="F220" i="112" s="1"/>
  <c r="D220" i="112" s="1"/>
  <c r="V220" i="112"/>
  <c r="N364" i="112"/>
  <c r="V364" i="112"/>
  <c r="BJ144" i="162"/>
  <c r="BI175" i="162" s="1"/>
  <c r="N298" i="112"/>
  <c r="F298" i="112" s="1"/>
  <c r="D298" i="112" s="1"/>
  <c r="V298" i="112"/>
  <c r="N377" i="112"/>
  <c r="F377" i="112" s="1"/>
  <c r="D377" i="112" s="1"/>
  <c r="D57" i="116" s="1"/>
  <c r="V377" i="112"/>
  <c r="N205" i="112"/>
  <c r="F205" i="112" s="1"/>
  <c r="D205" i="112" s="1"/>
  <c r="V205" i="112"/>
  <c r="V376" i="112"/>
  <c r="N376" i="112"/>
  <c r="BJ143" i="162"/>
  <c r="BI174" i="162" s="1"/>
  <c r="N545" i="112"/>
  <c r="F545" i="112" s="1"/>
  <c r="D545" i="112" s="1"/>
  <c r="V545" i="112"/>
  <c r="N77" i="112"/>
  <c r="V77" i="112"/>
  <c r="BJ259" i="146"/>
  <c r="O51" i="146" s="1"/>
  <c r="N139" i="112"/>
  <c r="F139" i="112" s="1"/>
  <c r="D139" i="112" s="1"/>
  <c r="V139" i="112"/>
  <c r="BR176" i="162"/>
  <c r="G47" i="162" s="1"/>
  <c r="N338" i="112"/>
  <c r="F338" i="112" s="1"/>
  <c r="D338" i="112" s="1"/>
  <c r="D24" i="116" s="1"/>
  <c r="V338" i="112"/>
  <c r="G134" i="164"/>
  <c r="G158" i="164"/>
  <c r="N201" i="112"/>
  <c r="F201" i="112" s="1"/>
  <c r="D201" i="112" s="1"/>
  <c r="V201" i="112"/>
  <c r="N229" i="112"/>
  <c r="F229" i="112" s="1"/>
  <c r="D229" i="112" s="1"/>
  <c r="M106" i="143"/>
  <c r="BK221" i="143"/>
  <c r="BN221" i="143" s="1"/>
  <c r="Q106" i="143" s="1"/>
  <c r="N219" i="112"/>
  <c r="F219" i="112" s="1"/>
  <c r="D219" i="112" s="1"/>
  <c r="V219" i="112"/>
  <c r="V766" i="112"/>
  <c r="N117" i="112"/>
  <c r="V117" i="112"/>
  <c r="BJ272" i="146"/>
  <c r="O194" i="146" s="1"/>
  <c r="V88" i="112"/>
  <c r="N88" i="112"/>
  <c r="BJ265" i="146"/>
  <c r="O121" i="146" s="1"/>
  <c r="N546" i="112"/>
  <c r="F546" i="112" s="1"/>
  <c r="D546" i="112" s="1"/>
  <c r="V546" i="112"/>
  <c r="N186" i="112"/>
  <c r="F186" i="112" s="1"/>
  <c r="D186" i="112" s="1"/>
  <c r="V186" i="112"/>
  <c r="N597" i="112"/>
  <c r="F597" i="112" s="1"/>
  <c r="D597" i="112" s="1"/>
  <c r="N140" i="112"/>
  <c r="F140" i="112" s="1"/>
  <c r="D140" i="112" s="1"/>
  <c r="G54" i="190" s="1"/>
  <c r="N40" i="112"/>
  <c r="F40" i="112" s="1"/>
  <c r="D40" i="112" s="1"/>
  <c r="V40" i="112"/>
  <c r="N552" i="112"/>
  <c r="F552" i="112" s="1"/>
  <c r="D552" i="112" s="1"/>
  <c r="V552" i="112"/>
  <c r="N656" i="112"/>
  <c r="F656" i="112" s="1"/>
  <c r="D656" i="112" s="1"/>
  <c r="V656" i="112"/>
  <c r="N20" i="112"/>
  <c r="F20" i="112" s="1"/>
  <c r="D20" i="112" s="1"/>
  <c r="V20" i="112"/>
  <c r="N659" i="112"/>
  <c r="F659" i="112" s="1"/>
  <c r="D659" i="112" s="1"/>
  <c r="V659" i="112"/>
  <c r="N483" i="112"/>
  <c r="F483" i="112" s="1"/>
  <c r="D483" i="112" s="1"/>
  <c r="V483" i="112"/>
  <c r="N268" i="112"/>
  <c r="F268" i="112" s="1"/>
  <c r="D268" i="112" s="1"/>
  <c r="V268" i="112"/>
  <c r="N756" i="112"/>
  <c r="F756" i="112" s="1"/>
  <c r="D756" i="112" s="1"/>
  <c r="V756" i="112"/>
  <c r="N143" i="112"/>
  <c r="F143" i="112" s="1"/>
  <c r="D143" i="112" s="1"/>
  <c r="V143" i="112"/>
  <c r="M51" i="146"/>
  <c r="V98" i="112"/>
  <c r="N98" i="112"/>
  <c r="BJ268" i="146"/>
  <c r="O156" i="146" s="1"/>
  <c r="N284" i="112"/>
  <c r="F284" i="112" s="1"/>
  <c r="D284" i="112" s="1"/>
  <c r="V284" i="112"/>
  <c r="N548" i="112"/>
  <c r="F548" i="112" s="1"/>
  <c r="D548" i="112" s="1"/>
  <c r="V548" i="112"/>
  <c r="N325" i="112"/>
  <c r="F325" i="112" s="1"/>
  <c r="D325" i="112" s="1"/>
  <c r="D30" i="116" s="1"/>
  <c r="V325" i="112"/>
  <c r="BK228" i="143"/>
  <c r="BN228" i="143" s="1"/>
  <c r="Q162" i="143" s="1"/>
  <c r="N554" i="112"/>
  <c r="F554" i="112" s="1"/>
  <c r="D554" i="112" s="1"/>
  <c r="V554" i="112"/>
  <c r="N214" i="112"/>
  <c r="F214" i="112" s="1"/>
  <c r="D214" i="112" s="1"/>
  <c r="V214" i="112"/>
  <c r="M194" i="146"/>
  <c r="N660" i="112"/>
  <c r="F660" i="112" s="1"/>
  <c r="D660" i="112" s="1"/>
  <c r="V660" i="112"/>
  <c r="M121" i="146"/>
  <c r="V770" i="112"/>
  <c r="N62" i="112"/>
  <c r="F62" i="112" s="1"/>
  <c r="D62" i="112" s="1"/>
  <c r="V62" i="112"/>
  <c r="N342" i="112"/>
  <c r="V342" i="112"/>
  <c r="BJ111" i="142"/>
  <c r="O51" i="142" s="1"/>
  <c r="N731" i="112"/>
  <c r="F731" i="112" s="1"/>
  <c r="D731" i="112" s="1"/>
  <c r="V731" i="112"/>
  <c r="V539" i="112"/>
  <c r="N539" i="112"/>
  <c r="BJ107" i="142"/>
  <c r="O39" i="142" s="1"/>
  <c r="BR175" i="162"/>
  <c r="G44" i="162" s="1"/>
  <c r="N339" i="112"/>
  <c r="F339" i="112" s="1"/>
  <c r="D339" i="112" s="1"/>
  <c r="D22" i="116" s="1"/>
  <c r="V339" i="112"/>
  <c r="N715" i="112"/>
  <c r="F715" i="112" s="1"/>
  <c r="D715" i="112" s="1"/>
  <c r="V715" i="112"/>
  <c r="V297" i="112"/>
  <c r="N297" i="112"/>
  <c r="F297" i="112" s="1"/>
  <c r="D297" i="112" s="1"/>
  <c r="V221" i="112"/>
  <c r="N221" i="112"/>
  <c r="F221" i="112" s="1"/>
  <c r="D221" i="112" s="1"/>
  <c r="BR174" i="162"/>
  <c r="G41" i="162" s="1"/>
  <c r="V408" i="112"/>
  <c r="N408" i="112"/>
  <c r="F408" i="112" s="1"/>
  <c r="D408" i="112" s="1"/>
  <c r="D92" i="116" s="1"/>
  <c r="N254" i="112"/>
  <c r="F254" i="112" s="1"/>
  <c r="D254" i="112" s="1"/>
  <c r="M156" i="146"/>
  <c r="V180" i="112"/>
  <c r="N180" i="112"/>
  <c r="F180" i="112" s="1"/>
  <c r="D180" i="112" s="1"/>
  <c r="N249" i="112"/>
  <c r="F249" i="112" s="1"/>
  <c r="D249" i="112" s="1"/>
  <c r="V249" i="112"/>
  <c r="N33" i="112"/>
  <c r="N352" i="112"/>
  <c r="V352" i="112"/>
  <c r="BJ150" i="162"/>
  <c r="BJ176" i="162" s="1"/>
  <c r="G122" i="164"/>
  <c r="G146" i="164"/>
  <c r="N460" i="112"/>
  <c r="F460" i="112" s="1"/>
  <c r="D460" i="112" s="1"/>
  <c r="V460" i="112"/>
  <c r="N448" i="112"/>
  <c r="F448" i="112" s="1"/>
  <c r="D448" i="112" s="1"/>
  <c r="V448" i="112"/>
  <c r="N591" i="112"/>
  <c r="F591" i="112" s="1"/>
  <c r="D591" i="112" s="1"/>
  <c r="N217" i="112"/>
  <c r="F217" i="112" s="1"/>
  <c r="D217" i="112" s="1"/>
  <c r="V217" i="112"/>
  <c r="N19" i="112"/>
  <c r="F19" i="112" s="1"/>
  <c r="D19" i="112" s="1"/>
  <c r="V19" i="112"/>
  <c r="N336" i="112"/>
  <c r="F336" i="112" s="1"/>
  <c r="D336" i="112" s="1"/>
  <c r="D20" i="116" s="1"/>
  <c r="V336" i="112"/>
  <c r="N647" i="112"/>
  <c r="F647" i="112" s="1"/>
  <c r="D647" i="112" s="1"/>
  <c r="N689" i="112"/>
  <c r="F689" i="112" s="1"/>
  <c r="D689" i="112" s="1"/>
  <c r="G106" i="190" s="1"/>
  <c r="N374" i="112"/>
  <c r="F374" i="112" s="1"/>
  <c r="V374" i="112"/>
  <c r="N450" i="112"/>
  <c r="F450" i="112" s="1"/>
  <c r="D450" i="112" s="1"/>
  <c r="D103" i="116" s="1"/>
  <c r="V450" i="112"/>
  <c r="N324" i="112"/>
  <c r="F324" i="112" s="1"/>
  <c r="D324" i="112" s="1"/>
  <c r="D25" i="116" s="1"/>
  <c r="V324" i="112"/>
  <c r="N584" i="112"/>
  <c r="F584" i="112" s="1"/>
  <c r="D584" i="112" s="1"/>
  <c r="V196" i="112"/>
  <c r="N196" i="112"/>
  <c r="F196" i="112" s="1"/>
  <c r="D196" i="112" s="1"/>
  <c r="W197" i="112" s="1"/>
  <c r="H197" i="112" s="1"/>
  <c r="V197" i="112" s="1"/>
  <c r="V361" i="112"/>
  <c r="N361" i="112"/>
  <c r="BJ161" i="162"/>
  <c r="O79" i="162" s="1"/>
  <c r="N595" i="112"/>
  <c r="F595" i="112" s="1"/>
  <c r="D595" i="112" s="1"/>
  <c r="G171" i="180" s="1"/>
  <c r="N202" i="112"/>
  <c r="F202" i="112" s="1"/>
  <c r="D202" i="112" s="1"/>
  <c r="V202" i="112"/>
  <c r="N652" i="112"/>
  <c r="V652" i="112"/>
  <c r="BK237" i="164"/>
  <c r="O33" i="164" s="1"/>
  <c r="V251" i="112"/>
  <c r="N251" i="112"/>
  <c r="F251" i="112" s="1"/>
  <c r="D251" i="112" s="1"/>
  <c r="M51" i="142"/>
  <c r="N317" i="112"/>
  <c r="F317" i="112" s="1"/>
  <c r="D317" i="112" s="1"/>
  <c r="V317" i="112"/>
  <c r="N487" i="112"/>
  <c r="F487" i="112" s="1"/>
  <c r="D487" i="112" s="1"/>
  <c r="V487" i="112"/>
  <c r="M39" i="142"/>
  <c r="N535" i="112"/>
  <c r="F535" i="112" s="1"/>
  <c r="D535" i="112" s="1"/>
  <c r="V640" i="112"/>
  <c r="N640" i="112"/>
  <c r="F640" i="112" s="1"/>
  <c r="D640" i="112" s="1"/>
  <c r="BJ219" i="143"/>
  <c r="O93" i="143" s="1"/>
  <c r="N705" i="112"/>
  <c r="V705" i="112"/>
  <c r="N555" i="112"/>
  <c r="F555" i="112" s="1"/>
  <c r="D555" i="112" s="1"/>
  <c r="V555" i="112"/>
  <c r="N581" i="112"/>
  <c r="V581" i="112"/>
  <c r="BJ105" i="142"/>
  <c r="O33" i="142" s="1"/>
  <c r="N41" i="161"/>
  <c r="N206" i="112"/>
  <c r="F206" i="112" s="1"/>
  <c r="D206" i="112" s="1"/>
  <c r="V206" i="112"/>
  <c r="V447" i="112"/>
  <c r="N447" i="112"/>
  <c r="F447" i="112" s="1"/>
  <c r="D447" i="112" s="1"/>
  <c r="D12" i="116" s="1"/>
  <c r="N486" i="112"/>
  <c r="F486" i="112" s="1"/>
  <c r="D486" i="112" s="1"/>
  <c r="V486" i="112"/>
  <c r="M79" i="162"/>
  <c r="N547" i="112"/>
  <c r="F547" i="112" s="1"/>
  <c r="D547" i="112" s="1"/>
  <c r="V547" i="112"/>
  <c r="M33" i="164"/>
  <c r="N235" i="112"/>
  <c r="N574" i="112"/>
  <c r="F574" i="112" s="1"/>
  <c r="D574" i="112" s="1"/>
  <c r="V574" i="112"/>
  <c r="N649" i="112"/>
  <c r="F649" i="112" s="1"/>
  <c r="D649" i="112" s="1"/>
  <c r="N589" i="112"/>
  <c r="F589" i="112" s="1"/>
  <c r="D589" i="112" s="1"/>
  <c r="V778" i="112"/>
  <c r="M93" i="143"/>
  <c r="N25" i="112"/>
  <c r="F25" i="112" s="1"/>
  <c r="D25" i="112" s="1"/>
  <c r="V25" i="112"/>
  <c r="N322" i="112"/>
  <c r="F322" i="112" s="1"/>
  <c r="D322" i="112" s="1"/>
  <c r="V322" i="112"/>
  <c r="N218" i="112"/>
  <c r="N207" i="112"/>
  <c r="N582" i="112"/>
  <c r="F582" i="112" s="1"/>
  <c r="D582" i="112" s="1"/>
  <c r="V582" i="112"/>
  <c r="N310" i="112"/>
  <c r="F310" i="112" s="1"/>
  <c r="D310" i="112" s="1"/>
  <c r="D9" i="116" s="1"/>
  <c r="V310" i="112"/>
  <c r="M33" i="142"/>
  <c r="N179" i="112"/>
  <c r="F179" i="112" s="1"/>
  <c r="D179" i="112" s="1"/>
  <c r="V179" i="112"/>
  <c r="N740" i="112"/>
  <c r="V740" i="112"/>
  <c r="BJ92" i="161"/>
  <c r="P41" i="161" s="1"/>
  <c r="N729" i="112"/>
  <c r="F729" i="112" s="1"/>
  <c r="D729" i="112" s="1"/>
  <c r="V729" i="112"/>
  <c r="N365" i="112"/>
  <c r="F365" i="112" s="1"/>
  <c r="D365" i="112" s="1"/>
  <c r="D60" i="116" s="1"/>
  <c r="V365" i="112"/>
  <c r="N210" i="112"/>
  <c r="F210" i="112" s="1"/>
  <c r="D210" i="112" s="1"/>
  <c r="V210" i="112"/>
  <c r="N283" i="112"/>
  <c r="F283" i="112" s="1"/>
  <c r="D283" i="112" s="1"/>
  <c r="V283" i="112"/>
  <c r="N655" i="112"/>
  <c r="F655" i="112" s="1"/>
  <c r="D655" i="112" s="1"/>
  <c r="V655" i="112"/>
  <c r="N371" i="112"/>
  <c r="F371" i="112" s="1"/>
  <c r="D371" i="112" s="1"/>
  <c r="V371" i="112"/>
  <c r="M54" i="142"/>
  <c r="N384" i="112"/>
  <c r="F384" i="112" s="1"/>
  <c r="D384" i="112" s="1"/>
  <c r="D54" i="116" s="1"/>
  <c r="V384" i="112"/>
  <c r="N314" i="112"/>
  <c r="F314" i="112" s="1"/>
  <c r="D314" i="112" s="1"/>
  <c r="D99" i="116" s="1"/>
  <c r="V314" i="112"/>
  <c r="N36" i="112"/>
  <c r="V97" i="112"/>
  <c r="BJ266" i="146"/>
  <c r="O124" i="146" s="1"/>
  <c r="N97" i="112"/>
  <c r="N59" i="112"/>
  <c r="N354" i="112"/>
  <c r="V354" i="112"/>
  <c r="BJ165" i="162"/>
  <c r="O91" i="162" s="1"/>
  <c r="N10" i="112"/>
  <c r="F10" i="112" s="1"/>
  <c r="D10" i="112" s="1"/>
  <c r="V10" i="112"/>
  <c r="N449" i="112"/>
  <c r="F449" i="112" s="1"/>
  <c r="D449" i="112" s="1"/>
  <c r="D104" i="116" s="1"/>
  <c r="V449" i="112"/>
  <c r="N23" i="112"/>
  <c r="F23" i="112" s="1"/>
  <c r="D23" i="112" s="1"/>
  <c r="V23" i="112"/>
  <c r="N653" i="112"/>
  <c r="F653" i="112" s="1"/>
  <c r="D653" i="112" s="1"/>
  <c r="V653" i="112"/>
  <c r="N375" i="112"/>
  <c r="V375" i="112"/>
  <c r="BJ158" i="162"/>
  <c r="O63" i="162" s="1"/>
  <c r="N542" i="112"/>
  <c r="F542" i="112" s="1"/>
  <c r="D542" i="112" s="1"/>
  <c r="V542" i="112"/>
  <c r="N34" i="112"/>
  <c r="F34" i="112" s="1"/>
  <c r="D34" i="112" s="1"/>
  <c r="V34" i="112"/>
  <c r="N641" i="112"/>
  <c r="F641" i="112" s="1"/>
  <c r="D641" i="112" s="1"/>
  <c r="G32" i="200" s="1"/>
  <c r="V641" i="112"/>
  <c r="N373" i="112"/>
  <c r="F373" i="112" s="1"/>
  <c r="V373" i="112"/>
  <c r="N481" i="112"/>
  <c r="F481" i="112" s="1"/>
  <c r="D481" i="112" s="1"/>
  <c r="V481" i="112"/>
  <c r="N369" i="112"/>
  <c r="F369" i="112" s="1"/>
  <c r="V369" i="112"/>
  <c r="N216" i="112"/>
  <c r="F216" i="112" s="1"/>
  <c r="D216" i="112" s="1"/>
  <c r="V216" i="112"/>
  <c r="N476" i="112"/>
  <c r="F476" i="112" s="1"/>
  <c r="D476" i="112" s="1"/>
  <c r="V476" i="112"/>
  <c r="N594" i="112"/>
  <c r="F594" i="112" s="1"/>
  <c r="D594" i="112" s="1"/>
  <c r="N760" i="112"/>
  <c r="V760" i="112"/>
  <c r="BJ112" i="142"/>
  <c r="O54" i="142" s="1"/>
  <c r="N735" i="112"/>
  <c r="N282" i="112"/>
  <c r="F282" i="112" s="1"/>
  <c r="D282" i="112" s="1"/>
  <c r="V282" i="112"/>
  <c r="V56" i="112"/>
  <c r="N56" i="112"/>
  <c r="F56" i="112" s="1"/>
  <c r="D56" i="112" s="1"/>
  <c r="M124" i="146"/>
  <c r="BK236" i="164"/>
  <c r="N711" i="112"/>
  <c r="N358" i="112"/>
  <c r="F358" i="112" s="1"/>
  <c r="D358" i="112" s="1"/>
  <c r="D51" i="116" s="1"/>
  <c r="V358" i="112"/>
  <c r="M91" i="162"/>
  <c r="V559" i="112"/>
  <c r="N559" i="112"/>
  <c r="F559" i="112" s="1"/>
  <c r="D559" i="112" s="1"/>
  <c r="N327" i="112"/>
  <c r="F327" i="112" s="1"/>
  <c r="D327" i="112" s="1"/>
  <c r="D29" i="116" s="1"/>
  <c r="V327" i="112"/>
  <c r="N489" i="112"/>
  <c r="F489" i="112" s="1"/>
  <c r="D489" i="112" s="1"/>
  <c r="V489" i="112"/>
  <c r="N137" i="112"/>
  <c r="F137" i="112" s="1"/>
  <c r="D137" i="112" s="1"/>
  <c r="V137" i="112"/>
  <c r="M63" i="162"/>
  <c r="N16" i="112"/>
  <c r="F16" i="112" s="1"/>
  <c r="D16" i="112" s="1"/>
  <c r="V16" i="112"/>
  <c r="N209" i="112"/>
  <c r="F209" i="112" s="1"/>
  <c r="D209" i="112" s="1"/>
  <c r="V209" i="112"/>
  <c r="N551" i="112"/>
  <c r="F551" i="112" s="1"/>
  <c r="D551" i="112" s="1"/>
  <c r="V551" i="112"/>
  <c r="N691" i="112"/>
  <c r="F691" i="112" s="1"/>
  <c r="D691" i="112" s="1"/>
  <c r="N42" i="112"/>
  <c r="F42" i="112" s="1"/>
  <c r="D42" i="112" s="1"/>
  <c r="V42" i="112"/>
  <c r="N238" i="112"/>
  <c r="F238" i="112" s="1"/>
  <c r="D238" i="112" s="1"/>
  <c r="W235" i="112" s="1"/>
  <c r="V238" i="112"/>
  <c r="N664" i="112"/>
  <c r="F664" i="112" s="1"/>
  <c r="D664" i="112" s="1"/>
  <c r="N301" i="112"/>
  <c r="F301" i="112" s="1"/>
  <c r="D301" i="112" s="1"/>
  <c r="V301" i="112"/>
  <c r="N138" i="112"/>
  <c r="F138" i="112" s="1"/>
  <c r="D138" i="112" s="1"/>
  <c r="V138" i="112"/>
  <c r="N452" i="112"/>
  <c r="F452" i="112" s="1"/>
  <c r="D452" i="112" s="1"/>
  <c r="V452" i="112"/>
  <c r="N482" i="112"/>
  <c r="F482" i="112" s="1"/>
  <c r="D482" i="112" s="1"/>
  <c r="V482" i="112"/>
  <c r="N386" i="112"/>
  <c r="V386" i="112"/>
  <c r="BJ152" i="162"/>
  <c r="BK173" i="162" s="1"/>
  <c r="N232" i="112"/>
  <c r="F232" i="112" s="1"/>
  <c r="D232" i="112" s="1"/>
  <c r="N572" i="112"/>
  <c r="F572" i="112" s="1"/>
  <c r="D572" i="112" s="1"/>
  <c r="V572" i="112"/>
  <c r="N357" i="112"/>
  <c r="V357" i="112"/>
  <c r="BJ141" i="162"/>
  <c r="BI172" i="162" s="1"/>
  <c r="N8" i="112"/>
  <c r="F8" i="112" s="1"/>
  <c r="D8" i="112" s="1"/>
  <c r="V8" i="112"/>
  <c r="N368" i="112"/>
  <c r="V368" i="112"/>
  <c r="BJ164" i="162"/>
  <c r="O88" i="162" s="1"/>
  <c r="N573" i="112"/>
  <c r="F573" i="112" s="1"/>
  <c r="D573" i="112" s="1"/>
  <c r="F29" i="190" s="1"/>
  <c r="G29" i="190" s="1"/>
  <c r="V573" i="112"/>
  <c r="N275" i="112"/>
  <c r="F275" i="112" s="1"/>
  <c r="D275" i="112" s="1"/>
  <c r="N372" i="112"/>
  <c r="F372" i="112" s="1"/>
  <c r="V372" i="112"/>
  <c r="N533" i="112"/>
  <c r="F533" i="112" s="1"/>
  <c r="D533" i="112" s="1"/>
  <c r="BR172" i="162"/>
  <c r="G35" i="162" s="1"/>
  <c r="N58" i="112"/>
  <c r="N323" i="112"/>
  <c r="F323" i="112" s="1"/>
  <c r="D323" i="112" s="1"/>
  <c r="D26" i="116" s="1"/>
  <c r="V323" i="112"/>
  <c r="N738" i="112"/>
  <c r="V738" i="112"/>
  <c r="BJ93" i="161"/>
  <c r="P45" i="161" s="1"/>
  <c r="N658" i="112"/>
  <c r="F658" i="112" s="1"/>
  <c r="D658" i="112" s="1"/>
  <c r="V658" i="112"/>
  <c r="N2" i="112"/>
  <c r="BJ121" i="163"/>
  <c r="O68" i="163" s="1"/>
  <c r="V2" i="112"/>
  <c r="N644" i="112"/>
  <c r="F644" i="112" s="1"/>
  <c r="D644" i="112" s="1"/>
  <c r="N252" i="112"/>
  <c r="F252" i="112" s="1"/>
  <c r="D252" i="112" s="1"/>
  <c r="V252" i="112"/>
  <c r="V767" i="112"/>
  <c r="N255" i="112"/>
  <c r="F255" i="112" s="1"/>
  <c r="D255" i="112" s="1"/>
  <c r="V255" i="112"/>
  <c r="N713" i="112"/>
  <c r="F713" i="112" s="1"/>
  <c r="D713" i="112" s="1"/>
  <c r="N370" i="112"/>
  <c r="F370" i="112" s="1"/>
  <c r="V370" i="112"/>
  <c r="V250" i="112"/>
  <c r="N250" i="112"/>
  <c r="F250" i="112" s="1"/>
  <c r="D250" i="112" s="1"/>
  <c r="G12" i="189" s="1"/>
  <c r="N382" i="112"/>
  <c r="V382" i="112"/>
  <c r="BJ157" i="162"/>
  <c r="O60" i="162" s="1"/>
  <c r="V379" i="112"/>
  <c r="N379" i="112"/>
  <c r="BJ153" i="162"/>
  <c r="BK174" i="162" s="1"/>
  <c r="V5" i="112"/>
  <c r="N5" i="112"/>
  <c r="F5" i="112" s="1"/>
  <c r="D5" i="112" s="1"/>
  <c r="N561" i="112"/>
  <c r="F561" i="112" s="1"/>
  <c r="D561" i="112" s="1"/>
  <c r="V561" i="112"/>
  <c r="M152" i="143"/>
  <c r="N61" i="112"/>
  <c r="N267" i="112"/>
  <c r="F267" i="112" s="1"/>
  <c r="D267" i="112" s="1"/>
  <c r="V267" i="112"/>
  <c r="M68" i="163"/>
  <c r="N35" i="112"/>
  <c r="F35" i="112" s="1"/>
  <c r="D35" i="112" s="1"/>
  <c r="V35" i="112"/>
  <c r="V765" i="112"/>
  <c r="N353" i="112"/>
  <c r="V353" i="112"/>
  <c r="BJ155" i="162"/>
  <c r="BK176" i="162" s="1"/>
  <c r="N203" i="112"/>
  <c r="F203" i="112" s="1"/>
  <c r="D203" i="112" s="1"/>
  <c r="V203" i="112"/>
  <c r="V212" i="112"/>
  <c r="N212" i="112"/>
  <c r="F212" i="112" s="1"/>
  <c r="D212" i="112" s="1"/>
  <c r="N313" i="112"/>
  <c r="F313" i="112" s="1"/>
  <c r="D313" i="112" s="1"/>
  <c r="D98" i="116" s="1"/>
  <c r="V313" i="112"/>
  <c r="N337" i="112"/>
  <c r="F337" i="112" s="1"/>
  <c r="D337" i="112" s="1"/>
  <c r="D23" i="116" s="1"/>
  <c r="V337" i="112"/>
  <c r="N271" i="112"/>
  <c r="F271" i="112" s="1"/>
  <c r="D271" i="112" s="1"/>
  <c r="V597" i="112"/>
  <c r="N385" i="112"/>
  <c r="V385" i="112"/>
  <c r="BJ147" i="162"/>
  <c r="BJ173" i="162" s="1"/>
  <c r="M60" i="162"/>
  <c r="V328" i="112"/>
  <c r="N328" i="112"/>
  <c r="F328" i="112" s="1"/>
  <c r="D328" i="112" s="1"/>
  <c r="D27" i="116" s="1"/>
  <c r="B17" i="183"/>
  <c r="N178" i="112"/>
  <c r="F178" i="112" s="1"/>
  <c r="D178" i="112" s="1"/>
  <c r="V178" i="112"/>
  <c r="N24" i="112"/>
  <c r="F24" i="112" s="1"/>
  <c r="D24" i="112" s="1"/>
  <c r="V24" i="112"/>
  <c r="N407" i="112"/>
  <c r="F407" i="112" s="1"/>
  <c r="D407" i="112" s="1"/>
  <c r="D109" i="116" s="1"/>
  <c r="V407" i="112"/>
  <c r="G125" i="164"/>
  <c r="G149" i="164"/>
  <c r="N557" i="112"/>
  <c r="F557" i="112" s="1"/>
  <c r="D557" i="112" s="1"/>
  <c r="V557" i="112"/>
  <c r="N30" i="112"/>
  <c r="F30" i="112" s="1"/>
  <c r="D30" i="112" s="1"/>
  <c r="V30" i="112"/>
  <c r="N378" i="112"/>
  <c r="V378" i="112"/>
  <c r="BJ148" i="162"/>
  <c r="BJ174" i="162" s="1"/>
  <c r="N524" i="112"/>
  <c r="F524" i="112" s="1"/>
  <c r="D524" i="112" s="1"/>
  <c r="V524" i="112"/>
  <c r="N272" i="112"/>
  <c r="F272" i="112" s="1"/>
  <c r="D272" i="112" s="1"/>
  <c r="V272" i="112"/>
  <c r="N29" i="112"/>
  <c r="N315" i="112"/>
  <c r="F315" i="112" s="1"/>
  <c r="D315" i="112" s="1"/>
  <c r="D105" i="116" s="1"/>
  <c r="V315" i="112"/>
  <c r="N330" i="112"/>
  <c r="F330" i="112" s="1"/>
  <c r="D330" i="112" s="1"/>
  <c r="D102" i="116" s="1"/>
  <c r="V330" i="112"/>
  <c r="N654" i="112"/>
  <c r="F654" i="112" s="1"/>
  <c r="D654" i="112" s="1"/>
  <c r="V654" i="112"/>
  <c r="N22" i="112"/>
  <c r="F22" i="112" s="1"/>
  <c r="D22" i="112" s="1"/>
  <c r="V22" i="112"/>
  <c r="N343" i="112"/>
  <c r="V343" i="112"/>
  <c r="BJ109" i="142"/>
  <c r="O45" i="142" s="1"/>
  <c r="N9" i="112"/>
  <c r="F9" i="112" s="1"/>
  <c r="D9" i="112" s="1"/>
  <c r="V9" i="112"/>
  <c r="N549" i="112"/>
  <c r="F549" i="112" s="1"/>
  <c r="D549" i="112" s="1"/>
  <c r="V549" i="112"/>
  <c r="N356" i="112"/>
  <c r="V356" i="112"/>
  <c r="BJ156" i="162"/>
  <c r="O57" i="162" s="1"/>
  <c r="N299" i="112"/>
  <c r="F299" i="112" s="1"/>
  <c r="D299" i="112" s="1"/>
  <c r="V299" i="112"/>
  <c r="N4" i="112"/>
  <c r="F4" i="112" s="1"/>
  <c r="D4" i="112" s="1"/>
  <c r="V4" i="112"/>
  <c r="V256" i="112"/>
  <c r="N256" i="112"/>
  <c r="F256" i="112" s="1"/>
  <c r="D256" i="112" s="1"/>
  <c r="N38" i="112"/>
  <c r="F38" i="112" s="1"/>
  <c r="D38" i="112" s="1"/>
  <c r="V38" i="112"/>
  <c r="N3" i="112"/>
  <c r="V3" i="112"/>
  <c r="BJ122" i="163"/>
  <c r="O65" i="163" s="1"/>
  <c r="N734" i="112"/>
  <c r="V734" i="112"/>
  <c r="BJ227" i="143"/>
  <c r="O152" i="143" s="1"/>
  <c r="N312" i="112"/>
  <c r="F312" i="112" s="1"/>
  <c r="D312" i="112" s="1"/>
  <c r="D100" i="116" s="1"/>
  <c r="V312" i="112"/>
  <c r="BK106" i="142"/>
  <c r="N736" i="112"/>
  <c r="F736" i="112" s="1"/>
  <c r="D736" i="112" s="1"/>
  <c r="V127" i="112"/>
  <c r="BJ263" i="146"/>
  <c r="O89" i="146" s="1"/>
  <c r="N127" i="112"/>
  <c r="N522" i="112"/>
  <c r="F522" i="112" s="1"/>
  <c r="D522" i="112" s="1"/>
  <c r="V522" i="112"/>
  <c r="N556" i="112"/>
  <c r="F556" i="112" s="1"/>
  <c r="D556" i="112" s="1"/>
  <c r="V556" i="112"/>
  <c r="N182" i="112"/>
  <c r="F182" i="112" s="1"/>
  <c r="D182" i="112" s="1"/>
  <c r="V182" i="112"/>
  <c r="N344" i="112"/>
  <c r="V344" i="112"/>
  <c r="BJ110" i="142"/>
  <c r="O48" i="142" s="1"/>
  <c r="N586" i="112"/>
  <c r="F586" i="112" s="1"/>
  <c r="D586" i="112" s="1"/>
  <c r="F43" i="117" s="1"/>
  <c r="V586" i="112"/>
  <c r="N657" i="112"/>
  <c r="F657" i="112" s="1"/>
  <c r="D657" i="112" s="1"/>
  <c r="V657" i="112"/>
  <c r="M45" i="142"/>
  <c r="N197" i="112"/>
  <c r="C407" i="99"/>
  <c r="M416" i="99"/>
  <c r="C405" i="99"/>
  <c r="P416" i="99"/>
  <c r="P420" i="99" s="1"/>
  <c r="Q416" i="99"/>
  <c r="N525" i="112"/>
  <c r="N553" i="112"/>
  <c r="F553" i="112" s="1"/>
  <c r="D553" i="112" s="1"/>
  <c r="V553" i="112"/>
  <c r="N359" i="112"/>
  <c r="V359" i="112"/>
  <c r="BJ146" i="162"/>
  <c r="BJ172" i="162" s="1"/>
  <c r="N281" i="112"/>
  <c r="F281" i="112" s="1"/>
  <c r="D281" i="112" s="1"/>
  <c r="V281" i="112"/>
  <c r="M57" i="162"/>
  <c r="N642" i="112"/>
  <c r="F642" i="112" s="1"/>
  <c r="D642" i="112" s="1"/>
  <c r="V642" i="112"/>
  <c r="N367" i="112"/>
  <c r="V367" i="112"/>
  <c r="BJ154" i="162"/>
  <c r="BK175" i="162" s="1"/>
  <c r="N32" i="112"/>
  <c r="F32" i="112" s="1"/>
  <c r="D32" i="112" s="1"/>
  <c r="V32" i="112"/>
  <c r="N558" i="112"/>
  <c r="F558" i="112" s="1"/>
  <c r="D558" i="112" s="1"/>
  <c r="V558" i="112"/>
  <c r="N645" i="112"/>
  <c r="M65" i="163"/>
  <c r="N261" i="112"/>
  <c r="F261" i="112" s="1"/>
  <c r="D261" i="112" s="1"/>
  <c r="V261" i="112"/>
  <c r="N739" i="112"/>
  <c r="V739" i="112"/>
  <c r="BJ94" i="161"/>
  <c r="P49" i="161" s="1"/>
  <c r="N243" i="112"/>
  <c r="N349" i="112"/>
  <c r="V349" i="112"/>
  <c r="BJ160" i="162"/>
  <c r="O69" i="162" s="1"/>
  <c r="N241" i="112"/>
  <c r="F241" i="112" s="1"/>
  <c r="D241" i="112" s="1"/>
  <c r="V241" i="112"/>
  <c r="V63" i="112"/>
  <c r="N63" i="112"/>
  <c r="F63" i="112" s="1"/>
  <c r="D63" i="112" s="1"/>
  <c r="N335" i="112"/>
  <c r="F335" i="112" s="1"/>
  <c r="D335" i="112" s="1"/>
  <c r="D21" i="116" s="1"/>
  <c r="V335" i="112"/>
  <c r="N45" i="161"/>
  <c r="N280" i="112"/>
  <c r="F280" i="112" s="1"/>
  <c r="D280" i="112" s="1"/>
  <c r="V280" i="112"/>
  <c r="M89" i="146"/>
  <c r="V764" i="112"/>
  <c r="N228" i="112"/>
  <c r="F228" i="112" s="1"/>
  <c r="D228" i="112" s="1"/>
  <c r="N49" i="112"/>
  <c r="F49" i="112" s="1"/>
  <c r="D49" i="112" s="1"/>
  <c r="V49" i="112"/>
  <c r="N351" i="112"/>
  <c r="F351" i="112" s="1"/>
  <c r="D351" i="112" s="1"/>
  <c r="D63" i="116" s="1"/>
  <c r="V351" i="112"/>
  <c r="N296" i="112"/>
  <c r="F296" i="112" s="1"/>
  <c r="D296" i="112" s="1"/>
  <c r="V296" i="112"/>
  <c r="E399" i="124"/>
  <c r="E399" i="100"/>
  <c r="E433" i="123"/>
  <c r="M48" i="142"/>
  <c r="N185" i="112"/>
  <c r="F185" i="112" s="1"/>
  <c r="D185" i="112" s="1"/>
  <c r="V185" i="112"/>
  <c r="N326" i="112"/>
  <c r="F326" i="112" s="1"/>
  <c r="D326" i="112" s="1"/>
  <c r="D28" i="116" s="1"/>
  <c r="V326" i="112"/>
  <c r="G414" i="124"/>
  <c r="M414" i="124"/>
  <c r="G416" i="124"/>
  <c r="M416" i="124"/>
  <c r="C403" i="124"/>
  <c r="C405" i="124"/>
  <c r="N446" i="112"/>
  <c r="F446" i="112" s="1"/>
  <c r="D446" i="112" s="1"/>
  <c r="D11" i="116" s="1"/>
  <c r="V446" i="112"/>
  <c r="N184" i="112"/>
  <c r="F184" i="112" s="1"/>
  <c r="D184" i="112" s="1"/>
  <c r="V184" i="112"/>
  <c r="N348" i="112"/>
  <c r="F348" i="112" s="1"/>
  <c r="D348" i="112" s="1"/>
  <c r="D97" i="116" s="1"/>
  <c r="V348" i="112"/>
  <c r="N259" i="112"/>
  <c r="F259" i="112" s="1"/>
  <c r="D259" i="112" s="1"/>
  <c r="V259" i="112"/>
  <c r="N488" i="112"/>
  <c r="F488" i="112" s="1"/>
  <c r="D488" i="112" s="1"/>
  <c r="V488" i="112"/>
  <c r="N136" i="112"/>
  <c r="F136" i="112" s="1"/>
  <c r="D136" i="112" s="1"/>
  <c r="V136" i="112"/>
  <c r="N39" i="112"/>
  <c r="F39" i="112" s="1"/>
  <c r="D39" i="112" s="1"/>
  <c r="V39" i="112"/>
  <c r="N49" i="161"/>
  <c r="V779" i="112"/>
  <c r="N41" i="112"/>
  <c r="F41" i="112" s="1"/>
  <c r="D41" i="112" s="1"/>
  <c r="V41" i="112"/>
  <c r="N318" i="112"/>
  <c r="F318" i="112" s="1"/>
  <c r="D318" i="112" s="1"/>
  <c r="V318" i="112"/>
  <c r="M69" i="162"/>
  <c r="N48" i="112"/>
  <c r="F48" i="112" s="1"/>
  <c r="D48" i="112" s="1"/>
  <c r="N732" i="112"/>
  <c r="F732" i="112" s="1"/>
  <c r="D732" i="112" s="1"/>
  <c r="V732" i="112"/>
  <c r="N239" i="112"/>
  <c r="F239" i="112" s="1"/>
  <c r="D239" i="112" s="1"/>
  <c r="V239" i="112"/>
  <c r="N15" i="112"/>
  <c r="F15" i="112" s="1"/>
  <c r="D15" i="112" s="1"/>
  <c r="V15" i="112"/>
  <c r="N562" i="112"/>
  <c r="F562" i="112" s="1"/>
  <c r="D562" i="112" s="1"/>
  <c r="V562" i="112"/>
  <c r="G416" i="100"/>
  <c r="M416" i="100"/>
  <c r="C405" i="100"/>
  <c r="G414" i="100"/>
  <c r="C403" i="100"/>
  <c r="M414" i="100"/>
  <c r="N387" i="112"/>
  <c r="V387" i="112"/>
  <c r="BJ162" i="162"/>
  <c r="O82" i="162" s="1"/>
  <c r="N285" i="112"/>
  <c r="F285" i="112" s="1"/>
  <c r="D285" i="112" s="1"/>
  <c r="V285" i="112"/>
  <c r="N60" i="112"/>
  <c r="N262" i="112"/>
  <c r="F262" i="112" s="1"/>
  <c r="D262" i="112" s="1"/>
  <c r="V262" i="112"/>
  <c r="V771" i="112"/>
  <c r="N274" i="112"/>
  <c r="F274" i="112" s="1"/>
  <c r="D274" i="112" s="1"/>
  <c r="N265" i="112"/>
  <c r="F265" i="112" s="1"/>
  <c r="D265" i="112" s="1"/>
  <c r="V265" i="112"/>
  <c r="N108" i="112"/>
  <c r="V108" i="112"/>
  <c r="BJ271" i="146"/>
  <c r="O191" i="146" s="1"/>
  <c r="N144" i="112"/>
  <c r="F144" i="112" s="1"/>
  <c r="D144" i="112" s="1"/>
  <c r="V144" i="112"/>
  <c r="N380" i="112"/>
  <c r="V380" i="112"/>
  <c r="BJ163" i="162"/>
  <c r="O85" i="162" s="1"/>
  <c r="N475" i="112"/>
  <c r="F475" i="112" s="1"/>
  <c r="D475" i="112" s="1"/>
  <c r="V475" i="112"/>
  <c r="N587" i="112"/>
  <c r="F587" i="112" s="1"/>
  <c r="D587" i="112" s="1"/>
  <c r="N43" i="112"/>
  <c r="F43" i="112" s="1"/>
  <c r="D43" i="112" s="1"/>
  <c r="V43" i="112"/>
  <c r="V636" i="112"/>
  <c r="N636" i="112"/>
  <c r="F636" i="112" s="1"/>
  <c r="D636" i="112" s="1"/>
  <c r="E6" i="111" l="1"/>
  <c r="AE6" i="111"/>
  <c r="AE268" i="111"/>
  <c r="E268" i="111"/>
  <c r="AE157" i="111"/>
  <c r="E490" i="111"/>
  <c r="E379" i="111"/>
  <c r="AE9" i="111"/>
  <c r="E120" i="111"/>
  <c r="AE83" i="111"/>
  <c r="AE305" i="111"/>
  <c r="AE416" i="111"/>
  <c r="E231" i="111"/>
  <c r="AE194" i="111"/>
  <c r="E453" i="111"/>
  <c r="E342" i="111"/>
  <c r="AE231" i="111"/>
  <c r="E305" i="111"/>
  <c r="E194" i="111"/>
  <c r="AE120" i="111"/>
  <c r="E83" i="111"/>
  <c r="AE342" i="111"/>
  <c r="AE490" i="111"/>
  <c r="E416" i="111"/>
  <c r="E46" i="111"/>
  <c r="AE46" i="111"/>
  <c r="AE379" i="111"/>
  <c r="E157" i="111"/>
  <c r="G211" i="180"/>
  <c r="AR215" i="187"/>
  <c r="AA215" i="187"/>
  <c r="K215" i="187"/>
  <c r="AQ215" i="187"/>
  <c r="Z215" i="187"/>
  <c r="J215" i="187"/>
  <c r="AN215" i="187"/>
  <c r="W215" i="187"/>
  <c r="AM215" i="187"/>
  <c r="V215" i="187"/>
  <c r="AE215" i="187"/>
  <c r="AJ215" i="187"/>
  <c r="S215" i="187"/>
  <c r="AI215" i="187"/>
  <c r="R215" i="187"/>
  <c r="O215" i="187"/>
  <c r="AD215" i="187"/>
  <c r="N215" i="187"/>
  <c r="V216" i="187"/>
  <c r="W216" i="187"/>
  <c r="AM216" i="187"/>
  <c r="AR216" i="187"/>
  <c r="AN216" i="187"/>
  <c r="AJ216" i="187"/>
  <c r="S216" i="187"/>
  <c r="AI216" i="187"/>
  <c r="R216" i="187"/>
  <c r="N216" i="187"/>
  <c r="AD216" i="187"/>
  <c r="AA216" i="187"/>
  <c r="AE216" i="187"/>
  <c r="O216" i="187"/>
  <c r="K216" i="187"/>
  <c r="AQ216" i="187"/>
  <c r="Z216" i="187"/>
  <c r="J216" i="187"/>
  <c r="H120" i="111"/>
  <c r="AH83" i="111"/>
  <c r="AH305" i="111"/>
  <c r="AH416" i="111"/>
  <c r="H231" i="111"/>
  <c r="AH9" i="111"/>
  <c r="H453" i="111"/>
  <c r="H342" i="111"/>
  <c r="H157" i="111"/>
  <c r="AH268" i="111"/>
  <c r="H268" i="111"/>
  <c r="AH194" i="111"/>
  <c r="H83" i="111"/>
  <c r="AH342" i="111"/>
  <c r="H194" i="111"/>
  <c r="AH120" i="111"/>
  <c r="AH231" i="111"/>
  <c r="AH490" i="111"/>
  <c r="H305" i="111"/>
  <c r="H416" i="111"/>
  <c r="H46" i="111"/>
  <c r="AH46" i="111"/>
  <c r="AH379" i="111"/>
  <c r="AH157" i="111"/>
  <c r="H490" i="111"/>
  <c r="H379" i="111"/>
  <c r="AG157" i="111"/>
  <c r="G490" i="111"/>
  <c r="G379" i="111"/>
  <c r="AG9" i="111"/>
  <c r="AG83" i="111"/>
  <c r="AG416" i="111"/>
  <c r="G231" i="111"/>
  <c r="AG305" i="111"/>
  <c r="AG194" i="111"/>
  <c r="G453" i="111"/>
  <c r="G342" i="111"/>
  <c r="AG379" i="111"/>
  <c r="AG490" i="111"/>
  <c r="G305" i="111"/>
  <c r="G83" i="111"/>
  <c r="AG342" i="111"/>
  <c r="G194" i="111"/>
  <c r="AG231" i="111"/>
  <c r="AG46" i="111"/>
  <c r="AG120" i="111"/>
  <c r="G416" i="111"/>
  <c r="G46" i="111"/>
  <c r="G157" i="111"/>
  <c r="AG268" i="111"/>
  <c r="G268" i="111"/>
  <c r="G120" i="111"/>
  <c r="G9" i="111"/>
  <c r="G7" i="111"/>
  <c r="G6" i="111"/>
  <c r="H6" i="111"/>
  <c r="E9" i="111"/>
  <c r="H9" i="111"/>
  <c r="H7" i="111"/>
  <c r="H315" i="151"/>
  <c r="L315" i="151" s="1"/>
  <c r="M315" i="151" s="1"/>
  <c r="H316" i="123"/>
  <c r="L316" i="123" s="1"/>
  <c r="M316" i="123" s="1"/>
  <c r="H316" i="107"/>
  <c r="L316" i="107" s="1"/>
  <c r="M316" i="107" s="1"/>
  <c r="H316" i="124"/>
  <c r="L316" i="124" s="1"/>
  <c r="M316" i="124" s="1"/>
  <c r="H316" i="100"/>
  <c r="L316" i="100" s="1"/>
  <c r="M316" i="100" s="1"/>
  <c r="H314" i="152"/>
  <c r="L314" i="152" s="1"/>
  <c r="M314" i="152" s="1"/>
  <c r="H316" i="126"/>
  <c r="L316" i="126" s="1"/>
  <c r="M316" i="126" s="1"/>
  <c r="H314" i="121"/>
  <c r="L314" i="121" s="1"/>
  <c r="M314" i="121" s="1"/>
  <c r="H316" i="99"/>
  <c r="L316" i="99" s="1"/>
  <c r="M316" i="99" s="1"/>
  <c r="H316" i="127"/>
  <c r="L316" i="127" s="1"/>
  <c r="M316" i="127" s="1"/>
  <c r="H314" i="122"/>
  <c r="L314" i="122" s="1"/>
  <c r="M314" i="122" s="1"/>
  <c r="H312" i="125"/>
  <c r="L312" i="125" s="1"/>
  <c r="M312" i="125" s="1"/>
  <c r="H312" i="97"/>
  <c r="L312" i="97" s="1"/>
  <c r="M312" i="97" s="1"/>
  <c r="H314" i="98"/>
  <c r="L314" i="98" s="1"/>
  <c r="M314" i="98" s="1"/>
  <c r="AC80" i="132"/>
  <c r="G144" i="200"/>
  <c r="I68" i="196"/>
  <c r="G93" i="189"/>
  <c r="H60" i="192"/>
  <c r="I60" i="192"/>
  <c r="G68" i="196"/>
  <c r="G60" i="192"/>
  <c r="H68" i="196"/>
  <c r="H37" i="198"/>
  <c r="G37" i="198"/>
  <c r="H44" i="192"/>
  <c r="I44" i="192"/>
  <c r="G44" i="192"/>
  <c r="G59" i="194"/>
  <c r="H72" i="198"/>
  <c r="G72" i="198"/>
  <c r="G51" i="199"/>
  <c r="S242" i="187"/>
  <c r="AE242" i="187"/>
  <c r="G242" i="187"/>
  <c r="AR242" i="187"/>
  <c r="G183" i="190"/>
  <c r="O242" i="187"/>
  <c r="AA242" i="187"/>
  <c r="AN242" i="187"/>
  <c r="K242" i="187"/>
  <c r="W242" i="187"/>
  <c r="AJ242" i="187"/>
  <c r="G136" i="180"/>
  <c r="H136" i="180"/>
  <c r="AJ238" i="187"/>
  <c r="AN238" i="187"/>
  <c r="G238" i="187"/>
  <c r="K238" i="187"/>
  <c r="AA238" i="187"/>
  <c r="W238" i="187"/>
  <c r="O238" i="187"/>
  <c r="S238" i="187"/>
  <c r="G216" i="187"/>
  <c r="G226" i="180"/>
  <c r="AR238" i="187"/>
  <c r="H226" i="180"/>
  <c r="G236" i="200"/>
  <c r="M9" i="207"/>
  <c r="C9" i="207" s="1"/>
  <c r="F216" i="187"/>
  <c r="H56" i="192"/>
  <c r="G56" i="192"/>
  <c r="I56" i="192"/>
  <c r="H64" i="196"/>
  <c r="G64" i="196"/>
  <c r="I64" i="196"/>
  <c r="G168" i="200"/>
  <c r="M12" i="207"/>
  <c r="G13" i="199"/>
  <c r="M11" i="207"/>
  <c r="M8" i="207"/>
  <c r="G10" i="194"/>
  <c r="E10" i="207"/>
  <c r="F10" i="207"/>
  <c r="G10" i="207"/>
  <c r="C10" i="207"/>
  <c r="H10" i="207"/>
  <c r="D10" i="207"/>
  <c r="I10" i="207"/>
  <c r="J10" i="207"/>
  <c r="K10" i="207"/>
  <c r="L10" i="207"/>
  <c r="H37" i="196"/>
  <c r="I37" i="196"/>
  <c r="G37" i="196"/>
  <c r="BM224" i="143"/>
  <c r="R43" i="166" s="1"/>
  <c r="BN224" i="143"/>
  <c r="Q136" i="143" s="1"/>
  <c r="H741" i="152"/>
  <c r="L741" i="152" s="1"/>
  <c r="M741" i="152" s="1"/>
  <c r="H588" i="152"/>
  <c r="L588" i="152" s="1"/>
  <c r="M588" i="152" s="1"/>
  <c r="BK89" i="161"/>
  <c r="E422" i="126"/>
  <c r="E423" i="123"/>
  <c r="E389" i="100"/>
  <c r="E388" i="127"/>
  <c r="E389" i="124"/>
  <c r="E421" i="126"/>
  <c r="E422" i="123"/>
  <c r="E388" i="100"/>
  <c r="E387" i="127"/>
  <c r="E388" i="124"/>
  <c r="H713" i="99"/>
  <c r="L713" i="99" s="1"/>
  <c r="M713" i="99" s="1"/>
  <c r="H703" i="126"/>
  <c r="L703" i="126" s="1"/>
  <c r="M703" i="126" s="1"/>
  <c r="H702" i="123"/>
  <c r="L702" i="123" s="1"/>
  <c r="M702" i="123" s="1"/>
  <c r="H576" i="127"/>
  <c r="L576" i="127" s="1"/>
  <c r="M576" i="127" s="1"/>
  <c r="H575" i="124"/>
  <c r="L575" i="124" s="1"/>
  <c r="M575" i="124" s="1"/>
  <c r="H576" i="100"/>
  <c r="L576" i="100" s="1"/>
  <c r="M576" i="100" s="1"/>
  <c r="H711" i="100"/>
  <c r="L711" i="100" s="1"/>
  <c r="M711" i="100" s="1"/>
  <c r="H711" i="127"/>
  <c r="L711" i="127" s="1"/>
  <c r="M711" i="127" s="1"/>
  <c r="H568" i="126"/>
  <c r="L568" i="126" s="1"/>
  <c r="M568" i="126" s="1"/>
  <c r="H578" i="99"/>
  <c r="L578" i="99" s="1"/>
  <c r="M578" i="99" s="1"/>
  <c r="H567" i="123"/>
  <c r="L567" i="123" s="1"/>
  <c r="M567" i="123" s="1"/>
  <c r="H710" i="124"/>
  <c r="L710" i="124" s="1"/>
  <c r="M710" i="124" s="1"/>
  <c r="H476" i="121"/>
  <c r="L476" i="121" s="1"/>
  <c r="M476" i="121" s="1"/>
  <c r="H611" i="121"/>
  <c r="L611" i="121" s="1"/>
  <c r="M611" i="121" s="1"/>
  <c r="H467" i="122"/>
  <c r="L467" i="122" s="1"/>
  <c r="M467" i="122" s="1"/>
  <c r="H602" i="122"/>
  <c r="L602" i="122" s="1"/>
  <c r="M602" i="122" s="1"/>
  <c r="H612" i="98"/>
  <c r="L612" i="98" s="1"/>
  <c r="M612" i="98" s="1"/>
  <c r="H477" i="98"/>
  <c r="L477" i="98" s="1"/>
  <c r="M477" i="98" s="1"/>
  <c r="G174" i="200"/>
  <c r="G274" i="200" s="1"/>
  <c r="T54" i="107" s="1"/>
  <c r="G56" i="198"/>
  <c r="H56" i="198"/>
  <c r="G45" i="198"/>
  <c r="H45" i="198"/>
  <c r="G55" i="198"/>
  <c r="H55" i="198"/>
  <c r="G41" i="198"/>
  <c r="G102" i="198" s="1"/>
  <c r="T15" i="107" s="1"/>
  <c r="H41" i="198"/>
  <c r="H102" i="198" s="1"/>
  <c r="G42" i="198"/>
  <c r="G50" i="198" s="1"/>
  <c r="H42" i="198"/>
  <c r="H50" i="198" s="1"/>
  <c r="G46" i="198"/>
  <c r="H46" i="198"/>
  <c r="T4" i="127"/>
  <c r="C470" i="127" s="1"/>
  <c r="T5" i="121"/>
  <c r="C370" i="121" s="1"/>
  <c r="T4" i="124"/>
  <c r="C469" i="124" s="1"/>
  <c r="H401" i="125"/>
  <c r="L401" i="125" s="1"/>
  <c r="H402" i="125"/>
  <c r="L402" i="125" s="1"/>
  <c r="M402" i="125" s="1"/>
  <c r="G161" i="189"/>
  <c r="BK122" i="163"/>
  <c r="BN122" i="163" s="1"/>
  <c r="Q68" i="163" s="1"/>
  <c r="BK121" i="163"/>
  <c r="BL236" i="164"/>
  <c r="O23" i="164"/>
  <c r="BL172" i="162"/>
  <c r="BK146" i="162" s="1"/>
  <c r="BN146" i="162" s="1"/>
  <c r="BL173" i="162"/>
  <c r="BO175" i="162"/>
  <c r="BL175" i="162"/>
  <c r="BL176" i="162"/>
  <c r="BL174" i="162"/>
  <c r="BC225" i="143"/>
  <c r="M45" i="166" s="1"/>
  <c r="BN225" i="143"/>
  <c r="Q139" i="143" s="1"/>
  <c r="BC218" i="143"/>
  <c r="M31" i="166" s="1"/>
  <c r="BN218" i="143"/>
  <c r="G15" i="199"/>
  <c r="H12" i="198"/>
  <c r="G16" i="199"/>
  <c r="H13" i="198"/>
  <c r="D27" i="168"/>
  <c r="D44" i="203"/>
  <c r="D28" i="168"/>
  <c r="D45" i="203"/>
  <c r="G42" i="187"/>
  <c r="K42" i="187"/>
  <c r="AE42" i="187"/>
  <c r="AN42" i="187"/>
  <c r="O42" i="187"/>
  <c r="AA42" i="187"/>
  <c r="S42" i="187"/>
  <c r="AJ42" i="187"/>
  <c r="W42" i="187"/>
  <c r="G80" i="189"/>
  <c r="G38" i="199"/>
  <c r="G36" i="189"/>
  <c r="AN187" i="187"/>
  <c r="G187" i="187"/>
  <c r="R187" i="187"/>
  <c r="AM187" i="187"/>
  <c r="F187" i="187"/>
  <c r="AA187" i="187"/>
  <c r="G207" i="200"/>
  <c r="Z187" i="187"/>
  <c r="H197" i="180"/>
  <c r="O187" i="187"/>
  <c r="N187" i="187"/>
  <c r="S187" i="187"/>
  <c r="G197" i="180"/>
  <c r="AJ187" i="187"/>
  <c r="AI187" i="187"/>
  <c r="W187" i="187"/>
  <c r="V187" i="187"/>
  <c r="AE187" i="187"/>
  <c r="AR187" i="187"/>
  <c r="K187" i="187"/>
  <c r="AQ187" i="187"/>
  <c r="J187" i="187"/>
  <c r="AD187" i="187"/>
  <c r="G151" i="189"/>
  <c r="G162" i="189"/>
  <c r="S186" i="187"/>
  <c r="R186" i="187"/>
  <c r="J186" i="187"/>
  <c r="AD186" i="187"/>
  <c r="G206" i="200"/>
  <c r="G208" i="200" s="1"/>
  <c r="AN186" i="187"/>
  <c r="G186" i="187"/>
  <c r="AM186" i="187"/>
  <c r="F186" i="187"/>
  <c r="AE186" i="187"/>
  <c r="AA186" i="187"/>
  <c r="H196" i="180"/>
  <c r="H198" i="180" s="1"/>
  <c r="Z186" i="187"/>
  <c r="N186" i="187"/>
  <c r="O186" i="187"/>
  <c r="G196" i="180"/>
  <c r="G198" i="180" s="1"/>
  <c r="AJ186" i="187"/>
  <c r="K186" i="187"/>
  <c r="AI186" i="187"/>
  <c r="W186" i="187"/>
  <c r="V186" i="187"/>
  <c r="AR186" i="187"/>
  <c r="AQ186" i="187"/>
  <c r="L32" i="191"/>
  <c r="G42" i="189"/>
  <c r="G44" i="194"/>
  <c r="W528" i="112"/>
  <c r="G43" i="189"/>
  <c r="W696" i="112"/>
  <c r="H696" i="112" s="1"/>
  <c r="F696" i="112" s="1"/>
  <c r="D696" i="112" s="1"/>
  <c r="G14" i="199" s="1"/>
  <c r="G29" i="200"/>
  <c r="G41" i="200" s="1"/>
  <c r="W724" i="112"/>
  <c r="H724" i="112" s="1"/>
  <c r="F724" i="112" s="1"/>
  <c r="D724" i="112" s="1"/>
  <c r="G12" i="194"/>
  <c r="G228" i="200"/>
  <c r="G231" i="200" s="1"/>
  <c r="G302" i="200" s="1"/>
  <c r="T86" i="107" s="1"/>
  <c r="C571" i="107" s="1"/>
  <c r="AD208" i="187"/>
  <c r="AE208" i="187"/>
  <c r="Z208" i="187"/>
  <c r="AA208" i="187"/>
  <c r="AJ208" i="187"/>
  <c r="AI208" i="187"/>
  <c r="AQ208" i="187"/>
  <c r="AR208" i="187"/>
  <c r="AM208" i="187"/>
  <c r="AN208" i="187"/>
  <c r="AQ148" i="187"/>
  <c r="AQ151" i="187" s="1"/>
  <c r="AE41" i="187"/>
  <c r="AE260" i="187" s="1"/>
  <c r="T25" i="99" s="1"/>
  <c r="AM148" i="187"/>
  <c r="AM151" i="187" s="1"/>
  <c r="AA41" i="187"/>
  <c r="AA260" i="187" s="1"/>
  <c r="T21" i="124" s="1"/>
  <c r="AI148" i="187"/>
  <c r="AI151" i="187" s="1"/>
  <c r="AD148" i="187"/>
  <c r="AD151" i="187" s="1"/>
  <c r="Z148" i="187"/>
  <c r="Z151" i="187" s="1"/>
  <c r="AR41" i="187"/>
  <c r="AR260" i="187" s="1"/>
  <c r="T36" i="152" s="1"/>
  <c r="AJ41" i="187"/>
  <c r="AJ260" i="187" s="1"/>
  <c r="T42" i="126" s="1"/>
  <c r="AN41" i="187"/>
  <c r="AN260" i="187" s="1"/>
  <c r="T25" i="127" s="1"/>
  <c r="W702" i="112"/>
  <c r="H702" i="112" s="1"/>
  <c r="F702" i="112" s="1"/>
  <c r="D702" i="112" s="1"/>
  <c r="G10" i="198"/>
  <c r="G219" i="200"/>
  <c r="Z199" i="187"/>
  <c r="AA199" i="187"/>
  <c r="AQ199" i="187"/>
  <c r="AR199" i="187"/>
  <c r="AM199" i="187"/>
  <c r="AN199" i="187"/>
  <c r="AJ199" i="187"/>
  <c r="AI199" i="187"/>
  <c r="AD199" i="187"/>
  <c r="AE199" i="187"/>
  <c r="G12" i="200"/>
  <c r="AR10" i="187"/>
  <c r="AN10" i="187"/>
  <c r="AJ10" i="187"/>
  <c r="AR37" i="187"/>
  <c r="AE10" i="187"/>
  <c r="AN37" i="187"/>
  <c r="AA10" i="187"/>
  <c r="AE37" i="187"/>
  <c r="AA37" i="187"/>
  <c r="AJ37" i="187"/>
  <c r="G177" i="200"/>
  <c r="G178" i="200" s="1"/>
  <c r="AQ157" i="187"/>
  <c r="AQ158" i="187" s="1"/>
  <c r="AR157" i="187"/>
  <c r="AR158" i="187" s="1"/>
  <c r="AM157" i="187"/>
  <c r="AM158" i="187" s="1"/>
  <c r="AN157" i="187"/>
  <c r="AN158" i="187" s="1"/>
  <c r="AD157" i="187"/>
  <c r="AD158" i="187" s="1"/>
  <c r="AE157" i="187"/>
  <c r="AE158" i="187" s="1"/>
  <c r="AJ157" i="187"/>
  <c r="AJ158" i="187" s="1"/>
  <c r="Z157" i="187"/>
  <c r="Z158" i="187" s="1"/>
  <c r="AI157" i="187"/>
  <c r="AI158" i="187" s="1"/>
  <c r="AA157" i="187"/>
  <c r="AA158" i="187" s="1"/>
  <c r="AQ155" i="187"/>
  <c r="AJ155" i="187"/>
  <c r="AR155" i="187"/>
  <c r="AI155" i="187"/>
  <c r="AM155" i="187"/>
  <c r="AN155" i="187"/>
  <c r="AD155" i="187"/>
  <c r="AE155" i="187"/>
  <c r="Z155" i="187"/>
  <c r="AA155" i="187"/>
  <c r="G82" i="190"/>
  <c r="G86" i="190" s="1"/>
  <c r="G113" i="190"/>
  <c r="G218" i="190"/>
  <c r="T95" i="152" s="1"/>
  <c r="G102" i="200"/>
  <c r="AQ98" i="187"/>
  <c r="AM98" i="187"/>
  <c r="AD98" i="187"/>
  <c r="AI98" i="187"/>
  <c r="Z98" i="187"/>
  <c r="G196" i="200"/>
  <c r="AM176" i="187"/>
  <c r="AN176" i="187"/>
  <c r="AD176" i="187"/>
  <c r="AE176" i="187"/>
  <c r="AJ176" i="187"/>
  <c r="Z176" i="187"/>
  <c r="AI176" i="187"/>
  <c r="AA176" i="187"/>
  <c r="AQ176" i="187"/>
  <c r="AR176" i="187"/>
  <c r="AA98" i="187"/>
  <c r="AR98" i="187"/>
  <c r="AN98" i="187"/>
  <c r="AJ98" i="187"/>
  <c r="AE98" i="187"/>
  <c r="G235" i="200"/>
  <c r="G285" i="200" s="1"/>
  <c r="G221" i="200"/>
  <c r="AD201" i="187"/>
  <c r="AE291" i="187" s="1"/>
  <c r="T56" i="99" s="1"/>
  <c r="C645" i="99" s="1"/>
  <c r="E645" i="99" s="1"/>
  <c r="AN333" i="187"/>
  <c r="Z31" i="127" s="1"/>
  <c r="AE201" i="187"/>
  <c r="Z201" i="187"/>
  <c r="AA291" i="187" s="1"/>
  <c r="T52" i="124" s="1"/>
  <c r="C642" i="124" s="1"/>
  <c r="E642" i="124" s="1"/>
  <c r="AA201" i="187"/>
  <c r="AE333" i="187"/>
  <c r="Z31" i="99" s="1"/>
  <c r="AJ333" i="187"/>
  <c r="Z31" i="126" s="1"/>
  <c r="AA333" i="187"/>
  <c r="Z31" i="124" s="1"/>
  <c r="AQ201" i="187"/>
  <c r="AR291" i="187" s="1"/>
  <c r="T67" i="152" s="1"/>
  <c r="C673" i="152" s="1"/>
  <c r="AJ201" i="187"/>
  <c r="AR201" i="187"/>
  <c r="AI201" i="187"/>
  <c r="AJ291" i="187" s="1"/>
  <c r="T73" i="126" s="1"/>
  <c r="C635" i="126" s="1"/>
  <c r="E635" i="126" s="1"/>
  <c r="AM201" i="187"/>
  <c r="AN291" i="187" s="1"/>
  <c r="T56" i="127" s="1"/>
  <c r="C643" i="127" s="1"/>
  <c r="E643" i="127" s="1"/>
  <c r="AN201" i="187"/>
  <c r="AR333" i="187"/>
  <c r="Z31" i="152" s="1"/>
  <c r="G112" i="190"/>
  <c r="AA39" i="187"/>
  <c r="AR148" i="187"/>
  <c r="AR305" i="187" s="1"/>
  <c r="Z3" i="152" s="1"/>
  <c r="AN148" i="187"/>
  <c r="AN305" i="187" s="1"/>
  <c r="Z3" i="127" s="1"/>
  <c r="AJ148" i="187"/>
  <c r="AJ305" i="187" s="1"/>
  <c r="Z3" i="126" s="1"/>
  <c r="AE148" i="187"/>
  <c r="AE305" i="187" s="1"/>
  <c r="Z3" i="99" s="1"/>
  <c r="AR39" i="187"/>
  <c r="AA148" i="187"/>
  <c r="AA305" i="187" s="1"/>
  <c r="Z3" i="124" s="1"/>
  <c r="AN39" i="187"/>
  <c r="AJ39" i="187"/>
  <c r="AE39" i="187"/>
  <c r="G182" i="200"/>
  <c r="AD162" i="187"/>
  <c r="AE162" i="187"/>
  <c r="Z162" i="187"/>
  <c r="AA162" i="187"/>
  <c r="AJ162" i="187"/>
  <c r="AI162" i="187"/>
  <c r="AQ162" i="187"/>
  <c r="AR162" i="187"/>
  <c r="AM162" i="187"/>
  <c r="AN162" i="187"/>
  <c r="G217" i="200"/>
  <c r="AJ197" i="187"/>
  <c r="AI197" i="187"/>
  <c r="AQ197" i="187"/>
  <c r="AR197" i="187"/>
  <c r="AM197" i="187"/>
  <c r="AN197" i="187"/>
  <c r="AD197" i="187"/>
  <c r="AE197" i="187"/>
  <c r="Z197" i="187"/>
  <c r="AA197" i="187"/>
  <c r="G181" i="200"/>
  <c r="AD161" i="187"/>
  <c r="AE161" i="187"/>
  <c r="Z161" i="187"/>
  <c r="AA161" i="187"/>
  <c r="AQ161" i="187"/>
  <c r="AJ161" i="187"/>
  <c r="AR161" i="187"/>
  <c r="AI161" i="187"/>
  <c r="AM161" i="187"/>
  <c r="AN161" i="187"/>
  <c r="G179" i="200"/>
  <c r="G180" i="200" s="1"/>
  <c r="Z159" i="187"/>
  <c r="Z160" i="187" s="1"/>
  <c r="AA159" i="187"/>
  <c r="AA160" i="187" s="1"/>
  <c r="AQ159" i="187"/>
  <c r="AQ160" i="187" s="1"/>
  <c r="AR159" i="187"/>
  <c r="AR160" i="187" s="1"/>
  <c r="AM159" i="187"/>
  <c r="AM160" i="187" s="1"/>
  <c r="AN159" i="187"/>
  <c r="AN160" i="187" s="1"/>
  <c r="AJ159" i="187"/>
  <c r="AJ160" i="187" s="1"/>
  <c r="AI159" i="187"/>
  <c r="AI160" i="187" s="1"/>
  <c r="AD159" i="187"/>
  <c r="AD160" i="187" s="1"/>
  <c r="AE159" i="187"/>
  <c r="AE160" i="187" s="1"/>
  <c r="AP98" i="187"/>
  <c r="AL98" i="187"/>
  <c r="AC98" i="187"/>
  <c r="Y98" i="187"/>
  <c r="AH98" i="187"/>
  <c r="Y99" i="187"/>
  <c r="AP99" i="187"/>
  <c r="AL99" i="187"/>
  <c r="AH99" i="187"/>
  <c r="AC99" i="187"/>
  <c r="W135" i="187"/>
  <c r="AN135" i="187"/>
  <c r="AE135" i="187"/>
  <c r="AJ135" i="187"/>
  <c r="AA135" i="187"/>
  <c r="AR135" i="187"/>
  <c r="AE99" i="187"/>
  <c r="AA99" i="187"/>
  <c r="AJ99" i="187"/>
  <c r="AR99" i="187"/>
  <c r="AN99" i="187"/>
  <c r="AJ81" i="187"/>
  <c r="AR81" i="187"/>
  <c r="AN81" i="187"/>
  <c r="AE81" i="187"/>
  <c r="AA81" i="187"/>
  <c r="AJ71" i="187"/>
  <c r="AI71" i="187"/>
  <c r="AQ71" i="187"/>
  <c r="AR71" i="187"/>
  <c r="AM71" i="187"/>
  <c r="AN71" i="187"/>
  <c r="AD71" i="187"/>
  <c r="AE71" i="187"/>
  <c r="Z71" i="187"/>
  <c r="AA71" i="187"/>
  <c r="G103" i="200"/>
  <c r="AD99" i="187"/>
  <c r="Z99" i="187"/>
  <c r="AQ99" i="187"/>
  <c r="AI99" i="187"/>
  <c r="AM99" i="187"/>
  <c r="AJ156" i="187"/>
  <c r="AI156" i="187"/>
  <c r="AQ156" i="187"/>
  <c r="AR156" i="187"/>
  <c r="AM156" i="187"/>
  <c r="AN156" i="187"/>
  <c r="AD156" i="187"/>
  <c r="AE156" i="187"/>
  <c r="Z156" i="187"/>
  <c r="AA156" i="187"/>
  <c r="G218" i="200"/>
  <c r="AQ198" i="187"/>
  <c r="AR198" i="187"/>
  <c r="AM198" i="187"/>
  <c r="AN198" i="187"/>
  <c r="AD198" i="187"/>
  <c r="AE198" i="187"/>
  <c r="AJ198" i="187"/>
  <c r="Z198" i="187"/>
  <c r="AI198" i="187"/>
  <c r="AA198" i="187"/>
  <c r="AE133" i="187"/>
  <c r="AA133" i="187"/>
  <c r="AJ133" i="187"/>
  <c r="AR133" i="187"/>
  <c r="AN133" i="187"/>
  <c r="G33" i="200"/>
  <c r="G34" i="200"/>
  <c r="G3" i="199"/>
  <c r="AJ154" i="187"/>
  <c r="AJ313" i="187" s="1"/>
  <c r="AQ154" i="187"/>
  <c r="AI154" i="187"/>
  <c r="AJ271" i="187" s="1"/>
  <c r="AR154" i="187"/>
  <c r="Z154" i="187"/>
  <c r="AA271" i="187" s="1"/>
  <c r="AA154" i="187"/>
  <c r="AA313" i="187" s="1"/>
  <c r="AM154" i="187"/>
  <c r="AN271" i="187" s="1"/>
  <c r="AN154" i="187"/>
  <c r="AN313" i="187" s="1"/>
  <c r="AD154" i="187"/>
  <c r="AE271" i="187" s="1"/>
  <c r="AE154" i="187"/>
  <c r="AE313" i="187" s="1"/>
  <c r="S135" i="187"/>
  <c r="O135" i="187"/>
  <c r="G24" i="199"/>
  <c r="G74" i="199" s="1"/>
  <c r="G23" i="199"/>
  <c r="H161" i="180"/>
  <c r="H34" i="180"/>
  <c r="H35" i="180" s="1"/>
  <c r="H250" i="180" s="1"/>
  <c r="T7" i="125" s="1"/>
  <c r="G13" i="194"/>
  <c r="G13" i="198"/>
  <c r="G38" i="194"/>
  <c r="G30" i="198"/>
  <c r="G28" i="198"/>
  <c r="G31" i="194"/>
  <c r="G29" i="194"/>
  <c r="G30" i="194"/>
  <c r="G29" i="198"/>
  <c r="G25" i="198"/>
  <c r="G23" i="194"/>
  <c r="G83" i="194" s="1"/>
  <c r="T5" i="99" s="1"/>
  <c r="G23" i="198"/>
  <c r="G92" i="198" s="1"/>
  <c r="T5" i="107" s="1"/>
  <c r="H51" i="180"/>
  <c r="H52" i="180"/>
  <c r="H294" i="180" s="1"/>
  <c r="T51" i="125" s="1"/>
  <c r="C332" i="125" s="1"/>
  <c r="E332" i="125" s="1"/>
  <c r="H11" i="196"/>
  <c r="I11" i="196"/>
  <c r="G11" i="196"/>
  <c r="F289" i="112"/>
  <c r="D289" i="112" s="1"/>
  <c r="G158" i="180"/>
  <c r="G34" i="180"/>
  <c r="G251" i="180" s="1"/>
  <c r="T9" i="97" s="1"/>
  <c r="G161" i="180"/>
  <c r="N14" i="184"/>
  <c r="N27" i="184" s="1"/>
  <c r="T35" i="151" s="1"/>
  <c r="C384" i="151" s="1"/>
  <c r="M14" i="184"/>
  <c r="M27" i="184" s="1"/>
  <c r="T35" i="107" s="1"/>
  <c r="C385" i="107" s="1"/>
  <c r="L14" i="184"/>
  <c r="L27" i="184" s="1"/>
  <c r="T18" i="127" s="1"/>
  <c r="C351" i="127" s="1"/>
  <c r="K14" i="184"/>
  <c r="K27" i="184" s="1"/>
  <c r="T35" i="126" s="1"/>
  <c r="C385" i="126" s="1"/>
  <c r="G60" i="180"/>
  <c r="O14" i="184"/>
  <c r="O27" i="184" s="1"/>
  <c r="T33" i="152" s="1"/>
  <c r="C383" i="152" s="1"/>
  <c r="I14" i="184"/>
  <c r="I27" i="184" s="1"/>
  <c r="T13" i="124" s="1"/>
  <c r="C351" i="124" s="1"/>
  <c r="H14" i="184"/>
  <c r="H27" i="184" s="1"/>
  <c r="T33" i="123" s="1"/>
  <c r="C385" i="123" s="1"/>
  <c r="G83" i="190"/>
  <c r="G46" i="190"/>
  <c r="H60" i="180"/>
  <c r="H59" i="180"/>
  <c r="H32" i="192"/>
  <c r="I32" i="192"/>
  <c r="G32" i="192"/>
  <c r="G85" i="190"/>
  <c r="G84" i="190"/>
  <c r="J14" i="184"/>
  <c r="J27" i="184" s="1"/>
  <c r="T18" i="99" s="1"/>
  <c r="C351" i="99" s="1"/>
  <c r="G25" i="196"/>
  <c r="H25" i="196"/>
  <c r="I25" i="196"/>
  <c r="I17" i="192"/>
  <c r="G17" i="192"/>
  <c r="H17" i="192"/>
  <c r="H9" i="192"/>
  <c r="I9" i="192"/>
  <c r="G9" i="192"/>
  <c r="I15" i="192"/>
  <c r="G15" i="192"/>
  <c r="H15" i="192"/>
  <c r="F31" i="190"/>
  <c r="G31" i="190" s="1"/>
  <c r="G59" i="180"/>
  <c r="F30" i="190"/>
  <c r="G30" i="190" s="1"/>
  <c r="I14" i="192"/>
  <c r="H14" i="192"/>
  <c r="G14" i="192"/>
  <c r="F27" i="190"/>
  <c r="G27" i="190" s="1"/>
  <c r="H15" i="184"/>
  <c r="G169" i="180"/>
  <c r="G170" i="180" s="1"/>
  <c r="F159" i="187"/>
  <c r="F160" i="187" s="1"/>
  <c r="S159" i="187"/>
  <c r="S160" i="187" s="1"/>
  <c r="H169" i="180"/>
  <c r="H170" i="180" s="1"/>
  <c r="R159" i="187"/>
  <c r="R160" i="187" s="1"/>
  <c r="G159" i="187"/>
  <c r="G160" i="187" s="1"/>
  <c r="O159" i="187"/>
  <c r="O160" i="187" s="1"/>
  <c r="N159" i="187"/>
  <c r="N160" i="187" s="1"/>
  <c r="J159" i="187"/>
  <c r="J160" i="187" s="1"/>
  <c r="W159" i="187"/>
  <c r="W160" i="187" s="1"/>
  <c r="V159" i="187"/>
  <c r="V160" i="187" s="1"/>
  <c r="K159" i="187"/>
  <c r="K160" i="187" s="1"/>
  <c r="I15" i="184"/>
  <c r="G95" i="180"/>
  <c r="R99" i="187"/>
  <c r="N99" i="187"/>
  <c r="H95" i="180"/>
  <c r="V99" i="187"/>
  <c r="G156" i="187"/>
  <c r="W156" i="187"/>
  <c r="H166" i="180"/>
  <c r="G166" i="180"/>
  <c r="J156" i="187"/>
  <c r="S156" i="187"/>
  <c r="R156" i="187"/>
  <c r="O156" i="187"/>
  <c r="F156" i="187"/>
  <c r="N156" i="187"/>
  <c r="K156" i="187"/>
  <c r="V156" i="187"/>
  <c r="E98" i="187"/>
  <c r="Q98" i="187"/>
  <c r="M98" i="187"/>
  <c r="U98" i="187"/>
  <c r="S98" i="187"/>
  <c r="O98" i="187"/>
  <c r="W98" i="187"/>
  <c r="E99" i="187"/>
  <c r="Q99" i="187"/>
  <c r="M99" i="187"/>
  <c r="U99" i="187"/>
  <c r="G148" i="187"/>
  <c r="G305" i="187" s="1"/>
  <c r="Z3" i="98" s="1"/>
  <c r="C457" i="98" s="1"/>
  <c r="K148" i="187"/>
  <c r="K305" i="187" s="1"/>
  <c r="Z3" i="122" s="1"/>
  <c r="S39" i="187"/>
  <c r="O39" i="187"/>
  <c r="W148" i="187"/>
  <c r="W305" i="187" s="1"/>
  <c r="Z3" i="123" s="1"/>
  <c r="W39" i="187"/>
  <c r="S148" i="187"/>
  <c r="S305" i="187" s="1"/>
  <c r="Z3" i="100" s="1"/>
  <c r="O148" i="187"/>
  <c r="O305" i="187" s="1"/>
  <c r="Z4" i="121" s="1"/>
  <c r="C582" i="121" s="1"/>
  <c r="E582" i="121" s="1"/>
  <c r="S198" i="187"/>
  <c r="R198" i="187"/>
  <c r="G198" i="187"/>
  <c r="O198" i="187"/>
  <c r="F198" i="187"/>
  <c r="N198" i="187"/>
  <c r="W198" i="187"/>
  <c r="V198" i="187"/>
  <c r="K198" i="187"/>
  <c r="H208" i="180"/>
  <c r="J198" i="187"/>
  <c r="S81" i="187"/>
  <c r="O81" i="187"/>
  <c r="W81" i="187"/>
  <c r="G199" i="187"/>
  <c r="F199" i="187"/>
  <c r="S199" i="187"/>
  <c r="R199" i="187"/>
  <c r="O199" i="187"/>
  <c r="W199" i="187"/>
  <c r="N199" i="187"/>
  <c r="V199" i="187"/>
  <c r="H209" i="180"/>
  <c r="G209" i="180"/>
  <c r="K199" i="187"/>
  <c r="J199" i="187"/>
  <c r="S161" i="187"/>
  <c r="H171" i="180"/>
  <c r="R161" i="187"/>
  <c r="G161" i="187"/>
  <c r="F161" i="187"/>
  <c r="O161" i="187"/>
  <c r="N161" i="187"/>
  <c r="W161" i="187"/>
  <c r="V161" i="187"/>
  <c r="K161" i="187"/>
  <c r="J161" i="187"/>
  <c r="O133" i="187"/>
  <c r="W133" i="187"/>
  <c r="S133" i="187"/>
  <c r="O162" i="187"/>
  <c r="F162" i="187"/>
  <c r="H172" i="180"/>
  <c r="N162" i="187"/>
  <c r="W162" i="187"/>
  <c r="V162" i="187"/>
  <c r="K162" i="187"/>
  <c r="R162" i="187"/>
  <c r="J162" i="187"/>
  <c r="S162" i="187"/>
  <c r="G162" i="187"/>
  <c r="G15" i="184"/>
  <c r="S71" i="187"/>
  <c r="R71" i="187"/>
  <c r="O71" i="187"/>
  <c r="N71" i="187"/>
  <c r="W71" i="187"/>
  <c r="V71" i="187"/>
  <c r="J155" i="187"/>
  <c r="G165" i="180"/>
  <c r="H165" i="180"/>
  <c r="S155" i="187"/>
  <c r="G155" i="187"/>
  <c r="V155" i="187"/>
  <c r="K155" i="187"/>
  <c r="R155" i="187"/>
  <c r="N155" i="187"/>
  <c r="O155" i="187"/>
  <c r="F155" i="187"/>
  <c r="W155" i="187"/>
  <c r="K15" i="184"/>
  <c r="G94" i="180"/>
  <c r="R98" i="187"/>
  <c r="H94" i="180"/>
  <c r="N98" i="187"/>
  <c r="V98" i="187"/>
  <c r="J197" i="187"/>
  <c r="S197" i="187"/>
  <c r="K197" i="187"/>
  <c r="G207" i="180"/>
  <c r="R197" i="187"/>
  <c r="G197" i="187"/>
  <c r="O197" i="187"/>
  <c r="F197" i="187"/>
  <c r="H207" i="180"/>
  <c r="W197" i="187"/>
  <c r="N197" i="187"/>
  <c r="V197" i="187"/>
  <c r="O208" i="187"/>
  <c r="F208" i="187"/>
  <c r="R208" i="187"/>
  <c r="G208" i="187"/>
  <c r="W208" i="187"/>
  <c r="N208" i="187"/>
  <c r="V208" i="187"/>
  <c r="K208" i="187"/>
  <c r="J208" i="187"/>
  <c r="G218" i="180"/>
  <c r="H218" i="180"/>
  <c r="S208" i="187"/>
  <c r="H14" i="180"/>
  <c r="S10" i="187"/>
  <c r="W10" i="187"/>
  <c r="S37" i="187"/>
  <c r="O37" i="187"/>
  <c r="W37" i="187"/>
  <c r="O10" i="187"/>
  <c r="S99" i="187"/>
  <c r="O99" i="187"/>
  <c r="W99" i="187"/>
  <c r="H167" i="180"/>
  <c r="H168" i="180" s="1"/>
  <c r="G167" i="180"/>
  <c r="G168" i="180" s="1"/>
  <c r="S157" i="187"/>
  <c r="S158" i="187" s="1"/>
  <c r="R157" i="187"/>
  <c r="R158" i="187" s="1"/>
  <c r="G157" i="187"/>
  <c r="G158" i="187" s="1"/>
  <c r="O157" i="187"/>
  <c r="O158" i="187" s="1"/>
  <c r="F157" i="187"/>
  <c r="F158" i="187" s="1"/>
  <c r="N157" i="187"/>
  <c r="N158" i="187" s="1"/>
  <c r="K157" i="187"/>
  <c r="K158" i="187" s="1"/>
  <c r="W157" i="187"/>
  <c r="W158" i="187" s="1"/>
  <c r="V157" i="187"/>
  <c r="V158" i="187" s="1"/>
  <c r="J157" i="187"/>
  <c r="J158" i="187" s="1"/>
  <c r="G186" i="180"/>
  <c r="J176" i="187"/>
  <c r="O176" i="187"/>
  <c r="W176" i="187"/>
  <c r="V176" i="187"/>
  <c r="K176" i="187"/>
  <c r="H186" i="180"/>
  <c r="G176" i="187"/>
  <c r="F176" i="187"/>
  <c r="S176" i="187"/>
  <c r="N176" i="187"/>
  <c r="R176" i="187"/>
  <c r="X50" i="112"/>
  <c r="L50" i="112" s="1"/>
  <c r="V148" i="187"/>
  <c r="V151" i="187" s="1"/>
  <c r="S41" i="187"/>
  <c r="S260" i="187" s="1"/>
  <c r="T26" i="100" s="1"/>
  <c r="J148" i="187"/>
  <c r="J151" i="187" s="1"/>
  <c r="O41" i="187"/>
  <c r="O260" i="187" s="1"/>
  <c r="T13" i="121" s="1"/>
  <c r="N148" i="187"/>
  <c r="N151" i="187" s="1"/>
  <c r="W41" i="187"/>
  <c r="W260" i="187" s="1"/>
  <c r="T41" i="123" s="1"/>
  <c r="R148" i="187"/>
  <c r="R151" i="187" s="1"/>
  <c r="F148" i="187"/>
  <c r="F151" i="187" s="1"/>
  <c r="R201" i="187"/>
  <c r="S291" i="187" s="1"/>
  <c r="T57" i="100" s="1"/>
  <c r="C643" i="100" s="1"/>
  <c r="E643" i="100" s="1"/>
  <c r="F215" i="187"/>
  <c r="G201" i="187"/>
  <c r="O201" i="187"/>
  <c r="F201" i="187"/>
  <c r="G291" i="187" s="1"/>
  <c r="W201" i="187"/>
  <c r="N201" i="187"/>
  <c r="O291" i="187" s="1"/>
  <c r="T44" i="121" s="1"/>
  <c r="C543" i="121" s="1"/>
  <c r="E543" i="121" s="1"/>
  <c r="K333" i="187"/>
  <c r="Z31" i="122" s="1"/>
  <c r="V201" i="187"/>
  <c r="W291" i="187" s="1"/>
  <c r="T72" i="123" s="1"/>
  <c r="C634" i="123" s="1"/>
  <c r="E634" i="123" s="1"/>
  <c r="K201" i="187"/>
  <c r="O333" i="187"/>
  <c r="Z32" i="121" s="1"/>
  <c r="S333" i="187"/>
  <c r="Z31" i="100" s="1"/>
  <c r="J201" i="187"/>
  <c r="K291" i="187" s="1"/>
  <c r="T62" i="122" s="1"/>
  <c r="G225" i="180"/>
  <c r="G279" i="180" s="1"/>
  <c r="T37" i="97" s="1"/>
  <c r="C427" i="97" s="1"/>
  <c r="E427" i="97" s="1"/>
  <c r="H211" i="180"/>
  <c r="G215" i="187"/>
  <c r="G333" i="187" s="1"/>
  <c r="Z31" i="98" s="1"/>
  <c r="W333" i="187"/>
  <c r="Z31" i="123" s="1"/>
  <c r="S201" i="187"/>
  <c r="H225" i="180"/>
  <c r="H279" i="180" s="1"/>
  <c r="T36" i="125" s="1"/>
  <c r="C459" i="125" s="1"/>
  <c r="E459" i="125" s="1"/>
  <c r="F291" i="112"/>
  <c r="D291" i="112" s="1"/>
  <c r="O154" i="187"/>
  <c r="N154" i="187"/>
  <c r="R154" i="187"/>
  <c r="S271" i="187" s="1"/>
  <c r="W154" i="187"/>
  <c r="W313" i="187" s="1"/>
  <c r="V154" i="187"/>
  <c r="W271" i="187" s="1"/>
  <c r="S154" i="187"/>
  <c r="S313" i="187" s="1"/>
  <c r="K154" i="187"/>
  <c r="J154" i="187"/>
  <c r="G164" i="180"/>
  <c r="G154" i="187"/>
  <c r="H164" i="180"/>
  <c r="F154" i="187"/>
  <c r="X278" i="112"/>
  <c r="L278" i="112" s="1"/>
  <c r="W302" i="112"/>
  <c r="H302" i="112" s="1"/>
  <c r="V302" i="112" s="1"/>
  <c r="O15" i="184"/>
  <c r="M15" i="184"/>
  <c r="I99" i="187"/>
  <c r="H44" i="180"/>
  <c r="G44" i="180"/>
  <c r="H45" i="180"/>
  <c r="G45" i="180"/>
  <c r="I98" i="187"/>
  <c r="J15" i="184"/>
  <c r="N15" i="184"/>
  <c r="H62" i="180"/>
  <c r="H63" i="180"/>
  <c r="F197" i="112"/>
  <c r="D197" i="112" s="1"/>
  <c r="G10" i="188"/>
  <c r="G14" i="180"/>
  <c r="H61" i="180"/>
  <c r="BM225" i="143"/>
  <c r="R45" i="166" s="1"/>
  <c r="BM218" i="143"/>
  <c r="R31" i="166" s="1"/>
  <c r="BK260" i="146"/>
  <c r="BK108" i="142"/>
  <c r="BC226" i="143"/>
  <c r="BC224" i="143"/>
  <c r="BK165" i="162"/>
  <c r="BC165" i="162" s="1"/>
  <c r="BL237" i="164"/>
  <c r="BC237" i="164" s="1"/>
  <c r="BK93" i="161"/>
  <c r="BK107" i="142"/>
  <c r="BK161" i="162"/>
  <c r="BM161" i="162" s="1"/>
  <c r="R213" i="166" s="1"/>
  <c r="BK262" i="146"/>
  <c r="BK158" i="162"/>
  <c r="Q63" i="162" s="1"/>
  <c r="BK259" i="146"/>
  <c r="BK263" i="146"/>
  <c r="BK110" i="142"/>
  <c r="BK157" i="162"/>
  <c r="BK159" i="162"/>
  <c r="BC159" i="162" s="1"/>
  <c r="W240" i="112"/>
  <c r="H240" i="112" s="1"/>
  <c r="F240" i="112" s="1"/>
  <c r="D240" i="112" s="1"/>
  <c r="B15" i="183"/>
  <c r="E388" i="99"/>
  <c r="W27" i="112"/>
  <c r="H27" i="112" s="1"/>
  <c r="W218" i="112"/>
  <c r="H218" i="112" s="1"/>
  <c r="V218" i="112" s="1"/>
  <c r="J439" i="123"/>
  <c r="G61" i="180"/>
  <c r="BK163" i="162"/>
  <c r="W28" i="112"/>
  <c r="H28" i="112" s="1"/>
  <c r="N416" i="99"/>
  <c r="N420" i="99" s="1"/>
  <c r="M420" i="99"/>
  <c r="B16" i="183"/>
  <c r="J407" i="99"/>
  <c r="G62" i="180"/>
  <c r="G16" i="184"/>
  <c r="H16" i="184"/>
  <c r="I16" i="184"/>
  <c r="J16" i="184"/>
  <c r="K16" i="184"/>
  <c r="L16" i="184"/>
  <c r="M16" i="184"/>
  <c r="N16" i="184"/>
  <c r="O16" i="184"/>
  <c r="W58" i="112"/>
  <c r="H58" i="112" s="1"/>
  <c r="V58" i="112" s="1"/>
  <c r="G41" i="187"/>
  <c r="G260" i="187" s="1"/>
  <c r="T16" i="98" s="1"/>
  <c r="C443" i="98" s="1"/>
  <c r="E443" i="98" s="1"/>
  <c r="K41" i="187"/>
  <c r="K260" i="187" s="1"/>
  <c r="T31" i="122" s="1"/>
  <c r="W51" i="112"/>
  <c r="H51" i="112" s="1"/>
  <c r="F51" i="112" s="1"/>
  <c r="D51" i="112" s="1"/>
  <c r="J98" i="187"/>
  <c r="F98" i="187"/>
  <c r="W59" i="112"/>
  <c r="H59" i="112" s="1"/>
  <c r="V59" i="112" s="1"/>
  <c r="G99" i="187"/>
  <c r="K99" i="187"/>
  <c r="BK105" i="142"/>
  <c r="BN105" i="142" s="1"/>
  <c r="BO173" i="162"/>
  <c r="E387" i="99"/>
  <c r="W525" i="112"/>
  <c r="H525" i="112" s="1"/>
  <c r="V525" i="112" s="1"/>
  <c r="EY31" i="183"/>
  <c r="AJ31" i="183"/>
  <c r="BA31" i="183"/>
  <c r="BR31" i="183"/>
  <c r="CI31" i="183"/>
  <c r="CZ31" i="183"/>
  <c r="DQ31" i="183"/>
  <c r="EH31" i="183"/>
  <c r="G71" i="187"/>
  <c r="J71" i="187"/>
  <c r="K71" i="187"/>
  <c r="F71" i="187"/>
  <c r="W61" i="112"/>
  <c r="H61" i="112" s="1"/>
  <c r="V61" i="112" s="1"/>
  <c r="F99" i="187"/>
  <c r="J99" i="187"/>
  <c r="W29" i="112"/>
  <c r="H29" i="112" s="1"/>
  <c r="V29" i="112" s="1"/>
  <c r="BK92" i="161"/>
  <c r="BN92" i="161" s="1"/>
  <c r="BC220" i="143"/>
  <c r="M35" i="166" s="1"/>
  <c r="BM220" i="143"/>
  <c r="R35" i="166" s="1"/>
  <c r="J403" i="100"/>
  <c r="BK109" i="142"/>
  <c r="BN109" i="142" s="1"/>
  <c r="Q45" i="142" s="1"/>
  <c r="BN121" i="163"/>
  <c r="Q65" i="163" s="1"/>
  <c r="BK219" i="143"/>
  <c r="BN219" i="143" s="1"/>
  <c r="Q93" i="143" s="1"/>
  <c r="BC228" i="143"/>
  <c r="BM228" i="143"/>
  <c r="R51" i="166" s="1"/>
  <c r="H474" i="97"/>
  <c r="L474" i="97" s="1"/>
  <c r="H476" i="97"/>
  <c r="L476" i="97" s="1"/>
  <c r="H478" i="97"/>
  <c r="L478" i="97" s="1"/>
  <c r="M478" i="97" s="1"/>
  <c r="H469" i="97"/>
  <c r="L469" i="97" s="1"/>
  <c r="M469" i="97" s="1"/>
  <c r="H370" i="97"/>
  <c r="L370" i="97" s="1"/>
  <c r="M370" i="97" s="1"/>
  <c r="H373" i="97"/>
  <c r="L373" i="97" s="1"/>
  <c r="H375" i="97"/>
  <c r="L375" i="97" s="1"/>
  <c r="M375" i="97" s="1"/>
  <c r="H471" i="97"/>
  <c r="L471" i="97" s="1"/>
  <c r="M471" i="97" s="1"/>
  <c r="H473" i="97"/>
  <c r="L473" i="97" s="1"/>
  <c r="M473" i="97" s="1"/>
  <c r="H372" i="97"/>
  <c r="L372" i="97" s="1"/>
  <c r="M372" i="97" s="1"/>
  <c r="H468" i="97"/>
  <c r="L468" i="97" s="1"/>
  <c r="M468" i="97" s="1"/>
  <c r="H475" i="97"/>
  <c r="L475" i="97" s="1"/>
  <c r="M475" i="97" s="1"/>
  <c r="H477" i="97"/>
  <c r="L477" i="97" s="1"/>
  <c r="M477" i="97" s="1"/>
  <c r="H369" i="97"/>
  <c r="L369" i="97" s="1"/>
  <c r="H374" i="97"/>
  <c r="L374" i="97" s="1"/>
  <c r="M374" i="97" s="1"/>
  <c r="H376" i="97"/>
  <c r="L376" i="97" s="1"/>
  <c r="M376" i="97" s="1"/>
  <c r="H470" i="97"/>
  <c r="L470" i="97" s="1"/>
  <c r="H472" i="97"/>
  <c r="L472" i="97" s="1"/>
  <c r="M472" i="97" s="1"/>
  <c r="H371" i="97"/>
  <c r="L371" i="97" s="1"/>
  <c r="H570" i="126"/>
  <c r="L570" i="126" s="1"/>
  <c r="M570" i="126" s="1"/>
  <c r="H707" i="126"/>
  <c r="L707" i="126" s="1"/>
  <c r="H709" i="126"/>
  <c r="L709" i="126" s="1"/>
  <c r="M709" i="126" s="1"/>
  <c r="H396" i="126"/>
  <c r="L396" i="126" s="1"/>
  <c r="M396" i="126" s="1"/>
  <c r="H437" i="126"/>
  <c r="L437" i="126" s="1"/>
  <c r="M437" i="126" s="1"/>
  <c r="H364" i="126"/>
  <c r="L364" i="126" s="1"/>
  <c r="M364" i="126" s="1"/>
  <c r="H440" i="126"/>
  <c r="L440" i="126" s="1"/>
  <c r="M440" i="126" s="1"/>
  <c r="H394" i="126"/>
  <c r="L394" i="126" s="1"/>
  <c r="M394" i="126" s="1"/>
  <c r="H572" i="126"/>
  <c r="L572" i="126" s="1"/>
  <c r="M572" i="126" s="1"/>
  <c r="H711" i="126"/>
  <c r="L711" i="126" s="1"/>
  <c r="H713" i="126"/>
  <c r="L713" i="126" s="1"/>
  <c r="M713" i="126" s="1"/>
  <c r="H715" i="126"/>
  <c r="L715" i="126" s="1"/>
  <c r="M715" i="126" s="1"/>
  <c r="H362" i="126"/>
  <c r="L362" i="126" s="1"/>
  <c r="M362" i="126" s="1"/>
  <c r="H486" i="126"/>
  <c r="L486" i="126" s="1"/>
  <c r="M486" i="126" s="1"/>
  <c r="H704" i="126"/>
  <c r="L704" i="126" s="1"/>
  <c r="M704" i="126" s="1"/>
  <c r="H706" i="126"/>
  <c r="L706" i="126" s="1"/>
  <c r="M706" i="126" s="1"/>
  <c r="H438" i="126"/>
  <c r="L438" i="126" s="1"/>
  <c r="M438" i="126" s="1"/>
  <c r="H574" i="126"/>
  <c r="L574" i="126" s="1"/>
  <c r="M574" i="126" s="1"/>
  <c r="H576" i="126"/>
  <c r="L576" i="126" s="1"/>
  <c r="M576" i="126" s="1"/>
  <c r="H435" i="126"/>
  <c r="L435" i="126" s="1"/>
  <c r="M435" i="126" s="1"/>
  <c r="H467" i="97"/>
  <c r="L467" i="97" s="1"/>
  <c r="M467" i="97" s="1"/>
  <c r="H441" i="126"/>
  <c r="L441" i="126" s="1"/>
  <c r="M441" i="126" s="1"/>
  <c r="H569" i="126"/>
  <c r="L569" i="126" s="1"/>
  <c r="H708" i="126"/>
  <c r="L708" i="126" s="1"/>
  <c r="M708" i="126" s="1"/>
  <c r="H710" i="126"/>
  <c r="L710" i="126" s="1"/>
  <c r="M710" i="126" s="1"/>
  <c r="H360" i="127"/>
  <c r="L360" i="127" s="1"/>
  <c r="M360" i="127" s="1"/>
  <c r="H365" i="126"/>
  <c r="L365" i="126" s="1"/>
  <c r="M365" i="126" s="1"/>
  <c r="H395" i="126"/>
  <c r="L395" i="126" s="1"/>
  <c r="M395" i="126" s="1"/>
  <c r="H363" i="126"/>
  <c r="L363" i="126" s="1"/>
  <c r="M363" i="126" s="1"/>
  <c r="H487" i="126"/>
  <c r="L487" i="126" s="1"/>
  <c r="M487" i="126" s="1"/>
  <c r="H571" i="126"/>
  <c r="L571" i="126" s="1"/>
  <c r="H712" i="126"/>
  <c r="L712" i="126" s="1"/>
  <c r="M712" i="126" s="1"/>
  <c r="H714" i="126"/>
  <c r="L714" i="126" s="1"/>
  <c r="M714" i="126" s="1"/>
  <c r="H436" i="126"/>
  <c r="L436" i="126" s="1"/>
  <c r="M436" i="126" s="1"/>
  <c r="H439" i="126"/>
  <c r="L439" i="126" s="1"/>
  <c r="M439" i="126" s="1"/>
  <c r="H705" i="126"/>
  <c r="L705" i="126" s="1"/>
  <c r="M705" i="126" s="1"/>
  <c r="H486" i="127"/>
  <c r="L486" i="127" s="1"/>
  <c r="M486" i="127" s="1"/>
  <c r="H488" i="127"/>
  <c r="L488" i="127" s="1"/>
  <c r="M488" i="127" s="1"/>
  <c r="H580" i="127"/>
  <c r="L580" i="127" s="1"/>
  <c r="M580" i="127" s="1"/>
  <c r="H719" i="127"/>
  <c r="L719" i="127" s="1"/>
  <c r="H721" i="127"/>
  <c r="L721" i="127" s="1"/>
  <c r="M721" i="127" s="1"/>
  <c r="H723" i="127"/>
  <c r="L723" i="127" s="1"/>
  <c r="M723" i="127" s="1"/>
  <c r="H402" i="127"/>
  <c r="L402" i="127" s="1"/>
  <c r="M402" i="127" s="1"/>
  <c r="H452" i="127"/>
  <c r="L452" i="127" s="1"/>
  <c r="M452" i="127" s="1"/>
  <c r="H712" i="127"/>
  <c r="L712" i="127" s="1"/>
  <c r="M712" i="127" s="1"/>
  <c r="H714" i="127"/>
  <c r="L714" i="127" s="1"/>
  <c r="M714" i="127" s="1"/>
  <c r="H582" i="127"/>
  <c r="L582" i="127" s="1"/>
  <c r="M582" i="127" s="1"/>
  <c r="H584" i="127"/>
  <c r="L584" i="127" s="1"/>
  <c r="M584" i="127" s="1"/>
  <c r="H396" i="107"/>
  <c r="L396" i="107" s="1"/>
  <c r="M396" i="107" s="1"/>
  <c r="H364" i="107"/>
  <c r="L364" i="107" s="1"/>
  <c r="M364" i="107" s="1"/>
  <c r="H406" i="127"/>
  <c r="L406" i="127" s="1"/>
  <c r="M406" i="127" s="1"/>
  <c r="H577" i="127"/>
  <c r="L577" i="127" s="1"/>
  <c r="H716" i="127"/>
  <c r="L716" i="127" s="1"/>
  <c r="M716" i="127" s="1"/>
  <c r="H718" i="127"/>
  <c r="L718" i="127" s="1"/>
  <c r="M718" i="127" s="1"/>
  <c r="H394" i="107"/>
  <c r="L394" i="107" s="1"/>
  <c r="M394" i="107" s="1"/>
  <c r="H491" i="107"/>
  <c r="L491" i="107" s="1"/>
  <c r="M491" i="107" s="1"/>
  <c r="H587" i="107"/>
  <c r="L587" i="107" s="1"/>
  <c r="M587" i="107" s="1"/>
  <c r="H594" i="107"/>
  <c r="L594" i="107" s="1"/>
  <c r="M594" i="107" s="1"/>
  <c r="H596" i="107"/>
  <c r="L596" i="107" s="1"/>
  <c r="M596" i="107" s="1"/>
  <c r="H361" i="127"/>
  <c r="L361" i="127" s="1"/>
  <c r="M361" i="127" s="1"/>
  <c r="H403" i="127"/>
  <c r="L403" i="127" s="1"/>
  <c r="M403" i="127" s="1"/>
  <c r="H362" i="107"/>
  <c r="L362" i="107" s="1"/>
  <c r="M362" i="107" s="1"/>
  <c r="H429" i="107"/>
  <c r="L429" i="107" s="1"/>
  <c r="M429" i="107" s="1"/>
  <c r="H488" i="107"/>
  <c r="L488" i="107" s="1"/>
  <c r="H453" i="127"/>
  <c r="L453" i="127" s="1"/>
  <c r="M453" i="127" s="1"/>
  <c r="H487" i="127"/>
  <c r="L487" i="127" s="1"/>
  <c r="M487" i="127" s="1"/>
  <c r="H579" i="127"/>
  <c r="L579" i="127" s="1"/>
  <c r="H720" i="127"/>
  <c r="L720" i="127" s="1"/>
  <c r="M720" i="127" s="1"/>
  <c r="H722" i="127"/>
  <c r="L722" i="127" s="1"/>
  <c r="M722" i="127" s="1"/>
  <c r="H404" i="127"/>
  <c r="L404" i="127" s="1"/>
  <c r="M404" i="127" s="1"/>
  <c r="H407" i="127"/>
  <c r="L407" i="127" s="1"/>
  <c r="M407" i="127" s="1"/>
  <c r="H713" i="127"/>
  <c r="L713" i="127" s="1"/>
  <c r="M713" i="127" s="1"/>
  <c r="H581" i="127"/>
  <c r="L581" i="127" s="1"/>
  <c r="H583" i="127"/>
  <c r="L583" i="127" s="1"/>
  <c r="M583" i="127" s="1"/>
  <c r="H365" i="107"/>
  <c r="L365" i="107" s="1"/>
  <c r="M365" i="107" s="1"/>
  <c r="H573" i="126"/>
  <c r="L573" i="126" s="1"/>
  <c r="H401" i="127"/>
  <c r="L401" i="127" s="1"/>
  <c r="M401" i="127" s="1"/>
  <c r="H395" i="107"/>
  <c r="L395" i="107" s="1"/>
  <c r="M395" i="107" s="1"/>
  <c r="H490" i="107"/>
  <c r="L490" i="107" s="1"/>
  <c r="H586" i="107"/>
  <c r="L586" i="107" s="1"/>
  <c r="M586" i="107" s="1"/>
  <c r="H362" i="127"/>
  <c r="L362" i="127" s="1"/>
  <c r="M362" i="127" s="1"/>
  <c r="H578" i="127"/>
  <c r="L578" i="127" s="1"/>
  <c r="M578" i="127" s="1"/>
  <c r="H715" i="127"/>
  <c r="L715" i="127" s="1"/>
  <c r="H717" i="127"/>
  <c r="L717" i="127" s="1"/>
  <c r="M717" i="127" s="1"/>
  <c r="H575" i="126"/>
  <c r="L575" i="126" s="1"/>
  <c r="M575" i="126" s="1"/>
  <c r="H430" i="107"/>
  <c r="L430" i="107" s="1"/>
  <c r="M430" i="107" s="1"/>
  <c r="H588" i="107"/>
  <c r="L588" i="107" s="1"/>
  <c r="M588" i="107" s="1"/>
  <c r="H590" i="107"/>
  <c r="L590" i="107" s="1"/>
  <c r="M590" i="107" s="1"/>
  <c r="H364" i="151"/>
  <c r="L364" i="151" s="1"/>
  <c r="M364" i="151" s="1"/>
  <c r="H361" i="152"/>
  <c r="L361" i="152" s="1"/>
  <c r="M361" i="152" s="1"/>
  <c r="H394" i="151"/>
  <c r="L394" i="151" s="1"/>
  <c r="M394" i="151" s="1"/>
  <c r="H481" i="151"/>
  <c r="L481" i="151" s="1"/>
  <c r="H493" i="107"/>
  <c r="L493" i="107" s="1"/>
  <c r="M493" i="107" s="1"/>
  <c r="H362" i="151"/>
  <c r="L362" i="151" s="1"/>
  <c r="M362" i="151" s="1"/>
  <c r="H442" i="152"/>
  <c r="L442" i="152" s="1"/>
  <c r="M442" i="152" s="1"/>
  <c r="H405" i="127"/>
  <c r="L405" i="127" s="1"/>
  <c r="M405" i="127" s="1"/>
  <c r="H428" i="107"/>
  <c r="L428" i="107" s="1"/>
  <c r="M428" i="107" s="1"/>
  <c r="H591" i="107"/>
  <c r="L591" i="107" s="1"/>
  <c r="M591" i="107" s="1"/>
  <c r="H595" i="107"/>
  <c r="L595" i="107" s="1"/>
  <c r="M595" i="107" s="1"/>
  <c r="H440" i="152"/>
  <c r="L440" i="152" s="1"/>
  <c r="M440" i="152" s="1"/>
  <c r="H445" i="152"/>
  <c r="L445" i="152" s="1"/>
  <c r="M445" i="152" s="1"/>
  <c r="N445" i="152" s="1"/>
  <c r="O445" i="152" s="1"/>
  <c r="H443" i="151"/>
  <c r="L443" i="151" s="1"/>
  <c r="M443" i="151" s="1"/>
  <c r="H445" i="151"/>
  <c r="L445" i="151" s="1"/>
  <c r="M445" i="151" s="1"/>
  <c r="H483" i="151"/>
  <c r="L483" i="151" s="1"/>
  <c r="M483" i="151" s="1"/>
  <c r="H494" i="107"/>
  <c r="L494" i="107" s="1"/>
  <c r="M494" i="107" s="1"/>
  <c r="H592" i="107"/>
  <c r="L592" i="107" s="1"/>
  <c r="M592" i="107" s="1"/>
  <c r="H395" i="151"/>
  <c r="L395" i="151" s="1"/>
  <c r="M395" i="151" s="1"/>
  <c r="H394" i="152"/>
  <c r="L394" i="152" s="1"/>
  <c r="M394" i="152" s="1"/>
  <c r="H443" i="152"/>
  <c r="L443" i="152" s="1"/>
  <c r="M443" i="152" s="1"/>
  <c r="N443" i="152" s="1"/>
  <c r="O443" i="152" s="1"/>
  <c r="H363" i="151"/>
  <c r="L363" i="151" s="1"/>
  <c r="M363" i="151" s="1"/>
  <c r="H495" i="107"/>
  <c r="L495" i="107" s="1"/>
  <c r="M495" i="107" s="1"/>
  <c r="H393" i="151"/>
  <c r="L393" i="151" s="1"/>
  <c r="M393" i="151" s="1"/>
  <c r="H392" i="152"/>
  <c r="L392" i="152" s="1"/>
  <c r="M392" i="152" s="1"/>
  <c r="H589" i="107"/>
  <c r="L589" i="107" s="1"/>
  <c r="H361" i="151"/>
  <c r="L361" i="151" s="1"/>
  <c r="M361" i="151" s="1"/>
  <c r="H441" i="152"/>
  <c r="L441" i="152" s="1"/>
  <c r="M441" i="152" s="1"/>
  <c r="H446" i="152"/>
  <c r="L446" i="152" s="1"/>
  <c r="M446" i="152" s="1"/>
  <c r="N446" i="152" s="1"/>
  <c r="O446" i="152" s="1"/>
  <c r="H593" i="107"/>
  <c r="L593" i="107" s="1"/>
  <c r="H597" i="107"/>
  <c r="L597" i="107" s="1"/>
  <c r="M597" i="107" s="1"/>
  <c r="H482" i="151"/>
  <c r="L482" i="151" s="1"/>
  <c r="H489" i="107"/>
  <c r="L489" i="107" s="1"/>
  <c r="M489" i="107" s="1"/>
  <c r="H363" i="107"/>
  <c r="L363" i="107" s="1"/>
  <c r="M363" i="107" s="1"/>
  <c r="H492" i="107"/>
  <c r="L492" i="107" s="1"/>
  <c r="H444" i="151"/>
  <c r="L444" i="151" s="1"/>
  <c r="M444" i="151" s="1"/>
  <c r="H363" i="152"/>
  <c r="L363" i="152" s="1"/>
  <c r="M363" i="152" s="1"/>
  <c r="H444" i="152"/>
  <c r="L444" i="152" s="1"/>
  <c r="M444" i="152" s="1"/>
  <c r="H407" i="125"/>
  <c r="L407" i="125" s="1"/>
  <c r="M407" i="125" s="1"/>
  <c r="H503" i="125"/>
  <c r="L503" i="125" s="1"/>
  <c r="M503" i="125" s="1"/>
  <c r="H505" i="125"/>
  <c r="L505" i="125" s="1"/>
  <c r="M505" i="125" s="1"/>
  <c r="H505" i="152"/>
  <c r="L505" i="152" s="1"/>
  <c r="M505" i="152" s="1"/>
  <c r="H743" i="152"/>
  <c r="L743" i="152" s="1"/>
  <c r="M743" i="152" s="1"/>
  <c r="H362" i="152"/>
  <c r="L362" i="152" s="1"/>
  <c r="M362" i="152" s="1"/>
  <c r="H447" i="152"/>
  <c r="L447" i="152" s="1"/>
  <c r="M447" i="152" s="1"/>
  <c r="H393" i="152"/>
  <c r="L393" i="152" s="1"/>
  <c r="M393" i="152" s="1"/>
  <c r="H594" i="152"/>
  <c r="L594" i="152" s="1"/>
  <c r="M594" i="152" s="1"/>
  <c r="H596" i="152"/>
  <c r="L596" i="152" s="1"/>
  <c r="M596" i="152" s="1"/>
  <c r="H404" i="125"/>
  <c r="L404" i="125" s="1"/>
  <c r="M404" i="125" s="1"/>
  <c r="H500" i="125"/>
  <c r="L500" i="125" s="1"/>
  <c r="M500" i="125" s="1"/>
  <c r="H507" i="125"/>
  <c r="L507" i="125" s="1"/>
  <c r="M507" i="125" s="1"/>
  <c r="H509" i="125"/>
  <c r="L509" i="125" s="1"/>
  <c r="M509" i="125" s="1"/>
  <c r="H474" i="152"/>
  <c r="L474" i="152" s="1"/>
  <c r="M474" i="152" s="1"/>
  <c r="H745" i="152"/>
  <c r="L745" i="152" s="1"/>
  <c r="H747" i="152"/>
  <c r="L747" i="152" s="1"/>
  <c r="M747" i="152" s="1"/>
  <c r="H503" i="152"/>
  <c r="L503" i="152" s="1"/>
  <c r="H589" i="152"/>
  <c r="L589" i="152" s="1"/>
  <c r="H342" i="125"/>
  <c r="L342" i="125" s="1"/>
  <c r="M342" i="125" s="1"/>
  <c r="H749" i="152"/>
  <c r="L749" i="152" s="1"/>
  <c r="H751" i="152"/>
  <c r="L751" i="152" s="1"/>
  <c r="M751" i="152" s="1"/>
  <c r="H388" i="98"/>
  <c r="L388" i="98" s="1"/>
  <c r="M388" i="98" s="1"/>
  <c r="H475" i="152"/>
  <c r="L475" i="152" s="1"/>
  <c r="M475" i="152" s="1"/>
  <c r="H591" i="152"/>
  <c r="L591" i="152" s="1"/>
  <c r="H753" i="152"/>
  <c r="L753" i="152" s="1"/>
  <c r="M753" i="152" s="1"/>
  <c r="H406" i="125"/>
  <c r="L406" i="125" s="1"/>
  <c r="M406" i="125" s="1"/>
  <c r="H408" i="125"/>
  <c r="L408" i="125" s="1"/>
  <c r="M408" i="125" s="1"/>
  <c r="H502" i="125"/>
  <c r="L502" i="125" s="1"/>
  <c r="H504" i="125"/>
  <c r="L504" i="125" s="1"/>
  <c r="M504" i="125" s="1"/>
  <c r="H439" i="152"/>
  <c r="L439" i="152" s="1"/>
  <c r="M439" i="152" s="1"/>
  <c r="H742" i="152"/>
  <c r="L742" i="152" s="1"/>
  <c r="M742" i="152" s="1"/>
  <c r="H744" i="152"/>
  <c r="L744" i="152" s="1"/>
  <c r="M744" i="152" s="1"/>
  <c r="H343" i="125"/>
  <c r="L343" i="125" s="1"/>
  <c r="M343" i="125" s="1"/>
  <c r="H403" i="125"/>
  <c r="L403" i="125" s="1"/>
  <c r="H499" i="125"/>
  <c r="L499" i="125" s="1"/>
  <c r="M499" i="125" s="1"/>
  <c r="H593" i="152"/>
  <c r="L593" i="152" s="1"/>
  <c r="H595" i="152"/>
  <c r="L595" i="152" s="1"/>
  <c r="M595" i="152" s="1"/>
  <c r="H506" i="125"/>
  <c r="L506" i="125" s="1"/>
  <c r="H508" i="125"/>
  <c r="L508" i="125" s="1"/>
  <c r="M508" i="125" s="1"/>
  <c r="H510" i="125"/>
  <c r="L510" i="125" s="1"/>
  <c r="M510" i="125" s="1"/>
  <c r="H504" i="152"/>
  <c r="L504" i="152" s="1"/>
  <c r="H746" i="152"/>
  <c r="L746" i="152" s="1"/>
  <c r="M746" i="152" s="1"/>
  <c r="H748" i="152"/>
  <c r="L748" i="152" s="1"/>
  <c r="M748" i="152" s="1"/>
  <c r="H501" i="125"/>
  <c r="L501" i="125" s="1"/>
  <c r="M501" i="125" s="1"/>
  <c r="H360" i="152"/>
  <c r="L360" i="152" s="1"/>
  <c r="M360" i="152" s="1"/>
  <c r="H590" i="152"/>
  <c r="L590" i="152" s="1"/>
  <c r="M590" i="152" s="1"/>
  <c r="H446" i="151"/>
  <c r="L446" i="151" s="1"/>
  <c r="M446" i="151" s="1"/>
  <c r="H405" i="125"/>
  <c r="L405" i="125" s="1"/>
  <c r="H352" i="98"/>
  <c r="L352" i="98" s="1"/>
  <c r="M352" i="98" s="1"/>
  <c r="H482" i="98"/>
  <c r="L482" i="98" s="1"/>
  <c r="H484" i="98"/>
  <c r="L484" i="98" s="1"/>
  <c r="M484" i="98" s="1"/>
  <c r="H385" i="122"/>
  <c r="L385" i="122" s="1"/>
  <c r="M385" i="122" s="1"/>
  <c r="H470" i="122"/>
  <c r="L470" i="122" s="1"/>
  <c r="H612" i="121"/>
  <c r="L612" i="121" s="1"/>
  <c r="M612" i="121" s="1"/>
  <c r="H614" i="121"/>
  <c r="L614" i="121" s="1"/>
  <c r="M614" i="121" s="1"/>
  <c r="H607" i="122"/>
  <c r="L607" i="122" s="1"/>
  <c r="M607" i="122" s="1"/>
  <c r="H609" i="122"/>
  <c r="L609" i="122" s="1"/>
  <c r="M609" i="122" s="1"/>
  <c r="H621" i="98"/>
  <c r="L621" i="98" s="1"/>
  <c r="M621" i="98" s="1"/>
  <c r="H623" i="98"/>
  <c r="L623" i="98" s="1"/>
  <c r="M623" i="98" s="1"/>
  <c r="H479" i="121"/>
  <c r="L479" i="121" s="1"/>
  <c r="H360" i="100"/>
  <c r="L360" i="100" s="1"/>
  <c r="M360" i="100" s="1"/>
  <c r="H389" i="98"/>
  <c r="L389" i="98" s="1"/>
  <c r="M389" i="98" s="1"/>
  <c r="H479" i="98"/>
  <c r="L479" i="98" s="1"/>
  <c r="M479" i="98" s="1"/>
  <c r="H362" i="122"/>
  <c r="L362" i="122" s="1"/>
  <c r="M362" i="122" s="1"/>
  <c r="H472" i="122"/>
  <c r="L472" i="122" s="1"/>
  <c r="H474" i="122"/>
  <c r="L474" i="122" s="1"/>
  <c r="M474" i="122" s="1"/>
  <c r="H352" i="121"/>
  <c r="L352" i="121" s="1"/>
  <c r="M352" i="121" s="1"/>
  <c r="H616" i="121"/>
  <c r="L616" i="121" s="1"/>
  <c r="M616" i="121" s="1"/>
  <c r="H618" i="121"/>
  <c r="L618" i="121" s="1"/>
  <c r="M618" i="121" s="1"/>
  <c r="H614" i="98"/>
  <c r="L614" i="98" s="1"/>
  <c r="M614" i="98" s="1"/>
  <c r="H611" i="122"/>
  <c r="L611" i="122" s="1"/>
  <c r="M611" i="122" s="1"/>
  <c r="H613" i="122"/>
  <c r="L613" i="122" s="1"/>
  <c r="M613" i="122" s="1"/>
  <c r="H353" i="98"/>
  <c r="L353" i="98" s="1"/>
  <c r="M353" i="98" s="1"/>
  <c r="H481" i="98"/>
  <c r="L481" i="98" s="1"/>
  <c r="M481" i="98" s="1"/>
  <c r="H360" i="122"/>
  <c r="L360" i="122" s="1"/>
  <c r="M360" i="122" s="1"/>
  <c r="H469" i="122"/>
  <c r="L469" i="122" s="1"/>
  <c r="M469" i="122" s="1"/>
  <c r="H481" i="121"/>
  <c r="L481" i="121" s="1"/>
  <c r="H483" i="121"/>
  <c r="L483" i="121" s="1"/>
  <c r="M483" i="121" s="1"/>
  <c r="H604" i="122"/>
  <c r="L604" i="122" s="1"/>
  <c r="M604" i="122" s="1"/>
  <c r="H386" i="121"/>
  <c r="L386" i="121" s="1"/>
  <c r="M386" i="121" s="1"/>
  <c r="H388" i="121"/>
  <c r="L388" i="121" s="1"/>
  <c r="M388" i="121" s="1"/>
  <c r="H620" i="121"/>
  <c r="L620" i="121" s="1"/>
  <c r="M620" i="121" s="1"/>
  <c r="H622" i="121"/>
  <c r="L622" i="121" s="1"/>
  <c r="M622" i="121" s="1"/>
  <c r="H616" i="98"/>
  <c r="L616" i="98" s="1"/>
  <c r="H618" i="98"/>
  <c r="L618" i="98" s="1"/>
  <c r="M618" i="98" s="1"/>
  <c r="H386" i="122"/>
  <c r="L386" i="122" s="1"/>
  <c r="M386" i="122" s="1"/>
  <c r="H478" i="121"/>
  <c r="L478" i="121" s="1"/>
  <c r="M478" i="121" s="1"/>
  <c r="H387" i="98"/>
  <c r="L387" i="98" s="1"/>
  <c r="M387" i="98" s="1"/>
  <c r="H483" i="98"/>
  <c r="L483" i="98" s="1"/>
  <c r="M483" i="98" s="1"/>
  <c r="H485" i="98"/>
  <c r="L485" i="98" s="1"/>
  <c r="M485" i="98" s="1"/>
  <c r="H471" i="122"/>
  <c r="L471" i="122" s="1"/>
  <c r="M471" i="122" s="1"/>
  <c r="H613" i="121"/>
  <c r="L613" i="121" s="1"/>
  <c r="M613" i="121" s="1"/>
  <c r="H606" i="122"/>
  <c r="L606" i="122" s="1"/>
  <c r="H608" i="122"/>
  <c r="L608" i="122" s="1"/>
  <c r="M608" i="122" s="1"/>
  <c r="H620" i="98"/>
  <c r="L620" i="98" s="1"/>
  <c r="H622" i="98"/>
  <c r="L622" i="98" s="1"/>
  <c r="M622" i="98" s="1"/>
  <c r="H624" i="98"/>
  <c r="L624" i="98" s="1"/>
  <c r="M624" i="98" s="1"/>
  <c r="H363" i="122"/>
  <c r="L363" i="122" s="1"/>
  <c r="M363" i="122" s="1"/>
  <c r="H353" i="121"/>
  <c r="L353" i="121" s="1"/>
  <c r="M353" i="121" s="1"/>
  <c r="H480" i="121"/>
  <c r="L480" i="121" s="1"/>
  <c r="M480" i="121" s="1"/>
  <c r="H592" i="152"/>
  <c r="L592" i="152" s="1"/>
  <c r="M592" i="152" s="1"/>
  <c r="H473" i="122"/>
  <c r="L473" i="122" s="1"/>
  <c r="M473" i="122" s="1"/>
  <c r="H475" i="122"/>
  <c r="L475" i="122" s="1"/>
  <c r="M475" i="122" s="1"/>
  <c r="H615" i="121"/>
  <c r="L615" i="121" s="1"/>
  <c r="H617" i="121"/>
  <c r="L617" i="121" s="1"/>
  <c r="M617" i="121" s="1"/>
  <c r="H405" i="100"/>
  <c r="L405" i="100" s="1"/>
  <c r="M405" i="100" s="1"/>
  <c r="H451" i="100"/>
  <c r="L451" i="100" s="1"/>
  <c r="M451" i="100" s="1"/>
  <c r="H478" i="98"/>
  <c r="L478" i="98" s="1"/>
  <c r="H613" i="98"/>
  <c r="L613" i="98" s="1"/>
  <c r="M613" i="98" s="1"/>
  <c r="H615" i="98"/>
  <c r="L615" i="98" s="1"/>
  <c r="M615" i="98" s="1"/>
  <c r="H361" i="122"/>
  <c r="L361" i="122" s="1"/>
  <c r="M361" i="122" s="1"/>
  <c r="H610" i="122"/>
  <c r="L610" i="122" s="1"/>
  <c r="H612" i="122"/>
  <c r="L612" i="122" s="1"/>
  <c r="M612" i="122" s="1"/>
  <c r="H614" i="122"/>
  <c r="L614" i="122" s="1"/>
  <c r="M614" i="122" s="1"/>
  <c r="H480" i="98"/>
  <c r="L480" i="98" s="1"/>
  <c r="H468" i="122"/>
  <c r="L468" i="122" s="1"/>
  <c r="H482" i="121"/>
  <c r="L482" i="121" s="1"/>
  <c r="M482" i="121" s="1"/>
  <c r="H484" i="121"/>
  <c r="L484" i="121" s="1"/>
  <c r="M484" i="121" s="1"/>
  <c r="H750" i="152"/>
  <c r="L750" i="152" s="1"/>
  <c r="M750" i="152" s="1"/>
  <c r="H603" i="122"/>
  <c r="L603" i="122" s="1"/>
  <c r="M603" i="122" s="1"/>
  <c r="H605" i="122"/>
  <c r="L605" i="122" s="1"/>
  <c r="M605" i="122" s="1"/>
  <c r="H387" i="121"/>
  <c r="L387" i="121" s="1"/>
  <c r="M387" i="121" s="1"/>
  <c r="H619" i="121"/>
  <c r="L619" i="121" s="1"/>
  <c r="H621" i="121"/>
  <c r="L621" i="121" s="1"/>
  <c r="M621" i="121" s="1"/>
  <c r="H623" i="121"/>
  <c r="L623" i="121" s="1"/>
  <c r="M623" i="121" s="1"/>
  <c r="H406" i="100"/>
  <c r="L406" i="100" s="1"/>
  <c r="M406" i="100" s="1"/>
  <c r="H363" i="123"/>
  <c r="L363" i="123" s="1"/>
  <c r="M363" i="123" s="1"/>
  <c r="H436" i="123"/>
  <c r="L436" i="123" s="1"/>
  <c r="M436" i="123" s="1"/>
  <c r="H570" i="123"/>
  <c r="L570" i="123" s="1"/>
  <c r="H577" i="124"/>
  <c r="L577" i="124" s="1"/>
  <c r="M577" i="124" s="1"/>
  <c r="H580" i="100"/>
  <c r="L580" i="100" s="1"/>
  <c r="M580" i="100" s="1"/>
  <c r="H395" i="123"/>
  <c r="L395" i="123" s="1"/>
  <c r="M395" i="123" s="1"/>
  <c r="H707" i="123"/>
  <c r="L707" i="123" s="1"/>
  <c r="M707" i="123" s="1"/>
  <c r="H709" i="123"/>
  <c r="L709" i="123" s="1"/>
  <c r="M709" i="123" s="1"/>
  <c r="H360" i="124"/>
  <c r="L360" i="124" s="1"/>
  <c r="M360" i="124" s="1"/>
  <c r="H712" i="124"/>
  <c r="L712" i="124" s="1"/>
  <c r="M712" i="124" s="1"/>
  <c r="H715" i="100"/>
  <c r="L715" i="100" s="1"/>
  <c r="H717" i="100"/>
  <c r="L717" i="100" s="1"/>
  <c r="M717" i="100" s="1"/>
  <c r="H572" i="123"/>
  <c r="L572" i="123" s="1"/>
  <c r="H574" i="123"/>
  <c r="L574" i="123" s="1"/>
  <c r="M574" i="123" s="1"/>
  <c r="H406" i="124"/>
  <c r="L406" i="124" s="1"/>
  <c r="M406" i="124" s="1"/>
  <c r="H452" i="124"/>
  <c r="L452" i="124" s="1"/>
  <c r="M452" i="124" s="1"/>
  <c r="H579" i="124"/>
  <c r="L579" i="124" s="1"/>
  <c r="M579" i="124" s="1"/>
  <c r="H404" i="100"/>
  <c r="L404" i="100" s="1"/>
  <c r="M404" i="100" s="1"/>
  <c r="H582" i="100"/>
  <c r="L582" i="100" s="1"/>
  <c r="M582" i="100" s="1"/>
  <c r="H584" i="100"/>
  <c r="L584" i="100" s="1"/>
  <c r="M584" i="100" s="1"/>
  <c r="H711" i="123"/>
  <c r="L711" i="123" s="1"/>
  <c r="M711" i="123" s="1"/>
  <c r="H713" i="123"/>
  <c r="L713" i="123" s="1"/>
  <c r="M713" i="123" s="1"/>
  <c r="H719" i="100"/>
  <c r="L719" i="100" s="1"/>
  <c r="H721" i="100"/>
  <c r="L721" i="100" s="1"/>
  <c r="M721" i="100" s="1"/>
  <c r="H723" i="100"/>
  <c r="L723" i="100" s="1"/>
  <c r="M723" i="100" s="1"/>
  <c r="H439" i="123"/>
  <c r="L439" i="123" s="1"/>
  <c r="M439" i="123" s="1"/>
  <c r="H485" i="123"/>
  <c r="L485" i="123" s="1"/>
  <c r="M485" i="123" s="1"/>
  <c r="H569" i="123"/>
  <c r="L569" i="123" s="1"/>
  <c r="M569" i="123" s="1"/>
  <c r="H404" i="124"/>
  <c r="L404" i="124" s="1"/>
  <c r="M404" i="124" s="1"/>
  <c r="H577" i="100"/>
  <c r="L577" i="100" s="1"/>
  <c r="H704" i="123"/>
  <c r="L704" i="123" s="1"/>
  <c r="M704" i="123" s="1"/>
  <c r="H581" i="124"/>
  <c r="L581" i="124" s="1"/>
  <c r="M581" i="124" s="1"/>
  <c r="H583" i="124"/>
  <c r="L583" i="124" s="1"/>
  <c r="M583" i="124" s="1"/>
  <c r="H486" i="100"/>
  <c r="L486" i="100" s="1"/>
  <c r="M486" i="100" s="1"/>
  <c r="H488" i="100"/>
  <c r="L488" i="100" s="1"/>
  <c r="M488" i="100" s="1"/>
  <c r="H712" i="100"/>
  <c r="L712" i="100" s="1"/>
  <c r="M712" i="100" s="1"/>
  <c r="H714" i="100"/>
  <c r="L714" i="100" s="1"/>
  <c r="M714" i="100" s="1"/>
  <c r="H364" i="123"/>
  <c r="L364" i="123" s="1"/>
  <c r="M364" i="123" s="1"/>
  <c r="H437" i="123"/>
  <c r="L437" i="123" s="1"/>
  <c r="M437" i="123" s="1"/>
  <c r="H617" i="98"/>
  <c r="L617" i="98" s="1"/>
  <c r="M617" i="98" s="1"/>
  <c r="H361" i="100"/>
  <c r="L361" i="100" s="1"/>
  <c r="M361" i="100" s="1"/>
  <c r="H402" i="100"/>
  <c r="L402" i="100" s="1"/>
  <c r="M402" i="100" s="1"/>
  <c r="H396" i="123"/>
  <c r="L396" i="123" s="1"/>
  <c r="M396" i="123" s="1"/>
  <c r="H571" i="123"/>
  <c r="L571" i="123" s="1"/>
  <c r="M571" i="123" s="1"/>
  <c r="H361" i="124"/>
  <c r="L361" i="124" s="1"/>
  <c r="M361" i="124" s="1"/>
  <c r="H576" i="124"/>
  <c r="L576" i="124" s="1"/>
  <c r="H752" i="152"/>
  <c r="L752" i="152" s="1"/>
  <c r="M752" i="152" s="1"/>
  <c r="H619" i="98"/>
  <c r="L619" i="98" s="1"/>
  <c r="M619" i="98" s="1"/>
  <c r="H579" i="100"/>
  <c r="L579" i="100" s="1"/>
  <c r="H362" i="123"/>
  <c r="L362" i="123" s="1"/>
  <c r="M362" i="123" s="1"/>
  <c r="H706" i="123"/>
  <c r="L706" i="123" s="1"/>
  <c r="H708" i="123"/>
  <c r="L708" i="123" s="1"/>
  <c r="M708" i="123" s="1"/>
  <c r="H452" i="100"/>
  <c r="L452" i="100" s="1"/>
  <c r="M452" i="100" s="1"/>
  <c r="H716" i="100"/>
  <c r="L716" i="100" s="1"/>
  <c r="M716" i="100" s="1"/>
  <c r="H718" i="100"/>
  <c r="L718" i="100" s="1"/>
  <c r="M718" i="100" s="1"/>
  <c r="H394" i="123"/>
  <c r="L394" i="123" s="1"/>
  <c r="M394" i="123" s="1"/>
  <c r="H477" i="121"/>
  <c r="L477" i="121" s="1"/>
  <c r="H362" i="100"/>
  <c r="L362" i="100" s="1"/>
  <c r="M362" i="100" s="1"/>
  <c r="H581" i="100"/>
  <c r="L581" i="100" s="1"/>
  <c r="H583" i="100"/>
  <c r="L583" i="100" s="1"/>
  <c r="M583" i="100" s="1"/>
  <c r="H440" i="123"/>
  <c r="L440" i="123" s="1"/>
  <c r="M440" i="123" s="1"/>
  <c r="H486" i="123"/>
  <c r="L486" i="123" s="1"/>
  <c r="M486" i="123" s="1"/>
  <c r="H710" i="123"/>
  <c r="L710" i="123" s="1"/>
  <c r="H712" i="123"/>
  <c r="L712" i="123" s="1"/>
  <c r="M712" i="123" s="1"/>
  <c r="H714" i="123"/>
  <c r="L714" i="123" s="1"/>
  <c r="M714" i="123" s="1"/>
  <c r="H405" i="124"/>
  <c r="L405" i="124" s="1"/>
  <c r="M405" i="124" s="1"/>
  <c r="H451" i="124"/>
  <c r="L451" i="124" s="1"/>
  <c r="M451" i="124" s="1"/>
  <c r="H715" i="124"/>
  <c r="L715" i="124" s="1"/>
  <c r="M715" i="124" s="1"/>
  <c r="H717" i="124"/>
  <c r="L717" i="124" s="1"/>
  <c r="M717" i="124" s="1"/>
  <c r="H403" i="100"/>
  <c r="L403" i="100" s="1"/>
  <c r="M403" i="100" s="1"/>
  <c r="H720" i="100"/>
  <c r="L720" i="100" s="1"/>
  <c r="M720" i="100" s="1"/>
  <c r="H722" i="100"/>
  <c r="L722" i="100" s="1"/>
  <c r="M722" i="100" s="1"/>
  <c r="H568" i="123"/>
  <c r="L568" i="123" s="1"/>
  <c r="H578" i="100"/>
  <c r="L578" i="100" s="1"/>
  <c r="M578" i="100" s="1"/>
  <c r="H365" i="123"/>
  <c r="L365" i="123" s="1"/>
  <c r="M365" i="123" s="1"/>
  <c r="H438" i="123"/>
  <c r="L438" i="123" s="1"/>
  <c r="M438" i="123" s="1"/>
  <c r="H703" i="123"/>
  <c r="L703" i="123" s="1"/>
  <c r="M703" i="123" s="1"/>
  <c r="H705" i="123"/>
  <c r="L705" i="123" s="1"/>
  <c r="M705" i="123" s="1"/>
  <c r="H403" i="124"/>
  <c r="L403" i="124" s="1"/>
  <c r="M403" i="124" s="1"/>
  <c r="H580" i="124"/>
  <c r="L580" i="124" s="1"/>
  <c r="H582" i="124"/>
  <c r="L582" i="124" s="1"/>
  <c r="M582" i="124" s="1"/>
  <c r="H487" i="100"/>
  <c r="L487" i="100" s="1"/>
  <c r="M487" i="100" s="1"/>
  <c r="H713" i="100"/>
  <c r="L713" i="100" s="1"/>
  <c r="M713" i="100" s="1"/>
  <c r="H711" i="124"/>
  <c r="L711" i="124" s="1"/>
  <c r="M711" i="124" s="1"/>
  <c r="H722" i="124"/>
  <c r="L722" i="124" s="1"/>
  <c r="M722" i="124" s="1"/>
  <c r="H486" i="124"/>
  <c r="L486" i="124" s="1"/>
  <c r="M486" i="124" s="1"/>
  <c r="H362" i="99"/>
  <c r="L362" i="99" s="1"/>
  <c r="M362" i="99" s="1"/>
  <c r="H404" i="99"/>
  <c r="L404" i="99" s="1"/>
  <c r="M404" i="99" s="1"/>
  <c r="H580" i="99"/>
  <c r="L580" i="99" s="1"/>
  <c r="M580" i="99" s="1"/>
  <c r="H717" i="99"/>
  <c r="L717" i="99" s="1"/>
  <c r="H719" i="99"/>
  <c r="L719" i="99" s="1"/>
  <c r="M719" i="99" s="1"/>
  <c r="H407" i="99"/>
  <c r="L407" i="99" s="1"/>
  <c r="M407" i="99" s="1"/>
  <c r="H719" i="124"/>
  <c r="L719" i="124" s="1"/>
  <c r="M719" i="124" s="1"/>
  <c r="H360" i="99"/>
  <c r="L360" i="99" s="1"/>
  <c r="M360" i="99" s="1"/>
  <c r="H487" i="124"/>
  <c r="L487" i="124" s="1"/>
  <c r="M487" i="124" s="1"/>
  <c r="H453" i="99"/>
  <c r="L453" i="99" s="1"/>
  <c r="M453" i="99" s="1"/>
  <c r="H488" i="99"/>
  <c r="L488" i="99" s="1"/>
  <c r="M488" i="99" s="1"/>
  <c r="H490" i="99"/>
  <c r="L490" i="99" s="1"/>
  <c r="M490" i="99" s="1"/>
  <c r="H582" i="99"/>
  <c r="L582" i="99" s="1"/>
  <c r="M582" i="99" s="1"/>
  <c r="H721" i="99"/>
  <c r="L721" i="99" s="1"/>
  <c r="H723" i="99"/>
  <c r="L723" i="99" s="1"/>
  <c r="M723" i="99" s="1"/>
  <c r="H725" i="99"/>
  <c r="L725" i="99" s="1"/>
  <c r="M725" i="99" s="1"/>
  <c r="H716" i="124"/>
  <c r="L716" i="124" s="1"/>
  <c r="M716" i="124" s="1"/>
  <c r="H405" i="99"/>
  <c r="L405" i="99" s="1"/>
  <c r="M405" i="99" s="1"/>
  <c r="H714" i="99"/>
  <c r="L714" i="99" s="1"/>
  <c r="M714" i="99" s="1"/>
  <c r="H716" i="99"/>
  <c r="L716" i="99" s="1"/>
  <c r="M716" i="99" s="1"/>
  <c r="H402" i="124"/>
  <c r="L402" i="124" s="1"/>
  <c r="M402" i="124" s="1"/>
  <c r="H713" i="124"/>
  <c r="L713" i="124" s="1"/>
  <c r="M713" i="124" s="1"/>
  <c r="H720" i="124"/>
  <c r="L720" i="124" s="1"/>
  <c r="M720" i="124" s="1"/>
  <c r="H402" i="99"/>
  <c r="L402" i="99" s="1"/>
  <c r="M402" i="99" s="1"/>
  <c r="H584" i="99"/>
  <c r="L584" i="99" s="1"/>
  <c r="M584" i="99" s="1"/>
  <c r="H586" i="99"/>
  <c r="L586" i="99" s="1"/>
  <c r="M586" i="99" s="1"/>
  <c r="H578" i="124"/>
  <c r="L578" i="124" s="1"/>
  <c r="H408" i="99"/>
  <c r="L408" i="99" s="1"/>
  <c r="M408" i="99" s="1"/>
  <c r="H573" i="123"/>
  <c r="L573" i="123" s="1"/>
  <c r="M573" i="123" s="1"/>
  <c r="H579" i="99"/>
  <c r="L579" i="99" s="1"/>
  <c r="H718" i="99"/>
  <c r="L718" i="99" s="1"/>
  <c r="M718" i="99" s="1"/>
  <c r="H720" i="99"/>
  <c r="L720" i="99" s="1"/>
  <c r="M720" i="99" s="1"/>
  <c r="H362" i="124"/>
  <c r="L362" i="124" s="1"/>
  <c r="M362" i="124" s="1"/>
  <c r="H361" i="99"/>
  <c r="L361" i="99" s="1"/>
  <c r="M361" i="99" s="1"/>
  <c r="H575" i="123"/>
  <c r="L575" i="123" s="1"/>
  <c r="M575" i="123" s="1"/>
  <c r="H454" i="99"/>
  <c r="L454" i="99" s="1"/>
  <c r="M454" i="99" s="1"/>
  <c r="H721" i="124"/>
  <c r="L721" i="124" s="1"/>
  <c r="M721" i="124" s="1"/>
  <c r="H403" i="99"/>
  <c r="L403" i="99" s="1"/>
  <c r="M403" i="99" s="1"/>
  <c r="H406" i="99"/>
  <c r="L406" i="99" s="1"/>
  <c r="M406" i="99" s="1"/>
  <c r="H489" i="99"/>
  <c r="L489" i="99" s="1"/>
  <c r="M489" i="99" s="1"/>
  <c r="H581" i="99"/>
  <c r="L581" i="99" s="1"/>
  <c r="H722" i="99"/>
  <c r="L722" i="99" s="1"/>
  <c r="M722" i="99" s="1"/>
  <c r="H724" i="99"/>
  <c r="L724" i="99" s="1"/>
  <c r="M724" i="99" s="1"/>
  <c r="H714" i="124"/>
  <c r="L714" i="124" s="1"/>
  <c r="H485" i="124"/>
  <c r="L485" i="124" s="1"/>
  <c r="M485" i="124" s="1"/>
  <c r="H718" i="124"/>
  <c r="L718" i="124" s="1"/>
  <c r="H715" i="99"/>
  <c r="L715" i="99" s="1"/>
  <c r="M715" i="99" s="1"/>
  <c r="H583" i="99"/>
  <c r="L583" i="99" s="1"/>
  <c r="H585" i="99"/>
  <c r="L585" i="99" s="1"/>
  <c r="M585" i="99" s="1"/>
  <c r="BK112" i="142"/>
  <c r="W26" i="112"/>
  <c r="H26" i="112" s="1"/>
  <c r="O20" i="159"/>
  <c r="G39" i="187"/>
  <c r="K39" i="187"/>
  <c r="W57" i="112"/>
  <c r="H57" i="112" s="1"/>
  <c r="F57" i="112" s="1"/>
  <c r="D57" i="112" s="1"/>
  <c r="L95" i="128"/>
  <c r="J92" i="128"/>
  <c r="W245" i="112"/>
  <c r="H245" i="112" s="1"/>
  <c r="F245" i="112" s="1"/>
  <c r="D245" i="112" s="1"/>
  <c r="B7" i="183"/>
  <c r="B25" i="183" s="1"/>
  <c r="BK94" i="161"/>
  <c r="BN94" i="161" s="1"/>
  <c r="R49" i="161" s="1"/>
  <c r="BK156" i="162"/>
  <c r="BN156" i="162" s="1"/>
  <c r="BC221" i="143"/>
  <c r="M37" i="166" s="1"/>
  <c r="BM221" i="143"/>
  <c r="R37" i="166" s="1"/>
  <c r="BK162" i="162"/>
  <c r="G63" i="180"/>
  <c r="G10" i="187"/>
  <c r="G37" i="187"/>
  <c r="K10" i="187"/>
  <c r="K37" i="187"/>
  <c r="K5" i="184"/>
  <c r="L5" i="184"/>
  <c r="M5" i="184"/>
  <c r="N5" i="184"/>
  <c r="O5" i="184"/>
  <c r="G5" i="184"/>
  <c r="H5" i="184"/>
  <c r="I5" i="184"/>
  <c r="J5" i="184"/>
  <c r="E440" i="151"/>
  <c r="E436" i="152"/>
  <c r="E339" i="125"/>
  <c r="E397" i="124"/>
  <c r="N416" i="124" s="1"/>
  <c r="O416" i="124" s="1"/>
  <c r="E397" i="100"/>
  <c r="N416" i="100" s="1"/>
  <c r="O416" i="100" s="1"/>
  <c r="E431" i="123"/>
  <c r="N450" i="123" s="1"/>
  <c r="O450" i="123" s="1"/>
  <c r="K98" i="187"/>
  <c r="G98" i="187"/>
  <c r="J16" i="120"/>
  <c r="C16" i="120" s="1" a="1"/>
  <c r="C16" i="120" s="1"/>
  <c r="I16" i="120"/>
  <c r="BO174" i="162"/>
  <c r="W215" i="112"/>
  <c r="H215" i="112" s="1"/>
  <c r="F215" i="112" s="1"/>
  <c r="D215" i="112" s="1"/>
  <c r="BK269" i="146"/>
  <c r="BN269" i="146" s="1"/>
  <c r="Q159" i="146" s="1"/>
  <c r="G6" i="184"/>
  <c r="H6" i="184"/>
  <c r="I6" i="184"/>
  <c r="J6" i="184"/>
  <c r="K6" i="184"/>
  <c r="L6" i="184"/>
  <c r="M6" i="184"/>
  <c r="N6" i="184"/>
  <c r="O6" i="184"/>
  <c r="G4" i="184"/>
  <c r="H4" i="184"/>
  <c r="I4" i="184"/>
  <c r="J4" i="184"/>
  <c r="K4" i="184"/>
  <c r="L4" i="184"/>
  <c r="M4" i="184"/>
  <c r="N4" i="184"/>
  <c r="O4" i="184"/>
  <c r="W207" i="112"/>
  <c r="H207" i="112" s="1"/>
  <c r="V207" i="112" s="1"/>
  <c r="BK227" i="143"/>
  <c r="BN227" i="143" s="1"/>
  <c r="Q152" i="143" s="1"/>
  <c r="BK111" i="142"/>
  <c r="BK268" i="146"/>
  <c r="BN268" i="146" s="1"/>
  <c r="Q156" i="146" s="1"/>
  <c r="BK265" i="146"/>
  <c r="Q121" i="146" s="1"/>
  <c r="BO176" i="162"/>
  <c r="J405" i="124"/>
  <c r="Q420" i="99"/>
  <c r="BK266" i="146"/>
  <c r="BN266" i="146" s="1"/>
  <c r="Q124" i="146" s="1"/>
  <c r="J437" i="123"/>
  <c r="BO172" i="162"/>
  <c r="BK164" i="162"/>
  <c r="B31" i="183"/>
  <c r="S31" i="183"/>
  <c r="BM106" i="142"/>
  <c r="R259" i="166" s="1"/>
  <c r="BC106" i="142"/>
  <c r="J403" i="124"/>
  <c r="J405" i="99"/>
  <c r="J405" i="100"/>
  <c r="BK160" i="162"/>
  <c r="BK272" i="146"/>
  <c r="BN272" i="146" s="1"/>
  <c r="Q194" i="146" s="1"/>
  <c r="BK271" i="146"/>
  <c r="BN271" i="146" s="1"/>
  <c r="Q191" i="146" s="1"/>
  <c r="X52" i="145"/>
  <c r="V52" i="145"/>
  <c r="V10" i="145"/>
  <c r="X11" i="145"/>
  <c r="G52" i="145"/>
  <c r="I53" i="145"/>
  <c r="X13" i="145"/>
  <c r="V11" i="145"/>
  <c r="I13" i="145"/>
  <c r="X10" i="145"/>
  <c r="X12" i="145"/>
  <c r="I52" i="145"/>
  <c r="V12" i="145"/>
  <c r="G12" i="145"/>
  <c r="G13" i="145"/>
  <c r="V13" i="145"/>
  <c r="I12" i="145"/>
  <c r="F652" i="112" l="1"/>
  <c r="D652" i="112" s="1"/>
  <c r="M97" i="166"/>
  <c r="BS31" i="132" a="1"/>
  <c r="BS31" i="132" s="1"/>
  <c r="B53" i="207" a="1"/>
  <c r="B53" i="207" s="1"/>
  <c r="W466" i="112" s="1"/>
  <c r="H466" i="112" s="1"/>
  <c r="V466" i="112" s="1"/>
  <c r="BC236" i="164"/>
  <c r="BO236" i="164"/>
  <c r="Q23" i="164" s="1"/>
  <c r="J9" i="207"/>
  <c r="I9" i="207"/>
  <c r="G9" i="207"/>
  <c r="L9" i="207"/>
  <c r="H9" i="207"/>
  <c r="F9" i="207"/>
  <c r="E9" i="207"/>
  <c r="K9" i="207"/>
  <c r="D9" i="207"/>
  <c r="C349" i="107"/>
  <c r="T15" i="151"/>
  <c r="C348" i="151" s="1"/>
  <c r="BC263" i="146"/>
  <c r="M69" i="166" s="1"/>
  <c r="BN263" i="146"/>
  <c r="Q89" i="146" s="1"/>
  <c r="F12" i="207"/>
  <c r="C12" i="207"/>
  <c r="G12" i="207"/>
  <c r="H12" i="207"/>
  <c r="I12" i="207"/>
  <c r="K12" i="207"/>
  <c r="D12" i="207"/>
  <c r="J12" i="207"/>
  <c r="L12" i="207"/>
  <c r="E12" i="207"/>
  <c r="I8" i="207"/>
  <c r="J8" i="207"/>
  <c r="K8" i="207"/>
  <c r="L8" i="207"/>
  <c r="E8" i="207"/>
  <c r="F8" i="207"/>
  <c r="G8" i="207"/>
  <c r="C8" i="207"/>
  <c r="B51" i="207" s="1" a="1"/>
  <c r="B51" i="207" s="1"/>
  <c r="H8" i="207"/>
  <c r="D8" i="207"/>
  <c r="K11" i="207"/>
  <c r="L11" i="207"/>
  <c r="G11" i="207"/>
  <c r="H11" i="207"/>
  <c r="J11" i="207"/>
  <c r="I11" i="207"/>
  <c r="C11" i="207"/>
  <c r="F11" i="207"/>
  <c r="D11" i="207"/>
  <c r="E11" i="207"/>
  <c r="BC108" i="142"/>
  <c r="F540" i="112" s="1"/>
  <c r="D540" i="112" s="1"/>
  <c r="BN108" i="142"/>
  <c r="Q42" i="142" s="1"/>
  <c r="BM89" i="161"/>
  <c r="R229" i="166" s="1"/>
  <c r="BN89" i="161"/>
  <c r="R29" i="161" s="1"/>
  <c r="BC260" i="146"/>
  <c r="F86" i="112" s="1"/>
  <c r="D86" i="112" s="1"/>
  <c r="BN260" i="146"/>
  <c r="Q54" i="146" s="1"/>
  <c r="BC89" i="161"/>
  <c r="F588" i="112" s="1"/>
  <c r="D588" i="112" s="1"/>
  <c r="C898" i="152"/>
  <c r="C919" i="152"/>
  <c r="I673" i="152"/>
  <c r="I534" i="152"/>
  <c r="C1029" i="152"/>
  <c r="C967" i="152"/>
  <c r="C568" i="152"/>
  <c r="E568" i="152" s="1"/>
  <c r="C712" i="152"/>
  <c r="E712" i="152" s="1"/>
  <c r="C1008" i="152"/>
  <c r="C691" i="152"/>
  <c r="E691" i="152" s="1"/>
  <c r="C554" i="152"/>
  <c r="E554" i="152" s="1"/>
  <c r="C938" i="152"/>
  <c r="G42" i="200"/>
  <c r="G43" i="200" s="1"/>
  <c r="G45" i="200" s="1"/>
  <c r="F188" i="187"/>
  <c r="G276" i="187"/>
  <c r="T32" i="98" s="1"/>
  <c r="G210" i="187"/>
  <c r="G331" i="187" s="1"/>
  <c r="Z29" i="98" s="1"/>
  <c r="G326" i="187"/>
  <c r="Z24" i="98" s="1"/>
  <c r="AA178" i="187"/>
  <c r="AA323" i="187"/>
  <c r="Z21" i="124" s="1"/>
  <c r="AJ211" i="187"/>
  <c r="AJ332" i="187" s="1"/>
  <c r="Z30" i="126" s="1"/>
  <c r="C686" i="126" s="1"/>
  <c r="AJ328" i="187"/>
  <c r="AM188" i="187"/>
  <c r="AN276" i="187"/>
  <c r="T41" i="127" s="1"/>
  <c r="C522" i="127" s="1"/>
  <c r="E522" i="127" s="1"/>
  <c r="G178" i="187"/>
  <c r="G323" i="187"/>
  <c r="Z21" i="98" s="1"/>
  <c r="AR210" i="187"/>
  <c r="AR331" i="187" s="1"/>
  <c r="Z29" i="152" s="1"/>
  <c r="C723" i="152" s="1"/>
  <c r="AR326" i="187"/>
  <c r="Z24" i="152" s="1"/>
  <c r="AI178" i="187"/>
  <c r="AJ281" i="187"/>
  <c r="T63" i="126" s="1"/>
  <c r="C517" i="126" s="1"/>
  <c r="E517" i="126" s="1"/>
  <c r="AQ188" i="187"/>
  <c r="AR276" i="187"/>
  <c r="T52" i="152" s="1"/>
  <c r="G188" i="187"/>
  <c r="G318" i="187"/>
  <c r="Z16" i="98" s="1"/>
  <c r="V211" i="187"/>
  <c r="W287" i="187"/>
  <c r="T68" i="123" s="1"/>
  <c r="C638" i="123" s="1"/>
  <c r="E638" i="123" s="1"/>
  <c r="R210" i="187"/>
  <c r="S284" i="187"/>
  <c r="T50" i="100" s="1"/>
  <c r="C646" i="100" s="1"/>
  <c r="E646" i="100" s="1"/>
  <c r="AQ210" i="187"/>
  <c r="AR284" i="187"/>
  <c r="T60" i="152" s="1"/>
  <c r="AA211" i="187"/>
  <c r="AA332" i="187" s="1"/>
  <c r="Z30" i="124" s="1"/>
  <c r="C693" i="124" s="1"/>
  <c r="AA328" i="187"/>
  <c r="AR188" i="187"/>
  <c r="AR318" i="187"/>
  <c r="Z16" i="152" s="1"/>
  <c r="AN188" i="187"/>
  <c r="AN318" i="187"/>
  <c r="Z16" i="127" s="1"/>
  <c r="N211" i="187"/>
  <c r="O287" i="187"/>
  <c r="T40" i="121" s="1"/>
  <c r="C547" i="121" s="1"/>
  <c r="E547" i="121" s="1"/>
  <c r="AI210" i="187"/>
  <c r="AJ284" i="187"/>
  <c r="T66" i="126" s="1"/>
  <c r="C638" i="126" s="1"/>
  <c r="E638" i="126" s="1"/>
  <c r="Z178" i="187"/>
  <c r="AA281" i="187"/>
  <c r="T42" i="124" s="1"/>
  <c r="C524" i="124" s="1"/>
  <c r="E524" i="124" s="1"/>
  <c r="Z211" i="187"/>
  <c r="AA287" i="187"/>
  <c r="T48" i="124" s="1"/>
  <c r="C646" i="124" s="1"/>
  <c r="E646" i="124" s="1"/>
  <c r="V188" i="187"/>
  <c r="W276" i="187"/>
  <c r="T57" i="123" s="1"/>
  <c r="C513" i="123" s="1"/>
  <c r="E513" i="123" s="1"/>
  <c r="K178" i="187"/>
  <c r="K323" i="187"/>
  <c r="Z21" i="122" s="1"/>
  <c r="W211" i="187"/>
  <c r="W332" i="187" s="1"/>
  <c r="Z30" i="123" s="1"/>
  <c r="C685" i="123" s="1"/>
  <c r="W328" i="187"/>
  <c r="AJ210" i="187"/>
  <c r="AJ331" i="187" s="1"/>
  <c r="Z29" i="126" s="1"/>
  <c r="C685" i="126" s="1"/>
  <c r="AJ326" i="187"/>
  <c r="Z24" i="126" s="1"/>
  <c r="AJ178" i="187"/>
  <c r="AJ323" i="187"/>
  <c r="Z21" i="126" s="1"/>
  <c r="AE211" i="187"/>
  <c r="AE332" i="187" s="1"/>
  <c r="Z30" i="99" s="1"/>
  <c r="C696" i="99" s="1"/>
  <c r="AE328" i="187"/>
  <c r="W188" i="187"/>
  <c r="W318" i="187"/>
  <c r="Z16" i="123" s="1"/>
  <c r="AD188" i="187"/>
  <c r="AE276" i="187"/>
  <c r="T41" i="99" s="1"/>
  <c r="C524" i="99" s="1"/>
  <c r="E524" i="99" s="1"/>
  <c r="AM210" i="187"/>
  <c r="AN284" i="187"/>
  <c r="T49" i="127" s="1"/>
  <c r="C646" i="127" s="1"/>
  <c r="E646" i="127" s="1"/>
  <c r="V178" i="187"/>
  <c r="W281" i="187"/>
  <c r="T62" i="123" s="1"/>
  <c r="C516" i="123" s="1"/>
  <c r="E516" i="123" s="1"/>
  <c r="G211" i="187"/>
  <c r="G332" i="187" s="1"/>
  <c r="Z30" i="98" s="1"/>
  <c r="G328" i="187"/>
  <c r="AE178" i="187"/>
  <c r="AE323" i="187"/>
  <c r="Z21" i="99" s="1"/>
  <c r="AD211" i="187"/>
  <c r="AE287" i="187"/>
  <c r="T52" i="99" s="1"/>
  <c r="C649" i="99" s="1"/>
  <c r="E649" i="99" s="1"/>
  <c r="AI188" i="187"/>
  <c r="AJ276" i="187"/>
  <c r="T58" i="126" s="1"/>
  <c r="C514" i="126" s="1"/>
  <c r="E514" i="126" s="1"/>
  <c r="J188" i="187"/>
  <c r="K276" i="187"/>
  <c r="T47" i="122" s="1"/>
  <c r="C413" i="122" s="1"/>
  <c r="E413" i="122" s="1"/>
  <c r="W178" i="187"/>
  <c r="W323" i="187"/>
  <c r="Z21" i="123" s="1"/>
  <c r="R211" i="187"/>
  <c r="S287" i="187"/>
  <c r="T53" i="100" s="1"/>
  <c r="C647" i="100" s="1"/>
  <c r="E647" i="100" s="1"/>
  <c r="K210" i="187"/>
  <c r="K326" i="187"/>
  <c r="Z24" i="122" s="1"/>
  <c r="T65" i="107"/>
  <c r="C546" i="107" s="1"/>
  <c r="E546" i="107" s="1"/>
  <c r="K188" i="187"/>
  <c r="K318" i="187"/>
  <c r="Z16" i="122" s="1"/>
  <c r="R188" i="187"/>
  <c r="S276" i="187"/>
  <c r="T42" i="100" s="1"/>
  <c r="C522" i="100" s="1"/>
  <c r="E522" i="100" s="1"/>
  <c r="C404" i="127"/>
  <c r="J404" i="127" s="1"/>
  <c r="P415" i="127"/>
  <c r="P419" i="127" s="1"/>
  <c r="M415" i="127"/>
  <c r="C406" i="127"/>
  <c r="J406" i="127" s="1"/>
  <c r="Q415" i="127"/>
  <c r="Q419" i="127" s="1"/>
  <c r="O178" i="187"/>
  <c r="O323" i="187"/>
  <c r="Z22" i="121" s="1"/>
  <c r="F211" i="187"/>
  <c r="G290" i="187" s="1"/>
  <c r="T46" i="98" s="1"/>
  <c r="G287" i="187"/>
  <c r="T43" i="98" s="1"/>
  <c r="S210" i="187"/>
  <c r="S331" i="187" s="1"/>
  <c r="Z29" i="100" s="1"/>
  <c r="C693" i="100" s="1"/>
  <c r="S326" i="187"/>
  <c r="Z24" i="100" s="1"/>
  <c r="AD178" i="187"/>
  <c r="AE281" i="187"/>
  <c r="T46" i="99" s="1"/>
  <c r="C527" i="99" s="1"/>
  <c r="E527" i="99" s="1"/>
  <c r="AJ188" i="187"/>
  <c r="AJ318" i="187"/>
  <c r="Z16" i="126" s="1"/>
  <c r="S188" i="187"/>
  <c r="S318" i="187"/>
  <c r="Z16" i="100" s="1"/>
  <c r="J178" i="187"/>
  <c r="K281" i="187"/>
  <c r="T52" i="122" s="1"/>
  <c r="C416" i="122" s="1"/>
  <c r="E416" i="122" s="1"/>
  <c r="S211" i="187"/>
  <c r="S332" i="187" s="1"/>
  <c r="Z30" i="100" s="1"/>
  <c r="C694" i="100" s="1"/>
  <c r="S328" i="187"/>
  <c r="O211" i="187"/>
  <c r="O332" i="187" s="1"/>
  <c r="Z31" i="121" s="1"/>
  <c r="C594" i="121" s="1"/>
  <c r="O328" i="187"/>
  <c r="AA210" i="187"/>
  <c r="AA331" i="187" s="1"/>
  <c r="Z29" i="124" s="1"/>
  <c r="C692" i="124" s="1"/>
  <c r="AA326" i="187"/>
  <c r="Z24" i="124" s="1"/>
  <c r="AN178" i="187"/>
  <c r="AN323" i="187"/>
  <c r="Z21" i="127" s="1"/>
  <c r="AN211" i="187"/>
  <c r="AN332" i="187" s="1"/>
  <c r="Z30" i="127" s="1"/>
  <c r="C694" i="127" s="1"/>
  <c r="AN328" i="187"/>
  <c r="V210" i="187"/>
  <c r="W284" i="187"/>
  <c r="T65" i="123" s="1"/>
  <c r="C637" i="123" s="1"/>
  <c r="E637" i="123" s="1"/>
  <c r="J210" i="187"/>
  <c r="K284" i="187"/>
  <c r="T55" i="122" s="1"/>
  <c r="Z210" i="187"/>
  <c r="AA284" i="187"/>
  <c r="T45" i="124" s="1"/>
  <c r="C645" i="124" s="1"/>
  <c r="E645" i="124" s="1"/>
  <c r="O188" i="187"/>
  <c r="O318" i="187"/>
  <c r="Z17" i="121" s="1"/>
  <c r="C440" i="126"/>
  <c r="J440" i="126" s="1"/>
  <c r="C438" i="126"/>
  <c r="J438" i="126" s="1"/>
  <c r="M449" i="126"/>
  <c r="P449" i="126"/>
  <c r="P453" i="126" s="1"/>
  <c r="Q449" i="126"/>
  <c r="Q453" i="126" s="1"/>
  <c r="O210" i="187"/>
  <c r="O331" i="187" s="1"/>
  <c r="Z30" i="121" s="1"/>
  <c r="C593" i="121" s="1"/>
  <c r="O326" i="187"/>
  <c r="Z25" i="121" s="1"/>
  <c r="R178" i="187"/>
  <c r="S281" i="187"/>
  <c r="T47" i="100" s="1"/>
  <c r="C525" i="100" s="1"/>
  <c r="E525" i="100" s="1"/>
  <c r="AM178" i="187"/>
  <c r="AN281" i="187"/>
  <c r="T46" i="127" s="1"/>
  <c r="C525" i="127" s="1"/>
  <c r="E525" i="127" s="1"/>
  <c r="AM211" i="187"/>
  <c r="AN287" i="187"/>
  <c r="T52" i="127" s="1"/>
  <c r="C647" i="127" s="1"/>
  <c r="E647" i="127" s="1"/>
  <c r="N188" i="187"/>
  <c r="O276" i="187"/>
  <c r="T29" i="121" s="1"/>
  <c r="C422" i="121" s="1"/>
  <c r="E422" i="121" s="1"/>
  <c r="N178" i="187"/>
  <c r="O281" i="187"/>
  <c r="T34" i="121" s="1"/>
  <c r="C425" i="121" s="1"/>
  <c r="E425" i="121" s="1"/>
  <c r="N210" i="187"/>
  <c r="O284" i="187"/>
  <c r="T37" i="121" s="1"/>
  <c r="C546" i="121" s="1"/>
  <c r="E546" i="121" s="1"/>
  <c r="AE210" i="187"/>
  <c r="AE331" i="187" s="1"/>
  <c r="Z29" i="99" s="1"/>
  <c r="C695" i="99" s="1"/>
  <c r="AE326" i="187"/>
  <c r="Z24" i="99" s="1"/>
  <c r="Z188" i="187"/>
  <c r="AA276" i="187"/>
  <c r="T37" i="124" s="1"/>
  <c r="C521" i="124" s="1"/>
  <c r="E521" i="124" s="1"/>
  <c r="S178" i="187"/>
  <c r="S323" i="187"/>
  <c r="Z21" i="100" s="1"/>
  <c r="J211" i="187"/>
  <c r="K287" i="187"/>
  <c r="T58" i="122" s="1"/>
  <c r="W210" i="187"/>
  <c r="W331" i="187" s="1"/>
  <c r="Z29" i="123" s="1"/>
  <c r="C684" i="123" s="1"/>
  <c r="W326" i="187"/>
  <c r="Z24" i="123" s="1"/>
  <c r="AD210" i="187"/>
  <c r="AE284" i="187"/>
  <c r="T49" i="99" s="1"/>
  <c r="C648" i="99" s="1"/>
  <c r="E648" i="99" s="1"/>
  <c r="AR178" i="187"/>
  <c r="AR323" i="187"/>
  <c r="Z21" i="152" s="1"/>
  <c r="AR211" i="187"/>
  <c r="AR332" i="187" s="1"/>
  <c r="Z30" i="152" s="1"/>
  <c r="C724" i="152" s="1"/>
  <c r="AR328" i="187"/>
  <c r="F178" i="187"/>
  <c r="G281" i="187"/>
  <c r="T37" i="98" s="1"/>
  <c r="AQ178" i="187"/>
  <c r="AR281" i="187"/>
  <c r="T57" i="152" s="1"/>
  <c r="AQ211" i="187"/>
  <c r="AR287" i="187"/>
  <c r="T63" i="152" s="1"/>
  <c r="AA188" i="187"/>
  <c r="AA318" i="187"/>
  <c r="Z16" i="124" s="1"/>
  <c r="K211" i="187"/>
  <c r="K332" i="187" s="1"/>
  <c r="Z30" i="122" s="1"/>
  <c r="K328" i="187"/>
  <c r="F210" i="187"/>
  <c r="G289" i="187" s="1"/>
  <c r="T45" i="98" s="1"/>
  <c r="G284" i="187"/>
  <c r="T40" i="98" s="1"/>
  <c r="AN210" i="187"/>
  <c r="AN331" i="187" s="1"/>
  <c r="Z29" i="127" s="1"/>
  <c r="C693" i="127" s="1"/>
  <c r="AN326" i="187"/>
  <c r="Z24" i="127" s="1"/>
  <c r="AI211" i="187"/>
  <c r="AJ287" i="187"/>
  <c r="T69" i="126" s="1"/>
  <c r="C639" i="126" s="1"/>
  <c r="E639" i="126" s="1"/>
  <c r="AE188" i="187"/>
  <c r="AE318" i="187"/>
  <c r="Z16" i="99" s="1"/>
  <c r="AQ172" i="187"/>
  <c r="AR271" i="187"/>
  <c r="T47" i="152" s="1"/>
  <c r="AR172" i="187"/>
  <c r="AR313" i="187"/>
  <c r="Z11" i="152" s="1"/>
  <c r="AN172" i="187"/>
  <c r="Z11" i="127"/>
  <c r="AM172" i="187"/>
  <c r="T36" i="127"/>
  <c r="C528" i="127" s="1"/>
  <c r="E528" i="127" s="1"/>
  <c r="AJ172" i="187"/>
  <c r="Z11" i="126"/>
  <c r="AI172" i="187"/>
  <c r="T53" i="126"/>
  <c r="C520" i="126" s="1"/>
  <c r="E520" i="126" s="1"/>
  <c r="AD172" i="187"/>
  <c r="T36" i="99"/>
  <c r="C530" i="99" s="1"/>
  <c r="E530" i="99" s="1"/>
  <c r="AE172" i="187"/>
  <c r="Z11" i="99"/>
  <c r="AA172" i="187"/>
  <c r="Z11" i="124"/>
  <c r="Z172" i="187"/>
  <c r="T32" i="124"/>
  <c r="C527" i="124" s="1"/>
  <c r="E527" i="124" s="1"/>
  <c r="V172" i="187"/>
  <c r="T52" i="123"/>
  <c r="C519" i="123" s="1"/>
  <c r="E519" i="123" s="1"/>
  <c r="W172" i="187"/>
  <c r="Z11" i="123"/>
  <c r="S172" i="187"/>
  <c r="Z11" i="100"/>
  <c r="R172" i="187"/>
  <c r="T37" i="100"/>
  <c r="C528" i="100" s="1"/>
  <c r="E528" i="100" s="1"/>
  <c r="N172" i="187"/>
  <c r="O271" i="187"/>
  <c r="T24" i="121" s="1"/>
  <c r="C428" i="121" s="1"/>
  <c r="E428" i="121" s="1"/>
  <c r="O172" i="187"/>
  <c r="O313" i="187"/>
  <c r="Z12" i="121" s="1"/>
  <c r="J172" i="187"/>
  <c r="K271" i="187"/>
  <c r="T42" i="122" s="1"/>
  <c r="C419" i="122" s="1"/>
  <c r="E419" i="122" s="1"/>
  <c r="K172" i="187"/>
  <c r="K313" i="187"/>
  <c r="Z11" i="122" s="1"/>
  <c r="G172" i="187"/>
  <c r="G313" i="187"/>
  <c r="Z11" i="98" s="1"/>
  <c r="F172" i="187"/>
  <c r="G271" i="187"/>
  <c r="T27" i="98" s="1"/>
  <c r="C461" i="107"/>
  <c r="E461" i="107" s="1"/>
  <c r="C542" i="127"/>
  <c r="E542" i="127" s="1"/>
  <c r="C661" i="127"/>
  <c r="E661" i="127" s="1"/>
  <c r="C556" i="127"/>
  <c r="E556" i="127" s="1"/>
  <c r="C682" i="127"/>
  <c r="E682" i="127" s="1"/>
  <c r="C548" i="126"/>
  <c r="E548" i="126" s="1"/>
  <c r="C674" i="126"/>
  <c r="E674" i="126" s="1"/>
  <c r="C534" i="126"/>
  <c r="E534" i="126" s="1"/>
  <c r="C653" i="126"/>
  <c r="E653" i="126" s="1"/>
  <c r="C544" i="99"/>
  <c r="E544" i="99" s="1"/>
  <c r="C663" i="99"/>
  <c r="E663" i="99" s="1"/>
  <c r="C558" i="99"/>
  <c r="E558" i="99" s="1"/>
  <c r="C684" i="99"/>
  <c r="E684" i="99" s="1"/>
  <c r="C555" i="124"/>
  <c r="E555" i="124" s="1"/>
  <c r="C681" i="124"/>
  <c r="E681" i="124" s="1"/>
  <c r="C541" i="124"/>
  <c r="E541" i="124" s="1"/>
  <c r="C660" i="124"/>
  <c r="E660" i="124" s="1"/>
  <c r="C547" i="123"/>
  <c r="E547" i="123" s="1"/>
  <c r="C673" i="123"/>
  <c r="E673" i="123" s="1"/>
  <c r="C533" i="123"/>
  <c r="E533" i="123" s="1"/>
  <c r="C652" i="123"/>
  <c r="E652" i="123" s="1"/>
  <c r="C556" i="100"/>
  <c r="E556" i="100" s="1"/>
  <c r="C682" i="100"/>
  <c r="E682" i="100" s="1"/>
  <c r="C542" i="100"/>
  <c r="E542" i="100" s="1"/>
  <c r="C661" i="100"/>
  <c r="E661" i="100" s="1"/>
  <c r="C442" i="121"/>
  <c r="C561" i="121"/>
  <c r="E561" i="121" s="1"/>
  <c r="G192" i="200"/>
  <c r="T7" i="127"/>
  <c r="C473" i="127" s="1"/>
  <c r="T7" i="124"/>
  <c r="C472" i="124" s="1"/>
  <c r="T8" i="121"/>
  <c r="C373" i="121" s="1"/>
  <c r="T15" i="123"/>
  <c r="C349" i="123" s="1"/>
  <c r="T15" i="126"/>
  <c r="C349" i="126" s="1"/>
  <c r="T15" i="152"/>
  <c r="C347" i="152" s="1"/>
  <c r="T15" i="122"/>
  <c r="T5" i="123"/>
  <c r="T5" i="126"/>
  <c r="T5" i="122"/>
  <c r="T5" i="152"/>
  <c r="C472" i="125"/>
  <c r="C382" i="125"/>
  <c r="T47" i="98"/>
  <c r="T5" i="98"/>
  <c r="T5" i="100"/>
  <c r="C469" i="100" s="1"/>
  <c r="BN236" i="164"/>
  <c r="R95" i="166" s="1"/>
  <c r="BC259" i="146"/>
  <c r="F77" i="112" s="1"/>
  <c r="D77" i="112" s="1"/>
  <c r="BN259" i="146"/>
  <c r="Q51" i="146" s="1"/>
  <c r="F247" i="112"/>
  <c r="D247" i="112" s="1"/>
  <c r="AA86" i="187" s="1"/>
  <c r="N45" i="166"/>
  <c r="N31" i="166"/>
  <c r="F709" i="112"/>
  <c r="D709" i="112" s="1"/>
  <c r="J88" i="128" s="1"/>
  <c r="F244" i="112"/>
  <c r="D244" i="112" s="1"/>
  <c r="AJ85" i="187" s="1"/>
  <c r="M43" i="166"/>
  <c r="N47" i="166"/>
  <c r="M47" i="166"/>
  <c r="F340" i="112"/>
  <c r="D340" i="112" s="1"/>
  <c r="M51" i="166"/>
  <c r="BM110" i="142"/>
  <c r="R267" i="166" s="1"/>
  <c r="BN110" i="142"/>
  <c r="Q48" i="142" s="1"/>
  <c r="BC107" i="142"/>
  <c r="M261" i="166" s="1"/>
  <c r="BN107" i="142"/>
  <c r="Q39" i="142" s="1"/>
  <c r="BN139" i="163"/>
  <c r="BL143" i="163" s="1"/>
  <c r="G73" i="163" s="1"/>
  <c r="BM93" i="161"/>
  <c r="R237" i="166" s="1"/>
  <c r="BN93" i="161"/>
  <c r="R45" i="161" s="1"/>
  <c r="R41" i="161"/>
  <c r="Q33" i="142"/>
  <c r="BN157" i="162"/>
  <c r="BN180" i="162" s="1"/>
  <c r="BL184" i="162" s="1"/>
  <c r="G96" i="162" s="1"/>
  <c r="BC262" i="146"/>
  <c r="M67" i="166" s="1"/>
  <c r="BN262" i="146"/>
  <c r="BN231" i="143"/>
  <c r="G167" i="143" s="1"/>
  <c r="Q90" i="143"/>
  <c r="G11" i="198"/>
  <c r="H11" i="198"/>
  <c r="G260" i="200"/>
  <c r="T40" i="107" s="1"/>
  <c r="G39" i="200"/>
  <c r="G201" i="189"/>
  <c r="G243" i="189"/>
  <c r="T49" i="151" s="1"/>
  <c r="F201" i="189"/>
  <c r="G89" i="200"/>
  <c r="G164" i="189"/>
  <c r="G88" i="200"/>
  <c r="G163" i="189"/>
  <c r="H251" i="180"/>
  <c r="T8" i="125" s="1"/>
  <c r="G270" i="200"/>
  <c r="G230" i="200"/>
  <c r="G301" i="200" s="1"/>
  <c r="T85" i="107" s="1"/>
  <c r="C570" i="107" s="1"/>
  <c r="G289" i="200"/>
  <c r="G198" i="200"/>
  <c r="G272" i="200"/>
  <c r="G290" i="200"/>
  <c r="G38" i="200"/>
  <c r="G261" i="200" s="1"/>
  <c r="T41" i="107" s="1"/>
  <c r="G171" i="200"/>
  <c r="G104" i="200"/>
  <c r="M476" i="97"/>
  <c r="AR63" i="187"/>
  <c r="AR100" i="187" s="1"/>
  <c r="AN63" i="187"/>
  <c r="AN100" i="187" s="1"/>
  <c r="AJ63" i="187"/>
  <c r="AJ100" i="187" s="1"/>
  <c r="AE63" i="187"/>
  <c r="AE100" i="187" s="1"/>
  <c r="AA63" i="187"/>
  <c r="AA100" i="187" s="1"/>
  <c r="F152" i="190"/>
  <c r="G152" i="190"/>
  <c r="AM63" i="187"/>
  <c r="AM100" i="187" s="1"/>
  <c r="AD63" i="187"/>
  <c r="AD100" i="187" s="1"/>
  <c r="AI63" i="187"/>
  <c r="AI100" i="187" s="1"/>
  <c r="Z63" i="187"/>
  <c r="Z100" i="187" s="1"/>
  <c r="AQ63" i="187"/>
  <c r="AQ100" i="187" s="1"/>
  <c r="G114" i="190"/>
  <c r="G115" i="190"/>
  <c r="AA82" i="187"/>
  <c r="AN82" i="187"/>
  <c r="AE82" i="187"/>
  <c r="AJ82" i="187"/>
  <c r="AR82" i="187"/>
  <c r="AA83" i="187"/>
  <c r="AN83" i="187"/>
  <c r="AJ83" i="187"/>
  <c r="AE83" i="187"/>
  <c r="AR83" i="187"/>
  <c r="AA422" i="121"/>
  <c r="U534" i="122"/>
  <c r="U550" i="107"/>
  <c r="U413" i="122"/>
  <c r="AA543" i="121"/>
  <c r="U422" i="121"/>
  <c r="U543" i="121"/>
  <c r="AA534" i="122"/>
  <c r="AA413" i="122"/>
  <c r="AA423" i="121"/>
  <c r="AA544" i="121"/>
  <c r="U544" i="121"/>
  <c r="U535" i="122"/>
  <c r="U423" i="121"/>
  <c r="AA414" i="122"/>
  <c r="AA535" i="122"/>
  <c r="U551" i="107"/>
  <c r="U414" i="122"/>
  <c r="G21" i="188"/>
  <c r="G34" i="188"/>
  <c r="G88" i="194"/>
  <c r="T10" i="99" s="1"/>
  <c r="G97" i="198"/>
  <c r="T10" i="107" s="1"/>
  <c r="H188" i="180"/>
  <c r="H268" i="180"/>
  <c r="T25" i="125" s="1"/>
  <c r="C371" i="125" s="1"/>
  <c r="E371" i="125" s="1"/>
  <c r="H220" i="180"/>
  <c r="H277" i="180" s="1"/>
  <c r="T34" i="125" s="1"/>
  <c r="H272" i="180"/>
  <c r="T29" i="125" s="1"/>
  <c r="C463" i="125" s="1"/>
  <c r="E463" i="125" s="1"/>
  <c r="H221" i="180"/>
  <c r="H278" i="180" s="1"/>
  <c r="T35" i="125" s="1"/>
  <c r="H275" i="180"/>
  <c r="T32" i="125" s="1"/>
  <c r="C464" i="125" s="1"/>
  <c r="E464" i="125" s="1"/>
  <c r="H263" i="180"/>
  <c r="T20" i="125" s="1"/>
  <c r="C368" i="125" s="1"/>
  <c r="E368" i="125" s="1"/>
  <c r="H182" i="180"/>
  <c r="H258" i="180"/>
  <c r="T15" i="125" s="1"/>
  <c r="C374" i="125" s="1"/>
  <c r="G182" i="180"/>
  <c r="G258" i="180"/>
  <c r="T16" i="97" s="1"/>
  <c r="C342" i="97" s="1"/>
  <c r="G263" i="180"/>
  <c r="T21" i="97" s="1"/>
  <c r="C336" i="97" s="1"/>
  <c r="E336" i="97" s="1"/>
  <c r="G188" i="180"/>
  <c r="G268" i="180"/>
  <c r="T26" i="97" s="1"/>
  <c r="G221" i="180"/>
  <c r="G275" i="180"/>
  <c r="T33" i="97" s="1"/>
  <c r="C432" i="97" s="1"/>
  <c r="E432" i="97" s="1"/>
  <c r="G220" i="180"/>
  <c r="G272" i="180"/>
  <c r="T30" i="97" s="1"/>
  <c r="C431" i="97" s="1"/>
  <c r="E431" i="97" s="1"/>
  <c r="G96" i="180"/>
  <c r="G35" i="180"/>
  <c r="G250" i="180" s="1"/>
  <c r="T8" i="97" s="1"/>
  <c r="BM108" i="142"/>
  <c r="R263" i="166" s="1"/>
  <c r="BM260" i="146"/>
  <c r="R63" i="166" s="1"/>
  <c r="F237" i="112"/>
  <c r="D237" i="112" s="1"/>
  <c r="W63" i="187"/>
  <c r="W100" i="187" s="1"/>
  <c r="O63" i="187"/>
  <c r="O100" i="187" s="1"/>
  <c r="S63" i="187"/>
  <c r="S100" i="187" s="1"/>
  <c r="N63" i="187"/>
  <c r="N100" i="187" s="1"/>
  <c r="V63" i="187"/>
  <c r="V100" i="187" s="1"/>
  <c r="R63" i="187"/>
  <c r="R100" i="187" s="1"/>
  <c r="N50" i="112"/>
  <c r="F50" i="112" s="1"/>
  <c r="D50" i="112" s="1"/>
  <c r="V50" i="112"/>
  <c r="H96" i="180"/>
  <c r="O82" i="187"/>
  <c r="W82" i="187"/>
  <c r="S82" i="187"/>
  <c r="S83" i="187"/>
  <c r="W83" i="187"/>
  <c r="O83" i="187"/>
  <c r="BM157" i="162"/>
  <c r="R205" i="166" s="1"/>
  <c r="BC157" i="162"/>
  <c r="M205" i="166" s="1"/>
  <c r="BC93" i="161"/>
  <c r="M237" i="166" s="1"/>
  <c r="V278" i="112"/>
  <c r="N278" i="112"/>
  <c r="F278" i="112" s="1"/>
  <c r="D278" i="112" s="1"/>
  <c r="F302" i="112"/>
  <c r="D302" i="112" s="1"/>
  <c r="G81" i="180"/>
  <c r="H81" i="180"/>
  <c r="G80" i="180"/>
  <c r="H80" i="180"/>
  <c r="Q66" i="162"/>
  <c r="BN237" i="164"/>
  <c r="R97" i="166" s="1"/>
  <c r="F59" i="112"/>
  <c r="D59" i="112" s="1"/>
  <c r="BM107" i="142"/>
  <c r="R261" i="166" s="1"/>
  <c r="BC110" i="142"/>
  <c r="F344" i="112" s="1"/>
  <c r="D344" i="112" s="1"/>
  <c r="F218" i="112"/>
  <c r="D218" i="112" s="1"/>
  <c r="BM159" i="162"/>
  <c r="R209" i="166" s="1"/>
  <c r="F525" i="112"/>
  <c r="D525" i="112" s="1"/>
  <c r="T788" i="126" s="1"/>
  <c r="N405" i="100"/>
  <c r="O405" i="100" s="1"/>
  <c r="N43" i="166"/>
  <c r="N405" i="99"/>
  <c r="O416" i="99"/>
  <c r="Q91" i="162"/>
  <c r="BM165" i="162"/>
  <c r="R221" i="166" s="1"/>
  <c r="BM158" i="162"/>
  <c r="R207" i="166" s="1"/>
  <c r="BC161" i="162"/>
  <c r="M213" i="166" s="1"/>
  <c r="Q79" i="162"/>
  <c r="N403" i="124"/>
  <c r="O403" i="124" s="1"/>
  <c r="N437" i="123"/>
  <c r="O437" i="123" s="1"/>
  <c r="T791" i="123"/>
  <c r="Q101" i="141" s="1"/>
  <c r="N405" i="124"/>
  <c r="O405" i="124" s="1"/>
  <c r="T728" i="121"/>
  <c r="Q70" i="141" s="1"/>
  <c r="BC158" i="162"/>
  <c r="BM262" i="146"/>
  <c r="R67" i="166" s="1"/>
  <c r="BM263" i="146"/>
  <c r="R69" i="166" s="1"/>
  <c r="K789" i="123"/>
  <c r="T824" i="123"/>
  <c r="Q112" i="141" s="1"/>
  <c r="U787" i="123"/>
  <c r="N790" i="123"/>
  <c r="K100" i="141" s="1"/>
  <c r="T825" i="123"/>
  <c r="Q113" i="141" s="1"/>
  <c r="U788" i="123"/>
  <c r="R98" i="141" s="1"/>
  <c r="N823" i="123"/>
  <c r="K111" i="141" s="1"/>
  <c r="U790" i="123"/>
  <c r="R100" i="141" s="1"/>
  <c r="U791" i="123"/>
  <c r="R101" i="141" s="1"/>
  <c r="N824" i="123"/>
  <c r="K112" i="141" s="1"/>
  <c r="U792" i="123"/>
  <c r="R102" i="141" s="1"/>
  <c r="T789" i="123"/>
  <c r="Q99" i="141" s="1"/>
  <c r="O823" i="123"/>
  <c r="L111" i="141" s="1"/>
  <c r="T787" i="123"/>
  <c r="T788" i="123"/>
  <c r="Q98" i="141" s="1"/>
  <c r="T790" i="123"/>
  <c r="Q100" i="141" s="1"/>
  <c r="U820" i="123"/>
  <c r="U821" i="123"/>
  <c r="R109" i="141" s="1"/>
  <c r="T792" i="123"/>
  <c r="Q102" i="141" s="1"/>
  <c r="O824" i="123"/>
  <c r="L112" i="141" s="1"/>
  <c r="T820" i="123"/>
  <c r="U822" i="123"/>
  <c r="R110" i="141" s="1"/>
  <c r="T821" i="123"/>
  <c r="Q109" i="141" s="1"/>
  <c r="U823" i="123"/>
  <c r="R111" i="141" s="1"/>
  <c r="O791" i="123"/>
  <c r="L101" i="141" s="1"/>
  <c r="T822" i="123"/>
  <c r="Q110" i="141" s="1"/>
  <c r="U824" i="123"/>
  <c r="R112" i="141" s="1"/>
  <c r="T823" i="123"/>
  <c r="Q111" i="141" s="1"/>
  <c r="U825" i="123"/>
  <c r="R113" i="141" s="1"/>
  <c r="O790" i="123"/>
  <c r="L100" i="141" s="1"/>
  <c r="U789" i="123"/>
  <c r="R99" i="141" s="1"/>
  <c r="Q727" i="121"/>
  <c r="O728" i="121"/>
  <c r="L70" i="141" s="1"/>
  <c r="O727" i="121"/>
  <c r="O697" i="121"/>
  <c r="L62" i="141" s="1"/>
  <c r="O696" i="121"/>
  <c r="N697" i="121"/>
  <c r="K62" i="141" s="1"/>
  <c r="N728" i="121"/>
  <c r="K70" i="141" s="1"/>
  <c r="N696" i="121"/>
  <c r="N727" i="121"/>
  <c r="T730" i="121"/>
  <c r="Q72" i="141" s="1"/>
  <c r="U697" i="121"/>
  <c r="R62" i="141" s="1"/>
  <c r="T697" i="121"/>
  <c r="Q62" i="141" s="1"/>
  <c r="U696" i="121"/>
  <c r="T696" i="121"/>
  <c r="U699" i="121"/>
  <c r="R64" i="141" s="1"/>
  <c r="U727" i="121"/>
  <c r="U728" i="121"/>
  <c r="R70" i="141" s="1"/>
  <c r="U729" i="121"/>
  <c r="R71" i="141" s="1"/>
  <c r="U730" i="121"/>
  <c r="R72" i="141" s="1"/>
  <c r="T698" i="121"/>
  <c r="Q63" i="141" s="1"/>
  <c r="U698" i="121"/>
  <c r="R63" i="141" s="1"/>
  <c r="T699" i="121"/>
  <c r="Q64" i="141" s="1"/>
  <c r="T727" i="121"/>
  <c r="T729" i="121"/>
  <c r="Q71" i="141" s="1"/>
  <c r="F207" i="112"/>
  <c r="D207" i="112" s="1"/>
  <c r="F58" i="112"/>
  <c r="D58" i="112" s="1"/>
  <c r="N403" i="100"/>
  <c r="O403" i="100" s="1"/>
  <c r="N439" i="123"/>
  <c r="O439" i="123" s="1"/>
  <c r="N407" i="99"/>
  <c r="P823" i="123"/>
  <c r="M111" i="141" s="1"/>
  <c r="P824" i="123"/>
  <c r="M112" i="141" s="1"/>
  <c r="K788" i="123"/>
  <c r="N787" i="123"/>
  <c r="S787" i="123"/>
  <c r="K820" i="123"/>
  <c r="Q787" i="123"/>
  <c r="S790" i="123"/>
  <c r="O787" i="123"/>
  <c r="I822" i="123"/>
  <c r="F110" i="141" s="1"/>
  <c r="N820" i="123"/>
  <c r="L821" i="123"/>
  <c r="I109" i="141" s="1"/>
  <c r="S821" i="123"/>
  <c r="Q788" i="123"/>
  <c r="N98" i="141" s="1"/>
  <c r="S791" i="123"/>
  <c r="J788" i="123"/>
  <c r="G98" i="141" s="1"/>
  <c r="J789" i="123"/>
  <c r="G99" i="141" s="1"/>
  <c r="I821" i="123"/>
  <c r="F109" i="141" s="1"/>
  <c r="S788" i="123"/>
  <c r="L822" i="123"/>
  <c r="I110" i="141" s="1"/>
  <c r="S822" i="123"/>
  <c r="Q790" i="123"/>
  <c r="N100" i="141" s="1"/>
  <c r="S823" i="123"/>
  <c r="Q791" i="123"/>
  <c r="N101" i="141" s="1"/>
  <c r="P787" i="123"/>
  <c r="J790" i="123"/>
  <c r="G100" i="141" s="1"/>
  <c r="I789" i="123"/>
  <c r="F99" i="141" s="1"/>
  <c r="P821" i="123"/>
  <c r="M109" i="141" s="1"/>
  <c r="R791" i="123"/>
  <c r="J824" i="123"/>
  <c r="G112" i="141" s="1"/>
  <c r="L787" i="123"/>
  <c r="S824" i="123"/>
  <c r="P789" i="123"/>
  <c r="M99" i="141" s="1"/>
  <c r="Q820" i="123"/>
  <c r="R820" i="123"/>
  <c r="P790" i="123"/>
  <c r="M100" i="141" s="1"/>
  <c r="J821" i="123"/>
  <c r="G109" i="141" s="1"/>
  <c r="P820" i="123"/>
  <c r="R789" i="123"/>
  <c r="I825" i="123"/>
  <c r="F113" i="141" s="1"/>
  <c r="L788" i="123"/>
  <c r="I98" i="141" s="1"/>
  <c r="L789" i="123"/>
  <c r="I99" i="141" s="1"/>
  <c r="Q821" i="123"/>
  <c r="N109" i="141" s="1"/>
  <c r="R823" i="123"/>
  <c r="P791" i="123"/>
  <c r="M101" i="141" s="1"/>
  <c r="J822" i="123"/>
  <c r="G110" i="141" s="1"/>
  <c r="I788" i="123"/>
  <c r="F98" i="141" s="1"/>
  <c r="O820" i="123"/>
  <c r="L790" i="123"/>
  <c r="I100" i="141" s="1"/>
  <c r="Q822" i="123"/>
  <c r="N110" i="141" s="1"/>
  <c r="R824" i="123"/>
  <c r="R787" i="123"/>
  <c r="J823" i="123"/>
  <c r="G111" i="141" s="1"/>
  <c r="L791" i="123"/>
  <c r="I101" i="141" s="1"/>
  <c r="Q823" i="123"/>
  <c r="N111" i="141" s="1"/>
  <c r="R788" i="123"/>
  <c r="F61" i="112"/>
  <c r="D61" i="112" s="1"/>
  <c r="L697" i="121"/>
  <c r="I62" i="141" s="1"/>
  <c r="J697" i="121"/>
  <c r="G62" i="141" s="1"/>
  <c r="K697" i="121"/>
  <c r="Q696" i="121"/>
  <c r="S727" i="121"/>
  <c r="Q697" i="121"/>
  <c r="N62" i="141" s="1"/>
  <c r="S728" i="121"/>
  <c r="S729" i="121"/>
  <c r="S696" i="121"/>
  <c r="P696" i="121"/>
  <c r="R697" i="121"/>
  <c r="R698" i="121"/>
  <c r="S697" i="121"/>
  <c r="L696" i="121"/>
  <c r="I727" i="121"/>
  <c r="K727" i="121"/>
  <c r="P697" i="121"/>
  <c r="M62" i="141" s="1"/>
  <c r="R696" i="121"/>
  <c r="Q698" i="121"/>
  <c r="N63" i="141" s="1"/>
  <c r="I730" i="121"/>
  <c r="F72" i="141" s="1"/>
  <c r="P698" i="121"/>
  <c r="M63" i="141" s="1"/>
  <c r="J698" i="121"/>
  <c r="G63" i="141" s="1"/>
  <c r="R729" i="121"/>
  <c r="K729" i="121"/>
  <c r="I699" i="121"/>
  <c r="F64" i="141" s="1"/>
  <c r="K698" i="121"/>
  <c r="P727" i="121"/>
  <c r="R727" i="121"/>
  <c r="L729" i="121"/>
  <c r="I71" i="141" s="1"/>
  <c r="P729" i="121"/>
  <c r="M71" i="141" s="1"/>
  <c r="R728" i="121"/>
  <c r="J729" i="121"/>
  <c r="G71" i="141" s="1"/>
  <c r="N448" i="123"/>
  <c r="O448" i="123" s="1"/>
  <c r="BM259" i="146"/>
  <c r="R61" i="166" s="1"/>
  <c r="N414" i="124"/>
  <c r="O414" i="124" s="1"/>
  <c r="N35" i="166"/>
  <c r="F707" i="112"/>
  <c r="D707" i="112" s="1"/>
  <c r="J90" i="128" s="1"/>
  <c r="J93" i="128" s="1"/>
  <c r="BK152" i="162"/>
  <c r="BN152" i="162" s="1"/>
  <c r="BK147" i="162"/>
  <c r="BN147" i="162" s="1"/>
  <c r="BK142" i="162"/>
  <c r="BN142" i="162" s="1"/>
  <c r="C441" i="126"/>
  <c r="G451" i="126"/>
  <c r="M451" i="126"/>
  <c r="N451" i="126" s="1"/>
  <c r="BC269" i="146"/>
  <c r="BM269" i="146"/>
  <c r="R81" i="166" s="1"/>
  <c r="BM219" i="143"/>
  <c r="R33" i="166" s="1"/>
  <c r="BC219" i="143"/>
  <c r="M33" i="166" s="1"/>
  <c r="BC105" i="142"/>
  <c r="BM105" i="142"/>
  <c r="R257" i="166" s="1"/>
  <c r="BK143" i="162"/>
  <c r="BN143" i="162" s="1"/>
  <c r="BK153" i="162"/>
  <c r="BN153" i="162" s="1"/>
  <c r="BK148" i="162"/>
  <c r="BN148" i="162" s="1"/>
  <c r="BM268" i="146"/>
  <c r="R79" i="166" s="1"/>
  <c r="BC268" i="146"/>
  <c r="N791" i="123"/>
  <c r="K101" i="141" s="1"/>
  <c r="K824" i="123"/>
  <c r="I791" i="123"/>
  <c r="I792" i="123"/>
  <c r="J791" i="123"/>
  <c r="G101" i="141" s="1"/>
  <c r="K791" i="123"/>
  <c r="K821" i="123"/>
  <c r="R821" i="123"/>
  <c r="F787" i="123"/>
  <c r="K822" i="123"/>
  <c r="R822" i="123"/>
  <c r="R790" i="123"/>
  <c r="I787" i="123"/>
  <c r="L823" i="123"/>
  <c r="I111" i="141" s="1"/>
  <c r="Q824" i="123"/>
  <c r="I820" i="123"/>
  <c r="J787" i="123"/>
  <c r="L824" i="123"/>
  <c r="I112" i="141" s="1"/>
  <c r="J820" i="123"/>
  <c r="K787" i="123"/>
  <c r="F820" i="123"/>
  <c r="P822" i="123"/>
  <c r="S820" i="123"/>
  <c r="Q789" i="123"/>
  <c r="P788" i="123"/>
  <c r="S789" i="123"/>
  <c r="L820" i="123"/>
  <c r="I824" i="123"/>
  <c r="D824" i="123"/>
  <c r="C787" i="123"/>
  <c r="D787" i="123"/>
  <c r="C825" i="123"/>
  <c r="D791" i="123"/>
  <c r="D823" i="123"/>
  <c r="C792" i="123"/>
  <c r="D790" i="123"/>
  <c r="C820" i="123"/>
  <c r="D820" i="123"/>
  <c r="G83" i="187"/>
  <c r="K83" i="187"/>
  <c r="W246" i="112"/>
  <c r="H246" i="112" s="1"/>
  <c r="F246" i="112" s="1"/>
  <c r="D246" i="112" s="1"/>
  <c r="BC111" i="142"/>
  <c r="BM111" i="142"/>
  <c r="R269" i="166" s="1"/>
  <c r="BC94" i="161"/>
  <c r="BM94" i="161"/>
  <c r="R239" i="166" s="1"/>
  <c r="N414" i="100"/>
  <c r="O414" i="100" s="1"/>
  <c r="BC112" i="142"/>
  <c r="BM112" i="142"/>
  <c r="R271" i="166" s="1"/>
  <c r="G82" i="187"/>
  <c r="K82" i="187"/>
  <c r="W243" i="112"/>
  <c r="H243" i="112" s="1"/>
  <c r="F243" i="112" s="1"/>
  <c r="D243" i="112" s="1"/>
  <c r="BK150" i="162"/>
  <c r="BN150" i="162" s="1"/>
  <c r="BK145" i="162"/>
  <c r="BN145" i="162" s="1"/>
  <c r="BK155" i="162"/>
  <c r="BN155" i="162" s="1"/>
  <c r="F27" i="112"/>
  <c r="D27" i="112" s="1"/>
  <c r="V27" i="112"/>
  <c r="BC162" i="162"/>
  <c r="BM162" i="162"/>
  <c r="R215" i="166" s="1"/>
  <c r="Q82" i="162"/>
  <c r="BC121" i="163"/>
  <c r="M249" i="166" s="1"/>
  <c r="BM121" i="163"/>
  <c r="R249" i="166" s="1"/>
  <c r="F696" i="121"/>
  <c r="F727" i="121"/>
  <c r="I696" i="121"/>
  <c r="J696" i="121"/>
  <c r="K696" i="121"/>
  <c r="P728" i="121"/>
  <c r="J727" i="121"/>
  <c r="I728" i="121"/>
  <c r="Q728" i="121"/>
  <c r="J728" i="121"/>
  <c r="G70" i="141" s="1"/>
  <c r="L727" i="121"/>
  <c r="Q729" i="121"/>
  <c r="N71" i="141" s="1"/>
  <c r="K728" i="121"/>
  <c r="L728" i="121"/>
  <c r="I70" i="141" s="1"/>
  <c r="I697" i="121"/>
  <c r="L698" i="121"/>
  <c r="S698" i="121"/>
  <c r="C698" i="121"/>
  <c r="D728" i="121"/>
  <c r="C730" i="121"/>
  <c r="D698" i="121"/>
  <c r="C696" i="121"/>
  <c r="D696" i="121"/>
  <c r="C729" i="121"/>
  <c r="D729" i="121"/>
  <c r="C727" i="121"/>
  <c r="D697" i="121"/>
  <c r="C699" i="121"/>
  <c r="D727" i="121"/>
  <c r="F28" i="112"/>
  <c r="D28" i="112" s="1"/>
  <c r="V28" i="112"/>
  <c r="F63" i="187"/>
  <c r="F100" i="187" s="1"/>
  <c r="J63" i="187"/>
  <c r="J100" i="187" s="1"/>
  <c r="BM271" i="146"/>
  <c r="R85" i="166" s="1"/>
  <c r="BC271" i="146"/>
  <c r="F354" i="112"/>
  <c r="D354" i="112" s="1"/>
  <c r="D62" i="116" s="1"/>
  <c r="M221" i="166"/>
  <c r="F29" i="112"/>
  <c r="D29" i="112" s="1"/>
  <c r="F454" i="112"/>
  <c r="D454" i="112" s="1"/>
  <c r="M259" i="166"/>
  <c r="B41" i="183"/>
  <c r="EH41" i="183"/>
  <c r="S41" i="183"/>
  <c r="EY41" i="183"/>
  <c r="BA41" i="183"/>
  <c r="BR41" i="183"/>
  <c r="CI41" i="183"/>
  <c r="CZ41" i="183"/>
  <c r="DQ41" i="183"/>
  <c r="AJ41" i="183"/>
  <c r="BC109" i="142"/>
  <c r="BM109" i="142"/>
  <c r="R265" i="166" s="1"/>
  <c r="C406" i="99"/>
  <c r="C404" i="124"/>
  <c r="M209" i="166"/>
  <c r="F363" i="112"/>
  <c r="D363" i="112" s="1"/>
  <c r="G63" i="187"/>
  <c r="G100" i="187" s="1"/>
  <c r="K63" i="187"/>
  <c r="K100" i="187" s="1"/>
  <c r="C438" i="123"/>
  <c r="BM163" i="162"/>
  <c r="R217" i="166" s="1"/>
  <c r="Q85" i="162"/>
  <c r="BC163" i="162"/>
  <c r="C406" i="124"/>
  <c r="BM265" i="146"/>
  <c r="R73" i="166" s="1"/>
  <c r="BC265" i="146"/>
  <c r="BC227" i="143"/>
  <c r="M49" i="166" s="1"/>
  <c r="BM227" i="143"/>
  <c r="R49" i="166" s="1"/>
  <c r="BM156" i="162"/>
  <c r="R203" i="166" s="1"/>
  <c r="Q57" i="162"/>
  <c r="BC156" i="162"/>
  <c r="C404" i="100"/>
  <c r="C408" i="99"/>
  <c r="G418" i="99"/>
  <c r="M418" i="99"/>
  <c r="N418" i="99" s="1"/>
  <c r="BK141" i="162"/>
  <c r="BK151" i="162"/>
  <c r="BN151" i="162" s="1"/>
  <c r="F226" i="112"/>
  <c r="D226" i="112" s="1"/>
  <c r="N37" i="166"/>
  <c r="C405" i="127"/>
  <c r="C440" i="123"/>
  <c r="BC92" i="161"/>
  <c r="BM92" i="161"/>
  <c r="R235" i="166" s="1"/>
  <c r="BC164" i="162"/>
  <c r="BM164" i="162"/>
  <c r="R219" i="166" s="1"/>
  <c r="Q88" i="162"/>
  <c r="BC266" i="146"/>
  <c r="BM266" i="146"/>
  <c r="R75" i="166" s="1"/>
  <c r="BM122" i="163"/>
  <c r="R247" i="166" s="1"/>
  <c r="BC122" i="163"/>
  <c r="M247" i="166" s="1"/>
  <c r="C439" i="126"/>
  <c r="C406" i="100"/>
  <c r="BC160" i="162"/>
  <c r="BM160" i="162"/>
  <c r="R211" i="166" s="1"/>
  <c r="Q69" i="162"/>
  <c r="BC272" i="146"/>
  <c r="BM272" i="146"/>
  <c r="R87" i="166" s="1"/>
  <c r="BK149" i="162"/>
  <c r="BN149" i="162" s="1"/>
  <c r="BK144" i="162"/>
  <c r="BN144" i="162" s="1"/>
  <c r="BK154" i="162"/>
  <c r="BN154" i="162" s="1"/>
  <c r="F26" i="112"/>
  <c r="D26" i="112" s="1"/>
  <c r="V26" i="112"/>
  <c r="G417" i="127"/>
  <c r="C407" i="127"/>
  <c r="M417" i="127"/>
  <c r="N417" i="127" s="1"/>
  <c r="AA52" i="145"/>
  <c r="AA11" i="145"/>
  <c r="AA10" i="145"/>
  <c r="AA12" i="145"/>
  <c r="AA13" i="145"/>
  <c r="L12" i="145"/>
  <c r="L13" i="145"/>
  <c r="L52" i="145"/>
  <c r="L53" i="145"/>
  <c r="F711" i="112" l="1"/>
  <c r="D711" i="112" s="1"/>
  <c r="M95" i="166"/>
  <c r="Q158" i="141"/>
  <c r="T826" i="123"/>
  <c r="M108" i="141"/>
  <c r="L108" i="141"/>
  <c r="U826" i="123"/>
  <c r="N108" i="141"/>
  <c r="K108" i="141"/>
  <c r="U793" i="123"/>
  <c r="M97" i="141"/>
  <c r="T793" i="123"/>
  <c r="L97" i="141"/>
  <c r="N97" i="141"/>
  <c r="K97" i="141"/>
  <c r="I97" i="141"/>
  <c r="T731" i="121"/>
  <c r="L69" i="141"/>
  <c r="M69" i="141"/>
  <c r="N69" i="141"/>
  <c r="U731" i="121"/>
  <c r="K69" i="141"/>
  <c r="F69" i="141"/>
  <c r="T700" i="121"/>
  <c r="N61" i="141"/>
  <c r="L61" i="141"/>
  <c r="U700" i="121"/>
  <c r="M61" i="141"/>
  <c r="K61" i="141"/>
  <c r="I61" i="141"/>
  <c r="F466" i="112"/>
  <c r="D466" i="112" s="1"/>
  <c r="H68" i="198" s="1"/>
  <c r="B52" i="207" a="1"/>
  <c r="B52" i="207" s="1"/>
  <c r="W465" i="112" s="1"/>
  <c r="H465" i="112" s="1"/>
  <c r="V465" i="112" s="1"/>
  <c r="F127" i="112"/>
  <c r="D127" i="112" s="1"/>
  <c r="S89" i="128" s="1"/>
  <c r="R123" i="128" s="1"/>
  <c r="U123" i="128" s="1"/>
  <c r="H108" i="141"/>
  <c r="H112" i="141"/>
  <c r="H99" i="141"/>
  <c r="H101" i="141"/>
  <c r="H98" i="141"/>
  <c r="H71" i="141"/>
  <c r="H69" i="141"/>
  <c r="H63" i="141"/>
  <c r="H62" i="141"/>
  <c r="B54" i="207" a="1"/>
  <c r="B54" i="207" s="1"/>
  <c r="W467" i="112" s="1"/>
  <c r="H467" i="112" s="1"/>
  <c r="F467" i="112" s="1"/>
  <c r="D467" i="112" s="1"/>
  <c r="G47" i="199" s="1"/>
  <c r="B55" i="207" a="1"/>
  <c r="B55" i="207" s="1"/>
  <c r="W468" i="112" s="1"/>
  <c r="H468" i="112" s="1"/>
  <c r="V468" i="112" s="1"/>
  <c r="W464" i="112"/>
  <c r="H464" i="112" s="1"/>
  <c r="V464" i="112" s="1"/>
  <c r="N406" i="127"/>
  <c r="M263" i="166"/>
  <c r="M63" i="166"/>
  <c r="G33" i="180"/>
  <c r="M7" i="207"/>
  <c r="M229" i="166"/>
  <c r="N404" i="127"/>
  <c r="C1011" i="152"/>
  <c r="C1031" i="152"/>
  <c r="C677" i="152"/>
  <c r="C970" i="152"/>
  <c r="C942" i="152"/>
  <c r="C540" i="152"/>
  <c r="C969" i="152"/>
  <c r="C537" i="152"/>
  <c r="C941" i="152"/>
  <c r="E733" i="152"/>
  <c r="E582" i="152"/>
  <c r="C940" i="152"/>
  <c r="C534" i="152"/>
  <c r="C968" i="152"/>
  <c r="D61" i="116"/>
  <c r="C1010" i="152"/>
  <c r="C676" i="152"/>
  <c r="C1030" i="152"/>
  <c r="C506" i="151"/>
  <c r="C425" i="151"/>
  <c r="N438" i="126"/>
  <c r="N440" i="126"/>
  <c r="C484" i="125"/>
  <c r="S290" i="187"/>
  <c r="T56" i="100" s="1"/>
  <c r="C673" i="100" s="1"/>
  <c r="W290" i="187"/>
  <c r="T71" i="123" s="1"/>
  <c r="C664" i="123" s="1"/>
  <c r="T52" i="107"/>
  <c r="C458" i="107" s="1"/>
  <c r="E458" i="107" s="1"/>
  <c r="W289" i="187"/>
  <c r="T70" i="123" s="1"/>
  <c r="C663" i="123" s="1"/>
  <c r="M419" i="127"/>
  <c r="T798" i="127" s="1"/>
  <c r="N415" i="127"/>
  <c r="O290" i="187"/>
  <c r="T43" i="121" s="1"/>
  <c r="C573" i="121" s="1"/>
  <c r="G169" i="200"/>
  <c r="R149" i="187"/>
  <c r="J149" i="187"/>
  <c r="O149" i="187"/>
  <c r="G159" i="180"/>
  <c r="W149" i="187"/>
  <c r="S149" i="187"/>
  <c r="AA149" i="187"/>
  <c r="V149" i="187"/>
  <c r="AN149" i="187"/>
  <c r="AD149" i="187"/>
  <c r="AM149" i="187"/>
  <c r="AE149" i="187"/>
  <c r="AJ149" i="187"/>
  <c r="AI149" i="187"/>
  <c r="Z149" i="187"/>
  <c r="F149" i="187"/>
  <c r="AQ149" i="187"/>
  <c r="G149" i="187"/>
  <c r="AR149" i="187"/>
  <c r="H159" i="180"/>
  <c r="W590" i="112"/>
  <c r="H590" i="112" s="1"/>
  <c r="BE90" i="161" s="1"/>
  <c r="J33" i="161" s="1"/>
  <c r="X590" i="112"/>
  <c r="L590" i="112" s="1"/>
  <c r="N149" i="187"/>
  <c r="K149" i="187"/>
  <c r="T69" i="107"/>
  <c r="C550" i="107" s="1"/>
  <c r="E550" i="107" s="1"/>
  <c r="AN289" i="187"/>
  <c r="T54" i="127" s="1"/>
  <c r="C672" i="127" s="1"/>
  <c r="AE289" i="187"/>
  <c r="T54" i="99" s="1"/>
  <c r="C674" i="99" s="1"/>
  <c r="O289" i="187"/>
  <c r="T42" i="121" s="1"/>
  <c r="C572" i="121" s="1"/>
  <c r="T50" i="107"/>
  <c r="C455" i="107" s="1"/>
  <c r="E455" i="107" s="1"/>
  <c r="AR290" i="187"/>
  <c r="T66" i="152" s="1"/>
  <c r="C703" i="152" s="1"/>
  <c r="N449" i="126"/>
  <c r="M453" i="126"/>
  <c r="T824" i="126" s="1"/>
  <c r="Q171" i="141" s="1"/>
  <c r="AJ290" i="187"/>
  <c r="T72" i="126" s="1"/>
  <c r="C665" i="126" s="1"/>
  <c r="AE290" i="187"/>
  <c r="T55" i="99" s="1"/>
  <c r="C675" i="99" s="1"/>
  <c r="AA290" i="187"/>
  <c r="T51" i="124" s="1"/>
  <c r="C672" i="124" s="1"/>
  <c r="AR289" i="187"/>
  <c r="T65" i="152" s="1"/>
  <c r="C702" i="152" s="1"/>
  <c r="K290" i="187"/>
  <c r="T61" i="122" s="1"/>
  <c r="C564" i="122" s="1"/>
  <c r="AN290" i="187"/>
  <c r="T55" i="127" s="1"/>
  <c r="C673" i="127" s="1"/>
  <c r="AJ289" i="187"/>
  <c r="T71" i="126" s="1"/>
  <c r="C664" i="126" s="1"/>
  <c r="AA289" i="187"/>
  <c r="T50" i="124" s="1"/>
  <c r="C671" i="124" s="1"/>
  <c r="C585" i="122"/>
  <c r="K331" i="187"/>
  <c r="Z29" i="122" s="1"/>
  <c r="S289" i="187"/>
  <c r="T55" i="100" s="1"/>
  <c r="C672" i="100" s="1"/>
  <c r="T70" i="107"/>
  <c r="C551" i="107" s="1"/>
  <c r="E551" i="107" s="1"/>
  <c r="K289" i="187"/>
  <c r="T60" i="122" s="1"/>
  <c r="C563" i="122" s="1"/>
  <c r="C483" i="125"/>
  <c r="C469" i="107"/>
  <c r="E469" i="107" s="1"/>
  <c r="C559" i="107"/>
  <c r="E559" i="107" s="1"/>
  <c r="E570" i="127"/>
  <c r="E703" i="127"/>
  <c r="E562" i="126"/>
  <c r="E695" i="126"/>
  <c r="D107" i="116"/>
  <c r="E572" i="99"/>
  <c r="E705" i="99"/>
  <c r="E569" i="124"/>
  <c r="E702" i="124"/>
  <c r="E561" i="123"/>
  <c r="E694" i="123"/>
  <c r="E570" i="100"/>
  <c r="E703" i="100"/>
  <c r="E470" i="121"/>
  <c r="E603" i="121"/>
  <c r="E461" i="122"/>
  <c r="E594" i="122"/>
  <c r="T10" i="123"/>
  <c r="T10" i="126"/>
  <c r="T10" i="122"/>
  <c r="T10" i="152"/>
  <c r="C339" i="97"/>
  <c r="E339" i="97" s="1"/>
  <c r="C440" i="97"/>
  <c r="E440" i="97" s="1"/>
  <c r="C350" i="97"/>
  <c r="E350" i="97" s="1"/>
  <c r="E471" i="98"/>
  <c r="E604" i="98"/>
  <c r="M61" i="166"/>
  <c r="G187" i="189"/>
  <c r="G190" i="189" s="1"/>
  <c r="C360" i="125"/>
  <c r="G210" i="189"/>
  <c r="D111" i="116"/>
  <c r="BN141" i="162"/>
  <c r="BC141" i="162"/>
  <c r="U551" i="121"/>
  <c r="U548" i="121" s="1"/>
  <c r="F118" i="112"/>
  <c r="D118" i="112" s="1"/>
  <c r="AC136" i="128" s="1"/>
  <c r="AD136" i="128" s="1"/>
  <c r="T10" i="98"/>
  <c r="T10" i="100"/>
  <c r="C472" i="100" s="1"/>
  <c r="G84" i="180"/>
  <c r="G167" i="189"/>
  <c r="U431" i="121"/>
  <c r="U428" i="121" s="1"/>
  <c r="G118" i="190"/>
  <c r="E75" i="159"/>
  <c r="E72" i="159" s="1"/>
  <c r="U558" i="121"/>
  <c r="U549" i="121" s="1"/>
  <c r="AA549" i="122"/>
  <c r="AA540" i="122" s="1"/>
  <c r="S86" i="187"/>
  <c r="G86" i="187"/>
  <c r="K86" i="187"/>
  <c r="AA431" i="121"/>
  <c r="AA428" i="121" s="1"/>
  <c r="O86" i="187"/>
  <c r="U422" i="122"/>
  <c r="U419" i="122" s="1"/>
  <c r="AR86" i="187"/>
  <c r="U559" i="107"/>
  <c r="U556" i="107" s="1"/>
  <c r="AA422" i="122"/>
  <c r="AA419" i="122" s="1"/>
  <c r="H84" i="180"/>
  <c r="G91" i="200"/>
  <c r="K85" i="187"/>
  <c r="W86" i="187"/>
  <c r="U430" i="121"/>
  <c r="U427" i="121" s="1"/>
  <c r="AA421" i="122"/>
  <c r="AA418" i="122" s="1"/>
  <c r="S85" i="187"/>
  <c r="U421" i="122"/>
  <c r="U418" i="122" s="1"/>
  <c r="W85" i="187"/>
  <c r="O85" i="187"/>
  <c r="AA551" i="121"/>
  <c r="AA548" i="121" s="1"/>
  <c r="AA558" i="121"/>
  <c r="AA549" i="121" s="1"/>
  <c r="AA430" i="121"/>
  <c r="AA427" i="121" s="1"/>
  <c r="AA542" i="122"/>
  <c r="AA539" i="122" s="1"/>
  <c r="G85" i="187"/>
  <c r="H83" i="180"/>
  <c r="AE86" i="187"/>
  <c r="U542" i="122"/>
  <c r="U539" i="122" s="1"/>
  <c r="E74" i="159"/>
  <c r="E71" i="159" s="1"/>
  <c r="U549" i="122"/>
  <c r="U540" i="122" s="1"/>
  <c r="G83" i="180"/>
  <c r="AJ86" i="187"/>
  <c r="AA85" i="187"/>
  <c r="U558" i="107"/>
  <c r="U555" i="107" s="1"/>
  <c r="AR85" i="187"/>
  <c r="F539" i="112"/>
  <c r="D539" i="112" s="1"/>
  <c r="K555" i="152" s="1"/>
  <c r="G117" i="190"/>
  <c r="AN86" i="187"/>
  <c r="AE85" i="187"/>
  <c r="AN85" i="187"/>
  <c r="G92" i="200"/>
  <c r="G166" i="189"/>
  <c r="BM115" i="142"/>
  <c r="BK119" i="142" s="1"/>
  <c r="G59" i="142" s="1"/>
  <c r="Q60" i="162"/>
  <c r="Q86" i="146"/>
  <c r="BN275" i="146"/>
  <c r="BL279" i="146" s="1"/>
  <c r="G199" i="146" s="1"/>
  <c r="M207" i="166"/>
  <c r="F375" i="112"/>
  <c r="D375" i="112" s="1"/>
  <c r="G93" i="200"/>
  <c r="G168" i="189"/>
  <c r="G46" i="200"/>
  <c r="G161" i="190"/>
  <c r="G127" i="200"/>
  <c r="G138" i="190"/>
  <c r="G116" i="200"/>
  <c r="AA40" i="187"/>
  <c r="AA46" i="187" s="1"/>
  <c r="AR40" i="187"/>
  <c r="AR46" i="187" s="1"/>
  <c r="AN40" i="187"/>
  <c r="AN46" i="187" s="1"/>
  <c r="AJ40" i="187"/>
  <c r="AJ46" i="187" s="1"/>
  <c r="AE40" i="187"/>
  <c r="AE46" i="187" s="1"/>
  <c r="G119" i="190"/>
  <c r="AA123" i="187"/>
  <c r="AN123" i="187"/>
  <c r="AJ123" i="187"/>
  <c r="AE123" i="187"/>
  <c r="AR123" i="187"/>
  <c r="S87" i="187"/>
  <c r="AR87" i="187"/>
  <c r="AJ87" i="187"/>
  <c r="AA87" i="187"/>
  <c r="AN87" i="187"/>
  <c r="AE87" i="187"/>
  <c r="AA112" i="187"/>
  <c r="AL112" i="187"/>
  <c r="AM112" i="187"/>
  <c r="AC112" i="187"/>
  <c r="AN112" i="187"/>
  <c r="AD112" i="187"/>
  <c r="AE112" i="187"/>
  <c r="AJ112" i="187"/>
  <c r="AI112" i="187"/>
  <c r="AP112" i="187"/>
  <c r="AH112" i="187"/>
  <c r="Z112" i="187"/>
  <c r="AQ112" i="187"/>
  <c r="AR112" i="187"/>
  <c r="Y112" i="187"/>
  <c r="G277" i="180"/>
  <c r="T35" i="97" s="1"/>
  <c r="C451" i="97" s="1"/>
  <c r="G278" i="180"/>
  <c r="T36" i="97" s="1"/>
  <c r="C452" i="97" s="1"/>
  <c r="D687" i="122"/>
  <c r="AA432" i="121"/>
  <c r="AA429" i="121" s="1"/>
  <c r="AA423" i="122"/>
  <c r="AA420" i="122" s="1"/>
  <c r="U560" i="107"/>
  <c r="U557" i="107" s="1"/>
  <c r="R798" i="127"/>
  <c r="O180" i="141" s="1"/>
  <c r="M267" i="166"/>
  <c r="AA559" i="121"/>
  <c r="AA550" i="121" s="1"/>
  <c r="F382" i="112"/>
  <c r="D382" i="112" s="1"/>
  <c r="D55" i="116" s="1"/>
  <c r="U559" i="121"/>
  <c r="U550" i="121" s="1"/>
  <c r="AA550" i="122"/>
  <c r="AA541" i="122" s="1"/>
  <c r="W213" i="112" a="1"/>
  <c r="W213" i="112" s="1"/>
  <c r="H213" i="112" s="1"/>
  <c r="F213" i="112" s="1"/>
  <c r="D213" i="112" s="1"/>
  <c r="U550" i="122"/>
  <c r="U541" i="122" s="1"/>
  <c r="U432" i="121"/>
  <c r="U429" i="121" s="1"/>
  <c r="E76" i="159"/>
  <c r="E73" i="159" s="1"/>
  <c r="G87" i="187"/>
  <c r="U423" i="122"/>
  <c r="U420" i="122" s="1"/>
  <c r="K87" i="187"/>
  <c r="G85" i="180"/>
  <c r="H85" i="180"/>
  <c r="W87" i="187"/>
  <c r="O87" i="187"/>
  <c r="S40" i="187"/>
  <c r="S46" i="187" s="1"/>
  <c r="O40" i="187"/>
  <c r="O46" i="187" s="1"/>
  <c r="W40" i="187"/>
  <c r="W46" i="187" s="1"/>
  <c r="B5" i="183"/>
  <c r="B6" i="183" s="1"/>
  <c r="G40" i="187"/>
  <c r="G46" i="187" s="1"/>
  <c r="K40" i="187"/>
  <c r="K46" i="187" s="1"/>
  <c r="S112" i="187"/>
  <c r="N112" i="187"/>
  <c r="R112" i="187"/>
  <c r="Q112" i="187"/>
  <c r="U112" i="187"/>
  <c r="O112" i="187"/>
  <c r="M112" i="187"/>
  <c r="W112" i="187"/>
  <c r="V112" i="187"/>
  <c r="O123" i="187"/>
  <c r="W123" i="187"/>
  <c r="S123" i="187"/>
  <c r="G119" i="180"/>
  <c r="H119" i="180"/>
  <c r="G108" i="180"/>
  <c r="H108" i="180"/>
  <c r="X290" i="112"/>
  <c r="L290" i="112" s="1"/>
  <c r="F738" i="112"/>
  <c r="D738" i="112" s="1"/>
  <c r="F361" i="112"/>
  <c r="D361" i="112" s="1"/>
  <c r="R789" i="126"/>
  <c r="O159" i="141" s="1"/>
  <c r="P788" i="126"/>
  <c r="T826" i="126"/>
  <c r="Q173" i="141" s="1"/>
  <c r="K821" i="126"/>
  <c r="K825" i="126"/>
  <c r="O791" i="126"/>
  <c r="L161" i="141" s="1"/>
  <c r="P825" i="126"/>
  <c r="M172" i="141" s="1"/>
  <c r="L824" i="126"/>
  <c r="I171" i="141" s="1"/>
  <c r="L825" i="126"/>
  <c r="I172" i="141" s="1"/>
  <c r="T792" i="126"/>
  <c r="Q162" i="141" s="1"/>
  <c r="I821" i="126"/>
  <c r="O821" i="126"/>
  <c r="Q788" i="126"/>
  <c r="R792" i="126"/>
  <c r="S823" i="126"/>
  <c r="P170" i="141" s="1"/>
  <c r="S825" i="126"/>
  <c r="P172" i="141" s="1"/>
  <c r="Q824" i="126"/>
  <c r="N171" i="141" s="1"/>
  <c r="L788" i="126"/>
  <c r="P790" i="126"/>
  <c r="M160" i="141" s="1"/>
  <c r="I793" i="126"/>
  <c r="F163" i="141" s="1"/>
  <c r="I825" i="126"/>
  <c r="F172" i="141" s="1"/>
  <c r="Q833" i="127"/>
  <c r="N192" i="141" s="1"/>
  <c r="F788" i="126"/>
  <c r="C158" i="141" s="1"/>
  <c r="K788" i="126"/>
  <c r="R821" i="126"/>
  <c r="U834" i="127"/>
  <c r="R193" i="141" s="1"/>
  <c r="S789" i="126"/>
  <c r="P159" i="141" s="1"/>
  <c r="J833" i="127"/>
  <c r="G192" i="141" s="1"/>
  <c r="U832" i="127"/>
  <c r="R191" i="141" s="1"/>
  <c r="S788" i="126"/>
  <c r="R790" i="126"/>
  <c r="O160" i="141" s="1"/>
  <c r="L831" i="127"/>
  <c r="I190" i="141" s="1"/>
  <c r="P791" i="126"/>
  <c r="M161" i="141" s="1"/>
  <c r="Q822" i="126"/>
  <c r="N169" i="141" s="1"/>
  <c r="L798" i="127"/>
  <c r="I180" i="141" s="1"/>
  <c r="L790" i="126"/>
  <c r="I160" i="141" s="1"/>
  <c r="J792" i="126"/>
  <c r="G162" i="141" s="1"/>
  <c r="I823" i="126"/>
  <c r="F170" i="141" s="1"/>
  <c r="J822" i="126"/>
  <c r="G169" i="141" s="1"/>
  <c r="J790" i="126"/>
  <c r="G160" i="141" s="1"/>
  <c r="U833" i="127"/>
  <c r="R192" i="141" s="1"/>
  <c r="O824" i="126"/>
  <c r="L171" i="141" s="1"/>
  <c r="N825" i="126"/>
  <c r="K172" i="141" s="1"/>
  <c r="T821" i="126"/>
  <c r="U823" i="126"/>
  <c r="R170" i="141" s="1"/>
  <c r="P822" i="126"/>
  <c r="M169" i="141" s="1"/>
  <c r="Q825" i="126"/>
  <c r="N172" i="141" s="1"/>
  <c r="I788" i="126"/>
  <c r="J825" i="126"/>
  <c r="G172" i="141" s="1"/>
  <c r="Q823" i="126"/>
  <c r="N170" i="141" s="1"/>
  <c r="K790" i="126"/>
  <c r="L821" i="126"/>
  <c r="U796" i="127"/>
  <c r="N791" i="126"/>
  <c r="K161" i="141" s="1"/>
  <c r="U821" i="126"/>
  <c r="J788" i="126"/>
  <c r="Q792" i="126"/>
  <c r="N162" i="141" s="1"/>
  <c r="R822" i="126"/>
  <c r="O169" i="141" s="1"/>
  <c r="U822" i="126"/>
  <c r="R169" i="141" s="1"/>
  <c r="J823" i="126"/>
  <c r="G170" i="141" s="1"/>
  <c r="S792" i="126"/>
  <c r="P162" i="141" s="1"/>
  <c r="P792" i="126"/>
  <c r="M162" i="141" s="1"/>
  <c r="L791" i="126"/>
  <c r="I161" i="141" s="1"/>
  <c r="U799" i="127"/>
  <c r="R181" i="141" s="1"/>
  <c r="O831" i="127"/>
  <c r="L190" i="141" s="1"/>
  <c r="P829" i="127"/>
  <c r="I826" i="126"/>
  <c r="F173" i="141" s="1"/>
  <c r="O788" i="126"/>
  <c r="O792" i="126"/>
  <c r="L162" i="141" s="1"/>
  <c r="L823" i="126"/>
  <c r="I170" i="141" s="1"/>
  <c r="K789" i="126"/>
  <c r="L789" i="126"/>
  <c r="I159" i="141" s="1"/>
  <c r="S791" i="126"/>
  <c r="P161" i="141" s="1"/>
  <c r="K823" i="126"/>
  <c r="N821" i="126"/>
  <c r="I792" i="126"/>
  <c r="F162" i="141" s="1"/>
  <c r="P800" i="127"/>
  <c r="M182" i="141" s="1"/>
  <c r="Q797" i="127"/>
  <c r="N179" i="141" s="1"/>
  <c r="T833" i="127"/>
  <c r="Q192" i="141" s="1"/>
  <c r="T793" i="126"/>
  <c r="Q163" i="141" s="1"/>
  <c r="R788" i="126"/>
  <c r="S824" i="126"/>
  <c r="P171" i="141" s="1"/>
  <c r="K822" i="126"/>
  <c r="R791" i="126"/>
  <c r="O161" i="141" s="1"/>
  <c r="N788" i="126"/>
  <c r="P833" i="127"/>
  <c r="M192" i="141" s="1"/>
  <c r="P796" i="127"/>
  <c r="T790" i="126"/>
  <c r="Q160" i="141" s="1"/>
  <c r="U826" i="126"/>
  <c r="R173" i="141" s="1"/>
  <c r="U793" i="126"/>
  <c r="R163" i="141" s="1"/>
  <c r="N824" i="126"/>
  <c r="K171" i="141" s="1"/>
  <c r="F821" i="126"/>
  <c r="C168" i="141" s="1"/>
  <c r="P821" i="126"/>
  <c r="Q821" i="126"/>
  <c r="I790" i="126"/>
  <c r="F160" i="141" s="1"/>
  <c r="Q791" i="126"/>
  <c r="N161" i="141" s="1"/>
  <c r="P799" i="127"/>
  <c r="M181" i="141" s="1"/>
  <c r="Q830" i="127"/>
  <c r="N189" i="141" s="1"/>
  <c r="U790" i="126"/>
  <c r="R160" i="141" s="1"/>
  <c r="T825" i="126"/>
  <c r="Q172" i="141" s="1"/>
  <c r="I789" i="126"/>
  <c r="F159" i="141" s="1"/>
  <c r="S790" i="126"/>
  <c r="P160" i="141" s="1"/>
  <c r="J789" i="126"/>
  <c r="G159" i="141" s="1"/>
  <c r="R825" i="126"/>
  <c r="O172" i="141" s="1"/>
  <c r="Q798" i="127"/>
  <c r="N180" i="141" s="1"/>
  <c r="U825" i="126"/>
  <c r="R172" i="141" s="1"/>
  <c r="U789" i="126"/>
  <c r="R159" i="141" s="1"/>
  <c r="I822" i="126"/>
  <c r="F169" i="141" s="1"/>
  <c r="L822" i="126"/>
  <c r="I169" i="141" s="1"/>
  <c r="K796" i="127"/>
  <c r="L792" i="126"/>
  <c r="I162" i="141" s="1"/>
  <c r="R823" i="126"/>
  <c r="O170" i="141" s="1"/>
  <c r="P789" i="126"/>
  <c r="M159" i="141" s="1"/>
  <c r="S821" i="126"/>
  <c r="J791" i="126"/>
  <c r="G161" i="141" s="1"/>
  <c r="O829" i="127"/>
  <c r="T823" i="126"/>
  <c r="Q170" i="141" s="1"/>
  <c r="U792" i="126"/>
  <c r="R162" i="141" s="1"/>
  <c r="P824" i="126"/>
  <c r="M171" i="141" s="1"/>
  <c r="N792" i="126"/>
  <c r="K162" i="141" s="1"/>
  <c r="Q790" i="126"/>
  <c r="N160" i="141" s="1"/>
  <c r="P823" i="126"/>
  <c r="M170" i="141" s="1"/>
  <c r="Q789" i="126"/>
  <c r="N159" i="141" s="1"/>
  <c r="T822" i="126"/>
  <c r="Q169" i="141" s="1"/>
  <c r="Q832" i="127"/>
  <c r="N191" i="141" s="1"/>
  <c r="I796" i="127"/>
  <c r="J821" i="126"/>
  <c r="K792" i="126"/>
  <c r="S822" i="126"/>
  <c r="P169" i="141" s="1"/>
  <c r="J824" i="126"/>
  <c r="G171" i="141" s="1"/>
  <c r="R824" i="126"/>
  <c r="O171" i="141" s="1"/>
  <c r="P797" i="127"/>
  <c r="M179" i="141" s="1"/>
  <c r="R831" i="127"/>
  <c r="O190" i="141" s="1"/>
  <c r="I834" i="127"/>
  <c r="F193" i="141" s="1"/>
  <c r="T830" i="127"/>
  <c r="Q189" i="141" s="1"/>
  <c r="O825" i="126"/>
  <c r="L172" i="141" s="1"/>
  <c r="U788" i="126"/>
  <c r="T789" i="126"/>
  <c r="Q159" i="141" s="1"/>
  <c r="R55" i="141"/>
  <c r="D788" i="126"/>
  <c r="R69" i="141"/>
  <c r="R108" i="141"/>
  <c r="R97" i="141"/>
  <c r="Q61" i="141"/>
  <c r="R61" i="141"/>
  <c r="Q97" i="141"/>
  <c r="Q69" i="141"/>
  <c r="Q108" i="141"/>
  <c r="P61" i="141"/>
  <c r="W696" i="121"/>
  <c r="W729" i="121"/>
  <c r="T71" i="141" s="1"/>
  <c r="P71" i="141"/>
  <c r="O71" i="141"/>
  <c r="V729" i="121"/>
  <c r="S71" i="141" s="1"/>
  <c r="P70" i="141"/>
  <c r="W728" i="121"/>
  <c r="T70" i="141" s="1"/>
  <c r="P112" i="141"/>
  <c r="W824" i="123"/>
  <c r="T112" i="141" s="1"/>
  <c r="P98" i="141"/>
  <c r="W788" i="123"/>
  <c r="T98" i="141" s="1"/>
  <c r="P101" i="141"/>
  <c r="W791" i="123"/>
  <c r="T101" i="141" s="1"/>
  <c r="P69" i="141"/>
  <c r="W727" i="121"/>
  <c r="O108" i="141"/>
  <c r="V820" i="123"/>
  <c r="V791" i="123"/>
  <c r="S101" i="141" s="1"/>
  <c r="O101" i="141"/>
  <c r="P109" i="141"/>
  <c r="W821" i="123"/>
  <c r="T109" i="141" s="1"/>
  <c r="O111" i="141"/>
  <c r="V823" i="123"/>
  <c r="S111" i="141" s="1"/>
  <c r="O61" i="141"/>
  <c r="V696" i="121"/>
  <c r="C834" i="127"/>
  <c r="O70" i="141"/>
  <c r="V728" i="121"/>
  <c r="S70" i="141" s="1"/>
  <c r="O98" i="141"/>
  <c r="V788" i="123"/>
  <c r="S98" i="141" s="1"/>
  <c r="P100" i="141"/>
  <c r="W790" i="123"/>
  <c r="T100" i="141" s="1"/>
  <c r="O99" i="141"/>
  <c r="V789" i="123"/>
  <c r="S99" i="141" s="1"/>
  <c r="P111" i="141"/>
  <c r="W823" i="123"/>
  <c r="T111" i="141" s="1"/>
  <c r="W697" i="121"/>
  <c r="T62" i="141" s="1"/>
  <c r="P62" i="141"/>
  <c r="O112" i="141"/>
  <c r="V824" i="123"/>
  <c r="S112" i="141" s="1"/>
  <c r="O69" i="141"/>
  <c r="V727" i="121"/>
  <c r="O63" i="141"/>
  <c r="V698" i="121"/>
  <c r="S63" i="141" s="1"/>
  <c r="P110" i="141"/>
  <c r="W822" i="123"/>
  <c r="T110" i="141" s="1"/>
  <c r="P97" i="141"/>
  <c r="W787" i="123"/>
  <c r="O62" i="141"/>
  <c r="V697" i="121"/>
  <c r="S62" i="141" s="1"/>
  <c r="O97" i="141"/>
  <c r="V787" i="123"/>
  <c r="O418" i="99"/>
  <c r="E729" i="121"/>
  <c r="E698" i="121"/>
  <c r="I69" i="141"/>
  <c r="M98" i="141"/>
  <c r="C97" i="141"/>
  <c r="D821" i="126"/>
  <c r="D792" i="126"/>
  <c r="J404" i="124"/>
  <c r="N404" i="124" s="1"/>
  <c r="O404" i="124" s="1"/>
  <c r="O415" i="124"/>
  <c r="W789" i="123"/>
  <c r="T99" i="141" s="1"/>
  <c r="P99" i="141"/>
  <c r="O451" i="123"/>
  <c r="J440" i="123"/>
  <c r="N440" i="123" s="1"/>
  <c r="O440" i="123" s="1"/>
  <c r="E358" i="126"/>
  <c r="E390" i="126"/>
  <c r="E358" i="107"/>
  <c r="E390" i="107"/>
  <c r="E479" i="127"/>
  <c r="E437" i="151"/>
  <c r="E356" i="152"/>
  <c r="E433" i="152"/>
  <c r="E357" i="151"/>
  <c r="E389" i="151"/>
  <c r="E337" i="125"/>
  <c r="E356" i="127"/>
  <c r="E388" i="152"/>
  <c r="E356" i="122"/>
  <c r="E379" i="121"/>
  <c r="E398" i="100"/>
  <c r="E379" i="98"/>
  <c r="E356" i="100"/>
  <c r="E478" i="100"/>
  <c r="E358" i="123"/>
  <c r="E390" i="123"/>
  <c r="E478" i="124"/>
  <c r="E432" i="123"/>
  <c r="E356" i="124"/>
  <c r="E356" i="99"/>
  <c r="E480" i="99"/>
  <c r="E398" i="124"/>
  <c r="F739" i="112"/>
  <c r="D739" i="112" s="1"/>
  <c r="M239" i="166"/>
  <c r="N99" i="141"/>
  <c r="V821" i="123"/>
  <c r="S109" i="141" s="1"/>
  <c r="O109" i="141"/>
  <c r="F380" i="112"/>
  <c r="D380" i="112" s="1"/>
  <c r="M217" i="166"/>
  <c r="O417" i="100"/>
  <c r="J406" i="100"/>
  <c r="N406" i="100" s="1"/>
  <c r="O406" i="100" s="1"/>
  <c r="B96" i="159"/>
  <c r="C419" i="97"/>
  <c r="E112" i="187"/>
  <c r="F112" i="187"/>
  <c r="G112" i="187"/>
  <c r="I112" i="187"/>
  <c r="C328" i="97"/>
  <c r="J112" i="187"/>
  <c r="C527" i="97"/>
  <c r="K112" i="187"/>
  <c r="C802" i="126"/>
  <c r="C769" i="126"/>
  <c r="C556" i="97"/>
  <c r="C503" i="126"/>
  <c r="C624" i="126"/>
  <c r="C511" i="127"/>
  <c r="C632" i="127"/>
  <c r="C447" i="107"/>
  <c r="C777" i="127"/>
  <c r="C810" i="127"/>
  <c r="C646" i="107"/>
  <c r="C538" i="107"/>
  <c r="C678" i="107"/>
  <c r="R580" i="107"/>
  <c r="C523" i="152"/>
  <c r="C857" i="152"/>
  <c r="C825" i="152"/>
  <c r="C569" i="151"/>
  <c r="C662" i="152"/>
  <c r="C559" i="125"/>
  <c r="C589" i="125"/>
  <c r="C451" i="125"/>
  <c r="C412" i="98"/>
  <c r="R570" i="122"/>
  <c r="R579" i="121"/>
  <c r="R449" i="122"/>
  <c r="C678" i="98"/>
  <c r="R458" i="121"/>
  <c r="C402" i="122"/>
  <c r="C668" i="122"/>
  <c r="C533" i="98"/>
  <c r="C411" i="121"/>
  <c r="C677" i="121"/>
  <c r="C709" i="98"/>
  <c r="C523" i="122"/>
  <c r="C801" i="123"/>
  <c r="C777" i="100"/>
  <c r="C698" i="122"/>
  <c r="C708" i="121"/>
  <c r="C632" i="100"/>
  <c r="C631" i="124"/>
  <c r="C502" i="123"/>
  <c r="C768" i="123"/>
  <c r="C532" i="121"/>
  <c r="C810" i="100"/>
  <c r="C511" i="100"/>
  <c r="C623" i="123"/>
  <c r="C779" i="99"/>
  <c r="C812" i="99"/>
  <c r="C809" i="124"/>
  <c r="C513" i="99"/>
  <c r="C634" i="99"/>
  <c r="C510" i="124"/>
  <c r="C776" i="124"/>
  <c r="F356" i="112"/>
  <c r="D356" i="112" s="1"/>
  <c r="M203" i="166"/>
  <c r="P828" i="124"/>
  <c r="N70" i="141"/>
  <c r="W820" i="123"/>
  <c r="P108" i="141"/>
  <c r="H109" i="141"/>
  <c r="F581" i="112"/>
  <c r="D581" i="112" s="1"/>
  <c r="M257" i="166"/>
  <c r="C788" i="126"/>
  <c r="D825" i="126"/>
  <c r="H110" i="141"/>
  <c r="F98" i="112"/>
  <c r="D98" i="112" s="1"/>
  <c r="AC134" i="128" s="1"/>
  <c r="AD134" i="128" s="1"/>
  <c r="M79" i="166"/>
  <c r="J408" i="99"/>
  <c r="N408" i="99" s="1"/>
  <c r="O419" i="99"/>
  <c r="E696" i="121"/>
  <c r="F70" i="141"/>
  <c r="M110" i="141"/>
  <c r="F705" i="112"/>
  <c r="D705" i="112" s="1"/>
  <c r="J89" i="128" s="1"/>
  <c r="J94" i="128" s="1"/>
  <c r="J95" i="128" s="1"/>
  <c r="J96" i="128" s="1"/>
  <c r="N33" i="166"/>
  <c r="M75" i="166"/>
  <c r="F97" i="112"/>
  <c r="D97" i="112" s="1"/>
  <c r="S86" i="128" s="1"/>
  <c r="O449" i="123"/>
  <c r="J438" i="123"/>
  <c r="N438" i="123" s="1"/>
  <c r="O438" i="123" s="1"/>
  <c r="AC132" i="128"/>
  <c r="AD132" i="128" s="1"/>
  <c r="G69" i="141"/>
  <c r="C108" i="141"/>
  <c r="B85" i="159"/>
  <c r="G123" i="187"/>
  <c r="K123" i="187"/>
  <c r="R569" i="107"/>
  <c r="R438" i="122"/>
  <c r="X438" i="122"/>
  <c r="R447" i="121"/>
  <c r="X447" i="121"/>
  <c r="R559" i="122"/>
  <c r="X559" i="122"/>
  <c r="R568" i="121"/>
  <c r="X568" i="121"/>
  <c r="C821" i="126"/>
  <c r="F3" i="112"/>
  <c r="D3" i="112" s="1"/>
  <c r="D26" i="163" s="1"/>
  <c r="J404" i="100"/>
  <c r="N404" i="100" s="1"/>
  <c r="O404" i="100" s="1"/>
  <c r="O415" i="100"/>
  <c r="O417" i="99"/>
  <c r="J406" i="99"/>
  <c r="N406" i="99" s="1"/>
  <c r="M70" i="141"/>
  <c r="H97" i="141"/>
  <c r="F102" i="141"/>
  <c r="H61" i="141"/>
  <c r="G108" i="141"/>
  <c r="F101" i="141"/>
  <c r="O451" i="126"/>
  <c r="BM146" i="162"/>
  <c r="R183" i="166" s="1"/>
  <c r="BC146" i="162"/>
  <c r="N49" i="166"/>
  <c r="F734" i="112"/>
  <c r="D734" i="112" s="1"/>
  <c r="G61" i="141"/>
  <c r="BC148" i="162"/>
  <c r="BM148" i="162"/>
  <c r="R187" i="166" s="1"/>
  <c r="F107" i="112"/>
  <c r="D107" i="112" s="1"/>
  <c r="S87" i="128" s="1"/>
  <c r="M81" i="166"/>
  <c r="J441" i="126"/>
  <c r="N441" i="126" s="1"/>
  <c r="O452" i="126"/>
  <c r="J407" i="127"/>
  <c r="N407" i="127" s="1"/>
  <c r="O418" i="127"/>
  <c r="BC151" i="162"/>
  <c r="BM151" i="162"/>
  <c r="R193" i="166" s="1"/>
  <c r="F88" i="112"/>
  <c r="D88" i="112" s="1"/>
  <c r="AC133" i="128" s="1"/>
  <c r="AD133" i="128" s="1"/>
  <c r="M73" i="166"/>
  <c r="F108" i="112"/>
  <c r="D108" i="112" s="1"/>
  <c r="AC135" i="128" s="1"/>
  <c r="AD135" i="128" s="1"/>
  <c r="M85" i="166"/>
  <c r="F61" i="141"/>
  <c r="G97" i="141"/>
  <c r="BC153" i="162"/>
  <c r="BM153" i="162"/>
  <c r="R197" i="166" s="1"/>
  <c r="D369" i="112"/>
  <c r="C69" i="141"/>
  <c r="F760" i="112"/>
  <c r="D760" i="112" s="1"/>
  <c r="M271" i="166"/>
  <c r="E820" i="123"/>
  <c r="E787" i="123"/>
  <c r="F108" i="141"/>
  <c r="BM143" i="162"/>
  <c r="R177" i="166" s="1"/>
  <c r="BC143" i="162"/>
  <c r="F376" i="112" s="1"/>
  <c r="C793" i="126"/>
  <c r="F349" i="112"/>
  <c r="D349" i="112" s="1"/>
  <c r="D64" i="116" s="1"/>
  <c r="M211" i="166"/>
  <c r="E472" i="125"/>
  <c r="E382" i="125"/>
  <c r="P63" i="141"/>
  <c r="W698" i="121"/>
  <c r="T63" i="141" s="1"/>
  <c r="C61" i="141"/>
  <c r="M215" i="166"/>
  <c r="F387" i="112"/>
  <c r="D387" i="112" s="1"/>
  <c r="D53" i="116" s="1"/>
  <c r="BC155" i="162"/>
  <c r="BM155" i="162"/>
  <c r="R201" i="166" s="1"/>
  <c r="N112" i="141"/>
  <c r="C826" i="126"/>
  <c r="O450" i="126"/>
  <c r="J439" i="126"/>
  <c r="N439" i="126" s="1"/>
  <c r="BM154" i="162"/>
  <c r="R199" i="166" s="1"/>
  <c r="BC154" i="162"/>
  <c r="O417" i="124"/>
  <c r="J406" i="124"/>
  <c r="N406" i="124" s="1"/>
  <c r="O406" i="124" s="1"/>
  <c r="I63" i="141"/>
  <c r="BC145" i="162"/>
  <c r="BM145" i="162"/>
  <c r="R181" i="166" s="1"/>
  <c r="D791" i="126"/>
  <c r="BC142" i="162"/>
  <c r="BM142" i="162"/>
  <c r="R175" i="166" s="1"/>
  <c r="F368" i="112"/>
  <c r="D368" i="112" s="1"/>
  <c r="M219" i="166"/>
  <c r="O417" i="127"/>
  <c r="F117" i="112"/>
  <c r="D117" i="112" s="1"/>
  <c r="S88" i="128" s="1"/>
  <c r="M87" i="166"/>
  <c r="F740" i="112"/>
  <c r="D740" i="112" s="1"/>
  <c r="M235" i="166"/>
  <c r="D374" i="112"/>
  <c r="M265" i="166"/>
  <c r="F343" i="112"/>
  <c r="D343" i="112" s="1"/>
  <c r="S85" i="128"/>
  <c r="F62" i="141"/>
  <c r="BM150" i="162"/>
  <c r="R191" i="166" s="1"/>
  <c r="BC150" i="162"/>
  <c r="F97" i="141"/>
  <c r="BC147" i="162"/>
  <c r="BM147" i="162"/>
  <c r="R185" i="166" s="1"/>
  <c r="J405" i="127"/>
  <c r="N405" i="127" s="1"/>
  <c r="O416" i="127"/>
  <c r="BM141" i="162"/>
  <c r="R173" i="166" s="1"/>
  <c r="BC144" i="162"/>
  <c r="BM144" i="162"/>
  <c r="R179" i="166" s="1"/>
  <c r="I824" i="126"/>
  <c r="I791" i="126"/>
  <c r="BM149" i="162"/>
  <c r="R189" i="166" s="1"/>
  <c r="BC149" i="162"/>
  <c r="F112" i="141"/>
  <c r="O100" i="141"/>
  <c r="V790" i="123"/>
  <c r="S100" i="141" s="1"/>
  <c r="BM152" i="162"/>
  <c r="R195" i="166" s="1"/>
  <c r="BC152" i="162"/>
  <c r="E727" i="121"/>
  <c r="H70" i="141"/>
  <c r="F2" i="112"/>
  <c r="D2" i="112" s="1"/>
  <c r="F342" i="112"/>
  <c r="D342" i="112" s="1"/>
  <c r="M269" i="166"/>
  <c r="I108" i="141"/>
  <c r="O110" i="141"/>
  <c r="V822" i="123"/>
  <c r="S110" i="141" s="1"/>
  <c r="D824" i="126"/>
  <c r="Y11" i="145"/>
  <c r="Z52" i="145"/>
  <c r="F13" i="145"/>
  <c r="J52" i="145"/>
  <c r="M13" i="145"/>
  <c r="Y52" i="145"/>
  <c r="V72" i="145"/>
  <c r="F12" i="145"/>
  <c r="I73" i="145"/>
  <c r="J12" i="145"/>
  <c r="AB11" i="145"/>
  <c r="Z10" i="145"/>
  <c r="U10" i="145"/>
  <c r="K52" i="145"/>
  <c r="K12" i="145"/>
  <c r="X73" i="145"/>
  <c r="U13" i="145"/>
  <c r="Y10" i="145"/>
  <c r="M12" i="145"/>
  <c r="AB10" i="145"/>
  <c r="Z11" i="145"/>
  <c r="Y12" i="145"/>
  <c r="G72" i="145"/>
  <c r="J13" i="145"/>
  <c r="F52" i="145"/>
  <c r="G73" i="145"/>
  <c r="J53" i="145"/>
  <c r="AB52" i="145"/>
  <c r="Y13" i="145"/>
  <c r="K13" i="145"/>
  <c r="Z13" i="145"/>
  <c r="K53" i="145"/>
  <c r="M53" i="145"/>
  <c r="Z12" i="145"/>
  <c r="U11" i="145"/>
  <c r="M52" i="145"/>
  <c r="AB13" i="145"/>
  <c r="X72" i="145"/>
  <c r="I72" i="145"/>
  <c r="AB12" i="145"/>
  <c r="U12" i="145"/>
  <c r="V73" i="145"/>
  <c r="U52" i="145"/>
  <c r="M188" i="141" l="1"/>
  <c r="L188" i="141"/>
  <c r="R178" i="141"/>
  <c r="M178" i="141"/>
  <c r="F178" i="141"/>
  <c r="Q168" i="141"/>
  <c r="T827" i="126"/>
  <c r="Q174" i="141" s="1"/>
  <c r="M168" i="141"/>
  <c r="L168" i="141"/>
  <c r="R168" i="141"/>
  <c r="N168" i="141"/>
  <c r="K168" i="141"/>
  <c r="F168" i="141"/>
  <c r="I827" i="126"/>
  <c r="F174" i="141" s="1"/>
  <c r="G168" i="141"/>
  <c r="I168" i="141"/>
  <c r="L158" i="141"/>
  <c r="M158" i="141"/>
  <c r="V788" i="126"/>
  <c r="R158" i="141"/>
  <c r="P158" i="141"/>
  <c r="N158" i="141"/>
  <c r="K158" i="141"/>
  <c r="F158" i="141"/>
  <c r="I794" i="126"/>
  <c r="I158" i="141"/>
  <c r="G158" i="141"/>
  <c r="M128" i="141"/>
  <c r="S108" i="141"/>
  <c r="T108" i="141"/>
  <c r="S97" i="141"/>
  <c r="T97" i="141"/>
  <c r="S69" i="141"/>
  <c r="T69" i="141"/>
  <c r="T61" i="141"/>
  <c r="S61" i="141"/>
  <c r="R125" i="128"/>
  <c r="U125" i="128" s="1"/>
  <c r="T125" i="128" s="1"/>
  <c r="Y121" i="112" s="1"/>
  <c r="M121" i="112" s="1"/>
  <c r="R128" i="128"/>
  <c r="U128" i="128" s="1"/>
  <c r="W119" i="112" s="1"/>
  <c r="R124" i="128"/>
  <c r="U124" i="128" s="1"/>
  <c r="S124" i="128" s="1"/>
  <c r="X126" i="112" s="1"/>
  <c r="R127" i="128"/>
  <c r="U127" i="128" s="1"/>
  <c r="W122" i="112" s="1"/>
  <c r="H122" i="112" s="1"/>
  <c r="BF252" i="164" s="1"/>
  <c r="I110" i="164" s="1"/>
  <c r="R122" i="128"/>
  <c r="U122" i="128" s="1"/>
  <c r="S122" i="128" s="1"/>
  <c r="X120" i="112" s="1"/>
  <c r="R126" i="128"/>
  <c r="U126" i="128" s="1"/>
  <c r="W123" i="112" s="1"/>
  <c r="H123" i="112" s="1"/>
  <c r="F465" i="112"/>
  <c r="D465" i="112" s="1"/>
  <c r="G68" i="198" s="1"/>
  <c r="H178" i="141"/>
  <c r="H170" i="141"/>
  <c r="H168" i="141"/>
  <c r="H169" i="141"/>
  <c r="H172" i="141"/>
  <c r="H159" i="141"/>
  <c r="H160" i="141"/>
  <c r="H162" i="141"/>
  <c r="H158" i="141"/>
  <c r="V467" i="112"/>
  <c r="F464" i="112"/>
  <c r="D464" i="112" s="1"/>
  <c r="G55" i="194" s="1"/>
  <c r="F468" i="112"/>
  <c r="D468" i="112" s="1"/>
  <c r="G140" i="200" s="1"/>
  <c r="L7" i="207"/>
  <c r="E7" i="207"/>
  <c r="K7" i="207"/>
  <c r="F7" i="207"/>
  <c r="C7" i="207"/>
  <c r="B62" i="207" s="1" a="1"/>
  <c r="B62" i="207" s="1"/>
  <c r="W463" i="112" s="1"/>
  <c r="J7" i="207"/>
  <c r="I7" i="207"/>
  <c r="D7" i="207"/>
  <c r="H7" i="207"/>
  <c r="G7" i="207"/>
  <c r="D59" i="116"/>
  <c r="C807" i="152"/>
  <c r="C808" i="152" s="1"/>
  <c r="D807" i="152"/>
  <c r="D812" i="152"/>
  <c r="C812" i="152"/>
  <c r="C813" i="152" s="1"/>
  <c r="T791" i="126"/>
  <c r="Q161" i="141" s="1"/>
  <c r="AR163" i="187"/>
  <c r="AR164" i="187"/>
  <c r="O163" i="187"/>
  <c r="O164" i="187"/>
  <c r="G163" i="187"/>
  <c r="G164" i="187"/>
  <c r="J163" i="187"/>
  <c r="J164" i="187"/>
  <c r="AQ164" i="187"/>
  <c r="AQ163" i="187"/>
  <c r="R163" i="187"/>
  <c r="R164" i="187"/>
  <c r="F163" i="187"/>
  <c r="F164" i="187"/>
  <c r="G183" i="200"/>
  <c r="G184" i="200"/>
  <c r="Z163" i="187"/>
  <c r="Z164" i="187"/>
  <c r="AI164" i="187"/>
  <c r="AI163" i="187"/>
  <c r="AJ164" i="187"/>
  <c r="AJ163" i="187"/>
  <c r="N419" i="127"/>
  <c r="U798" i="127" s="1"/>
  <c r="R180" i="141" s="1"/>
  <c r="O415" i="127"/>
  <c r="AE163" i="187"/>
  <c r="AE164" i="187"/>
  <c r="AM164" i="187"/>
  <c r="AM163" i="187"/>
  <c r="AD163" i="187"/>
  <c r="AD164" i="187"/>
  <c r="AN164" i="187"/>
  <c r="AN163" i="187"/>
  <c r="K164" i="187"/>
  <c r="K163" i="187"/>
  <c r="V164" i="187"/>
  <c r="V163" i="187"/>
  <c r="N164" i="187"/>
  <c r="N163" i="187"/>
  <c r="AA163" i="187"/>
  <c r="AA164" i="187"/>
  <c r="N590" i="112"/>
  <c r="BI90" i="161"/>
  <c r="S164" i="187"/>
  <c r="S163" i="187"/>
  <c r="N453" i="126"/>
  <c r="O449" i="126"/>
  <c r="W164" i="187"/>
  <c r="W163" i="187"/>
  <c r="H174" i="180"/>
  <c r="H173" i="180"/>
  <c r="G173" i="180"/>
  <c r="G174" i="180"/>
  <c r="G166" i="200"/>
  <c r="G167" i="200"/>
  <c r="D56" i="116"/>
  <c r="D58" i="116"/>
  <c r="D52" i="116"/>
  <c r="D50" i="116"/>
  <c r="F190" i="189"/>
  <c r="G211" i="189"/>
  <c r="D112" i="116"/>
  <c r="G209" i="189"/>
  <c r="D110" i="116"/>
  <c r="E706" i="99"/>
  <c r="E571" i="100"/>
  <c r="S831" i="127"/>
  <c r="P190" i="141" s="1"/>
  <c r="P831" i="127"/>
  <c r="M190" i="141" s="1"/>
  <c r="T832" i="127"/>
  <c r="Q191" i="141" s="1"/>
  <c r="N799" i="127"/>
  <c r="K181" i="141" s="1"/>
  <c r="R830" i="127"/>
  <c r="O189" i="141" s="1"/>
  <c r="R799" i="127"/>
  <c r="O181" i="141" s="1"/>
  <c r="S797" i="127"/>
  <c r="P179" i="141" s="1"/>
  <c r="F796" i="127"/>
  <c r="C178" i="141" s="1"/>
  <c r="J799" i="127"/>
  <c r="G181" i="141" s="1"/>
  <c r="K832" i="127"/>
  <c r="R829" i="127"/>
  <c r="E573" i="99"/>
  <c r="E704" i="100"/>
  <c r="E695" i="123"/>
  <c r="E562" i="123"/>
  <c r="E423" i="107"/>
  <c r="E703" i="124"/>
  <c r="E571" i="127"/>
  <c r="E483" i="107"/>
  <c r="E704" i="127"/>
  <c r="E580" i="107"/>
  <c r="E438" i="151"/>
  <c r="E521" i="151"/>
  <c r="E570" i="124"/>
  <c r="E583" i="152"/>
  <c r="E604" i="121"/>
  <c r="E563" i="126"/>
  <c r="E595" i="122"/>
  <c r="E461" i="97"/>
  <c r="E493" i="125"/>
  <c r="K694" i="152"/>
  <c r="E734" i="152"/>
  <c r="E434" i="152"/>
  <c r="E471" i="121"/>
  <c r="E364" i="97"/>
  <c r="E462" i="122"/>
  <c r="E396" i="125"/>
  <c r="E696" i="126"/>
  <c r="E605" i="98"/>
  <c r="E472" i="98"/>
  <c r="G165" i="200"/>
  <c r="W735" i="112"/>
  <c r="H735" i="112" s="1"/>
  <c r="K797" i="127"/>
  <c r="P830" i="127"/>
  <c r="M189" i="141" s="1"/>
  <c r="T687" i="122"/>
  <c r="U688" i="122"/>
  <c r="R46" i="141" s="1"/>
  <c r="S717" i="122"/>
  <c r="R47" i="141"/>
  <c r="I47" i="141"/>
  <c r="K687" i="122"/>
  <c r="N717" i="122"/>
  <c r="G160" i="190"/>
  <c r="G126" i="200"/>
  <c r="G162" i="190"/>
  <c r="G128" i="200"/>
  <c r="AA124" i="187"/>
  <c r="AJ124" i="187"/>
  <c r="AN124" i="187"/>
  <c r="AE124" i="187"/>
  <c r="AR124" i="187"/>
  <c r="AI145" i="187"/>
  <c r="AQ145" i="187"/>
  <c r="Z145" i="187"/>
  <c r="AM145" i="187"/>
  <c r="AD145" i="187"/>
  <c r="AA122" i="187"/>
  <c r="AN122" i="187"/>
  <c r="AE122" i="187"/>
  <c r="AJ122" i="187"/>
  <c r="AR122" i="187"/>
  <c r="AM147" i="187"/>
  <c r="AN147" i="187"/>
  <c r="AD147" i="187"/>
  <c r="AE147" i="187"/>
  <c r="AQ147" i="187"/>
  <c r="AR147" i="187"/>
  <c r="AJ147" i="187"/>
  <c r="Z147" i="187"/>
  <c r="AI147" i="187"/>
  <c r="AA147" i="187"/>
  <c r="G604" i="151"/>
  <c r="AE146" i="187"/>
  <c r="AN146" i="187"/>
  <c r="AD146" i="187"/>
  <c r="AQ146" i="187"/>
  <c r="AR146" i="187"/>
  <c r="AM146" i="187"/>
  <c r="Z146" i="187"/>
  <c r="AA146" i="187"/>
  <c r="AI146" i="187"/>
  <c r="AJ146" i="187"/>
  <c r="F717" i="122"/>
  <c r="C719" i="122"/>
  <c r="S833" i="127"/>
  <c r="P192" i="141" s="1"/>
  <c r="C796" i="127"/>
  <c r="T829" i="127"/>
  <c r="R797" i="127"/>
  <c r="O179" i="141" s="1"/>
  <c r="J832" i="127"/>
  <c r="G191" i="141" s="1"/>
  <c r="T800" i="127"/>
  <c r="Q182" i="141" s="1"/>
  <c r="N798" i="127"/>
  <c r="K180" i="141" s="1"/>
  <c r="Q796" i="127"/>
  <c r="L833" i="127"/>
  <c r="I192" i="141" s="1"/>
  <c r="I831" i="127"/>
  <c r="F190" i="141" s="1"/>
  <c r="N796" i="127"/>
  <c r="N832" i="127"/>
  <c r="K191" i="141" s="1"/>
  <c r="L800" i="127"/>
  <c r="I182" i="141" s="1"/>
  <c r="L832" i="127"/>
  <c r="I191" i="141" s="1"/>
  <c r="J829" i="127"/>
  <c r="I798" i="127"/>
  <c r="F180" i="141" s="1"/>
  <c r="I830" i="127"/>
  <c r="F189" i="141" s="1"/>
  <c r="O832" i="127"/>
  <c r="L191" i="141" s="1"/>
  <c r="I719" i="122"/>
  <c r="F56" i="141" s="1"/>
  <c r="Q718" i="122"/>
  <c r="N54" i="141" s="1"/>
  <c r="M55" i="141"/>
  <c r="N688" i="122"/>
  <c r="K46" i="141" s="1"/>
  <c r="R688" i="122"/>
  <c r="O46" i="141" s="1"/>
  <c r="I689" i="122"/>
  <c r="F48" i="141" s="1"/>
  <c r="P687" i="122"/>
  <c r="N718" i="122"/>
  <c r="K54" i="141" s="1"/>
  <c r="J688" i="122"/>
  <c r="G46" i="141" s="1"/>
  <c r="C717" i="122"/>
  <c r="T689" i="122"/>
  <c r="Q48" i="141" s="1"/>
  <c r="P717" i="122"/>
  <c r="G47" i="141"/>
  <c r="I717" i="122"/>
  <c r="O687" i="122"/>
  <c r="R718" i="122"/>
  <c r="O54" i="141" s="1"/>
  <c r="Q47" i="141"/>
  <c r="O688" i="122"/>
  <c r="L46" i="141" s="1"/>
  <c r="S687" i="122"/>
  <c r="O717" i="122"/>
  <c r="J687" i="122"/>
  <c r="G55" i="141"/>
  <c r="U718" i="122"/>
  <c r="R54" i="141" s="1"/>
  <c r="O718" i="122"/>
  <c r="L54" i="141" s="1"/>
  <c r="N47" i="141"/>
  <c r="U687" i="122"/>
  <c r="F687" i="122"/>
  <c r="L717" i="122"/>
  <c r="D688" i="122"/>
  <c r="U717" i="122"/>
  <c r="P688" i="122"/>
  <c r="M46" i="141" s="1"/>
  <c r="T719" i="122"/>
  <c r="Q56" i="141" s="1"/>
  <c r="S688" i="122"/>
  <c r="P46" i="141" s="1"/>
  <c r="D718" i="122"/>
  <c r="Q688" i="122"/>
  <c r="N46" i="141" s="1"/>
  <c r="N55" i="141"/>
  <c r="D717" i="122"/>
  <c r="K717" i="122"/>
  <c r="O55" i="141"/>
  <c r="S718" i="122"/>
  <c r="P54" i="141" s="1"/>
  <c r="T717" i="122"/>
  <c r="R687" i="122"/>
  <c r="U689" i="122"/>
  <c r="R48" i="141" s="1"/>
  <c r="L718" i="122"/>
  <c r="I54" i="141" s="1"/>
  <c r="I55" i="141"/>
  <c r="C687" i="122"/>
  <c r="P718" i="122"/>
  <c r="M54" i="141" s="1"/>
  <c r="C689" i="122"/>
  <c r="Q55" i="141"/>
  <c r="U719" i="122"/>
  <c r="R56" i="141" s="1"/>
  <c r="Q687" i="122"/>
  <c r="M47" i="141"/>
  <c r="J718" i="122"/>
  <c r="G54" i="141" s="1"/>
  <c r="K718" i="122"/>
  <c r="P55" i="141"/>
  <c r="T688" i="122"/>
  <c r="Q46" i="141" s="1"/>
  <c r="K688" i="122"/>
  <c r="P47" i="141"/>
  <c r="L688" i="122"/>
  <c r="I46" i="141" s="1"/>
  <c r="T718" i="122"/>
  <c r="Q54" i="141" s="1"/>
  <c r="R717" i="122"/>
  <c r="Q717" i="122"/>
  <c r="J717" i="122"/>
  <c r="I718" i="122"/>
  <c r="F54" i="141" s="1"/>
  <c r="L687" i="122"/>
  <c r="J796" i="127"/>
  <c r="I687" i="122"/>
  <c r="I688" i="122"/>
  <c r="F46" i="141" s="1"/>
  <c r="N687" i="122"/>
  <c r="L830" i="127"/>
  <c r="I189" i="141" s="1"/>
  <c r="S798" i="127"/>
  <c r="P180" i="141" s="1"/>
  <c r="K829" i="127"/>
  <c r="D829" i="127"/>
  <c r="U829" i="127"/>
  <c r="T799" i="127"/>
  <c r="Q181" i="141" s="1"/>
  <c r="Q799" i="127"/>
  <c r="N181" i="141" s="1"/>
  <c r="N831" i="127"/>
  <c r="K190" i="141" s="1"/>
  <c r="U830" i="127"/>
  <c r="R189" i="141" s="1"/>
  <c r="U800" i="127"/>
  <c r="R182" i="141" s="1"/>
  <c r="O796" i="127"/>
  <c r="J800" i="127"/>
  <c r="G182" i="141" s="1"/>
  <c r="C800" i="127"/>
  <c r="J797" i="127"/>
  <c r="G179" i="141" s="1"/>
  <c r="T801" i="127"/>
  <c r="Q183" i="141" s="1"/>
  <c r="I799" i="127"/>
  <c r="F181" i="141" s="1"/>
  <c r="K799" i="127"/>
  <c r="P798" i="127"/>
  <c r="M180" i="141" s="1"/>
  <c r="K800" i="127"/>
  <c r="J831" i="127"/>
  <c r="G190" i="141" s="1"/>
  <c r="S800" i="127"/>
  <c r="P182" i="141" s="1"/>
  <c r="J798" i="127"/>
  <c r="G180" i="141" s="1"/>
  <c r="I797" i="127"/>
  <c r="F179" i="141" s="1"/>
  <c r="T797" i="127"/>
  <c r="Q179" i="141" s="1"/>
  <c r="R800" i="127"/>
  <c r="O182" i="141" s="1"/>
  <c r="D800" i="127"/>
  <c r="D833" i="127"/>
  <c r="R832" i="127"/>
  <c r="O191" i="141" s="1"/>
  <c r="Q831" i="127"/>
  <c r="N190" i="141" s="1"/>
  <c r="C829" i="127"/>
  <c r="F829" i="127"/>
  <c r="C188" i="141" s="1"/>
  <c r="K833" i="127"/>
  <c r="I832" i="127"/>
  <c r="F191" i="141" s="1"/>
  <c r="L796" i="127"/>
  <c r="T834" i="127"/>
  <c r="Q193" i="141" s="1"/>
  <c r="J830" i="127"/>
  <c r="G189" i="141" s="1"/>
  <c r="S832" i="127"/>
  <c r="P191" i="141" s="1"/>
  <c r="D831" i="127"/>
  <c r="D796" i="127"/>
  <c r="S829" i="127"/>
  <c r="R833" i="127"/>
  <c r="O192" i="141" s="1"/>
  <c r="I829" i="127"/>
  <c r="L799" i="127"/>
  <c r="I181" i="141" s="1"/>
  <c r="O798" i="127"/>
  <c r="L180" i="141" s="1"/>
  <c r="U801" i="127"/>
  <c r="R183" i="141" s="1"/>
  <c r="D798" i="127"/>
  <c r="C833" i="127"/>
  <c r="K830" i="127"/>
  <c r="T796" i="127"/>
  <c r="R796" i="127"/>
  <c r="L797" i="127"/>
  <c r="I179" i="141" s="1"/>
  <c r="Q800" i="127"/>
  <c r="N182" i="141" s="1"/>
  <c r="S799" i="127"/>
  <c r="P181" i="141" s="1"/>
  <c r="L829" i="127"/>
  <c r="O799" i="127"/>
  <c r="L181" i="141" s="1"/>
  <c r="S796" i="127"/>
  <c r="N829" i="127"/>
  <c r="I801" i="127"/>
  <c r="F183" i="141" s="1"/>
  <c r="C801" i="127"/>
  <c r="Q829" i="127"/>
  <c r="P832" i="127"/>
  <c r="M191" i="141" s="1"/>
  <c r="T831" i="127"/>
  <c r="Q190" i="141" s="1"/>
  <c r="U797" i="127"/>
  <c r="R179" i="141" s="1"/>
  <c r="S830" i="127"/>
  <c r="P189" i="141" s="1"/>
  <c r="D799" i="127"/>
  <c r="D832" i="127"/>
  <c r="G939" i="152"/>
  <c r="G968" i="152"/>
  <c r="G1030" i="152"/>
  <c r="W593" i="112"/>
  <c r="H593" i="112" s="1"/>
  <c r="F593" i="112" s="1"/>
  <c r="D593" i="112" s="1"/>
  <c r="G197" i="200" s="1"/>
  <c r="G633" i="151"/>
  <c r="G892" i="152"/>
  <c r="G921" i="152"/>
  <c r="G1009" i="152"/>
  <c r="B8" i="183"/>
  <c r="AJ32" i="183"/>
  <c r="BA32" i="183"/>
  <c r="S32" i="183"/>
  <c r="B9" i="183"/>
  <c r="CI32" i="183"/>
  <c r="BR32" i="183"/>
  <c r="CZ32" i="183"/>
  <c r="DQ32" i="183"/>
  <c r="EH32" i="183"/>
  <c r="EY32" i="183"/>
  <c r="B32" i="183"/>
  <c r="V147" i="187"/>
  <c r="S147" i="187"/>
  <c r="R147" i="187"/>
  <c r="W147" i="187"/>
  <c r="O147" i="187"/>
  <c r="N147" i="187"/>
  <c r="W146" i="187"/>
  <c r="V146" i="187"/>
  <c r="N146" i="187"/>
  <c r="S146" i="187"/>
  <c r="O146" i="187"/>
  <c r="R146" i="187"/>
  <c r="N145" i="187"/>
  <c r="V145" i="187"/>
  <c r="R145" i="187"/>
  <c r="S122" i="187"/>
  <c r="O122" i="187"/>
  <c r="W122" i="187"/>
  <c r="O124" i="187"/>
  <c r="W124" i="187"/>
  <c r="S124" i="187"/>
  <c r="J145" i="187"/>
  <c r="H155" i="180"/>
  <c r="G155" i="180"/>
  <c r="F145" i="187"/>
  <c r="G120" i="180"/>
  <c r="H120" i="180"/>
  <c r="G147" i="187"/>
  <c r="F147" i="187"/>
  <c r="H157" i="180"/>
  <c r="G157" i="180"/>
  <c r="J147" i="187"/>
  <c r="K147" i="187"/>
  <c r="H156" i="180"/>
  <c r="J146" i="187"/>
  <c r="G146" i="187"/>
  <c r="F146" i="187"/>
  <c r="K146" i="187"/>
  <c r="G156" i="180"/>
  <c r="G118" i="180"/>
  <c r="H118" i="180"/>
  <c r="V290" i="112"/>
  <c r="N290" i="112"/>
  <c r="F290" i="112" s="1"/>
  <c r="D290" i="112" s="1"/>
  <c r="O158" i="141"/>
  <c r="W823" i="126"/>
  <c r="T170" i="141" s="1"/>
  <c r="V798" i="127"/>
  <c r="S180" i="141" s="1"/>
  <c r="I800" i="99"/>
  <c r="F140" i="141" s="1"/>
  <c r="I833" i="99"/>
  <c r="V821" i="126"/>
  <c r="W825" i="126"/>
  <c r="T172" i="141" s="1"/>
  <c r="W822" i="126"/>
  <c r="T169" i="141" s="1"/>
  <c r="O168" i="141"/>
  <c r="Q180" i="141"/>
  <c r="V792" i="126"/>
  <c r="S162" i="141" s="1"/>
  <c r="V790" i="126"/>
  <c r="S160" i="141" s="1"/>
  <c r="O162" i="141"/>
  <c r="V822" i="126"/>
  <c r="S169" i="141" s="1"/>
  <c r="W821" i="126"/>
  <c r="V823" i="126"/>
  <c r="S170" i="141" s="1"/>
  <c r="V824" i="126"/>
  <c r="S171" i="141" s="1"/>
  <c r="V825" i="126"/>
  <c r="S172" i="141" s="1"/>
  <c r="P168" i="141"/>
  <c r="V789" i="126"/>
  <c r="S159" i="141" s="1"/>
  <c r="W792" i="126"/>
  <c r="T162" i="141" s="1"/>
  <c r="W788" i="126"/>
  <c r="W790" i="126"/>
  <c r="T160" i="141" s="1"/>
  <c r="W789" i="126"/>
  <c r="T159" i="141" s="1"/>
  <c r="R801" i="99"/>
  <c r="O141" i="141" s="1"/>
  <c r="R800" i="99"/>
  <c r="O140" i="141" s="1"/>
  <c r="Q798" i="99"/>
  <c r="P802" i="99"/>
  <c r="M142" i="141" s="1"/>
  <c r="L834" i="99"/>
  <c r="I151" i="141" s="1"/>
  <c r="U833" i="99"/>
  <c r="R150" i="141" s="1"/>
  <c r="Q831" i="99"/>
  <c r="J831" i="99"/>
  <c r="Q800" i="99"/>
  <c r="N140" i="141" s="1"/>
  <c r="P834" i="99"/>
  <c r="M151" i="141" s="1"/>
  <c r="L833" i="99"/>
  <c r="I150" i="141" s="1"/>
  <c r="S801" i="99"/>
  <c r="P141" i="141" s="1"/>
  <c r="L831" i="99"/>
  <c r="R799" i="99"/>
  <c r="O139" i="141" s="1"/>
  <c r="F831" i="99"/>
  <c r="C148" i="141" s="1"/>
  <c r="I803" i="99"/>
  <c r="F143" i="141" s="1"/>
  <c r="L835" i="99"/>
  <c r="I152" i="141" s="1"/>
  <c r="P800" i="99"/>
  <c r="M140" i="141" s="1"/>
  <c r="T834" i="99"/>
  <c r="Q151" i="141" s="1"/>
  <c r="U799" i="99"/>
  <c r="R139" i="141" s="1"/>
  <c r="P831" i="99"/>
  <c r="Q834" i="99"/>
  <c r="N151" i="141" s="1"/>
  <c r="J798" i="99"/>
  <c r="I834" i="99"/>
  <c r="F151" i="141" s="1"/>
  <c r="L799" i="99"/>
  <c r="I139" i="141" s="1"/>
  <c r="R835" i="99"/>
  <c r="O152" i="141" s="1"/>
  <c r="K798" i="99"/>
  <c r="K834" i="99"/>
  <c r="L800" i="99"/>
  <c r="I140" i="141" s="1"/>
  <c r="I832" i="99"/>
  <c r="F149" i="141" s="1"/>
  <c r="I836" i="99"/>
  <c r="F153" i="141" s="1"/>
  <c r="S831" i="99"/>
  <c r="R833" i="99"/>
  <c r="O150" i="141" s="1"/>
  <c r="R831" i="99"/>
  <c r="J835" i="99"/>
  <c r="G152" i="141" s="1"/>
  <c r="Q832" i="99"/>
  <c r="N149" i="141" s="1"/>
  <c r="S798" i="99"/>
  <c r="T831" i="99"/>
  <c r="I831" i="99"/>
  <c r="S799" i="99"/>
  <c r="Q802" i="99"/>
  <c r="N142" i="141" s="1"/>
  <c r="S834" i="99"/>
  <c r="P151" i="141" s="1"/>
  <c r="I799" i="99"/>
  <c r="F139" i="141" s="1"/>
  <c r="P830" i="124"/>
  <c r="M130" i="141" s="1"/>
  <c r="K795" i="124"/>
  <c r="Q829" i="124"/>
  <c r="N129" i="141" s="1"/>
  <c r="J796" i="124"/>
  <c r="G119" i="141" s="1"/>
  <c r="S798" i="124"/>
  <c r="P121" i="141" s="1"/>
  <c r="R796" i="124"/>
  <c r="O119" i="141" s="1"/>
  <c r="R832" i="124"/>
  <c r="O132" i="141" s="1"/>
  <c r="J799" i="124"/>
  <c r="G122" i="141" s="1"/>
  <c r="I798" i="124"/>
  <c r="F121" i="141" s="1"/>
  <c r="J829" i="124"/>
  <c r="G129" i="141" s="1"/>
  <c r="Q830" i="124"/>
  <c r="N130" i="141" s="1"/>
  <c r="K829" i="124"/>
  <c r="L829" i="124"/>
  <c r="I129" i="141" s="1"/>
  <c r="J830" i="124"/>
  <c r="G130" i="141" s="1"/>
  <c r="F828" i="124"/>
  <c r="C128" i="141" s="1"/>
  <c r="L797" i="124"/>
  <c r="I120" i="141" s="1"/>
  <c r="J797" i="124"/>
  <c r="G120" i="141" s="1"/>
  <c r="K798" i="124"/>
  <c r="R829" i="124"/>
  <c r="O129" i="141" s="1"/>
  <c r="L831" i="124"/>
  <c r="I131" i="141" s="1"/>
  <c r="O795" i="124"/>
  <c r="S829" i="124"/>
  <c r="P129" i="141" s="1"/>
  <c r="R799" i="124"/>
  <c r="O122" i="141" s="1"/>
  <c r="P831" i="124"/>
  <c r="M131" i="141" s="1"/>
  <c r="I796" i="124"/>
  <c r="F119" i="141" s="1"/>
  <c r="Q796" i="124"/>
  <c r="N119" i="141" s="1"/>
  <c r="P795" i="124"/>
  <c r="J798" i="124"/>
  <c r="G121" i="141" s="1"/>
  <c r="I831" i="124"/>
  <c r="F131" i="141" s="1"/>
  <c r="L828" i="124"/>
  <c r="N795" i="124"/>
  <c r="L798" i="124"/>
  <c r="I121" i="141" s="1"/>
  <c r="S795" i="124"/>
  <c r="U799" i="124"/>
  <c r="R122" i="141" s="1"/>
  <c r="U830" i="124"/>
  <c r="R130" i="141" s="1"/>
  <c r="R795" i="124"/>
  <c r="U832" i="124"/>
  <c r="R132" i="141" s="1"/>
  <c r="P798" i="124"/>
  <c r="M121" i="141" s="1"/>
  <c r="P829" i="124"/>
  <c r="M129" i="141" s="1"/>
  <c r="I795" i="124"/>
  <c r="J795" i="124"/>
  <c r="P799" i="124"/>
  <c r="M122" i="141" s="1"/>
  <c r="Q797" i="124"/>
  <c r="N120" i="141" s="1"/>
  <c r="Q799" i="124"/>
  <c r="N122" i="141" s="1"/>
  <c r="R831" i="124"/>
  <c r="O131" i="141" s="1"/>
  <c r="J832" i="124"/>
  <c r="G132" i="141" s="1"/>
  <c r="I828" i="124"/>
  <c r="O800" i="99"/>
  <c r="L140" i="141" s="1"/>
  <c r="N833" i="99"/>
  <c r="K150" i="141" s="1"/>
  <c r="N834" i="99"/>
  <c r="K151" i="141" s="1"/>
  <c r="P833" i="99"/>
  <c r="M150" i="141" s="1"/>
  <c r="S832" i="99"/>
  <c r="J833" i="99"/>
  <c r="G150" i="141" s="1"/>
  <c r="K831" i="99"/>
  <c r="I801" i="99"/>
  <c r="F141" i="141" s="1"/>
  <c r="N801" i="99"/>
  <c r="K141" i="141" s="1"/>
  <c r="T802" i="99"/>
  <c r="Q142" i="141" s="1"/>
  <c r="O801" i="99"/>
  <c r="L141" i="141" s="1"/>
  <c r="U836" i="99"/>
  <c r="R153" i="141" s="1"/>
  <c r="N800" i="99"/>
  <c r="K140" i="141" s="1"/>
  <c r="P798" i="99"/>
  <c r="J802" i="99"/>
  <c r="G142" i="141" s="1"/>
  <c r="S802" i="99"/>
  <c r="P835" i="99"/>
  <c r="M152" i="141" s="1"/>
  <c r="R834" i="99"/>
  <c r="U834" i="99"/>
  <c r="U798" i="99"/>
  <c r="P799" i="99"/>
  <c r="M139" i="141" s="1"/>
  <c r="Q801" i="99"/>
  <c r="N141" i="141" s="1"/>
  <c r="Q799" i="99"/>
  <c r="N139" i="141" s="1"/>
  <c r="U802" i="99"/>
  <c r="R142" i="141" s="1"/>
  <c r="U831" i="99"/>
  <c r="O834" i="99"/>
  <c r="L151" i="141" s="1"/>
  <c r="L801" i="99"/>
  <c r="I141" i="141" s="1"/>
  <c r="K799" i="99"/>
  <c r="K832" i="99"/>
  <c r="F798" i="99"/>
  <c r="C138" i="141" s="1"/>
  <c r="T832" i="99"/>
  <c r="T798" i="99"/>
  <c r="L802" i="99"/>
  <c r="I142" i="141" s="1"/>
  <c r="S835" i="99"/>
  <c r="J799" i="99"/>
  <c r="G139" i="141" s="1"/>
  <c r="I798" i="99"/>
  <c r="U801" i="99"/>
  <c r="P801" i="99"/>
  <c r="M141" i="141" s="1"/>
  <c r="S800" i="99"/>
  <c r="J801" i="99"/>
  <c r="G141" i="141" s="1"/>
  <c r="J834" i="99"/>
  <c r="G151" i="141" s="1"/>
  <c r="T836" i="99"/>
  <c r="Q153" i="141" s="1"/>
  <c r="U803" i="99"/>
  <c r="R143" i="141" s="1"/>
  <c r="J800" i="99"/>
  <c r="G140" i="141" s="1"/>
  <c r="J832" i="99"/>
  <c r="G149" i="141" s="1"/>
  <c r="Q835" i="99"/>
  <c r="N152" i="141" s="1"/>
  <c r="T800" i="99"/>
  <c r="S833" i="99"/>
  <c r="R802" i="99"/>
  <c r="P832" i="99"/>
  <c r="M149" i="141" s="1"/>
  <c r="U832" i="99"/>
  <c r="R149" i="141" s="1"/>
  <c r="T799" i="99"/>
  <c r="O831" i="99"/>
  <c r="R798" i="99"/>
  <c r="R832" i="99"/>
  <c r="T833" i="99"/>
  <c r="U800" i="99"/>
  <c r="R140" i="141" s="1"/>
  <c r="N798" i="99"/>
  <c r="T835" i="99"/>
  <c r="K835" i="99"/>
  <c r="N831" i="99"/>
  <c r="T803" i="99"/>
  <c r="Q143" i="141" s="1"/>
  <c r="K802" i="99"/>
  <c r="T801" i="99"/>
  <c r="O833" i="99"/>
  <c r="L150" i="141" s="1"/>
  <c r="U835" i="99"/>
  <c r="R152" i="141" s="1"/>
  <c r="L798" i="99"/>
  <c r="O798" i="99"/>
  <c r="Q833" i="99"/>
  <c r="N150" i="141" s="1"/>
  <c r="K801" i="99"/>
  <c r="L832" i="99"/>
  <c r="I149" i="141" s="1"/>
  <c r="T830" i="124"/>
  <c r="Q130" i="141" s="1"/>
  <c r="N798" i="124"/>
  <c r="K121" i="141" s="1"/>
  <c r="O831" i="124"/>
  <c r="L131" i="141" s="1"/>
  <c r="U831" i="124"/>
  <c r="R131" i="141" s="1"/>
  <c r="U795" i="124"/>
  <c r="S828" i="124"/>
  <c r="Q795" i="124"/>
  <c r="S830" i="124"/>
  <c r="F795" i="124"/>
  <c r="C118" i="141" s="1"/>
  <c r="R830" i="124"/>
  <c r="L795" i="124"/>
  <c r="U797" i="124"/>
  <c r="R120" i="141" s="1"/>
  <c r="T795" i="124"/>
  <c r="T829" i="124"/>
  <c r="T831" i="124"/>
  <c r="U829" i="124"/>
  <c r="K832" i="124"/>
  <c r="L830" i="124"/>
  <c r="I130" i="141" s="1"/>
  <c r="Q828" i="124"/>
  <c r="N828" i="124"/>
  <c r="P832" i="124"/>
  <c r="M132" i="141" s="1"/>
  <c r="P796" i="124"/>
  <c r="M119" i="141" s="1"/>
  <c r="I800" i="124"/>
  <c r="F123" i="141" s="1"/>
  <c r="N797" i="124"/>
  <c r="K120" i="141" s="1"/>
  <c r="T796" i="124"/>
  <c r="T797" i="124"/>
  <c r="Q120" i="141" s="1"/>
  <c r="U798" i="124"/>
  <c r="L832" i="124"/>
  <c r="I132" i="141" s="1"/>
  <c r="J831" i="124"/>
  <c r="G131" i="141" s="1"/>
  <c r="J828" i="124"/>
  <c r="I833" i="124"/>
  <c r="F133" i="141" s="1"/>
  <c r="T832" i="124"/>
  <c r="T798" i="124"/>
  <c r="Q121" i="141" s="1"/>
  <c r="S831" i="124"/>
  <c r="L799" i="124"/>
  <c r="I122" i="141" s="1"/>
  <c r="R797" i="124"/>
  <c r="K796" i="124"/>
  <c r="T833" i="124"/>
  <c r="Q133" i="141" s="1"/>
  <c r="O830" i="124"/>
  <c r="L130" i="141" s="1"/>
  <c r="Q832" i="124"/>
  <c r="N132" i="141" s="1"/>
  <c r="S832" i="124"/>
  <c r="K828" i="124"/>
  <c r="S796" i="124"/>
  <c r="O798" i="124"/>
  <c r="L121" i="141" s="1"/>
  <c r="T799" i="124"/>
  <c r="I829" i="124"/>
  <c r="F129" i="141" s="1"/>
  <c r="Q798" i="124"/>
  <c r="N121" i="141" s="1"/>
  <c r="R828" i="124"/>
  <c r="P797" i="124"/>
  <c r="M120" i="141" s="1"/>
  <c r="U800" i="124"/>
  <c r="R123" i="141" s="1"/>
  <c r="U833" i="124"/>
  <c r="R133" i="141" s="1"/>
  <c r="Q831" i="124"/>
  <c r="N131" i="141" s="1"/>
  <c r="K831" i="124"/>
  <c r="R798" i="124"/>
  <c r="O828" i="124"/>
  <c r="K799" i="124"/>
  <c r="O797" i="124"/>
  <c r="L120" i="141" s="1"/>
  <c r="N830" i="124"/>
  <c r="K130" i="141" s="1"/>
  <c r="T800" i="124"/>
  <c r="Q123" i="141" s="1"/>
  <c r="S799" i="124"/>
  <c r="U828" i="124"/>
  <c r="N831" i="124"/>
  <c r="K131" i="141" s="1"/>
  <c r="U796" i="124"/>
  <c r="R119" i="141" s="1"/>
  <c r="T828" i="124"/>
  <c r="L796" i="124"/>
  <c r="I119" i="141" s="1"/>
  <c r="S797" i="124"/>
  <c r="R65" i="141"/>
  <c r="Q65" i="141"/>
  <c r="R103" i="141"/>
  <c r="Q73" i="141"/>
  <c r="R114" i="141"/>
  <c r="R73" i="141"/>
  <c r="Q114" i="141"/>
  <c r="Q103" i="141"/>
  <c r="D372" i="112"/>
  <c r="F39" i="159" s="1"/>
  <c r="D831" i="124"/>
  <c r="C800" i="124"/>
  <c r="C833" i="124"/>
  <c r="D798" i="124"/>
  <c r="C795" i="124"/>
  <c r="D797" i="124"/>
  <c r="D795" i="124"/>
  <c r="D799" i="124"/>
  <c r="C832" i="124"/>
  <c r="D828" i="124"/>
  <c r="D830" i="124"/>
  <c r="D832" i="124"/>
  <c r="C799" i="124"/>
  <c r="C828" i="124"/>
  <c r="R110" i="128"/>
  <c r="U110" i="128" s="1"/>
  <c r="R114" i="128"/>
  <c r="U114" i="128" s="1"/>
  <c r="R111" i="128"/>
  <c r="U111" i="128" s="1"/>
  <c r="R108" i="128"/>
  <c r="U108" i="128" s="1"/>
  <c r="R112" i="128"/>
  <c r="U112" i="128" s="1"/>
  <c r="R109" i="128"/>
  <c r="U109" i="128" s="1"/>
  <c r="R113" i="128"/>
  <c r="U113" i="128" s="1"/>
  <c r="G602" i="151"/>
  <c r="G631" i="151"/>
  <c r="G919" i="152"/>
  <c r="G890" i="152"/>
  <c r="M197" i="166"/>
  <c r="F379" i="112"/>
  <c r="D379" i="112" s="1"/>
  <c r="F378" i="112"/>
  <c r="D378" i="112" s="1"/>
  <c r="M187" i="166"/>
  <c r="W87" i="112"/>
  <c r="H87" i="112" s="1"/>
  <c r="F171" i="141"/>
  <c r="B84" i="159"/>
  <c r="G122" i="187"/>
  <c r="K122" i="187"/>
  <c r="R568" i="107"/>
  <c r="R558" i="122"/>
  <c r="X558" i="122"/>
  <c r="R567" i="121"/>
  <c r="X567" i="121"/>
  <c r="R437" i="122"/>
  <c r="X437" i="122"/>
  <c r="R446" i="121"/>
  <c r="X446" i="121"/>
  <c r="BU124" i="163"/>
  <c r="I15" i="120"/>
  <c r="J15" i="120"/>
  <c r="C15" i="120" s="1" a="1"/>
  <c r="C15" i="120" s="1"/>
  <c r="W133" i="112"/>
  <c r="R102" i="128"/>
  <c r="U102" i="128" s="1"/>
  <c r="R106" i="128"/>
  <c r="U106" i="128" s="1"/>
  <c r="R103" i="128"/>
  <c r="U103" i="128" s="1"/>
  <c r="R107" i="128"/>
  <c r="U107" i="128" s="1"/>
  <c r="R104" i="128"/>
  <c r="U104" i="128" s="1"/>
  <c r="R101" i="128"/>
  <c r="U101" i="128" s="1"/>
  <c r="R105" i="128"/>
  <c r="U105" i="128" s="1"/>
  <c r="M189" i="166"/>
  <c r="F366" i="112"/>
  <c r="D366" i="112" s="1"/>
  <c r="F161" i="141"/>
  <c r="M179" i="166"/>
  <c r="F364" i="112"/>
  <c r="D364" i="112" s="1"/>
  <c r="AC140" i="128"/>
  <c r="Y564" i="112" s="1"/>
  <c r="M564" i="112" s="1"/>
  <c r="AD140" i="128"/>
  <c r="W564" i="112" s="1"/>
  <c r="AB141" i="128"/>
  <c r="X565" i="112" s="1"/>
  <c r="AC141" i="128"/>
  <c r="Y565" i="112" s="1"/>
  <c r="M565" i="112" s="1"/>
  <c r="AD141" i="128"/>
  <c r="AB142" i="128"/>
  <c r="X566" i="112" s="1"/>
  <c r="AC142" i="128"/>
  <c r="Y566" i="112" s="1"/>
  <c r="M566" i="112" s="1"/>
  <c r="AD142" i="128"/>
  <c r="W566" i="112" s="1"/>
  <c r="H566" i="112" s="1"/>
  <c r="BF239" i="164" s="1"/>
  <c r="I46" i="164" s="1"/>
  <c r="AB139" i="128"/>
  <c r="X563" i="112" s="1"/>
  <c r="AC139" i="128"/>
  <c r="Y563" i="112" s="1"/>
  <c r="M563" i="112" s="1"/>
  <c r="AD139" i="128"/>
  <c r="AB140" i="128"/>
  <c r="X564" i="112" s="1"/>
  <c r="E788" i="126"/>
  <c r="F352" i="112"/>
  <c r="D352" i="112" s="1"/>
  <c r="M191" i="166"/>
  <c r="M181" i="166"/>
  <c r="F350" i="112"/>
  <c r="D350" i="112" s="1"/>
  <c r="B86" i="159"/>
  <c r="G124" i="187"/>
  <c r="K124" i="187"/>
  <c r="R570" i="107"/>
  <c r="R439" i="122"/>
  <c r="X439" i="122"/>
  <c r="R448" i="121"/>
  <c r="X448" i="121"/>
  <c r="R560" i="122"/>
  <c r="X560" i="122"/>
  <c r="R569" i="121"/>
  <c r="X569" i="121"/>
  <c r="F383" i="112"/>
  <c r="D383" i="112" s="1"/>
  <c r="D40" i="116" s="1"/>
  <c r="M175" i="166"/>
  <c r="G605" i="151"/>
  <c r="G634" i="151"/>
  <c r="G1010" i="152" a="1"/>
  <c r="G1010" i="152" s="1"/>
  <c r="G893" i="152"/>
  <c r="G1031" i="152" a="1"/>
  <c r="G1031" i="152" s="1"/>
  <c r="G922" i="152" a="1"/>
  <c r="G922" i="152" s="1"/>
  <c r="G969" i="152" a="1"/>
  <c r="G969" i="152" s="1"/>
  <c r="G940" i="152" a="1"/>
  <c r="G940" i="152" s="1"/>
  <c r="E463" i="97"/>
  <c r="E365" i="97"/>
  <c r="E359" i="126"/>
  <c r="E391" i="126"/>
  <c r="E564" i="126"/>
  <c r="E699" i="126"/>
  <c r="E357" i="127"/>
  <c r="E359" i="107"/>
  <c r="E391" i="107"/>
  <c r="E582" i="107"/>
  <c r="E707" i="127"/>
  <c r="E424" i="107"/>
  <c r="E484" i="107"/>
  <c r="E439" i="151"/>
  <c r="K554" i="152"/>
  <c r="E357" i="152"/>
  <c r="E572" i="127"/>
  <c r="E358" i="151"/>
  <c r="E390" i="151"/>
  <c r="E389" i="152"/>
  <c r="E520" i="151"/>
  <c r="K693" i="152"/>
  <c r="E338" i="125"/>
  <c r="L351" i="125" s="1"/>
  <c r="E737" i="152"/>
  <c r="E495" i="125"/>
  <c r="E435" i="152"/>
  <c r="E397" i="125"/>
  <c r="E584" i="152"/>
  <c r="E357" i="122"/>
  <c r="E473" i="98"/>
  <c r="E463" i="122"/>
  <c r="E608" i="98"/>
  <c r="E472" i="121"/>
  <c r="E598" i="122"/>
  <c r="E607" i="121"/>
  <c r="E572" i="100"/>
  <c r="E357" i="100"/>
  <c r="E396" i="100"/>
  <c r="E707" i="100"/>
  <c r="E359" i="123"/>
  <c r="E706" i="124"/>
  <c r="E563" i="123"/>
  <c r="E391" i="123"/>
  <c r="E571" i="124"/>
  <c r="E357" i="99"/>
  <c r="E574" i="99"/>
  <c r="E709" i="99"/>
  <c r="E357" i="124"/>
  <c r="E396" i="124"/>
  <c r="E430" i="123"/>
  <c r="E698" i="123"/>
  <c r="J14" i="120"/>
  <c r="C14" i="120" s="1" a="1"/>
  <c r="C14" i="120" s="1"/>
  <c r="I14" i="120"/>
  <c r="M199" i="166"/>
  <c r="F367" i="112"/>
  <c r="D367" i="112" s="1"/>
  <c r="E337" i="126"/>
  <c r="E337" i="107"/>
  <c r="E337" i="127"/>
  <c r="E480" i="127"/>
  <c r="E335" i="152"/>
  <c r="E336" i="151"/>
  <c r="E380" i="98"/>
  <c r="E335" i="122"/>
  <c r="E337" i="100"/>
  <c r="E380" i="121"/>
  <c r="E336" i="98"/>
  <c r="E336" i="121"/>
  <c r="E337" i="124"/>
  <c r="E479" i="100"/>
  <c r="E337" i="123"/>
  <c r="E481" i="99"/>
  <c r="E337" i="99"/>
  <c r="E479" i="124"/>
  <c r="G603" i="151"/>
  <c r="G632" i="151"/>
  <c r="G920" i="152"/>
  <c r="G938" i="152"/>
  <c r="G1008" i="152"/>
  <c r="G891" i="152"/>
  <c r="M193" i="166"/>
  <c r="F360" i="112"/>
  <c r="D360" i="112" s="1"/>
  <c r="R118" i="128"/>
  <c r="U118" i="128" s="1"/>
  <c r="R115" i="128"/>
  <c r="U115" i="128" s="1"/>
  <c r="R119" i="128"/>
  <c r="U119" i="128" s="1"/>
  <c r="R116" i="128"/>
  <c r="U116" i="128" s="1"/>
  <c r="R120" i="128"/>
  <c r="U120" i="128" s="1"/>
  <c r="R117" i="128"/>
  <c r="U117" i="128" s="1"/>
  <c r="R121" i="128"/>
  <c r="U121" i="128" s="1"/>
  <c r="S123" i="128"/>
  <c r="X125" i="112" s="1"/>
  <c r="T123" i="128"/>
  <c r="Y125" i="112" s="1"/>
  <c r="M125" i="112" s="1"/>
  <c r="W125" i="112"/>
  <c r="H125" i="112" s="1"/>
  <c r="BF249" i="164" s="1"/>
  <c r="I101" i="164" s="1"/>
  <c r="F359" i="112"/>
  <c r="D359" i="112" s="1"/>
  <c r="M183" i="166"/>
  <c r="E821" i="126"/>
  <c r="M173" i="166"/>
  <c r="F357" i="112"/>
  <c r="D357" i="112" s="1"/>
  <c r="F385" i="112"/>
  <c r="D385" i="112" s="1"/>
  <c r="D39" i="116" s="1"/>
  <c r="M185" i="166"/>
  <c r="D373" i="112"/>
  <c r="F386" i="112"/>
  <c r="D386" i="112" s="1"/>
  <c r="D38" i="116" s="1"/>
  <c r="M195" i="166"/>
  <c r="R98" i="128"/>
  <c r="U98" i="128" s="1"/>
  <c r="R95" i="128"/>
  <c r="U95" i="128" s="1"/>
  <c r="R99" i="128"/>
  <c r="U99" i="128" s="1"/>
  <c r="R96" i="128"/>
  <c r="U96" i="128" s="1"/>
  <c r="R100" i="128"/>
  <c r="U100" i="128" s="1"/>
  <c r="R94" i="128"/>
  <c r="U94" i="128" s="1"/>
  <c r="R97" i="128"/>
  <c r="U97" i="128" s="1"/>
  <c r="M201" i="166"/>
  <c r="F353" i="112"/>
  <c r="D353" i="112" s="1"/>
  <c r="W704" i="112"/>
  <c r="H704" i="112" s="1"/>
  <c r="L94" i="128"/>
  <c r="J97" i="128"/>
  <c r="W708" i="112" s="1"/>
  <c r="H708" i="112" s="1"/>
  <c r="F708" i="112" s="1"/>
  <c r="D708" i="112" s="1"/>
  <c r="G13" i="188" s="1"/>
  <c r="D376" i="112"/>
  <c r="M177" i="166"/>
  <c r="D370" i="112"/>
  <c r="G39" i="159" s="1"/>
  <c r="C802" i="99"/>
  <c r="C835" i="99"/>
  <c r="D802" i="99"/>
  <c r="C798" i="99"/>
  <c r="D835" i="99"/>
  <c r="D800" i="99"/>
  <c r="C831" i="99"/>
  <c r="D833" i="99"/>
  <c r="D831" i="99"/>
  <c r="D798" i="99"/>
  <c r="D801" i="99"/>
  <c r="C803" i="99"/>
  <c r="C836" i="99"/>
  <c r="D834" i="99"/>
  <c r="AA72" i="145"/>
  <c r="T128" i="128" l="1"/>
  <c r="Y119" i="112" s="1"/>
  <c r="M119" i="112" s="1"/>
  <c r="S128" i="128"/>
  <c r="X119" i="112" s="1"/>
  <c r="S125" i="128"/>
  <c r="X121" i="112" s="1"/>
  <c r="W121" i="112"/>
  <c r="H121" i="112" s="1"/>
  <c r="BF251" i="164" s="1"/>
  <c r="I107" i="164" s="1"/>
  <c r="Q188" i="141"/>
  <c r="T835" i="127"/>
  <c r="R188" i="141"/>
  <c r="N188" i="141"/>
  <c r="P188" i="141"/>
  <c r="O188" i="141"/>
  <c r="K188" i="141"/>
  <c r="G188" i="141"/>
  <c r="I188" i="141"/>
  <c r="F188" i="141"/>
  <c r="O178" i="141"/>
  <c r="Q178" i="141"/>
  <c r="T802" i="127"/>
  <c r="P178" i="141"/>
  <c r="L178" i="141"/>
  <c r="U802" i="127"/>
  <c r="N178" i="141"/>
  <c r="K178" i="141"/>
  <c r="G178" i="141"/>
  <c r="I178" i="141"/>
  <c r="S168" i="141"/>
  <c r="T168" i="141"/>
  <c r="T794" i="126"/>
  <c r="S158" i="141"/>
  <c r="T158" i="141"/>
  <c r="P148" i="141"/>
  <c r="L148" i="141"/>
  <c r="Q148" i="141"/>
  <c r="T837" i="99"/>
  <c r="N148" i="141"/>
  <c r="U837" i="99"/>
  <c r="M148" i="141"/>
  <c r="K148" i="141"/>
  <c r="G148" i="141"/>
  <c r="F148" i="141"/>
  <c r="I148" i="141"/>
  <c r="U804" i="99"/>
  <c r="N138" i="141"/>
  <c r="T804" i="99"/>
  <c r="P138" i="141"/>
  <c r="M138" i="141"/>
  <c r="L138" i="141"/>
  <c r="K138" i="141"/>
  <c r="F138" i="141"/>
  <c r="I138" i="141"/>
  <c r="G138" i="141"/>
  <c r="T834" i="124"/>
  <c r="L128" i="141"/>
  <c r="U834" i="124"/>
  <c r="N128" i="141"/>
  <c r="K128" i="141"/>
  <c r="F128" i="141"/>
  <c r="G128" i="141"/>
  <c r="I128" i="141"/>
  <c r="N118" i="141"/>
  <c r="O118" i="141"/>
  <c r="L118" i="141"/>
  <c r="M118" i="141"/>
  <c r="P118" i="141"/>
  <c r="U801" i="124"/>
  <c r="T801" i="124"/>
  <c r="K118" i="141"/>
  <c r="G118" i="141"/>
  <c r="I118" i="141"/>
  <c r="F118" i="141"/>
  <c r="Q53" i="141"/>
  <c r="T720" i="122"/>
  <c r="N53" i="141"/>
  <c r="P53" i="141"/>
  <c r="O53" i="141"/>
  <c r="L53" i="141"/>
  <c r="M53" i="141"/>
  <c r="R53" i="141"/>
  <c r="U720" i="122"/>
  <c r="K53" i="141"/>
  <c r="F53" i="141"/>
  <c r="I720" i="122"/>
  <c r="G53" i="141"/>
  <c r="C53" i="141"/>
  <c r="I53" i="141"/>
  <c r="M45" i="141"/>
  <c r="N45" i="141"/>
  <c r="P45" i="141"/>
  <c r="Q45" i="141"/>
  <c r="T690" i="122"/>
  <c r="L45" i="141"/>
  <c r="O45" i="141"/>
  <c r="R45" i="141"/>
  <c r="U690" i="122"/>
  <c r="K45" i="141"/>
  <c r="G45" i="141"/>
  <c r="F45" i="141"/>
  <c r="I690" i="122"/>
  <c r="I45" i="141"/>
  <c r="C45" i="141"/>
  <c r="E687" i="122"/>
  <c r="T126" i="128"/>
  <c r="Y123" i="112" s="1"/>
  <c r="M123" i="112" s="1"/>
  <c r="S126" i="128"/>
  <c r="X123" i="112" s="1"/>
  <c r="L123" i="112" s="1"/>
  <c r="S127" i="128"/>
  <c r="X122" i="112" s="1"/>
  <c r="L122" i="112" s="1"/>
  <c r="BJ252" i="164" s="1"/>
  <c r="M110" i="164" s="1"/>
  <c r="W120" i="112"/>
  <c r="H120" i="112" s="1"/>
  <c r="BF248" i="164" s="1"/>
  <c r="I98" i="164" s="1"/>
  <c r="T127" i="128"/>
  <c r="Y122" i="112" s="1"/>
  <c r="M122" i="112" s="1"/>
  <c r="BK252" i="164" s="1"/>
  <c r="O110" i="164" s="1"/>
  <c r="W126" i="112"/>
  <c r="H126" i="112" s="1"/>
  <c r="BF250" i="164" s="1"/>
  <c r="I104" i="164" s="1"/>
  <c r="T124" i="128"/>
  <c r="Y126" i="112" s="1"/>
  <c r="M126" i="112" s="1"/>
  <c r="BK250" i="164" s="1"/>
  <c r="O104" i="164" s="1"/>
  <c r="T122" i="128"/>
  <c r="Y120" i="112" s="1"/>
  <c r="M120" i="112" s="1"/>
  <c r="BK248" i="164" s="1"/>
  <c r="O98" i="164" s="1"/>
  <c r="B50" i="207" a="1"/>
  <c r="B50" i="207" s="1"/>
  <c r="W462" i="112" s="1"/>
  <c r="H462" i="112" s="1"/>
  <c r="V462" i="112" s="1"/>
  <c r="H192" i="141"/>
  <c r="H189" i="141"/>
  <c r="H188" i="141"/>
  <c r="H191" i="141"/>
  <c r="H179" i="141"/>
  <c r="H182" i="141"/>
  <c r="H181" i="141"/>
  <c r="H152" i="141"/>
  <c r="H148" i="141"/>
  <c r="H151" i="141"/>
  <c r="H149" i="141"/>
  <c r="H139" i="141"/>
  <c r="H142" i="141"/>
  <c r="H141" i="141"/>
  <c r="H138" i="141"/>
  <c r="H132" i="141"/>
  <c r="H131" i="141"/>
  <c r="H129" i="141"/>
  <c r="H128" i="141"/>
  <c r="H121" i="141"/>
  <c r="H122" i="141"/>
  <c r="H119" i="141"/>
  <c r="H118" i="141"/>
  <c r="H55" i="141"/>
  <c r="H53" i="141"/>
  <c r="H54" i="141"/>
  <c r="H46" i="141"/>
  <c r="H47" i="141"/>
  <c r="H45" i="141"/>
  <c r="H33" i="180"/>
  <c r="V791" i="126"/>
  <c r="S161" i="141" s="1"/>
  <c r="D45" i="116"/>
  <c r="D47" i="116"/>
  <c r="D48" i="116"/>
  <c r="D44" i="116"/>
  <c r="D49" i="116"/>
  <c r="D46" i="116"/>
  <c r="U831" i="127"/>
  <c r="U835" i="127" s="1"/>
  <c r="H175" i="180"/>
  <c r="H176" i="180" s="1"/>
  <c r="K165" i="187"/>
  <c r="K166" i="187" s="1"/>
  <c r="N165" i="187"/>
  <c r="N166" i="187" s="1"/>
  <c r="AQ165" i="187"/>
  <c r="AQ166" i="187" s="1"/>
  <c r="G185" i="200"/>
  <c r="G186" i="200" s="1"/>
  <c r="R165" i="187"/>
  <c r="R166" i="187" s="1"/>
  <c r="G165" i="187"/>
  <c r="G166" i="187" s="1"/>
  <c r="G175" i="180"/>
  <c r="G176" i="180" s="1"/>
  <c r="W165" i="187"/>
  <c r="W166" i="187" s="1"/>
  <c r="AN165" i="187"/>
  <c r="AN166" i="187" s="1"/>
  <c r="U791" i="126"/>
  <c r="U794" i="126" s="1"/>
  <c r="U824" i="126"/>
  <c r="U827" i="126" s="1"/>
  <c r="AD165" i="187"/>
  <c r="AD166" i="187" s="1"/>
  <c r="F165" i="187"/>
  <c r="F166" i="187" s="1"/>
  <c r="S165" i="187"/>
  <c r="S166" i="187" s="1"/>
  <c r="AM165" i="187"/>
  <c r="AM166" i="187" s="1"/>
  <c r="N33" i="161"/>
  <c r="BK90" i="161"/>
  <c r="BN90" i="161" s="1"/>
  <c r="AE165" i="187"/>
  <c r="AE166" i="187" s="1"/>
  <c r="AA165" i="187"/>
  <c r="AA166" i="187" s="1"/>
  <c r="J165" i="187"/>
  <c r="J166" i="187" s="1"/>
  <c r="AJ165" i="187"/>
  <c r="AJ166" i="187" s="1"/>
  <c r="V165" i="187"/>
  <c r="V166" i="187" s="1"/>
  <c r="AI165" i="187"/>
  <c r="AI166" i="187" s="1"/>
  <c r="O165" i="187"/>
  <c r="O166" i="187" s="1"/>
  <c r="Z165" i="187"/>
  <c r="Z166" i="187" s="1"/>
  <c r="AR165" i="187"/>
  <c r="AR166" i="187" s="1"/>
  <c r="D43" i="116"/>
  <c r="D42" i="116"/>
  <c r="D41" i="116"/>
  <c r="L566" i="112"/>
  <c r="BJ239" i="164" s="1"/>
  <c r="M46" i="164" s="1"/>
  <c r="L565" i="112"/>
  <c r="BJ240" i="164" s="1"/>
  <c r="M49" i="164" s="1"/>
  <c r="L564" i="112"/>
  <c r="BJ238" i="164" s="1"/>
  <c r="M43" i="164" s="1"/>
  <c r="L563" i="112"/>
  <c r="BJ241" i="164" s="1"/>
  <c r="M52" i="164" s="1"/>
  <c r="L126" i="112"/>
  <c r="BJ250" i="164" s="1"/>
  <c r="M104" i="164" s="1"/>
  <c r="L121" i="112"/>
  <c r="BJ251" i="164" s="1"/>
  <c r="M107" i="164" s="1"/>
  <c r="L120" i="112"/>
  <c r="BJ248" i="164" s="1"/>
  <c r="M98" i="164" s="1"/>
  <c r="L125" i="112"/>
  <c r="BJ249" i="164" s="1"/>
  <c r="M101" i="164" s="1"/>
  <c r="L119" i="112"/>
  <c r="BJ253" i="164" s="1"/>
  <c r="M113" i="164" s="1"/>
  <c r="H133" i="112"/>
  <c r="V133" i="112" s="1"/>
  <c r="H119" i="112"/>
  <c r="BF253" i="164" s="1"/>
  <c r="I113" i="164" s="1"/>
  <c r="D37" i="116"/>
  <c r="D36" i="116"/>
  <c r="D35" i="116"/>
  <c r="V830" i="127"/>
  <c r="S189" i="141" s="1"/>
  <c r="F735" i="112"/>
  <c r="D735" i="112" s="1"/>
  <c r="V735" i="112"/>
  <c r="V829" i="127"/>
  <c r="W833" i="127"/>
  <c r="T192" i="141" s="1"/>
  <c r="E796" i="127"/>
  <c r="G177" i="187"/>
  <c r="Z177" i="187"/>
  <c r="AJ177" i="187"/>
  <c r="AQ177" i="187"/>
  <c r="AI177" i="187"/>
  <c r="AR177" i="187"/>
  <c r="AA177" i="187"/>
  <c r="AM177" i="187"/>
  <c r="AN177" i="187"/>
  <c r="AD177" i="187"/>
  <c r="AE177" i="187"/>
  <c r="S47" i="141"/>
  <c r="W688" i="122"/>
  <c r="T46" i="141" s="1"/>
  <c r="E717" i="122"/>
  <c r="V688" i="122"/>
  <c r="S46" i="141" s="1"/>
  <c r="T55" i="141"/>
  <c r="T47" i="141"/>
  <c r="V717" i="122"/>
  <c r="W687" i="122"/>
  <c r="O47" i="141"/>
  <c r="V687" i="122"/>
  <c r="W717" i="122"/>
  <c r="W718" i="122"/>
  <c r="T54" i="141" s="1"/>
  <c r="V718" i="122"/>
  <c r="S54" i="141" s="1"/>
  <c r="S55" i="141"/>
  <c r="G36" i="159"/>
  <c r="V833" i="127"/>
  <c r="S192" i="141" s="1"/>
  <c r="E829" i="127"/>
  <c r="E833" i="127"/>
  <c r="E800" i="127"/>
  <c r="W798" i="127"/>
  <c r="T180" i="141" s="1"/>
  <c r="W799" i="127"/>
  <c r="T181" i="141" s="1"/>
  <c r="V800" i="127"/>
  <c r="S182" i="141" s="1"/>
  <c r="W830" i="127"/>
  <c r="T189" i="141" s="1"/>
  <c r="V832" i="127"/>
  <c r="S191" i="141" s="1"/>
  <c r="W797" i="127"/>
  <c r="T179" i="141" s="1"/>
  <c r="V797" i="127"/>
  <c r="S179" i="141" s="1"/>
  <c r="W177" i="187"/>
  <c r="N177" i="187"/>
  <c r="O177" i="187"/>
  <c r="V799" i="127"/>
  <c r="S181" i="141" s="1"/>
  <c r="V831" i="127"/>
  <c r="S190" i="141" s="1"/>
  <c r="V177" i="187"/>
  <c r="W829" i="127"/>
  <c r="V796" i="127"/>
  <c r="H17" i="180"/>
  <c r="H564" i="112"/>
  <c r="BF238" i="164" s="1"/>
  <c r="I43" i="164" s="1"/>
  <c r="J177" i="187"/>
  <c r="W800" i="127"/>
  <c r="T182" i="141" s="1"/>
  <c r="W796" i="127"/>
  <c r="W832" i="127"/>
  <c r="T191" i="141" s="1"/>
  <c r="R177" i="187"/>
  <c r="S177" i="187"/>
  <c r="K177" i="187"/>
  <c r="G187" i="180"/>
  <c r="H187" i="180"/>
  <c r="F177" i="187"/>
  <c r="C809" i="126"/>
  <c r="B26" i="183"/>
  <c r="B27" i="183" s="1"/>
  <c r="CZ42" i="183"/>
  <c r="DQ42" i="183"/>
  <c r="AJ42" i="183"/>
  <c r="BA42" i="183"/>
  <c r="B42" i="183"/>
  <c r="BR42" i="183"/>
  <c r="EH42" i="183"/>
  <c r="CI42" i="183"/>
  <c r="B10" i="183"/>
  <c r="S42" i="183"/>
  <c r="EY42" i="183"/>
  <c r="F150" i="141"/>
  <c r="W799" i="99"/>
  <c r="T139" i="141" s="1"/>
  <c r="P139" i="141"/>
  <c r="V831" i="99"/>
  <c r="O148" i="141"/>
  <c r="Q128" i="141"/>
  <c r="Q152" i="141"/>
  <c r="V835" i="99"/>
  <c r="S152" i="141" s="1"/>
  <c r="O128" i="141"/>
  <c r="V828" i="124"/>
  <c r="Q132" i="141"/>
  <c r="V832" i="124"/>
  <c r="S132" i="141" s="1"/>
  <c r="R129" i="141"/>
  <c r="W829" i="124"/>
  <c r="T129" i="141" s="1"/>
  <c r="Q131" i="141"/>
  <c r="V831" i="124"/>
  <c r="S131" i="141" s="1"/>
  <c r="Q150" i="141"/>
  <c r="V833" i="99"/>
  <c r="S150" i="141" s="1"/>
  <c r="R148" i="141"/>
  <c r="W831" i="99"/>
  <c r="R128" i="141"/>
  <c r="Q122" i="141"/>
  <c r="V799" i="124"/>
  <c r="S122" i="141" s="1"/>
  <c r="Q129" i="141"/>
  <c r="V829" i="124"/>
  <c r="S129" i="141" s="1"/>
  <c r="O149" i="141"/>
  <c r="V832" i="99"/>
  <c r="S149" i="141" s="1"/>
  <c r="P140" i="141"/>
  <c r="W800" i="99"/>
  <c r="T140" i="141" s="1"/>
  <c r="P122" i="141"/>
  <c r="W799" i="124"/>
  <c r="T122" i="141" s="1"/>
  <c r="Q118" i="141"/>
  <c r="V795" i="124"/>
  <c r="V798" i="99"/>
  <c r="O138" i="141"/>
  <c r="W796" i="124"/>
  <c r="T119" i="141" s="1"/>
  <c r="P119" i="141"/>
  <c r="R141" i="141"/>
  <c r="W801" i="99"/>
  <c r="T141" i="141" s="1"/>
  <c r="R121" i="141"/>
  <c r="W798" i="124"/>
  <c r="T121" i="141" s="1"/>
  <c r="Q139" i="141"/>
  <c r="V799" i="99"/>
  <c r="S139" i="141" s="1"/>
  <c r="P132" i="141"/>
  <c r="W832" i="124"/>
  <c r="T132" i="141" s="1"/>
  <c r="O130" i="141"/>
  <c r="V830" i="124"/>
  <c r="S130" i="141" s="1"/>
  <c r="P149" i="141"/>
  <c r="W832" i="99"/>
  <c r="T149" i="141" s="1"/>
  <c r="Q119" i="141"/>
  <c r="V796" i="124"/>
  <c r="S119" i="141" s="1"/>
  <c r="R138" i="141"/>
  <c r="W798" i="99"/>
  <c r="W830" i="124"/>
  <c r="T130" i="141" s="1"/>
  <c r="P130" i="141"/>
  <c r="Q141" i="141"/>
  <c r="V801" i="99"/>
  <c r="S141" i="141" s="1"/>
  <c r="V802" i="99"/>
  <c r="S142" i="141" s="1"/>
  <c r="O142" i="141"/>
  <c r="P152" i="141"/>
  <c r="W835" i="99"/>
  <c r="T152" i="141" s="1"/>
  <c r="R151" i="141"/>
  <c r="W834" i="99"/>
  <c r="T151" i="141" s="1"/>
  <c r="V798" i="124"/>
  <c r="S121" i="141" s="1"/>
  <c r="O121" i="141"/>
  <c r="P150" i="141"/>
  <c r="W833" i="99"/>
  <c r="T150" i="141" s="1"/>
  <c r="V834" i="99"/>
  <c r="S151" i="141" s="1"/>
  <c r="O151" i="141"/>
  <c r="W828" i="124"/>
  <c r="P128" i="141"/>
  <c r="Q140" i="141"/>
  <c r="V800" i="99"/>
  <c r="S140" i="141" s="1"/>
  <c r="Q138" i="141"/>
  <c r="O120" i="141"/>
  <c r="V797" i="124"/>
  <c r="S120" i="141" s="1"/>
  <c r="W795" i="124"/>
  <c r="R118" i="141"/>
  <c r="Q149" i="141"/>
  <c r="P142" i="141"/>
  <c r="W802" i="99"/>
  <c r="T142" i="141" s="1"/>
  <c r="P120" i="141"/>
  <c r="W797" i="124"/>
  <c r="T120" i="141" s="1"/>
  <c r="P131" i="141"/>
  <c r="W831" i="124"/>
  <c r="T131" i="141" s="1"/>
  <c r="G17" i="180"/>
  <c r="U146" i="128"/>
  <c r="W135" i="112" s="1"/>
  <c r="H135" i="112" s="1"/>
  <c r="U150" i="128"/>
  <c r="W128" i="112" s="1"/>
  <c r="H128" i="112" s="1"/>
  <c r="U149" i="128"/>
  <c r="W131" i="112" s="1"/>
  <c r="H131" i="112" s="1"/>
  <c r="E835" i="99"/>
  <c r="E832" i="124"/>
  <c r="U148" i="128"/>
  <c r="W132" i="112" s="1"/>
  <c r="H132" i="112" s="1"/>
  <c r="E802" i="99"/>
  <c r="F40" i="159"/>
  <c r="BK238" i="164"/>
  <c r="O43" i="164" s="1"/>
  <c r="BK249" i="164"/>
  <c r="O101" i="164" s="1"/>
  <c r="G87" i="112"/>
  <c r="V87" i="112"/>
  <c r="S105" i="128"/>
  <c r="X93" i="112" s="1"/>
  <c r="L93" i="112" s="1"/>
  <c r="T105" i="128"/>
  <c r="Y93" i="112" s="1"/>
  <c r="M93" i="112" s="1"/>
  <c r="W93" i="112"/>
  <c r="H93" i="112" s="1"/>
  <c r="S95" i="128"/>
  <c r="T95" i="128"/>
  <c r="W84" i="112"/>
  <c r="H84" i="112" s="1"/>
  <c r="BF243" i="164" s="1"/>
  <c r="I77" i="164" s="1"/>
  <c r="F704" i="112"/>
  <c r="D704" i="112" s="1"/>
  <c r="V704" i="112"/>
  <c r="F36" i="159"/>
  <c r="S117" i="128"/>
  <c r="X116" i="112" s="1"/>
  <c r="T117" i="128"/>
  <c r="Y116" i="112" s="1"/>
  <c r="M116" i="112" s="1"/>
  <c r="W116" i="112"/>
  <c r="BK253" i="164"/>
  <c r="O113" i="164" s="1"/>
  <c r="W563" i="112"/>
  <c r="H563" i="112" s="1"/>
  <c r="BF241" i="164" s="1"/>
  <c r="I52" i="164" s="1"/>
  <c r="S101" i="128"/>
  <c r="X90" i="112" s="1"/>
  <c r="T101" i="128"/>
  <c r="Y90" i="112" s="1"/>
  <c r="M90" i="112" s="1"/>
  <c r="W90" i="112"/>
  <c r="H90" i="112" s="1"/>
  <c r="BF254" i="164" s="1"/>
  <c r="I122" i="164" s="1"/>
  <c r="G35" i="159"/>
  <c r="S120" i="128"/>
  <c r="X112" i="112" s="1"/>
  <c r="T120" i="128"/>
  <c r="Y112" i="112" s="1"/>
  <c r="M112" i="112" s="1"/>
  <c r="W112" i="112"/>
  <c r="H112" i="112" s="1"/>
  <c r="BF270" i="164" s="1"/>
  <c r="I182" i="164" s="1"/>
  <c r="BK251" i="164"/>
  <c r="O107" i="164" s="1"/>
  <c r="U145" i="128"/>
  <c r="W134" i="112" s="1"/>
  <c r="H134" i="112" s="1"/>
  <c r="BK239" i="164"/>
  <c r="O46" i="164" s="1"/>
  <c r="S104" i="128"/>
  <c r="X91" i="112" s="1"/>
  <c r="T104" i="128"/>
  <c r="Y91" i="112" s="1"/>
  <c r="M91" i="112" s="1"/>
  <c r="W91" i="112"/>
  <c r="H91" i="112" s="1"/>
  <c r="BF257" i="164" s="1"/>
  <c r="I131" i="164" s="1"/>
  <c r="G38" i="159"/>
  <c r="S121" i="128"/>
  <c r="X109" i="112" s="1"/>
  <c r="T121" i="128"/>
  <c r="Y109" i="112" s="1"/>
  <c r="M109" i="112" s="1"/>
  <c r="W109" i="112"/>
  <c r="H109" i="112" s="1"/>
  <c r="BF271" i="164" s="1"/>
  <c r="I185" i="164" s="1"/>
  <c r="S116" i="128"/>
  <c r="X115" i="112" s="1"/>
  <c r="T116" i="128"/>
  <c r="Y115" i="112" s="1"/>
  <c r="M115" i="112" s="1"/>
  <c r="W115" i="112"/>
  <c r="BK241" i="164"/>
  <c r="O52" i="164" s="1"/>
  <c r="S107" i="128"/>
  <c r="X89" i="112" s="1"/>
  <c r="T107" i="128"/>
  <c r="Y89" i="112" s="1"/>
  <c r="M89" i="112" s="1"/>
  <c r="W89" i="112"/>
  <c r="H89" i="112" s="1"/>
  <c r="BF259" i="164" s="1"/>
  <c r="I137" i="164" s="1"/>
  <c r="E795" i="124"/>
  <c r="E831" i="99"/>
  <c r="I790" i="123"/>
  <c r="I793" i="123" s="1"/>
  <c r="I823" i="123"/>
  <c r="I826" i="123" s="1"/>
  <c r="S119" i="128"/>
  <c r="X113" i="112" s="1"/>
  <c r="L113" i="112" s="1"/>
  <c r="T119" i="128"/>
  <c r="Y113" i="112" s="1"/>
  <c r="M113" i="112" s="1"/>
  <c r="W113" i="112"/>
  <c r="H113" i="112" s="1"/>
  <c r="S103" i="128"/>
  <c r="X96" i="112" s="1"/>
  <c r="T103" i="128"/>
  <c r="Y96" i="112" s="1"/>
  <c r="M96" i="112" s="1"/>
  <c r="W96" i="112"/>
  <c r="H96" i="112" s="1"/>
  <c r="BF256" i="164" s="1"/>
  <c r="I128" i="164" s="1"/>
  <c r="S98" i="128"/>
  <c r="T98" i="128"/>
  <c r="W82" i="112"/>
  <c r="H82" i="112" s="1"/>
  <c r="G37" i="159"/>
  <c r="S113" i="128"/>
  <c r="X102" i="112" s="1"/>
  <c r="L102" i="112" s="1"/>
  <c r="T113" i="128"/>
  <c r="Y102" i="112" s="1"/>
  <c r="M102" i="112" s="1"/>
  <c r="W102" i="112"/>
  <c r="H102" i="112" s="1"/>
  <c r="BF264" i="164" s="1"/>
  <c r="I158" i="164" s="1"/>
  <c r="S97" i="128"/>
  <c r="T97" i="128"/>
  <c r="W80" i="112"/>
  <c r="H80" i="112" s="1"/>
  <c r="BF245" i="164" s="1"/>
  <c r="I83" i="164" s="1"/>
  <c r="S118" i="128"/>
  <c r="X111" i="112" s="1"/>
  <c r="T118" i="128"/>
  <c r="Y111" i="112" s="1"/>
  <c r="M111" i="112" s="1"/>
  <c r="W111" i="112"/>
  <c r="H111" i="112" s="1"/>
  <c r="BF269" i="164" s="1"/>
  <c r="I179" i="164" s="1"/>
  <c r="W565" i="112"/>
  <c r="H565" i="112" s="1"/>
  <c r="BF240" i="164" s="1"/>
  <c r="I49" i="164" s="1"/>
  <c r="S102" i="128"/>
  <c r="X95" i="112" s="1"/>
  <c r="T102" i="128"/>
  <c r="Y95" i="112" s="1"/>
  <c r="M95" i="112" s="1"/>
  <c r="W95" i="112"/>
  <c r="H95" i="112" s="1"/>
  <c r="BF255" i="164" s="1"/>
  <c r="I125" i="164" s="1"/>
  <c r="S109" i="128"/>
  <c r="X105" i="112" s="1"/>
  <c r="T109" i="128"/>
  <c r="Y105" i="112" s="1"/>
  <c r="M105" i="112" s="1"/>
  <c r="W105" i="112"/>
  <c r="H105" i="112" s="1"/>
  <c r="BF261" i="164" s="1"/>
  <c r="I149" i="164" s="1"/>
  <c r="S115" i="128"/>
  <c r="X110" i="112" s="1"/>
  <c r="T115" i="128"/>
  <c r="Y110" i="112" s="1"/>
  <c r="M110" i="112" s="1"/>
  <c r="W110" i="112"/>
  <c r="H110" i="112" s="1"/>
  <c r="BF266" i="164" s="1"/>
  <c r="I170" i="164" s="1"/>
  <c r="S106" i="128"/>
  <c r="X92" i="112" s="1"/>
  <c r="T106" i="128"/>
  <c r="Y92" i="112" s="1"/>
  <c r="M92" i="112" s="1"/>
  <c r="W92" i="112"/>
  <c r="H92" i="112" s="1"/>
  <c r="BF258" i="164" s="1"/>
  <c r="I134" i="164" s="1"/>
  <c r="S94" i="128"/>
  <c r="T94" i="128"/>
  <c r="W79" i="112"/>
  <c r="H79" i="112" s="1"/>
  <c r="BF242" i="164" s="1"/>
  <c r="I74" i="164" s="1"/>
  <c r="U147" i="128"/>
  <c r="W130" i="112" s="1"/>
  <c r="H130" i="112" s="1"/>
  <c r="F38" i="159"/>
  <c r="F37" i="159"/>
  <c r="S112" i="128"/>
  <c r="X103" i="112" s="1"/>
  <c r="L103" i="112" s="1"/>
  <c r="T112" i="128"/>
  <c r="Y103" i="112" s="1"/>
  <c r="M103" i="112" s="1"/>
  <c r="W103" i="112"/>
  <c r="H103" i="112" s="1"/>
  <c r="E828" i="124"/>
  <c r="G40" i="159"/>
  <c r="BK240" i="164"/>
  <c r="O49" i="164" s="1"/>
  <c r="S108" i="128"/>
  <c r="X100" i="112" s="1"/>
  <c r="L100" i="112" s="1"/>
  <c r="T108" i="128"/>
  <c r="Y100" i="112" s="1"/>
  <c r="M100" i="112" s="1"/>
  <c r="W100" i="112"/>
  <c r="H100" i="112" s="1"/>
  <c r="BF260" i="164" s="1"/>
  <c r="I146" i="164" s="1"/>
  <c r="E799" i="124"/>
  <c r="E798" i="99"/>
  <c r="F35" i="159"/>
  <c r="I797" i="124"/>
  <c r="I830" i="124"/>
  <c r="S96" i="128"/>
  <c r="T96" i="128"/>
  <c r="W85" i="112"/>
  <c r="H85" i="112" s="1"/>
  <c r="BF244" i="164" s="1"/>
  <c r="I80" i="164" s="1"/>
  <c r="S578" i="125"/>
  <c r="S608" i="125"/>
  <c r="AA306" i="112"/>
  <c r="AA405" i="112"/>
  <c r="AA421" i="112"/>
  <c r="AA444" i="112"/>
  <c r="AA309" i="112"/>
  <c r="AA347" i="112"/>
  <c r="AA424" i="112"/>
  <c r="AA431" i="112"/>
  <c r="AA334" i="112"/>
  <c r="AA392" i="112"/>
  <c r="AA411" i="112"/>
  <c r="AA427" i="112"/>
  <c r="AA434" i="112"/>
  <c r="AA395" i="112"/>
  <c r="AA398" i="112"/>
  <c r="AA414" i="112"/>
  <c r="AA430" i="112"/>
  <c r="AA437" i="112"/>
  <c r="AA401" i="112"/>
  <c r="AA417" i="112"/>
  <c r="AA440" i="112"/>
  <c r="AA305" i="112"/>
  <c r="AA321" i="112"/>
  <c r="AA404" i="112"/>
  <c r="AA420" i="112"/>
  <c r="AA443" i="112"/>
  <c r="AA308" i="112"/>
  <c r="AA346" i="112"/>
  <c r="AA423" i="112"/>
  <c r="AA311" i="112"/>
  <c r="AA391" i="112"/>
  <c r="AA410" i="112"/>
  <c r="AA426" i="112"/>
  <c r="AA433" i="112"/>
  <c r="AA394" i="112"/>
  <c r="AA413" i="112"/>
  <c r="AA429" i="112"/>
  <c r="AA436" i="112"/>
  <c r="AA397" i="112"/>
  <c r="AA400" i="112"/>
  <c r="AA416" i="112"/>
  <c r="AA439" i="112"/>
  <c r="AA304" i="112"/>
  <c r="AA320" i="112"/>
  <c r="AA403" i="112"/>
  <c r="AA419" i="112"/>
  <c r="AA442" i="112"/>
  <c r="AA307" i="112"/>
  <c r="AA345" i="112"/>
  <c r="AA406" i="112"/>
  <c r="AA422" i="112"/>
  <c r="AA445" i="112"/>
  <c r="AA390" i="112"/>
  <c r="AA409" i="112"/>
  <c r="AA425" i="112"/>
  <c r="AA432" i="112"/>
  <c r="AA393" i="112"/>
  <c r="AA412" i="112"/>
  <c r="AA428" i="112"/>
  <c r="AA435" i="112"/>
  <c r="AA451" i="112"/>
  <c r="AA396" i="112"/>
  <c r="AA399" i="112"/>
  <c r="AA415" i="112"/>
  <c r="AA438" i="112"/>
  <c r="AA319" i="112"/>
  <c r="AA402" i="112"/>
  <c r="AA418" i="112"/>
  <c r="AA441" i="112"/>
  <c r="S111" i="128"/>
  <c r="X101" i="112" s="1"/>
  <c r="L101" i="112" s="1"/>
  <c r="T111" i="128"/>
  <c r="Y101" i="112" s="1"/>
  <c r="M101" i="112" s="1"/>
  <c r="W101" i="112"/>
  <c r="H101" i="112" s="1"/>
  <c r="BF263" i="164" s="1"/>
  <c r="I155" i="164" s="1"/>
  <c r="S100" i="128"/>
  <c r="T100" i="128"/>
  <c r="W78" i="112"/>
  <c r="H78" i="112" s="1"/>
  <c r="BF247" i="164" s="1"/>
  <c r="I89" i="164" s="1"/>
  <c r="S99" i="128"/>
  <c r="T99" i="128"/>
  <c r="W81" i="112"/>
  <c r="H81" i="112" s="1"/>
  <c r="BF246" i="164" s="1"/>
  <c r="I86" i="164" s="1"/>
  <c r="F164" i="141"/>
  <c r="C776" i="126"/>
  <c r="U144" i="128"/>
  <c r="W129" i="112" s="1"/>
  <c r="H129" i="112" s="1"/>
  <c r="S114" i="128"/>
  <c r="X99" i="112" s="1"/>
  <c r="L99" i="112" s="1"/>
  <c r="T114" i="128"/>
  <c r="Y99" i="112" s="1"/>
  <c r="M99" i="112" s="1"/>
  <c r="W99" i="112"/>
  <c r="H99" i="112" s="1"/>
  <c r="BF265" i="164" s="1"/>
  <c r="I161" i="164" s="1"/>
  <c r="S110" i="128"/>
  <c r="X106" i="112" s="1"/>
  <c r="T110" i="128"/>
  <c r="Y106" i="112" s="1"/>
  <c r="M106" i="112" s="1"/>
  <c r="W106" i="112"/>
  <c r="H106" i="112" s="1"/>
  <c r="BF262" i="164" s="1"/>
  <c r="I152" i="164" s="1"/>
  <c r="H39" i="159"/>
  <c r="Z73" i="145"/>
  <c r="U72" i="145"/>
  <c r="K73" i="145"/>
  <c r="M73" i="145"/>
  <c r="Z72" i="145"/>
  <c r="F72" i="145"/>
  <c r="K72" i="145"/>
  <c r="AB73" i="145"/>
  <c r="AB72" i="145"/>
  <c r="L72" i="145"/>
  <c r="C77" i="145"/>
  <c r="F73" i="145"/>
  <c r="Y72" i="145"/>
  <c r="J72" i="145"/>
  <c r="J73" i="145"/>
  <c r="Y73" i="145"/>
  <c r="U73" i="145"/>
  <c r="M72" i="145"/>
  <c r="S188" i="141" l="1"/>
  <c r="T188" i="141"/>
  <c r="S178" i="141"/>
  <c r="T178" i="141"/>
  <c r="S148" i="141"/>
  <c r="T148" i="141"/>
  <c r="S138" i="141"/>
  <c r="T138" i="141"/>
  <c r="T128" i="141"/>
  <c r="S128" i="141"/>
  <c r="T118" i="141"/>
  <c r="S118" i="141"/>
  <c r="T53" i="141"/>
  <c r="S53" i="141"/>
  <c r="S45" i="141"/>
  <c r="T45" i="141"/>
  <c r="N123" i="112"/>
  <c r="V123" i="112"/>
  <c r="F462" i="112"/>
  <c r="D462" i="112" s="1"/>
  <c r="G132" i="180" s="1"/>
  <c r="H463" i="112"/>
  <c r="R33" i="161"/>
  <c r="BN97" i="161"/>
  <c r="BL101" i="161" s="1"/>
  <c r="G54" i="161" s="1"/>
  <c r="Q164" i="141"/>
  <c r="R190" i="141"/>
  <c r="W831" i="127"/>
  <c r="T190" i="141" s="1"/>
  <c r="BC90" i="161"/>
  <c r="BM90" i="161"/>
  <c r="R231" i="166" s="1"/>
  <c r="R171" i="141"/>
  <c r="W824" i="126"/>
  <c r="R161" i="141"/>
  <c r="W791" i="126"/>
  <c r="V126" i="112"/>
  <c r="N126" i="112"/>
  <c r="V566" i="112"/>
  <c r="N566" i="112"/>
  <c r="N564" i="112"/>
  <c r="N563" i="112"/>
  <c r="V121" i="112"/>
  <c r="N121" i="112"/>
  <c r="V125" i="112"/>
  <c r="N125" i="112"/>
  <c r="N122" i="112"/>
  <c r="V122" i="112"/>
  <c r="N565" i="112"/>
  <c r="V120" i="112"/>
  <c r="N120" i="112"/>
  <c r="N119" i="112"/>
  <c r="G133" i="112"/>
  <c r="N133" i="112" s="1"/>
  <c r="F133" i="112" s="1"/>
  <c r="D133" i="112" s="1"/>
  <c r="V119" i="112"/>
  <c r="M416" i="112"/>
  <c r="L416" i="112"/>
  <c r="L431" i="112"/>
  <c r="M431" i="112"/>
  <c r="L439" i="112"/>
  <c r="BI125" i="163" s="1"/>
  <c r="M439" i="112"/>
  <c r="L393" i="112"/>
  <c r="M393" i="112"/>
  <c r="M404" i="112"/>
  <c r="L404" i="112"/>
  <c r="L409" i="112"/>
  <c r="M409" i="112"/>
  <c r="L436" i="112"/>
  <c r="M436" i="112"/>
  <c r="L418" i="112"/>
  <c r="M418" i="112"/>
  <c r="L445" i="112"/>
  <c r="BI124" i="163" s="1"/>
  <c r="M445" i="112"/>
  <c r="M413" i="112"/>
  <c r="L413" i="112"/>
  <c r="L417" i="112"/>
  <c r="M417" i="112"/>
  <c r="M444" i="112"/>
  <c r="L444" i="112"/>
  <c r="BI123" i="163" s="1"/>
  <c r="L402" i="112"/>
  <c r="M402" i="112"/>
  <c r="L394" i="112"/>
  <c r="M394" i="112"/>
  <c r="L401" i="112"/>
  <c r="M401" i="112"/>
  <c r="M421" i="112"/>
  <c r="L421" i="112"/>
  <c r="L441" i="112"/>
  <c r="BI127" i="163" s="1"/>
  <c r="M441" i="112"/>
  <c r="L440" i="112"/>
  <c r="BI126" i="163" s="1"/>
  <c r="M440" i="112"/>
  <c r="L422" i="112"/>
  <c r="M422" i="112"/>
  <c r="L406" i="112"/>
  <c r="M406" i="112"/>
  <c r="L433" i="112"/>
  <c r="BI134" i="163" s="1"/>
  <c r="M433" i="112"/>
  <c r="L437" i="112"/>
  <c r="M437" i="112"/>
  <c r="L405" i="112"/>
  <c r="M405" i="112"/>
  <c r="L432" i="112"/>
  <c r="BI133" i="163" s="1"/>
  <c r="M432" i="112"/>
  <c r="L438" i="112"/>
  <c r="M438" i="112"/>
  <c r="L426" i="112"/>
  <c r="M426" i="112"/>
  <c r="L430" i="112"/>
  <c r="M430" i="112"/>
  <c r="L392" i="112"/>
  <c r="M392" i="112"/>
  <c r="L443" i="112"/>
  <c r="BI129" i="163" s="1"/>
  <c r="M443" i="112"/>
  <c r="M420" i="112"/>
  <c r="L420" i="112"/>
  <c r="L415" i="112"/>
  <c r="M415" i="112"/>
  <c r="L410" i="112"/>
  <c r="M410" i="112"/>
  <c r="M412" i="112"/>
  <c r="L412" i="112"/>
  <c r="L400" i="112"/>
  <c r="M400" i="112"/>
  <c r="L397" i="112"/>
  <c r="M397" i="112"/>
  <c r="M414" i="112"/>
  <c r="L414" i="112"/>
  <c r="L399" i="112"/>
  <c r="M399" i="112"/>
  <c r="L442" i="112"/>
  <c r="BI128" i="163" s="1"/>
  <c r="M442" i="112"/>
  <c r="L391" i="112"/>
  <c r="M391" i="112"/>
  <c r="M398" i="112"/>
  <c r="L398" i="112"/>
  <c r="L396" i="112"/>
  <c r="M396" i="112"/>
  <c r="M419" i="112"/>
  <c r="L419" i="112"/>
  <c r="M395" i="112"/>
  <c r="L395" i="112"/>
  <c r="L451" i="112"/>
  <c r="BI131" i="163" s="1"/>
  <c r="M451" i="112"/>
  <c r="L403" i="112"/>
  <c r="M403" i="112"/>
  <c r="L423" i="112"/>
  <c r="M423" i="112"/>
  <c r="L434" i="112"/>
  <c r="BI136" i="163" s="1"/>
  <c r="M434" i="112"/>
  <c r="M435" i="112"/>
  <c r="L435" i="112"/>
  <c r="L427" i="112"/>
  <c r="BI130" i="163" s="1"/>
  <c r="M427" i="112"/>
  <c r="L425" i="112"/>
  <c r="M425" i="112"/>
  <c r="L424" i="112"/>
  <c r="M424" i="112"/>
  <c r="L429" i="112"/>
  <c r="M429" i="112"/>
  <c r="M428" i="112"/>
  <c r="L428" i="112"/>
  <c r="M411" i="112"/>
  <c r="L411" i="112"/>
  <c r="M390" i="112"/>
  <c r="L390" i="112"/>
  <c r="L334" i="112"/>
  <c r="M334" i="112"/>
  <c r="M309" i="112"/>
  <c r="L309" i="112"/>
  <c r="L305" i="112"/>
  <c r="M305" i="112"/>
  <c r="L347" i="112"/>
  <c r="M347" i="112"/>
  <c r="M321" i="112"/>
  <c r="L321" i="112"/>
  <c r="L319" i="112"/>
  <c r="M319" i="112"/>
  <c r="L306" i="112"/>
  <c r="M306" i="112"/>
  <c r="L311" i="112"/>
  <c r="BI135" i="163" s="1"/>
  <c r="M311" i="112"/>
  <c r="M345" i="112"/>
  <c r="L345" i="112"/>
  <c r="L320" i="112"/>
  <c r="M320" i="112"/>
  <c r="L346" i="112"/>
  <c r="M346" i="112"/>
  <c r="L307" i="112"/>
  <c r="M307" i="112"/>
  <c r="L304" i="112"/>
  <c r="M304" i="112"/>
  <c r="M308" i="112"/>
  <c r="L308" i="112"/>
  <c r="L90" i="112"/>
  <c r="BJ254" i="164" s="1"/>
  <c r="M122" i="164" s="1"/>
  <c r="L91" i="112"/>
  <c r="BJ257" i="164" s="1"/>
  <c r="M131" i="164" s="1"/>
  <c r="L92" i="112"/>
  <c r="BJ258" i="164" s="1"/>
  <c r="M134" i="164" s="1"/>
  <c r="L96" i="112"/>
  <c r="BJ256" i="164" s="1"/>
  <c r="M128" i="164" s="1"/>
  <c r="BJ263" i="164"/>
  <c r="M155" i="164" s="1"/>
  <c r="BJ260" i="164"/>
  <c r="M146" i="164" s="1"/>
  <c r="BJ264" i="164"/>
  <c r="M158" i="164" s="1"/>
  <c r="L112" i="112"/>
  <c r="BJ270" i="164" s="1"/>
  <c r="M182" i="164" s="1"/>
  <c r="L111" i="112"/>
  <c r="BJ269" i="164" s="1"/>
  <c r="M179" i="164" s="1"/>
  <c r="L110" i="112"/>
  <c r="BJ266" i="164" s="1"/>
  <c r="M170" i="164" s="1"/>
  <c r="L116" i="112"/>
  <c r="BJ268" i="164" s="1"/>
  <c r="M176" i="164" s="1"/>
  <c r="L115" i="112"/>
  <c r="BJ267" i="164" s="1"/>
  <c r="M173" i="164" s="1"/>
  <c r="L109" i="112"/>
  <c r="BJ271" i="164" s="1"/>
  <c r="M185" i="164" s="1"/>
  <c r="L106" i="112"/>
  <c r="BJ262" i="164" s="1"/>
  <c r="M152" i="164" s="1"/>
  <c r="L105" i="112"/>
  <c r="BJ261" i="164" s="1"/>
  <c r="M149" i="164" s="1"/>
  <c r="BJ265" i="164"/>
  <c r="M161" i="164" s="1"/>
  <c r="L95" i="112"/>
  <c r="BJ255" i="164" s="1"/>
  <c r="M125" i="164" s="1"/>
  <c r="L89" i="112"/>
  <c r="BJ259" i="164" s="1"/>
  <c r="M137" i="164" s="1"/>
  <c r="H116" i="112"/>
  <c r="BF268" i="164" s="1"/>
  <c r="I176" i="164" s="1"/>
  <c r="H115" i="112"/>
  <c r="BF267" i="164" s="1"/>
  <c r="I173" i="164" s="1"/>
  <c r="K145" i="187"/>
  <c r="G145" i="187"/>
  <c r="AJ145" i="187"/>
  <c r="W145" i="187"/>
  <c r="O145" i="187"/>
  <c r="AR145" i="187"/>
  <c r="S145" i="187"/>
  <c r="G1029" i="152"/>
  <c r="AE145" i="187"/>
  <c r="AA145" i="187"/>
  <c r="AN145" i="187"/>
  <c r="G967" i="152"/>
  <c r="Q49" i="141"/>
  <c r="R57" i="141"/>
  <c r="R49" i="141"/>
  <c r="Q57" i="141"/>
  <c r="H36" i="159"/>
  <c r="V564" i="112"/>
  <c r="R194" i="141"/>
  <c r="H18" i="180"/>
  <c r="Q194" i="141"/>
  <c r="Q184" i="141"/>
  <c r="R184" i="141"/>
  <c r="BL252" i="164"/>
  <c r="H35" i="159"/>
  <c r="R124" i="141"/>
  <c r="Q124" i="141"/>
  <c r="Q144" i="141"/>
  <c r="R144" i="141"/>
  <c r="R134" i="141"/>
  <c r="Q154" i="141"/>
  <c r="Q134" i="141"/>
  <c r="R154" i="141"/>
  <c r="H38" i="159"/>
  <c r="BL240" i="164"/>
  <c r="G18" i="180"/>
  <c r="G14" i="188"/>
  <c r="H37" i="159"/>
  <c r="BL238" i="164"/>
  <c r="BN238" i="164" s="1"/>
  <c r="R99" i="166" s="1"/>
  <c r="BL239" i="164"/>
  <c r="BN239" i="164" s="1"/>
  <c r="R101" i="166" s="1"/>
  <c r="BL253" i="164"/>
  <c r="BL250" i="164"/>
  <c r="BL251" i="164"/>
  <c r="BN251" i="164" s="1"/>
  <c r="BL241" i="164"/>
  <c r="BN241" i="164" s="1"/>
  <c r="R105" i="166" s="1"/>
  <c r="H320" i="112"/>
  <c r="H412" i="112"/>
  <c r="BK266" i="164"/>
  <c r="O170" i="164" s="1"/>
  <c r="BK267" i="164"/>
  <c r="O173" i="164" s="1"/>
  <c r="H346" i="112"/>
  <c r="V102" i="112"/>
  <c r="BK264" i="164"/>
  <c r="O158" i="164" s="1"/>
  <c r="N102" i="112"/>
  <c r="H416" i="112"/>
  <c r="H420" i="112"/>
  <c r="H334" i="112"/>
  <c r="N103" i="112"/>
  <c r="F103" i="112" s="1"/>
  <c r="D103" i="112" s="1"/>
  <c r="V103" i="112"/>
  <c r="H409" i="112"/>
  <c r="H436" i="112"/>
  <c r="H305" i="112"/>
  <c r="H347" i="112"/>
  <c r="BK254" i="164"/>
  <c r="O122" i="164" s="1"/>
  <c r="N93" i="112"/>
  <c r="F93" i="112" s="1"/>
  <c r="D93" i="112" s="1"/>
  <c r="V93" i="112"/>
  <c r="H40" i="159"/>
  <c r="H432" i="112"/>
  <c r="BE133" i="163" s="1"/>
  <c r="BP133" i="163" s="1"/>
  <c r="H441" i="112"/>
  <c r="BE127" i="163" s="1"/>
  <c r="BP127" i="163" s="1"/>
  <c r="H429" i="112"/>
  <c r="H440" i="112"/>
  <c r="BE126" i="163" s="1"/>
  <c r="BP126" i="163" s="1"/>
  <c r="H309" i="112"/>
  <c r="BK270" i="164"/>
  <c r="O182" i="164" s="1"/>
  <c r="H304" i="112"/>
  <c r="H439" i="112"/>
  <c r="BE125" i="163" s="1"/>
  <c r="BP125" i="163" s="1"/>
  <c r="H404" i="112"/>
  <c r="H418" i="112"/>
  <c r="H445" i="112"/>
  <c r="BE124" i="163" s="1"/>
  <c r="BP124" i="163" s="1"/>
  <c r="H413" i="112"/>
  <c r="H417" i="112"/>
  <c r="H444" i="112"/>
  <c r="BE123" i="163" s="1"/>
  <c r="P32" i="163" s="1"/>
  <c r="Y85" i="112"/>
  <c r="M85" i="112" s="1"/>
  <c r="T146" i="128"/>
  <c r="Y135" i="112" s="1"/>
  <c r="M135" i="112" s="1"/>
  <c r="BL248" i="164"/>
  <c r="BN248" i="164" s="1"/>
  <c r="P23" i="141"/>
  <c r="W608" i="125"/>
  <c r="X81" i="112"/>
  <c r="S149" i="128"/>
  <c r="X131" i="112" s="1"/>
  <c r="L131" i="112" s="1"/>
  <c r="N100" i="112"/>
  <c r="V100" i="112"/>
  <c r="BK260" i="164"/>
  <c r="O146" i="164" s="1"/>
  <c r="H402" i="112"/>
  <c r="H422" i="112"/>
  <c r="H394" i="112"/>
  <c r="H401" i="112"/>
  <c r="H421" i="112"/>
  <c r="X85" i="112"/>
  <c r="S146" i="128"/>
  <c r="X135" i="112" s="1"/>
  <c r="L135" i="112" s="1"/>
  <c r="P17" i="141"/>
  <c r="W578" i="125"/>
  <c r="H393" i="112"/>
  <c r="Y81" i="112"/>
  <c r="M81" i="112" s="1"/>
  <c r="T149" i="128"/>
  <c r="Y131" i="112" s="1"/>
  <c r="M131" i="112" s="1"/>
  <c r="N101" i="112"/>
  <c r="V101" i="112"/>
  <c r="BK263" i="164"/>
  <c r="O155" i="164" s="1"/>
  <c r="H425" i="112"/>
  <c r="H397" i="112"/>
  <c r="H321" i="112"/>
  <c r="H424" i="112"/>
  <c r="BK262" i="164"/>
  <c r="O152" i="164" s="1"/>
  <c r="H319" i="112"/>
  <c r="H406" i="112"/>
  <c r="H433" i="112"/>
  <c r="BE134" i="163" s="1"/>
  <c r="BP134" i="163" s="1"/>
  <c r="H437" i="112"/>
  <c r="H405" i="112"/>
  <c r="BK269" i="164"/>
  <c r="O179" i="164" s="1"/>
  <c r="N113" i="112"/>
  <c r="F113" i="112" s="1"/>
  <c r="D113" i="112" s="1"/>
  <c r="V113" i="112"/>
  <c r="BL249" i="164"/>
  <c r="BN249" i="164" s="1"/>
  <c r="H390" i="112"/>
  <c r="Y78" i="112"/>
  <c r="M78" i="112" s="1"/>
  <c r="T150" i="128"/>
  <c r="Y128" i="112" s="1"/>
  <c r="M128" i="112" s="1"/>
  <c r="H438" i="112"/>
  <c r="H345" i="112"/>
  <c r="H426" i="112"/>
  <c r="H430" i="112"/>
  <c r="H306" i="112"/>
  <c r="Y79" i="112"/>
  <c r="M79" i="112" s="1"/>
  <c r="T144" i="128"/>
  <c r="Y129" i="112" s="1"/>
  <c r="M129" i="112" s="1"/>
  <c r="Y82" i="112"/>
  <c r="M82" i="112" s="1"/>
  <c r="T148" i="128"/>
  <c r="Y132" i="112" s="1"/>
  <c r="M132" i="112" s="1"/>
  <c r="BK271" i="164"/>
  <c r="O185" i="164" s="1"/>
  <c r="BK257" i="164"/>
  <c r="O131" i="164" s="1"/>
  <c r="BK265" i="164"/>
  <c r="O161" i="164" s="1"/>
  <c r="H428" i="112"/>
  <c r="H411" i="112"/>
  <c r="H443" i="112"/>
  <c r="BE129" i="163" s="1"/>
  <c r="F111" i="141"/>
  <c r="BK259" i="164"/>
  <c r="O137" i="164" s="1"/>
  <c r="H414" i="112"/>
  <c r="X79" i="112"/>
  <c r="S144" i="128"/>
  <c r="X129" i="112" s="1"/>
  <c r="L129" i="112" s="1"/>
  <c r="F120" i="141"/>
  <c r="V565" i="112"/>
  <c r="Y80" i="112"/>
  <c r="M80" i="112" s="1"/>
  <c r="T147" i="128"/>
  <c r="Y130" i="112" s="1"/>
  <c r="M130" i="112" s="1"/>
  <c r="F100" i="141"/>
  <c r="X78" i="112"/>
  <c r="S150" i="128"/>
  <c r="X128" i="112" s="1"/>
  <c r="L128" i="112" s="1"/>
  <c r="H415" i="112"/>
  <c r="H307" i="112"/>
  <c r="H410" i="112"/>
  <c r="H399" i="112"/>
  <c r="H442" i="112"/>
  <c r="BE128" i="163" s="1"/>
  <c r="BP128" i="163" s="1"/>
  <c r="H391" i="112"/>
  <c r="BK258" i="164"/>
  <c r="O134" i="164" s="1"/>
  <c r="X80" i="112"/>
  <c r="S147" i="128"/>
  <c r="X130" i="112" s="1"/>
  <c r="L130" i="112" s="1"/>
  <c r="Y84" i="112"/>
  <c r="M84" i="112" s="1"/>
  <c r="T145" i="128"/>
  <c r="Y134" i="112" s="1"/>
  <c r="M134" i="112" s="1"/>
  <c r="H400" i="112"/>
  <c r="F130" i="141"/>
  <c r="BK261" i="164"/>
  <c r="O149" i="164" s="1"/>
  <c r="X82" i="112"/>
  <c r="L82" i="112" s="1"/>
  <c r="S148" i="128"/>
  <c r="X132" i="112" s="1"/>
  <c r="L132" i="112" s="1"/>
  <c r="H398" i="112"/>
  <c r="H396" i="112"/>
  <c r="H419" i="112"/>
  <c r="H311" i="112"/>
  <c r="BE135" i="163" s="1"/>
  <c r="BP135" i="163" s="1"/>
  <c r="H395" i="112"/>
  <c r="H451" i="112"/>
  <c r="BE131" i="163" s="1"/>
  <c r="H403" i="112"/>
  <c r="H423" i="112"/>
  <c r="H434" i="112"/>
  <c r="BE136" i="163" s="1"/>
  <c r="BP136" i="163" s="1"/>
  <c r="V563" i="112"/>
  <c r="BK268" i="164"/>
  <c r="O176" i="164" s="1"/>
  <c r="X84" i="112"/>
  <c r="S145" i="128"/>
  <c r="X134" i="112" s="1"/>
  <c r="L134" i="112" s="1"/>
  <c r="H427" i="112"/>
  <c r="BE130" i="163" s="1"/>
  <c r="BK256" i="164"/>
  <c r="O128" i="164" s="1"/>
  <c r="H435" i="112"/>
  <c r="H308" i="112"/>
  <c r="H392" i="112"/>
  <c r="BK255" i="164"/>
  <c r="O125" i="164" s="1"/>
  <c r="N87" i="112"/>
  <c r="F87" i="112" s="1"/>
  <c r="D87" i="112" s="1"/>
  <c r="L73" i="145"/>
  <c r="AA73" i="145"/>
  <c r="BC252" i="164" l="1"/>
  <c r="BN252" i="164"/>
  <c r="BN253" i="164"/>
  <c r="R165" i="166" s="1"/>
  <c r="BC250" i="164"/>
  <c r="F126" i="112" s="1"/>
  <c r="D126" i="112" s="1"/>
  <c r="BN250" i="164"/>
  <c r="R159" i="166" s="1"/>
  <c r="T171" i="141"/>
  <c r="T161" i="141"/>
  <c r="T23" i="141"/>
  <c r="T17" i="141"/>
  <c r="F590" i="112"/>
  <c r="D590" i="112" s="1"/>
  <c r="M231" i="166"/>
  <c r="C5" i="125"/>
  <c r="CA7" i="132"/>
  <c r="CA8" i="132"/>
  <c r="CB7" i="132"/>
  <c r="CB8" i="132"/>
  <c r="V463" i="112"/>
  <c r="F463" i="112"/>
  <c r="D463" i="112" s="1"/>
  <c r="H132" i="180" s="1"/>
  <c r="C381" i="127"/>
  <c r="E381" i="127" s="1"/>
  <c r="W12" i="112"/>
  <c r="H12" i="112" s="1"/>
  <c r="F12" i="112" s="1"/>
  <c r="D12" i="112" s="1"/>
  <c r="R164" i="141"/>
  <c r="R174" i="141"/>
  <c r="C415" i="126"/>
  <c r="E415" i="126" s="1"/>
  <c r="C381" i="124"/>
  <c r="E381" i="124" s="1"/>
  <c r="C415" i="123"/>
  <c r="E415" i="123" s="1"/>
  <c r="H117" i="198"/>
  <c r="C35" i="151" s="1"/>
  <c r="N116" i="112"/>
  <c r="H121" i="198"/>
  <c r="C43" i="151" s="1"/>
  <c r="N91" i="112"/>
  <c r="C667" i="122"/>
  <c r="C677" i="98"/>
  <c r="C381" i="100"/>
  <c r="E381" i="100" s="1"/>
  <c r="C558" i="125"/>
  <c r="D566" i="125" s="1"/>
  <c r="H7" i="180"/>
  <c r="H19" i="180" s="1"/>
  <c r="C768" i="126"/>
  <c r="D776" i="126" s="1"/>
  <c r="H29" i="192"/>
  <c r="G29" i="192"/>
  <c r="C707" i="121"/>
  <c r="C697" i="122"/>
  <c r="C708" i="98"/>
  <c r="V106" i="112"/>
  <c r="C776" i="100"/>
  <c r="N106" i="112"/>
  <c r="G39" i="194"/>
  <c r="G40" i="198"/>
  <c r="G47" i="198" s="1"/>
  <c r="G103" i="198" s="1"/>
  <c r="N90" i="112"/>
  <c r="G36" i="199"/>
  <c r="G39" i="199" s="1"/>
  <c r="G41" i="199" s="1"/>
  <c r="G78" i="199" s="1"/>
  <c r="T11" i="127" s="1"/>
  <c r="C482" i="127" s="1"/>
  <c r="N112" i="112"/>
  <c r="V112" i="112"/>
  <c r="V91" i="112"/>
  <c r="C775" i="124"/>
  <c r="C800" i="123"/>
  <c r="C555" i="97"/>
  <c r="D563" i="97" s="1"/>
  <c r="C588" i="125"/>
  <c r="D596" i="125" s="1"/>
  <c r="C526" i="97"/>
  <c r="D534" i="97" s="1"/>
  <c r="G43" i="194"/>
  <c r="G46" i="194" s="1"/>
  <c r="G48" i="194" s="1"/>
  <c r="G93" i="194" s="1"/>
  <c r="T15" i="99" s="1"/>
  <c r="C484" i="99" s="1"/>
  <c r="C676" i="121"/>
  <c r="H32" i="191"/>
  <c r="L34" i="191" s="1"/>
  <c r="L39" i="191" s="1"/>
  <c r="G121" i="189" s="1"/>
  <c r="G234" i="189" s="1"/>
  <c r="T40" i="151" s="1"/>
  <c r="C416" i="151" s="1"/>
  <c r="C824" i="152"/>
  <c r="C856" i="152"/>
  <c r="C568" i="151"/>
  <c r="D575" i="151" s="1"/>
  <c r="G3" i="188"/>
  <c r="G7" i="180"/>
  <c r="G19" i="180" s="1"/>
  <c r="V109" i="112"/>
  <c r="W645" i="112"/>
  <c r="H645" i="112" s="1"/>
  <c r="F645" i="112" s="1"/>
  <c r="D645" i="112" s="1"/>
  <c r="I7" i="184" s="1"/>
  <c r="C811" i="99"/>
  <c r="C809" i="127"/>
  <c r="C677" i="107"/>
  <c r="N109" i="112"/>
  <c r="V110" i="112"/>
  <c r="C778" i="99"/>
  <c r="C776" i="127"/>
  <c r="C808" i="124"/>
  <c r="V111" i="112"/>
  <c r="N111" i="112"/>
  <c r="W33" i="112"/>
  <c r="H33" i="112" s="1"/>
  <c r="V33" i="112" s="1"/>
  <c r="C809" i="100"/>
  <c r="I29" i="192"/>
  <c r="C767" i="123"/>
  <c r="C801" i="126"/>
  <c r="D809" i="126" s="1"/>
  <c r="H40" i="198"/>
  <c r="H47" i="198" s="1"/>
  <c r="H51" i="198" s="1"/>
  <c r="H52" i="198" s="1"/>
  <c r="C381" i="99"/>
  <c r="E381" i="99" s="1"/>
  <c r="V90" i="112"/>
  <c r="C645" i="107"/>
  <c r="V89" i="112"/>
  <c r="V92" i="112"/>
  <c r="N92" i="112"/>
  <c r="V95" i="112"/>
  <c r="N89" i="112"/>
  <c r="V116" i="112"/>
  <c r="N95" i="112"/>
  <c r="V96" i="112"/>
  <c r="N96" i="112"/>
  <c r="V115" i="112"/>
  <c r="N115" i="112"/>
  <c r="V105" i="112"/>
  <c r="N105" i="112"/>
  <c r="V99" i="112"/>
  <c r="N99" i="112"/>
  <c r="N110" i="112"/>
  <c r="L85" i="112"/>
  <c r="BJ244" i="164" s="1"/>
  <c r="M80" i="164" s="1"/>
  <c r="L84" i="112"/>
  <c r="BJ243" i="164" s="1"/>
  <c r="M77" i="164" s="1"/>
  <c r="L81" i="112"/>
  <c r="BJ246" i="164" s="1"/>
  <c r="M86" i="164" s="1"/>
  <c r="L80" i="112"/>
  <c r="BJ245" i="164" s="1"/>
  <c r="M83" i="164" s="1"/>
  <c r="L79" i="112"/>
  <c r="BJ242" i="164" s="1"/>
  <c r="M74" i="164" s="1"/>
  <c r="L78" i="112"/>
  <c r="BJ247" i="164" s="1"/>
  <c r="M89" i="164" s="1"/>
  <c r="BN240" i="164"/>
  <c r="R103" i="166" s="1"/>
  <c r="BO240" i="164"/>
  <c r="Q49" i="164" s="1"/>
  <c r="BC251" i="164"/>
  <c r="M161" i="166" s="1"/>
  <c r="BO251" i="164"/>
  <c r="Q107" i="164" s="1"/>
  <c r="BP130" i="163"/>
  <c r="M44" i="163" s="1"/>
  <c r="P44" i="163"/>
  <c r="BP131" i="163"/>
  <c r="M48" i="163" s="1"/>
  <c r="P48" i="163"/>
  <c r="BP129" i="163"/>
  <c r="M36" i="163" s="1"/>
  <c r="P36" i="163"/>
  <c r="BP123" i="163"/>
  <c r="M32" i="163" s="1"/>
  <c r="R163" i="166"/>
  <c r="BC239" i="164"/>
  <c r="F566" i="112" s="1"/>
  <c r="D566" i="112" s="1"/>
  <c r="G26" i="188" s="1"/>
  <c r="BC241" i="164"/>
  <c r="F563" i="112" s="1"/>
  <c r="D563" i="112" s="1"/>
  <c r="BC240" i="164"/>
  <c r="F565" i="112" s="1"/>
  <c r="D565" i="112" s="1"/>
  <c r="G33" i="188" s="1"/>
  <c r="BC238" i="164"/>
  <c r="M99" i="166" s="1"/>
  <c r="BC253" i="164"/>
  <c r="F119" i="112" s="1"/>
  <c r="D119" i="112" s="1"/>
  <c r="R161" i="166"/>
  <c r="BL270" i="164"/>
  <c r="BL264" i="164"/>
  <c r="BL256" i="164"/>
  <c r="BL268" i="164"/>
  <c r="BN268" i="164" s="1"/>
  <c r="BL259" i="164"/>
  <c r="BL260" i="164"/>
  <c r="BL261" i="164"/>
  <c r="BL266" i="164"/>
  <c r="BL271" i="164"/>
  <c r="N392" i="112"/>
  <c r="F392" i="112" s="1"/>
  <c r="D392" i="112" s="1"/>
  <c r="D126" i="116" s="1"/>
  <c r="V392" i="112"/>
  <c r="N129" i="112"/>
  <c r="F129" i="112" s="1"/>
  <c r="D129" i="112" s="1"/>
  <c r="C4" i="97" s="1"/>
  <c r="V129" i="112"/>
  <c r="N131" i="112"/>
  <c r="F131" i="112" s="1"/>
  <c r="D131" i="112" s="1"/>
  <c r="V131" i="112"/>
  <c r="BK244" i="164"/>
  <c r="O80" i="164" s="1"/>
  <c r="N346" i="112"/>
  <c r="F346" i="112" s="1"/>
  <c r="D346" i="112" s="1"/>
  <c r="D96" i="116" s="1"/>
  <c r="V346" i="112"/>
  <c r="N434" i="112"/>
  <c r="F434" i="112" s="1"/>
  <c r="V434" i="112"/>
  <c r="BJ136" i="163"/>
  <c r="BJ128" i="163"/>
  <c r="N442" i="112"/>
  <c r="F442" i="112" s="1"/>
  <c r="V442" i="112"/>
  <c r="BK242" i="164"/>
  <c r="O74" i="164" s="1"/>
  <c r="V128" i="112"/>
  <c r="N128" i="112"/>
  <c r="F128" i="112" s="1"/>
  <c r="D128" i="112" s="1"/>
  <c r="V424" i="112"/>
  <c r="N424" i="112"/>
  <c r="F424" i="112" s="1"/>
  <c r="D424" i="112" s="1"/>
  <c r="D81" i="116" s="1"/>
  <c r="BK246" i="164"/>
  <c r="O86" i="164" s="1"/>
  <c r="BJ123" i="163"/>
  <c r="N444" i="112"/>
  <c r="F444" i="112" s="1"/>
  <c r="V444" i="112"/>
  <c r="N404" i="112"/>
  <c r="F404" i="112" s="1"/>
  <c r="D404" i="112" s="1"/>
  <c r="D122" i="116" s="1"/>
  <c r="V404" i="112"/>
  <c r="BJ133" i="163"/>
  <c r="N432" i="112"/>
  <c r="F432" i="112" s="1"/>
  <c r="V432" i="112"/>
  <c r="N412" i="112"/>
  <c r="F412" i="112" s="1"/>
  <c r="D412" i="112" s="1"/>
  <c r="D90" i="116" s="1"/>
  <c r="V412" i="112"/>
  <c r="N393" i="112"/>
  <c r="F393" i="112" s="1"/>
  <c r="D393" i="112" s="1"/>
  <c r="D127" i="116" s="1"/>
  <c r="V393" i="112"/>
  <c r="N439" i="112"/>
  <c r="F439" i="112" s="1"/>
  <c r="V439" i="112"/>
  <c r="BJ125" i="163"/>
  <c r="V309" i="112"/>
  <c r="N309" i="112"/>
  <c r="F309" i="112" s="1"/>
  <c r="D309" i="112" s="1"/>
  <c r="D8" i="116" s="1"/>
  <c r="N305" i="112"/>
  <c r="F305" i="112" s="1"/>
  <c r="D305" i="112" s="1"/>
  <c r="D6" i="116" s="1"/>
  <c r="V305" i="112"/>
  <c r="N308" i="112"/>
  <c r="F308" i="112" s="1"/>
  <c r="D308" i="112" s="1"/>
  <c r="D7" i="116" s="1"/>
  <c r="V308" i="112"/>
  <c r="N423" i="112"/>
  <c r="F423" i="112" s="1"/>
  <c r="D423" i="112" s="1"/>
  <c r="D75" i="116" s="1"/>
  <c r="V423" i="112"/>
  <c r="N400" i="112"/>
  <c r="F400" i="112" s="1"/>
  <c r="D400" i="112" s="1"/>
  <c r="D119" i="116" s="1"/>
  <c r="V400" i="112"/>
  <c r="N427" i="112"/>
  <c r="F427" i="112" s="1"/>
  <c r="V427" i="112"/>
  <c r="BJ130" i="163"/>
  <c r="N399" i="112"/>
  <c r="F399" i="112" s="1"/>
  <c r="D399" i="112" s="1"/>
  <c r="D118" i="116" s="1"/>
  <c r="V399" i="112"/>
  <c r="N414" i="112"/>
  <c r="F414" i="112" s="1"/>
  <c r="D414" i="112" s="1"/>
  <c r="D115" i="116" s="1"/>
  <c r="V414" i="112"/>
  <c r="BL262" i="164"/>
  <c r="N437" i="112"/>
  <c r="F437" i="112" s="1"/>
  <c r="D437" i="112" s="1"/>
  <c r="D70" i="116" s="1"/>
  <c r="V437" i="112"/>
  <c r="N394" i="112"/>
  <c r="F394" i="112" s="1"/>
  <c r="D394" i="112" s="1"/>
  <c r="D128" i="116" s="1"/>
  <c r="V394" i="112"/>
  <c r="N320" i="112"/>
  <c r="F320" i="112" s="1"/>
  <c r="D320" i="112" s="1"/>
  <c r="D86" i="116" s="1"/>
  <c r="V320" i="112"/>
  <c r="F103" i="141"/>
  <c r="C775" i="123"/>
  <c r="N390" i="112"/>
  <c r="F390" i="112" s="1"/>
  <c r="D390" i="112" s="1"/>
  <c r="V390" i="112"/>
  <c r="N433" i="112"/>
  <c r="F433" i="112" s="1"/>
  <c r="V433" i="112"/>
  <c r="BJ134" i="163"/>
  <c r="N321" i="112"/>
  <c r="F321" i="112" s="1"/>
  <c r="D321" i="112" s="1"/>
  <c r="D87" i="116" s="1"/>
  <c r="V321" i="112"/>
  <c r="N417" i="112"/>
  <c r="F417" i="112" s="1"/>
  <c r="D417" i="112" s="1"/>
  <c r="D77" i="116" s="1"/>
  <c r="V417" i="112"/>
  <c r="BL267" i="164"/>
  <c r="BN267" i="164" s="1"/>
  <c r="N436" i="112"/>
  <c r="F436" i="112" s="1"/>
  <c r="D436" i="112" s="1"/>
  <c r="D69" i="116" s="1"/>
  <c r="V436" i="112"/>
  <c r="F114" i="141"/>
  <c r="C808" i="123"/>
  <c r="N396" i="112"/>
  <c r="F396" i="112" s="1"/>
  <c r="D396" i="112" s="1"/>
  <c r="D129" i="116" s="1"/>
  <c r="V396" i="112"/>
  <c r="N420" i="112"/>
  <c r="F420" i="112" s="1"/>
  <c r="D420" i="112" s="1"/>
  <c r="D72" i="116" s="1"/>
  <c r="V420" i="112"/>
  <c r="BK243" i="164"/>
  <c r="O77" i="164" s="1"/>
  <c r="N430" i="112"/>
  <c r="F430" i="112" s="1"/>
  <c r="D430" i="112" s="1"/>
  <c r="D84" i="116" s="1"/>
  <c r="V430" i="112"/>
  <c r="N397" i="112"/>
  <c r="F397" i="112" s="1"/>
  <c r="D397" i="112" s="1"/>
  <c r="D117" i="116" s="1"/>
  <c r="V397" i="112"/>
  <c r="N422" i="112"/>
  <c r="F422" i="112" s="1"/>
  <c r="D422" i="112" s="1"/>
  <c r="D74" i="116" s="1"/>
  <c r="V422" i="112"/>
  <c r="BC248" i="164"/>
  <c r="R155" i="166"/>
  <c r="N413" i="112"/>
  <c r="F413" i="112" s="1"/>
  <c r="D413" i="112" s="1"/>
  <c r="D114" i="116" s="1"/>
  <c r="V413" i="112"/>
  <c r="N440" i="112"/>
  <c r="F440" i="112" s="1"/>
  <c r="V440" i="112"/>
  <c r="BJ126" i="163"/>
  <c r="N304" i="112"/>
  <c r="F304" i="112" s="1"/>
  <c r="D304" i="112" s="1"/>
  <c r="D3" i="116" s="1"/>
  <c r="V304" i="112"/>
  <c r="N410" i="112"/>
  <c r="F410" i="112" s="1"/>
  <c r="D410" i="112" s="1"/>
  <c r="D94" i="116" s="1"/>
  <c r="V410" i="112"/>
  <c r="N130" i="112"/>
  <c r="F130" i="112" s="1"/>
  <c r="D130" i="112" s="1"/>
  <c r="V130" i="112"/>
  <c r="N426" i="112"/>
  <c r="F426" i="112" s="1"/>
  <c r="D426" i="112" s="1"/>
  <c r="D80" i="116" s="1"/>
  <c r="V426" i="112"/>
  <c r="R157" i="166"/>
  <c r="BC249" i="164"/>
  <c r="N406" i="112"/>
  <c r="F406" i="112" s="1"/>
  <c r="D406" i="112" s="1"/>
  <c r="D124" i="116" s="1"/>
  <c r="V406" i="112"/>
  <c r="N409" i="112"/>
  <c r="F409" i="112" s="1"/>
  <c r="D409" i="112" s="1"/>
  <c r="D10" i="116" s="1"/>
  <c r="V409" i="112"/>
  <c r="N416" i="112"/>
  <c r="F416" i="112" s="1"/>
  <c r="D416" i="112" s="1"/>
  <c r="D91" i="116" s="1"/>
  <c r="V416" i="112"/>
  <c r="BJ131" i="163"/>
  <c r="N451" i="112"/>
  <c r="F451" i="112" s="1"/>
  <c r="V451" i="112"/>
  <c r="N398" i="112"/>
  <c r="F398" i="112" s="1"/>
  <c r="D398" i="112" s="1"/>
  <c r="BK245" i="164"/>
  <c r="O83" i="164" s="1"/>
  <c r="N443" i="112"/>
  <c r="F443" i="112" s="1"/>
  <c r="V443" i="112"/>
  <c r="BJ129" i="163"/>
  <c r="N429" i="112"/>
  <c r="F429" i="112" s="1"/>
  <c r="D429" i="112" s="1"/>
  <c r="D83" i="116" s="1"/>
  <c r="V429" i="112"/>
  <c r="N419" i="112"/>
  <c r="F419" i="112" s="1"/>
  <c r="D419" i="112" s="1"/>
  <c r="D76" i="116" s="1"/>
  <c r="V419" i="112"/>
  <c r="N306" i="112"/>
  <c r="F306" i="112" s="1"/>
  <c r="D306" i="112" s="1"/>
  <c r="D4" i="116" s="1"/>
  <c r="V306" i="112"/>
  <c r="N425" i="112"/>
  <c r="F425" i="112" s="1"/>
  <c r="D425" i="112" s="1"/>
  <c r="D79" i="116" s="1"/>
  <c r="V425" i="112"/>
  <c r="N402" i="112"/>
  <c r="F402" i="112" s="1"/>
  <c r="D402" i="112" s="1"/>
  <c r="D121" i="116" s="1"/>
  <c r="V402" i="112"/>
  <c r="BJ124" i="163"/>
  <c r="N445" i="112"/>
  <c r="F445" i="112" s="1"/>
  <c r="V445" i="112"/>
  <c r="BL255" i="164"/>
  <c r="BN255" i="164" s="1"/>
  <c r="N334" i="112"/>
  <c r="F334" i="112" s="1"/>
  <c r="D334" i="112" s="1"/>
  <c r="D89" i="116" s="1"/>
  <c r="V334" i="112"/>
  <c r="N435" i="112"/>
  <c r="F435" i="112" s="1"/>
  <c r="D435" i="112" s="1"/>
  <c r="D71" i="116" s="1"/>
  <c r="V435" i="112"/>
  <c r="N307" i="112"/>
  <c r="F307" i="112" s="1"/>
  <c r="D307" i="112" s="1"/>
  <c r="D5" i="116" s="1"/>
  <c r="V307" i="112"/>
  <c r="N411" i="112"/>
  <c r="F411" i="112" s="1"/>
  <c r="D411" i="112" s="1"/>
  <c r="D93" i="116" s="1"/>
  <c r="V411" i="112"/>
  <c r="N345" i="112"/>
  <c r="F345" i="112" s="1"/>
  <c r="D345" i="112" s="1"/>
  <c r="D31" i="116" s="1"/>
  <c r="V345" i="112"/>
  <c r="N319" i="112"/>
  <c r="F319" i="112" s="1"/>
  <c r="D319" i="112" s="1"/>
  <c r="D85" i="116" s="1"/>
  <c r="V319" i="112"/>
  <c r="BL254" i="164"/>
  <c r="BN254" i="164" s="1"/>
  <c r="BL263" i="164"/>
  <c r="N401" i="112"/>
  <c r="F401" i="112" s="1"/>
  <c r="D401" i="112" s="1"/>
  <c r="D120" i="116" s="1"/>
  <c r="V401" i="112"/>
  <c r="BL257" i="164"/>
  <c r="N132" i="112"/>
  <c r="F132" i="112" s="1"/>
  <c r="D132" i="112" s="1"/>
  <c r="V132" i="112"/>
  <c r="BJ127" i="163"/>
  <c r="N441" i="112"/>
  <c r="F441" i="112" s="1"/>
  <c r="V441" i="112"/>
  <c r="F122" i="112"/>
  <c r="D122" i="112" s="1"/>
  <c r="M163" i="166"/>
  <c r="N415" i="112"/>
  <c r="F415" i="112" s="1"/>
  <c r="D415" i="112" s="1"/>
  <c r="D113" i="116" s="1"/>
  <c r="V415" i="112"/>
  <c r="N418" i="112"/>
  <c r="F418" i="112" s="1"/>
  <c r="D418" i="112" s="1"/>
  <c r="D78" i="116" s="1"/>
  <c r="V418" i="112"/>
  <c r="BL265" i="164"/>
  <c r="BN265" i="164" s="1"/>
  <c r="N403" i="112"/>
  <c r="F403" i="112" s="1"/>
  <c r="D403" i="112" s="1"/>
  <c r="D130" i="116" s="1"/>
  <c r="V403" i="112"/>
  <c r="N82" i="112"/>
  <c r="F82" i="112" s="1"/>
  <c r="D82" i="112" s="1"/>
  <c r="V82" i="112"/>
  <c r="N395" i="112"/>
  <c r="F395" i="112" s="1"/>
  <c r="D395" i="112" s="1"/>
  <c r="D116" i="116" s="1"/>
  <c r="V395" i="112"/>
  <c r="N391" i="112"/>
  <c r="F391" i="112" s="1"/>
  <c r="D391" i="112" s="1"/>
  <c r="D125" i="116" s="1"/>
  <c r="V391" i="112"/>
  <c r="BL269" i="164"/>
  <c r="N438" i="112"/>
  <c r="V438" i="112"/>
  <c r="BK247" i="164"/>
  <c r="O89" i="164" s="1"/>
  <c r="N134" i="112"/>
  <c r="F134" i="112" s="1"/>
  <c r="D134" i="112" s="1"/>
  <c r="V134" i="112"/>
  <c r="N428" i="112"/>
  <c r="F428" i="112" s="1"/>
  <c r="D428" i="112" s="1"/>
  <c r="D82" i="116" s="1"/>
  <c r="V428" i="112"/>
  <c r="N421" i="112"/>
  <c r="F421" i="112" s="1"/>
  <c r="D421" i="112" s="1"/>
  <c r="D73" i="116" s="1"/>
  <c r="V421" i="112"/>
  <c r="BL258" i="164"/>
  <c r="BN258" i="164" s="1"/>
  <c r="BJ135" i="163"/>
  <c r="N311" i="112"/>
  <c r="F311" i="112" s="1"/>
  <c r="V311" i="112"/>
  <c r="N405" i="112"/>
  <c r="F405" i="112" s="1"/>
  <c r="D405" i="112" s="1"/>
  <c r="D123" i="116" s="1"/>
  <c r="V405" i="112"/>
  <c r="N135" i="112"/>
  <c r="F135" i="112" s="1"/>
  <c r="D135" i="112" s="1"/>
  <c r="V135" i="112"/>
  <c r="V347" i="112"/>
  <c r="N347" i="112"/>
  <c r="F347" i="112" s="1"/>
  <c r="D347" i="112" s="1"/>
  <c r="D95" i="116" s="1"/>
  <c r="O6" i="145"/>
  <c r="AA6" i="145"/>
  <c r="D6" i="145"/>
  <c r="S6" i="145"/>
  <c r="L6" i="145"/>
  <c r="AA150" i="187" l="1"/>
  <c r="C735" i="152"/>
  <c r="C705" i="127"/>
  <c r="C697" i="126"/>
  <c r="C707" i="99"/>
  <c r="C704" i="124"/>
  <c r="C696" i="123"/>
  <c r="C705" i="100"/>
  <c r="C605" i="121"/>
  <c r="C596" i="122"/>
  <c r="C606" i="98"/>
  <c r="C494" i="125"/>
  <c r="C462" i="97"/>
  <c r="C581" i="107"/>
  <c r="AA329" i="187"/>
  <c r="Z27" i="124" s="1"/>
  <c r="M159" i="166"/>
  <c r="BN271" i="164"/>
  <c r="R153" i="166" s="1"/>
  <c r="BN266" i="164"/>
  <c r="R143" i="166" s="1"/>
  <c r="BC261" i="164"/>
  <c r="M133" i="166" s="1"/>
  <c r="BN261" i="164"/>
  <c r="BO263" i="164"/>
  <c r="Q155" i="164" s="1"/>
  <c r="BN263" i="164"/>
  <c r="R137" i="166" s="1"/>
  <c r="BC260" i="164"/>
  <c r="M131" i="166" s="1"/>
  <c r="BN260" i="164"/>
  <c r="BO269" i="164"/>
  <c r="Q179" i="164" s="1"/>
  <c r="BN269" i="164"/>
  <c r="R149" i="166" s="1"/>
  <c r="BC259" i="164"/>
  <c r="M129" i="166" s="1"/>
  <c r="BN259" i="164"/>
  <c r="R129" i="166" s="1"/>
  <c r="BC256" i="164"/>
  <c r="F96" i="112" s="1"/>
  <c r="D96" i="112" s="1"/>
  <c r="BN256" i="164"/>
  <c r="R123" i="166" s="1"/>
  <c r="BC264" i="164"/>
  <c r="F102" i="112" s="1"/>
  <c r="D102" i="112" s="1"/>
  <c r="BN264" i="164"/>
  <c r="R139" i="166" s="1"/>
  <c r="BO262" i="164"/>
  <c r="Q152" i="164" s="1"/>
  <c r="BN262" i="164"/>
  <c r="R135" i="166" s="1"/>
  <c r="BN270" i="164"/>
  <c r="R151" i="166" s="1"/>
  <c r="BO257" i="164"/>
  <c r="Q131" i="164" s="1"/>
  <c r="BN257" i="164"/>
  <c r="R125" i="166" s="1"/>
  <c r="AN150" i="187"/>
  <c r="AQ150" i="187"/>
  <c r="AR288" i="187" s="1"/>
  <c r="T64" i="152" s="1"/>
  <c r="C680" i="152" s="1"/>
  <c r="W150" i="187"/>
  <c r="AE150" i="187"/>
  <c r="CB10" i="132"/>
  <c r="G94" i="194"/>
  <c r="T16" i="100" s="1"/>
  <c r="S150" i="187"/>
  <c r="AJ150" i="187"/>
  <c r="AJ329" i="187" s="1"/>
  <c r="Z27" i="126" s="1"/>
  <c r="AI150" i="187"/>
  <c r="Z150" i="187"/>
  <c r="J150" i="187"/>
  <c r="V150" i="187"/>
  <c r="K150" i="187"/>
  <c r="G150" i="187"/>
  <c r="G329" i="187" s="1"/>
  <c r="Z27" i="98" s="1"/>
  <c r="G170" i="200"/>
  <c r="G293" i="200" s="1"/>
  <c r="T73" i="107" s="1"/>
  <c r="C554" i="107" s="1"/>
  <c r="E554" i="107" s="1"/>
  <c r="AM150" i="187"/>
  <c r="AD150" i="187"/>
  <c r="H160" i="180"/>
  <c r="H276" i="180" s="1"/>
  <c r="T33" i="125" s="1"/>
  <c r="C467" i="125" s="1"/>
  <c r="G160" i="180"/>
  <c r="G276" i="180" s="1"/>
  <c r="T34" i="97" s="1"/>
  <c r="F150" i="187"/>
  <c r="G288" i="187" s="1"/>
  <c r="T44" i="98" s="1"/>
  <c r="R150" i="187"/>
  <c r="O150" i="187"/>
  <c r="N150" i="187"/>
  <c r="AR150" i="187"/>
  <c r="CB9" i="132"/>
  <c r="J25" i="132"/>
  <c r="J10" i="132"/>
  <c r="J9" i="132"/>
  <c r="J31" i="132"/>
  <c r="D43" i="111"/>
  <c r="J26" i="132"/>
  <c r="G16" i="188"/>
  <c r="G15" i="188"/>
  <c r="H20" i="180"/>
  <c r="G48" i="198"/>
  <c r="O7" i="184"/>
  <c r="L40" i="191"/>
  <c r="L46" i="191" s="1" a="1"/>
  <c r="L46" i="191" s="1"/>
  <c r="T12" i="121"/>
  <c r="C382" i="121" s="1"/>
  <c r="T11" i="124"/>
  <c r="C481" i="124" s="1"/>
  <c r="H7" i="184"/>
  <c r="G20" i="180"/>
  <c r="G7" i="184"/>
  <c r="N7" i="184"/>
  <c r="M7" i="184"/>
  <c r="L7" i="184"/>
  <c r="K7" i="184"/>
  <c r="J7" i="184"/>
  <c r="D808" i="123"/>
  <c r="D775" i="123"/>
  <c r="H48" i="198"/>
  <c r="H104" i="198" s="1"/>
  <c r="H103" i="198"/>
  <c r="N78" i="112"/>
  <c r="W192" i="112"/>
  <c r="V84" i="112"/>
  <c r="V81" i="112"/>
  <c r="N81" i="112"/>
  <c r="N84" i="112"/>
  <c r="V85" i="112"/>
  <c r="N85" i="112"/>
  <c r="V78" i="112"/>
  <c r="N79" i="112"/>
  <c r="V80" i="112"/>
  <c r="N80" i="112"/>
  <c r="V79" i="112"/>
  <c r="F121" i="112"/>
  <c r="D121" i="112" s="1"/>
  <c r="H53" i="198"/>
  <c r="H106" i="198"/>
  <c r="C4" i="123"/>
  <c r="C4" i="122"/>
  <c r="C4" i="152"/>
  <c r="C4" i="107"/>
  <c r="C4" i="99"/>
  <c r="C4" i="127"/>
  <c r="C4" i="126"/>
  <c r="C4" i="151"/>
  <c r="F438" i="112"/>
  <c r="D438" i="112" s="1"/>
  <c r="D68" i="116" s="1"/>
  <c r="C4" i="124"/>
  <c r="C4" i="100"/>
  <c r="T15" i="98"/>
  <c r="C383" i="98" s="1"/>
  <c r="T15" i="100"/>
  <c r="C482" i="100" s="1"/>
  <c r="C4" i="121"/>
  <c r="C4" i="125"/>
  <c r="C4" i="98"/>
  <c r="R147" i="166"/>
  <c r="BO268" i="164"/>
  <c r="Q176" i="164" s="1"/>
  <c r="H4" i="198"/>
  <c r="H15" i="198" s="1"/>
  <c r="G4" i="198"/>
  <c r="G22" i="198" s="1"/>
  <c r="F33" i="112"/>
  <c r="D33" i="112" s="1"/>
  <c r="B11" i="183" s="1"/>
  <c r="B12" i="183" s="1"/>
  <c r="G29" i="188"/>
  <c r="AJ4" i="187" s="1"/>
  <c r="G36" i="188"/>
  <c r="BC268" i="164"/>
  <c r="M147" i="166" s="1"/>
  <c r="M101" i="166"/>
  <c r="H13" i="180"/>
  <c r="H32" i="180" s="1"/>
  <c r="H41" i="180" s="1"/>
  <c r="H69" i="180" s="1"/>
  <c r="H314" i="180" s="1"/>
  <c r="C43" i="125" s="1"/>
  <c r="H9" i="180"/>
  <c r="H28" i="180" s="1"/>
  <c r="H37" i="180" s="1"/>
  <c r="H65" i="180" s="1"/>
  <c r="H8" i="180"/>
  <c r="H15" i="180" s="1"/>
  <c r="F564" i="112"/>
  <c r="D564" i="112" s="1"/>
  <c r="H12" i="180"/>
  <c r="H31" i="180" s="1"/>
  <c r="H40" i="180" s="1"/>
  <c r="H68" i="180" s="1"/>
  <c r="H313" i="180" s="1"/>
  <c r="C42" i="125" s="1"/>
  <c r="M105" i="166"/>
  <c r="H11" i="180"/>
  <c r="H30" i="180" s="1"/>
  <c r="H10" i="180"/>
  <c r="H29" i="180" s="1"/>
  <c r="M165" i="166"/>
  <c r="BC271" i="164"/>
  <c r="F109" i="112" s="1"/>
  <c r="D109" i="112" s="1"/>
  <c r="M103" i="166"/>
  <c r="BC270" i="164"/>
  <c r="M151" i="166" s="1"/>
  <c r="BL244" i="164"/>
  <c r="R133" i="166"/>
  <c r="R131" i="166"/>
  <c r="BM123" i="163"/>
  <c r="G9" i="180"/>
  <c r="G28" i="180" s="1"/>
  <c r="G5" i="188"/>
  <c r="G13" i="180"/>
  <c r="G32" i="180" s="1"/>
  <c r="G41" i="180" s="1"/>
  <c r="G69" i="180" s="1"/>
  <c r="G314" i="180" s="1"/>
  <c r="C43" i="97" s="1"/>
  <c r="G9" i="188"/>
  <c r="I69" i="159" s="1"/>
  <c r="G12" i="180"/>
  <c r="G31" i="180" s="1"/>
  <c r="G8" i="188"/>
  <c r="I68" i="159" s="1"/>
  <c r="G4" i="188"/>
  <c r="I4" i="188" s="1"/>
  <c r="G8" i="180"/>
  <c r="G7" i="188"/>
  <c r="G11" i="180"/>
  <c r="G10" i="180"/>
  <c r="G29" i="180" s="1"/>
  <c r="G129" i="180" s="1"/>
  <c r="G133" i="180" s="1"/>
  <c r="G320" i="180" s="1"/>
  <c r="C49" i="97" s="1"/>
  <c r="G6" i="188"/>
  <c r="BL245" i="164"/>
  <c r="BL246" i="164"/>
  <c r="BM126" i="163"/>
  <c r="BM130" i="163"/>
  <c r="BC266" i="164"/>
  <c r="M143" i="166" s="1"/>
  <c r="R127" i="166"/>
  <c r="BC258" i="164"/>
  <c r="BC265" i="164"/>
  <c r="R141" i="166"/>
  <c r="R145" i="166"/>
  <c r="BC267" i="164"/>
  <c r="BL243" i="164"/>
  <c r="BN243" i="164" s="1"/>
  <c r="BC262" i="164"/>
  <c r="BL242" i="164"/>
  <c r="BN242" i="164" s="1"/>
  <c r="F125" i="112"/>
  <c r="D125" i="112" s="1"/>
  <c r="M157" i="166"/>
  <c r="BL247" i="164"/>
  <c r="BN247" i="164" s="1"/>
  <c r="F120" i="112"/>
  <c r="D120" i="112" s="1"/>
  <c r="M155" i="166"/>
  <c r="R121" i="166"/>
  <c r="BC255" i="164"/>
  <c r="BC257" i="164"/>
  <c r="BC263" i="164"/>
  <c r="BC269" i="164"/>
  <c r="R119" i="166"/>
  <c r="BC254" i="164"/>
  <c r="E343" i="97"/>
  <c r="H431" i="112"/>
  <c r="BE132" i="163" s="1"/>
  <c r="BI132" i="163"/>
  <c r="I6" i="145"/>
  <c r="X6" i="145"/>
  <c r="K329" i="187" l="1"/>
  <c r="Z27" i="122" s="1"/>
  <c r="AR329" i="187"/>
  <c r="Z27" i="152" s="1"/>
  <c r="S329" i="187"/>
  <c r="Z27" i="100" s="1"/>
  <c r="AE329" i="187"/>
  <c r="Z27" i="99" s="1"/>
  <c r="AN288" i="187"/>
  <c r="T53" i="127" s="1"/>
  <c r="C650" i="127" s="1"/>
  <c r="E650" i="127" s="1"/>
  <c r="W288" i="187"/>
  <c r="T69" i="123" s="1"/>
  <c r="C641" i="123" s="1"/>
  <c r="E641" i="123" s="1"/>
  <c r="O288" i="187"/>
  <c r="T41" i="121" s="1"/>
  <c r="C550" i="121" s="1"/>
  <c r="E550" i="121" s="1"/>
  <c r="O329" i="187"/>
  <c r="Z28" i="121" s="1"/>
  <c r="S288" i="187"/>
  <c r="T54" i="100" s="1"/>
  <c r="C650" i="100" s="1"/>
  <c r="E650" i="100" s="1"/>
  <c r="W329" i="187"/>
  <c r="Z27" i="123" s="1"/>
  <c r="AE288" i="187"/>
  <c r="T53" i="99" s="1"/>
  <c r="C652" i="99" s="1"/>
  <c r="E652" i="99" s="1"/>
  <c r="K288" i="187"/>
  <c r="T59" i="122" s="1"/>
  <c r="AA288" i="187"/>
  <c r="T49" i="124" s="1"/>
  <c r="C649" i="124" s="1"/>
  <c r="E649" i="124" s="1"/>
  <c r="AN329" i="187"/>
  <c r="Z27" i="127" s="1"/>
  <c r="AJ288" i="187"/>
  <c r="T70" i="126" s="1"/>
  <c r="C642" i="126" s="1"/>
  <c r="E642" i="126" s="1"/>
  <c r="F105" i="112"/>
  <c r="D105" i="112" s="1"/>
  <c r="H43" i="111"/>
  <c r="H72" i="111" s="1"/>
  <c r="I43" i="111"/>
  <c r="I72" i="111" s="1"/>
  <c r="I74" i="111" s="1"/>
  <c r="G43" i="111"/>
  <c r="E43" i="111"/>
  <c r="F89" i="112"/>
  <c r="D89" i="112" s="1"/>
  <c r="M123" i="166"/>
  <c r="F100" i="112"/>
  <c r="D100" i="112" s="1"/>
  <c r="AD43" i="111"/>
  <c r="M139" i="166"/>
  <c r="BN244" i="164"/>
  <c r="R111" i="166" s="1"/>
  <c r="BC246" i="164"/>
  <c r="M115" i="166" s="1"/>
  <c r="BN246" i="164"/>
  <c r="R115" i="166" s="1"/>
  <c r="BC245" i="164"/>
  <c r="M113" i="166" s="1"/>
  <c r="BN245" i="164"/>
  <c r="R113" i="166" s="1"/>
  <c r="T16" i="99"/>
  <c r="C18" i="97"/>
  <c r="D16" i="111" s="1"/>
  <c r="E16" i="111" s="1"/>
  <c r="J19" i="132"/>
  <c r="J20" i="132"/>
  <c r="G8" i="194"/>
  <c r="G11" i="199"/>
  <c r="H8" i="198"/>
  <c r="G8" i="198"/>
  <c r="H39" i="180"/>
  <c r="H67" i="180" s="1"/>
  <c r="H312" i="180" s="1"/>
  <c r="C41" i="125" s="1"/>
  <c r="C10" i="125" s="1"/>
  <c r="H135" i="180"/>
  <c r="H137" i="180" s="1"/>
  <c r="H140" i="180" s="1"/>
  <c r="T19" i="151"/>
  <c r="T16" i="151"/>
  <c r="T17" i="151"/>
  <c r="H7" i="198"/>
  <c r="H65" i="198" s="1"/>
  <c r="H69" i="198" s="1"/>
  <c r="H123" i="198" s="1"/>
  <c r="C81" i="151" s="1"/>
  <c r="G7" i="198"/>
  <c r="G65" i="198" s="1"/>
  <c r="G69" i="198" s="1"/>
  <c r="G123" i="198" s="1"/>
  <c r="G10" i="199"/>
  <c r="G44" i="199" s="1"/>
  <c r="G48" i="199" s="1"/>
  <c r="G91" i="199" s="1"/>
  <c r="G7" i="194"/>
  <c r="G52" i="194" s="1"/>
  <c r="G56" i="194" s="1"/>
  <c r="G110" i="194" s="1"/>
  <c r="H38" i="180"/>
  <c r="H66" i="180" s="1"/>
  <c r="H129" i="180"/>
  <c r="H133" i="180" s="1"/>
  <c r="H320" i="180" s="1"/>
  <c r="C49" i="125" s="1"/>
  <c r="C18" i="125" s="1"/>
  <c r="D53" i="111" s="1"/>
  <c r="E53" i="111" s="1"/>
  <c r="I67" i="159"/>
  <c r="I7" i="188"/>
  <c r="G11" i="188"/>
  <c r="I66" i="159" s="1"/>
  <c r="H22" i="180"/>
  <c r="H27" i="180" s="1"/>
  <c r="H36" i="180" s="1"/>
  <c r="G51" i="198"/>
  <c r="G52" i="198" s="1"/>
  <c r="G106" i="198" s="1"/>
  <c r="G58" i="198"/>
  <c r="G49" i="198"/>
  <c r="G105" i="198" s="1"/>
  <c r="G104" i="198"/>
  <c r="L41" i="191" a="1"/>
  <c r="L41" i="191" s="1"/>
  <c r="L42" i="191" a="1"/>
  <c r="L42" i="191" s="1"/>
  <c r="G122" i="189" s="1"/>
  <c r="G235" i="189" s="1"/>
  <c r="T41" i="151" s="1"/>
  <c r="C417" i="151" s="1"/>
  <c r="E417" i="151" s="1"/>
  <c r="L48" i="191" a="1"/>
  <c r="L48" i="191" s="1"/>
  <c r="L47" i="191" a="1"/>
  <c r="L47" i="191" s="1"/>
  <c r="G124" i="189" s="1"/>
  <c r="G233" i="189" s="1"/>
  <c r="T39" i="151" s="1"/>
  <c r="C415" i="151" s="1"/>
  <c r="L45" i="191" a="1"/>
  <c r="L45" i="191" s="1"/>
  <c r="L51" i="191" s="1"/>
  <c r="L49" i="191" a="1"/>
  <c r="L49" i="191" s="1"/>
  <c r="L44" i="191" a="1"/>
  <c r="L44" i="191" s="1"/>
  <c r="G123" i="189" s="1"/>
  <c r="G236" i="189" s="1"/>
  <c r="T42" i="151" s="1"/>
  <c r="C418" i="151" s="1"/>
  <c r="E418" i="151" s="1"/>
  <c r="L43" i="191" a="1"/>
  <c r="L43" i="191" s="1"/>
  <c r="C12" i="125"/>
  <c r="C11" i="125"/>
  <c r="H58" i="198"/>
  <c r="H59" i="198" s="1"/>
  <c r="H49" i="198"/>
  <c r="H105" i="198" s="1"/>
  <c r="C12" i="97"/>
  <c r="H107" i="198"/>
  <c r="H118" i="198"/>
  <c r="C36" i="151" s="1"/>
  <c r="BO275" i="164"/>
  <c r="BM279" i="164" s="1"/>
  <c r="G190" i="164" s="1"/>
  <c r="G32" i="198"/>
  <c r="G94" i="198"/>
  <c r="T7" i="107" s="1"/>
  <c r="G5" i="198"/>
  <c r="H5" i="198"/>
  <c r="H91" i="198" s="1"/>
  <c r="BP132" i="163"/>
  <c r="M40" i="163" s="1"/>
  <c r="P40" i="163"/>
  <c r="BE128" i="204"/>
  <c r="BE143" i="205"/>
  <c r="BE107" i="137"/>
  <c r="BE104" i="203"/>
  <c r="G10" i="200"/>
  <c r="G77" i="200" s="1"/>
  <c r="G338" i="200" s="1"/>
  <c r="C60" i="107" s="1"/>
  <c r="C11" i="107" s="1"/>
  <c r="G10" i="189"/>
  <c r="G65" i="189" s="1"/>
  <c r="G11" i="200"/>
  <c r="G78" i="200" s="1"/>
  <c r="G339" i="200" s="1"/>
  <c r="C61" i="107" s="1"/>
  <c r="C12" i="107" s="1"/>
  <c r="G11" i="189"/>
  <c r="G66" i="189" s="1"/>
  <c r="G7" i="200"/>
  <c r="G15" i="200" s="1"/>
  <c r="G7" i="189"/>
  <c r="G4" i="200"/>
  <c r="G4" i="189"/>
  <c r="G8" i="200"/>
  <c r="G8" i="189"/>
  <c r="G86" i="189" s="1"/>
  <c r="G90" i="189" s="1"/>
  <c r="G296" i="189" s="1"/>
  <c r="G9" i="200"/>
  <c r="G30" i="188"/>
  <c r="I7" i="192"/>
  <c r="I49" i="192" s="1"/>
  <c r="AA8" i="187" s="1"/>
  <c r="AA32" i="187" s="1"/>
  <c r="H7" i="192"/>
  <c r="H49" i="192" s="1"/>
  <c r="W8" i="187" s="1"/>
  <c r="W32" i="187" s="1"/>
  <c r="G7" i="192"/>
  <c r="G49" i="192" s="1"/>
  <c r="S8" i="187" s="1"/>
  <c r="S32" i="187" s="1"/>
  <c r="H5" i="192"/>
  <c r="H53" i="192" s="1"/>
  <c r="H57" i="192" s="1"/>
  <c r="H94" i="192" s="1"/>
  <c r="I5" i="192"/>
  <c r="I53" i="192" s="1"/>
  <c r="I57" i="192" s="1"/>
  <c r="I94" i="192" s="1"/>
  <c r="G5" i="192"/>
  <c r="G53" i="192" s="1"/>
  <c r="G57" i="192" s="1"/>
  <c r="G94" i="192" s="1"/>
  <c r="C72" i="100" s="1"/>
  <c r="H4" i="192"/>
  <c r="G4" i="192"/>
  <c r="I4" i="192"/>
  <c r="G8" i="192"/>
  <c r="G50" i="192" s="1"/>
  <c r="S9" i="187" s="1"/>
  <c r="S33" i="187" s="1"/>
  <c r="I8" i="192"/>
  <c r="I50" i="192" s="1"/>
  <c r="AA9" i="187" s="1"/>
  <c r="AA33" i="187" s="1"/>
  <c r="H8" i="192"/>
  <c r="H50" i="192" s="1"/>
  <c r="W9" i="187" s="1"/>
  <c r="W33" i="187" s="1"/>
  <c r="G5" i="187"/>
  <c r="G13" i="187" s="1"/>
  <c r="G5" i="190"/>
  <c r="G33" i="190" s="1"/>
  <c r="K5" i="187"/>
  <c r="K13" i="187" s="1"/>
  <c r="O5" i="187"/>
  <c r="O13" i="187" s="1"/>
  <c r="G4" i="196"/>
  <c r="H4" i="196"/>
  <c r="I4" i="196"/>
  <c r="K6" i="187"/>
  <c r="O6" i="187"/>
  <c r="G5" i="196"/>
  <c r="G61" i="196" s="1"/>
  <c r="G65" i="196" s="1"/>
  <c r="G100" i="196" s="1"/>
  <c r="H5" i="196"/>
  <c r="H61" i="196" s="1"/>
  <c r="H65" i="196" s="1"/>
  <c r="H100" i="196" s="1"/>
  <c r="I5" i="196"/>
  <c r="I61" i="196" s="1"/>
  <c r="I65" i="196" s="1"/>
  <c r="I100" i="196" s="1"/>
  <c r="G6" i="187"/>
  <c r="G6" i="190"/>
  <c r="G4" i="190"/>
  <c r="K4" i="187"/>
  <c r="AR4" i="187"/>
  <c r="W4" i="187"/>
  <c r="H7" i="196"/>
  <c r="H57" i="196" s="1"/>
  <c r="AJ8" i="187" s="1"/>
  <c r="AJ32" i="187" s="1"/>
  <c r="K8" i="187"/>
  <c r="K32" i="187" s="1"/>
  <c r="I7" i="196"/>
  <c r="I57" i="196" s="1"/>
  <c r="AN8" i="187" s="1"/>
  <c r="AN32" i="187" s="1"/>
  <c r="O8" i="187"/>
  <c r="O32" i="187" s="1"/>
  <c r="G7" i="196"/>
  <c r="G57" i="196" s="1"/>
  <c r="AE8" i="187" s="1"/>
  <c r="AE32" i="187" s="1"/>
  <c r="G8" i="190"/>
  <c r="G38" i="190" s="1"/>
  <c r="G8" i="187"/>
  <c r="G32" i="187" s="1"/>
  <c r="G9" i="190"/>
  <c r="G39" i="190" s="1"/>
  <c r="I8" i="196"/>
  <c r="I58" i="196" s="1"/>
  <c r="AN9" i="187" s="1"/>
  <c r="AN33" i="187" s="1"/>
  <c r="O9" i="187"/>
  <c r="O33" i="187" s="1"/>
  <c r="H8" i="196"/>
  <c r="H58" i="196" s="1"/>
  <c r="AJ9" i="187" s="1"/>
  <c r="AJ33" i="187" s="1"/>
  <c r="G8" i="196"/>
  <c r="G58" i="196" s="1"/>
  <c r="AE9" i="187" s="1"/>
  <c r="AE33" i="187" s="1"/>
  <c r="G9" i="187"/>
  <c r="G33" i="187" s="1"/>
  <c r="K9" i="187"/>
  <c r="K33" i="187" s="1"/>
  <c r="G4" i="199"/>
  <c r="G18" i="199" s="1"/>
  <c r="G37" i="188"/>
  <c r="G20" i="188"/>
  <c r="F116" i="112"/>
  <c r="D116" i="112" s="1"/>
  <c r="F112" i="112"/>
  <c r="D112" i="112" s="1"/>
  <c r="BM128" i="163"/>
  <c r="M153" i="166"/>
  <c r="BC244" i="164"/>
  <c r="F85" i="112" s="1"/>
  <c r="D85" i="112" s="1"/>
  <c r="G40" i="180"/>
  <c r="G68" i="180" s="1"/>
  <c r="G313" i="180" s="1"/>
  <c r="C42" i="97" s="1"/>
  <c r="G30" i="180"/>
  <c r="G38" i="180"/>
  <c r="G66" i="180" s="1"/>
  <c r="G37" i="180"/>
  <c r="G65" i="180" s="1"/>
  <c r="BM136" i="163"/>
  <c r="D427" i="112"/>
  <c r="D65" i="116" s="1"/>
  <c r="G15" i="180"/>
  <c r="G22" i="180" s="1"/>
  <c r="BM124" i="163"/>
  <c r="F110" i="112"/>
  <c r="D110" i="112" s="1"/>
  <c r="D440" i="112"/>
  <c r="D16" i="116" s="1"/>
  <c r="BM133" i="163"/>
  <c r="F95" i="112"/>
  <c r="D95" i="112" s="1"/>
  <c r="M121" i="166"/>
  <c r="D434" i="112"/>
  <c r="D67" i="116" s="1"/>
  <c r="BC243" i="164"/>
  <c r="R109" i="166"/>
  <c r="E375" i="125"/>
  <c r="F99" i="112"/>
  <c r="D99" i="112" s="1"/>
  <c r="M141" i="166"/>
  <c r="BM134" i="163"/>
  <c r="BM127" i="163"/>
  <c r="F90" i="112"/>
  <c r="D90" i="112" s="1"/>
  <c r="M119" i="166"/>
  <c r="N431" i="112"/>
  <c r="F431" i="112" s="1"/>
  <c r="V431" i="112"/>
  <c r="BJ132" i="163"/>
  <c r="BM131" i="163"/>
  <c r="C435" i="97"/>
  <c r="F101" i="112"/>
  <c r="D101" i="112" s="1"/>
  <c r="M137" i="166"/>
  <c r="F91" i="112"/>
  <c r="D91" i="112" s="1"/>
  <c r="M125" i="166"/>
  <c r="D432" i="112"/>
  <c r="D32" i="116" s="1"/>
  <c r="BM125" i="163"/>
  <c r="F111" i="112"/>
  <c r="D111" i="112" s="1"/>
  <c r="M149" i="166"/>
  <c r="BC242" i="164"/>
  <c r="R107" i="166"/>
  <c r="D442" i="112"/>
  <c r="D18" i="116" s="1"/>
  <c r="M127" i="166"/>
  <c r="F92" i="112"/>
  <c r="D92" i="112" s="1"/>
  <c r="B14" i="183"/>
  <c r="F106" i="112"/>
  <c r="D106" i="112" s="1"/>
  <c r="M135" i="166"/>
  <c r="BM135" i="163"/>
  <c r="D445" i="112"/>
  <c r="D14" i="116" s="1"/>
  <c r="BC247" i="164"/>
  <c r="R117" i="166"/>
  <c r="F115" i="112"/>
  <c r="D115" i="112" s="1"/>
  <c r="M145" i="166"/>
  <c r="BM129" i="163"/>
  <c r="AI43" i="111" l="1"/>
  <c r="AI72" i="111" s="1"/>
  <c r="AI74" i="111" s="1"/>
  <c r="AH43" i="111"/>
  <c r="AH72" i="111" s="1"/>
  <c r="AG43" i="111"/>
  <c r="AE43" i="111"/>
  <c r="F81" i="112"/>
  <c r="D81" i="112" s="1"/>
  <c r="F80" i="112"/>
  <c r="D80" i="112" s="1"/>
  <c r="G143" i="200"/>
  <c r="G145" i="200" s="1"/>
  <c r="G76" i="200"/>
  <c r="G337" i="200" s="1"/>
  <c r="C59" i="107" s="1"/>
  <c r="C10" i="107" s="1"/>
  <c r="G71" i="198"/>
  <c r="G73" i="198" s="1"/>
  <c r="G38" i="198"/>
  <c r="H71" i="198"/>
  <c r="H73" i="198" s="1"/>
  <c r="H38" i="198"/>
  <c r="G9" i="189" s="1"/>
  <c r="G50" i="199"/>
  <c r="G52" i="199" s="1"/>
  <c r="G33" i="199"/>
  <c r="G27" i="194"/>
  <c r="G58" i="194"/>
  <c r="G60" i="194" s="1"/>
  <c r="H73" i="180"/>
  <c r="H144" i="180"/>
  <c r="H145" i="180" s="1"/>
  <c r="H322" i="180" s="1"/>
  <c r="C51" i="125" s="1"/>
  <c r="C19" i="125" s="1"/>
  <c r="G39" i="180"/>
  <c r="G67" i="180" s="1"/>
  <c r="G312" i="180" s="1"/>
  <c r="C41" i="97" s="1"/>
  <c r="G135" i="180"/>
  <c r="G137" i="180" s="1"/>
  <c r="G144" i="180" s="1"/>
  <c r="G38" i="188"/>
  <c r="G6" i="199" s="1"/>
  <c r="G89" i="199" s="1"/>
  <c r="AN4" i="187"/>
  <c r="CE10" i="132"/>
  <c r="CE9" i="132"/>
  <c r="CG30" i="132"/>
  <c r="CG29" i="132"/>
  <c r="CG9" i="132"/>
  <c r="CG10" i="132"/>
  <c r="T4" i="151"/>
  <c r="C77" i="100"/>
  <c r="C70" i="98"/>
  <c r="C83" i="99"/>
  <c r="C83" i="127"/>
  <c r="C72" i="121"/>
  <c r="C83" i="124"/>
  <c r="C88" i="123"/>
  <c r="C78" i="122"/>
  <c r="C82" i="107"/>
  <c r="C83" i="126"/>
  <c r="C96" i="152"/>
  <c r="T20" i="151"/>
  <c r="T17" i="152"/>
  <c r="C349" i="152" s="1"/>
  <c r="T17" i="107"/>
  <c r="C351" i="107" s="1"/>
  <c r="T18" i="122"/>
  <c r="T18" i="107"/>
  <c r="C354" i="107" s="1"/>
  <c r="T18" i="151"/>
  <c r="C349" i="151"/>
  <c r="T16" i="107"/>
  <c r="C350" i="107" s="1"/>
  <c r="T19" i="122"/>
  <c r="T19" i="107"/>
  <c r="C353" i="107" s="1"/>
  <c r="G14" i="187"/>
  <c r="G235" i="187"/>
  <c r="G239" i="187" s="1"/>
  <c r="G378" i="187" s="1"/>
  <c r="C74" i="98" s="1"/>
  <c r="G16" i="200"/>
  <c r="G137" i="200"/>
  <c r="G141" i="200" s="1"/>
  <c r="G345" i="200" s="1"/>
  <c r="K14" i="187"/>
  <c r="K235" i="187"/>
  <c r="K239" i="187" s="1"/>
  <c r="K378" i="187" s="1"/>
  <c r="C82" i="122" s="1"/>
  <c r="O14" i="187"/>
  <c r="O235" i="187"/>
  <c r="O239" i="187" s="1"/>
  <c r="O378" i="187" s="1"/>
  <c r="C68" i="121" s="1"/>
  <c r="G18" i="188"/>
  <c r="G3" i="198" s="1"/>
  <c r="G14" i="198" s="1"/>
  <c r="G53" i="198"/>
  <c r="G118" i="198" s="1"/>
  <c r="C32" i="107" s="1"/>
  <c r="T19" i="126"/>
  <c r="C353" i="126" s="1"/>
  <c r="C352" i="151"/>
  <c r="T16" i="122"/>
  <c r="T19" i="152"/>
  <c r="C351" i="152" s="1"/>
  <c r="T17" i="122"/>
  <c r="C350" i="151"/>
  <c r="T19" i="123"/>
  <c r="C353" i="123" s="1"/>
  <c r="T17" i="123"/>
  <c r="C351" i="123" s="1"/>
  <c r="T17" i="126"/>
  <c r="C351" i="126" s="1"/>
  <c r="T18" i="152"/>
  <c r="C352" i="152" s="1"/>
  <c r="T16" i="152"/>
  <c r="C348" i="152" s="1"/>
  <c r="T16" i="123"/>
  <c r="C350" i="123" s="1"/>
  <c r="T16" i="126"/>
  <c r="C350" i="126" s="1"/>
  <c r="T18" i="123"/>
  <c r="C354" i="123" s="1"/>
  <c r="T18" i="126"/>
  <c r="C354" i="126" s="1"/>
  <c r="G59" i="198"/>
  <c r="G60" i="198"/>
  <c r="H60" i="198"/>
  <c r="H61" i="198" s="1"/>
  <c r="H119" i="198" s="1"/>
  <c r="C37" i="151" s="1"/>
  <c r="C11" i="97"/>
  <c r="T7" i="122"/>
  <c r="T7" i="152"/>
  <c r="T7" i="123"/>
  <c r="T7" i="126"/>
  <c r="G20" i="198"/>
  <c r="G91" i="198"/>
  <c r="T4" i="107" s="1"/>
  <c r="C334" i="107" s="1"/>
  <c r="G6" i="198"/>
  <c r="G21" i="198" s="1"/>
  <c r="H6" i="198"/>
  <c r="G63" i="189"/>
  <c r="G62" i="189"/>
  <c r="G5" i="200"/>
  <c r="G5" i="189"/>
  <c r="G5" i="199"/>
  <c r="O4" i="187"/>
  <c r="AA4" i="187"/>
  <c r="G41" i="190"/>
  <c r="G34" i="190"/>
  <c r="G176" i="190" s="1"/>
  <c r="G180" i="190" s="1"/>
  <c r="G256" i="190" s="1"/>
  <c r="C100" i="152" s="1"/>
  <c r="G4" i="194"/>
  <c r="G15" i="194" s="1"/>
  <c r="G22" i="188"/>
  <c r="H46" i="180"/>
  <c r="H48" i="180" s="1"/>
  <c r="H248" i="180"/>
  <c r="T5" i="125" s="1"/>
  <c r="C309" i="125" s="1"/>
  <c r="E309" i="125" s="1"/>
  <c r="C312" i="125" s="1"/>
  <c r="H70" i="180"/>
  <c r="M111" i="166"/>
  <c r="D444" i="112"/>
  <c r="D13" i="116" s="1"/>
  <c r="G27" i="180"/>
  <c r="H75" i="180"/>
  <c r="H74" i="180"/>
  <c r="D441" i="112"/>
  <c r="D17" i="116" s="1"/>
  <c r="F84" i="112"/>
  <c r="D84" i="112" s="1"/>
  <c r="M109" i="166"/>
  <c r="I666" i="107"/>
  <c r="F200" i="141" s="1"/>
  <c r="I70" i="159"/>
  <c r="B67" i="159" s="1"/>
  <c r="U54" i="183"/>
  <c r="FA54" i="183"/>
  <c r="B24" i="183"/>
  <c r="D54" i="183"/>
  <c r="EJ54" i="183"/>
  <c r="DB54" i="183"/>
  <c r="B18" i="183"/>
  <c r="CK54" i="183"/>
  <c r="BC54" i="183"/>
  <c r="BT54" i="183"/>
  <c r="DS54" i="183"/>
  <c r="AL54" i="183"/>
  <c r="I71" i="159"/>
  <c r="E467" i="125"/>
  <c r="DH7" i="132"/>
  <c r="D443" i="112"/>
  <c r="D19" i="116" s="1"/>
  <c r="F78" i="112"/>
  <c r="D78" i="112" s="1"/>
  <c r="M117" i="166"/>
  <c r="D311" i="112"/>
  <c r="D34" i="116" s="1"/>
  <c r="D433" i="112"/>
  <c r="D33" i="116" s="1"/>
  <c r="L45" i="111"/>
  <c r="I72" i="159"/>
  <c r="E435" i="97"/>
  <c r="F79" i="112"/>
  <c r="D79" i="112" s="1"/>
  <c r="M107" i="166"/>
  <c r="D439" i="112"/>
  <c r="D15" i="116" s="1"/>
  <c r="I73" i="159"/>
  <c r="D451" i="112"/>
  <c r="D66" i="116" s="1"/>
  <c r="N12" i="145"/>
  <c r="AC51" i="145"/>
  <c r="AC10" i="145"/>
  <c r="N13" i="145"/>
  <c r="N51" i="145"/>
  <c r="AC11" i="145"/>
  <c r="AC13" i="145"/>
  <c r="AC12" i="145"/>
  <c r="C10" i="97" l="1"/>
  <c r="CE7" i="132" s="1"/>
  <c r="C577" i="125"/>
  <c r="E577" i="125" s="1"/>
  <c r="C607" i="125"/>
  <c r="D315" i="125"/>
  <c r="C315" i="125"/>
  <c r="O319" i="125"/>
  <c r="O320" i="125" s="1"/>
  <c r="C322" i="125" s="1"/>
  <c r="J312" i="125"/>
  <c r="N312" i="125" s="1"/>
  <c r="O7" i="187"/>
  <c r="O31" i="187" s="1"/>
  <c r="O241" i="187" s="1"/>
  <c r="O243" i="187" s="1"/>
  <c r="O250" i="187" s="1"/>
  <c r="O251" i="187" s="1"/>
  <c r="O380" i="187" s="1"/>
  <c r="C70" i="121" s="1"/>
  <c r="I6" i="192"/>
  <c r="I6" i="196"/>
  <c r="K7" i="187"/>
  <c r="K31" i="187" s="1"/>
  <c r="K241" i="187" s="1"/>
  <c r="K243" i="187" s="1"/>
  <c r="K250" i="187" s="1"/>
  <c r="K251" i="187" s="1"/>
  <c r="K380" i="187" s="1"/>
  <c r="C84" i="122" s="1"/>
  <c r="G7" i="190"/>
  <c r="G35" i="190" s="1"/>
  <c r="G37" i="190" s="1"/>
  <c r="H6" i="196"/>
  <c r="H6" i="192"/>
  <c r="CE30" i="132"/>
  <c r="CE29" i="132"/>
  <c r="G148" i="200"/>
  <c r="G152" i="200"/>
  <c r="G153" i="200" s="1"/>
  <c r="G347" i="200" s="1"/>
  <c r="C80" i="107" s="1"/>
  <c r="G6" i="192"/>
  <c r="G6" i="196"/>
  <c r="G7" i="187"/>
  <c r="G31" i="187" s="1"/>
  <c r="G241" i="187" s="1"/>
  <c r="G243" i="187" s="1"/>
  <c r="G250" i="187" s="1"/>
  <c r="G251" i="187" s="1"/>
  <c r="G380" i="187" s="1"/>
  <c r="C76" i="98" s="1"/>
  <c r="G84" i="189"/>
  <c r="G64" i="189"/>
  <c r="G63" i="194"/>
  <c r="G67" i="194"/>
  <c r="G68" i="194" s="1"/>
  <c r="G112" i="194" s="1"/>
  <c r="C72" i="98" s="1"/>
  <c r="G55" i="199"/>
  <c r="G59" i="199"/>
  <c r="G60" i="199" s="1"/>
  <c r="G93" i="199" s="1"/>
  <c r="H76" i="198"/>
  <c r="H80" i="198"/>
  <c r="H81" i="198" s="1"/>
  <c r="H125" i="198" s="1"/>
  <c r="C83" i="151" s="1"/>
  <c r="G76" i="198"/>
  <c r="G80" i="198"/>
  <c r="G81" i="198" s="1"/>
  <c r="G125" i="198" s="1"/>
  <c r="H141" i="180"/>
  <c r="H321" i="180" s="1"/>
  <c r="C50" i="125" s="1"/>
  <c r="C21" i="125" s="1"/>
  <c r="H148" i="180"/>
  <c r="H149" i="180" s="1"/>
  <c r="H323" i="180" s="1"/>
  <c r="C52" i="125" s="1"/>
  <c r="C20" i="125" s="1"/>
  <c r="G145" i="180"/>
  <c r="G322" i="180" s="1"/>
  <c r="C51" i="97" s="1"/>
  <c r="C19" i="97" s="1"/>
  <c r="C18" i="121"/>
  <c r="D164" i="111" s="1"/>
  <c r="E164" i="111" s="1"/>
  <c r="CE8" i="132"/>
  <c r="CG8" i="132"/>
  <c r="CG7" i="132"/>
  <c r="C18" i="122"/>
  <c r="D127" i="111" s="1"/>
  <c r="E127" i="111" s="1"/>
  <c r="C18" i="98"/>
  <c r="D90" i="111" s="1"/>
  <c r="E90" i="111" s="1"/>
  <c r="G31" i="188"/>
  <c r="P15" i="145" s="1"/>
  <c r="AE15" i="145" s="1"/>
  <c r="AE17" i="145" s="1"/>
  <c r="H3" i="198"/>
  <c r="H14" i="198" s="1"/>
  <c r="H16" i="198" s="1"/>
  <c r="G3" i="200"/>
  <c r="G6" i="200" s="1"/>
  <c r="G21" i="200" s="1"/>
  <c r="G22" i="200" s="1"/>
  <c r="G333" i="200" s="1"/>
  <c r="C40" i="107" s="1"/>
  <c r="G3" i="189"/>
  <c r="G6" i="189" s="1"/>
  <c r="G24" i="189" s="1"/>
  <c r="G8" i="199"/>
  <c r="G17" i="199" s="1"/>
  <c r="G19" i="199" s="1"/>
  <c r="G40" i="188"/>
  <c r="I3" i="196" s="1"/>
  <c r="I53" i="196" s="1"/>
  <c r="AN3" i="187" s="1"/>
  <c r="G3" i="194"/>
  <c r="G24" i="188"/>
  <c r="H15" i="145" s="1"/>
  <c r="W15" i="145" s="1"/>
  <c r="W17" i="145" s="1"/>
  <c r="C15" i="145"/>
  <c r="R15" i="145" s="1"/>
  <c r="R16" i="145" s="1"/>
  <c r="D15" i="145"/>
  <c r="S15" i="145" s="1"/>
  <c r="S16" i="145" s="1"/>
  <c r="H252" i="180"/>
  <c r="T9" i="125" s="1"/>
  <c r="C389" i="125" s="1"/>
  <c r="D22" i="145"/>
  <c r="S22" i="145" s="1"/>
  <c r="G107" i="198"/>
  <c r="C353" i="151"/>
  <c r="C36" i="123"/>
  <c r="C32" i="126"/>
  <c r="C35" i="122"/>
  <c r="C36" i="152"/>
  <c r="G61" i="198"/>
  <c r="G119" i="198" s="1"/>
  <c r="C33" i="107" s="1"/>
  <c r="T4" i="122"/>
  <c r="T4" i="152"/>
  <c r="C332" i="152" s="1"/>
  <c r="C333" i="151"/>
  <c r="E333" i="151" s="1"/>
  <c r="T4" i="123"/>
  <c r="T4" i="126"/>
  <c r="C334" i="126" s="1"/>
  <c r="C39" i="124"/>
  <c r="C39" i="127"/>
  <c r="C41" i="121"/>
  <c r="G9" i="199"/>
  <c r="G72" i="199" s="1"/>
  <c r="T5" i="127" s="1"/>
  <c r="G27" i="199"/>
  <c r="G23" i="188"/>
  <c r="G6" i="194" s="1"/>
  <c r="G22" i="194" s="1"/>
  <c r="G4" i="187"/>
  <c r="AE4" i="187"/>
  <c r="S4" i="187"/>
  <c r="G47" i="190"/>
  <c r="G48" i="190" s="1"/>
  <c r="G49" i="190" s="1"/>
  <c r="G50" i="190" s="1"/>
  <c r="G238" i="190" s="1"/>
  <c r="C50" i="152" s="1"/>
  <c r="G42" i="190"/>
  <c r="G121" i="198"/>
  <c r="C39" i="107" s="1"/>
  <c r="G5" i="194"/>
  <c r="G21" i="194" s="1"/>
  <c r="G32" i="194" s="1"/>
  <c r="G47" i="194" s="1"/>
  <c r="G20" i="194"/>
  <c r="G33" i="198"/>
  <c r="G15" i="198"/>
  <c r="G16" i="198" s="1"/>
  <c r="H47" i="180"/>
  <c r="G36" i="180"/>
  <c r="G46" i="180" s="1"/>
  <c r="H77" i="180"/>
  <c r="H254" i="180"/>
  <c r="T11" i="125" s="1"/>
  <c r="H78" i="180"/>
  <c r="H255" i="180"/>
  <c r="T12" i="125" s="1"/>
  <c r="C392" i="125" s="1"/>
  <c r="H76" i="180"/>
  <c r="H253" i="180"/>
  <c r="T10" i="125" s="1"/>
  <c r="C390" i="125" s="1"/>
  <c r="E79" i="159"/>
  <c r="B70" i="159" s="1"/>
  <c r="K699" i="107"/>
  <c r="T665" i="107"/>
  <c r="Q199" i="141" s="1"/>
  <c r="N699" i="107"/>
  <c r="K210" i="141" s="1"/>
  <c r="J699" i="107"/>
  <c r="G210" i="141" s="1"/>
  <c r="T696" i="107"/>
  <c r="J665" i="107"/>
  <c r="G199" i="141" s="1"/>
  <c r="I664" i="107"/>
  <c r="E78" i="159"/>
  <c r="B69" i="159" s="1"/>
  <c r="I696" i="107"/>
  <c r="R697" i="107"/>
  <c r="O208" i="141" s="1"/>
  <c r="U697" i="107"/>
  <c r="R208" i="141" s="1"/>
  <c r="Q699" i="107"/>
  <c r="N210" i="141" s="1"/>
  <c r="R696" i="107"/>
  <c r="U696" i="107"/>
  <c r="L667" i="107"/>
  <c r="I201" i="141" s="1"/>
  <c r="P666" i="107"/>
  <c r="M200" i="141" s="1"/>
  <c r="U698" i="107"/>
  <c r="R209" i="141" s="1"/>
  <c r="O696" i="107"/>
  <c r="I697" i="107"/>
  <c r="F208" i="141" s="1"/>
  <c r="L664" i="107"/>
  <c r="P699" i="107"/>
  <c r="M210" i="141" s="1"/>
  <c r="R666" i="107"/>
  <c r="O200" i="141" s="1"/>
  <c r="T698" i="107"/>
  <c r="Q209" i="141" s="1"/>
  <c r="I665" i="107"/>
  <c r="F199" i="141" s="1"/>
  <c r="T699" i="107"/>
  <c r="Q210" i="141" s="1"/>
  <c r="N696" i="107"/>
  <c r="S699" i="107"/>
  <c r="K698" i="107"/>
  <c r="L666" i="107"/>
  <c r="I200" i="141" s="1"/>
  <c r="S666" i="107"/>
  <c r="P200" i="141" s="1"/>
  <c r="S697" i="107"/>
  <c r="P208" i="141" s="1"/>
  <c r="R667" i="107"/>
  <c r="O201" i="141" s="1"/>
  <c r="K697" i="107"/>
  <c r="F664" i="107"/>
  <c r="C198" i="141" s="1"/>
  <c r="Q696" i="107"/>
  <c r="S698" i="107"/>
  <c r="P209" i="141" s="1"/>
  <c r="O664" i="107"/>
  <c r="L665" i="107"/>
  <c r="I199" i="141" s="1"/>
  <c r="N664" i="107"/>
  <c r="P697" i="107"/>
  <c r="M208" i="141" s="1"/>
  <c r="O699" i="107"/>
  <c r="L210" i="141" s="1"/>
  <c r="I699" i="107"/>
  <c r="F210" i="141" s="1"/>
  <c r="L696" i="107"/>
  <c r="K664" i="107"/>
  <c r="P664" i="107"/>
  <c r="P665" i="107"/>
  <c r="M199" i="141" s="1"/>
  <c r="R698" i="107"/>
  <c r="O209" i="141" s="1"/>
  <c r="K665" i="107"/>
  <c r="F696" i="107"/>
  <c r="C207" i="141" s="1"/>
  <c r="I698" i="107"/>
  <c r="F209" i="141" s="1"/>
  <c r="R699" i="107"/>
  <c r="O210" i="141" s="1"/>
  <c r="U665" i="107"/>
  <c r="R199" i="141" s="1"/>
  <c r="T664" i="107"/>
  <c r="J697" i="107"/>
  <c r="G208" i="141" s="1"/>
  <c r="K696" i="107"/>
  <c r="K667" i="107"/>
  <c r="U664" i="107"/>
  <c r="S667" i="107"/>
  <c r="P201" i="141" s="1"/>
  <c r="Q698" i="107"/>
  <c r="N209" i="141" s="1"/>
  <c r="J664" i="107"/>
  <c r="J667" i="107"/>
  <c r="G201" i="141" s="1"/>
  <c r="K666" i="107"/>
  <c r="Q667" i="107"/>
  <c r="N201" i="141" s="1"/>
  <c r="S664" i="107"/>
  <c r="Q697" i="107"/>
  <c r="N208" i="141" s="1"/>
  <c r="R664" i="107"/>
  <c r="J696" i="107"/>
  <c r="L699" i="107"/>
  <c r="I210" i="141" s="1"/>
  <c r="T666" i="107"/>
  <c r="Q200" i="141" s="1"/>
  <c r="R665" i="107"/>
  <c r="S665" i="107"/>
  <c r="P199" i="141" s="1"/>
  <c r="S696" i="107"/>
  <c r="I667" i="107"/>
  <c r="L698" i="107"/>
  <c r="I209" i="141" s="1"/>
  <c r="U666" i="107"/>
  <c r="R200" i="141" s="1"/>
  <c r="P696" i="107"/>
  <c r="Q664" i="107"/>
  <c r="O667" i="107"/>
  <c r="L201" i="141" s="1"/>
  <c r="J698" i="107"/>
  <c r="G209" i="141" s="1"/>
  <c r="L697" i="107"/>
  <c r="I208" i="141" s="1"/>
  <c r="T697" i="107"/>
  <c r="Q208" i="141" s="1"/>
  <c r="P698" i="107"/>
  <c r="M209" i="141" s="1"/>
  <c r="U699" i="107"/>
  <c r="R210" i="141" s="1"/>
  <c r="Q665" i="107"/>
  <c r="N199" i="141" s="1"/>
  <c r="J666" i="107"/>
  <c r="G200" i="141" s="1"/>
  <c r="U667" i="107"/>
  <c r="R201" i="141" s="1"/>
  <c r="N667" i="107"/>
  <c r="K201" i="141" s="1"/>
  <c r="P667" i="107"/>
  <c r="M201" i="141" s="1"/>
  <c r="T667" i="107"/>
  <c r="Q201" i="141" s="1"/>
  <c r="Q666" i="107"/>
  <c r="N200" i="141" s="1"/>
  <c r="C664" i="107"/>
  <c r="EK54" i="183"/>
  <c r="EN54" i="183" s="1"/>
  <c r="EM54" i="183"/>
  <c r="EL54" i="183"/>
  <c r="EQ54" i="183"/>
  <c r="E54" i="183"/>
  <c r="H54" i="183" s="1"/>
  <c r="G54" i="183"/>
  <c r="F54" i="183"/>
  <c r="K54" i="183"/>
  <c r="C696" i="107"/>
  <c r="B19" i="183"/>
  <c r="B23" i="183"/>
  <c r="FB54" i="183"/>
  <c r="FE54" i="183" s="1"/>
  <c r="FC54" i="183"/>
  <c r="FD54" i="183"/>
  <c r="FH54" i="183"/>
  <c r="BM132" i="163"/>
  <c r="V54" i="183"/>
  <c r="Y54" i="183" s="1"/>
  <c r="W54" i="183"/>
  <c r="X54" i="183"/>
  <c r="AB54" i="183"/>
  <c r="D696" i="107"/>
  <c r="E342" i="97"/>
  <c r="AM54" i="183"/>
  <c r="AP54" i="183" s="1"/>
  <c r="AN54" i="183"/>
  <c r="AO54" i="183"/>
  <c r="AS54" i="183"/>
  <c r="DC54" i="183"/>
  <c r="DF54" i="183" s="1"/>
  <c r="DD54" i="183"/>
  <c r="DE54" i="183"/>
  <c r="DI54" i="183"/>
  <c r="E77" i="159"/>
  <c r="B68" i="159" s="1"/>
  <c r="DT54" i="183"/>
  <c r="DW54" i="183" s="1"/>
  <c r="DU54" i="183"/>
  <c r="DV54" i="183"/>
  <c r="DZ54" i="183"/>
  <c r="BW54" i="183"/>
  <c r="BU54" i="183"/>
  <c r="BX54" i="183" s="1"/>
  <c r="BV54" i="183"/>
  <c r="CA54" i="183"/>
  <c r="D664" i="107"/>
  <c r="BF54" i="183"/>
  <c r="BD54" i="183"/>
  <c r="BG54" i="183" s="1"/>
  <c r="BE54" i="183"/>
  <c r="BJ54" i="183"/>
  <c r="E374" i="125"/>
  <c r="CL54" i="183"/>
  <c r="CO54" i="183" s="1"/>
  <c r="CN54" i="183"/>
  <c r="CM54" i="183"/>
  <c r="CR54" i="183"/>
  <c r="L207" i="141" l="1"/>
  <c r="N207" i="141"/>
  <c r="M207" i="141"/>
  <c r="Q207" i="141"/>
  <c r="T701" i="107"/>
  <c r="R207" i="141"/>
  <c r="U701" i="107"/>
  <c r="K207" i="141"/>
  <c r="F207" i="141"/>
  <c r="I701" i="107"/>
  <c r="C684" i="107" s="1"/>
  <c r="D684" i="107" s="1"/>
  <c r="G207" i="141"/>
  <c r="I207" i="141"/>
  <c r="N198" i="141"/>
  <c r="R198" i="141"/>
  <c r="U669" i="107"/>
  <c r="L198" i="141"/>
  <c r="Q198" i="141"/>
  <c r="T669" i="107"/>
  <c r="M198" i="141"/>
  <c r="P198" i="141"/>
  <c r="K198" i="141"/>
  <c r="F198" i="141"/>
  <c r="I669" i="107"/>
  <c r="F203" i="141" s="1"/>
  <c r="G198" i="141"/>
  <c r="I198" i="141"/>
  <c r="T95" i="123"/>
  <c r="C313" i="123" s="1"/>
  <c r="E313" i="123" s="1"/>
  <c r="C316" i="123" s="1"/>
  <c r="T108" i="152"/>
  <c r="C311" i="152" s="1"/>
  <c r="E311" i="152" s="1"/>
  <c r="C314" i="152" s="1"/>
  <c r="T96" i="126"/>
  <c r="C313" i="126" s="1"/>
  <c r="E313" i="126" s="1"/>
  <c r="C316" i="126" s="1"/>
  <c r="T77" i="122"/>
  <c r="C311" i="122" s="1"/>
  <c r="E311" i="122" s="1"/>
  <c r="C314" i="122" s="1"/>
  <c r="T93" i="107"/>
  <c r="C313" i="107" s="1"/>
  <c r="E313" i="107" s="1"/>
  <c r="C316" i="107" s="1"/>
  <c r="G20" i="199"/>
  <c r="G21" i="199" s="1"/>
  <c r="G87" i="199" s="1"/>
  <c r="C43" i="127" s="1"/>
  <c r="T75" i="124"/>
  <c r="C313" i="124" s="1"/>
  <c r="E313" i="124" s="1"/>
  <c r="C316" i="124" s="1"/>
  <c r="T80" i="127"/>
  <c r="C313" i="127" s="1"/>
  <c r="E313" i="127" s="1"/>
  <c r="C316" i="127" s="1"/>
  <c r="T58" i="121"/>
  <c r="C311" i="121" s="1"/>
  <c r="E311" i="121" s="1"/>
  <c r="C314" i="121" s="1"/>
  <c r="H17" i="198"/>
  <c r="H18" i="198" s="1"/>
  <c r="H115" i="198" s="1"/>
  <c r="C48" i="151" s="1"/>
  <c r="T68" i="151"/>
  <c r="C312" i="151" s="1"/>
  <c r="E312" i="151" s="1"/>
  <c r="C315" i="151" s="1"/>
  <c r="C586" i="151" s="1"/>
  <c r="E607" i="125"/>
  <c r="G577" i="125"/>
  <c r="G607" i="125"/>
  <c r="C316" i="125"/>
  <c r="D316" i="125"/>
  <c r="O312" i="125"/>
  <c r="H87" i="180"/>
  <c r="H90" i="180" s="1"/>
  <c r="G47" i="180"/>
  <c r="G48" i="180"/>
  <c r="G182" i="190"/>
  <c r="G184" i="190" s="1"/>
  <c r="G187" i="190" s="1"/>
  <c r="C19" i="98"/>
  <c r="G77" i="190"/>
  <c r="C98" i="152"/>
  <c r="C90" i="123"/>
  <c r="C80" i="122"/>
  <c r="C19" i="122" s="1"/>
  <c r="C84" i="107"/>
  <c r="C19" i="107" s="1"/>
  <c r="C85" i="126"/>
  <c r="C27" i="125"/>
  <c r="C28" i="125"/>
  <c r="D66" i="111" s="1"/>
  <c r="H59" i="192"/>
  <c r="H61" i="192" s="1"/>
  <c r="H48" i="192"/>
  <c r="W7" i="187" s="1"/>
  <c r="W31" i="187" s="1"/>
  <c r="W241" i="187" s="1"/>
  <c r="W243" i="187" s="1"/>
  <c r="W250" i="187" s="1"/>
  <c r="W251" i="187" s="1"/>
  <c r="W380" i="187" s="1"/>
  <c r="C94" i="123" s="1"/>
  <c r="C85" i="127"/>
  <c r="C85" i="124"/>
  <c r="C74" i="121"/>
  <c r="C19" i="121" s="1"/>
  <c r="H67" i="196"/>
  <c r="H69" i="196" s="1"/>
  <c r="H56" i="196"/>
  <c r="AJ7" i="187" s="1"/>
  <c r="AJ31" i="187" s="1"/>
  <c r="AJ241" i="187" s="1"/>
  <c r="AJ243" i="187" s="1"/>
  <c r="AJ250" i="187" s="1"/>
  <c r="AJ251" i="187" s="1"/>
  <c r="AJ380" i="187" s="1"/>
  <c r="C89" i="126" s="1"/>
  <c r="C79" i="100"/>
  <c r="C85" i="99"/>
  <c r="I67" i="196"/>
  <c r="I69" i="196" s="1"/>
  <c r="I56" i="196"/>
  <c r="AN7" i="187" s="1"/>
  <c r="AN31" i="187" s="1"/>
  <c r="AN241" i="187" s="1"/>
  <c r="AN243" i="187" s="1"/>
  <c r="AN250" i="187" s="1"/>
  <c r="AN251" i="187" s="1"/>
  <c r="AN380" i="187" s="1"/>
  <c r="C89" i="127" s="1"/>
  <c r="I59" i="192"/>
  <c r="I61" i="192" s="1"/>
  <c r="I48" i="192"/>
  <c r="AA7" i="187" s="1"/>
  <c r="AA31" i="187" s="1"/>
  <c r="AA241" i="187" s="1"/>
  <c r="AA243" i="187" s="1"/>
  <c r="AA250" i="187" s="1"/>
  <c r="AA251" i="187" s="1"/>
  <c r="AA380" i="187" s="1"/>
  <c r="C89" i="124" s="1"/>
  <c r="G149" i="200"/>
  <c r="G346" i="200" s="1"/>
  <c r="C79" i="107" s="1"/>
  <c r="G156" i="200"/>
  <c r="G157" i="200" s="1"/>
  <c r="G348" i="200" s="1"/>
  <c r="C81" i="107" s="1"/>
  <c r="G67" i="196"/>
  <c r="G69" i="196" s="1"/>
  <c r="G56" i="196"/>
  <c r="AE7" i="187" s="1"/>
  <c r="AE31" i="187" s="1"/>
  <c r="AE241" i="187" s="1"/>
  <c r="AE243" i="187" s="1"/>
  <c r="AE250" i="187" s="1"/>
  <c r="AE251" i="187" s="1"/>
  <c r="AE380" i="187" s="1"/>
  <c r="C89" i="99" s="1"/>
  <c r="G48" i="192"/>
  <c r="S7" i="187" s="1"/>
  <c r="S31" i="187" s="1"/>
  <c r="S241" i="187" s="1"/>
  <c r="S243" i="187" s="1"/>
  <c r="S250" i="187" s="1"/>
  <c r="S251" i="187" s="1"/>
  <c r="S380" i="187" s="1"/>
  <c r="C83" i="100" s="1"/>
  <c r="G59" i="192"/>
  <c r="G61" i="192" s="1"/>
  <c r="G77" i="198"/>
  <c r="G124" i="198" s="1"/>
  <c r="G84" i="198"/>
  <c r="G85" i="198" s="1"/>
  <c r="G126" i="198" s="1"/>
  <c r="H77" i="198"/>
  <c r="H124" i="198" s="1"/>
  <c r="C82" i="151" s="1"/>
  <c r="H84" i="198"/>
  <c r="H85" i="198" s="1"/>
  <c r="H126" i="198" s="1"/>
  <c r="C84" i="151" s="1"/>
  <c r="G56" i="199"/>
  <c r="G92" i="199" s="1"/>
  <c r="G63" i="199"/>
  <c r="G64" i="199" s="1"/>
  <c r="G94" i="199" s="1"/>
  <c r="G64" i="194"/>
  <c r="G111" i="194" s="1"/>
  <c r="C71" i="98" s="1"/>
  <c r="G71" i="194"/>
  <c r="G72" i="194" s="1"/>
  <c r="G113" i="194" s="1"/>
  <c r="C73" i="98" s="1"/>
  <c r="G14" i="194"/>
  <c r="G16" i="194" s="1"/>
  <c r="H209" i="141"/>
  <c r="H210" i="141"/>
  <c r="H207" i="141"/>
  <c r="H208" i="141"/>
  <c r="H199" i="141"/>
  <c r="H200" i="141"/>
  <c r="H201" i="141"/>
  <c r="H198" i="141"/>
  <c r="CJ9" i="132"/>
  <c r="CJ10" i="132"/>
  <c r="CL10" i="132"/>
  <c r="CL9" i="132"/>
  <c r="H88" i="180"/>
  <c r="H91" i="180" s="1"/>
  <c r="CK10" i="132"/>
  <c r="CK9" i="132"/>
  <c r="T20" i="126"/>
  <c r="C352" i="126" s="1"/>
  <c r="T20" i="107"/>
  <c r="C352" i="107" s="1"/>
  <c r="H3" i="192"/>
  <c r="H3" i="184"/>
  <c r="H8" i="184" s="1"/>
  <c r="H17" i="184" s="1"/>
  <c r="H19" i="184" s="1"/>
  <c r="I15" i="145"/>
  <c r="X15" i="145" s="1"/>
  <c r="X17" i="145" s="1"/>
  <c r="O15" i="145"/>
  <c r="O17" i="145" s="1"/>
  <c r="O3" i="184"/>
  <c r="O8" i="184" s="1"/>
  <c r="O17" i="184" s="1"/>
  <c r="O18" i="184" s="1"/>
  <c r="F15" i="145"/>
  <c r="U15" i="145" s="1"/>
  <c r="U16" i="145" s="1"/>
  <c r="N3" i="184"/>
  <c r="N8" i="184" s="1"/>
  <c r="N17" i="184" s="1"/>
  <c r="N28" i="184" s="1"/>
  <c r="T36" i="151" s="1"/>
  <c r="C383" i="151" s="1"/>
  <c r="L15" i="145"/>
  <c r="AA15" i="145" s="1"/>
  <c r="AA17" i="145" s="1"/>
  <c r="M3" i="184"/>
  <c r="M8" i="184" s="1"/>
  <c r="M26" i="184" s="1"/>
  <c r="T34" i="107" s="1"/>
  <c r="C383" i="107" s="1"/>
  <c r="N15" i="145"/>
  <c r="AC15" i="145" s="1"/>
  <c r="AC16" i="145" s="1"/>
  <c r="K3" i="184"/>
  <c r="K8" i="184" s="1"/>
  <c r="K9" i="184" s="1"/>
  <c r="K11" i="184" s="1"/>
  <c r="K12" i="184" s="1"/>
  <c r="G3" i="190"/>
  <c r="L5" i="191" s="1"/>
  <c r="K3" i="187"/>
  <c r="H3" i="196"/>
  <c r="H53" i="196" s="1"/>
  <c r="AJ3" i="187" s="1"/>
  <c r="L3" i="184"/>
  <c r="L8" i="184" s="1"/>
  <c r="L9" i="184" s="1"/>
  <c r="L10" i="184" s="1"/>
  <c r="L38" i="184" s="1"/>
  <c r="C44" i="127" s="1"/>
  <c r="I3" i="184"/>
  <c r="I8" i="184" s="1"/>
  <c r="I26" i="184" s="1"/>
  <c r="T12" i="124" s="1"/>
  <c r="C349" i="124" s="1"/>
  <c r="G15" i="145"/>
  <c r="V15" i="145" s="1"/>
  <c r="V16" i="145" s="1"/>
  <c r="K15" i="145"/>
  <c r="Z15" i="145" s="1"/>
  <c r="Z17" i="145" s="1"/>
  <c r="E15" i="145"/>
  <c r="T15" i="145" s="1"/>
  <c r="T17" i="145" s="1"/>
  <c r="J15" i="145"/>
  <c r="Y15" i="145" s="1"/>
  <c r="Y16" i="145" s="1"/>
  <c r="J3" i="184"/>
  <c r="J8" i="184" s="1"/>
  <c r="J26" i="184" s="1"/>
  <c r="T17" i="99" s="1"/>
  <c r="C349" i="99" s="1"/>
  <c r="M15" i="145"/>
  <c r="AB15" i="145" s="1"/>
  <c r="AB17" i="145" s="1"/>
  <c r="C16" i="145"/>
  <c r="G3" i="187"/>
  <c r="R17" i="145"/>
  <c r="I3" i="192"/>
  <c r="C17" i="145"/>
  <c r="G3" i="184"/>
  <c r="G8" i="184" s="1"/>
  <c r="G17" i="184" s="1"/>
  <c r="G18" i="184" s="1"/>
  <c r="O3" i="187"/>
  <c r="S17" i="145"/>
  <c r="G3" i="192"/>
  <c r="G3" i="196"/>
  <c r="G53" i="196" s="1"/>
  <c r="AE3" i="187" s="1"/>
  <c r="D16" i="145"/>
  <c r="D17" i="145"/>
  <c r="AE16" i="145"/>
  <c r="W16" i="145"/>
  <c r="P16" i="145"/>
  <c r="H17" i="145"/>
  <c r="P17" i="145"/>
  <c r="H16" i="145"/>
  <c r="T20" i="152"/>
  <c r="C350" i="152" s="1"/>
  <c r="T20" i="122"/>
  <c r="T20" i="123"/>
  <c r="C352" i="123" s="1"/>
  <c r="C351" i="151"/>
  <c r="C334" i="127"/>
  <c r="C471" i="127"/>
  <c r="C37" i="152"/>
  <c r="C36" i="122"/>
  <c r="C33" i="126"/>
  <c r="C37" i="123"/>
  <c r="C391" i="125"/>
  <c r="C39" i="126"/>
  <c r="C43" i="123"/>
  <c r="C5" i="151"/>
  <c r="C38" i="122"/>
  <c r="C43" i="152"/>
  <c r="G108" i="194"/>
  <c r="T6" i="121"/>
  <c r="C371" i="121" s="1"/>
  <c r="T5" i="124"/>
  <c r="C470" i="124" s="1"/>
  <c r="H303" i="180"/>
  <c r="H54" i="180"/>
  <c r="H55" i="180" s="1"/>
  <c r="G22" i="189"/>
  <c r="G241" i="189" s="1"/>
  <c r="T47" i="151" s="1"/>
  <c r="C424" i="151" s="1"/>
  <c r="G23" i="189"/>
  <c r="G23" i="200"/>
  <c r="G31" i="189"/>
  <c r="G21" i="189"/>
  <c r="G92" i="194"/>
  <c r="T14" i="99" s="1"/>
  <c r="C483" i="99" s="1"/>
  <c r="E485" i="99" s="1"/>
  <c r="C488" i="99" s="1"/>
  <c r="G28" i="199"/>
  <c r="G75" i="199" s="1"/>
  <c r="T8" i="127" s="1"/>
  <c r="C474" i="127" s="1"/>
  <c r="G40" i="199"/>
  <c r="G77" i="199" s="1"/>
  <c r="T10" i="127" s="1"/>
  <c r="C481" i="127" s="1"/>
  <c r="E483" i="127" s="1"/>
  <c r="C486" i="127" s="1"/>
  <c r="G34" i="194"/>
  <c r="G24" i="194"/>
  <c r="G73" i="199"/>
  <c r="T6" i="127" s="1"/>
  <c r="C472" i="127" s="1"/>
  <c r="G29" i="199"/>
  <c r="G17" i="198"/>
  <c r="G18" i="198" s="1"/>
  <c r="G115" i="198" s="1"/>
  <c r="C43" i="107" s="1"/>
  <c r="G24" i="198"/>
  <c r="G85" i="194"/>
  <c r="T7" i="99" s="1"/>
  <c r="G82" i="194"/>
  <c r="T4" i="99" s="1"/>
  <c r="C334" i="99" s="1"/>
  <c r="G86" i="194"/>
  <c r="T8" i="99" s="1"/>
  <c r="G95" i="198"/>
  <c r="T8" i="107" s="1"/>
  <c r="H249" i="180"/>
  <c r="T6" i="125" s="1"/>
  <c r="G248" i="180"/>
  <c r="T6" i="97" s="1"/>
  <c r="C309" i="97" s="1"/>
  <c r="E309" i="97" s="1"/>
  <c r="C312" i="97" s="1"/>
  <c r="G70" i="180"/>
  <c r="C22" i="145" s="1"/>
  <c r="R22" i="145" s="1"/>
  <c r="G75" i="180"/>
  <c r="C489" i="125" s="1"/>
  <c r="E489" i="125" s="1"/>
  <c r="G74" i="180"/>
  <c r="C488" i="125" s="1"/>
  <c r="E488" i="125" s="1"/>
  <c r="G73" i="180"/>
  <c r="C487" i="125" s="1"/>
  <c r="E487" i="125" s="1"/>
  <c r="W696" i="107"/>
  <c r="V665" i="107"/>
  <c r="S199" i="141" s="1"/>
  <c r="W698" i="107"/>
  <c r="T209" i="141" s="1"/>
  <c r="V696" i="107"/>
  <c r="O207" i="141"/>
  <c r="V664" i="107"/>
  <c r="O198" i="141"/>
  <c r="F201" i="141"/>
  <c r="W665" i="107"/>
  <c r="T199" i="141" s="1"/>
  <c r="O199" i="141"/>
  <c r="V698" i="107"/>
  <c r="S209" i="141" s="1"/>
  <c r="W666" i="107"/>
  <c r="T200" i="141" s="1"/>
  <c r="W664" i="107"/>
  <c r="P207" i="141"/>
  <c r="W699" i="107"/>
  <c r="T210" i="141" s="1"/>
  <c r="V699" i="107"/>
  <c r="S210" i="141" s="1"/>
  <c r="V697" i="107"/>
  <c r="S208" i="141" s="1"/>
  <c r="W697" i="107"/>
  <c r="T208" i="141" s="1"/>
  <c r="W667" i="107"/>
  <c r="T201" i="141" s="1"/>
  <c r="P210" i="141"/>
  <c r="V666" i="107"/>
  <c r="S200" i="141" s="1"/>
  <c r="V667" i="107"/>
  <c r="S201" i="141" s="1"/>
  <c r="V47" i="111"/>
  <c r="AH21" i="132" s="1"/>
  <c r="P21" i="132" s="1"/>
  <c r="V14" i="111"/>
  <c r="AH10" i="132" s="1"/>
  <c r="P10" i="132" s="1"/>
  <c r="V26" i="111"/>
  <c r="AH14" i="132" s="1"/>
  <c r="P14" i="132" s="1"/>
  <c r="V59" i="111"/>
  <c r="AH25" i="132" s="1"/>
  <c r="P25" i="132" s="1"/>
  <c r="V8" i="111"/>
  <c r="AH8" i="132" s="1"/>
  <c r="P8" i="132" s="1"/>
  <c r="V50" i="111"/>
  <c r="AH22" i="132" s="1"/>
  <c r="P22" i="132" s="1"/>
  <c r="V38" i="111"/>
  <c r="AH18" i="132" s="1"/>
  <c r="P18" i="132" s="1"/>
  <c r="V83" i="111"/>
  <c r="AH33" i="132" s="1"/>
  <c r="P33" i="132" s="1"/>
  <c r="V23" i="111"/>
  <c r="AH13" i="132" s="1"/>
  <c r="V80" i="111"/>
  <c r="V41" i="111"/>
  <c r="AH19" i="132" s="1"/>
  <c r="P19" i="132" s="1"/>
  <c r="V65" i="111"/>
  <c r="AH27" i="132" s="1"/>
  <c r="P27" i="132" s="1"/>
  <c r="V20" i="111"/>
  <c r="AH12" i="132" s="1"/>
  <c r="P12" i="132" s="1"/>
  <c r="D431" i="112"/>
  <c r="V32" i="111"/>
  <c r="AH16" i="132" s="1"/>
  <c r="P16" i="132" s="1"/>
  <c r="V74" i="111"/>
  <c r="AH30" i="132" s="1"/>
  <c r="P30" i="132" s="1"/>
  <c r="V68" i="111"/>
  <c r="AH28" i="132" s="1"/>
  <c r="P28" i="132" s="1"/>
  <c r="B21" i="183"/>
  <c r="B20" i="183"/>
  <c r="DJ6" i="132"/>
  <c r="V77" i="111"/>
  <c r="AH31" i="132" s="1"/>
  <c r="E696" i="107"/>
  <c r="L44" i="111"/>
  <c r="V5" i="111"/>
  <c r="V53" i="111"/>
  <c r="AH23" i="132" s="1"/>
  <c r="P23" i="132" s="1"/>
  <c r="V71" i="111"/>
  <c r="AH29" i="132" s="1"/>
  <c r="P29" i="132" s="1"/>
  <c r="V35" i="111"/>
  <c r="AH17" i="132" s="1"/>
  <c r="V29" i="111"/>
  <c r="AH15" i="132" s="1"/>
  <c r="P15" i="132" s="1"/>
  <c r="V56" i="111"/>
  <c r="AH24" i="132" s="1"/>
  <c r="V62" i="111"/>
  <c r="AH26" i="132" s="1"/>
  <c r="P26" i="132" s="1"/>
  <c r="V17" i="111"/>
  <c r="AH11" i="132" s="1"/>
  <c r="P11" i="132" s="1"/>
  <c r="E664" i="107"/>
  <c r="V44" i="111"/>
  <c r="AH20" i="132" s="1"/>
  <c r="P20" i="132" s="1"/>
  <c r="V11" i="111"/>
  <c r="N73" i="145"/>
  <c r="AC73" i="145"/>
  <c r="N72" i="145"/>
  <c r="AC6" i="145"/>
  <c r="AC72" i="145"/>
  <c r="T207" i="141" l="1"/>
  <c r="C43" i="124"/>
  <c r="C36" i="121"/>
  <c r="C842" i="152"/>
  <c r="E842" i="152" s="1"/>
  <c r="C874" i="152"/>
  <c r="J314" i="152"/>
  <c r="N314" i="152" s="1"/>
  <c r="D317" i="152"/>
  <c r="O321" i="152"/>
  <c r="O322" i="152" s="1"/>
  <c r="C324" i="152" s="1"/>
  <c r="C317" i="152"/>
  <c r="E586" i="151"/>
  <c r="O322" i="151"/>
  <c r="O323" i="151" s="1"/>
  <c r="C325" i="151" s="1"/>
  <c r="G586" i="151" s="1"/>
  <c r="D318" i="151"/>
  <c r="J315" i="151"/>
  <c r="N315" i="151" s="1"/>
  <c r="C318" i="151"/>
  <c r="Q212" i="141"/>
  <c r="R212" i="141"/>
  <c r="S207" i="141"/>
  <c r="C663" i="107"/>
  <c r="E663" i="107" s="1"/>
  <c r="C695" i="107"/>
  <c r="S198" i="141"/>
  <c r="T198" i="141"/>
  <c r="Q203" i="141"/>
  <c r="R203" i="141"/>
  <c r="C319" i="107"/>
  <c r="J316" i="107"/>
  <c r="N316" i="107" s="1"/>
  <c r="O323" i="107"/>
  <c r="O324" i="107" s="1"/>
  <c r="C326" i="107" s="1"/>
  <c r="D319" i="107"/>
  <c r="C795" i="127"/>
  <c r="E795" i="127" s="1"/>
  <c r="C828" i="127"/>
  <c r="O323" i="127"/>
  <c r="O324" i="127" s="1"/>
  <c r="C326" i="127" s="1"/>
  <c r="D319" i="127"/>
  <c r="C319" i="127"/>
  <c r="J316" i="127"/>
  <c r="N316" i="127" s="1"/>
  <c r="C787" i="126"/>
  <c r="E787" i="126" s="1"/>
  <c r="C820" i="126"/>
  <c r="J316" i="126"/>
  <c r="N316" i="126" s="1"/>
  <c r="D319" i="126"/>
  <c r="C319" i="126"/>
  <c r="O323" i="126"/>
  <c r="O324" i="126" s="1"/>
  <c r="C326" i="126" s="1"/>
  <c r="C794" i="124"/>
  <c r="E794" i="124" s="1"/>
  <c r="C827" i="124"/>
  <c r="D319" i="124"/>
  <c r="C319" i="124"/>
  <c r="J316" i="124"/>
  <c r="N316" i="124" s="1"/>
  <c r="O323" i="124"/>
  <c r="O324" i="124" s="1"/>
  <c r="C326" i="124" s="1"/>
  <c r="C786" i="123"/>
  <c r="E786" i="123" s="1"/>
  <c r="C819" i="123"/>
  <c r="O323" i="123"/>
  <c r="O324" i="123" s="1"/>
  <c r="C326" i="123" s="1"/>
  <c r="C319" i="123"/>
  <c r="D319" i="123"/>
  <c r="J316" i="123"/>
  <c r="N316" i="123" s="1"/>
  <c r="C695" i="121"/>
  <c r="E695" i="121" s="1"/>
  <c r="C726" i="121"/>
  <c r="C317" i="121"/>
  <c r="J314" i="121"/>
  <c r="N314" i="121" s="1"/>
  <c r="O321" i="121"/>
  <c r="O322" i="121" s="1"/>
  <c r="C324" i="121" s="1"/>
  <c r="D317" i="121"/>
  <c r="D317" i="122"/>
  <c r="O321" i="122"/>
  <c r="O322" i="122" s="1"/>
  <c r="C324" i="122" s="1"/>
  <c r="J314" i="122"/>
  <c r="N314" i="122" s="1"/>
  <c r="C317" i="122"/>
  <c r="C716" i="122"/>
  <c r="E716" i="122" s="1"/>
  <c r="C686" i="122"/>
  <c r="E686" i="122" s="1"/>
  <c r="T80" i="100"/>
  <c r="C313" i="100" s="1"/>
  <c r="E313" i="100" s="1"/>
  <c r="C316" i="100" s="1"/>
  <c r="T60" i="98"/>
  <c r="C311" i="98" s="1"/>
  <c r="E311" i="98" s="1"/>
  <c r="C314" i="98" s="1"/>
  <c r="T80" i="99"/>
  <c r="C313" i="99" s="1"/>
  <c r="E313" i="99" s="1"/>
  <c r="C316" i="99" s="1"/>
  <c r="F577" i="125"/>
  <c r="H577" i="125" s="1"/>
  <c r="F607" i="125"/>
  <c r="C574" i="97"/>
  <c r="C545" i="97"/>
  <c r="C547" i="97" s="1"/>
  <c r="O319" i="97"/>
  <c r="O320" i="97" s="1"/>
  <c r="C322" i="97" s="1"/>
  <c r="G574" i="97" s="1"/>
  <c r="D315" i="97"/>
  <c r="J312" i="97"/>
  <c r="N312" i="97" s="1"/>
  <c r="C315" i="97"/>
  <c r="G17" i="194"/>
  <c r="G18" i="194" s="1"/>
  <c r="G106" i="194" s="1"/>
  <c r="C43" i="99" s="1"/>
  <c r="G191" i="190"/>
  <c r="G192" i="190" s="1"/>
  <c r="G258" i="190" s="1"/>
  <c r="C102" i="152" s="1"/>
  <c r="AH32" i="132"/>
  <c r="P32" i="132" s="1"/>
  <c r="C29" i="125"/>
  <c r="D67" i="111" s="1"/>
  <c r="D65" i="111"/>
  <c r="D450" i="111"/>
  <c r="C89" i="123"/>
  <c r="C79" i="122"/>
  <c r="C83" i="107"/>
  <c r="C84" i="126"/>
  <c r="C97" i="152"/>
  <c r="H68" i="192"/>
  <c r="H69" i="192" s="1"/>
  <c r="H96" i="192" s="1"/>
  <c r="C85" i="123" s="1"/>
  <c r="C19" i="123" s="1"/>
  <c r="H64" i="192"/>
  <c r="C80" i="100"/>
  <c r="C86" i="99"/>
  <c r="C78" i="100"/>
  <c r="C84" i="99"/>
  <c r="I64" i="192"/>
  <c r="I68" i="192"/>
  <c r="I69" i="192" s="1"/>
  <c r="I96" i="192" s="1"/>
  <c r="C80" i="124" s="1"/>
  <c r="C19" i="124" s="1"/>
  <c r="C86" i="127"/>
  <c r="C75" i="121"/>
  <c r="C86" i="124"/>
  <c r="H72" i="196"/>
  <c r="H76" i="196"/>
  <c r="H77" i="196" s="1"/>
  <c r="H102" i="196" s="1"/>
  <c r="C80" i="126" s="1"/>
  <c r="C19" i="126" s="1"/>
  <c r="C84" i="124"/>
  <c r="C73" i="121"/>
  <c r="C84" i="127"/>
  <c r="I72" i="196"/>
  <c r="I76" i="196"/>
  <c r="I77" i="196" s="1"/>
  <c r="I102" i="196" s="1"/>
  <c r="C80" i="127" s="1"/>
  <c r="C19" i="127" s="1"/>
  <c r="C99" i="152"/>
  <c r="C86" i="126"/>
  <c r="C91" i="123"/>
  <c r="C81" i="122"/>
  <c r="C85" i="107"/>
  <c r="C20" i="107" s="1"/>
  <c r="C27" i="107" s="1"/>
  <c r="G64" i="192"/>
  <c r="G68" i="192"/>
  <c r="G69" i="192" s="1"/>
  <c r="G96" i="192" s="1"/>
  <c r="C74" i="100" s="1"/>
  <c r="C19" i="100" s="1"/>
  <c r="G76" i="196"/>
  <c r="G77" i="196" s="1"/>
  <c r="G102" i="196" s="1"/>
  <c r="C80" i="99" s="1"/>
  <c r="C19" i="99" s="1"/>
  <c r="G72" i="196"/>
  <c r="G188" i="190"/>
  <c r="G257" i="190" s="1"/>
  <c r="C101" i="152" s="1"/>
  <c r="G195" i="190"/>
  <c r="G196" i="190" s="1"/>
  <c r="G259" i="190" s="1"/>
  <c r="C103" i="152" s="1"/>
  <c r="H97" i="180"/>
  <c r="H98" i="180" s="1"/>
  <c r="H101" i="180" s="1"/>
  <c r="H121" i="180" s="1"/>
  <c r="H26" i="184"/>
  <c r="T32" i="123" s="1"/>
  <c r="C383" i="123" s="1"/>
  <c r="T3" i="151"/>
  <c r="C332" i="151" s="1"/>
  <c r="CB31" i="132"/>
  <c r="I81" i="192"/>
  <c r="T16" i="124" s="1"/>
  <c r="C382" i="124" s="1"/>
  <c r="E382" i="124" s="1"/>
  <c r="I45" i="192"/>
  <c r="AA3" i="187" s="1"/>
  <c r="G81" i="192"/>
  <c r="T21" i="100" s="1"/>
  <c r="G45" i="192"/>
  <c r="S3" i="187" s="1"/>
  <c r="H81" i="192"/>
  <c r="T36" i="123" s="1"/>
  <c r="C416" i="123" s="1"/>
  <c r="E416" i="123" s="1"/>
  <c r="H45" i="192"/>
  <c r="W3" i="187" s="1"/>
  <c r="H18" i="184"/>
  <c r="H20" i="184" s="1"/>
  <c r="H29" i="184" s="1"/>
  <c r="T35" i="123" s="1"/>
  <c r="C386" i="123" s="1"/>
  <c r="H28" i="184"/>
  <c r="T34" i="123" s="1"/>
  <c r="C384" i="123" s="1"/>
  <c r="H9" i="184"/>
  <c r="H10" i="184" s="1"/>
  <c r="H38" i="184" s="1"/>
  <c r="C49" i="123" s="1"/>
  <c r="X16" i="145"/>
  <c r="O28" i="184"/>
  <c r="T34" i="152" s="1"/>
  <c r="C382" i="152" s="1"/>
  <c r="O19" i="184"/>
  <c r="O20" i="184" s="1"/>
  <c r="O36" i="184" s="1"/>
  <c r="C34" i="152" s="1"/>
  <c r="AC17" i="145"/>
  <c r="I16" i="145"/>
  <c r="O16" i="145"/>
  <c r="I17" i="145"/>
  <c r="K10" i="184"/>
  <c r="K38" i="184" s="1"/>
  <c r="C44" i="126" s="1"/>
  <c r="O26" i="184"/>
  <c r="T32" i="152" s="1"/>
  <c r="C381" i="152" s="1"/>
  <c r="N9" i="184"/>
  <c r="N11" i="184" s="1"/>
  <c r="N12" i="184" s="1"/>
  <c r="O9" i="184"/>
  <c r="O10" i="184" s="1"/>
  <c r="O38" i="184" s="1"/>
  <c r="C49" i="152" s="1"/>
  <c r="N26" i="184"/>
  <c r="T34" i="151" s="1"/>
  <c r="C382" i="151" s="1"/>
  <c r="F17" i="145"/>
  <c r="U17" i="145"/>
  <c r="K17" i="184"/>
  <c r="K18" i="184" s="1"/>
  <c r="M17" i="184"/>
  <c r="M28" i="184" s="1"/>
  <c r="T36" i="107" s="1"/>
  <c r="C384" i="107" s="1"/>
  <c r="F16" i="145"/>
  <c r="N19" i="184"/>
  <c r="M9" i="184"/>
  <c r="M10" i="184" s="1"/>
  <c r="M38" i="184" s="1"/>
  <c r="C44" i="107" s="1"/>
  <c r="L11" i="184"/>
  <c r="L12" i="184" s="1"/>
  <c r="L26" i="184"/>
  <c r="T17" i="127" s="1"/>
  <c r="C349" i="127" s="1"/>
  <c r="L17" i="145"/>
  <c r="N18" i="184"/>
  <c r="I9" i="184"/>
  <c r="I11" i="184" s="1"/>
  <c r="I12" i="184" s="1"/>
  <c r="K26" i="184"/>
  <c r="T34" i="126" s="1"/>
  <c r="C383" i="126" s="1"/>
  <c r="AA16" i="145"/>
  <c r="N17" i="145"/>
  <c r="L16" i="145"/>
  <c r="N16" i="145"/>
  <c r="E17" i="145"/>
  <c r="I17" i="184"/>
  <c r="I18" i="184" s="1"/>
  <c r="Z16" i="145"/>
  <c r="V17" i="145"/>
  <c r="G16" i="145"/>
  <c r="G17" i="145"/>
  <c r="L17" i="184"/>
  <c r="L18" i="184" s="1"/>
  <c r="AB16" i="145"/>
  <c r="J17" i="184"/>
  <c r="J18" i="184" s="1"/>
  <c r="M16" i="145"/>
  <c r="M17" i="145"/>
  <c r="T16" i="145"/>
  <c r="J17" i="145"/>
  <c r="E16" i="145"/>
  <c r="K16" i="145"/>
  <c r="K17" i="145"/>
  <c r="Y17" i="145"/>
  <c r="J16" i="145"/>
  <c r="J9" i="184"/>
  <c r="J10" i="184" s="1"/>
  <c r="J38" i="184" s="1"/>
  <c r="C44" i="99" s="1"/>
  <c r="G19" i="184"/>
  <c r="G20" i="184" s="1"/>
  <c r="G36" i="184" s="1"/>
  <c r="C35" i="100" s="1"/>
  <c r="G26" i="184"/>
  <c r="T17" i="100" s="1"/>
  <c r="C349" i="100" s="1"/>
  <c r="G9" i="184"/>
  <c r="G11" i="184" s="1"/>
  <c r="G12" i="184" s="1"/>
  <c r="G28" i="184"/>
  <c r="T19" i="100" s="1"/>
  <c r="C350" i="100" s="1"/>
  <c r="C329" i="125"/>
  <c r="E329" i="125" s="1"/>
  <c r="C342" i="125" s="1"/>
  <c r="C343" i="125" s="1"/>
  <c r="T8" i="152"/>
  <c r="T8" i="122"/>
  <c r="T8" i="123"/>
  <c r="T8" i="126"/>
  <c r="C43" i="122"/>
  <c r="C43" i="126"/>
  <c r="C48" i="123"/>
  <c r="C48" i="152"/>
  <c r="C38" i="100"/>
  <c r="C39" i="99"/>
  <c r="C64" i="98"/>
  <c r="T7" i="121"/>
  <c r="C372" i="121" s="1"/>
  <c r="T6" i="124"/>
  <c r="C471" i="124" s="1"/>
  <c r="T9" i="121"/>
  <c r="C374" i="121" s="1"/>
  <c r="T8" i="124"/>
  <c r="C473" i="124" s="1"/>
  <c r="T11" i="121"/>
  <c r="C381" i="121" s="1"/>
  <c r="E383" i="121" s="1"/>
  <c r="C386" i="121" s="1"/>
  <c r="T10" i="124"/>
  <c r="C480" i="124" s="1"/>
  <c r="E482" i="124" s="1"/>
  <c r="C485" i="124" s="1"/>
  <c r="T8" i="98"/>
  <c r="T8" i="100"/>
  <c r="T4" i="98"/>
  <c r="T4" i="100"/>
  <c r="C334" i="100" s="1"/>
  <c r="T14" i="98"/>
  <c r="C382" i="98" s="1"/>
  <c r="E384" i="98" s="1"/>
  <c r="C387" i="98" s="1"/>
  <c r="T14" i="100"/>
  <c r="C481" i="100" s="1"/>
  <c r="E483" i="100" s="1"/>
  <c r="C486" i="100" s="1"/>
  <c r="T7" i="98"/>
  <c r="T7" i="100"/>
  <c r="G25" i="189"/>
  <c r="G154" i="189" s="1"/>
  <c r="G26" i="189"/>
  <c r="G27" i="189" s="1"/>
  <c r="G67" i="189" s="1"/>
  <c r="G71" i="189" s="1"/>
  <c r="G75" i="189" s="1"/>
  <c r="G113" i="189" s="1"/>
  <c r="G128" i="189"/>
  <c r="C32" i="125"/>
  <c r="H305" i="180"/>
  <c r="G30" i="199"/>
  <c r="F30" i="199" s="1"/>
  <c r="G85" i="199" s="1"/>
  <c r="C34" i="127" s="1"/>
  <c r="C486" i="125"/>
  <c r="E486" i="125" s="1"/>
  <c r="G33" i="194"/>
  <c r="G89" i="194"/>
  <c r="T11" i="99" s="1"/>
  <c r="G84" i="194"/>
  <c r="T6" i="99" s="1"/>
  <c r="G87" i="194"/>
  <c r="T9" i="99" s="1"/>
  <c r="G96" i="198"/>
  <c r="T9" i="107" s="1"/>
  <c r="G26" i="198"/>
  <c r="G93" i="198"/>
  <c r="T6" i="107" s="1"/>
  <c r="G99" i="198"/>
  <c r="T12" i="107" s="1"/>
  <c r="G98" i="198"/>
  <c r="T11" i="107" s="1"/>
  <c r="G34" i="198"/>
  <c r="G35" i="198" s="1"/>
  <c r="G249" i="180"/>
  <c r="T7" i="97" s="1"/>
  <c r="G303" i="180"/>
  <c r="C32" i="97" s="1"/>
  <c r="H292" i="180"/>
  <c r="T49" i="125" s="1"/>
  <c r="G252" i="180"/>
  <c r="T10" i="97" s="1"/>
  <c r="C357" i="97" s="1"/>
  <c r="G254" i="180"/>
  <c r="T12" i="97" s="1"/>
  <c r="C359" i="97" s="1"/>
  <c r="G255" i="180"/>
  <c r="T13" i="97" s="1"/>
  <c r="C360" i="97" s="1"/>
  <c r="G253" i="180"/>
  <c r="T11" i="97" s="1"/>
  <c r="C358" i="97" s="1"/>
  <c r="G78" i="180"/>
  <c r="G77" i="180"/>
  <c r="G76" i="180"/>
  <c r="C652" i="107"/>
  <c r="D652" i="107" s="1"/>
  <c r="F212" i="141"/>
  <c r="B22" i="183"/>
  <c r="AH7" i="132"/>
  <c r="P7" i="132" s="1"/>
  <c r="DB7" i="132"/>
  <c r="P24" i="132"/>
  <c r="P17" i="132"/>
  <c r="P13" i="132"/>
  <c r="J30" i="132"/>
  <c r="P31" i="132"/>
  <c r="DB8" i="132"/>
  <c r="AH9" i="132"/>
  <c r="P9" i="132" s="1"/>
  <c r="N6" i="145"/>
  <c r="I450" i="111" l="1"/>
  <c r="I479" i="111" s="1"/>
  <c r="I481" i="111" s="1"/>
  <c r="H450" i="111"/>
  <c r="H479" i="111" s="1"/>
  <c r="G450" i="111"/>
  <c r="E450" i="111"/>
  <c r="J55" i="111"/>
  <c r="J72" i="111" s="1"/>
  <c r="J74" i="111" s="1"/>
  <c r="D52" i="111"/>
  <c r="E52" i="111" s="1"/>
  <c r="D38" i="133" a="1"/>
  <c r="D38" i="133" s="1"/>
  <c r="K38" i="133" s="1"/>
  <c r="W77" i="111"/>
  <c r="E874" i="152"/>
  <c r="G842" i="152"/>
  <c r="G874" i="152"/>
  <c r="O314" i="152"/>
  <c r="D318" i="152"/>
  <c r="C318" i="152"/>
  <c r="D319" i="151"/>
  <c r="F586" i="151" s="1"/>
  <c r="C319" i="151"/>
  <c r="O315" i="151"/>
  <c r="E695" i="107"/>
  <c r="G663" i="107"/>
  <c r="G695" i="107"/>
  <c r="C320" i="107"/>
  <c r="D320" i="107"/>
  <c r="O316" i="107"/>
  <c r="E828" i="127"/>
  <c r="G795" i="127"/>
  <c r="G828" i="127"/>
  <c r="D320" i="127"/>
  <c r="O316" i="127"/>
  <c r="C320" i="127"/>
  <c r="E820" i="126"/>
  <c r="G787" i="126"/>
  <c r="G820" i="126"/>
  <c r="D320" i="126"/>
  <c r="O316" i="126"/>
  <c r="C320" i="126"/>
  <c r="C797" i="99"/>
  <c r="E797" i="99" s="1"/>
  <c r="C830" i="99"/>
  <c r="J316" i="99"/>
  <c r="N316" i="99" s="1"/>
  <c r="D319" i="99"/>
  <c r="O323" i="99"/>
  <c r="O324" i="99" s="1"/>
  <c r="C326" i="99" s="1"/>
  <c r="C319" i="99"/>
  <c r="E827" i="124"/>
  <c r="G794" i="124"/>
  <c r="G827" i="124"/>
  <c r="D320" i="124"/>
  <c r="C320" i="124"/>
  <c r="O316" i="124"/>
  <c r="E819" i="123"/>
  <c r="G786" i="123"/>
  <c r="G819" i="123"/>
  <c r="D320" i="123"/>
  <c r="C320" i="123"/>
  <c r="O316" i="123"/>
  <c r="C795" i="100"/>
  <c r="E795" i="100" s="1"/>
  <c r="C828" i="100"/>
  <c r="O323" i="100"/>
  <c r="O324" i="100" s="1"/>
  <c r="C326" i="100" s="1"/>
  <c r="D319" i="100"/>
  <c r="J316" i="100"/>
  <c r="N316" i="100" s="1"/>
  <c r="C319" i="100"/>
  <c r="E726" i="121"/>
  <c r="G695" i="121"/>
  <c r="G726" i="121"/>
  <c r="O314" i="121"/>
  <c r="D318" i="121"/>
  <c r="C318" i="121"/>
  <c r="C318" i="122"/>
  <c r="O314" i="122"/>
  <c r="D318" i="122"/>
  <c r="G716" i="122"/>
  <c r="G686" i="122"/>
  <c r="D317" i="98"/>
  <c r="J314" i="98"/>
  <c r="N314" i="98" s="1"/>
  <c r="C317" i="98"/>
  <c r="O321" i="98"/>
  <c r="O322" i="98" s="1"/>
  <c r="C324" i="98" s="1"/>
  <c r="C696" i="98"/>
  <c r="E696" i="98" s="1"/>
  <c r="C727" i="98"/>
  <c r="E727" i="98" s="1"/>
  <c r="E574" i="97"/>
  <c r="C576" i="97"/>
  <c r="M577" i="125"/>
  <c r="H607" i="125"/>
  <c r="M607" i="125"/>
  <c r="C316" i="97"/>
  <c r="D316" i="97"/>
  <c r="F574" i="97" s="1"/>
  <c r="O312" i="97"/>
  <c r="C33" i="98"/>
  <c r="C42" i="100"/>
  <c r="H104" i="180"/>
  <c r="C21" i="107"/>
  <c r="C28" i="107" s="1"/>
  <c r="D436" i="111" s="1"/>
  <c r="J29" i="132"/>
  <c r="C29" i="107"/>
  <c r="D437" i="111" s="1"/>
  <c r="D435" i="111"/>
  <c r="I73" i="196"/>
  <c r="I101" i="196" s="1"/>
  <c r="C79" i="127" s="1"/>
  <c r="I80" i="196"/>
  <c r="I81" i="196" s="1"/>
  <c r="I103" i="196" s="1"/>
  <c r="C81" i="127" s="1"/>
  <c r="H65" i="192"/>
  <c r="H95" i="192" s="1"/>
  <c r="C84" i="123" s="1"/>
  <c r="H72" i="192"/>
  <c r="H73" i="192" s="1"/>
  <c r="H97" i="192" s="1"/>
  <c r="C86" i="123" s="1"/>
  <c r="H73" i="196"/>
  <c r="H101" i="196" s="1"/>
  <c r="C79" i="126" s="1"/>
  <c r="H80" i="196"/>
  <c r="H81" i="196" s="1"/>
  <c r="H103" i="196" s="1"/>
  <c r="C81" i="126" s="1"/>
  <c r="H99" i="180"/>
  <c r="H102" i="180" s="1"/>
  <c r="H122" i="180" s="1"/>
  <c r="H116" i="180"/>
  <c r="H107" i="180"/>
  <c r="H109" i="180" s="1"/>
  <c r="I65" i="192"/>
  <c r="I95" i="192" s="1"/>
  <c r="C79" i="124" s="1"/>
  <c r="I72" i="192"/>
  <c r="I73" i="192" s="1"/>
  <c r="I97" i="192" s="1"/>
  <c r="C81" i="124" s="1"/>
  <c r="G73" i="196"/>
  <c r="G101" i="196" s="1"/>
  <c r="C79" i="99" s="1"/>
  <c r="G80" i="196"/>
  <c r="G81" i="196" s="1"/>
  <c r="G103" i="196" s="1"/>
  <c r="C81" i="99" s="1"/>
  <c r="G72" i="192"/>
  <c r="G73" i="192" s="1"/>
  <c r="G97" i="192" s="1"/>
  <c r="C75" i="100" s="1"/>
  <c r="G65" i="192"/>
  <c r="G95" i="192" s="1"/>
  <c r="C73" i="100" s="1"/>
  <c r="G88" i="180"/>
  <c r="G91" i="180" s="1"/>
  <c r="CK7" i="132"/>
  <c r="CK8" i="132"/>
  <c r="CL8" i="132"/>
  <c r="CL7" i="132"/>
  <c r="CJ8" i="132"/>
  <c r="CJ7" i="132"/>
  <c r="H11" i="184"/>
  <c r="H12" i="184" s="1"/>
  <c r="K19" i="184"/>
  <c r="K20" i="184" s="1"/>
  <c r="K36" i="184" s="1"/>
  <c r="C35" i="126" s="1"/>
  <c r="O29" i="184"/>
  <c r="T35" i="152" s="1"/>
  <c r="C384" i="152" s="1"/>
  <c r="N10" i="184"/>
  <c r="N38" i="184" s="1"/>
  <c r="C49" i="151" s="1"/>
  <c r="M11" i="184"/>
  <c r="M12" i="184" s="1"/>
  <c r="N20" i="184"/>
  <c r="N29" i="184" s="1"/>
  <c r="T37" i="151" s="1"/>
  <c r="C385" i="151" s="1"/>
  <c r="O11" i="184"/>
  <c r="O12" i="184" s="1"/>
  <c r="M18" i="184"/>
  <c r="M19" i="184"/>
  <c r="K28" i="184"/>
  <c r="T36" i="126" s="1"/>
  <c r="C384" i="126" s="1"/>
  <c r="I10" i="184"/>
  <c r="I38" i="184" s="1"/>
  <c r="C44" i="124" s="1"/>
  <c r="L19" i="184"/>
  <c r="L20" i="184" s="1"/>
  <c r="L36" i="184" s="1"/>
  <c r="C35" i="127" s="1"/>
  <c r="I19" i="184"/>
  <c r="I20" i="184" s="1"/>
  <c r="I29" i="184" s="1"/>
  <c r="T15" i="124" s="1"/>
  <c r="C352" i="124" s="1"/>
  <c r="I28" i="184"/>
  <c r="T14" i="124" s="1"/>
  <c r="C350" i="124" s="1"/>
  <c r="L28" i="184"/>
  <c r="T19" i="127" s="1"/>
  <c r="C350" i="127" s="1"/>
  <c r="G29" i="184"/>
  <c r="T20" i="100" s="1"/>
  <c r="C352" i="100" s="1"/>
  <c r="J19" i="184"/>
  <c r="J20" i="184" s="1"/>
  <c r="J29" i="184" s="1"/>
  <c r="T20" i="99" s="1"/>
  <c r="C352" i="99" s="1"/>
  <c r="J11" i="184"/>
  <c r="J12" i="184" s="1"/>
  <c r="J28" i="184"/>
  <c r="T19" i="99" s="1"/>
  <c r="C350" i="99" s="1"/>
  <c r="G10" i="184"/>
  <c r="G38" i="184" s="1"/>
  <c r="C43" i="100" s="1"/>
  <c r="C608" i="125"/>
  <c r="C610" i="125" s="1"/>
  <c r="C578" i="125"/>
  <c r="C580" i="125" s="1"/>
  <c r="J343" i="125"/>
  <c r="N343" i="125" s="1"/>
  <c r="O343" i="125" s="1"/>
  <c r="D578" i="125"/>
  <c r="D608" i="125"/>
  <c r="J342" i="125"/>
  <c r="N342" i="125" s="1"/>
  <c r="C346" i="125"/>
  <c r="D346" i="125"/>
  <c r="C330" i="125"/>
  <c r="E330" i="125" s="1"/>
  <c r="T9" i="152"/>
  <c r="T9" i="126"/>
  <c r="T9" i="122"/>
  <c r="T9" i="123"/>
  <c r="T11" i="122"/>
  <c r="T11" i="126"/>
  <c r="T11" i="152"/>
  <c r="T11" i="123"/>
  <c r="T6" i="123"/>
  <c r="T6" i="122"/>
  <c r="T6" i="126"/>
  <c r="T6" i="152"/>
  <c r="T12" i="123"/>
  <c r="T12" i="122"/>
  <c r="T12" i="152"/>
  <c r="T12" i="126"/>
  <c r="G159" i="189"/>
  <c r="G160" i="189" s="1"/>
  <c r="G252" i="189" s="1"/>
  <c r="K25" i="189"/>
  <c r="G44" i="189"/>
  <c r="G45" i="189" s="1"/>
  <c r="G50" i="189" s="1"/>
  <c r="G32" i="189"/>
  <c r="G33" i="189" s="1"/>
  <c r="G29" i="189"/>
  <c r="G69" i="189" s="1"/>
  <c r="G73" i="189" s="1"/>
  <c r="G144" i="189"/>
  <c r="G148" i="189" s="1"/>
  <c r="G149" i="189" s="1"/>
  <c r="G277" i="189" s="1"/>
  <c r="C59" i="151" s="1"/>
  <c r="C33" i="121"/>
  <c r="C35" i="124"/>
  <c r="T9" i="98"/>
  <c r="T9" i="100"/>
  <c r="T11" i="98"/>
  <c r="T11" i="100"/>
  <c r="C471" i="100" s="1"/>
  <c r="T6" i="98"/>
  <c r="T6" i="100"/>
  <c r="C470" i="100" s="1"/>
  <c r="G28" i="189"/>
  <c r="G30" i="189"/>
  <c r="G70" i="189" s="1"/>
  <c r="G74" i="189" s="1"/>
  <c r="G116" i="189" s="1"/>
  <c r="G305" i="180"/>
  <c r="C34" i="97" s="1"/>
  <c r="C34" i="125"/>
  <c r="J26" i="138"/>
  <c r="K52" i="133"/>
  <c r="J34" i="203" s="1"/>
  <c r="G76" i="199"/>
  <c r="T9" i="127" s="1"/>
  <c r="C475" i="127" s="1"/>
  <c r="G196" i="189"/>
  <c r="AD53" i="111"/>
  <c r="AE53" i="111" s="1"/>
  <c r="AD164" i="111"/>
  <c r="AE164" i="111" s="1"/>
  <c r="AD127" i="111"/>
  <c r="AE127" i="111" s="1"/>
  <c r="AD90" i="111"/>
  <c r="AE90" i="111" s="1"/>
  <c r="H36" i="184"/>
  <c r="C34" i="123" s="1"/>
  <c r="G87" i="180"/>
  <c r="G90" i="180" s="1"/>
  <c r="G90" i="194"/>
  <c r="T12" i="99" s="1"/>
  <c r="G35" i="194"/>
  <c r="F35" i="194" s="1"/>
  <c r="G117" i="198"/>
  <c r="C31" i="107" s="1"/>
  <c r="G100" i="198"/>
  <c r="T13" i="107" s="1"/>
  <c r="H56" i="180"/>
  <c r="H57" i="180" s="1"/>
  <c r="H293" i="180"/>
  <c r="T50" i="125" s="1"/>
  <c r="J7" i="132"/>
  <c r="I228" i="141"/>
  <c r="W11" i="111"/>
  <c r="DI6" i="132"/>
  <c r="W14" i="111"/>
  <c r="W52" i="145"/>
  <c r="P12" i="145"/>
  <c r="P52" i="145"/>
  <c r="AE10" i="145"/>
  <c r="AE11" i="145"/>
  <c r="H13" i="145"/>
  <c r="AE13" i="145"/>
  <c r="H52" i="145"/>
  <c r="R6" i="145"/>
  <c r="C12" i="145"/>
  <c r="W12" i="145"/>
  <c r="R10" i="145"/>
  <c r="R11" i="145"/>
  <c r="P13" i="145"/>
  <c r="H12" i="145"/>
  <c r="W10" i="145"/>
  <c r="AE52" i="145"/>
  <c r="W13" i="145"/>
  <c r="H53" i="145"/>
  <c r="R13" i="145"/>
  <c r="C6" i="145"/>
  <c r="W11" i="145"/>
  <c r="AE12" i="145"/>
  <c r="R12" i="145"/>
  <c r="J425" i="111" l="1"/>
  <c r="J442" i="111" s="1"/>
  <c r="J444" i="111" s="1"/>
  <c r="D422" i="111"/>
  <c r="E422" i="111" s="1"/>
  <c r="H296" i="180"/>
  <c r="T53" i="125" s="1"/>
  <c r="H325" i="180"/>
  <c r="C54" i="125" s="1"/>
  <c r="C6" i="125" s="1"/>
  <c r="F842" i="152"/>
  <c r="H842" i="152" s="1"/>
  <c r="F874" i="152"/>
  <c r="H586" i="151"/>
  <c r="M586" i="151"/>
  <c r="F663" i="107"/>
  <c r="H663" i="107" s="1"/>
  <c r="F695" i="107"/>
  <c r="F795" i="127"/>
  <c r="H795" i="127" s="1"/>
  <c r="F828" i="127"/>
  <c r="F787" i="126"/>
  <c r="H787" i="126" s="1"/>
  <c r="F820" i="126"/>
  <c r="E830" i="99"/>
  <c r="G797" i="99"/>
  <c r="G830" i="99"/>
  <c r="D320" i="99"/>
  <c r="C320" i="99"/>
  <c r="O316" i="99"/>
  <c r="F794" i="124"/>
  <c r="H794" i="124" s="1"/>
  <c r="F827" i="124"/>
  <c r="F786" i="123"/>
  <c r="H786" i="123" s="1"/>
  <c r="F819" i="123"/>
  <c r="E828" i="100"/>
  <c r="G795" i="100"/>
  <c r="G828" i="100"/>
  <c r="D320" i="100"/>
  <c r="O316" i="100"/>
  <c r="C320" i="100"/>
  <c r="F695" i="121"/>
  <c r="H695" i="121" s="1"/>
  <c r="F726" i="121"/>
  <c r="C318" i="98"/>
  <c r="O314" i="98"/>
  <c r="D318" i="98"/>
  <c r="G727" i="98"/>
  <c r="G696" i="98"/>
  <c r="F716" i="122"/>
  <c r="F686" i="122"/>
  <c r="H574" i="97"/>
  <c r="M574" i="97"/>
  <c r="AI31" i="132"/>
  <c r="Q31" i="132" s="1"/>
  <c r="H105" i="180"/>
  <c r="H317" i="180" s="1"/>
  <c r="C46" i="125" s="1"/>
  <c r="H316" i="180"/>
  <c r="D33" i="145" s="1"/>
  <c r="S33" i="145" s="1"/>
  <c r="D35" i="145"/>
  <c r="S35" i="145" s="1"/>
  <c r="AI10" i="132"/>
  <c r="Q10" i="132" s="1"/>
  <c r="CU31" i="132"/>
  <c r="G97" i="180"/>
  <c r="G99" i="180" s="1"/>
  <c r="G102" i="180" s="1"/>
  <c r="G122" i="180" s="1"/>
  <c r="G68" i="189"/>
  <c r="G72" i="189" s="1"/>
  <c r="G114" i="189" s="1"/>
  <c r="G92" i="189"/>
  <c r="G94" i="189" s="1"/>
  <c r="K29" i="184"/>
  <c r="T37" i="126" s="1"/>
  <c r="C386" i="126" s="1"/>
  <c r="CI10" i="132"/>
  <c r="CI9" i="132"/>
  <c r="CI7" i="132"/>
  <c r="CI8" i="132"/>
  <c r="M20" i="184"/>
  <c r="M29" i="184" s="1"/>
  <c r="T37" i="107" s="1"/>
  <c r="C386" i="107" s="1"/>
  <c r="N36" i="184"/>
  <c r="C34" i="151" s="1"/>
  <c r="I36" i="184"/>
  <c r="C34" i="124" s="1"/>
  <c r="L29" i="184"/>
  <c r="T20" i="127" s="1"/>
  <c r="C352" i="127" s="1"/>
  <c r="J36" i="184"/>
  <c r="C35" i="99" s="1"/>
  <c r="H110" i="180"/>
  <c r="H304" i="180"/>
  <c r="E608" i="125"/>
  <c r="E578" i="125"/>
  <c r="G170" i="189"/>
  <c r="D347" i="125"/>
  <c r="O342" i="125"/>
  <c r="C347" i="125"/>
  <c r="C334" i="125"/>
  <c r="E334" i="125" s="1"/>
  <c r="F350" i="125" s="1"/>
  <c r="C331" i="125"/>
  <c r="E331" i="125" s="1"/>
  <c r="L31" i="191"/>
  <c r="L52" i="191" s="1"/>
  <c r="L53" i="191" s="1"/>
  <c r="G125" i="189" s="1"/>
  <c r="T13" i="152"/>
  <c r="T13" i="123"/>
  <c r="T13" i="122"/>
  <c r="T13" i="126"/>
  <c r="C34" i="122"/>
  <c r="C35" i="152"/>
  <c r="C31" i="126"/>
  <c r="C35" i="123"/>
  <c r="G115" i="189"/>
  <c r="G46" i="189"/>
  <c r="G47" i="189" s="1"/>
  <c r="G48" i="189" s="1"/>
  <c r="G49" i="189" s="1"/>
  <c r="G232" i="189" s="1"/>
  <c r="T38" i="151" s="1"/>
  <c r="C414" i="151" s="1"/>
  <c r="T10" i="121"/>
  <c r="C375" i="121" s="1"/>
  <c r="T9" i="124"/>
  <c r="C474" i="124" s="1"/>
  <c r="G34" i="189"/>
  <c r="G171" i="189"/>
  <c r="T12" i="98"/>
  <c r="T12" i="100"/>
  <c r="C473" i="100" s="1"/>
  <c r="G91" i="194"/>
  <c r="T13" i="99" s="1"/>
  <c r="AD16" i="111"/>
  <c r="AE16" i="111" s="1"/>
  <c r="AD435" i="111"/>
  <c r="AD65" i="111"/>
  <c r="D90" i="145"/>
  <c r="E392" i="125"/>
  <c r="G104" i="194"/>
  <c r="E389" i="125"/>
  <c r="C699" i="98"/>
  <c r="J8" i="132"/>
  <c r="J832" i="100"/>
  <c r="G90" i="141" s="1"/>
  <c r="N798" i="100"/>
  <c r="K79" i="141" s="1"/>
  <c r="O798" i="100"/>
  <c r="L79" i="141" s="1"/>
  <c r="U829" i="100"/>
  <c r="P798" i="100"/>
  <c r="M79" i="141" s="1"/>
  <c r="R830" i="100"/>
  <c r="S796" i="100"/>
  <c r="L830" i="100"/>
  <c r="I88" i="141" s="1"/>
  <c r="J799" i="100"/>
  <c r="G80" i="141" s="1"/>
  <c r="T832" i="100"/>
  <c r="Q90" i="141" s="1"/>
  <c r="T801" i="100"/>
  <c r="Q82" i="141" s="1"/>
  <c r="T833" i="100"/>
  <c r="Q91" i="141" s="1"/>
  <c r="P799" i="100"/>
  <c r="M80" i="141" s="1"/>
  <c r="I799" i="100"/>
  <c r="F80" i="141" s="1"/>
  <c r="R831" i="100"/>
  <c r="Q796" i="100"/>
  <c r="K832" i="100"/>
  <c r="T834" i="100"/>
  <c r="Q92" i="141" s="1"/>
  <c r="L798" i="100"/>
  <c r="I79" i="141" s="1"/>
  <c r="J798" i="100"/>
  <c r="G79" i="141" s="1"/>
  <c r="I798" i="100"/>
  <c r="F79" i="141" s="1"/>
  <c r="Q833" i="100"/>
  <c r="N91" i="141" s="1"/>
  <c r="O832" i="100"/>
  <c r="L90" i="141" s="1"/>
  <c r="T830" i="100"/>
  <c r="Q88" i="141" s="1"/>
  <c r="J831" i="100"/>
  <c r="G89" i="141" s="1"/>
  <c r="L797" i="100"/>
  <c r="I78" i="141" s="1"/>
  <c r="P829" i="100"/>
  <c r="S798" i="100"/>
  <c r="N832" i="100"/>
  <c r="K90" i="141" s="1"/>
  <c r="I831" i="100"/>
  <c r="F89" i="141" s="1"/>
  <c r="I834" i="100"/>
  <c r="F92" i="141" s="1"/>
  <c r="N799" i="100"/>
  <c r="K80" i="141" s="1"/>
  <c r="N831" i="100"/>
  <c r="K89" i="141" s="1"/>
  <c r="U797" i="100"/>
  <c r="R78" i="141" s="1"/>
  <c r="Q831" i="100"/>
  <c r="N89" i="141" s="1"/>
  <c r="S829" i="100"/>
  <c r="R833" i="100"/>
  <c r="Q799" i="100"/>
  <c r="N80" i="141" s="1"/>
  <c r="K800" i="100"/>
  <c r="R796" i="100"/>
  <c r="R832" i="100"/>
  <c r="P831" i="100"/>
  <c r="M89" i="141" s="1"/>
  <c r="Q798" i="100"/>
  <c r="N79" i="141" s="1"/>
  <c r="U830" i="100"/>
  <c r="R88" i="141" s="1"/>
  <c r="S797" i="100"/>
  <c r="S830" i="100"/>
  <c r="O829" i="100"/>
  <c r="Q800" i="100"/>
  <c r="N81" i="141" s="1"/>
  <c r="I829" i="100"/>
  <c r="S831" i="100"/>
  <c r="O831" i="100"/>
  <c r="L89" i="141" s="1"/>
  <c r="U831" i="100"/>
  <c r="R89" i="141" s="1"/>
  <c r="J830" i="100"/>
  <c r="G88" i="141" s="1"/>
  <c r="R797" i="100"/>
  <c r="L829" i="100"/>
  <c r="J800" i="100"/>
  <c r="G81" i="141" s="1"/>
  <c r="U799" i="100"/>
  <c r="R80" i="141" s="1"/>
  <c r="Q797" i="100"/>
  <c r="N78" i="141" s="1"/>
  <c r="T796" i="100"/>
  <c r="U798" i="100"/>
  <c r="R79" i="141" s="1"/>
  <c r="I830" i="100"/>
  <c r="F88" i="141" s="1"/>
  <c r="P800" i="100"/>
  <c r="M81" i="141" s="1"/>
  <c r="P830" i="100"/>
  <c r="M88" i="141" s="1"/>
  <c r="O796" i="100"/>
  <c r="J829" i="100"/>
  <c r="S799" i="100"/>
  <c r="K833" i="100"/>
  <c r="U801" i="100"/>
  <c r="R82" i="141" s="1"/>
  <c r="L799" i="100"/>
  <c r="I80" i="141" s="1"/>
  <c r="N829" i="100"/>
  <c r="N796" i="100"/>
  <c r="J796" i="100"/>
  <c r="R799" i="100"/>
  <c r="O799" i="100"/>
  <c r="L80" i="141" s="1"/>
  <c r="T831" i="100"/>
  <c r="Q89" i="141" s="1"/>
  <c r="K830" i="100"/>
  <c r="L833" i="100"/>
  <c r="I91" i="141" s="1"/>
  <c r="K797" i="100"/>
  <c r="L796" i="100"/>
  <c r="K829" i="100"/>
  <c r="K799" i="100"/>
  <c r="T797" i="100"/>
  <c r="Q78" i="141" s="1"/>
  <c r="U796" i="100"/>
  <c r="S833" i="100"/>
  <c r="Q830" i="100"/>
  <c r="N88" i="141" s="1"/>
  <c r="J797" i="100"/>
  <c r="G78" i="141" s="1"/>
  <c r="K796" i="100"/>
  <c r="J833" i="100"/>
  <c r="G91" i="141" s="1"/>
  <c r="T798" i="100"/>
  <c r="Q79" i="141" s="1"/>
  <c r="U832" i="100"/>
  <c r="R90" i="141" s="1"/>
  <c r="R829" i="100"/>
  <c r="P833" i="100"/>
  <c r="M91" i="141" s="1"/>
  <c r="F829" i="100"/>
  <c r="C87" i="141" s="1"/>
  <c r="I832" i="100"/>
  <c r="F90" i="141" s="1"/>
  <c r="L831" i="100"/>
  <c r="I89" i="141" s="1"/>
  <c r="U800" i="100"/>
  <c r="R81" i="141" s="1"/>
  <c r="P796" i="100"/>
  <c r="R798" i="100"/>
  <c r="I801" i="100"/>
  <c r="F82" i="141" s="1"/>
  <c r="P832" i="100"/>
  <c r="M90" i="141" s="1"/>
  <c r="F796" i="100"/>
  <c r="C77" i="141" s="1"/>
  <c r="S832" i="100"/>
  <c r="T799" i="100"/>
  <c r="Q80" i="141" s="1"/>
  <c r="T829" i="100"/>
  <c r="I797" i="100"/>
  <c r="F78" i="141" s="1"/>
  <c r="R800" i="100"/>
  <c r="L832" i="100"/>
  <c r="I90" i="141" s="1"/>
  <c r="U834" i="100"/>
  <c r="R92" i="141" s="1"/>
  <c r="Q832" i="100"/>
  <c r="N90" i="141" s="1"/>
  <c r="S800" i="100"/>
  <c r="T800" i="100"/>
  <c r="Q81" i="141" s="1"/>
  <c r="U833" i="100"/>
  <c r="R91" i="141" s="1"/>
  <c r="P797" i="100"/>
  <c r="M78" i="141" s="1"/>
  <c r="I796" i="100"/>
  <c r="Q829" i="100"/>
  <c r="L800" i="100"/>
  <c r="I81" i="141" s="1"/>
  <c r="N239" i="141"/>
  <c r="I237" i="141"/>
  <c r="O237" i="141"/>
  <c r="H237" i="141"/>
  <c r="P236" i="141"/>
  <c r="H226" i="141"/>
  <c r="G229" i="141"/>
  <c r="I236" i="141"/>
  <c r="G239" i="141"/>
  <c r="I238" i="141"/>
  <c r="I229" i="141"/>
  <c r="P237" i="141"/>
  <c r="G226" i="141"/>
  <c r="F237" i="141"/>
  <c r="C226" i="141"/>
  <c r="F230" i="141"/>
  <c r="F236" i="141"/>
  <c r="M237" i="141"/>
  <c r="F241" i="141"/>
  <c r="G236" i="141"/>
  <c r="G230" i="141"/>
  <c r="H236" i="141"/>
  <c r="I226" i="141"/>
  <c r="F226" i="141"/>
  <c r="C236" i="141"/>
  <c r="F229" i="141"/>
  <c r="F239" i="141"/>
  <c r="F231" i="141"/>
  <c r="Q229" i="141"/>
  <c r="M240" i="141"/>
  <c r="M230" i="141"/>
  <c r="L240" i="141"/>
  <c r="N230" i="141"/>
  <c r="N240" i="141"/>
  <c r="L229" i="141"/>
  <c r="N229" i="141"/>
  <c r="K240" i="141"/>
  <c r="L230" i="141"/>
  <c r="M229" i="141"/>
  <c r="M239" i="141"/>
  <c r="K229" i="141"/>
  <c r="K239" i="141"/>
  <c r="K230" i="141"/>
  <c r="L239" i="141"/>
  <c r="N227" i="141"/>
  <c r="Q231" i="141"/>
  <c r="R231" i="141"/>
  <c r="Q238" i="141"/>
  <c r="R230" i="141"/>
  <c r="Q239" i="141"/>
  <c r="Q240" i="141"/>
  <c r="Q241" i="141"/>
  <c r="R227" i="141"/>
  <c r="R238" i="141"/>
  <c r="R229" i="141"/>
  <c r="R239" i="141"/>
  <c r="R240" i="141"/>
  <c r="R241" i="141"/>
  <c r="Q230" i="141"/>
  <c r="Q227" i="141"/>
  <c r="Q228" i="141"/>
  <c r="R228" i="141"/>
  <c r="N236" i="141"/>
  <c r="I239" i="141"/>
  <c r="N237" i="141"/>
  <c r="H228" i="141"/>
  <c r="G227" i="141"/>
  <c r="I240" i="141"/>
  <c r="G237" i="141"/>
  <c r="G238" i="141"/>
  <c r="L226" i="141"/>
  <c r="M236" i="141"/>
  <c r="K236" i="141"/>
  <c r="H230" i="141"/>
  <c r="M226" i="141"/>
  <c r="K226" i="141"/>
  <c r="F228" i="141"/>
  <c r="H239" i="141"/>
  <c r="M227" i="141"/>
  <c r="G228" i="141"/>
  <c r="L236" i="141"/>
  <c r="H238" i="141"/>
  <c r="H229" i="141"/>
  <c r="I227" i="141"/>
  <c r="G240" i="141"/>
  <c r="F240" i="141"/>
  <c r="I230" i="141"/>
  <c r="H240" i="141"/>
  <c r="H227" i="141"/>
  <c r="N226" i="141"/>
  <c r="E358" i="97"/>
  <c r="C455" i="97"/>
  <c r="E455" i="97" s="1"/>
  <c r="E359" i="97"/>
  <c r="C456" i="97"/>
  <c r="E456" i="97" s="1"/>
  <c r="P46" i="132"/>
  <c r="P47" i="132"/>
  <c r="E360" i="97"/>
  <c r="C457" i="97"/>
  <c r="E457" i="97" s="1"/>
  <c r="CY8" i="132"/>
  <c r="AI9" i="132"/>
  <c r="Q9" i="132" s="1"/>
  <c r="AD437" i="111"/>
  <c r="AQ94" i="152" a="1"/>
  <c r="AQ94" i="152" s="1"/>
  <c r="AR94" i="152" a="1"/>
  <c r="AR94" i="152" s="1"/>
  <c r="C829" i="100"/>
  <c r="D833" i="100"/>
  <c r="D829" i="100"/>
  <c r="D796" i="100"/>
  <c r="C796" i="100"/>
  <c r="D799" i="100"/>
  <c r="C801" i="100"/>
  <c r="D832" i="100"/>
  <c r="D831" i="100"/>
  <c r="C800" i="100"/>
  <c r="C834" i="100"/>
  <c r="C833" i="100"/>
  <c r="D798" i="100"/>
  <c r="D800" i="100"/>
  <c r="AQ93" i="152" a="1"/>
  <c r="AQ93" i="152" s="1"/>
  <c r="AR93" i="152" a="1"/>
  <c r="AR93" i="152" s="1"/>
  <c r="AQ92" i="152" a="1"/>
  <c r="AQ92" i="152" s="1"/>
  <c r="AR92" i="152" a="1"/>
  <c r="AR92" i="152" s="1"/>
  <c r="C454" i="97"/>
  <c r="T11" i="145"/>
  <c r="E12" i="145"/>
  <c r="T12" i="145"/>
  <c r="T10" i="145"/>
  <c r="T13" i="145"/>
  <c r="E52" i="145"/>
  <c r="T52" i="145"/>
  <c r="D44" i="111" l="1"/>
  <c r="CA10" i="132"/>
  <c r="CA9" i="132"/>
  <c r="M842" i="152"/>
  <c r="H874" i="152"/>
  <c r="M874" i="152"/>
  <c r="M663" i="107"/>
  <c r="H695" i="107"/>
  <c r="M695" i="107"/>
  <c r="M795" i="127"/>
  <c r="H828" i="127"/>
  <c r="M828" i="127"/>
  <c r="M787" i="126"/>
  <c r="H820" i="126"/>
  <c r="M820" i="126"/>
  <c r="F797" i="99"/>
  <c r="H797" i="99" s="1"/>
  <c r="F830" i="99"/>
  <c r="M794" i="124"/>
  <c r="H827" i="124"/>
  <c r="M827" i="124"/>
  <c r="M786" i="123"/>
  <c r="H819" i="123"/>
  <c r="M819" i="123"/>
  <c r="U835" i="100"/>
  <c r="T835" i="100"/>
  <c r="L87" i="141"/>
  <c r="N87" i="141"/>
  <c r="M87" i="141"/>
  <c r="K87" i="141"/>
  <c r="G87" i="141"/>
  <c r="I87" i="141"/>
  <c r="U802" i="100"/>
  <c r="F795" i="100"/>
  <c r="H795" i="100" s="1"/>
  <c r="F828" i="100"/>
  <c r="M77" i="141"/>
  <c r="N77" i="141"/>
  <c r="L77" i="141"/>
  <c r="T802" i="100"/>
  <c r="K77" i="141"/>
  <c r="I77" i="141"/>
  <c r="G77" i="141"/>
  <c r="M695" i="121"/>
  <c r="H726" i="121"/>
  <c r="M726" i="121"/>
  <c r="M686" i="122"/>
  <c r="H686" i="122"/>
  <c r="F727" i="98"/>
  <c r="F696" i="98"/>
  <c r="H716" i="122"/>
  <c r="M716" i="122"/>
  <c r="C45" i="125"/>
  <c r="D61" i="111" s="1"/>
  <c r="D57" i="111" s="1"/>
  <c r="G107" i="180"/>
  <c r="C35" i="145" s="1"/>
  <c r="R35" i="145" s="1"/>
  <c r="CS31" i="132"/>
  <c r="G116" i="180"/>
  <c r="G98" i="180"/>
  <c r="G101" i="180" s="1"/>
  <c r="G121" i="180" s="1"/>
  <c r="CT31" i="132"/>
  <c r="G169" i="189"/>
  <c r="G172" i="189" s="1"/>
  <c r="G175" i="189" s="1"/>
  <c r="G97" i="189"/>
  <c r="G101" i="189"/>
  <c r="G102" i="189" s="1"/>
  <c r="G298" i="189" s="1"/>
  <c r="C78" i="151" s="1"/>
  <c r="C19" i="151" s="1"/>
  <c r="H91" i="141"/>
  <c r="H90" i="141"/>
  <c r="H88" i="141"/>
  <c r="H81" i="141"/>
  <c r="H80" i="141"/>
  <c r="H78" i="141"/>
  <c r="AD67" i="111"/>
  <c r="D62" i="111"/>
  <c r="D58" i="111" s="1"/>
  <c r="D70" i="111"/>
  <c r="K55" i="111" s="1"/>
  <c r="K72" i="111" s="1"/>
  <c r="K74" i="111" s="1"/>
  <c r="M36" i="184"/>
  <c r="C35" i="107" s="1"/>
  <c r="C6" i="107" s="1"/>
  <c r="D34" i="145"/>
  <c r="S34" i="145" s="1"/>
  <c r="C33" i="125"/>
  <c r="H306" i="180"/>
  <c r="H111" i="180"/>
  <c r="H289" i="180"/>
  <c r="T46" i="125" s="1"/>
  <c r="G290" i="189"/>
  <c r="C70" i="151" s="1"/>
  <c r="G255" i="189"/>
  <c r="T61" i="151" s="1"/>
  <c r="G173" i="189"/>
  <c r="G176" i="189" s="1"/>
  <c r="G254" i="189"/>
  <c r="T60" i="151" s="1"/>
  <c r="G289" i="189"/>
  <c r="C69" i="151" s="1"/>
  <c r="C170" i="189"/>
  <c r="L54" i="191"/>
  <c r="G126" i="189" s="1"/>
  <c r="G265" i="189" s="1"/>
  <c r="C38" i="151" s="1"/>
  <c r="C6" i="151" s="1"/>
  <c r="F608" i="125"/>
  <c r="F578" i="125"/>
  <c r="G350" i="125"/>
  <c r="O350" i="125" s="1"/>
  <c r="F351" i="125"/>
  <c r="N608" i="125" s="1"/>
  <c r="N610" i="125" s="1"/>
  <c r="C34" i="100"/>
  <c r="C34" i="99"/>
  <c r="G270" i="189"/>
  <c r="C50" i="151" s="1"/>
  <c r="C171" i="189"/>
  <c r="T13" i="98"/>
  <c r="T13" i="100"/>
  <c r="C474" i="100" s="1"/>
  <c r="BB128" i="204"/>
  <c r="BB143" i="205"/>
  <c r="BB107" i="137"/>
  <c r="BB104" i="203"/>
  <c r="AD422" i="111"/>
  <c r="AE422" i="111" s="1"/>
  <c r="AD52" i="111"/>
  <c r="AE52" i="111" s="1"/>
  <c r="G105" i="180"/>
  <c r="D88" i="145"/>
  <c r="E390" i="125"/>
  <c r="D89" i="145"/>
  <c r="E391" i="125"/>
  <c r="C697" i="98"/>
  <c r="Q698" i="98"/>
  <c r="N30" i="141" s="1"/>
  <c r="L730" i="98"/>
  <c r="I39" i="141" s="1"/>
  <c r="J730" i="98"/>
  <c r="G39" i="141" s="1"/>
  <c r="C728" i="98"/>
  <c r="R728" i="98"/>
  <c r="P730" i="98"/>
  <c r="M39" i="141" s="1"/>
  <c r="P698" i="98"/>
  <c r="M30" i="141" s="1"/>
  <c r="D699" i="98"/>
  <c r="K698" i="98"/>
  <c r="U698" i="98"/>
  <c r="R30" i="141" s="1"/>
  <c r="Q729" i="98"/>
  <c r="N38" i="141" s="1"/>
  <c r="L699" i="98"/>
  <c r="I31" i="141" s="1"/>
  <c r="I698" i="98"/>
  <c r="F30" i="141" s="1"/>
  <c r="C731" i="98"/>
  <c r="P697" i="98"/>
  <c r="S698" i="98"/>
  <c r="P30" i="141" s="1"/>
  <c r="L698" i="98"/>
  <c r="I30" i="141" s="1"/>
  <c r="U697" i="98"/>
  <c r="T698" i="98"/>
  <c r="Q30" i="141" s="1"/>
  <c r="Q699" i="98"/>
  <c r="N31" i="141" s="1"/>
  <c r="O698" i="98"/>
  <c r="L30" i="141" s="1"/>
  <c r="T729" i="98"/>
  <c r="Q38" i="141" s="1"/>
  <c r="T700" i="98"/>
  <c r="Q32" i="141" s="1"/>
  <c r="U729" i="98"/>
  <c r="R38" i="141" s="1"/>
  <c r="C700" i="98"/>
  <c r="S728" i="98"/>
  <c r="U728" i="98"/>
  <c r="U731" i="98"/>
  <c r="R40" i="141" s="1"/>
  <c r="J728" i="98"/>
  <c r="J697" i="98"/>
  <c r="I697" i="98"/>
  <c r="Q697" i="98"/>
  <c r="L728" i="98"/>
  <c r="D698" i="98"/>
  <c r="N698" i="98"/>
  <c r="K30" i="141" s="1"/>
  <c r="O728" i="98"/>
  <c r="D697" i="98"/>
  <c r="L697" i="98"/>
  <c r="I731" i="98"/>
  <c r="F40" i="141" s="1"/>
  <c r="D728" i="98"/>
  <c r="U700" i="98"/>
  <c r="R32" i="141" s="1"/>
  <c r="T731" i="98"/>
  <c r="Q40" i="141" s="1"/>
  <c r="N697" i="98"/>
  <c r="R697" i="98"/>
  <c r="R729" i="98"/>
  <c r="O38" i="141" s="1"/>
  <c r="Q730" i="98"/>
  <c r="N39" i="141" s="1"/>
  <c r="R699" i="98"/>
  <c r="O31" i="141" s="1"/>
  <c r="U730" i="98"/>
  <c r="R39" i="141" s="1"/>
  <c r="K730" i="98"/>
  <c r="S699" i="98"/>
  <c r="P31" i="141" s="1"/>
  <c r="L729" i="98"/>
  <c r="I38" i="141" s="1"/>
  <c r="U699" i="98"/>
  <c r="R31" i="141" s="1"/>
  <c r="K729" i="98"/>
  <c r="D729" i="98"/>
  <c r="S730" i="98"/>
  <c r="P39" i="141" s="1"/>
  <c r="K699" i="98"/>
  <c r="P699" i="98"/>
  <c r="M31" i="141" s="1"/>
  <c r="J698" i="98"/>
  <c r="G30" i="141" s="1"/>
  <c r="T697" i="98"/>
  <c r="D730" i="98"/>
  <c r="O729" i="98"/>
  <c r="L38" i="141" s="1"/>
  <c r="F728" i="98"/>
  <c r="T728" i="98"/>
  <c r="N729" i="98"/>
  <c r="K38" i="141" s="1"/>
  <c r="S729" i="98"/>
  <c r="P38" i="141" s="1"/>
  <c r="P729" i="98"/>
  <c r="M38" i="141" s="1"/>
  <c r="Q728" i="98"/>
  <c r="P728" i="98"/>
  <c r="S697" i="98"/>
  <c r="T699" i="98"/>
  <c r="Q31" i="141" s="1"/>
  <c r="F697" i="98"/>
  <c r="I700" i="98"/>
  <c r="F32" i="141" s="1"/>
  <c r="K728" i="98"/>
  <c r="C730" i="98"/>
  <c r="T730" i="98"/>
  <c r="Q39" i="141" s="1"/>
  <c r="N728" i="98"/>
  <c r="J699" i="98"/>
  <c r="G31" i="141" s="1"/>
  <c r="I728" i="98"/>
  <c r="O697" i="98"/>
  <c r="J729" i="98"/>
  <c r="G38" i="141" s="1"/>
  <c r="I729" i="98"/>
  <c r="F38" i="141" s="1"/>
  <c r="R698" i="98"/>
  <c r="O30" i="141" s="1"/>
  <c r="K697" i="98"/>
  <c r="R730" i="98"/>
  <c r="O39" i="141" s="1"/>
  <c r="V800" i="100"/>
  <c r="S81" i="141" s="1"/>
  <c r="O81" i="141"/>
  <c r="V829" i="100"/>
  <c r="O87" i="141"/>
  <c r="O89" i="141"/>
  <c r="V831" i="100"/>
  <c r="S89" i="141" s="1"/>
  <c r="Q77" i="141"/>
  <c r="Q87" i="141"/>
  <c r="O80" i="141"/>
  <c r="V799" i="100"/>
  <c r="S80" i="141" s="1"/>
  <c r="W798" i="100"/>
  <c r="T79" i="141" s="1"/>
  <c r="P79" i="141"/>
  <c r="P90" i="141"/>
  <c r="W832" i="100"/>
  <c r="T90" i="141" s="1"/>
  <c r="H77" i="141"/>
  <c r="O90" i="141"/>
  <c r="V832" i="100"/>
  <c r="S90" i="141" s="1"/>
  <c r="V797" i="100"/>
  <c r="S78" i="141" s="1"/>
  <c r="O78" i="141"/>
  <c r="V796" i="100"/>
  <c r="O77" i="141"/>
  <c r="W833" i="100"/>
  <c r="T91" i="141" s="1"/>
  <c r="P91" i="141"/>
  <c r="F77" i="141"/>
  <c r="O79" i="141"/>
  <c r="V798" i="100"/>
  <c r="S79" i="141" s="1"/>
  <c r="R77" i="141"/>
  <c r="P77" i="141"/>
  <c r="W796" i="100"/>
  <c r="W799" i="100"/>
  <c r="T80" i="141" s="1"/>
  <c r="P80" i="141"/>
  <c r="V833" i="100"/>
  <c r="S91" i="141" s="1"/>
  <c r="O91" i="141"/>
  <c r="O88" i="141"/>
  <c r="V830" i="100"/>
  <c r="S88" i="141" s="1"/>
  <c r="P89" i="141"/>
  <c r="W831" i="100"/>
  <c r="T89" i="141" s="1"/>
  <c r="W829" i="100"/>
  <c r="P87" i="141"/>
  <c r="H87" i="141"/>
  <c r="F87" i="141"/>
  <c r="R87" i="141"/>
  <c r="P81" i="141"/>
  <c r="W800" i="100"/>
  <c r="T81" i="141" s="1"/>
  <c r="W797" i="100"/>
  <c r="T78" i="141" s="1"/>
  <c r="P78" i="141"/>
  <c r="W830" i="100"/>
  <c r="T88" i="141" s="1"/>
  <c r="P88" i="141"/>
  <c r="E800" i="100"/>
  <c r="E833" i="100"/>
  <c r="V847" i="152"/>
  <c r="S230" i="141" s="1"/>
  <c r="O230" i="141"/>
  <c r="R236" i="141"/>
  <c r="W875" i="152"/>
  <c r="R226" i="141"/>
  <c r="Q226" i="141"/>
  <c r="V878" i="152"/>
  <c r="S239" i="141" s="1"/>
  <c r="O239" i="141"/>
  <c r="V846" i="152"/>
  <c r="S229" i="141" s="1"/>
  <c r="O229" i="141"/>
  <c r="Q237" i="141"/>
  <c r="V876" i="152"/>
  <c r="S237" i="141" s="1"/>
  <c r="W878" i="152"/>
  <c r="T239" i="141" s="1"/>
  <c r="P239" i="141"/>
  <c r="Q236" i="141"/>
  <c r="W846" i="152"/>
  <c r="T229" i="141" s="1"/>
  <c r="P229" i="141"/>
  <c r="O240" i="141"/>
  <c r="V879" i="152"/>
  <c r="S240" i="141" s="1"/>
  <c r="W879" i="152"/>
  <c r="T240" i="141" s="1"/>
  <c r="P240" i="141"/>
  <c r="P230" i="141"/>
  <c r="W847" i="152"/>
  <c r="T230" i="141" s="1"/>
  <c r="R237" i="141"/>
  <c r="W876" i="152"/>
  <c r="T237" i="141" s="1"/>
  <c r="F238" i="141"/>
  <c r="W844" i="152"/>
  <c r="T227" i="141" s="1"/>
  <c r="P227" i="141"/>
  <c r="W843" i="152"/>
  <c r="P226" i="141"/>
  <c r="V875" i="152"/>
  <c r="O236" i="141"/>
  <c r="V844" i="152"/>
  <c r="S227" i="141" s="1"/>
  <c r="O227" i="141"/>
  <c r="V843" i="152"/>
  <c r="O226" i="141"/>
  <c r="F227" i="141"/>
  <c r="C90" i="145"/>
  <c r="P48" i="132"/>
  <c r="E843" i="152"/>
  <c r="E829" i="100"/>
  <c r="C88" i="145"/>
  <c r="AD436" i="111"/>
  <c r="AJ425" i="111" s="1"/>
  <c r="AJ442" i="111" s="1"/>
  <c r="AJ444" i="111" s="1"/>
  <c r="C89" i="145"/>
  <c r="AD66" i="111"/>
  <c r="E875" i="152"/>
  <c r="E796" i="100"/>
  <c r="P72" i="145"/>
  <c r="W73" i="145"/>
  <c r="H72" i="145"/>
  <c r="P73" i="145"/>
  <c r="AE73" i="145"/>
  <c r="H73" i="145"/>
  <c r="AE72" i="145"/>
  <c r="W72" i="145"/>
  <c r="AJ55" i="111" l="1"/>
  <c r="AJ72" i="111" s="1"/>
  <c r="AJ74" i="111" s="1"/>
  <c r="E58" i="111"/>
  <c r="H58" i="111"/>
  <c r="G58" i="111"/>
  <c r="E57" i="111"/>
  <c r="H57" i="111"/>
  <c r="G57" i="111"/>
  <c r="H44" i="111"/>
  <c r="G44" i="111"/>
  <c r="C15" i="151"/>
  <c r="CH31" i="132" s="1"/>
  <c r="C16" i="151"/>
  <c r="AD57" i="111"/>
  <c r="AD44" i="111"/>
  <c r="G109" i="180"/>
  <c r="G304" i="180" s="1"/>
  <c r="C33" i="97" s="1"/>
  <c r="S236" i="141"/>
  <c r="T236" i="141"/>
  <c r="T226" i="141"/>
  <c r="S226" i="141"/>
  <c r="M797" i="99"/>
  <c r="H830" i="99"/>
  <c r="M830" i="99"/>
  <c r="T87" i="141"/>
  <c r="S87" i="141"/>
  <c r="M795" i="100"/>
  <c r="H828" i="100"/>
  <c r="M828" i="100"/>
  <c r="S77" i="141"/>
  <c r="T77" i="141"/>
  <c r="H696" i="98"/>
  <c r="M696" i="98"/>
  <c r="H727" i="98"/>
  <c r="M727" i="98"/>
  <c r="N37" i="141"/>
  <c r="R37" i="141"/>
  <c r="U732" i="98"/>
  <c r="P37" i="141"/>
  <c r="O37" i="141"/>
  <c r="M37" i="141"/>
  <c r="L37" i="141"/>
  <c r="Q37" i="141"/>
  <c r="T732" i="98"/>
  <c r="K37" i="141"/>
  <c r="F37" i="141"/>
  <c r="I37" i="141"/>
  <c r="C37" i="141"/>
  <c r="G37" i="141"/>
  <c r="Q29" i="141"/>
  <c r="T701" i="98"/>
  <c r="R29" i="141"/>
  <c r="U701" i="98"/>
  <c r="R33" i="141" s="1"/>
  <c r="P29" i="141"/>
  <c r="N29" i="141"/>
  <c r="L29" i="141"/>
  <c r="M29" i="141"/>
  <c r="K29" i="141"/>
  <c r="C29" i="141"/>
  <c r="I29" i="141"/>
  <c r="F29" i="141"/>
  <c r="G29" i="141"/>
  <c r="AD61" i="111"/>
  <c r="G253" i="189"/>
  <c r="T59" i="151" s="1"/>
  <c r="G288" i="189"/>
  <c r="C68" i="151" s="1"/>
  <c r="C169" i="189"/>
  <c r="G104" i="180"/>
  <c r="CI31" i="132"/>
  <c r="G98" i="189"/>
  <c r="G297" i="189" s="1"/>
  <c r="C77" i="151" s="1"/>
  <c r="C21" i="151" s="1"/>
  <c r="C28" i="151" s="1"/>
  <c r="D473" i="111" s="1"/>
  <c r="G105" i="189"/>
  <c r="G106" i="189" s="1"/>
  <c r="G299" i="189" s="1"/>
  <c r="C79" i="151" s="1"/>
  <c r="C20" i="151" s="1"/>
  <c r="C27" i="151" s="1"/>
  <c r="AD62" i="111"/>
  <c r="H38" i="141"/>
  <c r="H39" i="141"/>
  <c r="H37" i="141"/>
  <c r="H31" i="141"/>
  <c r="H30" i="141"/>
  <c r="H29" i="141"/>
  <c r="AD58" i="111"/>
  <c r="C23" i="141"/>
  <c r="C17" i="141"/>
  <c r="CA31" i="132"/>
  <c r="D451" i="111"/>
  <c r="D414" i="111"/>
  <c r="CA29" i="132"/>
  <c r="CA30" i="132"/>
  <c r="AD70" i="111"/>
  <c r="AK55" i="111" s="1"/>
  <c r="AK72" i="111" s="1"/>
  <c r="AK74" i="111" s="1"/>
  <c r="H113" i="180"/>
  <c r="D31" i="145" s="1"/>
  <c r="S31" i="145" s="1"/>
  <c r="H112" i="180"/>
  <c r="H153" i="180" s="1"/>
  <c r="H114" i="180"/>
  <c r="H115" i="180" s="1"/>
  <c r="H152" i="180" s="1"/>
  <c r="C363" i="125"/>
  <c r="C361" i="125"/>
  <c r="C362" i="125"/>
  <c r="C35" i="125"/>
  <c r="H307" i="180"/>
  <c r="C36" i="125" s="1"/>
  <c r="G179" i="189"/>
  <c r="N578" i="125"/>
  <c r="N580" i="125" s="1"/>
  <c r="G351" i="125"/>
  <c r="O608" i="125" s="1"/>
  <c r="O610" i="125" s="1"/>
  <c r="G237" i="189"/>
  <c r="T43" i="151" s="1"/>
  <c r="C419" i="151" s="1"/>
  <c r="O351" i="125"/>
  <c r="C353" i="125" s="1"/>
  <c r="K23" i="141"/>
  <c r="E699" i="98"/>
  <c r="O29" i="141"/>
  <c r="E697" i="98"/>
  <c r="E728" i="98"/>
  <c r="V728" i="98"/>
  <c r="V699" i="98"/>
  <c r="S31" i="141" s="1"/>
  <c r="W730" i="98"/>
  <c r="T39" i="141" s="1"/>
  <c r="W698" i="98"/>
  <c r="T30" i="141" s="1"/>
  <c r="E730" i="98"/>
  <c r="V729" i="98"/>
  <c r="S38" i="141" s="1"/>
  <c r="V730" i="98"/>
  <c r="S39" i="141" s="1"/>
  <c r="W729" i="98"/>
  <c r="T38" i="141" s="1"/>
  <c r="W728" i="98"/>
  <c r="W697" i="98"/>
  <c r="V697" i="98"/>
  <c r="V698" i="98"/>
  <c r="S30" i="141" s="1"/>
  <c r="W699" i="98"/>
  <c r="T31" i="141" s="1"/>
  <c r="Q93" i="141"/>
  <c r="Q83" i="141"/>
  <c r="R93" i="141"/>
  <c r="R83" i="141"/>
  <c r="Q232" i="141"/>
  <c r="R232" i="141"/>
  <c r="Q242" i="141"/>
  <c r="R242" i="141"/>
  <c r="F242" i="141"/>
  <c r="C863" i="152"/>
  <c r="D863" i="152" s="1"/>
  <c r="C831" i="152"/>
  <c r="D831" i="152" s="1"/>
  <c r="F232" i="141"/>
  <c r="P54" i="132"/>
  <c r="P87" i="132" s="1"/>
  <c r="P70" i="132"/>
  <c r="P103" i="132" s="1"/>
  <c r="P51" i="132"/>
  <c r="P67" i="132"/>
  <c r="P100" i="132" s="1"/>
  <c r="P66" i="132"/>
  <c r="P99" i="132" s="1"/>
  <c r="P63" i="132"/>
  <c r="P96" i="132" s="1"/>
  <c r="P62" i="132"/>
  <c r="P95" i="132" s="1"/>
  <c r="P58" i="132"/>
  <c r="P91" i="132" s="1"/>
  <c r="P74" i="132"/>
  <c r="P107" i="132" s="1"/>
  <c r="P57" i="132"/>
  <c r="P90" i="132" s="1"/>
  <c r="P73" i="132"/>
  <c r="P106" i="132" s="1"/>
  <c r="P56" i="132"/>
  <c r="P89" i="132" s="1"/>
  <c r="P72" i="132"/>
  <c r="P105" i="132" s="1"/>
  <c r="P65" i="132"/>
  <c r="P98" i="132" s="1"/>
  <c r="P61" i="132"/>
  <c r="P94" i="132" s="1"/>
  <c r="P59" i="132"/>
  <c r="P92" i="132" s="1"/>
  <c r="P55" i="132"/>
  <c r="P88" i="132" s="1"/>
  <c r="P53" i="132"/>
  <c r="P86" i="132" s="1"/>
  <c r="P76" i="132"/>
  <c r="P109" i="132" s="1"/>
  <c r="P68" i="132"/>
  <c r="P101" i="132" s="1"/>
  <c r="P64" i="132"/>
  <c r="P97" i="132" s="1"/>
  <c r="P60" i="132"/>
  <c r="P93" i="132" s="1"/>
  <c r="P71" i="132"/>
  <c r="P104" i="132" s="1"/>
  <c r="P69" i="132"/>
  <c r="P102" i="132" s="1"/>
  <c r="P75" i="132"/>
  <c r="P108" i="132" s="1"/>
  <c r="P77" i="132"/>
  <c r="P110" i="132" s="1"/>
  <c r="P52" i="132"/>
  <c r="P85" i="132" s="1"/>
  <c r="DK7" i="132"/>
  <c r="P6" i="145"/>
  <c r="AE6" i="145"/>
  <c r="D66" i="145"/>
  <c r="E72" i="145"/>
  <c r="D77" i="145"/>
  <c r="S66" i="145"/>
  <c r="E73" i="145"/>
  <c r="T73" i="145"/>
  <c r="T72" i="145"/>
  <c r="AG58" i="111" l="1"/>
  <c r="AE58" i="111"/>
  <c r="AH58" i="111"/>
  <c r="AH44" i="111"/>
  <c r="AG44" i="111"/>
  <c r="H414" i="111"/>
  <c r="G414" i="111"/>
  <c r="H451" i="111"/>
  <c r="G451" i="111"/>
  <c r="AG57" i="111"/>
  <c r="AH57" i="111"/>
  <c r="AE57" i="111"/>
  <c r="G110" i="180"/>
  <c r="G289" i="180" s="1"/>
  <c r="T47" i="97" s="1"/>
  <c r="G317" i="180"/>
  <c r="C46" i="97" s="1"/>
  <c r="D33" i="111" s="1"/>
  <c r="K18" i="111" s="1"/>
  <c r="K35" i="111" s="1"/>
  <c r="K37" i="111" s="1"/>
  <c r="C14" i="151"/>
  <c r="CF31" i="132" s="1"/>
  <c r="G306" i="180"/>
  <c r="C35" i="97" s="1"/>
  <c r="G316" i="180"/>
  <c r="C45" i="97" s="1"/>
  <c r="D24" i="111" s="1"/>
  <c r="T37" i="141"/>
  <c r="S37" i="141"/>
  <c r="T29" i="141"/>
  <c r="S29" i="141"/>
  <c r="J33" i="132"/>
  <c r="J32" i="132"/>
  <c r="C29" i="151"/>
  <c r="D474" i="111" s="1"/>
  <c r="D472" i="111"/>
  <c r="AD414" i="111"/>
  <c r="Y13" i="111"/>
  <c r="Y11" i="111"/>
  <c r="Y16" i="111"/>
  <c r="Y14" i="111"/>
  <c r="D50" i="111"/>
  <c r="F50" i="111" s="1"/>
  <c r="F72" i="111" s="1"/>
  <c r="F74" i="111" s="1"/>
  <c r="C8" i="125"/>
  <c r="H189" i="180"/>
  <c r="H177" i="180"/>
  <c r="H210" i="180"/>
  <c r="H212" i="180" s="1"/>
  <c r="F220" i="189"/>
  <c r="G180" i="189"/>
  <c r="G212" i="189" s="1"/>
  <c r="G215" i="189" s="1"/>
  <c r="G220" i="189"/>
  <c r="G181" i="189"/>
  <c r="G186" i="189"/>
  <c r="O40" i="145" s="1"/>
  <c r="O578" i="125"/>
  <c r="K17" i="141"/>
  <c r="K19" i="141"/>
  <c r="K25" i="141"/>
  <c r="L23" i="141"/>
  <c r="G608" i="125"/>
  <c r="G578" i="125"/>
  <c r="R41" i="141"/>
  <c r="Q41" i="141"/>
  <c r="Q33" i="141"/>
  <c r="P78" i="132"/>
  <c r="P84" i="132"/>
  <c r="S67" i="145"/>
  <c r="J462" i="111" l="1"/>
  <c r="J479" i="111" s="1"/>
  <c r="J481" i="111" s="1"/>
  <c r="AH414" i="111"/>
  <c r="AG414" i="111"/>
  <c r="G307" i="180"/>
  <c r="C36" i="97" s="1"/>
  <c r="D13" i="111" s="1"/>
  <c r="D20" i="111"/>
  <c r="G20" i="111" s="1"/>
  <c r="C34" i="145"/>
  <c r="R34" i="145" s="1"/>
  <c r="G111" i="180"/>
  <c r="G113" i="180" s="1"/>
  <c r="C31" i="145" s="1"/>
  <c r="R31" i="145" s="1"/>
  <c r="D459" i="111"/>
  <c r="E459" i="111" s="1"/>
  <c r="C33" i="145"/>
  <c r="R33" i="145" s="1"/>
  <c r="M608" i="125"/>
  <c r="J23" i="141" s="1"/>
  <c r="L17" i="141"/>
  <c r="O580" i="125"/>
  <c r="L19" i="141" s="1"/>
  <c r="M578" i="125"/>
  <c r="J17" i="141" s="1"/>
  <c r="AD24" i="111"/>
  <c r="AK10" i="132"/>
  <c r="S10" i="132" s="1"/>
  <c r="BC10" i="132"/>
  <c r="BC9" i="132"/>
  <c r="H214" i="180"/>
  <c r="H235" i="180" s="1"/>
  <c r="AK9" i="132"/>
  <c r="S9" i="132" s="1"/>
  <c r="DA8" i="132"/>
  <c r="D25" i="111"/>
  <c r="H213" i="180"/>
  <c r="H260" i="180"/>
  <c r="T17" i="125" s="1"/>
  <c r="C385" i="125" s="1"/>
  <c r="H178" i="180"/>
  <c r="H179" i="180" s="1"/>
  <c r="H181" i="180"/>
  <c r="H183" i="180"/>
  <c r="H269" i="180"/>
  <c r="T26" i="125" s="1"/>
  <c r="C384" i="125" s="1"/>
  <c r="H190" i="180"/>
  <c r="H191" i="180" s="1"/>
  <c r="H267" i="180" s="1"/>
  <c r="T24" i="125" s="1"/>
  <c r="C373" i="125" s="1"/>
  <c r="H192" i="180"/>
  <c r="H193" i="180"/>
  <c r="G183" i="189"/>
  <c r="G191" i="189"/>
  <c r="D191" i="189" s="1"/>
  <c r="F191" i="189"/>
  <c r="F221" i="189" s="1"/>
  <c r="G184" i="189"/>
  <c r="G213" i="189"/>
  <c r="G216" i="189" s="1"/>
  <c r="AD33" i="111"/>
  <c r="AK18" i="111" s="1"/>
  <c r="AK35" i="111" s="1"/>
  <c r="AK37" i="111" s="1"/>
  <c r="D17" i="141"/>
  <c r="H578" i="125"/>
  <c r="H608" i="125"/>
  <c r="D23" i="141"/>
  <c r="L25" i="141"/>
  <c r="D5" i="159"/>
  <c r="D8" i="159" s="1"/>
  <c r="S5" i="159"/>
  <c r="S8" i="159" s="1"/>
  <c r="O14" i="159"/>
  <c r="O17" i="159" s="1"/>
  <c r="O15" i="159"/>
  <c r="O19" i="159" s="1"/>
  <c r="D67" i="145"/>
  <c r="C8" i="97" l="1"/>
  <c r="G114" i="180"/>
  <c r="G115" i="180" s="1"/>
  <c r="G152" i="180" s="1"/>
  <c r="G189" i="180" s="1"/>
  <c r="G112" i="180"/>
  <c r="G153" i="180" s="1"/>
  <c r="AD25" i="111"/>
  <c r="D21" i="111"/>
  <c r="G21" i="111" s="1"/>
  <c r="H20" i="111"/>
  <c r="E20" i="111"/>
  <c r="E23" i="141"/>
  <c r="E17" i="141"/>
  <c r="AD20" i="111"/>
  <c r="BR31" i="132" a="1"/>
  <c r="BR31" i="132" s="1"/>
  <c r="BP31" i="132" a="1"/>
  <c r="BP31" i="132" s="1"/>
  <c r="H215" i="180"/>
  <c r="H216" i="180" s="1"/>
  <c r="H217" i="180" s="1"/>
  <c r="H229" i="180" s="1"/>
  <c r="H233" i="180" s="1"/>
  <c r="H238" i="180" s="1"/>
  <c r="Y5" i="111"/>
  <c r="Y7" i="111"/>
  <c r="H262" i="180"/>
  <c r="T19" i="125" s="1"/>
  <c r="C377" i="125" s="1"/>
  <c r="H180" i="180"/>
  <c r="H199" i="180" s="1"/>
  <c r="H200" i="180" s="1"/>
  <c r="H201" i="180" s="1"/>
  <c r="H264" i="180" s="1"/>
  <c r="T21" i="125" s="1"/>
  <c r="C370" i="125" s="1"/>
  <c r="H270" i="180"/>
  <c r="T27" i="125" s="1"/>
  <c r="C387" i="125" s="1"/>
  <c r="H194" i="180"/>
  <c r="H184" i="180"/>
  <c r="H261" i="180"/>
  <c r="T18" i="125" s="1"/>
  <c r="C388" i="125" s="1"/>
  <c r="O20" i="145"/>
  <c r="C184" i="189"/>
  <c r="G293" i="189"/>
  <c r="D184" i="189"/>
  <c r="G271" i="189"/>
  <c r="C51" i="151" s="1"/>
  <c r="C8" i="151" s="1"/>
  <c r="D457" i="111" s="1"/>
  <c r="F457" i="111" s="1"/>
  <c r="F479" i="111" s="1"/>
  <c r="F481" i="111" s="1"/>
  <c r="C191" i="189"/>
  <c r="G292" i="189"/>
  <c r="F192" i="189"/>
  <c r="C183" i="189"/>
  <c r="G221" i="189"/>
  <c r="D183" i="189"/>
  <c r="G192" i="189"/>
  <c r="F13" i="111"/>
  <c r="F35" i="111" s="1"/>
  <c r="AD13" i="111"/>
  <c r="AF13" i="111" s="1"/>
  <c r="AF35" i="111" s="1"/>
  <c r="AF37" i="111" s="1"/>
  <c r="C441" i="125"/>
  <c r="C442" i="125" s="1"/>
  <c r="C437" i="125"/>
  <c r="C438" i="125" s="1"/>
  <c r="C433" i="125"/>
  <c r="C434" i="125" s="1"/>
  <c r="C454" i="125"/>
  <c r="C547" i="125" s="1"/>
  <c r="C548" i="125" s="1"/>
  <c r="C453" i="125"/>
  <c r="C452" i="125"/>
  <c r="C539" i="125" s="1"/>
  <c r="C540" i="125" s="1"/>
  <c r="C421" i="97"/>
  <c r="C330" i="97"/>
  <c r="C331" i="97"/>
  <c r="C422" i="97"/>
  <c r="C329" i="97"/>
  <c r="C420" i="97"/>
  <c r="X13" i="111"/>
  <c r="X11" i="111"/>
  <c r="X74" i="111"/>
  <c r="X76" i="111"/>
  <c r="X16" i="111"/>
  <c r="X14" i="111"/>
  <c r="O23" i="159"/>
  <c r="O22" i="159"/>
  <c r="S18" i="159"/>
  <c r="S16" i="159"/>
  <c r="S20" i="159"/>
  <c r="D20" i="159"/>
  <c r="D18" i="159"/>
  <c r="D16" i="159"/>
  <c r="AG20" i="111" l="1"/>
  <c r="AH20" i="111"/>
  <c r="AE20" i="111"/>
  <c r="G210" i="180"/>
  <c r="G212" i="180" s="1"/>
  <c r="G213" i="180" s="1"/>
  <c r="E21" i="111"/>
  <c r="H21" i="111"/>
  <c r="AJ10" i="132"/>
  <c r="R10" i="132" s="1"/>
  <c r="BS9" i="132" a="1"/>
  <c r="BS9" i="132" s="1"/>
  <c r="BB10" i="132"/>
  <c r="BO10" i="132" a="1"/>
  <c r="BO10" i="132" s="1"/>
  <c r="BB30" i="132"/>
  <c r="BQ10" i="132" a="1"/>
  <c r="BQ10" i="132" s="1"/>
  <c r="AJ30" i="132"/>
  <c r="R30" i="132" s="1"/>
  <c r="BS10" i="132" a="1"/>
  <c r="BS10" i="132" s="1"/>
  <c r="BC7" i="132"/>
  <c r="DA7" i="132"/>
  <c r="BB9" i="132"/>
  <c r="BQ9" i="132" a="1"/>
  <c r="BQ9" i="132" s="1"/>
  <c r="BO9" i="132" a="1"/>
  <c r="BO9" i="132" s="1"/>
  <c r="G177" i="180"/>
  <c r="G183" i="180" s="1"/>
  <c r="G261" i="180" s="1"/>
  <c r="T19" i="97" s="1"/>
  <c r="C356" i="97" s="1"/>
  <c r="G269" i="180"/>
  <c r="T27" i="97" s="1"/>
  <c r="C352" i="97" s="1"/>
  <c r="G193" i="180"/>
  <c r="G194" i="180" s="1"/>
  <c r="G190" i="180"/>
  <c r="G191" i="180" s="1"/>
  <c r="G267" i="180" s="1"/>
  <c r="T25" i="97" s="1"/>
  <c r="G192" i="180"/>
  <c r="H283" i="180"/>
  <c r="T40" i="125" s="1"/>
  <c r="C473" i="125" s="1"/>
  <c r="H222" i="180"/>
  <c r="H223" i="180" s="1"/>
  <c r="AK7" i="132"/>
  <c r="S7" i="132" s="1"/>
  <c r="Y10" i="111"/>
  <c r="Y8" i="111"/>
  <c r="AD21" i="111"/>
  <c r="H265" i="180"/>
  <c r="T22" i="125" s="1"/>
  <c r="C383" i="125" s="1"/>
  <c r="H202" i="180"/>
  <c r="H266" i="180" s="1"/>
  <c r="T23" i="125" s="1"/>
  <c r="C386" i="125" s="1"/>
  <c r="H281" i="180"/>
  <c r="T38" i="125" s="1"/>
  <c r="C462" i="125" s="1"/>
  <c r="H227" i="180"/>
  <c r="H219" i="180"/>
  <c r="H274" i="180" s="1"/>
  <c r="T31" i="125" s="1"/>
  <c r="C466" i="125" s="1"/>
  <c r="H273" i="180"/>
  <c r="T30" i="125" s="1"/>
  <c r="C465" i="125" s="1"/>
  <c r="C72" i="151"/>
  <c r="D468" i="111" s="1"/>
  <c r="D464" i="111" s="1"/>
  <c r="O33" i="145"/>
  <c r="C73" i="151"/>
  <c r="O34" i="145"/>
  <c r="T58" i="151"/>
  <c r="G193" i="189"/>
  <c r="G194" i="189" s="1"/>
  <c r="G202" i="189"/>
  <c r="F202" i="189"/>
  <c r="F193" i="189"/>
  <c r="F194" i="189" s="1"/>
  <c r="D192" i="189"/>
  <c r="E183" i="189"/>
  <c r="E184" i="189"/>
  <c r="C543" i="125"/>
  <c r="C544" i="125" s="1"/>
  <c r="AA31" i="132" a="1"/>
  <c r="AA31" i="132" s="1"/>
  <c r="Z31" i="132" a="1"/>
  <c r="Z31" i="132" s="1"/>
  <c r="U11" i="111"/>
  <c r="AD50" i="111"/>
  <c r="E388" i="125"/>
  <c r="H419" i="125" s="1"/>
  <c r="I419" i="125" s="1"/>
  <c r="J419" i="125" s="1"/>
  <c r="E385" i="125"/>
  <c r="E373" i="125"/>
  <c r="E384" i="125"/>
  <c r="E377" i="125"/>
  <c r="E387" i="125"/>
  <c r="H417" i="125" s="1"/>
  <c r="I417" i="125" s="1"/>
  <c r="J417" i="125" s="1"/>
  <c r="C5" i="159"/>
  <c r="C8" i="159" s="1"/>
  <c r="R5" i="159"/>
  <c r="R8" i="159" s="1"/>
  <c r="X71" i="111"/>
  <c r="X73" i="111"/>
  <c r="D22" i="159"/>
  <c r="S24" i="159"/>
  <c r="D23" i="159"/>
  <c r="D24" i="159"/>
  <c r="AJ9" i="132"/>
  <c r="R9" i="132" s="1"/>
  <c r="CZ8" i="132"/>
  <c r="S23" i="159"/>
  <c r="S22" i="159"/>
  <c r="H230" i="180" l="1"/>
  <c r="H234" i="180" s="1"/>
  <c r="H239" i="180" s="1"/>
  <c r="H287" i="180" s="1"/>
  <c r="T44" i="125" s="1"/>
  <c r="C485" i="125" s="1"/>
  <c r="E485" i="125" s="1"/>
  <c r="H231" i="180"/>
  <c r="H236" i="180" s="1"/>
  <c r="C474" i="125"/>
  <c r="C477" i="125"/>
  <c r="C479" i="125"/>
  <c r="C478" i="125"/>
  <c r="H464" i="111"/>
  <c r="G464" i="111"/>
  <c r="E464" i="111"/>
  <c r="AG21" i="111"/>
  <c r="AE21" i="111"/>
  <c r="AH21" i="111"/>
  <c r="AF50" i="111"/>
  <c r="AF72" i="111" s="1"/>
  <c r="AF74" i="111" s="1"/>
  <c r="G214" i="180"/>
  <c r="D477" i="111"/>
  <c r="D469" i="111"/>
  <c r="D465" i="111" s="1"/>
  <c r="G184" i="180"/>
  <c r="Z9" i="132" a="1"/>
  <c r="Z9" i="132" s="1"/>
  <c r="AK8" i="132"/>
  <c r="S8" i="132" s="1"/>
  <c r="BC8" i="132"/>
  <c r="BB29" i="132"/>
  <c r="AB10" i="132" a="1"/>
  <c r="AB10" i="132" s="1"/>
  <c r="AJ29" i="132"/>
  <c r="R29" i="132" s="1"/>
  <c r="G260" i="180"/>
  <c r="T18" i="97" s="1"/>
  <c r="C353" i="97" s="1"/>
  <c r="Z10" i="132" a="1"/>
  <c r="Z10" i="132" s="1"/>
  <c r="G181" i="180"/>
  <c r="G270" i="180"/>
  <c r="T28" i="97" s="1"/>
  <c r="C355" i="97" s="1"/>
  <c r="AB9" i="132" a="1"/>
  <c r="AB9" i="132" s="1"/>
  <c r="G178" i="180"/>
  <c r="G179" i="180" s="1"/>
  <c r="G180" i="180" s="1"/>
  <c r="G199" i="180" s="1"/>
  <c r="G200" i="180" s="1"/>
  <c r="G201" i="180" s="1"/>
  <c r="G264" i="180" s="1"/>
  <c r="T22" i="97" s="1"/>
  <c r="C338" i="97" s="1"/>
  <c r="E338" i="97" s="1"/>
  <c r="F405" i="125"/>
  <c r="F406" i="125" s="1"/>
  <c r="F408" i="125" s="1"/>
  <c r="F403" i="125"/>
  <c r="F404" i="125" s="1"/>
  <c r="C475" i="125"/>
  <c r="C476" i="125"/>
  <c r="H203" i="180"/>
  <c r="H204" i="180" s="1"/>
  <c r="H309" i="180" s="1"/>
  <c r="C38" i="125" s="1"/>
  <c r="D45" i="111" s="1"/>
  <c r="H228" i="180"/>
  <c r="H280" i="180"/>
  <c r="T37" i="125" s="1"/>
  <c r="C460" i="125" s="1"/>
  <c r="G256" i="189"/>
  <c r="T62" i="151" s="1"/>
  <c r="O27" i="145"/>
  <c r="O13" i="159" s="1"/>
  <c r="O21" i="159" s="1"/>
  <c r="C341" i="97"/>
  <c r="E341" i="97" s="1"/>
  <c r="Y31" i="132"/>
  <c r="AA9" i="132" a="1"/>
  <c r="AA9" i="132" s="1"/>
  <c r="Y9" i="132" s="1"/>
  <c r="AA10" i="132" a="1"/>
  <c r="AA10" i="132" s="1"/>
  <c r="Y10" i="132" s="1"/>
  <c r="E372" i="125"/>
  <c r="C404" i="125" s="1"/>
  <c r="J404" i="125" s="1"/>
  <c r="N404" i="125" s="1"/>
  <c r="O404" i="125" s="1"/>
  <c r="E376" i="125"/>
  <c r="C408" i="125" s="1"/>
  <c r="K417" i="125"/>
  <c r="L417" i="125" s="1"/>
  <c r="K419" i="125"/>
  <c r="L419" i="125" s="1"/>
  <c r="C405" i="125"/>
  <c r="J405" i="125" s="1"/>
  <c r="C403" i="125"/>
  <c r="E473" i="125"/>
  <c r="E383" i="125"/>
  <c r="E386" i="125"/>
  <c r="H415" i="125" s="1"/>
  <c r="E370" i="125"/>
  <c r="C401" i="125" s="1"/>
  <c r="X77" i="111"/>
  <c r="X79" i="111"/>
  <c r="R18" i="159"/>
  <c r="R16" i="159"/>
  <c r="R20" i="159"/>
  <c r="DC8" i="132"/>
  <c r="AG9" i="132"/>
  <c r="O9" i="132" s="1"/>
  <c r="C20" i="159"/>
  <c r="C18" i="159"/>
  <c r="C16" i="159"/>
  <c r="G235" i="180" l="1"/>
  <c r="H282" i="180"/>
  <c r="T39" i="125" s="1"/>
  <c r="C461" i="125" s="1"/>
  <c r="H232" i="180"/>
  <c r="H237" i="180" s="1"/>
  <c r="K462" i="111"/>
  <c r="K479" i="111" s="1"/>
  <c r="K481" i="111" s="1"/>
  <c r="E465" i="111"/>
  <c r="H465" i="111"/>
  <c r="G465" i="111"/>
  <c r="U14" i="111"/>
  <c r="AG10" i="132" s="1"/>
  <c r="O10" i="132" s="1"/>
  <c r="H45" i="111"/>
  <c r="G45" i="111"/>
  <c r="E45" i="111"/>
  <c r="G215" i="180"/>
  <c r="G222" i="180" s="1"/>
  <c r="G223" i="180" s="1"/>
  <c r="Y79" i="111"/>
  <c r="BC31" i="132" s="1"/>
  <c r="F401" i="125"/>
  <c r="E401" i="125" s="1" a="1"/>
  <c r="E401" i="125" s="1"/>
  <c r="D401" i="125" s="1"/>
  <c r="M401" i="125" s="1"/>
  <c r="BO7" i="132" a="1"/>
  <c r="BO7" i="132" s="1"/>
  <c r="BS8" i="132" a="1"/>
  <c r="BS8" i="132" s="1"/>
  <c r="BQ8" i="132" a="1"/>
  <c r="BQ8" i="132" s="1"/>
  <c r="BO8" i="132" a="1"/>
  <c r="BO8" i="132" s="1"/>
  <c r="G265" i="180"/>
  <c r="T23" i="97" s="1"/>
  <c r="C351" i="97" s="1"/>
  <c r="AJ31" i="132"/>
  <c r="R31" i="132" s="1"/>
  <c r="G202" i="180"/>
  <c r="G203" i="180" s="1"/>
  <c r="G204" i="180" s="1"/>
  <c r="G309" i="180" s="1"/>
  <c r="C38" i="97" s="1"/>
  <c r="BQ7" i="132" a="1"/>
  <c r="BQ7" i="132" s="1"/>
  <c r="BS7" i="132" a="1"/>
  <c r="BS7" i="132" s="1"/>
  <c r="BB31" i="132"/>
  <c r="G262" i="180"/>
  <c r="T20" i="97" s="1"/>
  <c r="C345" i="97" s="1"/>
  <c r="E345" i="97" s="1"/>
  <c r="E344" i="97" s="1"/>
  <c r="E340" i="97"/>
  <c r="E337" i="97"/>
  <c r="D48" i="111"/>
  <c r="E48" i="111" s="1"/>
  <c r="E72" i="111" s="1"/>
  <c r="CC9" i="132"/>
  <c r="BT31" i="132" a="1"/>
  <c r="BT31" i="132" s="1"/>
  <c r="O24" i="159"/>
  <c r="C501" i="151"/>
  <c r="C553" i="151" s="1"/>
  <c r="C554" i="151" s="1"/>
  <c r="C502" i="151"/>
  <c r="C557" i="151" s="1"/>
  <c r="C558" i="151" s="1"/>
  <c r="C500" i="151"/>
  <c r="C549" i="151" s="1"/>
  <c r="C550" i="151" s="1"/>
  <c r="E465" i="125"/>
  <c r="C505" i="125" s="1"/>
  <c r="J401" i="125"/>
  <c r="J403" i="125"/>
  <c r="C406" i="125"/>
  <c r="J406" i="125" s="1"/>
  <c r="N406" i="125" s="1"/>
  <c r="O406" i="125" s="1"/>
  <c r="C407" i="125"/>
  <c r="J407" i="125" s="1"/>
  <c r="N407" i="125" s="1"/>
  <c r="O407" i="125" s="1"/>
  <c r="O418" i="125"/>
  <c r="E405" i="125"/>
  <c r="D405" i="125" s="1"/>
  <c r="M405" i="125" s="1"/>
  <c r="N405" i="125" s="1"/>
  <c r="E369" i="125"/>
  <c r="K415" i="125"/>
  <c r="J382" i="125"/>
  <c r="E476" i="125"/>
  <c r="K528" i="125"/>
  <c r="L528" i="125" s="1"/>
  <c r="E479" i="125"/>
  <c r="E475" i="125"/>
  <c r="K524" i="125"/>
  <c r="L524" i="125" s="1"/>
  <c r="E478" i="125"/>
  <c r="E460" i="125"/>
  <c r="E474" i="125"/>
  <c r="K520" i="125"/>
  <c r="E477" i="125"/>
  <c r="E483" i="125" s="1"/>
  <c r="H520" i="125" s="1"/>
  <c r="I520" i="125" s="1"/>
  <c r="J520" i="125" s="1"/>
  <c r="H528" i="125"/>
  <c r="I528" i="125" s="1"/>
  <c r="J528" i="125" s="1"/>
  <c r="I415" i="125"/>
  <c r="H423" i="125"/>
  <c r="P579" i="125" s="1"/>
  <c r="P580" i="125" s="1"/>
  <c r="E403" i="125"/>
  <c r="D403" i="125" s="1"/>
  <c r="M403" i="125" s="1"/>
  <c r="R24" i="159"/>
  <c r="J408" i="125"/>
  <c r="N408" i="125" s="1"/>
  <c r="O408" i="125" s="1"/>
  <c r="O422" i="125"/>
  <c r="C23" i="159"/>
  <c r="C22" i="159"/>
  <c r="C24" i="159"/>
  <c r="R23" i="159"/>
  <c r="R22" i="159"/>
  <c r="D76" i="145"/>
  <c r="C499" i="125" l="1"/>
  <c r="E494" i="125"/>
  <c r="C509" i="125" s="1"/>
  <c r="G283" i="180"/>
  <c r="T41" i="97" s="1"/>
  <c r="C441" i="97" s="1"/>
  <c r="Y77" i="111"/>
  <c r="AK31" i="132" s="1"/>
  <c r="S31" i="132" s="1"/>
  <c r="D8" i="111"/>
  <c r="G8" i="111" s="1"/>
  <c r="G216" i="180"/>
  <c r="G217" i="180" s="1"/>
  <c r="T11" i="111"/>
  <c r="G266" i="180"/>
  <c r="T24" i="97" s="1"/>
  <c r="C354" i="97" s="1"/>
  <c r="Z8" i="132" a="1"/>
  <c r="Z8" i="132" s="1"/>
  <c r="Z7" i="132" a="1"/>
  <c r="Z7" i="132" s="1"/>
  <c r="AB7" i="132" a="1"/>
  <c r="AB7" i="132" s="1"/>
  <c r="AB8" i="132" a="1"/>
  <c r="AB8" i="132" s="1"/>
  <c r="AB31" i="132" a="1"/>
  <c r="AB31" i="132" s="1"/>
  <c r="F510" i="125"/>
  <c r="G510" i="125" s="1"/>
  <c r="C510" i="125"/>
  <c r="J510" i="125" s="1"/>
  <c r="N510" i="125" s="1"/>
  <c r="CC7" i="132"/>
  <c r="D11" i="111"/>
  <c r="E11" i="111" s="1"/>
  <c r="C508" i="125"/>
  <c r="O526" i="125" s="1"/>
  <c r="C504" i="125"/>
  <c r="J504" i="125" s="1"/>
  <c r="N504" i="125" s="1"/>
  <c r="O504" i="125" s="1"/>
  <c r="C503" i="125"/>
  <c r="J503" i="125" s="1"/>
  <c r="N503" i="125" s="1"/>
  <c r="O503" i="125" s="1"/>
  <c r="C502" i="125"/>
  <c r="J502" i="125" s="1"/>
  <c r="F402" i="125"/>
  <c r="F506" i="125"/>
  <c r="F507" i="125" s="1"/>
  <c r="E484" i="125"/>
  <c r="H524" i="125" s="1"/>
  <c r="I524" i="125" s="1"/>
  <c r="J524" i="125" s="1"/>
  <c r="J471" i="125"/>
  <c r="J474" i="125" s="1"/>
  <c r="N401" i="125"/>
  <c r="N403" i="125"/>
  <c r="C402" i="125"/>
  <c r="D579" i="125" s="1"/>
  <c r="G401" i="125"/>
  <c r="AD7" i="111"/>
  <c r="E462" i="125"/>
  <c r="C501" i="125" s="1"/>
  <c r="J501" i="125" s="1"/>
  <c r="N501" i="125" s="1"/>
  <c r="O501" i="125" s="1"/>
  <c r="O420" i="125"/>
  <c r="BM9" i="132" a="1"/>
  <c r="BM9" i="132" s="1"/>
  <c r="AA8" i="132" a="1"/>
  <c r="AA8" i="132" s="1"/>
  <c r="Y8" i="132" s="1"/>
  <c r="AA7" i="132" a="1"/>
  <c r="AA7" i="132" s="1"/>
  <c r="O421" i="125"/>
  <c r="G405" i="125"/>
  <c r="O419" i="125" s="1"/>
  <c r="F503" i="125"/>
  <c r="F502" i="125"/>
  <c r="E502" i="125" s="1"/>
  <c r="D502" i="125" s="1"/>
  <c r="M502" i="125" s="1"/>
  <c r="K519" i="125"/>
  <c r="L519" i="125" s="1"/>
  <c r="F501" i="125"/>
  <c r="K518" i="125"/>
  <c r="L518" i="125" s="1"/>
  <c r="F500" i="125"/>
  <c r="K517" i="125"/>
  <c r="L517" i="125" s="1"/>
  <c r="F499" i="125"/>
  <c r="J385" i="125"/>
  <c r="J384" i="125"/>
  <c r="L520" i="125"/>
  <c r="M18" i="141"/>
  <c r="L415" i="125"/>
  <c r="L423" i="125" s="1"/>
  <c r="S579" i="125" s="1"/>
  <c r="S580" i="125" s="1"/>
  <c r="K423" i="125"/>
  <c r="R579" i="125" s="1"/>
  <c r="R580" i="125" s="1"/>
  <c r="J415" i="125"/>
  <c r="J423" i="125" s="1"/>
  <c r="I423" i="125"/>
  <c r="Q579" i="125" s="1"/>
  <c r="Q580" i="125" s="1"/>
  <c r="E461" i="125"/>
  <c r="C500" i="125" s="1"/>
  <c r="J500" i="125" s="1"/>
  <c r="N500" i="125" s="1"/>
  <c r="O500" i="125" s="1"/>
  <c r="J505" i="125"/>
  <c r="N505" i="125" s="1"/>
  <c r="O505" i="125" s="1"/>
  <c r="O523" i="125"/>
  <c r="G403" i="125"/>
  <c r="J499" i="125"/>
  <c r="N499" i="125" s="1"/>
  <c r="S77" i="145"/>
  <c r="D79" i="145"/>
  <c r="D78" i="145"/>
  <c r="D68" i="145"/>
  <c r="O527" i="125" l="1"/>
  <c r="J509" i="125"/>
  <c r="N509" i="125" s="1"/>
  <c r="O509" i="125" s="1"/>
  <c r="G229" i="180"/>
  <c r="G233" i="180" s="1"/>
  <c r="G238" i="180" s="1"/>
  <c r="G286" i="180" s="1"/>
  <c r="T44" i="97" s="1"/>
  <c r="C450" i="97" s="1"/>
  <c r="E441" i="97"/>
  <c r="C445" i="97"/>
  <c r="E445" i="97" s="1"/>
  <c r="E451" i="97" s="1"/>
  <c r="C447" i="97"/>
  <c r="E447" i="97" s="1"/>
  <c r="C478" i="97" s="1"/>
  <c r="J478" i="97" s="1"/>
  <c r="N478" i="97" s="1"/>
  <c r="C446" i="97"/>
  <c r="E446" i="97" s="1"/>
  <c r="E452" i="97" s="1"/>
  <c r="C443" i="97"/>
  <c r="E443" i="97" s="1"/>
  <c r="C444" i="97"/>
  <c r="E444" i="97" s="1"/>
  <c r="C442" i="97"/>
  <c r="E442" i="97" s="1"/>
  <c r="J440" i="97" s="1"/>
  <c r="G227" i="180"/>
  <c r="G228" i="180" s="1"/>
  <c r="G219" i="180"/>
  <c r="E466" i="125" s="1"/>
  <c r="C507" i="125" s="1"/>
  <c r="O525" i="125" s="1"/>
  <c r="G273" i="180"/>
  <c r="T31" i="97" s="1"/>
  <c r="C433" i="97" s="1"/>
  <c r="E433" i="97" s="1"/>
  <c r="AF9" i="132"/>
  <c r="N9" i="132" s="1"/>
  <c r="D25" i="159"/>
  <c r="E8" i="111"/>
  <c r="H8" i="111"/>
  <c r="E579" i="125"/>
  <c r="E580" i="125" s="1"/>
  <c r="D573" i="125" s="1"/>
  <c r="D580" i="125"/>
  <c r="O528" i="125"/>
  <c r="O510" i="125"/>
  <c r="H284" i="180"/>
  <c r="T41" i="125" s="1"/>
  <c r="J508" i="125"/>
  <c r="N508" i="125" s="1"/>
  <c r="O508" i="125" s="1"/>
  <c r="O522" i="125"/>
  <c r="O521" i="125"/>
  <c r="E506" i="125"/>
  <c r="D506" i="125" s="1"/>
  <c r="M506" i="125" s="1"/>
  <c r="O401" i="125"/>
  <c r="O415" i="125"/>
  <c r="C411" i="125"/>
  <c r="D411" i="125"/>
  <c r="J402" i="125"/>
  <c r="N402" i="125" s="1"/>
  <c r="O402" i="125" s="1"/>
  <c r="O416" i="125"/>
  <c r="Y7" i="132"/>
  <c r="BL9" i="132" a="1"/>
  <c r="BL9" i="132" s="1"/>
  <c r="BN9" i="132" a="1"/>
  <c r="BN9" i="132" s="1"/>
  <c r="O405" i="125"/>
  <c r="J473" i="125"/>
  <c r="G502" i="125"/>
  <c r="O520" i="125" s="1"/>
  <c r="K529" i="125"/>
  <c r="R609" i="125" s="1"/>
  <c r="R610" i="125" s="1"/>
  <c r="F509" i="125"/>
  <c r="F508" i="125"/>
  <c r="F505" i="125"/>
  <c r="L529" i="125"/>
  <c r="S609" i="125" s="1"/>
  <c r="S610" i="125" s="1"/>
  <c r="N502" i="125"/>
  <c r="P18" i="141"/>
  <c r="W579" i="125"/>
  <c r="N18" i="141"/>
  <c r="M19" i="141"/>
  <c r="O18" i="141"/>
  <c r="V579" i="125"/>
  <c r="O403" i="125"/>
  <c r="O499" i="125"/>
  <c r="O417" i="125"/>
  <c r="D69" i="145"/>
  <c r="D70" i="145"/>
  <c r="S76" i="145"/>
  <c r="D71" i="145"/>
  <c r="G274" i="180" l="1"/>
  <c r="T32" i="97" s="1"/>
  <c r="C434" i="97" s="1"/>
  <c r="E434" i="97" s="1"/>
  <c r="G282" i="180"/>
  <c r="T40" i="97" s="1"/>
  <c r="C429" i="97" s="1"/>
  <c r="E429" i="97" s="1"/>
  <c r="C468" i="97" s="1"/>
  <c r="J468" i="97" s="1"/>
  <c r="N468" i="97" s="1"/>
  <c r="O468" i="97" s="1"/>
  <c r="G232" i="180"/>
  <c r="G237" i="180" s="1"/>
  <c r="G230" i="180"/>
  <c r="G234" i="180" s="1"/>
  <c r="G239" i="180" s="1"/>
  <c r="G287" i="180" s="1"/>
  <c r="T45" i="97" s="1"/>
  <c r="C453" i="97" s="1"/>
  <c r="G231" i="180"/>
  <c r="G236" i="180" s="1"/>
  <c r="G284" i="180" s="1"/>
  <c r="T42" i="97" s="1"/>
  <c r="C448" i="97" s="1"/>
  <c r="G280" i="180"/>
  <c r="T38" i="97" s="1"/>
  <c r="C428" i="97" s="1"/>
  <c r="E428" i="97" s="1"/>
  <c r="C506" i="125"/>
  <c r="J506" i="125" s="1"/>
  <c r="G281" i="180"/>
  <c r="T39" i="97" s="1"/>
  <c r="C430" i="97" s="1"/>
  <c r="E430" i="97" s="1"/>
  <c r="C469" i="97" s="1"/>
  <c r="J469" i="97" s="1"/>
  <c r="N469" i="97" s="1"/>
  <c r="O469" i="97" s="1"/>
  <c r="J507" i="125"/>
  <c r="N507" i="125" s="1"/>
  <c r="O507" i="125" s="1"/>
  <c r="H286" i="180"/>
  <c r="T43" i="125" s="1"/>
  <c r="O24" i="141"/>
  <c r="T18" i="141"/>
  <c r="W580" i="125"/>
  <c r="S18" i="141"/>
  <c r="V580" i="125"/>
  <c r="W9" i="132"/>
  <c r="H285" i="180"/>
  <c r="T42" i="125" s="1"/>
  <c r="BM10" i="132" a="1"/>
  <c r="BM10" i="132" s="1"/>
  <c r="S78" i="145"/>
  <c r="S71" i="145"/>
  <c r="D11" i="145"/>
  <c r="F467" i="97" l="1"/>
  <c r="E462" i="97"/>
  <c r="C477" i="97" s="1"/>
  <c r="C467" i="97"/>
  <c r="J467" i="97" s="1"/>
  <c r="N467" i="97" s="1"/>
  <c r="D609" i="125"/>
  <c r="D610" i="125" s="1"/>
  <c r="C513" i="125"/>
  <c r="N506" i="125"/>
  <c r="G506" i="125"/>
  <c r="O524" i="125" s="1"/>
  <c r="D412" i="125"/>
  <c r="F579" i="125" s="1"/>
  <c r="F580" i="125" s="1"/>
  <c r="C412" i="125"/>
  <c r="G240" i="180"/>
  <c r="G241" i="180" s="1"/>
  <c r="G242" i="180" s="1"/>
  <c r="G310" i="180" s="1"/>
  <c r="C39" i="97" s="1"/>
  <c r="AD8" i="111" s="1"/>
  <c r="BL10" i="132" a="1"/>
  <c r="BL10" i="132" s="1"/>
  <c r="D572" i="125"/>
  <c r="H240" i="180"/>
  <c r="H241" i="180" s="1"/>
  <c r="H242" i="180" s="1"/>
  <c r="H310" i="180" s="1"/>
  <c r="C39" i="125" s="1"/>
  <c r="AD45" i="111" s="1"/>
  <c r="C514" i="125"/>
  <c r="P24" i="141"/>
  <c r="W609" i="125"/>
  <c r="W610" i="125" s="1"/>
  <c r="O502" i="125"/>
  <c r="V609" i="125"/>
  <c r="V610" i="125" s="1"/>
  <c r="C482" i="125"/>
  <c r="C480" i="125"/>
  <c r="E480" i="125" s="1"/>
  <c r="H517" i="125" s="1"/>
  <c r="P25" i="141"/>
  <c r="P19" i="141"/>
  <c r="N19" i="141"/>
  <c r="O19" i="141"/>
  <c r="O423" i="125"/>
  <c r="C425" i="125" s="1"/>
  <c r="G579" i="125" s="1"/>
  <c r="G580" i="125" s="1"/>
  <c r="O467" i="97"/>
  <c r="S74" i="145"/>
  <c r="S75" i="145"/>
  <c r="D74" i="145"/>
  <c r="S70" i="145"/>
  <c r="D10" i="145"/>
  <c r="S79" i="145"/>
  <c r="D75" i="145"/>
  <c r="J477" i="97" l="1"/>
  <c r="N477" i="97" s="1"/>
  <c r="O477" i="97" s="1"/>
  <c r="O495" i="97"/>
  <c r="E609" i="125"/>
  <c r="E610" i="125" s="1"/>
  <c r="D602" i="125" s="1"/>
  <c r="AH45" i="111"/>
  <c r="AG45" i="111"/>
  <c r="AE45" i="111"/>
  <c r="AG8" i="111"/>
  <c r="AH8" i="111"/>
  <c r="AE8" i="111"/>
  <c r="T24" i="141"/>
  <c r="S24" i="141"/>
  <c r="CC10" i="132"/>
  <c r="CC8" i="132"/>
  <c r="BN10" i="132" a="1"/>
  <c r="BN10" i="132" s="1"/>
  <c r="W10" i="132" s="1"/>
  <c r="D514" i="125"/>
  <c r="F609" i="125" s="1"/>
  <c r="F610" i="125" s="1"/>
  <c r="O506" i="125"/>
  <c r="AD48" i="111"/>
  <c r="AE48" i="111" s="1"/>
  <c r="AE72" i="111" s="1"/>
  <c r="AD11" i="111"/>
  <c r="AE11" i="111" s="1"/>
  <c r="D513" i="125"/>
  <c r="G285" i="180"/>
  <c r="T43" i="97" s="1"/>
  <c r="C449" i="97" s="1"/>
  <c r="E482" i="125"/>
  <c r="H519" i="125" s="1"/>
  <c r="I519" i="125" s="1"/>
  <c r="J519" i="125" s="1"/>
  <c r="O519" i="125" s="1"/>
  <c r="C18" i="141"/>
  <c r="O25" i="141"/>
  <c r="I517" i="125"/>
  <c r="J517" i="125" s="1"/>
  <c r="C481" i="125"/>
  <c r="E481" i="125" s="1"/>
  <c r="H518" i="125" s="1"/>
  <c r="T19" i="141"/>
  <c r="T25" i="141"/>
  <c r="S19" i="141"/>
  <c r="S25" i="141"/>
  <c r="D18" i="141"/>
  <c r="C564" i="125"/>
  <c r="C19" i="141"/>
  <c r="H579" i="125"/>
  <c r="H580" i="125" s="1"/>
  <c r="D603" i="125" l="1"/>
  <c r="C24" i="141"/>
  <c r="T14" i="111"/>
  <c r="C25" i="141"/>
  <c r="I518" i="125"/>
  <c r="H529" i="125"/>
  <c r="P609" i="125" s="1"/>
  <c r="P610" i="125" s="1"/>
  <c r="O517" i="125"/>
  <c r="E18" i="141"/>
  <c r="E19" i="141"/>
  <c r="D19" i="141"/>
  <c r="D564" i="125"/>
  <c r="D4" i="145"/>
  <c r="H9" i="132" l="1"/>
  <c r="AF10" i="132"/>
  <c r="N10" i="132" s="1"/>
  <c r="S25" i="159"/>
  <c r="C594" i="125"/>
  <c r="D594" i="125" s="1"/>
  <c r="M24" i="141"/>
  <c r="J518" i="125"/>
  <c r="I529" i="125"/>
  <c r="Q609" i="125" s="1"/>
  <c r="Q610" i="125" s="1"/>
  <c r="S68" i="145"/>
  <c r="S4" i="145"/>
  <c r="O518" i="125" l="1"/>
  <c r="O529" i="125" s="1"/>
  <c r="J529" i="125"/>
  <c r="N24" i="141"/>
  <c r="M25" i="141"/>
  <c r="H10" i="132"/>
  <c r="S69" i="145"/>
  <c r="N25" i="141" l="1"/>
  <c r="C531" i="125"/>
  <c r="G609" i="125" s="1"/>
  <c r="G610" i="125" s="1"/>
  <c r="D25" i="141" l="1"/>
  <c r="H609" i="125"/>
  <c r="H610" i="125" s="1"/>
  <c r="D24" i="141"/>
  <c r="E25" i="141" l="1"/>
  <c r="E24" i="141"/>
  <c r="BC129" i="204" l="1"/>
  <c r="BC144" i="205"/>
  <c r="BC108" i="137"/>
  <c r="BC105" i="203"/>
  <c r="I71" i="112" l="1"/>
  <c r="I73" i="112" l="1"/>
  <c r="I74" i="112"/>
  <c r="I75" i="112"/>
  <c r="I76" i="112"/>
  <c r="I72" i="112"/>
  <c r="N71" i="112"/>
  <c r="H71" i="112"/>
  <c r="I69" i="112"/>
  <c r="I70" i="112"/>
  <c r="I67" i="112"/>
  <c r="I68" i="112"/>
  <c r="F71" i="112" l="1"/>
  <c r="D71" i="112" s="1"/>
  <c r="AL63" i="187" s="1"/>
  <c r="AL100" i="187" s="1"/>
  <c r="H75" i="112"/>
  <c r="H68" i="112"/>
  <c r="H76" i="112"/>
  <c r="H69" i="112"/>
  <c r="M70" i="112"/>
  <c r="H70" i="112"/>
  <c r="H74" i="112"/>
  <c r="H67" i="112"/>
  <c r="H73" i="112"/>
  <c r="M63" i="187" l="1"/>
  <c r="M100" i="187" s="1"/>
  <c r="Q63" i="187"/>
  <c r="Q100" i="187" s="1"/>
  <c r="U63" i="187"/>
  <c r="U100" i="187" s="1"/>
  <c r="AP63" i="187"/>
  <c r="AP100" i="187" s="1"/>
  <c r="AH63" i="187"/>
  <c r="AH100" i="187" s="1"/>
  <c r="N76" i="112"/>
  <c r="F76" i="112" s="1"/>
  <c r="D76" i="112" s="1"/>
  <c r="AR44" i="187" s="1"/>
  <c r="Y63" i="187"/>
  <c r="Y100" i="187" s="1"/>
  <c r="AC63" i="187"/>
  <c r="AC100" i="187" s="1"/>
  <c r="N67" i="112"/>
  <c r="F67" i="112" s="1"/>
  <c r="D67" i="112" s="1"/>
  <c r="O44" i="187"/>
  <c r="W44" i="187"/>
  <c r="S44" i="187"/>
  <c r="N70" i="112"/>
  <c r="F70" i="112" s="1"/>
  <c r="D70" i="112" s="1"/>
  <c r="N69" i="112"/>
  <c r="F69" i="112" s="1"/>
  <c r="D69" i="112" s="1"/>
  <c r="V69" i="112"/>
  <c r="N73" i="112"/>
  <c r="F73" i="112" s="1"/>
  <c r="D73" i="112" s="1"/>
  <c r="V73" i="112"/>
  <c r="N68" i="112"/>
  <c r="F68" i="112" s="1"/>
  <c r="D68" i="112" s="1"/>
  <c r="N72" i="112"/>
  <c r="V74" i="112"/>
  <c r="N74" i="112"/>
  <c r="F74" i="112" s="1"/>
  <c r="D74" i="112" s="1"/>
  <c r="N75" i="112"/>
  <c r="F75" i="112" s="1"/>
  <c r="D75" i="112" s="1"/>
  <c r="K134" i="187"/>
  <c r="G134" i="187"/>
  <c r="I63" i="187"/>
  <c r="I100" i="187" s="1"/>
  <c r="E63" i="187"/>
  <c r="E100" i="187" s="1"/>
  <c r="W36" i="112" l="1"/>
  <c r="H36" i="112" s="1"/>
  <c r="H508" i="112"/>
  <c r="F508" i="112" s="1"/>
  <c r="D508" i="112" s="1"/>
  <c r="W37" i="112" s="1"/>
  <c r="S36" i="187"/>
  <c r="W72" i="112"/>
  <c r="H72" i="112" s="1"/>
  <c r="AA36" i="187"/>
  <c r="AN36" i="187"/>
  <c r="AE36" i="187"/>
  <c r="AR36" i="187"/>
  <c r="AJ36" i="187"/>
  <c r="O36" i="187"/>
  <c r="W36" i="187"/>
  <c r="F36" i="112"/>
  <c r="D36" i="112" s="1"/>
  <c r="H60" i="112" s="1"/>
  <c r="V36" i="112"/>
  <c r="AE43" i="187"/>
  <c r="AE45" i="187" s="1"/>
  <c r="AA43" i="187"/>
  <c r="AA45" i="187" s="1"/>
  <c r="AJ43" i="187"/>
  <c r="AJ45" i="187" s="1"/>
  <c r="AR43" i="187"/>
  <c r="AR45" i="187" s="1"/>
  <c r="AN43" i="187"/>
  <c r="AN45" i="187" s="1"/>
  <c r="AJ35" i="187"/>
  <c r="AR35" i="187"/>
  <c r="AN35" i="187"/>
  <c r="AE35" i="187"/>
  <c r="AA35" i="187"/>
  <c r="G17" i="200"/>
  <c r="AR11" i="187"/>
  <c r="AN11" i="187"/>
  <c r="AJ11" i="187"/>
  <c r="AE11" i="187"/>
  <c r="AA11" i="187"/>
  <c r="AR12" i="187"/>
  <c r="AJ12" i="187"/>
  <c r="AN12" i="187"/>
  <c r="AE12" i="187"/>
  <c r="AA12" i="187"/>
  <c r="W35" i="187"/>
  <c r="S35" i="187"/>
  <c r="O35" i="187"/>
  <c r="W11" i="187"/>
  <c r="O11" i="187"/>
  <c r="O15" i="187" s="1"/>
  <c r="S11" i="187"/>
  <c r="S43" i="187"/>
  <c r="S45" i="187" s="1"/>
  <c r="O43" i="187"/>
  <c r="O45" i="187" s="1"/>
  <c r="W43" i="187"/>
  <c r="W45" i="187" s="1"/>
  <c r="W12" i="187"/>
  <c r="O12" i="187"/>
  <c r="S12" i="187"/>
  <c r="F72" i="112"/>
  <c r="D72" i="112" s="1"/>
  <c r="K11" i="187"/>
  <c r="K15" i="187" s="1"/>
  <c r="G11" i="187"/>
  <c r="G15" i="187" s="1"/>
  <c r="K81" i="187"/>
  <c r="G81" i="187"/>
  <c r="K133" i="187"/>
  <c r="G133" i="187"/>
  <c r="K43" i="187"/>
  <c r="G43" i="187"/>
  <c r="K44" i="187"/>
  <c r="G44" i="187"/>
  <c r="K12" i="187"/>
  <c r="G12" i="187"/>
  <c r="K135" i="187"/>
  <c r="G135" i="187"/>
  <c r="K35" i="187"/>
  <c r="G35" i="187"/>
  <c r="K36" i="187"/>
  <c r="G36" i="187"/>
  <c r="S245" i="187" l="1"/>
  <c r="S246" i="187" s="1"/>
  <c r="G245" i="187"/>
  <c r="G246" i="187" s="1"/>
  <c r="AE245" i="187"/>
  <c r="AE246" i="187" s="1"/>
  <c r="AR245" i="187"/>
  <c r="O245" i="187"/>
  <c r="O246" i="187" s="1"/>
  <c r="AA245" i="187"/>
  <c r="AA246" i="187" s="1"/>
  <c r="AN245" i="187"/>
  <c r="AN246" i="187" s="1"/>
  <c r="K245" i="187"/>
  <c r="K246" i="187" s="1"/>
  <c r="W245" i="187"/>
  <c r="W246" i="187" s="1"/>
  <c r="AJ245" i="187"/>
  <c r="AJ246" i="187" s="1"/>
  <c r="G140" i="180"/>
  <c r="H37" i="112"/>
  <c r="F37" i="112" s="1"/>
  <c r="D37" i="112" s="1"/>
  <c r="AR38" i="187"/>
  <c r="AN38" i="187"/>
  <c r="AE38" i="187"/>
  <c r="AJ38" i="187"/>
  <c r="AA38" i="187"/>
  <c r="G18" i="200"/>
  <c r="G19" i="200"/>
  <c r="G26" i="200" s="1"/>
  <c r="G75" i="200" s="1"/>
  <c r="V60" i="112"/>
  <c r="F60" i="112"/>
  <c r="D60" i="112" s="1"/>
  <c r="W38" i="187"/>
  <c r="S38" i="187"/>
  <c r="O38" i="187"/>
  <c r="O17" i="187"/>
  <c r="O24" i="187" s="1"/>
  <c r="O16" i="187"/>
  <c r="G45" i="187"/>
  <c r="K45" i="187"/>
  <c r="G17" i="187"/>
  <c r="G24" i="187" s="1"/>
  <c r="G30" i="187" s="1"/>
  <c r="G16" i="187"/>
  <c r="G19" i="187" s="1"/>
  <c r="K17" i="187"/>
  <c r="K24" i="187" s="1"/>
  <c r="K30" i="187" s="1"/>
  <c r="K16" i="187"/>
  <c r="G38" i="187"/>
  <c r="K38" i="187"/>
  <c r="G141" i="180" l="1"/>
  <c r="G321" i="180" s="1"/>
  <c r="C50" i="97" s="1"/>
  <c r="C21" i="97" s="1"/>
  <c r="C28" i="97" s="1"/>
  <c r="D29" i="111" s="1"/>
  <c r="AD29" i="111" s="1"/>
  <c r="G148" i="180"/>
  <c r="G149" i="180" s="1"/>
  <c r="G323" i="180" s="1"/>
  <c r="C52" i="97" s="1"/>
  <c r="C20" i="97" s="1"/>
  <c r="C27" i="97" s="1"/>
  <c r="AJ247" i="187"/>
  <c r="AJ379" i="187" s="1"/>
  <c r="C88" i="126" s="1"/>
  <c r="C21" i="126" s="1"/>
  <c r="C28" i="126" s="1"/>
  <c r="D362" i="111" s="1"/>
  <c r="AD362" i="111" s="1"/>
  <c r="AJ254" i="187"/>
  <c r="AJ255" i="187" s="1"/>
  <c r="AJ381" i="187" s="1"/>
  <c r="C90" i="126" s="1"/>
  <c r="C20" i="126" s="1"/>
  <c r="C27" i="126" s="1"/>
  <c r="W247" i="187"/>
  <c r="W379" i="187" s="1"/>
  <c r="C93" i="123" s="1"/>
  <c r="C21" i="123" s="1"/>
  <c r="C28" i="123" s="1"/>
  <c r="D251" i="111" s="1"/>
  <c r="AD251" i="111" s="1"/>
  <c r="W254" i="187"/>
  <c r="W255" i="187" s="1"/>
  <c r="W381" i="187" s="1"/>
  <c r="C95" i="123" s="1"/>
  <c r="C20" i="123" s="1"/>
  <c r="C27" i="123" s="1"/>
  <c r="K247" i="187"/>
  <c r="K379" i="187" s="1"/>
  <c r="C83" i="122" s="1"/>
  <c r="C21" i="122" s="1"/>
  <c r="C28" i="122" s="1"/>
  <c r="D140" i="111" s="1"/>
  <c r="AD140" i="111" s="1"/>
  <c r="K254" i="187"/>
  <c r="K255" i="187" s="1"/>
  <c r="K381" i="187" s="1"/>
  <c r="C85" i="122" s="1"/>
  <c r="C20" i="122" s="1"/>
  <c r="C27" i="122" s="1"/>
  <c r="AE247" i="187"/>
  <c r="AE379" i="187" s="1"/>
  <c r="C88" i="99" s="1"/>
  <c r="C21" i="99" s="1"/>
  <c r="C28" i="99" s="1"/>
  <c r="D325" i="111" s="1"/>
  <c r="AD325" i="111" s="1"/>
  <c r="AE254" i="187"/>
  <c r="AE255" i="187" s="1"/>
  <c r="AE381" i="187" s="1"/>
  <c r="C90" i="99" s="1"/>
  <c r="C20" i="99" s="1"/>
  <c r="C27" i="99" s="1"/>
  <c r="AA247" i="187"/>
  <c r="AA379" i="187" s="1"/>
  <c r="C88" i="124" s="1"/>
  <c r="C21" i="124" s="1"/>
  <c r="C28" i="124" s="1"/>
  <c r="D288" i="111" s="1"/>
  <c r="AD288" i="111" s="1"/>
  <c r="AA254" i="187"/>
  <c r="AA255" i="187" s="1"/>
  <c r="AA381" i="187" s="1"/>
  <c r="C90" i="124" s="1"/>
  <c r="C20" i="124" s="1"/>
  <c r="C27" i="124" s="1"/>
  <c r="O247" i="187"/>
  <c r="O379" i="187" s="1"/>
  <c r="C69" i="121" s="1"/>
  <c r="C21" i="121" s="1"/>
  <c r="C28" i="121" s="1"/>
  <c r="D177" i="111" s="1"/>
  <c r="AD177" i="111" s="1"/>
  <c r="O254" i="187"/>
  <c r="O255" i="187" s="1"/>
  <c r="O381" i="187" s="1"/>
  <c r="C71" i="121" s="1"/>
  <c r="C20" i="121" s="1"/>
  <c r="C27" i="121" s="1"/>
  <c r="G247" i="187"/>
  <c r="G379" i="187" s="1"/>
  <c r="G254" i="187"/>
  <c r="G255" i="187" s="1"/>
  <c r="G381" i="187" s="1"/>
  <c r="AN247" i="187"/>
  <c r="AN379" i="187" s="1"/>
  <c r="C88" i="127" s="1"/>
  <c r="AN254" i="187"/>
  <c r="AN255" i="187" s="1"/>
  <c r="AN381" i="187" s="1"/>
  <c r="C90" i="127" s="1"/>
  <c r="C20" i="127" s="1"/>
  <c r="C27" i="127" s="1"/>
  <c r="S247" i="187"/>
  <c r="S379" i="187" s="1"/>
  <c r="C82" i="100" s="1"/>
  <c r="C21" i="100" s="1"/>
  <c r="C28" i="100" s="1"/>
  <c r="D214" i="111" s="1"/>
  <c r="AD214" i="111" s="1"/>
  <c r="S254" i="187"/>
  <c r="S255" i="187" s="1"/>
  <c r="S381" i="187" s="1"/>
  <c r="C84" i="100" s="1"/>
  <c r="C20" i="100" s="1"/>
  <c r="C27" i="100" s="1"/>
  <c r="F64" i="187"/>
  <c r="AR64" i="187"/>
  <c r="AM64" i="187"/>
  <c r="AJ64" i="187"/>
  <c r="AI64" i="187"/>
  <c r="AD64" i="187"/>
  <c r="V64" i="187"/>
  <c r="O64" i="187"/>
  <c r="AQ64" i="187"/>
  <c r="AN64" i="187"/>
  <c r="AE64" i="187"/>
  <c r="AA64" i="187"/>
  <c r="Z64" i="187"/>
  <c r="W64" i="187"/>
  <c r="S64" i="187"/>
  <c r="R64" i="187"/>
  <c r="N64" i="187"/>
  <c r="K64" i="187"/>
  <c r="J64" i="187"/>
  <c r="G64" i="187"/>
  <c r="W60" i="112"/>
  <c r="G25" i="200"/>
  <c r="G74" i="200" s="1"/>
  <c r="G20" i="200"/>
  <c r="G27" i="200" s="1"/>
  <c r="G24" i="200"/>
  <c r="G40" i="200" s="1"/>
  <c r="O30" i="187"/>
  <c r="O51" i="187" s="1"/>
  <c r="AJ34" i="183" s="1"/>
  <c r="O23" i="187"/>
  <c r="O29" i="187" s="1"/>
  <c r="O19" i="187"/>
  <c r="O20" i="187" s="1"/>
  <c r="O359" i="187" s="1"/>
  <c r="O18" i="187"/>
  <c r="K51" i="187"/>
  <c r="S34" i="183" s="1"/>
  <c r="K19" i="187"/>
  <c r="K20" i="187" s="1"/>
  <c r="K359" i="187" s="1"/>
  <c r="C39" i="122" s="1"/>
  <c r="K23" i="187"/>
  <c r="K29" i="187" s="1"/>
  <c r="K18" i="187"/>
  <c r="G20" i="187"/>
  <c r="G23" i="187"/>
  <c r="G29" i="187" s="1"/>
  <c r="G47" i="187" s="1"/>
  <c r="G50" i="187" s="1"/>
  <c r="B33" i="183" s="1"/>
  <c r="G18" i="187"/>
  <c r="G28" i="187" s="1"/>
  <c r="G53" i="187" s="1"/>
  <c r="B36" i="183" s="1"/>
  <c r="G51" i="187"/>
  <c r="C21" i="127" l="1"/>
  <c r="C28" i="127" s="1"/>
  <c r="D399" i="111" s="1"/>
  <c r="AD399" i="111" s="1"/>
  <c r="C77" i="98"/>
  <c r="C20" i="98" s="1"/>
  <c r="C27" i="98" s="1"/>
  <c r="C29" i="98" s="1"/>
  <c r="D104" i="111" s="1"/>
  <c r="AD104" i="111" s="1"/>
  <c r="C75" i="98"/>
  <c r="C21" i="98" s="1"/>
  <c r="C28" i="98" s="1"/>
  <c r="D103" i="111" s="1"/>
  <c r="AD103" i="111" s="1"/>
  <c r="C29" i="122"/>
  <c r="D141" i="111" s="1"/>
  <c r="AD141" i="111" s="1"/>
  <c r="D139" i="111"/>
  <c r="C29" i="121"/>
  <c r="D178" i="111" s="1"/>
  <c r="AD178" i="111" s="1"/>
  <c r="D176" i="111"/>
  <c r="C29" i="123"/>
  <c r="D252" i="111" s="1"/>
  <c r="AD252" i="111" s="1"/>
  <c r="D250" i="111"/>
  <c r="C29" i="99"/>
  <c r="D326" i="111" s="1"/>
  <c r="AD326" i="111" s="1"/>
  <c r="D324" i="111"/>
  <c r="D213" i="111"/>
  <c r="C29" i="100"/>
  <c r="D215" i="111" s="1"/>
  <c r="AD215" i="111" s="1"/>
  <c r="C29" i="126"/>
  <c r="D363" i="111" s="1"/>
  <c r="AD363" i="111" s="1"/>
  <c r="D361" i="111"/>
  <c r="D287" i="111"/>
  <c r="C29" i="124"/>
  <c r="D289" i="111" s="1"/>
  <c r="AD289" i="111" s="1"/>
  <c r="D398" i="111"/>
  <c r="C29" i="127"/>
  <c r="D400" i="111" s="1"/>
  <c r="D28" i="111"/>
  <c r="D15" i="111" s="1"/>
  <c r="C29" i="97"/>
  <c r="D30" i="111" s="1"/>
  <c r="AD30" i="111" s="1"/>
  <c r="G22" i="187"/>
  <c r="G27" i="187" s="1"/>
  <c r="G52" i="187" s="1"/>
  <c r="B35" i="183" s="1"/>
  <c r="G359" i="187"/>
  <c r="C65" i="98" s="1"/>
  <c r="G44" i="200"/>
  <c r="G47" i="200"/>
  <c r="G259" i="200" s="1"/>
  <c r="B34" i="183"/>
  <c r="K28" i="187"/>
  <c r="K53" i="187" s="1"/>
  <c r="S36" i="183" s="1"/>
  <c r="O28" i="187"/>
  <c r="O53" i="187" s="1"/>
  <c r="AJ36" i="183" s="1"/>
  <c r="O22" i="187"/>
  <c r="O21" i="187"/>
  <c r="C42" i="121"/>
  <c r="O54" i="187"/>
  <c r="AJ37" i="183" s="1"/>
  <c r="O47" i="187"/>
  <c r="K22" i="187"/>
  <c r="G54" i="187"/>
  <c r="B37" i="183" s="1"/>
  <c r="G21" i="187"/>
  <c r="K54" i="187"/>
  <c r="S37" i="183" s="1"/>
  <c r="K47" i="187"/>
  <c r="K21" i="187"/>
  <c r="J314" i="111" l="1"/>
  <c r="J331" i="111" s="1"/>
  <c r="J333" i="111" s="1"/>
  <c r="J166" i="111"/>
  <c r="J183" i="111" s="1"/>
  <c r="J185" i="111" s="1"/>
  <c r="J277" i="111"/>
  <c r="J294" i="111" s="1"/>
  <c r="J296" i="111" s="1"/>
  <c r="J388" i="111"/>
  <c r="J405" i="111" s="1"/>
  <c r="J407" i="111" s="1"/>
  <c r="J351" i="111"/>
  <c r="J368" i="111" s="1"/>
  <c r="J370" i="111" s="1"/>
  <c r="J240" i="111"/>
  <c r="J257" i="111" s="1"/>
  <c r="J259" i="111" s="1"/>
  <c r="J203" i="111"/>
  <c r="J220" i="111" s="1"/>
  <c r="J222" i="111" s="1"/>
  <c r="J129" i="111"/>
  <c r="J146" i="111" s="1"/>
  <c r="J148" i="111" s="1"/>
  <c r="D385" i="111"/>
  <c r="E385" i="111" s="1"/>
  <c r="D200" i="111"/>
  <c r="E200" i="111" s="1"/>
  <c r="D311" i="111"/>
  <c r="E311" i="111" s="1"/>
  <c r="D163" i="111"/>
  <c r="E163" i="111" s="1"/>
  <c r="D126" i="111"/>
  <c r="E126" i="111" s="1"/>
  <c r="D274" i="111"/>
  <c r="E274" i="111" s="1"/>
  <c r="D348" i="111"/>
  <c r="E348" i="111" s="1"/>
  <c r="D237" i="111"/>
  <c r="E237" i="111" s="1"/>
  <c r="D102" i="111"/>
  <c r="J92" i="111" s="1"/>
  <c r="J109" i="111" s="1"/>
  <c r="J111" i="111" s="1"/>
  <c r="AD213" i="111"/>
  <c r="AJ203" i="111" s="1"/>
  <c r="AJ220" i="111" s="1"/>
  <c r="AJ222" i="111" s="1"/>
  <c r="AD324" i="111"/>
  <c r="AJ314" i="111" s="1"/>
  <c r="AJ331" i="111" s="1"/>
  <c r="AJ333" i="111" s="1"/>
  <c r="AD361" i="111"/>
  <c r="AJ351" i="111" s="1"/>
  <c r="AJ368" i="111" s="1"/>
  <c r="AJ370" i="111" s="1"/>
  <c r="AD250" i="111"/>
  <c r="AJ240" i="111" s="1"/>
  <c r="AJ257" i="111" s="1"/>
  <c r="AJ259" i="111" s="1"/>
  <c r="AD176" i="111"/>
  <c r="AJ166" i="111" s="1"/>
  <c r="AJ183" i="111" s="1"/>
  <c r="AJ185" i="111" s="1"/>
  <c r="E15" i="111"/>
  <c r="E35" i="111" s="1"/>
  <c r="J18" i="111"/>
  <c r="J35" i="111" s="1"/>
  <c r="J37" i="111" s="1"/>
  <c r="AD28" i="111"/>
  <c r="AJ18" i="111" s="1"/>
  <c r="AJ35" i="111" s="1"/>
  <c r="AJ37" i="111" s="1"/>
  <c r="AD400" i="111"/>
  <c r="AD139" i="111"/>
  <c r="AJ129" i="111" s="1"/>
  <c r="AJ146" i="111" s="1"/>
  <c r="AJ148" i="111" s="1"/>
  <c r="AD287" i="111"/>
  <c r="AJ277" i="111" s="1"/>
  <c r="AJ294" i="111" s="1"/>
  <c r="AJ296" i="111" s="1"/>
  <c r="AD398" i="111"/>
  <c r="AJ388" i="111" s="1"/>
  <c r="AJ405" i="111" s="1"/>
  <c r="AJ407" i="111" s="1"/>
  <c r="T39" i="107"/>
  <c r="C416" i="107" s="1"/>
  <c r="E416" i="107" s="1"/>
  <c r="G48" i="200"/>
  <c r="G49" i="200" s="1"/>
  <c r="G50" i="200" s="1"/>
  <c r="G51" i="200" s="1"/>
  <c r="G62" i="200"/>
  <c r="G263" i="200" s="1"/>
  <c r="T43" i="107" s="1"/>
  <c r="O27" i="187"/>
  <c r="O52" i="187" s="1"/>
  <c r="AJ35" i="183" s="1"/>
  <c r="G55" i="187"/>
  <c r="B38" i="183" s="1"/>
  <c r="K27" i="187"/>
  <c r="K52" i="187" s="1"/>
  <c r="S35" i="183" s="1"/>
  <c r="O48" i="187"/>
  <c r="O49" i="187" s="1"/>
  <c r="O61" i="187"/>
  <c r="O50" i="187"/>
  <c r="K48" i="187"/>
  <c r="K49" i="187" s="1"/>
  <c r="K61" i="187"/>
  <c r="K50" i="187"/>
  <c r="G61" i="187"/>
  <c r="G48" i="187"/>
  <c r="G49" i="187" s="1"/>
  <c r="D89" i="111" l="1"/>
  <c r="E89" i="111" s="1"/>
  <c r="AD102" i="111"/>
  <c r="X70" i="111"/>
  <c r="AD385" i="111"/>
  <c r="AE385" i="111" s="1"/>
  <c r="X46" i="111"/>
  <c r="X44" i="111"/>
  <c r="X68" i="111"/>
  <c r="X52" i="111"/>
  <c r="X50" i="111"/>
  <c r="AD126" i="111"/>
  <c r="AE126" i="111" s="1"/>
  <c r="X10" i="111"/>
  <c r="X8" i="111"/>
  <c r="AD311" i="111"/>
  <c r="AE311" i="111" s="1"/>
  <c r="X28" i="111"/>
  <c r="X26" i="111"/>
  <c r="X64" i="111"/>
  <c r="X62" i="111"/>
  <c r="AD274" i="111"/>
  <c r="AE274" i="111" s="1"/>
  <c r="AD237" i="111"/>
  <c r="AE237" i="111" s="1"/>
  <c r="X58" i="111"/>
  <c r="X56" i="111"/>
  <c r="AD15" i="111"/>
  <c r="AE15" i="111" s="1"/>
  <c r="AE35" i="111" s="1"/>
  <c r="X40" i="111"/>
  <c r="X38" i="111"/>
  <c r="AD163" i="111"/>
  <c r="AE163" i="111" s="1"/>
  <c r="X19" i="111"/>
  <c r="X17" i="111"/>
  <c r="AD348" i="111"/>
  <c r="AE348" i="111" s="1"/>
  <c r="X34" i="111"/>
  <c r="X32" i="111"/>
  <c r="AD200" i="111"/>
  <c r="AE200" i="111" s="1"/>
  <c r="G258" i="200"/>
  <c r="N58" i="145" s="1"/>
  <c r="G52" i="200"/>
  <c r="G53" i="200" s="1"/>
  <c r="G322" i="200" s="1"/>
  <c r="C45" i="107" s="1"/>
  <c r="O55" i="187"/>
  <c r="AJ38" i="183" s="1"/>
  <c r="AJ33" i="183"/>
  <c r="K55" i="187"/>
  <c r="S38" i="183" s="1"/>
  <c r="S33" i="183"/>
  <c r="I54" i="183"/>
  <c r="J54" i="183" s="1"/>
  <c r="L54" i="183" s="1"/>
  <c r="N66" i="187"/>
  <c r="N65" i="187"/>
  <c r="O72" i="187"/>
  <c r="N67" i="187"/>
  <c r="F67" i="187"/>
  <c r="F65" i="187"/>
  <c r="F66" i="187"/>
  <c r="G72" i="187"/>
  <c r="G306" i="187" s="1"/>
  <c r="Z4" i="98" s="1"/>
  <c r="C464" i="98" s="1"/>
  <c r="J66" i="187"/>
  <c r="K72" i="187"/>
  <c r="J67" i="187"/>
  <c r="J65" i="187"/>
  <c r="AJ92" i="111" l="1"/>
  <c r="AJ109" i="111" s="1"/>
  <c r="AJ111" i="111" s="1"/>
  <c r="X22" i="111" s="1"/>
  <c r="AD89" i="111"/>
  <c r="AE89" i="111" s="1"/>
  <c r="T8" i="111"/>
  <c r="AJ8" i="132"/>
  <c r="R8" i="132" s="1"/>
  <c r="BB8" i="132"/>
  <c r="AJ11" i="132"/>
  <c r="R11" i="132" s="1"/>
  <c r="BB11" i="132"/>
  <c r="BB12" i="132"/>
  <c r="AJ22" i="132"/>
  <c r="R22" i="132" s="1"/>
  <c r="BB22" i="132"/>
  <c r="AJ28" i="132"/>
  <c r="R28" i="132" s="1"/>
  <c r="AJ18" i="132"/>
  <c r="R18" i="132" s="1"/>
  <c r="BB18" i="132"/>
  <c r="BB28" i="132"/>
  <c r="AJ16" i="132"/>
  <c r="R16" i="132" s="1"/>
  <c r="AJ26" i="132"/>
  <c r="R26" i="132" s="1"/>
  <c r="AJ20" i="132"/>
  <c r="R20" i="132" s="1"/>
  <c r="BB16" i="132"/>
  <c r="BB26" i="132"/>
  <c r="BB20" i="132"/>
  <c r="AJ24" i="132"/>
  <c r="R24" i="132" s="1"/>
  <c r="AJ14" i="132"/>
  <c r="R14" i="132" s="1"/>
  <c r="BB24" i="132"/>
  <c r="BB14" i="132"/>
  <c r="X49" i="111"/>
  <c r="X47" i="111"/>
  <c r="X61" i="111"/>
  <c r="X59" i="111"/>
  <c r="X43" i="111"/>
  <c r="X41" i="111"/>
  <c r="X25" i="111"/>
  <c r="X23" i="111"/>
  <c r="X55" i="111"/>
  <c r="X53" i="111"/>
  <c r="X37" i="111"/>
  <c r="X35" i="111"/>
  <c r="X5" i="111"/>
  <c r="X7" i="111"/>
  <c r="X31" i="111"/>
  <c r="X29" i="111"/>
  <c r="L27" i="111"/>
  <c r="X67" i="111"/>
  <c r="X65" i="111"/>
  <c r="CI30" i="132"/>
  <c r="CI29" i="132"/>
  <c r="T38" i="107"/>
  <c r="C415" i="107" s="1"/>
  <c r="O306" i="187"/>
  <c r="Z5" i="121" s="1"/>
  <c r="C596" i="121" s="1"/>
  <c r="E596" i="121" s="1"/>
  <c r="K306" i="187"/>
  <c r="Z4" i="122" s="1"/>
  <c r="G59" i="200"/>
  <c r="G55" i="200"/>
  <c r="G57" i="200"/>
  <c r="G54" i="200"/>
  <c r="G58" i="200"/>
  <c r="AQ54" i="183"/>
  <c r="AR54" i="183" s="1"/>
  <c r="AT54" i="183" s="1"/>
  <c r="Z54" i="183"/>
  <c r="AA54" i="183" s="1"/>
  <c r="AC54" i="183" s="1"/>
  <c r="P54" i="183"/>
  <c r="M54" i="183"/>
  <c r="O67" i="187"/>
  <c r="O70" i="187" s="1"/>
  <c r="O368" i="187" s="1"/>
  <c r="C58" i="121" s="1"/>
  <c r="C16" i="121" s="1"/>
  <c r="N70" i="187"/>
  <c r="O73" i="187"/>
  <c r="G23" i="145" s="1"/>
  <c r="V23" i="145" s="1"/>
  <c r="O90" i="187"/>
  <c r="O66" i="187"/>
  <c r="O69" i="187" s="1"/>
  <c r="O367" i="187" s="1"/>
  <c r="C57" i="121" s="1"/>
  <c r="C15" i="121" s="1"/>
  <c r="N69" i="187"/>
  <c r="O65" i="187"/>
  <c r="O68" i="187" s="1"/>
  <c r="O366" i="187" s="1"/>
  <c r="C56" i="121" s="1"/>
  <c r="C14" i="121" s="1"/>
  <c r="N68" i="187"/>
  <c r="J68" i="187"/>
  <c r="K65" i="187"/>
  <c r="K68" i="187" s="1"/>
  <c r="K366" i="187" s="1"/>
  <c r="C63" i="122" s="1"/>
  <c r="C14" i="122" s="1"/>
  <c r="G73" i="187"/>
  <c r="E23" i="145" s="1"/>
  <c r="T23" i="145" s="1"/>
  <c r="G90" i="187"/>
  <c r="F69" i="187"/>
  <c r="G66" i="187"/>
  <c r="G69" i="187" s="1"/>
  <c r="K73" i="187"/>
  <c r="F23" i="145" s="1"/>
  <c r="U23" i="145" s="1"/>
  <c r="K90" i="187"/>
  <c r="J69" i="187"/>
  <c r="K66" i="187"/>
  <c r="K69" i="187" s="1"/>
  <c r="K367" i="187" s="1"/>
  <c r="C64" i="122" s="1"/>
  <c r="C15" i="122" s="1"/>
  <c r="G65" i="187"/>
  <c r="G68" i="187" s="1"/>
  <c r="G74" i="187" s="1"/>
  <c r="F68" i="187"/>
  <c r="G362" i="187" s="1"/>
  <c r="C45" i="98" s="1"/>
  <c r="C10" i="98" s="1"/>
  <c r="J70" i="187"/>
  <c r="K67" i="187"/>
  <c r="K70" i="187" s="1"/>
  <c r="K368" i="187" s="1"/>
  <c r="C65" i="122" s="1"/>
  <c r="C16" i="122" s="1"/>
  <c r="G67" i="187"/>
  <c r="G70" i="187" s="1"/>
  <c r="G76" i="187" s="1"/>
  <c r="F70" i="187"/>
  <c r="X20" i="111" l="1"/>
  <c r="AJ12" i="132" s="1"/>
  <c r="R12" i="132" s="1"/>
  <c r="AF8" i="132"/>
  <c r="N8" i="132" s="1"/>
  <c r="R25" i="159"/>
  <c r="T5" i="111"/>
  <c r="AJ23" i="132"/>
  <c r="R23" i="132" s="1"/>
  <c r="BB23" i="132"/>
  <c r="AJ15" i="132"/>
  <c r="R15" i="132" s="1"/>
  <c r="AJ13" i="132"/>
  <c r="R13" i="132" s="1"/>
  <c r="AJ19" i="132"/>
  <c r="R19" i="132" s="1"/>
  <c r="BB19" i="132"/>
  <c r="AJ27" i="132"/>
  <c r="R27" i="132" s="1"/>
  <c r="AJ17" i="132"/>
  <c r="R17" i="132" s="1"/>
  <c r="AJ25" i="132"/>
  <c r="R25" i="132" s="1"/>
  <c r="BB13" i="132"/>
  <c r="BB27" i="132"/>
  <c r="BB17" i="132"/>
  <c r="BB25" i="132"/>
  <c r="AJ21" i="132"/>
  <c r="R21" i="132" s="1"/>
  <c r="BB15" i="132"/>
  <c r="BB21" i="132"/>
  <c r="AJ7" i="132"/>
  <c r="CZ7" i="132"/>
  <c r="BB7" i="132"/>
  <c r="Z7" i="111"/>
  <c r="CE12" i="132"/>
  <c r="CE11" i="132"/>
  <c r="CH16" i="132"/>
  <c r="CH15" i="132"/>
  <c r="CH14" i="132"/>
  <c r="CH13" i="132"/>
  <c r="CF14" i="132"/>
  <c r="CF13" i="132"/>
  <c r="CF15" i="132"/>
  <c r="CF16" i="132"/>
  <c r="G56" i="200"/>
  <c r="G73" i="200" s="1"/>
  <c r="G334" i="200" s="1"/>
  <c r="C41" i="107" s="1"/>
  <c r="C5" i="107" s="1"/>
  <c r="AU54" i="183"/>
  <c r="AX54" i="183"/>
  <c r="O76" i="187"/>
  <c r="O74" i="187"/>
  <c r="AD54" i="183"/>
  <c r="AG54" i="183"/>
  <c r="N54" i="183"/>
  <c r="O54" i="183" s="1" a="1"/>
  <c r="O54" i="183" s="1"/>
  <c r="D55" i="183" s="1"/>
  <c r="K74" i="187"/>
  <c r="O75" i="187"/>
  <c r="O362" i="187"/>
  <c r="C52" i="121" s="1"/>
  <c r="C10" i="121" s="1"/>
  <c r="O89" i="187"/>
  <c r="O363" i="187"/>
  <c r="C53" i="121" s="1"/>
  <c r="C11" i="121" s="1"/>
  <c r="O364" i="187"/>
  <c r="C54" i="121" s="1"/>
  <c r="C12" i="121" s="1"/>
  <c r="G77" i="187"/>
  <c r="G309" i="187"/>
  <c r="Z7" i="98" s="1"/>
  <c r="C465" i="98" s="1"/>
  <c r="G79" i="187"/>
  <c r="G311" i="187"/>
  <c r="Z9" i="98" s="1"/>
  <c r="C467" i="98" s="1"/>
  <c r="K76" i="187"/>
  <c r="G363" i="187"/>
  <c r="C46" i="98" s="1"/>
  <c r="C11" i="98" s="1"/>
  <c r="K75" i="187"/>
  <c r="G75" i="187"/>
  <c r="G367" i="187"/>
  <c r="C50" i="98" s="1"/>
  <c r="C15" i="98" s="1"/>
  <c r="K363" i="187"/>
  <c r="C60" i="122" s="1"/>
  <c r="C11" i="122" s="1"/>
  <c r="K89" i="187"/>
  <c r="G364" i="187"/>
  <c r="C47" i="98" s="1"/>
  <c r="C12" i="98" s="1"/>
  <c r="G368" i="187"/>
  <c r="C51" i="98" s="1"/>
  <c r="C16" i="98" s="1"/>
  <c r="K364" i="187"/>
  <c r="C61" i="122" s="1"/>
  <c r="C12" i="122" s="1"/>
  <c r="G89" i="187"/>
  <c r="G366" i="187"/>
  <c r="C49" i="98" s="1"/>
  <c r="C14" i="98" s="1"/>
  <c r="K362" i="187"/>
  <c r="C59" i="122" s="1"/>
  <c r="C10" i="122" s="1"/>
  <c r="AF7" i="132" l="1"/>
  <c r="N7" i="132" s="1"/>
  <c r="C25" i="159"/>
  <c r="R7" i="132"/>
  <c r="D40" i="133" a="1"/>
  <c r="D40" i="133" s="1"/>
  <c r="K40" i="133" s="1"/>
  <c r="K54" i="133" s="1"/>
  <c r="J36" i="203" s="1"/>
  <c r="D47" i="133" a="1"/>
  <c r="D47" i="133" s="1"/>
  <c r="K47" i="133" s="1"/>
  <c r="J45" i="138" s="1"/>
  <c r="CO12" i="132"/>
  <c r="CO11" i="132"/>
  <c r="G91" i="187"/>
  <c r="G94" i="187" s="1"/>
  <c r="CM12" i="132"/>
  <c r="CM11" i="132"/>
  <c r="CG14" i="132"/>
  <c r="CG13" i="132"/>
  <c r="CH12" i="132"/>
  <c r="D86" i="133" s="1" a="1"/>
  <c r="D86" i="133" s="1"/>
  <c r="K86" i="133" s="1"/>
  <c r="CH11" i="132"/>
  <c r="CF12" i="132"/>
  <c r="D84" i="133" s="1" a="1"/>
  <c r="D84" i="133" s="1"/>
  <c r="K84" i="133" s="1"/>
  <c r="CF11" i="132"/>
  <c r="CB29" i="132"/>
  <c r="CB30" i="132"/>
  <c r="CG12" i="132"/>
  <c r="CG11" i="132"/>
  <c r="CG16" i="132"/>
  <c r="CG15" i="132"/>
  <c r="CE14" i="132"/>
  <c r="CE13" i="132"/>
  <c r="CE15" i="132"/>
  <c r="CE16" i="132"/>
  <c r="D83" i="133" s="1" a="1"/>
  <c r="D83" i="133" s="1"/>
  <c r="K83" i="133" s="1"/>
  <c r="O311" i="187"/>
  <c r="Z10" i="121" s="1"/>
  <c r="C599" i="121" s="1"/>
  <c r="E599" i="121" s="1"/>
  <c r="O310" i="187"/>
  <c r="Z9" i="121" s="1"/>
  <c r="C598" i="121" s="1"/>
  <c r="E598" i="121" s="1"/>
  <c r="O309" i="187"/>
  <c r="Z8" i="121" s="1"/>
  <c r="C597" i="121" s="1"/>
  <c r="E597" i="121" s="1"/>
  <c r="K309" i="187"/>
  <c r="Z7" i="122" s="1"/>
  <c r="K310" i="187"/>
  <c r="Z8" i="122" s="1"/>
  <c r="K311" i="187"/>
  <c r="Z9" i="122" s="1"/>
  <c r="T3" i="107"/>
  <c r="C333" i="107" s="1"/>
  <c r="D413" i="111"/>
  <c r="G79" i="200"/>
  <c r="G82" i="200" s="1"/>
  <c r="O79" i="187"/>
  <c r="O77" i="187"/>
  <c r="K77" i="187"/>
  <c r="O78" i="187"/>
  <c r="AV54" i="183"/>
  <c r="AW54" i="183" s="1" a="1"/>
  <c r="AW54" i="183" s="1"/>
  <c r="AL55" i="183" s="1"/>
  <c r="AE54" i="183"/>
  <c r="AF54" i="183" s="1" a="1"/>
  <c r="AF54" i="183" s="1"/>
  <c r="U55" i="183" s="1"/>
  <c r="F55" i="183"/>
  <c r="E55" i="183"/>
  <c r="H55" i="183" s="1"/>
  <c r="G55" i="183"/>
  <c r="K55" i="183"/>
  <c r="K79" i="187"/>
  <c r="K78" i="187"/>
  <c r="G78" i="187"/>
  <c r="G310" i="187"/>
  <c r="Z8" i="98" s="1"/>
  <c r="C466" i="98" s="1"/>
  <c r="E413" i="111" l="1"/>
  <c r="H413" i="111"/>
  <c r="H442" i="111" s="1"/>
  <c r="G413" i="111"/>
  <c r="I413" i="111"/>
  <c r="I442" i="111" s="1"/>
  <c r="I444" i="111" s="1"/>
  <c r="J28" i="138"/>
  <c r="J54" i="203"/>
  <c r="J32" i="204"/>
  <c r="J52" i="203"/>
  <c r="J30" i="204"/>
  <c r="D85" i="133" a="1"/>
  <c r="D85" i="133" s="1"/>
  <c r="K85" i="133" s="1"/>
  <c r="J31" i="204" s="1"/>
  <c r="CO14" i="132"/>
  <c r="CO13" i="132"/>
  <c r="G92" i="187"/>
  <c r="G95" i="187" s="1"/>
  <c r="G101" i="187" s="1"/>
  <c r="G103" i="187" s="1"/>
  <c r="G106" i="187" s="1"/>
  <c r="G126" i="187" s="1"/>
  <c r="CN11" i="132"/>
  <c r="CN12" i="132"/>
  <c r="K92" i="187"/>
  <c r="K95" i="187" s="1"/>
  <c r="CN14" i="132"/>
  <c r="CN13" i="132"/>
  <c r="O92" i="187"/>
  <c r="O95" i="187" s="1"/>
  <c r="CN15" i="132"/>
  <c r="CN16" i="132"/>
  <c r="D96" i="133" s="1" a="1"/>
  <c r="D96" i="133" s="1"/>
  <c r="K96" i="133" s="1"/>
  <c r="J27" i="205" s="1"/>
  <c r="K91" i="187"/>
  <c r="K94" i="187" s="1"/>
  <c r="CM14" i="132"/>
  <c r="CM13" i="132"/>
  <c r="CO16" i="132"/>
  <c r="D97" i="133" s="1" a="1"/>
  <c r="D97" i="133" s="1"/>
  <c r="K97" i="133" s="1"/>
  <c r="J28" i="205" s="1"/>
  <c r="CO15" i="132"/>
  <c r="O91" i="187"/>
  <c r="O94" i="187" s="1"/>
  <c r="CM16" i="132"/>
  <c r="D95" i="133" s="1" a="1"/>
  <c r="D95" i="133" s="1"/>
  <c r="K95" i="133" s="1"/>
  <c r="J26" i="205" s="1"/>
  <c r="CM15" i="132"/>
  <c r="J29" i="204"/>
  <c r="J51" i="203"/>
  <c r="G85" i="200"/>
  <c r="G267" i="200"/>
  <c r="T47" i="107" s="1"/>
  <c r="AD413" i="111"/>
  <c r="G81" i="200"/>
  <c r="G80" i="200"/>
  <c r="N22" i="145" s="1"/>
  <c r="AC22" i="145" s="1"/>
  <c r="G83" i="200"/>
  <c r="AN55" i="183"/>
  <c r="AO55" i="183"/>
  <c r="AM55" i="183"/>
  <c r="AP55" i="183" s="1"/>
  <c r="AS55" i="183"/>
  <c r="X55" i="183"/>
  <c r="V55" i="183"/>
  <c r="Y55" i="183" s="1"/>
  <c r="W55" i="183"/>
  <c r="AB55" i="183"/>
  <c r="I55" i="183"/>
  <c r="J55" i="183" s="1"/>
  <c r="L55" i="183" s="1"/>
  <c r="AH413" i="111" l="1"/>
  <c r="AH442" i="111" s="1"/>
  <c r="AI413" i="111"/>
  <c r="AI442" i="111" s="1"/>
  <c r="AI444" i="111" s="1"/>
  <c r="AE413" i="111"/>
  <c r="AG413" i="111"/>
  <c r="K101" i="187"/>
  <c r="K102" i="187" s="1"/>
  <c r="K105" i="187" s="1"/>
  <c r="K125" i="187" s="1"/>
  <c r="J53" i="203"/>
  <c r="G111" i="187"/>
  <c r="E38" i="145" s="1"/>
  <c r="T38" i="145" s="1"/>
  <c r="G102" i="187"/>
  <c r="G105" i="187" s="1"/>
  <c r="G125" i="187" s="1"/>
  <c r="O101" i="187"/>
  <c r="O103" i="187" s="1"/>
  <c r="O106" i="187" s="1"/>
  <c r="O126" i="187" s="1"/>
  <c r="G120" i="187"/>
  <c r="G96" i="200"/>
  <c r="G99" i="200" s="1"/>
  <c r="CK30" i="132"/>
  <c r="CK29" i="132"/>
  <c r="G86" i="200"/>
  <c r="G268" i="200"/>
  <c r="T48" i="107" s="1"/>
  <c r="G84" i="200"/>
  <c r="G266" i="200"/>
  <c r="T46" i="107" s="1"/>
  <c r="W71" i="111"/>
  <c r="Z55" i="183"/>
  <c r="AA55" i="183" s="1"/>
  <c r="AC55" i="183" s="1"/>
  <c r="AQ55" i="183"/>
  <c r="AR55" i="183" s="1"/>
  <c r="AT55" i="183" s="1"/>
  <c r="M55" i="183"/>
  <c r="P55" i="183"/>
  <c r="G109" i="187"/>
  <c r="AI29" i="132" l="1"/>
  <c r="Q29" i="132" s="1"/>
  <c r="K108" i="187"/>
  <c r="K103" i="187"/>
  <c r="K106" i="187" s="1"/>
  <c r="K126" i="187" s="1"/>
  <c r="K111" i="187"/>
  <c r="F38" i="145" s="1"/>
  <c r="U38" i="145" s="1"/>
  <c r="K120" i="187"/>
  <c r="O111" i="187"/>
  <c r="G38" i="145" s="1"/>
  <c r="V38" i="145" s="1"/>
  <c r="O120" i="187"/>
  <c r="O102" i="187"/>
  <c r="O105" i="187" s="1"/>
  <c r="O125" i="187" s="1"/>
  <c r="G108" i="187"/>
  <c r="CL29" i="132"/>
  <c r="CL30" i="132"/>
  <c r="G95" i="200"/>
  <c r="G98" i="200" s="1"/>
  <c r="G105" i="200" s="1"/>
  <c r="G107" i="200" s="1"/>
  <c r="G110" i="200" s="1"/>
  <c r="G130" i="200" s="1"/>
  <c r="CJ30" i="132"/>
  <c r="CJ29" i="132"/>
  <c r="O109" i="187"/>
  <c r="W74" i="111"/>
  <c r="AX55" i="183"/>
  <c r="AU55" i="183"/>
  <c r="AG55" i="183"/>
  <c r="AD55" i="183"/>
  <c r="N55" i="183"/>
  <c r="O55" i="183" s="1" a="1"/>
  <c r="O55" i="183" s="1"/>
  <c r="D56" i="183" s="1"/>
  <c r="AI30" i="132" l="1"/>
  <c r="Q30" i="132" s="1"/>
  <c r="K109" i="187"/>
  <c r="O108" i="187"/>
  <c r="G124" i="200"/>
  <c r="G113" i="200"/>
  <c r="G106" i="200"/>
  <c r="G109" i="200" s="1"/>
  <c r="G129" i="200" s="1"/>
  <c r="G115" i="200"/>
  <c r="G117" i="200" s="1"/>
  <c r="G118" i="200" s="1"/>
  <c r="G119" i="200" s="1"/>
  <c r="G121" i="200" s="1"/>
  <c r="G305" i="200" s="1"/>
  <c r="T89" i="107" s="1"/>
  <c r="AV55" i="183"/>
  <c r="AW55" i="183" s="1" a="1"/>
  <c r="AW55" i="183" s="1"/>
  <c r="AL56" i="183" s="1"/>
  <c r="AE55" i="183"/>
  <c r="AF55" i="183" s="1" a="1"/>
  <c r="AF55" i="183" s="1"/>
  <c r="U56" i="183" s="1"/>
  <c r="G56" i="183"/>
  <c r="F56" i="183"/>
  <c r="K56" i="183"/>
  <c r="E56" i="183"/>
  <c r="H56" i="183" s="1"/>
  <c r="N36" i="145" l="1"/>
  <c r="AC36" i="145" s="1"/>
  <c r="G112" i="200"/>
  <c r="G341" i="200" s="1"/>
  <c r="C67" i="107" s="1"/>
  <c r="D431" i="111" s="1"/>
  <c r="D427" i="111" s="1"/>
  <c r="G342" i="200"/>
  <c r="N34" i="145" s="1"/>
  <c r="AC34" i="145" s="1"/>
  <c r="G122" i="200"/>
  <c r="G123" i="200" s="1"/>
  <c r="G163" i="200" s="1"/>
  <c r="G265" i="200" s="1"/>
  <c r="T45" i="107" s="1"/>
  <c r="N31" i="145"/>
  <c r="N5" i="159" s="1"/>
  <c r="N8" i="159" s="1"/>
  <c r="G120" i="200"/>
  <c r="G164" i="200" s="1"/>
  <c r="G220" i="200" s="1"/>
  <c r="G222" i="200" s="1"/>
  <c r="G323" i="200"/>
  <c r="C46" i="107" s="1"/>
  <c r="C8" i="107" s="1"/>
  <c r="D420" i="111" s="1"/>
  <c r="F420" i="111" s="1"/>
  <c r="F442" i="111" s="1"/>
  <c r="F444" i="111" s="1"/>
  <c r="C448" i="107"/>
  <c r="C520" i="107" s="1"/>
  <c r="C521" i="107" s="1"/>
  <c r="C539" i="107"/>
  <c r="C626" i="107" s="1"/>
  <c r="C627" i="107" s="1"/>
  <c r="C541" i="107"/>
  <c r="C634" i="107" s="1"/>
  <c r="C635" i="107" s="1"/>
  <c r="C450" i="107"/>
  <c r="C528" i="107" s="1"/>
  <c r="C529" i="107" s="1"/>
  <c r="C540" i="107"/>
  <c r="C630" i="107" s="1"/>
  <c r="C631" i="107" s="1"/>
  <c r="C449" i="107"/>
  <c r="C524" i="107" s="1"/>
  <c r="C525" i="107" s="1"/>
  <c r="AM56" i="183"/>
  <c r="AP56" i="183" s="1"/>
  <c r="AN56" i="183"/>
  <c r="AO56" i="183"/>
  <c r="AS56" i="183"/>
  <c r="V56" i="183"/>
  <c r="Y56" i="183" s="1"/>
  <c r="AB56" i="183"/>
  <c r="X56" i="183"/>
  <c r="W56" i="183"/>
  <c r="I56" i="183"/>
  <c r="J56" i="183" s="1"/>
  <c r="L56" i="183" s="1"/>
  <c r="H427" i="111" l="1"/>
  <c r="G427" i="111"/>
  <c r="E427" i="111"/>
  <c r="G223" i="200"/>
  <c r="AD431" i="111"/>
  <c r="G187" i="200"/>
  <c r="G280" i="200" s="1"/>
  <c r="T60" i="107" s="1"/>
  <c r="C472" i="107" s="1"/>
  <c r="E472" i="107" s="1"/>
  <c r="AC31" i="145"/>
  <c r="AC5" i="159" s="1"/>
  <c r="AC8" i="159" s="1"/>
  <c r="AC20" i="159" s="1"/>
  <c r="C68" i="107"/>
  <c r="G199" i="200"/>
  <c r="G279" i="200" s="1"/>
  <c r="T59" i="107" s="1"/>
  <c r="C471" i="107" s="1"/>
  <c r="E471" i="107" s="1"/>
  <c r="G224" i="200"/>
  <c r="G245" i="200" s="1"/>
  <c r="G295" i="200" s="1"/>
  <c r="N33" i="145"/>
  <c r="AC33" i="145" s="1"/>
  <c r="N20" i="159"/>
  <c r="N18" i="159"/>
  <c r="N16" i="159"/>
  <c r="AQ56" i="183"/>
  <c r="AR56" i="183" s="1"/>
  <c r="AT56" i="183" s="1"/>
  <c r="Z56" i="183"/>
  <c r="AA56" i="183" s="1"/>
  <c r="AC56" i="183" s="1"/>
  <c r="AG56" i="183" s="1"/>
  <c r="M56" i="183"/>
  <c r="P56" i="183"/>
  <c r="D440" i="111" l="1"/>
  <c r="K425" i="111" s="1"/>
  <c r="K442" i="111" s="1"/>
  <c r="K444" i="111" s="1"/>
  <c r="D432" i="111"/>
  <c r="D428" i="111" s="1"/>
  <c r="AD427" i="111"/>
  <c r="G188" i="200"/>
  <c r="G189" i="200" s="1"/>
  <c r="G190" i="200" s="1"/>
  <c r="G209" i="200" s="1"/>
  <c r="G193" i="200"/>
  <c r="G194" i="200" s="1"/>
  <c r="G200" i="200"/>
  <c r="G201" i="200" s="1"/>
  <c r="G273" i="200" s="1"/>
  <c r="T53" i="107" s="1"/>
  <c r="C460" i="107" s="1"/>
  <c r="E460" i="107" s="1"/>
  <c r="G203" i="200"/>
  <c r="G204" i="200" s="1"/>
  <c r="G202" i="200"/>
  <c r="AC16" i="159"/>
  <c r="AC18" i="159"/>
  <c r="G191" i="200"/>
  <c r="G225" i="200"/>
  <c r="G297" i="200" s="1"/>
  <c r="T80" i="107" s="1"/>
  <c r="BQ29" i="132" a="1"/>
  <c r="BQ29" i="132" s="1"/>
  <c r="N22" i="159"/>
  <c r="BO29" i="132" a="1"/>
  <c r="BO29" i="132" s="1"/>
  <c r="N23" i="159"/>
  <c r="BS30" i="132" a="1"/>
  <c r="BS30" i="132" s="1"/>
  <c r="AC24" i="159"/>
  <c r="BS29" i="132" a="1"/>
  <c r="BS29" i="132" s="1"/>
  <c r="N24" i="159"/>
  <c r="T75" i="107"/>
  <c r="C560" i="107" s="1"/>
  <c r="AD56" i="183"/>
  <c r="AE56" i="183" s="1"/>
  <c r="AF56" i="183" s="1" a="1"/>
  <c r="AF56" i="183" s="1"/>
  <c r="U57" i="183" s="1"/>
  <c r="AU56" i="183"/>
  <c r="AX56" i="183"/>
  <c r="N56" i="183"/>
  <c r="O56" i="183" s="1" a="1"/>
  <c r="O56" i="183" s="1"/>
  <c r="D57" i="183" s="1"/>
  <c r="G296" i="200" l="1"/>
  <c r="T79" i="107" s="1"/>
  <c r="G232" i="200"/>
  <c r="G233" i="200" s="1"/>
  <c r="AH427" i="111"/>
  <c r="AG427" i="111"/>
  <c r="AE427" i="111"/>
  <c r="H428" i="111"/>
  <c r="G428" i="111"/>
  <c r="E428" i="111"/>
  <c r="BO30" i="132" a="1"/>
  <c r="BO30" i="132" s="1"/>
  <c r="BQ30" i="132" a="1"/>
  <c r="BQ30" i="132" s="1"/>
  <c r="AB29" i="132" a="1"/>
  <c r="AB29" i="132" s="1"/>
  <c r="AB30" i="132" a="1"/>
  <c r="AB30" i="132" s="1"/>
  <c r="Z29" i="132" a="1"/>
  <c r="Z29" i="132" s="1"/>
  <c r="AA29" i="132" a="1"/>
  <c r="AA29" i="132" s="1"/>
  <c r="Y29" i="132" s="1"/>
  <c r="F490" i="107"/>
  <c r="F491" i="107" s="1"/>
  <c r="AD432" i="111"/>
  <c r="AD440" i="111"/>
  <c r="AK425" i="111" s="1"/>
  <c r="AK442" i="111" s="1"/>
  <c r="AK444" i="111" s="1"/>
  <c r="G276" i="200"/>
  <c r="T56" i="107" s="1"/>
  <c r="C464" i="107" s="1"/>
  <c r="E464" i="107" s="1"/>
  <c r="G283" i="200"/>
  <c r="T63" i="107" s="1"/>
  <c r="C475" i="107" s="1"/>
  <c r="E475" i="107" s="1"/>
  <c r="AC22" i="159"/>
  <c r="G282" i="200"/>
  <c r="T62" i="107" s="1"/>
  <c r="C474" i="107" s="1"/>
  <c r="E474" i="107" s="1"/>
  <c r="AC23" i="159"/>
  <c r="G226" i="200"/>
  <c r="G227" i="200" s="1"/>
  <c r="G291" i="200" s="1"/>
  <c r="T71" i="107" s="1"/>
  <c r="C552" i="107" s="1"/>
  <c r="E552" i="107" s="1"/>
  <c r="C589" i="107" s="1"/>
  <c r="C562" i="107"/>
  <c r="E562" i="107" s="1"/>
  <c r="F587" i="107" s="1"/>
  <c r="E560" i="107"/>
  <c r="C566" i="107"/>
  <c r="E566" i="107" s="1"/>
  <c r="F597" i="107" s="1"/>
  <c r="C564" i="107"/>
  <c r="E564" i="107" s="1"/>
  <c r="C561" i="107"/>
  <c r="E561" i="107" s="1"/>
  <c r="F586" i="107" s="1"/>
  <c r="C563" i="107"/>
  <c r="E563" i="107" s="1"/>
  <c r="C565" i="107"/>
  <c r="E565" i="107" s="1"/>
  <c r="E571" i="107" s="1"/>
  <c r="G212" i="200"/>
  <c r="G210" i="200"/>
  <c r="G211" i="200" s="1"/>
  <c r="G271" i="200" s="1"/>
  <c r="G278" i="200"/>
  <c r="AV56" i="183"/>
  <c r="AW56" i="183" s="1" a="1"/>
  <c r="AW56" i="183" s="1"/>
  <c r="AL57" i="183" s="1"/>
  <c r="AB57" i="183"/>
  <c r="V57" i="183"/>
  <c r="Y57" i="183" s="1"/>
  <c r="W57" i="183"/>
  <c r="X57" i="183"/>
  <c r="E57" i="183"/>
  <c r="H57" i="183" s="1"/>
  <c r="F57" i="183"/>
  <c r="G57" i="183"/>
  <c r="K57" i="183"/>
  <c r="F589" i="107" l="1"/>
  <c r="E570" i="107"/>
  <c r="Z30" i="132" a="1"/>
  <c r="Z30" i="132" s="1"/>
  <c r="AA30" i="132" a="1"/>
  <c r="AA30" i="132" s="1"/>
  <c r="Y30" i="132" s="1"/>
  <c r="F588" i="107"/>
  <c r="C597" i="107"/>
  <c r="J597" i="107" s="1"/>
  <c r="N597" i="107" s="1"/>
  <c r="F492" i="107"/>
  <c r="F493" i="107" s="1"/>
  <c r="F495" i="107" s="1"/>
  <c r="Y73" i="111"/>
  <c r="Y71" i="111"/>
  <c r="Y76" i="111"/>
  <c r="Y74" i="111"/>
  <c r="AD428" i="111"/>
  <c r="C595" i="107"/>
  <c r="C592" i="107"/>
  <c r="C590" i="107"/>
  <c r="C591" i="107"/>
  <c r="G237" i="200"/>
  <c r="G239" i="200"/>
  <c r="G229" i="200"/>
  <c r="G292" i="200" s="1"/>
  <c r="T72" i="107" s="1"/>
  <c r="C553" i="107" s="1"/>
  <c r="E553" i="107" s="1"/>
  <c r="C594" i="107" s="1"/>
  <c r="J559" i="107"/>
  <c r="J561" i="107" s="1"/>
  <c r="F593" i="107"/>
  <c r="F594" i="107" s="1"/>
  <c r="F590" i="107"/>
  <c r="T51" i="107"/>
  <c r="C457" i="107" s="1"/>
  <c r="E457" i="107" s="1"/>
  <c r="T58" i="107"/>
  <c r="C470" i="107" s="1"/>
  <c r="E470" i="107" s="1"/>
  <c r="J469" i="107" s="1"/>
  <c r="J471" i="107" s="1"/>
  <c r="F596" i="107"/>
  <c r="F595" i="107"/>
  <c r="F592" i="107"/>
  <c r="G213" i="200"/>
  <c r="G214" i="200" s="1"/>
  <c r="G281" i="200"/>
  <c r="Z57" i="183"/>
  <c r="AA57" i="183" s="1"/>
  <c r="AC57" i="183" s="1"/>
  <c r="I57" i="183"/>
  <c r="J57" i="183" s="1"/>
  <c r="L57" i="183" s="1"/>
  <c r="AM57" i="183"/>
  <c r="AP57" i="183" s="1"/>
  <c r="AO57" i="183"/>
  <c r="AN57" i="183"/>
  <c r="AS57" i="183"/>
  <c r="G243" i="200" l="1"/>
  <c r="G248" i="200" s="1"/>
  <c r="G300" i="200" s="1"/>
  <c r="T84" i="107" s="1"/>
  <c r="C569" i="107" s="1"/>
  <c r="E569" i="107" s="1"/>
  <c r="G286" i="200"/>
  <c r="T66" i="107" s="1"/>
  <c r="C547" i="107" s="1"/>
  <c r="E547" i="107" s="1"/>
  <c r="G240" i="200"/>
  <c r="G241" i="200"/>
  <c r="G246" i="200" s="1"/>
  <c r="G298" i="200" s="1"/>
  <c r="T82" i="107" s="1"/>
  <c r="C567" i="107" s="1"/>
  <c r="E567" i="107" s="1"/>
  <c r="AH428" i="111"/>
  <c r="AG428" i="111"/>
  <c r="AE428" i="111"/>
  <c r="AK30" i="132"/>
  <c r="S30" i="132" s="1"/>
  <c r="AK29" i="132"/>
  <c r="S29" i="132" s="1"/>
  <c r="BC30" i="132"/>
  <c r="BC29" i="132"/>
  <c r="F488" i="107"/>
  <c r="F489" i="107" s="1"/>
  <c r="G287" i="200"/>
  <c r="T67" i="107" s="1"/>
  <c r="C549" i="107" s="1"/>
  <c r="E549" i="107" s="1"/>
  <c r="C588" i="107" s="1"/>
  <c r="G238" i="200"/>
  <c r="C593" i="107"/>
  <c r="J562" i="107"/>
  <c r="T61" i="107"/>
  <c r="C473" i="107" s="1"/>
  <c r="E473" i="107" s="1"/>
  <c r="J472" i="107"/>
  <c r="G327" i="200"/>
  <c r="C52" i="107" s="1"/>
  <c r="F214" i="200"/>
  <c r="AQ57" i="183"/>
  <c r="AR57" i="183" s="1"/>
  <c r="AT57" i="183" s="1"/>
  <c r="AG57" i="183"/>
  <c r="AD57" i="183"/>
  <c r="P57" i="183"/>
  <c r="M57" i="183"/>
  <c r="C586" i="107" l="1"/>
  <c r="E581" i="107"/>
  <c r="G244" i="200"/>
  <c r="G249" i="200" s="1"/>
  <c r="G303" i="200" s="1"/>
  <c r="T87" i="107" s="1"/>
  <c r="C572" i="107" s="1"/>
  <c r="E572" i="107" s="1"/>
  <c r="G242" i="200"/>
  <c r="G247" i="200" s="1"/>
  <c r="G299" i="200" s="1"/>
  <c r="T83" i="107" s="1"/>
  <c r="C568" i="107" s="1"/>
  <c r="E568" i="107" s="1"/>
  <c r="C56" i="107"/>
  <c r="D415" i="111" s="1"/>
  <c r="G288" i="200"/>
  <c r="T68" i="107" s="1"/>
  <c r="C548" i="107" s="1"/>
  <c r="E548" i="107" s="1"/>
  <c r="C587" i="107" s="1"/>
  <c r="AX57" i="183"/>
  <c r="AU57" i="183"/>
  <c r="AE57" i="183"/>
  <c r="AF57" i="183" s="1" a="1"/>
  <c r="AF57" i="183" s="1"/>
  <c r="U58" i="183" s="1"/>
  <c r="N57" i="183"/>
  <c r="O57" i="183" s="1" a="1"/>
  <c r="O57" i="183" s="1"/>
  <c r="D58" i="183" s="1"/>
  <c r="G250" i="200" l="1"/>
  <c r="G251" i="200" s="1"/>
  <c r="G252" i="200" s="1"/>
  <c r="G328" i="200" s="1"/>
  <c r="C53" i="107" s="1"/>
  <c r="C57" i="107" s="1"/>
  <c r="AD415" i="111" s="1"/>
  <c r="AE415" i="111" s="1"/>
  <c r="H415" i="111"/>
  <c r="G415" i="111"/>
  <c r="E415" i="111"/>
  <c r="CC29" i="132"/>
  <c r="D418" i="111"/>
  <c r="E418" i="111" s="1"/>
  <c r="AD418" i="111"/>
  <c r="AE418" i="111" s="1"/>
  <c r="CC30" i="132"/>
  <c r="AV57" i="183"/>
  <c r="AW57" i="183" s="1" a="1"/>
  <c r="AW57" i="183" s="1"/>
  <c r="AL58" i="183" s="1"/>
  <c r="AB58" i="183"/>
  <c r="W58" i="183"/>
  <c r="X58" i="183"/>
  <c r="V58" i="183"/>
  <c r="Y58" i="183" s="1"/>
  <c r="K58" i="183"/>
  <c r="G58" i="183"/>
  <c r="E58" i="183"/>
  <c r="H58" i="183" s="1"/>
  <c r="F58" i="183"/>
  <c r="AH415" i="111" l="1"/>
  <c r="AG415" i="111"/>
  <c r="I58" i="183"/>
  <c r="J58" i="183" s="1"/>
  <c r="L58" i="183" s="1"/>
  <c r="M58" i="183" s="1"/>
  <c r="AS58" i="183"/>
  <c r="AM58" i="183"/>
  <c r="AP58" i="183" s="1"/>
  <c r="AN58" i="183"/>
  <c r="AO58" i="183"/>
  <c r="Z58" i="183"/>
  <c r="AA58" i="183" s="1"/>
  <c r="AC58" i="183" s="1"/>
  <c r="P58" i="183" l="1"/>
  <c r="AQ58" i="183"/>
  <c r="AR58" i="183" s="1"/>
  <c r="AT58" i="183" s="1"/>
  <c r="AX58" i="183" s="1"/>
  <c r="AD58" i="183"/>
  <c r="AG58" i="183"/>
  <c r="N58" i="183"/>
  <c r="O58" i="183" s="1" a="1"/>
  <c r="O58" i="183" s="1"/>
  <c r="D59" i="183" s="1"/>
  <c r="AR7" i="187"/>
  <c r="AR31" i="187" s="1"/>
  <c r="AR241" i="187" s="1"/>
  <c r="AR243" i="187" s="1"/>
  <c r="G75" i="190"/>
  <c r="AR5" i="187" s="1"/>
  <c r="AR13" i="187" s="1"/>
  <c r="G76" i="190"/>
  <c r="AR6" i="187" s="1"/>
  <c r="AR246" i="187" l="1"/>
  <c r="AR250" i="187"/>
  <c r="AR251" i="187" s="1"/>
  <c r="AR380" i="187" s="1"/>
  <c r="C106" i="152" s="1"/>
  <c r="C19" i="152" s="1"/>
  <c r="AR14" i="187"/>
  <c r="AR235" i="187"/>
  <c r="AR239" i="187" s="1"/>
  <c r="AR378" i="187" s="1"/>
  <c r="C104" i="152" s="1"/>
  <c r="AU58" i="183"/>
  <c r="AV58" i="183" s="1"/>
  <c r="AW58" i="183" s="1" a="1"/>
  <c r="AW58" i="183" s="1"/>
  <c r="AL59" i="183" s="1"/>
  <c r="AR15" i="187"/>
  <c r="AE58" i="183"/>
  <c r="AF58" i="183" s="1" a="1"/>
  <c r="AF58" i="183" s="1"/>
  <c r="U59" i="183" s="1"/>
  <c r="E59" i="183"/>
  <c r="H59" i="183" s="1"/>
  <c r="F59" i="183"/>
  <c r="G59" i="183"/>
  <c r="K59" i="183"/>
  <c r="G79" i="190"/>
  <c r="AR9" i="187" s="1"/>
  <c r="AR33" i="187" s="1"/>
  <c r="G78" i="190"/>
  <c r="AR8" i="187" s="1"/>
  <c r="AR32" i="187" s="1"/>
  <c r="G73" i="190"/>
  <c r="L6" i="191"/>
  <c r="L7" i="191" s="1"/>
  <c r="C18" i="152" l="1"/>
  <c r="D497" i="111" s="1"/>
  <c r="E497" i="111" s="1"/>
  <c r="AR247" i="187"/>
  <c r="AR379" i="187" s="1"/>
  <c r="C105" i="152" s="1"/>
  <c r="C21" i="152" s="1"/>
  <c r="C28" i="152" s="1"/>
  <c r="D510" i="111" s="1"/>
  <c r="AD510" i="111" s="1"/>
  <c r="AR254" i="187"/>
  <c r="AR255" i="187" s="1"/>
  <c r="AR381" i="187" s="1"/>
  <c r="C107" i="152" s="1"/>
  <c r="C20" i="152" s="1"/>
  <c r="C27" i="152" s="1"/>
  <c r="AR17" i="187"/>
  <c r="AR24" i="187" s="1"/>
  <c r="AR30" i="187" s="1"/>
  <c r="AR51" i="187" s="1"/>
  <c r="EY34" i="183" s="1"/>
  <c r="I59" i="183"/>
  <c r="J59" i="183" s="1"/>
  <c r="L59" i="183" s="1"/>
  <c r="AR16" i="187"/>
  <c r="AR23" i="187" s="1"/>
  <c r="AR29" i="187" s="1"/>
  <c r="G74" i="190"/>
  <c r="AR3" i="187"/>
  <c r="AO59" i="183"/>
  <c r="AN59" i="183"/>
  <c r="AM59" i="183"/>
  <c r="AP59" i="183" s="1"/>
  <c r="AS59" i="183"/>
  <c r="X59" i="183"/>
  <c r="W59" i="183"/>
  <c r="AB59" i="183"/>
  <c r="V59" i="183"/>
  <c r="Y59" i="183" s="1"/>
  <c r="L9" i="191"/>
  <c r="L8" i="191"/>
  <c r="C29" i="152" l="1"/>
  <c r="D511" i="111" s="1"/>
  <c r="AD511" i="111" s="1"/>
  <c r="D509" i="111"/>
  <c r="AD497" i="111"/>
  <c r="AE497" i="111" s="1"/>
  <c r="AR18" i="187"/>
  <c r="AR28" i="187" s="1"/>
  <c r="AR53" i="187" s="1"/>
  <c r="EY36" i="183" s="1"/>
  <c r="AR19" i="187"/>
  <c r="AR20" i="187" s="1"/>
  <c r="AR359" i="187" s="1"/>
  <c r="C45" i="152" s="1"/>
  <c r="AR47" i="187"/>
  <c r="AR54" i="187"/>
  <c r="EY37" i="183" s="1"/>
  <c r="AQ59" i="183"/>
  <c r="AR59" i="183" s="1"/>
  <c r="AT59" i="183" s="1"/>
  <c r="Z59" i="183"/>
  <c r="AA59" i="183" s="1"/>
  <c r="AC59" i="183" s="1"/>
  <c r="M59" i="183"/>
  <c r="N59" i="183" s="1"/>
  <c r="O59" i="183" s="1" a="1"/>
  <c r="O59" i="183" s="1"/>
  <c r="D60" i="183" s="1"/>
  <c r="P59" i="183"/>
  <c r="L12" i="191"/>
  <c r="G11" i="190" s="1"/>
  <c r="G205" i="190" s="1"/>
  <c r="T82" i="152" s="1"/>
  <c r="C414" i="152" s="1"/>
  <c r="J499" i="111" l="1"/>
  <c r="J516" i="111" s="1"/>
  <c r="J518" i="111" s="1"/>
  <c r="D496" i="111"/>
  <c r="E496" i="111" s="1"/>
  <c r="AD509" i="111"/>
  <c r="AJ499" i="111" s="1"/>
  <c r="AJ516" i="111" s="1"/>
  <c r="AJ518" i="111" s="1"/>
  <c r="AR21" i="187"/>
  <c r="AR22" i="187"/>
  <c r="AR27" i="187" s="1"/>
  <c r="AR52" i="187" s="1"/>
  <c r="EY35" i="183" s="1"/>
  <c r="AU59" i="183"/>
  <c r="AV59" i="183" s="1"/>
  <c r="AW59" i="183" s="1" a="1"/>
  <c r="AW59" i="183" s="1"/>
  <c r="AL60" i="183" s="1"/>
  <c r="AX59" i="183"/>
  <c r="L13" i="191"/>
  <c r="G12" i="190" s="1"/>
  <c r="AR50" i="187"/>
  <c r="AR61" i="187"/>
  <c r="AR48" i="187"/>
  <c r="AR49" i="187" s="1"/>
  <c r="AD59" i="183"/>
  <c r="AE59" i="183" s="1"/>
  <c r="AF59" i="183" s="1" a="1"/>
  <c r="AF59" i="183" s="1"/>
  <c r="U60" i="183" s="1"/>
  <c r="AG59" i="183"/>
  <c r="E60" i="183"/>
  <c r="H60" i="183" s="1"/>
  <c r="F60" i="183"/>
  <c r="G60" i="183"/>
  <c r="K60" i="183"/>
  <c r="H222" i="112"/>
  <c r="I222" i="112"/>
  <c r="X85" i="111" l="1"/>
  <c r="X83" i="111"/>
  <c r="AD496" i="111"/>
  <c r="AE496" i="111" s="1"/>
  <c r="AR72" i="187"/>
  <c r="AQ65" i="187"/>
  <c r="AQ67" i="187"/>
  <c r="AQ66" i="187"/>
  <c r="AR55" i="187"/>
  <c r="EY38" i="183" s="1"/>
  <c r="EY33" i="183"/>
  <c r="L18" i="191" a="1"/>
  <c r="L18" i="191" s="1"/>
  <c r="G17" i="190" s="1"/>
  <c r="L19" i="191" a="1"/>
  <c r="L19" i="191" s="1"/>
  <c r="G18" i="190" s="1"/>
  <c r="L17" i="191" a="1"/>
  <c r="L17" i="191" s="1"/>
  <c r="L21" i="191" s="1"/>
  <c r="G20" i="190" s="1"/>
  <c r="G208" i="190" s="1"/>
  <c r="T85" i="152" s="1"/>
  <c r="C415" i="152" s="1"/>
  <c r="L14" i="191" a="1"/>
  <c r="L14" i="191" s="1"/>
  <c r="G13" i="190" s="1"/>
  <c r="G206" i="190" s="1"/>
  <c r="T83" i="152" s="1"/>
  <c r="C413" i="152" s="1"/>
  <c r="L20" i="191" a="1"/>
  <c r="L20" i="191" s="1"/>
  <c r="I60" i="183"/>
  <c r="J60" i="183" s="1"/>
  <c r="L60" i="183" s="1"/>
  <c r="AM60" i="183"/>
  <c r="AP60" i="183" s="1"/>
  <c r="AN60" i="183"/>
  <c r="AO60" i="183"/>
  <c r="AS60" i="183"/>
  <c r="L15" i="191" a="1"/>
  <c r="L15" i="191" s="1"/>
  <c r="G14" i="190" s="1"/>
  <c r="G207" i="190" s="1"/>
  <c r="T84" i="152" s="1"/>
  <c r="C416" i="152" s="1"/>
  <c r="L16" i="191" a="1"/>
  <c r="L16" i="191" s="1"/>
  <c r="G15" i="190" s="1"/>
  <c r="V60" i="183"/>
  <c r="Y60" i="183" s="1"/>
  <c r="W60" i="183"/>
  <c r="X60" i="183"/>
  <c r="AB60" i="183"/>
  <c r="AJ33" i="132" l="1"/>
  <c r="R33" i="132" s="1"/>
  <c r="BB33" i="132"/>
  <c r="X82" i="111"/>
  <c r="X80" i="111"/>
  <c r="AR306" i="187"/>
  <c r="Z4" i="152" s="1"/>
  <c r="AQ60" i="183"/>
  <c r="AR60" i="183" s="1"/>
  <c r="AT60" i="183" s="1"/>
  <c r="AU60" i="183" s="1"/>
  <c r="AV60" i="183" s="1"/>
  <c r="AW60" i="183" s="1" a="1"/>
  <c r="AW60" i="183" s="1"/>
  <c r="AL61" i="183" s="1"/>
  <c r="G16" i="190"/>
  <c r="FF54" i="183"/>
  <c r="FG54" i="183" s="1"/>
  <c r="FI54" i="183" s="1"/>
  <c r="AR67" i="187"/>
  <c r="AR70" i="187" s="1"/>
  <c r="AR368" i="187" s="1"/>
  <c r="C78" i="152" s="1"/>
  <c r="C16" i="152" s="1"/>
  <c r="AQ70" i="187"/>
  <c r="L22" i="191"/>
  <c r="G21" i="190" s="1"/>
  <c r="G209" i="190" s="1"/>
  <c r="T86" i="152" s="1"/>
  <c r="C419" i="152" s="1"/>
  <c r="G19" i="190"/>
  <c r="AR65" i="187"/>
  <c r="AR68" i="187" s="1"/>
  <c r="AR366" i="187" s="1"/>
  <c r="C76" i="152" s="1"/>
  <c r="C14" i="152" s="1"/>
  <c r="AQ68" i="187"/>
  <c r="AR66" i="187"/>
  <c r="AR69" i="187" s="1"/>
  <c r="AR367" i="187" s="1"/>
  <c r="C77" i="152" s="1"/>
  <c r="C15" i="152" s="1"/>
  <c r="AQ69" i="187"/>
  <c r="AR73" i="187"/>
  <c r="P23" i="145" s="1"/>
  <c r="AE23" i="145" s="1"/>
  <c r="AR90" i="187"/>
  <c r="Z60" i="183"/>
  <c r="AA60" i="183" s="1"/>
  <c r="AC60" i="183" s="1"/>
  <c r="P60" i="183"/>
  <c r="M60" i="183"/>
  <c r="N60" i="183" s="1"/>
  <c r="O60" i="183" s="1" a="1"/>
  <c r="O60" i="183" s="1"/>
  <c r="D61" i="183" s="1"/>
  <c r="N222" i="112"/>
  <c r="F222" i="112" s="1"/>
  <c r="D222" i="112" s="1"/>
  <c r="V222" i="112"/>
  <c r="AJ32" i="132" l="1"/>
  <c r="R32" i="132" s="1"/>
  <c r="R47" i="132" s="1"/>
  <c r="BB32" i="132"/>
  <c r="CH33" i="132"/>
  <c r="CH32" i="132"/>
  <c r="CF33" i="132"/>
  <c r="CF32" i="132"/>
  <c r="C726" i="152"/>
  <c r="E726" i="152" s="1"/>
  <c r="C575" i="152"/>
  <c r="E575" i="152" s="1"/>
  <c r="AX60" i="183"/>
  <c r="AR75" i="187"/>
  <c r="AR362" i="187"/>
  <c r="C72" i="152" s="1"/>
  <c r="AR364" i="187"/>
  <c r="C74" i="152" s="1"/>
  <c r="FJ54" i="183"/>
  <c r="FM54" i="183"/>
  <c r="L23" i="191"/>
  <c r="G22" i="190" s="1"/>
  <c r="G235" i="190" s="1"/>
  <c r="C38" i="152" s="1"/>
  <c r="AR74" i="187"/>
  <c r="AR89" i="187"/>
  <c r="AR363" i="187"/>
  <c r="C73" i="152" s="1"/>
  <c r="AR76" i="187"/>
  <c r="AM61" i="183"/>
  <c r="AP61" i="183" s="1"/>
  <c r="AO61" i="183"/>
  <c r="AS61" i="183"/>
  <c r="AN61" i="183"/>
  <c r="AG60" i="183"/>
  <c r="AD60" i="183"/>
  <c r="AE60" i="183" s="1"/>
  <c r="AF60" i="183" s="1" a="1"/>
  <c r="AF60" i="183" s="1"/>
  <c r="U61" i="183" s="1"/>
  <c r="F61" i="183"/>
  <c r="K61" i="183"/>
  <c r="E61" i="183"/>
  <c r="H61" i="183" s="1"/>
  <c r="G61" i="183"/>
  <c r="G13" i="196"/>
  <c r="H13" i="196"/>
  <c r="I13" i="196"/>
  <c r="E66" i="159"/>
  <c r="B71" i="159" s="1"/>
  <c r="E67" i="159"/>
  <c r="B72" i="159" s="1"/>
  <c r="B75" i="159" s="1"/>
  <c r="E68" i="159"/>
  <c r="B73" i="159" s="1"/>
  <c r="B76" i="159" s="1"/>
  <c r="C11" i="152" l="1"/>
  <c r="CG33" i="132" s="1"/>
  <c r="C12" i="152"/>
  <c r="C10" i="152"/>
  <c r="CE33" i="132" s="1"/>
  <c r="R46" i="132"/>
  <c r="R48" i="132" s="1"/>
  <c r="R65" i="132" s="1"/>
  <c r="R98" i="132" s="1"/>
  <c r="CE32" i="132"/>
  <c r="AR310" i="187"/>
  <c r="Z8" i="152" s="1"/>
  <c r="AR311" i="187"/>
  <c r="Z9" i="152" s="1"/>
  <c r="AR309" i="187"/>
  <c r="Z7" i="152" s="1"/>
  <c r="AR78" i="187"/>
  <c r="AQ61" i="183"/>
  <c r="AR61" i="183" s="1"/>
  <c r="AT61" i="183" s="1"/>
  <c r="G210" i="190"/>
  <c r="T87" i="152" s="1"/>
  <c r="C420" i="152" s="1"/>
  <c r="AR77" i="187"/>
  <c r="FK54" i="183"/>
  <c r="FL54" i="183" s="1" a="1"/>
  <c r="FL54" i="183" s="1"/>
  <c r="FA55" i="183" s="1"/>
  <c r="AR79" i="187"/>
  <c r="X61" i="183"/>
  <c r="V61" i="183"/>
  <c r="Y61" i="183" s="1"/>
  <c r="AB61" i="183"/>
  <c r="W61" i="183"/>
  <c r="I61" i="183"/>
  <c r="J61" i="183" s="1"/>
  <c r="L61" i="183" s="1"/>
  <c r="B74" i="159"/>
  <c r="B77" i="159" s="1"/>
  <c r="B78" i="159" s="1"/>
  <c r="CG32" i="132" l="1"/>
  <c r="R67" i="132"/>
  <c r="R100" i="132" s="1"/>
  <c r="R69" i="132"/>
  <c r="R102" i="132" s="1"/>
  <c r="R54" i="132"/>
  <c r="R87" i="132" s="1"/>
  <c r="R53" i="132"/>
  <c r="R86" i="132" s="1"/>
  <c r="R55" i="132"/>
  <c r="R88" i="132" s="1"/>
  <c r="R70" i="132"/>
  <c r="R103" i="132" s="1"/>
  <c r="R52" i="132"/>
  <c r="R85" i="132" s="1"/>
  <c r="R74" i="132"/>
  <c r="R107" i="132" s="1"/>
  <c r="R76" i="132"/>
  <c r="R109" i="132" s="1"/>
  <c r="R75" i="132"/>
  <c r="R108" i="132" s="1"/>
  <c r="R59" i="132"/>
  <c r="R92" i="132" s="1"/>
  <c r="R73" i="132"/>
  <c r="R106" i="132" s="1"/>
  <c r="R57" i="132"/>
  <c r="R90" i="132" s="1"/>
  <c r="R61" i="132"/>
  <c r="R94" i="132" s="1"/>
  <c r="R51" i="132"/>
  <c r="R84" i="132" s="1"/>
  <c r="R68" i="132"/>
  <c r="R101" i="132" s="1"/>
  <c r="R62" i="132"/>
  <c r="R95" i="132" s="1"/>
  <c r="R64" i="132"/>
  <c r="R97" i="132" s="1"/>
  <c r="R66" i="132"/>
  <c r="R99" i="132" s="1"/>
  <c r="R56" i="132"/>
  <c r="R89" i="132" s="1"/>
  <c r="R63" i="132"/>
  <c r="R96" i="132" s="1"/>
  <c r="R58" i="132"/>
  <c r="R91" i="132" s="1"/>
  <c r="R72" i="132"/>
  <c r="R105" i="132" s="1"/>
  <c r="R71" i="132"/>
  <c r="R104" i="132" s="1"/>
  <c r="R60" i="132"/>
  <c r="R93" i="132" s="1"/>
  <c r="R77" i="132"/>
  <c r="R110" i="132" s="1"/>
  <c r="AR91" i="187"/>
  <c r="AR94" i="187" s="1"/>
  <c r="CM32" i="132"/>
  <c r="CM33" i="132"/>
  <c r="CO33" i="132"/>
  <c r="CO32" i="132"/>
  <c r="AR92" i="187"/>
  <c r="AR95" i="187" s="1"/>
  <c r="CN33" i="132"/>
  <c r="CN32" i="132"/>
  <c r="C727" i="152"/>
  <c r="E727" i="152" s="1"/>
  <c r="C576" i="152"/>
  <c r="E576" i="152" s="1"/>
  <c r="C729" i="152"/>
  <c r="E729" i="152" s="1"/>
  <c r="C578" i="152"/>
  <c r="E578" i="152" s="1"/>
  <c r="C577" i="152"/>
  <c r="E577" i="152" s="1"/>
  <c r="C728" i="152"/>
  <c r="E728" i="152" s="1"/>
  <c r="AU61" i="183"/>
  <c r="AV61" i="183" s="1"/>
  <c r="AW61" i="183" s="1" a="1"/>
  <c r="AW61" i="183" s="1"/>
  <c r="AL62" i="183" s="1"/>
  <c r="AM62" i="183" s="1"/>
  <c r="AP62" i="183" s="1"/>
  <c r="AX61" i="183"/>
  <c r="Z61" i="183"/>
  <c r="AA61" i="183" s="1"/>
  <c r="AC61" i="183" s="1"/>
  <c r="AD61" i="183" s="1"/>
  <c r="AE61" i="183" s="1"/>
  <c r="AF61" i="183" s="1" a="1"/>
  <c r="AF61" i="183" s="1"/>
  <c r="U62" i="183" s="1"/>
  <c r="FD55" i="183"/>
  <c r="FB55" i="183"/>
  <c r="FE55" i="183" s="1"/>
  <c r="FH55" i="183"/>
  <c r="FC55" i="183"/>
  <c r="P61" i="183"/>
  <c r="M61" i="183"/>
  <c r="N61" i="183" s="1"/>
  <c r="O61" i="183" s="1" a="1"/>
  <c r="O61" i="183" s="1"/>
  <c r="D62" i="183" s="1"/>
  <c r="B81" i="159"/>
  <c r="B87" i="159" s="1"/>
  <c r="B95" i="159"/>
  <c r="B97" i="159" s="1"/>
  <c r="B98" i="159"/>
  <c r="B99" i="159" s="1"/>
  <c r="B100" i="159" s="1"/>
  <c r="B79" i="159"/>
  <c r="B80" i="159"/>
  <c r="R78" i="132" l="1"/>
  <c r="AR101" i="187"/>
  <c r="AR120" i="187" s="1"/>
  <c r="AN62" i="183"/>
  <c r="AQ62" i="183" s="1"/>
  <c r="AS62" i="183"/>
  <c r="AO62" i="183"/>
  <c r="AG61" i="183"/>
  <c r="C81" i="145"/>
  <c r="FF55" i="183"/>
  <c r="FG55" i="183" s="1"/>
  <c r="FI55" i="183" s="1"/>
  <c r="FJ55" i="183" s="1"/>
  <c r="V62" i="183"/>
  <c r="Y62" i="183" s="1"/>
  <c r="X62" i="183"/>
  <c r="W62" i="183"/>
  <c r="AB62" i="183"/>
  <c r="G62" i="183"/>
  <c r="F62" i="183"/>
  <c r="K62" i="183"/>
  <c r="E62" i="183"/>
  <c r="H62" i="183" s="1"/>
  <c r="B83" i="159"/>
  <c r="B89" i="159" s="1"/>
  <c r="B82" i="159"/>
  <c r="B88" i="159" s="1"/>
  <c r="B92" i="159"/>
  <c r="AR103" i="187" l="1"/>
  <c r="AR106" i="187" s="1"/>
  <c r="AR126" i="187" s="1"/>
  <c r="AR111" i="187"/>
  <c r="P38" i="145" s="1"/>
  <c r="AE38" i="145" s="1"/>
  <c r="AR102" i="187"/>
  <c r="AR105" i="187" s="1"/>
  <c r="AR125" i="187" s="1"/>
  <c r="AR62" i="183"/>
  <c r="AT62" i="183" s="1"/>
  <c r="AU62" i="183" s="1"/>
  <c r="AV62" i="183" s="1"/>
  <c r="AW62" i="183" s="1" a="1"/>
  <c r="AW62" i="183" s="1"/>
  <c r="AL63" i="183" s="1"/>
  <c r="AS63" i="183" s="1"/>
  <c r="FM55" i="183"/>
  <c r="Z62" i="183"/>
  <c r="AA62" i="183" s="1"/>
  <c r="AC62" i="183" s="1"/>
  <c r="FK55" i="183"/>
  <c r="FL55" i="183" s="1" a="1"/>
  <c r="FL55" i="183" s="1"/>
  <c r="FA56" i="183" s="1"/>
  <c r="I62" i="183"/>
  <c r="J62" i="183" s="1"/>
  <c r="L62" i="183" s="1"/>
  <c r="B90" i="159"/>
  <c r="B91" i="159" s="1"/>
  <c r="B66" i="159" s="1"/>
  <c r="B93" i="159"/>
  <c r="B94" i="159"/>
  <c r="AX62" i="183" l="1"/>
  <c r="AM63" i="183"/>
  <c r="AP63" i="183" s="1"/>
  <c r="AO63" i="183"/>
  <c r="AN63" i="183"/>
  <c r="AD62" i="183"/>
  <c r="AE62" i="183" s="1"/>
  <c r="AF62" i="183" s="1" a="1"/>
  <c r="AF62" i="183" s="1"/>
  <c r="U63" i="183" s="1"/>
  <c r="AB63" i="183" s="1"/>
  <c r="AG62" i="183"/>
  <c r="FC56" i="183"/>
  <c r="FB56" i="183"/>
  <c r="FE56" i="183" s="1"/>
  <c r="FD56" i="183"/>
  <c r="FH56" i="183"/>
  <c r="AR108" i="187"/>
  <c r="AR109" i="187"/>
  <c r="M62" i="183"/>
  <c r="N62" i="183" s="1"/>
  <c r="O62" i="183" s="1" a="1"/>
  <c r="O62" i="183" s="1"/>
  <c r="D63" i="183" s="1"/>
  <c r="P62" i="183"/>
  <c r="AQ63" i="183" l="1"/>
  <c r="AR63" i="183" s="1"/>
  <c r="AT63" i="183" s="1"/>
  <c r="AU63" i="183" s="1"/>
  <c r="AV63" i="183" s="1"/>
  <c r="AW63" i="183" s="1" a="1"/>
  <c r="AW63" i="183" s="1"/>
  <c r="AL64" i="183" s="1"/>
  <c r="AN64" i="183" s="1"/>
  <c r="W63" i="183"/>
  <c r="V63" i="183"/>
  <c r="Y63" i="183" s="1"/>
  <c r="X63" i="183"/>
  <c r="FF56" i="183"/>
  <c r="FG56" i="183" s="1"/>
  <c r="FI56" i="183" s="1"/>
  <c r="E63" i="183"/>
  <c r="H63" i="183" s="1"/>
  <c r="F63" i="183"/>
  <c r="G63" i="183"/>
  <c r="K63" i="183"/>
  <c r="AD6" i="111"/>
  <c r="Z63" i="183" l="1"/>
  <c r="AA63" i="183" s="1"/>
  <c r="AC63" i="183" s="1"/>
  <c r="AD63" i="183" s="1"/>
  <c r="AE63" i="183" s="1"/>
  <c r="AF63" i="183" s="1" a="1"/>
  <c r="AF63" i="183" s="1"/>
  <c r="U64" i="183" s="1"/>
  <c r="AX63" i="183"/>
  <c r="AS64" i="183"/>
  <c r="AM64" i="183"/>
  <c r="AP64" i="183" s="1"/>
  <c r="AQ64" i="183" s="1"/>
  <c r="AO64" i="183"/>
  <c r="I63" i="183"/>
  <c r="J63" i="183" s="1"/>
  <c r="L63" i="183" s="1"/>
  <c r="FM56" i="183"/>
  <c r="FJ56" i="183"/>
  <c r="H35" i="111"/>
  <c r="AR64" i="183" l="1"/>
  <c r="AT64" i="183" s="1"/>
  <c r="AU64" i="183" s="1"/>
  <c r="AV64" i="183" s="1"/>
  <c r="AW64" i="183" s="1" a="1"/>
  <c r="AW64" i="183" s="1"/>
  <c r="AL65" i="183" s="1"/>
  <c r="AG63" i="183"/>
  <c r="W8" i="111"/>
  <c r="FK56" i="183"/>
  <c r="FL56" i="183" s="1" a="1"/>
  <c r="FL56" i="183" s="1"/>
  <c r="FA57" i="183" s="1"/>
  <c r="X64" i="183"/>
  <c r="AB64" i="183"/>
  <c r="W64" i="183"/>
  <c r="V64" i="183"/>
  <c r="Y64" i="183" s="1"/>
  <c r="M63" i="183"/>
  <c r="N63" i="183" s="1"/>
  <c r="O63" i="183" s="1" a="1"/>
  <c r="O63" i="183" s="1"/>
  <c r="D64" i="183" s="1"/>
  <c r="P63" i="183"/>
  <c r="W5" i="111"/>
  <c r="AI8" i="132" l="1"/>
  <c r="Q8" i="132" s="1"/>
  <c r="AX64" i="183"/>
  <c r="AM65" i="183"/>
  <c r="AP65" i="183" s="1"/>
  <c r="AN65" i="183"/>
  <c r="AS65" i="183"/>
  <c r="AO65" i="183"/>
  <c r="FB57" i="183"/>
  <c r="FE57" i="183" s="1"/>
  <c r="FC57" i="183"/>
  <c r="FD57" i="183"/>
  <c r="FH57" i="183"/>
  <c r="Z64" i="183"/>
  <c r="AA64" i="183" s="1"/>
  <c r="AC64" i="183" s="1"/>
  <c r="E64" i="183"/>
  <c r="H64" i="183" s="1"/>
  <c r="G64" i="183"/>
  <c r="K64" i="183"/>
  <c r="F64" i="183"/>
  <c r="CY7" i="132"/>
  <c r="AI7" i="132"/>
  <c r="AQ65" i="183" l="1"/>
  <c r="AR65" i="183" s="1"/>
  <c r="AT65" i="183" s="1"/>
  <c r="I64" i="183"/>
  <c r="J64" i="183" s="1"/>
  <c r="L64" i="183" s="1"/>
  <c r="M64" i="183" s="1"/>
  <c r="N64" i="183" s="1"/>
  <c r="O64" i="183" s="1" a="1"/>
  <c r="O64" i="183" s="1"/>
  <c r="D65" i="183" s="1"/>
  <c r="FF57" i="183"/>
  <c r="FG57" i="183" s="1"/>
  <c r="FI57" i="183" s="1"/>
  <c r="AG64" i="183"/>
  <c r="AD64" i="183"/>
  <c r="AE64" i="183" s="1"/>
  <c r="AF64" i="183" s="1" a="1"/>
  <c r="AF64" i="183" s="1"/>
  <c r="U65" i="183" s="1"/>
  <c r="Q7" i="132"/>
  <c r="P64" i="183" l="1"/>
  <c r="FJ57" i="183"/>
  <c r="FM57" i="183"/>
  <c r="AU65" i="183"/>
  <c r="AV65" i="183" s="1"/>
  <c r="AW65" i="183" s="1" a="1"/>
  <c r="AW65" i="183" s="1"/>
  <c r="AL66" i="183" s="1"/>
  <c r="AX65" i="183"/>
  <c r="X65" i="183"/>
  <c r="AB65" i="183"/>
  <c r="V65" i="183"/>
  <c r="Y65" i="183" s="1"/>
  <c r="W65" i="183"/>
  <c r="K65" i="183"/>
  <c r="F65" i="183"/>
  <c r="E65" i="183"/>
  <c r="H65" i="183" s="1"/>
  <c r="G65" i="183"/>
  <c r="Z65" i="183" l="1"/>
  <c r="AA65" i="183" s="1"/>
  <c r="AC65" i="183" s="1"/>
  <c r="AG65" i="183" s="1"/>
  <c r="AO66" i="183"/>
  <c r="AN66" i="183"/>
  <c r="AM66" i="183"/>
  <c r="AP66" i="183" s="1"/>
  <c r="AS66" i="183"/>
  <c r="FK57" i="183"/>
  <c r="FL57" i="183" s="1" a="1"/>
  <c r="FL57" i="183" s="1"/>
  <c r="FA58" i="183" s="1"/>
  <c r="I65" i="183"/>
  <c r="J65" i="183" s="1"/>
  <c r="L65" i="183" s="1"/>
  <c r="AD65" i="183" l="1"/>
  <c r="AE65" i="183" s="1"/>
  <c r="AF65" i="183" s="1" a="1"/>
  <c r="AF65" i="183" s="1"/>
  <c r="U66" i="183" s="1"/>
  <c r="X66" i="183" s="1"/>
  <c r="AQ66" i="183"/>
  <c r="AR66" i="183" s="1"/>
  <c r="AT66" i="183" s="1"/>
  <c r="FH58" i="183"/>
  <c r="FD58" i="183"/>
  <c r="FB58" i="183"/>
  <c r="FE58" i="183" s="1"/>
  <c r="FC58" i="183"/>
  <c r="P65" i="183"/>
  <c r="M65" i="183"/>
  <c r="N65" i="183" s="1"/>
  <c r="O65" i="183" s="1" a="1"/>
  <c r="O65" i="183" s="1"/>
  <c r="D66" i="183" s="1"/>
  <c r="W66" i="183" l="1"/>
  <c r="AB66" i="183"/>
  <c r="V66" i="183"/>
  <c r="Y66" i="183" s="1"/>
  <c r="FF58" i="183"/>
  <c r="FG58" i="183" s="1"/>
  <c r="FI58" i="183" s="1"/>
  <c r="FM58" i="183" s="1"/>
  <c r="AX66" i="183"/>
  <c r="AU66" i="183"/>
  <c r="AV66" i="183" s="1"/>
  <c r="AW66" i="183" s="1" a="1"/>
  <c r="AW66" i="183" s="1"/>
  <c r="AL67" i="183" s="1"/>
  <c r="E66" i="183"/>
  <c r="H66" i="183" s="1"/>
  <c r="G66" i="183"/>
  <c r="F66" i="183"/>
  <c r="K66" i="183"/>
  <c r="Z66" i="183" l="1"/>
  <c r="AA66" i="183" s="1"/>
  <c r="AC66" i="183" s="1"/>
  <c r="AD66" i="183" s="1"/>
  <c r="AE66" i="183" s="1"/>
  <c r="AF66" i="183" s="1" a="1"/>
  <c r="AF66" i="183" s="1"/>
  <c r="U67" i="183" s="1"/>
  <c r="FJ58" i="183"/>
  <c r="FK58" i="183" s="1"/>
  <c r="FL58" i="183" s="1" a="1"/>
  <c r="FL58" i="183" s="1"/>
  <c r="FA59" i="183" s="1"/>
  <c r="I66" i="183"/>
  <c r="J66" i="183" s="1"/>
  <c r="L66" i="183" s="1"/>
  <c r="AN67" i="183"/>
  <c r="AS67" i="183"/>
  <c r="AO67" i="183"/>
  <c r="AM67" i="183"/>
  <c r="AP67" i="183" s="1"/>
  <c r="E453" i="97"/>
  <c r="H496" i="97" s="1"/>
  <c r="I496" i="97" s="1"/>
  <c r="J496" i="97" s="1"/>
  <c r="E448" i="97"/>
  <c r="H485" i="97" s="1"/>
  <c r="I485" i="97" s="1"/>
  <c r="J485" i="97" s="1"/>
  <c r="E450" i="97"/>
  <c r="H487" i="97" s="1"/>
  <c r="I487" i="97" s="1"/>
  <c r="J487" i="97" s="1"/>
  <c r="K488" i="97"/>
  <c r="L488" i="97" s="1"/>
  <c r="K492" i="97"/>
  <c r="L492" i="97" s="1"/>
  <c r="K496" i="97"/>
  <c r="L496" i="97" s="1"/>
  <c r="E449" i="97"/>
  <c r="H486" i="97" s="1"/>
  <c r="I486" i="97" s="1"/>
  <c r="J486" i="97" s="1"/>
  <c r="F474" i="97"/>
  <c r="H492" i="97"/>
  <c r="I492" i="97" s="1"/>
  <c r="J492" i="97" s="1"/>
  <c r="F478" i="97"/>
  <c r="G478" i="97" s="1"/>
  <c r="O478" i="97" s="1"/>
  <c r="H488" i="97"/>
  <c r="I488" i="97" s="1"/>
  <c r="J488" i="97" s="1"/>
  <c r="E454" i="97"/>
  <c r="E353" i="97"/>
  <c r="F373" i="97" s="1"/>
  <c r="E356" i="97"/>
  <c r="H387" i="97" s="1"/>
  <c r="I387" i="97" s="1"/>
  <c r="J387" i="97" s="1"/>
  <c r="E351" i="97"/>
  <c r="F369" i="97" s="1"/>
  <c r="E352" i="97"/>
  <c r="F371" i="97" s="1"/>
  <c r="E354" i="97"/>
  <c r="H383" i="97" s="1"/>
  <c r="E355" i="97"/>
  <c r="H385" i="97" s="1"/>
  <c r="I385" i="97" s="1"/>
  <c r="J385" i="97" s="1"/>
  <c r="E357" i="97"/>
  <c r="AG66" i="183" l="1"/>
  <c r="K487" i="97"/>
  <c r="L487" i="97" s="1"/>
  <c r="O487" i="97" s="1"/>
  <c r="F469" i="97"/>
  <c r="K486" i="97"/>
  <c r="L486" i="97" s="1"/>
  <c r="O486" i="97" s="1"/>
  <c r="F468" i="97"/>
  <c r="J350" i="97"/>
  <c r="K485" i="97"/>
  <c r="L485" i="97" s="1"/>
  <c r="FD59" i="183"/>
  <c r="FB59" i="183"/>
  <c r="FE59" i="183" s="1"/>
  <c r="FC59" i="183"/>
  <c r="FH59" i="183"/>
  <c r="AQ67" i="183"/>
  <c r="AR67" i="183" s="1"/>
  <c r="AT67" i="183" s="1"/>
  <c r="W67" i="183"/>
  <c r="V67" i="183"/>
  <c r="Y67" i="183" s="1"/>
  <c r="X67" i="183"/>
  <c r="AB67" i="183"/>
  <c r="M66" i="183"/>
  <c r="N66" i="183" s="1"/>
  <c r="O66" i="183" s="1" a="1"/>
  <c r="O66" i="183" s="1"/>
  <c r="D67" i="183" s="1"/>
  <c r="P66" i="183"/>
  <c r="F471" i="97"/>
  <c r="F470" i="97"/>
  <c r="K387" i="97"/>
  <c r="L387" i="97" s="1"/>
  <c r="K385" i="97"/>
  <c r="L385" i="97" s="1"/>
  <c r="K383" i="97"/>
  <c r="C376" i="97"/>
  <c r="J376" i="97" s="1"/>
  <c r="N376" i="97" s="1"/>
  <c r="O376" i="97" s="1"/>
  <c r="I497" i="97"/>
  <c r="Q575" i="97" s="1"/>
  <c r="H497" i="97"/>
  <c r="P575" i="97" s="1"/>
  <c r="P576" i="97" s="1"/>
  <c r="O496" i="97"/>
  <c r="J497" i="97"/>
  <c r="H391" i="97"/>
  <c r="I383" i="97"/>
  <c r="C475" i="97"/>
  <c r="C474" i="97"/>
  <c r="C470" i="97"/>
  <c r="C472" i="97"/>
  <c r="C476" i="97"/>
  <c r="C473" i="97"/>
  <c r="C471" i="97"/>
  <c r="R68" i="145"/>
  <c r="N12" i="141" l="1"/>
  <c r="Q576" i="97"/>
  <c r="N13" i="141" s="1"/>
  <c r="P545" i="97"/>
  <c r="P546" i="97"/>
  <c r="L497" i="97"/>
  <c r="S575" i="97" s="1"/>
  <c r="O485" i="97"/>
  <c r="K497" i="97"/>
  <c r="R575" i="97" s="1"/>
  <c r="J353" i="97"/>
  <c r="J352" i="97"/>
  <c r="FF59" i="183"/>
  <c r="FG59" i="183" s="1"/>
  <c r="FI59" i="183" s="1"/>
  <c r="AX67" i="183"/>
  <c r="AU67" i="183"/>
  <c r="AV67" i="183" s="1"/>
  <c r="AW67" i="183" s="1" a="1"/>
  <c r="AW67" i="183" s="1"/>
  <c r="AL68" i="183" s="1"/>
  <c r="Z67" i="183"/>
  <c r="AA67" i="183" s="1"/>
  <c r="AC67" i="183" s="1"/>
  <c r="E67" i="183"/>
  <c r="H67" i="183" s="1"/>
  <c r="K67" i="183"/>
  <c r="F67" i="183"/>
  <c r="G67" i="183"/>
  <c r="J442" i="97"/>
  <c r="J443" i="97"/>
  <c r="C374" i="97"/>
  <c r="O388" i="97" s="1"/>
  <c r="O390" i="97"/>
  <c r="C373" i="97"/>
  <c r="J373" i="97" s="1"/>
  <c r="C375" i="97"/>
  <c r="J375" i="97" s="1"/>
  <c r="N375" i="97" s="1"/>
  <c r="O375" i="97" s="1"/>
  <c r="C369" i="97"/>
  <c r="C370" i="97"/>
  <c r="C372" i="97"/>
  <c r="C371" i="97"/>
  <c r="M12" i="141"/>
  <c r="F476" i="97"/>
  <c r="F473" i="97"/>
  <c r="E470" i="97"/>
  <c r="D470" i="97" s="1"/>
  <c r="M470" i="97" s="1"/>
  <c r="F477" i="97"/>
  <c r="D575" i="97"/>
  <c r="D576" i="97" s="1"/>
  <c r="J470" i="97"/>
  <c r="C481" i="97"/>
  <c r="J475" i="97"/>
  <c r="N475" i="97" s="1"/>
  <c r="O475" i="97" s="1"/>
  <c r="O493" i="97"/>
  <c r="K391" i="97"/>
  <c r="L383" i="97"/>
  <c r="L391" i="97" s="1"/>
  <c r="J471" i="97"/>
  <c r="N471" i="97" s="1"/>
  <c r="O471" i="97" s="1"/>
  <c r="O489" i="97"/>
  <c r="O491" i="97"/>
  <c r="J473" i="97"/>
  <c r="N473" i="97" s="1"/>
  <c r="O473" i="97" s="1"/>
  <c r="O494" i="97"/>
  <c r="J476" i="97"/>
  <c r="N476" i="97" s="1"/>
  <c r="O476" i="97" s="1"/>
  <c r="F475" i="97"/>
  <c r="E474" i="97"/>
  <c r="D474" i="97" s="1"/>
  <c r="M474" i="97" s="1"/>
  <c r="J383" i="97"/>
  <c r="J391" i="97" s="1"/>
  <c r="I391" i="97"/>
  <c r="J472" i="97"/>
  <c r="N472" i="97" s="1"/>
  <c r="O472" i="97" s="1"/>
  <c r="O490" i="97"/>
  <c r="J474" i="97"/>
  <c r="F372" i="97"/>
  <c r="E371" i="97"/>
  <c r="D371" i="97" s="1"/>
  <c r="M371" i="97" s="1"/>
  <c r="F374" i="97"/>
  <c r="F376" i="97" s="1"/>
  <c r="E373" i="97"/>
  <c r="D373" i="97" s="1"/>
  <c r="M373" i="97" s="1"/>
  <c r="C511" i="97"/>
  <c r="C512" i="97" s="1"/>
  <c r="C507" i="97"/>
  <c r="M13" i="141"/>
  <c r="C76" i="145"/>
  <c r="C78" i="145"/>
  <c r="R69" i="145"/>
  <c r="O12" i="141" l="1"/>
  <c r="R576" i="97"/>
  <c r="P12" i="141"/>
  <c r="S576" i="97"/>
  <c r="M7" i="141"/>
  <c r="P547" i="97"/>
  <c r="Q545" i="97"/>
  <c r="Q546" i="97"/>
  <c r="S545" i="97"/>
  <c r="S546" i="97"/>
  <c r="W546" i="97" s="1"/>
  <c r="J369" i="97"/>
  <c r="D546" i="97"/>
  <c r="E546" i="97" s="1"/>
  <c r="R545" i="97"/>
  <c r="R546" i="97"/>
  <c r="V546" i="97" s="1"/>
  <c r="BM7" i="132" a="1"/>
  <c r="BM7" i="132" s="1"/>
  <c r="C68" i="145"/>
  <c r="C79" i="145"/>
  <c r="S547" i="97" l="1"/>
  <c r="Q547" i="97"/>
  <c r="R547" i="97"/>
  <c r="C508" i="97"/>
  <c r="K575" i="97" s="1"/>
  <c r="K576" i="97" s="1"/>
  <c r="BN7" i="132" a="1"/>
  <c r="BN7" i="132" s="1"/>
  <c r="BL7" i="132" a="1"/>
  <c r="BL7" i="132" s="1"/>
  <c r="W575" i="97"/>
  <c r="V575" i="97"/>
  <c r="I67" i="183"/>
  <c r="J67" i="183" s="1"/>
  <c r="L67" i="183" s="1"/>
  <c r="P67" i="183" s="1"/>
  <c r="FJ59" i="183"/>
  <c r="FK59" i="183" s="1"/>
  <c r="FL59" i="183" s="1" a="1"/>
  <c r="FL59" i="183" s="1"/>
  <c r="FA60" i="183" s="1"/>
  <c r="FM59" i="183"/>
  <c r="AN68" i="183"/>
  <c r="AS68" i="183"/>
  <c r="AO68" i="183"/>
  <c r="AM68" i="183"/>
  <c r="AP68" i="183" s="1"/>
  <c r="AG67" i="183"/>
  <c r="AD67" i="183"/>
  <c r="AE67" i="183" s="1"/>
  <c r="AF67" i="183" s="1" a="1"/>
  <c r="AF67" i="183" s="1"/>
  <c r="U68" i="183" s="1"/>
  <c r="J374" i="97"/>
  <c r="N374" i="97" s="1"/>
  <c r="O374" i="97" s="1"/>
  <c r="N373" i="97"/>
  <c r="O389" i="97"/>
  <c r="C379" i="97"/>
  <c r="F370" i="97"/>
  <c r="E369" i="97" a="1"/>
  <c r="E369" i="97" s="1"/>
  <c r="D369" i="97" s="1"/>
  <c r="M369" i="97" s="1"/>
  <c r="N369" i="97" s="1"/>
  <c r="J370" i="97"/>
  <c r="N370" i="97" s="1"/>
  <c r="O370" i="97" s="1"/>
  <c r="O384" i="97"/>
  <c r="J371" i="97"/>
  <c r="N371" i="97" s="1"/>
  <c r="D545" i="97"/>
  <c r="D547" i="97" s="1"/>
  <c r="J372" i="97"/>
  <c r="N372" i="97" s="1"/>
  <c r="O372" i="97" s="1"/>
  <c r="O386" i="97"/>
  <c r="C401" i="97"/>
  <c r="C402" i="97" s="1"/>
  <c r="C405" i="97"/>
  <c r="C406" i="97" s="1"/>
  <c r="G373" i="97"/>
  <c r="O387" i="97" s="1"/>
  <c r="N470" i="97"/>
  <c r="N474" i="97"/>
  <c r="G470" i="97"/>
  <c r="O488" i="97" s="1"/>
  <c r="M8" i="141"/>
  <c r="P7" i="141"/>
  <c r="W545" i="97"/>
  <c r="G371" i="97"/>
  <c r="C515" i="97"/>
  <c r="E575" i="97"/>
  <c r="E576" i="97" s="1"/>
  <c r="N7" i="141"/>
  <c r="G474" i="97"/>
  <c r="O492" i="97" s="1"/>
  <c r="O7" i="141"/>
  <c r="V545" i="97"/>
  <c r="R70" i="145"/>
  <c r="C71" i="145"/>
  <c r="R71" i="145"/>
  <c r="C70" i="145"/>
  <c r="C69" i="145"/>
  <c r="S12" i="141" l="1"/>
  <c r="V576" i="97"/>
  <c r="S13" i="141" s="1"/>
  <c r="T12" i="141"/>
  <c r="W576" i="97"/>
  <c r="T13" i="141" s="1"/>
  <c r="T7" i="141"/>
  <c r="W547" i="97"/>
  <c r="S7" i="141"/>
  <c r="V547" i="97"/>
  <c r="K545" i="97"/>
  <c r="K546" i="97"/>
  <c r="W7" i="132"/>
  <c r="H12" i="141"/>
  <c r="C565" i="97"/>
  <c r="D565" i="97" s="1"/>
  <c r="C516" i="97"/>
  <c r="L575" i="97" s="1"/>
  <c r="L576" i="97" s="1"/>
  <c r="P13" i="141"/>
  <c r="O13" i="141"/>
  <c r="M67" i="183"/>
  <c r="N67" i="183" s="1"/>
  <c r="O67" i="183" s="1" a="1"/>
  <c r="O67" i="183" s="1"/>
  <c r="D68" i="183" s="1"/>
  <c r="F68" i="183" s="1"/>
  <c r="AQ68" i="183"/>
  <c r="AR68" i="183" s="1"/>
  <c r="AT68" i="183" s="1"/>
  <c r="FC60" i="183"/>
  <c r="FB60" i="183"/>
  <c r="FE60" i="183" s="1"/>
  <c r="FH60" i="183"/>
  <c r="FD60" i="183"/>
  <c r="W68" i="183"/>
  <c r="X68" i="183"/>
  <c r="AB68" i="183"/>
  <c r="V68" i="183"/>
  <c r="Y68" i="183" s="1"/>
  <c r="G369" i="97"/>
  <c r="D379" i="97" s="1"/>
  <c r="E545" i="97"/>
  <c r="E547" i="97" s="1"/>
  <c r="C380" i="97"/>
  <c r="C409" i="97"/>
  <c r="C410" i="97" s="1"/>
  <c r="D481" i="97"/>
  <c r="O470" i="97"/>
  <c r="D482" i="97"/>
  <c r="F575" i="97" s="1"/>
  <c r="F576" i="97" s="1"/>
  <c r="C482" i="97"/>
  <c r="O373" i="97"/>
  <c r="O497" i="97"/>
  <c r="C499" i="97" s="1"/>
  <c r="G575" i="97" s="1"/>
  <c r="G576" i="97" s="1"/>
  <c r="O474" i="97"/>
  <c r="D570" i="97"/>
  <c r="D569" i="97"/>
  <c r="O385" i="97"/>
  <c r="N8" i="141"/>
  <c r="O371" i="97"/>
  <c r="O8" i="141"/>
  <c r="P8" i="141"/>
  <c r="R8" i="145"/>
  <c r="C74" i="145"/>
  <c r="R76" i="145"/>
  <c r="C50" i="145"/>
  <c r="R79" i="145"/>
  <c r="R75" i="145"/>
  <c r="R77" i="145"/>
  <c r="R74" i="145"/>
  <c r="R50" i="145"/>
  <c r="C75" i="145"/>
  <c r="R78" i="145"/>
  <c r="H7" i="141" l="1"/>
  <c r="K547" i="97"/>
  <c r="H8" i="141" s="1"/>
  <c r="L545" i="97"/>
  <c r="L546" i="97"/>
  <c r="I7" i="141" s="1"/>
  <c r="M575" i="97"/>
  <c r="M576" i="97" s="1"/>
  <c r="H13" i="141"/>
  <c r="I12" i="141"/>
  <c r="BN8" i="132" a="1"/>
  <c r="BN8" i="132" s="1"/>
  <c r="BM8" i="132" a="1"/>
  <c r="BM8" i="132" s="1"/>
  <c r="BL8" i="132" a="1"/>
  <c r="BL8" i="132" s="1"/>
  <c r="E68" i="183"/>
  <c r="H68" i="183" s="1"/>
  <c r="I68" i="183" s="1"/>
  <c r="G68" i="183"/>
  <c r="K68" i="183"/>
  <c r="FF60" i="183"/>
  <c r="FG60" i="183" s="1"/>
  <c r="FI60" i="183" s="1"/>
  <c r="AU68" i="183"/>
  <c r="AV68" i="183" s="1"/>
  <c r="AW68" i="183" s="1" a="1"/>
  <c r="AW68" i="183" s="1"/>
  <c r="AL69" i="183" s="1"/>
  <c r="AX68" i="183"/>
  <c r="Z68" i="183"/>
  <c r="AA68" i="183" s="1"/>
  <c r="AC68" i="183" s="1"/>
  <c r="D380" i="97"/>
  <c r="C42" i="145"/>
  <c r="C43" i="145"/>
  <c r="C41" i="145"/>
  <c r="O383" i="97"/>
  <c r="O369" i="97"/>
  <c r="D12" i="141"/>
  <c r="D540" i="97"/>
  <c r="D541" i="97"/>
  <c r="I13" i="141"/>
  <c r="C567" i="97"/>
  <c r="D567" i="97" s="1"/>
  <c r="T8" i="141"/>
  <c r="C12" i="141"/>
  <c r="H575" i="97"/>
  <c r="H576" i="97" s="1"/>
  <c r="D13" i="141"/>
  <c r="C562" i="97"/>
  <c r="D562" i="97" s="1"/>
  <c r="L8" i="132"/>
  <c r="S8" i="141"/>
  <c r="R5" i="145"/>
  <c r="C11" i="145"/>
  <c r="C10" i="145"/>
  <c r="C536" i="97" l="1"/>
  <c r="D536" i="97" s="1"/>
  <c r="L547" i="97"/>
  <c r="I8" i="141" s="1"/>
  <c r="F545" i="97"/>
  <c r="F546" i="97"/>
  <c r="C7" i="141" s="1"/>
  <c r="L7" i="132"/>
  <c r="C47" i="145"/>
  <c r="W8" i="132"/>
  <c r="BH7" i="132" a="1"/>
  <c r="BH7" i="132" s="1"/>
  <c r="R43" i="145"/>
  <c r="BF7" i="132" a="1"/>
  <c r="BF7" i="132" s="1"/>
  <c r="R42" i="145"/>
  <c r="BG7" i="132" a="1"/>
  <c r="BG7" i="132" s="1"/>
  <c r="R41" i="145"/>
  <c r="J68" i="183"/>
  <c r="L68" i="183" s="1"/>
  <c r="P68" i="183" s="1"/>
  <c r="AM69" i="183"/>
  <c r="AP69" i="183" s="1"/>
  <c r="AS69" i="183"/>
  <c r="AN69" i="183"/>
  <c r="AO69" i="183"/>
  <c r="FJ60" i="183"/>
  <c r="FK60" i="183" s="1"/>
  <c r="FL60" i="183" s="1" a="1"/>
  <c r="FL60" i="183" s="1"/>
  <c r="FA61" i="183" s="1"/>
  <c r="FM60" i="183"/>
  <c r="AD68" i="183"/>
  <c r="AE68" i="183" s="1"/>
  <c r="AF68" i="183" s="1" a="1"/>
  <c r="AF68" i="183" s="1"/>
  <c r="U69" i="183" s="1"/>
  <c r="AG68" i="183"/>
  <c r="C44" i="145"/>
  <c r="C48" i="145"/>
  <c r="C45" i="145"/>
  <c r="C46" i="145"/>
  <c r="C49" i="145"/>
  <c r="O391" i="97"/>
  <c r="C393" i="97" s="1"/>
  <c r="C13" i="141"/>
  <c r="C561" i="97"/>
  <c r="I8" i="132"/>
  <c r="E12" i="141"/>
  <c r="E13" i="141"/>
  <c r="C8" i="145"/>
  <c r="C13" i="145"/>
  <c r="F547" i="97" l="1"/>
  <c r="C8" i="141" s="1"/>
  <c r="C538" i="97"/>
  <c r="D538" i="97" s="1"/>
  <c r="G545" i="97"/>
  <c r="H545" i="97" s="1"/>
  <c r="G546" i="97"/>
  <c r="H546" i="97" s="1"/>
  <c r="R49" i="145"/>
  <c r="R48" i="145"/>
  <c r="BF8" i="132" a="1"/>
  <c r="BF8" i="132" s="1"/>
  <c r="BH8" i="132" a="1"/>
  <c r="BH8" i="132" s="1"/>
  <c r="BG8" i="132" a="1"/>
  <c r="BG8" i="132" s="1"/>
  <c r="R47" i="145"/>
  <c r="BV7" i="132" a="1"/>
  <c r="BV7" i="132" s="1"/>
  <c r="R45" i="145"/>
  <c r="BU7" i="132" a="1"/>
  <c r="BU7" i="132" s="1"/>
  <c r="R46" i="145"/>
  <c r="BW7" i="132" a="1"/>
  <c r="BW7" i="132" s="1"/>
  <c r="R44" i="145"/>
  <c r="BY7" i="132" a="1"/>
  <c r="BY7" i="132" s="1"/>
  <c r="BX7" i="132" a="1"/>
  <c r="BX7" i="132" s="1"/>
  <c r="BB129" i="204"/>
  <c r="BB144" i="205"/>
  <c r="BB108" i="137"/>
  <c r="BB105" i="203"/>
  <c r="M68" i="183"/>
  <c r="N68" i="183" s="1"/>
  <c r="O68" i="183" s="1" a="1"/>
  <c r="O68" i="183" s="1"/>
  <c r="D69" i="183" s="1"/>
  <c r="G69" i="183" s="1"/>
  <c r="AQ69" i="183"/>
  <c r="AR69" i="183" s="1"/>
  <c r="AT69" i="183" s="1"/>
  <c r="FH61" i="183"/>
  <c r="FD61" i="183"/>
  <c r="FC61" i="183"/>
  <c r="FB61" i="183"/>
  <c r="FE61" i="183" s="1"/>
  <c r="X69" i="183"/>
  <c r="AB69" i="183"/>
  <c r="V69" i="183"/>
  <c r="Y69" i="183" s="1"/>
  <c r="W69" i="183"/>
  <c r="D561" i="97"/>
  <c r="C568" i="97"/>
  <c r="D568" i="97" s="1"/>
  <c r="R4" i="145"/>
  <c r="C532" i="97" l="1"/>
  <c r="D7" i="141"/>
  <c r="E7" i="141"/>
  <c r="H547" i="97"/>
  <c r="E8" i="141" s="1"/>
  <c r="G547" i="97"/>
  <c r="D8" i="141" s="1"/>
  <c r="M546" i="97"/>
  <c r="M545" i="97"/>
  <c r="BY8" i="132" a="1"/>
  <c r="BY8" i="132" s="1"/>
  <c r="X8" i="132" s="1"/>
  <c r="BZ8" i="132" a="1"/>
  <c r="BZ8" i="132" s="1"/>
  <c r="BU8" i="132" a="1"/>
  <c r="BU8" i="132" s="1"/>
  <c r="BX8" i="132" a="1"/>
  <c r="BX8" i="132" s="1"/>
  <c r="BW8" i="132" a="1"/>
  <c r="BW8" i="132" s="1"/>
  <c r="BV8" i="132" a="1"/>
  <c r="BV8" i="132" s="1"/>
  <c r="X7" i="132"/>
  <c r="K69" i="183"/>
  <c r="F69" i="183"/>
  <c r="E69" i="183"/>
  <c r="H69" i="183" s="1"/>
  <c r="Z69" i="183"/>
  <c r="AA69" i="183" s="1"/>
  <c r="AC69" i="183" s="1"/>
  <c r="AD69" i="183" s="1"/>
  <c r="AE69" i="183" s="1"/>
  <c r="AF69" i="183" s="1" a="1"/>
  <c r="AF69" i="183" s="1"/>
  <c r="U70" i="183" s="1"/>
  <c r="AX69" i="183"/>
  <c r="AU69" i="183"/>
  <c r="AV69" i="183" s="1"/>
  <c r="AW69" i="183" s="1" a="1"/>
  <c r="AW69" i="183" s="1"/>
  <c r="AL70" i="183" s="1"/>
  <c r="FF61" i="183"/>
  <c r="FG61" i="183" s="1"/>
  <c r="FI61" i="183" s="1"/>
  <c r="D532" i="97"/>
  <c r="U8" i="111"/>
  <c r="U5" i="111"/>
  <c r="H8" i="132"/>
  <c r="C4" i="145"/>
  <c r="M547" i="97" l="1"/>
  <c r="C533" i="97"/>
  <c r="H7" i="132"/>
  <c r="AG8" i="132"/>
  <c r="O8" i="132" s="1"/>
  <c r="I69" i="183"/>
  <c r="J69" i="183" s="1"/>
  <c r="L69" i="183" s="1"/>
  <c r="M69" i="183" s="1"/>
  <c r="N69" i="183" s="1"/>
  <c r="O69" i="183" s="1" a="1"/>
  <c r="O69" i="183" s="1"/>
  <c r="D70" i="183" s="1"/>
  <c r="F70" i="183" s="1"/>
  <c r="BB125" i="204"/>
  <c r="BB140" i="205"/>
  <c r="BB104" i="137"/>
  <c r="BB101" i="203"/>
  <c r="AG69" i="183"/>
  <c r="FM61" i="183"/>
  <c r="FJ61" i="183"/>
  <c r="FK61" i="183" s="1"/>
  <c r="FL61" i="183" s="1" a="1"/>
  <c r="FL61" i="183" s="1"/>
  <c r="FA62" i="183" s="1"/>
  <c r="AM70" i="183"/>
  <c r="AP70" i="183" s="1"/>
  <c r="AO70" i="183"/>
  <c r="AN70" i="183"/>
  <c r="AS70" i="183"/>
  <c r="W70" i="183"/>
  <c r="X70" i="183"/>
  <c r="AB70" i="183"/>
  <c r="V70" i="183"/>
  <c r="Y70" i="183" s="1"/>
  <c r="DC7" i="132"/>
  <c r="AG7" i="132"/>
  <c r="D533" i="97" l="1"/>
  <c r="C539" i="97"/>
  <c r="D539" i="97" s="1"/>
  <c r="P69" i="183"/>
  <c r="G70" i="183"/>
  <c r="E70" i="183"/>
  <c r="H70" i="183" s="1"/>
  <c r="I70" i="183" s="1"/>
  <c r="K70" i="183"/>
  <c r="BB124" i="204"/>
  <c r="BB139" i="205"/>
  <c r="BB103" i="137"/>
  <c r="BB100" i="203"/>
  <c r="AQ70" i="183"/>
  <c r="AR70" i="183" s="1"/>
  <c r="AT70" i="183" s="1"/>
  <c r="AU70" i="183" s="1"/>
  <c r="AV70" i="183" s="1"/>
  <c r="AW70" i="183" s="1" a="1"/>
  <c r="AW70" i="183" s="1"/>
  <c r="AL71" i="183" s="1"/>
  <c r="FH62" i="183"/>
  <c r="FB62" i="183"/>
  <c r="FE62" i="183" s="1"/>
  <c r="FD62" i="183"/>
  <c r="FC62" i="183"/>
  <c r="Z70" i="183"/>
  <c r="AA70" i="183" s="1"/>
  <c r="AC70" i="183" s="1"/>
  <c r="O7" i="132"/>
  <c r="C5" i="145"/>
  <c r="I7" i="132" l="1"/>
  <c r="J70" i="183"/>
  <c r="L70" i="183" s="1"/>
  <c r="AX70" i="183"/>
  <c r="FF62" i="183"/>
  <c r="FG62" i="183" s="1"/>
  <c r="FI62" i="183" s="1"/>
  <c r="FJ62" i="183" s="1"/>
  <c r="FK62" i="183" s="1"/>
  <c r="FL62" i="183" s="1" a="1"/>
  <c r="FL62" i="183" s="1"/>
  <c r="FA63" i="183" s="1"/>
  <c r="AO71" i="183"/>
  <c r="AM71" i="183"/>
  <c r="AP71" i="183" s="1"/>
  <c r="AS71" i="183"/>
  <c r="AN71" i="183"/>
  <c r="AG70" i="183"/>
  <c r="AD70" i="183"/>
  <c r="AE70" i="183" s="1"/>
  <c r="AF70" i="183" s="1" a="1"/>
  <c r="AF70" i="183" s="1"/>
  <c r="U71" i="183" s="1"/>
  <c r="P70" i="183" l="1"/>
  <c r="M70" i="183"/>
  <c r="N70" i="183" s="1"/>
  <c r="O70" i="183" s="1" a="1"/>
  <c r="O70" i="183" s="1"/>
  <c r="D71" i="183" s="1"/>
  <c r="G71" i="183" s="1"/>
  <c r="FM62" i="183"/>
  <c r="AQ71" i="183"/>
  <c r="AR71" i="183" s="1"/>
  <c r="AT71" i="183" s="1"/>
  <c r="FH63" i="183"/>
  <c r="FB63" i="183"/>
  <c r="FE63" i="183" s="1"/>
  <c r="FC63" i="183"/>
  <c r="FD63" i="183"/>
  <c r="W71" i="183"/>
  <c r="X71" i="183"/>
  <c r="V71" i="183"/>
  <c r="Y71" i="183" s="1"/>
  <c r="AB71" i="183"/>
  <c r="E71" i="183" l="1"/>
  <c r="H71" i="183" s="1"/>
  <c r="K71" i="183"/>
  <c r="F71" i="183"/>
  <c r="FF63" i="183"/>
  <c r="FG63" i="183" s="1"/>
  <c r="FI63" i="183" s="1"/>
  <c r="FM63" i="183" s="1"/>
  <c r="AU71" i="183"/>
  <c r="AV71" i="183" s="1"/>
  <c r="AW71" i="183" s="1" a="1"/>
  <c r="AW71" i="183" s="1"/>
  <c r="AL72" i="183" s="1"/>
  <c r="AX71" i="183"/>
  <c r="Z71" i="183"/>
  <c r="AA71" i="183" s="1"/>
  <c r="AC71" i="183" s="1"/>
  <c r="I71" i="183" l="1"/>
  <c r="J71" i="183" s="1"/>
  <c r="L71" i="183" s="1"/>
  <c r="M71" i="183" s="1"/>
  <c r="N71" i="183" s="1"/>
  <c r="O71" i="183" s="1" a="1"/>
  <c r="O71" i="183" s="1"/>
  <c r="D72" i="183" s="1"/>
  <c r="FJ63" i="183"/>
  <c r="FK63" i="183" s="1"/>
  <c r="FL63" i="183" s="1" a="1"/>
  <c r="FL63" i="183" s="1"/>
  <c r="FA64" i="183" s="1"/>
  <c r="FD64" i="183" s="1"/>
  <c r="AO72" i="183"/>
  <c r="AM72" i="183"/>
  <c r="AP72" i="183" s="1"/>
  <c r="AN72" i="183"/>
  <c r="AS72" i="183"/>
  <c r="AD71" i="183"/>
  <c r="AE71" i="183" s="1"/>
  <c r="AF71" i="183" s="1" a="1"/>
  <c r="AF71" i="183" s="1"/>
  <c r="U72" i="183" s="1"/>
  <c r="AG71" i="183"/>
  <c r="P71" i="183" l="1"/>
  <c r="FB64" i="183"/>
  <c r="FE64" i="183" s="1"/>
  <c r="FH64" i="183"/>
  <c r="FC64" i="183"/>
  <c r="AQ72" i="183"/>
  <c r="AR72" i="183" s="1"/>
  <c r="AT72" i="183" s="1"/>
  <c r="X72" i="183"/>
  <c r="W72" i="183"/>
  <c r="AB72" i="183"/>
  <c r="V72" i="183"/>
  <c r="Y72" i="183" s="1"/>
  <c r="E72" i="183"/>
  <c r="H72" i="183" s="1"/>
  <c r="K72" i="183"/>
  <c r="G72" i="183"/>
  <c r="F72" i="183"/>
  <c r="H200" i="112"/>
  <c r="I200" i="112"/>
  <c r="N200" i="112"/>
  <c r="FF64" i="183" l="1"/>
  <c r="FG64" i="183" s="1"/>
  <c r="FI64" i="183" s="1"/>
  <c r="FJ64" i="183" s="1"/>
  <c r="FK64" i="183" s="1"/>
  <c r="FL64" i="183" s="1" a="1"/>
  <c r="FL64" i="183" s="1"/>
  <c r="FA65" i="183" s="1"/>
  <c r="I72" i="183"/>
  <c r="J72" i="183" s="1"/>
  <c r="L72" i="183" s="1"/>
  <c r="P72" i="183" s="1"/>
  <c r="AU72" i="183"/>
  <c r="AV72" i="183" s="1"/>
  <c r="AW72" i="183" s="1" a="1"/>
  <c r="AW72" i="183" s="1"/>
  <c r="AL73" i="183" s="1"/>
  <c r="AX72" i="183"/>
  <c r="Z72" i="183"/>
  <c r="AA72" i="183" s="1"/>
  <c r="AC72" i="183" s="1"/>
  <c r="F200" i="112"/>
  <c r="D200" i="112" s="1"/>
  <c r="H21" i="196" s="1"/>
  <c r="H28" i="196" s="1"/>
  <c r="H54" i="196" s="1"/>
  <c r="AJ5" i="187" s="1"/>
  <c r="AJ13" i="187" s="1"/>
  <c r="FM64" i="183" l="1"/>
  <c r="M72" i="183"/>
  <c r="N72" i="183" s="1"/>
  <c r="O72" i="183" s="1" a="1"/>
  <c r="O72" i="183" s="1"/>
  <c r="D73" i="183" s="1"/>
  <c r="K73" i="183" s="1"/>
  <c r="G21" i="196"/>
  <c r="G28" i="196" s="1"/>
  <c r="G54" i="196" s="1"/>
  <c r="AE5" i="187" s="1"/>
  <c r="AE13" i="187" s="1"/>
  <c r="AE15" i="187" s="1"/>
  <c r="AE16" i="187" s="1"/>
  <c r="I21" i="196"/>
  <c r="I28" i="196" s="1"/>
  <c r="I54" i="196" s="1"/>
  <c r="AN5" i="187" s="1"/>
  <c r="AN13" i="187" s="1"/>
  <c r="AN15" i="187" s="1"/>
  <c r="AN16" i="187" s="1"/>
  <c r="AJ15" i="187"/>
  <c r="AJ16" i="187" s="1"/>
  <c r="FH65" i="183"/>
  <c r="FC65" i="183"/>
  <c r="FD65" i="183"/>
  <c r="FB65" i="183"/>
  <c r="FE65" i="183" s="1"/>
  <c r="AN73" i="183"/>
  <c r="AM73" i="183"/>
  <c r="AP73" i="183" s="1"/>
  <c r="AS73" i="183"/>
  <c r="AO73" i="183"/>
  <c r="AD72" i="183"/>
  <c r="AE72" i="183" s="1"/>
  <c r="AF72" i="183" s="1" a="1"/>
  <c r="AF72" i="183" s="1"/>
  <c r="U73" i="183" s="1"/>
  <c r="AG72" i="183"/>
  <c r="H55" i="196"/>
  <c r="AJ6" i="187" s="1"/>
  <c r="H191" i="112"/>
  <c r="I191" i="112"/>
  <c r="L191" i="112"/>
  <c r="M191" i="112"/>
  <c r="H194" i="112"/>
  <c r="I194" i="112"/>
  <c r="L194" i="112"/>
  <c r="M194" i="112"/>
  <c r="AJ14" i="187" l="1"/>
  <c r="AJ17" i="187" s="1"/>
  <c r="AJ24" i="187" s="1"/>
  <c r="AJ30" i="187" s="1"/>
  <c r="AJ51" i="187" s="1"/>
  <c r="DQ34" i="183" s="1"/>
  <c r="AJ235" i="187"/>
  <c r="AJ239" i="187" s="1"/>
  <c r="AJ378" i="187" s="1"/>
  <c r="C87" i="126" s="1"/>
  <c r="I55" i="196"/>
  <c r="AN6" i="187" s="1"/>
  <c r="G55" i="196"/>
  <c r="AE6" i="187" s="1"/>
  <c r="E73" i="183"/>
  <c r="H73" i="183" s="1"/>
  <c r="F73" i="183"/>
  <c r="G73" i="183"/>
  <c r="AN23" i="187"/>
  <c r="AN29" i="187" s="1"/>
  <c r="AN18" i="187"/>
  <c r="AN28" i="187" s="1"/>
  <c r="AN53" i="187" s="1"/>
  <c r="EH36" i="183" s="1"/>
  <c r="AN19" i="187"/>
  <c r="AN20" i="187" s="1"/>
  <c r="AN359" i="187" s="1"/>
  <c r="C40" i="127" s="1"/>
  <c r="FF65" i="183"/>
  <c r="FG65" i="183" s="1"/>
  <c r="FI65" i="183" s="1"/>
  <c r="AJ23" i="187"/>
  <c r="AJ29" i="187" s="1"/>
  <c r="AJ18" i="187"/>
  <c r="AJ28" i="187" s="1"/>
  <c r="AJ53" i="187" s="1"/>
  <c r="DQ36" i="183" s="1"/>
  <c r="AJ19" i="187"/>
  <c r="AJ20" i="187" s="1"/>
  <c r="AJ359" i="187" s="1"/>
  <c r="C40" i="126" s="1"/>
  <c r="AE18" i="187"/>
  <c r="AE28" i="187" s="1"/>
  <c r="AE53" i="187" s="1"/>
  <c r="CZ36" i="183" s="1"/>
  <c r="AE23" i="187"/>
  <c r="AE29" i="187" s="1"/>
  <c r="AE19" i="187"/>
  <c r="AE20" i="187" s="1"/>
  <c r="AE359" i="187" s="1"/>
  <c r="C40" i="99" s="1"/>
  <c r="AQ73" i="183"/>
  <c r="AR73" i="183" s="1"/>
  <c r="AT73" i="183" s="1"/>
  <c r="V73" i="183"/>
  <c r="Y73" i="183" s="1"/>
  <c r="X73" i="183"/>
  <c r="W73" i="183"/>
  <c r="AB73" i="183"/>
  <c r="N194" i="112"/>
  <c r="F194" i="112" s="1"/>
  <c r="D194" i="112" s="1"/>
  <c r="I22" i="196" s="1"/>
  <c r="I29" i="196" s="1"/>
  <c r="N191" i="112"/>
  <c r="F191" i="112" s="1"/>
  <c r="D191" i="112" s="1"/>
  <c r="I23" i="196" s="1"/>
  <c r="V191" i="112"/>
  <c r="V194" i="112"/>
  <c r="H198" i="112"/>
  <c r="I198" i="112"/>
  <c r="AE14" i="187" l="1"/>
  <c r="AE17" i="187" s="1"/>
  <c r="AE24" i="187" s="1"/>
  <c r="AE30" i="187" s="1"/>
  <c r="AE51" i="187" s="1"/>
  <c r="CZ34" i="183" s="1"/>
  <c r="AE235" i="187"/>
  <c r="AE239" i="187" s="1"/>
  <c r="AE378" i="187" s="1"/>
  <c r="C87" i="99" s="1"/>
  <c r="AN14" i="187"/>
  <c r="AN17" i="187" s="1"/>
  <c r="AN24" i="187" s="1"/>
  <c r="AN30" i="187" s="1"/>
  <c r="AN51" i="187" s="1"/>
  <c r="EH34" i="183" s="1"/>
  <c r="AN235" i="187"/>
  <c r="AN239" i="187" s="1"/>
  <c r="AN378" i="187" s="1"/>
  <c r="C87" i="127" s="1"/>
  <c r="I73" i="183"/>
  <c r="J73" i="183" s="1"/>
  <c r="L73" i="183" s="1"/>
  <c r="P73" i="183" s="1"/>
  <c r="G22" i="196"/>
  <c r="G29" i="196" s="1"/>
  <c r="H22" i="196"/>
  <c r="H29" i="196" s="1"/>
  <c r="Z73" i="183"/>
  <c r="AA73" i="183" s="1"/>
  <c r="AC73" i="183" s="1"/>
  <c r="AE21" i="187"/>
  <c r="AJ22" i="187"/>
  <c r="AJ27" i="187" s="1"/>
  <c r="AJ52" i="187" s="1"/>
  <c r="DQ35" i="183" s="1"/>
  <c r="AJ21" i="187"/>
  <c r="AJ54" i="187"/>
  <c r="DQ37" i="183" s="1"/>
  <c r="AJ47" i="187"/>
  <c r="FM65" i="183"/>
  <c r="FJ65" i="183"/>
  <c r="FK65" i="183" s="1"/>
  <c r="FL65" i="183" s="1" a="1"/>
  <c r="FL65" i="183" s="1"/>
  <c r="FA66" i="183" s="1"/>
  <c r="AN22" i="187"/>
  <c r="AN27" i="187" s="1"/>
  <c r="AN52" i="187" s="1"/>
  <c r="EH35" i="183" s="1"/>
  <c r="AE22" i="187"/>
  <c r="AE27" i="187" s="1"/>
  <c r="AE52" i="187" s="1"/>
  <c r="AE54" i="187"/>
  <c r="CZ37" i="183" s="1"/>
  <c r="AE47" i="187"/>
  <c r="AN21" i="187"/>
  <c r="AN54" i="187"/>
  <c r="EH37" i="183" s="1"/>
  <c r="AN47" i="187"/>
  <c r="AU73" i="183"/>
  <c r="AV73" i="183" s="1"/>
  <c r="AW73" i="183" s="1" a="1"/>
  <c r="AW73" i="183" s="1"/>
  <c r="AL74" i="183" s="1"/>
  <c r="AX73" i="183"/>
  <c r="G23" i="196"/>
  <c r="H23" i="196"/>
  <c r="I30" i="196"/>
  <c r="N198" i="112"/>
  <c r="F198" i="112" s="1"/>
  <c r="D198" i="112" s="1"/>
  <c r="B6" i="197" s="1" a="1"/>
  <c r="B6" i="197" s="1"/>
  <c r="V198" i="112"/>
  <c r="H190" i="112"/>
  <c r="I190" i="112"/>
  <c r="L190" i="112"/>
  <c r="M190" i="112"/>
  <c r="M73" i="183" l="1"/>
  <c r="N73" i="183" s="1"/>
  <c r="O73" i="183" s="1" a="1"/>
  <c r="O73" i="183" s="1"/>
  <c r="D74" i="183" s="1"/>
  <c r="E74" i="183" s="1"/>
  <c r="H74" i="183" s="1"/>
  <c r="H30" i="196"/>
  <c r="H32" i="196" s="1"/>
  <c r="H33" i="196" s="1"/>
  <c r="N190" i="112"/>
  <c r="F190" i="112" s="1"/>
  <c r="D190" i="112" s="1"/>
  <c r="B8" i="197" s="1"/>
  <c r="G30" i="196"/>
  <c r="G32" i="196" s="1"/>
  <c r="G33" i="196" s="1"/>
  <c r="I32" i="196"/>
  <c r="I33" i="196" s="1"/>
  <c r="I90" i="196"/>
  <c r="T23" i="127" s="1"/>
  <c r="FD66" i="183"/>
  <c r="FB66" i="183"/>
  <c r="FE66" i="183" s="1"/>
  <c r="FC66" i="183"/>
  <c r="FH66" i="183"/>
  <c r="AN48" i="187"/>
  <c r="AN49" i="187" s="1"/>
  <c r="AN61" i="187"/>
  <c r="AN50" i="187"/>
  <c r="EH33" i="183" s="1"/>
  <c r="AJ48" i="187"/>
  <c r="AJ49" i="187" s="1"/>
  <c r="AJ61" i="187"/>
  <c r="AJ50" i="187"/>
  <c r="CZ35" i="183"/>
  <c r="AM74" i="183"/>
  <c r="AP74" i="183" s="1"/>
  <c r="AS74" i="183"/>
  <c r="AN74" i="183"/>
  <c r="AO74" i="183"/>
  <c r="AE61" i="187"/>
  <c r="AE50" i="187"/>
  <c r="CZ33" i="183" s="1"/>
  <c r="AE48" i="187"/>
  <c r="AE49" i="187" s="1"/>
  <c r="AD73" i="183"/>
  <c r="AE73" i="183" s="1"/>
  <c r="AF73" i="183" s="1" a="1"/>
  <c r="AF73" i="183" s="1"/>
  <c r="U74" i="183" s="1"/>
  <c r="AG73" i="183"/>
  <c r="G39" i="196" a="1"/>
  <c r="G39" i="196" s="1"/>
  <c r="I39" i="196" a="1"/>
  <c r="I39" i="196" s="1"/>
  <c r="H39" i="196" a="1"/>
  <c r="H39" i="196" s="1"/>
  <c r="V190" i="112"/>
  <c r="H192" i="112"/>
  <c r="I192" i="112"/>
  <c r="L192" i="112"/>
  <c r="M192" i="112"/>
  <c r="I40" i="196" l="1"/>
  <c r="H40" i="196"/>
  <c r="G40" i="196"/>
  <c r="K74" i="183"/>
  <c r="F74" i="183"/>
  <c r="I74" i="183" s="1"/>
  <c r="G74" i="183"/>
  <c r="H90" i="196"/>
  <c r="T40" i="126" s="1"/>
  <c r="G90" i="196"/>
  <c r="T23" i="99" s="1"/>
  <c r="N192" i="112"/>
  <c r="F192" i="112" s="1"/>
  <c r="D192" i="112" s="1"/>
  <c r="B5" i="197" s="1"/>
  <c r="B7" i="197" s="1"/>
  <c r="FF66" i="183"/>
  <c r="FG66" i="183" s="1"/>
  <c r="FI66" i="183" s="1"/>
  <c r="AE55" i="187"/>
  <c r="CZ38" i="183" s="1"/>
  <c r="DG54" i="183" s="1"/>
  <c r="DH54" i="183" s="1"/>
  <c r="DJ54" i="183" s="1"/>
  <c r="AN55" i="187"/>
  <c r="EH38" i="183" s="1"/>
  <c r="EO54" i="183" s="1"/>
  <c r="EP54" i="183" s="1"/>
  <c r="ER54" i="183" s="1"/>
  <c r="AJ55" i="187"/>
  <c r="DQ38" i="183" s="1"/>
  <c r="DQ33" i="183"/>
  <c r="AJ72" i="187"/>
  <c r="AJ306" i="187" s="1"/>
  <c r="AI67" i="187"/>
  <c r="AI65" i="187"/>
  <c r="AI66" i="187"/>
  <c r="AM67" i="187"/>
  <c r="AM66" i="187"/>
  <c r="AN72" i="187"/>
  <c r="AN306" i="187" s="1"/>
  <c r="AM65" i="187"/>
  <c r="AQ74" i="183"/>
  <c r="AR74" i="183" s="1"/>
  <c r="AT74" i="183" s="1"/>
  <c r="AD65" i="187"/>
  <c r="AD66" i="187"/>
  <c r="AD67" i="187"/>
  <c r="AE72" i="187"/>
  <c r="AE306" i="187" s="1"/>
  <c r="X74" i="183"/>
  <c r="V74" i="183"/>
  <c r="Y74" i="183" s="1"/>
  <c r="W74" i="183"/>
  <c r="AB74" i="183"/>
  <c r="V192" i="112"/>
  <c r="H193" i="112"/>
  <c r="I193" i="112"/>
  <c r="L193" i="112"/>
  <c r="M193" i="112"/>
  <c r="Z4" i="127" l="1"/>
  <c r="Z4" i="126"/>
  <c r="Z4" i="99"/>
  <c r="J74" i="183"/>
  <c r="L74" i="183" s="1"/>
  <c r="P74" i="183" s="1"/>
  <c r="I38" i="196"/>
  <c r="I42" i="196" s="1"/>
  <c r="I43" i="196" s="1"/>
  <c r="I44" i="196" s="1"/>
  <c r="G38" i="196"/>
  <c r="G42" i="196" s="1"/>
  <c r="H38" i="196"/>
  <c r="H42" i="196" s="1"/>
  <c r="H43" i="196" s="1"/>
  <c r="H44" i="196" s="1"/>
  <c r="Z74" i="183"/>
  <c r="AA74" i="183" s="1"/>
  <c r="AC74" i="183" s="1"/>
  <c r="AX74" i="183"/>
  <c r="AU74" i="183"/>
  <c r="AV74" i="183" s="1"/>
  <c r="AW74" i="183" s="1" a="1"/>
  <c r="AW74" i="183" s="1"/>
  <c r="AL75" i="183" s="1"/>
  <c r="FJ66" i="183"/>
  <c r="FK66" i="183" s="1"/>
  <c r="FL66" i="183" s="1" a="1"/>
  <c r="FL66" i="183" s="1"/>
  <c r="FA67" i="183" s="1"/>
  <c r="FM66" i="183"/>
  <c r="AJ66" i="187"/>
  <c r="AJ69" i="187" s="1"/>
  <c r="AJ367" i="187" s="1"/>
  <c r="C64" i="126" s="1"/>
  <c r="C15" i="126" s="1"/>
  <c r="AI69" i="187"/>
  <c r="AJ65" i="187"/>
  <c r="AJ68" i="187" s="1"/>
  <c r="AJ366" i="187" s="1"/>
  <c r="C63" i="126" s="1"/>
  <c r="C14" i="126" s="1"/>
  <c r="AI68" i="187"/>
  <c r="AE73" i="187"/>
  <c r="K23" i="145" s="1"/>
  <c r="Z23" i="145" s="1"/>
  <c r="AE90" i="187"/>
  <c r="AJ67" i="187"/>
  <c r="AJ70" i="187" s="1"/>
  <c r="AJ368" i="187" s="1"/>
  <c r="C65" i="126" s="1"/>
  <c r="C16" i="126" s="1"/>
  <c r="AI70" i="187"/>
  <c r="AN66" i="187"/>
  <c r="AN69" i="187" s="1"/>
  <c r="AN367" i="187" s="1"/>
  <c r="C64" i="127" s="1"/>
  <c r="C15" i="127" s="1"/>
  <c r="AM69" i="187"/>
  <c r="AE67" i="187"/>
  <c r="AE70" i="187" s="1"/>
  <c r="AE368" i="187" s="1"/>
  <c r="C65" i="99" s="1"/>
  <c r="C16" i="99" s="1"/>
  <c r="AD70" i="187"/>
  <c r="AN67" i="187"/>
  <c r="AN70" i="187" s="1"/>
  <c r="AN368" i="187" s="1"/>
  <c r="C65" i="127" s="1"/>
  <c r="C16" i="127" s="1"/>
  <c r="AM70" i="187"/>
  <c r="AE66" i="187"/>
  <c r="AE69" i="187" s="1"/>
  <c r="AE367" i="187" s="1"/>
  <c r="C64" i="99" s="1"/>
  <c r="C15" i="99" s="1"/>
  <c r="AD69" i="187"/>
  <c r="AJ90" i="187"/>
  <c r="AJ73" i="187"/>
  <c r="L23" i="145" s="1"/>
  <c r="AA23" i="145" s="1"/>
  <c r="EV54" i="183"/>
  <c r="ES54" i="183"/>
  <c r="AN65" i="187"/>
  <c r="AN68" i="187" s="1"/>
  <c r="AN366" i="187" s="1"/>
  <c r="C63" i="127" s="1"/>
  <c r="C14" i="127" s="1"/>
  <c r="AM68" i="187"/>
  <c r="AN90" i="187"/>
  <c r="AN73" i="187"/>
  <c r="M23" i="145" s="1"/>
  <c r="AB23" i="145" s="1"/>
  <c r="AE65" i="187"/>
  <c r="AE68" i="187" s="1"/>
  <c r="AE366" i="187" s="1"/>
  <c r="C63" i="99" s="1"/>
  <c r="C14" i="99" s="1"/>
  <c r="AD68" i="187"/>
  <c r="DK54" i="183"/>
  <c r="DN54" i="183"/>
  <c r="DX54" i="183"/>
  <c r="DY54" i="183" s="1"/>
  <c r="EA54" i="183" s="1"/>
  <c r="N193" i="112"/>
  <c r="F193" i="112" s="1"/>
  <c r="D193" i="112" s="1"/>
  <c r="B9" i="197" s="1"/>
  <c r="B11" i="197"/>
  <c r="AI40" i="197"/>
  <c r="R40" i="197"/>
  <c r="V193" i="112"/>
  <c r="H199" i="112"/>
  <c r="I199" i="112"/>
  <c r="CF26" i="132" l="1"/>
  <c r="CF25" i="132"/>
  <c r="CH26" i="132"/>
  <c r="CH25" i="132"/>
  <c r="CF27" i="132"/>
  <c r="CF28" i="132"/>
  <c r="CF24" i="132"/>
  <c r="CF23" i="132"/>
  <c r="CH24" i="132"/>
  <c r="CH23" i="132"/>
  <c r="CH28" i="132"/>
  <c r="CH27" i="132"/>
  <c r="C563" i="127"/>
  <c r="E563" i="127" s="1"/>
  <c r="C696" i="127"/>
  <c r="E696" i="127" s="1"/>
  <c r="C555" i="126"/>
  <c r="E555" i="126" s="1"/>
  <c r="C688" i="126"/>
  <c r="E688" i="126" s="1"/>
  <c r="C565" i="99"/>
  <c r="E565" i="99" s="1"/>
  <c r="C698" i="99"/>
  <c r="E698" i="99" s="1"/>
  <c r="M74" i="183"/>
  <c r="N74" i="183" s="1"/>
  <c r="O74" i="183" s="1" a="1"/>
  <c r="O74" i="183" s="1"/>
  <c r="D75" i="183" s="1"/>
  <c r="F75" i="183" s="1"/>
  <c r="AJ75" i="187"/>
  <c r="AJ310" i="187" s="1"/>
  <c r="AE75" i="187"/>
  <c r="AE310" i="187" s="1"/>
  <c r="G41" i="196"/>
  <c r="H41" i="196"/>
  <c r="H45" i="196" s="1"/>
  <c r="H46" i="196" s="1"/>
  <c r="I41" i="196"/>
  <c r="I45" i="196" s="1"/>
  <c r="I46" i="196" s="1"/>
  <c r="AE76" i="187"/>
  <c r="AE311" i="187" s="1"/>
  <c r="AE74" i="187"/>
  <c r="AE309" i="187" s="1"/>
  <c r="AN74" i="187"/>
  <c r="AN309" i="187" s="1"/>
  <c r="AN75" i="187"/>
  <c r="AN310" i="187" s="1"/>
  <c r="AN76" i="187"/>
  <c r="AN311" i="187" s="1"/>
  <c r="AJ76" i="187"/>
  <c r="AJ311" i="187" s="1"/>
  <c r="AE362" i="187"/>
  <c r="C59" i="99" s="1"/>
  <c r="C10" i="99" s="1"/>
  <c r="AJ74" i="187"/>
  <c r="AJ309" i="187" s="1"/>
  <c r="DL54" i="183"/>
  <c r="DM54" i="183" s="1" a="1"/>
  <c r="DM54" i="183" s="1"/>
  <c r="DB55" i="183" s="1"/>
  <c r="AE89" i="187"/>
  <c r="AE363" i="187"/>
  <c r="C60" i="99" s="1"/>
  <c r="C11" i="99" s="1"/>
  <c r="AJ362" i="187"/>
  <c r="C59" i="126" s="1"/>
  <c r="C10" i="126" s="1"/>
  <c r="ET54" i="183"/>
  <c r="EU54" i="183" s="1" a="1"/>
  <c r="EU54" i="183" s="1"/>
  <c r="EJ55" i="183" s="1"/>
  <c r="AN364" i="187"/>
  <c r="C61" i="127" s="1"/>
  <c r="C12" i="127" s="1"/>
  <c r="AJ363" i="187"/>
  <c r="C60" i="126" s="1"/>
  <c r="C11" i="126" s="1"/>
  <c r="AJ89" i="187"/>
  <c r="EE54" i="183"/>
  <c r="EB54" i="183"/>
  <c r="AN362" i="187"/>
  <c r="C59" i="127" s="1"/>
  <c r="C10" i="127" s="1"/>
  <c r="AE364" i="187"/>
  <c r="C61" i="99" s="1"/>
  <c r="C12" i="99" s="1"/>
  <c r="AJ364" i="187"/>
  <c r="C61" i="126" s="1"/>
  <c r="C12" i="126" s="1"/>
  <c r="FC67" i="183"/>
  <c r="FD67" i="183"/>
  <c r="FB67" i="183"/>
  <c r="FE67" i="183" s="1"/>
  <c r="FH67" i="183"/>
  <c r="AN363" i="187"/>
  <c r="C60" i="127" s="1"/>
  <c r="C11" i="127" s="1"/>
  <c r="AN75" i="183"/>
  <c r="AO75" i="183"/>
  <c r="AS75" i="183"/>
  <c r="AM75" i="183"/>
  <c r="AP75" i="183" s="1"/>
  <c r="AN89" i="187"/>
  <c r="AD74" i="183"/>
  <c r="AE74" i="183" s="1"/>
  <c r="AF74" i="183" s="1" a="1"/>
  <c r="AF74" i="183" s="1"/>
  <c r="U75" i="183" s="1"/>
  <c r="AG74" i="183"/>
  <c r="N199" i="112"/>
  <c r="F199" i="112" s="1"/>
  <c r="D199" i="112" s="1"/>
  <c r="I12" i="196" s="1"/>
  <c r="I18" i="196" s="1"/>
  <c r="S40" i="197"/>
  <c r="U40" i="197"/>
  <c r="AJ40" i="197"/>
  <c r="AL40" i="197"/>
  <c r="G43" i="196"/>
  <c r="D40" i="197"/>
  <c r="E40" i="197" s="1"/>
  <c r="CG26" i="132" l="1"/>
  <c r="CG25" i="132"/>
  <c r="CG24" i="132"/>
  <c r="CG23" i="132"/>
  <c r="CE24" i="132"/>
  <c r="CE23" i="132"/>
  <c r="CG28" i="132"/>
  <c r="CG27" i="132"/>
  <c r="CE26" i="132"/>
  <c r="CE25" i="132"/>
  <c r="CE28" i="132"/>
  <c r="CE27" i="132"/>
  <c r="G12" i="196"/>
  <c r="G18" i="196" s="1"/>
  <c r="Z8" i="127"/>
  <c r="Z9" i="127"/>
  <c r="Z7" i="127"/>
  <c r="Z8" i="126"/>
  <c r="Z7" i="126"/>
  <c r="Z9" i="126"/>
  <c r="Z7" i="99"/>
  <c r="Z9" i="99"/>
  <c r="Z8" i="99"/>
  <c r="K75" i="183"/>
  <c r="E75" i="183"/>
  <c r="H75" i="183" s="1"/>
  <c r="I75" i="183" s="1"/>
  <c r="G75" i="183"/>
  <c r="AJ78" i="187"/>
  <c r="AE78" i="187"/>
  <c r="AE77" i="187"/>
  <c r="AE79" i="187"/>
  <c r="AN78" i="187"/>
  <c r="H12" i="196"/>
  <c r="H18" i="196" s="1"/>
  <c r="AN79" i="187"/>
  <c r="AN77" i="187"/>
  <c r="DE55" i="183"/>
  <c r="DC55" i="183"/>
  <c r="DF55" i="183" s="1"/>
  <c r="DD55" i="183"/>
  <c r="DI55" i="183"/>
  <c r="EC54" i="183"/>
  <c r="ED54" i="183" s="1" a="1"/>
  <c r="ED54" i="183" s="1"/>
  <c r="DS55" i="183" s="1"/>
  <c r="EK55" i="183"/>
  <c r="EN55" i="183" s="1"/>
  <c r="EL55" i="183"/>
  <c r="EQ55" i="183"/>
  <c r="EM55" i="183"/>
  <c r="AJ77" i="187"/>
  <c r="FF67" i="183"/>
  <c r="FG67" i="183" s="1"/>
  <c r="FI67" i="183" s="1"/>
  <c r="AQ75" i="183"/>
  <c r="AR75" i="183" s="1"/>
  <c r="AT75" i="183" s="1"/>
  <c r="AJ79" i="187"/>
  <c r="W75" i="183"/>
  <c r="AB75" i="183"/>
  <c r="V75" i="183"/>
  <c r="Y75" i="183" s="1"/>
  <c r="X75" i="183"/>
  <c r="G40" i="197"/>
  <c r="G44" i="196"/>
  <c r="G45" i="196"/>
  <c r="AN92" i="187" l="1"/>
  <c r="AN95" i="187" s="1"/>
  <c r="CN27" i="132"/>
  <c r="CN28" i="132"/>
  <c r="CO28" i="132"/>
  <c r="CO27" i="132"/>
  <c r="CO24" i="132"/>
  <c r="CO23" i="132"/>
  <c r="AJ91" i="187"/>
  <c r="AJ94" i="187" s="1"/>
  <c r="CM25" i="132"/>
  <c r="CM26" i="132"/>
  <c r="AJ92" i="187"/>
  <c r="AJ95" i="187" s="1"/>
  <c r="CN26" i="132"/>
  <c r="CN25" i="132"/>
  <c r="AE92" i="187"/>
  <c r="AE95" i="187" s="1"/>
  <c r="CN23" i="132"/>
  <c r="CN24" i="132"/>
  <c r="CO26" i="132"/>
  <c r="CO25" i="132"/>
  <c r="AE91" i="187"/>
  <c r="AE94" i="187" s="1"/>
  <c r="CM24" i="132"/>
  <c r="CM23" i="132"/>
  <c r="AN91" i="187"/>
  <c r="AN94" i="187" s="1"/>
  <c r="CM28" i="132"/>
  <c r="CM27" i="132"/>
  <c r="C565" i="127"/>
  <c r="E565" i="127" s="1"/>
  <c r="C698" i="127"/>
  <c r="E698" i="127" s="1"/>
  <c r="C564" i="127"/>
  <c r="E564" i="127" s="1"/>
  <c r="C697" i="127"/>
  <c r="E697" i="127" s="1"/>
  <c r="C566" i="127"/>
  <c r="E566" i="127" s="1"/>
  <c r="C699" i="127"/>
  <c r="E699" i="127" s="1"/>
  <c r="C556" i="126"/>
  <c r="E556" i="126" s="1"/>
  <c r="C689" i="126"/>
  <c r="E689" i="126" s="1"/>
  <c r="C558" i="126"/>
  <c r="E558" i="126" s="1"/>
  <c r="C691" i="126"/>
  <c r="E691" i="126" s="1"/>
  <c r="C557" i="126"/>
  <c r="E557" i="126" s="1"/>
  <c r="C690" i="126"/>
  <c r="E690" i="126" s="1"/>
  <c r="C700" i="99"/>
  <c r="E700" i="99" s="1"/>
  <c r="C567" i="99"/>
  <c r="E567" i="99" s="1"/>
  <c r="C568" i="99"/>
  <c r="E568" i="99" s="1"/>
  <c r="C701" i="99"/>
  <c r="E701" i="99" s="1"/>
  <c r="C699" i="99"/>
  <c r="E699" i="99" s="1"/>
  <c r="C566" i="99"/>
  <c r="E566" i="99" s="1"/>
  <c r="J75" i="183"/>
  <c r="L75" i="183" s="1"/>
  <c r="P75" i="183" s="1"/>
  <c r="DG55" i="183"/>
  <c r="DH55" i="183" s="1"/>
  <c r="DJ55" i="183" s="1"/>
  <c r="DK55" i="183" s="1"/>
  <c r="EO55" i="183"/>
  <c r="EP55" i="183" s="1"/>
  <c r="ER55" i="183" s="1"/>
  <c r="ES55" i="183" s="1"/>
  <c r="AX75" i="183"/>
  <c r="AU75" i="183"/>
  <c r="AV75" i="183" s="1"/>
  <c r="AW75" i="183" s="1" a="1"/>
  <c r="AW75" i="183" s="1"/>
  <c r="AL76" i="183" s="1"/>
  <c r="DV55" i="183"/>
  <c r="DT55" i="183"/>
  <c r="DW55" i="183" s="1"/>
  <c r="DU55" i="183"/>
  <c r="DZ55" i="183"/>
  <c r="FJ67" i="183"/>
  <c r="FK67" i="183" s="1"/>
  <c r="FL67" i="183" s="1" a="1"/>
  <c r="FL67" i="183" s="1"/>
  <c r="FA68" i="183" s="1"/>
  <c r="FM67" i="183"/>
  <c r="Z75" i="183"/>
  <c r="AA75" i="183" s="1"/>
  <c r="AC75" i="183" s="1"/>
  <c r="G46" i="196"/>
  <c r="AN101" i="187" l="1"/>
  <c r="AN120" i="187" s="1"/>
  <c r="AE101" i="187"/>
  <c r="AE102" i="187" s="1"/>
  <c r="AJ101" i="187"/>
  <c r="AJ102" i="187" s="1"/>
  <c r="AJ105" i="187" s="1"/>
  <c r="AJ125" i="187" s="1"/>
  <c r="M75" i="183"/>
  <c r="N75" i="183" s="1"/>
  <c r="O75" i="183" s="1" a="1"/>
  <c r="O75" i="183" s="1"/>
  <c r="D76" i="183" s="1"/>
  <c r="E76" i="183" s="1"/>
  <c r="H76" i="183" s="1"/>
  <c r="EV55" i="183"/>
  <c r="DN55" i="183"/>
  <c r="FH68" i="183"/>
  <c r="FB68" i="183"/>
  <c r="FE68" i="183" s="1"/>
  <c r="FC68" i="183"/>
  <c r="FD68" i="183"/>
  <c r="DL55" i="183"/>
  <c r="DM55" i="183" s="1" a="1"/>
  <c r="DM55" i="183" s="1"/>
  <c r="DB56" i="183" s="1"/>
  <c r="DX55" i="183"/>
  <c r="DY55" i="183" s="1"/>
  <c r="EA55" i="183" s="1"/>
  <c r="AM76" i="183"/>
  <c r="AP76" i="183" s="1"/>
  <c r="AS76" i="183"/>
  <c r="AN76" i="183"/>
  <c r="AO76" i="183"/>
  <c r="ET55" i="183"/>
  <c r="EU55" i="183" s="1" a="1"/>
  <c r="EU55" i="183" s="1"/>
  <c r="EJ56" i="183" s="1"/>
  <c r="AG75" i="183"/>
  <c r="AD75" i="183"/>
  <c r="AE75" i="183" s="1"/>
  <c r="AF75" i="183" s="1" a="1"/>
  <c r="AF75" i="183" s="1"/>
  <c r="U76" i="183" s="1"/>
  <c r="AN111" i="187" l="1"/>
  <c r="M38" i="145" s="1"/>
  <c r="AB38" i="145" s="1"/>
  <c r="AN102" i="187"/>
  <c r="AN105" i="187" s="1"/>
  <c r="AN125" i="187" s="1"/>
  <c r="AN103" i="187"/>
  <c r="AN106" i="187" s="1"/>
  <c r="AN126" i="187" s="1"/>
  <c r="AE103" i="187"/>
  <c r="AE106" i="187" s="1"/>
  <c r="AE126" i="187" s="1"/>
  <c r="AE120" i="187"/>
  <c r="AE111" i="187"/>
  <c r="K38" i="145" s="1"/>
  <c r="Z38" i="145" s="1"/>
  <c r="AE105" i="187"/>
  <c r="AE125" i="187" s="1"/>
  <c r="AJ120" i="187"/>
  <c r="AJ103" i="187"/>
  <c r="AJ106" i="187" s="1"/>
  <c r="AJ126" i="187" s="1"/>
  <c r="AJ111" i="187"/>
  <c r="L38" i="145" s="1"/>
  <c r="AA38" i="145" s="1"/>
  <c r="G76" i="183"/>
  <c r="K76" i="183"/>
  <c r="F76" i="183"/>
  <c r="I76" i="183" s="1"/>
  <c r="FF68" i="183"/>
  <c r="FG68" i="183" s="1"/>
  <c r="FI68" i="183" s="1"/>
  <c r="FJ68" i="183" s="1"/>
  <c r="FK68" i="183" s="1"/>
  <c r="FL68" i="183" s="1" a="1"/>
  <c r="FL68" i="183" s="1"/>
  <c r="FA69" i="183" s="1"/>
  <c r="DE56" i="183"/>
  <c r="DI56" i="183"/>
  <c r="DD56" i="183"/>
  <c r="DC56" i="183"/>
  <c r="DF56" i="183" s="1"/>
  <c r="EB55" i="183"/>
  <c r="EE55" i="183"/>
  <c r="AJ108" i="187"/>
  <c r="EL56" i="183"/>
  <c r="EM56" i="183"/>
  <c r="EK56" i="183"/>
  <c r="EN56" i="183" s="1"/>
  <c r="EQ56" i="183"/>
  <c r="AQ76" i="183"/>
  <c r="AR76" i="183" s="1"/>
  <c r="AT76" i="183" s="1"/>
  <c r="X76" i="183"/>
  <c r="W76" i="183"/>
  <c r="AB76" i="183"/>
  <c r="V76" i="183"/>
  <c r="Y76" i="183" s="1"/>
  <c r="AN108" i="187" l="1"/>
  <c r="AN109" i="187"/>
  <c r="AE109" i="187"/>
  <c r="AJ109" i="187"/>
  <c r="AE108" i="187"/>
  <c r="J76" i="183"/>
  <c r="L76" i="183" s="1"/>
  <c r="M76" i="183" s="1"/>
  <c r="N76" i="183" s="1"/>
  <c r="O76" i="183" s="1" a="1"/>
  <c r="O76" i="183" s="1"/>
  <c r="D77" i="183" s="1"/>
  <c r="FM68" i="183"/>
  <c r="DG56" i="183"/>
  <c r="DH56" i="183" s="1"/>
  <c r="DJ56" i="183" s="1"/>
  <c r="FC69" i="183"/>
  <c r="FD69" i="183"/>
  <c r="FB69" i="183"/>
  <c r="FE69" i="183" s="1"/>
  <c r="FH69" i="183"/>
  <c r="EC55" i="183"/>
  <c r="ED55" i="183" s="1" a="1"/>
  <c r="ED55" i="183" s="1"/>
  <c r="DS56" i="183" s="1"/>
  <c r="AX76" i="183"/>
  <c r="AU76" i="183"/>
  <c r="AV76" i="183" s="1"/>
  <c r="AW76" i="183" s="1" a="1"/>
  <c r="AW76" i="183" s="1"/>
  <c r="AL77" i="183" s="1"/>
  <c r="EO56" i="183"/>
  <c r="EP56" i="183" s="1"/>
  <c r="ER56" i="183" s="1"/>
  <c r="Z76" i="183"/>
  <c r="AA76" i="183" s="1"/>
  <c r="AC76" i="183" s="1"/>
  <c r="P76" i="183" l="1"/>
  <c r="AS77" i="183"/>
  <c r="AN77" i="183"/>
  <c r="AO77" i="183"/>
  <c r="AM77" i="183"/>
  <c r="AP77" i="183" s="1"/>
  <c r="ES56" i="183"/>
  <c r="EV56" i="183"/>
  <c r="DV56" i="183"/>
  <c r="DT56" i="183"/>
  <c r="DW56" i="183" s="1"/>
  <c r="DU56" i="183"/>
  <c r="DZ56" i="183"/>
  <c r="FF69" i="183"/>
  <c r="FG69" i="183" s="1"/>
  <c r="FI69" i="183" s="1"/>
  <c r="DK56" i="183"/>
  <c r="DN56" i="183"/>
  <c r="AG76" i="183"/>
  <c r="AD76" i="183"/>
  <c r="AE76" i="183" s="1"/>
  <c r="AF76" i="183" s="1" a="1"/>
  <c r="AF76" i="183" s="1"/>
  <c r="U77" i="183" s="1"/>
  <c r="E77" i="183"/>
  <c r="H77" i="183" s="1"/>
  <c r="F77" i="183"/>
  <c r="K77" i="183"/>
  <c r="G77" i="183"/>
  <c r="K609" i="125"/>
  <c r="K610" i="125" s="1"/>
  <c r="D13" i="145"/>
  <c r="M609" i="125" l="1"/>
  <c r="M610" i="125" s="1"/>
  <c r="DX56" i="183"/>
  <c r="DY56" i="183" s="1"/>
  <c r="EA56" i="183" s="1"/>
  <c r="DL56" i="183"/>
  <c r="DM56" i="183" s="1" a="1"/>
  <c r="DM56" i="183" s="1"/>
  <c r="DB57" i="183" s="1"/>
  <c r="FM69" i="183"/>
  <c r="FJ69" i="183"/>
  <c r="FK69" i="183" s="1"/>
  <c r="FL69" i="183" s="1" a="1"/>
  <c r="FL69" i="183" s="1"/>
  <c r="FA70" i="183" s="1"/>
  <c r="I77" i="183"/>
  <c r="J77" i="183" s="1"/>
  <c r="L77" i="183" s="1"/>
  <c r="ET56" i="183"/>
  <c r="EU56" i="183" s="1" a="1"/>
  <c r="EU56" i="183" s="1"/>
  <c r="EJ57" i="183" s="1"/>
  <c r="AQ77" i="183"/>
  <c r="AR77" i="183" s="1"/>
  <c r="AT77" i="183" s="1"/>
  <c r="X77" i="183"/>
  <c r="V77" i="183"/>
  <c r="Y77" i="183" s="1"/>
  <c r="AB77" i="183"/>
  <c r="W77" i="183"/>
  <c r="L609" i="125"/>
  <c r="L610" i="125" s="1"/>
  <c r="D41" i="145"/>
  <c r="D42" i="145"/>
  <c r="D43" i="145"/>
  <c r="K579" i="125"/>
  <c r="H24" i="141"/>
  <c r="S50" i="145"/>
  <c r="D50" i="145"/>
  <c r="C595" i="125" l="1"/>
  <c r="M579" i="125"/>
  <c r="M580" i="125" s="1"/>
  <c r="K580" i="125"/>
  <c r="D47" i="145"/>
  <c r="BH9" i="132" a="1"/>
  <c r="BH9" i="132" s="1"/>
  <c r="S43" i="145"/>
  <c r="BG9" i="132" a="1"/>
  <c r="BG9" i="132" s="1"/>
  <c r="S41" i="145"/>
  <c r="BF9" i="132" a="1"/>
  <c r="BF9" i="132" s="1"/>
  <c r="S42" i="145"/>
  <c r="EE56" i="183"/>
  <c r="EB56" i="183"/>
  <c r="EC56" i="183" s="1"/>
  <c r="ED56" i="183" s="1" a="1"/>
  <c r="ED56" i="183" s="1"/>
  <c r="DS57" i="183" s="1"/>
  <c r="Z77" i="183"/>
  <c r="AA77" i="183" s="1"/>
  <c r="AC77" i="183" s="1"/>
  <c r="AD77" i="183" s="1"/>
  <c r="AE77" i="183" s="1"/>
  <c r="AF77" i="183" s="1" a="1"/>
  <c r="AF77" i="183" s="1"/>
  <c r="U78" i="183" s="1"/>
  <c r="DE57" i="183"/>
  <c r="DD57" i="183"/>
  <c r="DC57" i="183"/>
  <c r="DF57" i="183" s="1"/>
  <c r="DI57" i="183"/>
  <c r="EK57" i="183"/>
  <c r="EN57" i="183" s="1"/>
  <c r="EL57" i="183"/>
  <c r="EM57" i="183"/>
  <c r="EQ57" i="183"/>
  <c r="AX77" i="183"/>
  <c r="AU77" i="183"/>
  <c r="AV77" i="183" s="1"/>
  <c r="AW77" i="183" s="1" a="1"/>
  <c r="AW77" i="183" s="1"/>
  <c r="AL78" i="183" s="1"/>
  <c r="FC70" i="183"/>
  <c r="FD70" i="183"/>
  <c r="FH70" i="183"/>
  <c r="FB70" i="183"/>
  <c r="FE70" i="183" s="1"/>
  <c r="M77" i="183"/>
  <c r="N77" i="183" s="1"/>
  <c r="O77" i="183" s="1" a="1"/>
  <c r="O77" i="183" s="1"/>
  <c r="D78" i="183" s="1"/>
  <c r="P77" i="183"/>
  <c r="I24" i="141"/>
  <c r="L579" i="125"/>
  <c r="L580" i="125" s="1"/>
  <c r="H25" i="141"/>
  <c r="C598" i="125"/>
  <c r="D598" i="125" s="1"/>
  <c r="H18" i="141"/>
  <c r="DL7" i="132"/>
  <c r="D44" i="145"/>
  <c r="D49" i="145"/>
  <c r="D46" i="145"/>
  <c r="I25" i="141"/>
  <c r="C600" i="125"/>
  <c r="D600" i="125" s="1"/>
  <c r="D45" i="145"/>
  <c r="D48" i="145"/>
  <c r="S8" i="145"/>
  <c r="D595" i="125" l="1"/>
  <c r="C601" i="125"/>
  <c r="D601" i="125" s="1"/>
  <c r="BF10" i="132" a="1"/>
  <c r="BF10" i="132" s="1"/>
  <c r="BH10" i="132" a="1"/>
  <c r="BH10" i="132" s="1"/>
  <c r="S48" i="145"/>
  <c r="BG10" i="132" a="1"/>
  <c r="BG10" i="132" s="1"/>
  <c r="S47" i="145"/>
  <c r="BX9" i="132" a="1"/>
  <c r="BX9" i="132" s="1"/>
  <c r="S49" i="145"/>
  <c r="BU9" i="132" a="1"/>
  <c r="BU9" i="132" s="1"/>
  <c r="S46" i="145"/>
  <c r="BV9" i="132" a="1"/>
  <c r="BV9" i="132" s="1"/>
  <c r="S45" i="145"/>
  <c r="BW9" i="132" a="1"/>
  <c r="BW9" i="132" s="1"/>
  <c r="S44" i="145"/>
  <c r="BZ9" i="132" a="1"/>
  <c r="BZ9" i="132" s="1"/>
  <c r="BY9" i="132" a="1"/>
  <c r="BY9" i="132" s="1"/>
  <c r="X9" i="132" s="1"/>
  <c r="AG77" i="183"/>
  <c r="FF70" i="183"/>
  <c r="FG70" i="183" s="1"/>
  <c r="FI70" i="183" s="1"/>
  <c r="DT57" i="183"/>
  <c r="DW57" i="183" s="1"/>
  <c r="DU57" i="183"/>
  <c r="DV57" i="183"/>
  <c r="DZ57" i="183"/>
  <c r="AN78" i="183"/>
  <c r="AM78" i="183"/>
  <c r="AP78" i="183" s="1"/>
  <c r="AO78" i="183"/>
  <c r="AS78" i="183"/>
  <c r="EO57" i="183"/>
  <c r="EP57" i="183" s="1"/>
  <c r="ER57" i="183" s="1"/>
  <c r="DG57" i="183"/>
  <c r="DH57" i="183" s="1"/>
  <c r="DJ57" i="183" s="1"/>
  <c r="V78" i="183"/>
  <c r="Y78" i="183" s="1"/>
  <c r="W78" i="183"/>
  <c r="X78" i="183"/>
  <c r="AB78" i="183"/>
  <c r="F78" i="183"/>
  <c r="K78" i="183"/>
  <c r="G78" i="183"/>
  <c r="E78" i="183"/>
  <c r="H78" i="183" s="1"/>
  <c r="C565" i="125"/>
  <c r="C571" i="125" s="1"/>
  <c r="D571" i="125" s="1"/>
  <c r="I18" i="141"/>
  <c r="H19" i="141"/>
  <c r="C568" i="125"/>
  <c r="D568" i="125" s="1"/>
  <c r="L10" i="132"/>
  <c r="D8" i="145"/>
  <c r="S5" i="145"/>
  <c r="I10" i="132" l="1"/>
  <c r="BY10" i="132" a="1"/>
  <c r="BY10" i="132" s="1"/>
  <c r="X10" i="132" s="1"/>
  <c r="BV10" i="132" a="1"/>
  <c r="BV10" i="132" s="1"/>
  <c r="BW10" i="132" a="1"/>
  <c r="BW10" i="132" s="1"/>
  <c r="BU10" i="132" a="1"/>
  <c r="BU10" i="132" s="1"/>
  <c r="BX10" i="132" a="1"/>
  <c r="BX10" i="132" s="1"/>
  <c r="BZ10" i="132" a="1"/>
  <c r="BZ10" i="132" s="1"/>
  <c r="I19" i="141"/>
  <c r="Z78" i="183"/>
  <c r="AA78" i="183" s="1"/>
  <c r="AC78" i="183" s="1"/>
  <c r="DX57" i="183"/>
  <c r="DY57" i="183" s="1"/>
  <c r="EA57" i="183" s="1"/>
  <c r="ES57" i="183"/>
  <c r="EV57" i="183"/>
  <c r="AQ78" i="183"/>
  <c r="AR78" i="183" s="1"/>
  <c r="AT78" i="183" s="1"/>
  <c r="DK57" i="183"/>
  <c r="DN57" i="183"/>
  <c r="FM70" i="183"/>
  <c r="FJ70" i="183"/>
  <c r="FK70" i="183" s="1"/>
  <c r="FL70" i="183" s="1" a="1"/>
  <c r="FL70" i="183" s="1"/>
  <c r="FA71" i="183" s="1"/>
  <c r="I78" i="183"/>
  <c r="J78" i="183" s="1"/>
  <c r="L78" i="183" s="1"/>
  <c r="C570" i="125"/>
  <c r="D570" i="125" s="1"/>
  <c r="D565" i="125"/>
  <c r="L9" i="132"/>
  <c r="D5" i="145"/>
  <c r="I9" i="132" l="1"/>
  <c r="FH71" i="183"/>
  <c r="FB71" i="183"/>
  <c r="FE71" i="183" s="1"/>
  <c r="FC71" i="183"/>
  <c r="FD71" i="183"/>
  <c r="DL57" i="183"/>
  <c r="DM57" i="183" s="1" a="1"/>
  <c r="DM57" i="183" s="1"/>
  <c r="DB58" i="183" s="1"/>
  <c r="EE57" i="183"/>
  <c r="EB57" i="183"/>
  <c r="AU78" i="183"/>
  <c r="AV78" i="183" s="1"/>
  <c r="AW78" i="183" s="1" a="1"/>
  <c r="AW78" i="183" s="1"/>
  <c r="AL79" i="183" s="1"/>
  <c r="AX78" i="183"/>
  <c r="ET57" i="183"/>
  <c r="EU57" i="183" s="1" a="1"/>
  <c r="EU57" i="183" s="1"/>
  <c r="EJ58" i="183" s="1"/>
  <c r="AD78" i="183"/>
  <c r="AE78" i="183" s="1"/>
  <c r="AF78" i="183" s="1" a="1"/>
  <c r="AF78" i="183" s="1"/>
  <c r="U79" i="183" s="1"/>
  <c r="AG78" i="183"/>
  <c r="M78" i="183"/>
  <c r="N78" i="183" s="1"/>
  <c r="O78" i="183" s="1" a="1"/>
  <c r="O78" i="183" s="1"/>
  <c r="D79" i="183" s="1"/>
  <c r="P78" i="183"/>
  <c r="FF71" i="183" l="1"/>
  <c r="FG71" i="183" s="1"/>
  <c r="FI71" i="183" s="1"/>
  <c r="AM79" i="183"/>
  <c r="AP79" i="183" s="1"/>
  <c r="AS79" i="183"/>
  <c r="AN79" i="183"/>
  <c r="AO79" i="183"/>
  <c r="DC58" i="183"/>
  <c r="DF58" i="183" s="1"/>
  <c r="DD58" i="183"/>
  <c r="DE58" i="183"/>
  <c r="DI58" i="183"/>
  <c r="EK58" i="183"/>
  <c r="EN58" i="183" s="1"/>
  <c r="EM58" i="183"/>
  <c r="EL58" i="183"/>
  <c r="EQ58" i="183"/>
  <c r="EC57" i="183"/>
  <c r="ED57" i="183" s="1" a="1"/>
  <c r="ED57" i="183" s="1"/>
  <c r="DS58" i="183" s="1"/>
  <c r="W79" i="183"/>
  <c r="X79" i="183"/>
  <c r="V79" i="183"/>
  <c r="Y79" i="183" s="1"/>
  <c r="AB79" i="183"/>
  <c r="K79" i="183"/>
  <c r="E79" i="183"/>
  <c r="H79" i="183" s="1"/>
  <c r="G79" i="183"/>
  <c r="F79" i="183"/>
  <c r="I79" i="183" l="1"/>
  <c r="J79" i="183" s="1"/>
  <c r="L79" i="183" s="1"/>
  <c r="M79" i="183" s="1"/>
  <c r="N79" i="183" s="1"/>
  <c r="O79" i="183" s="1" a="1"/>
  <c r="O79" i="183" s="1"/>
  <c r="D80" i="183" s="1"/>
  <c r="DG58" i="183"/>
  <c r="DH58" i="183" s="1"/>
  <c r="DJ58" i="183" s="1"/>
  <c r="AQ79" i="183"/>
  <c r="AR79" i="183" s="1"/>
  <c r="AT79" i="183" s="1"/>
  <c r="EO58" i="183"/>
  <c r="EP58" i="183" s="1"/>
  <c r="ER58" i="183" s="1"/>
  <c r="FM71" i="183"/>
  <c r="FJ71" i="183"/>
  <c r="FK71" i="183" s="1"/>
  <c r="FL71" i="183" s="1" a="1"/>
  <c r="FL71" i="183" s="1"/>
  <c r="FA72" i="183" s="1"/>
  <c r="DT58" i="183"/>
  <c r="DW58" i="183" s="1"/>
  <c r="DU58" i="183"/>
  <c r="DV58" i="183"/>
  <c r="DZ58" i="183"/>
  <c r="Z79" i="183"/>
  <c r="AA79" i="183" s="1"/>
  <c r="AC79" i="183" s="1"/>
  <c r="P79" i="183" l="1"/>
  <c r="DN58" i="183"/>
  <c r="DK58" i="183"/>
  <c r="DL58" i="183" s="1"/>
  <c r="DM58" i="183" s="1" a="1"/>
  <c r="DM58" i="183" s="1"/>
  <c r="DB59" i="183" s="1"/>
  <c r="DX58" i="183"/>
  <c r="DY58" i="183" s="1"/>
  <c r="EA58" i="183" s="1"/>
  <c r="AU79" i="183"/>
  <c r="AV79" i="183" s="1"/>
  <c r="AW79" i="183" s="1" a="1"/>
  <c r="AW79" i="183" s="1"/>
  <c r="AL80" i="183" s="1"/>
  <c r="AX79" i="183"/>
  <c r="ES58" i="183"/>
  <c r="EV58" i="183"/>
  <c r="FD72" i="183"/>
  <c r="FC72" i="183"/>
  <c r="FB72" i="183"/>
  <c r="FE72" i="183" s="1"/>
  <c r="FH72" i="183"/>
  <c r="AD79" i="183"/>
  <c r="AE79" i="183" s="1"/>
  <c r="AF79" i="183" s="1" a="1"/>
  <c r="AF79" i="183" s="1"/>
  <c r="U80" i="183" s="1"/>
  <c r="AG79" i="183"/>
  <c r="F80" i="183"/>
  <c r="K80" i="183"/>
  <c r="E80" i="183"/>
  <c r="H80" i="183" s="1"/>
  <c r="G80" i="183"/>
  <c r="DE59" i="183" l="1"/>
  <c r="DD59" i="183"/>
  <c r="DC59" i="183"/>
  <c r="DF59" i="183" s="1"/>
  <c r="DI59" i="183"/>
  <c r="EE58" i="183"/>
  <c r="EB58" i="183"/>
  <c r="FF72" i="183"/>
  <c r="FG72" i="183" s="1"/>
  <c r="FI72" i="183" s="1"/>
  <c r="ET58" i="183"/>
  <c r="EU58" i="183" s="1" a="1"/>
  <c r="EU58" i="183" s="1"/>
  <c r="EJ59" i="183" s="1"/>
  <c r="AO80" i="183"/>
  <c r="AS80" i="183"/>
  <c r="AN80" i="183"/>
  <c r="AM80" i="183"/>
  <c r="AP80" i="183" s="1"/>
  <c r="W80" i="183"/>
  <c r="AB80" i="183"/>
  <c r="X80" i="183"/>
  <c r="V80" i="183"/>
  <c r="Y80" i="183" s="1"/>
  <c r="I80" i="183"/>
  <c r="J80" i="183" s="1"/>
  <c r="L80" i="183" s="1"/>
  <c r="FJ72" i="183" l="1"/>
  <c r="FK72" i="183" s="1"/>
  <c r="FL72" i="183" s="1" a="1"/>
  <c r="FL72" i="183" s="1"/>
  <c r="FA73" i="183" s="1"/>
  <c r="FM72" i="183"/>
  <c r="EC58" i="183"/>
  <c r="ED58" i="183" s="1" a="1"/>
  <c r="ED58" i="183" s="1"/>
  <c r="DS59" i="183" s="1"/>
  <c r="AQ80" i="183"/>
  <c r="AR80" i="183" s="1"/>
  <c r="AT80" i="183" s="1"/>
  <c r="EK59" i="183"/>
  <c r="EN59" i="183" s="1"/>
  <c r="EL59" i="183"/>
  <c r="EM59" i="183"/>
  <c r="EQ59" i="183"/>
  <c r="DG59" i="183"/>
  <c r="DH59" i="183" s="1"/>
  <c r="DJ59" i="183" s="1"/>
  <c r="Z80" i="183"/>
  <c r="AA80" i="183" s="1"/>
  <c r="AC80" i="183" s="1"/>
  <c r="P80" i="183"/>
  <c r="M80" i="183"/>
  <c r="N80" i="183" s="1"/>
  <c r="O80" i="183" s="1" a="1"/>
  <c r="O80" i="183" s="1"/>
  <c r="D81" i="183" s="1"/>
  <c r="EO59" i="183" l="1"/>
  <c r="EP59" i="183" s="1"/>
  <c r="ER59" i="183" s="1"/>
  <c r="DU59" i="183"/>
  <c r="DT59" i="183"/>
  <c r="DW59" i="183" s="1"/>
  <c r="DV59" i="183"/>
  <c r="DZ59" i="183"/>
  <c r="DN59" i="183"/>
  <c r="DK59" i="183"/>
  <c r="DL59" i="183" s="1"/>
  <c r="DM59" i="183" s="1" a="1"/>
  <c r="DM59" i="183" s="1"/>
  <c r="DB60" i="183" s="1"/>
  <c r="AU80" i="183"/>
  <c r="AV80" i="183" s="1"/>
  <c r="AW80" i="183" s="1" a="1"/>
  <c r="AW80" i="183" s="1"/>
  <c r="AL81" i="183" s="1"/>
  <c r="AX80" i="183"/>
  <c r="FB73" i="183"/>
  <c r="FE73" i="183" s="1"/>
  <c r="FH73" i="183"/>
  <c r="FC73" i="183"/>
  <c r="FD73" i="183"/>
  <c r="AD80" i="183"/>
  <c r="AE80" i="183" s="1"/>
  <c r="AF80" i="183" s="1" a="1"/>
  <c r="AF80" i="183" s="1"/>
  <c r="U81" i="183" s="1"/>
  <c r="AG80" i="183"/>
  <c r="E81" i="183"/>
  <c r="H81" i="183" s="1"/>
  <c r="F81" i="183"/>
  <c r="K81" i="183"/>
  <c r="G81" i="183"/>
  <c r="AN81" i="183" l="1"/>
  <c r="AM81" i="183"/>
  <c r="AP81" i="183" s="1"/>
  <c r="AO81" i="183"/>
  <c r="AS81" i="183"/>
  <c r="I81" i="183"/>
  <c r="J81" i="183" s="1"/>
  <c r="L81" i="183" s="1"/>
  <c r="DC60" i="183"/>
  <c r="DF60" i="183" s="1"/>
  <c r="DD60" i="183"/>
  <c r="DI60" i="183"/>
  <c r="DE60" i="183"/>
  <c r="ES59" i="183"/>
  <c r="ET59" i="183" s="1"/>
  <c r="EU59" i="183" s="1" a="1"/>
  <c r="EU59" i="183" s="1"/>
  <c r="EJ60" i="183" s="1"/>
  <c r="EV59" i="183"/>
  <c r="FF73" i="183"/>
  <c r="FG73" i="183" s="1"/>
  <c r="FI73" i="183" s="1"/>
  <c r="DX59" i="183"/>
  <c r="DY59" i="183" s="1"/>
  <c r="EA59" i="183" s="1"/>
  <c r="V81" i="183"/>
  <c r="Y81" i="183" s="1"/>
  <c r="AB81" i="183"/>
  <c r="X81" i="183"/>
  <c r="W81" i="183"/>
  <c r="C429" i="98"/>
  <c r="E429" i="98" s="1"/>
  <c r="C430" i="98"/>
  <c r="E430" i="98" s="1"/>
  <c r="C433" i="98"/>
  <c r="C552" i="98"/>
  <c r="C562" i="98"/>
  <c r="E562" i="98" s="1"/>
  <c r="E433" i="98" l="1"/>
  <c r="F484" i="98"/>
  <c r="E552" i="98"/>
  <c r="Z81" i="183"/>
  <c r="AA81" i="183" s="1"/>
  <c r="AC81" i="183" s="1"/>
  <c r="DG60" i="183"/>
  <c r="DH60" i="183" s="1"/>
  <c r="DJ60" i="183" s="1"/>
  <c r="EL60" i="183"/>
  <c r="EK60" i="183"/>
  <c r="EN60" i="183" s="1"/>
  <c r="EM60" i="183"/>
  <c r="EQ60" i="183"/>
  <c r="FM73" i="183"/>
  <c r="FJ73" i="183"/>
  <c r="FK73" i="183" s="1"/>
  <c r="FL73" i="183" s="1" a="1"/>
  <c r="FL73" i="183" s="1"/>
  <c r="FA74" i="183" s="1"/>
  <c r="AQ81" i="183"/>
  <c r="AR81" i="183" s="1"/>
  <c r="AT81" i="183" s="1"/>
  <c r="EB59" i="183"/>
  <c r="EC59" i="183" s="1"/>
  <c r="ED59" i="183" s="1" a="1"/>
  <c r="ED59" i="183" s="1"/>
  <c r="DS60" i="183" s="1"/>
  <c r="EE59" i="183"/>
  <c r="P81" i="183"/>
  <c r="M81" i="183"/>
  <c r="N81" i="183" s="1"/>
  <c r="O81" i="183" s="1" a="1"/>
  <c r="O81" i="183" s="1"/>
  <c r="D82" i="183" s="1"/>
  <c r="F618" i="98" l="1"/>
  <c r="AD81" i="183"/>
  <c r="AE81" i="183" s="1"/>
  <c r="AF81" i="183" s="1" a="1"/>
  <c r="AF81" i="183" s="1"/>
  <c r="U82" i="183" s="1"/>
  <c r="AB82" i="183" s="1"/>
  <c r="AG81" i="183"/>
  <c r="AU81" i="183"/>
  <c r="AV81" i="183" s="1"/>
  <c r="AW81" i="183" s="1" a="1"/>
  <c r="AW81" i="183" s="1"/>
  <c r="AL82" i="183" s="1"/>
  <c r="AX81" i="183"/>
  <c r="FC74" i="183"/>
  <c r="FB74" i="183"/>
  <c r="FE74" i="183" s="1"/>
  <c r="FH74" i="183"/>
  <c r="FD74" i="183"/>
  <c r="EO60" i="183"/>
  <c r="EP60" i="183" s="1"/>
  <c r="ER60" i="183" s="1"/>
  <c r="DV60" i="183"/>
  <c r="DZ60" i="183"/>
  <c r="DT60" i="183"/>
  <c r="DW60" i="183" s="1"/>
  <c r="DU60" i="183"/>
  <c r="DK60" i="183"/>
  <c r="DL60" i="183" s="1"/>
  <c r="DM60" i="183" s="1" a="1"/>
  <c r="DM60" i="183" s="1"/>
  <c r="DB61" i="183" s="1"/>
  <c r="DN60" i="183"/>
  <c r="G82" i="183"/>
  <c r="F82" i="183"/>
  <c r="E82" i="183"/>
  <c r="H82" i="183" s="1"/>
  <c r="K82" i="183"/>
  <c r="V82" i="183" l="1"/>
  <c r="Y82" i="183" s="1"/>
  <c r="W82" i="183"/>
  <c r="X82" i="183"/>
  <c r="DX60" i="183"/>
  <c r="DY60" i="183" s="1"/>
  <c r="EA60" i="183" s="1"/>
  <c r="EB60" i="183" s="1"/>
  <c r="EC60" i="183" s="1"/>
  <c r="ED60" i="183" s="1" a="1"/>
  <c r="ED60" i="183" s="1"/>
  <c r="DS61" i="183" s="1"/>
  <c r="FF74" i="183"/>
  <c r="FG74" i="183" s="1"/>
  <c r="FI74" i="183" s="1"/>
  <c r="ES60" i="183"/>
  <c r="ET60" i="183" s="1"/>
  <c r="EU60" i="183" s="1" a="1"/>
  <c r="EU60" i="183" s="1"/>
  <c r="EJ61" i="183" s="1"/>
  <c r="EV60" i="183"/>
  <c r="AM82" i="183"/>
  <c r="AP82" i="183" s="1"/>
  <c r="AN82" i="183"/>
  <c r="AS82" i="183"/>
  <c r="AO82" i="183"/>
  <c r="DC61" i="183"/>
  <c r="DF61" i="183" s="1"/>
  <c r="DD61" i="183"/>
  <c r="DE61" i="183"/>
  <c r="DI61" i="183"/>
  <c r="I82" i="183"/>
  <c r="J82" i="183" s="1"/>
  <c r="L82" i="183" s="1"/>
  <c r="Z82" i="183" l="1"/>
  <c r="AA82" i="183" s="1"/>
  <c r="AC82" i="183" s="1"/>
  <c r="AQ82" i="183"/>
  <c r="AR82" i="183" s="1"/>
  <c r="AT82" i="183" s="1"/>
  <c r="DG61" i="183"/>
  <c r="DH61" i="183" s="1"/>
  <c r="DJ61" i="183" s="1"/>
  <c r="EE60" i="183"/>
  <c r="EL61" i="183"/>
  <c r="EQ61" i="183"/>
  <c r="EM61" i="183"/>
  <c r="EK61" i="183"/>
  <c r="EN61" i="183" s="1"/>
  <c r="FJ74" i="183"/>
  <c r="FK74" i="183" s="1"/>
  <c r="FL74" i="183" s="1" a="1"/>
  <c r="FL74" i="183" s="1"/>
  <c r="FA75" i="183" s="1"/>
  <c r="FM74" i="183"/>
  <c r="DU61" i="183"/>
  <c r="DV61" i="183"/>
  <c r="DT61" i="183"/>
  <c r="DW61" i="183" s="1"/>
  <c r="DZ61" i="183"/>
  <c r="M82" i="183"/>
  <c r="N82" i="183" s="1"/>
  <c r="O82" i="183" s="1" a="1"/>
  <c r="O82" i="183" s="1"/>
  <c r="D83" i="183" s="1"/>
  <c r="P82" i="183"/>
  <c r="AD82" i="183" l="1"/>
  <c r="AE82" i="183" s="1"/>
  <c r="AF82" i="183" s="1" a="1"/>
  <c r="AF82" i="183" s="1"/>
  <c r="U83" i="183" s="1"/>
  <c r="V83" i="183" s="1"/>
  <c r="Y83" i="183" s="1"/>
  <c r="AG82" i="183"/>
  <c r="FH75" i="183"/>
  <c r="FB75" i="183"/>
  <c r="FE75" i="183" s="1"/>
  <c r="FD75" i="183"/>
  <c r="FC75" i="183"/>
  <c r="DX61" i="183"/>
  <c r="DY61" i="183" s="1"/>
  <c r="EA61" i="183" s="1"/>
  <c r="EO61" i="183"/>
  <c r="EP61" i="183" s="1"/>
  <c r="ER61" i="183" s="1"/>
  <c r="AU82" i="183"/>
  <c r="AV82" i="183" s="1"/>
  <c r="AW82" i="183" s="1" a="1"/>
  <c r="AW82" i="183" s="1"/>
  <c r="AL83" i="183" s="1"/>
  <c r="AX82" i="183"/>
  <c r="DK61" i="183"/>
  <c r="DL61" i="183" s="1"/>
  <c r="DM61" i="183" s="1" a="1"/>
  <c r="DM61" i="183" s="1"/>
  <c r="DB62" i="183" s="1"/>
  <c r="DN61" i="183"/>
  <c r="E83" i="183"/>
  <c r="H83" i="183" s="1"/>
  <c r="K83" i="183"/>
  <c r="F83" i="183"/>
  <c r="G83" i="183"/>
  <c r="W83" i="183" l="1"/>
  <c r="Z83" i="183" s="1"/>
  <c r="AB83" i="183"/>
  <c r="X83" i="183"/>
  <c r="I83" i="183"/>
  <c r="J83" i="183" s="1"/>
  <c r="L83" i="183" s="1"/>
  <c r="FF75" i="183"/>
  <c r="FG75" i="183" s="1"/>
  <c r="FI75" i="183" s="1"/>
  <c r="ES61" i="183"/>
  <c r="ET61" i="183" s="1"/>
  <c r="EU61" i="183" s="1" a="1"/>
  <c r="EU61" i="183" s="1"/>
  <c r="EJ62" i="183" s="1"/>
  <c r="EV61" i="183"/>
  <c r="AO83" i="183"/>
  <c r="AM83" i="183"/>
  <c r="AP83" i="183" s="1"/>
  <c r="AS83" i="183"/>
  <c r="AN83" i="183"/>
  <c r="EB61" i="183"/>
  <c r="EC61" i="183" s="1"/>
  <c r="ED61" i="183" s="1" a="1"/>
  <c r="ED61" i="183" s="1"/>
  <c r="DS62" i="183" s="1"/>
  <c r="EE61" i="183"/>
  <c r="DC62" i="183"/>
  <c r="DF62" i="183" s="1"/>
  <c r="DI62" i="183"/>
  <c r="DD62" i="183"/>
  <c r="DE62" i="183"/>
  <c r="AA83" i="183" l="1"/>
  <c r="AC83" i="183" s="1"/>
  <c r="FM75" i="183"/>
  <c r="FJ75" i="183"/>
  <c r="FK75" i="183" s="1"/>
  <c r="FL75" i="183" s="1" a="1"/>
  <c r="FL75" i="183" s="1"/>
  <c r="FA76" i="183" s="1"/>
  <c r="FH76" i="183" s="1"/>
  <c r="AQ83" i="183"/>
  <c r="AR83" i="183" s="1"/>
  <c r="AT83" i="183" s="1"/>
  <c r="AU83" i="183" s="1"/>
  <c r="AV83" i="183" s="1"/>
  <c r="AW83" i="183" s="1" a="1"/>
  <c r="AW83" i="183" s="1"/>
  <c r="AL84" i="183" s="1"/>
  <c r="DG62" i="183"/>
  <c r="DH62" i="183" s="1"/>
  <c r="DJ62" i="183" s="1"/>
  <c r="DN62" i="183" s="1"/>
  <c r="DZ62" i="183"/>
  <c r="DT62" i="183"/>
  <c r="DW62" i="183" s="1"/>
  <c r="DU62" i="183"/>
  <c r="DV62" i="183"/>
  <c r="EQ62" i="183"/>
  <c r="EL62" i="183"/>
  <c r="EM62" i="183"/>
  <c r="EK62" i="183"/>
  <c r="EN62" i="183" s="1"/>
  <c r="P83" i="183"/>
  <c r="M83" i="183"/>
  <c r="N83" i="183" s="1"/>
  <c r="O83" i="183" s="1" a="1"/>
  <c r="O83" i="183" s="1"/>
  <c r="D84" i="183" s="1"/>
  <c r="AD83" i="183" l="1"/>
  <c r="AE83" i="183" s="1"/>
  <c r="AF83" i="183" s="1" a="1"/>
  <c r="AF83" i="183" s="1"/>
  <c r="U84" i="183" s="1"/>
  <c r="W84" i="183" s="1"/>
  <c r="AG83" i="183"/>
  <c r="FD76" i="183"/>
  <c r="FB76" i="183"/>
  <c r="FE76" i="183" s="1"/>
  <c r="FC76" i="183"/>
  <c r="AX83" i="183"/>
  <c r="DK62" i="183"/>
  <c r="DL62" i="183" s="1"/>
  <c r="DM62" i="183" s="1" a="1"/>
  <c r="DM62" i="183" s="1"/>
  <c r="DB63" i="183" s="1"/>
  <c r="DE63" i="183" s="1"/>
  <c r="DX62" i="183"/>
  <c r="DY62" i="183" s="1"/>
  <c r="EA62" i="183" s="1"/>
  <c r="EO62" i="183"/>
  <c r="EP62" i="183" s="1"/>
  <c r="ER62" i="183" s="1"/>
  <c r="AM84" i="183"/>
  <c r="AP84" i="183" s="1"/>
  <c r="AS84" i="183"/>
  <c r="AN84" i="183"/>
  <c r="AO84" i="183"/>
  <c r="G84" i="183"/>
  <c r="K84" i="183"/>
  <c r="E84" i="183"/>
  <c r="H84" i="183" s="1"/>
  <c r="F84" i="183"/>
  <c r="AB84" i="183" l="1"/>
  <c r="V84" i="183"/>
  <c r="Y84" i="183" s="1"/>
  <c r="Z84" i="183" s="1"/>
  <c r="X84" i="183"/>
  <c r="FF76" i="183"/>
  <c r="FG76" i="183" s="1"/>
  <c r="FI76" i="183" s="1"/>
  <c r="FM76" i="183" s="1"/>
  <c r="AQ84" i="183"/>
  <c r="AR84" i="183" s="1"/>
  <c r="AT84" i="183" s="1"/>
  <c r="DD63" i="183"/>
  <c r="DC63" i="183"/>
  <c r="DF63" i="183" s="1"/>
  <c r="DI63" i="183"/>
  <c r="I84" i="183"/>
  <c r="J84" i="183" s="1"/>
  <c r="L84" i="183" s="1"/>
  <c r="M84" i="183" s="1"/>
  <c r="N84" i="183" s="1"/>
  <c r="O84" i="183" s="1" a="1"/>
  <c r="O84" i="183" s="1"/>
  <c r="D85" i="183" s="1"/>
  <c r="EB62" i="183"/>
  <c r="EC62" i="183" s="1"/>
  <c r="ED62" i="183" s="1" a="1"/>
  <c r="ED62" i="183" s="1"/>
  <c r="DS63" i="183" s="1"/>
  <c r="EE62" i="183"/>
  <c r="EV62" i="183"/>
  <c r="ES62" i="183"/>
  <c r="ET62" i="183" s="1"/>
  <c r="EU62" i="183" s="1" a="1"/>
  <c r="EU62" i="183" s="1"/>
  <c r="EJ63" i="183" s="1"/>
  <c r="AA84" i="183" l="1"/>
  <c r="AC84" i="183" s="1"/>
  <c r="FJ76" i="183"/>
  <c r="FK76" i="183" s="1"/>
  <c r="FL76" i="183" s="1" a="1"/>
  <c r="FL76" i="183" s="1"/>
  <c r="FA77" i="183" s="1"/>
  <c r="FC77" i="183" s="1"/>
  <c r="DG63" i="183"/>
  <c r="DH63" i="183" s="1"/>
  <c r="DJ63" i="183" s="1"/>
  <c r="DK63" i="183" s="1"/>
  <c r="DL63" i="183" s="1"/>
  <c r="DM63" i="183" s="1" a="1"/>
  <c r="DM63" i="183" s="1"/>
  <c r="DB64" i="183" s="1"/>
  <c r="AU84" i="183"/>
  <c r="AV84" i="183" s="1"/>
  <c r="AW84" i="183" s="1" a="1"/>
  <c r="AW84" i="183" s="1"/>
  <c r="AL85" i="183" s="1"/>
  <c r="AM85" i="183" s="1"/>
  <c r="AP85" i="183" s="1"/>
  <c r="AX84" i="183"/>
  <c r="DV63" i="183"/>
  <c r="DU63" i="183"/>
  <c r="DZ63" i="183"/>
  <c r="DT63" i="183"/>
  <c r="DW63" i="183" s="1"/>
  <c r="P84" i="183"/>
  <c r="EK63" i="183"/>
  <c r="EN63" i="183" s="1"/>
  <c r="EQ63" i="183"/>
  <c r="EL63" i="183"/>
  <c r="EM63" i="183"/>
  <c r="E85" i="183"/>
  <c r="H85" i="183" s="1"/>
  <c r="G85" i="183"/>
  <c r="K85" i="183"/>
  <c r="F85" i="183"/>
  <c r="AD84" i="183" l="1"/>
  <c r="AE84" i="183" s="1"/>
  <c r="AF84" i="183" s="1" a="1"/>
  <c r="AF84" i="183" s="1"/>
  <c r="U85" i="183" s="1"/>
  <c r="V85" i="183" s="1"/>
  <c r="Y85" i="183" s="1"/>
  <c r="AG84" i="183"/>
  <c r="FH77" i="183"/>
  <c r="FD77" i="183"/>
  <c r="FB77" i="183"/>
  <c r="FE77" i="183" s="1"/>
  <c r="FF77" i="183" s="1"/>
  <c r="FG77" i="183" s="1"/>
  <c r="AS85" i="183"/>
  <c r="AN85" i="183"/>
  <c r="AQ85" i="183" s="1"/>
  <c r="AO85" i="183"/>
  <c r="DN63" i="183"/>
  <c r="DD64" i="183"/>
  <c r="DE64" i="183"/>
  <c r="DC64" i="183"/>
  <c r="DF64" i="183" s="1"/>
  <c r="DI64" i="183"/>
  <c r="EO63" i="183"/>
  <c r="EP63" i="183" s="1"/>
  <c r="ER63" i="183" s="1"/>
  <c r="I85" i="183"/>
  <c r="J85" i="183" s="1"/>
  <c r="L85" i="183" s="1"/>
  <c r="M85" i="183" s="1"/>
  <c r="N85" i="183" s="1"/>
  <c r="O85" i="183" s="1" a="1"/>
  <c r="O85" i="183" s="1"/>
  <c r="D86" i="183" s="1"/>
  <c r="DX63" i="183"/>
  <c r="DY63" i="183" s="1"/>
  <c r="EA63" i="183" s="1"/>
  <c r="X85" i="183" l="1"/>
  <c r="W85" i="183"/>
  <c r="Z85" i="183" s="1"/>
  <c r="AB85" i="183"/>
  <c r="FI77" i="183"/>
  <c r="FJ77" i="183" s="1"/>
  <c r="FK77" i="183" s="1"/>
  <c r="FL77" i="183" s="1" a="1"/>
  <c r="FL77" i="183" s="1"/>
  <c r="FA78" i="183" s="1"/>
  <c r="AR85" i="183"/>
  <c r="AT85" i="183" s="1"/>
  <c r="AU85" i="183" s="1"/>
  <c r="AV85" i="183" s="1"/>
  <c r="AW85" i="183" s="1" a="1"/>
  <c r="AW85" i="183" s="1"/>
  <c r="AL86" i="183" s="1"/>
  <c r="DG64" i="183"/>
  <c r="DH64" i="183" s="1"/>
  <c r="DJ64" i="183" s="1"/>
  <c r="P85" i="183"/>
  <c r="EB63" i="183"/>
  <c r="EC63" i="183" s="1"/>
  <c r="ED63" i="183" s="1" a="1"/>
  <c r="ED63" i="183" s="1"/>
  <c r="DS64" i="183" s="1"/>
  <c r="EE63" i="183"/>
  <c r="ES63" i="183"/>
  <c r="ET63" i="183" s="1"/>
  <c r="EU63" i="183" s="1" a="1"/>
  <c r="EU63" i="183" s="1"/>
  <c r="EJ64" i="183" s="1"/>
  <c r="EV63" i="183"/>
  <c r="F86" i="183"/>
  <c r="E86" i="183"/>
  <c r="H86" i="183" s="1"/>
  <c r="G86" i="183"/>
  <c r="K86" i="183"/>
  <c r="AX85" i="183" l="1"/>
  <c r="AA85" i="183"/>
  <c r="AC85" i="183" s="1"/>
  <c r="AG85" i="183" s="1"/>
  <c r="FM77" i="183"/>
  <c r="DK64" i="183"/>
  <c r="DL64" i="183" s="1"/>
  <c r="DM64" i="183" s="1" a="1"/>
  <c r="DM64" i="183" s="1"/>
  <c r="DB65" i="183" s="1"/>
  <c r="DI65" i="183" s="1"/>
  <c r="DN64" i="183"/>
  <c r="FC78" i="183"/>
  <c r="FB78" i="183"/>
  <c r="FE78" i="183" s="1"/>
  <c r="FH78" i="183"/>
  <c r="FD78" i="183"/>
  <c r="AS86" i="183"/>
  <c r="AM86" i="183"/>
  <c r="AP86" i="183" s="1"/>
  <c r="AN86" i="183"/>
  <c r="AO86" i="183"/>
  <c r="EL64" i="183"/>
  <c r="EQ64" i="183"/>
  <c r="EK64" i="183"/>
  <c r="EN64" i="183" s="1"/>
  <c r="EM64" i="183"/>
  <c r="DU64" i="183"/>
  <c r="DV64" i="183"/>
  <c r="DT64" i="183"/>
  <c r="DW64" i="183" s="1"/>
  <c r="DZ64" i="183"/>
  <c r="I86" i="183"/>
  <c r="J86" i="183" s="1"/>
  <c r="L86" i="183" s="1"/>
  <c r="AD85" i="183" l="1"/>
  <c r="AE85" i="183" s="1"/>
  <c r="AF85" i="183" s="1" a="1"/>
  <c r="AF85" i="183" s="1"/>
  <c r="U86" i="183" s="1"/>
  <c r="AB86" i="183" s="1"/>
  <c r="DC65" i="183"/>
  <c r="DF65" i="183" s="1"/>
  <c r="DD65" i="183"/>
  <c r="DE65" i="183"/>
  <c r="FF78" i="183"/>
  <c r="FG78" i="183" s="1"/>
  <c r="FI78" i="183" s="1"/>
  <c r="DX64" i="183"/>
  <c r="DY64" i="183" s="1"/>
  <c r="EA64" i="183" s="1"/>
  <c r="AQ86" i="183"/>
  <c r="AR86" i="183" s="1"/>
  <c r="AT86" i="183" s="1"/>
  <c r="EO64" i="183"/>
  <c r="EP64" i="183" s="1"/>
  <c r="ER64" i="183" s="1"/>
  <c r="P86" i="183"/>
  <c r="M86" i="183"/>
  <c r="N86" i="183" s="1"/>
  <c r="O86" i="183" s="1" a="1"/>
  <c r="O86" i="183" s="1"/>
  <c r="D87" i="183" s="1"/>
  <c r="W86" i="183" l="1"/>
  <c r="X86" i="183"/>
  <c r="V86" i="183"/>
  <c r="Y86" i="183" s="1"/>
  <c r="DG65" i="183"/>
  <c r="DH65" i="183" s="1"/>
  <c r="DJ65" i="183" s="1"/>
  <c r="DK65" i="183" s="1"/>
  <c r="DL65" i="183" s="1"/>
  <c r="DM65" i="183" s="1" a="1"/>
  <c r="DM65" i="183" s="1"/>
  <c r="DB66" i="183" s="1"/>
  <c r="DI66" i="183" s="1"/>
  <c r="EV64" i="183"/>
  <c r="ES64" i="183"/>
  <c r="ET64" i="183" s="1"/>
  <c r="EU64" i="183" s="1" a="1"/>
  <c r="EU64" i="183" s="1"/>
  <c r="EJ65" i="183" s="1"/>
  <c r="AU86" i="183"/>
  <c r="AV86" i="183" s="1"/>
  <c r="AW86" i="183" s="1" a="1"/>
  <c r="AW86" i="183" s="1"/>
  <c r="AL87" i="183" s="1"/>
  <c r="AX86" i="183"/>
  <c r="EB64" i="183"/>
  <c r="EC64" i="183" s="1"/>
  <c r="ED64" i="183" s="1" a="1"/>
  <c r="ED64" i="183" s="1"/>
  <c r="DS65" i="183" s="1"/>
  <c r="EE64" i="183"/>
  <c r="FM78" i="183"/>
  <c r="FJ78" i="183"/>
  <c r="FK78" i="183" s="1"/>
  <c r="FL78" i="183" s="1" a="1"/>
  <c r="FL78" i="183" s="1"/>
  <c r="FA79" i="183" s="1"/>
  <c r="E87" i="183"/>
  <c r="H87" i="183" s="1"/>
  <c r="F87" i="183"/>
  <c r="G87" i="183"/>
  <c r="K87" i="183"/>
  <c r="Z86" i="183" l="1"/>
  <c r="AA86" i="183" s="1"/>
  <c r="AC86" i="183" s="1"/>
  <c r="DN65" i="183"/>
  <c r="DC66" i="183"/>
  <c r="DF66" i="183" s="1"/>
  <c r="DD66" i="183"/>
  <c r="DE66" i="183"/>
  <c r="I87" i="183"/>
  <c r="J87" i="183" s="1"/>
  <c r="L87" i="183" s="1"/>
  <c r="DU65" i="183"/>
  <c r="DV65" i="183"/>
  <c r="DT65" i="183"/>
  <c r="DW65" i="183" s="1"/>
  <c r="DZ65" i="183"/>
  <c r="AO87" i="183"/>
  <c r="AS87" i="183"/>
  <c r="AM87" i="183"/>
  <c r="AP87" i="183" s="1"/>
  <c r="AN87" i="183"/>
  <c r="FC79" i="183"/>
  <c r="FD79" i="183"/>
  <c r="FH79" i="183"/>
  <c r="FB79" i="183"/>
  <c r="FE79" i="183" s="1"/>
  <c r="EL65" i="183"/>
  <c r="EK65" i="183"/>
  <c r="EN65" i="183" s="1"/>
  <c r="EM65" i="183"/>
  <c r="EQ65" i="183"/>
  <c r="AD86" i="183" l="1"/>
  <c r="AE86" i="183" s="1"/>
  <c r="AF86" i="183" s="1" a="1"/>
  <c r="AF86" i="183" s="1"/>
  <c r="U87" i="183" s="1"/>
  <c r="AG86" i="183"/>
  <c r="DG66" i="183"/>
  <c r="DH66" i="183" s="1"/>
  <c r="DJ66" i="183" s="1"/>
  <c r="DN66" i="183" s="1"/>
  <c r="AQ87" i="183"/>
  <c r="AR87" i="183" s="1"/>
  <c r="AT87" i="183" s="1"/>
  <c r="AX87" i="183" s="1"/>
  <c r="DX65" i="183"/>
  <c r="DY65" i="183" s="1"/>
  <c r="EA65" i="183" s="1"/>
  <c r="EO65" i="183"/>
  <c r="EP65" i="183" s="1"/>
  <c r="ER65" i="183" s="1"/>
  <c r="EV65" i="183" s="1"/>
  <c r="FF79" i="183"/>
  <c r="FG79" i="183" s="1"/>
  <c r="FI79" i="183" s="1"/>
  <c r="P87" i="183"/>
  <c r="M87" i="183"/>
  <c r="N87" i="183" s="1"/>
  <c r="O87" i="183" s="1" a="1"/>
  <c r="O87" i="183" s="1"/>
  <c r="D88" i="183" s="1"/>
  <c r="DK66" i="183" l="1"/>
  <c r="DL66" i="183" s="1"/>
  <c r="DM66" i="183" s="1" a="1"/>
  <c r="DM66" i="183" s="1"/>
  <c r="DB67" i="183" s="1"/>
  <c r="DI67" i="183" s="1"/>
  <c r="X87" i="183"/>
  <c r="W87" i="183"/>
  <c r="AB87" i="183"/>
  <c r="V87" i="183"/>
  <c r="Y87" i="183" s="1"/>
  <c r="AU87" i="183"/>
  <c r="AV87" i="183" s="1"/>
  <c r="AW87" i="183" s="1" a="1"/>
  <c r="AW87" i="183" s="1"/>
  <c r="AL88" i="183" s="1"/>
  <c r="AO88" i="183" s="1"/>
  <c r="ES65" i="183"/>
  <c r="ET65" i="183" s="1"/>
  <c r="EU65" i="183" s="1" a="1"/>
  <c r="EU65" i="183" s="1"/>
  <c r="EJ66" i="183" s="1"/>
  <c r="EM66" i="183" s="1"/>
  <c r="FJ79" i="183"/>
  <c r="FK79" i="183" s="1"/>
  <c r="FL79" i="183" s="1" a="1"/>
  <c r="FL79" i="183" s="1"/>
  <c r="FA80" i="183" s="1"/>
  <c r="FM79" i="183"/>
  <c r="EE65" i="183"/>
  <c r="EB65" i="183"/>
  <c r="EC65" i="183" s="1"/>
  <c r="ED65" i="183" s="1" a="1"/>
  <c r="ED65" i="183" s="1"/>
  <c r="DS66" i="183" s="1"/>
  <c r="E88" i="183"/>
  <c r="H88" i="183" s="1"/>
  <c r="G88" i="183"/>
  <c r="F88" i="183"/>
  <c r="K88" i="183"/>
  <c r="DC67" i="183" l="1"/>
  <c r="DF67" i="183" s="1"/>
  <c r="DD67" i="183"/>
  <c r="DE67" i="183"/>
  <c r="Z87" i="183"/>
  <c r="AA87" i="183" s="1"/>
  <c r="AC87" i="183" s="1"/>
  <c r="AS88" i="183"/>
  <c r="AM88" i="183"/>
  <c r="AP88" i="183" s="1"/>
  <c r="AN88" i="183"/>
  <c r="I88" i="183"/>
  <c r="J88" i="183" s="1"/>
  <c r="L88" i="183" s="1"/>
  <c r="EL66" i="183"/>
  <c r="EK66" i="183"/>
  <c r="EN66" i="183" s="1"/>
  <c r="EQ66" i="183"/>
  <c r="FC80" i="183"/>
  <c r="FD80" i="183"/>
  <c r="FB80" i="183"/>
  <c r="FE80" i="183" s="1"/>
  <c r="FH80" i="183"/>
  <c r="DU66" i="183"/>
  <c r="DZ66" i="183"/>
  <c r="DV66" i="183"/>
  <c r="DT66" i="183"/>
  <c r="DW66" i="183" s="1"/>
  <c r="DG67" i="183" l="1"/>
  <c r="DH67" i="183" s="1"/>
  <c r="DJ67" i="183" s="1"/>
  <c r="DK67" i="183" s="1"/>
  <c r="DL67" i="183" s="1"/>
  <c r="DM67" i="183" s="1" a="1"/>
  <c r="DM67" i="183" s="1"/>
  <c r="DB68" i="183" s="1"/>
  <c r="AG87" i="183"/>
  <c r="AD87" i="183"/>
  <c r="AE87" i="183" s="1"/>
  <c r="AF87" i="183" s="1" a="1"/>
  <c r="AF87" i="183" s="1"/>
  <c r="U88" i="183" s="1"/>
  <c r="AQ88" i="183"/>
  <c r="AR88" i="183" s="1"/>
  <c r="AT88" i="183" s="1"/>
  <c r="AU88" i="183" s="1"/>
  <c r="AV88" i="183" s="1"/>
  <c r="AW88" i="183" s="1" a="1"/>
  <c r="AW88" i="183" s="1"/>
  <c r="AL89" i="183" s="1"/>
  <c r="AM89" i="183" s="1"/>
  <c r="AP89" i="183" s="1"/>
  <c r="EO66" i="183"/>
  <c r="EP66" i="183" s="1"/>
  <c r="ER66" i="183" s="1"/>
  <c r="DX66" i="183"/>
  <c r="DY66" i="183" s="1"/>
  <c r="EA66" i="183" s="1"/>
  <c r="FF80" i="183"/>
  <c r="FG80" i="183" s="1"/>
  <c r="FI80" i="183" s="1"/>
  <c r="P88" i="183"/>
  <c r="M88" i="183"/>
  <c r="N88" i="183" s="1"/>
  <c r="O88" i="183" s="1" a="1"/>
  <c r="O88" i="183" s="1"/>
  <c r="D89" i="183" s="1"/>
  <c r="DN67" i="183" l="1"/>
  <c r="AX88" i="183"/>
  <c r="V88" i="183"/>
  <c r="Y88" i="183" s="1"/>
  <c r="X88" i="183"/>
  <c r="AB88" i="183"/>
  <c r="W88" i="183"/>
  <c r="AS89" i="183"/>
  <c r="AN89" i="183"/>
  <c r="AQ89" i="183" s="1"/>
  <c r="AO89" i="183"/>
  <c r="ES66" i="183"/>
  <c r="ET66" i="183" s="1"/>
  <c r="EU66" i="183" s="1" a="1"/>
  <c r="EU66" i="183" s="1"/>
  <c r="EJ67" i="183" s="1"/>
  <c r="EL67" i="183" s="1"/>
  <c r="EV66" i="183"/>
  <c r="FM80" i="183"/>
  <c r="FJ80" i="183"/>
  <c r="FK80" i="183" s="1"/>
  <c r="FL80" i="183" s="1" a="1"/>
  <c r="FL80" i="183" s="1"/>
  <c r="FA81" i="183" s="1"/>
  <c r="DE68" i="183"/>
  <c r="DC68" i="183"/>
  <c r="DF68" i="183" s="1"/>
  <c r="DI68" i="183"/>
  <c r="DD68" i="183"/>
  <c r="EB66" i="183"/>
  <c r="EC66" i="183" s="1"/>
  <c r="ED66" i="183" s="1" a="1"/>
  <c r="ED66" i="183" s="1"/>
  <c r="DS67" i="183" s="1"/>
  <c r="EE66" i="183"/>
  <c r="F89" i="183"/>
  <c r="K89" i="183"/>
  <c r="E89" i="183"/>
  <c r="H89" i="183" s="1"/>
  <c r="G89" i="183"/>
  <c r="Z88" i="183" l="1"/>
  <c r="AA88" i="183" s="1"/>
  <c r="AC88" i="183" s="1"/>
  <c r="AG88" i="183" s="1"/>
  <c r="AR89" i="183"/>
  <c r="AT89" i="183" s="1"/>
  <c r="AX89" i="183" s="1"/>
  <c r="EQ67" i="183"/>
  <c r="EK67" i="183"/>
  <c r="EN67" i="183" s="1"/>
  <c r="EO67" i="183" s="1"/>
  <c r="EM67" i="183"/>
  <c r="DG68" i="183"/>
  <c r="DH68" i="183" s="1"/>
  <c r="DJ68" i="183" s="1"/>
  <c r="DN68" i="183" s="1"/>
  <c r="FD81" i="183"/>
  <c r="FH81" i="183"/>
  <c r="FB81" i="183"/>
  <c r="FE81" i="183" s="1"/>
  <c r="FC81" i="183"/>
  <c r="DV67" i="183"/>
  <c r="DZ67" i="183"/>
  <c r="DT67" i="183"/>
  <c r="DW67" i="183" s="1"/>
  <c r="DU67" i="183"/>
  <c r="I89" i="183"/>
  <c r="J89" i="183" s="1"/>
  <c r="L89" i="183" s="1"/>
  <c r="AD88" i="183" l="1"/>
  <c r="AE88" i="183" s="1"/>
  <c r="AF88" i="183" s="1" a="1"/>
  <c r="AF88" i="183" s="1"/>
  <c r="U89" i="183" s="1"/>
  <c r="V89" i="183" s="1"/>
  <c r="Y89" i="183" s="1"/>
  <c r="AU89" i="183"/>
  <c r="AV89" i="183" s="1"/>
  <c r="AW89" i="183" s="1" a="1"/>
  <c r="AW89" i="183" s="1"/>
  <c r="AL90" i="183" s="1"/>
  <c r="AO90" i="183" s="1"/>
  <c r="EP67" i="183"/>
  <c r="ER67" i="183" s="1"/>
  <c r="EV67" i="183" s="1"/>
  <c r="DK68" i="183"/>
  <c r="DL68" i="183" s="1"/>
  <c r="DM68" i="183" s="1" a="1"/>
  <c r="DM68" i="183" s="1"/>
  <c r="DB69" i="183" s="1"/>
  <c r="DI69" i="183" s="1"/>
  <c r="DX67" i="183"/>
  <c r="DY67" i="183" s="1"/>
  <c r="EA67" i="183" s="1"/>
  <c r="EE67" i="183" s="1"/>
  <c r="FF81" i="183"/>
  <c r="FG81" i="183" s="1"/>
  <c r="FI81" i="183" s="1"/>
  <c r="FM81" i="183" s="1"/>
  <c r="P89" i="183"/>
  <c r="M89" i="183"/>
  <c r="N89" i="183" s="1"/>
  <c r="O89" i="183" s="1" a="1"/>
  <c r="O89" i="183" s="1"/>
  <c r="D90" i="183" s="1"/>
  <c r="X89" i="183" l="1"/>
  <c r="AB89" i="183"/>
  <c r="W89" i="183"/>
  <c r="Z89" i="183" s="1"/>
  <c r="AM90" i="183"/>
  <c r="AP90" i="183" s="1"/>
  <c r="AN90" i="183"/>
  <c r="AS90" i="183"/>
  <c r="ES67" i="183"/>
  <c r="ET67" i="183" s="1"/>
  <c r="EU67" i="183" s="1" a="1"/>
  <c r="EU67" i="183" s="1"/>
  <c r="EJ68" i="183" s="1"/>
  <c r="EK68" i="183" s="1"/>
  <c r="EN68" i="183" s="1"/>
  <c r="DD69" i="183"/>
  <c r="DE69" i="183"/>
  <c r="DC69" i="183"/>
  <c r="DF69" i="183" s="1"/>
  <c r="EB67" i="183"/>
  <c r="EC67" i="183" s="1"/>
  <c r="ED67" i="183" s="1" a="1"/>
  <c r="ED67" i="183" s="1"/>
  <c r="DS68" i="183" s="1"/>
  <c r="DU68" i="183" s="1"/>
  <c r="FJ81" i="183"/>
  <c r="FK81" i="183" s="1"/>
  <c r="FL81" i="183" s="1" a="1"/>
  <c r="FL81" i="183" s="1"/>
  <c r="FA82" i="183" s="1"/>
  <c r="FD82" i="183" s="1"/>
  <c r="F90" i="183"/>
  <c r="G90" i="183"/>
  <c r="K90" i="183"/>
  <c r="E90" i="183"/>
  <c r="H90" i="183" s="1"/>
  <c r="AA89" i="183" l="1"/>
  <c r="AC89" i="183" s="1"/>
  <c r="AG89" i="183" s="1"/>
  <c r="AQ90" i="183"/>
  <c r="AR90" i="183" s="1"/>
  <c r="AT90" i="183" s="1"/>
  <c r="EL68" i="183"/>
  <c r="EO68" i="183" s="1"/>
  <c r="EM68" i="183"/>
  <c r="EQ68" i="183"/>
  <c r="DG69" i="183"/>
  <c r="DH69" i="183" s="1"/>
  <c r="DJ69" i="183" s="1"/>
  <c r="DK69" i="183" s="1"/>
  <c r="DL69" i="183" s="1"/>
  <c r="DM69" i="183" s="1" a="1"/>
  <c r="DM69" i="183" s="1"/>
  <c r="DB70" i="183" s="1"/>
  <c r="DT68" i="183"/>
  <c r="DW68" i="183" s="1"/>
  <c r="DX68" i="183" s="1"/>
  <c r="DZ68" i="183"/>
  <c r="DV68" i="183"/>
  <c r="FC82" i="183"/>
  <c r="FH82" i="183"/>
  <c r="FB82" i="183"/>
  <c r="FE82" i="183" s="1"/>
  <c r="I90" i="183"/>
  <c r="J90" i="183" s="1"/>
  <c r="L90" i="183" s="1"/>
  <c r="C594" i="98"/>
  <c r="C595" i="98"/>
  <c r="AD89" i="183" l="1"/>
  <c r="AE89" i="183" s="1"/>
  <c r="AF89" i="183" s="1" a="1"/>
  <c r="AF89" i="183" s="1"/>
  <c r="U90" i="183" s="1"/>
  <c r="X90" i="183" s="1"/>
  <c r="AX90" i="183"/>
  <c r="AU90" i="183"/>
  <c r="AV90" i="183" s="1"/>
  <c r="AW90" i="183" s="1" a="1"/>
  <c r="AW90" i="183" s="1"/>
  <c r="AL91" i="183" s="1"/>
  <c r="EP68" i="183"/>
  <c r="ER68" i="183" s="1"/>
  <c r="ES68" i="183" s="1"/>
  <c r="ET68" i="183" s="1"/>
  <c r="EU68" i="183" s="1" a="1"/>
  <c r="EU68" i="183" s="1"/>
  <c r="EJ69" i="183" s="1"/>
  <c r="EL69" i="183" s="1"/>
  <c r="DN69" i="183"/>
  <c r="FF82" i="183"/>
  <c r="FG82" i="183" s="1"/>
  <c r="FI82" i="183" s="1"/>
  <c r="DY68" i="183"/>
  <c r="EA68" i="183" s="1"/>
  <c r="EE68" i="183" s="1"/>
  <c r="DD70" i="183"/>
  <c r="DI70" i="183"/>
  <c r="DC70" i="183"/>
  <c r="DF70" i="183" s="1"/>
  <c r="DE70" i="183"/>
  <c r="M90" i="183"/>
  <c r="N90" i="183" s="1"/>
  <c r="O90" i="183" s="1" a="1"/>
  <c r="O90" i="183" s="1"/>
  <c r="D91" i="183" s="1"/>
  <c r="P90" i="183"/>
  <c r="AB90" i="183" l="1"/>
  <c r="W90" i="183"/>
  <c r="V90" i="183"/>
  <c r="Y90" i="183" s="1"/>
  <c r="AM91" i="183"/>
  <c r="AP91" i="183" s="1"/>
  <c r="AS91" i="183"/>
  <c r="AO91" i="183"/>
  <c r="AN91" i="183"/>
  <c r="EM69" i="183"/>
  <c r="EK69" i="183"/>
  <c r="EN69" i="183" s="1"/>
  <c r="EO69" i="183" s="1"/>
  <c r="EB68" i="183"/>
  <c r="EC68" i="183" s="1"/>
  <c r="ED68" i="183" s="1" a="1"/>
  <c r="ED68" i="183" s="1"/>
  <c r="DS69" i="183" s="1"/>
  <c r="DT69" i="183" s="1"/>
  <c r="DW69" i="183" s="1"/>
  <c r="EV68" i="183"/>
  <c r="EQ69" i="183"/>
  <c r="FM82" i="183"/>
  <c r="FJ82" i="183"/>
  <c r="FK82" i="183" s="1"/>
  <c r="FL82" i="183" s="1" a="1"/>
  <c r="FL82" i="183" s="1"/>
  <c r="FA83" i="183" s="1"/>
  <c r="FD83" i="183" s="1"/>
  <c r="DG70" i="183"/>
  <c r="DH70" i="183" s="1"/>
  <c r="DJ70" i="183" s="1"/>
  <c r="F91" i="183"/>
  <c r="K91" i="183"/>
  <c r="E91" i="183"/>
  <c r="H91" i="183" s="1"/>
  <c r="G91" i="183"/>
  <c r="Z90" i="183" l="1"/>
  <c r="AA90" i="183" s="1"/>
  <c r="AC90" i="183" s="1"/>
  <c r="AG90" i="183" s="1"/>
  <c r="AQ91" i="183"/>
  <c r="AR91" i="183" s="1"/>
  <c r="AT91" i="183" s="1"/>
  <c r="EP69" i="183"/>
  <c r="ER69" i="183" s="1"/>
  <c r="EV69" i="183" s="1"/>
  <c r="DU69" i="183"/>
  <c r="DX69" i="183" s="1"/>
  <c r="DZ69" i="183"/>
  <c r="DV69" i="183"/>
  <c r="FC83" i="183"/>
  <c r="FB83" i="183"/>
  <c r="FE83" i="183" s="1"/>
  <c r="FH83" i="183"/>
  <c r="DK70" i="183"/>
  <c r="DL70" i="183" s="1"/>
  <c r="DM70" i="183" s="1" a="1"/>
  <c r="DM70" i="183" s="1"/>
  <c r="DB71" i="183" s="1"/>
  <c r="DN70" i="183"/>
  <c r="I91" i="183"/>
  <c r="J91" i="183" s="1"/>
  <c r="L91" i="183" s="1"/>
  <c r="AD90" i="183" l="1"/>
  <c r="AE90" i="183" s="1"/>
  <c r="AF90" i="183" s="1" a="1"/>
  <c r="AF90" i="183" s="1"/>
  <c r="U91" i="183" s="1"/>
  <c r="AB91" i="183" s="1"/>
  <c r="DY69" i="183"/>
  <c r="EA69" i="183" s="1"/>
  <c r="EE69" i="183" s="1"/>
  <c r="AX91" i="183"/>
  <c r="AU91" i="183"/>
  <c r="AV91" i="183" s="1"/>
  <c r="AW91" i="183" s="1" a="1"/>
  <c r="AW91" i="183" s="1"/>
  <c r="AL92" i="183" s="1"/>
  <c r="ES69" i="183"/>
  <c r="ET69" i="183" s="1"/>
  <c r="EU69" i="183" s="1" a="1"/>
  <c r="EU69" i="183" s="1"/>
  <c r="EJ70" i="183" s="1"/>
  <c r="EM70" i="183" s="1"/>
  <c r="FF83" i="183"/>
  <c r="FG83" i="183" s="1"/>
  <c r="FI83" i="183" s="1"/>
  <c r="DD71" i="183"/>
  <c r="DC71" i="183"/>
  <c r="DF71" i="183" s="1"/>
  <c r="DE71" i="183"/>
  <c r="DI71" i="183"/>
  <c r="P91" i="183"/>
  <c r="M91" i="183"/>
  <c r="N91" i="183" s="1"/>
  <c r="O91" i="183" s="1" a="1"/>
  <c r="O91" i="183" s="1"/>
  <c r="D92" i="183" s="1"/>
  <c r="EB69" i="183" l="1"/>
  <c r="EC69" i="183" s="1"/>
  <c r="ED69" i="183" s="1" a="1"/>
  <c r="ED69" i="183" s="1"/>
  <c r="DS70" i="183" s="1"/>
  <c r="DU70" i="183" s="1"/>
  <c r="X91" i="183"/>
  <c r="V91" i="183"/>
  <c r="Y91" i="183" s="1"/>
  <c r="W91" i="183"/>
  <c r="AO92" i="183"/>
  <c r="AM92" i="183"/>
  <c r="AP92" i="183" s="1"/>
  <c r="AS92" i="183"/>
  <c r="AN92" i="183"/>
  <c r="FJ83" i="183"/>
  <c r="FK83" i="183" s="1"/>
  <c r="FL83" i="183" s="1" a="1"/>
  <c r="FL83" i="183" s="1"/>
  <c r="FA84" i="183" s="1"/>
  <c r="FD84" i="183" s="1"/>
  <c r="FM83" i="183"/>
  <c r="EQ70" i="183"/>
  <c r="EL70" i="183"/>
  <c r="EK70" i="183"/>
  <c r="EN70" i="183" s="1"/>
  <c r="DG71" i="183"/>
  <c r="DH71" i="183" s="1"/>
  <c r="DJ71" i="183" s="1"/>
  <c r="DK71" i="183" s="1"/>
  <c r="DL71" i="183" s="1"/>
  <c r="DM71" i="183" s="1" a="1"/>
  <c r="DM71" i="183" s="1"/>
  <c r="DB72" i="183" s="1"/>
  <c r="F92" i="183"/>
  <c r="K92" i="183"/>
  <c r="E92" i="183"/>
  <c r="H92" i="183" s="1"/>
  <c r="G92" i="183"/>
  <c r="DT70" i="183" l="1"/>
  <c r="DW70" i="183" s="1"/>
  <c r="DX70" i="183" s="1"/>
  <c r="DV70" i="183"/>
  <c r="DZ70" i="183"/>
  <c r="Z91" i="183"/>
  <c r="AA91" i="183" s="1"/>
  <c r="AC91" i="183" s="1"/>
  <c r="AD91" i="183" s="1"/>
  <c r="AE91" i="183" s="1"/>
  <c r="AF91" i="183" s="1" a="1"/>
  <c r="AF91" i="183" s="1"/>
  <c r="U92" i="183" s="1"/>
  <c r="W92" i="183" s="1"/>
  <c r="EO70" i="183"/>
  <c r="EP70" i="183" s="1"/>
  <c r="ER70" i="183" s="1"/>
  <c r="EV70" i="183" s="1"/>
  <c r="AQ92" i="183"/>
  <c r="AR92" i="183" s="1"/>
  <c r="AT92" i="183" s="1"/>
  <c r="FH84" i="183"/>
  <c r="FB84" i="183"/>
  <c r="FE84" i="183" s="1"/>
  <c r="FC84" i="183"/>
  <c r="DN71" i="183"/>
  <c r="DE72" i="183"/>
  <c r="DC72" i="183"/>
  <c r="DF72" i="183" s="1"/>
  <c r="DI72" i="183"/>
  <c r="DD72" i="183"/>
  <c r="I92" i="183"/>
  <c r="J92" i="183" s="1"/>
  <c r="L92" i="183" s="1"/>
  <c r="DY70" i="183" l="1"/>
  <c r="EA70" i="183" s="1"/>
  <c r="EE70" i="183" s="1"/>
  <c r="ES70" i="183"/>
  <c r="ET70" i="183" s="1"/>
  <c r="EU70" i="183" s="1" a="1"/>
  <c r="EU70" i="183" s="1"/>
  <c r="EJ71" i="183" s="1"/>
  <c r="EK71" i="183" s="1"/>
  <c r="EN71" i="183" s="1"/>
  <c r="AB92" i="183"/>
  <c r="X92" i="183"/>
  <c r="V92" i="183"/>
  <c r="Y92" i="183" s="1"/>
  <c r="Z92" i="183" s="1"/>
  <c r="AG91" i="183"/>
  <c r="AU92" i="183"/>
  <c r="AV92" i="183" s="1"/>
  <c r="AW92" i="183" s="1" a="1"/>
  <c r="AW92" i="183" s="1"/>
  <c r="AL93" i="183" s="1"/>
  <c r="AX92" i="183"/>
  <c r="FF84" i="183"/>
  <c r="FG84" i="183" s="1"/>
  <c r="FI84" i="183" s="1"/>
  <c r="FM84" i="183" s="1"/>
  <c r="DG72" i="183"/>
  <c r="DH72" i="183" s="1"/>
  <c r="DJ72" i="183" s="1"/>
  <c r="DN72" i="183" s="1"/>
  <c r="P92" i="183"/>
  <c r="M92" i="183"/>
  <c r="N92" i="183" s="1"/>
  <c r="O92" i="183" s="1" a="1"/>
  <c r="O92" i="183" s="1"/>
  <c r="D93" i="183" s="1"/>
  <c r="EB70" i="183" l="1"/>
  <c r="EC70" i="183" s="1"/>
  <c r="ED70" i="183" s="1" a="1"/>
  <c r="ED70" i="183" s="1"/>
  <c r="DS71" i="183" s="1"/>
  <c r="DV71" i="183" s="1"/>
  <c r="AA92" i="183"/>
  <c r="AC92" i="183" s="1"/>
  <c r="AG92" i="183" s="1"/>
  <c r="EM71" i="183"/>
  <c r="EQ71" i="183"/>
  <c r="EL71" i="183"/>
  <c r="EO71" i="183" s="1"/>
  <c r="AS93" i="183"/>
  <c r="AN93" i="183"/>
  <c r="AO93" i="183"/>
  <c r="AM93" i="183"/>
  <c r="AP93" i="183" s="1"/>
  <c r="FJ84" i="183"/>
  <c r="FK84" i="183" s="1"/>
  <c r="FL84" i="183" s="1" a="1"/>
  <c r="FL84" i="183" s="1"/>
  <c r="FA85" i="183" s="1"/>
  <c r="FC85" i="183" s="1"/>
  <c r="DK72" i="183"/>
  <c r="DL72" i="183" s="1"/>
  <c r="DM72" i="183" s="1" a="1"/>
  <c r="DM72" i="183" s="1"/>
  <c r="DB73" i="183" s="1"/>
  <c r="DD73" i="183" s="1"/>
  <c r="E93" i="183"/>
  <c r="H93" i="183" s="1"/>
  <c r="K93" i="183"/>
  <c r="F93" i="183"/>
  <c r="G93" i="183"/>
  <c r="DU71" i="183" l="1"/>
  <c r="DZ71" i="183"/>
  <c r="DT71" i="183"/>
  <c r="DW71" i="183" s="1"/>
  <c r="AD92" i="183"/>
  <c r="AE92" i="183" s="1"/>
  <c r="AF92" i="183" s="1" a="1"/>
  <c r="AF92" i="183" s="1"/>
  <c r="U93" i="183" s="1"/>
  <c r="X93" i="183" s="1"/>
  <c r="EP71" i="183"/>
  <c r="ER71" i="183" s="1"/>
  <c r="ES71" i="183" s="1"/>
  <c r="ET71" i="183" s="1"/>
  <c r="EU71" i="183" s="1" a="1"/>
  <c r="EU71" i="183" s="1"/>
  <c r="EJ72" i="183" s="1"/>
  <c r="EK72" i="183" s="1"/>
  <c r="EN72" i="183" s="1"/>
  <c r="AQ93" i="183"/>
  <c r="AR93" i="183" s="1"/>
  <c r="AT93" i="183" s="1"/>
  <c r="FD85" i="183"/>
  <c r="FB85" i="183"/>
  <c r="FE85" i="183" s="1"/>
  <c r="FF85" i="183" s="1"/>
  <c r="FH85" i="183"/>
  <c r="DC73" i="183"/>
  <c r="DF73" i="183" s="1"/>
  <c r="DG73" i="183" s="1"/>
  <c r="DE73" i="183"/>
  <c r="DI73" i="183"/>
  <c r="I93" i="183"/>
  <c r="J93" i="183" s="1"/>
  <c r="L93" i="183" s="1"/>
  <c r="DX71" i="183" l="1"/>
  <c r="DY71" i="183" s="1"/>
  <c r="EA71" i="183" s="1"/>
  <c r="EB71" i="183" s="1"/>
  <c r="EC71" i="183" s="1"/>
  <c r="ED71" i="183" s="1" a="1"/>
  <c r="ED71" i="183" s="1"/>
  <c r="DS72" i="183" s="1"/>
  <c r="DV72" i="183" s="1"/>
  <c r="V93" i="183"/>
  <c r="Y93" i="183" s="1"/>
  <c r="AB93" i="183"/>
  <c r="W93" i="183"/>
  <c r="EV71" i="183"/>
  <c r="EM72" i="183"/>
  <c r="EL72" i="183"/>
  <c r="EO72" i="183" s="1"/>
  <c r="EQ72" i="183"/>
  <c r="AX93" i="183"/>
  <c r="AU93" i="183"/>
  <c r="AV93" i="183" s="1"/>
  <c r="AW93" i="183" s="1" a="1"/>
  <c r="AW93" i="183" s="1"/>
  <c r="AL94" i="183" s="1"/>
  <c r="FG85" i="183"/>
  <c r="FI85" i="183" s="1"/>
  <c r="FJ85" i="183" s="1"/>
  <c r="FK85" i="183" s="1"/>
  <c r="FL85" i="183" s="1" a="1"/>
  <c r="FL85" i="183" s="1"/>
  <c r="FA86" i="183" s="1"/>
  <c r="FB86" i="183" s="1"/>
  <c r="FE86" i="183" s="1"/>
  <c r="DH73" i="183"/>
  <c r="DJ73" i="183" s="1"/>
  <c r="DN73" i="183" s="1"/>
  <c r="M93" i="183"/>
  <c r="N93" i="183" s="1"/>
  <c r="O93" i="183" s="1" a="1"/>
  <c r="O93" i="183" s="1"/>
  <c r="D94" i="183" s="1"/>
  <c r="P93" i="183"/>
  <c r="Z93" i="183" l="1"/>
  <c r="AA93" i="183" s="1"/>
  <c r="AC93" i="183" s="1"/>
  <c r="AG93" i="183" s="1"/>
  <c r="DU72" i="183"/>
  <c r="EE71" i="183"/>
  <c r="DT72" i="183"/>
  <c r="DW72" i="183" s="1"/>
  <c r="DZ72" i="183"/>
  <c r="EP72" i="183"/>
  <c r="ER72" i="183" s="1"/>
  <c r="ES72" i="183" s="1"/>
  <c r="ET72" i="183" s="1"/>
  <c r="EU72" i="183" s="1" a="1"/>
  <c r="EU72" i="183" s="1"/>
  <c r="EJ73" i="183" s="1"/>
  <c r="AO94" i="183"/>
  <c r="AM94" i="183"/>
  <c r="AP94" i="183" s="1"/>
  <c r="AS94" i="183"/>
  <c r="AN94" i="183"/>
  <c r="FM85" i="183"/>
  <c r="FH86" i="183"/>
  <c r="FC86" i="183"/>
  <c r="FF86" i="183" s="1"/>
  <c r="FD86" i="183"/>
  <c r="DK73" i="183"/>
  <c r="DL73" i="183" s="1"/>
  <c r="DM73" i="183" s="1" a="1"/>
  <c r="DM73" i="183" s="1"/>
  <c r="DB74" i="183" s="1"/>
  <c r="DC74" i="183" s="1"/>
  <c r="DF74" i="183" s="1"/>
  <c r="G94" i="183"/>
  <c r="K94" i="183"/>
  <c r="F94" i="183"/>
  <c r="E94" i="183"/>
  <c r="H94" i="183" s="1"/>
  <c r="AD93" i="183" l="1"/>
  <c r="AE93" i="183" s="1"/>
  <c r="AF93" i="183" s="1" a="1"/>
  <c r="AF93" i="183" s="1"/>
  <c r="U94" i="183" s="1"/>
  <c r="W94" i="183" s="1"/>
  <c r="DX72" i="183"/>
  <c r="DY72" i="183" s="1"/>
  <c r="EA72" i="183" s="1"/>
  <c r="EV72" i="183"/>
  <c r="AQ94" i="183"/>
  <c r="AR94" i="183" s="1"/>
  <c r="AT94" i="183" s="1"/>
  <c r="FG86" i="183"/>
  <c r="FI86" i="183" s="1"/>
  <c r="FJ86" i="183" s="1"/>
  <c r="FK86" i="183" s="1"/>
  <c r="FL86" i="183" s="1" a="1"/>
  <c r="FL86" i="183" s="1"/>
  <c r="FA87" i="183" s="1"/>
  <c r="DE74" i="183"/>
  <c r="DD74" i="183"/>
  <c r="DG74" i="183" s="1"/>
  <c r="DI74" i="183"/>
  <c r="EQ73" i="183"/>
  <c r="EK73" i="183"/>
  <c r="EN73" i="183" s="1"/>
  <c r="EM73" i="183"/>
  <c r="EL73" i="183"/>
  <c r="I94" i="183"/>
  <c r="J94" i="183" s="1"/>
  <c r="L94" i="183" s="1"/>
  <c r="X94" i="183" l="1"/>
  <c r="V94" i="183"/>
  <c r="Y94" i="183" s="1"/>
  <c r="Z94" i="183" s="1"/>
  <c r="AB94" i="183"/>
  <c r="EE72" i="183"/>
  <c r="EB72" i="183"/>
  <c r="EC72" i="183" s="1"/>
  <c r="ED72" i="183" s="1" a="1"/>
  <c r="ED72" i="183" s="1"/>
  <c r="DS73" i="183" s="1"/>
  <c r="DZ73" i="183" s="1"/>
  <c r="FM86" i="183"/>
  <c r="AU94" i="183"/>
  <c r="AV94" i="183" s="1"/>
  <c r="AW94" i="183" s="1" a="1"/>
  <c r="AW94" i="183" s="1"/>
  <c r="AL95" i="183" s="1"/>
  <c r="AN95" i="183" s="1"/>
  <c r="AX94" i="183"/>
  <c r="FB87" i="183"/>
  <c r="FE87" i="183" s="1"/>
  <c r="FH87" i="183"/>
  <c r="FC87" i="183"/>
  <c r="FD87" i="183"/>
  <c r="DH74" i="183"/>
  <c r="DJ74" i="183" s="1"/>
  <c r="EO73" i="183"/>
  <c r="EP73" i="183" s="1"/>
  <c r="ER73" i="183" s="1"/>
  <c r="EV73" i="183" s="1"/>
  <c r="P94" i="183"/>
  <c r="M94" i="183"/>
  <c r="N94" i="183" s="1"/>
  <c r="O94" i="183" s="1" a="1"/>
  <c r="O94" i="183" s="1"/>
  <c r="D95" i="183" s="1"/>
  <c r="AA94" i="183" l="1"/>
  <c r="AC94" i="183" s="1"/>
  <c r="AD94" i="183" s="1"/>
  <c r="AE94" i="183" s="1"/>
  <c r="AF94" i="183" s="1" a="1"/>
  <c r="AF94" i="183" s="1"/>
  <c r="U95" i="183" s="1"/>
  <c r="AB95" i="183" s="1"/>
  <c r="DU73" i="183"/>
  <c r="DV73" i="183"/>
  <c r="DT73" i="183"/>
  <c r="DW73" i="183" s="1"/>
  <c r="AS95" i="183"/>
  <c r="AO95" i="183"/>
  <c r="AM95" i="183"/>
  <c r="AP95" i="183" s="1"/>
  <c r="AQ95" i="183" s="1"/>
  <c r="AR95" i="183" s="1"/>
  <c r="FF87" i="183"/>
  <c r="FG87" i="183" s="1"/>
  <c r="FI87" i="183" s="1"/>
  <c r="DN74" i="183"/>
  <c r="DK74" i="183"/>
  <c r="DL74" i="183" s="1"/>
  <c r="DM74" i="183" s="1" a="1"/>
  <c r="DM74" i="183" s="1"/>
  <c r="DB75" i="183" s="1"/>
  <c r="DE75" i="183" s="1"/>
  <c r="ES73" i="183"/>
  <c r="ET73" i="183" s="1"/>
  <c r="EU73" i="183" s="1" a="1"/>
  <c r="EU73" i="183" s="1"/>
  <c r="EJ74" i="183" s="1"/>
  <c r="EM74" i="183" s="1"/>
  <c r="E95" i="183"/>
  <c r="H95" i="183" s="1"/>
  <c r="G95" i="183"/>
  <c r="K95" i="183"/>
  <c r="F95" i="183"/>
  <c r="AG94" i="183" l="1"/>
  <c r="V95" i="183"/>
  <c r="Y95" i="183" s="1"/>
  <c r="X95" i="183"/>
  <c r="W95" i="183"/>
  <c r="DX73" i="183"/>
  <c r="DY73" i="183" s="1"/>
  <c r="EA73" i="183" s="1"/>
  <c r="EB73" i="183" s="1"/>
  <c r="EC73" i="183" s="1"/>
  <c r="ED73" i="183" s="1" a="1"/>
  <c r="ED73" i="183" s="1"/>
  <c r="DS74" i="183" s="1"/>
  <c r="AT95" i="183"/>
  <c r="AX95" i="183" s="1"/>
  <c r="FM87" i="183"/>
  <c r="FJ87" i="183"/>
  <c r="FK87" i="183" s="1"/>
  <c r="FL87" i="183" s="1" a="1"/>
  <c r="FL87" i="183" s="1"/>
  <c r="FA88" i="183" s="1"/>
  <c r="DC75" i="183"/>
  <c r="DF75" i="183" s="1"/>
  <c r="DD75" i="183"/>
  <c r="DI75" i="183"/>
  <c r="EQ74" i="183"/>
  <c r="EL74" i="183"/>
  <c r="EK74" i="183"/>
  <c r="EN74" i="183" s="1"/>
  <c r="I95" i="183"/>
  <c r="J95" i="183" s="1"/>
  <c r="L95" i="183" s="1"/>
  <c r="P95" i="183" s="1"/>
  <c r="Z95" i="183" l="1"/>
  <c r="AA95" i="183" s="1"/>
  <c r="AC95" i="183" s="1"/>
  <c r="AG95" i="183" s="1"/>
  <c r="EE73" i="183"/>
  <c r="AU95" i="183"/>
  <c r="AV95" i="183" s="1"/>
  <c r="AW95" i="183" s="1" a="1"/>
  <c r="AW95" i="183" s="1"/>
  <c r="AL96" i="183" s="1"/>
  <c r="AO96" i="183" s="1"/>
  <c r="FB88" i="183"/>
  <c r="FE88" i="183" s="1"/>
  <c r="FH88" i="183"/>
  <c r="FC88" i="183"/>
  <c r="FD88" i="183"/>
  <c r="DG75" i="183"/>
  <c r="DH75" i="183" s="1"/>
  <c r="DJ75" i="183" s="1"/>
  <c r="EO74" i="183"/>
  <c r="EP74" i="183" s="1"/>
  <c r="ER74" i="183" s="1"/>
  <c r="M95" i="183"/>
  <c r="N95" i="183" s="1"/>
  <c r="O95" i="183" s="1" a="1"/>
  <c r="O95" i="183" s="1"/>
  <c r="D96" i="183" s="1"/>
  <c r="K96" i="183" s="1"/>
  <c r="DT74" i="183"/>
  <c r="DW74" i="183" s="1"/>
  <c r="DU74" i="183"/>
  <c r="DZ74" i="183"/>
  <c r="DV74" i="183"/>
  <c r="AD95" i="183" l="1"/>
  <c r="AE95" i="183" s="1"/>
  <c r="AF95" i="183" s="1" a="1"/>
  <c r="AF95" i="183" s="1"/>
  <c r="U96" i="183" s="1"/>
  <c r="V96" i="183" s="1"/>
  <c r="Y96" i="183" s="1"/>
  <c r="AN96" i="183"/>
  <c r="AM96" i="183"/>
  <c r="AP96" i="183" s="1"/>
  <c r="AS96" i="183"/>
  <c r="FF88" i="183"/>
  <c r="FG88" i="183" s="1"/>
  <c r="FI88" i="183" s="1"/>
  <c r="DK75" i="183"/>
  <c r="DL75" i="183" s="1"/>
  <c r="DM75" i="183" s="1" a="1"/>
  <c r="DM75" i="183" s="1"/>
  <c r="DB76" i="183" s="1"/>
  <c r="DN75" i="183"/>
  <c r="ES74" i="183"/>
  <c r="ET74" i="183" s="1"/>
  <c r="EU74" i="183" s="1" a="1"/>
  <c r="EU74" i="183" s="1"/>
  <c r="EJ75" i="183" s="1"/>
  <c r="EQ75" i="183" s="1"/>
  <c r="EV74" i="183"/>
  <c r="BA124" i="204"/>
  <c r="BA139" i="205"/>
  <c r="BA103" i="137"/>
  <c r="BA100" i="203"/>
  <c r="F96" i="183"/>
  <c r="E96" i="183"/>
  <c r="H96" i="183" s="1"/>
  <c r="G96" i="183"/>
  <c r="DX74" i="183"/>
  <c r="DY74" i="183" s="1"/>
  <c r="EA74" i="183" s="1"/>
  <c r="AB96" i="183" l="1"/>
  <c r="W96" i="183"/>
  <c r="Z96" i="183" s="1"/>
  <c r="X96" i="183"/>
  <c r="AQ96" i="183"/>
  <c r="AR96" i="183" s="1"/>
  <c r="AT96" i="183" s="1"/>
  <c r="AU96" i="183" s="1"/>
  <c r="AV96" i="183" s="1"/>
  <c r="AW96" i="183" s="1" a="1"/>
  <c r="AW96" i="183" s="1"/>
  <c r="AL97" i="183" s="1"/>
  <c r="FJ88" i="183"/>
  <c r="FK88" i="183" s="1"/>
  <c r="FL88" i="183" s="1" a="1"/>
  <c r="FL88" i="183" s="1"/>
  <c r="FA89" i="183" s="1"/>
  <c r="FM88" i="183"/>
  <c r="DI76" i="183"/>
  <c r="DC76" i="183"/>
  <c r="DF76" i="183" s="1"/>
  <c r="DE76" i="183"/>
  <c r="DD76" i="183"/>
  <c r="EK75" i="183"/>
  <c r="EN75" i="183" s="1"/>
  <c r="EM75" i="183"/>
  <c r="EL75" i="183"/>
  <c r="I96" i="183"/>
  <c r="J96" i="183" s="1"/>
  <c r="L96" i="183" s="1"/>
  <c r="M96" i="183" s="1"/>
  <c r="N96" i="183" s="1"/>
  <c r="O96" i="183" s="1" a="1"/>
  <c r="O96" i="183" s="1"/>
  <c r="D97" i="183" s="1"/>
  <c r="E97" i="183" s="1"/>
  <c r="H97" i="183" s="1"/>
  <c r="EE74" i="183"/>
  <c r="EB74" i="183"/>
  <c r="EC74" i="183" s="1"/>
  <c r="ED74" i="183" s="1" a="1"/>
  <c r="ED74" i="183" s="1"/>
  <c r="DS75" i="183" s="1"/>
  <c r="AA96" i="183" l="1"/>
  <c r="AC96" i="183" s="1"/>
  <c r="AD96" i="183" s="1"/>
  <c r="AE96" i="183" s="1"/>
  <c r="AF96" i="183" s="1" a="1"/>
  <c r="AF96" i="183" s="1"/>
  <c r="U97" i="183" s="1"/>
  <c r="AX96" i="183"/>
  <c r="AO97" i="183"/>
  <c r="AN97" i="183"/>
  <c r="AS97" i="183"/>
  <c r="AM97" i="183"/>
  <c r="AP97" i="183" s="1"/>
  <c r="FB89" i="183"/>
  <c r="FE89" i="183" s="1"/>
  <c r="FD89" i="183"/>
  <c r="FC89" i="183"/>
  <c r="FH89" i="183"/>
  <c r="DG76" i="183"/>
  <c r="DH76" i="183" s="1"/>
  <c r="DJ76" i="183" s="1"/>
  <c r="EO75" i="183"/>
  <c r="EP75" i="183" s="1"/>
  <c r="ER75" i="183" s="1"/>
  <c r="P96" i="183"/>
  <c r="G97" i="183"/>
  <c r="F97" i="183"/>
  <c r="I97" i="183" s="1"/>
  <c r="K97" i="183"/>
  <c r="DU75" i="183"/>
  <c r="DT75" i="183"/>
  <c r="DW75" i="183" s="1"/>
  <c r="DV75" i="183"/>
  <c r="DZ75" i="183"/>
  <c r="AG96" i="183"/>
  <c r="AQ97" i="183" l="1"/>
  <c r="AR97" i="183" s="1"/>
  <c r="AT97" i="183" s="1"/>
  <c r="FF89" i="183"/>
  <c r="FG89" i="183" s="1"/>
  <c r="FI89" i="183" s="1"/>
  <c r="DK76" i="183"/>
  <c r="DL76" i="183" s="1"/>
  <c r="DM76" i="183" s="1" a="1"/>
  <c r="DM76" i="183" s="1"/>
  <c r="DB77" i="183" s="1"/>
  <c r="DN76" i="183"/>
  <c r="J97" i="183"/>
  <c r="L97" i="183" s="1"/>
  <c r="M97" i="183" s="1"/>
  <c r="N97" i="183" s="1"/>
  <c r="O97" i="183" s="1" a="1"/>
  <c r="O97" i="183" s="1"/>
  <c r="D98" i="183" s="1"/>
  <c r="EV75" i="183"/>
  <c r="ES75" i="183"/>
  <c r="ET75" i="183" s="1"/>
  <c r="EU75" i="183" s="1" a="1"/>
  <c r="EU75" i="183" s="1"/>
  <c r="EJ76" i="183" s="1"/>
  <c r="DX75" i="183"/>
  <c r="DY75" i="183" s="1"/>
  <c r="EA75" i="183" s="1"/>
  <c r="V97" i="183"/>
  <c r="Y97" i="183" s="1"/>
  <c r="X97" i="183"/>
  <c r="AB97" i="183"/>
  <c r="W97" i="183"/>
  <c r="AX97" i="183" l="1"/>
  <c r="AU97" i="183"/>
  <c r="AV97" i="183" s="1"/>
  <c r="AW97" i="183" s="1" a="1"/>
  <c r="AW97" i="183" s="1"/>
  <c r="AL98" i="183" s="1"/>
  <c r="FM89" i="183"/>
  <c r="FJ89" i="183"/>
  <c r="FK89" i="183" s="1"/>
  <c r="FL89" i="183" s="1" a="1"/>
  <c r="FL89" i="183" s="1"/>
  <c r="FA90" i="183" s="1"/>
  <c r="DC77" i="183"/>
  <c r="DF77" i="183" s="1"/>
  <c r="DD77" i="183"/>
  <c r="DE77" i="183"/>
  <c r="DI77" i="183"/>
  <c r="P97" i="183"/>
  <c r="EL76" i="183"/>
  <c r="EQ76" i="183"/>
  <c r="EM76" i="183"/>
  <c r="EK76" i="183"/>
  <c r="EN76" i="183" s="1"/>
  <c r="Z97" i="183"/>
  <c r="AA97" i="183" s="1"/>
  <c r="AC97" i="183" s="1"/>
  <c r="AG97" i="183" s="1"/>
  <c r="EB75" i="183"/>
  <c r="EC75" i="183" s="1"/>
  <c r="ED75" i="183" s="1" a="1"/>
  <c r="ED75" i="183" s="1"/>
  <c r="DS76" i="183" s="1"/>
  <c r="EE75" i="183"/>
  <c r="G98" i="183"/>
  <c r="F98" i="183"/>
  <c r="K98" i="183"/>
  <c r="E98" i="183"/>
  <c r="H98" i="183" s="1"/>
  <c r="AM98" i="183" l="1"/>
  <c r="AP98" i="183" s="1"/>
  <c r="AS98" i="183"/>
  <c r="AN98" i="183"/>
  <c r="AO98" i="183"/>
  <c r="DG77" i="183"/>
  <c r="DH77" i="183" s="1"/>
  <c r="DJ77" i="183" s="1"/>
  <c r="FC90" i="183"/>
  <c r="FB90" i="183"/>
  <c r="FE90" i="183" s="1"/>
  <c r="FD90" i="183"/>
  <c r="FH90" i="183"/>
  <c r="EO76" i="183"/>
  <c r="EP76" i="183" s="1"/>
  <c r="ER76" i="183" s="1"/>
  <c r="AD97" i="183"/>
  <c r="AE97" i="183" s="1"/>
  <c r="AF97" i="183" s="1" a="1"/>
  <c r="AF97" i="183" s="1"/>
  <c r="U98" i="183" s="1"/>
  <c r="X98" i="183" s="1"/>
  <c r="DU76" i="183"/>
  <c r="DT76" i="183"/>
  <c r="DW76" i="183" s="1"/>
  <c r="DV76" i="183"/>
  <c r="DZ76" i="183"/>
  <c r="I98" i="183"/>
  <c r="J98" i="183" s="1"/>
  <c r="L98" i="183" s="1"/>
  <c r="AQ98" i="183" l="1"/>
  <c r="AR98" i="183" s="1"/>
  <c r="AT98" i="183" s="1"/>
  <c r="FF90" i="183"/>
  <c r="FG90" i="183" s="1"/>
  <c r="FI90" i="183" s="1"/>
  <c r="DN77" i="183"/>
  <c r="DK77" i="183"/>
  <c r="DL77" i="183" s="1"/>
  <c r="DM77" i="183" s="1" a="1"/>
  <c r="DM77" i="183" s="1"/>
  <c r="DB78" i="183" s="1"/>
  <c r="EV76" i="183"/>
  <c r="ES76" i="183"/>
  <c r="ET76" i="183" s="1"/>
  <c r="EU76" i="183" s="1" a="1"/>
  <c r="EU76" i="183" s="1"/>
  <c r="EJ77" i="183" s="1"/>
  <c r="V98" i="183"/>
  <c r="Y98" i="183" s="1"/>
  <c r="W98" i="183"/>
  <c r="AB98" i="183"/>
  <c r="DX76" i="183"/>
  <c r="DY76" i="183" s="1"/>
  <c r="EA76" i="183" s="1"/>
  <c r="M98" i="183"/>
  <c r="N98" i="183" s="1"/>
  <c r="O98" i="183" s="1" a="1"/>
  <c r="O98" i="183" s="1"/>
  <c r="D99" i="183" s="1"/>
  <c r="P98" i="183"/>
  <c r="AX98" i="183" l="1"/>
  <c r="AU98" i="183"/>
  <c r="AV98" i="183" s="1"/>
  <c r="AW98" i="183" s="1" a="1"/>
  <c r="AW98" i="183" s="1"/>
  <c r="AL99" i="183" s="1"/>
  <c r="FJ90" i="183"/>
  <c r="FK90" i="183" s="1"/>
  <c r="FL90" i="183" s="1" a="1"/>
  <c r="FL90" i="183" s="1"/>
  <c r="FA91" i="183" s="1"/>
  <c r="FM90" i="183"/>
  <c r="DD78" i="183"/>
  <c r="DC78" i="183"/>
  <c r="DF78" i="183" s="1"/>
  <c r="DI78" i="183"/>
  <c r="DE78" i="183"/>
  <c r="EK77" i="183"/>
  <c r="EN77" i="183" s="1"/>
  <c r="EQ77" i="183"/>
  <c r="EL77" i="183"/>
  <c r="EM77" i="183"/>
  <c r="Z98" i="183"/>
  <c r="AA98" i="183" s="1"/>
  <c r="AC98" i="183" s="1"/>
  <c r="AD98" i="183" s="1"/>
  <c r="AE98" i="183" s="1"/>
  <c r="AF98" i="183" s="1" a="1"/>
  <c r="AF98" i="183" s="1"/>
  <c r="U99" i="183" s="1"/>
  <c r="EE76" i="183"/>
  <c r="EB76" i="183"/>
  <c r="EC76" i="183" s="1"/>
  <c r="ED76" i="183" s="1" a="1"/>
  <c r="ED76" i="183" s="1"/>
  <c r="DS77" i="183" s="1"/>
  <c r="E99" i="183"/>
  <c r="H99" i="183" s="1"/>
  <c r="G99" i="183"/>
  <c r="F99" i="183"/>
  <c r="K99" i="183"/>
  <c r="AM99" i="183" l="1"/>
  <c r="AP99" i="183" s="1"/>
  <c r="AN99" i="183"/>
  <c r="AO99" i="183"/>
  <c r="AS99" i="183"/>
  <c r="DG78" i="183"/>
  <c r="DH78" i="183" s="1"/>
  <c r="DJ78" i="183" s="1"/>
  <c r="FH91" i="183"/>
  <c r="FD91" i="183"/>
  <c r="FC91" i="183"/>
  <c r="FB91" i="183"/>
  <c r="FE91" i="183" s="1"/>
  <c r="EO77" i="183"/>
  <c r="EP77" i="183" s="1"/>
  <c r="ER77" i="183" s="1"/>
  <c r="AG98" i="183"/>
  <c r="I99" i="183"/>
  <c r="J99" i="183" s="1"/>
  <c r="L99" i="183" s="1"/>
  <c r="DV77" i="183"/>
  <c r="DU77" i="183"/>
  <c r="DZ77" i="183"/>
  <c r="DT77" i="183"/>
  <c r="DW77" i="183" s="1"/>
  <c r="X99" i="183"/>
  <c r="W99" i="183"/>
  <c r="V99" i="183"/>
  <c r="Y99" i="183" s="1"/>
  <c r="AB99" i="183"/>
  <c r="AQ99" i="183" l="1"/>
  <c r="AR99" i="183" s="1"/>
  <c r="AT99" i="183" s="1"/>
  <c r="FF91" i="183"/>
  <c r="FG91" i="183" s="1"/>
  <c r="FI91" i="183" s="1"/>
  <c r="DK78" i="183"/>
  <c r="DL78" i="183" s="1"/>
  <c r="DM78" i="183" s="1" a="1"/>
  <c r="DM78" i="183" s="1"/>
  <c r="DB79" i="183" s="1"/>
  <c r="DN78" i="183"/>
  <c r="EV77" i="183"/>
  <c r="ES77" i="183"/>
  <c r="ET77" i="183" s="1"/>
  <c r="EU77" i="183" s="1" a="1"/>
  <c r="EU77" i="183" s="1"/>
  <c r="EJ78" i="183" s="1"/>
  <c r="DX77" i="183"/>
  <c r="DY77" i="183" s="1"/>
  <c r="EA77" i="183" s="1"/>
  <c r="Z99" i="183"/>
  <c r="AA99" i="183" s="1"/>
  <c r="AC99" i="183" s="1"/>
  <c r="M99" i="183"/>
  <c r="N99" i="183" s="1"/>
  <c r="O99" i="183" s="1" a="1"/>
  <c r="O99" i="183" s="1"/>
  <c r="D100" i="183" s="1"/>
  <c r="P99" i="183"/>
  <c r="AU99" i="183" l="1"/>
  <c r="AV99" i="183" s="1"/>
  <c r="AW99" i="183" s="1" a="1"/>
  <c r="AW99" i="183" s="1"/>
  <c r="AL100" i="183" s="1"/>
  <c r="AX99" i="183"/>
  <c r="FJ91" i="183"/>
  <c r="FK91" i="183" s="1"/>
  <c r="FL91" i="183" s="1" a="1"/>
  <c r="FL91" i="183" s="1"/>
  <c r="FA92" i="183" s="1"/>
  <c r="FM91" i="183"/>
  <c r="DD79" i="183"/>
  <c r="DE79" i="183"/>
  <c r="DC79" i="183"/>
  <c r="DF79" i="183" s="1"/>
  <c r="DI79" i="183"/>
  <c r="EQ78" i="183"/>
  <c r="EK78" i="183"/>
  <c r="EN78" i="183" s="1"/>
  <c r="EM78" i="183"/>
  <c r="EL78" i="183"/>
  <c r="BA130" i="204"/>
  <c r="BA145" i="205"/>
  <c r="BA128" i="204"/>
  <c r="BA143" i="205"/>
  <c r="BA107" i="137"/>
  <c r="BA104" i="203"/>
  <c r="BA106" i="203"/>
  <c r="EB77" i="183"/>
  <c r="EC77" i="183" s="1"/>
  <c r="ED77" i="183" s="1" a="1"/>
  <c r="ED77" i="183" s="1"/>
  <c r="DS78" i="183" s="1"/>
  <c r="EE77" i="183"/>
  <c r="AG99" i="183"/>
  <c r="AD99" i="183"/>
  <c r="AE99" i="183" s="1"/>
  <c r="AF99" i="183" s="1" a="1"/>
  <c r="AF99" i="183" s="1"/>
  <c r="U100" i="183" s="1"/>
  <c r="G100" i="183"/>
  <c r="F100" i="183"/>
  <c r="K100" i="183"/>
  <c r="E100" i="183"/>
  <c r="H100" i="183" s="1"/>
  <c r="BA109" i="137"/>
  <c r="AN100" i="183" l="1"/>
  <c r="AM100" i="183"/>
  <c r="AP100" i="183" s="1"/>
  <c r="AS100" i="183"/>
  <c r="AO100" i="183"/>
  <c r="FC92" i="183"/>
  <c r="FD92" i="183"/>
  <c r="FB92" i="183"/>
  <c r="FE92" i="183" s="1"/>
  <c r="FH92" i="183"/>
  <c r="DG79" i="183"/>
  <c r="DH79" i="183" s="1"/>
  <c r="DJ79" i="183" s="1"/>
  <c r="EO78" i="183"/>
  <c r="EP78" i="183" s="1"/>
  <c r="ER78" i="183" s="1"/>
  <c r="ES78" i="183" s="1"/>
  <c r="ET78" i="183" s="1"/>
  <c r="EU78" i="183" s="1" a="1"/>
  <c r="EU78" i="183" s="1"/>
  <c r="EJ79" i="183" s="1"/>
  <c r="EK79" i="183" s="1"/>
  <c r="EN79" i="183" s="1"/>
  <c r="DZ78" i="183"/>
  <c r="DT78" i="183"/>
  <c r="DW78" i="183" s="1"/>
  <c r="DU78" i="183"/>
  <c r="DV78" i="183"/>
  <c r="V100" i="183"/>
  <c r="Y100" i="183" s="1"/>
  <c r="X100" i="183"/>
  <c r="W100" i="183"/>
  <c r="AB100" i="183"/>
  <c r="I100" i="183"/>
  <c r="J100" i="183" s="1"/>
  <c r="L100" i="183" s="1"/>
  <c r="AQ100" i="183" l="1"/>
  <c r="AR100" i="183" s="1"/>
  <c r="AT100" i="183" s="1"/>
  <c r="FF92" i="183"/>
  <c r="FG92" i="183" s="1"/>
  <c r="FI92" i="183" s="1"/>
  <c r="DN79" i="183"/>
  <c r="DK79" i="183"/>
  <c r="DL79" i="183" s="1"/>
  <c r="DM79" i="183" s="1" a="1"/>
  <c r="DM79" i="183" s="1"/>
  <c r="DB80" i="183" s="1"/>
  <c r="EV78" i="183"/>
  <c r="EQ79" i="183"/>
  <c r="EL79" i="183"/>
  <c r="EO79" i="183" s="1"/>
  <c r="EM79" i="183"/>
  <c r="Z100" i="183"/>
  <c r="AA100" i="183" s="1"/>
  <c r="AC100" i="183" s="1"/>
  <c r="DX78" i="183"/>
  <c r="DY78" i="183" s="1"/>
  <c r="EA78" i="183" s="1"/>
  <c r="EE78" i="183" s="1"/>
  <c r="P100" i="183"/>
  <c r="M100" i="183"/>
  <c r="N100" i="183" s="1"/>
  <c r="O100" i="183" s="1" a="1"/>
  <c r="O100" i="183" s="1"/>
  <c r="D101" i="183" s="1"/>
  <c r="AX100" i="183" l="1"/>
  <c r="AU100" i="183"/>
  <c r="AV100" i="183" s="1"/>
  <c r="AW100" i="183" s="1" a="1"/>
  <c r="AW100" i="183" s="1"/>
  <c r="AL101" i="183" s="1"/>
  <c r="FM92" i="183"/>
  <c r="FJ92" i="183"/>
  <c r="FK92" i="183" s="1"/>
  <c r="FL92" i="183" s="1" a="1"/>
  <c r="FL92" i="183" s="1"/>
  <c r="FA93" i="183" s="1"/>
  <c r="DI80" i="183"/>
  <c r="DD80" i="183"/>
  <c r="DE80" i="183"/>
  <c r="DC80" i="183"/>
  <c r="DF80" i="183" s="1"/>
  <c r="EP79" i="183"/>
  <c r="ER79" i="183" s="1"/>
  <c r="EV79" i="183" s="1"/>
  <c r="EB78" i="183"/>
  <c r="EC78" i="183" s="1"/>
  <c r="ED78" i="183" s="1" a="1"/>
  <c r="ED78" i="183" s="1"/>
  <c r="DS79" i="183" s="1"/>
  <c r="DU79" i="183" s="1"/>
  <c r="AD100" i="183"/>
  <c r="AE100" i="183" s="1"/>
  <c r="AF100" i="183" s="1" a="1"/>
  <c r="AF100" i="183" s="1"/>
  <c r="U101" i="183" s="1"/>
  <c r="AG100" i="183"/>
  <c r="E101" i="183"/>
  <c r="H101" i="183" s="1"/>
  <c r="F101" i="183"/>
  <c r="G101" i="183"/>
  <c r="K101" i="183"/>
  <c r="C332" i="121"/>
  <c r="E372" i="121"/>
  <c r="E373" i="121"/>
  <c r="E374" i="121"/>
  <c r="E375" i="121"/>
  <c r="F397" i="121" s="1"/>
  <c r="G397" i="121" s="1"/>
  <c r="AO101" i="183" l="1"/>
  <c r="AM101" i="183"/>
  <c r="AP101" i="183" s="1"/>
  <c r="AS101" i="183"/>
  <c r="AN101" i="183"/>
  <c r="FB93" i="183"/>
  <c r="FE93" i="183" s="1"/>
  <c r="FC93" i="183"/>
  <c r="FD93" i="183"/>
  <c r="FH93" i="183"/>
  <c r="DG80" i="183"/>
  <c r="DH80" i="183" s="1"/>
  <c r="DJ80" i="183" s="1"/>
  <c r="ES79" i="183"/>
  <c r="ET79" i="183" s="1"/>
  <c r="EU79" i="183" s="1" a="1"/>
  <c r="EU79" i="183" s="1"/>
  <c r="EJ80" i="183" s="1"/>
  <c r="DZ79" i="183"/>
  <c r="DT79" i="183"/>
  <c r="DW79" i="183" s="1"/>
  <c r="DX79" i="183" s="1"/>
  <c r="DV79" i="183"/>
  <c r="V101" i="183"/>
  <c r="Y101" i="183" s="1"/>
  <c r="W101" i="183"/>
  <c r="X101" i="183"/>
  <c r="AB101" i="183"/>
  <c r="I101" i="183"/>
  <c r="J101" i="183" s="1"/>
  <c r="L101" i="183" s="1"/>
  <c r="C388" i="121"/>
  <c r="O397" i="121" s="1"/>
  <c r="G398" i="121"/>
  <c r="F387" i="121"/>
  <c r="F388" i="121"/>
  <c r="C387" i="121"/>
  <c r="F398" i="121"/>
  <c r="AQ101" i="183" l="1"/>
  <c r="AR101" i="183" s="1"/>
  <c r="AT101" i="183" s="1"/>
  <c r="FF93" i="183"/>
  <c r="FG93" i="183" s="1"/>
  <c r="FI93" i="183" s="1"/>
  <c r="DN80" i="183"/>
  <c r="DK80" i="183"/>
  <c r="DL80" i="183" s="1"/>
  <c r="DM80" i="183" s="1" a="1"/>
  <c r="DM80" i="183" s="1"/>
  <c r="DB81" i="183" s="1"/>
  <c r="EK80" i="183"/>
  <c r="EN80" i="183" s="1"/>
  <c r="EL80" i="183"/>
  <c r="EQ80" i="183"/>
  <c r="EM80" i="183"/>
  <c r="DY79" i="183"/>
  <c r="EA79" i="183" s="1"/>
  <c r="EB79" i="183" s="1"/>
  <c r="EC79" i="183" s="1"/>
  <c r="ED79" i="183" s="1" a="1"/>
  <c r="ED79" i="183" s="1"/>
  <c r="DS80" i="183" s="1"/>
  <c r="Z101" i="183"/>
  <c r="AA101" i="183" s="1"/>
  <c r="AC101" i="183" s="1"/>
  <c r="M101" i="183"/>
  <c r="N101" i="183" s="1"/>
  <c r="O101" i="183" s="1" a="1"/>
  <c r="O101" i="183" s="1"/>
  <c r="D102" i="183" s="1"/>
  <c r="P101" i="183"/>
  <c r="J388" i="121"/>
  <c r="N388" i="121" s="1"/>
  <c r="O388" i="121" s="1"/>
  <c r="O729" i="121"/>
  <c r="O698" i="121"/>
  <c r="C391" i="121"/>
  <c r="D391" i="121"/>
  <c r="J386" i="121"/>
  <c r="N386" i="121" s="1"/>
  <c r="O395" i="121"/>
  <c r="O396" i="121"/>
  <c r="J387" i="121"/>
  <c r="N387" i="121" s="1"/>
  <c r="O387" i="121" s="1"/>
  <c r="N729" i="121"/>
  <c r="N698" i="121"/>
  <c r="AU101" i="183" l="1"/>
  <c r="AV101" i="183" s="1"/>
  <c r="AW101" i="183" s="1" a="1"/>
  <c r="AW101" i="183" s="1"/>
  <c r="AL102" i="183" s="1"/>
  <c r="AX101" i="183"/>
  <c r="FJ93" i="183"/>
  <c r="FK93" i="183" s="1"/>
  <c r="FL93" i="183" s="1" a="1"/>
  <c r="FL93" i="183" s="1"/>
  <c r="FA94" i="183" s="1"/>
  <c r="FM93" i="183"/>
  <c r="DE81" i="183"/>
  <c r="DD81" i="183"/>
  <c r="DC81" i="183"/>
  <c r="DF81" i="183" s="1"/>
  <c r="DI81" i="183"/>
  <c r="EO80" i="183"/>
  <c r="EP80" i="183" s="1"/>
  <c r="ER80" i="183" s="1"/>
  <c r="EE79" i="183"/>
  <c r="DV80" i="183"/>
  <c r="DZ80" i="183"/>
  <c r="DT80" i="183"/>
  <c r="DW80" i="183" s="1"/>
  <c r="DU80" i="183"/>
  <c r="AG101" i="183"/>
  <c r="AD101" i="183"/>
  <c r="AE101" i="183" s="1"/>
  <c r="AF101" i="183" s="1" a="1"/>
  <c r="AF101" i="183" s="1"/>
  <c r="U102" i="183" s="1"/>
  <c r="E102" i="183"/>
  <c r="H102" i="183" s="1"/>
  <c r="F102" i="183"/>
  <c r="K102" i="183"/>
  <c r="G102" i="183"/>
  <c r="L63" i="141"/>
  <c r="L71" i="141"/>
  <c r="O398" i="121"/>
  <c r="C400" i="121" s="1"/>
  <c r="C392" i="121"/>
  <c r="D392" i="121"/>
  <c r="O386" i="121"/>
  <c r="K63" i="141"/>
  <c r="K71" i="141"/>
  <c r="AM102" i="183" l="1"/>
  <c r="AP102" i="183" s="1"/>
  <c r="AS102" i="183"/>
  <c r="AO102" i="183"/>
  <c r="AN102" i="183"/>
  <c r="FH94" i="183"/>
  <c r="FB94" i="183"/>
  <c r="FE94" i="183" s="1"/>
  <c r="FD94" i="183"/>
  <c r="FC94" i="183"/>
  <c r="DG81" i="183"/>
  <c r="DH81" i="183" s="1"/>
  <c r="DJ81" i="183" s="1"/>
  <c r="ES80" i="183"/>
  <c r="ET80" i="183" s="1"/>
  <c r="EU80" i="183" s="1" a="1"/>
  <c r="EU80" i="183" s="1"/>
  <c r="EJ81" i="183" s="1"/>
  <c r="EV80" i="183"/>
  <c r="DX80" i="183"/>
  <c r="DY80" i="183" s="1"/>
  <c r="EA80" i="183" s="1"/>
  <c r="EB80" i="183" s="1"/>
  <c r="EC80" i="183" s="1"/>
  <c r="ED80" i="183" s="1" a="1"/>
  <c r="ED80" i="183" s="1"/>
  <c r="DS81" i="183" s="1"/>
  <c r="V102" i="183"/>
  <c r="Y102" i="183" s="1"/>
  <c r="X102" i="183"/>
  <c r="AB102" i="183"/>
  <c r="W102" i="183"/>
  <c r="I102" i="183"/>
  <c r="J102" i="183" s="1"/>
  <c r="L102" i="183" s="1"/>
  <c r="F729" i="121"/>
  <c r="F698" i="121"/>
  <c r="G729" i="121"/>
  <c r="D71" i="141" s="1"/>
  <c r="G698" i="121"/>
  <c r="D63" i="141" s="1"/>
  <c r="M729" i="121" l="1"/>
  <c r="M698" i="121"/>
  <c r="AQ102" i="183"/>
  <c r="AR102" i="183" s="1"/>
  <c r="AT102" i="183" s="1"/>
  <c r="FF94" i="183"/>
  <c r="FG94" i="183" s="1"/>
  <c r="FI94" i="183" s="1"/>
  <c r="FJ94" i="183" s="1"/>
  <c r="FK94" i="183" s="1"/>
  <c r="FL94" i="183" s="1" a="1"/>
  <c r="FL94" i="183" s="1"/>
  <c r="FA95" i="183" s="1"/>
  <c r="DN81" i="183"/>
  <c r="DK81" i="183"/>
  <c r="DL81" i="183" s="1"/>
  <c r="DM81" i="183" s="1" a="1"/>
  <c r="DM81" i="183" s="1"/>
  <c r="DB82" i="183" s="1"/>
  <c r="EM81" i="183"/>
  <c r="EK81" i="183"/>
  <c r="EN81" i="183" s="1"/>
  <c r="EL81" i="183"/>
  <c r="EQ81" i="183"/>
  <c r="Z102" i="183"/>
  <c r="AA102" i="183" s="1"/>
  <c r="AC102" i="183" s="1"/>
  <c r="AD102" i="183" s="1"/>
  <c r="AE102" i="183" s="1"/>
  <c r="AF102" i="183" s="1" a="1"/>
  <c r="AF102" i="183" s="1"/>
  <c r="U103" i="183" s="1"/>
  <c r="EE80" i="183"/>
  <c r="DT81" i="183"/>
  <c r="DW81" i="183" s="1"/>
  <c r="DU81" i="183"/>
  <c r="DZ81" i="183"/>
  <c r="DV81" i="183"/>
  <c r="P102" i="183"/>
  <c r="M102" i="183"/>
  <c r="N102" i="183" s="1"/>
  <c r="O102" i="183" s="1" a="1"/>
  <c r="O102" i="183" s="1"/>
  <c r="D103" i="183" s="1"/>
  <c r="C71" i="141"/>
  <c r="H729" i="121"/>
  <c r="E71" i="141" s="1"/>
  <c r="C63" i="141"/>
  <c r="H698" i="121"/>
  <c r="E63" i="141" s="1"/>
  <c r="AU102" i="183" l="1"/>
  <c r="AV102" i="183" s="1"/>
  <c r="AW102" i="183" s="1" a="1"/>
  <c r="AW102" i="183" s="1"/>
  <c r="AL103" i="183" s="1"/>
  <c r="AX102" i="183"/>
  <c r="FM94" i="183"/>
  <c r="FD95" i="183"/>
  <c r="FB95" i="183"/>
  <c r="FE95" i="183" s="1"/>
  <c r="FC95" i="183"/>
  <c r="FH95" i="183"/>
  <c r="DE82" i="183"/>
  <c r="DD82" i="183"/>
  <c r="DC82" i="183"/>
  <c r="DF82" i="183" s="1"/>
  <c r="DI82" i="183"/>
  <c r="EO81" i="183"/>
  <c r="EP81" i="183" s="1"/>
  <c r="ER81" i="183" s="1"/>
  <c r="DX81" i="183"/>
  <c r="DY81" i="183" s="1"/>
  <c r="EA81" i="183" s="1"/>
  <c r="AG102" i="183"/>
  <c r="X103" i="183"/>
  <c r="AB103" i="183"/>
  <c r="V103" i="183"/>
  <c r="Y103" i="183" s="1"/>
  <c r="W103" i="183"/>
  <c r="G103" i="183"/>
  <c r="E103" i="183"/>
  <c r="H103" i="183" s="1"/>
  <c r="F103" i="183"/>
  <c r="K103" i="183"/>
  <c r="AM103" i="183" l="1"/>
  <c r="AP103" i="183" s="1"/>
  <c r="AN103" i="183"/>
  <c r="AO103" i="183"/>
  <c r="AS103" i="183"/>
  <c r="FF95" i="183"/>
  <c r="FG95" i="183" s="1"/>
  <c r="FI95" i="183" s="1"/>
  <c r="DG82" i="183"/>
  <c r="DH82" i="183" s="1"/>
  <c r="DJ82" i="183" s="1"/>
  <c r="ES81" i="183"/>
  <c r="ET81" i="183" s="1"/>
  <c r="EU81" i="183" s="1" a="1"/>
  <c r="EU81" i="183" s="1"/>
  <c r="EJ82" i="183" s="1"/>
  <c r="EV81" i="183"/>
  <c r="Z103" i="183"/>
  <c r="AA103" i="183" s="1"/>
  <c r="AC103" i="183" s="1"/>
  <c r="AG103" i="183" s="1"/>
  <c r="AA34" i="183" s="1"/>
  <c r="EB81" i="183"/>
  <c r="EC81" i="183" s="1"/>
  <c r="ED81" i="183" s="1" a="1"/>
  <c r="ED81" i="183" s="1"/>
  <c r="DS82" i="183" s="1"/>
  <c r="EE81" i="183"/>
  <c r="I103" i="183"/>
  <c r="J103" i="183" s="1"/>
  <c r="L103" i="183" s="1"/>
  <c r="AQ103" i="183" l="1"/>
  <c r="AR103" i="183" s="1"/>
  <c r="AT103" i="183" s="1"/>
  <c r="FM95" i="183"/>
  <c r="FJ95" i="183"/>
  <c r="FK95" i="183" s="1"/>
  <c r="FL95" i="183" s="1" a="1"/>
  <c r="FL95" i="183" s="1"/>
  <c r="FA96" i="183" s="1"/>
  <c r="DK82" i="183"/>
  <c r="DL82" i="183" s="1"/>
  <c r="DM82" i="183" s="1" a="1"/>
  <c r="DM82" i="183" s="1"/>
  <c r="DB83" i="183" s="1"/>
  <c r="DN82" i="183"/>
  <c r="EK82" i="183"/>
  <c r="EN82" i="183" s="1"/>
  <c r="EM82" i="183"/>
  <c r="EQ82" i="183"/>
  <c r="EL82" i="183"/>
  <c r="AD103" i="183"/>
  <c r="AE103" i="183" s="1"/>
  <c r="AF103" i="183" s="1" a="1"/>
  <c r="AF103" i="183" s="1"/>
  <c r="DV82" i="183"/>
  <c r="DZ82" i="183"/>
  <c r="DU82" i="183"/>
  <c r="DT82" i="183"/>
  <c r="DW82" i="183" s="1"/>
  <c r="AA44" i="183"/>
  <c r="P2" i="183"/>
  <c r="AA43" i="183"/>
  <c r="P11" i="183" s="1"/>
  <c r="AA38" i="183"/>
  <c r="AA35" i="183"/>
  <c r="AA39" i="183"/>
  <c r="P7" i="183" s="1"/>
  <c r="AA40" i="183"/>
  <c r="P8" i="183" s="1"/>
  <c r="P103" i="183"/>
  <c r="J34" i="183" s="1"/>
  <c r="M103" i="183"/>
  <c r="N103" i="183" s="1"/>
  <c r="O103" i="183" s="1" a="1"/>
  <c r="O103" i="183" s="1"/>
  <c r="C333" i="121"/>
  <c r="E333" i="121" s="1"/>
  <c r="E332" i="121" s="1"/>
  <c r="E370" i="121"/>
  <c r="E371" i="121" s="1"/>
  <c r="C403" i="121" s="1"/>
  <c r="C405" i="121" s="1"/>
  <c r="AU103" i="183" l="1"/>
  <c r="AV103" i="183" s="1"/>
  <c r="AW103" i="183" s="1" a="1"/>
  <c r="AW103" i="183" s="1"/>
  <c r="AX103" i="183"/>
  <c r="AR34" i="183" s="1"/>
  <c r="FB96" i="183"/>
  <c r="FE96" i="183" s="1"/>
  <c r="FH96" i="183"/>
  <c r="FC96" i="183"/>
  <c r="FD96" i="183"/>
  <c r="DC83" i="183"/>
  <c r="DF83" i="183" s="1"/>
  <c r="DE83" i="183"/>
  <c r="DI83" i="183"/>
  <c r="DD83" i="183"/>
  <c r="EO82" i="183"/>
  <c r="EP82" i="183" s="1"/>
  <c r="ER82" i="183" s="1"/>
  <c r="ES82" i="183" s="1"/>
  <c r="ET82" i="183" s="1"/>
  <c r="EU82" i="183" s="1" a="1"/>
  <c r="EU82" i="183" s="1"/>
  <c r="EJ83" i="183" s="1"/>
  <c r="EK83" i="183" s="1"/>
  <c r="EN83" i="183" s="1"/>
  <c r="BD124" i="204"/>
  <c r="BD139" i="205"/>
  <c r="BD103" i="137"/>
  <c r="BD100" i="203"/>
  <c r="DX82" i="183"/>
  <c r="DY82" i="183" s="1"/>
  <c r="EA82" i="183" s="1"/>
  <c r="P6" i="183"/>
  <c r="AA36" i="183"/>
  <c r="P3" i="183"/>
  <c r="P12" i="183"/>
  <c r="AA46" i="183"/>
  <c r="J35" i="183"/>
  <c r="J39" i="183"/>
  <c r="O7" i="183" s="1"/>
  <c r="J43" i="183"/>
  <c r="O11" i="183" s="1"/>
  <c r="J44" i="183"/>
  <c r="O2" i="183"/>
  <c r="J40" i="183"/>
  <c r="O8" i="183" s="1"/>
  <c r="J38" i="183"/>
  <c r="I698" i="121"/>
  <c r="I700" i="121" s="1"/>
  <c r="I729" i="121"/>
  <c r="I731" i="121" s="1"/>
  <c r="AR38" i="183" l="1"/>
  <c r="Q6" i="183" s="1"/>
  <c r="AR40" i="183"/>
  <c r="Q8" i="183" s="1"/>
  <c r="AR35" i="183"/>
  <c r="AR39" i="183"/>
  <c r="Q7" i="183" s="1"/>
  <c r="AR44" i="183"/>
  <c r="Q2" i="183"/>
  <c r="AR43" i="183"/>
  <c r="Q11" i="183" s="1"/>
  <c r="FF96" i="183"/>
  <c r="FG96" i="183" s="1"/>
  <c r="FI96" i="183" s="1"/>
  <c r="DG83" i="183"/>
  <c r="DH83" i="183" s="1"/>
  <c r="DJ83" i="183" s="1"/>
  <c r="EL83" i="183"/>
  <c r="EO83" i="183" s="1"/>
  <c r="EQ83" i="183"/>
  <c r="EM83" i="183"/>
  <c r="EV82" i="183"/>
  <c r="EB82" i="183"/>
  <c r="EC82" i="183" s="1"/>
  <c r="ED82" i="183" s="1" a="1"/>
  <c r="ED82" i="183" s="1"/>
  <c r="DS83" i="183" s="1"/>
  <c r="EE82" i="183"/>
  <c r="AA51" i="183"/>
  <c r="P19" i="183" s="1"/>
  <c r="K60" i="187" s="1"/>
  <c r="K360" i="187" s="1"/>
  <c r="C40" i="122" s="1"/>
  <c r="C5" i="122" s="1"/>
  <c r="P14" i="183"/>
  <c r="P4" i="183"/>
  <c r="AA37" i="183"/>
  <c r="AA48" i="183"/>
  <c r="O6" i="183"/>
  <c r="J46" i="183"/>
  <c r="O12" i="183"/>
  <c r="O3" i="183"/>
  <c r="J36" i="183"/>
  <c r="F71" i="141"/>
  <c r="J71" i="141"/>
  <c r="F63" i="141"/>
  <c r="J63" i="141"/>
  <c r="CB14" i="132" l="1"/>
  <c r="CB13" i="132"/>
  <c r="AR46" i="183"/>
  <c r="Q12" i="183"/>
  <c r="AR36" i="183"/>
  <c r="Q3" i="183"/>
  <c r="DK83" i="183"/>
  <c r="DL83" i="183" s="1"/>
  <c r="DM83" i="183" s="1" a="1"/>
  <c r="DM83" i="183" s="1"/>
  <c r="DB84" i="183" s="1"/>
  <c r="DN83" i="183"/>
  <c r="FJ96" i="183"/>
  <c r="FK96" i="183" s="1"/>
  <c r="FL96" i="183" s="1" a="1"/>
  <c r="FL96" i="183" s="1"/>
  <c r="FA97" i="183" s="1"/>
  <c r="FM96" i="183"/>
  <c r="T3" i="122"/>
  <c r="C331" i="122" s="1"/>
  <c r="E331" i="122" s="1"/>
  <c r="C338" i="122" s="1"/>
  <c r="D117" i="111"/>
  <c r="EP83" i="183"/>
  <c r="ER83" i="183" s="1"/>
  <c r="EV83" i="183" s="1"/>
  <c r="DU83" i="183"/>
  <c r="DV83" i="183"/>
  <c r="DT83" i="183"/>
  <c r="DW83" i="183" s="1"/>
  <c r="DZ83" i="183"/>
  <c r="AA41" i="183"/>
  <c r="P9" i="183" s="1"/>
  <c r="P16" i="183"/>
  <c r="K57" i="187" s="1"/>
  <c r="AA42" i="183"/>
  <c r="P5" i="183"/>
  <c r="AA49" i="183"/>
  <c r="P17" i="183" s="1"/>
  <c r="K58" i="187" s="1"/>
  <c r="F60" i="145" s="1"/>
  <c r="J48" i="183"/>
  <c r="J37" i="183"/>
  <c r="O4" i="183"/>
  <c r="J51" i="183"/>
  <c r="O19" i="183" s="1"/>
  <c r="G60" i="187" s="1"/>
  <c r="O14" i="183"/>
  <c r="F73" i="141"/>
  <c r="C715" i="121"/>
  <c r="D715" i="121" s="1"/>
  <c r="F65" i="141"/>
  <c r="C684" i="121"/>
  <c r="D684" i="121" s="1"/>
  <c r="G6" i="145"/>
  <c r="V6" i="145"/>
  <c r="I117" i="111" l="1"/>
  <c r="I146" i="111" s="1"/>
  <c r="I148" i="111" s="1"/>
  <c r="G117" i="111"/>
  <c r="H117" i="111"/>
  <c r="H146" i="111" s="1"/>
  <c r="E117" i="111"/>
  <c r="K308" i="187"/>
  <c r="Z6" i="122" s="1"/>
  <c r="K263" i="187"/>
  <c r="T34" i="122" s="1"/>
  <c r="K262" i="187"/>
  <c r="T33" i="122" s="1"/>
  <c r="K307" i="187"/>
  <c r="Z5" i="122" s="1"/>
  <c r="AR48" i="183"/>
  <c r="Q4" i="183"/>
  <c r="AR37" i="183"/>
  <c r="Q14" i="183"/>
  <c r="AR51" i="183"/>
  <c r="Q19" i="183" s="1"/>
  <c r="O60" i="187" s="1"/>
  <c r="O360" i="187" s="1"/>
  <c r="C43" i="121" s="1"/>
  <c r="C5" i="121" s="1"/>
  <c r="DE84" i="183"/>
  <c r="DI84" i="183"/>
  <c r="DD84" i="183"/>
  <c r="DC84" i="183"/>
  <c r="DF84" i="183" s="1"/>
  <c r="FB97" i="183"/>
  <c r="FE97" i="183" s="1"/>
  <c r="FC97" i="183"/>
  <c r="FD97" i="183"/>
  <c r="FH97" i="183"/>
  <c r="AD117" i="111"/>
  <c r="ES83" i="183"/>
  <c r="ET83" i="183" s="1"/>
  <c r="EU83" i="183" s="1" a="1"/>
  <c r="EU83" i="183" s="1"/>
  <c r="EJ84" i="183" s="1"/>
  <c r="EM84" i="183" s="1"/>
  <c r="G360" i="187"/>
  <c r="C66" i="98" s="1"/>
  <c r="C5" i="98" s="1"/>
  <c r="AA47" i="183"/>
  <c r="P15" i="183" s="1"/>
  <c r="K350" i="187"/>
  <c r="C45" i="122" s="1"/>
  <c r="DX83" i="183"/>
  <c r="DY83" i="183" s="1"/>
  <c r="EA83" i="183" s="1"/>
  <c r="P10" i="183"/>
  <c r="AA45" i="183"/>
  <c r="O5" i="183"/>
  <c r="J49" i="183"/>
  <c r="O17" i="183" s="1"/>
  <c r="G58" i="187" s="1"/>
  <c r="G308" i="187" s="1"/>
  <c r="J41" i="183"/>
  <c r="O9" i="183" s="1"/>
  <c r="O16" i="183"/>
  <c r="G57" i="187" s="1"/>
  <c r="G307" i="187" s="1"/>
  <c r="J42" i="183"/>
  <c r="J15" i="132"/>
  <c r="J16" i="132"/>
  <c r="AH117" i="111" l="1"/>
  <c r="AH146" i="111" s="1"/>
  <c r="AG117" i="111"/>
  <c r="AI117" i="111"/>
  <c r="AI146" i="111" s="1"/>
  <c r="AI148" i="111" s="1"/>
  <c r="AE117" i="111"/>
  <c r="D80" i="111"/>
  <c r="CB12" i="132"/>
  <c r="CB11" i="132"/>
  <c r="D154" i="111"/>
  <c r="CB16" i="132"/>
  <c r="D81" i="133" s="1" a="1"/>
  <c r="D81" i="133" s="1"/>
  <c r="K81" i="133" s="1"/>
  <c r="CB15" i="132"/>
  <c r="CI13" i="132"/>
  <c r="CI14" i="132"/>
  <c r="E60" i="145"/>
  <c r="Z5" i="98"/>
  <c r="T3" i="121"/>
  <c r="C331" i="121" s="1"/>
  <c r="E331" i="121" s="1"/>
  <c r="C339" i="121" s="1"/>
  <c r="C341" i="121" s="1"/>
  <c r="G727" i="121" s="1"/>
  <c r="AR49" i="183"/>
  <c r="Q17" i="183" s="1"/>
  <c r="O58" i="187" s="1"/>
  <c r="G60" i="145" s="1"/>
  <c r="Q5" i="183"/>
  <c r="AR42" i="183"/>
  <c r="AR41" i="183"/>
  <c r="Q9" i="183" s="1"/>
  <c r="Q16" i="183"/>
  <c r="O57" i="187" s="1"/>
  <c r="DG84" i="183"/>
  <c r="DH84" i="183" s="1"/>
  <c r="DJ84" i="183" s="1"/>
  <c r="FF97" i="183"/>
  <c r="FG97" i="183" s="1"/>
  <c r="FI97" i="183" s="1"/>
  <c r="W23" i="111"/>
  <c r="EL84" i="183"/>
  <c r="EQ84" i="183"/>
  <c r="EK84" i="183"/>
  <c r="EN84" i="183" s="1"/>
  <c r="T3" i="98"/>
  <c r="G263" i="187"/>
  <c r="T19" i="98" s="1"/>
  <c r="C348" i="98" s="1"/>
  <c r="E348" i="98" s="1"/>
  <c r="Z6" i="98"/>
  <c r="G262" i="187"/>
  <c r="T18" i="98" s="1"/>
  <c r="C349" i="98" s="1"/>
  <c r="E349" i="98" s="1"/>
  <c r="C353" i="98" s="1"/>
  <c r="J353" i="98" s="1"/>
  <c r="N353" i="98" s="1"/>
  <c r="O353" i="98" s="1"/>
  <c r="G350" i="187"/>
  <c r="C34" i="98" s="1"/>
  <c r="EB83" i="183"/>
  <c r="EC83" i="183" s="1"/>
  <c r="ED83" i="183" s="1" a="1"/>
  <c r="ED83" i="183" s="1"/>
  <c r="DS84" i="183" s="1"/>
  <c r="EE83" i="183"/>
  <c r="AA50" i="183"/>
  <c r="P18" i="183" s="1"/>
  <c r="K59" i="187" s="1"/>
  <c r="J72" i="187" s="1"/>
  <c r="K261" i="187" s="1"/>
  <c r="P13" i="183"/>
  <c r="O10" i="183"/>
  <c r="J45" i="183"/>
  <c r="J47" i="183"/>
  <c r="O15" i="183" s="1"/>
  <c r="T60" i="145"/>
  <c r="G154" i="111" l="1"/>
  <c r="H154" i="111"/>
  <c r="H183" i="111" s="1"/>
  <c r="E154" i="111"/>
  <c r="I154" i="111"/>
  <c r="I183" i="111" s="1"/>
  <c r="I185" i="111" s="1"/>
  <c r="H80" i="111"/>
  <c r="H109" i="111" s="1"/>
  <c r="I80" i="111"/>
  <c r="I109" i="111" s="1"/>
  <c r="I111" i="111" s="1"/>
  <c r="G80" i="111"/>
  <c r="E80" i="111"/>
  <c r="M727" i="121"/>
  <c r="J69" i="141" s="1"/>
  <c r="AI13" i="132"/>
  <c r="Q13" i="132" s="1"/>
  <c r="AD154" i="111"/>
  <c r="W29" i="111"/>
  <c r="AD80" i="111"/>
  <c r="W17" i="111"/>
  <c r="J49" i="203"/>
  <c r="J27" i="204"/>
  <c r="CI12" i="132"/>
  <c r="CI11" i="132"/>
  <c r="O262" i="187"/>
  <c r="T15" i="121" s="1"/>
  <c r="O307" i="187"/>
  <c r="Z6" i="121" s="1"/>
  <c r="O308" i="187"/>
  <c r="Z7" i="121" s="1"/>
  <c r="O263" i="187"/>
  <c r="T16" i="121" s="1"/>
  <c r="G696" i="121"/>
  <c r="O350" i="187"/>
  <c r="C37" i="121" s="1"/>
  <c r="Q10" i="183"/>
  <c r="AR45" i="183"/>
  <c r="AR47" i="183"/>
  <c r="Q15" i="183" s="1"/>
  <c r="DN84" i="183"/>
  <c r="DK84" i="183"/>
  <c r="DL84" i="183" s="1"/>
  <c r="DM84" i="183" s="1" a="1"/>
  <c r="DM84" i="183" s="1"/>
  <c r="DB85" i="183" s="1"/>
  <c r="FJ97" i="183"/>
  <c r="FK97" i="183" s="1"/>
  <c r="FL97" i="183" s="1" a="1"/>
  <c r="FL97" i="183" s="1"/>
  <c r="FA98" i="183" s="1"/>
  <c r="FM97" i="183"/>
  <c r="W26" i="111"/>
  <c r="EO84" i="183"/>
  <c r="EP84" i="183" s="1"/>
  <c r="ER84" i="183" s="1"/>
  <c r="ES84" i="183" s="1"/>
  <c r="ET84" i="183" s="1"/>
  <c r="EU84" i="183" s="1" a="1"/>
  <c r="EU84" i="183" s="1"/>
  <c r="EJ85" i="183" s="1"/>
  <c r="EM85" i="183" s="1"/>
  <c r="C352" i="98"/>
  <c r="D356" i="98" s="1"/>
  <c r="D69" i="141"/>
  <c r="H727" i="121"/>
  <c r="BD128" i="204"/>
  <c r="BD143" i="205"/>
  <c r="BD107" i="137"/>
  <c r="BD104" i="203"/>
  <c r="DT84" i="183"/>
  <c r="DW84" i="183" s="1"/>
  <c r="DZ84" i="183"/>
  <c r="DU84" i="183"/>
  <c r="DV84" i="183"/>
  <c r="T32" i="122"/>
  <c r="J73" i="187"/>
  <c r="F21" i="145" s="1"/>
  <c r="U21" i="145" s="1"/>
  <c r="I90" i="187"/>
  <c r="J90" i="187" s="1"/>
  <c r="J76" i="187"/>
  <c r="K266" i="187" s="1"/>
  <c r="J74" i="187"/>
  <c r="K264" i="187" s="1"/>
  <c r="J75" i="187"/>
  <c r="K265" i="187" s="1"/>
  <c r="O13" i="183"/>
  <c r="J50" i="183"/>
  <c r="O18" i="183" s="1"/>
  <c r="G59" i="187" s="1"/>
  <c r="F72" i="187" s="1"/>
  <c r="E61" i="145"/>
  <c r="T61" i="145"/>
  <c r="AG80" i="111" l="1"/>
  <c r="AE80" i="111"/>
  <c r="AH80" i="111"/>
  <c r="AH109" i="111" s="1"/>
  <c r="AI80" i="111"/>
  <c r="AI109" i="111" s="1"/>
  <c r="AI111" i="111" s="1"/>
  <c r="AI154" i="111"/>
  <c r="AI183" i="111" s="1"/>
  <c r="AI185" i="111" s="1"/>
  <c r="AG154" i="111"/>
  <c r="AH154" i="111"/>
  <c r="AH183" i="111" s="1"/>
  <c r="AE154" i="111"/>
  <c r="W20" i="111"/>
  <c r="E69" i="141"/>
  <c r="AI11" i="132"/>
  <c r="Q11" i="132" s="1"/>
  <c r="AI15" i="132"/>
  <c r="Q15" i="132" s="1"/>
  <c r="AI14" i="132"/>
  <c r="Q14" i="132" s="1"/>
  <c r="M696" i="121"/>
  <c r="CI16" i="132"/>
  <c r="D87" i="133" s="1" a="1"/>
  <c r="D87" i="133" s="1"/>
  <c r="K87" i="133" s="1"/>
  <c r="CI15" i="132"/>
  <c r="D61" i="141"/>
  <c r="H696" i="121"/>
  <c r="AR50" i="183"/>
  <c r="Q18" i="183" s="1"/>
  <c r="O59" i="187" s="1"/>
  <c r="N72" i="187" s="1"/>
  <c r="O261" i="187" s="1"/>
  <c r="Q13" i="183"/>
  <c r="DC85" i="183"/>
  <c r="DF85" i="183" s="1"/>
  <c r="DD85" i="183"/>
  <c r="DI85" i="183"/>
  <c r="DE85" i="183"/>
  <c r="FD98" i="183"/>
  <c r="FB98" i="183"/>
  <c r="FE98" i="183" s="1"/>
  <c r="FC98" i="183"/>
  <c r="FH98" i="183"/>
  <c r="EV84" i="183"/>
  <c r="EL85" i="183"/>
  <c r="EK85" i="183"/>
  <c r="EN85" i="183" s="1"/>
  <c r="EQ85" i="183"/>
  <c r="C729" i="98"/>
  <c r="C732" i="98" s="1"/>
  <c r="C698" i="98"/>
  <c r="C701" i="98" s="1"/>
  <c r="O360" i="98"/>
  <c r="O361" i="98" s="1"/>
  <c r="C356" i="98"/>
  <c r="J352" i="98"/>
  <c r="N352" i="98" s="1"/>
  <c r="O352" i="98" s="1"/>
  <c r="BD130" i="204"/>
  <c r="BD145" i="205"/>
  <c r="BD106" i="203"/>
  <c r="DX84" i="183"/>
  <c r="DY84" i="183" s="1"/>
  <c r="EA84" i="183" s="1"/>
  <c r="G261" i="187"/>
  <c r="T17" i="98" s="1"/>
  <c r="C450" i="98" s="1"/>
  <c r="F73" i="187"/>
  <c r="E21" i="145" s="1"/>
  <c r="T21" i="145" s="1"/>
  <c r="E90" i="187"/>
  <c r="F90" i="187" s="1"/>
  <c r="F75" i="187"/>
  <c r="F76" i="187"/>
  <c r="F74" i="187"/>
  <c r="J78" i="187"/>
  <c r="T36" i="122"/>
  <c r="T35" i="122"/>
  <c r="J77" i="187"/>
  <c r="T37" i="122"/>
  <c r="J79" i="187"/>
  <c r="I89" i="187"/>
  <c r="J89" i="187" s="1"/>
  <c r="BD109" i="137"/>
  <c r="E457" i="98"/>
  <c r="C583" i="98"/>
  <c r="E583" i="98" s="1"/>
  <c r="W32" i="111" l="1"/>
  <c r="AI16" i="132" s="1"/>
  <c r="Q16" i="132" s="1"/>
  <c r="J61" i="141"/>
  <c r="E61" i="141"/>
  <c r="AI12" i="132"/>
  <c r="Q12" i="132" s="1"/>
  <c r="D39" i="133" a="1"/>
  <c r="D39" i="133" s="1"/>
  <c r="K39" i="133" s="1"/>
  <c r="J27" i="138" s="1"/>
  <c r="CK14" i="132"/>
  <c r="CK13" i="132"/>
  <c r="CL13" i="132"/>
  <c r="CL14" i="132"/>
  <c r="CJ13" i="132"/>
  <c r="CJ14" i="132"/>
  <c r="J33" i="204"/>
  <c r="J55" i="203"/>
  <c r="N74" i="187"/>
  <c r="O264" i="187" s="1"/>
  <c r="T14" i="121"/>
  <c r="M90" i="187"/>
  <c r="N90" i="187" s="1"/>
  <c r="N73" i="187"/>
  <c r="N75" i="187"/>
  <c r="O265" i="187" s="1"/>
  <c r="N76" i="187"/>
  <c r="O266" i="187" s="1"/>
  <c r="DG85" i="183"/>
  <c r="DH85" i="183" s="1"/>
  <c r="DJ85" i="183" s="1"/>
  <c r="FF98" i="183"/>
  <c r="FG98" i="183" s="1"/>
  <c r="FI98" i="183" s="1"/>
  <c r="EO85" i="183"/>
  <c r="EP85" i="183" s="1"/>
  <c r="ER85" i="183" s="1"/>
  <c r="ES85" i="183" s="1"/>
  <c r="ET85" i="183" s="1"/>
  <c r="EU85" i="183" s="1" a="1"/>
  <c r="EU85" i="183" s="1"/>
  <c r="EJ86" i="183" s="1"/>
  <c r="C357" i="98"/>
  <c r="C363" i="98"/>
  <c r="G698" i="98" s="1"/>
  <c r="D30" i="141" s="1"/>
  <c r="E729" i="98"/>
  <c r="E698" i="98"/>
  <c r="D357" i="98"/>
  <c r="F729" i="98" s="1"/>
  <c r="C576" i="98"/>
  <c r="E576" i="98" s="1"/>
  <c r="E450" i="98"/>
  <c r="G265" i="187"/>
  <c r="T21" i="98" s="1"/>
  <c r="C452" i="98" s="1"/>
  <c r="F78" i="187"/>
  <c r="I91" i="187"/>
  <c r="J91" i="187"/>
  <c r="EB84" i="183"/>
  <c r="EC84" i="183" s="1"/>
  <c r="ED84" i="183" s="1" a="1"/>
  <c r="ED84" i="183" s="1"/>
  <c r="DS85" i="183" s="1"/>
  <c r="EE84" i="183"/>
  <c r="E89" i="187"/>
  <c r="F89" i="187" s="1"/>
  <c r="J92" i="187"/>
  <c r="I92" i="187"/>
  <c r="F77" i="187"/>
  <c r="G264" i="187"/>
  <c r="T20" i="98" s="1"/>
  <c r="C451" i="98" s="1"/>
  <c r="F79" i="187"/>
  <c r="G266" i="187"/>
  <c r="T22" i="98" s="1"/>
  <c r="C453" i="98" s="1"/>
  <c r="K53" i="133" l="1"/>
  <c r="J35" i="203" s="1"/>
  <c r="CK12" i="132"/>
  <c r="CK11" i="132"/>
  <c r="CL11" i="132"/>
  <c r="CL12" i="132"/>
  <c r="CJ11" i="132"/>
  <c r="CJ12" i="132"/>
  <c r="M89" i="187"/>
  <c r="N89" i="187" s="1"/>
  <c r="G21" i="145"/>
  <c r="V21" i="145" s="1"/>
  <c r="N78" i="187"/>
  <c r="T18" i="121"/>
  <c r="C575" i="121"/>
  <c r="E575" i="121" s="1"/>
  <c r="C449" i="121"/>
  <c r="T19" i="121"/>
  <c r="N79" i="187"/>
  <c r="T17" i="121"/>
  <c r="N77" i="187"/>
  <c r="DN85" i="183"/>
  <c r="DK85" i="183"/>
  <c r="DL85" i="183" s="1"/>
  <c r="DM85" i="183" s="1" a="1"/>
  <c r="DM85" i="183" s="1"/>
  <c r="DB86" i="183" s="1"/>
  <c r="FM98" i="183"/>
  <c r="FJ98" i="183"/>
  <c r="FK98" i="183" s="1"/>
  <c r="FL98" i="183" s="1" a="1"/>
  <c r="FL98" i="183" s="1"/>
  <c r="FA99" i="183" s="1"/>
  <c r="EV85" i="183"/>
  <c r="G729" i="98"/>
  <c r="D38" i="141" s="1"/>
  <c r="F698" i="98"/>
  <c r="C38" i="141"/>
  <c r="E453" i="98"/>
  <c r="C97" i="145" s="1"/>
  <c r="C579" i="98"/>
  <c r="E579" i="98" s="1"/>
  <c r="E451" i="98"/>
  <c r="C95" i="145" s="1"/>
  <c r="C577" i="98"/>
  <c r="E577" i="98" s="1"/>
  <c r="E452" i="98"/>
  <c r="C96" i="145" s="1"/>
  <c r="C578" i="98"/>
  <c r="E578" i="98" s="1"/>
  <c r="J94" i="187"/>
  <c r="I94" i="187"/>
  <c r="E92" i="187"/>
  <c r="F92" i="187"/>
  <c r="DT85" i="183"/>
  <c r="DW85" i="183" s="1"/>
  <c r="DV85" i="183"/>
  <c r="DZ85" i="183"/>
  <c r="DU85" i="183"/>
  <c r="EL86" i="183"/>
  <c r="EM86" i="183"/>
  <c r="EK86" i="183"/>
  <c r="EN86" i="183" s="1"/>
  <c r="EQ86" i="183"/>
  <c r="J95" i="187"/>
  <c r="F91" i="187"/>
  <c r="E91" i="187"/>
  <c r="E94" i="187" s="1"/>
  <c r="I95" i="187"/>
  <c r="I101" i="187" l="1"/>
  <c r="I102" i="187" s="1"/>
  <c r="I105" i="187" s="1"/>
  <c r="I125" i="187" s="1"/>
  <c r="M729" i="98"/>
  <c r="J38" i="141" s="1"/>
  <c r="H698" i="98"/>
  <c r="E30" i="141" s="1"/>
  <c r="M698" i="98"/>
  <c r="J30" i="141" s="1"/>
  <c r="CJ16" i="132"/>
  <c r="D92" i="133" s="1" a="1"/>
  <c r="D92" i="133" s="1"/>
  <c r="K92" i="133" s="1"/>
  <c r="J23" i="205" s="1"/>
  <c r="CJ15" i="132"/>
  <c r="CL16" i="132"/>
  <c r="D94" i="133" s="1" a="1"/>
  <c r="D94" i="133" s="1"/>
  <c r="K94" i="133" s="1"/>
  <c r="J25" i="205" s="1"/>
  <c r="CL15" i="132"/>
  <c r="CK15" i="132"/>
  <c r="CK16" i="132"/>
  <c r="D93" i="133" s="1" a="1"/>
  <c r="D93" i="133" s="1"/>
  <c r="K93" i="133" s="1"/>
  <c r="J24" i="205" s="1"/>
  <c r="J101" i="187"/>
  <c r="J102" i="187" s="1"/>
  <c r="J105" i="187" s="1"/>
  <c r="J125" i="187" s="1"/>
  <c r="N91" i="187"/>
  <c r="N94" i="187" s="1"/>
  <c r="M91" i="187"/>
  <c r="C450" i="121"/>
  <c r="C576" i="121"/>
  <c r="E576" i="121" s="1"/>
  <c r="C452" i="121"/>
  <c r="C578" i="121"/>
  <c r="E578" i="121" s="1"/>
  <c r="C577" i="121"/>
  <c r="E577" i="121" s="1"/>
  <c r="C451" i="121"/>
  <c r="M92" i="187"/>
  <c r="N92" i="187"/>
  <c r="N95" i="187" s="1"/>
  <c r="DC86" i="183"/>
  <c r="DF86" i="183" s="1"/>
  <c r="DI86" i="183"/>
  <c r="DE86" i="183"/>
  <c r="DD86" i="183"/>
  <c r="FC99" i="183"/>
  <c r="FH99" i="183"/>
  <c r="FB99" i="183"/>
  <c r="FE99" i="183" s="1"/>
  <c r="FD99" i="183"/>
  <c r="H729" i="98"/>
  <c r="E38" i="141" s="1"/>
  <c r="C30" i="141"/>
  <c r="DX85" i="183"/>
  <c r="DY85" i="183" s="1"/>
  <c r="EA85" i="183" s="1"/>
  <c r="EE85" i="183" s="1"/>
  <c r="F95" i="187"/>
  <c r="E95" i="187"/>
  <c r="E101" i="187" s="1"/>
  <c r="EO86" i="183"/>
  <c r="EP86" i="183" s="1"/>
  <c r="ER86" i="183" s="1"/>
  <c r="F94" i="187"/>
  <c r="I120" i="187" l="1"/>
  <c r="K138" i="187"/>
  <c r="I111" i="187"/>
  <c r="I103" i="187"/>
  <c r="I106" i="187" s="1"/>
  <c r="I126" i="187" s="1"/>
  <c r="N101" i="187"/>
  <c r="N102" i="187" s="1"/>
  <c r="N105" i="187" s="1"/>
  <c r="N125" i="187" s="1"/>
  <c r="I113" i="187"/>
  <c r="K267" i="187" s="1"/>
  <c r="T38" i="122" s="1"/>
  <c r="J103" i="187"/>
  <c r="J106" i="187" s="1"/>
  <c r="J126" i="187" s="1"/>
  <c r="J120" i="187"/>
  <c r="J111" i="187"/>
  <c r="E102" i="187"/>
  <c r="E105" i="187" s="1"/>
  <c r="E125" i="187" s="1"/>
  <c r="E120" i="187"/>
  <c r="E111" i="187"/>
  <c r="E103" i="187"/>
  <c r="E106" i="187" s="1"/>
  <c r="E126" i="187" s="1"/>
  <c r="G138" i="187"/>
  <c r="F101" i="187"/>
  <c r="F102" i="187" s="1"/>
  <c r="F105" i="187" s="1"/>
  <c r="F125" i="187" s="1"/>
  <c r="M95" i="187"/>
  <c r="M94" i="187"/>
  <c r="DG86" i="183"/>
  <c r="DH86" i="183" s="1"/>
  <c r="DJ86" i="183" s="1"/>
  <c r="FF99" i="183"/>
  <c r="FG99" i="183" s="1"/>
  <c r="FI99" i="183" s="1"/>
  <c r="EB85" i="183"/>
  <c r="EC85" i="183" s="1"/>
  <c r="ED85" i="183" s="1" a="1"/>
  <c r="ED85" i="183" s="1"/>
  <c r="DS86" i="183" s="1"/>
  <c r="DV86" i="183" s="1"/>
  <c r="J108" i="187"/>
  <c r="I108" i="187"/>
  <c r="ES86" i="183"/>
  <c r="ET86" i="183" s="1"/>
  <c r="EU86" i="183" s="1" a="1"/>
  <c r="EU86" i="183" s="1"/>
  <c r="EJ87" i="183" s="1"/>
  <c r="EV86" i="183"/>
  <c r="I109" i="187" l="1"/>
  <c r="N120" i="187"/>
  <c r="N103" i="187"/>
  <c r="N106" i="187" s="1"/>
  <c r="N126" i="187" s="1"/>
  <c r="N111" i="187"/>
  <c r="N108" i="187"/>
  <c r="I114" i="187"/>
  <c r="I115" i="187" s="1"/>
  <c r="I116" i="187" s="1"/>
  <c r="K139" i="187"/>
  <c r="K269" i="187" s="1"/>
  <c r="T40" i="122" s="1"/>
  <c r="J113" i="187"/>
  <c r="K113" i="187" s="1"/>
  <c r="K352" i="187" s="1"/>
  <c r="C47" i="122" s="1"/>
  <c r="J109" i="187"/>
  <c r="E113" i="187"/>
  <c r="G139" i="187" s="1"/>
  <c r="G269" i="187" s="1"/>
  <c r="T25" i="98" s="1"/>
  <c r="C558" i="98" s="1"/>
  <c r="E558" i="98" s="1"/>
  <c r="K631" i="98" s="1"/>
  <c r="L631" i="98" s="1"/>
  <c r="F37" i="145"/>
  <c r="U37" i="145" s="1"/>
  <c r="F111" i="187"/>
  <c r="F120" i="187"/>
  <c r="M101" i="187"/>
  <c r="M102" i="187" s="1"/>
  <c r="M105" i="187" s="1"/>
  <c r="M125" i="187" s="1"/>
  <c r="F103" i="187"/>
  <c r="F106" i="187" s="1"/>
  <c r="F126" i="187" s="1"/>
  <c r="DK86" i="183"/>
  <c r="DL86" i="183" s="1"/>
  <c r="DM86" i="183" s="1" a="1"/>
  <c r="DM86" i="183" s="1"/>
  <c r="DB87" i="183" s="1"/>
  <c r="DN86" i="183"/>
  <c r="FJ99" i="183"/>
  <c r="FK99" i="183" s="1"/>
  <c r="FL99" i="183" s="1" a="1"/>
  <c r="FL99" i="183" s="1"/>
  <c r="FA100" i="183" s="1"/>
  <c r="FM99" i="183"/>
  <c r="C546" i="122"/>
  <c r="E546" i="122" s="1"/>
  <c r="C602" i="122" s="1"/>
  <c r="C427" i="122"/>
  <c r="E427" i="122" s="1"/>
  <c r="C467" i="122" s="1"/>
  <c r="DT86" i="183"/>
  <c r="DW86" i="183" s="1"/>
  <c r="DU86" i="183"/>
  <c r="DZ86" i="183"/>
  <c r="E108" i="187"/>
  <c r="F108" i="187"/>
  <c r="EQ87" i="183"/>
  <c r="EK87" i="183"/>
  <c r="EN87" i="183" s="1"/>
  <c r="EL87" i="183"/>
  <c r="EM87" i="183"/>
  <c r="E109" i="187"/>
  <c r="N109" i="187" l="1"/>
  <c r="K374" i="187"/>
  <c r="C71" i="122" s="1"/>
  <c r="K375" i="187"/>
  <c r="C72" i="122" s="1"/>
  <c r="K114" i="187"/>
  <c r="K115" i="187" s="1"/>
  <c r="K116" i="187" s="1"/>
  <c r="K143" i="187" s="1"/>
  <c r="K200" i="187" s="1"/>
  <c r="K202" i="187" s="1"/>
  <c r="K370" i="187"/>
  <c r="C67" i="122" s="1"/>
  <c r="K371" i="187"/>
  <c r="I117" i="187"/>
  <c r="I118" i="187"/>
  <c r="K136" i="187" s="1"/>
  <c r="K137" i="187" s="1"/>
  <c r="K268" i="187" s="1"/>
  <c r="K351" i="187"/>
  <c r="C46" i="122" s="1"/>
  <c r="C8" i="122" s="1"/>
  <c r="D124" i="111" s="1"/>
  <c r="F124" i="111" s="1"/>
  <c r="F146" i="111" s="1"/>
  <c r="F148" i="111" s="1"/>
  <c r="J114" i="187"/>
  <c r="J115" i="187" s="1"/>
  <c r="J116" i="187" s="1"/>
  <c r="J143" i="187" s="1"/>
  <c r="J200" i="187" s="1"/>
  <c r="J202" i="187" s="1"/>
  <c r="E114" i="187"/>
  <c r="E115" i="187" s="1"/>
  <c r="E117" i="187" s="1"/>
  <c r="G267" i="187"/>
  <c r="T23" i="98" s="1"/>
  <c r="C556" i="98" s="1"/>
  <c r="E556" i="98" s="1"/>
  <c r="F113" i="187"/>
  <c r="G113" i="187" s="1"/>
  <c r="G114" i="187" s="1"/>
  <c r="G115" i="187" s="1"/>
  <c r="G116" i="187" s="1"/>
  <c r="G143" i="187" s="1"/>
  <c r="G200" i="187" s="1"/>
  <c r="G202" i="187" s="1"/>
  <c r="C439" i="98"/>
  <c r="E439" i="98" s="1"/>
  <c r="K492" i="98" s="1"/>
  <c r="L492" i="98" s="1"/>
  <c r="E37" i="145"/>
  <c r="T37" i="145" s="1"/>
  <c r="M103" i="187"/>
  <c r="M106" i="187" s="1"/>
  <c r="M126" i="187" s="1"/>
  <c r="M120" i="187"/>
  <c r="O138" i="187"/>
  <c r="M111" i="187"/>
  <c r="M108" i="187"/>
  <c r="C548" i="122"/>
  <c r="E548" i="122" s="1"/>
  <c r="K621" i="122" s="1"/>
  <c r="L621" i="122" s="1"/>
  <c r="C429" i="122"/>
  <c r="E429" i="122" s="1"/>
  <c r="K482" i="122" s="1"/>
  <c r="L482" i="122" s="1"/>
  <c r="DD87" i="183"/>
  <c r="DC87" i="183"/>
  <c r="DF87" i="183" s="1"/>
  <c r="DE87" i="183"/>
  <c r="DI87" i="183"/>
  <c r="FB100" i="183"/>
  <c r="FE100" i="183" s="1"/>
  <c r="FC100" i="183"/>
  <c r="FH100" i="183"/>
  <c r="FD100" i="183"/>
  <c r="Z26" i="123"/>
  <c r="J602" i="122"/>
  <c r="N602" i="122" s="1"/>
  <c r="J467" i="122"/>
  <c r="N467" i="122" s="1"/>
  <c r="DX86" i="183"/>
  <c r="DY86" i="183" s="1"/>
  <c r="EA86" i="183" s="1"/>
  <c r="EE86" i="183" s="1"/>
  <c r="F109" i="187"/>
  <c r="EO87" i="183"/>
  <c r="EP87" i="183" s="1"/>
  <c r="ER87" i="183" s="1"/>
  <c r="ES87" i="183" s="1"/>
  <c r="ET87" i="183" s="1"/>
  <c r="EU87" i="183" s="1" a="1"/>
  <c r="EU87" i="183" s="1"/>
  <c r="EJ88" i="183" s="1"/>
  <c r="E464" i="98"/>
  <c r="E467" i="98"/>
  <c r="C597" i="98"/>
  <c r="E597" i="98" s="1"/>
  <c r="C598" i="98"/>
  <c r="E598" i="98" s="1"/>
  <c r="C599" i="98"/>
  <c r="E599" i="98" s="1"/>
  <c r="C600" i="98"/>
  <c r="E600" i="98" s="1"/>
  <c r="C612" i="98" l="1"/>
  <c r="J612" i="98" s="1"/>
  <c r="N612" i="98" s="1"/>
  <c r="O612" i="98" s="1"/>
  <c r="G203" i="187"/>
  <c r="K203" i="187"/>
  <c r="J203" i="187"/>
  <c r="D135" i="111"/>
  <c r="E34" i="145"/>
  <c r="T34" i="145" s="1"/>
  <c r="I119" i="187"/>
  <c r="F33" i="145"/>
  <c r="U33" i="145" s="1"/>
  <c r="J117" i="187"/>
  <c r="F30" i="145" s="1"/>
  <c r="U30" i="145" s="1"/>
  <c r="U4" i="159" s="1"/>
  <c r="U7" i="159" s="1"/>
  <c r="J118" i="187"/>
  <c r="J119" i="187" s="1"/>
  <c r="J142" i="187" s="1"/>
  <c r="J204" i="187" s="1"/>
  <c r="J225" i="187" s="1"/>
  <c r="E118" i="187"/>
  <c r="E119" i="187" s="1"/>
  <c r="E116" i="187"/>
  <c r="K117" i="187"/>
  <c r="F32" i="145" s="1"/>
  <c r="U32" i="145" s="1"/>
  <c r="U6" i="159" s="1"/>
  <c r="U9" i="159" s="1"/>
  <c r="K118" i="187"/>
  <c r="K119" i="187" s="1"/>
  <c r="K142" i="187" s="1"/>
  <c r="K179" i="187" s="1"/>
  <c r="F34" i="145"/>
  <c r="U34" i="145" s="1"/>
  <c r="C68" i="122"/>
  <c r="D136" i="111" s="1"/>
  <c r="G352" i="187"/>
  <c r="C36" i="98" s="1"/>
  <c r="G375" i="187"/>
  <c r="C58" i="98" s="1"/>
  <c r="G374" i="187"/>
  <c r="C57" i="98" s="1"/>
  <c r="G371" i="187"/>
  <c r="C54" i="98" s="1"/>
  <c r="G370" i="187"/>
  <c r="C53" i="98" s="1"/>
  <c r="G351" i="187"/>
  <c r="C35" i="98" s="1"/>
  <c r="F114" i="187"/>
  <c r="F115" i="187" s="1"/>
  <c r="F117" i="187" s="1"/>
  <c r="G300" i="187" s="1"/>
  <c r="T56" i="98" s="1"/>
  <c r="C535" i="98" s="1"/>
  <c r="C437" i="98"/>
  <c r="E437" i="98" s="1"/>
  <c r="M113" i="187"/>
  <c r="O267" i="187" s="1"/>
  <c r="T20" i="121" s="1"/>
  <c r="C436" i="121" s="1"/>
  <c r="E436" i="121" s="1"/>
  <c r="C476" i="121" s="1"/>
  <c r="G37" i="145"/>
  <c r="V37" i="145" s="1"/>
  <c r="M109" i="187"/>
  <c r="DG87" i="183"/>
  <c r="DH87" i="183" s="1"/>
  <c r="DJ87" i="183" s="1"/>
  <c r="FF100" i="183"/>
  <c r="FG100" i="183" s="1"/>
  <c r="FI100" i="183" s="1"/>
  <c r="O467" i="122"/>
  <c r="O602" i="122"/>
  <c r="EB86" i="183"/>
  <c r="EC86" i="183" s="1"/>
  <c r="ED86" i="183" s="1" a="1"/>
  <c r="ED86" i="183" s="1"/>
  <c r="DS87" i="183" s="1"/>
  <c r="DV87" i="183" s="1"/>
  <c r="E465" i="98"/>
  <c r="C102" i="145" s="1"/>
  <c r="E466" i="98"/>
  <c r="C103" i="145" s="1"/>
  <c r="EV87" i="183"/>
  <c r="K348" i="187"/>
  <c r="C33" i="122" s="1"/>
  <c r="C6" i="122" s="1"/>
  <c r="T39" i="122"/>
  <c r="EL88" i="183"/>
  <c r="EQ88" i="183"/>
  <c r="EK88" i="183"/>
  <c r="EN88" i="183" s="1"/>
  <c r="EM88" i="183"/>
  <c r="G117" i="187"/>
  <c r="G118" i="187"/>
  <c r="G119" i="187" s="1"/>
  <c r="G142" i="187" s="1"/>
  <c r="C104" i="145"/>
  <c r="AD136" i="111" l="1"/>
  <c r="D132" i="111"/>
  <c r="AD135" i="111"/>
  <c r="D131" i="111"/>
  <c r="C477" i="98"/>
  <c r="J477" i="98" s="1"/>
  <c r="N477" i="98" s="1"/>
  <c r="O477" i="98" s="1"/>
  <c r="J476" i="121"/>
  <c r="N476" i="121" s="1"/>
  <c r="O476" i="121" s="1"/>
  <c r="D107" i="111"/>
  <c r="D118" i="111"/>
  <c r="CA14" i="132"/>
  <c r="CA13" i="132"/>
  <c r="K300" i="187"/>
  <c r="T71" i="122" s="1"/>
  <c r="K295" i="187"/>
  <c r="T66" i="122" s="1"/>
  <c r="J205" i="187"/>
  <c r="J167" i="187"/>
  <c r="J168" i="187" s="1"/>
  <c r="J169" i="187" s="1"/>
  <c r="J179" i="187"/>
  <c r="J183" i="187" s="1"/>
  <c r="G136" i="187"/>
  <c r="G137" i="187" s="1"/>
  <c r="G348" i="187" s="1"/>
  <c r="C62" i="98" s="1"/>
  <c r="K301" i="187"/>
  <c r="T72" i="122" s="1"/>
  <c r="D144" i="111"/>
  <c r="D99" i="111"/>
  <c r="C8" i="98"/>
  <c r="D87" i="111" s="1"/>
  <c r="F4" i="159"/>
  <c r="F7" i="159" s="1"/>
  <c r="F16" i="159" s="1"/>
  <c r="K167" i="187"/>
  <c r="K168" i="187" s="1"/>
  <c r="K169" i="187" s="1"/>
  <c r="F6" i="159"/>
  <c r="F9" i="159" s="1"/>
  <c r="K204" i="187"/>
  <c r="K225" i="187" s="1"/>
  <c r="E33" i="145"/>
  <c r="T33" i="145" s="1"/>
  <c r="D98" i="111"/>
  <c r="D94" i="111" s="1"/>
  <c r="F118" i="187"/>
  <c r="F119" i="187" s="1"/>
  <c r="F142" i="187" s="1"/>
  <c r="F116" i="187"/>
  <c r="F143" i="187" s="1"/>
  <c r="F200" i="187" s="1"/>
  <c r="F202" i="187" s="1"/>
  <c r="M114" i="187"/>
  <c r="M115" i="187" s="1"/>
  <c r="M116" i="187" s="1"/>
  <c r="C555" i="121"/>
  <c r="E555" i="121" s="1"/>
  <c r="O139" i="187"/>
  <c r="O269" i="187" s="1"/>
  <c r="T22" i="121" s="1"/>
  <c r="C557" i="121" s="1"/>
  <c r="E557" i="121" s="1"/>
  <c r="K630" i="121" s="1"/>
  <c r="L630" i="121" s="1"/>
  <c r="N113" i="187"/>
  <c r="N114" i="187" s="1"/>
  <c r="N115" i="187" s="1"/>
  <c r="N116" i="187" s="1"/>
  <c r="N143" i="187" s="1"/>
  <c r="N200" i="187" s="1"/>
  <c r="N202" i="187" s="1"/>
  <c r="C413" i="98"/>
  <c r="C512" i="98" s="1"/>
  <c r="C513" i="98" s="1"/>
  <c r="C536" i="98"/>
  <c r="C665" i="98" s="1"/>
  <c r="C666" i="98" s="1"/>
  <c r="C414" i="98"/>
  <c r="D517" i="98" s="1"/>
  <c r="C534" i="98"/>
  <c r="C655" i="98" s="1"/>
  <c r="C656" i="98" s="1"/>
  <c r="C415" i="98"/>
  <c r="C522" i="98" s="1"/>
  <c r="C523" i="98" s="1"/>
  <c r="U18" i="159"/>
  <c r="U20" i="159"/>
  <c r="U16" i="159"/>
  <c r="E30" i="145"/>
  <c r="G301" i="187"/>
  <c r="T57" i="98" s="1"/>
  <c r="C538" i="98" s="1"/>
  <c r="F660" i="98" s="1"/>
  <c r="E661" i="98" s="1"/>
  <c r="E32" i="145"/>
  <c r="K324" i="187"/>
  <c r="Z22" i="122" s="1"/>
  <c r="DK87" i="183"/>
  <c r="DL87" i="183" s="1"/>
  <c r="DM87" i="183" s="1" a="1"/>
  <c r="DM87" i="183" s="1"/>
  <c r="DB88" i="183" s="1"/>
  <c r="DN87" i="183"/>
  <c r="FJ100" i="183"/>
  <c r="FK100" i="183" s="1"/>
  <c r="FL100" i="183" s="1" a="1"/>
  <c r="FL100" i="183" s="1"/>
  <c r="FA101" i="183" s="1"/>
  <c r="FM100" i="183"/>
  <c r="C547" i="122"/>
  <c r="E547" i="122" s="1"/>
  <c r="F621" i="122" s="1"/>
  <c r="C428" i="122"/>
  <c r="E428" i="122" s="1"/>
  <c r="F482" i="122" s="1"/>
  <c r="F491" i="122" s="1"/>
  <c r="C660" i="98"/>
  <c r="C661" i="98" s="1"/>
  <c r="D660" i="98"/>
  <c r="DZ87" i="183"/>
  <c r="DU87" i="183"/>
  <c r="DT87" i="183"/>
  <c r="DW87" i="183" s="1"/>
  <c r="G179" i="187"/>
  <c r="G324" i="187" s="1"/>
  <c r="G204" i="187"/>
  <c r="G167" i="187"/>
  <c r="K180" i="187"/>
  <c r="K181" i="187" s="1"/>
  <c r="K182" i="187"/>
  <c r="K183" i="187"/>
  <c r="EO88" i="183"/>
  <c r="EP88" i="183" s="1"/>
  <c r="ER88" i="183" s="1"/>
  <c r="J206" i="187" l="1"/>
  <c r="J207" i="187" s="1"/>
  <c r="J219" i="187" s="1"/>
  <c r="J212" i="187"/>
  <c r="J213" i="187" s="1"/>
  <c r="H118" i="111"/>
  <c r="G118" i="111"/>
  <c r="AD107" i="111"/>
  <c r="K92" i="111"/>
  <c r="K109" i="111" s="1"/>
  <c r="K111" i="111" s="1"/>
  <c r="Y19" i="111" s="1"/>
  <c r="AD87" i="111"/>
  <c r="AF87" i="111" s="1"/>
  <c r="AF109" i="111" s="1"/>
  <c r="AF111" i="111" s="1"/>
  <c r="F87" i="111"/>
  <c r="F109" i="111" s="1"/>
  <c r="F111" i="111" s="1"/>
  <c r="H131" i="111"/>
  <c r="G131" i="111"/>
  <c r="E131" i="111"/>
  <c r="K129" i="111"/>
  <c r="K146" i="111" s="1"/>
  <c r="K148" i="111" s="1"/>
  <c r="Y25" i="111" s="1"/>
  <c r="BC13" i="132" s="1"/>
  <c r="H132" i="111"/>
  <c r="G132" i="111"/>
  <c r="E132" i="111"/>
  <c r="E94" i="111"/>
  <c r="G94" i="111"/>
  <c r="H94" i="111"/>
  <c r="AD99" i="111"/>
  <c r="D95" i="111"/>
  <c r="AD94" i="111"/>
  <c r="AD132" i="111"/>
  <c r="AD118" i="111"/>
  <c r="C611" i="121"/>
  <c r="J611" i="121" s="1"/>
  <c r="N611" i="121" s="1"/>
  <c r="O611" i="121" s="1"/>
  <c r="F203" i="187"/>
  <c r="N203" i="187"/>
  <c r="C6" i="98"/>
  <c r="AD131" i="111"/>
  <c r="J209" i="187"/>
  <c r="K286" i="187" s="1"/>
  <c r="T57" i="122" s="1"/>
  <c r="J171" i="187"/>
  <c r="J173" i="187"/>
  <c r="J174" i="187" s="1"/>
  <c r="K282" i="187"/>
  <c r="T53" i="122" s="1"/>
  <c r="J182" i="187"/>
  <c r="K273" i="187"/>
  <c r="T44" i="122" s="1"/>
  <c r="J180" i="187"/>
  <c r="J181" i="187" s="1"/>
  <c r="K280" i="187" s="1"/>
  <c r="T51" i="122" s="1"/>
  <c r="C418" i="122" s="1"/>
  <c r="E418" i="122" s="1"/>
  <c r="G268" i="187"/>
  <c r="T24" i="98" s="1"/>
  <c r="C557" i="98" s="1"/>
  <c r="E557" i="98" s="1"/>
  <c r="F631" i="98" s="1"/>
  <c r="F644" i="98" s="1"/>
  <c r="N731" i="98" s="1"/>
  <c r="K40" i="141" s="1"/>
  <c r="AD144" i="111"/>
  <c r="K315" i="187"/>
  <c r="Z13" i="122" s="1"/>
  <c r="K173" i="187"/>
  <c r="K316" i="187" s="1"/>
  <c r="Z14" i="122" s="1"/>
  <c r="K171" i="187"/>
  <c r="K205" i="187"/>
  <c r="K337" i="187"/>
  <c r="F20" i="159"/>
  <c r="F18" i="159"/>
  <c r="AD98" i="111"/>
  <c r="M118" i="187"/>
  <c r="O136" i="187" s="1"/>
  <c r="O137" i="187" s="1"/>
  <c r="O268" i="187" s="1"/>
  <c r="T21" i="121" s="1"/>
  <c r="C556" i="121" s="1"/>
  <c r="E556" i="121" s="1"/>
  <c r="F630" i="121" s="1"/>
  <c r="O351" i="187"/>
  <c r="C38" i="121" s="1"/>
  <c r="F179" i="187"/>
  <c r="F167" i="187"/>
  <c r="F204" i="187"/>
  <c r="F225" i="187" s="1"/>
  <c r="M117" i="187"/>
  <c r="C438" i="121"/>
  <c r="E438" i="121" s="1"/>
  <c r="K491" i="121" s="1"/>
  <c r="L491" i="121" s="1"/>
  <c r="O113" i="187"/>
  <c r="O375" i="187" s="1"/>
  <c r="C65" i="121" s="1"/>
  <c r="N117" i="187"/>
  <c r="N118" i="187"/>
  <c r="N119" i="187" s="1"/>
  <c r="N142" i="187" s="1"/>
  <c r="N179" i="187" s="1"/>
  <c r="O282" i="187" s="1"/>
  <c r="O371" i="187"/>
  <c r="C61" i="121" s="1"/>
  <c r="O370" i="187"/>
  <c r="C60" i="121" s="1"/>
  <c r="D665" i="98"/>
  <c r="D655" i="98"/>
  <c r="C517" i="98"/>
  <c r="C518" i="98" s="1"/>
  <c r="D512" i="98"/>
  <c r="D522" i="98"/>
  <c r="C537" i="98"/>
  <c r="F655" i="98" s="1"/>
  <c r="E656" i="98" s="1"/>
  <c r="C657" i="98" s="1"/>
  <c r="K731" i="98" s="1"/>
  <c r="K732" i="98" s="1"/>
  <c r="C418" i="98"/>
  <c r="F522" i="98" s="1"/>
  <c r="E523" i="98" s="1"/>
  <c r="C524" i="98" s="1"/>
  <c r="C539" i="98"/>
  <c r="F665" i="98" s="1"/>
  <c r="E666" i="98" s="1"/>
  <c r="C667" i="98" s="1"/>
  <c r="C417" i="98"/>
  <c r="F517" i="98" s="1"/>
  <c r="E518" i="98" s="1"/>
  <c r="C416" i="98"/>
  <c r="F512" i="98" s="1"/>
  <c r="E513" i="98" s="1"/>
  <c r="C514" i="98" s="1"/>
  <c r="E4" i="159"/>
  <c r="E7" i="159" s="1"/>
  <c r="T30" i="145"/>
  <c r="T4" i="159" s="1"/>
  <c r="T7" i="159" s="1"/>
  <c r="U22" i="159"/>
  <c r="BQ14" i="132" a="1"/>
  <c r="BQ14" i="132" s="1"/>
  <c r="U24" i="159"/>
  <c r="BS14" i="132" a="1"/>
  <c r="BS14" i="132" s="1"/>
  <c r="U23" i="159"/>
  <c r="BO14" i="132" a="1"/>
  <c r="BO14" i="132" s="1"/>
  <c r="BQ13" i="132" a="1"/>
  <c r="BQ13" i="132" s="1"/>
  <c r="F22" i="159"/>
  <c r="E6" i="159"/>
  <c r="E9" i="159" s="1"/>
  <c r="T32" i="145"/>
  <c r="T6" i="159" s="1"/>
  <c r="T9" i="159" s="1"/>
  <c r="K283" i="187"/>
  <c r="T54" i="122" s="1"/>
  <c r="K317" i="187"/>
  <c r="Z15" i="122" s="1"/>
  <c r="K275" i="187"/>
  <c r="T46" i="122" s="1"/>
  <c r="C422" i="122" s="1"/>
  <c r="E422" i="122" s="1"/>
  <c r="K325" i="187"/>
  <c r="Z23" i="122" s="1"/>
  <c r="K322" i="187"/>
  <c r="Z20" i="122" s="1"/>
  <c r="DC88" i="183"/>
  <c r="DF88" i="183" s="1"/>
  <c r="DE88" i="183"/>
  <c r="DD88" i="183"/>
  <c r="DI88" i="183"/>
  <c r="FC101" i="183"/>
  <c r="FB101" i="183"/>
  <c r="FE101" i="183" s="1"/>
  <c r="FD101" i="183"/>
  <c r="FH101" i="183"/>
  <c r="G621" i="122"/>
  <c r="F634" i="122"/>
  <c r="N719" i="122" s="1"/>
  <c r="G482" i="122"/>
  <c r="N689" i="122"/>
  <c r="J170" i="187"/>
  <c r="J189" i="187" s="1"/>
  <c r="C662" i="98"/>
  <c r="J184" i="187"/>
  <c r="DX87" i="183"/>
  <c r="DY87" i="183" s="1"/>
  <c r="EA87" i="183" s="1"/>
  <c r="EB87" i="183" s="1"/>
  <c r="EC87" i="183" s="1"/>
  <c r="ED87" i="183" s="1" a="1"/>
  <c r="ED87" i="183" s="1"/>
  <c r="DS88" i="183" s="1"/>
  <c r="G183" i="187"/>
  <c r="G325" i="187" s="1"/>
  <c r="G182" i="187"/>
  <c r="G180" i="187"/>
  <c r="G181" i="187" s="1"/>
  <c r="K184" i="187"/>
  <c r="K170" i="187"/>
  <c r="K189" i="187" s="1"/>
  <c r="G315" i="187"/>
  <c r="G168" i="187"/>
  <c r="G169" i="187" s="1"/>
  <c r="G317" i="187" s="1"/>
  <c r="Z15" i="98" s="1"/>
  <c r="G171" i="187"/>
  <c r="G173" i="187"/>
  <c r="ES88" i="183"/>
  <c r="ET88" i="183" s="1"/>
  <c r="EU88" i="183" s="1" a="1"/>
  <c r="EU88" i="183" s="1"/>
  <c r="EJ89" i="183" s="1"/>
  <c r="EV88" i="183"/>
  <c r="G205" i="187"/>
  <c r="G225" i="187"/>
  <c r="G337" i="187" s="1"/>
  <c r="K285" i="187" l="1"/>
  <c r="T56" i="122" s="1"/>
  <c r="C539" i="122" s="1"/>
  <c r="J217" i="187"/>
  <c r="K206" i="187"/>
  <c r="K207" i="187" s="1"/>
  <c r="K219" i="187" s="1"/>
  <c r="K212" i="187"/>
  <c r="K213" i="187" s="1"/>
  <c r="G206" i="187"/>
  <c r="G207" i="187" s="1"/>
  <c r="G212" i="187"/>
  <c r="G213" i="187" s="1"/>
  <c r="AH131" i="111"/>
  <c r="AG131" i="111"/>
  <c r="AE131" i="111"/>
  <c r="AE94" i="111"/>
  <c r="AH94" i="111"/>
  <c r="AG94" i="111"/>
  <c r="AK92" i="111"/>
  <c r="AK109" i="111" s="1"/>
  <c r="AK111" i="111" s="1"/>
  <c r="Y22" i="111" s="1"/>
  <c r="BC12" i="132" s="1"/>
  <c r="Y23" i="111"/>
  <c r="AK13" i="132" s="1"/>
  <c r="S13" i="132" s="1"/>
  <c r="AE132" i="111"/>
  <c r="AG132" i="111"/>
  <c r="AH132" i="111"/>
  <c r="AK129" i="111"/>
  <c r="AK146" i="111" s="1"/>
  <c r="AK148" i="111" s="1"/>
  <c r="Y28" i="111" s="1"/>
  <c r="BC14" i="132" s="1"/>
  <c r="AH118" i="111"/>
  <c r="AG118" i="111"/>
  <c r="E95" i="111"/>
  <c r="H95" i="111"/>
  <c r="G95" i="111"/>
  <c r="Y17" i="111"/>
  <c r="AK11" i="132" s="1"/>
  <c r="S11" i="132" s="1"/>
  <c r="K56" i="141"/>
  <c r="N720" i="122"/>
  <c r="K48" i="141"/>
  <c r="N690" i="122"/>
  <c r="Z14" i="132" a="1"/>
  <c r="Z14" i="132" s="1"/>
  <c r="BO13" i="132" a="1"/>
  <c r="BO13" i="132" s="1"/>
  <c r="AB14" i="132" a="1"/>
  <c r="AB14" i="132" s="1"/>
  <c r="F24" i="159"/>
  <c r="BC11" i="132"/>
  <c r="AA14" i="132" a="1"/>
  <c r="AA14" i="132" s="1"/>
  <c r="Y14" i="132" s="1"/>
  <c r="AA13" i="132" a="1"/>
  <c r="AA13" i="132" s="1"/>
  <c r="Y13" i="132" s="1"/>
  <c r="E417" i="122"/>
  <c r="E421" i="122"/>
  <c r="D181" i="111"/>
  <c r="K166" i="111" s="1"/>
  <c r="K183" i="111" s="1"/>
  <c r="K185" i="111" s="1"/>
  <c r="CA11" i="132"/>
  <c r="CA12" i="132"/>
  <c r="D81" i="111"/>
  <c r="K274" i="187"/>
  <c r="T45" i="122" s="1"/>
  <c r="C438" i="98"/>
  <c r="E438" i="98" s="1"/>
  <c r="F492" i="98" s="1"/>
  <c r="F501" i="98" s="1"/>
  <c r="N700" i="98" s="1"/>
  <c r="K32" i="141" s="1"/>
  <c r="G631" i="98"/>
  <c r="G644" i="98" s="1"/>
  <c r="O731" i="98" s="1"/>
  <c r="L40" i="141" s="1"/>
  <c r="K174" i="187"/>
  <c r="AD95" i="111"/>
  <c r="K209" i="187"/>
  <c r="K342" i="187" s="1"/>
  <c r="Z40" i="122" s="1"/>
  <c r="F23" i="159"/>
  <c r="BS13" i="132" a="1"/>
  <c r="BS13" i="132" s="1"/>
  <c r="C437" i="121"/>
  <c r="E437" i="121" s="1"/>
  <c r="F491" i="121" s="1"/>
  <c r="F500" i="121" s="1"/>
  <c r="N699" i="121" s="1"/>
  <c r="N700" i="121" s="1"/>
  <c r="M119" i="187"/>
  <c r="O348" i="187"/>
  <c r="C34" i="121" s="1"/>
  <c r="C6" i="121" s="1"/>
  <c r="O300" i="187"/>
  <c r="T53" i="121" s="1"/>
  <c r="F205" i="187"/>
  <c r="F173" i="187"/>
  <c r="G273" i="187"/>
  <c r="T29" i="98" s="1"/>
  <c r="C446" i="98" s="1"/>
  <c r="E446" i="98" s="1"/>
  <c r="F168" i="187"/>
  <c r="F169" i="187" s="1"/>
  <c r="F171" i="187"/>
  <c r="F182" i="187"/>
  <c r="F180" i="187"/>
  <c r="F181" i="187" s="1"/>
  <c r="G280" i="187" s="1"/>
  <c r="T36" i="98" s="1"/>
  <c r="F183" i="187"/>
  <c r="G282" i="187"/>
  <c r="T38" i="98" s="1"/>
  <c r="C445" i="98" s="1"/>
  <c r="G30" i="145"/>
  <c r="V30" i="145" s="1"/>
  <c r="V4" i="159" s="1"/>
  <c r="V7" i="159" s="1"/>
  <c r="V16" i="159" s="1"/>
  <c r="O374" i="187"/>
  <c r="C64" i="121" s="1"/>
  <c r="D172" i="111" s="1"/>
  <c r="D168" i="111" s="1"/>
  <c r="D173" i="111"/>
  <c r="O114" i="187"/>
  <c r="O115" i="187" s="1"/>
  <c r="O116" i="187" s="1"/>
  <c r="O143" i="187" s="1"/>
  <c r="O200" i="187" s="1"/>
  <c r="O202" i="187" s="1"/>
  <c r="O352" i="187"/>
  <c r="C39" i="121" s="1"/>
  <c r="C8" i="121" s="1"/>
  <c r="D161" i="111" s="1"/>
  <c r="F161" i="111" s="1"/>
  <c r="F183" i="111" s="1"/>
  <c r="F185" i="111" s="1"/>
  <c r="G34" i="145"/>
  <c r="V34" i="145" s="1"/>
  <c r="N204" i="187"/>
  <c r="N167" i="187"/>
  <c r="O273" i="187" s="1"/>
  <c r="T26" i="121" s="1"/>
  <c r="C445" i="121" s="1"/>
  <c r="C519" i="98"/>
  <c r="T16" i="159"/>
  <c r="T18" i="159"/>
  <c r="T20" i="159"/>
  <c r="E16" i="159"/>
  <c r="E18" i="159"/>
  <c r="E20" i="159"/>
  <c r="Z26" i="124"/>
  <c r="K278" i="187"/>
  <c r="T49" i="122" s="1"/>
  <c r="K320" i="187"/>
  <c r="Z18" i="122" s="1"/>
  <c r="F643" i="121"/>
  <c r="N730" i="121" s="1"/>
  <c r="N731" i="121" s="1"/>
  <c r="G630" i="121"/>
  <c r="N183" i="187"/>
  <c r="O283" i="187" s="1"/>
  <c r="N182" i="187"/>
  <c r="T35" i="121"/>
  <c r="C444" i="121" s="1"/>
  <c r="N180" i="187"/>
  <c r="N181" i="187" s="1"/>
  <c r="DG88" i="183"/>
  <c r="DH88" i="183" s="1"/>
  <c r="DJ88" i="183" s="1"/>
  <c r="FF101" i="183"/>
  <c r="FG101" i="183" s="1"/>
  <c r="FI101" i="183" s="1"/>
  <c r="O621" i="122"/>
  <c r="G634" i="122"/>
  <c r="O719" i="122" s="1"/>
  <c r="O482" i="122"/>
  <c r="G491" i="122"/>
  <c r="O689" i="122" s="1"/>
  <c r="Z26" i="122"/>
  <c r="Z22" i="98"/>
  <c r="Z13" i="98"/>
  <c r="J190" i="187"/>
  <c r="J191" i="187" s="1"/>
  <c r="J192" i="187"/>
  <c r="EE87" i="183"/>
  <c r="K190" i="187"/>
  <c r="K191" i="187" s="1"/>
  <c r="K192" i="187"/>
  <c r="L731" i="98"/>
  <c r="L732" i="98" s="1"/>
  <c r="H40" i="141"/>
  <c r="H41" i="141"/>
  <c r="EL89" i="183"/>
  <c r="EM89" i="183"/>
  <c r="EQ89" i="183"/>
  <c r="EK89" i="183"/>
  <c r="EN89" i="183" s="1"/>
  <c r="G322" i="187"/>
  <c r="Z20" i="98" s="1"/>
  <c r="G209" i="187"/>
  <c r="G217" i="187"/>
  <c r="G221" i="187" s="1"/>
  <c r="G226" i="187" s="1"/>
  <c r="G170" i="187"/>
  <c r="G189" i="187" s="1"/>
  <c r="DZ88" i="183"/>
  <c r="DV88" i="183"/>
  <c r="DT88" i="183"/>
  <c r="DW88" i="183" s="1"/>
  <c r="DU88" i="183"/>
  <c r="G174" i="187"/>
  <c r="G316" i="187"/>
  <c r="Z14" i="98" s="1"/>
  <c r="Z23" i="98"/>
  <c r="G184" i="187"/>
  <c r="G327" i="187" l="1"/>
  <c r="Z25" i="98" s="1"/>
  <c r="G219" i="187"/>
  <c r="N225" i="187"/>
  <c r="O295" i="187" s="1"/>
  <c r="T48" i="121" s="1"/>
  <c r="C562" i="121" s="1"/>
  <c r="C566" i="121" s="1"/>
  <c r="K223" i="187"/>
  <c r="K228" i="187" s="1"/>
  <c r="K217" i="187"/>
  <c r="G335" i="187"/>
  <c r="G223" i="187"/>
  <c r="G228" i="187" s="1"/>
  <c r="J221" i="187"/>
  <c r="J226" i="187" s="1"/>
  <c r="J220" i="187"/>
  <c r="J224" i="187" s="1"/>
  <c r="J229" i="187" s="1"/>
  <c r="K299" i="187" s="1"/>
  <c r="T70" i="122" s="1"/>
  <c r="C565" i="122" s="1"/>
  <c r="J218" i="187"/>
  <c r="K292" i="187"/>
  <c r="T63" i="122" s="1"/>
  <c r="J223" i="187"/>
  <c r="J228" i="187" s="1"/>
  <c r="K293" i="187"/>
  <c r="T64" i="122" s="1"/>
  <c r="G334" i="187"/>
  <c r="Z32" i="98" s="1"/>
  <c r="G220" i="187"/>
  <c r="G224" i="187" s="1"/>
  <c r="G229" i="187" s="1"/>
  <c r="G341" i="187" s="1"/>
  <c r="K327" i="187"/>
  <c r="Z25" i="122" s="1"/>
  <c r="F206" i="187"/>
  <c r="F207" i="187" s="1"/>
  <c r="F212" i="187"/>
  <c r="F213" i="187" s="1"/>
  <c r="Y20" i="111"/>
  <c r="AK12" i="132" s="1"/>
  <c r="S12" i="132" s="1"/>
  <c r="Y26" i="111"/>
  <c r="AK14" i="132" s="1"/>
  <c r="S14" i="132" s="1"/>
  <c r="AH95" i="111"/>
  <c r="AG95" i="111"/>
  <c r="AE95" i="111"/>
  <c r="G168" i="111"/>
  <c r="H168" i="111"/>
  <c r="E168" i="111"/>
  <c r="G81" i="111"/>
  <c r="H81" i="111"/>
  <c r="AD173" i="111"/>
  <c r="D169" i="111"/>
  <c r="AD168" i="111"/>
  <c r="L56" i="141"/>
  <c r="O720" i="122"/>
  <c r="L48" i="141"/>
  <c r="O690" i="122"/>
  <c r="Z13" i="132" a="1"/>
  <c r="Z13" i="132" s="1"/>
  <c r="AB13" i="132" a="1"/>
  <c r="AB13" i="132" s="1"/>
  <c r="AD181" i="111"/>
  <c r="O203" i="187"/>
  <c r="D155" i="111"/>
  <c r="CA15" i="132"/>
  <c r="CA16" i="132"/>
  <c r="D80" i="133" s="1" a="1"/>
  <c r="D80" i="133" s="1"/>
  <c r="K80" i="133" s="1"/>
  <c r="AD81" i="111"/>
  <c r="O631" i="98"/>
  <c r="G492" i="98"/>
  <c r="G501" i="98" s="1"/>
  <c r="O700" i="98" s="1"/>
  <c r="L32" i="141" s="1"/>
  <c r="G491" i="121"/>
  <c r="G500" i="121" s="1"/>
  <c r="O699" i="121" s="1"/>
  <c r="O700" i="121" s="1"/>
  <c r="G283" i="187"/>
  <c r="T39" i="98" s="1"/>
  <c r="C448" i="98" s="1"/>
  <c r="F184" i="187"/>
  <c r="G4" i="159"/>
  <c r="G7" i="159" s="1"/>
  <c r="G16" i="159" s="1"/>
  <c r="G275" i="187"/>
  <c r="T31" i="98" s="1"/>
  <c r="F170" i="187"/>
  <c r="F189" i="187" s="1"/>
  <c r="G278" i="187" s="1"/>
  <c r="T34" i="98" s="1"/>
  <c r="F174" i="187"/>
  <c r="G274" i="187"/>
  <c r="T30" i="98" s="1"/>
  <c r="C449" i="98" s="1"/>
  <c r="E449" i="98" s="1"/>
  <c r="N205" i="187"/>
  <c r="G295" i="187"/>
  <c r="T51" i="98" s="1"/>
  <c r="AD172" i="111"/>
  <c r="G33" i="145"/>
  <c r="V33" i="145" s="1"/>
  <c r="N173" i="187"/>
  <c r="O274" i="187" s="1"/>
  <c r="T27" i="121" s="1"/>
  <c r="C448" i="121" s="1"/>
  <c r="N171" i="187"/>
  <c r="N168" i="187"/>
  <c r="N169" i="187" s="1"/>
  <c r="O275" i="187" s="1"/>
  <c r="T28" i="121" s="1"/>
  <c r="O117" i="187"/>
  <c r="O118" i="187"/>
  <c r="O119" i="187" s="1"/>
  <c r="O142" i="187" s="1"/>
  <c r="BQ16" i="132" a="1"/>
  <c r="BQ16" i="132" s="1"/>
  <c r="V22" i="159"/>
  <c r="BO12" i="132" a="1"/>
  <c r="BO12" i="132" s="1"/>
  <c r="T23" i="159"/>
  <c r="T24" i="159"/>
  <c r="BS12" i="132" a="1"/>
  <c r="BS12" i="132" s="1"/>
  <c r="T22" i="159"/>
  <c r="BQ12" i="132" a="1"/>
  <c r="BQ12" i="132" s="1"/>
  <c r="E24" i="159"/>
  <c r="BS11" i="132" a="1"/>
  <c r="BS11" i="132" s="1"/>
  <c r="BO11" i="132" a="1"/>
  <c r="BO11" i="132" s="1"/>
  <c r="E23" i="159"/>
  <c r="E22" i="159"/>
  <c r="BQ11" i="132" a="1"/>
  <c r="BQ11" i="132" s="1"/>
  <c r="O280" i="187"/>
  <c r="T33" i="121" s="1"/>
  <c r="K277" i="187"/>
  <c r="T48" i="122" s="1"/>
  <c r="C415" i="122" s="1"/>
  <c r="E415" i="122" s="1"/>
  <c r="J193" i="187"/>
  <c r="J194" i="187" s="1"/>
  <c r="K354" i="187" s="1"/>
  <c r="C52" i="122" s="1"/>
  <c r="K279" i="187"/>
  <c r="T50" i="122" s="1"/>
  <c r="Z35" i="122"/>
  <c r="K321" i="187"/>
  <c r="Z19" i="122" s="1"/>
  <c r="K319" i="187"/>
  <c r="Z17" i="122" s="1"/>
  <c r="O630" i="121"/>
  <c r="G643" i="121"/>
  <c r="O730" i="121" s="1"/>
  <c r="O731" i="121" s="1"/>
  <c r="Y31" i="111"/>
  <c r="Y29" i="111"/>
  <c r="K72" i="141"/>
  <c r="K64" i="141"/>
  <c r="N184" i="187"/>
  <c r="T36" i="121"/>
  <c r="C447" i="121" s="1"/>
  <c r="DN88" i="183"/>
  <c r="DK88" i="183"/>
  <c r="DL88" i="183" s="1"/>
  <c r="DM88" i="183" s="1" a="1"/>
  <c r="DM88" i="183" s="1"/>
  <c r="DB89" i="183" s="1"/>
  <c r="FJ101" i="183"/>
  <c r="FK101" i="183" s="1"/>
  <c r="FL101" i="183" s="1" a="1"/>
  <c r="FL101" i="183" s="1"/>
  <c r="FA102" i="183" s="1"/>
  <c r="FM101" i="183"/>
  <c r="C459" i="98"/>
  <c r="E459" i="98" s="1"/>
  <c r="C460" i="98"/>
  <c r="E460" i="98" s="1"/>
  <c r="Z26" i="98"/>
  <c r="G342" i="187"/>
  <c r="Z40" i="98" s="1"/>
  <c r="K193" i="187"/>
  <c r="K194" i="187" s="1"/>
  <c r="K355" i="187" s="1"/>
  <c r="C53" i="122" s="1"/>
  <c r="C463" i="98"/>
  <c r="E463" i="98" s="1"/>
  <c r="C462" i="98"/>
  <c r="E462" i="98" s="1"/>
  <c r="G190" i="187"/>
  <c r="G191" i="187" s="1"/>
  <c r="G319" i="187" s="1"/>
  <c r="Z17" i="98" s="1"/>
  <c r="G192" i="187"/>
  <c r="G193" i="187" s="1"/>
  <c r="G194" i="187" s="1"/>
  <c r="C718" i="98"/>
  <c r="D718" i="98" s="1"/>
  <c r="I40" i="141"/>
  <c r="I41" i="141"/>
  <c r="C720" i="98"/>
  <c r="D720" i="98" s="1"/>
  <c r="DX88" i="183"/>
  <c r="DY88" i="183" s="1"/>
  <c r="EA88" i="183" s="1"/>
  <c r="EB88" i="183" s="1"/>
  <c r="EC88" i="183" s="1"/>
  <c r="ED88" i="183" s="1" a="1"/>
  <c r="ED88" i="183" s="1"/>
  <c r="DS89" i="183" s="1"/>
  <c r="EO89" i="183"/>
  <c r="EP89" i="183" s="1"/>
  <c r="ER89" i="183" s="1"/>
  <c r="G320" i="187"/>
  <c r="Z33" i="98"/>
  <c r="G218" i="187"/>
  <c r="K700" i="98"/>
  <c r="K701" i="98" s="1"/>
  <c r="T8" i="145"/>
  <c r="G66" i="145"/>
  <c r="V66" i="145"/>
  <c r="F217" i="187" l="1"/>
  <c r="F221" i="187" s="1"/>
  <c r="F226" i="187" s="1"/>
  <c r="F219" i="187"/>
  <c r="F223" i="187"/>
  <c r="F228" i="187" s="1"/>
  <c r="F209" i="187"/>
  <c r="G286" i="187" s="1"/>
  <c r="T42" i="98" s="1"/>
  <c r="G285" i="187"/>
  <c r="T41" i="98" s="1"/>
  <c r="J222" i="187"/>
  <c r="J227" i="187" s="1"/>
  <c r="J230" i="187" s="1"/>
  <c r="J231" i="187" s="1"/>
  <c r="J232" i="187" s="1"/>
  <c r="K294" i="187"/>
  <c r="T65" i="122" s="1"/>
  <c r="C597" i="122" s="1"/>
  <c r="E597" i="122" s="1"/>
  <c r="G336" i="187"/>
  <c r="G222" i="187"/>
  <c r="G227" i="187" s="1"/>
  <c r="K221" i="187"/>
  <c r="K226" i="187" s="1"/>
  <c r="K220" i="187"/>
  <c r="K224" i="187" s="1"/>
  <c r="K229" i="187" s="1"/>
  <c r="K341" i="187" s="1"/>
  <c r="Z39" i="122" s="1"/>
  <c r="K218" i="187"/>
  <c r="K334" i="187"/>
  <c r="Z32" i="122" s="1"/>
  <c r="K335" i="187"/>
  <c r="Z33" i="122" s="1"/>
  <c r="C568" i="121"/>
  <c r="E568" i="121" s="1"/>
  <c r="C567" i="121"/>
  <c r="E567" i="121" s="1"/>
  <c r="E573" i="121" s="1"/>
  <c r="F220" i="187"/>
  <c r="F224" i="187" s="1"/>
  <c r="F229" i="187" s="1"/>
  <c r="G299" i="187" s="1"/>
  <c r="T55" i="98" s="1"/>
  <c r="G293" i="187"/>
  <c r="T49" i="98" s="1"/>
  <c r="N206" i="187"/>
  <c r="N207" i="187" s="1"/>
  <c r="N219" i="187" s="1"/>
  <c r="N212" i="187"/>
  <c r="N213" i="187" s="1"/>
  <c r="AG168" i="111"/>
  <c r="AH168" i="111"/>
  <c r="AE168" i="111"/>
  <c r="AH81" i="111"/>
  <c r="AG81" i="111"/>
  <c r="AK166" i="111"/>
  <c r="AK183" i="111" s="1"/>
  <c r="AK185" i="111" s="1"/>
  <c r="Y34" i="111" s="1"/>
  <c r="H169" i="111"/>
  <c r="G169" i="111"/>
  <c r="E169" i="111"/>
  <c r="G155" i="111"/>
  <c r="H155" i="111"/>
  <c r="AD169" i="111"/>
  <c r="BC15" i="132"/>
  <c r="Z11" i="132" a="1"/>
  <c r="Z11" i="132" s="1"/>
  <c r="G22" i="159"/>
  <c r="AA12" i="132" a="1"/>
  <c r="AA12" i="132" s="1"/>
  <c r="Y12" i="132" s="1"/>
  <c r="AB11" i="132" a="1"/>
  <c r="AB11" i="132" s="1"/>
  <c r="Z12" i="132" a="1"/>
  <c r="Z12" i="132" s="1"/>
  <c r="L12" i="132"/>
  <c r="AA16" i="132" a="1"/>
  <c r="AA16" i="132" s="1"/>
  <c r="AB12" i="132" a="1"/>
  <c r="AB12" i="132" s="1"/>
  <c r="AK15" i="132"/>
  <c r="S15" i="132" s="1"/>
  <c r="AA11" i="132" a="1"/>
  <c r="AA11" i="132" s="1"/>
  <c r="Y11" i="132" s="1"/>
  <c r="AD155" i="111"/>
  <c r="E414" i="122"/>
  <c r="J26" i="204"/>
  <c r="J48" i="203"/>
  <c r="O492" i="98"/>
  <c r="O491" i="121"/>
  <c r="N170" i="187"/>
  <c r="N189" i="187" s="1"/>
  <c r="O278" i="187" s="1"/>
  <c r="T31" i="121" s="1"/>
  <c r="C443" i="121" s="1"/>
  <c r="D75" i="133" a="1"/>
  <c r="D75" i="133" s="1"/>
  <c r="D41" i="133" a="1"/>
  <c r="D41" i="133" s="1"/>
  <c r="K41" i="133" s="1"/>
  <c r="F192" i="187"/>
  <c r="F193" i="187" s="1"/>
  <c r="F194" i="187" s="1"/>
  <c r="G354" i="187" s="1"/>
  <c r="C38" i="98" s="1"/>
  <c r="F190" i="187"/>
  <c r="F191" i="187" s="1"/>
  <c r="G277" i="187" s="1"/>
  <c r="T33" i="98" s="1"/>
  <c r="N209" i="187"/>
  <c r="O286" i="187" s="1"/>
  <c r="T39" i="121" s="1"/>
  <c r="C549" i="121" s="1"/>
  <c r="E549" i="121" s="1"/>
  <c r="BQ15" i="132" a="1"/>
  <c r="BQ15" i="132" s="1"/>
  <c r="G292" i="187"/>
  <c r="T48" i="98" s="1"/>
  <c r="F218" i="187"/>
  <c r="F222" i="187" s="1"/>
  <c r="F227" i="187" s="1"/>
  <c r="H497" i="98"/>
  <c r="I497" i="98" s="1"/>
  <c r="J497" i="98" s="1"/>
  <c r="N174" i="187"/>
  <c r="O167" i="187"/>
  <c r="O179" i="187"/>
  <c r="O204" i="187"/>
  <c r="O225" i="187" s="1"/>
  <c r="G32" i="145"/>
  <c r="O301" i="187"/>
  <c r="T54" i="121" s="1"/>
  <c r="C56" i="122"/>
  <c r="D119" i="111" s="1"/>
  <c r="L72" i="141"/>
  <c r="K65" i="141"/>
  <c r="K73" i="141"/>
  <c r="L64" i="141"/>
  <c r="E562" i="121"/>
  <c r="C563" i="121"/>
  <c r="E563" i="121" s="1"/>
  <c r="C565" i="121"/>
  <c r="E565" i="121" s="1"/>
  <c r="E566" i="121"/>
  <c r="E572" i="121" s="1"/>
  <c r="C564" i="121"/>
  <c r="E564" i="121" s="1"/>
  <c r="DI89" i="183"/>
  <c r="DC89" i="183"/>
  <c r="DF89" i="183" s="1"/>
  <c r="DD89" i="183"/>
  <c r="DE89" i="183"/>
  <c r="FB102" i="183"/>
  <c r="FE102" i="183" s="1"/>
  <c r="FD102" i="183"/>
  <c r="FC102" i="183"/>
  <c r="FH102" i="183"/>
  <c r="K497" i="98"/>
  <c r="L497" i="98" s="1"/>
  <c r="C444" i="98"/>
  <c r="Z34" i="98"/>
  <c r="C607" i="98" s="1"/>
  <c r="E607" i="98" s="1"/>
  <c r="Z18" i="98"/>
  <c r="H32" i="141"/>
  <c r="EE88" i="183"/>
  <c r="G340" i="187"/>
  <c r="G298" i="187"/>
  <c r="T54" i="98" s="1"/>
  <c r="G355" i="187"/>
  <c r="C39" i="98" s="1"/>
  <c r="G321" i="187"/>
  <c r="Z19" i="98" s="1"/>
  <c r="EV89" i="183"/>
  <c r="ES89" i="183"/>
  <c r="ET89" i="183" s="1"/>
  <c r="EU89" i="183" s="1" a="1"/>
  <c r="EU89" i="183" s="1"/>
  <c r="EJ90" i="183" s="1"/>
  <c r="K296" i="187"/>
  <c r="DU89" i="183"/>
  <c r="DV89" i="183"/>
  <c r="DT89" i="183"/>
  <c r="DW89" i="183" s="1"/>
  <c r="DZ89" i="183"/>
  <c r="L700" i="98"/>
  <c r="L701" i="98" s="1"/>
  <c r="V67" i="145"/>
  <c r="G67" i="145"/>
  <c r="F230" i="187" l="1"/>
  <c r="F231" i="187" s="1"/>
  <c r="F232" i="187" s="1"/>
  <c r="K222" i="187"/>
  <c r="K227" i="187" s="1"/>
  <c r="K230" i="187" s="1"/>
  <c r="K231" i="187" s="1"/>
  <c r="K232" i="187" s="1"/>
  <c r="K336" i="187"/>
  <c r="Z34" i="122" s="1"/>
  <c r="O285" i="187"/>
  <c r="T38" i="121" s="1"/>
  <c r="C548" i="121" s="1"/>
  <c r="E548" i="121" s="1"/>
  <c r="N217" i="187"/>
  <c r="G294" i="187"/>
  <c r="T50" i="98" s="1"/>
  <c r="Y32" i="111"/>
  <c r="AK16" i="132" s="1"/>
  <c r="S16" i="132" s="1"/>
  <c r="AG169" i="111"/>
  <c r="AE169" i="111"/>
  <c r="AH169" i="111"/>
  <c r="AH155" i="111"/>
  <c r="AG155" i="111"/>
  <c r="H119" i="111"/>
  <c r="E119" i="111"/>
  <c r="G119" i="111"/>
  <c r="BC16" i="132"/>
  <c r="D48" i="133" s="1" a="1"/>
  <c r="D48" i="133" s="1"/>
  <c r="K48" i="133" s="1"/>
  <c r="J46" i="138" s="1"/>
  <c r="AA15" i="132" a="1"/>
  <c r="AA15" i="132" s="1"/>
  <c r="CC13" i="132"/>
  <c r="N190" i="187"/>
  <c r="N191" i="187" s="1"/>
  <c r="O277" i="187" s="1"/>
  <c r="T30" i="121" s="1"/>
  <c r="N192" i="187"/>
  <c r="O279" i="187" s="1"/>
  <c r="T32" i="121" s="1"/>
  <c r="C446" i="121" s="1"/>
  <c r="G279" i="187"/>
  <c r="T35" i="98" s="1"/>
  <c r="C447" i="98" s="1"/>
  <c r="J29" i="138"/>
  <c r="K55" i="133"/>
  <c r="J37" i="203" s="1"/>
  <c r="V32" i="145"/>
  <c r="V6" i="159" s="1"/>
  <c r="V9" i="159" s="1"/>
  <c r="G6" i="159"/>
  <c r="G9" i="159" s="1"/>
  <c r="O205" i="187"/>
  <c r="O324" i="187"/>
  <c r="Z23" i="121" s="1"/>
  <c r="O182" i="187"/>
  <c r="O183" i="187"/>
  <c r="O180" i="187"/>
  <c r="O181" i="187" s="1"/>
  <c r="O322" i="187" s="1"/>
  <c r="Z21" i="121" s="1"/>
  <c r="O315" i="187"/>
  <c r="Z14" i="121" s="1"/>
  <c r="O173" i="187"/>
  <c r="O171" i="187"/>
  <c r="O168" i="187"/>
  <c r="O169" i="187" s="1"/>
  <c r="D122" i="111"/>
  <c r="E122" i="111" s="1"/>
  <c r="E146" i="111" s="1"/>
  <c r="K340" i="187"/>
  <c r="Z38" i="122" s="1"/>
  <c r="K338" i="187"/>
  <c r="Z36" i="122" s="1"/>
  <c r="C581" i="122" s="1"/>
  <c r="E581" i="122" s="1"/>
  <c r="K298" i="187"/>
  <c r="T69" i="122" s="1"/>
  <c r="C562" i="122" s="1"/>
  <c r="G338" i="187"/>
  <c r="Z36" i="98" s="1"/>
  <c r="C591" i="98" s="1"/>
  <c r="E591" i="98" s="1"/>
  <c r="Z27" i="121"/>
  <c r="L73" i="141"/>
  <c r="L65" i="141"/>
  <c r="DG89" i="183"/>
  <c r="DH89" i="183" s="1"/>
  <c r="DJ89" i="183" s="1"/>
  <c r="FF102" i="183"/>
  <c r="FG102" i="183" s="1"/>
  <c r="FI102" i="183" s="1"/>
  <c r="C458" i="98"/>
  <c r="E458" i="98" s="1"/>
  <c r="J444" i="98" s="1"/>
  <c r="Z26" i="100"/>
  <c r="Z35" i="98"/>
  <c r="C584" i="98" s="1"/>
  <c r="Z39" i="98"/>
  <c r="C596" i="98" s="1"/>
  <c r="E596" i="98" s="1"/>
  <c r="C461" i="98"/>
  <c r="E461" i="98" s="1"/>
  <c r="C42" i="98"/>
  <c r="D82" i="111" s="1"/>
  <c r="H33" i="141"/>
  <c r="C687" i="98"/>
  <c r="D687" i="98" s="1"/>
  <c r="I32" i="141"/>
  <c r="T67" i="122"/>
  <c r="C560" i="122" s="1"/>
  <c r="G296" i="187"/>
  <c r="T52" i="98" s="1"/>
  <c r="DX89" i="183"/>
  <c r="DY89" i="183" s="1"/>
  <c r="EA89" i="183" s="1"/>
  <c r="EL90" i="183"/>
  <c r="EM90" i="183"/>
  <c r="EQ90" i="183"/>
  <c r="EK90" i="183"/>
  <c r="EN90" i="183" s="1"/>
  <c r="G297" i="187"/>
  <c r="T53" i="98" s="1"/>
  <c r="G339" i="187"/>
  <c r="E8" i="145"/>
  <c r="N223" i="187" l="1"/>
  <c r="N228" i="187" s="1"/>
  <c r="O298" i="187" s="1"/>
  <c r="T51" i="121" s="1"/>
  <c r="C571" i="121" s="1"/>
  <c r="E571" i="121" s="1"/>
  <c r="O293" i="187"/>
  <c r="T46" i="121" s="1"/>
  <c r="C545" i="121" s="1"/>
  <c r="E545" i="121" s="1"/>
  <c r="N221" i="187"/>
  <c r="N226" i="187" s="1"/>
  <c r="O296" i="187" s="1"/>
  <c r="T49" i="121" s="1"/>
  <c r="C569" i="121" s="1"/>
  <c r="E569" i="121" s="1"/>
  <c r="N220" i="187"/>
  <c r="N224" i="187" s="1"/>
  <c r="N229" i="187" s="1"/>
  <c r="O299" i="187" s="1"/>
  <c r="T52" i="121" s="1"/>
  <c r="C574" i="121" s="1"/>
  <c r="E574" i="121" s="1"/>
  <c r="N218" i="187"/>
  <c r="O292" i="187"/>
  <c r="T45" i="121" s="1"/>
  <c r="C544" i="121" s="1"/>
  <c r="E544" i="121" s="1"/>
  <c r="E605" i="121" s="1"/>
  <c r="C590" i="98"/>
  <c r="C588" i="98"/>
  <c r="C589" i="98"/>
  <c r="O206" i="187"/>
  <c r="O207" i="187" s="1"/>
  <c r="O212" i="187"/>
  <c r="O213" i="187" s="1"/>
  <c r="H82" i="111"/>
  <c r="E82" i="111"/>
  <c r="G82" i="111"/>
  <c r="T23" i="111"/>
  <c r="F25" i="159" s="1"/>
  <c r="N193" i="187"/>
  <c r="N194" i="187" s="1"/>
  <c r="O354" i="187" s="1"/>
  <c r="C45" i="121" s="1"/>
  <c r="CC11" i="132"/>
  <c r="O317" i="187"/>
  <c r="Z16" i="121" s="1"/>
  <c r="O170" i="187"/>
  <c r="O189" i="187" s="1"/>
  <c r="O316" i="187"/>
  <c r="Z15" i="121" s="1"/>
  <c r="O174" i="187"/>
  <c r="O325" i="187"/>
  <c r="Z24" i="121" s="1"/>
  <c r="O184" i="187"/>
  <c r="O337" i="187"/>
  <c r="Z36" i="121" s="1"/>
  <c r="C583" i="121" s="1"/>
  <c r="G20" i="159"/>
  <c r="G18" i="159"/>
  <c r="V20" i="159"/>
  <c r="V18" i="159"/>
  <c r="K297" i="187"/>
  <c r="T68" i="122" s="1"/>
  <c r="C561" i="122" s="1"/>
  <c r="K339" i="187"/>
  <c r="Z37" i="122" s="1"/>
  <c r="C582" i="122" s="1"/>
  <c r="E582" i="122" s="1"/>
  <c r="DN89" i="183"/>
  <c r="DK89" i="183"/>
  <c r="DL89" i="183" s="1"/>
  <c r="DM89" i="183" s="1" a="1"/>
  <c r="DM89" i="183" s="1"/>
  <c r="DB90" i="183" s="1"/>
  <c r="FJ102" i="183"/>
  <c r="FK102" i="183" s="1"/>
  <c r="FL102" i="183" s="1" a="1"/>
  <c r="FL102" i="183" s="1"/>
  <c r="FA103" i="183" s="1"/>
  <c r="FM102" i="183"/>
  <c r="E584" i="98"/>
  <c r="E586" i="98" s="1"/>
  <c r="C586" i="98"/>
  <c r="C585" i="98"/>
  <c r="C587" i="98"/>
  <c r="Z37" i="98"/>
  <c r="C592" i="98" s="1"/>
  <c r="E592" i="98" s="1"/>
  <c r="Z38" i="98"/>
  <c r="C593" i="98" s="1"/>
  <c r="E593" i="98" s="1"/>
  <c r="C583" i="122"/>
  <c r="E583" i="122" s="1"/>
  <c r="D85" i="111"/>
  <c r="E85" i="111" s="1"/>
  <c r="E109" i="111" s="1"/>
  <c r="I33" i="141"/>
  <c r="C689" i="98"/>
  <c r="D689" i="98" s="1"/>
  <c r="L11" i="132"/>
  <c r="G230" i="187"/>
  <c r="G231" i="187" s="1"/>
  <c r="G232" i="187" s="1"/>
  <c r="G357" i="187" s="1"/>
  <c r="C41" i="98" s="1"/>
  <c r="K356" i="187"/>
  <c r="C54" i="122" s="1"/>
  <c r="K357" i="187"/>
  <c r="C55" i="122" s="1"/>
  <c r="EO90" i="183"/>
  <c r="EP90" i="183" s="1"/>
  <c r="ER90" i="183" s="1"/>
  <c r="G356" i="187"/>
  <c r="C40" i="98" s="1"/>
  <c r="EB89" i="183"/>
  <c r="EC89" i="183" s="1"/>
  <c r="ED89" i="183" s="1" a="1"/>
  <c r="ED89" i="183" s="1"/>
  <c r="DS90" i="183" s="1"/>
  <c r="EE89" i="183"/>
  <c r="O327" i="187" l="1"/>
  <c r="Z26" i="121" s="1"/>
  <c r="O219" i="187"/>
  <c r="O209" i="187"/>
  <c r="O342" i="187" s="1"/>
  <c r="Z41" i="121" s="1"/>
  <c r="O217" i="187"/>
  <c r="N222" i="187"/>
  <c r="N227" i="187" s="1"/>
  <c r="O294" i="187"/>
  <c r="T47" i="121" s="1"/>
  <c r="C606" i="121" s="1"/>
  <c r="E606" i="121" s="1"/>
  <c r="C588" i="121"/>
  <c r="C587" i="121"/>
  <c r="C585" i="121"/>
  <c r="C589" i="121"/>
  <c r="AF13" i="132"/>
  <c r="N13" i="132" s="1"/>
  <c r="O320" i="187"/>
  <c r="Z19" i="121" s="1"/>
  <c r="O190" i="187"/>
  <c r="O191" i="187" s="1"/>
  <c r="O319" i="187" s="1"/>
  <c r="Z18" i="121" s="1"/>
  <c r="O192" i="187"/>
  <c r="V23" i="159"/>
  <c r="BO16" i="132" a="1"/>
  <c r="BO16" i="132" s="1"/>
  <c r="V24" i="159"/>
  <c r="BS16" i="132" a="1"/>
  <c r="BS16" i="132" s="1"/>
  <c r="G23" i="159"/>
  <c r="BO15" i="132" a="1"/>
  <c r="BO15" i="132" s="1"/>
  <c r="G24" i="159"/>
  <c r="BS15" i="132" a="1"/>
  <c r="BS15" i="132" s="1"/>
  <c r="O334" i="187"/>
  <c r="Z33" i="121" s="1"/>
  <c r="E583" i="121"/>
  <c r="E589" i="121" s="1"/>
  <c r="C584" i="121"/>
  <c r="C586" i="121"/>
  <c r="T17" i="111"/>
  <c r="DC90" i="183"/>
  <c r="DF90" i="183" s="1"/>
  <c r="DI90" i="183"/>
  <c r="DE90" i="183"/>
  <c r="DD90" i="183"/>
  <c r="FC103" i="183"/>
  <c r="FB103" i="183"/>
  <c r="FE103" i="183" s="1"/>
  <c r="FH103" i="183"/>
  <c r="FD103" i="183"/>
  <c r="E590" i="98"/>
  <c r="C624" i="98" s="1"/>
  <c r="J624" i="98" s="1"/>
  <c r="N624" i="98" s="1"/>
  <c r="E585" i="98"/>
  <c r="E588" i="98"/>
  <c r="E594" i="98" s="1"/>
  <c r="E589" i="98"/>
  <c r="E595" i="98" s="1"/>
  <c r="E587" i="98"/>
  <c r="C57" i="122"/>
  <c r="AD119" i="111" s="1"/>
  <c r="C43" i="98"/>
  <c r="AD82" i="111" s="1"/>
  <c r="DT90" i="183"/>
  <c r="DW90" i="183" s="1"/>
  <c r="DV90" i="183"/>
  <c r="DZ90" i="183"/>
  <c r="DU90" i="183"/>
  <c r="EV90" i="183"/>
  <c r="ES90" i="183"/>
  <c r="ET90" i="183" s="1"/>
  <c r="EU90" i="183" s="1" a="1"/>
  <c r="EU90" i="183" s="1"/>
  <c r="EJ91" i="183" s="1"/>
  <c r="C447" i="122"/>
  <c r="E447" i="122" s="1"/>
  <c r="C573" i="122"/>
  <c r="E573" i="122" s="1"/>
  <c r="N230" i="187" l="1"/>
  <c r="N231" i="187" s="1"/>
  <c r="N232" i="187" s="1"/>
  <c r="O356" i="187" s="1"/>
  <c r="C47" i="121" s="1"/>
  <c r="O297" i="187"/>
  <c r="T50" i="121" s="1"/>
  <c r="C570" i="121" s="1"/>
  <c r="E570" i="121" s="1"/>
  <c r="O221" i="187"/>
  <c r="O226" i="187" s="1"/>
  <c r="O338" i="187" s="1"/>
  <c r="Z37" i="121" s="1"/>
  <c r="C590" i="121" s="1"/>
  <c r="E590" i="121" s="1"/>
  <c r="O220" i="187"/>
  <c r="O224" i="187" s="1"/>
  <c r="O229" i="187" s="1"/>
  <c r="O341" i="187" s="1"/>
  <c r="Z40" i="121" s="1"/>
  <c r="C595" i="121" s="1"/>
  <c r="E595" i="121" s="1"/>
  <c r="O218" i="187"/>
  <c r="O223" i="187"/>
  <c r="O228" i="187" s="1"/>
  <c r="O340" i="187" s="1"/>
  <c r="Z39" i="121" s="1"/>
  <c r="C592" i="121" s="1"/>
  <c r="E592" i="121" s="1"/>
  <c r="O335" i="187"/>
  <c r="Z34" i="121" s="1"/>
  <c r="AG119" i="111"/>
  <c r="AH119" i="111"/>
  <c r="AE119" i="111"/>
  <c r="AE82" i="111"/>
  <c r="AG82" i="111"/>
  <c r="AH82" i="111"/>
  <c r="AB16" i="132" a="1"/>
  <c r="AB16" i="132" s="1"/>
  <c r="D77" i="133" s="1" a="1"/>
  <c r="D77" i="133" s="1"/>
  <c r="Z16" i="132" a="1"/>
  <c r="Z16" i="132" s="1"/>
  <c r="D76" i="133" s="1" a="1"/>
  <c r="D76" i="133" s="1"/>
  <c r="CC14" i="132"/>
  <c r="Z15" i="132" a="1"/>
  <c r="Z15" i="132" s="1"/>
  <c r="Y15" i="132" s="1"/>
  <c r="AB15" i="132" a="1"/>
  <c r="AB15" i="132" s="1"/>
  <c r="F623" i="121"/>
  <c r="C623" i="121"/>
  <c r="J623" i="121" s="1"/>
  <c r="N623" i="121" s="1"/>
  <c r="Y16" i="132"/>
  <c r="D64" i="133" s="1" a="1"/>
  <c r="D64" i="133" s="1"/>
  <c r="K64" i="133" s="1"/>
  <c r="CC12" i="132"/>
  <c r="AD122" i="111"/>
  <c r="AE122" i="111" s="1"/>
  <c r="AE146" i="111" s="1"/>
  <c r="O321" i="187"/>
  <c r="Z20" i="121" s="1"/>
  <c r="O193" i="187"/>
  <c r="O194" i="187" s="1"/>
  <c r="O355" i="187" s="1"/>
  <c r="C46" i="121" s="1"/>
  <c r="C49" i="121" s="1"/>
  <c r="D156" i="111" s="1"/>
  <c r="E585" i="121"/>
  <c r="F613" i="121" s="1"/>
  <c r="E587" i="121"/>
  <c r="F615" i="121" s="1"/>
  <c r="E584" i="121"/>
  <c r="F612" i="121" s="1"/>
  <c r="E586" i="121"/>
  <c r="F614" i="121" s="1"/>
  <c r="E588" i="121"/>
  <c r="DG90" i="183"/>
  <c r="DH90" i="183" s="1"/>
  <c r="DJ90" i="183" s="1"/>
  <c r="DN90" i="183" s="1"/>
  <c r="AF11" i="132"/>
  <c r="N11" i="132" s="1"/>
  <c r="E25" i="159"/>
  <c r="FF103" i="183"/>
  <c r="FG103" i="183" s="1"/>
  <c r="FI103" i="183" s="1"/>
  <c r="J563" i="98"/>
  <c r="AD85" i="111"/>
  <c r="AE85" i="111" s="1"/>
  <c r="AE109" i="111" s="1"/>
  <c r="DX90" i="183"/>
  <c r="DY90" i="183" s="1"/>
  <c r="EA90" i="183" s="1"/>
  <c r="EE90" i="183" s="1"/>
  <c r="EL91" i="183"/>
  <c r="EK91" i="183"/>
  <c r="EN91" i="183" s="1"/>
  <c r="EM91" i="183"/>
  <c r="EQ91" i="183"/>
  <c r="O222" i="187" l="1"/>
  <c r="O227" i="187" s="1"/>
  <c r="O336" i="187"/>
  <c r="Z35" i="121" s="1"/>
  <c r="H156" i="111"/>
  <c r="G156" i="111"/>
  <c r="E156" i="111"/>
  <c r="T26" i="111"/>
  <c r="CC15" i="132"/>
  <c r="D82" i="133" a="1"/>
  <c r="D82" i="133" s="1"/>
  <c r="K82" i="133" s="1"/>
  <c r="J28" i="204" s="1"/>
  <c r="F616" i="121"/>
  <c r="F622" i="121"/>
  <c r="F621" i="121"/>
  <c r="F618" i="121"/>
  <c r="E594" i="121"/>
  <c r="F619" i="121"/>
  <c r="F620" i="121" s="1"/>
  <c r="J45" i="203"/>
  <c r="J28" i="168"/>
  <c r="D159" i="111"/>
  <c r="E159" i="111" s="1"/>
  <c r="E183" i="111" s="1"/>
  <c r="E593" i="121"/>
  <c r="DK90" i="183"/>
  <c r="DL90" i="183" s="1"/>
  <c r="DM90" i="183" s="1" a="1"/>
  <c r="DM90" i="183" s="1"/>
  <c r="DB91" i="183" s="1"/>
  <c r="DE91" i="183" s="1"/>
  <c r="T20" i="111"/>
  <c r="FJ103" i="183"/>
  <c r="FK103" i="183" s="1"/>
  <c r="FL103" i="183" s="1" a="1"/>
  <c r="FL103" i="183" s="1"/>
  <c r="FM103" i="183"/>
  <c r="FG34" i="183" s="1"/>
  <c r="EB90" i="183"/>
  <c r="EC90" i="183" s="1"/>
  <c r="ED90" i="183" s="1" a="1"/>
  <c r="ED90" i="183" s="1"/>
  <c r="DS91" i="183" s="1"/>
  <c r="DU91" i="183" s="1"/>
  <c r="EO91" i="183"/>
  <c r="EP91" i="183" s="1"/>
  <c r="ER91" i="183" s="1"/>
  <c r="O230" i="187" l="1"/>
  <c r="O231" i="187" s="1"/>
  <c r="O232" i="187" s="1"/>
  <c r="O357" i="187" s="1"/>
  <c r="C48" i="121" s="1"/>
  <c r="C50" i="121" s="1"/>
  <c r="O339" i="187"/>
  <c r="Z38" i="121" s="1"/>
  <c r="C591" i="121" s="1"/>
  <c r="E591" i="121" s="1"/>
  <c r="AF14" i="132"/>
  <c r="N14" i="132" s="1"/>
  <c r="U25" i="159"/>
  <c r="T29" i="111"/>
  <c r="J50" i="203"/>
  <c r="DI91" i="183"/>
  <c r="DD91" i="183"/>
  <c r="DC91" i="183"/>
  <c r="DF91" i="183" s="1"/>
  <c r="T25" i="159"/>
  <c r="AF12" i="132"/>
  <c r="N12" i="132" s="1"/>
  <c r="FG35" i="183"/>
  <c r="FG39" i="183"/>
  <c r="X7" i="183" s="1"/>
  <c r="FG44" i="183"/>
  <c r="FG38" i="183"/>
  <c r="FG40" i="183"/>
  <c r="X8" i="183" s="1"/>
  <c r="FG43" i="183"/>
  <c r="X11" i="183" s="1"/>
  <c r="X2" i="183"/>
  <c r="DV91" i="183"/>
  <c r="DZ91" i="183"/>
  <c r="DT91" i="183"/>
  <c r="DW91" i="183" s="1"/>
  <c r="DX91" i="183" s="1"/>
  <c r="EV91" i="183"/>
  <c r="ES91" i="183"/>
  <c r="ET91" i="183" s="1"/>
  <c r="EU91" i="183" s="1" a="1"/>
  <c r="EU91" i="183" s="1"/>
  <c r="EJ92" i="183" s="1"/>
  <c r="AD156" i="111" l="1"/>
  <c r="CC16" i="132"/>
  <c r="AD159" i="111"/>
  <c r="AE159" i="111" s="1"/>
  <c r="AE183" i="111" s="1"/>
  <c r="T32" i="111" s="1"/>
  <c r="G25" i="159"/>
  <c r="AF15" i="132"/>
  <c r="N15" i="132" s="1"/>
  <c r="D36" i="133" a="1"/>
  <c r="D36" i="133" s="1"/>
  <c r="K36" i="133" s="1"/>
  <c r="DG91" i="183"/>
  <c r="DH91" i="183" s="1"/>
  <c r="DJ91" i="183" s="1"/>
  <c r="DN91" i="183" s="1"/>
  <c r="X6" i="183"/>
  <c r="FG46" i="183"/>
  <c r="X12" i="183"/>
  <c r="FG36" i="183"/>
  <c r="X3" i="183"/>
  <c r="DY91" i="183"/>
  <c r="EA91" i="183" s="1"/>
  <c r="EB91" i="183" s="1"/>
  <c r="EC91" i="183" s="1"/>
  <c r="ED91" i="183" s="1" a="1"/>
  <c r="ED91" i="183" s="1"/>
  <c r="DS92" i="183" s="1"/>
  <c r="EQ92" i="183"/>
  <c r="EK92" i="183"/>
  <c r="EN92" i="183" s="1"/>
  <c r="EM92" i="183"/>
  <c r="EL92" i="183"/>
  <c r="V25" i="159" l="1"/>
  <c r="AF16" i="132"/>
  <c r="N16" i="132" s="1"/>
  <c r="AE156" i="111"/>
  <c r="AH156" i="111"/>
  <c r="AG156" i="111"/>
  <c r="J24" i="138"/>
  <c r="K50" i="133"/>
  <c r="J32" i="203" s="1"/>
  <c r="DK91" i="183"/>
  <c r="DL91" i="183" s="1"/>
  <c r="DM91" i="183" s="1" a="1"/>
  <c r="DM91" i="183" s="1"/>
  <c r="DB92" i="183" s="1"/>
  <c r="DI92" i="183" s="1"/>
  <c r="X14" i="183"/>
  <c r="FG51" i="183"/>
  <c r="X19" i="183" s="1"/>
  <c r="AR60" i="187" s="1"/>
  <c r="AR360" i="187" s="1"/>
  <c r="C46" i="152" s="1"/>
  <c r="FG37" i="183"/>
  <c r="FG48" i="183"/>
  <c r="X4" i="183"/>
  <c r="EE91" i="183"/>
  <c r="EO92" i="183"/>
  <c r="EP92" i="183" s="1"/>
  <c r="ER92" i="183" s="1"/>
  <c r="DU92" i="183"/>
  <c r="DV92" i="183"/>
  <c r="DZ92" i="183"/>
  <c r="DT92" i="183"/>
  <c r="DW92" i="183" s="1"/>
  <c r="C5" i="152" l="1"/>
  <c r="DC92" i="183"/>
  <c r="DF92" i="183" s="1"/>
  <c r="DE92" i="183"/>
  <c r="DD92" i="183"/>
  <c r="X5" i="183"/>
  <c r="FG49" i="183"/>
  <c r="X17" i="183" s="1"/>
  <c r="AR58" i="187" s="1"/>
  <c r="P60" i="145" s="1"/>
  <c r="FG41" i="183"/>
  <c r="X9" i="183" s="1"/>
  <c r="X16" i="183"/>
  <c r="AR57" i="187" s="1"/>
  <c r="FG42" i="183"/>
  <c r="BA129" i="204"/>
  <c r="BA144" i="205"/>
  <c r="BA125" i="204"/>
  <c r="BA140" i="205"/>
  <c r="BA127" i="204"/>
  <c r="BA142" i="205"/>
  <c r="BA104" i="137"/>
  <c r="BA101" i="203"/>
  <c r="BA106" i="137"/>
  <c r="BA103" i="203"/>
  <c r="BA108" i="137"/>
  <c r="BA105" i="203"/>
  <c r="ES92" i="183"/>
  <c r="ET92" i="183" s="1"/>
  <c r="EU92" i="183" s="1" a="1"/>
  <c r="EU92" i="183" s="1"/>
  <c r="EJ93" i="183" s="1"/>
  <c r="EK93" i="183" s="1"/>
  <c r="EN93" i="183" s="1"/>
  <c r="EV92" i="183"/>
  <c r="DX92" i="183"/>
  <c r="DY92" i="183" s="1"/>
  <c r="EA92" i="183" s="1"/>
  <c r="D487" i="111" l="1"/>
  <c r="CB32" i="132"/>
  <c r="CB33" i="132"/>
  <c r="T3" i="152"/>
  <c r="C331" i="152" s="1"/>
  <c r="DG92" i="183"/>
  <c r="DH92" i="183" s="1"/>
  <c r="DJ92" i="183" s="1"/>
  <c r="DK92" i="183" s="1"/>
  <c r="DL92" i="183" s="1"/>
  <c r="DM92" i="183" s="1" a="1"/>
  <c r="DM92" i="183" s="1"/>
  <c r="DB93" i="183" s="1"/>
  <c r="DD93" i="183" s="1"/>
  <c r="AR262" i="187"/>
  <c r="T38" i="152" s="1"/>
  <c r="C471" i="152" s="1"/>
  <c r="AR307" i="187"/>
  <c r="Z5" i="152" s="1"/>
  <c r="AR308" i="187"/>
  <c r="Z6" i="152" s="1"/>
  <c r="AR263" i="187"/>
  <c r="T39" i="152" s="1"/>
  <c r="C470" i="152" s="1"/>
  <c r="AR350" i="187"/>
  <c r="C55" i="152" s="1"/>
  <c r="FG47" i="183"/>
  <c r="X15" i="183" s="1"/>
  <c r="X10" i="183"/>
  <c r="FG45" i="183"/>
  <c r="EQ93" i="183"/>
  <c r="EL93" i="183"/>
  <c r="EO93" i="183" s="1"/>
  <c r="EM93" i="183"/>
  <c r="EB92" i="183"/>
  <c r="EC92" i="183" s="1"/>
  <c r="ED92" i="183" s="1" a="1"/>
  <c r="ED92" i="183" s="1"/>
  <c r="DS93" i="183" s="1"/>
  <c r="EE92" i="183"/>
  <c r="H487" i="111" l="1"/>
  <c r="H516" i="111" s="1"/>
  <c r="G487" i="111"/>
  <c r="E487" i="111"/>
  <c r="I487" i="111"/>
  <c r="I516" i="111" s="1"/>
  <c r="I518" i="111" s="1"/>
  <c r="W80" i="111"/>
  <c r="AI32" i="132" s="1"/>
  <c r="Q32" i="132" s="1"/>
  <c r="AD487" i="111"/>
  <c r="DN92" i="183"/>
  <c r="DE93" i="183"/>
  <c r="DI93" i="183"/>
  <c r="DC93" i="183"/>
  <c r="DF93" i="183" s="1"/>
  <c r="DG93" i="183" s="1"/>
  <c r="FG50" i="183"/>
  <c r="X18" i="183" s="1"/>
  <c r="AR59" i="187" s="1"/>
  <c r="AQ72" i="187" s="1"/>
  <c r="AR261" i="187" s="1"/>
  <c r="X13" i="183"/>
  <c r="EP93" i="183"/>
  <c r="ER93" i="183" s="1"/>
  <c r="EV93" i="183" s="1"/>
  <c r="AD124" i="111"/>
  <c r="AF124" i="111" s="1"/>
  <c r="AF146" i="111" s="1"/>
  <c r="AF148" i="111" s="1"/>
  <c r="DU93" i="183"/>
  <c r="DT93" i="183"/>
  <c r="DW93" i="183" s="1"/>
  <c r="DV93" i="183"/>
  <c r="DZ93" i="183"/>
  <c r="AG487" i="111" l="1"/>
  <c r="AI487" i="111"/>
  <c r="AI516" i="111" s="1"/>
  <c r="AI518" i="111" s="1"/>
  <c r="AH487" i="111"/>
  <c r="AH516" i="111" s="1"/>
  <c r="W83" i="111" s="1"/>
  <c r="AE487" i="111"/>
  <c r="DH93" i="183"/>
  <c r="DJ93" i="183" s="1"/>
  <c r="DK93" i="183" s="1"/>
  <c r="DL93" i="183" s="1"/>
  <c r="DM93" i="183" s="1" a="1"/>
  <c r="DM93" i="183" s="1"/>
  <c r="DB94" i="183" s="1"/>
  <c r="DI94" i="183" s="1"/>
  <c r="T37" i="152"/>
  <c r="AQ74" i="187"/>
  <c r="AR264" i="187" s="1"/>
  <c r="AQ75" i="187"/>
  <c r="AR265" i="187" s="1"/>
  <c r="AP90" i="187"/>
  <c r="AQ90" i="187" s="1"/>
  <c r="AQ73" i="187"/>
  <c r="AQ76" i="187"/>
  <c r="AR266" i="187" s="1"/>
  <c r="U23" i="111"/>
  <c r="U26" i="111"/>
  <c r="ES93" i="183"/>
  <c r="ET93" i="183" s="1"/>
  <c r="EU93" i="183" s="1" a="1"/>
  <c r="EU93" i="183" s="1"/>
  <c r="EJ94" i="183" s="1"/>
  <c r="EK94" i="183" s="1"/>
  <c r="EN94" i="183" s="1"/>
  <c r="DX93" i="183"/>
  <c r="DY93" i="183" s="1"/>
  <c r="EA93" i="183" s="1"/>
  <c r="AI33" i="132" l="1"/>
  <c r="Q33" i="132" s="1"/>
  <c r="AG14" i="132"/>
  <c r="O14" i="132" s="1"/>
  <c r="AG13" i="132"/>
  <c r="O13" i="132" s="1"/>
  <c r="AP89" i="187"/>
  <c r="AQ89" i="187" s="1"/>
  <c r="P21" i="145"/>
  <c r="AE21" i="145" s="1"/>
  <c r="C561" i="152"/>
  <c r="E561" i="152" s="1"/>
  <c r="C705" i="152"/>
  <c r="E705" i="152" s="1"/>
  <c r="DE94" i="183"/>
  <c r="DC94" i="183"/>
  <c r="DF94" i="183" s="1"/>
  <c r="DD94" i="183"/>
  <c r="DN93" i="183"/>
  <c r="AQ78" i="187"/>
  <c r="T41" i="152"/>
  <c r="T40" i="152"/>
  <c r="AQ77" i="187"/>
  <c r="AQ79" i="187"/>
  <c r="T42" i="152"/>
  <c r="EQ94" i="183"/>
  <c r="EM94" i="183"/>
  <c r="EL94" i="183"/>
  <c r="EO94" i="183" s="1"/>
  <c r="EE93" i="183"/>
  <c r="EB93" i="183"/>
  <c r="EC93" i="183" s="1"/>
  <c r="ED93" i="183" s="1" a="1"/>
  <c r="ED93" i="183" s="1"/>
  <c r="DS94" i="183" s="1"/>
  <c r="C456" i="121"/>
  <c r="E456" i="121" s="1"/>
  <c r="CJ33" i="132" l="1"/>
  <c r="CJ32" i="132"/>
  <c r="CL32" i="132"/>
  <c r="CL33" i="132"/>
  <c r="CK33" i="132"/>
  <c r="CK32" i="132"/>
  <c r="DG94" i="183"/>
  <c r="DH94" i="183" s="1"/>
  <c r="DJ94" i="183" s="1"/>
  <c r="DK94" i="183" s="1"/>
  <c r="DL94" i="183" s="1"/>
  <c r="DM94" i="183" s="1" a="1"/>
  <c r="DM94" i="183" s="1"/>
  <c r="DB95" i="183" s="1"/>
  <c r="DE95" i="183" s="1"/>
  <c r="C708" i="152"/>
  <c r="E708" i="152" s="1"/>
  <c r="C564" i="152"/>
  <c r="E564" i="152" s="1"/>
  <c r="C706" i="152"/>
  <c r="E706" i="152" s="1"/>
  <c r="C562" i="152"/>
  <c r="E562" i="152" s="1"/>
  <c r="C707" i="152"/>
  <c r="E707" i="152" s="1"/>
  <c r="C563" i="152"/>
  <c r="E563" i="152" s="1"/>
  <c r="AQ91" i="187"/>
  <c r="AQ94" i="187" s="1"/>
  <c r="AP91" i="187"/>
  <c r="AP92" i="187"/>
  <c r="AQ92" i="187"/>
  <c r="EP94" i="183"/>
  <c r="ER94" i="183" s="1"/>
  <c r="EV94" i="183" s="1"/>
  <c r="DZ94" i="183"/>
  <c r="DU94" i="183"/>
  <c r="DV94" i="183"/>
  <c r="DT94" i="183"/>
  <c r="DW94" i="183" s="1"/>
  <c r="DN94" i="183" l="1"/>
  <c r="DC95" i="183"/>
  <c r="DF95" i="183" s="1"/>
  <c r="DI95" i="183"/>
  <c r="DD95" i="183"/>
  <c r="AP95" i="187"/>
  <c r="AQ95" i="187"/>
  <c r="AQ101" i="187" s="1"/>
  <c r="AP94" i="187"/>
  <c r="ES94" i="183"/>
  <c r="ET94" i="183" s="1"/>
  <c r="EU94" i="183" s="1" a="1"/>
  <c r="EU94" i="183" s="1"/>
  <c r="EJ95" i="183" s="1"/>
  <c r="EQ95" i="183" s="1"/>
  <c r="DX94" i="183"/>
  <c r="DY94" i="183" s="1"/>
  <c r="EA94" i="183" s="1"/>
  <c r="AP101" i="187" l="1"/>
  <c r="AP102" i="187" s="1"/>
  <c r="AP105" i="187" s="1"/>
  <c r="AP125" i="187" s="1"/>
  <c r="DG95" i="183"/>
  <c r="DH95" i="183" s="1"/>
  <c r="DJ95" i="183" s="1"/>
  <c r="DK95" i="183" s="1"/>
  <c r="DL95" i="183" s="1"/>
  <c r="DM95" i="183" s="1" a="1"/>
  <c r="DM95" i="183" s="1"/>
  <c r="DB96" i="183" s="1"/>
  <c r="AQ120" i="187"/>
  <c r="AQ103" i="187"/>
  <c r="AQ106" i="187" s="1"/>
  <c r="AQ126" i="187" s="1"/>
  <c r="AQ102" i="187"/>
  <c r="AQ105" i="187" s="1"/>
  <c r="AQ125" i="187" s="1"/>
  <c r="AQ111" i="187"/>
  <c r="EL95" i="183"/>
  <c r="EM95" i="183"/>
  <c r="EK95" i="183"/>
  <c r="EN95" i="183" s="1"/>
  <c r="EE94" i="183"/>
  <c r="EB94" i="183"/>
  <c r="EC94" i="183" s="1"/>
  <c r="ED94" i="183" s="1" a="1"/>
  <c r="ED94" i="183" s="1"/>
  <c r="DS95" i="183" s="1"/>
  <c r="AP120" i="187" l="1"/>
  <c r="AP103" i="187"/>
  <c r="AR138" i="187"/>
  <c r="AP111" i="187"/>
  <c r="AP113" i="187" s="1"/>
  <c r="DN95" i="183"/>
  <c r="AP108" i="187"/>
  <c r="AP106" i="187"/>
  <c r="AP126" i="187" s="1"/>
  <c r="AQ109" i="187"/>
  <c r="AQ108" i="187"/>
  <c r="DC96" i="183"/>
  <c r="DF96" i="183" s="1"/>
  <c r="DE96" i="183"/>
  <c r="DI96" i="183"/>
  <c r="DD96" i="183"/>
  <c r="EO95" i="183"/>
  <c r="EP95" i="183" s="1"/>
  <c r="ER95" i="183" s="1"/>
  <c r="ES95" i="183" s="1"/>
  <c r="ET95" i="183" s="1"/>
  <c r="EU95" i="183" s="1" a="1"/>
  <c r="EU95" i="183" s="1"/>
  <c r="EJ96" i="183" s="1"/>
  <c r="EK96" i="183" s="1"/>
  <c r="EN96" i="183" s="1"/>
  <c r="DT95" i="183"/>
  <c r="DW95" i="183" s="1"/>
  <c r="DV95" i="183"/>
  <c r="DU95" i="183"/>
  <c r="DZ95" i="183"/>
  <c r="P37" i="145" l="1"/>
  <c r="AE37" i="145" s="1"/>
  <c r="AR139" i="187"/>
  <c r="AQ113" i="187"/>
  <c r="F140" i="190" s="1"/>
  <c r="F141" i="190" s="1"/>
  <c r="AR267" i="187"/>
  <c r="T43" i="152" s="1"/>
  <c r="C685" i="152" s="1"/>
  <c r="AP114" i="187"/>
  <c r="AP115" i="187" s="1"/>
  <c r="AP118" i="187" s="1"/>
  <c r="AR136" i="187" s="1"/>
  <c r="AR137" i="187" s="1"/>
  <c r="AR268" i="187" s="1"/>
  <c r="AR269" i="187"/>
  <c r="T45" i="152" s="1"/>
  <c r="AP109" i="187"/>
  <c r="DG96" i="183"/>
  <c r="DH96" i="183" s="1"/>
  <c r="DJ96" i="183" s="1"/>
  <c r="DK96" i="183" s="1"/>
  <c r="DL96" i="183" s="1"/>
  <c r="DM96" i="183" s="1" a="1"/>
  <c r="DM96" i="183" s="1"/>
  <c r="DB97" i="183" s="1"/>
  <c r="EL96" i="183"/>
  <c r="EO96" i="183" s="1"/>
  <c r="EQ96" i="183"/>
  <c r="EM96" i="183"/>
  <c r="EV95" i="183"/>
  <c r="DX95" i="183"/>
  <c r="DY95" i="183" s="1"/>
  <c r="EA95" i="183" s="1"/>
  <c r="AR351" i="187" l="1"/>
  <c r="C56" i="152" s="1"/>
  <c r="AQ114" i="187"/>
  <c r="AQ115" i="187" s="1"/>
  <c r="AQ118" i="187" s="1"/>
  <c r="AQ119" i="187" s="1"/>
  <c r="AQ142" i="187" s="1"/>
  <c r="AQ167" i="187" s="1"/>
  <c r="AR273" i="187" s="1"/>
  <c r="AR370" i="187"/>
  <c r="C80" i="152" s="1"/>
  <c r="AR371" i="187"/>
  <c r="C81" i="152" s="1"/>
  <c r="C548" i="152"/>
  <c r="E548" i="152" s="1"/>
  <c r="AR113" i="187"/>
  <c r="G140" i="190" s="1"/>
  <c r="G141" i="190" s="1"/>
  <c r="AP119" i="187"/>
  <c r="AP117" i="187"/>
  <c r="AP116" i="187"/>
  <c r="C550" i="152"/>
  <c r="E550" i="152" s="1"/>
  <c r="C687" i="152"/>
  <c r="E687" i="152" s="1"/>
  <c r="E685" i="152"/>
  <c r="C741" i="152" s="1"/>
  <c r="F807" i="152"/>
  <c r="E808" i="152" s="1"/>
  <c r="AR348" i="187"/>
  <c r="C41" i="152" s="1"/>
  <c r="C6" i="152" s="1"/>
  <c r="T44" i="152"/>
  <c r="DN96" i="183"/>
  <c r="DE97" i="183"/>
  <c r="DD97" i="183"/>
  <c r="DC97" i="183"/>
  <c r="DF97" i="183" s="1"/>
  <c r="DI97" i="183"/>
  <c r="EP96" i="183"/>
  <c r="ER96" i="183" s="1"/>
  <c r="ES96" i="183" s="1"/>
  <c r="ET96" i="183" s="1"/>
  <c r="EU96" i="183" s="1" a="1"/>
  <c r="EU96" i="183" s="1"/>
  <c r="EJ97" i="183" s="1"/>
  <c r="EL97" i="183" s="1"/>
  <c r="BD127" i="204"/>
  <c r="BD142" i="205"/>
  <c r="BD129" i="204"/>
  <c r="BD144" i="205"/>
  <c r="BD106" i="137"/>
  <c r="BD103" i="203"/>
  <c r="BD108" i="137"/>
  <c r="BD105" i="203"/>
  <c r="EB95" i="183"/>
  <c r="EC95" i="183" s="1"/>
  <c r="ED95" i="183" s="1" a="1"/>
  <c r="ED95" i="183" s="1"/>
  <c r="DS96" i="183" s="1"/>
  <c r="EE95" i="183"/>
  <c r="D488" i="111" l="1"/>
  <c r="C588" i="152"/>
  <c r="J588" i="152" s="1"/>
  <c r="N588" i="152" s="1"/>
  <c r="O588" i="152" s="1"/>
  <c r="CA33" i="132"/>
  <c r="CA32" i="132"/>
  <c r="AQ179" i="187"/>
  <c r="AR282" i="187" s="1"/>
  <c r="T58" i="152" s="1"/>
  <c r="AQ117" i="187"/>
  <c r="P30" i="145" s="1"/>
  <c r="P4" i="159" s="1"/>
  <c r="P7" i="159" s="1"/>
  <c r="AQ116" i="187"/>
  <c r="AQ143" i="187" s="1"/>
  <c r="AQ200" i="187" s="1"/>
  <c r="AQ202" i="187" s="1"/>
  <c r="AR375" i="187"/>
  <c r="C85" i="152" s="1"/>
  <c r="AR114" i="187"/>
  <c r="AR115" i="187" s="1"/>
  <c r="AR116" i="187" s="1"/>
  <c r="AR143" i="187" s="1"/>
  <c r="AR200" i="187" s="1"/>
  <c r="AR202" i="187" s="1"/>
  <c r="AR374" i="187"/>
  <c r="C84" i="152" s="1"/>
  <c r="AR352" i="187"/>
  <c r="C57" i="152" s="1"/>
  <c r="J741" i="152"/>
  <c r="N741" i="152" s="1"/>
  <c r="C549" i="152"/>
  <c r="E549" i="152" s="1"/>
  <c r="F603" i="152" s="1"/>
  <c r="C686" i="152"/>
  <c r="K760" i="152"/>
  <c r="K603" i="152"/>
  <c r="T49" i="152"/>
  <c r="AQ168" i="187"/>
  <c r="AQ169" i="187" s="1"/>
  <c r="AQ171" i="187"/>
  <c r="AQ173" i="187"/>
  <c r="AR274" i="187" s="1"/>
  <c r="DG97" i="183"/>
  <c r="DH97" i="183" s="1"/>
  <c r="DJ97" i="183" s="1"/>
  <c r="EV96" i="183"/>
  <c r="BD125" i="204"/>
  <c r="BD140" i="205"/>
  <c r="BD104" i="137"/>
  <c r="BD101" i="203"/>
  <c r="EQ97" i="183"/>
  <c r="EK97" i="183"/>
  <c r="EN97" i="183" s="1"/>
  <c r="EO97" i="183" s="1"/>
  <c r="EM97" i="183"/>
  <c r="DU96" i="183"/>
  <c r="DT96" i="183"/>
  <c r="DW96" i="183" s="1"/>
  <c r="DZ96" i="183"/>
  <c r="DV96" i="183"/>
  <c r="G488" i="111" l="1"/>
  <c r="H488" i="111"/>
  <c r="AD488" i="111"/>
  <c r="AQ203" i="187"/>
  <c r="AR203" i="187"/>
  <c r="AQ183" i="187"/>
  <c r="AR283" i="187" s="1"/>
  <c r="T59" i="152" s="1"/>
  <c r="C559" i="152" s="1"/>
  <c r="E559" i="152" s="1"/>
  <c r="AQ180" i="187"/>
  <c r="AQ181" i="187" s="1"/>
  <c r="AR280" i="187" s="1"/>
  <c r="T56" i="152" s="1"/>
  <c r="AQ182" i="187"/>
  <c r="AR300" i="187"/>
  <c r="T76" i="152" s="1"/>
  <c r="C526" i="152" s="1"/>
  <c r="D651" i="152" s="1"/>
  <c r="AR118" i="187"/>
  <c r="AR119" i="187" s="1"/>
  <c r="AR142" i="187" s="1"/>
  <c r="AR179" i="187" s="1"/>
  <c r="AR324" i="187" s="1"/>
  <c r="Z22" i="152" s="1"/>
  <c r="AE30" i="145"/>
  <c r="AE4" i="159" s="1"/>
  <c r="AE7" i="159" s="1"/>
  <c r="AE16" i="159" s="1"/>
  <c r="AR117" i="187"/>
  <c r="P32" i="145" s="1"/>
  <c r="P6" i="159" s="1"/>
  <c r="P9" i="159" s="1"/>
  <c r="P20" i="159" s="1"/>
  <c r="P16" i="159"/>
  <c r="O741" i="152"/>
  <c r="L760" i="152"/>
  <c r="E686" i="152"/>
  <c r="F760" i="152" s="1"/>
  <c r="F812" i="152"/>
  <c r="E813" i="152" s="1"/>
  <c r="L603" i="152"/>
  <c r="C557" i="152"/>
  <c r="E557" i="152" s="1"/>
  <c r="C945" i="152"/>
  <c r="F612" i="152"/>
  <c r="N848" i="152" s="1"/>
  <c r="K231" i="141" s="1"/>
  <c r="G603" i="152"/>
  <c r="C556" i="152"/>
  <c r="E556" i="152" s="1"/>
  <c r="C944" i="152"/>
  <c r="AR275" i="187"/>
  <c r="T51" i="152" s="1"/>
  <c r="AQ170" i="187"/>
  <c r="AQ189" i="187" s="1"/>
  <c r="AQ192" i="187" s="1"/>
  <c r="AR279" i="187" s="1"/>
  <c r="T50" i="152"/>
  <c r="C560" i="152" s="1"/>
  <c r="E560" i="152" s="1"/>
  <c r="AQ174" i="187"/>
  <c r="DK97" i="183"/>
  <c r="DL97" i="183" s="1"/>
  <c r="DM97" i="183" s="1" a="1"/>
  <c r="DM97" i="183" s="1"/>
  <c r="DB98" i="183" s="1"/>
  <c r="DN97" i="183"/>
  <c r="U29" i="111"/>
  <c r="AD161" i="111"/>
  <c r="AF161" i="111" s="1"/>
  <c r="AF183" i="111" s="1"/>
  <c r="AF185" i="111" s="1"/>
  <c r="EP97" i="183"/>
  <c r="ER97" i="183" s="1"/>
  <c r="EV97" i="183" s="1"/>
  <c r="DX96" i="183"/>
  <c r="DY96" i="183" s="1"/>
  <c r="EA96" i="183" s="1"/>
  <c r="AG488" i="111" l="1"/>
  <c r="AH488" i="111"/>
  <c r="AG15" i="132"/>
  <c r="O15" i="132" s="1"/>
  <c r="C524" i="152"/>
  <c r="C641" i="152" s="1"/>
  <c r="C642" i="152" s="1"/>
  <c r="C664" i="152"/>
  <c r="AQ204" i="187"/>
  <c r="AQ225" i="187" s="1"/>
  <c r="AQ184" i="187"/>
  <c r="AR167" i="187"/>
  <c r="AR315" i="187" s="1"/>
  <c r="Z13" i="152" s="1"/>
  <c r="C571" i="152" s="1"/>
  <c r="E571" i="152" s="1"/>
  <c r="AR204" i="187"/>
  <c r="AR180" i="187"/>
  <c r="AR181" i="187" s="1"/>
  <c r="AR322" i="187" s="1"/>
  <c r="Z20" i="152" s="1"/>
  <c r="AR182" i="187"/>
  <c r="AR183" i="187"/>
  <c r="AR325" i="187" s="1"/>
  <c r="Z23" i="152" s="1"/>
  <c r="C573" i="152" s="1"/>
  <c r="E573" i="152" s="1"/>
  <c r="C665" i="152"/>
  <c r="C663" i="152"/>
  <c r="C802" i="152" s="1"/>
  <c r="C803" i="152" s="1"/>
  <c r="C525" i="152"/>
  <c r="D646" i="152" s="1"/>
  <c r="C651" i="152"/>
  <c r="C652" i="152" s="1"/>
  <c r="AE32" i="145"/>
  <c r="AE6" i="159" s="1"/>
  <c r="AE9" i="159" s="1"/>
  <c r="AE20" i="159" s="1"/>
  <c r="AR301" i="187"/>
  <c r="T77" i="152" s="1"/>
  <c r="C528" i="152" s="1"/>
  <c r="F646" i="152" s="1"/>
  <c r="E647" i="152" s="1"/>
  <c r="P18" i="159"/>
  <c r="BQ33" i="132" a="1"/>
  <c r="BQ33" i="132" s="1"/>
  <c r="BS32" i="132" a="1"/>
  <c r="BS32" i="132" s="1"/>
  <c r="BQ32" i="132" a="1"/>
  <c r="BQ32" i="132" s="1"/>
  <c r="G760" i="152"/>
  <c r="F773" i="152"/>
  <c r="N880" i="152" s="1"/>
  <c r="K241" i="141" s="1"/>
  <c r="C972" i="152"/>
  <c r="C570" i="152"/>
  <c r="E570" i="152" s="1"/>
  <c r="G612" i="152"/>
  <c r="O848" i="152" s="1"/>
  <c r="L231" i="141" s="1"/>
  <c r="O603" i="152"/>
  <c r="AQ190" i="187"/>
  <c r="AQ191" i="187" s="1"/>
  <c r="AR277" i="187" s="1"/>
  <c r="T53" i="152" s="1"/>
  <c r="AR278" i="187"/>
  <c r="T54" i="152" s="1"/>
  <c r="AQ193" i="187"/>
  <c r="T55" i="152"/>
  <c r="C558" i="152" s="1"/>
  <c r="E558" i="152" s="1"/>
  <c r="U32" i="111"/>
  <c r="DD98" i="183"/>
  <c r="DE98" i="183"/>
  <c r="DI98" i="183"/>
  <c r="DC98" i="183"/>
  <c r="DF98" i="183" s="1"/>
  <c r="ES97" i="183"/>
  <c r="ET97" i="183" s="1"/>
  <c r="EU97" i="183" s="1" a="1"/>
  <c r="EU97" i="183" s="1"/>
  <c r="EJ98" i="183" s="1"/>
  <c r="EL98" i="183" s="1"/>
  <c r="EB96" i="183"/>
  <c r="EC96" i="183" s="1"/>
  <c r="ED96" i="183" s="1" a="1"/>
  <c r="ED96" i="183" s="1"/>
  <c r="DS97" i="183" s="1"/>
  <c r="EE96" i="183"/>
  <c r="AR205" i="187" l="1"/>
  <c r="AR225" i="187"/>
  <c r="AR337" i="187" s="1"/>
  <c r="AR206" i="187"/>
  <c r="AR207" i="187" s="1"/>
  <c r="AR212" i="187"/>
  <c r="BS33" i="132" a="1"/>
  <c r="BS33" i="132" s="1"/>
  <c r="BO32" i="132" a="1"/>
  <c r="BO32" i="132" s="1"/>
  <c r="AG16" i="132"/>
  <c r="O16" i="132" s="1"/>
  <c r="AR295" i="187"/>
  <c r="T71" i="152" s="1"/>
  <c r="C692" i="152" s="1"/>
  <c r="C696" i="152" s="1"/>
  <c r="AQ205" i="187"/>
  <c r="AR173" i="187"/>
  <c r="AR316" i="187" s="1"/>
  <c r="Z14" i="152" s="1"/>
  <c r="C574" i="152" s="1"/>
  <c r="E574" i="152" s="1"/>
  <c r="D641" i="152"/>
  <c r="C973" i="152"/>
  <c r="AR171" i="187"/>
  <c r="AR168" i="187"/>
  <c r="AR169" i="187" s="1"/>
  <c r="AR317" i="187" s="1"/>
  <c r="Z15" i="152" s="1"/>
  <c r="AR213" i="187"/>
  <c r="AQ194" i="187"/>
  <c r="AR354" i="187" s="1"/>
  <c r="C61" i="152" s="1"/>
  <c r="D802" i="152"/>
  <c r="AR184" i="187"/>
  <c r="C646" i="152"/>
  <c r="C647" i="152" s="1"/>
  <c r="AE18" i="159"/>
  <c r="C529" i="152"/>
  <c r="F651" i="152" s="1"/>
  <c r="E652" i="152" s="1"/>
  <c r="C668" i="152"/>
  <c r="C666" i="152"/>
  <c r="F802" i="152" s="1"/>
  <c r="E803" i="152" s="1"/>
  <c r="C527" i="152"/>
  <c r="F641" i="152" s="1"/>
  <c r="E642" i="152" s="1"/>
  <c r="C667" i="152"/>
  <c r="C555" i="152"/>
  <c r="E555" i="152" s="1"/>
  <c r="C943" i="152"/>
  <c r="G773" i="152"/>
  <c r="O880" i="152" s="1"/>
  <c r="L241" i="141" s="1"/>
  <c r="O760" i="152"/>
  <c r="Z26" i="152"/>
  <c r="DG98" i="183"/>
  <c r="DH98" i="183" s="1"/>
  <c r="DJ98" i="183" s="1"/>
  <c r="EQ98" i="183"/>
  <c r="EM98" i="183"/>
  <c r="EK98" i="183"/>
  <c r="EN98" i="183" s="1"/>
  <c r="EO98" i="183" s="1"/>
  <c r="DV97" i="183"/>
  <c r="DU97" i="183"/>
  <c r="DZ97" i="183"/>
  <c r="DT97" i="183"/>
  <c r="DW97" i="183" s="1"/>
  <c r="AR209" i="187" l="1"/>
  <c r="AR342" i="187" s="1"/>
  <c r="Z40" i="152" s="1"/>
  <c r="AR219" i="187"/>
  <c r="AR327" i="187"/>
  <c r="Z25" i="152" s="1"/>
  <c r="AR217" i="187"/>
  <c r="C698" i="152"/>
  <c r="C697" i="152"/>
  <c r="AQ206" i="187"/>
  <c r="AQ207" i="187" s="1"/>
  <c r="AQ219" i="187" s="1"/>
  <c r="AQ212" i="187"/>
  <c r="AQ213" i="187" s="1"/>
  <c r="BO33" i="132" a="1"/>
  <c r="BO33" i="132" s="1"/>
  <c r="AR174" i="187"/>
  <c r="AR170" i="187"/>
  <c r="AR189" i="187" s="1"/>
  <c r="AR190" i="187" s="1"/>
  <c r="AR191" i="187" s="1"/>
  <c r="AR319" i="187" s="1"/>
  <c r="Z17" i="152" s="1"/>
  <c r="E698" i="152"/>
  <c r="C693" i="152"/>
  <c r="E693" i="152" s="1"/>
  <c r="C694" i="152"/>
  <c r="E694" i="152" s="1"/>
  <c r="E692" i="152"/>
  <c r="C695" i="152"/>
  <c r="E695" i="152" s="1"/>
  <c r="Z35" i="152"/>
  <c r="C713" i="152" s="1"/>
  <c r="DK98" i="183"/>
  <c r="DL98" i="183" s="1"/>
  <c r="DM98" i="183" s="1" a="1"/>
  <c r="DM98" i="183" s="1"/>
  <c r="DB99" i="183" s="1"/>
  <c r="DN98" i="183"/>
  <c r="EP98" i="183"/>
  <c r="ER98" i="183" s="1"/>
  <c r="ES98" i="183" s="1"/>
  <c r="ET98" i="183" s="1"/>
  <c r="EU98" i="183" s="1" a="1"/>
  <c r="EU98" i="183" s="1"/>
  <c r="EJ99" i="183" s="1"/>
  <c r="DX97" i="183"/>
  <c r="DY97" i="183" s="1"/>
  <c r="EA97" i="183" s="1"/>
  <c r="AQ209" i="187" l="1"/>
  <c r="AR286" i="187" s="1"/>
  <c r="T62" i="152" s="1"/>
  <c r="C717" i="152"/>
  <c r="C719" i="152"/>
  <c r="C718" i="152"/>
  <c r="AR221" i="187"/>
  <c r="AR226" i="187" s="1"/>
  <c r="AR338" i="187" s="1"/>
  <c r="Z36" i="152" s="1"/>
  <c r="C720" i="152" s="1"/>
  <c r="E720" i="152" s="1"/>
  <c r="AR220" i="187"/>
  <c r="AR224" i="187" s="1"/>
  <c r="AR229" i="187" s="1"/>
  <c r="AR341" i="187" s="1"/>
  <c r="Z39" i="152" s="1"/>
  <c r="C725" i="152" s="1"/>
  <c r="E725" i="152" s="1"/>
  <c r="AR218" i="187"/>
  <c r="AR334" i="187"/>
  <c r="Z32" i="152" s="1"/>
  <c r="AR285" i="187"/>
  <c r="T61" i="152" s="1"/>
  <c r="AQ217" i="187"/>
  <c r="AR223" i="187"/>
  <c r="AR228" i="187" s="1"/>
  <c r="AR340" i="187" s="1"/>
  <c r="Z38" i="152" s="1"/>
  <c r="C722" i="152" s="1"/>
  <c r="E722" i="152" s="1"/>
  <c r="AR335" i="187"/>
  <c r="Z33" i="152" s="1"/>
  <c r="AR320" i="187"/>
  <c r="Z18" i="152" s="1"/>
  <c r="C971" i="152" s="1"/>
  <c r="AR192" i="187"/>
  <c r="AR321" i="187" s="1"/>
  <c r="Z19" i="152" s="1"/>
  <c r="C572" i="152" s="1"/>
  <c r="E572" i="152" s="1"/>
  <c r="C1012" i="152"/>
  <c r="E696" i="152"/>
  <c r="E702" i="152" s="1"/>
  <c r="E697" i="152"/>
  <c r="E703" i="152" s="1"/>
  <c r="C1013" i="152"/>
  <c r="E713" i="152"/>
  <c r="C714" i="152"/>
  <c r="C715" i="152"/>
  <c r="C716" i="152"/>
  <c r="C1032" i="152"/>
  <c r="C1033" i="152"/>
  <c r="DC99" i="183"/>
  <c r="DF99" i="183" s="1"/>
  <c r="DD99" i="183"/>
  <c r="DE99" i="183"/>
  <c r="DI99" i="183"/>
  <c r="EV98" i="183"/>
  <c r="EE97" i="183"/>
  <c r="EB97" i="183"/>
  <c r="EC97" i="183" s="1"/>
  <c r="ED97" i="183" s="1" a="1"/>
  <c r="ED97" i="183" s="1"/>
  <c r="DS98" i="183" s="1"/>
  <c r="EM99" i="183"/>
  <c r="EK99" i="183"/>
  <c r="EN99" i="183" s="1"/>
  <c r="EQ99" i="183"/>
  <c r="EL99" i="183"/>
  <c r="AQ218" i="187" l="1"/>
  <c r="AQ220" i="187"/>
  <c r="AQ224" i="187" s="1"/>
  <c r="AQ229" i="187" s="1"/>
  <c r="AR299" i="187" s="1"/>
  <c r="T75" i="152" s="1"/>
  <c r="C704" i="152" s="1"/>
  <c r="E704" i="152" s="1"/>
  <c r="AQ221" i="187"/>
  <c r="AQ226" i="187" s="1"/>
  <c r="AR292" i="187"/>
  <c r="T68" i="152" s="1"/>
  <c r="C674" i="152" s="1"/>
  <c r="AQ223" i="187"/>
  <c r="AQ228" i="187" s="1"/>
  <c r="AR298" i="187" s="1"/>
  <c r="T74" i="152" s="1"/>
  <c r="C701" i="152" s="1"/>
  <c r="E701" i="152" s="1"/>
  <c r="AR293" i="187"/>
  <c r="T69" i="152" s="1"/>
  <c r="C675" i="152" s="1"/>
  <c r="AR222" i="187"/>
  <c r="AR227" i="187" s="1"/>
  <c r="AR336" i="187"/>
  <c r="Z34" i="152" s="1"/>
  <c r="C736" i="152" s="1"/>
  <c r="E736" i="152" s="1"/>
  <c r="AR193" i="187"/>
  <c r="AR194" i="187" s="1"/>
  <c r="AR355" i="187" s="1"/>
  <c r="C62" i="152" s="1"/>
  <c r="C569" i="152"/>
  <c r="E569" i="152" s="1"/>
  <c r="J563" i="152" s="1"/>
  <c r="E714" i="152"/>
  <c r="E715" i="152"/>
  <c r="E716" i="152"/>
  <c r="E717" i="152"/>
  <c r="E723" i="152" s="1"/>
  <c r="E718" i="152"/>
  <c r="E724" i="152" s="1"/>
  <c r="E719" i="152"/>
  <c r="DG99" i="183"/>
  <c r="DH99" i="183" s="1"/>
  <c r="DJ99" i="183" s="1"/>
  <c r="EO99" i="183"/>
  <c r="EP99" i="183" s="1"/>
  <c r="ER99" i="183" s="1"/>
  <c r="EV99" i="183" s="1"/>
  <c r="DT98" i="183"/>
  <c r="DW98" i="183" s="1"/>
  <c r="DU98" i="183"/>
  <c r="DV98" i="183"/>
  <c r="DZ98" i="183"/>
  <c r="AR230" i="187" l="1"/>
  <c r="AR231" i="187" s="1"/>
  <c r="AR232" i="187" s="1"/>
  <c r="AR357" i="187" s="1"/>
  <c r="C64" i="152" s="1"/>
  <c r="AR339" i="187"/>
  <c r="Z37" i="152" s="1"/>
  <c r="C721" i="152" s="1"/>
  <c r="E721" i="152" s="1"/>
  <c r="AR296" i="187"/>
  <c r="T72" i="152" s="1"/>
  <c r="C699" i="152" s="1"/>
  <c r="E699" i="152" s="1"/>
  <c r="AQ222" i="187"/>
  <c r="AQ227" i="187" s="1"/>
  <c r="AR297" i="187" s="1"/>
  <c r="T73" i="152" s="1"/>
  <c r="C700" i="152" s="1"/>
  <c r="E700" i="152" s="1"/>
  <c r="AR294" i="187"/>
  <c r="T70" i="152" s="1"/>
  <c r="J700" i="152"/>
  <c r="DN99" i="183"/>
  <c r="DK99" i="183"/>
  <c r="DL99" i="183" s="1"/>
  <c r="DM99" i="183" s="1" a="1"/>
  <c r="DM99" i="183" s="1"/>
  <c r="DB100" i="183" s="1"/>
  <c r="ES99" i="183"/>
  <c r="ET99" i="183" s="1"/>
  <c r="EU99" i="183" s="1" a="1"/>
  <c r="EU99" i="183" s="1"/>
  <c r="EJ100" i="183" s="1"/>
  <c r="EQ100" i="183" s="1"/>
  <c r="DX98" i="183"/>
  <c r="DY98" i="183" s="1"/>
  <c r="EA98" i="183" s="1"/>
  <c r="AQ230" i="187" l="1"/>
  <c r="AQ231" i="187" s="1"/>
  <c r="AQ232" i="187" s="1"/>
  <c r="AR356" i="187" s="1"/>
  <c r="C63" i="152" s="1"/>
  <c r="DC100" i="183"/>
  <c r="DF100" i="183" s="1"/>
  <c r="DD100" i="183"/>
  <c r="DI100" i="183"/>
  <c r="DE100" i="183"/>
  <c r="EL100" i="183"/>
  <c r="EM100" i="183"/>
  <c r="EK100" i="183"/>
  <c r="EN100" i="183" s="1"/>
  <c r="EB98" i="183"/>
  <c r="EC98" i="183" s="1"/>
  <c r="ED98" i="183" s="1" a="1"/>
  <c r="ED98" i="183" s="1"/>
  <c r="DS99" i="183" s="1"/>
  <c r="EE98" i="183"/>
  <c r="DG100" i="183" l="1"/>
  <c r="DH100" i="183" s="1"/>
  <c r="DJ100" i="183" s="1"/>
  <c r="EO100" i="183"/>
  <c r="EP100" i="183" s="1"/>
  <c r="ER100" i="183" s="1"/>
  <c r="ES100" i="183" s="1"/>
  <c r="ET100" i="183" s="1"/>
  <c r="EU100" i="183" s="1" a="1"/>
  <c r="EU100" i="183" s="1"/>
  <c r="EJ101" i="183" s="1"/>
  <c r="DZ99" i="183"/>
  <c r="DT99" i="183"/>
  <c r="DW99" i="183" s="1"/>
  <c r="DV99" i="183"/>
  <c r="DU99" i="183"/>
  <c r="DK100" i="183" l="1"/>
  <c r="DL100" i="183" s="1"/>
  <c r="DM100" i="183" s="1" a="1"/>
  <c r="DM100" i="183" s="1"/>
  <c r="DB101" i="183" s="1"/>
  <c r="DN100" i="183"/>
  <c r="EV100" i="183"/>
  <c r="DX99" i="183"/>
  <c r="DY99" i="183" s="1"/>
  <c r="EA99" i="183" s="1"/>
  <c r="EB99" i="183" s="1"/>
  <c r="EC99" i="183" s="1"/>
  <c r="ED99" i="183" s="1" a="1"/>
  <c r="ED99" i="183" s="1"/>
  <c r="DS100" i="183" s="1"/>
  <c r="EK101" i="183"/>
  <c r="EN101" i="183" s="1"/>
  <c r="EM101" i="183"/>
  <c r="EQ101" i="183"/>
  <c r="EL101" i="183"/>
  <c r="DC101" i="183" l="1"/>
  <c r="DF101" i="183" s="1"/>
  <c r="DE101" i="183"/>
  <c r="DI101" i="183"/>
  <c r="DD101" i="183"/>
  <c r="EO101" i="183"/>
  <c r="EP101" i="183" s="1"/>
  <c r="ER101" i="183" s="1"/>
  <c r="ES101" i="183" s="1"/>
  <c r="ET101" i="183" s="1"/>
  <c r="EU101" i="183" s="1" a="1"/>
  <c r="EU101" i="183" s="1"/>
  <c r="EJ102" i="183" s="1"/>
  <c r="EE99" i="183"/>
  <c r="DU100" i="183"/>
  <c r="DT100" i="183"/>
  <c r="DW100" i="183" s="1"/>
  <c r="DZ100" i="183"/>
  <c r="DV100" i="183"/>
  <c r="DG101" i="183" l="1"/>
  <c r="DH101" i="183" s="1"/>
  <c r="DJ101" i="183" s="1"/>
  <c r="EV101" i="183"/>
  <c r="DX100" i="183"/>
  <c r="DY100" i="183" s="1"/>
  <c r="EA100" i="183" s="1"/>
  <c r="EM102" i="183"/>
  <c r="EK102" i="183"/>
  <c r="EN102" i="183" s="1"/>
  <c r="EL102" i="183"/>
  <c r="EQ102" i="183"/>
  <c r="DN101" i="183" l="1"/>
  <c r="DK101" i="183"/>
  <c r="DL101" i="183" s="1"/>
  <c r="DM101" i="183" s="1" a="1"/>
  <c r="DM101" i="183" s="1"/>
  <c r="DB102" i="183" s="1"/>
  <c r="DC102" i="183" s="1"/>
  <c r="DF102" i="183" s="1"/>
  <c r="EO102" i="183"/>
  <c r="EP102" i="183" s="1"/>
  <c r="ER102" i="183" s="1"/>
  <c r="ES102" i="183" s="1"/>
  <c r="ET102" i="183" s="1"/>
  <c r="EU102" i="183" s="1" a="1"/>
  <c r="EU102" i="183" s="1"/>
  <c r="EJ103" i="183" s="1"/>
  <c r="EB100" i="183"/>
  <c r="EC100" i="183" s="1"/>
  <c r="ED100" i="183" s="1" a="1"/>
  <c r="ED100" i="183" s="1"/>
  <c r="DS101" i="183" s="1"/>
  <c r="EE100" i="183"/>
  <c r="C334" i="123"/>
  <c r="E334" i="123" s="1"/>
  <c r="DI102" i="183" l="1"/>
  <c r="DD102" i="183"/>
  <c r="DG102" i="183" s="1"/>
  <c r="DE102" i="183"/>
  <c r="EV102" i="183"/>
  <c r="DT101" i="183"/>
  <c r="DW101" i="183" s="1"/>
  <c r="DU101" i="183"/>
  <c r="DV101" i="183"/>
  <c r="DZ101" i="183"/>
  <c r="EM103" i="183"/>
  <c r="EQ103" i="183"/>
  <c r="EK103" i="183"/>
  <c r="EN103" i="183" s="1"/>
  <c r="EL103" i="183"/>
  <c r="X60" i="145"/>
  <c r="DH102" i="183" l="1"/>
  <c r="DJ102" i="183" s="1"/>
  <c r="DN102" i="183" s="1"/>
  <c r="DX101" i="183"/>
  <c r="DY101" i="183" s="1"/>
  <c r="EA101" i="183" s="1"/>
  <c r="EO103" i="183"/>
  <c r="EP103" i="183" s="1"/>
  <c r="ER103" i="183" s="1"/>
  <c r="ES103" i="183" s="1"/>
  <c r="ET103" i="183" s="1"/>
  <c r="EU103" i="183" s="1" a="1"/>
  <c r="EU103" i="183" s="1"/>
  <c r="DK102" i="183" l="1"/>
  <c r="DL102" i="183" s="1"/>
  <c r="DM102" i="183" s="1" a="1"/>
  <c r="DM102" i="183" s="1"/>
  <c r="DB103" i="183" s="1"/>
  <c r="DI103" i="183" s="1"/>
  <c r="EV103" i="183"/>
  <c r="EP34" i="183" s="1"/>
  <c r="EP38" i="183" s="1"/>
  <c r="EB101" i="183"/>
  <c r="EC101" i="183" s="1"/>
  <c r="ED101" i="183" s="1" a="1"/>
  <c r="ED101" i="183" s="1"/>
  <c r="DS102" i="183" s="1"/>
  <c r="EE101" i="183"/>
  <c r="DE103" i="183" l="1"/>
  <c r="DD103" i="183"/>
  <c r="DC103" i="183"/>
  <c r="DF103" i="183" s="1"/>
  <c r="EP43" i="183"/>
  <c r="W11" i="183" s="1"/>
  <c r="EP39" i="183"/>
  <c r="W7" i="183" s="1"/>
  <c r="EP44" i="183"/>
  <c r="W12" i="183" s="1"/>
  <c r="EP35" i="183"/>
  <c r="W3" i="183" s="1"/>
  <c r="W2" i="183"/>
  <c r="EP40" i="183"/>
  <c r="W8" i="183" s="1"/>
  <c r="W6" i="183"/>
  <c r="DV102" i="183"/>
  <c r="DT102" i="183"/>
  <c r="DW102" i="183" s="1"/>
  <c r="DU102" i="183"/>
  <c r="DZ102" i="183"/>
  <c r="DG103" i="183" l="1"/>
  <c r="DH103" i="183" s="1"/>
  <c r="DJ103" i="183" s="1"/>
  <c r="DN103" i="183" s="1"/>
  <c r="DH34" i="183" s="1"/>
  <c r="EP46" i="183"/>
  <c r="W14" i="183" s="1"/>
  <c r="EP36" i="183"/>
  <c r="W4" i="183" s="1"/>
  <c r="DX102" i="183"/>
  <c r="DY102" i="183" s="1"/>
  <c r="EA102" i="183" s="1"/>
  <c r="E386" i="123"/>
  <c r="F405" i="123" s="1"/>
  <c r="DK103" i="183" l="1"/>
  <c r="DL103" i="183" s="1"/>
  <c r="DM103" i="183" s="1" a="1"/>
  <c r="DM103" i="183" s="1"/>
  <c r="EP51" i="183"/>
  <c r="W19" i="183" s="1"/>
  <c r="AN60" i="187" s="1"/>
  <c r="AN360" i="187" s="1"/>
  <c r="C41" i="127" s="1"/>
  <c r="C5" i="127" s="1"/>
  <c r="DH43" i="183"/>
  <c r="U11" i="183" s="1"/>
  <c r="DH35" i="183"/>
  <c r="U2" i="183"/>
  <c r="DH44" i="183"/>
  <c r="DH38" i="183"/>
  <c r="U6" i="183" s="1"/>
  <c r="DH40" i="183"/>
  <c r="U8" i="183" s="1"/>
  <c r="DH39" i="183"/>
  <c r="U7" i="183" s="1"/>
  <c r="EP37" i="183"/>
  <c r="W5" i="183" s="1"/>
  <c r="EP48" i="183"/>
  <c r="W16" i="183" s="1"/>
  <c r="AN57" i="187" s="1"/>
  <c r="EE102" i="183"/>
  <c r="EB102" i="183"/>
  <c r="EC102" i="183" s="1"/>
  <c r="ED102" i="183" s="1" a="1"/>
  <c r="ED102" i="183" s="1"/>
  <c r="DS103" i="183" s="1"/>
  <c r="DT103" i="183" s="1"/>
  <c r="DW103" i="183" s="1"/>
  <c r="E383" i="123"/>
  <c r="C394" i="123" s="1"/>
  <c r="E384" i="123"/>
  <c r="C395" i="123" s="1"/>
  <c r="K447" i="123"/>
  <c r="L447" i="123" s="1"/>
  <c r="F406" i="123"/>
  <c r="G405" i="123"/>
  <c r="E385" i="123"/>
  <c r="CB27" i="132" l="1"/>
  <c r="CB28" i="132"/>
  <c r="AN262" i="187"/>
  <c r="T27" i="127" s="1"/>
  <c r="C383" i="127" s="1"/>
  <c r="E383" i="127" s="1"/>
  <c r="AN307" i="187"/>
  <c r="Z5" i="127" s="1"/>
  <c r="T3" i="127"/>
  <c r="C333" i="127" s="1"/>
  <c r="D376" i="111"/>
  <c r="EP42" i="183"/>
  <c r="EP45" i="183" s="1"/>
  <c r="EP41" i="183"/>
  <c r="W9" i="183" s="1"/>
  <c r="EP49" i="183"/>
  <c r="W17" i="183" s="1"/>
  <c r="AN58" i="187" s="1"/>
  <c r="M60" i="145" s="1"/>
  <c r="DH46" i="183"/>
  <c r="U12" i="183"/>
  <c r="DH36" i="183"/>
  <c r="U3" i="183"/>
  <c r="DU103" i="183"/>
  <c r="DX103" i="183" s="1"/>
  <c r="DV103" i="183"/>
  <c r="DZ103" i="183"/>
  <c r="AN350" i="187"/>
  <c r="C46" i="127" s="1"/>
  <c r="C396" i="123"/>
  <c r="O405" i="123" s="1"/>
  <c r="G406" i="123"/>
  <c r="J395" i="123"/>
  <c r="N395" i="123" s="1"/>
  <c r="O395" i="123" s="1"/>
  <c r="O404" i="123"/>
  <c r="N789" i="123"/>
  <c r="N822" i="123"/>
  <c r="J394" i="123"/>
  <c r="N394" i="123" s="1"/>
  <c r="O403" i="123"/>
  <c r="C789" i="123"/>
  <c r="C822" i="123"/>
  <c r="E376" i="111" l="1"/>
  <c r="I376" i="111"/>
  <c r="I405" i="111" s="1"/>
  <c r="I407" i="111" s="1"/>
  <c r="H376" i="111"/>
  <c r="H405" i="111" s="1"/>
  <c r="G376" i="111"/>
  <c r="AN308" i="187"/>
  <c r="Z6" i="127" s="1"/>
  <c r="AN263" i="187"/>
  <c r="T28" i="127" s="1"/>
  <c r="AD376" i="111"/>
  <c r="W65" i="111"/>
  <c r="W10" i="183"/>
  <c r="EP47" i="183"/>
  <c r="W15" i="183" s="1"/>
  <c r="DH48" i="183"/>
  <c r="U4" i="183"/>
  <c r="DH37" i="183"/>
  <c r="DH51" i="183"/>
  <c r="U19" i="183" s="1"/>
  <c r="AE60" i="187" s="1"/>
  <c r="AE360" i="187" s="1"/>
  <c r="C41" i="99" s="1"/>
  <c r="C5" i="99" s="1"/>
  <c r="U14" i="183"/>
  <c r="DY103" i="183"/>
  <c r="EA103" i="183" s="1"/>
  <c r="EB103" i="183" s="1"/>
  <c r="EC103" i="183" s="1"/>
  <c r="ED103" i="183" s="1" a="1"/>
  <c r="ED103" i="183" s="1"/>
  <c r="EP50" i="183"/>
  <c r="W18" i="183" s="1"/>
  <c r="AN59" i="187" s="1"/>
  <c r="AM72" i="187" s="1"/>
  <c r="AN261" i="187" s="1"/>
  <c r="W13" i="183"/>
  <c r="D399" i="123"/>
  <c r="C399" i="123"/>
  <c r="D789" i="123"/>
  <c r="D822" i="123"/>
  <c r="J396" i="123"/>
  <c r="N396" i="123" s="1"/>
  <c r="O396" i="123" s="1"/>
  <c r="C408" i="123"/>
  <c r="O406" i="123"/>
  <c r="K110" i="141"/>
  <c r="O394" i="123"/>
  <c r="K99" i="141"/>
  <c r="O789" i="123"/>
  <c r="O822" i="123"/>
  <c r="AH376" i="111" l="1"/>
  <c r="AH405" i="111" s="1"/>
  <c r="AG376" i="111"/>
  <c r="AE376" i="111"/>
  <c r="AI376" i="111"/>
  <c r="AI405" i="111" s="1"/>
  <c r="AI407" i="111" s="1"/>
  <c r="AI27" i="132"/>
  <c r="Q27" i="132" s="1"/>
  <c r="CB24" i="132"/>
  <c r="CB23" i="132"/>
  <c r="W68" i="111"/>
  <c r="T3" i="99"/>
  <c r="C333" i="99" s="1"/>
  <c r="D302" i="111"/>
  <c r="U5" i="183"/>
  <c r="DH49" i="183"/>
  <c r="U17" i="183" s="1"/>
  <c r="AE58" i="187" s="1"/>
  <c r="K60" i="145" s="1"/>
  <c r="DH41" i="183"/>
  <c r="U9" i="183" s="1"/>
  <c r="U16" i="183"/>
  <c r="AE57" i="187" s="1"/>
  <c r="DH42" i="183"/>
  <c r="EE103" i="183"/>
  <c r="DY34" i="183" s="1"/>
  <c r="DY35" i="183" s="1"/>
  <c r="DY36" i="183" s="1"/>
  <c r="C400" i="123"/>
  <c r="AM73" i="187"/>
  <c r="M21" i="145" s="1"/>
  <c r="AB21" i="145" s="1"/>
  <c r="AL90" i="187"/>
  <c r="T26" i="127"/>
  <c r="AM74" i="187"/>
  <c r="AN264" i="187" s="1"/>
  <c r="AM76" i="187"/>
  <c r="AN266" i="187" s="1"/>
  <c r="AM75" i="187"/>
  <c r="AN265" i="187" s="1"/>
  <c r="D400" i="123"/>
  <c r="F789" i="123" s="1"/>
  <c r="E789" i="123"/>
  <c r="E822" i="123"/>
  <c r="L110" i="141"/>
  <c r="G822" i="123"/>
  <c r="G789" i="123"/>
  <c r="L99" i="141"/>
  <c r="I302" i="111" l="1"/>
  <c r="I331" i="111" s="1"/>
  <c r="I333" i="111" s="1"/>
  <c r="H302" i="111"/>
  <c r="H331" i="111" s="1"/>
  <c r="G302" i="111"/>
  <c r="E302" i="111"/>
  <c r="AI28" i="132"/>
  <c r="Q28" i="132" s="1"/>
  <c r="M789" i="123"/>
  <c r="AE262" i="187"/>
  <c r="T27" i="99" s="1"/>
  <c r="AE307" i="187"/>
  <c r="Z5" i="99" s="1"/>
  <c r="AE308" i="187"/>
  <c r="Z6" i="99" s="1"/>
  <c r="AE263" i="187"/>
  <c r="T28" i="99" s="1"/>
  <c r="C549" i="127"/>
  <c r="E549" i="127" s="1"/>
  <c r="C675" i="127"/>
  <c r="E675" i="127" s="1"/>
  <c r="AD302" i="111"/>
  <c r="U10" i="183"/>
  <c r="DH45" i="183"/>
  <c r="AE350" i="187"/>
  <c r="C46" i="99" s="1"/>
  <c r="DH47" i="183"/>
  <c r="U15" i="183" s="1"/>
  <c r="V3" i="183"/>
  <c r="DY44" i="183"/>
  <c r="V12" i="183" s="1"/>
  <c r="V2" i="183"/>
  <c r="DY43" i="183"/>
  <c r="DY38" i="183"/>
  <c r="V6" i="183" s="1"/>
  <c r="DY40" i="183"/>
  <c r="V8" i="183" s="1"/>
  <c r="DY39" i="183"/>
  <c r="V7" i="183" s="1"/>
  <c r="F822" i="123"/>
  <c r="DY37" i="183"/>
  <c r="DY48" i="183"/>
  <c r="V4" i="183"/>
  <c r="AL89" i="187"/>
  <c r="AM89" i="187" s="1"/>
  <c r="AM78" i="187"/>
  <c r="T30" i="127"/>
  <c r="T29" i="127"/>
  <c r="AM77" i="187"/>
  <c r="AM90" i="187"/>
  <c r="T31" i="127"/>
  <c r="AM79" i="187"/>
  <c r="C99" i="141"/>
  <c r="H789" i="123"/>
  <c r="D99" i="141"/>
  <c r="D110" i="141"/>
  <c r="AI302" i="111" l="1"/>
  <c r="AI331" i="111" s="1"/>
  <c r="AI333" i="111" s="1"/>
  <c r="AH302" i="111"/>
  <c r="AH331" i="111" s="1"/>
  <c r="AG302" i="111"/>
  <c r="AE302" i="111"/>
  <c r="H822" i="123"/>
  <c r="E110" i="141" s="1"/>
  <c r="M822" i="123"/>
  <c r="CK28" i="132"/>
  <c r="CK27" i="132"/>
  <c r="CJ27" i="132"/>
  <c r="CJ28" i="132"/>
  <c r="CL27" i="132"/>
  <c r="CL28" i="132"/>
  <c r="C552" i="127"/>
  <c r="E552" i="127" s="1"/>
  <c r="C678" i="127"/>
  <c r="E678" i="127" s="1"/>
  <c r="C550" i="127"/>
  <c r="E550" i="127" s="1"/>
  <c r="C676" i="127"/>
  <c r="E676" i="127" s="1"/>
  <c r="C551" i="127"/>
  <c r="E551" i="127" s="1"/>
  <c r="C677" i="127"/>
  <c r="E677" i="127" s="1"/>
  <c r="W53" i="111"/>
  <c r="U13" i="183"/>
  <c r="DH50" i="183"/>
  <c r="U18" i="183" s="1"/>
  <c r="AE59" i="187" s="1"/>
  <c r="AD72" i="187" s="1"/>
  <c r="AE261" i="187" s="1"/>
  <c r="V11" i="183"/>
  <c r="DY46" i="183"/>
  <c r="C110" i="141"/>
  <c r="AL92" i="187"/>
  <c r="AM92" i="187"/>
  <c r="AM91" i="187"/>
  <c r="AM94" i="187" s="1"/>
  <c r="AL91" i="187"/>
  <c r="DY41" i="183"/>
  <c r="V9" i="183" s="1"/>
  <c r="DY42" i="183"/>
  <c r="V16" i="183"/>
  <c r="AJ57" i="187" s="1"/>
  <c r="V5" i="183"/>
  <c r="DY49" i="183"/>
  <c r="V17" i="183" s="1"/>
  <c r="AJ58" i="187" s="1"/>
  <c r="L60" i="145" s="1"/>
  <c r="J99" i="141"/>
  <c r="E99" i="141"/>
  <c r="AI23" i="132" l="1"/>
  <c r="Q23" i="132" s="1"/>
  <c r="AJ308" i="187"/>
  <c r="Z6" i="126" s="1"/>
  <c r="AJ263" i="187"/>
  <c r="T45" i="126" s="1"/>
  <c r="AJ262" i="187"/>
  <c r="T44" i="126" s="1"/>
  <c r="C417" i="126" s="1"/>
  <c r="E417" i="126" s="1"/>
  <c r="AJ307" i="187"/>
  <c r="Z5" i="126" s="1"/>
  <c r="W56" i="111"/>
  <c r="AD76" i="187"/>
  <c r="AE266" i="187" s="1"/>
  <c r="AC90" i="187"/>
  <c r="AD90" i="187" s="1"/>
  <c r="T26" i="99"/>
  <c r="AD73" i="187"/>
  <c r="K21" i="145" s="1"/>
  <c r="Z21" i="145" s="1"/>
  <c r="AD75" i="187"/>
  <c r="AE265" i="187" s="1"/>
  <c r="AD74" i="187"/>
  <c r="AE264" i="187" s="1"/>
  <c r="J110" i="141"/>
  <c r="V14" i="183"/>
  <c r="DY51" i="183"/>
  <c r="V19" i="183" s="1"/>
  <c r="AJ60" i="187" s="1"/>
  <c r="AJ360" i="187" s="1"/>
  <c r="C41" i="126" s="1"/>
  <c r="DY47" i="183"/>
  <c r="V15" i="183" s="1"/>
  <c r="AJ350" i="187"/>
  <c r="C46" i="126" s="1"/>
  <c r="AM95" i="187"/>
  <c r="AM101" i="187" s="1"/>
  <c r="V10" i="183"/>
  <c r="DY45" i="183"/>
  <c r="AL95" i="187"/>
  <c r="AL94" i="187"/>
  <c r="AI24" i="132" l="1"/>
  <c r="Q24" i="132" s="1"/>
  <c r="AL101" i="187"/>
  <c r="AL102" i="187" s="1"/>
  <c r="AL105" i="187" s="1"/>
  <c r="AL125" i="187" s="1"/>
  <c r="AM103" i="187"/>
  <c r="AM106" i="187" s="1"/>
  <c r="AM126" i="187" s="1"/>
  <c r="AM120" i="187"/>
  <c r="AM102" i="187"/>
  <c r="AM105" i="187" s="1"/>
  <c r="AM125" i="187" s="1"/>
  <c r="AM111" i="187"/>
  <c r="C551" i="99"/>
  <c r="E551" i="99" s="1"/>
  <c r="C677" i="99"/>
  <c r="E677" i="99" s="1"/>
  <c r="T30" i="99"/>
  <c r="AD78" i="187"/>
  <c r="AD77" i="187"/>
  <c r="T29" i="99"/>
  <c r="AC89" i="187"/>
  <c r="AD89" i="187" s="1"/>
  <c r="T31" i="99"/>
  <c r="AD79" i="187"/>
  <c r="C5" i="126"/>
  <c r="DY50" i="183"/>
  <c r="V18" i="183" s="1"/>
  <c r="AJ59" i="187" s="1"/>
  <c r="AI72" i="187" s="1"/>
  <c r="AJ261" i="187" s="1"/>
  <c r="V13" i="183"/>
  <c r="C334" i="124"/>
  <c r="E334" i="124" s="1"/>
  <c r="E469" i="124"/>
  <c r="E471" i="124"/>
  <c r="E472" i="124"/>
  <c r="E473" i="124"/>
  <c r="E474" i="124"/>
  <c r="F496" i="124" s="1"/>
  <c r="CL24" i="132" l="1"/>
  <c r="CL23" i="132"/>
  <c r="CJ24" i="132"/>
  <c r="CJ23" i="132"/>
  <c r="CK23" i="132"/>
  <c r="CK24" i="132"/>
  <c r="CB26" i="132"/>
  <c r="CB25" i="132"/>
  <c r="AL120" i="187"/>
  <c r="AL103" i="187"/>
  <c r="AL106" i="187" s="1"/>
  <c r="AL126" i="187" s="1"/>
  <c r="AL111" i="187"/>
  <c r="AN138" i="187"/>
  <c r="T3" i="126"/>
  <c r="C333" i="126" s="1"/>
  <c r="D339" i="111"/>
  <c r="C554" i="99"/>
  <c r="E554" i="99" s="1"/>
  <c r="C680" i="99"/>
  <c r="E680" i="99" s="1"/>
  <c r="C552" i="99"/>
  <c r="E552" i="99" s="1"/>
  <c r="C678" i="99"/>
  <c r="E678" i="99" s="1"/>
  <c r="C553" i="99"/>
  <c r="E553" i="99" s="1"/>
  <c r="C679" i="99"/>
  <c r="E679" i="99" s="1"/>
  <c r="AD91" i="187"/>
  <c r="AC91" i="187"/>
  <c r="AC94" i="187" s="1"/>
  <c r="AC92" i="187"/>
  <c r="AD92" i="187"/>
  <c r="AM109" i="187"/>
  <c r="AL108" i="187"/>
  <c r="AM108" i="187"/>
  <c r="AH90" i="187"/>
  <c r="AI73" i="187"/>
  <c r="L21" i="145" s="1"/>
  <c r="AA21" i="145" s="1"/>
  <c r="T43" i="126"/>
  <c r="AI76" i="187"/>
  <c r="AI74" i="187"/>
  <c r="AJ264" i="187" s="1"/>
  <c r="AI75" i="187"/>
  <c r="AJ265" i="187" s="1"/>
  <c r="E470" i="124"/>
  <c r="C502" i="124" s="1"/>
  <c r="C504" i="124" s="1"/>
  <c r="I799" i="124" s="1"/>
  <c r="I801" i="124" s="1"/>
  <c r="C487" i="124"/>
  <c r="J487" i="124" s="1"/>
  <c r="N487" i="124" s="1"/>
  <c r="O487" i="124" s="1"/>
  <c r="F487" i="124"/>
  <c r="F497" i="124"/>
  <c r="G496" i="124"/>
  <c r="G497" i="124" s="1"/>
  <c r="F486" i="124"/>
  <c r="C486" i="124"/>
  <c r="I339" i="111" l="1"/>
  <c r="I368" i="111" s="1"/>
  <c r="I370" i="111" s="1"/>
  <c r="H339" i="111"/>
  <c r="H368" i="111" s="1"/>
  <c r="G339" i="111"/>
  <c r="E339" i="111"/>
  <c r="AJ266" i="187"/>
  <c r="T48" i="126" s="1"/>
  <c r="AI79" i="187"/>
  <c r="AL113" i="187"/>
  <c r="AN139" i="187" s="1"/>
  <c r="AN269" i="187" s="1"/>
  <c r="T34" i="127" s="1"/>
  <c r="M37" i="145"/>
  <c r="AB37" i="145" s="1"/>
  <c r="C541" i="126"/>
  <c r="E541" i="126" s="1"/>
  <c r="C667" i="126"/>
  <c r="E667" i="126" s="1"/>
  <c r="AD339" i="111"/>
  <c r="AC95" i="187"/>
  <c r="AC101" i="187" s="1"/>
  <c r="AD95" i="187"/>
  <c r="AD94" i="187"/>
  <c r="I832" i="124"/>
  <c r="AL109" i="187"/>
  <c r="T47" i="126"/>
  <c r="AI78" i="187"/>
  <c r="T46" i="126"/>
  <c r="AI77" i="187"/>
  <c r="AH89" i="187"/>
  <c r="AI89" i="187" s="1"/>
  <c r="AI90" i="187"/>
  <c r="O496" i="124"/>
  <c r="O832" i="124"/>
  <c r="L132" i="141" s="1"/>
  <c r="O799" i="124"/>
  <c r="L122" i="141" s="1"/>
  <c r="C490" i="124"/>
  <c r="D490" i="124"/>
  <c r="O494" i="124"/>
  <c r="J485" i="124"/>
  <c r="N485" i="124" s="1"/>
  <c r="F122" i="141"/>
  <c r="N799" i="124"/>
  <c r="K122" i="141" s="1"/>
  <c r="N832" i="124"/>
  <c r="K132" i="141" s="1"/>
  <c r="O495" i="124"/>
  <c r="J486" i="124"/>
  <c r="N486" i="124" s="1"/>
  <c r="O486" i="124" s="1"/>
  <c r="AH339" i="111" l="1"/>
  <c r="AH368" i="111" s="1"/>
  <c r="AG339" i="111"/>
  <c r="AE339" i="111"/>
  <c r="AI339" i="111"/>
  <c r="AI368" i="111" s="1"/>
  <c r="AI370" i="111" s="1"/>
  <c r="F132" i="141"/>
  <c r="I834" i="124"/>
  <c r="C818" i="124" s="1"/>
  <c r="D818" i="124" s="1"/>
  <c r="CJ26" i="132"/>
  <c r="CJ25" i="132"/>
  <c r="CL25" i="132"/>
  <c r="CL26" i="132"/>
  <c r="CK25" i="132"/>
  <c r="CK26" i="132"/>
  <c r="AM113" i="187"/>
  <c r="AN113" i="187" s="1"/>
  <c r="AN267" i="187"/>
  <c r="T32" i="127" s="1"/>
  <c r="AL114" i="187"/>
  <c r="AL115" i="187" s="1"/>
  <c r="AC111" i="187"/>
  <c r="AC102" i="187"/>
  <c r="AC105" i="187" s="1"/>
  <c r="AC125" i="187" s="1"/>
  <c r="AC120" i="187"/>
  <c r="AE138" i="187"/>
  <c r="AC103" i="187"/>
  <c r="AC106" i="187" s="1"/>
  <c r="AC126" i="187" s="1"/>
  <c r="AD101" i="187"/>
  <c r="AD103" i="187" s="1"/>
  <c r="AD106" i="187" s="1"/>
  <c r="AD126" i="187" s="1"/>
  <c r="C538" i="127"/>
  <c r="E538" i="127" s="1"/>
  <c r="K591" i="127" s="1"/>
  <c r="L591" i="127" s="1"/>
  <c r="C657" i="127"/>
  <c r="E657" i="127" s="1"/>
  <c r="K730" i="127" s="1"/>
  <c r="L730" i="127" s="1"/>
  <c r="C543" i="126"/>
  <c r="E543" i="126" s="1"/>
  <c r="C669" i="126"/>
  <c r="E669" i="126" s="1"/>
  <c r="C544" i="126"/>
  <c r="E544" i="126" s="1"/>
  <c r="C670" i="126"/>
  <c r="E670" i="126" s="1"/>
  <c r="C542" i="126"/>
  <c r="E542" i="126" s="1"/>
  <c r="C668" i="126"/>
  <c r="E668" i="126" s="1"/>
  <c r="W59" i="111"/>
  <c r="AI91" i="187"/>
  <c r="AH91" i="187"/>
  <c r="AH92" i="187"/>
  <c r="AI92" i="187"/>
  <c r="O485" i="124"/>
  <c r="C491" i="124"/>
  <c r="D491" i="124"/>
  <c r="C499" i="124"/>
  <c r="O497" i="124"/>
  <c r="F124" i="141"/>
  <c r="C783" i="124"/>
  <c r="D783" i="124" s="1"/>
  <c r="Y6" i="145"/>
  <c r="J6" i="145"/>
  <c r="AI25" i="132" l="1"/>
  <c r="Q25" i="132" s="1"/>
  <c r="AM114" i="187"/>
  <c r="AM115" i="187" s="1"/>
  <c r="AM117" i="187" s="1"/>
  <c r="AN351" i="187"/>
  <c r="C47" i="127" s="1"/>
  <c r="AN370" i="187"/>
  <c r="C67" i="127" s="1"/>
  <c r="AN371" i="187"/>
  <c r="C68" i="127" s="1"/>
  <c r="AC113" i="187"/>
  <c r="AE267" i="187" s="1"/>
  <c r="T32" i="99" s="1"/>
  <c r="C538" i="99" s="1"/>
  <c r="E538" i="99" s="1"/>
  <c r="AL116" i="187"/>
  <c r="AL118" i="187"/>
  <c r="AL117" i="187"/>
  <c r="C536" i="127"/>
  <c r="E536" i="127" s="1"/>
  <c r="C655" i="127"/>
  <c r="E655" i="127" s="1"/>
  <c r="AN114" i="187"/>
  <c r="AN115" i="187" s="1"/>
  <c r="AN375" i="187"/>
  <c r="AN352" i="187"/>
  <c r="C48" i="127" s="1"/>
  <c r="AN374" i="187"/>
  <c r="AD111" i="187"/>
  <c r="AD120" i="187"/>
  <c r="AD102" i="187"/>
  <c r="AD105" i="187" s="1"/>
  <c r="AD125" i="187" s="1"/>
  <c r="AC109" i="187"/>
  <c r="W62" i="111"/>
  <c r="AD109" i="187"/>
  <c r="AC108" i="187"/>
  <c r="F134" i="141"/>
  <c r="AI94" i="187"/>
  <c r="AH94" i="187"/>
  <c r="AH95" i="187"/>
  <c r="AI95" i="187"/>
  <c r="J22" i="132"/>
  <c r="G799" i="124"/>
  <c r="D122" i="141" s="1"/>
  <c r="G832" i="124"/>
  <c r="D132" i="141" s="1"/>
  <c r="J21" i="132"/>
  <c r="F799" i="124"/>
  <c r="F832" i="124"/>
  <c r="AM116" i="187" l="1"/>
  <c r="AM143" i="187" s="1"/>
  <c r="AM200" i="187" s="1"/>
  <c r="AM202" i="187" s="1"/>
  <c r="AI26" i="132"/>
  <c r="Q26" i="132" s="1"/>
  <c r="C711" i="127"/>
  <c r="J711" i="127" s="1"/>
  <c r="N711" i="127" s="1"/>
  <c r="O711" i="127" s="1"/>
  <c r="C576" i="127"/>
  <c r="J576" i="127" s="1"/>
  <c r="N576" i="127" s="1"/>
  <c r="O576" i="127" s="1"/>
  <c r="C578" i="99"/>
  <c r="J578" i="99" s="1"/>
  <c r="N578" i="99" s="1"/>
  <c r="O578" i="99" s="1"/>
  <c r="AM118" i="187"/>
  <c r="AM119" i="187" s="1"/>
  <c r="AM142" i="187" s="1"/>
  <c r="AM179" i="187" s="1"/>
  <c r="M799" i="124"/>
  <c r="J122" i="141" s="1"/>
  <c r="M832" i="124"/>
  <c r="J132" i="141" s="1"/>
  <c r="AD113" i="187"/>
  <c r="AE113" i="187" s="1"/>
  <c r="AE114" i="187" s="1"/>
  <c r="AE115" i="187" s="1"/>
  <c r="C657" i="99"/>
  <c r="E657" i="99" s="1"/>
  <c r="AE139" i="187"/>
  <c r="AE269" i="187" s="1"/>
  <c r="T34" i="99" s="1"/>
  <c r="C540" i="99" s="1"/>
  <c r="E540" i="99" s="1"/>
  <c r="K593" i="99" s="1"/>
  <c r="L593" i="99" s="1"/>
  <c r="AC114" i="187"/>
  <c r="AC115" i="187" s="1"/>
  <c r="AC116" i="187" s="1"/>
  <c r="AL119" i="187"/>
  <c r="AN136" i="187"/>
  <c r="AN137" i="187" s="1"/>
  <c r="K37" i="145"/>
  <c r="Z37" i="145" s="1"/>
  <c r="C71" i="127"/>
  <c r="D394" i="111" s="1"/>
  <c r="D390" i="111" s="1"/>
  <c r="M33" i="145"/>
  <c r="AB33" i="145" s="1"/>
  <c r="C72" i="127"/>
  <c r="D403" i="111" s="1"/>
  <c r="K388" i="111" s="1"/>
  <c r="K405" i="111" s="1"/>
  <c r="K407" i="111" s="1"/>
  <c r="M34" i="145"/>
  <c r="AB34" i="145" s="1"/>
  <c r="AN300" i="187"/>
  <c r="T65" i="127" s="1"/>
  <c r="M30" i="145"/>
  <c r="AN117" i="187"/>
  <c r="AN116" i="187"/>
  <c r="AN143" i="187" s="1"/>
  <c r="AN200" i="187" s="1"/>
  <c r="AN202" i="187" s="1"/>
  <c r="AN118" i="187"/>
  <c r="AN119" i="187" s="1"/>
  <c r="AN142" i="187" s="1"/>
  <c r="AI101" i="187"/>
  <c r="AI102" i="187" s="1"/>
  <c r="AI105" i="187" s="1"/>
  <c r="AI125" i="187" s="1"/>
  <c r="AH101" i="187"/>
  <c r="AH102" i="187" s="1"/>
  <c r="AH105" i="187" s="1"/>
  <c r="AH125" i="187" s="1"/>
  <c r="AD108" i="187"/>
  <c r="C132" i="141"/>
  <c r="H832" i="124"/>
  <c r="E132" i="141" s="1"/>
  <c r="C122" i="141"/>
  <c r="H799" i="124"/>
  <c r="E122" i="141" s="1"/>
  <c r="E390" i="111" l="1"/>
  <c r="H390" i="111"/>
  <c r="G390" i="111"/>
  <c r="AM203" i="187"/>
  <c r="C713" i="99"/>
  <c r="J713" i="99" s="1"/>
  <c r="N713" i="99" s="1"/>
  <c r="O713" i="99" s="1"/>
  <c r="AM204" i="187"/>
  <c r="AM167" i="187"/>
  <c r="AM171" i="187" s="1"/>
  <c r="AN203" i="187"/>
  <c r="AE370" i="187"/>
  <c r="C67" i="99" s="1"/>
  <c r="AD114" i="187"/>
  <c r="AD115" i="187" s="1"/>
  <c r="AD116" i="187" s="1"/>
  <c r="AD143" i="187" s="1"/>
  <c r="AD200" i="187" s="1"/>
  <c r="AD202" i="187" s="1"/>
  <c r="AE371" i="187"/>
  <c r="C68" i="99" s="1"/>
  <c r="AE351" i="187"/>
  <c r="C47" i="99" s="1"/>
  <c r="C659" i="99"/>
  <c r="E659" i="99" s="1"/>
  <c r="K732" i="99" s="1"/>
  <c r="L732" i="99" s="1"/>
  <c r="AC118" i="187"/>
  <c r="AE136" i="187" s="1"/>
  <c r="AE137" i="187" s="1"/>
  <c r="AE268" i="187" s="1"/>
  <c r="T33" i="99" s="1"/>
  <c r="AC117" i="187"/>
  <c r="D395" i="111"/>
  <c r="D391" i="111" s="1"/>
  <c r="AN268" i="187"/>
  <c r="T33" i="127" s="1"/>
  <c r="AN348" i="187"/>
  <c r="C36" i="127" s="1"/>
  <c r="C6" i="127" s="1"/>
  <c r="AN301" i="187"/>
  <c r="T66" i="127" s="1"/>
  <c r="C637" i="127" s="1"/>
  <c r="F759" i="127" s="1"/>
  <c r="E760" i="127" s="1"/>
  <c r="M32" i="145"/>
  <c r="AB30" i="145"/>
  <c r="AB4" i="159" s="1"/>
  <c r="AB7" i="159" s="1"/>
  <c r="M4" i="159"/>
  <c r="M7" i="159" s="1"/>
  <c r="C514" i="127"/>
  <c r="C513" i="127"/>
  <c r="C633" i="127"/>
  <c r="C634" i="127"/>
  <c r="C635" i="127"/>
  <c r="C512" i="127"/>
  <c r="AD394" i="111"/>
  <c r="AN204" i="187"/>
  <c r="AN225" i="187" s="1"/>
  <c r="AN179" i="187"/>
  <c r="AN167" i="187"/>
  <c r="AE352" i="187"/>
  <c r="C48" i="99" s="1"/>
  <c r="AE374" i="187"/>
  <c r="C71" i="99" s="1"/>
  <c r="AN282" i="187"/>
  <c r="T47" i="127" s="1"/>
  <c r="C544" i="127" s="1"/>
  <c r="E544" i="127" s="1"/>
  <c r="AM180" i="187"/>
  <c r="AM181" i="187" s="1"/>
  <c r="AN280" i="187" s="1"/>
  <c r="T45" i="127" s="1"/>
  <c r="C527" i="127" s="1"/>
  <c r="E527" i="127" s="1"/>
  <c r="AM183" i="187"/>
  <c r="AM182" i="187"/>
  <c r="AE375" i="187"/>
  <c r="C72" i="99" s="1"/>
  <c r="AD403" i="111"/>
  <c r="AK388" i="111" s="1"/>
  <c r="AK405" i="111" s="1"/>
  <c r="AK407" i="111" s="1"/>
  <c r="AI111" i="187"/>
  <c r="AI120" i="187"/>
  <c r="AH111" i="187"/>
  <c r="AH120" i="187"/>
  <c r="AH103" i="187"/>
  <c r="AH106" i="187" s="1"/>
  <c r="AH126" i="187" s="1"/>
  <c r="AJ138" i="187"/>
  <c r="AI103" i="187"/>
  <c r="AI106" i="187" s="1"/>
  <c r="AI126" i="187" s="1"/>
  <c r="AE116" i="187"/>
  <c r="AE143" i="187" s="1"/>
  <c r="AE200" i="187" s="1"/>
  <c r="AE202" i="187" s="1"/>
  <c r="AE118" i="187"/>
  <c r="AE119" i="187" s="1"/>
  <c r="AE142" i="187" s="1"/>
  <c r="AE117" i="187"/>
  <c r="AH108" i="187"/>
  <c r="AI108" i="187"/>
  <c r="AM205" i="187" l="1"/>
  <c r="AM206" i="187" s="1"/>
  <c r="AM207" i="187" s="1"/>
  <c r="AM225" i="187"/>
  <c r="H391" i="111"/>
  <c r="G391" i="111"/>
  <c r="E391" i="111"/>
  <c r="E526" i="127"/>
  <c r="AM173" i="187"/>
  <c r="AN274" i="187" s="1"/>
  <c r="T39" i="127" s="1"/>
  <c r="C548" i="127" s="1"/>
  <c r="E548" i="127" s="1"/>
  <c r="AN273" i="187"/>
  <c r="T38" i="127" s="1"/>
  <c r="C545" i="127" s="1"/>
  <c r="E545" i="127" s="1"/>
  <c r="AM168" i="187"/>
  <c r="AM169" i="187" s="1"/>
  <c r="AN275" i="187" s="1"/>
  <c r="T40" i="127" s="1"/>
  <c r="C531" i="127" s="1"/>
  <c r="E531" i="127" s="1"/>
  <c r="AN295" i="187"/>
  <c r="T60" i="127" s="1"/>
  <c r="C662" i="127" s="1"/>
  <c r="C49" i="99"/>
  <c r="AD203" i="187"/>
  <c r="AE203" i="187"/>
  <c r="D377" i="111"/>
  <c r="CA28" i="132"/>
  <c r="CA27" i="132"/>
  <c r="AD117" i="187"/>
  <c r="AE300" i="187" s="1"/>
  <c r="T65" i="99" s="1"/>
  <c r="C515" i="99" s="1"/>
  <c r="D618" i="99" s="1"/>
  <c r="AD118" i="187"/>
  <c r="AD119" i="187" s="1"/>
  <c r="AD142" i="187" s="1"/>
  <c r="AD167" i="187" s="1"/>
  <c r="AE273" i="187" s="1"/>
  <c r="T38" i="99" s="1"/>
  <c r="C547" i="99" s="1"/>
  <c r="E547" i="99" s="1"/>
  <c r="AE348" i="187"/>
  <c r="C36" i="99" s="1"/>
  <c r="C6" i="99" s="1"/>
  <c r="AC119" i="187"/>
  <c r="C517" i="127"/>
  <c r="F621" i="127" s="1"/>
  <c r="E622" i="127" s="1"/>
  <c r="C516" i="127"/>
  <c r="F616" i="127" s="1"/>
  <c r="E617" i="127" s="1"/>
  <c r="AD395" i="111"/>
  <c r="D320" i="111"/>
  <c r="C636" i="127"/>
  <c r="F754" i="127" s="1"/>
  <c r="E755" i="127" s="1"/>
  <c r="D321" i="111"/>
  <c r="D317" i="111" s="1"/>
  <c r="AH113" i="187"/>
  <c r="AJ139" i="187" s="1"/>
  <c r="AJ269" i="187" s="1"/>
  <c r="T51" i="126" s="1"/>
  <c r="L37" i="145"/>
  <c r="AA37" i="145" s="1"/>
  <c r="C656" i="127"/>
  <c r="E656" i="127" s="1"/>
  <c r="F730" i="127" s="1"/>
  <c r="C537" i="127"/>
  <c r="E537" i="127" s="1"/>
  <c r="F591" i="127" s="1"/>
  <c r="K34" i="145"/>
  <c r="Z34" i="145" s="1"/>
  <c r="C611" i="127"/>
  <c r="C612" i="127" s="1"/>
  <c r="D611" i="127"/>
  <c r="D754" i="127"/>
  <c r="C754" i="127"/>
  <c r="C755" i="127" s="1"/>
  <c r="D759" i="127"/>
  <c r="C759" i="127"/>
  <c r="C760" i="127" s="1"/>
  <c r="C761" i="127" s="1"/>
  <c r="C616" i="127"/>
  <c r="C617" i="127" s="1"/>
  <c r="D616" i="127"/>
  <c r="C621" i="127"/>
  <c r="C622" i="127" s="1"/>
  <c r="D621" i="127"/>
  <c r="M16" i="159"/>
  <c r="AB16" i="159"/>
  <c r="AD390" i="111"/>
  <c r="AB32" i="145"/>
  <c r="AB6" i="159" s="1"/>
  <c r="AB9" i="159" s="1"/>
  <c r="AB20" i="159" s="1"/>
  <c r="M6" i="159"/>
  <c r="M9" i="159" s="1"/>
  <c r="M20" i="159" s="1"/>
  <c r="D764" i="127"/>
  <c r="C764" i="127"/>
  <c r="C765" i="127" s="1"/>
  <c r="AH109" i="187"/>
  <c r="C515" i="127"/>
  <c r="F611" i="127" s="1"/>
  <c r="E612" i="127" s="1"/>
  <c r="C638" i="127"/>
  <c r="F764" i="127" s="1"/>
  <c r="E765" i="127" s="1"/>
  <c r="AE301" i="187"/>
  <c r="T66" i="99" s="1"/>
  <c r="K32" i="145"/>
  <c r="K33" i="145"/>
  <c r="Z33" i="145" s="1"/>
  <c r="D329" i="111"/>
  <c r="K314" i="111" s="1"/>
  <c r="K331" i="111" s="1"/>
  <c r="K333" i="111" s="1"/>
  <c r="Y65" i="111"/>
  <c r="Y67" i="111"/>
  <c r="Y70" i="111"/>
  <c r="Y68" i="111"/>
  <c r="AI109" i="187"/>
  <c r="AD391" i="111"/>
  <c r="AN283" i="187"/>
  <c r="T48" i="127" s="1"/>
  <c r="C547" i="127" s="1"/>
  <c r="E547" i="127" s="1"/>
  <c r="AM184" i="187"/>
  <c r="AN315" i="187"/>
  <c r="Z13" i="127" s="1"/>
  <c r="C559" i="127" s="1"/>
  <c r="E559" i="127" s="1"/>
  <c r="AN173" i="187"/>
  <c r="AN168" i="187"/>
  <c r="AN169" i="187" s="1"/>
  <c r="AN171" i="187"/>
  <c r="AN324" i="187"/>
  <c r="Z22" i="127" s="1"/>
  <c r="C558" i="127" s="1"/>
  <c r="E558" i="127" s="1"/>
  <c r="F579" i="127" s="1"/>
  <c r="F580" i="127" s="1"/>
  <c r="AN183" i="187"/>
  <c r="AN182" i="187"/>
  <c r="AN180" i="187"/>
  <c r="AN181" i="187" s="1"/>
  <c r="AN322" i="187" s="1"/>
  <c r="Z20" i="127" s="1"/>
  <c r="AN205" i="187"/>
  <c r="C539" i="99"/>
  <c r="E539" i="99" s="1"/>
  <c r="F593" i="99" s="1"/>
  <c r="G593" i="99" s="1"/>
  <c r="C658" i="99"/>
  <c r="E658" i="99" s="1"/>
  <c r="F732" i="99" s="1"/>
  <c r="Z26" i="127"/>
  <c r="AE167" i="187"/>
  <c r="AE315" i="187" s="1"/>
  <c r="AE204" i="187"/>
  <c r="AE225" i="187" s="1"/>
  <c r="AE179" i="187"/>
  <c r="AE324" i="187" s="1"/>
  <c r="AM209" i="187" l="1"/>
  <c r="AN286" i="187" s="1"/>
  <c r="T51" i="127" s="1"/>
  <c r="C649" i="127" s="1"/>
  <c r="E649" i="127" s="1"/>
  <c r="AM219" i="187"/>
  <c r="AM212" i="187"/>
  <c r="AM213" i="187" s="1"/>
  <c r="AN285" i="187"/>
  <c r="T50" i="127" s="1"/>
  <c r="C648" i="127" s="1"/>
  <c r="E648" i="127" s="1"/>
  <c r="AM217" i="187"/>
  <c r="C667" i="127"/>
  <c r="E667" i="127" s="1"/>
  <c r="E673" i="127" s="1"/>
  <c r="C666" i="127"/>
  <c r="E666" i="127" s="1"/>
  <c r="E672" i="127" s="1"/>
  <c r="C668" i="127"/>
  <c r="E668" i="127" s="1"/>
  <c r="AN206" i="187"/>
  <c r="AN207" i="187" s="1"/>
  <c r="AN209" i="187" s="1"/>
  <c r="AN342" i="187" s="1"/>
  <c r="Z40" i="127" s="1"/>
  <c r="AN212" i="187"/>
  <c r="AN213" i="187" s="1"/>
  <c r="G377" i="111"/>
  <c r="H377" i="111"/>
  <c r="H317" i="111"/>
  <c r="G317" i="111"/>
  <c r="E317" i="111"/>
  <c r="AH390" i="111"/>
  <c r="AG390" i="111"/>
  <c r="AE390" i="111"/>
  <c r="AE391" i="111"/>
  <c r="AH391" i="111"/>
  <c r="AG391" i="111"/>
  <c r="AD320" i="111"/>
  <c r="D316" i="111"/>
  <c r="AK28" i="132"/>
  <c r="S28" i="132" s="1"/>
  <c r="BC28" i="132"/>
  <c r="AK27" i="132"/>
  <c r="S27" i="132" s="1"/>
  <c r="BC27" i="132"/>
  <c r="AM170" i="187"/>
  <c r="AM189" i="187" s="1"/>
  <c r="AM190" i="187" s="1"/>
  <c r="AM191" i="187" s="1"/>
  <c r="AN277" i="187" s="1"/>
  <c r="T42" i="127" s="1"/>
  <c r="C524" i="127" s="1"/>
  <c r="E524" i="127" s="1"/>
  <c r="AM174" i="187"/>
  <c r="E530" i="127"/>
  <c r="F581" i="127"/>
  <c r="F582" i="127" s="1"/>
  <c r="F584" i="127" s="1"/>
  <c r="C664" i="127"/>
  <c r="E664" i="127" s="1"/>
  <c r="C665" i="127"/>
  <c r="E665" i="127" s="1"/>
  <c r="E662" i="127"/>
  <c r="C663" i="127"/>
  <c r="E663" i="127" s="1"/>
  <c r="AD173" i="187"/>
  <c r="AE274" i="187" s="1"/>
  <c r="T39" i="99" s="1"/>
  <c r="C550" i="99" s="1"/>
  <c r="E550" i="99" s="1"/>
  <c r="K30" i="145"/>
  <c r="Z30" i="145" s="1"/>
  <c r="Z4" i="159" s="1"/>
  <c r="Z7" i="159" s="1"/>
  <c r="Z16" i="159" s="1"/>
  <c r="AD377" i="111"/>
  <c r="AD204" i="187"/>
  <c r="AD179" i="187"/>
  <c r="AE282" i="187" s="1"/>
  <c r="T47" i="99" s="1"/>
  <c r="AD168" i="187"/>
  <c r="AD169" i="187" s="1"/>
  <c r="AE275" i="187" s="1"/>
  <c r="T40" i="99" s="1"/>
  <c r="C533" i="99" s="1"/>
  <c r="E533" i="99" s="1"/>
  <c r="D303" i="111"/>
  <c r="CA24" i="132"/>
  <c r="CA23" i="132"/>
  <c r="AD171" i="187"/>
  <c r="C623" i="127"/>
  <c r="C618" i="127"/>
  <c r="AD317" i="111"/>
  <c r="AD321" i="111"/>
  <c r="AI113" i="187"/>
  <c r="AI114" i="187" s="1"/>
  <c r="AI115" i="187" s="1"/>
  <c r="AI116" i="187" s="1"/>
  <c r="AI143" i="187" s="1"/>
  <c r="AI200" i="187" s="1"/>
  <c r="AI202" i="187" s="1"/>
  <c r="C635" i="99"/>
  <c r="D756" i="99" s="1"/>
  <c r="C514" i="99"/>
  <c r="C613" i="99" s="1"/>
  <c r="C614" i="99" s="1"/>
  <c r="C516" i="99"/>
  <c r="D623" i="99" s="1"/>
  <c r="C637" i="99"/>
  <c r="D766" i="99" s="1"/>
  <c r="C636" i="99"/>
  <c r="C761" i="99" s="1"/>
  <c r="C762" i="99" s="1"/>
  <c r="C756" i="127"/>
  <c r="F600" i="127"/>
  <c r="N801" i="127" s="1"/>
  <c r="K183" i="141" s="1"/>
  <c r="G591" i="127"/>
  <c r="AB18" i="159"/>
  <c r="AJ267" i="187"/>
  <c r="T49" i="126" s="1"/>
  <c r="AH114" i="187"/>
  <c r="AH115" i="187" s="1"/>
  <c r="G730" i="127"/>
  <c r="F743" i="127"/>
  <c r="N834" i="127" s="1"/>
  <c r="K193" i="141" s="1"/>
  <c r="M18" i="159"/>
  <c r="BS28" i="132" a="1"/>
  <c r="BS28" i="132" s="1"/>
  <c r="AB24" i="159"/>
  <c r="BQ28" i="132" a="1"/>
  <c r="BQ28" i="132" s="1"/>
  <c r="AB22" i="159"/>
  <c r="AD329" i="111"/>
  <c r="BS27" i="132" a="1"/>
  <c r="BS27" i="132" s="1"/>
  <c r="M24" i="159"/>
  <c r="BQ27" i="132" a="1"/>
  <c r="BQ27" i="132" s="1"/>
  <c r="M22" i="159"/>
  <c r="Z32" i="145"/>
  <c r="Z6" i="159" s="1"/>
  <c r="Z9" i="159" s="1"/>
  <c r="K6" i="159"/>
  <c r="K9" i="159" s="1"/>
  <c r="C766" i="127"/>
  <c r="C613" i="127"/>
  <c r="AN317" i="187"/>
  <c r="Z15" i="127" s="1"/>
  <c r="AN170" i="187"/>
  <c r="AN189" i="187" s="1"/>
  <c r="AN316" i="187"/>
  <c r="Z14" i="127" s="1"/>
  <c r="C562" i="127" s="1"/>
  <c r="E562" i="127" s="1"/>
  <c r="AN174" i="187"/>
  <c r="AN337" i="187"/>
  <c r="Z35" i="127" s="1"/>
  <c r="C683" i="127" s="1"/>
  <c r="AN325" i="187"/>
  <c r="Z23" i="127" s="1"/>
  <c r="C561" i="127" s="1"/>
  <c r="E561" i="127" s="1"/>
  <c r="AN184" i="187"/>
  <c r="C530" i="126"/>
  <c r="E530" i="126" s="1"/>
  <c r="K583" i="126" s="1"/>
  <c r="L583" i="126" s="1"/>
  <c r="C649" i="126"/>
  <c r="E649" i="126" s="1"/>
  <c r="K722" i="126" s="1"/>
  <c r="L722" i="126" s="1"/>
  <c r="C618" i="99"/>
  <c r="C619" i="99" s="1"/>
  <c r="C638" i="99"/>
  <c r="F756" i="99" s="1"/>
  <c r="E757" i="99" s="1"/>
  <c r="C640" i="99"/>
  <c r="F766" i="99" s="1"/>
  <c r="E767" i="99" s="1"/>
  <c r="C518" i="99"/>
  <c r="F618" i="99" s="1"/>
  <c r="E619" i="99" s="1"/>
  <c r="C519" i="99"/>
  <c r="F623" i="99" s="1"/>
  <c r="E624" i="99" s="1"/>
  <c r="C517" i="99"/>
  <c r="F613" i="99" s="1"/>
  <c r="E614" i="99" s="1"/>
  <c r="C639" i="99"/>
  <c r="F761" i="99" s="1"/>
  <c r="E762" i="99" s="1"/>
  <c r="Z13" i="99"/>
  <c r="C561" i="99" s="1"/>
  <c r="E561" i="99" s="1"/>
  <c r="Z22" i="99"/>
  <c r="C560" i="99" s="1"/>
  <c r="E560" i="99" s="1"/>
  <c r="Y55" i="111"/>
  <c r="Y53" i="111"/>
  <c r="F602" i="99"/>
  <c r="N803" i="99" s="1"/>
  <c r="K143" i="141" s="1"/>
  <c r="G732" i="99"/>
  <c r="F745" i="99"/>
  <c r="N836" i="99" s="1"/>
  <c r="K153" i="141" s="1"/>
  <c r="O593" i="99"/>
  <c r="G602" i="99"/>
  <c r="O803" i="99" s="1"/>
  <c r="L143" i="141" s="1"/>
  <c r="AE173" i="187"/>
  <c r="AE316" i="187" s="1"/>
  <c r="AE171" i="187"/>
  <c r="AE168" i="187"/>
  <c r="AE169" i="187" s="1"/>
  <c r="AE317" i="187" s="1"/>
  <c r="AE180" i="187"/>
  <c r="AE181" i="187" s="1"/>
  <c r="AE322" i="187" s="1"/>
  <c r="AE182" i="187"/>
  <c r="AE183" i="187"/>
  <c r="AE325" i="187" s="1"/>
  <c r="AE337" i="187"/>
  <c r="AE205" i="187"/>
  <c r="AN327" i="187" l="1"/>
  <c r="Z25" i="127" s="1"/>
  <c r="AN219" i="187"/>
  <c r="AD225" i="187"/>
  <c r="AE295" i="187" s="1"/>
  <c r="T60" i="99" s="1"/>
  <c r="C664" i="99" s="1"/>
  <c r="C684" i="127"/>
  <c r="C688" i="127"/>
  <c r="C687" i="127"/>
  <c r="C689" i="127"/>
  <c r="AN217" i="187"/>
  <c r="AM221" i="187"/>
  <c r="AM226" i="187" s="1"/>
  <c r="AN296" i="187" s="1"/>
  <c r="T61" i="127" s="1"/>
  <c r="C669" i="127" s="1"/>
  <c r="E669" i="127" s="1"/>
  <c r="AM220" i="187"/>
  <c r="AM224" i="187" s="1"/>
  <c r="AM229" i="187" s="1"/>
  <c r="AM218" i="187"/>
  <c r="AN292" i="187"/>
  <c r="T57" i="127" s="1"/>
  <c r="C644" i="127" s="1"/>
  <c r="E644" i="127" s="1"/>
  <c r="E705" i="127" s="1"/>
  <c r="AM223" i="187"/>
  <c r="AM228" i="187" s="1"/>
  <c r="AN298" i="187" s="1"/>
  <c r="T63" i="127" s="1"/>
  <c r="C671" i="127" s="1"/>
  <c r="E671" i="127" s="1"/>
  <c r="AN293" i="187"/>
  <c r="T58" i="127" s="1"/>
  <c r="C645" i="127" s="1"/>
  <c r="E645" i="127" s="1"/>
  <c r="AE206" i="187"/>
  <c r="AE207" i="187" s="1"/>
  <c r="AE212" i="187"/>
  <c r="AE213" i="187" s="1"/>
  <c r="AH377" i="111"/>
  <c r="AG377" i="111"/>
  <c r="AK314" i="111"/>
  <c r="AK331" i="111" s="1"/>
  <c r="AK333" i="111" s="1"/>
  <c r="Y58" i="111" s="1"/>
  <c r="BC24" i="132" s="1"/>
  <c r="H316" i="111"/>
  <c r="G316" i="111"/>
  <c r="E316" i="111"/>
  <c r="AH317" i="111"/>
  <c r="AG317" i="111"/>
  <c r="AE317" i="111"/>
  <c r="G303" i="111"/>
  <c r="H303" i="111"/>
  <c r="AM192" i="187"/>
  <c r="AN279" i="187" s="1"/>
  <c r="T44" i="127" s="1"/>
  <c r="C546" i="127" s="1"/>
  <c r="E546" i="127" s="1"/>
  <c r="AN278" i="187"/>
  <c r="T43" i="127" s="1"/>
  <c r="C543" i="127" s="1"/>
  <c r="E543" i="127" s="1"/>
  <c r="AA28" i="132" a="1"/>
  <c r="AA28" i="132" s="1"/>
  <c r="Y28" i="132" s="1"/>
  <c r="AB28" i="132" a="1"/>
  <c r="AB28" i="132" s="1"/>
  <c r="BC23" i="132"/>
  <c r="BO27" i="132" a="1"/>
  <c r="BO27" i="132" s="1"/>
  <c r="AB23" i="159"/>
  <c r="AB27" i="132" a="1"/>
  <c r="AB27" i="132" s="1"/>
  <c r="AA27" i="132" a="1"/>
  <c r="AA27" i="132" s="1"/>
  <c r="AK23" i="132"/>
  <c r="S23" i="132" s="1"/>
  <c r="E523" i="127"/>
  <c r="E532" i="99"/>
  <c r="F583" i="99"/>
  <c r="F584" i="99" s="1"/>
  <c r="F586" i="99" s="1"/>
  <c r="Z20" i="159"/>
  <c r="AD182" i="187"/>
  <c r="AD174" i="187"/>
  <c r="AD183" i="187"/>
  <c r="AE283" i="187" s="1"/>
  <c r="T48" i="99" s="1"/>
  <c r="C549" i="99" s="1"/>
  <c r="E549" i="99" s="1"/>
  <c r="K4" i="159"/>
  <c r="K7" i="159" s="1"/>
  <c r="K16" i="159" s="1"/>
  <c r="AD316" i="111"/>
  <c r="AD180" i="187"/>
  <c r="AD181" i="187" s="1"/>
  <c r="AE280" i="187" s="1"/>
  <c r="T45" i="99" s="1"/>
  <c r="C529" i="99" s="1"/>
  <c r="E529" i="99" s="1"/>
  <c r="AD170" i="187"/>
  <c r="AD189" i="187" s="1"/>
  <c r="AE278" i="187" s="1"/>
  <c r="T43" i="99" s="1"/>
  <c r="C545" i="99" s="1"/>
  <c r="E545" i="99" s="1"/>
  <c r="C546" i="99"/>
  <c r="E546" i="99" s="1"/>
  <c r="AD205" i="187"/>
  <c r="AI203" i="187"/>
  <c r="AD303" i="111"/>
  <c r="AJ351" i="187"/>
  <c r="C47" i="126" s="1"/>
  <c r="C756" i="99"/>
  <c r="C757" i="99" s="1"/>
  <c r="C758" i="99" s="1"/>
  <c r="AJ371" i="187"/>
  <c r="C68" i="126" s="1"/>
  <c r="AJ370" i="187"/>
  <c r="C67" i="126" s="1"/>
  <c r="AI118" i="187"/>
  <c r="AI119" i="187" s="1"/>
  <c r="AI142" i="187" s="1"/>
  <c r="AI167" i="187" s="1"/>
  <c r="AJ273" i="187" s="1"/>
  <c r="T55" i="126" s="1"/>
  <c r="C537" i="126" s="1"/>
  <c r="E537" i="126" s="1"/>
  <c r="AI117" i="187"/>
  <c r="C615" i="99"/>
  <c r="D761" i="99"/>
  <c r="AJ113" i="187"/>
  <c r="AJ352" i="187" s="1"/>
  <c r="C48" i="126" s="1"/>
  <c r="D613" i="99"/>
  <c r="C763" i="99"/>
  <c r="C623" i="99"/>
  <c r="C624" i="99" s="1"/>
  <c r="C625" i="99" s="1"/>
  <c r="C766" i="99"/>
  <c r="C767" i="99" s="1"/>
  <c r="C768" i="99" s="1"/>
  <c r="BO28" i="132" a="1"/>
  <c r="BO28" i="132" s="1"/>
  <c r="AH116" i="187"/>
  <c r="AH117" i="187"/>
  <c r="AH118" i="187"/>
  <c r="C528" i="126"/>
  <c r="E528" i="126" s="1"/>
  <c r="C647" i="126"/>
  <c r="E647" i="126" s="1"/>
  <c r="G743" i="127"/>
  <c r="O834" i="127" s="1"/>
  <c r="L193" i="141" s="1"/>
  <c r="O730" i="127"/>
  <c r="M23" i="159"/>
  <c r="O591" i="127"/>
  <c r="G600" i="127"/>
  <c r="O801" i="127" s="1"/>
  <c r="L183" i="141" s="1"/>
  <c r="Z18" i="159"/>
  <c r="BQ24" i="132" a="1"/>
  <c r="BQ24" i="132" s="1"/>
  <c r="Z22" i="159"/>
  <c r="AN334" i="187"/>
  <c r="Z32" i="127" s="1"/>
  <c r="AN320" i="187"/>
  <c r="Z18" i="127" s="1"/>
  <c r="C557" i="127" s="1"/>
  <c r="E557" i="127" s="1"/>
  <c r="AN190" i="187"/>
  <c r="AN191" i="187" s="1"/>
  <c r="AN319" i="187" s="1"/>
  <c r="Z17" i="127" s="1"/>
  <c r="AN192" i="187"/>
  <c r="E683" i="127"/>
  <c r="E689" i="127" s="1"/>
  <c r="C685" i="127"/>
  <c r="C686" i="127"/>
  <c r="C620" i="99"/>
  <c r="Z20" i="99"/>
  <c r="Z15" i="99"/>
  <c r="Z14" i="99"/>
  <c r="C564" i="99" s="1"/>
  <c r="E564" i="99" s="1"/>
  <c r="Z23" i="99"/>
  <c r="C563" i="99" s="1"/>
  <c r="E563" i="99" s="1"/>
  <c r="O732" i="99"/>
  <c r="G745" i="99"/>
  <c r="O836" i="99" s="1"/>
  <c r="L153" i="141" s="1"/>
  <c r="AE170" i="187"/>
  <c r="AE189" i="187" s="1"/>
  <c r="AE320" i="187" s="1"/>
  <c r="AE174" i="187"/>
  <c r="AE184" i="187"/>
  <c r="AE209" i="187" l="1"/>
  <c r="AE342" i="187" s="1"/>
  <c r="AE219" i="187"/>
  <c r="C668" i="99"/>
  <c r="E668" i="99" s="1"/>
  <c r="C667" i="99"/>
  <c r="E667" i="99" s="1"/>
  <c r="C665" i="99"/>
  <c r="E665" i="99" s="1"/>
  <c r="E664" i="99"/>
  <c r="C666" i="99"/>
  <c r="E666" i="99" s="1"/>
  <c r="C670" i="99"/>
  <c r="E670" i="99" s="1"/>
  <c r="C669" i="99"/>
  <c r="E669" i="99" s="1"/>
  <c r="E675" i="99" s="1"/>
  <c r="AM222" i="187"/>
  <c r="AM227" i="187" s="1"/>
  <c r="AN297" i="187" s="1"/>
  <c r="T62" i="127" s="1"/>
  <c r="C670" i="127" s="1"/>
  <c r="E670" i="127" s="1"/>
  <c r="AN294" i="187"/>
  <c r="T59" i="127" s="1"/>
  <c r="AN299" i="187"/>
  <c r="T64" i="127" s="1"/>
  <c r="C674" i="127" s="1"/>
  <c r="E674" i="127" s="1"/>
  <c r="AN221" i="187"/>
  <c r="AN226" i="187" s="1"/>
  <c r="AN338" i="187" s="1"/>
  <c r="Z36" i="127" s="1"/>
  <c r="C690" i="127" s="1"/>
  <c r="E690" i="127" s="1"/>
  <c r="AN220" i="187"/>
  <c r="AN224" i="187" s="1"/>
  <c r="AN229" i="187" s="1"/>
  <c r="AN218" i="187"/>
  <c r="AN223" i="187"/>
  <c r="AN228" i="187" s="1"/>
  <c r="AN340" i="187" s="1"/>
  <c r="Z38" i="127" s="1"/>
  <c r="C692" i="127" s="1"/>
  <c r="E692" i="127" s="1"/>
  <c r="AN335" i="187"/>
  <c r="Z33" i="127" s="1"/>
  <c r="AE327" i="187"/>
  <c r="Z25" i="99" s="1"/>
  <c r="AE217" i="187"/>
  <c r="AD206" i="187"/>
  <c r="AD207" i="187" s="1"/>
  <c r="AD219" i="187" s="1"/>
  <c r="AD212" i="187"/>
  <c r="AD213" i="187" s="1"/>
  <c r="AH303" i="111"/>
  <c r="AG303" i="111"/>
  <c r="Y56" i="111"/>
  <c r="AK24" i="132" s="1"/>
  <c r="S24" i="132" s="1"/>
  <c r="AH316" i="111"/>
  <c r="AG316" i="111"/>
  <c r="AE316" i="111"/>
  <c r="AM193" i="187"/>
  <c r="AM194" i="187" s="1"/>
  <c r="AN354" i="187" s="1"/>
  <c r="C52" i="127" s="1"/>
  <c r="F577" i="127"/>
  <c r="F578" i="127" s="1"/>
  <c r="AA24" i="132" a="1"/>
  <c r="AA24" i="132" s="1"/>
  <c r="BS24" i="132" a="1"/>
  <c r="BS24" i="132" s="1"/>
  <c r="Z28" i="132" a="1"/>
  <c r="Z28" i="132" s="1"/>
  <c r="Z27" i="132" a="1"/>
  <c r="Z27" i="132" s="1"/>
  <c r="Y27" i="132" s="1"/>
  <c r="BQ23" i="132" a="1"/>
  <c r="BQ23" i="132" s="1"/>
  <c r="F723" i="127"/>
  <c r="C723" i="127"/>
  <c r="J723" i="127" s="1"/>
  <c r="N723" i="127" s="1"/>
  <c r="C703" i="126"/>
  <c r="J703" i="126" s="1"/>
  <c r="N703" i="126" s="1"/>
  <c r="O703" i="126" s="1"/>
  <c r="C568" i="126"/>
  <c r="J568" i="126" s="1"/>
  <c r="N568" i="126" s="1"/>
  <c r="O568" i="126" s="1"/>
  <c r="Z24" i="159"/>
  <c r="E528" i="99"/>
  <c r="F581" i="99"/>
  <c r="F582" i="99" s="1"/>
  <c r="AD184" i="187"/>
  <c r="K22" i="159"/>
  <c r="AD190" i="187"/>
  <c r="AD191" i="187" s="1"/>
  <c r="AE277" i="187" s="1"/>
  <c r="T42" i="99" s="1"/>
  <c r="C526" i="99" s="1"/>
  <c r="E526" i="99" s="1"/>
  <c r="K18" i="159"/>
  <c r="AD192" i="187"/>
  <c r="AE279" i="187" s="1"/>
  <c r="T44" i="99" s="1"/>
  <c r="C548" i="99" s="1"/>
  <c r="E548" i="99" s="1"/>
  <c r="K20" i="159"/>
  <c r="AI204" i="187"/>
  <c r="AI225" i="187" s="1"/>
  <c r="AI171" i="187"/>
  <c r="AI179" i="187"/>
  <c r="AJ282" i="187" s="1"/>
  <c r="T64" i="126" s="1"/>
  <c r="C536" i="126" s="1"/>
  <c r="E536" i="126" s="1"/>
  <c r="AI168" i="187"/>
  <c r="AI169" i="187" s="1"/>
  <c r="AJ275" i="187" s="1"/>
  <c r="T57" i="126" s="1"/>
  <c r="C523" i="126" s="1"/>
  <c r="E523" i="126" s="1"/>
  <c r="AI173" i="187"/>
  <c r="AJ274" i="187" s="1"/>
  <c r="T56" i="126" s="1"/>
  <c r="C540" i="126" s="1"/>
  <c r="E540" i="126" s="1"/>
  <c r="AJ374" i="187"/>
  <c r="C71" i="126" s="1"/>
  <c r="D357" i="111" s="1"/>
  <c r="D353" i="111" s="1"/>
  <c r="AJ114" i="187"/>
  <c r="AJ115" i="187" s="1"/>
  <c r="AJ375" i="187"/>
  <c r="AJ300" i="187"/>
  <c r="T82" i="126" s="1"/>
  <c r="L30" i="145"/>
  <c r="AJ136" i="187"/>
  <c r="AJ137" i="187" s="1"/>
  <c r="AH119" i="187"/>
  <c r="E688" i="127"/>
  <c r="E684" i="127"/>
  <c r="F712" i="127" s="1"/>
  <c r="E687" i="127"/>
  <c r="F715" i="127" s="1"/>
  <c r="E685" i="127"/>
  <c r="E686" i="127"/>
  <c r="F714" i="127" s="1"/>
  <c r="BO24" i="132" a="1"/>
  <c r="BO24" i="132" s="1"/>
  <c r="Z23" i="159"/>
  <c r="AN321" i="187"/>
  <c r="Z19" i="127" s="1"/>
  <c r="C560" i="127" s="1"/>
  <c r="E560" i="127" s="1"/>
  <c r="AN193" i="187"/>
  <c r="AN194" i="187" s="1"/>
  <c r="AN355" i="187" s="1"/>
  <c r="C53" i="127" s="1"/>
  <c r="Z18" i="99"/>
  <c r="C559" i="99" s="1"/>
  <c r="E559" i="99" s="1"/>
  <c r="AE192" i="187"/>
  <c r="AE321" i="187" s="1"/>
  <c r="E674" i="99"/>
  <c r="Z40" i="99"/>
  <c r="Z26" i="99"/>
  <c r="AE190" i="187"/>
  <c r="AE191" i="187" s="1"/>
  <c r="AE319" i="187" s="1"/>
  <c r="AD209" i="187" l="1"/>
  <c r="AE286" i="187" s="1"/>
  <c r="T51" i="99" s="1"/>
  <c r="C651" i="99" s="1"/>
  <c r="E651" i="99" s="1"/>
  <c r="AN222" i="187"/>
  <c r="AN227" i="187" s="1"/>
  <c r="AN339" i="187" s="1"/>
  <c r="Z37" i="127" s="1"/>
  <c r="C691" i="127" s="1"/>
  <c r="E691" i="127" s="1"/>
  <c r="AN336" i="187"/>
  <c r="Z34" i="127" s="1"/>
  <c r="C706" i="127" s="1"/>
  <c r="E706" i="127" s="1"/>
  <c r="AN341" i="187"/>
  <c r="Z39" i="127" s="1"/>
  <c r="C695" i="127" s="1"/>
  <c r="E695" i="127" s="1"/>
  <c r="AM230" i="187"/>
  <c r="AM231" i="187" s="1"/>
  <c r="AM232" i="187" s="1"/>
  <c r="AN356" i="187" s="1"/>
  <c r="C54" i="127" s="1"/>
  <c r="AE285" i="187"/>
  <c r="T50" i="99" s="1"/>
  <c r="C650" i="99" s="1"/>
  <c r="E650" i="99" s="1"/>
  <c r="AD217" i="187"/>
  <c r="AE221" i="187"/>
  <c r="AE226" i="187" s="1"/>
  <c r="AE338" i="187" s="1"/>
  <c r="Z36" i="99" s="1"/>
  <c r="C692" i="99" s="1"/>
  <c r="E692" i="99" s="1"/>
  <c r="AE220" i="187"/>
  <c r="AE224" i="187" s="1"/>
  <c r="AE229" i="187" s="1"/>
  <c r="AE341" i="187" s="1"/>
  <c r="Z39" i="99" s="1"/>
  <c r="C697" i="99" s="1"/>
  <c r="E697" i="99" s="1"/>
  <c r="AE218" i="187"/>
  <c r="AE334" i="187"/>
  <c r="Z32" i="99" s="1"/>
  <c r="AE223" i="187"/>
  <c r="AE228" i="187" s="1"/>
  <c r="AE340" i="187" s="1"/>
  <c r="Z38" i="99" s="1"/>
  <c r="C694" i="99" s="1"/>
  <c r="E694" i="99" s="1"/>
  <c r="AE335" i="187"/>
  <c r="Z33" i="99" s="1"/>
  <c r="H353" i="111"/>
  <c r="G353" i="111"/>
  <c r="E353" i="111"/>
  <c r="C56" i="127"/>
  <c r="D378" i="111" s="1"/>
  <c r="BS23" i="132" a="1"/>
  <c r="BS23" i="132" s="1"/>
  <c r="BO23" i="132" a="1"/>
  <c r="BO23" i="132" s="1"/>
  <c r="AA23" i="132" a="1"/>
  <c r="AA23" i="132" s="1"/>
  <c r="Z24" i="132" a="1"/>
  <c r="Z24" i="132" s="1"/>
  <c r="AB24" i="132" a="1"/>
  <c r="AB24" i="132" s="1"/>
  <c r="F722" i="127"/>
  <c r="F721" i="127"/>
  <c r="F716" i="127"/>
  <c r="F718" i="127"/>
  <c r="E694" i="127"/>
  <c r="F719" i="127"/>
  <c r="F720" i="127" s="1"/>
  <c r="E522" i="126"/>
  <c r="E525" i="99"/>
  <c r="F579" i="99"/>
  <c r="F580" i="99" s="1"/>
  <c r="K24" i="159"/>
  <c r="AJ295" i="187"/>
  <c r="T77" i="126" s="1"/>
  <c r="C654" i="126" s="1"/>
  <c r="AI205" i="187"/>
  <c r="K23" i="159"/>
  <c r="AD193" i="187"/>
  <c r="AD194" i="187" s="1"/>
  <c r="AE354" i="187" s="1"/>
  <c r="C52" i="99" s="1"/>
  <c r="Y24" i="132"/>
  <c r="AI174" i="187"/>
  <c r="AI170" i="187"/>
  <c r="AI189" i="187" s="1"/>
  <c r="AJ278" i="187" s="1"/>
  <c r="T60" i="126" s="1"/>
  <c r="C535" i="126" s="1"/>
  <c r="E535" i="126" s="1"/>
  <c r="AI183" i="187"/>
  <c r="AJ283" i="187" s="1"/>
  <c r="T65" i="126" s="1"/>
  <c r="C539" i="126" s="1"/>
  <c r="E539" i="126" s="1"/>
  <c r="AI180" i="187"/>
  <c r="AI181" i="187" s="1"/>
  <c r="AJ280" i="187" s="1"/>
  <c r="T62" i="126" s="1"/>
  <c r="C519" i="126" s="1"/>
  <c r="E519" i="126" s="1"/>
  <c r="AI182" i="187"/>
  <c r="L33" i="145"/>
  <c r="AA33" i="145" s="1"/>
  <c r="AD357" i="111"/>
  <c r="AD353" i="111"/>
  <c r="AJ116" i="187"/>
  <c r="AJ143" i="187" s="1"/>
  <c r="AJ200" i="187" s="1"/>
  <c r="AJ202" i="187" s="1"/>
  <c r="AJ118" i="187"/>
  <c r="AJ119" i="187" s="1"/>
  <c r="AJ142" i="187" s="1"/>
  <c r="AJ117" i="187"/>
  <c r="C72" i="126"/>
  <c r="L34" i="145"/>
  <c r="AA34" i="145" s="1"/>
  <c r="E693" i="127"/>
  <c r="AJ268" i="187"/>
  <c r="T50" i="126" s="1"/>
  <c r="AJ348" i="187"/>
  <c r="C36" i="126" s="1"/>
  <c r="C6" i="126" s="1"/>
  <c r="AA30" i="145"/>
  <c r="AA4" i="159" s="1"/>
  <c r="AA7" i="159" s="1"/>
  <c r="AA16" i="159" s="1"/>
  <c r="L4" i="159"/>
  <c r="L7" i="159" s="1"/>
  <c r="L16" i="159" s="1"/>
  <c r="C505" i="126"/>
  <c r="C626" i="126"/>
  <c r="C625" i="126"/>
  <c r="C627" i="126"/>
  <c r="C506" i="126"/>
  <c r="C504" i="126"/>
  <c r="Z17" i="99"/>
  <c r="Z35" i="99"/>
  <c r="C685" i="99" s="1"/>
  <c r="Z19" i="99"/>
  <c r="C562" i="99" s="1"/>
  <c r="E562" i="99" s="1"/>
  <c r="AE193" i="187"/>
  <c r="AE194" i="187" s="1"/>
  <c r="AE355" i="187" s="1"/>
  <c r="C53" i="99" s="1"/>
  <c r="D381" i="111" l="1"/>
  <c r="E381" i="111" s="1"/>
  <c r="AN230" i="187"/>
  <c r="AN231" i="187" s="1"/>
  <c r="AN232" i="187" s="1"/>
  <c r="AN357" i="187" s="1"/>
  <c r="C55" i="127" s="1"/>
  <c r="C57" i="127" s="1"/>
  <c r="AE222" i="187"/>
  <c r="AE227" i="187" s="1"/>
  <c r="AE336" i="187"/>
  <c r="Z34" i="99" s="1"/>
  <c r="C708" i="99" s="1"/>
  <c r="E708" i="99" s="1"/>
  <c r="AD223" i="187"/>
  <c r="AD228" i="187" s="1"/>
  <c r="AE298" i="187" s="1"/>
  <c r="T63" i="99" s="1"/>
  <c r="C673" i="99" s="1"/>
  <c r="E673" i="99" s="1"/>
  <c r="AE293" i="187"/>
  <c r="T58" i="99" s="1"/>
  <c r="C647" i="99" s="1"/>
  <c r="E647" i="99" s="1"/>
  <c r="AD221" i="187"/>
  <c r="AD226" i="187" s="1"/>
  <c r="AE296" i="187" s="1"/>
  <c r="T61" i="99" s="1"/>
  <c r="C671" i="99" s="1"/>
  <c r="E671" i="99" s="1"/>
  <c r="AD220" i="187"/>
  <c r="AD224" i="187" s="1"/>
  <c r="AD229" i="187" s="1"/>
  <c r="AE299" i="187" s="1"/>
  <c r="T64" i="99" s="1"/>
  <c r="C676" i="99" s="1"/>
  <c r="E676" i="99" s="1"/>
  <c r="AD218" i="187"/>
  <c r="AE292" i="187"/>
  <c r="T57" i="99" s="1"/>
  <c r="C646" i="99" s="1"/>
  <c r="E646" i="99" s="1"/>
  <c r="E707" i="99" s="1"/>
  <c r="C689" i="99"/>
  <c r="C691" i="99"/>
  <c r="C690" i="99"/>
  <c r="C659" i="126"/>
  <c r="E659" i="126" s="1"/>
  <c r="E665" i="126" s="1"/>
  <c r="C658" i="126"/>
  <c r="E658" i="126" s="1"/>
  <c r="E664" i="126" s="1"/>
  <c r="C660" i="126"/>
  <c r="E660" i="126" s="1"/>
  <c r="AI206" i="187"/>
  <c r="AI207" i="187" s="1"/>
  <c r="AI212" i="187"/>
  <c r="AI213" i="187" s="1"/>
  <c r="E378" i="111"/>
  <c r="H378" i="111"/>
  <c r="G378" i="111"/>
  <c r="AE353" i="111"/>
  <c r="AH353" i="111"/>
  <c r="AG353" i="111"/>
  <c r="CC27" i="132"/>
  <c r="Z23" i="132" a="1"/>
  <c r="Z23" i="132" s="1"/>
  <c r="Y23" i="132" s="1"/>
  <c r="AB23" i="132" a="1"/>
  <c r="AB23" i="132" s="1"/>
  <c r="E518" i="126"/>
  <c r="C657" i="126"/>
  <c r="E657" i="126" s="1"/>
  <c r="E654" i="126"/>
  <c r="C56" i="99"/>
  <c r="D304" i="111" s="1"/>
  <c r="C655" i="126"/>
  <c r="E655" i="126" s="1"/>
  <c r="C656" i="126"/>
  <c r="E656" i="126" s="1"/>
  <c r="AJ203" i="187"/>
  <c r="D340" i="111"/>
  <c r="CA26" i="132"/>
  <c r="CA25" i="132"/>
  <c r="AI184" i="187"/>
  <c r="AI190" i="187"/>
  <c r="AI191" i="187" s="1"/>
  <c r="AJ277" i="187" s="1"/>
  <c r="T59" i="126" s="1"/>
  <c r="C516" i="126" s="1"/>
  <c r="E516" i="126" s="1"/>
  <c r="AI192" i="187"/>
  <c r="AJ279" i="187" s="1"/>
  <c r="T61" i="126" s="1"/>
  <c r="C538" i="126" s="1"/>
  <c r="E538" i="126" s="1"/>
  <c r="AJ301" i="187"/>
  <c r="T83" i="126" s="1"/>
  <c r="L32" i="145"/>
  <c r="AJ204" i="187"/>
  <c r="AJ225" i="187" s="1"/>
  <c r="AJ167" i="187"/>
  <c r="AJ179" i="187"/>
  <c r="D366" i="111"/>
  <c r="K351" i="111" s="1"/>
  <c r="K368" i="111" s="1"/>
  <c r="K370" i="111" s="1"/>
  <c r="D358" i="111"/>
  <c r="D354" i="111" s="1"/>
  <c r="C756" i="126"/>
  <c r="C757" i="126" s="1"/>
  <c r="D756" i="126"/>
  <c r="D751" i="126"/>
  <c r="C751" i="126"/>
  <c r="C752" i="126" s="1"/>
  <c r="D608" i="126"/>
  <c r="C608" i="126"/>
  <c r="C609" i="126" s="1"/>
  <c r="D746" i="126"/>
  <c r="C746" i="126"/>
  <c r="C747" i="126" s="1"/>
  <c r="BQ25" i="132" a="1"/>
  <c r="BQ25" i="132" s="1"/>
  <c r="L22" i="159"/>
  <c r="C613" i="126"/>
  <c r="C614" i="126" s="1"/>
  <c r="D613" i="126"/>
  <c r="AA22" i="159"/>
  <c r="BQ26" i="132" a="1"/>
  <c r="BQ26" i="132" s="1"/>
  <c r="D603" i="126"/>
  <c r="C603" i="126"/>
  <c r="C604" i="126" s="1"/>
  <c r="C648" i="126"/>
  <c r="E648" i="126" s="1"/>
  <c r="F722" i="126" s="1"/>
  <c r="C529" i="126"/>
  <c r="E529" i="126" s="1"/>
  <c r="F583" i="126" s="1"/>
  <c r="C686" i="99"/>
  <c r="C688" i="99"/>
  <c r="C687" i="99"/>
  <c r="E685" i="99"/>
  <c r="E686" i="99" s="1"/>
  <c r="Z26" i="126"/>
  <c r="E333" i="99"/>
  <c r="C340" i="99" s="1"/>
  <c r="AI209" i="187" l="1"/>
  <c r="AJ286" i="187" s="1"/>
  <c r="T68" i="126" s="1"/>
  <c r="C641" i="126" s="1"/>
  <c r="E641" i="126" s="1"/>
  <c r="AI219" i="187"/>
  <c r="AD378" i="111"/>
  <c r="CC28" i="132"/>
  <c r="AD381" i="111"/>
  <c r="AE381" i="111" s="1"/>
  <c r="AJ285" i="187"/>
  <c r="T67" i="126" s="1"/>
  <c r="C640" i="126" s="1"/>
  <c r="E640" i="126" s="1"/>
  <c r="AI217" i="187"/>
  <c r="AD222" i="187"/>
  <c r="AD227" i="187" s="1"/>
  <c r="AE294" i="187"/>
  <c r="T59" i="99" s="1"/>
  <c r="F714" i="99"/>
  <c r="AE230" i="187"/>
  <c r="AE231" i="187" s="1"/>
  <c r="AE232" i="187" s="1"/>
  <c r="AE357" i="187" s="1"/>
  <c r="C55" i="99" s="1"/>
  <c r="AE339" i="187"/>
  <c r="Z37" i="99" s="1"/>
  <c r="C693" i="99" s="1"/>
  <c r="E693" i="99" s="1"/>
  <c r="G340" i="111"/>
  <c r="H340" i="111"/>
  <c r="H304" i="111"/>
  <c r="G304" i="111"/>
  <c r="E304" i="111"/>
  <c r="G354" i="111"/>
  <c r="H354" i="111"/>
  <c r="E354" i="111"/>
  <c r="AD340" i="111"/>
  <c r="AA25" i="132" a="1"/>
  <c r="AA25" i="132" s="1"/>
  <c r="AA26" i="132" a="1"/>
  <c r="AA26" i="132" s="1"/>
  <c r="CC23" i="132"/>
  <c r="E515" i="126"/>
  <c r="D307" i="111"/>
  <c r="E307" i="111" s="1"/>
  <c r="AI193" i="187"/>
  <c r="AI194" i="187" s="1"/>
  <c r="AJ354" i="187" s="1"/>
  <c r="C52" i="126" s="1"/>
  <c r="AJ315" i="187"/>
  <c r="Z13" i="126" s="1"/>
  <c r="C551" i="126" s="1"/>
  <c r="E551" i="126" s="1"/>
  <c r="F573" i="126" s="1"/>
  <c r="F574" i="126" s="1"/>
  <c r="F576" i="126" s="1"/>
  <c r="AJ173" i="187"/>
  <c r="AJ171" i="187"/>
  <c r="AJ168" i="187"/>
  <c r="AJ169" i="187" s="1"/>
  <c r="AJ205" i="187"/>
  <c r="AA32" i="145"/>
  <c r="AA6" i="159" s="1"/>
  <c r="AA9" i="159" s="1"/>
  <c r="L6" i="159"/>
  <c r="L9" i="159" s="1"/>
  <c r="AJ324" i="187"/>
  <c r="Z22" i="126" s="1"/>
  <c r="C550" i="126" s="1"/>
  <c r="E550" i="126" s="1"/>
  <c r="F571" i="126" s="1"/>
  <c r="F572" i="126" s="1"/>
  <c r="AJ183" i="187"/>
  <c r="AJ180" i="187"/>
  <c r="AJ181" i="187" s="1"/>
  <c r="AJ322" i="187" s="1"/>
  <c r="Z20" i="126" s="1"/>
  <c r="AJ182" i="187"/>
  <c r="C629" i="126"/>
  <c r="F751" i="126" s="1"/>
  <c r="E752" i="126" s="1"/>
  <c r="C753" i="126" s="1"/>
  <c r="C628" i="126"/>
  <c r="F746" i="126" s="1"/>
  <c r="E747" i="126" s="1"/>
  <c r="C748" i="126" s="1"/>
  <c r="C508" i="126"/>
  <c r="F608" i="126" s="1"/>
  <c r="E609" i="126" s="1"/>
  <c r="C610" i="126" s="1"/>
  <c r="C507" i="126"/>
  <c r="F603" i="126" s="1"/>
  <c r="E604" i="126" s="1"/>
  <c r="C605" i="126" s="1"/>
  <c r="C509" i="126"/>
  <c r="F613" i="126" s="1"/>
  <c r="E614" i="126" s="1"/>
  <c r="C615" i="126" s="1"/>
  <c r="C630" i="126"/>
  <c r="F756" i="126" s="1"/>
  <c r="E757" i="126" s="1"/>
  <c r="C758" i="126" s="1"/>
  <c r="AD358" i="111"/>
  <c r="AD366" i="111"/>
  <c r="AK351" i="111" s="1"/>
  <c r="AK368" i="111" s="1"/>
  <c r="AK370" i="111" s="1"/>
  <c r="E690" i="99"/>
  <c r="F721" i="99" s="1"/>
  <c r="F722" i="99" s="1"/>
  <c r="E691" i="99"/>
  <c r="G583" i="126"/>
  <c r="F592" i="126"/>
  <c r="N793" i="126" s="1"/>
  <c r="K163" i="141" s="1"/>
  <c r="G722" i="126"/>
  <c r="F735" i="126"/>
  <c r="N826" i="126" s="1"/>
  <c r="K173" i="141" s="1"/>
  <c r="E689" i="99"/>
  <c r="E688" i="99"/>
  <c r="F716" i="99" s="1"/>
  <c r="E687" i="99"/>
  <c r="F715" i="99" s="1"/>
  <c r="AE378" i="111" l="1"/>
  <c r="AH378" i="111"/>
  <c r="AG378" i="111"/>
  <c r="AD230" i="187"/>
  <c r="AD231" i="187" s="1"/>
  <c r="AD232" i="187" s="1"/>
  <c r="AE356" i="187" s="1"/>
  <c r="C54" i="99" s="1"/>
  <c r="C57" i="99" s="1"/>
  <c r="AE297" i="187"/>
  <c r="T62" i="99" s="1"/>
  <c r="C672" i="99" s="1"/>
  <c r="E672" i="99" s="1"/>
  <c r="AI221" i="187"/>
  <c r="AI226" i="187" s="1"/>
  <c r="AJ296" i="187" s="1"/>
  <c r="T78" i="126" s="1"/>
  <c r="C661" i="126" s="1"/>
  <c r="E661" i="126" s="1"/>
  <c r="AI220" i="187"/>
  <c r="AI224" i="187" s="1"/>
  <c r="AI229" i="187" s="1"/>
  <c r="AJ299" i="187" s="1"/>
  <c r="T81" i="126" s="1"/>
  <c r="C666" i="126" s="1"/>
  <c r="E666" i="126" s="1"/>
  <c r="AI218" i="187"/>
  <c r="AJ292" i="187"/>
  <c r="T74" i="126" s="1"/>
  <c r="C636" i="126" s="1"/>
  <c r="E636" i="126" s="1"/>
  <c r="E697" i="126" s="1"/>
  <c r="AI223" i="187"/>
  <c r="AI228" i="187" s="1"/>
  <c r="AJ298" i="187" s="1"/>
  <c r="T80" i="126" s="1"/>
  <c r="C663" i="126" s="1"/>
  <c r="E663" i="126" s="1"/>
  <c r="AJ293" i="187"/>
  <c r="T75" i="126" s="1"/>
  <c r="C637" i="126" s="1"/>
  <c r="E637" i="126" s="1"/>
  <c r="AJ206" i="187"/>
  <c r="AJ207" i="187" s="1"/>
  <c r="AJ212" i="187"/>
  <c r="AJ213" i="187" s="1"/>
  <c r="AH340" i="111"/>
  <c r="AG340" i="111"/>
  <c r="F725" i="99"/>
  <c r="C725" i="99"/>
  <c r="J725" i="99" s="1"/>
  <c r="N725" i="99" s="1"/>
  <c r="E695" i="99"/>
  <c r="F717" i="99"/>
  <c r="AJ317" i="187"/>
  <c r="Z15" i="126" s="1"/>
  <c r="AJ170" i="187"/>
  <c r="AJ189" i="187" s="1"/>
  <c r="L20" i="159"/>
  <c r="L18" i="159"/>
  <c r="AJ337" i="187"/>
  <c r="Z35" i="126" s="1"/>
  <c r="C675" i="126" s="1"/>
  <c r="AJ316" i="187"/>
  <c r="Z14" i="126" s="1"/>
  <c r="C554" i="126" s="1"/>
  <c r="E554" i="126" s="1"/>
  <c r="AJ174" i="187"/>
  <c r="AJ325" i="187"/>
  <c r="Z23" i="126" s="1"/>
  <c r="C553" i="126" s="1"/>
  <c r="E553" i="126" s="1"/>
  <c r="AJ184" i="187"/>
  <c r="AA18" i="159"/>
  <c r="AA20" i="159"/>
  <c r="Y64" i="111"/>
  <c r="Y62" i="111"/>
  <c r="Y59" i="111"/>
  <c r="Y61" i="111"/>
  <c r="AD354" i="111"/>
  <c r="E696" i="99"/>
  <c r="O722" i="126"/>
  <c r="G735" i="126"/>
  <c r="O826" i="126" s="1"/>
  <c r="L173" i="141" s="1"/>
  <c r="O583" i="126"/>
  <c r="G592" i="126"/>
  <c r="O793" i="126" s="1"/>
  <c r="L163" i="141" s="1"/>
  <c r="AJ327" i="187" l="1"/>
  <c r="Z25" i="126" s="1"/>
  <c r="AJ219" i="187"/>
  <c r="AJ209" i="187"/>
  <c r="AJ342" i="187" s="1"/>
  <c r="Z40" i="126" s="1"/>
  <c r="AI222" i="187"/>
  <c r="AI227" i="187" s="1"/>
  <c r="AJ294" i="187"/>
  <c r="T76" i="126" s="1"/>
  <c r="AJ217" i="187"/>
  <c r="AJ334" i="187" s="1"/>
  <c r="Z32" i="126" s="1"/>
  <c r="C679" i="126"/>
  <c r="C681" i="126"/>
  <c r="C680" i="126"/>
  <c r="AD304" i="111"/>
  <c r="AD307" i="111"/>
  <c r="AE307" i="111" s="1"/>
  <c r="CC24" i="132"/>
  <c r="AH354" i="111"/>
  <c r="AG354" i="111"/>
  <c r="AE354" i="111"/>
  <c r="AK25" i="132"/>
  <c r="S25" i="132" s="1"/>
  <c r="AK26" i="132"/>
  <c r="S26" i="132" s="1"/>
  <c r="BC26" i="132"/>
  <c r="BC25" i="132"/>
  <c r="F724" i="99"/>
  <c r="F723" i="99"/>
  <c r="F718" i="99"/>
  <c r="F720" i="99"/>
  <c r="E675" i="126"/>
  <c r="E681" i="126" s="1"/>
  <c r="C678" i="126"/>
  <c r="C676" i="126"/>
  <c r="C677" i="126"/>
  <c r="AJ320" i="187"/>
  <c r="Z18" i="126" s="1"/>
  <c r="C549" i="126" s="1"/>
  <c r="E549" i="126" s="1"/>
  <c r="F569" i="126" s="1"/>
  <c r="F570" i="126" s="1"/>
  <c r="AJ192" i="187"/>
  <c r="AJ190" i="187"/>
  <c r="AJ191" i="187" s="1"/>
  <c r="AJ319" i="187" s="1"/>
  <c r="Z17" i="126" s="1"/>
  <c r="BS26" i="132" a="1"/>
  <c r="BS26" i="132" s="1"/>
  <c r="AA24" i="159"/>
  <c r="BO26" i="132" a="1"/>
  <c r="BO26" i="132" s="1"/>
  <c r="AA23" i="159"/>
  <c r="BO25" i="132" a="1"/>
  <c r="BO25" i="132" s="1"/>
  <c r="L23" i="159"/>
  <c r="BS25" i="132" a="1"/>
  <c r="BS25" i="132" s="1"/>
  <c r="L24" i="159"/>
  <c r="BC128" i="204"/>
  <c r="BC143" i="205"/>
  <c r="BC107" i="137"/>
  <c r="BC104" i="203"/>
  <c r="AG304" i="111" l="1"/>
  <c r="AH304" i="111"/>
  <c r="AE304" i="111"/>
  <c r="AI230" i="187"/>
  <c r="AI231" i="187" s="1"/>
  <c r="AI232" i="187" s="1"/>
  <c r="AJ356" i="187" s="1"/>
  <c r="C54" i="126" s="1"/>
  <c r="AJ297" i="187"/>
  <c r="T79" i="126" s="1"/>
  <c r="C662" i="126" s="1"/>
  <c r="E662" i="126" s="1"/>
  <c r="AJ223" i="187"/>
  <c r="AJ228" i="187" s="1"/>
  <c r="AJ340" i="187" s="1"/>
  <c r="Z38" i="126" s="1"/>
  <c r="C684" i="126" s="1"/>
  <c r="E684" i="126" s="1"/>
  <c r="AJ335" i="187"/>
  <c r="Z33" i="126" s="1"/>
  <c r="AJ218" i="187"/>
  <c r="AJ220" i="187"/>
  <c r="AJ224" i="187" s="1"/>
  <c r="AJ229" i="187" s="1"/>
  <c r="AJ341" i="187" s="1"/>
  <c r="Z39" i="126" s="1"/>
  <c r="C687" i="126" s="1"/>
  <c r="E687" i="126" s="1"/>
  <c r="AJ221" i="187"/>
  <c r="AJ226" i="187" s="1"/>
  <c r="AB26" i="132" a="1"/>
  <c r="AB26" i="132" s="1"/>
  <c r="Z26" i="132" a="1"/>
  <c r="Z26" i="132" s="1"/>
  <c r="Y26" i="132" s="1"/>
  <c r="Z25" i="132" a="1"/>
  <c r="Z25" i="132" s="1"/>
  <c r="Y25" i="132" s="1"/>
  <c r="AB25" i="132" a="1"/>
  <c r="AB25" i="132" s="1"/>
  <c r="F715" i="126"/>
  <c r="C715" i="126"/>
  <c r="J715" i="126" s="1"/>
  <c r="N715" i="126" s="1"/>
  <c r="E680" i="126"/>
  <c r="F711" i="126" s="1"/>
  <c r="F712" i="126" s="1"/>
  <c r="E677" i="126"/>
  <c r="E678" i="126"/>
  <c r="F706" i="126" s="1"/>
  <c r="E676" i="126"/>
  <c r="F704" i="126" s="1"/>
  <c r="E679" i="126"/>
  <c r="AJ321" i="187"/>
  <c r="Z19" i="126" s="1"/>
  <c r="C552" i="126" s="1"/>
  <c r="E552" i="126" s="1"/>
  <c r="AJ193" i="187"/>
  <c r="AJ194" i="187" s="1"/>
  <c r="AJ355" i="187" s="1"/>
  <c r="C53" i="126" s="1"/>
  <c r="C56" i="126" s="1"/>
  <c r="D341" i="111" s="1"/>
  <c r="BC127" i="204"/>
  <c r="BC142" i="205"/>
  <c r="BC106" i="137"/>
  <c r="BC103" i="203"/>
  <c r="AJ338" i="187" l="1"/>
  <c r="Z36" i="126" s="1"/>
  <c r="C682" i="126" s="1"/>
  <c r="E682" i="126" s="1"/>
  <c r="AJ222" i="187"/>
  <c r="AJ227" i="187" s="1"/>
  <c r="AJ339" i="187" s="1"/>
  <c r="Z37" i="126" s="1"/>
  <c r="C683" i="126" s="1"/>
  <c r="E683" i="126" s="1"/>
  <c r="AJ336" i="187"/>
  <c r="Z34" i="126" s="1"/>
  <c r="C698" i="126" s="1"/>
  <c r="E698" i="126" s="1"/>
  <c r="H341" i="111"/>
  <c r="G341" i="111"/>
  <c r="E341" i="111"/>
  <c r="CC25" i="132"/>
  <c r="E685" i="126"/>
  <c r="F707" i="126"/>
  <c r="E686" i="126"/>
  <c r="D344" i="111"/>
  <c r="E344" i="111" s="1"/>
  <c r="E333" i="126"/>
  <c r="C340" i="126" s="1"/>
  <c r="E334" i="126"/>
  <c r="E386" i="126"/>
  <c r="F405" i="126" s="1"/>
  <c r="C436" i="126"/>
  <c r="N436" i="126" s="1"/>
  <c r="C482" i="126"/>
  <c r="E482" i="126" s="1"/>
  <c r="C483" i="126"/>
  <c r="E483" i="126" s="1"/>
  <c r="C487" i="126" s="1"/>
  <c r="J95" i="145"/>
  <c r="J96" i="145"/>
  <c r="J97" i="145"/>
  <c r="C704" i="126"/>
  <c r="C706" i="126"/>
  <c r="AJ230" i="187" l="1"/>
  <c r="AJ231" i="187" s="1"/>
  <c r="AJ232" i="187" s="1"/>
  <c r="AJ357" i="187" s="1"/>
  <c r="C55" i="126" s="1"/>
  <c r="C57" i="126" s="1"/>
  <c r="F714" i="126"/>
  <c r="F713" i="126"/>
  <c r="F708" i="126"/>
  <c r="F710" i="126"/>
  <c r="J535" i="126"/>
  <c r="H586" i="126"/>
  <c r="I586" i="126" s="1"/>
  <c r="J586" i="126" s="1"/>
  <c r="K586" i="126"/>
  <c r="L586" i="126" s="1"/>
  <c r="H588" i="126"/>
  <c r="I588" i="126" s="1"/>
  <c r="J588" i="126" s="1"/>
  <c r="H584" i="126"/>
  <c r="K584" i="126"/>
  <c r="C342" i="126"/>
  <c r="G821" i="126" s="1"/>
  <c r="C486" i="126"/>
  <c r="J486" i="126" s="1"/>
  <c r="J487" i="126"/>
  <c r="N487" i="126" s="1"/>
  <c r="O487" i="126" s="1"/>
  <c r="G405" i="126"/>
  <c r="G406" i="126" s="1"/>
  <c r="F406" i="126"/>
  <c r="J706" i="126"/>
  <c r="N706" i="126" s="1"/>
  <c r="O706" i="126" s="1"/>
  <c r="C570" i="126"/>
  <c r="J704" i="126"/>
  <c r="N704" i="126" s="1"/>
  <c r="C437" i="126"/>
  <c r="N437" i="126" s="1"/>
  <c r="AA60" i="145"/>
  <c r="AD341" i="111" l="1"/>
  <c r="AD344" i="111"/>
  <c r="AE344" i="111" s="1"/>
  <c r="CC26" i="132"/>
  <c r="H821" i="126"/>
  <c r="M821" i="126"/>
  <c r="I584" i="126"/>
  <c r="I592" i="126" s="1"/>
  <c r="Q793" i="126" s="1"/>
  <c r="Q794" i="126" s="1"/>
  <c r="H592" i="126"/>
  <c r="P793" i="126" s="1"/>
  <c r="K588" i="126"/>
  <c r="L588" i="126" s="1"/>
  <c r="J534" i="126"/>
  <c r="H734" i="126"/>
  <c r="I734" i="126" s="1"/>
  <c r="J734" i="126" s="1"/>
  <c r="K730" i="126"/>
  <c r="L730" i="126" s="1"/>
  <c r="C825" i="126"/>
  <c r="E825" i="126" s="1"/>
  <c r="O494" i="126"/>
  <c r="O495" i="126" s="1"/>
  <c r="G788" i="126"/>
  <c r="K726" i="126"/>
  <c r="D168" i="141"/>
  <c r="C792" i="126"/>
  <c r="E792" i="126" s="1"/>
  <c r="N486" i="126"/>
  <c r="O486" i="126" s="1"/>
  <c r="C490" i="126"/>
  <c r="D490" i="126"/>
  <c r="C569" i="126"/>
  <c r="O823" i="126"/>
  <c r="L170" i="141" s="1"/>
  <c r="O790" i="126"/>
  <c r="L160" i="141" s="1"/>
  <c r="O704" i="126"/>
  <c r="L584" i="126"/>
  <c r="C573" i="126"/>
  <c r="N823" i="126"/>
  <c r="K170" i="141" s="1"/>
  <c r="N790" i="126"/>
  <c r="K160" i="141" s="1"/>
  <c r="C571" i="126"/>
  <c r="C572" i="126"/>
  <c r="O585" i="126"/>
  <c r="J570" i="126"/>
  <c r="N570" i="126" s="1"/>
  <c r="O570" i="126" s="1"/>
  <c r="E168" i="141"/>
  <c r="L61" i="145"/>
  <c r="AA61" i="145"/>
  <c r="AH341" i="111" l="1"/>
  <c r="AE341" i="111"/>
  <c r="AG341" i="111"/>
  <c r="J168" i="141"/>
  <c r="M163" i="141"/>
  <c r="P794" i="126"/>
  <c r="M164" i="141" s="1"/>
  <c r="D158" i="141"/>
  <c r="M788" i="126"/>
  <c r="J584" i="126"/>
  <c r="J592" i="126" s="1"/>
  <c r="J654" i="126"/>
  <c r="J653" i="126"/>
  <c r="L592" i="126"/>
  <c r="S793" i="126" s="1"/>
  <c r="S794" i="126" s="1"/>
  <c r="K592" i="126"/>
  <c r="R793" i="126" s="1"/>
  <c r="R794" i="126" s="1"/>
  <c r="J537" i="126"/>
  <c r="J536" i="126"/>
  <c r="C712" i="126"/>
  <c r="C713" i="126"/>
  <c r="BC125" i="204"/>
  <c r="BC140" i="205"/>
  <c r="BC124" i="204"/>
  <c r="BC139" i="205"/>
  <c r="BC104" i="137"/>
  <c r="BC101" i="203"/>
  <c r="BC103" i="137"/>
  <c r="BC100" i="203"/>
  <c r="K734" i="126"/>
  <c r="L734" i="126" s="1"/>
  <c r="H725" i="126"/>
  <c r="I725" i="126" s="1"/>
  <c r="J725" i="126" s="1"/>
  <c r="G715" i="126"/>
  <c r="H723" i="126"/>
  <c r="C497" i="126"/>
  <c r="G825" i="126" s="1"/>
  <c r="D172" i="141" s="1"/>
  <c r="H730" i="126"/>
  <c r="I730" i="126" s="1"/>
  <c r="J730" i="126" s="1"/>
  <c r="H788" i="126"/>
  <c r="D491" i="126"/>
  <c r="F792" i="126" s="1"/>
  <c r="C491" i="126"/>
  <c r="J569" i="126"/>
  <c r="N163" i="141"/>
  <c r="O587" i="126"/>
  <c r="J572" i="126"/>
  <c r="N572" i="126" s="1"/>
  <c r="O572" i="126" s="1"/>
  <c r="L726" i="126"/>
  <c r="J571" i="126"/>
  <c r="J573" i="126"/>
  <c r="C574" i="126"/>
  <c r="C576" i="126"/>
  <c r="C575" i="126"/>
  <c r="L69" i="145"/>
  <c r="L68" i="145"/>
  <c r="L70" i="145"/>
  <c r="J158" i="141" l="1"/>
  <c r="E158" i="141"/>
  <c r="L735" i="126"/>
  <c r="S826" i="126" s="1"/>
  <c r="K735" i="126"/>
  <c r="R826" i="126" s="1"/>
  <c r="J656" i="126"/>
  <c r="J655" i="126"/>
  <c r="V793" i="126"/>
  <c r="O163" i="141"/>
  <c r="P163" i="141"/>
  <c r="W793" i="126"/>
  <c r="C579" i="126"/>
  <c r="E573" i="126"/>
  <c r="D573" i="126" s="1"/>
  <c r="M573" i="126" s="1"/>
  <c r="N573" i="126" s="1"/>
  <c r="C711" i="126"/>
  <c r="J711" i="126" s="1"/>
  <c r="C708" i="126"/>
  <c r="J708" i="126" s="1"/>
  <c r="N708" i="126" s="1"/>
  <c r="O708" i="126" s="1"/>
  <c r="C709" i="126"/>
  <c r="J709" i="126" s="1"/>
  <c r="N709" i="126" s="1"/>
  <c r="O709" i="126" s="1"/>
  <c r="C710" i="126"/>
  <c r="J710" i="126" s="1"/>
  <c r="N710" i="126" s="1"/>
  <c r="O710" i="126" s="1"/>
  <c r="C707" i="126"/>
  <c r="J707" i="126" s="1"/>
  <c r="O734" i="126"/>
  <c r="D793" i="126"/>
  <c r="E793" i="126" s="1"/>
  <c r="O725" i="126"/>
  <c r="BC130" i="204"/>
  <c r="BC145" i="205"/>
  <c r="BC106" i="203"/>
  <c r="O715" i="126"/>
  <c r="G792" i="126"/>
  <c r="D162" i="141" s="1"/>
  <c r="BC109" i="137"/>
  <c r="I723" i="126"/>
  <c r="F825" i="126"/>
  <c r="E569" i="126"/>
  <c r="D569" i="126" s="1"/>
  <c r="M569" i="126" s="1"/>
  <c r="N569" i="126" s="1"/>
  <c r="J576" i="126"/>
  <c r="N576" i="126" s="1"/>
  <c r="O576" i="126" s="1"/>
  <c r="O591" i="126"/>
  <c r="O589" i="126"/>
  <c r="J574" i="126"/>
  <c r="N574" i="126" s="1"/>
  <c r="O574" i="126" s="1"/>
  <c r="J713" i="126"/>
  <c r="N713" i="126" s="1"/>
  <c r="O713" i="126" s="1"/>
  <c r="O732" i="126"/>
  <c r="N164" i="141"/>
  <c r="O590" i="126"/>
  <c r="J575" i="126"/>
  <c r="N575" i="126" s="1"/>
  <c r="O575" i="126" s="1"/>
  <c r="E571" i="126"/>
  <c r="D571" i="126" s="1"/>
  <c r="M571" i="126" s="1"/>
  <c r="N571" i="126" s="1"/>
  <c r="J712" i="126"/>
  <c r="N712" i="126" s="1"/>
  <c r="O712" i="126" s="1"/>
  <c r="O731" i="126"/>
  <c r="O164" i="141"/>
  <c r="C162" i="141"/>
  <c r="L71" i="145"/>
  <c r="V826" i="126" l="1"/>
  <c r="R827" i="126"/>
  <c r="P173" i="141"/>
  <c r="S827" i="126"/>
  <c r="T163" i="141"/>
  <c r="W794" i="126"/>
  <c r="T164" i="141" s="1"/>
  <c r="S163" i="141"/>
  <c r="V794" i="126"/>
  <c r="H825" i="126"/>
  <c r="E172" i="141" s="1"/>
  <c r="M825" i="126"/>
  <c r="J172" i="141" s="1"/>
  <c r="M792" i="126"/>
  <c r="J162" i="141" s="1"/>
  <c r="P164" i="141"/>
  <c r="J723" i="126"/>
  <c r="O723" i="126" s="1"/>
  <c r="C580" i="126"/>
  <c r="G573" i="126"/>
  <c r="O588" i="126" s="1"/>
  <c r="E711" i="126"/>
  <c r="D711" i="126" s="1"/>
  <c r="M711" i="126" s="1"/>
  <c r="N711" i="126" s="1"/>
  <c r="O728" i="126"/>
  <c r="O727" i="126"/>
  <c r="O729" i="126"/>
  <c r="O173" i="141"/>
  <c r="W826" i="126"/>
  <c r="H792" i="126"/>
  <c r="E162" i="141" s="1"/>
  <c r="C172" i="141"/>
  <c r="L41" i="145"/>
  <c r="N578" i="126"/>
  <c r="G571" i="126"/>
  <c r="O586" i="126" s="1"/>
  <c r="G569" i="126"/>
  <c r="S164" i="141"/>
  <c r="AA70" i="145"/>
  <c r="L75" i="145"/>
  <c r="AA71" i="145"/>
  <c r="L74" i="145"/>
  <c r="T173" i="141" l="1"/>
  <c r="W827" i="126"/>
  <c r="S173" i="141"/>
  <c r="V827" i="126"/>
  <c r="S174" i="141" s="1"/>
  <c r="O573" i="126"/>
  <c r="BG25" i="132" a="1"/>
  <c r="BG25" i="132" s="1"/>
  <c r="AA41" i="145"/>
  <c r="D579" i="126"/>
  <c r="D580" i="126"/>
  <c r="F793" i="126" s="1"/>
  <c r="C163" i="141" s="1"/>
  <c r="E707" i="126"/>
  <c r="D707" i="126" s="1"/>
  <c r="M707" i="126" s="1"/>
  <c r="N707" i="126" s="1"/>
  <c r="O174" i="141"/>
  <c r="P174" i="141"/>
  <c r="O569" i="126"/>
  <c r="O571" i="126"/>
  <c r="O584" i="126"/>
  <c r="O592" i="126" s="1"/>
  <c r="C594" i="126" s="1"/>
  <c r="L45" i="145"/>
  <c r="L48" i="145"/>
  <c r="G711" i="126"/>
  <c r="O730" i="126" s="1"/>
  <c r="T174" i="141"/>
  <c r="AA75" i="145"/>
  <c r="AA74" i="145"/>
  <c r="AA48" i="145" l="1"/>
  <c r="BG26" i="132" a="1"/>
  <c r="BG26" i="132" s="1"/>
  <c r="BV25" i="132" a="1"/>
  <c r="BV25" i="132" s="1"/>
  <c r="AA45" i="145"/>
  <c r="G707" i="126"/>
  <c r="O707" i="126" s="1"/>
  <c r="O578" i="126"/>
  <c r="BY25" i="132" a="1"/>
  <c r="BY25" i="132" s="1"/>
  <c r="O711" i="126"/>
  <c r="G793" i="126"/>
  <c r="BY26" i="132" l="1" a="1"/>
  <c r="BY26" i="132" s="1"/>
  <c r="BV26" i="132" a="1"/>
  <c r="BV26" i="132" s="1"/>
  <c r="D163" i="141"/>
  <c r="H793" i="126"/>
  <c r="E163" i="141" s="1"/>
  <c r="E333" i="127" l="1"/>
  <c r="C340" i="127" s="1"/>
  <c r="E349" i="127"/>
  <c r="C360" i="127" s="1"/>
  <c r="E350" i="127"/>
  <c r="C361" i="127" s="1"/>
  <c r="E351" i="127"/>
  <c r="E352" i="127"/>
  <c r="F371" i="127" s="1"/>
  <c r="C448" i="127"/>
  <c r="E448" i="127" s="1"/>
  <c r="C449" i="127"/>
  <c r="E449" i="127" s="1"/>
  <c r="C453" i="127" s="1"/>
  <c r="E472" i="127"/>
  <c r="E473" i="127"/>
  <c r="E474" i="127"/>
  <c r="E475" i="127"/>
  <c r="F497" i="127" s="1"/>
  <c r="K96" i="145"/>
  <c r="K97" i="145"/>
  <c r="C712" i="127"/>
  <c r="C714" i="127"/>
  <c r="J543" i="127" l="1"/>
  <c r="C488" i="127"/>
  <c r="J488" i="127" s="1"/>
  <c r="N488" i="127" s="1"/>
  <c r="O488" i="127" s="1"/>
  <c r="K592" i="127"/>
  <c r="C403" i="127"/>
  <c r="N403" i="127" s="1"/>
  <c r="C402" i="127"/>
  <c r="N402" i="127" s="1"/>
  <c r="K95" i="145"/>
  <c r="C362" i="127"/>
  <c r="J362" i="127" s="1"/>
  <c r="N362" i="127" s="1"/>
  <c r="O362" i="127" s="1"/>
  <c r="K594" i="127"/>
  <c r="L594" i="127" s="1"/>
  <c r="C452" i="127"/>
  <c r="C799" i="127" s="1"/>
  <c r="E799" i="127" s="1"/>
  <c r="H594" i="127"/>
  <c r="I594" i="127" s="1"/>
  <c r="J594" i="127" s="1"/>
  <c r="F487" i="127"/>
  <c r="G371" i="127"/>
  <c r="F372" i="127"/>
  <c r="O370" i="127"/>
  <c r="J361" i="127"/>
  <c r="N361" i="127" s="1"/>
  <c r="O361" i="127" s="1"/>
  <c r="C487" i="127"/>
  <c r="J714" i="127"/>
  <c r="N714" i="127" s="1"/>
  <c r="O714" i="127" s="1"/>
  <c r="J360" i="127"/>
  <c r="N360" i="127" s="1"/>
  <c r="C830" i="127"/>
  <c r="C797" i="127"/>
  <c r="O369" i="127"/>
  <c r="J453" i="127"/>
  <c r="N453" i="127" s="1"/>
  <c r="O453" i="127" s="1"/>
  <c r="J712" i="127"/>
  <c r="N712" i="127" s="1"/>
  <c r="G497" i="127"/>
  <c r="G498" i="127" s="1"/>
  <c r="F498" i="127"/>
  <c r="H596" i="127"/>
  <c r="I596" i="127" s="1"/>
  <c r="J596" i="127" s="1"/>
  <c r="F488" i="127"/>
  <c r="H592" i="127"/>
  <c r="AB60" i="145"/>
  <c r="H600" i="127" l="1"/>
  <c r="K596" i="127"/>
  <c r="L596" i="127" s="1"/>
  <c r="J542" i="127"/>
  <c r="C579" i="127"/>
  <c r="C578" i="127"/>
  <c r="O593" i="127" s="1"/>
  <c r="C365" i="127"/>
  <c r="D365" i="127"/>
  <c r="L592" i="127"/>
  <c r="D797" i="127"/>
  <c r="D830" i="127"/>
  <c r="J661" i="127"/>
  <c r="C832" i="127"/>
  <c r="E832" i="127" s="1"/>
  <c r="O460" i="127"/>
  <c r="C463" i="127" s="1"/>
  <c r="D456" i="127"/>
  <c r="C456" i="127"/>
  <c r="J452" i="127"/>
  <c r="N452" i="127" s="1"/>
  <c r="D457" i="127" s="1"/>
  <c r="O497" i="127"/>
  <c r="O496" i="127"/>
  <c r="J487" i="127"/>
  <c r="N487" i="127" s="1"/>
  <c r="O487" i="127" s="1"/>
  <c r="N800" i="127"/>
  <c r="K182" i="141" s="1"/>
  <c r="N833" i="127"/>
  <c r="K192" i="141" s="1"/>
  <c r="J486" i="127"/>
  <c r="N486" i="127" s="1"/>
  <c r="C491" i="127"/>
  <c r="D491" i="127"/>
  <c r="O495" i="127"/>
  <c r="O833" i="127"/>
  <c r="L192" i="141" s="1"/>
  <c r="O800" i="127"/>
  <c r="L182" i="141" s="1"/>
  <c r="O712" i="127"/>
  <c r="G372" i="127"/>
  <c r="O371" i="127"/>
  <c r="O372" i="127" s="1"/>
  <c r="O360" i="127"/>
  <c r="C366" i="127"/>
  <c r="D366" i="127"/>
  <c r="N797" i="127"/>
  <c r="N830" i="127"/>
  <c r="C581" i="127"/>
  <c r="P801" i="127"/>
  <c r="P802" i="127" s="1"/>
  <c r="I592" i="127"/>
  <c r="I600" i="127" s="1"/>
  <c r="M61" i="145"/>
  <c r="M76" i="145"/>
  <c r="M77" i="145"/>
  <c r="AB61" i="145"/>
  <c r="N835" i="127" l="1"/>
  <c r="N802" i="127"/>
  <c r="J662" i="127"/>
  <c r="J664" i="127" s="1"/>
  <c r="L600" i="127"/>
  <c r="S801" i="127" s="1"/>
  <c r="K600" i="127"/>
  <c r="R801" i="127" s="1"/>
  <c r="J545" i="127"/>
  <c r="J544" i="127"/>
  <c r="C580" i="127"/>
  <c r="O595" i="127" s="1"/>
  <c r="C577" i="127"/>
  <c r="E579" i="127"/>
  <c r="D579" i="127" s="1"/>
  <c r="M579" i="127" s="1"/>
  <c r="J578" i="127"/>
  <c r="N578" i="127" s="1"/>
  <c r="O578" i="127" s="1"/>
  <c r="BM27" i="132" a="1"/>
  <c r="BM27" i="132" s="1"/>
  <c r="E830" i="127"/>
  <c r="E797" i="127"/>
  <c r="C374" i="127"/>
  <c r="G797" i="127" s="1"/>
  <c r="H731" i="127"/>
  <c r="G723" i="127"/>
  <c r="O723" i="127" s="1"/>
  <c r="H742" i="127"/>
  <c r="I742" i="127" s="1"/>
  <c r="J742" i="127" s="1"/>
  <c r="K734" i="127"/>
  <c r="O461" i="127"/>
  <c r="K742" i="127"/>
  <c r="L742" i="127" s="1"/>
  <c r="H733" i="127"/>
  <c r="I733" i="127" s="1"/>
  <c r="J733" i="127" s="1"/>
  <c r="C457" i="127"/>
  <c r="O452" i="127"/>
  <c r="J581" i="127"/>
  <c r="E577" i="127"/>
  <c r="D577" i="127" s="1"/>
  <c r="M577" i="127" s="1"/>
  <c r="C720" i="127"/>
  <c r="C719" i="127"/>
  <c r="E581" i="127"/>
  <c r="D581" i="127" s="1"/>
  <c r="M581" i="127" s="1"/>
  <c r="O498" i="127"/>
  <c r="C500" i="127"/>
  <c r="C582" i="127"/>
  <c r="C583" i="127"/>
  <c r="C584" i="127"/>
  <c r="G832" i="127"/>
  <c r="D191" i="141" s="1"/>
  <c r="G799" i="127"/>
  <c r="D181" i="141" s="1"/>
  <c r="J579" i="127"/>
  <c r="K738" i="127"/>
  <c r="L738" i="127" s="1"/>
  <c r="H738" i="127"/>
  <c r="I738" i="127" s="1"/>
  <c r="J738" i="127" s="1"/>
  <c r="O486" i="127"/>
  <c r="C492" i="127"/>
  <c r="D492" i="127"/>
  <c r="K179" i="141"/>
  <c r="C721" i="127"/>
  <c r="C716" i="127"/>
  <c r="C717" i="127"/>
  <c r="C718" i="127"/>
  <c r="C715" i="127"/>
  <c r="F830" i="127"/>
  <c r="F797" i="127"/>
  <c r="M183" i="141"/>
  <c r="K189" i="141"/>
  <c r="F832" i="127"/>
  <c r="F799" i="127"/>
  <c r="O797" i="127"/>
  <c r="O802" i="127" s="1"/>
  <c r="O830" i="127"/>
  <c r="O835" i="127" s="1"/>
  <c r="Q801" i="127"/>
  <c r="Q802" i="127" s="1"/>
  <c r="J592" i="127"/>
  <c r="J600" i="127" s="1"/>
  <c r="AB66" i="145"/>
  <c r="M68" i="145"/>
  <c r="M66" i="145"/>
  <c r="M78" i="145"/>
  <c r="M79" i="145"/>
  <c r="O183" i="141" l="1"/>
  <c r="R802" i="127"/>
  <c r="W801" i="127"/>
  <c r="S802" i="127"/>
  <c r="P184" i="141" s="1"/>
  <c r="M799" i="127"/>
  <c r="J181" i="141" s="1"/>
  <c r="M832" i="127"/>
  <c r="J191" i="141" s="1"/>
  <c r="M797" i="127"/>
  <c r="I731" i="127"/>
  <c r="K743" i="127"/>
  <c r="R834" i="127" s="1"/>
  <c r="R835" i="127" s="1"/>
  <c r="J663" i="127"/>
  <c r="V801" i="127"/>
  <c r="P183" i="141"/>
  <c r="J577" i="127"/>
  <c r="N577" i="127" s="1"/>
  <c r="C587" i="127"/>
  <c r="BL27" i="132" a="1"/>
  <c r="BL27" i="132" s="1"/>
  <c r="J580" i="127"/>
  <c r="N580" i="127" s="1"/>
  <c r="O580" i="127" s="1"/>
  <c r="D801" i="127"/>
  <c r="BN27" i="132" a="1"/>
  <c r="BN27" i="132" s="1"/>
  <c r="G830" i="127"/>
  <c r="M830" i="127" s="1"/>
  <c r="O742" i="127"/>
  <c r="M41" i="145"/>
  <c r="L734" i="127"/>
  <c r="O733" i="127"/>
  <c r="N581" i="127"/>
  <c r="G579" i="127"/>
  <c r="O594" i="127" s="1"/>
  <c r="N579" i="127"/>
  <c r="C191" i="141"/>
  <c r="H832" i="127"/>
  <c r="E191" i="141" s="1"/>
  <c r="C179" i="141"/>
  <c r="H797" i="127"/>
  <c r="O597" i="127"/>
  <c r="J582" i="127"/>
  <c r="N582" i="127" s="1"/>
  <c r="O582" i="127" s="1"/>
  <c r="O735" i="127"/>
  <c r="J716" i="127"/>
  <c r="N716" i="127" s="1"/>
  <c r="O716" i="127" s="1"/>
  <c r="D179" i="141"/>
  <c r="G581" i="127"/>
  <c r="O596" i="127" s="1"/>
  <c r="J584" i="127"/>
  <c r="N584" i="127" s="1"/>
  <c r="O584" i="127" s="1"/>
  <c r="O599" i="127"/>
  <c r="K184" i="141"/>
  <c r="J583" i="127"/>
  <c r="N583" i="127" s="1"/>
  <c r="O583" i="127" s="1"/>
  <c r="O598" i="127"/>
  <c r="J719" i="127"/>
  <c r="M184" i="141"/>
  <c r="J720" i="127"/>
  <c r="N720" i="127" s="1"/>
  <c r="O720" i="127" s="1"/>
  <c r="O739" i="127"/>
  <c r="C189" i="141"/>
  <c r="G577" i="127"/>
  <c r="O740" i="127"/>
  <c r="J721" i="127"/>
  <c r="N721" i="127" s="1"/>
  <c r="O721" i="127" s="1"/>
  <c r="C181" i="141"/>
  <c r="H799" i="127"/>
  <c r="E181" i="141" s="1"/>
  <c r="G833" i="127"/>
  <c r="D192" i="141" s="1"/>
  <c r="G800" i="127"/>
  <c r="D182" i="141" s="1"/>
  <c r="K194" i="141"/>
  <c r="E715" i="127"/>
  <c r="D715" i="127" s="1"/>
  <c r="M715" i="127" s="1"/>
  <c r="J715" i="127"/>
  <c r="O737" i="127"/>
  <c r="J718" i="127"/>
  <c r="N718" i="127" s="1"/>
  <c r="O718" i="127" s="1"/>
  <c r="L179" i="141"/>
  <c r="F833" i="127"/>
  <c r="F800" i="127"/>
  <c r="N183" i="141"/>
  <c r="L189" i="141"/>
  <c r="O736" i="127"/>
  <c r="J717" i="127"/>
  <c r="N717" i="127" s="1"/>
  <c r="O717" i="127" s="1"/>
  <c r="M69" i="145"/>
  <c r="AB67" i="145"/>
  <c r="M70" i="145"/>
  <c r="M71" i="145"/>
  <c r="M67" i="145"/>
  <c r="AB78" i="145"/>
  <c r="AB77" i="145"/>
  <c r="AB70" i="145"/>
  <c r="T183" i="141" l="1"/>
  <c r="W802" i="127"/>
  <c r="S183" i="141"/>
  <c r="V802" i="127"/>
  <c r="E801" i="127"/>
  <c r="D802" i="127"/>
  <c r="W27" i="132"/>
  <c r="M833" i="127"/>
  <c r="M800" i="127"/>
  <c r="BG27" i="132" a="1"/>
  <c r="BG27" i="132" s="1"/>
  <c r="AB41" i="145"/>
  <c r="L743" i="127"/>
  <c r="S834" i="127" s="1"/>
  <c r="S835" i="127" s="1"/>
  <c r="J731" i="127"/>
  <c r="O184" i="141"/>
  <c r="D587" i="127"/>
  <c r="D588" i="127"/>
  <c r="F801" i="127" s="1"/>
  <c r="C183" i="141" s="1"/>
  <c r="C588" i="127"/>
  <c r="O193" i="141"/>
  <c r="V834" i="127"/>
  <c r="N586" i="127"/>
  <c r="BL28" i="132" a="1"/>
  <c r="BL28" i="132" s="1"/>
  <c r="D189" i="141"/>
  <c r="H830" i="127"/>
  <c r="E189" i="141" s="1"/>
  <c r="M45" i="145"/>
  <c r="M48" i="145"/>
  <c r="O577" i="127"/>
  <c r="N715" i="127"/>
  <c r="O581" i="127"/>
  <c r="O579" i="127"/>
  <c r="J179" i="141"/>
  <c r="L194" i="141"/>
  <c r="E179" i="141"/>
  <c r="J189" i="141"/>
  <c r="N184" i="141"/>
  <c r="C182" i="141"/>
  <c r="H800" i="127"/>
  <c r="E182" i="141" s="1"/>
  <c r="C192" i="141"/>
  <c r="H833" i="127"/>
  <c r="E192" i="141" s="1"/>
  <c r="O592" i="127"/>
  <c r="O600" i="127" s="1"/>
  <c r="C602" i="127" s="1"/>
  <c r="L184" i="141"/>
  <c r="O194" i="141"/>
  <c r="G715" i="127"/>
  <c r="AB79" i="145"/>
  <c r="AB76" i="145"/>
  <c r="M74" i="145"/>
  <c r="M75" i="145"/>
  <c r="S193" i="141" l="1"/>
  <c r="V835" i="127"/>
  <c r="S184" i="141"/>
  <c r="AB48" i="145"/>
  <c r="BG28" i="132" a="1"/>
  <c r="BG28" i="132" s="1"/>
  <c r="BV27" i="132" a="1"/>
  <c r="BV27" i="132" s="1"/>
  <c r="AB45" i="145"/>
  <c r="BM28" i="132" a="1"/>
  <c r="BM28" i="132" s="1"/>
  <c r="W28" i="132" s="1"/>
  <c r="BN28" i="132" a="1"/>
  <c r="BN28" i="132" s="1"/>
  <c r="W834" i="127"/>
  <c r="P193" i="141"/>
  <c r="P194" i="141"/>
  <c r="O731" i="127"/>
  <c r="T184" i="141"/>
  <c r="O586" i="127"/>
  <c r="BY27" i="132" a="1"/>
  <c r="BY27" i="132" s="1"/>
  <c r="O715" i="127"/>
  <c r="S194" i="141"/>
  <c r="E719" i="127"/>
  <c r="D719" i="127" s="1"/>
  <c r="M719" i="127" s="1"/>
  <c r="N719" i="127" s="1"/>
  <c r="G801" i="127"/>
  <c r="H801" i="127" s="1"/>
  <c r="AB71" i="145"/>
  <c r="AB74" i="145"/>
  <c r="T193" i="141" l="1"/>
  <c r="W835" i="127"/>
  <c r="BY28" i="132" a="1"/>
  <c r="BY28" i="132" s="1"/>
  <c r="BV28" i="132" a="1"/>
  <c r="BV28" i="132" s="1"/>
  <c r="E183" i="141"/>
  <c r="D183" i="141"/>
  <c r="G719" i="127"/>
  <c r="O738" i="127" s="1"/>
  <c r="AB75" i="145"/>
  <c r="T194" i="141" l="1"/>
  <c r="O719" i="127"/>
  <c r="E332" i="151" l="1"/>
  <c r="C339" i="151" s="1"/>
  <c r="C341" i="151" s="1"/>
  <c r="G587" i="151" s="1"/>
  <c r="E348" i="151"/>
  <c r="E349" i="151"/>
  <c r="C361" i="151" s="1"/>
  <c r="E350" i="151"/>
  <c r="C363" i="151" s="1"/>
  <c r="E351" i="151"/>
  <c r="F372" i="151" s="1"/>
  <c r="E352" i="151"/>
  <c r="E353" i="151"/>
  <c r="C362" i="151" s="1"/>
  <c r="J362" i="151" s="1"/>
  <c r="M587" i="151" l="1"/>
  <c r="F363" i="151"/>
  <c r="F362" i="151"/>
  <c r="F361" i="151"/>
  <c r="G372" i="151"/>
  <c r="G373" i="151" s="1"/>
  <c r="O588" i="151" s="1"/>
  <c r="F373" i="151"/>
  <c r="N588" i="151" s="1"/>
  <c r="H587" i="151"/>
  <c r="J216" i="141"/>
  <c r="J363" i="151"/>
  <c r="N363" i="151" s="1"/>
  <c r="O371" i="151"/>
  <c r="D216" i="141"/>
  <c r="N362" i="151"/>
  <c r="D588" i="151"/>
  <c r="C364" i="151"/>
  <c r="C367" i="151" s="1"/>
  <c r="J361" i="151"/>
  <c r="N361" i="151" s="1"/>
  <c r="F364" i="151"/>
  <c r="L217" i="141" l="1"/>
  <c r="K217" i="141"/>
  <c r="E216" i="141"/>
  <c r="O372" i="151"/>
  <c r="C375" i="151" s="1"/>
  <c r="G588" i="151" s="1"/>
  <c r="D367" i="151"/>
  <c r="C588" i="151"/>
  <c r="J364" i="151"/>
  <c r="N364" i="151" s="1"/>
  <c r="C368" i="151" s="1"/>
  <c r="O373" i="151" l="1"/>
  <c r="D217" i="141"/>
  <c r="E588" i="151"/>
  <c r="D368" i="151"/>
  <c r="F588" i="151" s="1"/>
  <c r="M588" i="151" l="1"/>
  <c r="C217" i="141"/>
  <c r="H588" i="151"/>
  <c r="J217" i="141" l="1"/>
  <c r="E217" i="141"/>
  <c r="E331" i="152" l="1"/>
  <c r="C338" i="152" s="1"/>
  <c r="E332" i="152"/>
  <c r="E347" i="152"/>
  <c r="E348" i="152"/>
  <c r="C360" i="152" s="1"/>
  <c r="E349" i="152"/>
  <c r="C362" i="152" s="1"/>
  <c r="E350" i="152"/>
  <c r="F371" i="152" s="1"/>
  <c r="E351" i="152"/>
  <c r="F361" i="152" s="1"/>
  <c r="E352" i="152"/>
  <c r="C361" i="152" s="1"/>
  <c r="J361" i="152" s="1"/>
  <c r="E470" i="152"/>
  <c r="C474" i="152" s="1"/>
  <c r="E471" i="152"/>
  <c r="C475" i="152" s="1"/>
  <c r="E534" i="152"/>
  <c r="E537" i="152"/>
  <c r="E540" i="152"/>
  <c r="E541" i="152"/>
  <c r="F595" i="152"/>
  <c r="L96" i="145"/>
  <c r="E673" i="152"/>
  <c r="E676" i="152"/>
  <c r="E677" i="152"/>
  <c r="E681" i="152"/>
  <c r="C939" i="152"/>
  <c r="C1009" i="152"/>
  <c r="C878" i="152" l="1"/>
  <c r="E878" i="152" s="1"/>
  <c r="C846" i="152"/>
  <c r="E846" i="152" s="1"/>
  <c r="BE124" i="204"/>
  <c r="BE139" i="205"/>
  <c r="BE103" i="137"/>
  <c r="BE100" i="203"/>
  <c r="H604" i="152"/>
  <c r="C948" i="152"/>
  <c r="C951" i="152" s="1"/>
  <c r="C954" i="152" s="1"/>
  <c r="C957" i="152" s="1"/>
  <c r="C960" i="152" s="1"/>
  <c r="C963" i="152" s="1"/>
  <c r="K604" i="152"/>
  <c r="C340" i="152"/>
  <c r="L102" i="145"/>
  <c r="H608" i="152"/>
  <c r="I608" i="152" s="1"/>
  <c r="J608" i="152" s="1"/>
  <c r="C363" i="152"/>
  <c r="C366" i="152" s="1"/>
  <c r="J360" i="152"/>
  <c r="N360" i="152" s="1"/>
  <c r="G371" i="152"/>
  <c r="G372" i="152" s="1"/>
  <c r="F372" i="152"/>
  <c r="L103" i="145"/>
  <c r="E544" i="152"/>
  <c r="F363" i="152"/>
  <c r="F360" i="152"/>
  <c r="C976" i="152"/>
  <c r="C979" i="152" s="1"/>
  <c r="C982" i="152" s="1"/>
  <c r="C985" i="152" s="1"/>
  <c r="C988" i="152" s="1"/>
  <c r="C991" i="152" s="1"/>
  <c r="K606" i="152"/>
  <c r="L606" i="152" s="1"/>
  <c r="C975" i="152"/>
  <c r="C978" i="152" s="1"/>
  <c r="C981" i="152" s="1"/>
  <c r="C984" i="152" s="1"/>
  <c r="C987" i="152" s="1"/>
  <c r="C990" i="152" s="1"/>
  <c r="C974" i="152"/>
  <c r="C977" i="152" s="1"/>
  <c r="C980" i="152" s="1"/>
  <c r="C983" i="152" s="1"/>
  <c r="C986" i="152" s="1"/>
  <c r="C989" i="152" s="1"/>
  <c r="H606" i="152"/>
  <c r="I606" i="152" s="1"/>
  <c r="J606" i="152" s="1"/>
  <c r="J475" i="152"/>
  <c r="N475" i="152" s="1"/>
  <c r="O475" i="152" s="1"/>
  <c r="C478" i="152"/>
  <c r="J474" i="152"/>
  <c r="N474" i="152" s="1"/>
  <c r="D478" i="152"/>
  <c r="O482" i="152"/>
  <c r="L104" i="145"/>
  <c r="J362" i="152"/>
  <c r="N362" i="152" s="1"/>
  <c r="O370" i="152"/>
  <c r="L95" i="145"/>
  <c r="C947" i="152"/>
  <c r="C950" i="152" s="1"/>
  <c r="C953" i="152" s="1"/>
  <c r="C946" i="152"/>
  <c r="C949" i="152" s="1"/>
  <c r="C952" i="152" s="1"/>
  <c r="C955" i="152" s="1"/>
  <c r="C958" i="152" s="1"/>
  <c r="C961" i="152" s="1"/>
  <c r="F747" i="152"/>
  <c r="K608" i="152"/>
  <c r="L608" i="152" s="1"/>
  <c r="C753" i="152"/>
  <c r="F362" i="152"/>
  <c r="E674" i="152"/>
  <c r="E735" i="152" s="1"/>
  <c r="E675" i="152"/>
  <c r="N361" i="152"/>
  <c r="L97" i="145"/>
  <c r="P61" i="145"/>
  <c r="AE60" i="145"/>
  <c r="AE61" i="145"/>
  <c r="G843" i="152" l="1"/>
  <c r="G875" i="152"/>
  <c r="L604" i="152"/>
  <c r="L612" i="152" s="1"/>
  <c r="K612" i="152"/>
  <c r="H612" i="152"/>
  <c r="C996" i="152"/>
  <c r="E539" i="152" s="1"/>
  <c r="C956" i="152"/>
  <c r="C959" i="152" s="1"/>
  <c r="C962" i="152" s="1"/>
  <c r="C995" i="152"/>
  <c r="E536" i="152" s="1"/>
  <c r="C997" i="152"/>
  <c r="C1000" i="152" s="1"/>
  <c r="C1003" i="152" s="1"/>
  <c r="BE130" i="204"/>
  <c r="BE145" i="205"/>
  <c r="BE106" i="203"/>
  <c r="H762" i="152"/>
  <c r="I762" i="152" s="1"/>
  <c r="J762" i="152" s="1"/>
  <c r="H763" i="152"/>
  <c r="I763" i="152" s="1"/>
  <c r="J763" i="152" s="1"/>
  <c r="BE109" i="137"/>
  <c r="O371" i="152"/>
  <c r="O372" i="152" s="1"/>
  <c r="C374" i="152" s="1"/>
  <c r="H761" i="152"/>
  <c r="I604" i="152"/>
  <c r="D366" i="152"/>
  <c r="J363" i="152"/>
  <c r="N363" i="152" s="1"/>
  <c r="C367" i="152" s="1"/>
  <c r="C742" i="152"/>
  <c r="C1034" i="152"/>
  <c r="C1036" i="152" s="1"/>
  <c r="C1038" i="152" s="1"/>
  <c r="C1039" i="152" s="1"/>
  <c r="C1041" i="152" s="1"/>
  <c r="C1035" i="152"/>
  <c r="C1037" i="152" s="1"/>
  <c r="O483" i="152"/>
  <c r="C485" i="152" s="1"/>
  <c r="O474" i="152"/>
  <c r="C479" i="152"/>
  <c r="D479" i="152"/>
  <c r="K772" i="152"/>
  <c r="L772" i="152" s="1"/>
  <c r="H772" i="152"/>
  <c r="I772" i="152" s="1"/>
  <c r="J772" i="152" s="1"/>
  <c r="F753" i="152"/>
  <c r="G753" i="152" s="1"/>
  <c r="J753" i="152"/>
  <c r="N753" i="152" s="1"/>
  <c r="C1015" i="152"/>
  <c r="C1017" i="152" s="1"/>
  <c r="C744" i="152"/>
  <c r="M875" i="152" l="1"/>
  <c r="H843" i="152"/>
  <c r="M843" i="152"/>
  <c r="C999" i="152"/>
  <c r="C1002" i="152" s="1"/>
  <c r="D226" i="141"/>
  <c r="F878" i="152"/>
  <c r="F846" i="152"/>
  <c r="G846" i="152"/>
  <c r="D229" i="141" s="1"/>
  <c r="G878" i="152"/>
  <c r="D239" i="141" s="1"/>
  <c r="J604" i="152"/>
  <c r="J612" i="152" s="1"/>
  <c r="I612" i="152"/>
  <c r="C998" i="152"/>
  <c r="C1001" i="152" s="1"/>
  <c r="E543" i="152"/>
  <c r="F593" i="152" s="1"/>
  <c r="E593" i="152" s="1"/>
  <c r="D593" i="152" s="1"/>
  <c r="M593" i="152" s="1"/>
  <c r="F742" i="152"/>
  <c r="F744" i="152"/>
  <c r="C1040" i="152"/>
  <c r="C1042" i="152" s="1"/>
  <c r="C1045" i="152" s="1"/>
  <c r="H768" i="152"/>
  <c r="I768" i="152" s="1"/>
  <c r="J768" i="152" s="1"/>
  <c r="K768" i="152"/>
  <c r="L768" i="152" s="1"/>
  <c r="D236" i="141"/>
  <c r="H875" i="152"/>
  <c r="O772" i="152"/>
  <c r="D367" i="152"/>
  <c r="O753" i="152"/>
  <c r="I761" i="152"/>
  <c r="C1044" i="152"/>
  <c r="C1043" i="152"/>
  <c r="J226" i="141"/>
  <c r="O763" i="152"/>
  <c r="J744" i="152"/>
  <c r="N744" i="152" s="1"/>
  <c r="O744" i="152" s="1"/>
  <c r="J742" i="152"/>
  <c r="N742" i="152" s="1"/>
  <c r="J236" i="141"/>
  <c r="K764" i="152"/>
  <c r="F589" i="152"/>
  <c r="E535" i="152"/>
  <c r="C590" i="152" s="1"/>
  <c r="C589" i="152"/>
  <c r="C1014" i="152"/>
  <c r="C1016" i="152" s="1"/>
  <c r="C1018" i="152" s="1"/>
  <c r="C1020" i="152" s="1"/>
  <c r="C1022" i="152" s="1"/>
  <c r="E538" i="152"/>
  <c r="C591" i="152"/>
  <c r="E236" i="141" l="1"/>
  <c r="E226" i="141"/>
  <c r="M846" i="152"/>
  <c r="M878" i="152"/>
  <c r="J239" i="141" s="1"/>
  <c r="K773" i="152"/>
  <c r="F594" i="152"/>
  <c r="F596" i="152" s="1"/>
  <c r="E542" i="152"/>
  <c r="C596" i="152" s="1"/>
  <c r="J596" i="152" s="1"/>
  <c r="N596" i="152" s="1"/>
  <c r="O596" i="152" s="1"/>
  <c r="C593" i="152"/>
  <c r="J593" i="152" s="1"/>
  <c r="J761" i="152"/>
  <c r="O742" i="152"/>
  <c r="C1024" i="152"/>
  <c r="C1051" i="152"/>
  <c r="C1049" i="152"/>
  <c r="E678" i="152" s="1"/>
  <c r="C1019" i="152"/>
  <c r="G593" i="152"/>
  <c r="J589" i="152"/>
  <c r="L764" i="152"/>
  <c r="L773" i="152" s="1"/>
  <c r="O605" i="152"/>
  <c r="J590" i="152"/>
  <c r="N590" i="152" s="1"/>
  <c r="O590" i="152" s="1"/>
  <c r="E589" i="152"/>
  <c r="D589" i="152" s="1"/>
  <c r="M589" i="152" s="1"/>
  <c r="F590" i="152"/>
  <c r="J591" i="152"/>
  <c r="C229" i="141"/>
  <c r="H846" i="152"/>
  <c r="E229" i="141" s="1"/>
  <c r="J229" i="141"/>
  <c r="C592" i="152"/>
  <c r="F591" i="152"/>
  <c r="C239" i="141"/>
  <c r="H878" i="152"/>
  <c r="E239" i="141" s="1"/>
  <c r="O611" i="152" l="1"/>
  <c r="O761" i="152"/>
  <c r="C594" i="152"/>
  <c r="J594" i="152" s="1"/>
  <c r="N594" i="152" s="1"/>
  <c r="O594" i="152" s="1"/>
  <c r="C595" i="152"/>
  <c r="O610" i="152" s="1"/>
  <c r="O608" i="152"/>
  <c r="N593" i="152"/>
  <c r="O593" i="152" s="1"/>
  <c r="C1050" i="152"/>
  <c r="E679" i="152" s="1"/>
  <c r="C749" i="152" s="1"/>
  <c r="C1021" i="152"/>
  <c r="C1023" i="152" s="1"/>
  <c r="N589" i="152"/>
  <c r="G589" i="152"/>
  <c r="O604" i="152" s="1"/>
  <c r="E591" i="152"/>
  <c r="D591" i="152" s="1"/>
  <c r="M591" i="152" s="1"/>
  <c r="N591" i="152" s="1"/>
  <c r="F592" i="152"/>
  <c r="C1053" i="152"/>
  <c r="F745" i="152"/>
  <c r="F748" i="152" s="1"/>
  <c r="O607" i="152"/>
  <c r="J592" i="152"/>
  <c r="N592" i="152" s="1"/>
  <c r="O592" i="152" s="1"/>
  <c r="C746" i="152"/>
  <c r="C751" i="152"/>
  <c r="C745" i="152"/>
  <c r="C747" i="152"/>
  <c r="C748" i="152"/>
  <c r="C599" i="152" l="1"/>
  <c r="J595" i="152"/>
  <c r="N595" i="152" s="1"/>
  <c r="O595" i="152" s="1"/>
  <c r="O609" i="152"/>
  <c r="C750" i="152"/>
  <c r="J750" i="152" s="1"/>
  <c r="N750" i="152" s="1"/>
  <c r="O750" i="152" s="1"/>
  <c r="C1025" i="152"/>
  <c r="C1052" i="152"/>
  <c r="O589" i="152"/>
  <c r="G591" i="152"/>
  <c r="O606" i="152" s="1"/>
  <c r="F752" i="152"/>
  <c r="F746" i="152"/>
  <c r="E745" i="152"/>
  <c r="D745" i="152" s="1"/>
  <c r="M745" i="152" s="1"/>
  <c r="F751" i="152"/>
  <c r="J745" i="152"/>
  <c r="J748" i="152"/>
  <c r="N748" i="152" s="1"/>
  <c r="O748" i="152" s="1"/>
  <c r="O767" i="152"/>
  <c r="J749" i="152"/>
  <c r="J747" i="152"/>
  <c r="N747" i="152" s="1"/>
  <c r="O747" i="152" s="1"/>
  <c r="O766" i="152"/>
  <c r="J746" i="152"/>
  <c r="N746" i="152" s="1"/>
  <c r="O746" i="152" s="1"/>
  <c r="O765" i="152"/>
  <c r="O770" i="152"/>
  <c r="J751" i="152"/>
  <c r="N751" i="152" s="1"/>
  <c r="O751" i="152" s="1"/>
  <c r="O612" i="152" l="1"/>
  <c r="C614" i="152" s="1"/>
  <c r="D600" i="152"/>
  <c r="F848" i="152" s="1"/>
  <c r="D599" i="152"/>
  <c r="C600" i="152"/>
  <c r="O769" i="152"/>
  <c r="F749" i="152"/>
  <c r="C1054" i="152"/>
  <c r="D848" i="152" s="1"/>
  <c r="E848" i="152" s="1"/>
  <c r="O591" i="152"/>
  <c r="N745" i="152"/>
  <c r="G745" i="152"/>
  <c r="F750" i="152" l="1"/>
  <c r="E749" i="152"/>
  <c r="D749" i="152" s="1"/>
  <c r="M749" i="152" s="1"/>
  <c r="N749" i="152" s="1"/>
  <c r="C231" i="141"/>
  <c r="O745" i="152"/>
  <c r="AE53" i="145"/>
  <c r="P53" i="145"/>
  <c r="G749" i="152" l="1"/>
  <c r="O768" i="152" s="1"/>
  <c r="O749" i="152" l="1"/>
  <c r="K103" i="145" l="1"/>
  <c r="K104" i="145" l="1"/>
  <c r="K102" i="145"/>
  <c r="K801" i="127" l="1"/>
  <c r="H183" i="141" l="1"/>
  <c r="M801" i="127"/>
  <c r="M42" i="145"/>
  <c r="M43" i="145"/>
  <c r="L801" i="127"/>
  <c r="L802" i="127" s="1"/>
  <c r="M47" i="145" l="1"/>
  <c r="BF27" i="132" a="1"/>
  <c r="BF27" i="132" s="1"/>
  <c r="AB42" i="145"/>
  <c r="BH27" i="132" a="1"/>
  <c r="BH27" i="132" s="1"/>
  <c r="AB43" i="145"/>
  <c r="I183" i="141"/>
  <c r="M44" i="145"/>
  <c r="M49" i="145"/>
  <c r="M46" i="145"/>
  <c r="BH28" i="132" l="1" a="1"/>
  <c r="BH28" i="132" s="1"/>
  <c r="BF28" i="132" a="1"/>
  <c r="BF28" i="132" s="1"/>
  <c r="AB47" i="145"/>
  <c r="BW27" i="132" a="1"/>
  <c r="BW27" i="132" s="1"/>
  <c r="AB44" i="145"/>
  <c r="BZ27" i="132" a="1"/>
  <c r="BZ27" i="132" s="1"/>
  <c r="BU27" i="132" a="1"/>
  <c r="BU27" i="132" s="1"/>
  <c r="AB46" i="145"/>
  <c r="BX27" i="132" a="1"/>
  <c r="BX27" i="132" s="1"/>
  <c r="X27" i="132" s="1"/>
  <c r="AB49" i="145"/>
  <c r="C788" i="127"/>
  <c r="D788" i="127" s="1"/>
  <c r="I184" i="141"/>
  <c r="BU28" i="132" l="1" a="1"/>
  <c r="BU28" i="132" s="1"/>
  <c r="BW28" i="132" a="1"/>
  <c r="BW28" i="132" s="1"/>
  <c r="BX28" i="132" a="1"/>
  <c r="BX28" i="132" s="1"/>
  <c r="X28" i="132" s="1"/>
  <c r="BZ28" i="132" a="1"/>
  <c r="BZ28" i="132" s="1"/>
  <c r="F104" i="145"/>
  <c r="F103" i="145" l="1"/>
  <c r="F102" i="145" l="1"/>
  <c r="H104" i="145" l="1"/>
  <c r="H103" i="145" l="1"/>
  <c r="H102" i="145" l="1"/>
  <c r="B10" i="197" l="1"/>
  <c r="G214" i="190" l="1"/>
  <c r="T91" i="152" s="1"/>
  <c r="C890" i="152" l="1"/>
  <c r="C425" i="152"/>
  <c r="G51" i="190"/>
  <c r="G211" i="190"/>
  <c r="T88" i="152" s="1"/>
  <c r="C422" i="152" s="1"/>
  <c r="J104" i="145" l="1"/>
  <c r="J103" i="145" l="1"/>
  <c r="J102" i="145" l="1"/>
  <c r="K793" i="126" l="1"/>
  <c r="H163" i="141" l="1"/>
  <c r="M793" i="126"/>
  <c r="L793" i="126"/>
  <c r="L794" i="126" s="1"/>
  <c r="L43" i="145"/>
  <c r="L42" i="145"/>
  <c r="L47" i="145" l="1"/>
  <c r="BF25" i="132" a="1"/>
  <c r="BF25" i="132" s="1"/>
  <c r="AA42" i="145"/>
  <c r="BH25" i="132" a="1"/>
  <c r="BH25" i="132" s="1"/>
  <c r="AA43" i="145"/>
  <c r="I163" i="141"/>
  <c r="L46" i="145"/>
  <c r="L49" i="145"/>
  <c r="L44" i="145"/>
  <c r="BH26" i="132" l="1" a="1"/>
  <c r="BH26" i="132" s="1"/>
  <c r="BF26" i="132" a="1"/>
  <c r="BF26" i="132" s="1"/>
  <c r="AA47" i="145"/>
  <c r="BU25" i="132" a="1"/>
  <c r="BU25" i="132" s="1"/>
  <c r="AA46" i="145"/>
  <c r="BZ25" i="132" a="1"/>
  <c r="BZ25" i="132" s="1"/>
  <c r="BW25" i="132" a="1"/>
  <c r="BW25" i="132" s="1"/>
  <c r="AA44" i="145"/>
  <c r="BX25" i="132" a="1"/>
  <c r="BX25" i="132" s="1"/>
  <c r="X25" i="132" s="1"/>
  <c r="AA49" i="145"/>
  <c r="I164" i="141"/>
  <c r="C780" i="126"/>
  <c r="D780" i="126" s="1"/>
  <c r="BW26" i="132" l="1" a="1"/>
  <c r="BW26" i="132" s="1"/>
  <c r="BZ26" i="132" a="1"/>
  <c r="BZ26" i="132" s="1"/>
  <c r="BX26" i="132" a="1"/>
  <c r="BX26" i="132" s="1"/>
  <c r="X26" i="132" s="1"/>
  <c r="BU26" i="132" a="1"/>
  <c r="BU26" i="132" s="1"/>
  <c r="I103" i="145"/>
  <c r="I104" i="145" l="1"/>
  <c r="I102" i="145" l="1"/>
  <c r="C116" i="145" l="1"/>
  <c r="C115" i="145" l="1"/>
  <c r="C114" i="145"/>
  <c r="U77" i="111" l="1"/>
  <c r="AG31" i="132" l="1"/>
  <c r="O31" i="132" s="1"/>
  <c r="BE127" i="204"/>
  <c r="BE142" i="205"/>
  <c r="BE129" i="204"/>
  <c r="BE144" i="205"/>
  <c r="BE108" i="137"/>
  <c r="BE105" i="203"/>
  <c r="BE106" i="137"/>
  <c r="BE103" i="203"/>
  <c r="BE125" i="204" l="1"/>
  <c r="BE140" i="205"/>
  <c r="BE104" i="137"/>
  <c r="BE101" i="203"/>
  <c r="G104" i="145" l="1"/>
  <c r="G103" i="145" l="1"/>
  <c r="G102" i="145"/>
  <c r="H235" i="112" l="1"/>
  <c r="F235" i="112" s="1"/>
  <c r="D235" i="112" s="1"/>
  <c r="G90" i="200" l="1"/>
  <c r="G97" i="200" s="1"/>
  <c r="G108" i="200" s="1"/>
  <c r="G165" i="189"/>
  <c r="G174" i="189" s="1"/>
  <c r="G116" i="190"/>
  <c r="AA84" i="187"/>
  <c r="AR84" i="187"/>
  <c r="AJ84" i="187"/>
  <c r="AN84" i="187"/>
  <c r="AE84" i="187"/>
  <c r="G84" i="187"/>
  <c r="H82" i="180"/>
  <c r="H89" i="180" s="1"/>
  <c r="O84" i="187"/>
  <c r="G82" i="180"/>
  <c r="G89" i="180" s="1"/>
  <c r="W84" i="187"/>
  <c r="K84" i="187"/>
  <c r="S84" i="187"/>
  <c r="AA424" i="121"/>
  <c r="U552" i="107"/>
  <c r="W236" i="112"/>
  <c r="H236" i="112" s="1"/>
  <c r="F236" i="112" s="1"/>
  <c r="D236" i="112" s="1"/>
  <c r="U424" i="121"/>
  <c r="U536" i="122"/>
  <c r="AA415" i="122"/>
  <c r="AA545" i="121"/>
  <c r="AA536" i="122"/>
  <c r="U415" i="122"/>
  <c r="U545" i="121"/>
  <c r="G100" i="200" l="1"/>
  <c r="G177" i="189"/>
  <c r="G182" i="189"/>
  <c r="G111" i="200"/>
  <c r="G131" i="200" s="1"/>
  <c r="G132" i="200" s="1"/>
  <c r="G133" i="200" s="1"/>
  <c r="G134" i="200" s="1"/>
  <c r="G306" i="200" s="1"/>
  <c r="T90" i="107" s="1"/>
  <c r="AE93" i="187"/>
  <c r="AC93" i="187"/>
  <c r="AD93" i="187"/>
  <c r="AN93" i="187"/>
  <c r="AL93" i="187"/>
  <c r="AM93" i="187"/>
  <c r="AJ93" i="187"/>
  <c r="AH93" i="187"/>
  <c r="AI93" i="187"/>
  <c r="AR93" i="187"/>
  <c r="AP93" i="187"/>
  <c r="AQ93" i="187"/>
  <c r="H100" i="180"/>
  <c r="H92" i="180"/>
  <c r="N93" i="187"/>
  <c r="O93" i="187"/>
  <c r="M93" i="187"/>
  <c r="I93" i="187"/>
  <c r="J93" i="187"/>
  <c r="K93" i="187"/>
  <c r="G92" i="180"/>
  <c r="G100" i="180"/>
  <c r="G93" i="187"/>
  <c r="E93" i="187"/>
  <c r="F93" i="187"/>
  <c r="C516" i="107" l="1"/>
  <c r="C517" i="107" s="1"/>
  <c r="C622" i="107"/>
  <c r="C623" i="107" s="1"/>
  <c r="G185" i="189"/>
  <c r="G294" i="189" s="1"/>
  <c r="C74" i="151" s="1"/>
  <c r="D470" i="111" s="1"/>
  <c r="D466" i="111" s="1"/>
  <c r="G214" i="189"/>
  <c r="G217" i="189" s="1"/>
  <c r="G218" i="189" s="1"/>
  <c r="G219" i="189" s="1"/>
  <c r="G114" i="200"/>
  <c r="AQ96" i="187"/>
  <c r="AQ104" i="187"/>
  <c r="AP96" i="187"/>
  <c r="AP104" i="187"/>
  <c r="AR96" i="187"/>
  <c r="AR104" i="187"/>
  <c r="AI96" i="187"/>
  <c r="AI104" i="187"/>
  <c r="AH104" i="187"/>
  <c r="AH96" i="187"/>
  <c r="AJ104" i="187"/>
  <c r="AJ96" i="187"/>
  <c r="AM96" i="187"/>
  <c r="AM104" i="187"/>
  <c r="AL96" i="187"/>
  <c r="AL104" i="187"/>
  <c r="AN96" i="187"/>
  <c r="AN104" i="187"/>
  <c r="AD96" i="187"/>
  <c r="AD104" i="187"/>
  <c r="AC96" i="187"/>
  <c r="AC104" i="187"/>
  <c r="AE96" i="187"/>
  <c r="AE104" i="187"/>
  <c r="F104" i="187"/>
  <c r="F96" i="187"/>
  <c r="O96" i="187"/>
  <c r="O104" i="187"/>
  <c r="E96" i="187"/>
  <c r="E104" i="187"/>
  <c r="N104" i="187"/>
  <c r="N96" i="187"/>
  <c r="G96" i="187"/>
  <c r="G104" i="187"/>
  <c r="G103" i="180"/>
  <c r="G123" i="180" s="1"/>
  <c r="G124" i="180" s="1"/>
  <c r="G125" i="180" s="1"/>
  <c r="G126" i="180" s="1"/>
  <c r="G290" i="180" s="1"/>
  <c r="I104" i="187"/>
  <c r="I96" i="187"/>
  <c r="H103" i="180"/>
  <c r="H123" i="180" s="1"/>
  <c r="H124" i="180" s="1"/>
  <c r="H125" i="180" s="1"/>
  <c r="H126" i="180" s="1"/>
  <c r="H290" i="180" s="1"/>
  <c r="T47" i="125" s="1"/>
  <c r="K104" i="187"/>
  <c r="K96" i="187"/>
  <c r="J96" i="187"/>
  <c r="J104" i="187"/>
  <c r="M104" i="187"/>
  <c r="M96" i="187"/>
  <c r="G466" i="111" l="1"/>
  <c r="E466" i="111"/>
  <c r="H466" i="111"/>
  <c r="G343" i="200"/>
  <c r="C69" i="107" s="1"/>
  <c r="D433" i="111" s="1"/>
  <c r="D429" i="111" s="1"/>
  <c r="F222" i="189"/>
  <c r="G257" i="189" s="1"/>
  <c r="T63" i="151" s="1"/>
  <c r="C545" i="151" s="1"/>
  <c r="C546" i="151" s="1"/>
  <c r="G222" i="189"/>
  <c r="C185" i="189"/>
  <c r="D185" i="189"/>
  <c r="AE107" i="187"/>
  <c r="AE127" i="187" s="1"/>
  <c r="AE128" i="187" s="1"/>
  <c r="AE129" i="187" s="1"/>
  <c r="AE130" i="187" s="1"/>
  <c r="AE303" i="187" s="1"/>
  <c r="AI107" i="187"/>
  <c r="AI127" i="187" s="1"/>
  <c r="AI128" i="187" s="1"/>
  <c r="AI129" i="187" s="1"/>
  <c r="AI130" i="187" s="1"/>
  <c r="AD107" i="187"/>
  <c r="AD127" i="187" s="1"/>
  <c r="AD128" i="187" s="1"/>
  <c r="AD129" i="187" s="1"/>
  <c r="AD130" i="187" s="1"/>
  <c r="AP107" i="187"/>
  <c r="AP127" i="187" s="1"/>
  <c r="AP128" i="187" s="1"/>
  <c r="AP129" i="187" s="1"/>
  <c r="AP130" i="187" s="1"/>
  <c r="AN107" i="187"/>
  <c r="AN127" i="187" s="1"/>
  <c r="AN128" i="187" s="1"/>
  <c r="AN129" i="187" s="1"/>
  <c r="AN130" i="187" s="1"/>
  <c r="AN303" i="187" s="1"/>
  <c r="AQ107" i="187"/>
  <c r="AQ127" i="187" s="1"/>
  <c r="AQ128" i="187" s="1"/>
  <c r="AQ129" i="187" s="1"/>
  <c r="AQ130" i="187" s="1"/>
  <c r="AC107" i="187"/>
  <c r="AC127" i="187" s="1"/>
  <c r="AC128" i="187" s="1"/>
  <c r="AC129" i="187" s="1"/>
  <c r="AC130" i="187" s="1"/>
  <c r="AH107" i="187"/>
  <c r="AH127" i="187" s="1"/>
  <c r="AH128" i="187" s="1"/>
  <c r="AH129" i="187" s="1"/>
  <c r="AH130" i="187" s="1"/>
  <c r="AL107" i="187"/>
  <c r="AL127" i="187" s="1"/>
  <c r="AL128" i="187" s="1"/>
  <c r="AL129" i="187" s="1"/>
  <c r="AL130" i="187" s="1"/>
  <c r="AM107" i="187"/>
  <c r="AM127" i="187" s="1"/>
  <c r="AM128" i="187" s="1"/>
  <c r="AM129" i="187" s="1"/>
  <c r="AM130" i="187" s="1"/>
  <c r="AR107" i="187"/>
  <c r="AR127" i="187" s="1"/>
  <c r="AR128" i="187" s="1"/>
  <c r="AR129" i="187" s="1"/>
  <c r="AR130" i="187" s="1"/>
  <c r="AJ107" i="187"/>
  <c r="AJ127" i="187" s="1"/>
  <c r="AJ128" i="187" s="1"/>
  <c r="AJ129" i="187" s="1"/>
  <c r="AJ130" i="187" s="1"/>
  <c r="AJ303" i="187" s="1"/>
  <c r="H106" i="180"/>
  <c r="H318" i="180" s="1"/>
  <c r="C47" i="125" s="1"/>
  <c r="D63" i="111" s="1"/>
  <c r="D59" i="111" s="1"/>
  <c r="F107" i="187"/>
  <c r="F127" i="187" s="1"/>
  <c r="F128" i="187" s="1"/>
  <c r="F129" i="187" s="1"/>
  <c r="F130" i="187" s="1"/>
  <c r="I107" i="187"/>
  <c r="I127" i="187" s="1"/>
  <c r="I128" i="187" s="1"/>
  <c r="I129" i="187" s="1"/>
  <c r="I130" i="187" s="1"/>
  <c r="E107" i="187"/>
  <c r="E127" i="187" s="1"/>
  <c r="E128" i="187" s="1"/>
  <c r="E129" i="187" s="1"/>
  <c r="E130" i="187" s="1"/>
  <c r="T48" i="97"/>
  <c r="M107" i="187"/>
  <c r="M127" i="187" s="1"/>
  <c r="M128" i="187" s="1"/>
  <c r="M129" i="187" s="1"/>
  <c r="M130" i="187" s="1"/>
  <c r="G106" i="180"/>
  <c r="G107" i="187"/>
  <c r="G127" i="187" s="1"/>
  <c r="G128" i="187" s="1"/>
  <c r="G129" i="187" s="1"/>
  <c r="G130" i="187" s="1"/>
  <c r="G303" i="187" s="1"/>
  <c r="T59" i="98" s="1"/>
  <c r="E383" i="152"/>
  <c r="K107" i="187"/>
  <c r="K127" i="187" s="1"/>
  <c r="K128" i="187" s="1"/>
  <c r="K129" i="187" s="1"/>
  <c r="K130" i="187" s="1"/>
  <c r="E384" i="126"/>
  <c r="C395" i="126" s="1"/>
  <c r="N107" i="187"/>
  <c r="N127" i="187" s="1"/>
  <c r="N128" i="187" s="1"/>
  <c r="N129" i="187" s="1"/>
  <c r="N130" i="187" s="1"/>
  <c r="J107" i="187"/>
  <c r="J127" i="187" s="1"/>
  <c r="J128" i="187" s="1"/>
  <c r="J129" i="187" s="1"/>
  <c r="J130" i="187" s="1"/>
  <c r="O107" i="187"/>
  <c r="O127" i="187" s="1"/>
  <c r="O128" i="187" s="1"/>
  <c r="O129" i="187" s="1"/>
  <c r="O130" i="187" s="1"/>
  <c r="E429" i="111" l="1"/>
  <c r="H429" i="111"/>
  <c r="H443" i="111" s="1"/>
  <c r="H444" i="111" s="1"/>
  <c r="G429" i="111"/>
  <c r="G443" i="111" s="1"/>
  <c r="G444" i="111" s="1"/>
  <c r="H59" i="111"/>
  <c r="H73" i="111" s="1"/>
  <c r="H74" i="111" s="1"/>
  <c r="G59" i="111"/>
  <c r="G73" i="111" s="1"/>
  <c r="G74" i="111" s="1"/>
  <c r="E59" i="111"/>
  <c r="AD433" i="111"/>
  <c r="K302" i="187"/>
  <c r="T73" i="122" s="1"/>
  <c r="AE302" i="187"/>
  <c r="T67" i="99" s="1"/>
  <c r="AJ302" i="187"/>
  <c r="T84" i="126" s="1"/>
  <c r="AN302" i="187"/>
  <c r="T67" i="127" s="1"/>
  <c r="AR302" i="187"/>
  <c r="T78" i="152" s="1"/>
  <c r="AR303" i="187"/>
  <c r="T79" i="152" s="1"/>
  <c r="T68" i="127"/>
  <c r="T85" i="126"/>
  <c r="T68" i="99"/>
  <c r="O302" i="187"/>
  <c r="T55" i="121" s="1"/>
  <c r="O303" i="187"/>
  <c r="T56" i="121" s="1"/>
  <c r="K303" i="187"/>
  <c r="T74" i="122" s="1"/>
  <c r="AD63" i="111"/>
  <c r="F507" i="98"/>
  <c r="E508" i="98" s="1"/>
  <c r="F650" i="98"/>
  <c r="E651" i="98" s="1"/>
  <c r="H764" i="152"/>
  <c r="H773" i="152" s="1"/>
  <c r="E349" i="126"/>
  <c r="E350" i="126"/>
  <c r="C362" i="126" s="1"/>
  <c r="E351" i="126"/>
  <c r="C364" i="126" s="1"/>
  <c r="E352" i="126"/>
  <c r="F373" i="126" s="1"/>
  <c r="E353" i="126"/>
  <c r="E354" i="126"/>
  <c r="C363" i="126" s="1"/>
  <c r="E349" i="123"/>
  <c r="E350" i="123"/>
  <c r="C362" i="123" s="1"/>
  <c r="E351" i="123"/>
  <c r="C364" i="123" s="1"/>
  <c r="E352" i="123"/>
  <c r="F373" i="123" s="1"/>
  <c r="E353" i="123"/>
  <c r="E354" i="123"/>
  <c r="C363" i="123" s="1"/>
  <c r="J363" i="123" s="1"/>
  <c r="N363" i="123" s="1"/>
  <c r="E334" i="127"/>
  <c r="C342" i="127" s="1"/>
  <c r="E470" i="127"/>
  <c r="E185" i="189"/>
  <c r="AD110" i="187"/>
  <c r="C429" i="125"/>
  <c r="C430" i="125" s="1"/>
  <c r="J579" i="125" s="1"/>
  <c r="J580" i="125" s="1"/>
  <c r="C535" i="125"/>
  <c r="AL110" i="187"/>
  <c r="AM110" i="187"/>
  <c r="AJ110" i="187"/>
  <c r="AJ376" i="187" s="1"/>
  <c r="C73" i="126" s="1"/>
  <c r="AI110" i="187"/>
  <c r="AP110" i="187"/>
  <c r="AQ110" i="187"/>
  <c r="AC110" i="187"/>
  <c r="AR110" i="187"/>
  <c r="AR376" i="187" s="1"/>
  <c r="C86" i="152" s="1"/>
  <c r="AN110" i="187"/>
  <c r="AN376" i="187" s="1"/>
  <c r="C73" i="127" s="1"/>
  <c r="AH110" i="187"/>
  <c r="AE110" i="187"/>
  <c r="AE376" i="187" s="1"/>
  <c r="C73" i="99" s="1"/>
  <c r="J395" i="126"/>
  <c r="N395" i="126" s="1"/>
  <c r="O395" i="126" s="1"/>
  <c r="O404" i="126"/>
  <c r="E383" i="126"/>
  <c r="C394" i="126" s="1"/>
  <c r="E385" i="126"/>
  <c r="C396" i="126" s="1"/>
  <c r="G302" i="187"/>
  <c r="T58" i="98" s="1"/>
  <c r="I110" i="187"/>
  <c r="O110" i="187"/>
  <c r="O376" i="187" s="1"/>
  <c r="C66" i="121" s="1"/>
  <c r="G110" i="187"/>
  <c r="G376" i="187" s="1"/>
  <c r="C59" i="98" s="1"/>
  <c r="M110" i="187"/>
  <c r="E382" i="152"/>
  <c r="C393" i="152" s="1"/>
  <c r="J110" i="187"/>
  <c r="E381" i="152"/>
  <c r="C392" i="152" s="1"/>
  <c r="C397" i="97"/>
  <c r="C398" i="97" s="1"/>
  <c r="C503" i="97"/>
  <c r="E384" i="152"/>
  <c r="F403" i="152" s="1"/>
  <c r="F110" i="187"/>
  <c r="G318" i="180"/>
  <c r="C47" i="97" s="1"/>
  <c r="D26" i="111" s="1"/>
  <c r="D22" i="111" s="1"/>
  <c r="G22" i="111" s="1"/>
  <c r="E110" i="187"/>
  <c r="N110" i="187"/>
  <c r="K110" i="187"/>
  <c r="K376" i="187" s="1"/>
  <c r="C73" i="122" s="1"/>
  <c r="E22" i="111" l="1"/>
  <c r="F36" i="111"/>
  <c r="H22" i="111"/>
  <c r="J545" i="97"/>
  <c r="J546" i="97"/>
  <c r="G7" i="141" s="1"/>
  <c r="AD429" i="111"/>
  <c r="U72" i="111"/>
  <c r="C876" i="152"/>
  <c r="C844" i="152"/>
  <c r="F636" i="152"/>
  <c r="E637" i="152" s="1"/>
  <c r="F797" i="152"/>
  <c r="E798" i="152" s="1"/>
  <c r="C636" i="152"/>
  <c r="C637" i="152" s="1"/>
  <c r="C797" i="152"/>
  <c r="C798" i="152" s="1"/>
  <c r="D636" i="152"/>
  <c r="D797" i="152"/>
  <c r="C504" i="97"/>
  <c r="J575" i="97" s="1"/>
  <c r="J576" i="97" s="1"/>
  <c r="F606" i="127"/>
  <c r="E607" i="127" s="1"/>
  <c r="F749" i="127"/>
  <c r="E750" i="127" s="1"/>
  <c r="F598" i="126"/>
  <c r="E599" i="126" s="1"/>
  <c r="F741" i="126"/>
  <c r="E742" i="126" s="1"/>
  <c r="F751" i="99"/>
  <c r="E752" i="99" s="1"/>
  <c r="F608" i="99"/>
  <c r="E609" i="99" s="1"/>
  <c r="F506" i="121"/>
  <c r="E507" i="121" s="1"/>
  <c r="F649" i="121"/>
  <c r="E650" i="121" s="1"/>
  <c r="F497" i="122"/>
  <c r="E498" i="122" s="1"/>
  <c r="F640" i="122"/>
  <c r="E641" i="122" s="1"/>
  <c r="D749" i="127"/>
  <c r="C749" i="127"/>
  <c r="C750" i="127" s="1"/>
  <c r="D606" i="127"/>
  <c r="C606" i="127"/>
  <c r="C607" i="127" s="1"/>
  <c r="D741" i="126"/>
  <c r="C741" i="126"/>
  <c r="C742" i="126" s="1"/>
  <c r="D598" i="126"/>
  <c r="C598" i="126"/>
  <c r="C599" i="126" s="1"/>
  <c r="D751" i="99"/>
  <c r="C751" i="99"/>
  <c r="C752" i="99" s="1"/>
  <c r="C608" i="99"/>
  <c r="C609" i="99" s="1"/>
  <c r="D608" i="99"/>
  <c r="D649" i="121"/>
  <c r="C649" i="121"/>
  <c r="C650" i="121" s="1"/>
  <c r="D506" i="121"/>
  <c r="C506" i="121"/>
  <c r="C507" i="121" s="1"/>
  <c r="C640" i="122"/>
  <c r="C641" i="122" s="1"/>
  <c r="D640" i="122"/>
  <c r="C497" i="122"/>
  <c r="C498" i="122" s="1"/>
  <c r="D497" i="122"/>
  <c r="AD59" i="111"/>
  <c r="AD26" i="111"/>
  <c r="C650" i="98"/>
  <c r="C651" i="98" s="1"/>
  <c r="C652" i="98" s="1"/>
  <c r="J731" i="98" s="1"/>
  <c r="J732" i="98" s="1"/>
  <c r="D650" i="98"/>
  <c r="C507" i="98"/>
  <c r="C508" i="98" s="1"/>
  <c r="C509" i="98" s="1"/>
  <c r="J700" i="98" s="1"/>
  <c r="J701" i="98" s="1"/>
  <c r="D507" i="98"/>
  <c r="C536" i="125"/>
  <c r="J609" i="125" s="1"/>
  <c r="J610" i="125" s="1"/>
  <c r="I764" i="152"/>
  <c r="I773" i="152" s="1"/>
  <c r="J363" i="126"/>
  <c r="N363" i="126" s="1"/>
  <c r="F365" i="126"/>
  <c r="F364" i="126"/>
  <c r="F362" i="126"/>
  <c r="F363" i="126"/>
  <c r="G373" i="126"/>
  <c r="F374" i="126"/>
  <c r="J364" i="126"/>
  <c r="N364" i="126" s="1"/>
  <c r="O372" i="126"/>
  <c r="D789" i="126"/>
  <c r="J362" i="126"/>
  <c r="N362" i="126" s="1"/>
  <c r="C365" i="126"/>
  <c r="D368" i="126" s="1"/>
  <c r="D822" i="126"/>
  <c r="F365" i="123"/>
  <c r="F363" i="123"/>
  <c r="F362" i="123"/>
  <c r="F364" i="123"/>
  <c r="G373" i="123"/>
  <c r="O373" i="123" s="1"/>
  <c r="F374" i="123"/>
  <c r="J364" i="123"/>
  <c r="N364" i="123" s="1"/>
  <c r="O372" i="123"/>
  <c r="D788" i="123"/>
  <c r="J362" i="123"/>
  <c r="N362" i="123" s="1"/>
  <c r="C365" i="123"/>
  <c r="D368" i="123" s="1"/>
  <c r="D821" i="123"/>
  <c r="E471" i="127"/>
  <c r="C503" i="127" s="1"/>
  <c r="C505" i="127" s="1"/>
  <c r="I800" i="127" s="1"/>
  <c r="I802" i="127" s="1"/>
  <c r="G796" i="127"/>
  <c r="G829" i="127"/>
  <c r="AE372" i="187"/>
  <c r="C69" i="99" s="1"/>
  <c r="D322" i="111" s="1"/>
  <c r="D318" i="111" s="1"/>
  <c r="J18" i="141"/>
  <c r="G19" i="141"/>
  <c r="G18" i="141"/>
  <c r="J19" i="141"/>
  <c r="C569" i="125"/>
  <c r="D569" i="125" s="1"/>
  <c r="AR372" i="187"/>
  <c r="C82" i="152" s="1"/>
  <c r="AN372" i="187"/>
  <c r="C69" i="127" s="1"/>
  <c r="D396" i="111" s="1"/>
  <c r="D392" i="111" s="1"/>
  <c r="AJ372" i="187"/>
  <c r="C69" i="126" s="1"/>
  <c r="D359" i="111" s="1"/>
  <c r="D355" i="111" s="1"/>
  <c r="K372" i="187"/>
  <c r="C69" i="122" s="1"/>
  <c r="D137" i="111" s="1"/>
  <c r="D133" i="111" s="1"/>
  <c r="O372" i="187"/>
  <c r="C62" i="121" s="1"/>
  <c r="D174" i="111" s="1"/>
  <c r="D823" i="126"/>
  <c r="D790" i="126"/>
  <c r="J396" i="126"/>
  <c r="N396" i="126" s="1"/>
  <c r="O396" i="126" s="1"/>
  <c r="O405" i="126"/>
  <c r="J394" i="126"/>
  <c r="N394" i="126" s="1"/>
  <c r="O403" i="126"/>
  <c r="C823" i="126"/>
  <c r="C399" i="126"/>
  <c r="D399" i="126"/>
  <c r="C790" i="126"/>
  <c r="G372" i="187"/>
  <c r="C55" i="98" s="1"/>
  <c r="D100" i="111" s="1"/>
  <c r="C714" i="126"/>
  <c r="F705" i="126"/>
  <c r="C394" i="152"/>
  <c r="C397" i="152" s="1"/>
  <c r="O402" i="152"/>
  <c r="J393" i="152"/>
  <c r="N393" i="152" s="1"/>
  <c r="O393" i="152" s="1"/>
  <c r="F404" i="152"/>
  <c r="G403" i="152"/>
  <c r="C722" i="127"/>
  <c r="F713" i="127"/>
  <c r="O401" i="152"/>
  <c r="J392" i="152"/>
  <c r="N392" i="152" s="1"/>
  <c r="C752" i="152"/>
  <c r="E680" i="152"/>
  <c r="D9" i="145"/>
  <c r="AH59" i="111" l="1"/>
  <c r="AH73" i="111" s="1"/>
  <c r="AH74" i="111" s="1"/>
  <c r="AG59" i="111"/>
  <c r="AG73" i="111" s="1"/>
  <c r="AG74" i="111" s="1"/>
  <c r="AE59" i="111"/>
  <c r="H355" i="111"/>
  <c r="H369" i="111" s="1"/>
  <c r="H370" i="111" s="1"/>
  <c r="G355" i="111"/>
  <c r="G369" i="111" s="1"/>
  <c r="G370" i="111" s="1"/>
  <c r="E355" i="111"/>
  <c r="AH429" i="111"/>
  <c r="AH443" i="111" s="1"/>
  <c r="AH444" i="111" s="1"/>
  <c r="AG429" i="111"/>
  <c r="AG443" i="111" s="1"/>
  <c r="AG444" i="111" s="1"/>
  <c r="AE429" i="111"/>
  <c r="G392" i="111"/>
  <c r="G406" i="111" s="1"/>
  <c r="G407" i="111" s="1"/>
  <c r="H392" i="111"/>
  <c r="H406" i="111" s="1"/>
  <c r="H407" i="111" s="1"/>
  <c r="E392" i="111"/>
  <c r="E318" i="111"/>
  <c r="G318" i="111"/>
  <c r="G332" i="111" s="1"/>
  <c r="G333" i="111" s="1"/>
  <c r="H318" i="111"/>
  <c r="H332" i="111" s="1"/>
  <c r="H333" i="111" s="1"/>
  <c r="E133" i="111"/>
  <c r="H133" i="111"/>
  <c r="H147" i="111" s="1"/>
  <c r="H148" i="111" s="1"/>
  <c r="G133" i="111"/>
  <c r="G147" i="111" s="1"/>
  <c r="G148" i="111" s="1"/>
  <c r="AD100" i="111"/>
  <c r="D96" i="111"/>
  <c r="AD174" i="111"/>
  <c r="D170" i="111"/>
  <c r="U75" i="111"/>
  <c r="M829" i="127"/>
  <c r="M796" i="127"/>
  <c r="D794" i="126"/>
  <c r="J547" i="97"/>
  <c r="C535" i="97" s="1"/>
  <c r="D535" i="97" s="1"/>
  <c r="AP29" i="132"/>
  <c r="V73" i="111"/>
  <c r="V72" i="111"/>
  <c r="C751" i="127"/>
  <c r="N844" i="152"/>
  <c r="N876" i="152"/>
  <c r="D876" i="152"/>
  <c r="D844" i="152"/>
  <c r="C600" i="126"/>
  <c r="J793" i="126" s="1"/>
  <c r="C610" i="99"/>
  <c r="C753" i="99"/>
  <c r="C743" i="126"/>
  <c r="C608" i="127"/>
  <c r="J801" i="127" s="1"/>
  <c r="C564" i="97"/>
  <c r="D564" i="97" s="1"/>
  <c r="G12" i="141"/>
  <c r="C499" i="122"/>
  <c r="C508" i="121"/>
  <c r="C651" i="121"/>
  <c r="C642" i="122"/>
  <c r="AD396" i="111"/>
  <c r="AD359" i="111"/>
  <c r="AD322" i="111"/>
  <c r="AD137" i="111"/>
  <c r="V13" i="111"/>
  <c r="V12" i="111"/>
  <c r="U13" i="111"/>
  <c r="U12" i="111"/>
  <c r="AD22" i="111"/>
  <c r="G36" i="111"/>
  <c r="G37" i="111" s="1"/>
  <c r="G40" i="141"/>
  <c r="G32" i="141"/>
  <c r="G25" i="141"/>
  <c r="G24" i="141"/>
  <c r="F743" i="152"/>
  <c r="C743" i="152"/>
  <c r="J752" i="152"/>
  <c r="N752" i="152" s="1"/>
  <c r="O752" i="152" s="1"/>
  <c r="O771" i="152"/>
  <c r="J764" i="152"/>
  <c r="J773" i="152" s="1"/>
  <c r="N822" i="126"/>
  <c r="N827" i="126" s="1"/>
  <c r="N789" i="126"/>
  <c r="N794" i="126" s="1"/>
  <c r="O373" i="126"/>
  <c r="C376" i="126" s="1"/>
  <c r="G374" i="126"/>
  <c r="C376" i="123"/>
  <c r="G821" i="123" s="1"/>
  <c r="C368" i="126"/>
  <c r="J365" i="126"/>
  <c r="N365" i="126" s="1"/>
  <c r="C369" i="126" s="1"/>
  <c r="C789" i="126"/>
  <c r="C822" i="126"/>
  <c r="O374" i="123"/>
  <c r="C368" i="123"/>
  <c r="C788" i="123"/>
  <c r="C821" i="123"/>
  <c r="J365" i="123"/>
  <c r="N365" i="123" s="1"/>
  <c r="C369" i="123" s="1"/>
  <c r="N788" i="123"/>
  <c r="N821" i="123"/>
  <c r="G374" i="123"/>
  <c r="I833" i="127"/>
  <c r="I835" i="127" s="1"/>
  <c r="D188" i="141"/>
  <c r="H829" i="127"/>
  <c r="D178" i="141"/>
  <c r="H796" i="127"/>
  <c r="F182" i="141"/>
  <c r="J182" i="141"/>
  <c r="C567" i="125"/>
  <c r="D567" i="125" s="1"/>
  <c r="J24" i="141"/>
  <c r="D397" i="152"/>
  <c r="E823" i="126"/>
  <c r="E790" i="126"/>
  <c r="C408" i="126"/>
  <c r="O406" i="126"/>
  <c r="O394" i="126"/>
  <c r="D400" i="126"/>
  <c r="C400" i="126"/>
  <c r="O392" i="152"/>
  <c r="G404" i="152"/>
  <c r="O403" i="152"/>
  <c r="J394" i="152"/>
  <c r="N394" i="152" s="1"/>
  <c r="O394" i="152" s="1"/>
  <c r="O741" i="127"/>
  <c r="J722" i="127"/>
  <c r="N722" i="127" s="1"/>
  <c r="O722" i="127" s="1"/>
  <c r="C705" i="126"/>
  <c r="H724" i="126"/>
  <c r="J714" i="126"/>
  <c r="N714" i="126" s="1"/>
  <c r="O714" i="126" s="1"/>
  <c r="O733" i="126"/>
  <c r="C713" i="127"/>
  <c r="H732" i="127"/>
  <c r="J7" i="141"/>
  <c r="D7" i="145"/>
  <c r="L79" i="145"/>
  <c r="L78" i="145"/>
  <c r="L77" i="145"/>
  <c r="L76" i="145"/>
  <c r="C7" i="145"/>
  <c r="AA78" i="145"/>
  <c r="R7" i="145"/>
  <c r="AA76" i="145"/>
  <c r="AA79" i="145"/>
  <c r="AH22" i="111" l="1"/>
  <c r="AH36" i="111" s="1"/>
  <c r="AH37" i="111" s="1"/>
  <c r="AG22" i="111"/>
  <c r="AG36" i="111" s="1"/>
  <c r="AG37" i="111" s="1"/>
  <c r="AE22" i="111"/>
  <c r="H170" i="111"/>
  <c r="H184" i="111" s="1"/>
  <c r="H185" i="111" s="1"/>
  <c r="G170" i="111"/>
  <c r="G184" i="111" s="1"/>
  <c r="G185" i="111" s="1"/>
  <c r="E170" i="111"/>
  <c r="H96" i="111"/>
  <c r="H110" i="111" s="1"/>
  <c r="H111" i="111" s="1"/>
  <c r="E96" i="111"/>
  <c r="G96" i="111"/>
  <c r="G110" i="111" s="1"/>
  <c r="G111" i="111" s="1"/>
  <c r="G8" i="141"/>
  <c r="U54" i="111"/>
  <c r="U66" i="111"/>
  <c r="U18" i="111"/>
  <c r="AD170" i="111"/>
  <c r="V31" i="111"/>
  <c r="U30" i="111"/>
  <c r="U60" i="111"/>
  <c r="E188" i="141"/>
  <c r="G183" i="141"/>
  <c r="J802" i="127"/>
  <c r="C785" i="127" s="1"/>
  <c r="D785" i="127" s="1"/>
  <c r="E822" i="126"/>
  <c r="G163" i="141"/>
  <c r="J794" i="126"/>
  <c r="G164" i="141" s="1"/>
  <c r="E789" i="126"/>
  <c r="AP9" i="132"/>
  <c r="AP30" i="132"/>
  <c r="AY9" i="132"/>
  <c r="AQ9" i="132"/>
  <c r="AQ29" i="132"/>
  <c r="AZ29" i="132"/>
  <c r="AZ9" i="132"/>
  <c r="V76" i="111"/>
  <c r="V75" i="111"/>
  <c r="AD96" i="111"/>
  <c r="G13" i="141"/>
  <c r="J183" i="141"/>
  <c r="O844" i="152"/>
  <c r="O876" i="152"/>
  <c r="J163" i="141"/>
  <c r="D880" i="152"/>
  <c r="E880" i="152" s="1"/>
  <c r="C756" i="152"/>
  <c r="D756" i="152"/>
  <c r="J12" i="141"/>
  <c r="D726" i="127"/>
  <c r="C726" i="127"/>
  <c r="C718" i="126"/>
  <c r="D718" i="126"/>
  <c r="AD392" i="111"/>
  <c r="AD355" i="111"/>
  <c r="AD318" i="111"/>
  <c r="AD133" i="111"/>
  <c r="O764" i="152"/>
  <c r="V16" i="111"/>
  <c r="V15" i="111"/>
  <c r="U15" i="111"/>
  <c r="U16" i="111"/>
  <c r="U6" i="111"/>
  <c r="F37" i="111"/>
  <c r="U7" i="111" s="1"/>
  <c r="C597" i="125"/>
  <c r="D597" i="125" s="1"/>
  <c r="C717" i="98"/>
  <c r="D717" i="98" s="1"/>
  <c r="G41" i="141"/>
  <c r="G33" i="141"/>
  <c r="C686" i="98"/>
  <c r="D686" i="98" s="1"/>
  <c r="J743" i="152"/>
  <c r="N743" i="152" s="1"/>
  <c r="O762" i="152"/>
  <c r="O374" i="126"/>
  <c r="D369" i="126"/>
  <c r="G788" i="123"/>
  <c r="D98" i="141" s="1"/>
  <c r="BM26" i="132" a="1"/>
  <c r="BM26" i="132" s="1"/>
  <c r="BL26" i="132" a="1"/>
  <c r="BL26" i="132" s="1"/>
  <c r="BN26" i="132" a="1"/>
  <c r="BN26" i="132" s="1"/>
  <c r="BN25" i="132" a="1"/>
  <c r="BN25" i="132" s="1"/>
  <c r="BM25" i="132" a="1"/>
  <c r="BM25" i="132" s="1"/>
  <c r="BL25" i="132" a="1"/>
  <c r="BL25" i="132" s="1"/>
  <c r="I724" i="126"/>
  <c r="G789" i="126"/>
  <c r="G822" i="126"/>
  <c r="O789" i="126"/>
  <c r="O794" i="126" s="1"/>
  <c r="O822" i="126"/>
  <c r="O827" i="126" s="1"/>
  <c r="K159" i="141"/>
  <c r="K169" i="141"/>
  <c r="D369" i="123"/>
  <c r="F192" i="141"/>
  <c r="J192" i="141"/>
  <c r="O788" i="123"/>
  <c r="O821" i="123"/>
  <c r="K109" i="141"/>
  <c r="K98" i="141"/>
  <c r="D109" i="141"/>
  <c r="E821" i="123"/>
  <c r="E788" i="123"/>
  <c r="E178" i="141"/>
  <c r="J178" i="141"/>
  <c r="J188" i="141"/>
  <c r="F184" i="141"/>
  <c r="C784" i="127"/>
  <c r="D784" i="127" s="1"/>
  <c r="I732" i="127"/>
  <c r="C817" i="127"/>
  <c r="D817" i="127" s="1"/>
  <c r="F194" i="141"/>
  <c r="K9" i="132"/>
  <c r="M9" i="132" s="1"/>
  <c r="C599" i="125"/>
  <c r="D599" i="125" s="1"/>
  <c r="J25" i="141"/>
  <c r="E844" i="152"/>
  <c r="E876" i="152"/>
  <c r="C398" i="152"/>
  <c r="O404" i="152"/>
  <c r="C406" i="152" s="1"/>
  <c r="D398" i="152"/>
  <c r="F790" i="126"/>
  <c r="F823" i="126"/>
  <c r="G823" i="126"/>
  <c r="G790" i="126"/>
  <c r="K227" i="141"/>
  <c r="C566" i="97"/>
  <c r="D566" i="97" s="1"/>
  <c r="J13" i="141"/>
  <c r="D826" i="126"/>
  <c r="D827" i="126" s="1"/>
  <c r="J705" i="126"/>
  <c r="N705" i="126" s="1"/>
  <c r="K8" i="132"/>
  <c r="M8" i="132" s="1"/>
  <c r="D834" i="127"/>
  <c r="D835" i="127" s="1"/>
  <c r="J713" i="127"/>
  <c r="N713" i="127" s="1"/>
  <c r="C537" i="97"/>
  <c r="D537" i="97" s="1"/>
  <c r="J8" i="141"/>
  <c r="K237" i="141"/>
  <c r="K7" i="132"/>
  <c r="M7" i="132" s="1"/>
  <c r="S7" i="145"/>
  <c r="S9" i="145"/>
  <c r="L66" i="145"/>
  <c r="M7" i="145"/>
  <c r="M6" i="145"/>
  <c r="AA66" i="145"/>
  <c r="R9" i="145"/>
  <c r="AB6" i="145"/>
  <c r="C9" i="145"/>
  <c r="AA77" i="145"/>
  <c r="AH133" i="111" l="1"/>
  <c r="AH147" i="111" s="1"/>
  <c r="AH148" i="111" s="1"/>
  <c r="AG133" i="111"/>
  <c r="AG147" i="111" s="1"/>
  <c r="AG148" i="111" s="1"/>
  <c r="AE133" i="111"/>
  <c r="AH170" i="111"/>
  <c r="AH184" i="111" s="1"/>
  <c r="AH185" i="111" s="1"/>
  <c r="AG170" i="111"/>
  <c r="AG184" i="111" s="1"/>
  <c r="AG185" i="111" s="1"/>
  <c r="AE170" i="111"/>
  <c r="AH355" i="111"/>
  <c r="AH369" i="111" s="1"/>
  <c r="AH370" i="111" s="1"/>
  <c r="AE355" i="111"/>
  <c r="AG355" i="111"/>
  <c r="AG369" i="111" s="1"/>
  <c r="AG370" i="111" s="1"/>
  <c r="AH392" i="111"/>
  <c r="AH406" i="111" s="1"/>
  <c r="AH407" i="111" s="1"/>
  <c r="AG392" i="111"/>
  <c r="AG406" i="111" s="1"/>
  <c r="AG407" i="111" s="1"/>
  <c r="AE392" i="111"/>
  <c r="AG318" i="111"/>
  <c r="AG332" i="111" s="1"/>
  <c r="AG333" i="111" s="1"/>
  <c r="AE318" i="111"/>
  <c r="AH318" i="111"/>
  <c r="AH332" i="111" s="1"/>
  <c r="AH333" i="111" s="1"/>
  <c r="AH96" i="111"/>
  <c r="AH110" i="111" s="1"/>
  <c r="AH111" i="111" s="1"/>
  <c r="AG96" i="111"/>
  <c r="AG110" i="111" s="1"/>
  <c r="AG111" i="111" s="1"/>
  <c r="V22" i="111" s="1"/>
  <c r="AE96" i="111"/>
  <c r="V19" i="111"/>
  <c r="AZ11" i="132" s="1"/>
  <c r="V18" i="111"/>
  <c r="AQ11" i="132" s="1"/>
  <c r="U57" i="111"/>
  <c r="U33" i="111"/>
  <c r="U63" i="111"/>
  <c r="U21" i="111"/>
  <c r="AP12" i="132" s="1"/>
  <c r="D169" i="141"/>
  <c r="D159" i="141"/>
  <c r="V30" i="111"/>
  <c r="K27" i="132"/>
  <c r="AP11" i="132"/>
  <c r="K10" i="132"/>
  <c r="M10" i="132" s="1"/>
  <c r="AP25" i="132"/>
  <c r="AQ30" i="132"/>
  <c r="AZ30" i="132"/>
  <c r="AP27" i="132"/>
  <c r="AZ15" i="132"/>
  <c r="AY7" i="132"/>
  <c r="AP7" i="132"/>
  <c r="AY10" i="132"/>
  <c r="AP15" i="132"/>
  <c r="AP10" i="132"/>
  <c r="AP23" i="132"/>
  <c r="AQ10" i="132"/>
  <c r="AZ10" i="132"/>
  <c r="M790" i="126"/>
  <c r="M823" i="126"/>
  <c r="W25" i="132"/>
  <c r="W26" i="132"/>
  <c r="U31" i="111"/>
  <c r="C777" i="126"/>
  <c r="D777" i="126" s="1"/>
  <c r="G184" i="141"/>
  <c r="O773" i="152"/>
  <c r="C775" i="152" s="1"/>
  <c r="C757" i="152"/>
  <c r="D757" i="152"/>
  <c r="F880" i="152" s="1"/>
  <c r="C241" i="141" s="1"/>
  <c r="F844" i="152"/>
  <c r="F876" i="152"/>
  <c r="G844" i="152"/>
  <c r="G876" i="152"/>
  <c r="D727" i="127"/>
  <c r="F834" i="127" s="1"/>
  <c r="C727" i="127"/>
  <c r="C719" i="126"/>
  <c r="D719" i="126"/>
  <c r="F826" i="126" s="1"/>
  <c r="V66" i="111"/>
  <c r="V67" i="111"/>
  <c r="U69" i="111"/>
  <c r="V60" i="111"/>
  <c r="V61" i="111"/>
  <c r="V54" i="111"/>
  <c r="V55" i="111"/>
  <c r="U24" i="111"/>
  <c r="U25" i="111"/>
  <c r="V24" i="111"/>
  <c r="V25" i="111"/>
  <c r="V10" i="111"/>
  <c r="V9" i="111"/>
  <c r="U9" i="111"/>
  <c r="U10" i="111"/>
  <c r="O743" i="152"/>
  <c r="F789" i="126"/>
  <c r="F822" i="126"/>
  <c r="L169" i="141"/>
  <c r="L159" i="141"/>
  <c r="J724" i="126"/>
  <c r="K164" i="141"/>
  <c r="K174" i="141"/>
  <c r="F788" i="123"/>
  <c r="F821" i="123"/>
  <c r="L109" i="141"/>
  <c r="L98" i="141"/>
  <c r="J28" i="132"/>
  <c r="J732" i="127"/>
  <c r="J27" i="132"/>
  <c r="E834" i="127"/>
  <c r="E826" i="126"/>
  <c r="D160" i="141"/>
  <c r="D170" i="141"/>
  <c r="C170" i="141"/>
  <c r="H823" i="126"/>
  <c r="C160" i="141"/>
  <c r="H790" i="126"/>
  <c r="O713" i="127"/>
  <c r="L237" i="141"/>
  <c r="L227" i="141"/>
  <c r="O705" i="126"/>
  <c r="L7" i="145"/>
  <c r="L67" i="145"/>
  <c r="AA67" i="145"/>
  <c r="V33" i="111" l="1"/>
  <c r="V34" i="111"/>
  <c r="U34" i="111"/>
  <c r="D237" i="141"/>
  <c r="M822" i="126"/>
  <c r="J169" i="141" s="1"/>
  <c r="M789" i="126"/>
  <c r="J159" i="141" s="1"/>
  <c r="M821" i="123"/>
  <c r="M788" i="123"/>
  <c r="AQ15" i="132"/>
  <c r="AQ23" i="132"/>
  <c r="AQ16" i="132"/>
  <c r="AZ12" i="132"/>
  <c r="AP16" i="132"/>
  <c r="AP26" i="132"/>
  <c r="AQ25" i="132"/>
  <c r="AZ13" i="132"/>
  <c r="AP28" i="132"/>
  <c r="AZ16" i="132"/>
  <c r="AZ25" i="132"/>
  <c r="AP13" i="132"/>
  <c r="AY15" i="132"/>
  <c r="AQ13" i="132"/>
  <c r="AY8" i="132"/>
  <c r="AZ27" i="132"/>
  <c r="AP8" i="132"/>
  <c r="AP24" i="132"/>
  <c r="AQ27" i="132"/>
  <c r="AY13" i="132"/>
  <c r="AQ8" i="132"/>
  <c r="AZ8" i="132"/>
  <c r="AY16" i="132"/>
  <c r="AZ23" i="132"/>
  <c r="V21" i="111"/>
  <c r="M876" i="152"/>
  <c r="C227" i="141"/>
  <c r="M844" i="152"/>
  <c r="K25" i="132"/>
  <c r="H844" i="152"/>
  <c r="D227" i="141"/>
  <c r="V69" i="111"/>
  <c r="V70" i="111"/>
  <c r="V64" i="111"/>
  <c r="V63" i="111"/>
  <c r="V58" i="111"/>
  <c r="V57" i="111"/>
  <c r="U27" i="111"/>
  <c r="U28" i="111"/>
  <c r="V28" i="111"/>
  <c r="V27" i="111"/>
  <c r="H822" i="126"/>
  <c r="C169" i="141"/>
  <c r="H789" i="126"/>
  <c r="C159" i="141"/>
  <c r="O724" i="126"/>
  <c r="L164" i="141"/>
  <c r="L174" i="141"/>
  <c r="H821" i="123"/>
  <c r="C109" i="141"/>
  <c r="H788" i="123"/>
  <c r="C98" i="141"/>
  <c r="O732" i="127"/>
  <c r="BB127" i="204"/>
  <c r="BB142" i="205"/>
  <c r="BB106" i="137"/>
  <c r="BB103" i="203"/>
  <c r="C237" i="141"/>
  <c r="H876" i="152"/>
  <c r="E160" i="141"/>
  <c r="J160" i="141"/>
  <c r="J170" i="141"/>
  <c r="E170" i="141"/>
  <c r="C173" i="141"/>
  <c r="C193" i="141"/>
  <c r="E227" i="141" l="1"/>
  <c r="J227" i="141"/>
  <c r="E169" i="141"/>
  <c r="E159" i="141"/>
  <c r="AZ14" i="132"/>
  <c r="AY14" i="132"/>
  <c r="AP14" i="132"/>
  <c r="AQ24" i="132"/>
  <c r="AZ24" i="132"/>
  <c r="AQ26" i="132"/>
  <c r="AZ26" i="132"/>
  <c r="AZ28" i="132"/>
  <c r="AQ28" i="132"/>
  <c r="AQ14" i="132"/>
  <c r="AQ12" i="132"/>
  <c r="E98" i="141"/>
  <c r="J98" i="141"/>
  <c r="E109" i="141"/>
  <c r="J109" i="141"/>
  <c r="BB130" i="204"/>
  <c r="BB145" i="205"/>
  <c r="BB106" i="203"/>
  <c r="E237" i="141"/>
  <c r="J237" i="141"/>
  <c r="BB109" i="137"/>
  <c r="K826" i="126" l="1"/>
  <c r="H173" i="141" l="1"/>
  <c r="J826" i="126"/>
  <c r="L826" i="126"/>
  <c r="L827" i="126" s="1"/>
  <c r="G173" i="141" l="1"/>
  <c r="J827" i="126"/>
  <c r="C810" i="126" s="1"/>
  <c r="D810" i="126" s="1"/>
  <c r="H726" i="126"/>
  <c r="I173" i="141"/>
  <c r="AA7" i="145"/>
  <c r="G174" i="141" l="1"/>
  <c r="I726" i="126"/>
  <c r="I735" i="126" s="1"/>
  <c r="Q826" i="126" s="1"/>
  <c r="Q827" i="126" s="1"/>
  <c r="H735" i="126"/>
  <c r="P826" i="126" s="1"/>
  <c r="P827" i="126" s="1"/>
  <c r="K26" i="132"/>
  <c r="C813" i="126"/>
  <c r="D813" i="126" s="1"/>
  <c r="I174" i="141"/>
  <c r="AA68" i="145"/>
  <c r="J726" i="126" l="1"/>
  <c r="J735" i="126" s="1"/>
  <c r="M173" i="141"/>
  <c r="N173" i="141"/>
  <c r="M174" i="141"/>
  <c r="K834" i="127"/>
  <c r="AA69" i="145"/>
  <c r="H193" i="141" l="1"/>
  <c r="J834" i="127"/>
  <c r="J835" i="127" s="1"/>
  <c r="O726" i="126"/>
  <c r="O735" i="126" s="1"/>
  <c r="C737" i="126" s="1"/>
  <c r="G826" i="126" s="1"/>
  <c r="N174" i="141"/>
  <c r="L834" i="127"/>
  <c r="L835" i="127" s="1"/>
  <c r="H826" i="126" l="1"/>
  <c r="M826" i="126"/>
  <c r="G193" i="141"/>
  <c r="D173" i="141"/>
  <c r="H734" i="127"/>
  <c r="I193" i="141"/>
  <c r="G194" i="141"/>
  <c r="C818" i="127"/>
  <c r="D818" i="127" s="1"/>
  <c r="AB7" i="145"/>
  <c r="J173" i="141" l="1"/>
  <c r="E173" i="141"/>
  <c r="I734" i="127"/>
  <c r="I743" i="127" s="1"/>
  <c r="H743" i="127"/>
  <c r="P834" i="127" s="1"/>
  <c r="P835" i="127" s="1"/>
  <c r="Q834" i="127"/>
  <c r="Q835" i="127" s="1"/>
  <c r="K28" i="132"/>
  <c r="I194" i="141"/>
  <c r="C821" i="127"/>
  <c r="D821" i="127" s="1"/>
  <c r="AB68" i="145"/>
  <c r="J734" i="127" l="1"/>
  <c r="J743" i="127" s="1"/>
  <c r="M193" i="141"/>
  <c r="N193" i="141"/>
  <c r="M194" i="141"/>
  <c r="V7" i="111"/>
  <c r="AB69" i="145"/>
  <c r="AZ7" i="132" l="1"/>
  <c r="D45" i="133" s="1" a="1"/>
  <c r="D45" i="133" s="1"/>
  <c r="K45" i="133" s="1"/>
  <c r="O734" i="127"/>
  <c r="O743" i="127" s="1"/>
  <c r="C745" i="127" s="1"/>
  <c r="G834" i="127" s="1"/>
  <c r="M834" i="127" s="1"/>
  <c r="N194" i="141"/>
  <c r="V6" i="111"/>
  <c r="AQ7" i="132" l="1"/>
  <c r="J43" i="138"/>
  <c r="D193" i="141"/>
  <c r="H834" i="127"/>
  <c r="E193" i="141" s="1"/>
  <c r="J193" i="141"/>
  <c r="C551" i="98" l="1"/>
  <c r="C571" i="98"/>
  <c r="E571" i="98" s="1"/>
  <c r="E551" i="98" l="1"/>
  <c r="C614" i="98" s="1"/>
  <c r="J614" i="98" l="1"/>
  <c r="N614" i="98" s="1"/>
  <c r="O614" i="98" s="1"/>
  <c r="C547" i="98"/>
  <c r="E547" i="98" s="1"/>
  <c r="C570" i="98"/>
  <c r="E570" i="98" s="1"/>
  <c r="E447" i="98"/>
  <c r="H493" i="98" s="1"/>
  <c r="C548" i="98"/>
  <c r="E548" i="98" s="1"/>
  <c r="C574" i="98"/>
  <c r="C572" i="98"/>
  <c r="E572" i="98" s="1"/>
  <c r="C573" i="98"/>
  <c r="E448" i="98"/>
  <c r="H495" i="98" s="1"/>
  <c r="I495" i="98" s="1"/>
  <c r="J495" i="98" s="1"/>
  <c r="C575" i="98"/>
  <c r="E575" i="98" s="1"/>
  <c r="E445" i="98"/>
  <c r="H501" i="98" l="1"/>
  <c r="K495" i="98"/>
  <c r="L495" i="98" s="1"/>
  <c r="P700" i="98"/>
  <c r="P701" i="98" s="1"/>
  <c r="I493" i="98"/>
  <c r="I501" i="98" s="1"/>
  <c r="Q700" i="98" l="1"/>
  <c r="Q701" i="98" s="1"/>
  <c r="J493" i="98"/>
  <c r="J501" i="98" s="1"/>
  <c r="M32" i="141"/>
  <c r="E68" i="145"/>
  <c r="M33" i="141" l="1"/>
  <c r="N32" i="141"/>
  <c r="E69" i="145"/>
  <c r="N33" i="141" l="1"/>
  <c r="C426" i="98"/>
  <c r="E426" i="98" s="1"/>
  <c r="C423" i="98"/>
  <c r="E423" i="98" s="1"/>
  <c r="C563" i="98"/>
  <c r="C546" i="98"/>
  <c r="E546" i="98" s="1"/>
  <c r="C545" i="98"/>
  <c r="E545" i="98" s="1"/>
  <c r="C544" i="98"/>
  <c r="E544" i="98" s="1"/>
  <c r="E444" i="98"/>
  <c r="E606" i="98" l="1"/>
  <c r="C623" i="98" s="1"/>
  <c r="C568" i="98"/>
  <c r="C567" i="98"/>
  <c r="E563" i="98"/>
  <c r="C569" i="98"/>
  <c r="C615" i="98"/>
  <c r="J615" i="98" s="1"/>
  <c r="N615" i="98" s="1"/>
  <c r="O615" i="98" s="1"/>
  <c r="C613" i="98"/>
  <c r="J613" i="98" s="1"/>
  <c r="N613" i="98" s="1"/>
  <c r="J443" i="98"/>
  <c r="J445" i="98" s="1"/>
  <c r="K493" i="98"/>
  <c r="K501" i="98" s="1"/>
  <c r="C565" i="98"/>
  <c r="E565" i="98" s="1"/>
  <c r="F614" i="98" s="1"/>
  <c r="E569" i="98"/>
  <c r="F624" i="98" s="1"/>
  <c r="C566" i="98"/>
  <c r="E566" i="98" s="1"/>
  <c r="F615" i="98" s="1"/>
  <c r="C564" i="98"/>
  <c r="E564" i="98" s="1"/>
  <c r="F613" i="98" s="1"/>
  <c r="J623" i="98" l="1"/>
  <c r="N623" i="98" s="1"/>
  <c r="O623" i="98" s="1"/>
  <c r="O642" i="98"/>
  <c r="J446" i="98"/>
  <c r="E567" i="98"/>
  <c r="E568" i="98"/>
  <c r="O613" i="98"/>
  <c r="K643" i="98"/>
  <c r="L643" i="98" s="1"/>
  <c r="G624" i="98"/>
  <c r="H643" i="98"/>
  <c r="I643" i="98" s="1"/>
  <c r="J643" i="98" s="1"/>
  <c r="H633" i="98"/>
  <c r="I633" i="98" s="1"/>
  <c r="H632" i="98"/>
  <c r="H634" i="98"/>
  <c r="I634" i="98" s="1"/>
  <c r="L493" i="98"/>
  <c r="L501" i="98" s="1"/>
  <c r="R700" i="98"/>
  <c r="R701" i="98" s="1"/>
  <c r="S700" i="98" l="1"/>
  <c r="J562" i="98"/>
  <c r="J564" i="98" s="1"/>
  <c r="E574" i="98"/>
  <c r="H639" i="98" s="1"/>
  <c r="I639" i="98" s="1"/>
  <c r="J639" i="98" s="1"/>
  <c r="K639" i="98"/>
  <c r="L639" i="98" s="1"/>
  <c r="E573" i="98"/>
  <c r="H635" i="98" s="1"/>
  <c r="K635" i="98"/>
  <c r="J633" i="98"/>
  <c r="O633" i="98" s="1"/>
  <c r="J634" i="98"/>
  <c r="O634" i="98" s="1"/>
  <c r="O32" i="141"/>
  <c r="V700" i="98"/>
  <c r="O624" i="98"/>
  <c r="O643" i="98"/>
  <c r="I632" i="98"/>
  <c r="E70" i="145"/>
  <c r="S32" i="141" l="1"/>
  <c r="V701" i="98"/>
  <c r="W700" i="98"/>
  <c r="W701" i="98" s="1"/>
  <c r="S701" i="98"/>
  <c r="H644" i="98"/>
  <c r="P731" i="98" s="1"/>
  <c r="P732" i="98" s="1"/>
  <c r="K644" i="98"/>
  <c r="R731" i="98" s="1"/>
  <c r="R732" i="98" s="1"/>
  <c r="P32" i="141"/>
  <c r="I635" i="98"/>
  <c r="I644" i="98" s="1"/>
  <c r="J565" i="98"/>
  <c r="L635" i="98"/>
  <c r="L644" i="98" s="1"/>
  <c r="J632" i="98"/>
  <c r="O33" i="141"/>
  <c r="T32" i="141"/>
  <c r="T68" i="145"/>
  <c r="E75" i="145"/>
  <c r="E71" i="145"/>
  <c r="E74" i="145"/>
  <c r="P33" i="141" l="1"/>
  <c r="S731" i="98"/>
  <c r="J635" i="98"/>
  <c r="J644" i="98" s="1"/>
  <c r="Q731" i="98"/>
  <c r="M40" i="141"/>
  <c r="O632" i="98"/>
  <c r="C332" i="98"/>
  <c r="E332" i="98" s="1"/>
  <c r="C339" i="98" s="1"/>
  <c r="C372" i="98"/>
  <c r="E372" i="98" s="1"/>
  <c r="C333" i="98"/>
  <c r="E333" i="98" s="1"/>
  <c r="C370" i="98"/>
  <c r="E370" i="98" s="1"/>
  <c r="C373" i="98"/>
  <c r="E373" i="98" s="1"/>
  <c r="C428" i="98"/>
  <c r="E428" i="98" s="1"/>
  <c r="O40" i="141"/>
  <c r="V731" i="98"/>
  <c r="M41" i="141"/>
  <c r="T33" i="141"/>
  <c r="S33" i="141"/>
  <c r="T70" i="145"/>
  <c r="S40" i="141" l="1"/>
  <c r="V732" i="98"/>
  <c r="N40" i="141"/>
  <c r="Q732" i="98"/>
  <c r="C549" i="98"/>
  <c r="E549" i="98" s="1"/>
  <c r="F616" i="98" s="1"/>
  <c r="E616" i="98" s="1"/>
  <c r="S732" i="98"/>
  <c r="P41" i="141" s="1"/>
  <c r="F480" i="98"/>
  <c r="F481" i="98" s="1"/>
  <c r="P40" i="141"/>
  <c r="N41" i="141"/>
  <c r="W731" i="98"/>
  <c r="C550" i="98"/>
  <c r="E550" i="98" s="1"/>
  <c r="C389" i="98"/>
  <c r="J389" i="98" s="1"/>
  <c r="N389" i="98" s="1"/>
  <c r="O389" i="98" s="1"/>
  <c r="C341" i="98"/>
  <c r="G728" i="98" s="1"/>
  <c r="C371" i="98"/>
  <c r="E371" i="98" s="1"/>
  <c r="E381" i="98" s="1"/>
  <c r="C404" i="98" s="1"/>
  <c r="C406" i="98" s="1"/>
  <c r="O41" i="141"/>
  <c r="C432" i="98"/>
  <c r="E432" i="98" s="1"/>
  <c r="F482" i="98" s="1"/>
  <c r="C425" i="98"/>
  <c r="E425" i="98" s="1"/>
  <c r="F478" i="98" s="1"/>
  <c r="E427" i="98"/>
  <c r="C481" i="98" s="1"/>
  <c r="C480" i="98"/>
  <c r="J480" i="98" s="1"/>
  <c r="C388" i="98"/>
  <c r="C374" i="98"/>
  <c r="E374" i="98" s="1"/>
  <c r="C375" i="98"/>
  <c r="E375" i="98" s="1"/>
  <c r="F398" i="98" s="1"/>
  <c r="T71" i="145"/>
  <c r="T69" i="145"/>
  <c r="T74" i="145"/>
  <c r="T53" i="145"/>
  <c r="C616" i="98" l="1"/>
  <c r="J616" i="98" s="1"/>
  <c r="C619" i="98"/>
  <c r="O638" i="98" s="1"/>
  <c r="C622" i="98"/>
  <c r="J622" i="98" s="1"/>
  <c r="N622" i="98" s="1"/>
  <c r="O622" i="98" s="1"/>
  <c r="C618" i="98"/>
  <c r="J618" i="98" s="1"/>
  <c r="N618" i="98" s="1"/>
  <c r="O618" i="98" s="1"/>
  <c r="C617" i="98"/>
  <c r="J617" i="98" s="1"/>
  <c r="N617" i="98" s="1"/>
  <c r="O617" i="98" s="1"/>
  <c r="T40" i="141"/>
  <c r="W732" i="98"/>
  <c r="T41" i="141" s="1"/>
  <c r="M728" i="98"/>
  <c r="F620" i="98"/>
  <c r="F621" i="98" s="1"/>
  <c r="E480" i="98"/>
  <c r="D480" i="98" s="1"/>
  <c r="M480" i="98" s="1"/>
  <c r="N480" i="98" s="1"/>
  <c r="O641" i="98"/>
  <c r="C621" i="98"/>
  <c r="O640" i="98" s="1"/>
  <c r="C620" i="98"/>
  <c r="J620" i="98" s="1"/>
  <c r="J619" i="98"/>
  <c r="N619" i="98" s="1"/>
  <c r="O619" i="98" s="1"/>
  <c r="F617" i="98"/>
  <c r="F623" i="98"/>
  <c r="F622" i="98"/>
  <c r="F619" i="98"/>
  <c r="F479" i="98"/>
  <c r="E478" i="98"/>
  <c r="D478" i="98" s="1"/>
  <c r="M478" i="98" s="1"/>
  <c r="F483" i="98"/>
  <c r="F485" i="98" s="1"/>
  <c r="E482" i="98"/>
  <c r="D482" i="98" s="1"/>
  <c r="M482" i="98" s="1"/>
  <c r="G697" i="98"/>
  <c r="E41" i="145"/>
  <c r="D37" i="141"/>
  <c r="H728" i="98"/>
  <c r="F399" i="98"/>
  <c r="G398" i="98"/>
  <c r="J388" i="98"/>
  <c r="N388" i="98" s="1"/>
  <c r="O388" i="98" s="1"/>
  <c r="O397" i="98"/>
  <c r="J481" i="98"/>
  <c r="N481" i="98" s="1"/>
  <c r="O481" i="98" s="1"/>
  <c r="O496" i="98"/>
  <c r="F388" i="98"/>
  <c r="F389" i="98"/>
  <c r="E424" i="98"/>
  <c r="C479" i="98" s="1"/>
  <c r="C478" i="98"/>
  <c r="E431" i="98"/>
  <c r="C482" i="98"/>
  <c r="D616" i="98"/>
  <c r="M616" i="98" s="1"/>
  <c r="N616" i="98" s="1"/>
  <c r="G616" i="98"/>
  <c r="I730" i="98"/>
  <c r="I732" i="98" s="1"/>
  <c r="I699" i="98"/>
  <c r="I701" i="98" s="1"/>
  <c r="S41" i="141"/>
  <c r="E53" i="145"/>
  <c r="T75" i="145"/>
  <c r="O637" i="98" l="1"/>
  <c r="O636" i="98"/>
  <c r="M697" i="98"/>
  <c r="E48" i="145"/>
  <c r="G480" i="98"/>
  <c r="O495" i="98" s="1"/>
  <c r="BG11" i="132" a="1"/>
  <c r="BG11" i="132" s="1"/>
  <c r="T41" i="145"/>
  <c r="J621" i="98"/>
  <c r="N621" i="98" s="1"/>
  <c r="O621" i="98" s="1"/>
  <c r="C627" i="98"/>
  <c r="D731" i="98"/>
  <c r="G482" i="98"/>
  <c r="O497" i="98" s="1"/>
  <c r="G478" i="98"/>
  <c r="O493" i="98" s="1"/>
  <c r="D29" i="141"/>
  <c r="H697" i="98"/>
  <c r="E45" i="145"/>
  <c r="E42" i="145"/>
  <c r="E43" i="145"/>
  <c r="O635" i="98"/>
  <c r="J37" i="141"/>
  <c r="E37" i="141"/>
  <c r="E620" i="98"/>
  <c r="D620" i="98" s="1"/>
  <c r="M620" i="98" s="1"/>
  <c r="N620" i="98" s="1"/>
  <c r="F31" i="141"/>
  <c r="F39" i="141"/>
  <c r="O616" i="98"/>
  <c r="J29" i="141"/>
  <c r="J482" i="98"/>
  <c r="N482" i="98" s="1"/>
  <c r="C484" i="98"/>
  <c r="C485" i="98"/>
  <c r="C483" i="98"/>
  <c r="G399" i="98"/>
  <c r="O398" i="98"/>
  <c r="N699" i="98"/>
  <c r="N701" i="98" s="1"/>
  <c r="N730" i="98"/>
  <c r="N732" i="98" s="1"/>
  <c r="J478" i="98"/>
  <c r="N478" i="98" s="1"/>
  <c r="J479" i="98"/>
  <c r="N479" i="98" s="1"/>
  <c r="O479" i="98" s="1"/>
  <c r="O494" i="98"/>
  <c r="E76" i="145"/>
  <c r="E78" i="145"/>
  <c r="T79" i="145"/>
  <c r="E79" i="145"/>
  <c r="T76" i="145"/>
  <c r="T77" i="145"/>
  <c r="E77" i="145"/>
  <c r="T78" i="145"/>
  <c r="D732" i="98" l="1"/>
  <c r="E29" i="141"/>
  <c r="T42" i="145"/>
  <c r="T43" i="145"/>
  <c r="BG12" i="132" a="1"/>
  <c r="BG12" i="132" s="1"/>
  <c r="E47" i="145"/>
  <c r="O480" i="98"/>
  <c r="C628" i="98"/>
  <c r="BV11" i="132" a="1"/>
  <c r="BV11" i="132" s="1"/>
  <c r="T45" i="145"/>
  <c r="BY11" i="132" a="1"/>
  <c r="BY11" i="132" s="1"/>
  <c r="T48" i="145"/>
  <c r="O482" i="98"/>
  <c r="E731" i="98"/>
  <c r="E732" i="98" s="1"/>
  <c r="D723" i="98" s="1"/>
  <c r="D488" i="98"/>
  <c r="C488" i="98"/>
  <c r="D700" i="98"/>
  <c r="D701" i="98" s="1"/>
  <c r="BL11" i="132" a="1"/>
  <c r="BL11" i="132" s="1"/>
  <c r="BL12" i="132" a="1"/>
  <c r="BL12" i="132" s="1"/>
  <c r="BM12" i="132" a="1"/>
  <c r="BM12" i="132" s="1"/>
  <c r="BN12" i="132" a="1"/>
  <c r="BN12" i="132" s="1"/>
  <c r="BM11" i="132" a="1"/>
  <c r="BM11" i="132" s="1"/>
  <c r="BN11" i="132" a="1"/>
  <c r="BN11" i="132" s="1"/>
  <c r="BH11" i="132" a="1"/>
  <c r="BH11" i="132" s="1"/>
  <c r="E49" i="145"/>
  <c r="BF11" i="132" a="1"/>
  <c r="BF11" i="132" s="1"/>
  <c r="E46" i="145"/>
  <c r="E44" i="145"/>
  <c r="C685" i="98"/>
  <c r="D685" i="98" s="1"/>
  <c r="F33" i="141"/>
  <c r="J485" i="98"/>
  <c r="N485" i="98" s="1"/>
  <c r="O485" i="98" s="1"/>
  <c r="O500" i="98"/>
  <c r="O478" i="98"/>
  <c r="G620" i="98"/>
  <c r="D628" i="98" s="1"/>
  <c r="K31" i="141"/>
  <c r="O498" i="98"/>
  <c r="J483" i="98"/>
  <c r="N483" i="98" s="1"/>
  <c r="O483" i="98" s="1"/>
  <c r="K39" i="141"/>
  <c r="J484" i="98"/>
  <c r="N484" i="98" s="1"/>
  <c r="O484" i="98" s="1"/>
  <c r="O499" i="98"/>
  <c r="O699" i="98"/>
  <c r="O701" i="98" s="1"/>
  <c r="O730" i="98"/>
  <c r="O732" i="98" s="1"/>
  <c r="C716" i="98"/>
  <c r="D716" i="98" s="1"/>
  <c r="F41" i="141"/>
  <c r="T7" i="145"/>
  <c r="E7" i="145"/>
  <c r="E66" i="145"/>
  <c r="T66" i="145"/>
  <c r="D722" i="98" l="1"/>
  <c r="T47" i="145"/>
  <c r="BH12" i="132" a="1"/>
  <c r="BH12" i="132" s="1"/>
  <c r="BY12" i="132" a="1"/>
  <c r="BY12" i="132" s="1"/>
  <c r="BF12" i="132" a="1"/>
  <c r="BF12" i="132" s="1"/>
  <c r="BV12" i="132" a="1"/>
  <c r="BV12" i="132" s="1"/>
  <c r="W11" i="132"/>
  <c r="W12" i="132"/>
  <c r="BZ11" i="132" a="1"/>
  <c r="BZ11" i="132" s="1"/>
  <c r="BW11" i="132" a="1"/>
  <c r="BW11" i="132" s="1"/>
  <c r="T44" i="145"/>
  <c r="BU11" i="132" a="1"/>
  <c r="BU11" i="132" s="1"/>
  <c r="T46" i="145"/>
  <c r="BX11" i="132" a="1"/>
  <c r="BX11" i="132" s="1"/>
  <c r="X11" i="132" s="1"/>
  <c r="T49" i="145"/>
  <c r="O501" i="98"/>
  <c r="C503" i="98" s="1"/>
  <c r="G700" i="98" s="1"/>
  <c r="D32" i="141" s="1"/>
  <c r="O620" i="98"/>
  <c r="D627" i="98"/>
  <c r="D489" i="98"/>
  <c r="F700" i="98" s="1"/>
  <c r="C489" i="98"/>
  <c r="E700" i="98"/>
  <c r="E701" i="98" s="1"/>
  <c r="D691" i="98" s="1"/>
  <c r="K12" i="132"/>
  <c r="K11" i="132"/>
  <c r="O639" i="98"/>
  <c r="O644" i="98" s="1"/>
  <c r="C646" i="98" s="1"/>
  <c r="F731" i="98"/>
  <c r="L31" i="141"/>
  <c r="K33" i="141"/>
  <c r="L39" i="141"/>
  <c r="K41" i="141"/>
  <c r="U20" i="111"/>
  <c r="U22" i="111"/>
  <c r="U17" i="111"/>
  <c r="U19" i="111"/>
  <c r="E13" i="145"/>
  <c r="T67" i="145"/>
  <c r="E67" i="145"/>
  <c r="D692" i="98" l="1"/>
  <c r="BZ12" i="132" a="1"/>
  <c r="BZ12" i="132" s="1"/>
  <c r="AY11" i="132"/>
  <c r="AG11" i="132"/>
  <c r="O11" i="132" s="1"/>
  <c r="BX12" i="132" a="1"/>
  <c r="BX12" i="132" s="1"/>
  <c r="X12" i="132" s="1"/>
  <c r="AY12" i="132"/>
  <c r="D44" i="133" s="1" a="1"/>
  <c r="D44" i="133" s="1"/>
  <c r="K44" i="133" s="1"/>
  <c r="J42" i="138" s="1"/>
  <c r="AG12" i="132"/>
  <c r="O12" i="132" s="1"/>
  <c r="BW12" i="132" a="1"/>
  <c r="BW12" i="132" s="1"/>
  <c r="BU12" i="132" a="1"/>
  <c r="BU12" i="132" s="1"/>
  <c r="D37" i="133" a="1"/>
  <c r="D37" i="133" s="1"/>
  <c r="K37" i="133" s="1"/>
  <c r="M700" i="98"/>
  <c r="J32" i="141" s="1"/>
  <c r="G731" i="98"/>
  <c r="D40" i="141" s="1"/>
  <c r="C40" i="141"/>
  <c r="L41" i="141"/>
  <c r="L33" i="141"/>
  <c r="C32" i="141"/>
  <c r="H700" i="98"/>
  <c r="E32" i="141" s="1"/>
  <c r="E11" i="145"/>
  <c r="J25" i="138" l="1"/>
  <c r="K51" i="133"/>
  <c r="J33" i="203" s="1"/>
  <c r="M731" i="98"/>
  <c r="J40" i="141" s="1"/>
  <c r="H731" i="98"/>
  <c r="E40" i="141" s="1"/>
  <c r="C576" i="107" l="1"/>
  <c r="E576" i="107" s="1"/>
  <c r="U563" i="107" s="1"/>
  <c r="R554" i="107" s="1"/>
  <c r="R557" i="107" s="1"/>
  <c r="R560" i="107" l="1"/>
  <c r="C575" i="107"/>
  <c r="E575" i="107" s="1"/>
  <c r="U562" i="107" s="1"/>
  <c r="R553" i="107" s="1"/>
  <c r="R556" i="107" s="1"/>
  <c r="R559" i="107" l="1"/>
  <c r="C476" i="107"/>
  <c r="C573" i="107"/>
  <c r="C574" i="107"/>
  <c r="E574" i="107" s="1"/>
  <c r="U561" i="107" s="1"/>
  <c r="R552" i="107" s="1"/>
  <c r="R555" i="107" s="1"/>
  <c r="R558" i="107" l="1"/>
  <c r="R561" i="107" s="1"/>
  <c r="R564" i="107" l="1"/>
  <c r="R563" i="107"/>
  <c r="R562" i="107"/>
  <c r="R565" i="107" l="1"/>
  <c r="R571" i="107" s="1"/>
  <c r="R566" i="107"/>
  <c r="R572" i="107" s="1"/>
  <c r="R567" i="107"/>
  <c r="R573" i="107" s="1"/>
  <c r="R574" i="107" l="1"/>
  <c r="R575" i="107" s="1"/>
  <c r="R578" i="107"/>
  <c r="R577" i="107"/>
  <c r="R576" i="107"/>
  <c r="E352" i="107" l="1"/>
  <c r="F373" i="107" s="1"/>
  <c r="E333" i="107"/>
  <c r="C340" i="107" s="1"/>
  <c r="E353" i="107"/>
  <c r="E354" i="107"/>
  <c r="C363" i="107" s="1"/>
  <c r="E351" i="107"/>
  <c r="C364" i="107" s="1"/>
  <c r="E350" i="107"/>
  <c r="C362" i="107" s="1"/>
  <c r="G373" i="107" l="1"/>
  <c r="F374" i="107"/>
  <c r="J363" i="107"/>
  <c r="N363" i="107" s="1"/>
  <c r="F363" i="107"/>
  <c r="F364" i="107"/>
  <c r="F362" i="107"/>
  <c r="F365" i="107"/>
  <c r="J364" i="107"/>
  <c r="N364" i="107" s="1"/>
  <c r="O372" i="107"/>
  <c r="D697" i="107"/>
  <c r="D665" i="107"/>
  <c r="J362" i="107"/>
  <c r="N362" i="107" s="1"/>
  <c r="C365" i="107"/>
  <c r="O373" i="107" l="1"/>
  <c r="C376" i="107" s="1"/>
  <c r="G665" i="107" s="1"/>
  <c r="D199" i="141" s="1"/>
  <c r="G374" i="107"/>
  <c r="N665" i="107"/>
  <c r="N697" i="107"/>
  <c r="C697" i="107"/>
  <c r="C665" i="107"/>
  <c r="J365" i="107"/>
  <c r="N365" i="107" s="1"/>
  <c r="C368" i="107"/>
  <c r="D368" i="107"/>
  <c r="K208" i="141" l="1"/>
  <c r="K199" i="141"/>
  <c r="O374" i="107"/>
  <c r="O665" i="107"/>
  <c r="O697" i="107"/>
  <c r="G697" i="107"/>
  <c r="D208" i="141" s="1"/>
  <c r="D369" i="107"/>
  <c r="C369" i="107"/>
  <c r="E665" i="107"/>
  <c r="E697" i="107"/>
  <c r="L208" i="141" l="1"/>
  <c r="L199" i="141"/>
  <c r="F665" i="107"/>
  <c r="F697" i="107"/>
  <c r="M697" i="107" l="1"/>
  <c r="J208" i="141" s="1"/>
  <c r="M665" i="107"/>
  <c r="J199" i="141" s="1"/>
  <c r="H697" i="107"/>
  <c r="E208" i="141" s="1"/>
  <c r="C208" i="141"/>
  <c r="H665" i="107"/>
  <c r="E199" i="141" s="1"/>
  <c r="C199" i="141"/>
  <c r="J588" i="107" l="1"/>
  <c r="N588" i="107" s="1"/>
  <c r="O588" i="107" s="1"/>
  <c r="J586" i="107"/>
  <c r="N586" i="107" s="1"/>
  <c r="O586" i="107" l="1"/>
  <c r="C479" i="107"/>
  <c r="E479" i="107" s="1"/>
  <c r="C478" i="107"/>
  <c r="E478" i="107" s="1"/>
  <c r="C477" i="107"/>
  <c r="E477" i="107" s="1"/>
  <c r="E349" i="107"/>
  <c r="E334" i="107"/>
  <c r="C342" i="107" s="1"/>
  <c r="E88" i="145" l="1"/>
  <c r="E90" i="145"/>
  <c r="E89" i="145"/>
  <c r="G696" i="107"/>
  <c r="G664" i="107"/>
  <c r="M696" i="107" l="1"/>
  <c r="M664" i="107"/>
  <c r="J587" i="107"/>
  <c r="N587" i="107" s="1"/>
  <c r="H696" i="107"/>
  <c r="D207" i="141"/>
  <c r="H664" i="107"/>
  <c r="D198" i="141"/>
  <c r="O587" i="107" l="1"/>
  <c r="E573" i="107"/>
  <c r="H604" i="107"/>
  <c r="K611" i="107"/>
  <c r="L611" i="107" s="1"/>
  <c r="H611" i="107"/>
  <c r="I611" i="107" s="1"/>
  <c r="J611" i="107" s="1"/>
  <c r="H606" i="107"/>
  <c r="I606" i="107" s="1"/>
  <c r="H605" i="107"/>
  <c r="I605" i="107" s="1"/>
  <c r="K615" i="107"/>
  <c r="L615" i="107" s="1"/>
  <c r="H615" i="107"/>
  <c r="I615" i="107" s="1"/>
  <c r="J615" i="107" s="1"/>
  <c r="G597" i="107"/>
  <c r="K607" i="107"/>
  <c r="H607" i="107"/>
  <c r="I607" i="107" s="1"/>
  <c r="J607" i="107" s="1"/>
  <c r="E459" i="107"/>
  <c r="E463" i="107"/>
  <c r="E456" i="107"/>
  <c r="E476" i="107"/>
  <c r="H502" i="107"/>
  <c r="H504" i="107"/>
  <c r="I504" i="107" s="1"/>
  <c r="J504" i="107" s="1"/>
  <c r="K504" i="107"/>
  <c r="L504" i="107" s="1"/>
  <c r="H506" i="107"/>
  <c r="I506" i="107" s="1"/>
  <c r="J506" i="107" s="1"/>
  <c r="K506" i="107"/>
  <c r="L506" i="107" s="1"/>
  <c r="J207" i="141"/>
  <c r="E207" i="141"/>
  <c r="E198" i="141"/>
  <c r="J198" i="141"/>
  <c r="R551" i="107" l="1"/>
  <c r="C596" i="107"/>
  <c r="C492" i="107"/>
  <c r="C491" i="107"/>
  <c r="C488" i="107"/>
  <c r="J606" i="107"/>
  <c r="O606" i="107" s="1"/>
  <c r="R579" i="107"/>
  <c r="R581" i="107" s="1"/>
  <c r="R582" i="107"/>
  <c r="R550" i="107" s="1"/>
  <c r="J605" i="107"/>
  <c r="O605" i="107" s="1"/>
  <c r="H616" i="107"/>
  <c r="P700" i="107" s="1"/>
  <c r="P701" i="107" s="1"/>
  <c r="I604" i="107"/>
  <c r="K616" i="107"/>
  <c r="R700" i="107" s="1"/>
  <c r="R701" i="107" s="1"/>
  <c r="L607" i="107"/>
  <c r="L616" i="107" s="1"/>
  <c r="S700" i="107" s="1"/>
  <c r="S701" i="107" s="1"/>
  <c r="H510" i="107"/>
  <c r="P668" i="107" s="1"/>
  <c r="P669" i="107" s="1"/>
  <c r="I502" i="107"/>
  <c r="K502" i="107"/>
  <c r="O615" i="107"/>
  <c r="O597" i="107"/>
  <c r="J596" i="107" l="1"/>
  <c r="N596" i="107" s="1"/>
  <c r="O596" i="107" s="1"/>
  <c r="O614" i="107"/>
  <c r="J700" i="107"/>
  <c r="J701" i="107" s="1"/>
  <c r="C490" i="107"/>
  <c r="J490" i="107" s="1"/>
  <c r="O608" i="107"/>
  <c r="O610" i="107"/>
  <c r="O613" i="107"/>
  <c r="C489" i="107"/>
  <c r="J489" i="107" s="1"/>
  <c r="N489" i="107" s="1"/>
  <c r="O489" i="107" s="1"/>
  <c r="E488" i="107"/>
  <c r="D488" i="107" s="1"/>
  <c r="M488" i="107" s="1"/>
  <c r="J593" i="107"/>
  <c r="K668" i="107"/>
  <c r="K669" i="107" s="1"/>
  <c r="E490" i="107"/>
  <c r="D490" i="107" s="1"/>
  <c r="M490" i="107" s="1"/>
  <c r="V700" i="107"/>
  <c r="O211" i="141"/>
  <c r="L502" i="107"/>
  <c r="L510" i="107" s="1"/>
  <c r="S668" i="107" s="1"/>
  <c r="S669" i="107" s="1"/>
  <c r="K510" i="107"/>
  <c r="R668" i="107" s="1"/>
  <c r="R669" i="107" s="1"/>
  <c r="I510" i="107"/>
  <c r="Q668" i="107" s="1"/>
  <c r="Q669" i="107" s="1"/>
  <c r="J502" i="107"/>
  <c r="J510" i="107" s="1"/>
  <c r="J591" i="107"/>
  <c r="N591" i="107" s="1"/>
  <c r="O591" i="107" s="1"/>
  <c r="O609" i="107"/>
  <c r="M211" i="141"/>
  <c r="E492" i="107"/>
  <c r="D492" i="107" s="1"/>
  <c r="M492" i="107" s="1"/>
  <c r="R583" i="107"/>
  <c r="J594" i="107"/>
  <c r="N594" i="107" s="1"/>
  <c r="O594" i="107" s="1"/>
  <c r="O612" i="107"/>
  <c r="J488" i="107"/>
  <c r="I616" i="107"/>
  <c r="Q700" i="107" s="1"/>
  <c r="Q701" i="107" s="1"/>
  <c r="J604" i="107"/>
  <c r="J616" i="107" s="1"/>
  <c r="R588" i="107"/>
  <c r="R586" i="107"/>
  <c r="R587" i="107"/>
  <c r="J491" i="107"/>
  <c r="N491" i="107" s="1"/>
  <c r="O491" i="107" s="1"/>
  <c r="O505" i="107"/>
  <c r="J492" i="107"/>
  <c r="C493" i="107"/>
  <c r="C495" i="107"/>
  <c r="C494" i="107"/>
  <c r="W700" i="107"/>
  <c r="P211" i="141"/>
  <c r="E593" i="107"/>
  <c r="D593" i="107" s="1"/>
  <c r="M593" i="107" s="1"/>
  <c r="M202" i="141"/>
  <c r="J590" i="107"/>
  <c r="N590" i="107" s="1"/>
  <c r="O590" i="107" s="1"/>
  <c r="AC68" i="145"/>
  <c r="AC71" i="145"/>
  <c r="AC70" i="145"/>
  <c r="N68" i="145"/>
  <c r="T211" i="141" l="1"/>
  <c r="W701" i="107"/>
  <c r="S211" i="141"/>
  <c r="V701" i="107"/>
  <c r="G211" i="141"/>
  <c r="J589" i="107"/>
  <c r="C600" i="107"/>
  <c r="D700" i="107"/>
  <c r="J592" i="107"/>
  <c r="N592" i="107" s="1"/>
  <c r="O592" i="107" s="1"/>
  <c r="J595" i="107"/>
  <c r="N595" i="107" s="1"/>
  <c r="O595" i="107" s="1"/>
  <c r="E589" i="107"/>
  <c r="D589" i="107" s="1"/>
  <c r="M589" i="107" s="1"/>
  <c r="O503" i="107"/>
  <c r="D668" i="107"/>
  <c r="C498" i="107"/>
  <c r="O604" i="107"/>
  <c r="J668" i="107"/>
  <c r="J669" i="107" s="1"/>
  <c r="G593" i="107"/>
  <c r="O611" i="107" s="1"/>
  <c r="G490" i="107"/>
  <c r="O504" i="107" s="1"/>
  <c r="N488" i="107"/>
  <c r="N593" i="107"/>
  <c r="N492" i="107"/>
  <c r="N490" i="107"/>
  <c r="N41" i="145"/>
  <c r="N42" i="145"/>
  <c r="N43" i="145"/>
  <c r="M203" i="141"/>
  <c r="N202" i="141"/>
  <c r="P212" i="141"/>
  <c r="O212" i="141"/>
  <c r="C685" i="107"/>
  <c r="D685" i="107" s="1"/>
  <c r="G212" i="141"/>
  <c r="O509" i="107"/>
  <c r="J495" i="107"/>
  <c r="N495" i="107" s="1"/>
  <c r="O495" i="107" s="1"/>
  <c r="K700" i="107"/>
  <c r="K701" i="107" s="1"/>
  <c r="W668" i="107"/>
  <c r="P202" i="141"/>
  <c r="O507" i="107"/>
  <c r="J493" i="107"/>
  <c r="N493" i="107" s="1"/>
  <c r="O493" i="107" s="1"/>
  <c r="M212" i="141"/>
  <c r="G488" i="107"/>
  <c r="V668" i="107"/>
  <c r="O202" i="141"/>
  <c r="J494" i="107"/>
  <c r="N494" i="107" s="1"/>
  <c r="O494" i="107" s="1"/>
  <c r="O508" i="107"/>
  <c r="H202" i="141"/>
  <c r="G492" i="107"/>
  <c r="O506" i="107" s="1"/>
  <c r="L668" i="107"/>
  <c r="L669" i="107" s="1"/>
  <c r="N211" i="141"/>
  <c r="N69" i="145"/>
  <c r="N70" i="145"/>
  <c r="N71" i="145"/>
  <c r="AC75" i="145"/>
  <c r="AC74" i="145"/>
  <c r="AC69" i="145"/>
  <c r="AC7" i="145"/>
  <c r="E700" i="107" l="1"/>
  <c r="T202" i="141"/>
  <c r="W669" i="107"/>
  <c r="S202" i="141"/>
  <c r="V669" i="107"/>
  <c r="E668" i="107"/>
  <c r="N47" i="145"/>
  <c r="N589" i="107"/>
  <c r="C601" i="107" s="1"/>
  <c r="BF29" i="132" a="1"/>
  <c r="BF29" i="132" s="1"/>
  <c r="AC42" i="145"/>
  <c r="BG29" i="132" a="1"/>
  <c r="BG29" i="132" s="1"/>
  <c r="AC41" i="145"/>
  <c r="BH29" i="132" a="1"/>
  <c r="BH29" i="132" s="1"/>
  <c r="AC43" i="145"/>
  <c r="D498" i="107"/>
  <c r="G589" i="107"/>
  <c r="G202" i="141"/>
  <c r="D499" i="107"/>
  <c r="F668" i="107" s="1"/>
  <c r="E386" i="107"/>
  <c r="F405" i="107" s="1"/>
  <c r="F406" i="107" s="1"/>
  <c r="C419" i="107"/>
  <c r="E419" i="107" s="1"/>
  <c r="E418" i="107"/>
  <c r="E415" i="107"/>
  <c r="C428" i="107" s="1"/>
  <c r="E384" i="107"/>
  <c r="C395" i="107" s="1"/>
  <c r="E383" i="107"/>
  <c r="C394" i="107" s="1"/>
  <c r="E385" i="107"/>
  <c r="O490" i="107"/>
  <c r="C499" i="107"/>
  <c r="O488" i="107"/>
  <c r="O593" i="107"/>
  <c r="N212" i="141"/>
  <c r="T212" i="141"/>
  <c r="L700" i="107"/>
  <c r="L701" i="107" s="1"/>
  <c r="I202" i="141"/>
  <c r="C654" i="107"/>
  <c r="D654" i="107" s="1"/>
  <c r="H203" i="141"/>
  <c r="C653" i="107"/>
  <c r="D653" i="107" s="1"/>
  <c r="G203" i="141"/>
  <c r="O203" i="141"/>
  <c r="N44" i="145"/>
  <c r="C417" i="107"/>
  <c r="E417" i="107" s="1"/>
  <c r="K30" i="132"/>
  <c r="N46" i="145"/>
  <c r="N49" i="145"/>
  <c r="P203" i="141"/>
  <c r="O492" i="107"/>
  <c r="O502" i="107"/>
  <c r="N45" i="145"/>
  <c r="N48" i="145"/>
  <c r="H211" i="141"/>
  <c r="S212" i="141"/>
  <c r="N203" i="141"/>
  <c r="N8" i="145"/>
  <c r="N7" i="145"/>
  <c r="N74" i="145"/>
  <c r="N75" i="145"/>
  <c r="BH30" i="132" l="1" a="1"/>
  <c r="BH30" i="132" s="1"/>
  <c r="BF30" i="132" a="1"/>
  <c r="BF30" i="132" s="1"/>
  <c r="AC48" i="145"/>
  <c r="BG30" i="132" a="1"/>
  <c r="BG30" i="132" s="1"/>
  <c r="AC47" i="145"/>
  <c r="BW29" i="132" a="1"/>
  <c r="BW29" i="132" s="1"/>
  <c r="AC44" i="145"/>
  <c r="BV29" i="132" a="1"/>
  <c r="BV29" i="132" s="1"/>
  <c r="AC45" i="145"/>
  <c r="BZ29" i="132" a="1"/>
  <c r="BZ29" i="132" s="1"/>
  <c r="BX29" i="132" a="1"/>
  <c r="BX29" i="132" s="1"/>
  <c r="AC49" i="145"/>
  <c r="BU29" i="132" a="1"/>
  <c r="BU29" i="132" s="1"/>
  <c r="AC46" i="145"/>
  <c r="O607" i="107"/>
  <c r="D600" i="107"/>
  <c r="D601" i="107"/>
  <c r="F700" i="107" s="1"/>
  <c r="C430" i="107" a="1"/>
  <c r="C430" i="107" s="1"/>
  <c r="O589" i="107"/>
  <c r="C396" i="107"/>
  <c r="C399" i="107" s="1"/>
  <c r="C202" i="141"/>
  <c r="G405" i="107"/>
  <c r="C698" i="107"/>
  <c r="C666" i="107"/>
  <c r="J394" i="107"/>
  <c r="N394" i="107" s="1"/>
  <c r="O403" i="107"/>
  <c r="J395" i="107"/>
  <c r="N395" i="107" s="1"/>
  <c r="O395" i="107" s="1"/>
  <c r="O404" i="107"/>
  <c r="N698" i="107"/>
  <c r="N666" i="107"/>
  <c r="BY29" i="132" a="1"/>
  <c r="BY29" i="132" s="1"/>
  <c r="X29" i="132" s="1"/>
  <c r="T203" i="141"/>
  <c r="L29" i="132"/>
  <c r="I211" i="141"/>
  <c r="C686" i="107"/>
  <c r="D686" i="107" s="1"/>
  <c r="H212" i="141"/>
  <c r="I203" i="141"/>
  <c r="C656" i="107"/>
  <c r="D656" i="107" s="1"/>
  <c r="S203" i="141"/>
  <c r="O510" i="107"/>
  <c r="C512" i="107" s="1"/>
  <c r="G668" i="107" s="1"/>
  <c r="D202" i="141" s="1"/>
  <c r="K29" i="132"/>
  <c r="AC8" i="145"/>
  <c r="AC58" i="145"/>
  <c r="K209" i="141" l="1"/>
  <c r="N701" i="107"/>
  <c r="K200" i="141"/>
  <c r="N669" i="107"/>
  <c r="BV30" i="132" a="1"/>
  <c r="BV30" i="132" s="1"/>
  <c r="BW30" i="132" a="1"/>
  <c r="BW30" i="132" s="1"/>
  <c r="BX30" i="132" a="1"/>
  <c r="BX30" i="132" s="1"/>
  <c r="BZ30" i="132" a="1"/>
  <c r="BZ30" i="132" s="1"/>
  <c r="BY30" i="132" a="1"/>
  <c r="BY30" i="132" s="1"/>
  <c r="X30" i="132" s="1"/>
  <c r="BU30" i="132" a="1"/>
  <c r="BU30" i="132" s="1"/>
  <c r="M668" i="107"/>
  <c r="J202" i="141" s="1"/>
  <c r="G406" i="107"/>
  <c r="O698" i="107" s="1"/>
  <c r="C211" i="141"/>
  <c r="O616" i="107"/>
  <c r="H668" i="107"/>
  <c r="E202" i="141" s="1"/>
  <c r="O405" i="107"/>
  <c r="C408" i="107" s="1"/>
  <c r="J396" i="107"/>
  <c r="N396" i="107" s="1"/>
  <c r="O396" i="107" s="1"/>
  <c r="D666" i="107"/>
  <c r="D698" i="107"/>
  <c r="D399" i="107"/>
  <c r="J430" i="107"/>
  <c r="N430" i="107" s="1"/>
  <c r="O430" i="107" s="1"/>
  <c r="D667" i="107"/>
  <c r="D699" i="107"/>
  <c r="O438" i="107"/>
  <c r="O437" i="107"/>
  <c r="J428" i="107"/>
  <c r="N428" i="107" s="1"/>
  <c r="C429" i="107"/>
  <c r="J429" i="107" s="1"/>
  <c r="N429" i="107" s="1"/>
  <c r="O429" i="107" s="1"/>
  <c r="O394" i="107"/>
  <c r="L30" i="132"/>
  <c r="AD420" i="111"/>
  <c r="AF420" i="111" s="1"/>
  <c r="AF442" i="111" s="1"/>
  <c r="AF444" i="111" s="1"/>
  <c r="C688" i="107"/>
  <c r="D688" i="107" s="1"/>
  <c r="I212" i="141"/>
  <c r="N76" i="145"/>
  <c r="N66" i="145"/>
  <c r="AC66" i="145"/>
  <c r="L209" i="141" l="1"/>
  <c r="O701" i="107"/>
  <c r="K212" i="141"/>
  <c r="E698" i="107"/>
  <c r="D701" i="107"/>
  <c r="K203" i="141"/>
  <c r="E666" i="107"/>
  <c r="D669" i="107"/>
  <c r="O666" i="107"/>
  <c r="C618" i="107"/>
  <c r="G700" i="107" s="1"/>
  <c r="D400" i="107"/>
  <c r="F666" i="107" s="1"/>
  <c r="O406" i="107"/>
  <c r="C400" i="107"/>
  <c r="C699" i="107"/>
  <c r="C433" i="107"/>
  <c r="D433" i="107"/>
  <c r="C667" i="107"/>
  <c r="C434" i="107"/>
  <c r="D434" i="107"/>
  <c r="O428" i="107"/>
  <c r="G698" i="107"/>
  <c r="G666" i="107"/>
  <c r="O439" i="107"/>
  <c r="C441" i="107" s="1"/>
  <c r="U74" i="111"/>
  <c r="U76" i="111"/>
  <c r="U71" i="111"/>
  <c r="U73" i="111"/>
  <c r="AC67" i="145"/>
  <c r="AC59" i="145"/>
  <c r="N59" i="145"/>
  <c r="L212" i="141" l="1"/>
  <c r="E699" i="107"/>
  <c r="E701" i="107" s="1"/>
  <c r="D690" i="107" s="1"/>
  <c r="C701" i="107"/>
  <c r="L200" i="141"/>
  <c r="O669" i="107"/>
  <c r="E667" i="107"/>
  <c r="E669" i="107" s="1"/>
  <c r="C669" i="107"/>
  <c r="AY29" i="132"/>
  <c r="AG29" i="132"/>
  <c r="O29" i="132" s="1"/>
  <c r="AY30" i="132"/>
  <c r="AG30" i="132"/>
  <c r="O30" i="132" s="1"/>
  <c r="D211" i="141"/>
  <c r="M700" i="107"/>
  <c r="J211" i="141" s="1"/>
  <c r="M666" i="107"/>
  <c r="H700" i="107"/>
  <c r="E211" i="141" s="1"/>
  <c r="F698" i="107"/>
  <c r="G699" i="107"/>
  <c r="D210" i="141" s="1"/>
  <c r="G667" i="107"/>
  <c r="G669" i="107" s="1"/>
  <c r="D200" i="141"/>
  <c r="D209" i="141"/>
  <c r="F699" i="107"/>
  <c r="F667" i="107"/>
  <c r="F669" i="107" s="1"/>
  <c r="C200" i="141"/>
  <c r="H666" i="107"/>
  <c r="H528" i="112"/>
  <c r="F528" i="112" s="1"/>
  <c r="D528" i="112" s="1"/>
  <c r="N67" i="145"/>
  <c r="M698" i="107" l="1"/>
  <c r="J209" i="141" s="1"/>
  <c r="F701" i="107"/>
  <c r="C682" i="107" s="1"/>
  <c r="G701" i="107"/>
  <c r="C683" i="107" s="1"/>
  <c r="D683" i="107" s="1"/>
  <c r="L203" i="141"/>
  <c r="D658" i="107"/>
  <c r="M699" i="107"/>
  <c r="J210" i="141" s="1"/>
  <c r="C650" i="107"/>
  <c r="M667" i="107"/>
  <c r="J201" i="141" s="1"/>
  <c r="D201" i="141"/>
  <c r="C209" i="141"/>
  <c r="H698" i="107"/>
  <c r="D691" i="107"/>
  <c r="D659" i="107"/>
  <c r="E200" i="141"/>
  <c r="J200" i="141"/>
  <c r="H699" i="107"/>
  <c r="E210" i="141" s="1"/>
  <c r="C210" i="141"/>
  <c r="C201" i="141"/>
  <c r="H667" i="107"/>
  <c r="E201" i="141" s="1"/>
  <c r="G26" i="199"/>
  <c r="G31" i="198"/>
  <c r="G101" i="198" s="1"/>
  <c r="T14" i="107" s="1"/>
  <c r="N11" i="145"/>
  <c r="AC76" i="145"/>
  <c r="AC77" i="145"/>
  <c r="AC5" i="145"/>
  <c r="N78" i="145"/>
  <c r="N79" i="145"/>
  <c r="AC79" i="145"/>
  <c r="N10" i="145"/>
  <c r="E209" i="141" l="1"/>
  <c r="H701" i="107"/>
  <c r="M701" i="107"/>
  <c r="C687" i="107" s="1"/>
  <c r="D687" i="107" s="1"/>
  <c r="M669" i="107"/>
  <c r="C655" i="107" s="1"/>
  <c r="D655" i="107" s="1"/>
  <c r="H669" i="107"/>
  <c r="E203" i="141" s="1"/>
  <c r="C203" i="141"/>
  <c r="C212" i="141"/>
  <c r="D212" i="141"/>
  <c r="BN30" i="132" a="1"/>
  <c r="BN30" i="132" s="1"/>
  <c r="BM30" i="132" a="1"/>
  <c r="BM30" i="132" s="1"/>
  <c r="BN29" i="132" a="1"/>
  <c r="BN29" i="132" s="1"/>
  <c r="BL29" i="132" a="1"/>
  <c r="BL29" i="132" s="1"/>
  <c r="C651" i="107"/>
  <c r="D651" i="107" s="1"/>
  <c r="D203" i="141"/>
  <c r="T14" i="122"/>
  <c r="T14" i="123"/>
  <c r="T14" i="152"/>
  <c r="T14" i="126"/>
  <c r="E212" i="141"/>
  <c r="D650" i="107"/>
  <c r="D682" i="107"/>
  <c r="C689" i="107"/>
  <c r="D689" i="107" s="1"/>
  <c r="I30" i="132"/>
  <c r="D392" i="98"/>
  <c r="J387" i="98"/>
  <c r="N387" i="98" s="1"/>
  <c r="O396" i="98"/>
  <c r="C392" i="98"/>
  <c r="N9" i="145"/>
  <c r="N4" i="145"/>
  <c r="AC4" i="145"/>
  <c r="AC9" i="145"/>
  <c r="N5" i="145"/>
  <c r="N77" i="145"/>
  <c r="AC78" i="145"/>
  <c r="I29" i="132" l="1"/>
  <c r="BM29" i="132" a="1"/>
  <c r="BM29" i="132" s="1"/>
  <c r="W29" i="132" s="1"/>
  <c r="BL30" i="132" a="1"/>
  <c r="BL30" i="132" s="1"/>
  <c r="W30" i="132" s="1"/>
  <c r="C657" i="107"/>
  <c r="D657" i="107" s="1"/>
  <c r="J212" i="141"/>
  <c r="J203" i="141"/>
  <c r="H30" i="132"/>
  <c r="M30" i="132" s="1"/>
  <c r="H29" i="132"/>
  <c r="O387" i="98"/>
  <c r="C393" i="98"/>
  <c r="D393" i="98"/>
  <c r="C401" i="98"/>
  <c r="O399" i="98"/>
  <c r="M29" i="132" l="1"/>
  <c r="G699" i="98"/>
  <c r="G701" i="98" s="1"/>
  <c r="G730" i="98"/>
  <c r="G732" i="98" s="1"/>
  <c r="F699" i="98"/>
  <c r="F701" i="98" s="1"/>
  <c r="F730" i="98"/>
  <c r="F732" i="98" s="1"/>
  <c r="M730" i="98" l="1"/>
  <c r="M732" i="98" s="1"/>
  <c r="M699" i="98"/>
  <c r="M701" i="98" s="1"/>
  <c r="H699" i="98"/>
  <c r="H701" i="98" s="1"/>
  <c r="C31" i="141"/>
  <c r="D39" i="141"/>
  <c r="C39" i="141"/>
  <c r="H730" i="98"/>
  <c r="H732" i="98" s="1"/>
  <c r="D31" i="141"/>
  <c r="C684" i="98" l="1"/>
  <c r="D684" i="98" s="1"/>
  <c r="D33" i="141"/>
  <c r="J39" i="141"/>
  <c r="C714" i="98"/>
  <c r="C41" i="141"/>
  <c r="C715" i="98"/>
  <c r="D715" i="98" s="1"/>
  <c r="D41" i="141"/>
  <c r="E39" i="141"/>
  <c r="E41" i="141"/>
  <c r="E33" i="141"/>
  <c r="E31" i="141"/>
  <c r="C683" i="98"/>
  <c r="C33" i="141"/>
  <c r="J31" i="141"/>
  <c r="C688" i="98" l="1"/>
  <c r="D688" i="98" s="1"/>
  <c r="J33" i="141"/>
  <c r="I12" i="132"/>
  <c r="D683" i="98"/>
  <c r="C690" i="98"/>
  <c r="D690" i="98" s="1"/>
  <c r="D714" i="98"/>
  <c r="C721" i="98"/>
  <c r="D721" i="98" s="1"/>
  <c r="C719" i="98"/>
  <c r="D719" i="98" s="1"/>
  <c r="J41" i="141"/>
  <c r="I11" i="132"/>
  <c r="T5" i="145"/>
  <c r="E10" i="145"/>
  <c r="T6" i="145"/>
  <c r="E5" i="145"/>
  <c r="T9" i="145"/>
  <c r="E4" i="145"/>
  <c r="T4" i="145"/>
  <c r="E6" i="145"/>
  <c r="E9" i="145"/>
  <c r="J12" i="132" l="1"/>
  <c r="J11" i="132"/>
  <c r="H12" i="132"/>
  <c r="M12" i="132" s="1"/>
  <c r="H11" i="132"/>
  <c r="M11" i="132" s="1"/>
  <c r="H27" i="196" l="1"/>
  <c r="I27" i="196"/>
  <c r="G19" i="192"/>
  <c r="H19" i="192"/>
  <c r="I19" i="192"/>
  <c r="G27" i="196"/>
  <c r="G198" i="189" l="1"/>
  <c r="G149" i="190"/>
  <c r="C76" i="151"/>
  <c r="C18" i="151" s="1"/>
  <c r="G81" i="189"/>
  <c r="G300" i="189" s="1"/>
  <c r="C80" i="151" s="1"/>
  <c r="C22" i="151" s="1"/>
  <c r="D461" i="111" s="1"/>
  <c r="E461" i="111" s="1"/>
  <c r="G83" i="189"/>
  <c r="C78" i="107"/>
  <c r="C18" i="107" s="1"/>
  <c r="D423" i="111" s="1"/>
  <c r="E423" i="111" s="1"/>
  <c r="E442" i="111" s="1"/>
  <c r="H26" i="196"/>
  <c r="H31" i="196" s="1"/>
  <c r="H34" i="196" s="1"/>
  <c r="C78" i="126" s="1"/>
  <c r="C18" i="126" s="1"/>
  <c r="D349" i="111" s="1"/>
  <c r="E349" i="111" s="1"/>
  <c r="G18" i="192"/>
  <c r="I18" i="192"/>
  <c r="H18" i="192"/>
  <c r="I26" i="196"/>
  <c r="I31" i="196" s="1"/>
  <c r="I34" i="196" s="1"/>
  <c r="C78" i="127" s="1"/>
  <c r="C18" i="127" s="1"/>
  <c r="D386" i="111" s="1"/>
  <c r="E386" i="111" s="1"/>
  <c r="G26" i="196"/>
  <c r="G31" i="196" s="1"/>
  <c r="G57" i="190"/>
  <c r="G63" i="190" s="1"/>
  <c r="G64" i="190" s="1"/>
  <c r="G120" i="190" s="1"/>
  <c r="C78" i="99" l="1"/>
  <c r="C18" i="99" s="1"/>
  <c r="D312" i="111" s="1"/>
  <c r="E312" i="111" s="1"/>
  <c r="G34" i="196"/>
  <c r="D460" i="111"/>
  <c r="E460" i="111" s="1"/>
  <c r="T71" i="111"/>
  <c r="AD423" i="111"/>
  <c r="AE423" i="111" s="1"/>
  <c r="AE442" i="111" s="1"/>
  <c r="AD386" i="111"/>
  <c r="AE386" i="111" s="1"/>
  <c r="AD349" i="111"/>
  <c r="AE349" i="111" s="1"/>
  <c r="AD312" i="111"/>
  <c r="AE312" i="111" s="1"/>
  <c r="H35" i="196"/>
  <c r="H104" i="196" s="1"/>
  <c r="C82" i="126" s="1"/>
  <c r="C22" i="126" s="1"/>
  <c r="G35" i="196"/>
  <c r="G104" i="196" s="1"/>
  <c r="C82" i="99" s="1"/>
  <c r="C22" i="99" s="1"/>
  <c r="G130" i="189"/>
  <c r="G94" i="190"/>
  <c r="G13" i="192"/>
  <c r="G20" i="192" s="1"/>
  <c r="I13" i="192"/>
  <c r="I20" i="192" s="1"/>
  <c r="H13" i="192"/>
  <c r="H20" i="192" s="1"/>
  <c r="G10" i="192"/>
  <c r="G11" i="192" s="1"/>
  <c r="H10" i="192"/>
  <c r="H11" i="192" s="1"/>
  <c r="I10" i="192"/>
  <c r="I11" i="192" s="1"/>
  <c r="G197" i="189"/>
  <c r="G221" i="190"/>
  <c r="T98" i="152" s="1"/>
  <c r="G148" i="190"/>
  <c r="G199" i="189"/>
  <c r="G150" i="190"/>
  <c r="H30" i="192"/>
  <c r="I30" i="192"/>
  <c r="G30" i="192"/>
  <c r="I35" i="196"/>
  <c r="I104" i="196" s="1"/>
  <c r="C82" i="127" s="1"/>
  <c r="C22" i="127" s="1"/>
  <c r="F203" i="189"/>
  <c r="G203" i="189"/>
  <c r="I33" i="192"/>
  <c r="H33" i="192"/>
  <c r="G33" i="192"/>
  <c r="G131" i="189"/>
  <c r="G95" i="190"/>
  <c r="H14" i="196" a="1"/>
  <c r="H14" i="196" s="1"/>
  <c r="H16" i="196" s="1"/>
  <c r="H17" i="196" s="1"/>
  <c r="H19" i="196" s="1"/>
  <c r="H47" i="196" s="1"/>
  <c r="P26" i="197" s="1"/>
  <c r="I14" i="196" a="1"/>
  <c r="I14" i="196" s="1"/>
  <c r="I16" i="196" s="1"/>
  <c r="I17" i="196" s="1"/>
  <c r="I19" i="196" s="1"/>
  <c r="I47" i="196" s="1"/>
  <c r="AG26" i="197" s="1"/>
  <c r="G14" i="196" a="1"/>
  <c r="G14" i="196" s="1"/>
  <c r="G16" i="196" s="1"/>
  <c r="G17" i="196" s="1"/>
  <c r="G19" i="196" s="1"/>
  <c r="G47" i="196" s="1"/>
  <c r="B26" i="197" s="1"/>
  <c r="G212" i="190"/>
  <c r="T89" i="152" s="1"/>
  <c r="C423" i="152" s="1"/>
  <c r="G58" i="190"/>
  <c r="D313" i="111" l="1"/>
  <c r="J402" i="99"/>
  <c r="D387" i="111"/>
  <c r="J401" i="127"/>
  <c r="D350" i="111"/>
  <c r="J435" i="126"/>
  <c r="T74" i="111"/>
  <c r="N25" i="159"/>
  <c r="AF29" i="132"/>
  <c r="N29" i="132" s="1"/>
  <c r="I536" i="152"/>
  <c r="C921" i="152"/>
  <c r="I675" i="152"/>
  <c r="G204" i="189"/>
  <c r="G205" i="189" s="1"/>
  <c r="D205" i="189" s="1"/>
  <c r="G34" i="192"/>
  <c r="G35" i="192" s="1"/>
  <c r="G36" i="192" s="1"/>
  <c r="G61" i="190"/>
  <c r="G67" i="190" s="1"/>
  <c r="G87" i="190"/>
  <c r="G59" i="190"/>
  <c r="G88" i="190" s="1"/>
  <c r="G224" i="190"/>
  <c r="T101" i="152" s="1"/>
  <c r="G60" i="190"/>
  <c r="G111" i="190" s="1"/>
  <c r="P18" i="145" s="1"/>
  <c r="AE18" i="145" s="1"/>
  <c r="G66" i="190"/>
  <c r="G65" i="190"/>
  <c r="F204" i="189"/>
  <c r="G247" i="189"/>
  <c r="T53" i="151" s="1"/>
  <c r="F73" i="197"/>
  <c r="F72" i="197"/>
  <c r="F65" i="197"/>
  <c r="F66" i="197"/>
  <c r="F75" i="197"/>
  <c r="F48" i="197"/>
  <c r="F67" i="197"/>
  <c r="F54" i="197"/>
  <c r="F86" i="197"/>
  <c r="F63" i="197"/>
  <c r="F71" i="197"/>
  <c r="F50" i="197"/>
  <c r="F52" i="197"/>
  <c r="F77" i="197"/>
  <c r="F53" i="197"/>
  <c r="F46" i="197"/>
  <c r="F59" i="197"/>
  <c r="F43" i="197"/>
  <c r="F68" i="197"/>
  <c r="F49" i="197"/>
  <c r="F42" i="197"/>
  <c r="F58" i="197"/>
  <c r="F85" i="197"/>
  <c r="F84" i="197"/>
  <c r="F44" i="197"/>
  <c r="F64" i="197"/>
  <c r="F62" i="197"/>
  <c r="F47" i="197"/>
  <c r="F80" i="197"/>
  <c r="F82" i="197"/>
  <c r="F70" i="197"/>
  <c r="F40" i="197"/>
  <c r="H40" i="197" s="1"/>
  <c r="F88" i="197"/>
  <c r="F69" i="197"/>
  <c r="F56" i="197"/>
  <c r="F74" i="197"/>
  <c r="F76" i="197"/>
  <c r="F57" i="197"/>
  <c r="F81" i="197"/>
  <c r="F78" i="197"/>
  <c r="F61" i="197"/>
  <c r="F79" i="197"/>
  <c r="F51" i="197"/>
  <c r="F60" i="197"/>
  <c r="F87" i="197"/>
  <c r="F55" i="197"/>
  <c r="F45" i="197"/>
  <c r="F83" i="197"/>
  <c r="F41" i="197"/>
  <c r="F89" i="197"/>
  <c r="AK60" i="197"/>
  <c r="AK65" i="197"/>
  <c r="AK85" i="197"/>
  <c r="AK80" i="197"/>
  <c r="AK89" i="197"/>
  <c r="AK86" i="197"/>
  <c r="AK70" i="197"/>
  <c r="AK57" i="197"/>
  <c r="AK62" i="197"/>
  <c r="AK63" i="197"/>
  <c r="AK66" i="197"/>
  <c r="AK45" i="197"/>
  <c r="AK56" i="197"/>
  <c r="AK88" i="197"/>
  <c r="AK49" i="197"/>
  <c r="AK83" i="197"/>
  <c r="AK87" i="197"/>
  <c r="AK54" i="197"/>
  <c r="AK76" i="197"/>
  <c r="AK40" i="197"/>
  <c r="AM40" i="197" s="1"/>
  <c r="AK78" i="197"/>
  <c r="AK67" i="197"/>
  <c r="AK84" i="197"/>
  <c r="AK47" i="197"/>
  <c r="AK64" i="197"/>
  <c r="AK52" i="197"/>
  <c r="AK58" i="197"/>
  <c r="AK73" i="197"/>
  <c r="AK48" i="197"/>
  <c r="AK82" i="197"/>
  <c r="AK77" i="197"/>
  <c r="AK75" i="197"/>
  <c r="AK79" i="197"/>
  <c r="AK50" i="197"/>
  <c r="AK43" i="197"/>
  <c r="AK53" i="197"/>
  <c r="AK69" i="197"/>
  <c r="AK51" i="197"/>
  <c r="AK81" i="197"/>
  <c r="AK68" i="197"/>
  <c r="AK72" i="197"/>
  <c r="AK71" i="197"/>
  <c r="AK55" i="197"/>
  <c r="AK59" i="197"/>
  <c r="AK46" i="197"/>
  <c r="AK74" i="197"/>
  <c r="AK42" i="197"/>
  <c r="AK44" i="197"/>
  <c r="AK41" i="197"/>
  <c r="AK61" i="197"/>
  <c r="H46" i="192"/>
  <c r="W5" i="187" s="1"/>
  <c r="W13" i="187" s="1"/>
  <c r="H21" i="192"/>
  <c r="H22" i="192" s="1"/>
  <c r="H47" i="192"/>
  <c r="W6" i="187" s="1"/>
  <c r="G129" i="189"/>
  <c r="G93" i="190"/>
  <c r="G215" i="190" s="1"/>
  <c r="T92" i="152" s="1"/>
  <c r="T47" i="197"/>
  <c r="T50" i="197"/>
  <c r="T68" i="197"/>
  <c r="T75" i="197"/>
  <c r="T66" i="197"/>
  <c r="T69" i="197"/>
  <c r="T79" i="197"/>
  <c r="T58" i="197"/>
  <c r="T46" i="197"/>
  <c r="T89" i="197"/>
  <c r="T82" i="197"/>
  <c r="T78" i="197"/>
  <c r="T41" i="197"/>
  <c r="T74" i="197"/>
  <c r="T45" i="197"/>
  <c r="T84" i="197"/>
  <c r="T73" i="197"/>
  <c r="T48" i="197"/>
  <c r="T56" i="197"/>
  <c r="T52" i="197"/>
  <c r="T51" i="197"/>
  <c r="T81" i="197"/>
  <c r="T83" i="197"/>
  <c r="T86" i="197"/>
  <c r="T55" i="197"/>
  <c r="T59" i="197"/>
  <c r="T57" i="197"/>
  <c r="T72" i="197"/>
  <c r="T63" i="197"/>
  <c r="T87" i="197"/>
  <c r="T40" i="197"/>
  <c r="V40" i="197" s="1"/>
  <c r="T67" i="197"/>
  <c r="T85" i="197"/>
  <c r="T60" i="197"/>
  <c r="T65" i="197"/>
  <c r="T62" i="197"/>
  <c r="T43" i="197"/>
  <c r="T53" i="197"/>
  <c r="T70" i="197"/>
  <c r="T77" i="197"/>
  <c r="T42" i="197"/>
  <c r="T44" i="197"/>
  <c r="T76" i="197"/>
  <c r="T61" i="197"/>
  <c r="T88" i="197"/>
  <c r="T49" i="197"/>
  <c r="T64" i="197"/>
  <c r="T80" i="197"/>
  <c r="T54" i="197"/>
  <c r="T71" i="197"/>
  <c r="I21" i="192"/>
  <c r="I22" i="192" s="1"/>
  <c r="I46" i="192"/>
  <c r="AA5" i="187" s="1"/>
  <c r="AA13" i="187" s="1"/>
  <c r="I47" i="192"/>
  <c r="AA6" i="187" s="1"/>
  <c r="I34" i="192"/>
  <c r="I35" i="192" s="1"/>
  <c r="I36" i="192" s="1"/>
  <c r="G47" i="192"/>
  <c r="S6" i="187" s="1"/>
  <c r="G46" i="192"/>
  <c r="S5" i="187" s="1"/>
  <c r="S13" i="187" s="1"/>
  <c r="G21" i="192"/>
  <c r="G22" i="192" s="1"/>
  <c r="H34" i="192"/>
  <c r="H35" i="192" s="1"/>
  <c r="H36" i="192" s="1"/>
  <c r="G97" i="190"/>
  <c r="G98" i="190" s="1"/>
  <c r="G100" i="190" s="1"/>
  <c r="G101" i="190" s="1"/>
  <c r="G134" i="189"/>
  <c r="AD350" i="111" l="1"/>
  <c r="AE350" i="111" s="1"/>
  <c r="AE368" i="111" s="1"/>
  <c r="E350" i="111"/>
  <c r="E368" i="111" s="1"/>
  <c r="T59" i="111" s="1"/>
  <c r="AD387" i="111"/>
  <c r="AE387" i="111" s="1"/>
  <c r="AE405" i="111" s="1"/>
  <c r="T68" i="111" s="1"/>
  <c r="E387" i="111"/>
  <c r="E405" i="111" s="1"/>
  <c r="T65" i="111" s="1"/>
  <c r="AD313" i="111"/>
  <c r="AE313" i="111" s="1"/>
  <c r="AE331" i="111" s="1"/>
  <c r="T56" i="111" s="1"/>
  <c r="E313" i="111"/>
  <c r="E331" i="111" s="1"/>
  <c r="T53" i="111" s="1"/>
  <c r="AF30" i="132"/>
  <c r="N30" i="132" s="1"/>
  <c r="AC25" i="159"/>
  <c r="T72" i="127"/>
  <c r="M25" i="159"/>
  <c r="AF27" i="132"/>
  <c r="N27" i="132" s="1"/>
  <c r="AB25" i="159"/>
  <c r="AF28" i="132"/>
  <c r="N28" i="132" s="1"/>
  <c r="T73" i="127"/>
  <c r="T75" i="127" s="1"/>
  <c r="T78" i="127" s="1"/>
  <c r="W235" i="187"/>
  <c r="W239" i="187" s="1"/>
  <c r="W378" i="187" s="1"/>
  <c r="C92" i="123" s="1"/>
  <c r="W14" i="187"/>
  <c r="W15" i="187"/>
  <c r="W16" i="187" s="1"/>
  <c r="S15" i="187"/>
  <c r="S16" i="187" s="1"/>
  <c r="S14" i="187"/>
  <c r="S235" i="187"/>
  <c r="S239" i="187" s="1"/>
  <c r="S378" i="187" s="1"/>
  <c r="C81" i="100" s="1"/>
  <c r="C18" i="100" s="1"/>
  <c r="D201" i="111" s="1"/>
  <c r="E201" i="111" s="1"/>
  <c r="AA14" i="187"/>
  <c r="AA235" i="187"/>
  <c r="AA239" i="187" s="1"/>
  <c r="AA378" i="187" s="1"/>
  <c r="C87" i="124" s="1"/>
  <c r="T62" i="111"/>
  <c r="AA15" i="187"/>
  <c r="AA16" i="187" s="1"/>
  <c r="G206" i="189"/>
  <c r="G250" i="189" s="1"/>
  <c r="T56" i="151" s="1"/>
  <c r="C433" i="151" s="1"/>
  <c r="I543" i="152"/>
  <c r="I682" i="152"/>
  <c r="C426" i="152"/>
  <c r="I535" i="152"/>
  <c r="C900" i="152"/>
  <c r="I674" i="152"/>
  <c r="C892" i="152"/>
  <c r="C430" i="151"/>
  <c r="C508" i="151"/>
  <c r="F205" i="189"/>
  <c r="G207" i="189" s="1"/>
  <c r="G251" i="189" s="1"/>
  <c r="T57" i="151" s="1"/>
  <c r="G135" i="189"/>
  <c r="G136" i="189" s="1"/>
  <c r="G137" i="189" s="1"/>
  <c r="G138" i="189" s="1"/>
  <c r="G145" i="189"/>
  <c r="G146" i="189" s="1"/>
  <c r="G147" i="189" s="1"/>
  <c r="G276" i="189" s="1"/>
  <c r="C58" i="151" s="1"/>
  <c r="G155" i="189"/>
  <c r="G156" i="189" s="1"/>
  <c r="G245" i="189" s="1"/>
  <c r="T51" i="151" s="1"/>
  <c r="G244" i="189"/>
  <c r="T50" i="151" s="1"/>
  <c r="G238" i="189"/>
  <c r="T44" i="151" s="1"/>
  <c r="C420" i="151" s="1"/>
  <c r="G84" i="192"/>
  <c r="T24" i="100" s="1"/>
  <c r="G24" i="192"/>
  <c r="G25" i="192" s="1"/>
  <c r="T25" i="100" s="1"/>
  <c r="G23" i="192"/>
  <c r="H84" i="192"/>
  <c r="T39" i="123" s="1"/>
  <c r="H24" i="192"/>
  <c r="H25" i="192" s="1"/>
  <c r="H23" i="192"/>
  <c r="G102" i="190"/>
  <c r="G217" i="190"/>
  <c r="T94" i="152" s="1"/>
  <c r="I84" i="192"/>
  <c r="I24" i="192"/>
  <c r="I25" i="192" s="1"/>
  <c r="I23" i="192"/>
  <c r="W40" i="197"/>
  <c r="Z40" i="197"/>
  <c r="G226" i="190"/>
  <c r="T103" i="152" s="1"/>
  <c r="G121" i="190"/>
  <c r="G122" i="190"/>
  <c r="G227" i="190"/>
  <c r="T104" i="152" s="1"/>
  <c r="G225" i="190"/>
  <c r="T102" i="152" s="1"/>
  <c r="L40" i="197"/>
  <c r="I40" i="197"/>
  <c r="G147" i="190"/>
  <c r="G89" i="190"/>
  <c r="G90" i="190" s="1"/>
  <c r="G105" i="190"/>
  <c r="G107" i="190" s="1"/>
  <c r="AQ40" i="197"/>
  <c r="AN40" i="197"/>
  <c r="G71" i="190"/>
  <c r="G70" i="190"/>
  <c r="G68" i="190"/>
  <c r="G69" i="190"/>
  <c r="S17" i="187" l="1"/>
  <c r="S24" i="187" s="1"/>
  <c r="S30" i="187" s="1"/>
  <c r="S51" i="187" s="1"/>
  <c r="BA34" i="183" s="1"/>
  <c r="G123" i="190"/>
  <c r="G126" i="190" s="1"/>
  <c r="CP33" i="132"/>
  <c r="CP32" i="132"/>
  <c r="C122" i="190"/>
  <c r="CR32" i="132"/>
  <c r="CR33" i="132"/>
  <c r="G124" i="190"/>
  <c r="G127" i="190" s="1"/>
  <c r="CQ33" i="132"/>
  <c r="CQ32" i="132"/>
  <c r="C391" i="127"/>
  <c r="C812" i="127"/>
  <c r="AA18" i="187"/>
  <c r="AA28" i="187" s="1"/>
  <c r="AA53" i="187" s="1"/>
  <c r="CI36" i="183" s="1"/>
  <c r="AA23" i="187"/>
  <c r="AA29" i="187" s="1"/>
  <c r="AA19" i="187"/>
  <c r="AA20" i="187" s="1"/>
  <c r="AA17" i="187"/>
  <c r="AA24" i="187" s="1"/>
  <c r="AA30" i="187" s="1"/>
  <c r="AA51" i="187" s="1"/>
  <c r="T74" i="127"/>
  <c r="T77" i="127" s="1"/>
  <c r="AF25" i="132"/>
  <c r="N25" i="132" s="1"/>
  <c r="L25" i="159"/>
  <c r="T88" i="126"/>
  <c r="T90" i="126" s="1"/>
  <c r="T93" i="126" s="1"/>
  <c r="AD201" i="111"/>
  <c r="AE201" i="111" s="1"/>
  <c r="S23" i="187"/>
  <c r="S29" i="187" s="1"/>
  <c r="S18" i="187"/>
  <c r="S28" i="187" s="1"/>
  <c r="S53" i="187" s="1"/>
  <c r="BA36" i="183" s="1"/>
  <c r="S19" i="187"/>
  <c r="S20" i="187" s="1"/>
  <c r="T89" i="126"/>
  <c r="T91" i="126" s="1"/>
  <c r="T94" i="126" s="1"/>
  <c r="AF26" i="132"/>
  <c r="N26" i="132" s="1"/>
  <c r="AA25" i="159"/>
  <c r="W19" i="187"/>
  <c r="W20" i="187" s="1"/>
  <c r="W18" i="187"/>
  <c r="W28" i="187" s="1"/>
  <c r="W53" i="187" s="1"/>
  <c r="BR36" i="183" s="1"/>
  <c r="W23" i="187"/>
  <c r="W29" i="187" s="1"/>
  <c r="T72" i="99"/>
  <c r="T74" i="99" s="1"/>
  <c r="T77" i="99" s="1"/>
  <c r="K25" i="159"/>
  <c r="AF23" i="132"/>
  <c r="N23" i="132" s="1"/>
  <c r="W17" i="187"/>
  <c r="W24" i="187" s="1"/>
  <c r="W30" i="187" s="1"/>
  <c r="W51" i="187" s="1"/>
  <c r="Z25" i="159"/>
  <c r="T73" i="99"/>
  <c r="T75" i="99" s="1"/>
  <c r="T78" i="99" s="1"/>
  <c r="AF24" i="132"/>
  <c r="C512" i="151"/>
  <c r="C426" i="151"/>
  <c r="C507" i="151"/>
  <c r="C428" i="151"/>
  <c r="C511" i="151"/>
  <c r="C893" i="152"/>
  <c r="C428" i="152"/>
  <c r="I683" i="152"/>
  <c r="K683" i="152" s="1"/>
  <c r="I544" i="152"/>
  <c r="K544" i="152" s="1"/>
  <c r="I545" i="152"/>
  <c r="K545" i="152" s="1"/>
  <c r="I684" i="152"/>
  <c r="K684" i="152" s="1"/>
  <c r="I685" i="152"/>
  <c r="K685" i="152" s="1"/>
  <c r="I546" i="152"/>
  <c r="K546" i="152" s="1"/>
  <c r="C434" i="151"/>
  <c r="C510" i="151"/>
  <c r="T19" i="124"/>
  <c r="C205" i="189"/>
  <c r="E205" i="189" s="1"/>
  <c r="G279" i="189" s="1"/>
  <c r="C61" i="151" s="1"/>
  <c r="G157" i="189"/>
  <c r="G246" i="189" s="1"/>
  <c r="T52" i="151" s="1"/>
  <c r="AO40" i="197"/>
  <c r="AP40" i="197" s="1" a="1"/>
  <c r="AP40" i="197" s="1"/>
  <c r="AI41" i="197" s="1"/>
  <c r="I26" i="192"/>
  <c r="C78" i="124" s="1"/>
  <c r="C18" i="124" s="1"/>
  <c r="D275" i="111" s="1"/>
  <c r="E275" i="111" s="1"/>
  <c r="I27" i="192"/>
  <c r="I98" i="192" s="1"/>
  <c r="C82" i="124" s="1"/>
  <c r="C22" i="124" s="1"/>
  <c r="D276" i="111" s="1"/>
  <c r="E276" i="111" s="1"/>
  <c r="AU40" i="197"/>
  <c r="AR40" i="197"/>
  <c r="G108" i="190"/>
  <c r="G220" i="190"/>
  <c r="T97" i="152" s="1"/>
  <c r="G239" i="190"/>
  <c r="G91" i="190"/>
  <c r="G243" i="190"/>
  <c r="C65" i="152" s="1"/>
  <c r="E102" i="190"/>
  <c r="G216" i="190"/>
  <c r="T93" i="152" s="1"/>
  <c r="C427" i="152" s="1"/>
  <c r="J40" i="197"/>
  <c r="K40" i="197" s="1" a="1"/>
  <c r="K40" i="197" s="1"/>
  <c r="D41" i="197" s="1"/>
  <c r="C120" i="190"/>
  <c r="H26" i="192"/>
  <c r="C83" i="123" s="1"/>
  <c r="C18" i="123" s="1"/>
  <c r="D238" i="111" s="1"/>
  <c r="E238" i="111" s="1"/>
  <c r="H27" i="192"/>
  <c r="H98" i="192" s="1"/>
  <c r="C87" i="123" s="1"/>
  <c r="C22" i="123" s="1"/>
  <c r="D239" i="111" s="1"/>
  <c r="G249" i="190"/>
  <c r="C89" i="152" s="1"/>
  <c r="G248" i="190"/>
  <c r="C88" i="152" s="1"/>
  <c r="G26" i="192"/>
  <c r="G27" i="192"/>
  <c r="G98" i="192" s="1"/>
  <c r="C76" i="100" s="1"/>
  <c r="C22" i="100" s="1"/>
  <c r="D202" i="111" s="1"/>
  <c r="C121" i="190"/>
  <c r="G275" i="189"/>
  <c r="C57" i="151" s="1"/>
  <c r="G240" i="189"/>
  <c r="T46" i="151" s="1"/>
  <c r="C423" i="151" s="1"/>
  <c r="G250" i="190"/>
  <c r="C90" i="152" s="1"/>
  <c r="G125" i="190"/>
  <c r="AD40" i="197"/>
  <c r="AA40" i="197"/>
  <c r="X40" i="197"/>
  <c r="Y40" i="197" s="1" a="1"/>
  <c r="Y40" i="197" s="1"/>
  <c r="R41" i="197" s="1"/>
  <c r="G239" i="189"/>
  <c r="T45" i="151" s="1"/>
  <c r="C422" i="151" s="1"/>
  <c r="AD276" i="111" l="1"/>
  <c r="AE276" i="111" s="1"/>
  <c r="AD239" i="111"/>
  <c r="AE239" i="111" s="1"/>
  <c r="E239" i="111"/>
  <c r="AD202" i="111"/>
  <c r="AE202" i="111" s="1"/>
  <c r="E202" i="111"/>
  <c r="G130" i="190"/>
  <c r="G131" i="190" s="1"/>
  <c r="G134" i="190" s="1"/>
  <c r="W22" i="187"/>
  <c r="W27" i="187" s="1"/>
  <c r="W52" i="187" s="1"/>
  <c r="BR35" i="183" s="1"/>
  <c r="AA22" i="187"/>
  <c r="AA27" i="187" s="1"/>
  <c r="AA52" i="187" s="1"/>
  <c r="CI35" i="183" s="1"/>
  <c r="E391" i="127"/>
  <c r="C438" i="127"/>
  <c r="C441" i="127" s="1"/>
  <c r="K831" i="127" s="1"/>
  <c r="K835" i="127" s="1"/>
  <c r="S359" i="187"/>
  <c r="C39" i="100" s="1"/>
  <c r="S21" i="187"/>
  <c r="C391" i="99"/>
  <c r="C814" i="99"/>
  <c r="S47" i="187"/>
  <c r="S54" i="187"/>
  <c r="BA37" i="183" s="1"/>
  <c r="BR34" i="183"/>
  <c r="AD238" i="111"/>
  <c r="AE238" i="111" s="1"/>
  <c r="C424" i="126"/>
  <c r="C771" i="126"/>
  <c r="W54" i="187"/>
  <c r="BR37" i="183" s="1"/>
  <c r="W47" i="187"/>
  <c r="C390" i="127"/>
  <c r="C779" i="127"/>
  <c r="W359" i="187"/>
  <c r="C45" i="123" s="1"/>
  <c r="W21" i="187"/>
  <c r="CI34" i="183"/>
  <c r="AD275" i="111"/>
  <c r="AE275" i="111" s="1"/>
  <c r="AA359" i="187"/>
  <c r="C40" i="124" s="1"/>
  <c r="AA21" i="187"/>
  <c r="C425" i="126"/>
  <c r="C804" i="126"/>
  <c r="AA54" i="187"/>
  <c r="CI37" i="183" s="1"/>
  <c r="AA47" i="187"/>
  <c r="N24" i="132"/>
  <c r="C390" i="99"/>
  <c r="C781" i="99"/>
  <c r="S22" i="187"/>
  <c r="S27" i="187" s="1"/>
  <c r="S52" i="187" s="1"/>
  <c r="C51" i="152"/>
  <c r="I539" i="152"/>
  <c r="I678" i="152"/>
  <c r="C901" i="152"/>
  <c r="C429" i="151"/>
  <c r="C509" i="151"/>
  <c r="G278" i="189"/>
  <c r="C60" i="151" s="1"/>
  <c r="C62" i="151" s="1"/>
  <c r="AB40" i="197"/>
  <c r="AC40" i="197" s="1" a="1"/>
  <c r="AC40" i="197" s="1"/>
  <c r="G244" i="190"/>
  <c r="C66" i="152" s="1"/>
  <c r="E108" i="190"/>
  <c r="G219" i="190"/>
  <c r="T96" i="152" s="1"/>
  <c r="AS40" i="197"/>
  <c r="AT40" i="197" s="1" a="1"/>
  <c r="AT40" i="197" s="1"/>
  <c r="G128" i="190"/>
  <c r="E41" i="197"/>
  <c r="G41" i="197"/>
  <c r="H41" i="197" s="1"/>
  <c r="U41" i="197"/>
  <c r="V41" i="197" s="1"/>
  <c r="S41" i="197"/>
  <c r="AJ41" i="197"/>
  <c r="AL41" i="197"/>
  <c r="AM41" i="197" s="1"/>
  <c r="G171" i="190" l="1"/>
  <c r="G137" i="190"/>
  <c r="P39" i="145" s="1"/>
  <c r="AE39" i="145" s="1"/>
  <c r="F171" i="190"/>
  <c r="G163" i="190"/>
  <c r="G166" i="190" s="1"/>
  <c r="G133" i="190"/>
  <c r="G136" i="190" s="1"/>
  <c r="G132" i="190"/>
  <c r="G135" i="190" s="1"/>
  <c r="CI33" i="132"/>
  <c r="CI32" i="132"/>
  <c r="C7" i="151"/>
  <c r="D452" i="111" s="1"/>
  <c r="CC31" i="132"/>
  <c r="H190" i="141"/>
  <c r="C472" i="126"/>
  <c r="C475" i="126" s="1"/>
  <c r="K824" i="126" s="1"/>
  <c r="K827" i="126" s="1"/>
  <c r="E425" i="126"/>
  <c r="C471" i="126"/>
  <c r="C474" i="126" s="1"/>
  <c r="K791" i="126" s="1"/>
  <c r="K794" i="126" s="1"/>
  <c r="E424" i="126"/>
  <c r="AA61" i="187"/>
  <c r="AA50" i="187"/>
  <c r="AA48" i="187"/>
  <c r="AA49" i="187" s="1"/>
  <c r="E390" i="99"/>
  <c r="C438" i="99"/>
  <c r="C441" i="99" s="1"/>
  <c r="K800" i="99" s="1"/>
  <c r="S50" i="187"/>
  <c r="BA33" i="183" s="1"/>
  <c r="S48" i="187"/>
  <c r="S49" i="187" s="1"/>
  <c r="S61" i="187"/>
  <c r="C437" i="127"/>
  <c r="C440" i="127" s="1"/>
  <c r="K798" i="127" s="1"/>
  <c r="K802" i="127" s="1"/>
  <c r="E390" i="127"/>
  <c r="W61" i="187"/>
  <c r="W48" i="187"/>
  <c r="W49" i="187" s="1"/>
  <c r="W50" i="187"/>
  <c r="C439" i="99"/>
  <c r="C442" i="99" s="1"/>
  <c r="K833" i="99" s="1"/>
  <c r="E391" i="99"/>
  <c r="BA35" i="183"/>
  <c r="I541" i="152"/>
  <c r="I680" i="152"/>
  <c r="G142" i="190"/>
  <c r="G143" i="190" s="1"/>
  <c r="F142" i="190"/>
  <c r="F143" i="190" s="1"/>
  <c r="AN41" i="197"/>
  <c r="AQ41" i="197"/>
  <c r="W41" i="197"/>
  <c r="Z41" i="197"/>
  <c r="L41" i="197"/>
  <c r="I41" i="197"/>
  <c r="G452" i="111" l="1"/>
  <c r="G480" i="111" s="1"/>
  <c r="G481" i="111" s="1"/>
  <c r="E452" i="111"/>
  <c r="H452" i="111"/>
  <c r="H480" i="111" s="1"/>
  <c r="H481" i="111" s="1"/>
  <c r="G164" i="190"/>
  <c r="G167" i="190" s="1"/>
  <c r="G165" i="190"/>
  <c r="G168" i="190" s="1"/>
  <c r="G169" i="190" s="1"/>
  <c r="G170" i="190" s="1"/>
  <c r="H150" i="141"/>
  <c r="H140" i="141"/>
  <c r="D455" i="111"/>
  <c r="E455" i="111" s="1"/>
  <c r="E479" i="111" s="1"/>
  <c r="C819" i="127"/>
  <c r="D819" i="127" s="1"/>
  <c r="H194" i="141"/>
  <c r="S72" i="187"/>
  <c r="R67" i="187"/>
  <c r="R66" i="187"/>
  <c r="R65" i="187"/>
  <c r="CI33" i="183"/>
  <c r="AA55" i="187"/>
  <c r="CI38" i="183" s="1"/>
  <c r="H180" i="141"/>
  <c r="S55" i="187"/>
  <c r="BA38" i="183" s="1"/>
  <c r="Z65" i="187"/>
  <c r="Z66" i="187"/>
  <c r="AA72" i="187"/>
  <c r="Z67" i="187"/>
  <c r="V67" i="187"/>
  <c r="V65" i="187"/>
  <c r="W72" i="187"/>
  <c r="V66" i="187"/>
  <c r="H161" i="141"/>
  <c r="BR33" i="183"/>
  <c r="W55" i="187"/>
  <c r="BR38" i="183" s="1"/>
  <c r="H171" i="141"/>
  <c r="C134" i="190"/>
  <c r="F144" i="190"/>
  <c r="F145" i="190" s="1"/>
  <c r="F153" i="190"/>
  <c r="F154" i="190" s="1"/>
  <c r="F155" i="190" s="1"/>
  <c r="G153" i="190"/>
  <c r="G154" i="190" s="1"/>
  <c r="G155" i="190" s="1"/>
  <c r="G156" i="190" s="1"/>
  <c r="D156" i="190" s="1"/>
  <c r="G144" i="190"/>
  <c r="G145" i="190" s="1"/>
  <c r="D136" i="190"/>
  <c r="C136" i="190"/>
  <c r="J41" i="197"/>
  <c r="K41" i="197" s="1" a="1"/>
  <c r="K41" i="197" s="1"/>
  <c r="D42" i="197" s="1"/>
  <c r="D134" i="190"/>
  <c r="AD41" i="197"/>
  <c r="AA41" i="197"/>
  <c r="X41" i="197"/>
  <c r="Y41" i="197" s="1" a="1"/>
  <c r="Y41" i="197" s="1"/>
  <c r="R42" i="197" s="1"/>
  <c r="AU41" i="197"/>
  <c r="AR41" i="197"/>
  <c r="AO41" i="197"/>
  <c r="AP41" i="197" s="1" a="1"/>
  <c r="AP41" i="197" s="1"/>
  <c r="AI42" i="197" s="1"/>
  <c r="C142" i="190"/>
  <c r="F172" i="190"/>
  <c r="D142" i="190"/>
  <c r="G172" i="190"/>
  <c r="D135" i="190"/>
  <c r="C135" i="190"/>
  <c r="AB8" i="145"/>
  <c r="T77" i="111" l="1"/>
  <c r="L28" i="132"/>
  <c r="W306" i="187"/>
  <c r="Z4" i="123" s="1"/>
  <c r="W73" i="187"/>
  <c r="W90" i="187"/>
  <c r="Z69" i="187"/>
  <c r="AA66" i="187"/>
  <c r="AA69" i="187" s="1"/>
  <c r="AA367" i="187" s="1"/>
  <c r="C64" i="124" s="1"/>
  <c r="C15" i="124" s="1"/>
  <c r="BH54" i="183"/>
  <c r="BI54" i="183" s="1"/>
  <c r="BK54" i="183" s="1"/>
  <c r="C811" i="126"/>
  <c r="D811" i="126" s="1"/>
  <c r="H174" i="141"/>
  <c r="H184" i="141"/>
  <c r="C786" i="127"/>
  <c r="D786" i="127" s="1"/>
  <c r="BY54" i="183"/>
  <c r="BZ54" i="183" s="1"/>
  <c r="CB54" i="183" s="1"/>
  <c r="CP54" i="183"/>
  <c r="CQ54" i="183" s="1"/>
  <c r="CS54" i="183" s="1"/>
  <c r="S65" i="187"/>
  <c r="S68" i="187" s="1"/>
  <c r="S366" i="187" s="1"/>
  <c r="C60" i="100" s="1"/>
  <c r="C14" i="100" s="1"/>
  <c r="R68" i="187"/>
  <c r="W67" i="187"/>
  <c r="W70" i="187" s="1"/>
  <c r="W368" i="187" s="1"/>
  <c r="C70" i="123" s="1"/>
  <c r="C16" i="123" s="1"/>
  <c r="V70" i="187"/>
  <c r="AA65" i="187"/>
  <c r="AA68" i="187" s="1"/>
  <c r="AA366" i="187" s="1"/>
  <c r="C63" i="124" s="1"/>
  <c r="C14" i="124" s="1"/>
  <c r="Z68" i="187"/>
  <c r="C778" i="126"/>
  <c r="D778" i="126" s="1"/>
  <c r="H164" i="141"/>
  <c r="S66" i="187"/>
  <c r="S69" i="187" s="1"/>
  <c r="S367" i="187" s="1"/>
  <c r="C61" i="100" s="1"/>
  <c r="C15" i="100" s="1"/>
  <c r="R69" i="187"/>
  <c r="W65" i="187"/>
  <c r="W68" i="187" s="1"/>
  <c r="W366" i="187" s="1"/>
  <c r="C68" i="123" s="1"/>
  <c r="C14" i="123" s="1"/>
  <c r="V68" i="187"/>
  <c r="S67" i="187"/>
  <c r="S70" i="187" s="1"/>
  <c r="S368" i="187" s="1"/>
  <c r="C62" i="100" s="1"/>
  <c r="C16" i="100" s="1"/>
  <c r="R70" i="187"/>
  <c r="AA67" i="187"/>
  <c r="AA70" i="187" s="1"/>
  <c r="AA368" i="187" s="1"/>
  <c r="C65" i="124" s="1"/>
  <c r="C16" i="124" s="1"/>
  <c r="Z70" i="187"/>
  <c r="AA306" i="187"/>
  <c r="Z4" i="124" s="1"/>
  <c r="AA90" i="187"/>
  <c r="AA73" i="187"/>
  <c r="V69" i="187"/>
  <c r="W66" i="187"/>
  <c r="W69" i="187" s="1"/>
  <c r="W367" i="187" s="1"/>
  <c r="C69" i="123" s="1"/>
  <c r="C15" i="123" s="1"/>
  <c r="S306" i="187"/>
  <c r="Z4" i="100" s="1"/>
  <c r="S73" i="187"/>
  <c r="S90" i="187"/>
  <c r="G229" i="190"/>
  <c r="T106" i="152" s="1"/>
  <c r="I668" i="152" s="1"/>
  <c r="H807" i="152" s="1"/>
  <c r="P26" i="145"/>
  <c r="G228" i="190"/>
  <c r="T105" i="152" s="1"/>
  <c r="I525" i="152" s="1"/>
  <c r="P25" i="145"/>
  <c r="E134" i="190"/>
  <c r="G252" i="190" s="1"/>
  <c r="D143" i="190"/>
  <c r="G240" i="190" s="1"/>
  <c r="C52" i="152" s="1"/>
  <c r="C8" i="152" s="1"/>
  <c r="AL42" i="197"/>
  <c r="AM42" i="197" s="1"/>
  <c r="AJ42" i="197"/>
  <c r="AB41" i="197"/>
  <c r="AC41" i="197" s="1" a="1"/>
  <c r="AC41" i="197" s="1"/>
  <c r="G42" i="197"/>
  <c r="H42" i="197" s="1"/>
  <c r="E42" i="197"/>
  <c r="AS41" i="197"/>
  <c r="AT41" i="197" s="1" a="1"/>
  <c r="AT41" i="197" s="1"/>
  <c r="E136" i="190"/>
  <c r="G254" i="190" s="1"/>
  <c r="C94" i="152" s="1"/>
  <c r="D507" i="111" s="1"/>
  <c r="E135" i="190"/>
  <c r="G253" i="190" s="1"/>
  <c r="F173" i="190"/>
  <c r="G203" i="190" s="1"/>
  <c r="T80" i="152" s="1"/>
  <c r="G173" i="190"/>
  <c r="G204" i="190" s="1"/>
  <c r="T81" i="152" s="1"/>
  <c r="S42" i="197"/>
  <c r="U42" i="197"/>
  <c r="V42" i="197" s="1"/>
  <c r="G157" i="190"/>
  <c r="G223" i="190" s="1"/>
  <c r="T100" i="152" s="1"/>
  <c r="F156" i="190"/>
  <c r="L8" i="145"/>
  <c r="M8" i="145"/>
  <c r="AA8" i="145"/>
  <c r="AF31" i="132" l="1"/>
  <c r="N31" i="132" s="1"/>
  <c r="O25" i="159"/>
  <c r="D503" i="111"/>
  <c r="AD507" i="111"/>
  <c r="V79" i="111"/>
  <c r="V78" i="111"/>
  <c r="U78" i="111"/>
  <c r="U79" i="111"/>
  <c r="D494" i="111"/>
  <c r="CF22" i="132"/>
  <c r="CF21" i="132"/>
  <c r="CF17" i="132"/>
  <c r="CF18" i="132"/>
  <c r="CH19" i="132"/>
  <c r="CH20" i="132"/>
  <c r="CH21" i="132"/>
  <c r="CH22" i="132"/>
  <c r="CF20" i="132"/>
  <c r="CF19" i="132"/>
  <c r="CH18" i="132"/>
  <c r="CH17" i="132"/>
  <c r="S75" i="187"/>
  <c r="S310" i="187" s="1"/>
  <c r="Z8" i="100" s="1"/>
  <c r="AA74" i="187"/>
  <c r="AA309" i="187" s="1"/>
  <c r="Z7" i="124" s="1"/>
  <c r="S76" i="187"/>
  <c r="S79" i="187" s="1"/>
  <c r="AA75" i="187"/>
  <c r="AA310" i="187" s="1"/>
  <c r="Z8" i="124" s="1"/>
  <c r="S364" i="187"/>
  <c r="C58" i="100" s="1"/>
  <c r="C12" i="100" s="1"/>
  <c r="C562" i="124"/>
  <c r="E562" i="124" s="1"/>
  <c r="C695" i="124"/>
  <c r="E695" i="124" s="1"/>
  <c r="S74" i="187"/>
  <c r="W362" i="187"/>
  <c r="C64" i="123" s="1"/>
  <c r="C10" i="123" s="1"/>
  <c r="H23" i="145"/>
  <c r="W23" i="145" s="1"/>
  <c r="S89" i="187"/>
  <c r="S363" i="187"/>
  <c r="C57" i="100" s="1"/>
  <c r="C11" i="100" s="1"/>
  <c r="BL54" i="183"/>
  <c r="BO54" i="183"/>
  <c r="AA363" i="187"/>
  <c r="C60" i="124" s="1"/>
  <c r="C11" i="124" s="1"/>
  <c r="W363" i="187"/>
  <c r="C65" i="123" s="1"/>
  <c r="C11" i="123" s="1"/>
  <c r="L25" i="132"/>
  <c r="CW54" i="183"/>
  <c r="CT54" i="183"/>
  <c r="W74" i="187"/>
  <c r="AA362" i="187"/>
  <c r="C59" i="124" s="1"/>
  <c r="C10" i="124" s="1"/>
  <c r="CF54" i="183"/>
  <c r="CC54" i="183"/>
  <c r="W76" i="187"/>
  <c r="AA76" i="187"/>
  <c r="L27" i="132"/>
  <c r="W75" i="187"/>
  <c r="C696" i="100"/>
  <c r="E696" i="100" s="1"/>
  <c r="C563" i="100"/>
  <c r="E563" i="100" s="1"/>
  <c r="W364" i="187"/>
  <c r="C66" i="123" s="1"/>
  <c r="C12" i="123" s="1"/>
  <c r="AA364" i="187"/>
  <c r="C61" i="124" s="1"/>
  <c r="C12" i="124" s="1"/>
  <c r="J23" i="145"/>
  <c r="Y23" i="145" s="1"/>
  <c r="AA89" i="187"/>
  <c r="I23" i="145"/>
  <c r="X23" i="145" s="1"/>
  <c r="W89" i="187"/>
  <c r="S362" i="187"/>
  <c r="C56" i="100" s="1"/>
  <c r="C10" i="100" s="1"/>
  <c r="L26" i="132"/>
  <c r="C554" i="123"/>
  <c r="E554" i="123" s="1"/>
  <c r="C687" i="123"/>
  <c r="E687" i="123" s="1"/>
  <c r="I663" i="152"/>
  <c r="G807" i="152" s="1"/>
  <c r="I664" i="152"/>
  <c r="G812" i="152" s="1"/>
  <c r="I524" i="152"/>
  <c r="I662" i="152"/>
  <c r="G802" i="152" s="1"/>
  <c r="I523" i="152"/>
  <c r="I530" i="152"/>
  <c r="I669" i="152"/>
  <c r="H812" i="152" s="1"/>
  <c r="I528" i="152"/>
  <c r="I529" i="152"/>
  <c r="I667" i="152"/>
  <c r="H802" i="152" s="1"/>
  <c r="P24" i="145"/>
  <c r="AE25" i="145"/>
  <c r="AE11" i="159" s="1"/>
  <c r="AE17" i="159" s="1"/>
  <c r="P11" i="159"/>
  <c r="P17" i="159" s="1"/>
  <c r="C92" i="152"/>
  <c r="D505" i="111" s="1"/>
  <c r="P33" i="145"/>
  <c r="AE33" i="145" s="1"/>
  <c r="C93" i="152"/>
  <c r="P34" i="145"/>
  <c r="AE34" i="145" s="1"/>
  <c r="AE26" i="145"/>
  <c r="AE12" i="159" s="1"/>
  <c r="AE19" i="159" s="1"/>
  <c r="P12" i="159"/>
  <c r="P19" i="159" s="1"/>
  <c r="C922" i="152"/>
  <c r="I540" i="152"/>
  <c r="I679" i="152"/>
  <c r="H797" i="152"/>
  <c r="H636" i="152"/>
  <c r="G636" i="152"/>
  <c r="G797" i="152"/>
  <c r="W42" i="197"/>
  <c r="Z42" i="197"/>
  <c r="I42" i="197"/>
  <c r="L42" i="197"/>
  <c r="G158" i="190"/>
  <c r="G222" i="190" s="1"/>
  <c r="T99" i="152" s="1"/>
  <c r="C156" i="190"/>
  <c r="E156" i="190" s="1"/>
  <c r="G245" i="190" s="1"/>
  <c r="C67" i="152" s="1"/>
  <c r="AN42" i="197"/>
  <c r="AQ42" i="197"/>
  <c r="AD494" i="111" l="1"/>
  <c r="AF494" i="111" s="1"/>
  <c r="AF516" i="111" s="1"/>
  <c r="AF518" i="111" s="1"/>
  <c r="F494" i="111"/>
  <c r="F516" i="111" s="1"/>
  <c r="F518" i="111" s="1"/>
  <c r="H503" i="111"/>
  <c r="G503" i="111"/>
  <c r="E503" i="111"/>
  <c r="D514" i="111"/>
  <c r="K499" i="111" s="1"/>
  <c r="K516" i="111" s="1"/>
  <c r="K518" i="111" s="1"/>
  <c r="D506" i="111"/>
  <c r="D501" i="111"/>
  <c r="AD505" i="111"/>
  <c r="AD503" i="111"/>
  <c r="AY31" i="132"/>
  <c r="AP31" i="132"/>
  <c r="AQ31" i="132"/>
  <c r="AZ31" i="132"/>
  <c r="U80" i="111"/>
  <c r="AA77" i="187"/>
  <c r="S78" i="187"/>
  <c r="S311" i="187"/>
  <c r="Z9" i="100" s="1"/>
  <c r="C566" i="100" s="1"/>
  <c r="E566" i="100" s="1"/>
  <c r="S93" i="187"/>
  <c r="S96" i="187" s="1"/>
  <c r="CO18" i="132"/>
  <c r="CO17" i="132"/>
  <c r="CE22" i="132"/>
  <c r="CE21" i="132"/>
  <c r="CE18" i="132"/>
  <c r="CE17" i="132"/>
  <c r="CG22" i="132"/>
  <c r="CG21" i="132"/>
  <c r="CG18" i="132"/>
  <c r="CG17" i="132"/>
  <c r="CG20" i="132"/>
  <c r="CG19" i="132"/>
  <c r="CE20" i="132"/>
  <c r="CE19" i="132"/>
  <c r="AA78" i="187"/>
  <c r="C697" i="124"/>
  <c r="E697" i="124" s="1"/>
  <c r="C564" i="124"/>
  <c r="E564" i="124" s="1"/>
  <c r="W309" i="187"/>
  <c r="Z7" i="123" s="1"/>
  <c r="W77" i="187"/>
  <c r="CU54" i="183"/>
  <c r="CV54" i="183" s="1" a="1"/>
  <c r="CV54" i="183" s="1"/>
  <c r="CK55" i="183" s="1"/>
  <c r="C565" i="100"/>
  <c r="E565" i="100" s="1"/>
  <c r="C698" i="100"/>
  <c r="E698" i="100" s="1"/>
  <c r="S309" i="187"/>
  <c r="Z7" i="100" s="1"/>
  <c r="S77" i="187"/>
  <c r="W310" i="187"/>
  <c r="Z8" i="123" s="1"/>
  <c r="W78" i="187"/>
  <c r="AA311" i="187"/>
  <c r="Z9" i="124" s="1"/>
  <c r="AA79" i="187"/>
  <c r="C563" i="124"/>
  <c r="E563" i="124" s="1"/>
  <c r="C696" i="124"/>
  <c r="E696" i="124" s="1"/>
  <c r="W311" i="187"/>
  <c r="Z9" i="123" s="1"/>
  <c r="W79" i="187"/>
  <c r="BM54" i="183"/>
  <c r="BN54" i="183" s="1" a="1"/>
  <c r="BN54" i="183" s="1"/>
  <c r="BC55" i="183" s="1"/>
  <c r="CD54" i="183"/>
  <c r="CE54" i="183" s="1" a="1"/>
  <c r="CE54" i="183" s="1"/>
  <c r="BT55" i="183" s="1"/>
  <c r="U83" i="111"/>
  <c r="BP32" i="132" a="1"/>
  <c r="BP32" i="132" s="1"/>
  <c r="P23" i="159"/>
  <c r="BR32" i="132" a="1"/>
  <c r="BR32" i="132" s="1"/>
  <c r="P22" i="159"/>
  <c r="BR33" i="132" a="1"/>
  <c r="BR33" i="132" s="1"/>
  <c r="AE22" i="159"/>
  <c r="BP33" i="132" a="1"/>
  <c r="BP33" i="132" s="1"/>
  <c r="AE23" i="159"/>
  <c r="AE24" i="145"/>
  <c r="AE10" i="159" s="1"/>
  <c r="AE21" i="159" s="1"/>
  <c r="P10" i="159"/>
  <c r="P21" i="159" s="1"/>
  <c r="I542" i="152"/>
  <c r="I681" i="152"/>
  <c r="C69" i="152"/>
  <c r="D489" i="111" s="1"/>
  <c r="C70" i="152"/>
  <c r="AD489" i="111" s="1"/>
  <c r="AR42" i="197"/>
  <c r="AU42" i="197"/>
  <c r="AO42" i="197"/>
  <c r="AP42" i="197" s="1" a="1"/>
  <c r="AP42" i="197" s="1"/>
  <c r="AI43" i="197" s="1"/>
  <c r="J42" i="197"/>
  <c r="K42" i="197" s="1" a="1"/>
  <c r="K42" i="197" s="1"/>
  <c r="D43" i="197" s="1"/>
  <c r="AA42" i="197"/>
  <c r="AD42" i="197"/>
  <c r="X42" i="197"/>
  <c r="Y42" i="197" s="1" a="1"/>
  <c r="Y42" i="197" s="1"/>
  <c r="R43" i="197" s="1"/>
  <c r="AH503" i="111" l="1"/>
  <c r="AG503" i="111"/>
  <c r="AE503" i="111"/>
  <c r="AG489" i="111"/>
  <c r="AE489" i="111"/>
  <c r="AH489" i="111"/>
  <c r="H489" i="111"/>
  <c r="G489" i="111"/>
  <c r="E489" i="111"/>
  <c r="H501" i="111"/>
  <c r="G501" i="111"/>
  <c r="E501" i="111"/>
  <c r="D502" i="111"/>
  <c r="AD506" i="111"/>
  <c r="AD501" i="111"/>
  <c r="AD514" i="111"/>
  <c r="AK499" i="111" s="1"/>
  <c r="AK516" i="111" s="1"/>
  <c r="AK518" i="111" s="1"/>
  <c r="AG33" i="132"/>
  <c r="O33" i="132" s="1"/>
  <c r="Z32" i="132" a="1"/>
  <c r="Z32" i="132" s="1"/>
  <c r="AG32" i="132"/>
  <c r="O32" i="132" s="1"/>
  <c r="S92" i="187"/>
  <c r="S95" i="187" s="1"/>
  <c r="AA91" i="187"/>
  <c r="AA94" i="187" s="1"/>
  <c r="Z33" i="132" a="1"/>
  <c r="Z33" i="132" s="1"/>
  <c r="AA33" i="132" a="1"/>
  <c r="AA33" i="132" s="1"/>
  <c r="Y33" i="132" s="1"/>
  <c r="AA32" i="132" a="1"/>
  <c r="AA32" i="132" s="1"/>
  <c r="Y32" i="132" s="1"/>
  <c r="C699" i="100"/>
  <c r="E699" i="100" s="1"/>
  <c r="CN17" i="132"/>
  <c r="CM22" i="132"/>
  <c r="CM21" i="132"/>
  <c r="CN18" i="132"/>
  <c r="CC32" i="132"/>
  <c r="D492" i="111"/>
  <c r="E492" i="111" s="1"/>
  <c r="E516" i="111" s="1"/>
  <c r="W91" i="187"/>
  <c r="W94" i="187" s="1"/>
  <c r="CM18" i="132"/>
  <c r="CM20" i="132"/>
  <c r="CM19" i="132"/>
  <c r="AA92" i="187"/>
  <c r="AA95" i="187" s="1"/>
  <c r="CN21" i="132"/>
  <c r="CN22" i="132"/>
  <c r="W93" i="187"/>
  <c r="CO20" i="132"/>
  <c r="CO19" i="132"/>
  <c r="AA93" i="187"/>
  <c r="AA96" i="187" s="1"/>
  <c r="CO21" i="132"/>
  <c r="CO22" i="132"/>
  <c r="W92" i="187"/>
  <c r="W95" i="187" s="1"/>
  <c r="CN19" i="132"/>
  <c r="CN20" i="132"/>
  <c r="S91" i="187"/>
  <c r="S94" i="187" s="1"/>
  <c r="CM17" i="132"/>
  <c r="CC33" i="132"/>
  <c r="C557" i="123"/>
  <c r="E557" i="123" s="1"/>
  <c r="C690" i="123"/>
  <c r="E690" i="123" s="1"/>
  <c r="CM55" i="183"/>
  <c r="CR55" i="183"/>
  <c r="CN55" i="183"/>
  <c r="CL55" i="183"/>
  <c r="CO55" i="183" s="1"/>
  <c r="C698" i="124"/>
  <c r="E698" i="124" s="1"/>
  <c r="C565" i="124"/>
  <c r="E565" i="124" s="1"/>
  <c r="C689" i="123"/>
  <c r="E689" i="123" s="1"/>
  <c r="C556" i="123"/>
  <c r="E556" i="123" s="1"/>
  <c r="C555" i="123"/>
  <c r="E555" i="123" s="1"/>
  <c r="C688" i="123"/>
  <c r="E688" i="123" s="1"/>
  <c r="C697" i="100"/>
  <c r="E697" i="100" s="1"/>
  <c r="C564" i="100"/>
  <c r="E564" i="100" s="1"/>
  <c r="BV55" i="183"/>
  <c r="BW55" i="183"/>
  <c r="CA55" i="183"/>
  <c r="BU55" i="183"/>
  <c r="BX55" i="183" s="1"/>
  <c r="BE55" i="183"/>
  <c r="BD55" i="183"/>
  <c r="BG55" i="183" s="1"/>
  <c r="BJ55" i="183"/>
  <c r="BF55" i="183"/>
  <c r="AD492" i="111"/>
  <c r="AE492" i="111" s="1"/>
  <c r="AE516" i="111" s="1"/>
  <c r="BT32" i="132" a="1"/>
  <c r="BT32" i="132" s="1"/>
  <c r="P24" i="159"/>
  <c r="BT33" i="132" a="1"/>
  <c r="BT33" i="132" s="1"/>
  <c r="AE24" i="159"/>
  <c r="AB42" i="197"/>
  <c r="AC42" i="197" s="1" a="1"/>
  <c r="AC42" i="197" s="1"/>
  <c r="S43" i="197"/>
  <c r="U43" i="197"/>
  <c r="V43" i="197" s="1"/>
  <c r="E43" i="197"/>
  <c r="G43" i="197"/>
  <c r="H43" i="197" s="1"/>
  <c r="AL43" i="197"/>
  <c r="AM43" i="197" s="1"/>
  <c r="AJ43" i="197"/>
  <c r="AS42" i="197"/>
  <c r="AT42" i="197" s="1" a="1"/>
  <c r="AT42" i="197" s="1"/>
  <c r="G502" i="111" l="1"/>
  <c r="G517" i="111" s="1"/>
  <c r="E502" i="111"/>
  <c r="H502" i="111"/>
  <c r="AG501" i="111"/>
  <c r="AE501" i="111"/>
  <c r="AH501" i="111"/>
  <c r="H517" i="111"/>
  <c r="H518" i="111" s="1"/>
  <c r="Y85" i="111"/>
  <c r="BC33" i="132" s="1"/>
  <c r="Y83" i="111"/>
  <c r="AK33" i="132" s="1"/>
  <c r="S33" i="132" s="1"/>
  <c r="T83" i="111"/>
  <c r="Y82" i="111"/>
  <c r="BC32" i="132" s="1"/>
  <c r="Y80" i="111"/>
  <c r="AK32" i="132" s="1"/>
  <c r="S32" i="132" s="1"/>
  <c r="AD502" i="111"/>
  <c r="T80" i="111"/>
  <c r="AA101" i="187"/>
  <c r="AA103" i="187" s="1"/>
  <c r="S101" i="187"/>
  <c r="S102" i="187" s="1"/>
  <c r="S105" i="187" s="1"/>
  <c r="S125" i="187" s="1"/>
  <c r="AB33" i="132" a="1"/>
  <c r="AB33" i="132" s="1"/>
  <c r="AB32" i="132" a="1"/>
  <c r="AB32" i="132" s="1"/>
  <c r="W101" i="187"/>
  <c r="W120" i="187" s="1"/>
  <c r="W96" i="187"/>
  <c r="BH55" i="183"/>
  <c r="BI55" i="183" s="1"/>
  <c r="BK55" i="183" s="1"/>
  <c r="BY55" i="183"/>
  <c r="BZ55" i="183" s="1"/>
  <c r="CB55" i="183" s="1"/>
  <c r="CP55" i="183"/>
  <c r="CQ55" i="183" s="1"/>
  <c r="CS55" i="183" s="1"/>
  <c r="AQ43" i="197"/>
  <c r="AN43" i="197"/>
  <c r="L43" i="197"/>
  <c r="I43" i="197"/>
  <c r="Z43" i="197"/>
  <c r="W43" i="197"/>
  <c r="G518" i="111" l="1"/>
  <c r="V81" i="111"/>
  <c r="AH502" i="111"/>
  <c r="AH517" i="111" s="1"/>
  <c r="AH518" i="111" s="1"/>
  <c r="AG502" i="111"/>
  <c r="AG517" i="111" s="1"/>
  <c r="AG518" i="111" s="1"/>
  <c r="AE502" i="111"/>
  <c r="P25" i="159"/>
  <c r="AF32" i="132"/>
  <c r="N32" i="132" s="1"/>
  <c r="AE25" i="159"/>
  <c r="AF33" i="132"/>
  <c r="N33" i="132" s="1"/>
  <c r="V84" i="111"/>
  <c r="AQ33" i="132" s="1"/>
  <c r="U85" i="111"/>
  <c r="AY33" i="132" s="1"/>
  <c r="AA102" i="187"/>
  <c r="AA105" i="187" s="1"/>
  <c r="AA125" i="187" s="1"/>
  <c r="AA111" i="187"/>
  <c r="J38" i="145" s="1"/>
  <c r="Y38" i="145" s="1"/>
  <c r="AA104" i="187"/>
  <c r="AA107" i="187" s="1"/>
  <c r="AA127" i="187" s="1"/>
  <c r="AA120" i="187"/>
  <c r="S103" i="187"/>
  <c r="S106" i="187" s="1"/>
  <c r="S126" i="187" s="1"/>
  <c r="S104" i="187"/>
  <c r="S107" i="187" s="1"/>
  <c r="S127" i="187" s="1"/>
  <c r="S111" i="187"/>
  <c r="H38" i="145" s="1"/>
  <c r="W38" i="145" s="1"/>
  <c r="S120" i="187"/>
  <c r="U84" i="111"/>
  <c r="W102" i="187"/>
  <c r="W105" i="187" s="1"/>
  <c r="W125" i="187" s="1"/>
  <c r="W111" i="187"/>
  <c r="I38" i="145" s="1"/>
  <c r="X38" i="145" s="1"/>
  <c r="W103" i="187"/>
  <c r="W106" i="187" s="1"/>
  <c r="W126" i="187" s="1"/>
  <c r="W104" i="187"/>
  <c r="W107" i="187" s="1"/>
  <c r="W127" i="187" s="1"/>
  <c r="U81" i="111"/>
  <c r="U82" i="111"/>
  <c r="V82" i="111"/>
  <c r="BL55" i="183"/>
  <c r="BO55" i="183"/>
  <c r="CT55" i="183"/>
  <c r="CW55" i="183"/>
  <c r="S108" i="187"/>
  <c r="AA106" i="187"/>
  <c r="AA126" i="187" s="1"/>
  <c r="CC55" i="183"/>
  <c r="CF55" i="183"/>
  <c r="X43" i="197"/>
  <c r="Y43" i="197" s="1" a="1"/>
  <c r="Y43" i="197" s="1"/>
  <c r="R44" i="197" s="1"/>
  <c r="AA43" i="197"/>
  <c r="AD43" i="197"/>
  <c r="J43" i="197"/>
  <c r="K43" i="197" s="1" a="1"/>
  <c r="K43" i="197" s="1"/>
  <c r="D44" i="197" s="1"/>
  <c r="AO43" i="197"/>
  <c r="AP43" i="197" s="1" a="1"/>
  <c r="AP43" i="197" s="1"/>
  <c r="AI44" i="197" s="1"/>
  <c r="AU43" i="197"/>
  <c r="AR43" i="197"/>
  <c r="V85" i="111" l="1"/>
  <c r="AA110" i="187"/>
  <c r="AP33" i="132"/>
  <c r="AY32" i="132"/>
  <c r="AZ32" i="132"/>
  <c r="AP32" i="132"/>
  <c r="AZ33" i="132"/>
  <c r="AQ32" i="132"/>
  <c r="W128" i="187"/>
  <c r="W129" i="187" s="1"/>
  <c r="W109" i="187"/>
  <c r="W108" i="187"/>
  <c r="W110" i="187"/>
  <c r="S110" i="187"/>
  <c r="AA128" i="187"/>
  <c r="AA129" i="187" s="1"/>
  <c r="AA109" i="187"/>
  <c r="AA108" i="187"/>
  <c r="S109" i="187"/>
  <c r="S128" i="187"/>
  <c r="S129" i="187" s="1"/>
  <c r="CU55" i="183"/>
  <c r="CV55" i="183" s="1" a="1"/>
  <c r="CV55" i="183" s="1"/>
  <c r="CK56" i="183" s="1"/>
  <c r="CD55" i="183"/>
  <c r="CE55" i="183" s="1" a="1"/>
  <c r="CE55" i="183" s="1"/>
  <c r="BT56" i="183" s="1"/>
  <c r="BM55" i="183"/>
  <c r="BN55" i="183" s="1" a="1"/>
  <c r="BN55" i="183" s="1"/>
  <c r="BC56" i="183" s="1"/>
  <c r="S44" i="197"/>
  <c r="U44" i="197"/>
  <c r="V44" i="197" s="1"/>
  <c r="G44" i="197"/>
  <c r="H44" i="197" s="1"/>
  <c r="E44" i="197"/>
  <c r="AL44" i="197"/>
  <c r="AM44" i="197" s="1"/>
  <c r="AJ44" i="197"/>
  <c r="AB43" i="197"/>
  <c r="AC43" i="197" s="1" a="1"/>
  <c r="AC43" i="197" s="1"/>
  <c r="AS43" i="197"/>
  <c r="AT43" i="197" s="1" a="1"/>
  <c r="AT43" i="197" s="1"/>
  <c r="BV56" i="183" l="1"/>
  <c r="BU56" i="183"/>
  <c r="BX56" i="183" s="1"/>
  <c r="BW56" i="183"/>
  <c r="CA56" i="183"/>
  <c r="BE56" i="183"/>
  <c r="BJ56" i="183"/>
  <c r="BF56" i="183"/>
  <c r="BD56" i="183"/>
  <c r="BG56" i="183" s="1"/>
  <c r="CM56" i="183"/>
  <c r="CN56" i="183"/>
  <c r="CR56" i="183"/>
  <c r="CL56" i="183"/>
  <c r="CO56" i="183" s="1"/>
  <c r="AQ44" i="197"/>
  <c r="AN44" i="197"/>
  <c r="I44" i="197"/>
  <c r="L44" i="197"/>
  <c r="Z44" i="197"/>
  <c r="W44" i="197"/>
  <c r="CP56" i="183" l="1"/>
  <c r="CQ56" i="183" s="1"/>
  <c r="CS56" i="183" s="1"/>
  <c r="BH56" i="183"/>
  <c r="BI56" i="183" s="1"/>
  <c r="BK56" i="183" s="1"/>
  <c r="BY56" i="183"/>
  <c r="BZ56" i="183" s="1"/>
  <c r="CB56" i="183" s="1"/>
  <c r="X44" i="197"/>
  <c r="Y44" i="197" s="1" a="1"/>
  <c r="Y44" i="197" s="1"/>
  <c r="R45" i="197" s="1"/>
  <c r="AA44" i="197"/>
  <c r="AB44" i="197" s="1"/>
  <c r="AC44" i="197" s="1" a="1"/>
  <c r="AC44" i="197" s="1"/>
  <c r="AD44" i="197"/>
  <c r="J44" i="197"/>
  <c r="K44" i="197" s="1" a="1"/>
  <c r="K44" i="197" s="1"/>
  <c r="D45" i="197" s="1"/>
  <c r="AO44" i="197"/>
  <c r="AP44" i="197" s="1" a="1"/>
  <c r="AP44" i="197" s="1"/>
  <c r="AI45" i="197" s="1"/>
  <c r="AR44" i="197"/>
  <c r="AS44" i="197" s="1"/>
  <c r="AT44" i="197" s="1" a="1"/>
  <c r="AT44" i="197" s="1"/>
  <c r="AU44" i="197"/>
  <c r="BL56" i="183" l="1"/>
  <c r="BO56" i="183"/>
  <c r="CC56" i="183"/>
  <c r="CF56" i="183"/>
  <c r="CW56" i="183"/>
  <c r="CT56" i="183"/>
  <c r="AJ45" i="197"/>
  <c r="AL45" i="197"/>
  <c r="AM45" i="197" s="1"/>
  <c r="G45" i="197"/>
  <c r="H45" i="197" s="1"/>
  <c r="E45" i="197"/>
  <c r="S45" i="197"/>
  <c r="U45" i="197"/>
  <c r="V45" i="197" s="1"/>
  <c r="CU56" i="183" l="1"/>
  <c r="CV56" i="183" s="1" a="1"/>
  <c r="CV56" i="183" s="1"/>
  <c r="CK57" i="183" s="1"/>
  <c r="CD56" i="183"/>
  <c r="CE56" i="183" s="1" a="1"/>
  <c r="CE56" i="183" s="1"/>
  <c r="BT57" i="183" s="1"/>
  <c r="BM56" i="183"/>
  <c r="BN56" i="183" s="1" a="1"/>
  <c r="BN56" i="183" s="1"/>
  <c r="BC57" i="183" s="1"/>
  <c r="W45" i="197"/>
  <c r="X45" i="197" s="1"/>
  <c r="Y45" i="197" s="1" a="1"/>
  <c r="Y45" i="197" s="1"/>
  <c r="R46" i="197" s="1"/>
  <c r="Z45" i="197"/>
  <c r="I45" i="197"/>
  <c r="J45" i="197" s="1"/>
  <c r="K45" i="197" s="1" a="1"/>
  <c r="K45" i="197" s="1"/>
  <c r="D46" i="197" s="1"/>
  <c r="L45" i="197"/>
  <c r="AQ45" i="197"/>
  <c r="AN45" i="197"/>
  <c r="AO45" i="197" s="1"/>
  <c r="AP45" i="197" s="1" a="1"/>
  <c r="AP45" i="197" s="1"/>
  <c r="AI46" i="197" s="1"/>
  <c r="BD57" i="183" l="1"/>
  <c r="BG57" i="183" s="1"/>
  <c r="BJ57" i="183"/>
  <c r="BF57" i="183"/>
  <c r="BE57" i="183"/>
  <c r="BV57" i="183"/>
  <c r="BW57" i="183"/>
  <c r="BU57" i="183"/>
  <c r="BX57" i="183" s="1"/>
  <c r="CA57" i="183"/>
  <c r="CM57" i="183"/>
  <c r="CL57" i="183"/>
  <c r="CO57" i="183" s="1"/>
  <c r="CR57" i="183"/>
  <c r="CN57" i="183"/>
  <c r="AL46" i="197"/>
  <c r="AM46" i="197" s="1"/>
  <c r="AJ46" i="197"/>
  <c r="AR45" i="197"/>
  <c r="AS45" i="197" s="1"/>
  <c r="AT45" i="197" s="1" a="1"/>
  <c r="AT45" i="197" s="1"/>
  <c r="AU45" i="197"/>
  <c r="E46" i="197"/>
  <c r="G46" i="197"/>
  <c r="H46" i="197" s="1"/>
  <c r="AD45" i="197"/>
  <c r="AA45" i="197"/>
  <c r="AB45" i="197" s="1"/>
  <c r="AC45" i="197" s="1" a="1"/>
  <c r="AC45" i="197" s="1"/>
  <c r="S46" i="197"/>
  <c r="U46" i="197"/>
  <c r="V46" i="197" s="1"/>
  <c r="BH57" i="183" l="1"/>
  <c r="BI57" i="183" s="1"/>
  <c r="BK57" i="183" s="1"/>
  <c r="BO57" i="183" s="1"/>
  <c r="CP57" i="183"/>
  <c r="CQ57" i="183" s="1"/>
  <c r="CS57" i="183" s="1"/>
  <c r="BY57" i="183"/>
  <c r="BZ57" i="183" s="1"/>
  <c r="CB57" i="183" s="1"/>
  <c r="Z46" i="197"/>
  <c r="W46" i="197"/>
  <c r="X46" i="197" s="1"/>
  <c r="Y46" i="197" s="1" a="1"/>
  <c r="Y46" i="197" s="1"/>
  <c r="R47" i="197" s="1"/>
  <c r="L46" i="197"/>
  <c r="I46" i="197"/>
  <c r="J46" i="197" s="1"/>
  <c r="K46" i="197" s="1" a="1"/>
  <c r="K46" i="197" s="1"/>
  <c r="D47" i="197" s="1"/>
  <c r="AQ46" i="197"/>
  <c r="AN46" i="197"/>
  <c r="AO46" i="197" s="1"/>
  <c r="AP46" i="197" s="1" a="1"/>
  <c r="AP46" i="197" s="1"/>
  <c r="AI47" i="197" s="1"/>
  <c r="BL57" i="183" l="1"/>
  <c r="BM57" i="183" s="1"/>
  <c r="BN57" i="183" s="1" a="1"/>
  <c r="BN57" i="183" s="1"/>
  <c r="BC58" i="183" s="1"/>
  <c r="CC57" i="183"/>
  <c r="CF57" i="183"/>
  <c r="CT57" i="183"/>
  <c r="CW57" i="183"/>
  <c r="AL47" i="197"/>
  <c r="AM47" i="197" s="1"/>
  <c r="AJ47" i="197"/>
  <c r="AR46" i="197"/>
  <c r="AS46" i="197" s="1"/>
  <c r="AT46" i="197" s="1" a="1"/>
  <c r="AT46" i="197" s="1"/>
  <c r="AU46" i="197"/>
  <c r="E47" i="197"/>
  <c r="G47" i="197"/>
  <c r="H47" i="197" s="1"/>
  <c r="S47" i="197"/>
  <c r="U47" i="197"/>
  <c r="V47" i="197" s="1"/>
  <c r="AA46" i="197"/>
  <c r="AB46" i="197" s="1"/>
  <c r="AC46" i="197" s="1" a="1"/>
  <c r="AC46" i="197" s="1"/>
  <c r="AD46" i="197"/>
  <c r="CU57" i="183" l="1"/>
  <c r="CV57" i="183" s="1" a="1"/>
  <c r="CV57" i="183" s="1"/>
  <c r="CK58" i="183" s="1"/>
  <c r="BF58" i="183"/>
  <c r="BE58" i="183"/>
  <c r="BD58" i="183"/>
  <c r="BG58" i="183" s="1"/>
  <c r="BJ58" i="183"/>
  <c r="CD57" i="183"/>
  <c r="CE57" i="183" s="1" a="1"/>
  <c r="CE57" i="183" s="1"/>
  <c r="BT58" i="183" s="1"/>
  <c r="Z47" i="197"/>
  <c r="W47" i="197"/>
  <c r="X47" i="197" s="1"/>
  <c r="Y47" i="197" s="1" a="1"/>
  <c r="Y47" i="197" s="1"/>
  <c r="R48" i="197" s="1"/>
  <c r="L47" i="197"/>
  <c r="I47" i="197"/>
  <c r="J47" i="197" s="1"/>
  <c r="K47" i="197" s="1" a="1"/>
  <c r="K47" i="197" s="1"/>
  <c r="D48" i="197" s="1"/>
  <c r="AQ47" i="197"/>
  <c r="AN47" i="197"/>
  <c r="AO47" i="197" s="1"/>
  <c r="AP47" i="197" s="1" a="1"/>
  <c r="AP47" i="197" s="1"/>
  <c r="AI48" i="197" s="1"/>
  <c r="BW58" i="183" l="1"/>
  <c r="CA58" i="183"/>
  <c r="BU58" i="183"/>
  <c r="BX58" i="183" s="1"/>
  <c r="BV58" i="183"/>
  <c r="BH58" i="183"/>
  <c r="BI58" i="183" s="1"/>
  <c r="BK58" i="183" s="1"/>
  <c r="CL58" i="183"/>
  <c r="CO58" i="183" s="1"/>
  <c r="CN58" i="183"/>
  <c r="CR58" i="183"/>
  <c r="CM58" i="183"/>
  <c r="AJ48" i="197"/>
  <c r="AL48" i="197"/>
  <c r="AM48" i="197" s="1"/>
  <c r="AU47" i="197"/>
  <c r="AR47" i="197"/>
  <c r="AS47" i="197" s="1"/>
  <c r="AT47" i="197" s="1" a="1"/>
  <c r="AT47" i="197" s="1"/>
  <c r="G48" i="197"/>
  <c r="H48" i="197" s="1"/>
  <c r="E48" i="197"/>
  <c r="U48" i="197"/>
  <c r="V48" i="197" s="1"/>
  <c r="S48" i="197"/>
  <c r="AA47" i="197"/>
  <c r="AB47" i="197" s="1"/>
  <c r="AC47" i="197" s="1" a="1"/>
  <c r="AC47" i="197" s="1"/>
  <c r="AD47" i="197"/>
  <c r="BY58" i="183" l="1"/>
  <c r="BZ58" i="183" s="1"/>
  <c r="CB58" i="183" s="1"/>
  <c r="CC58" i="183" s="1"/>
  <c r="CD58" i="183" s="1"/>
  <c r="CE58" i="183" s="1" a="1"/>
  <c r="CE58" i="183" s="1"/>
  <c r="BT59" i="183" s="1"/>
  <c r="CP58" i="183"/>
  <c r="CQ58" i="183" s="1"/>
  <c r="CS58" i="183" s="1"/>
  <c r="CW58" i="183" s="1"/>
  <c r="BL58" i="183"/>
  <c r="BM58" i="183" s="1"/>
  <c r="BN58" i="183" s="1" a="1"/>
  <c r="BN58" i="183" s="1"/>
  <c r="BC59" i="183" s="1"/>
  <c r="BO58" i="183"/>
  <c r="Z48" i="197"/>
  <c r="W48" i="197"/>
  <c r="X48" i="197" s="1"/>
  <c r="Y48" i="197" s="1" a="1"/>
  <c r="Y48" i="197" s="1"/>
  <c r="R49" i="197" s="1"/>
  <c r="I48" i="197"/>
  <c r="J48" i="197" s="1"/>
  <c r="K48" i="197" s="1" a="1"/>
  <c r="K48" i="197" s="1"/>
  <c r="D49" i="197" s="1"/>
  <c r="L48" i="197"/>
  <c r="AQ48" i="197"/>
  <c r="AN48" i="197"/>
  <c r="AO48" i="197" s="1"/>
  <c r="AP48" i="197" s="1" a="1"/>
  <c r="AP48" i="197" s="1"/>
  <c r="AI49" i="197" s="1"/>
  <c r="CF58" i="183" l="1"/>
  <c r="CT58" i="183"/>
  <c r="CU58" i="183" s="1"/>
  <c r="CV58" i="183" s="1" a="1"/>
  <c r="CV58" i="183" s="1"/>
  <c r="CK59" i="183" s="1"/>
  <c r="CR59" i="183" s="1"/>
  <c r="BW59" i="183"/>
  <c r="BV59" i="183"/>
  <c r="CA59" i="183"/>
  <c r="BU59" i="183"/>
  <c r="BX59" i="183" s="1"/>
  <c r="BE59" i="183"/>
  <c r="BD59" i="183"/>
  <c r="BG59" i="183" s="1"/>
  <c r="BF59" i="183"/>
  <c r="BJ59" i="183"/>
  <c r="AJ49" i="197"/>
  <c r="AL49" i="197"/>
  <c r="AM49" i="197" s="1"/>
  <c r="AR48" i="197"/>
  <c r="AS48" i="197" s="1"/>
  <c r="AT48" i="197" s="1" a="1"/>
  <c r="AT48" i="197" s="1"/>
  <c r="AU48" i="197"/>
  <c r="G49" i="197"/>
  <c r="H49" i="197" s="1"/>
  <c r="E49" i="197"/>
  <c r="S49" i="197"/>
  <c r="U49" i="197"/>
  <c r="V49" i="197" s="1"/>
  <c r="AD48" i="197"/>
  <c r="AA48" i="197"/>
  <c r="AB48" i="197" s="1"/>
  <c r="AC48" i="197" s="1" a="1"/>
  <c r="AC48" i="197" s="1"/>
  <c r="CL59" i="183" l="1"/>
  <c r="CO59" i="183" s="1"/>
  <c r="CM59" i="183"/>
  <c r="CN59" i="183"/>
  <c r="BH59" i="183"/>
  <c r="BI59" i="183" s="1"/>
  <c r="BK59" i="183" s="1"/>
  <c r="BY59" i="183"/>
  <c r="BZ59" i="183" s="1"/>
  <c r="CB59" i="183" s="1"/>
  <c r="Z49" i="197"/>
  <c r="W49" i="197"/>
  <c r="X49" i="197" s="1"/>
  <c r="Y49" i="197" s="1" a="1"/>
  <c r="Y49" i="197" s="1"/>
  <c r="R50" i="197" s="1"/>
  <c r="L49" i="197"/>
  <c r="I49" i="197"/>
  <c r="J49" i="197" s="1"/>
  <c r="K49" i="197" s="1" a="1"/>
  <c r="K49" i="197" s="1"/>
  <c r="D50" i="197" s="1"/>
  <c r="AQ49" i="197"/>
  <c r="AN49" i="197"/>
  <c r="AO49" i="197" s="1"/>
  <c r="AP49" i="197" s="1" a="1"/>
  <c r="AP49" i="197" s="1"/>
  <c r="AI50" i="197" s="1"/>
  <c r="CP59" i="183" l="1"/>
  <c r="CQ59" i="183" s="1"/>
  <c r="CS59" i="183" s="1"/>
  <c r="CT59" i="183" s="1"/>
  <c r="CU59" i="183" s="1"/>
  <c r="CV59" i="183" s="1" a="1"/>
  <c r="CV59" i="183" s="1"/>
  <c r="CK60" i="183" s="1"/>
  <c r="CL60" i="183" s="1"/>
  <c r="CO60" i="183" s="1"/>
  <c r="CC59" i="183"/>
  <c r="CD59" i="183" s="1"/>
  <c r="CE59" i="183" s="1" a="1"/>
  <c r="CE59" i="183" s="1"/>
  <c r="BT60" i="183" s="1"/>
  <c r="CF59" i="183"/>
  <c r="BO59" i="183"/>
  <c r="BL59" i="183"/>
  <c r="BM59" i="183" s="1"/>
  <c r="BN59" i="183" s="1" a="1"/>
  <c r="BN59" i="183" s="1"/>
  <c r="BC60" i="183" s="1"/>
  <c r="AJ50" i="197"/>
  <c r="AL50" i="197"/>
  <c r="AM50" i="197" s="1"/>
  <c r="AU49" i="197"/>
  <c r="AR49" i="197"/>
  <c r="AS49" i="197" s="1"/>
  <c r="AT49" i="197" s="1" a="1"/>
  <c r="AT49" i="197" s="1"/>
  <c r="G50" i="197"/>
  <c r="H50" i="197" s="1"/>
  <c r="E50" i="197"/>
  <c r="S50" i="197"/>
  <c r="U50" i="197"/>
  <c r="V50" i="197" s="1"/>
  <c r="AD49" i="197"/>
  <c r="AA49" i="197"/>
  <c r="AB49" i="197" s="1"/>
  <c r="AC49" i="197" s="1" a="1"/>
  <c r="AC49" i="197" s="1"/>
  <c r="CN60" i="183" l="1"/>
  <c r="CW59" i="183"/>
  <c r="CR60" i="183"/>
  <c r="CM60" i="183"/>
  <c r="CP60" i="183" s="1"/>
  <c r="BF60" i="183"/>
  <c r="BE60" i="183"/>
  <c r="BJ60" i="183"/>
  <c r="BD60" i="183"/>
  <c r="BG60" i="183" s="1"/>
  <c r="BU60" i="183"/>
  <c r="BX60" i="183" s="1"/>
  <c r="BW60" i="183"/>
  <c r="BV60" i="183"/>
  <c r="CA60" i="183"/>
  <c r="W50" i="197"/>
  <c r="X50" i="197" s="1"/>
  <c r="Y50" i="197" s="1" a="1"/>
  <c r="Y50" i="197" s="1"/>
  <c r="R51" i="197" s="1"/>
  <c r="Z50" i="197"/>
  <c r="L50" i="197"/>
  <c r="I50" i="197"/>
  <c r="J50" i="197" s="1"/>
  <c r="K50" i="197" s="1" a="1"/>
  <c r="K50" i="197" s="1"/>
  <c r="D51" i="197" s="1"/>
  <c r="AQ50" i="197"/>
  <c r="AN50" i="197"/>
  <c r="AO50" i="197" s="1"/>
  <c r="AP50" i="197" s="1" a="1"/>
  <c r="AP50" i="197" s="1"/>
  <c r="AI51" i="197" s="1"/>
  <c r="CQ60" i="183" l="1"/>
  <c r="CS60" i="183" s="1"/>
  <c r="CT60" i="183" s="1"/>
  <c r="CU60" i="183" s="1"/>
  <c r="CV60" i="183" s="1" a="1"/>
  <c r="CV60" i="183" s="1"/>
  <c r="CK61" i="183" s="1"/>
  <c r="CL61" i="183" s="1"/>
  <c r="CO61" i="183" s="1"/>
  <c r="BY60" i="183"/>
  <c r="BZ60" i="183" s="1"/>
  <c r="CB60" i="183" s="1"/>
  <c r="CF60" i="183" s="1"/>
  <c r="BH60" i="183"/>
  <c r="BI60" i="183" s="1"/>
  <c r="BK60" i="183" s="1"/>
  <c r="AJ51" i="197"/>
  <c r="AL51" i="197"/>
  <c r="AM51" i="197" s="1"/>
  <c r="AR50" i="197"/>
  <c r="AS50" i="197" s="1"/>
  <c r="AT50" i="197" s="1" a="1"/>
  <c r="AT50" i="197" s="1"/>
  <c r="AU50" i="197"/>
  <c r="E51" i="197"/>
  <c r="G51" i="197"/>
  <c r="H51" i="197" s="1"/>
  <c r="AD50" i="197"/>
  <c r="AA50" i="197"/>
  <c r="AB50" i="197" s="1"/>
  <c r="AC50" i="197" s="1" a="1"/>
  <c r="AC50" i="197" s="1"/>
  <c r="U51" i="197"/>
  <c r="V51" i="197" s="1"/>
  <c r="S51" i="197"/>
  <c r="CW60" i="183" l="1"/>
  <c r="CN61" i="183"/>
  <c r="CM61" i="183"/>
  <c r="CP61" i="183" s="1"/>
  <c r="CR61" i="183"/>
  <c r="CC60" i="183"/>
  <c r="CD60" i="183" s="1"/>
  <c r="CE60" i="183" s="1" a="1"/>
  <c r="CE60" i="183" s="1"/>
  <c r="BT61" i="183" s="1"/>
  <c r="BU61" i="183" s="1"/>
  <c r="BX61" i="183" s="1"/>
  <c r="BO60" i="183"/>
  <c r="BL60" i="183"/>
  <c r="BM60" i="183" s="1"/>
  <c r="BN60" i="183" s="1" a="1"/>
  <c r="BN60" i="183" s="1"/>
  <c r="BC61" i="183" s="1"/>
  <c r="Z51" i="197"/>
  <c r="W51" i="197"/>
  <c r="X51" i="197" s="1"/>
  <c r="Y51" i="197" s="1" a="1"/>
  <c r="Y51" i="197" s="1"/>
  <c r="R52" i="197" s="1"/>
  <c r="L51" i="197"/>
  <c r="I51" i="197"/>
  <c r="J51" i="197" s="1"/>
  <c r="K51" i="197" s="1" a="1"/>
  <c r="K51" i="197" s="1"/>
  <c r="D52" i="197" s="1"/>
  <c r="AQ51" i="197"/>
  <c r="AN51" i="197"/>
  <c r="AO51" i="197" s="1"/>
  <c r="AP51" i="197" s="1" a="1"/>
  <c r="AP51" i="197" s="1"/>
  <c r="AI52" i="197" s="1"/>
  <c r="CQ61" i="183" l="1"/>
  <c r="CS61" i="183" s="1"/>
  <c r="BW61" i="183"/>
  <c r="CA61" i="183"/>
  <c r="BV61" i="183"/>
  <c r="BY61" i="183" s="1"/>
  <c r="BF61" i="183"/>
  <c r="BD61" i="183"/>
  <c r="BG61" i="183" s="1"/>
  <c r="BE61" i="183"/>
  <c r="BJ61" i="183"/>
  <c r="AJ52" i="197"/>
  <c r="AL52" i="197"/>
  <c r="AM52" i="197" s="1"/>
  <c r="AR51" i="197"/>
  <c r="AS51" i="197" s="1"/>
  <c r="AT51" i="197" s="1" a="1"/>
  <c r="AT51" i="197" s="1"/>
  <c r="AU51" i="197"/>
  <c r="U52" i="197"/>
  <c r="V52" i="197" s="1"/>
  <c r="S52" i="197"/>
  <c r="E52" i="197"/>
  <c r="G52" i="197"/>
  <c r="H52" i="197" s="1"/>
  <c r="AA51" i="197"/>
  <c r="AB51" i="197" s="1"/>
  <c r="AC51" i="197" s="1" a="1"/>
  <c r="AC51" i="197" s="1"/>
  <c r="AD51" i="197"/>
  <c r="CW61" i="183" l="1"/>
  <c r="CT61" i="183"/>
  <c r="CU61" i="183" s="1"/>
  <c r="CV61" i="183" s="1" a="1"/>
  <c r="CV61" i="183" s="1"/>
  <c r="CK62" i="183" s="1"/>
  <c r="CL62" i="183" s="1"/>
  <c r="CO62" i="183" s="1"/>
  <c r="BH61" i="183"/>
  <c r="BI61" i="183" s="1"/>
  <c r="BK61" i="183" s="1"/>
  <c r="BL61" i="183" s="1"/>
  <c r="BM61" i="183" s="1"/>
  <c r="BN61" i="183" s="1" a="1"/>
  <c r="BN61" i="183" s="1"/>
  <c r="BC62" i="183" s="1"/>
  <c r="BZ61" i="183"/>
  <c r="CB61" i="183" s="1"/>
  <c r="CF61" i="183" s="1"/>
  <c r="L52" i="197"/>
  <c r="I52" i="197"/>
  <c r="J52" i="197" s="1"/>
  <c r="K52" i="197" s="1" a="1"/>
  <c r="K52" i="197" s="1"/>
  <c r="D53" i="197" s="1"/>
  <c r="W52" i="197"/>
  <c r="X52" i="197" s="1"/>
  <c r="Y52" i="197" s="1" a="1"/>
  <c r="Y52" i="197" s="1"/>
  <c r="R53" i="197" s="1"/>
  <c r="Z52" i="197"/>
  <c r="AQ52" i="197"/>
  <c r="AN52" i="197"/>
  <c r="AO52" i="197" s="1"/>
  <c r="AP52" i="197" s="1" a="1"/>
  <c r="AP52" i="197" s="1"/>
  <c r="AI53" i="197" s="1"/>
  <c r="CR62" i="183" l="1"/>
  <c r="CN62" i="183"/>
  <c r="CM62" i="183"/>
  <c r="CP62" i="183" s="1"/>
  <c r="CC61" i="183"/>
  <c r="CD61" i="183" s="1"/>
  <c r="CE61" i="183" s="1" a="1"/>
  <c r="CE61" i="183" s="1"/>
  <c r="BT62" i="183" s="1"/>
  <c r="BV62" i="183" s="1"/>
  <c r="BO61" i="183"/>
  <c r="BJ62" i="183"/>
  <c r="BF62" i="183"/>
  <c r="BD62" i="183"/>
  <c r="BG62" i="183" s="1"/>
  <c r="BE62" i="183"/>
  <c r="AJ53" i="197"/>
  <c r="AL53" i="197"/>
  <c r="AM53" i="197" s="1"/>
  <c r="AR52" i="197"/>
  <c r="AS52" i="197" s="1"/>
  <c r="AT52" i="197" s="1" a="1"/>
  <c r="AT52" i="197" s="1"/>
  <c r="AU52" i="197"/>
  <c r="AA52" i="197"/>
  <c r="AB52" i="197" s="1"/>
  <c r="AC52" i="197" s="1" a="1"/>
  <c r="AC52" i="197" s="1"/>
  <c r="AD52" i="197"/>
  <c r="S53" i="197"/>
  <c r="U53" i="197"/>
  <c r="V53" i="197" s="1"/>
  <c r="G53" i="197"/>
  <c r="H53" i="197" s="1"/>
  <c r="E53" i="197"/>
  <c r="CQ62" i="183" l="1"/>
  <c r="CS62" i="183" s="1"/>
  <c r="CW62" i="183" s="1"/>
  <c r="CA62" i="183"/>
  <c r="BW62" i="183"/>
  <c r="BU62" i="183"/>
  <c r="BX62" i="183" s="1"/>
  <c r="BY62" i="183" s="1"/>
  <c r="BH62" i="183"/>
  <c r="BI62" i="183" s="1"/>
  <c r="BK62" i="183" s="1"/>
  <c r="BO62" i="183" s="1"/>
  <c r="I53" i="197"/>
  <c r="J53" i="197" s="1"/>
  <c r="K53" i="197" s="1" a="1"/>
  <c r="K53" i="197" s="1"/>
  <c r="D54" i="197" s="1"/>
  <c r="L53" i="197"/>
  <c r="Z53" i="197"/>
  <c r="W53" i="197"/>
  <c r="X53" i="197" s="1"/>
  <c r="Y53" i="197" s="1" a="1"/>
  <c r="Y53" i="197" s="1"/>
  <c r="R54" i="197" s="1"/>
  <c r="AQ53" i="197"/>
  <c r="AN53" i="197"/>
  <c r="AO53" i="197" s="1"/>
  <c r="AP53" i="197" s="1" a="1"/>
  <c r="AP53" i="197" s="1"/>
  <c r="AI54" i="197" s="1"/>
  <c r="CT62" i="183" l="1"/>
  <c r="CU62" i="183" s="1"/>
  <c r="CV62" i="183" s="1" a="1"/>
  <c r="CV62" i="183" s="1"/>
  <c r="CK63" i="183" s="1"/>
  <c r="CM63" i="183" s="1"/>
  <c r="BZ62" i="183"/>
  <c r="CB62" i="183" s="1"/>
  <c r="CF62" i="183" s="1"/>
  <c r="BL62" i="183"/>
  <c r="BM62" i="183" s="1"/>
  <c r="BN62" i="183" s="1" a="1"/>
  <c r="BN62" i="183" s="1"/>
  <c r="BC63" i="183" s="1"/>
  <c r="BF63" i="183" s="1"/>
  <c r="AJ54" i="197"/>
  <c r="AL54" i="197"/>
  <c r="AM54" i="197" s="1"/>
  <c r="AR53" i="197"/>
  <c r="AS53" i="197" s="1"/>
  <c r="AT53" i="197" s="1" a="1"/>
  <c r="AT53" i="197" s="1"/>
  <c r="AU53" i="197"/>
  <c r="S54" i="197"/>
  <c r="U54" i="197"/>
  <c r="V54" i="197" s="1"/>
  <c r="AD53" i="197"/>
  <c r="AA53" i="197"/>
  <c r="AB53" i="197" s="1"/>
  <c r="AC53" i="197" s="1" a="1"/>
  <c r="AC53" i="197" s="1"/>
  <c r="G54" i="197"/>
  <c r="H54" i="197" s="1"/>
  <c r="E54" i="197"/>
  <c r="CN63" i="183" l="1"/>
  <c r="CL63" i="183"/>
  <c r="CO63" i="183" s="1"/>
  <c r="CP63" i="183" s="1"/>
  <c r="CR63" i="183"/>
  <c r="CC62" i="183"/>
  <c r="CD62" i="183" s="1"/>
  <c r="CE62" i="183" s="1" a="1"/>
  <c r="CE62" i="183" s="1"/>
  <c r="BT63" i="183" s="1"/>
  <c r="BU63" i="183" s="1"/>
  <c r="BX63" i="183" s="1"/>
  <c r="BD63" i="183"/>
  <c r="BG63" i="183" s="1"/>
  <c r="BE63" i="183"/>
  <c r="BJ63" i="183"/>
  <c r="L54" i="197"/>
  <c r="I54" i="197"/>
  <c r="J54" i="197" s="1"/>
  <c r="K54" i="197" s="1" a="1"/>
  <c r="K54" i="197" s="1"/>
  <c r="D55" i="197" s="1"/>
  <c r="W54" i="197"/>
  <c r="X54" i="197" s="1"/>
  <c r="Y54" i="197" s="1" a="1"/>
  <c r="Y54" i="197" s="1"/>
  <c r="R55" i="197" s="1"/>
  <c r="Z54" i="197"/>
  <c r="AQ54" i="197"/>
  <c r="AN54" i="197"/>
  <c r="AO54" i="197" s="1"/>
  <c r="AP54" i="197" s="1" a="1"/>
  <c r="AP54" i="197" s="1"/>
  <c r="AI55" i="197" s="1"/>
  <c r="CQ63" i="183" l="1"/>
  <c r="CS63" i="183" s="1"/>
  <c r="CT63" i="183" s="1"/>
  <c r="CU63" i="183" s="1"/>
  <c r="CV63" i="183" s="1" a="1"/>
  <c r="CV63" i="183" s="1"/>
  <c r="CK64" i="183" s="1"/>
  <c r="CR64" i="183" s="1"/>
  <c r="CA63" i="183"/>
  <c r="BW63" i="183"/>
  <c r="BV63" i="183"/>
  <c r="BY63" i="183" s="1"/>
  <c r="BH63" i="183"/>
  <c r="BI63" i="183" s="1"/>
  <c r="BK63" i="183" s="1"/>
  <c r="AU54" i="197"/>
  <c r="AR54" i="197"/>
  <c r="AS54" i="197" s="1"/>
  <c r="AT54" i="197" s="1" a="1"/>
  <c r="AT54" i="197" s="1"/>
  <c r="AD54" i="197"/>
  <c r="AA54" i="197"/>
  <c r="AB54" i="197" s="1"/>
  <c r="AC54" i="197" s="1" a="1"/>
  <c r="AC54" i="197" s="1"/>
  <c r="AJ55" i="197"/>
  <c r="AL55" i="197"/>
  <c r="AM55" i="197" s="1"/>
  <c r="S55" i="197"/>
  <c r="U55" i="197"/>
  <c r="V55" i="197" s="1"/>
  <c r="E55" i="197"/>
  <c r="G55" i="197"/>
  <c r="H55" i="197" s="1"/>
  <c r="CL64" i="183" l="1"/>
  <c r="CO64" i="183" s="1"/>
  <c r="CN64" i="183"/>
  <c r="CM64" i="183"/>
  <c r="CW63" i="183"/>
  <c r="BZ63" i="183"/>
  <c r="CB63" i="183" s="1"/>
  <c r="CC63" i="183" s="1"/>
  <c r="CD63" i="183" s="1"/>
  <c r="CE63" i="183" s="1" a="1"/>
  <c r="CE63" i="183" s="1"/>
  <c r="BT64" i="183" s="1"/>
  <c r="CA64" i="183" s="1"/>
  <c r="BO63" i="183"/>
  <c r="BL63" i="183"/>
  <c r="BM63" i="183" s="1"/>
  <c r="BN63" i="183" s="1" a="1"/>
  <c r="BN63" i="183" s="1"/>
  <c r="BC64" i="183" s="1"/>
  <c r="W55" i="197"/>
  <c r="X55" i="197" s="1"/>
  <c r="Y55" i="197" s="1" a="1"/>
  <c r="Y55" i="197" s="1"/>
  <c r="R56" i="197" s="1"/>
  <c r="Z55" i="197"/>
  <c r="L55" i="197"/>
  <c r="I55" i="197"/>
  <c r="J55" i="197" s="1"/>
  <c r="K55" i="197" s="1" a="1"/>
  <c r="K55" i="197" s="1"/>
  <c r="D56" i="197" s="1"/>
  <c r="AQ55" i="197"/>
  <c r="AN55" i="197"/>
  <c r="AO55" i="197" s="1"/>
  <c r="AP55" i="197" s="1" a="1"/>
  <c r="AP55" i="197" s="1"/>
  <c r="AI56" i="197" s="1"/>
  <c r="CP64" i="183" l="1"/>
  <c r="CQ64" i="183" s="1"/>
  <c r="CS64" i="183" s="1"/>
  <c r="BV64" i="183"/>
  <c r="BW64" i="183"/>
  <c r="BU64" i="183"/>
  <c r="BX64" i="183" s="1"/>
  <c r="CF63" i="183"/>
  <c r="BF64" i="183"/>
  <c r="BD64" i="183"/>
  <c r="BG64" i="183" s="1"/>
  <c r="BE64" i="183"/>
  <c r="BJ64" i="183"/>
  <c r="G56" i="197"/>
  <c r="H56" i="197" s="1"/>
  <c r="E56" i="197"/>
  <c r="AL56" i="197"/>
  <c r="AM56" i="197" s="1"/>
  <c r="AJ56" i="197"/>
  <c r="AR55" i="197"/>
  <c r="AS55" i="197" s="1"/>
  <c r="AT55" i="197" s="1" a="1"/>
  <c r="AT55" i="197" s="1"/>
  <c r="AU55" i="197"/>
  <c r="AA55" i="197"/>
  <c r="AB55" i="197" s="1"/>
  <c r="AC55" i="197" s="1" a="1"/>
  <c r="AC55" i="197" s="1"/>
  <c r="AD55" i="197"/>
  <c r="U56" i="197"/>
  <c r="V56" i="197" s="1"/>
  <c r="S56" i="197"/>
  <c r="CT64" i="183" l="1"/>
  <c r="CU64" i="183" s="1"/>
  <c r="CV64" i="183" s="1" a="1"/>
  <c r="CV64" i="183" s="1"/>
  <c r="CK65" i="183" s="1"/>
  <c r="CM65" i="183" s="1"/>
  <c r="CW64" i="183"/>
  <c r="BY64" i="183"/>
  <c r="BZ64" i="183" s="1"/>
  <c r="CB64" i="183" s="1"/>
  <c r="CF64" i="183" s="1"/>
  <c r="BH64" i="183"/>
  <c r="BI64" i="183" s="1"/>
  <c r="BK64" i="183" s="1"/>
  <c r="BO64" i="183" s="1"/>
  <c r="Z56" i="197"/>
  <c r="W56" i="197"/>
  <c r="X56" i="197" s="1"/>
  <c r="Y56" i="197" s="1" a="1"/>
  <c r="Y56" i="197" s="1"/>
  <c r="R57" i="197" s="1"/>
  <c r="AQ56" i="197"/>
  <c r="AN56" i="197"/>
  <c r="AO56" i="197" s="1"/>
  <c r="AP56" i="197" s="1" a="1"/>
  <c r="AP56" i="197" s="1"/>
  <c r="AI57" i="197" s="1"/>
  <c r="I56" i="197"/>
  <c r="J56" i="197" s="1"/>
  <c r="K56" i="197" s="1" a="1"/>
  <c r="K56" i="197" s="1"/>
  <c r="D57" i="197" s="1"/>
  <c r="L56" i="197"/>
  <c r="CN65" i="183" l="1"/>
  <c r="CR65" i="183"/>
  <c r="CL65" i="183"/>
  <c r="CO65" i="183" s="1"/>
  <c r="BL64" i="183"/>
  <c r="BM64" i="183" s="1"/>
  <c r="BN64" i="183" s="1" a="1"/>
  <c r="BN64" i="183" s="1"/>
  <c r="BC65" i="183" s="1"/>
  <c r="BD65" i="183" s="1"/>
  <c r="BG65" i="183" s="1"/>
  <c r="CC64" i="183"/>
  <c r="CD64" i="183" s="1"/>
  <c r="CE64" i="183" s="1" a="1"/>
  <c r="CE64" i="183" s="1"/>
  <c r="BT65" i="183" s="1"/>
  <c r="CA65" i="183" s="1"/>
  <c r="CP65" i="183"/>
  <c r="CQ65" i="183" s="1"/>
  <c r="CS65" i="183" s="1"/>
  <c r="CW65" i="183" s="1"/>
  <c r="AJ57" i="197"/>
  <c r="AL57" i="197"/>
  <c r="AM57" i="197" s="1"/>
  <c r="G57" i="197"/>
  <c r="H57" i="197" s="1"/>
  <c r="E57" i="197"/>
  <c r="AR56" i="197"/>
  <c r="AS56" i="197" s="1"/>
  <c r="AT56" i="197" s="1" a="1"/>
  <c r="AT56" i="197" s="1"/>
  <c r="AU56" i="197"/>
  <c r="S57" i="197"/>
  <c r="U57" i="197"/>
  <c r="V57" i="197" s="1"/>
  <c r="AD56" i="197"/>
  <c r="AA56" i="197"/>
  <c r="AB56" i="197" s="1"/>
  <c r="AC56" i="197" s="1" a="1"/>
  <c r="AC56" i="197" s="1"/>
  <c r="BJ65" i="183" l="1"/>
  <c r="BF65" i="183"/>
  <c r="BE65" i="183"/>
  <c r="BH65" i="183" s="1"/>
  <c r="BW65" i="183"/>
  <c r="BV65" i="183"/>
  <c r="BU65" i="183"/>
  <c r="BX65" i="183" s="1"/>
  <c r="CT65" i="183"/>
  <c r="CU65" i="183" s="1"/>
  <c r="CV65" i="183" s="1" a="1"/>
  <c r="CV65" i="183" s="1"/>
  <c r="CK66" i="183" s="1"/>
  <c r="CN66" i="183" s="1"/>
  <c r="W57" i="197"/>
  <c r="X57" i="197" s="1"/>
  <c r="Y57" i="197" s="1" a="1"/>
  <c r="Y57" i="197" s="1"/>
  <c r="R58" i="197" s="1"/>
  <c r="Z57" i="197"/>
  <c r="I57" i="197"/>
  <c r="J57" i="197" s="1"/>
  <c r="K57" i="197" s="1" a="1"/>
  <c r="K57" i="197" s="1"/>
  <c r="D58" i="197" s="1"/>
  <c r="L57" i="197"/>
  <c r="AQ57" i="197"/>
  <c r="AN57" i="197"/>
  <c r="AO57" i="197" s="1"/>
  <c r="AP57" i="197" s="1" a="1"/>
  <c r="AP57" i="197" s="1"/>
  <c r="AI58" i="197" s="1"/>
  <c r="BI65" i="183" l="1"/>
  <c r="BK65" i="183" s="1"/>
  <c r="BL65" i="183" s="1"/>
  <c r="BM65" i="183" s="1"/>
  <c r="BN65" i="183" s="1" a="1"/>
  <c r="BN65" i="183" s="1"/>
  <c r="BC66" i="183" s="1"/>
  <c r="BY65" i="183"/>
  <c r="BZ65" i="183" s="1"/>
  <c r="CB65" i="183" s="1"/>
  <c r="CR66" i="183"/>
  <c r="CM66" i="183"/>
  <c r="CL66" i="183"/>
  <c r="CO66" i="183" s="1"/>
  <c r="E58" i="197"/>
  <c r="G58" i="197"/>
  <c r="H58" i="197" s="1"/>
  <c r="AL58" i="197"/>
  <c r="AM58" i="197" s="1"/>
  <c r="AJ58" i="197"/>
  <c r="AA57" i="197"/>
  <c r="AB57" i="197" s="1"/>
  <c r="AC57" i="197" s="1" a="1"/>
  <c r="AC57" i="197" s="1"/>
  <c r="AD57" i="197"/>
  <c r="AR57" i="197"/>
  <c r="AS57" i="197" s="1"/>
  <c r="AT57" i="197" s="1" a="1"/>
  <c r="AT57" i="197" s="1"/>
  <c r="AU57" i="197"/>
  <c r="S58" i="197"/>
  <c r="U58" i="197"/>
  <c r="V58" i="197" s="1"/>
  <c r="BO65" i="183" l="1"/>
  <c r="CC65" i="183"/>
  <c r="CD65" i="183" s="1"/>
  <c r="CE65" i="183" s="1" a="1"/>
  <c r="CE65" i="183" s="1"/>
  <c r="BT66" i="183" s="1"/>
  <c r="CF65" i="183"/>
  <c r="CP66" i="183"/>
  <c r="CQ66" i="183" s="1"/>
  <c r="CS66" i="183" s="1"/>
  <c r="BD66" i="183"/>
  <c r="BG66" i="183" s="1"/>
  <c r="BF66" i="183"/>
  <c r="BJ66" i="183"/>
  <c r="BE66" i="183"/>
  <c r="W58" i="197"/>
  <c r="X58" i="197" s="1"/>
  <c r="Y58" i="197" s="1" a="1"/>
  <c r="Y58" i="197" s="1"/>
  <c r="R59" i="197" s="1"/>
  <c r="Z58" i="197"/>
  <c r="AN58" i="197"/>
  <c r="AO58" i="197" s="1"/>
  <c r="AP58" i="197" s="1" a="1"/>
  <c r="AP58" i="197" s="1"/>
  <c r="AI59" i="197" s="1"/>
  <c r="AQ58" i="197"/>
  <c r="L58" i="197"/>
  <c r="I58" i="197"/>
  <c r="J58" i="197" s="1"/>
  <c r="K58" i="197" s="1" a="1"/>
  <c r="K58" i="197" s="1"/>
  <c r="D59" i="197" s="1"/>
  <c r="BV66" i="183" l="1"/>
  <c r="BW66" i="183"/>
  <c r="CA66" i="183"/>
  <c r="BU66" i="183"/>
  <c r="BX66" i="183" s="1"/>
  <c r="BH66" i="183"/>
  <c r="BI66" i="183" s="1"/>
  <c r="BK66" i="183" s="1"/>
  <c r="BL66" i="183" s="1"/>
  <c r="BM66" i="183" s="1"/>
  <c r="BN66" i="183" s="1" a="1"/>
  <c r="BN66" i="183" s="1"/>
  <c r="BC67" i="183" s="1"/>
  <c r="CW66" i="183"/>
  <c r="CT66" i="183"/>
  <c r="CU66" i="183" s="1"/>
  <c r="CV66" i="183" s="1" a="1"/>
  <c r="CV66" i="183" s="1"/>
  <c r="CK67" i="183" s="1"/>
  <c r="CL67" i="183" s="1"/>
  <c r="CO67" i="183" s="1"/>
  <c r="AU58" i="197"/>
  <c r="AR58" i="197"/>
  <c r="AS58" i="197" s="1"/>
  <c r="AT58" i="197" s="1" a="1"/>
  <c r="AT58" i="197" s="1"/>
  <c r="AL59" i="197"/>
  <c r="AM59" i="197" s="1"/>
  <c r="AJ59" i="197"/>
  <c r="E59" i="197"/>
  <c r="G59" i="197"/>
  <c r="H59" i="197" s="1"/>
  <c r="AD58" i="197"/>
  <c r="AA58" i="197"/>
  <c r="AB58" i="197" s="1"/>
  <c r="AC58" i="197" s="1" a="1"/>
  <c r="AC58" i="197" s="1"/>
  <c r="S59" i="197"/>
  <c r="U59" i="197"/>
  <c r="V59" i="197" s="1"/>
  <c r="BY66" i="183" l="1"/>
  <c r="BZ66" i="183" s="1"/>
  <c r="CB66" i="183" s="1"/>
  <c r="CC66" i="183" s="1"/>
  <c r="CD66" i="183" s="1"/>
  <c r="CE66" i="183" s="1" a="1"/>
  <c r="CE66" i="183" s="1"/>
  <c r="BT67" i="183" s="1"/>
  <c r="BU67" i="183" s="1"/>
  <c r="BX67" i="183" s="1"/>
  <c r="BO66" i="183"/>
  <c r="CM67" i="183"/>
  <c r="CP67" i="183" s="1"/>
  <c r="CR67" i="183"/>
  <c r="CN67" i="183"/>
  <c r="BD67" i="183"/>
  <c r="BG67" i="183" s="1"/>
  <c r="BE67" i="183"/>
  <c r="BJ67" i="183"/>
  <c r="BF67" i="183"/>
  <c r="Z59" i="197"/>
  <c r="W59" i="197"/>
  <c r="X59" i="197" s="1"/>
  <c r="Y59" i="197" s="1" a="1"/>
  <c r="Y59" i="197" s="1"/>
  <c r="R60" i="197" s="1"/>
  <c r="AN59" i="197"/>
  <c r="AO59" i="197" s="1"/>
  <c r="AP59" i="197" s="1" a="1"/>
  <c r="AP59" i="197" s="1"/>
  <c r="AI60" i="197" s="1"/>
  <c r="AQ59" i="197"/>
  <c r="L59" i="197"/>
  <c r="I59" i="197"/>
  <c r="J59" i="197" s="1"/>
  <c r="K59" i="197" s="1" a="1"/>
  <c r="K59" i="197" s="1"/>
  <c r="D60" i="197" s="1"/>
  <c r="CF66" i="183" l="1"/>
  <c r="BW67" i="183"/>
  <c r="CA67" i="183"/>
  <c r="BV67" i="183"/>
  <c r="BY67" i="183" s="1"/>
  <c r="CQ67" i="183"/>
  <c r="CS67" i="183" s="1"/>
  <c r="CT67" i="183" s="1"/>
  <c r="CU67" i="183" s="1"/>
  <c r="CV67" i="183" s="1" a="1"/>
  <c r="CV67" i="183" s="1"/>
  <c r="CK68" i="183" s="1"/>
  <c r="BH67" i="183"/>
  <c r="BI67" i="183" s="1"/>
  <c r="BK67" i="183" s="1"/>
  <c r="AR59" i="197"/>
  <c r="AS59" i="197" s="1"/>
  <c r="AT59" i="197" s="1" a="1"/>
  <c r="AT59" i="197" s="1"/>
  <c r="AU59" i="197"/>
  <c r="AJ60" i="197"/>
  <c r="AL60" i="197"/>
  <c r="AM60" i="197" s="1"/>
  <c r="E60" i="197"/>
  <c r="G60" i="197"/>
  <c r="H60" i="197" s="1"/>
  <c r="U60" i="197"/>
  <c r="V60" i="197" s="1"/>
  <c r="S60" i="197"/>
  <c r="AA59" i="197"/>
  <c r="AB59" i="197" s="1"/>
  <c r="AC59" i="197" s="1" a="1"/>
  <c r="AC59" i="197" s="1"/>
  <c r="AD59" i="197"/>
  <c r="BZ67" i="183" l="1"/>
  <c r="CB67" i="183" s="1"/>
  <c r="CF67" i="183" s="1"/>
  <c r="CW67" i="183"/>
  <c r="BL67" i="183"/>
  <c r="BM67" i="183" s="1"/>
  <c r="BN67" i="183" s="1" a="1"/>
  <c r="BN67" i="183" s="1"/>
  <c r="BC68" i="183" s="1"/>
  <c r="BO67" i="183"/>
  <c r="CR68" i="183"/>
  <c r="CM68" i="183"/>
  <c r="CL68" i="183"/>
  <c r="CO68" i="183" s="1"/>
  <c r="CN68" i="183"/>
  <c r="I60" i="197"/>
  <c r="J60" i="197" s="1"/>
  <c r="K60" i="197" s="1" a="1"/>
  <c r="K60" i="197" s="1"/>
  <c r="D61" i="197" s="1"/>
  <c r="L60" i="197"/>
  <c r="AQ60" i="197"/>
  <c r="AN60" i="197"/>
  <c r="AO60" i="197" s="1"/>
  <c r="AP60" i="197" s="1" a="1"/>
  <c r="AP60" i="197" s="1"/>
  <c r="AI61" i="197" s="1"/>
  <c r="W60" i="197"/>
  <c r="X60" i="197" s="1"/>
  <c r="Y60" i="197" s="1" a="1"/>
  <c r="Y60" i="197" s="1"/>
  <c r="R61" i="197" s="1"/>
  <c r="Z60" i="197"/>
  <c r="CC67" i="183" l="1"/>
  <c r="CD67" i="183" s="1"/>
  <c r="CE67" i="183" s="1" a="1"/>
  <c r="CE67" i="183" s="1"/>
  <c r="BT68" i="183" s="1"/>
  <c r="BW68" i="183" s="1"/>
  <c r="BF68" i="183"/>
  <c r="BD68" i="183"/>
  <c r="BG68" i="183" s="1"/>
  <c r="BE68" i="183"/>
  <c r="BJ68" i="183"/>
  <c r="CP68" i="183"/>
  <c r="CQ68" i="183" s="1"/>
  <c r="CS68" i="183" s="1"/>
  <c r="AD60" i="197"/>
  <c r="AA60" i="197"/>
  <c r="AB60" i="197" s="1"/>
  <c r="AC60" i="197" s="1" a="1"/>
  <c r="AC60" i="197" s="1"/>
  <c r="AJ61" i="197"/>
  <c r="AL61" i="197"/>
  <c r="AM61" i="197" s="1"/>
  <c r="S61" i="197"/>
  <c r="U61" i="197"/>
  <c r="V61" i="197" s="1"/>
  <c r="AR60" i="197"/>
  <c r="AS60" i="197" s="1"/>
  <c r="AT60" i="197" s="1" a="1"/>
  <c r="AT60" i="197" s="1"/>
  <c r="AU60" i="197"/>
  <c r="G61" i="197"/>
  <c r="H61" i="197" s="1"/>
  <c r="E61" i="197"/>
  <c r="BU68" i="183" l="1"/>
  <c r="BX68" i="183" s="1"/>
  <c r="CA68" i="183"/>
  <c r="BV68" i="183"/>
  <c r="BH68" i="183"/>
  <c r="BI68" i="183" s="1"/>
  <c r="BK68" i="183" s="1"/>
  <c r="CT68" i="183"/>
  <c r="CU68" i="183" s="1"/>
  <c r="CV68" i="183" s="1" a="1"/>
  <c r="CV68" i="183" s="1"/>
  <c r="CK69" i="183" s="1"/>
  <c r="CW68" i="183"/>
  <c r="AQ61" i="197"/>
  <c r="AN61" i="197"/>
  <c r="AO61" i="197" s="1"/>
  <c r="AP61" i="197" s="1" a="1"/>
  <c r="AP61" i="197" s="1"/>
  <c r="AI62" i="197" s="1"/>
  <c r="L61" i="197"/>
  <c r="I61" i="197"/>
  <c r="J61" i="197" s="1"/>
  <c r="K61" i="197" s="1" a="1"/>
  <c r="K61" i="197" s="1"/>
  <c r="D62" i="197" s="1"/>
  <c r="Z61" i="197"/>
  <c r="W61" i="197"/>
  <c r="X61" i="197" s="1"/>
  <c r="Y61" i="197" s="1" a="1"/>
  <c r="Y61" i="197" s="1"/>
  <c r="R62" i="197" s="1"/>
  <c r="BY68" i="183" l="1"/>
  <c r="BZ68" i="183" s="1"/>
  <c r="CB68" i="183" s="1"/>
  <c r="BL68" i="183"/>
  <c r="BM68" i="183" s="1"/>
  <c r="BN68" i="183" s="1" a="1"/>
  <c r="BN68" i="183" s="1"/>
  <c r="BC69" i="183" s="1"/>
  <c r="BE69" i="183" s="1"/>
  <c r="BO68" i="183"/>
  <c r="CR69" i="183"/>
  <c r="CN69" i="183"/>
  <c r="CL69" i="183"/>
  <c r="CO69" i="183" s="1"/>
  <c r="CM69" i="183"/>
  <c r="AA61" i="197"/>
  <c r="AB61" i="197" s="1"/>
  <c r="AC61" i="197" s="1" a="1"/>
  <c r="AC61" i="197" s="1"/>
  <c r="AD61" i="197"/>
  <c r="G62" i="197"/>
  <c r="H62" i="197" s="1"/>
  <c r="E62" i="197"/>
  <c r="S62" i="197"/>
  <c r="U62" i="197"/>
  <c r="V62" i="197" s="1"/>
  <c r="AL62" i="197"/>
  <c r="AM62" i="197" s="1"/>
  <c r="AJ62" i="197"/>
  <c r="AR61" i="197"/>
  <c r="AS61" i="197" s="1"/>
  <c r="AT61" i="197" s="1" a="1"/>
  <c r="AT61" i="197" s="1"/>
  <c r="AU61" i="197"/>
  <c r="CF68" i="183" l="1"/>
  <c r="CC68" i="183"/>
  <c r="CD68" i="183" s="1"/>
  <c r="CE68" i="183" s="1" a="1"/>
  <c r="CE68" i="183" s="1"/>
  <c r="BT69" i="183" s="1"/>
  <c r="BU69" i="183" s="1"/>
  <c r="BX69" i="183" s="1"/>
  <c r="BJ69" i="183"/>
  <c r="BF69" i="183"/>
  <c r="BD69" i="183"/>
  <c r="BG69" i="183" s="1"/>
  <c r="BH69" i="183" s="1"/>
  <c r="CP69" i="183"/>
  <c r="CQ69" i="183" s="1"/>
  <c r="CS69" i="183" s="1"/>
  <c r="Z62" i="197"/>
  <c r="W62" i="197"/>
  <c r="X62" i="197" s="1"/>
  <c r="Y62" i="197" s="1" a="1"/>
  <c r="Y62" i="197" s="1"/>
  <c r="R63" i="197" s="1"/>
  <c r="I62" i="197"/>
  <c r="J62" i="197" s="1"/>
  <c r="K62" i="197" s="1" a="1"/>
  <c r="K62" i="197" s="1"/>
  <c r="D63" i="197" s="1"/>
  <c r="L62" i="197"/>
  <c r="AQ62" i="197"/>
  <c r="AN62" i="197"/>
  <c r="AO62" i="197" s="1"/>
  <c r="AP62" i="197" s="1" a="1"/>
  <c r="AP62" i="197" s="1"/>
  <c r="AI63" i="197" s="1"/>
  <c r="CA69" i="183" l="1"/>
  <c r="BW69" i="183"/>
  <c r="BV69" i="183"/>
  <c r="BY69" i="183" s="1"/>
  <c r="BI69" i="183"/>
  <c r="BK69" i="183" s="1"/>
  <c r="BL69" i="183" s="1"/>
  <c r="BM69" i="183" s="1"/>
  <c r="BN69" i="183" s="1" a="1"/>
  <c r="BN69" i="183" s="1"/>
  <c r="BC70" i="183" s="1"/>
  <c r="BJ70" i="183" s="1"/>
  <c r="CT69" i="183"/>
  <c r="CU69" i="183" s="1"/>
  <c r="CV69" i="183" s="1" a="1"/>
  <c r="CV69" i="183" s="1"/>
  <c r="CK70" i="183" s="1"/>
  <c r="CW69" i="183"/>
  <c r="AJ63" i="197"/>
  <c r="AL63" i="197"/>
  <c r="AM63" i="197" s="1"/>
  <c r="AU62" i="197"/>
  <c r="AR62" i="197"/>
  <c r="AS62" i="197" s="1"/>
  <c r="AT62" i="197" s="1" a="1"/>
  <c r="AT62" i="197" s="1"/>
  <c r="S63" i="197"/>
  <c r="U63" i="197"/>
  <c r="V63" i="197" s="1"/>
  <c r="G63" i="197"/>
  <c r="H63" i="197" s="1"/>
  <c r="E63" i="197"/>
  <c r="AD62" i="197"/>
  <c r="AA62" i="197"/>
  <c r="AB62" i="197" s="1"/>
  <c r="AC62" i="197" s="1" a="1"/>
  <c r="AC62" i="197" s="1"/>
  <c r="BZ69" i="183" l="1"/>
  <c r="CB69" i="183" s="1"/>
  <c r="CC69" i="183" s="1"/>
  <c r="CD69" i="183" s="1"/>
  <c r="CE69" i="183" s="1" a="1"/>
  <c r="CE69" i="183" s="1"/>
  <c r="BT70" i="183" s="1"/>
  <c r="BO69" i="183"/>
  <c r="BD70" i="183"/>
  <c r="BG70" i="183" s="1"/>
  <c r="BF70" i="183"/>
  <c r="BE70" i="183"/>
  <c r="CM70" i="183"/>
  <c r="CL70" i="183"/>
  <c r="CO70" i="183" s="1"/>
  <c r="CN70" i="183"/>
  <c r="CR70" i="183"/>
  <c r="I63" i="197"/>
  <c r="J63" i="197" s="1"/>
  <c r="K63" i="197" s="1" a="1"/>
  <c r="K63" i="197" s="1"/>
  <c r="D64" i="197" s="1"/>
  <c r="L63" i="197"/>
  <c r="W63" i="197"/>
  <c r="X63" i="197" s="1"/>
  <c r="Y63" i="197" s="1" a="1"/>
  <c r="Y63" i="197" s="1"/>
  <c r="R64" i="197" s="1"/>
  <c r="Z63" i="197"/>
  <c r="AN63" i="197"/>
  <c r="AO63" i="197" s="1"/>
  <c r="AP63" i="197" s="1" a="1"/>
  <c r="AP63" i="197" s="1"/>
  <c r="AI64" i="197" s="1"/>
  <c r="AQ63" i="197"/>
  <c r="CF69" i="183" l="1"/>
  <c r="BH70" i="183"/>
  <c r="BI70" i="183" s="1"/>
  <c r="BK70" i="183" s="1"/>
  <c r="BO70" i="183" s="1"/>
  <c r="CP70" i="183"/>
  <c r="CQ70" i="183" s="1"/>
  <c r="CS70" i="183" s="1"/>
  <c r="BV70" i="183"/>
  <c r="CA70" i="183"/>
  <c r="BU70" i="183"/>
  <c r="BX70" i="183" s="1"/>
  <c r="BW70" i="183"/>
  <c r="AU63" i="197"/>
  <c r="AR63" i="197"/>
  <c r="AS63" i="197" s="1"/>
  <c r="AT63" i="197" s="1" a="1"/>
  <c r="AT63" i="197" s="1"/>
  <c r="AA63" i="197"/>
  <c r="AB63" i="197" s="1"/>
  <c r="AC63" i="197" s="1" a="1"/>
  <c r="AC63" i="197" s="1"/>
  <c r="AD63" i="197"/>
  <c r="U64" i="197"/>
  <c r="V64" i="197" s="1"/>
  <c r="S64" i="197"/>
  <c r="AJ64" i="197"/>
  <c r="AL64" i="197"/>
  <c r="AM64" i="197" s="1"/>
  <c r="E64" i="197"/>
  <c r="G64" i="197"/>
  <c r="H64" i="197" s="1"/>
  <c r="BL70" i="183" l="1"/>
  <c r="BM70" i="183" s="1"/>
  <c r="BN70" i="183" s="1" a="1"/>
  <c r="BN70" i="183" s="1"/>
  <c r="BC71" i="183" s="1"/>
  <c r="BJ71" i="183" s="1"/>
  <c r="BY70" i="183"/>
  <c r="BZ70" i="183" s="1"/>
  <c r="CB70" i="183" s="1"/>
  <c r="CT70" i="183"/>
  <c r="CU70" i="183" s="1"/>
  <c r="CV70" i="183" s="1" a="1"/>
  <c r="CV70" i="183" s="1"/>
  <c r="CK71" i="183" s="1"/>
  <c r="CW70" i="183"/>
  <c r="L64" i="197"/>
  <c r="I64" i="197"/>
  <c r="J64" i="197" s="1"/>
  <c r="K64" i="197" s="1" a="1"/>
  <c r="K64" i="197" s="1"/>
  <c r="D65" i="197" s="1"/>
  <c r="AQ64" i="197"/>
  <c r="AN64" i="197"/>
  <c r="AO64" i="197" s="1"/>
  <c r="AP64" i="197" s="1" a="1"/>
  <c r="AP64" i="197" s="1"/>
  <c r="AI65" i="197" s="1"/>
  <c r="W64" i="197"/>
  <c r="X64" i="197" s="1"/>
  <c r="Y64" i="197" s="1" a="1"/>
  <c r="Y64" i="197" s="1"/>
  <c r="R65" i="197" s="1"/>
  <c r="Z64" i="197"/>
  <c r="BF71" i="183" l="1"/>
  <c r="BE71" i="183"/>
  <c r="BD71" i="183"/>
  <c r="BG71" i="183" s="1"/>
  <c r="CF70" i="183"/>
  <c r="CC70" i="183"/>
  <c r="CD70" i="183" s="1"/>
  <c r="CE70" i="183" s="1" a="1"/>
  <c r="CE70" i="183" s="1"/>
  <c r="BT71" i="183" s="1"/>
  <c r="BV71" i="183" s="1"/>
  <c r="CR71" i="183"/>
  <c r="CM71" i="183"/>
  <c r="CL71" i="183"/>
  <c r="CO71" i="183" s="1"/>
  <c r="CN71" i="183"/>
  <c r="AA64" i="197"/>
  <c r="AB64" i="197" s="1"/>
  <c r="AC64" i="197" s="1" a="1"/>
  <c r="AC64" i="197" s="1"/>
  <c r="AD64" i="197"/>
  <c r="S65" i="197"/>
  <c r="U65" i="197"/>
  <c r="V65" i="197" s="1"/>
  <c r="AJ65" i="197"/>
  <c r="AL65" i="197"/>
  <c r="AM65" i="197" s="1"/>
  <c r="AU64" i="197"/>
  <c r="AR64" i="197"/>
  <c r="AS64" i="197" s="1"/>
  <c r="AT64" i="197" s="1" a="1"/>
  <c r="AT64" i="197" s="1"/>
  <c r="G65" i="197"/>
  <c r="H65" i="197" s="1"/>
  <c r="E65" i="197"/>
  <c r="CA71" i="183" l="1"/>
  <c r="BW71" i="183"/>
  <c r="BU71" i="183"/>
  <c r="BX71" i="183" s="1"/>
  <c r="BY71" i="183" s="1"/>
  <c r="BH71" i="183"/>
  <c r="BI71" i="183" s="1"/>
  <c r="BK71" i="183" s="1"/>
  <c r="BO71" i="183" s="1"/>
  <c r="CP71" i="183"/>
  <c r="CQ71" i="183" s="1"/>
  <c r="CS71" i="183" s="1"/>
  <c r="W65" i="197"/>
  <c r="X65" i="197" s="1"/>
  <c r="Y65" i="197" s="1" a="1"/>
  <c r="Y65" i="197" s="1"/>
  <c r="R66" i="197" s="1"/>
  <c r="Z65" i="197"/>
  <c r="AQ65" i="197"/>
  <c r="AN65" i="197"/>
  <c r="AO65" i="197" s="1"/>
  <c r="AP65" i="197" s="1" a="1"/>
  <c r="AP65" i="197" s="1"/>
  <c r="AI66" i="197" s="1"/>
  <c r="L65" i="197"/>
  <c r="I65" i="197"/>
  <c r="J65" i="197" s="1"/>
  <c r="K65" i="197" s="1" a="1"/>
  <c r="K65" i="197" s="1"/>
  <c r="D66" i="197" s="1"/>
  <c r="BZ71" i="183" l="1"/>
  <c r="CB71" i="183" s="1"/>
  <c r="CF71" i="183" s="1"/>
  <c r="BL71" i="183"/>
  <c r="BM71" i="183" s="1"/>
  <c r="BN71" i="183" s="1" a="1"/>
  <c r="BN71" i="183" s="1"/>
  <c r="BC72" i="183" s="1"/>
  <c r="BD72" i="183" s="1"/>
  <c r="BG72" i="183" s="1"/>
  <c r="CW71" i="183"/>
  <c r="CT71" i="183"/>
  <c r="CU71" i="183" s="1"/>
  <c r="CV71" i="183" s="1" a="1"/>
  <c r="CV71" i="183" s="1"/>
  <c r="CK72" i="183" s="1"/>
  <c r="AL66" i="197"/>
  <c r="AM66" i="197" s="1"/>
  <c r="AJ66" i="197"/>
  <c r="E66" i="197"/>
  <c r="G66" i="197"/>
  <c r="H66" i="197" s="1"/>
  <c r="AR65" i="197"/>
  <c r="AS65" i="197" s="1"/>
  <c r="AT65" i="197" s="1" a="1"/>
  <c r="AT65" i="197" s="1"/>
  <c r="AU65" i="197"/>
  <c r="AA65" i="197"/>
  <c r="AB65" i="197" s="1"/>
  <c r="AC65" i="197" s="1" a="1"/>
  <c r="AC65" i="197" s="1"/>
  <c r="AD65" i="197"/>
  <c r="S66" i="197"/>
  <c r="U66" i="197"/>
  <c r="V66" i="197" s="1"/>
  <c r="CC71" i="183" l="1"/>
  <c r="CD71" i="183" s="1"/>
  <c r="CE71" i="183" s="1" a="1"/>
  <c r="CE71" i="183" s="1"/>
  <c r="BT72" i="183" s="1"/>
  <c r="BV72" i="183" s="1"/>
  <c r="BF72" i="183"/>
  <c r="BJ72" i="183"/>
  <c r="BE72" i="183"/>
  <c r="BH72" i="183" s="1"/>
  <c r="CN72" i="183"/>
  <c r="CL72" i="183"/>
  <c r="CO72" i="183" s="1"/>
  <c r="CR72" i="183"/>
  <c r="CM72" i="183"/>
  <c r="W66" i="197"/>
  <c r="X66" i="197" s="1"/>
  <c r="Y66" i="197" s="1" a="1"/>
  <c r="Y66" i="197" s="1"/>
  <c r="R67" i="197" s="1"/>
  <c r="Z66" i="197"/>
  <c r="I66" i="197"/>
  <c r="J66" i="197" s="1"/>
  <c r="K66" i="197" s="1" a="1"/>
  <c r="K66" i="197" s="1"/>
  <c r="D67" i="197" s="1"/>
  <c r="L66" i="197"/>
  <c r="AN66" i="197"/>
  <c r="AO66" i="197" s="1"/>
  <c r="AP66" i="197" s="1" a="1"/>
  <c r="AP66" i="197" s="1"/>
  <c r="AI67" i="197" s="1"/>
  <c r="AQ66" i="197"/>
  <c r="BW72" i="183" l="1"/>
  <c r="CA72" i="183"/>
  <c r="BU72" i="183"/>
  <c r="BX72" i="183" s="1"/>
  <c r="BY72" i="183" s="1"/>
  <c r="BI72" i="183"/>
  <c r="BK72" i="183" s="1"/>
  <c r="BL72" i="183" s="1"/>
  <c r="BM72" i="183" s="1"/>
  <c r="BN72" i="183" s="1" a="1"/>
  <c r="BN72" i="183" s="1"/>
  <c r="BC73" i="183" s="1"/>
  <c r="BJ73" i="183" s="1"/>
  <c r="CP72" i="183"/>
  <c r="CQ72" i="183" s="1"/>
  <c r="CS72" i="183" s="1"/>
  <c r="CT72" i="183" s="1"/>
  <c r="CU72" i="183" s="1"/>
  <c r="CV72" i="183" s="1" a="1"/>
  <c r="CV72" i="183" s="1"/>
  <c r="CK73" i="183" s="1"/>
  <c r="AU66" i="197"/>
  <c r="AR66" i="197"/>
  <c r="AS66" i="197" s="1"/>
  <c r="AT66" i="197" s="1" a="1"/>
  <c r="AT66" i="197" s="1"/>
  <c r="AJ67" i="197"/>
  <c r="AL67" i="197"/>
  <c r="AM67" i="197" s="1"/>
  <c r="E67" i="197"/>
  <c r="G67" i="197"/>
  <c r="H67" i="197" s="1"/>
  <c r="AA66" i="197"/>
  <c r="AB66" i="197" s="1"/>
  <c r="AC66" i="197" s="1" a="1"/>
  <c r="AC66" i="197" s="1"/>
  <c r="AD66" i="197"/>
  <c r="S67" i="197"/>
  <c r="U67" i="197"/>
  <c r="V67" i="197" s="1"/>
  <c r="BZ72" i="183" l="1"/>
  <c r="CB72" i="183" s="1"/>
  <c r="BO72" i="183"/>
  <c r="BE73" i="183"/>
  <c r="BD73" i="183"/>
  <c r="BG73" i="183" s="1"/>
  <c r="BF73" i="183"/>
  <c r="CW72" i="183"/>
  <c r="CN73" i="183"/>
  <c r="CL73" i="183"/>
  <c r="CO73" i="183" s="1"/>
  <c r="CM73" i="183"/>
  <c r="CR73" i="183"/>
  <c r="L67" i="197"/>
  <c r="I67" i="197"/>
  <c r="J67" i="197" s="1"/>
  <c r="K67" i="197" s="1" a="1"/>
  <c r="K67" i="197" s="1"/>
  <c r="D68" i="197" s="1"/>
  <c r="AN67" i="197"/>
  <c r="AO67" i="197" s="1"/>
  <c r="AP67" i="197" s="1" a="1"/>
  <c r="AP67" i="197" s="1"/>
  <c r="AI68" i="197" s="1"/>
  <c r="AQ67" i="197"/>
  <c r="Z67" i="197"/>
  <c r="W67" i="197"/>
  <c r="X67" i="197" s="1"/>
  <c r="Y67" i="197" s="1" a="1"/>
  <c r="Y67" i="197" s="1"/>
  <c r="R68" i="197" s="1"/>
  <c r="CC72" i="183" l="1"/>
  <c r="CD72" i="183" s="1"/>
  <c r="CE72" i="183" s="1" a="1"/>
  <c r="CE72" i="183" s="1"/>
  <c r="BT73" i="183" s="1"/>
  <c r="CA73" i="183" s="1"/>
  <c r="CF72" i="183"/>
  <c r="BH73" i="183"/>
  <c r="BI73" i="183" s="1"/>
  <c r="BK73" i="183" s="1"/>
  <c r="BL73" i="183" s="1"/>
  <c r="BM73" i="183" s="1"/>
  <c r="BN73" i="183" s="1" a="1"/>
  <c r="BN73" i="183" s="1"/>
  <c r="BC74" i="183" s="1"/>
  <c r="BJ74" i="183" s="1"/>
  <c r="CP73" i="183"/>
  <c r="CQ73" i="183" s="1"/>
  <c r="CS73" i="183" s="1"/>
  <c r="AR67" i="197"/>
  <c r="AS67" i="197" s="1"/>
  <c r="AT67" i="197" s="1" a="1"/>
  <c r="AT67" i="197" s="1"/>
  <c r="AU67" i="197"/>
  <c r="AJ68" i="197"/>
  <c r="AL68" i="197"/>
  <c r="AM68" i="197" s="1"/>
  <c r="U68" i="197"/>
  <c r="V68" i="197" s="1"/>
  <c r="S68" i="197"/>
  <c r="AA67" i="197"/>
  <c r="AB67" i="197" s="1"/>
  <c r="AC67" i="197" s="1" a="1"/>
  <c r="AC67" i="197" s="1"/>
  <c r="AD67" i="197"/>
  <c r="G68" i="197"/>
  <c r="H68" i="197" s="1"/>
  <c r="E68" i="197"/>
  <c r="BV73" i="183" l="1"/>
  <c r="BU73" i="183"/>
  <c r="BX73" i="183" s="1"/>
  <c r="BW73" i="183"/>
  <c r="BO73" i="183"/>
  <c r="BF74" i="183"/>
  <c r="BD74" i="183"/>
  <c r="BG74" i="183" s="1"/>
  <c r="BE74" i="183"/>
  <c r="CT73" i="183"/>
  <c r="CU73" i="183" s="1"/>
  <c r="CV73" i="183" s="1" a="1"/>
  <c r="CV73" i="183" s="1"/>
  <c r="CK74" i="183" s="1"/>
  <c r="CW73" i="183"/>
  <c r="L68" i="197"/>
  <c r="I68" i="197"/>
  <c r="J68" i="197" s="1"/>
  <c r="K68" i="197" s="1" a="1"/>
  <c r="K68" i="197" s="1"/>
  <c r="D69" i="197" s="1"/>
  <c r="W68" i="197"/>
  <c r="X68" i="197" s="1"/>
  <c r="Y68" i="197" s="1" a="1"/>
  <c r="Y68" i="197" s="1"/>
  <c r="R69" i="197" s="1"/>
  <c r="Z68" i="197"/>
  <c r="AQ68" i="197"/>
  <c r="AN68" i="197"/>
  <c r="AO68" i="197" s="1"/>
  <c r="AP68" i="197" s="1" a="1"/>
  <c r="AP68" i="197" s="1"/>
  <c r="AI69" i="197" s="1"/>
  <c r="BY73" i="183" l="1"/>
  <c r="BZ73" i="183" s="1"/>
  <c r="CB73" i="183" s="1"/>
  <c r="CC73" i="183" s="1"/>
  <c r="CD73" i="183" s="1"/>
  <c r="CE73" i="183" s="1" a="1"/>
  <c r="CE73" i="183" s="1"/>
  <c r="BT74" i="183" s="1"/>
  <c r="BU74" i="183" s="1"/>
  <c r="BX74" i="183" s="1"/>
  <c r="BH74" i="183"/>
  <c r="BI74" i="183" s="1"/>
  <c r="BK74" i="183" s="1"/>
  <c r="BO74" i="183" s="1"/>
  <c r="CL74" i="183"/>
  <c r="CO74" i="183" s="1"/>
  <c r="CN74" i="183"/>
  <c r="CM74" i="183"/>
  <c r="CR74" i="183"/>
  <c r="AA68" i="197"/>
  <c r="AB68" i="197" s="1"/>
  <c r="AC68" i="197" s="1" a="1"/>
  <c r="AC68" i="197" s="1"/>
  <c r="AD68" i="197"/>
  <c r="S69" i="197"/>
  <c r="U69" i="197"/>
  <c r="V69" i="197" s="1"/>
  <c r="AJ69" i="197"/>
  <c r="AL69" i="197"/>
  <c r="AM69" i="197" s="1"/>
  <c r="G69" i="197"/>
  <c r="H69" i="197" s="1"/>
  <c r="E69" i="197"/>
  <c r="AU68" i="197"/>
  <c r="AR68" i="197"/>
  <c r="AS68" i="197" s="1"/>
  <c r="AT68" i="197" s="1" a="1"/>
  <c r="AT68" i="197" s="1"/>
  <c r="CA74" i="183" l="1"/>
  <c r="BW74" i="183"/>
  <c r="BV74" i="183"/>
  <c r="BY74" i="183" s="1"/>
  <c r="CF73" i="183"/>
  <c r="BL74" i="183"/>
  <c r="BM74" i="183" s="1"/>
  <c r="BN74" i="183" s="1" a="1"/>
  <c r="BN74" i="183" s="1"/>
  <c r="BC75" i="183" s="1"/>
  <c r="BF75" i="183" s="1"/>
  <c r="CP74" i="183"/>
  <c r="CQ74" i="183" s="1"/>
  <c r="CS74" i="183" s="1"/>
  <c r="Z69" i="197"/>
  <c r="W69" i="197"/>
  <c r="X69" i="197" s="1"/>
  <c r="Y69" i="197" s="1" a="1"/>
  <c r="Y69" i="197" s="1"/>
  <c r="R70" i="197" s="1"/>
  <c r="AQ69" i="197"/>
  <c r="AN69" i="197"/>
  <c r="AO69" i="197" s="1"/>
  <c r="AP69" i="197" s="1" a="1"/>
  <c r="AP69" i="197" s="1"/>
  <c r="AI70" i="197" s="1"/>
  <c r="L69" i="197"/>
  <c r="I69" i="197"/>
  <c r="J69" i="197" s="1"/>
  <c r="K69" i="197" s="1" a="1"/>
  <c r="K69" i="197" s="1"/>
  <c r="D70" i="197" s="1"/>
  <c r="BZ74" i="183" l="1"/>
  <c r="CB74" i="183" s="1"/>
  <c r="CC74" i="183" s="1"/>
  <c r="CD74" i="183" s="1"/>
  <c r="CE74" i="183" s="1" a="1"/>
  <c r="CE74" i="183" s="1"/>
  <c r="BT75" i="183" s="1"/>
  <c r="BD75" i="183"/>
  <c r="BG75" i="183" s="1"/>
  <c r="BE75" i="183"/>
  <c r="BJ75" i="183"/>
  <c r="CT74" i="183"/>
  <c r="CU74" i="183" s="1"/>
  <c r="CV74" i="183" s="1" a="1"/>
  <c r="CV74" i="183" s="1"/>
  <c r="CK75" i="183" s="1"/>
  <c r="CM75" i="183" s="1"/>
  <c r="CW74" i="183"/>
  <c r="AJ70" i="197"/>
  <c r="AL70" i="197"/>
  <c r="AM70" i="197" s="1"/>
  <c r="AU69" i="197"/>
  <c r="AR69" i="197"/>
  <c r="AS69" i="197" s="1"/>
  <c r="AT69" i="197" s="1" a="1"/>
  <c r="AT69" i="197" s="1"/>
  <c r="E70" i="197"/>
  <c r="G70" i="197"/>
  <c r="H70" i="197" s="1"/>
  <c r="U70" i="197"/>
  <c r="V70" i="197" s="1"/>
  <c r="S70" i="197"/>
  <c r="AA69" i="197"/>
  <c r="AB69" i="197" s="1"/>
  <c r="AC69" i="197" s="1" a="1"/>
  <c r="AC69" i="197" s="1"/>
  <c r="AD69" i="197"/>
  <c r="CF74" i="183" l="1"/>
  <c r="BH75" i="183"/>
  <c r="BI75" i="183" s="1"/>
  <c r="BK75" i="183" s="1"/>
  <c r="BO75" i="183" s="1"/>
  <c r="CL75" i="183"/>
  <c r="CO75" i="183" s="1"/>
  <c r="CP75" i="183" s="1"/>
  <c r="CR75" i="183"/>
  <c r="CN75" i="183"/>
  <c r="CA75" i="183"/>
  <c r="BV75" i="183"/>
  <c r="BW75" i="183"/>
  <c r="BU75" i="183"/>
  <c r="BX75" i="183" s="1"/>
  <c r="AN70" i="197"/>
  <c r="AO70" i="197" s="1"/>
  <c r="AP70" i="197" s="1" a="1"/>
  <c r="AP70" i="197" s="1"/>
  <c r="AI71" i="197" s="1"/>
  <c r="AQ70" i="197"/>
  <c r="Z70" i="197"/>
  <c r="W70" i="197"/>
  <c r="X70" i="197" s="1"/>
  <c r="Y70" i="197" s="1" a="1"/>
  <c r="Y70" i="197" s="1"/>
  <c r="R71" i="197" s="1"/>
  <c r="I70" i="197"/>
  <c r="J70" i="197" s="1"/>
  <c r="K70" i="197" s="1" a="1"/>
  <c r="K70" i="197" s="1"/>
  <c r="D71" i="197" s="1"/>
  <c r="L70" i="197"/>
  <c r="BL75" i="183" l="1"/>
  <c r="BM75" i="183" s="1"/>
  <c r="BN75" i="183" s="1" a="1"/>
  <c r="BN75" i="183" s="1"/>
  <c r="BC76" i="183" s="1"/>
  <c r="BE76" i="183" s="1"/>
  <c r="CQ75" i="183"/>
  <c r="CS75" i="183" s="1"/>
  <c r="CT75" i="183" s="1"/>
  <c r="CU75" i="183" s="1"/>
  <c r="CV75" i="183" s="1" a="1"/>
  <c r="CV75" i="183" s="1"/>
  <c r="CK76" i="183" s="1"/>
  <c r="BY75" i="183"/>
  <c r="BZ75" i="183" s="1"/>
  <c r="CB75" i="183" s="1"/>
  <c r="E71" i="197"/>
  <c r="G71" i="197"/>
  <c r="H71" i="197" s="1"/>
  <c r="AD70" i="197"/>
  <c r="AA70" i="197"/>
  <c r="AB70" i="197" s="1"/>
  <c r="AC70" i="197" s="1" a="1"/>
  <c r="AC70" i="197" s="1"/>
  <c r="AR70" i="197"/>
  <c r="AS70" i="197" s="1"/>
  <c r="AT70" i="197" s="1" a="1"/>
  <c r="AT70" i="197" s="1"/>
  <c r="AU70" i="197"/>
  <c r="U71" i="197"/>
  <c r="V71" i="197" s="1"/>
  <c r="S71" i="197"/>
  <c r="AJ71" i="197"/>
  <c r="AL71" i="197"/>
  <c r="AM71" i="197" s="1"/>
  <c r="CW75" i="183" l="1"/>
  <c r="BF76" i="183"/>
  <c r="BD76" i="183"/>
  <c r="BG76" i="183" s="1"/>
  <c r="BH76" i="183" s="1"/>
  <c r="BJ76" i="183"/>
  <c r="CF75" i="183"/>
  <c r="CC75" i="183"/>
  <c r="CD75" i="183" s="1"/>
  <c r="CE75" i="183" s="1" a="1"/>
  <c r="CE75" i="183" s="1"/>
  <c r="BT76" i="183" s="1"/>
  <c r="CL76" i="183"/>
  <c r="CO76" i="183" s="1"/>
  <c r="CN76" i="183"/>
  <c r="CM76" i="183"/>
  <c r="CR76" i="183"/>
  <c r="W71" i="197"/>
  <c r="X71" i="197" s="1"/>
  <c r="Y71" i="197" s="1" a="1"/>
  <c r="Y71" i="197" s="1"/>
  <c r="R72" i="197" s="1"/>
  <c r="Z71" i="197"/>
  <c r="L71" i="197"/>
  <c r="I71" i="197"/>
  <c r="J71" i="197" s="1"/>
  <c r="K71" i="197" s="1" a="1"/>
  <c r="K71" i="197" s="1"/>
  <c r="D72" i="197" s="1"/>
  <c r="AQ71" i="197"/>
  <c r="AN71" i="197"/>
  <c r="AO71" i="197" s="1"/>
  <c r="AP71" i="197" s="1" a="1"/>
  <c r="AP71" i="197" s="1"/>
  <c r="AI72" i="197" s="1"/>
  <c r="BI76" i="183" l="1"/>
  <c r="BK76" i="183" s="1"/>
  <c r="BO76" i="183" s="1"/>
  <c r="CP76" i="183"/>
  <c r="CQ76" i="183" s="1"/>
  <c r="CS76" i="183" s="1"/>
  <c r="BW76" i="183"/>
  <c r="BU76" i="183"/>
  <c r="BX76" i="183" s="1"/>
  <c r="CA76" i="183"/>
  <c r="BV76" i="183"/>
  <c r="AJ72" i="197"/>
  <c r="AL72" i="197"/>
  <c r="AM72" i="197" s="1"/>
  <c r="AU71" i="197"/>
  <c r="AR71" i="197"/>
  <c r="AS71" i="197" s="1"/>
  <c r="AT71" i="197" s="1" a="1"/>
  <c r="AT71" i="197" s="1"/>
  <c r="E72" i="197"/>
  <c r="G72" i="197"/>
  <c r="H72" i="197" s="1"/>
  <c r="AA71" i="197"/>
  <c r="AB71" i="197" s="1"/>
  <c r="AC71" i="197" s="1" a="1"/>
  <c r="AC71" i="197" s="1"/>
  <c r="AD71" i="197"/>
  <c r="S72" i="197"/>
  <c r="U72" i="197"/>
  <c r="V72" i="197" s="1"/>
  <c r="BL76" i="183" l="1"/>
  <c r="BM76" i="183" s="1"/>
  <c r="BN76" i="183" s="1" a="1"/>
  <c r="BN76" i="183" s="1"/>
  <c r="BC77" i="183" s="1"/>
  <c r="BE77" i="183" s="1"/>
  <c r="BY76" i="183"/>
  <c r="BZ76" i="183" s="1"/>
  <c r="CB76" i="183" s="1"/>
  <c r="CC76" i="183" s="1"/>
  <c r="CD76" i="183" s="1"/>
  <c r="CE76" i="183" s="1" a="1"/>
  <c r="CE76" i="183" s="1"/>
  <c r="BT77" i="183" s="1"/>
  <c r="CW76" i="183"/>
  <c r="CT76" i="183"/>
  <c r="CU76" i="183" s="1"/>
  <c r="CV76" i="183" s="1" a="1"/>
  <c r="CV76" i="183" s="1"/>
  <c r="CK77" i="183" s="1"/>
  <c r="CM77" i="183" s="1"/>
  <c r="W72" i="197"/>
  <c r="X72" i="197" s="1"/>
  <c r="Y72" i="197" s="1" a="1"/>
  <c r="Y72" i="197" s="1"/>
  <c r="R73" i="197" s="1"/>
  <c r="Z72" i="197"/>
  <c r="L72" i="197"/>
  <c r="I72" i="197"/>
  <c r="J72" i="197" s="1"/>
  <c r="K72" i="197" s="1" a="1"/>
  <c r="K72" i="197" s="1"/>
  <c r="D73" i="197" s="1"/>
  <c r="AQ72" i="197"/>
  <c r="AN72" i="197"/>
  <c r="AO72" i="197" s="1"/>
  <c r="AP72" i="197" s="1" a="1"/>
  <c r="AP72" i="197" s="1"/>
  <c r="AI73" i="197" s="1"/>
  <c r="BD77" i="183" l="1"/>
  <c r="BG77" i="183" s="1"/>
  <c r="BH77" i="183" s="1"/>
  <c r="BF77" i="183"/>
  <c r="BJ77" i="183"/>
  <c r="CL77" i="183"/>
  <c r="CO77" i="183" s="1"/>
  <c r="CP77" i="183" s="1"/>
  <c r="CN77" i="183"/>
  <c r="CR77" i="183"/>
  <c r="CF76" i="183"/>
  <c r="BW77" i="183"/>
  <c r="BU77" i="183"/>
  <c r="BX77" i="183" s="1"/>
  <c r="CA77" i="183"/>
  <c r="BV77" i="183"/>
  <c r="AJ73" i="197"/>
  <c r="AL73" i="197"/>
  <c r="AM73" i="197" s="1"/>
  <c r="AR72" i="197"/>
  <c r="AS72" i="197" s="1"/>
  <c r="AT72" i="197" s="1" a="1"/>
  <c r="AT72" i="197" s="1"/>
  <c r="AU72" i="197"/>
  <c r="G73" i="197"/>
  <c r="H73" i="197" s="1"/>
  <c r="E73" i="197"/>
  <c r="AD72" i="197"/>
  <c r="AA72" i="197"/>
  <c r="AB72" i="197" s="1"/>
  <c r="AC72" i="197" s="1" a="1"/>
  <c r="AC72" i="197" s="1"/>
  <c r="S73" i="197"/>
  <c r="U73" i="197"/>
  <c r="V73" i="197" s="1"/>
  <c r="BI77" i="183" l="1"/>
  <c r="BK77" i="183" s="1"/>
  <c r="BL77" i="183" s="1"/>
  <c r="BM77" i="183" s="1"/>
  <c r="BN77" i="183" s="1" a="1"/>
  <c r="BN77" i="183" s="1"/>
  <c r="BC78" i="183" s="1"/>
  <c r="CQ77" i="183"/>
  <c r="CS77" i="183" s="1"/>
  <c r="CW77" i="183" s="1"/>
  <c r="BY77" i="183"/>
  <c r="BZ77" i="183" s="1"/>
  <c r="CB77" i="183" s="1"/>
  <c r="CC77" i="183" s="1"/>
  <c r="CD77" i="183" s="1"/>
  <c r="CE77" i="183" s="1" a="1"/>
  <c r="CE77" i="183" s="1"/>
  <c r="BT78" i="183" s="1"/>
  <c r="W73" i="197"/>
  <c r="X73" i="197" s="1"/>
  <c r="Y73" i="197" s="1" a="1"/>
  <c r="Y73" i="197" s="1"/>
  <c r="R74" i="197" s="1"/>
  <c r="Z73" i="197"/>
  <c r="L73" i="197"/>
  <c r="I73" i="197"/>
  <c r="J73" i="197" s="1"/>
  <c r="K73" i="197" s="1" a="1"/>
  <c r="K73" i="197" s="1"/>
  <c r="D74" i="197" s="1"/>
  <c r="AQ73" i="197"/>
  <c r="AN73" i="197"/>
  <c r="AO73" i="197" s="1"/>
  <c r="AP73" i="197" s="1" a="1"/>
  <c r="AP73" i="197" s="1"/>
  <c r="AI74" i="197" s="1"/>
  <c r="BO77" i="183" l="1"/>
  <c r="BD78" i="183"/>
  <c r="BG78" i="183" s="1"/>
  <c r="BF78" i="183"/>
  <c r="BE78" i="183"/>
  <c r="BJ78" i="183"/>
  <c r="CF77" i="183"/>
  <c r="CT77" i="183"/>
  <c r="CU77" i="183" s="1"/>
  <c r="CV77" i="183" s="1" a="1"/>
  <c r="CV77" i="183" s="1"/>
  <c r="CK78" i="183" s="1"/>
  <c r="CL78" i="183" s="1"/>
  <c r="CO78" i="183" s="1"/>
  <c r="BV78" i="183"/>
  <c r="CA78" i="183"/>
  <c r="BW78" i="183"/>
  <c r="BU78" i="183"/>
  <c r="BX78" i="183" s="1"/>
  <c r="AL74" i="197"/>
  <c r="AM74" i="197" s="1"/>
  <c r="AJ74" i="197"/>
  <c r="AR73" i="197"/>
  <c r="AS73" i="197" s="1"/>
  <c r="AT73" i="197" s="1" a="1"/>
  <c r="AT73" i="197" s="1"/>
  <c r="AU73" i="197"/>
  <c r="E74" i="197"/>
  <c r="G74" i="197"/>
  <c r="H74" i="197" s="1"/>
  <c r="AD73" i="197"/>
  <c r="AA73" i="197"/>
  <c r="AB73" i="197" s="1"/>
  <c r="AC73" i="197" s="1" a="1"/>
  <c r="AC73" i="197" s="1"/>
  <c r="S74" i="197"/>
  <c r="U74" i="197"/>
  <c r="V74" i="197" s="1"/>
  <c r="BH78" i="183" l="1"/>
  <c r="BI78" i="183" s="1"/>
  <c r="BK78" i="183" s="1"/>
  <c r="BY78" i="183"/>
  <c r="BZ78" i="183" s="1"/>
  <c r="CB78" i="183" s="1"/>
  <c r="CR78" i="183"/>
  <c r="CN78" i="183"/>
  <c r="CM78" i="183"/>
  <c r="CP78" i="183" s="1"/>
  <c r="W74" i="197"/>
  <c r="X74" i="197" s="1"/>
  <c r="Y74" i="197" s="1" a="1"/>
  <c r="Y74" i="197" s="1"/>
  <c r="R75" i="197" s="1"/>
  <c r="Z74" i="197"/>
  <c r="I74" i="197"/>
  <c r="J74" i="197" s="1"/>
  <c r="K74" i="197" s="1" a="1"/>
  <c r="K74" i="197" s="1"/>
  <c r="D75" i="197" s="1"/>
  <c r="L74" i="197"/>
  <c r="AN74" i="197"/>
  <c r="AO74" i="197" s="1"/>
  <c r="AP74" i="197" s="1" a="1"/>
  <c r="AP74" i="197" s="1"/>
  <c r="AI75" i="197" s="1"/>
  <c r="AQ74" i="197"/>
  <c r="CQ78" i="183" l="1"/>
  <c r="CS78" i="183" s="1"/>
  <c r="CT78" i="183" s="1"/>
  <c r="CU78" i="183" s="1"/>
  <c r="CV78" i="183" s="1" a="1"/>
  <c r="CV78" i="183" s="1"/>
  <c r="CK79" i="183" s="1"/>
  <c r="BL78" i="183"/>
  <c r="BM78" i="183" s="1"/>
  <c r="BN78" i="183" s="1" a="1"/>
  <c r="BN78" i="183" s="1"/>
  <c r="BC79" i="183" s="1"/>
  <c r="BO78" i="183"/>
  <c r="CF78" i="183"/>
  <c r="CC78" i="183"/>
  <c r="CD78" i="183" s="1"/>
  <c r="CE78" i="183" s="1" a="1"/>
  <c r="CE78" i="183" s="1"/>
  <c r="BT79" i="183" s="1"/>
  <c r="BW79" i="183" s="1"/>
  <c r="AR74" i="197"/>
  <c r="AS74" i="197" s="1"/>
  <c r="AT74" i="197" s="1" a="1"/>
  <c r="AT74" i="197" s="1"/>
  <c r="AU74" i="197"/>
  <c r="AJ75" i="197"/>
  <c r="AL75" i="197"/>
  <c r="AM75" i="197" s="1"/>
  <c r="G75" i="197"/>
  <c r="H75" i="197" s="1"/>
  <c r="E75" i="197"/>
  <c r="AD74" i="197"/>
  <c r="AA74" i="197"/>
  <c r="AB74" i="197" s="1"/>
  <c r="AC74" i="197" s="1" a="1"/>
  <c r="AC74" i="197" s="1"/>
  <c r="S75" i="197"/>
  <c r="U75" i="197"/>
  <c r="V75" i="197" s="1"/>
  <c r="CW78" i="183" l="1"/>
  <c r="BE79" i="183"/>
  <c r="BF79" i="183"/>
  <c r="BJ79" i="183"/>
  <c r="BD79" i="183"/>
  <c r="BG79" i="183" s="1"/>
  <c r="CA79" i="183"/>
  <c r="BU79" i="183"/>
  <c r="BX79" i="183" s="1"/>
  <c r="BV79" i="183"/>
  <c r="CR79" i="183"/>
  <c r="CM79" i="183"/>
  <c r="CL79" i="183"/>
  <c r="CO79" i="183" s="1"/>
  <c r="CN79" i="183"/>
  <c r="W75" i="197"/>
  <c r="X75" i="197" s="1"/>
  <c r="Y75" i="197" s="1" a="1"/>
  <c r="Y75" i="197" s="1"/>
  <c r="R76" i="197" s="1"/>
  <c r="Z75" i="197"/>
  <c r="L75" i="197"/>
  <c r="I75" i="197"/>
  <c r="J75" i="197" s="1"/>
  <c r="K75" i="197" s="1" a="1"/>
  <c r="K75" i="197" s="1"/>
  <c r="D76" i="197" s="1"/>
  <c r="AQ75" i="197"/>
  <c r="AN75" i="197"/>
  <c r="AO75" i="197" s="1"/>
  <c r="AP75" i="197" s="1" a="1"/>
  <c r="AP75" i="197" s="1"/>
  <c r="AI76" i="197" s="1"/>
  <c r="BY79" i="183" l="1"/>
  <c r="BZ79" i="183" s="1"/>
  <c r="CB79" i="183" s="1"/>
  <c r="CF79" i="183" s="1"/>
  <c r="BH79" i="183"/>
  <c r="BI79" i="183" s="1"/>
  <c r="BK79" i="183" s="1"/>
  <c r="CP79" i="183"/>
  <c r="CQ79" i="183" s="1"/>
  <c r="CS79" i="183" s="1"/>
  <c r="AJ76" i="197"/>
  <c r="AL76" i="197"/>
  <c r="AM76" i="197" s="1"/>
  <c r="AU75" i="197"/>
  <c r="AR75" i="197"/>
  <c r="AS75" i="197" s="1"/>
  <c r="AT75" i="197" s="1" a="1"/>
  <c r="AT75" i="197" s="1"/>
  <c r="G76" i="197"/>
  <c r="H76" i="197" s="1"/>
  <c r="E76" i="197"/>
  <c r="AA75" i="197"/>
  <c r="AB75" i="197" s="1"/>
  <c r="AC75" i="197" s="1" a="1"/>
  <c r="AC75" i="197" s="1"/>
  <c r="AD75" i="197"/>
  <c r="U76" i="197"/>
  <c r="V76" i="197" s="1"/>
  <c r="S76" i="197"/>
  <c r="CC79" i="183" l="1"/>
  <c r="CD79" i="183" s="1"/>
  <c r="CE79" i="183" s="1" a="1"/>
  <c r="CE79" i="183" s="1"/>
  <c r="BT80" i="183" s="1"/>
  <c r="BW80" i="183" s="1"/>
  <c r="BO79" i="183"/>
  <c r="BL79" i="183"/>
  <c r="BM79" i="183" s="1"/>
  <c r="BN79" i="183" s="1" a="1"/>
  <c r="BN79" i="183" s="1"/>
  <c r="BC80" i="183" s="1"/>
  <c r="CW79" i="183"/>
  <c r="CT79" i="183"/>
  <c r="CU79" i="183" s="1"/>
  <c r="CV79" i="183" s="1" a="1"/>
  <c r="CV79" i="183" s="1"/>
  <c r="CK80" i="183" s="1"/>
  <c r="Z76" i="197"/>
  <c r="W76" i="197"/>
  <c r="X76" i="197" s="1"/>
  <c r="Y76" i="197" s="1" a="1"/>
  <c r="Y76" i="197" s="1"/>
  <c r="R77" i="197" s="1"/>
  <c r="L76" i="197"/>
  <c r="I76" i="197"/>
  <c r="J76" i="197" s="1"/>
  <c r="K76" i="197" s="1" a="1"/>
  <c r="K76" i="197" s="1"/>
  <c r="D77" i="197" s="1"/>
  <c r="AQ76" i="197"/>
  <c r="AN76" i="197"/>
  <c r="AO76" i="197" s="1"/>
  <c r="AP76" i="197" s="1" a="1"/>
  <c r="AP76" i="197" s="1"/>
  <c r="AI77" i="197" s="1"/>
  <c r="BV80" i="183" l="1"/>
  <c r="CA80" i="183"/>
  <c r="BU80" i="183"/>
  <c r="BX80" i="183" s="1"/>
  <c r="BJ80" i="183"/>
  <c r="BF80" i="183"/>
  <c r="BD80" i="183"/>
  <c r="BG80" i="183" s="1"/>
  <c r="BE80" i="183"/>
  <c r="CN80" i="183"/>
  <c r="CR80" i="183"/>
  <c r="CM80" i="183"/>
  <c r="CL80" i="183"/>
  <c r="CO80" i="183" s="1"/>
  <c r="E77" i="197"/>
  <c r="G77" i="197"/>
  <c r="H77" i="197" s="1"/>
  <c r="AR76" i="197"/>
  <c r="AS76" i="197" s="1"/>
  <c r="AT76" i="197" s="1" a="1"/>
  <c r="AT76" i="197" s="1"/>
  <c r="AU76" i="197"/>
  <c r="S77" i="197"/>
  <c r="U77" i="197"/>
  <c r="V77" i="197" s="1"/>
  <c r="AJ77" i="197"/>
  <c r="AL77" i="197"/>
  <c r="AM77" i="197" s="1"/>
  <c r="AA76" i="197"/>
  <c r="AB76" i="197" s="1"/>
  <c r="AC76" i="197" s="1" a="1"/>
  <c r="AC76" i="197" s="1"/>
  <c r="AD76" i="197"/>
  <c r="BY80" i="183" l="1"/>
  <c r="BZ80" i="183" s="1"/>
  <c r="CB80" i="183" s="1"/>
  <c r="CF80" i="183" s="1"/>
  <c r="BH80" i="183"/>
  <c r="BI80" i="183" s="1"/>
  <c r="BK80" i="183" s="1"/>
  <c r="BL80" i="183" s="1"/>
  <c r="BM80" i="183" s="1"/>
  <c r="BN80" i="183" s="1" a="1"/>
  <c r="BN80" i="183" s="1"/>
  <c r="BC81" i="183" s="1"/>
  <c r="BJ81" i="183" s="1"/>
  <c r="CP80" i="183"/>
  <c r="CQ80" i="183" s="1"/>
  <c r="CS80" i="183" s="1"/>
  <c r="CT80" i="183" s="1"/>
  <c r="CU80" i="183" s="1"/>
  <c r="CV80" i="183" s="1" a="1"/>
  <c r="CV80" i="183" s="1"/>
  <c r="CK81" i="183" s="1"/>
  <c r="AQ77" i="197"/>
  <c r="AN77" i="197"/>
  <c r="AO77" i="197" s="1"/>
  <c r="AP77" i="197" s="1" a="1"/>
  <c r="AP77" i="197" s="1"/>
  <c r="AI78" i="197" s="1"/>
  <c r="Z77" i="197"/>
  <c r="W77" i="197"/>
  <c r="X77" i="197" s="1"/>
  <c r="Y77" i="197" s="1" a="1"/>
  <c r="Y77" i="197" s="1"/>
  <c r="R78" i="197" s="1"/>
  <c r="L77" i="197"/>
  <c r="I77" i="197"/>
  <c r="J77" i="197" s="1"/>
  <c r="K77" i="197" s="1" a="1"/>
  <c r="K77" i="197" s="1"/>
  <c r="D78" i="197" s="1"/>
  <c r="CC80" i="183" l="1"/>
  <c r="CD80" i="183" s="1"/>
  <c r="CE80" i="183" s="1" a="1"/>
  <c r="CE80" i="183" s="1"/>
  <c r="BT81" i="183" s="1"/>
  <c r="BW81" i="183" s="1"/>
  <c r="BE81" i="183"/>
  <c r="BO80" i="183"/>
  <c r="BF81" i="183"/>
  <c r="BD81" i="183"/>
  <c r="BG81" i="183" s="1"/>
  <c r="CW80" i="183"/>
  <c r="CM81" i="183"/>
  <c r="CN81" i="183"/>
  <c r="CR81" i="183"/>
  <c r="CL81" i="183"/>
  <c r="CO81" i="183" s="1"/>
  <c r="U78" i="197"/>
  <c r="V78" i="197" s="1"/>
  <c r="S78" i="197"/>
  <c r="G78" i="197"/>
  <c r="H78" i="197" s="1"/>
  <c r="E78" i="197"/>
  <c r="AD77" i="197"/>
  <c r="AA77" i="197"/>
  <c r="AB77" i="197" s="1"/>
  <c r="AC77" i="197" s="1" a="1"/>
  <c r="AC77" i="197" s="1"/>
  <c r="AJ78" i="197"/>
  <c r="AL78" i="197"/>
  <c r="AM78" i="197" s="1"/>
  <c r="AU77" i="197"/>
  <c r="AR77" i="197"/>
  <c r="AS77" i="197" s="1"/>
  <c r="AT77" i="197" s="1" a="1"/>
  <c r="AT77" i="197" s="1"/>
  <c r="BU81" i="183" l="1"/>
  <c r="BX81" i="183" s="1"/>
  <c r="BV81" i="183"/>
  <c r="CA81" i="183"/>
  <c r="BH81" i="183"/>
  <c r="BI81" i="183" s="1"/>
  <c r="BK81" i="183" s="1"/>
  <c r="BO81" i="183" s="1"/>
  <c r="CP81" i="183"/>
  <c r="CQ81" i="183" s="1"/>
  <c r="CS81" i="183" s="1"/>
  <c r="I78" i="197"/>
  <c r="J78" i="197" s="1"/>
  <c r="K78" i="197" s="1" a="1"/>
  <c r="K78" i="197" s="1"/>
  <c r="D79" i="197" s="1"/>
  <c r="L78" i="197"/>
  <c r="AN78" i="197"/>
  <c r="AO78" i="197" s="1"/>
  <c r="AP78" i="197" s="1" a="1"/>
  <c r="AP78" i="197" s="1"/>
  <c r="AI79" i="197" s="1"/>
  <c r="AQ78" i="197"/>
  <c r="Z78" i="197"/>
  <c r="W78" i="197"/>
  <c r="X78" i="197" s="1"/>
  <c r="Y78" i="197" s="1" a="1"/>
  <c r="Y78" i="197" s="1"/>
  <c r="R79" i="197" s="1"/>
  <c r="BY81" i="183" l="1"/>
  <c r="BZ81" i="183" s="1"/>
  <c r="CB81" i="183" s="1"/>
  <c r="BL81" i="183"/>
  <c r="BM81" i="183" s="1"/>
  <c r="BN81" i="183" s="1" a="1"/>
  <c r="BN81" i="183" s="1"/>
  <c r="BC82" i="183" s="1"/>
  <c r="BD82" i="183" s="1"/>
  <c r="BG82" i="183" s="1"/>
  <c r="CT81" i="183"/>
  <c r="CU81" i="183" s="1"/>
  <c r="CV81" i="183" s="1" a="1"/>
  <c r="CV81" i="183" s="1"/>
  <c r="CK82" i="183" s="1"/>
  <c r="CW81" i="183"/>
  <c r="AA78" i="197"/>
  <c r="AB78" i="197" s="1"/>
  <c r="AC78" i="197" s="1" a="1"/>
  <c r="AC78" i="197" s="1"/>
  <c r="AD78" i="197"/>
  <c r="U79" i="197"/>
  <c r="V79" i="197" s="1"/>
  <c r="S79" i="197"/>
  <c r="AR78" i="197"/>
  <c r="AS78" i="197" s="1"/>
  <c r="AT78" i="197" s="1" a="1"/>
  <c r="AT78" i="197" s="1"/>
  <c r="AU78" i="197"/>
  <c r="AL79" i="197"/>
  <c r="AM79" i="197" s="1"/>
  <c r="AJ79" i="197"/>
  <c r="E79" i="197"/>
  <c r="G79" i="197"/>
  <c r="H79" i="197" s="1"/>
  <c r="CF81" i="183" l="1"/>
  <c r="CC81" i="183"/>
  <c r="CD81" i="183" s="1"/>
  <c r="CE81" i="183" s="1" a="1"/>
  <c r="CE81" i="183" s="1"/>
  <c r="BT82" i="183" s="1"/>
  <c r="BE82" i="183"/>
  <c r="BH82" i="183" s="1"/>
  <c r="BJ82" i="183"/>
  <c r="BF82" i="183"/>
  <c r="CN82" i="183"/>
  <c r="CL82" i="183"/>
  <c r="CO82" i="183" s="1"/>
  <c r="CM82" i="183"/>
  <c r="CR82" i="183"/>
  <c r="W79" i="197"/>
  <c r="X79" i="197" s="1"/>
  <c r="Y79" i="197" s="1" a="1"/>
  <c r="Y79" i="197" s="1"/>
  <c r="R80" i="197" s="1"/>
  <c r="Z79" i="197"/>
  <c r="L79" i="197"/>
  <c r="I79" i="197"/>
  <c r="J79" i="197" s="1"/>
  <c r="K79" i="197" s="1" a="1"/>
  <c r="K79" i="197" s="1"/>
  <c r="D80" i="197" s="1"/>
  <c r="AQ79" i="197"/>
  <c r="AN79" i="197"/>
  <c r="AO79" i="197" s="1"/>
  <c r="AP79" i="197" s="1" a="1"/>
  <c r="AP79" i="197" s="1"/>
  <c r="AI80" i="197" s="1"/>
  <c r="BV82" i="183" l="1"/>
  <c r="CA82" i="183"/>
  <c r="BU82" i="183"/>
  <c r="BX82" i="183" s="1"/>
  <c r="BW82" i="183"/>
  <c r="BI82" i="183"/>
  <c r="BK82" i="183" s="1"/>
  <c r="BO82" i="183" s="1"/>
  <c r="CP82" i="183"/>
  <c r="CQ82" i="183" s="1"/>
  <c r="CS82" i="183" s="1"/>
  <c r="CT82" i="183" s="1"/>
  <c r="CU82" i="183" s="1"/>
  <c r="CV82" i="183" s="1" a="1"/>
  <c r="CV82" i="183" s="1"/>
  <c r="CK83" i="183" s="1"/>
  <c r="G80" i="197"/>
  <c r="H80" i="197" s="1"/>
  <c r="E80" i="197"/>
  <c r="AD79" i="197"/>
  <c r="AA79" i="197"/>
  <c r="AB79" i="197" s="1"/>
  <c r="AC79" i="197" s="1" a="1"/>
  <c r="AC79" i="197" s="1"/>
  <c r="AJ80" i="197"/>
  <c r="AL80" i="197"/>
  <c r="AM80" i="197" s="1"/>
  <c r="AR79" i="197"/>
  <c r="AS79" i="197" s="1"/>
  <c r="AT79" i="197" s="1" a="1"/>
  <c r="AT79" i="197" s="1"/>
  <c r="AU79" i="197"/>
  <c r="S80" i="197"/>
  <c r="U80" i="197"/>
  <c r="V80" i="197" s="1"/>
  <c r="BY82" i="183" l="1"/>
  <c r="BZ82" i="183" s="1"/>
  <c r="CB82" i="183" s="1"/>
  <c r="CF82" i="183" s="1"/>
  <c r="BL82" i="183"/>
  <c r="BM82" i="183" s="1"/>
  <c r="BN82" i="183" s="1" a="1"/>
  <c r="BN82" i="183" s="1"/>
  <c r="BC83" i="183" s="1"/>
  <c r="BJ83" i="183" s="1"/>
  <c r="CW82" i="183"/>
  <c r="CL83" i="183"/>
  <c r="CO83" i="183" s="1"/>
  <c r="CR83" i="183"/>
  <c r="CN83" i="183"/>
  <c r="CM83" i="183"/>
  <c r="Z80" i="197"/>
  <c r="W80" i="197"/>
  <c r="X80" i="197" s="1"/>
  <c r="Y80" i="197" s="1" a="1"/>
  <c r="Y80" i="197" s="1"/>
  <c r="R81" i="197" s="1"/>
  <c r="AQ80" i="197"/>
  <c r="AN80" i="197"/>
  <c r="AO80" i="197" s="1"/>
  <c r="AP80" i="197" s="1" a="1"/>
  <c r="AP80" i="197" s="1"/>
  <c r="AI81" i="197" s="1"/>
  <c r="L80" i="197"/>
  <c r="I80" i="197"/>
  <c r="J80" i="197" s="1"/>
  <c r="K80" i="197" s="1" a="1"/>
  <c r="K80" i="197" s="1"/>
  <c r="D81" i="197" s="1"/>
  <c r="CC82" i="183" l="1"/>
  <c r="CD82" i="183" s="1"/>
  <c r="CE82" i="183" s="1" a="1"/>
  <c r="CE82" i="183" s="1"/>
  <c r="BT83" i="183" s="1"/>
  <c r="CA83" i="183" s="1"/>
  <c r="BD83" i="183"/>
  <c r="BG83" i="183" s="1"/>
  <c r="BF83" i="183"/>
  <c r="BE83" i="183"/>
  <c r="CP83" i="183"/>
  <c r="CQ83" i="183" s="1"/>
  <c r="CS83" i="183" s="1"/>
  <c r="E81" i="197"/>
  <c r="G81" i="197"/>
  <c r="H81" i="197" s="1"/>
  <c r="AJ81" i="197"/>
  <c r="AL81" i="197"/>
  <c r="AM81" i="197" s="1"/>
  <c r="AR80" i="197"/>
  <c r="AS80" i="197" s="1"/>
  <c r="AT80" i="197" s="1" a="1"/>
  <c r="AT80" i="197" s="1"/>
  <c r="AU80" i="197"/>
  <c r="U81" i="197"/>
  <c r="V81" i="197" s="1"/>
  <c r="S81" i="197"/>
  <c r="AD80" i="197"/>
  <c r="AA80" i="197"/>
  <c r="AB80" i="197" s="1"/>
  <c r="AC80" i="197" s="1" a="1"/>
  <c r="AC80" i="197" s="1"/>
  <c r="BU83" i="183" l="1"/>
  <c r="BX83" i="183" s="1"/>
  <c r="BV83" i="183"/>
  <c r="BW83" i="183"/>
  <c r="BH83" i="183"/>
  <c r="BI83" i="183" s="1"/>
  <c r="BK83" i="183" s="1"/>
  <c r="BL83" i="183" s="1"/>
  <c r="BM83" i="183" s="1"/>
  <c r="BN83" i="183" s="1" a="1"/>
  <c r="BN83" i="183" s="1"/>
  <c r="BC84" i="183" s="1"/>
  <c r="BD84" i="183" s="1"/>
  <c r="BG84" i="183" s="1"/>
  <c r="CT83" i="183"/>
  <c r="CU83" i="183" s="1"/>
  <c r="CV83" i="183" s="1" a="1"/>
  <c r="CV83" i="183" s="1"/>
  <c r="CK84" i="183" s="1"/>
  <c r="CN84" i="183" s="1"/>
  <c r="CW83" i="183"/>
  <c r="I81" i="197"/>
  <c r="J81" i="197" s="1"/>
  <c r="K81" i="197" s="1" a="1"/>
  <c r="K81" i="197" s="1"/>
  <c r="D82" i="197" s="1"/>
  <c r="L81" i="197"/>
  <c r="Z81" i="197"/>
  <c r="W81" i="197"/>
  <c r="X81" i="197" s="1"/>
  <c r="Y81" i="197" s="1" a="1"/>
  <c r="Y81" i="197" s="1"/>
  <c r="R82" i="197" s="1"/>
  <c r="AQ81" i="197"/>
  <c r="AN81" i="197"/>
  <c r="AO81" i="197" s="1"/>
  <c r="AP81" i="197" s="1" a="1"/>
  <c r="AP81" i="197" s="1"/>
  <c r="AI82" i="197" s="1"/>
  <c r="BY83" i="183" l="1"/>
  <c r="BZ83" i="183" s="1"/>
  <c r="CB83" i="183" s="1"/>
  <c r="BO83" i="183"/>
  <c r="BE84" i="183"/>
  <c r="BH84" i="183" s="1"/>
  <c r="BJ84" i="183"/>
  <c r="BF84" i="183"/>
  <c r="CR84" i="183"/>
  <c r="CM84" i="183"/>
  <c r="CL84" i="183"/>
  <c r="CO84" i="183" s="1"/>
  <c r="S82" i="197"/>
  <c r="U82" i="197"/>
  <c r="V82" i="197" s="1"/>
  <c r="AD81" i="197"/>
  <c r="AA81" i="197"/>
  <c r="AB81" i="197" s="1"/>
  <c r="AC81" i="197" s="1" a="1"/>
  <c r="AC81" i="197" s="1"/>
  <c r="AL82" i="197"/>
  <c r="AM82" i="197" s="1"/>
  <c r="AJ82" i="197"/>
  <c r="AR81" i="197"/>
  <c r="AS81" i="197" s="1"/>
  <c r="AT81" i="197" s="1" a="1"/>
  <c r="AT81" i="197" s="1"/>
  <c r="AU81" i="197"/>
  <c r="E82" i="197"/>
  <c r="G82" i="197"/>
  <c r="H82" i="197" s="1"/>
  <c r="CC83" i="183" l="1"/>
  <c r="CD83" i="183" s="1"/>
  <c r="CE83" i="183" s="1" a="1"/>
  <c r="CE83" i="183" s="1"/>
  <c r="BT84" i="183" s="1"/>
  <c r="CF83" i="183"/>
  <c r="BI84" i="183"/>
  <c r="BK84" i="183" s="1"/>
  <c r="BL84" i="183" s="1"/>
  <c r="BM84" i="183" s="1"/>
  <c r="BN84" i="183" s="1" a="1"/>
  <c r="BN84" i="183" s="1"/>
  <c r="BC85" i="183" s="1"/>
  <c r="BE85" i="183" s="1"/>
  <c r="CP84" i="183"/>
  <c r="CQ84" i="183" s="1"/>
  <c r="CS84" i="183" s="1"/>
  <c r="I82" i="197"/>
  <c r="J82" i="197" s="1"/>
  <c r="K82" i="197" s="1" a="1"/>
  <c r="K82" i="197" s="1"/>
  <c r="D83" i="197" s="1"/>
  <c r="L82" i="197"/>
  <c r="W82" i="197"/>
  <c r="X82" i="197" s="1"/>
  <c r="Y82" i="197" s="1" a="1"/>
  <c r="Y82" i="197" s="1"/>
  <c r="R83" i="197" s="1"/>
  <c r="Z82" i="197"/>
  <c r="AQ82" i="197"/>
  <c r="AN82" i="197"/>
  <c r="AO82" i="197" s="1"/>
  <c r="AP82" i="197" s="1" a="1"/>
  <c r="AP82" i="197" s="1"/>
  <c r="AI83" i="197" s="1"/>
  <c r="BO84" i="183" l="1"/>
  <c r="BW84" i="183"/>
  <c r="BU84" i="183"/>
  <c r="BX84" i="183" s="1"/>
  <c r="CA84" i="183"/>
  <c r="BV84" i="183"/>
  <c r="BJ85" i="183"/>
  <c r="BD85" i="183"/>
  <c r="BG85" i="183" s="1"/>
  <c r="BH85" i="183" s="1"/>
  <c r="BF85" i="183"/>
  <c r="CW84" i="183"/>
  <c r="CT84" i="183"/>
  <c r="CU84" i="183" s="1"/>
  <c r="CV84" i="183" s="1" a="1"/>
  <c r="CV84" i="183" s="1"/>
  <c r="CK85" i="183" s="1"/>
  <c r="CM85" i="183" s="1"/>
  <c r="AR82" i="197"/>
  <c r="AS82" i="197" s="1"/>
  <c r="AT82" i="197" s="1" a="1"/>
  <c r="AT82" i="197" s="1"/>
  <c r="AU82" i="197"/>
  <c r="U83" i="197"/>
  <c r="V83" i="197" s="1"/>
  <c r="S83" i="197"/>
  <c r="E83" i="197"/>
  <c r="G83" i="197"/>
  <c r="H83" i="197" s="1"/>
  <c r="AJ83" i="197"/>
  <c r="AL83" i="197"/>
  <c r="AM83" i="197" s="1"/>
  <c r="AA82" i="197"/>
  <c r="AB82" i="197" s="1"/>
  <c r="AC82" i="197" s="1" a="1"/>
  <c r="AC82" i="197" s="1"/>
  <c r="AD82" i="197"/>
  <c r="BY84" i="183" l="1"/>
  <c r="BZ84" i="183" s="1"/>
  <c r="CB84" i="183" s="1"/>
  <c r="BI85" i="183"/>
  <c r="BK85" i="183" s="1"/>
  <c r="BO85" i="183" s="1"/>
  <c r="CN85" i="183"/>
  <c r="CR85" i="183"/>
  <c r="CL85" i="183"/>
  <c r="CO85" i="183" s="1"/>
  <c r="CP85" i="183" s="1"/>
  <c r="L83" i="197"/>
  <c r="I83" i="197"/>
  <c r="J83" i="197" s="1"/>
  <c r="K83" i="197" s="1" a="1"/>
  <c r="K83" i="197" s="1"/>
  <c r="D84" i="197" s="1"/>
  <c r="W83" i="197"/>
  <c r="X83" i="197" s="1"/>
  <c r="Y83" i="197" s="1" a="1"/>
  <c r="Y83" i="197" s="1"/>
  <c r="R84" i="197" s="1"/>
  <c r="Z83" i="197"/>
  <c r="AQ83" i="197"/>
  <c r="AN83" i="197"/>
  <c r="AO83" i="197" s="1"/>
  <c r="AP83" i="197" s="1" a="1"/>
  <c r="AP83" i="197" s="1"/>
  <c r="AI84" i="197" s="1"/>
  <c r="BL85" i="183" l="1"/>
  <c r="BM85" i="183" s="1"/>
  <c r="BN85" i="183" s="1" a="1"/>
  <c r="BN85" i="183" s="1"/>
  <c r="BC86" i="183" s="1"/>
  <c r="BE86" i="183" s="1"/>
  <c r="CF84" i="183"/>
  <c r="CC84" i="183"/>
  <c r="CD84" i="183" s="1"/>
  <c r="CE84" i="183" s="1" a="1"/>
  <c r="CE84" i="183" s="1"/>
  <c r="BT85" i="183" s="1"/>
  <c r="CQ85" i="183"/>
  <c r="CS85" i="183" s="1"/>
  <c r="CT85" i="183" s="1"/>
  <c r="CU85" i="183" s="1"/>
  <c r="CV85" i="183" s="1" a="1"/>
  <c r="CV85" i="183" s="1"/>
  <c r="CK86" i="183" s="1"/>
  <c r="AA83" i="197"/>
  <c r="AB83" i="197" s="1"/>
  <c r="AC83" i="197" s="1" a="1"/>
  <c r="AC83" i="197" s="1"/>
  <c r="AD83" i="197"/>
  <c r="S84" i="197"/>
  <c r="U84" i="197"/>
  <c r="V84" i="197" s="1"/>
  <c r="G84" i="197"/>
  <c r="H84" i="197" s="1"/>
  <c r="E84" i="197"/>
  <c r="AJ84" i="197"/>
  <c r="AL84" i="197"/>
  <c r="AM84" i="197" s="1"/>
  <c r="AR83" i="197"/>
  <c r="AS83" i="197" s="1"/>
  <c r="AT83" i="197" s="1" a="1"/>
  <c r="AT83" i="197" s="1"/>
  <c r="AU83" i="197"/>
  <c r="BF86" i="183" l="1"/>
  <c r="BD86" i="183"/>
  <c r="BG86" i="183" s="1"/>
  <c r="BH86" i="183" s="1"/>
  <c r="BJ86" i="183"/>
  <c r="CA85" i="183"/>
  <c r="BU85" i="183"/>
  <c r="BX85" i="183" s="1"/>
  <c r="BW85" i="183"/>
  <c r="BV85" i="183"/>
  <c r="CW85" i="183"/>
  <c r="CL86" i="183"/>
  <c r="CO86" i="183" s="1"/>
  <c r="CR86" i="183"/>
  <c r="CM86" i="183"/>
  <c r="CN86" i="183"/>
  <c r="L84" i="197"/>
  <c r="I84" i="197"/>
  <c r="J84" i="197" s="1"/>
  <c r="K84" i="197" s="1" a="1"/>
  <c r="K84" i="197" s="1"/>
  <c r="D85" i="197" s="1"/>
  <c r="Z84" i="197"/>
  <c r="W84" i="197"/>
  <c r="X84" i="197" s="1"/>
  <c r="Y84" i="197" s="1" a="1"/>
  <c r="Y84" i="197" s="1"/>
  <c r="R85" i="197" s="1"/>
  <c r="AQ84" i="197"/>
  <c r="AN84" i="197"/>
  <c r="AO84" i="197" s="1"/>
  <c r="AP84" i="197" s="1" a="1"/>
  <c r="AP84" i="197" s="1"/>
  <c r="AI85" i="197" s="1"/>
  <c r="BI86" i="183" l="1"/>
  <c r="BK86" i="183"/>
  <c r="BO86" i="183" s="1"/>
  <c r="BY85" i="183"/>
  <c r="BZ85" i="183" s="1"/>
  <c r="CB85" i="183" s="1"/>
  <c r="CP86" i="183"/>
  <c r="CQ86" i="183" s="1"/>
  <c r="CS86" i="183" s="1"/>
  <c r="CT86" i="183" s="1"/>
  <c r="CU86" i="183" s="1"/>
  <c r="CV86" i="183" s="1" a="1"/>
  <c r="CV86" i="183" s="1"/>
  <c r="CK87" i="183" s="1"/>
  <c r="AL85" i="197"/>
  <c r="AM85" i="197" s="1"/>
  <c r="AJ85" i="197"/>
  <c r="AU84" i="197"/>
  <c r="AR84" i="197"/>
  <c r="AS84" i="197" s="1"/>
  <c r="AT84" i="197" s="1" a="1"/>
  <c r="AT84" i="197" s="1"/>
  <c r="S85" i="197"/>
  <c r="U85" i="197"/>
  <c r="V85" i="197" s="1"/>
  <c r="AA84" i="197"/>
  <c r="AB84" i="197" s="1"/>
  <c r="AC84" i="197" s="1" a="1"/>
  <c r="AC84" i="197" s="1"/>
  <c r="AD84" i="197"/>
  <c r="G85" i="197"/>
  <c r="H85" i="197" s="1"/>
  <c r="E85" i="197"/>
  <c r="BL86" i="183" l="1"/>
  <c r="BM86" i="183" s="1"/>
  <c r="BN86" i="183" s="1" a="1"/>
  <c r="BN86" i="183" s="1"/>
  <c r="BC87" i="183" s="1"/>
  <c r="BD87" i="183" s="1"/>
  <c r="BG87" i="183" s="1"/>
  <c r="CC85" i="183"/>
  <c r="CD85" i="183" s="1"/>
  <c r="CE85" i="183" s="1" a="1"/>
  <c r="CE85" i="183" s="1"/>
  <c r="BT86" i="183" s="1"/>
  <c r="CF85" i="183"/>
  <c r="CW86" i="183"/>
  <c r="CN87" i="183"/>
  <c r="CL87" i="183"/>
  <c r="CO87" i="183" s="1"/>
  <c r="CR87" i="183"/>
  <c r="CM87" i="183"/>
  <c r="L85" i="197"/>
  <c r="I85" i="197"/>
  <c r="J85" i="197" s="1"/>
  <c r="K85" i="197" s="1" a="1"/>
  <c r="K85" i="197" s="1"/>
  <c r="D86" i="197" s="1"/>
  <c r="W85" i="197"/>
  <c r="X85" i="197" s="1"/>
  <c r="Y85" i="197" s="1" a="1"/>
  <c r="Y85" i="197" s="1"/>
  <c r="R86" i="197" s="1"/>
  <c r="Z85" i="197"/>
  <c r="AQ85" i="197"/>
  <c r="AN85" i="197"/>
  <c r="AO85" i="197" s="1"/>
  <c r="AP85" i="197" s="1" a="1"/>
  <c r="AP85" i="197" s="1"/>
  <c r="AI86" i="197" s="1"/>
  <c r="BF87" i="183" l="1"/>
  <c r="BJ87" i="183"/>
  <c r="BE87" i="183"/>
  <c r="BW86" i="183"/>
  <c r="BV86" i="183"/>
  <c r="BU86" i="183"/>
  <c r="BX86" i="183" s="1"/>
  <c r="CA86" i="183"/>
  <c r="CP87" i="183"/>
  <c r="CQ87" i="183" s="1"/>
  <c r="CS87" i="183" s="1"/>
  <c r="CT87" i="183" s="1"/>
  <c r="CU87" i="183" s="1"/>
  <c r="CV87" i="183" s="1" a="1"/>
  <c r="CV87" i="183" s="1"/>
  <c r="CK88" i="183" s="1"/>
  <c r="BH87" i="183"/>
  <c r="BI87" i="183" s="1"/>
  <c r="BK87" i="183" s="1"/>
  <c r="AJ86" i="197"/>
  <c r="AL86" i="197"/>
  <c r="AM86" i="197" s="1"/>
  <c r="AR85" i="197"/>
  <c r="AS85" i="197" s="1"/>
  <c r="AT85" i="197" s="1" a="1"/>
  <c r="AT85" i="197" s="1"/>
  <c r="AU85" i="197"/>
  <c r="AD85" i="197"/>
  <c r="AA85" i="197"/>
  <c r="AB85" i="197" s="1"/>
  <c r="AC85" i="197" s="1" a="1"/>
  <c r="AC85" i="197" s="1"/>
  <c r="S86" i="197"/>
  <c r="U86" i="197"/>
  <c r="V86" i="197" s="1"/>
  <c r="G86" i="197"/>
  <c r="H86" i="197" s="1"/>
  <c r="E86" i="197"/>
  <c r="BY86" i="183" l="1"/>
  <c r="BZ86" i="183" s="1"/>
  <c r="CB86" i="183" s="1"/>
  <c r="CC86" i="183" s="1"/>
  <c r="CD86" i="183" s="1"/>
  <c r="CE86" i="183" s="1" a="1"/>
  <c r="CE86" i="183" s="1"/>
  <c r="BT87" i="183" s="1"/>
  <c r="BV87" i="183" s="1"/>
  <c r="CW87" i="183"/>
  <c r="BO87" i="183"/>
  <c r="BL87" i="183"/>
  <c r="BM87" i="183" s="1"/>
  <c r="BN87" i="183" s="1" a="1"/>
  <c r="BN87" i="183" s="1"/>
  <c r="BC88" i="183" s="1"/>
  <c r="CM88" i="183"/>
  <c r="CR88" i="183"/>
  <c r="CL88" i="183"/>
  <c r="CO88" i="183" s="1"/>
  <c r="CN88" i="183"/>
  <c r="Z86" i="197"/>
  <c r="W86" i="197"/>
  <c r="X86" i="197" s="1"/>
  <c r="Y86" i="197" s="1" a="1"/>
  <c r="Y86" i="197" s="1"/>
  <c r="R87" i="197" s="1"/>
  <c r="I86" i="197"/>
  <c r="J86" i="197" s="1"/>
  <c r="K86" i="197" s="1" a="1"/>
  <c r="K86" i="197" s="1"/>
  <c r="D87" i="197" s="1"/>
  <c r="L86" i="197"/>
  <c r="AN86" i="197"/>
  <c r="AO86" i="197" s="1"/>
  <c r="AP86" i="197" s="1" a="1"/>
  <c r="AP86" i="197" s="1"/>
  <c r="AI87" i="197" s="1"/>
  <c r="AQ86" i="197"/>
  <c r="CF86" i="183" l="1"/>
  <c r="BW87" i="183"/>
  <c r="BU87" i="183"/>
  <c r="BX87" i="183" s="1"/>
  <c r="BY87" i="183" s="1"/>
  <c r="CA87" i="183"/>
  <c r="BD88" i="183"/>
  <c r="BG88" i="183" s="1"/>
  <c r="BJ88" i="183"/>
  <c r="BF88" i="183"/>
  <c r="BE88" i="183"/>
  <c r="CP88" i="183"/>
  <c r="CQ88" i="183" s="1"/>
  <c r="CS88" i="183" s="1"/>
  <c r="AJ87" i="197"/>
  <c r="AL87" i="197"/>
  <c r="AM87" i="197" s="1"/>
  <c r="AU86" i="197"/>
  <c r="AR86" i="197"/>
  <c r="AS86" i="197" s="1"/>
  <c r="AT86" i="197" s="1" a="1"/>
  <c r="AT86" i="197" s="1"/>
  <c r="G87" i="197"/>
  <c r="H87" i="197" s="1"/>
  <c r="E87" i="197"/>
  <c r="U87" i="197"/>
  <c r="V87" i="197" s="1"/>
  <c r="S87" i="197"/>
  <c r="AD86" i="197"/>
  <c r="AA86" i="197"/>
  <c r="AB86" i="197" s="1"/>
  <c r="AC86" i="197" s="1" a="1"/>
  <c r="AC86" i="197" s="1"/>
  <c r="BZ87" i="183" l="1"/>
  <c r="CB87" i="183" s="1"/>
  <c r="CF87" i="183" s="1"/>
  <c r="BH88" i="183"/>
  <c r="BI88" i="183" s="1"/>
  <c r="BK88" i="183" s="1"/>
  <c r="CW88" i="183"/>
  <c r="CT88" i="183"/>
  <c r="CU88" i="183" s="1"/>
  <c r="CV88" i="183" s="1" a="1"/>
  <c r="CV88" i="183" s="1"/>
  <c r="CK89" i="183" s="1"/>
  <c r="Z87" i="197"/>
  <c r="W87" i="197"/>
  <c r="X87" i="197" s="1"/>
  <c r="Y87" i="197" s="1" a="1"/>
  <c r="Y87" i="197" s="1"/>
  <c r="R88" i="197" s="1"/>
  <c r="L87" i="197"/>
  <c r="I87" i="197"/>
  <c r="J87" i="197" s="1"/>
  <c r="K87" i="197" s="1" a="1"/>
  <c r="K87" i="197" s="1"/>
  <c r="D88" i="197" s="1"/>
  <c r="AQ87" i="197"/>
  <c r="AN87" i="197"/>
  <c r="AO87" i="197" s="1"/>
  <c r="AP87" i="197" s="1" a="1"/>
  <c r="AP87" i="197" s="1"/>
  <c r="AI88" i="197" s="1"/>
  <c r="CC87" i="183" l="1"/>
  <c r="CD87" i="183" s="1"/>
  <c r="CE87" i="183" s="1" a="1"/>
  <c r="CE87" i="183" s="1"/>
  <c r="BT88" i="183" s="1"/>
  <c r="CA88" i="183" s="1"/>
  <c r="BO88" i="183"/>
  <c r="BL88" i="183"/>
  <c r="BM88" i="183" s="1"/>
  <c r="BN88" i="183" s="1" a="1"/>
  <c r="BN88" i="183" s="1"/>
  <c r="BC89" i="183" s="1"/>
  <c r="BD89" i="183" s="1"/>
  <c r="BG89" i="183" s="1"/>
  <c r="CL89" i="183"/>
  <c r="CO89" i="183" s="1"/>
  <c r="CR89" i="183"/>
  <c r="CM89" i="183"/>
  <c r="CN89" i="183"/>
  <c r="AR87" i="197"/>
  <c r="AS87" i="197" s="1"/>
  <c r="AT87" i="197" s="1" a="1"/>
  <c r="AT87" i="197" s="1"/>
  <c r="AU87" i="197"/>
  <c r="AJ88" i="197"/>
  <c r="AL88" i="197"/>
  <c r="AM88" i="197" s="1"/>
  <c r="U88" i="197"/>
  <c r="V88" i="197" s="1"/>
  <c r="S88" i="197"/>
  <c r="E88" i="197"/>
  <c r="G88" i="197"/>
  <c r="H88" i="197" s="1"/>
  <c r="AD87" i="197"/>
  <c r="AA87" i="197"/>
  <c r="AB87" i="197" s="1"/>
  <c r="AC87" i="197" s="1" a="1"/>
  <c r="AC87" i="197" s="1"/>
  <c r="BV88" i="183" l="1"/>
  <c r="BU88" i="183"/>
  <c r="BX88" i="183" s="1"/>
  <c r="BW88" i="183"/>
  <c r="BJ89" i="183"/>
  <c r="BF89" i="183"/>
  <c r="BE89" i="183"/>
  <c r="BH89" i="183" s="1"/>
  <c r="CP89" i="183"/>
  <c r="CQ89" i="183" s="1"/>
  <c r="CS89" i="183" s="1"/>
  <c r="CT89" i="183" s="1"/>
  <c r="CU89" i="183" s="1"/>
  <c r="CV89" i="183" s="1" a="1"/>
  <c r="CV89" i="183" s="1"/>
  <c r="CK90" i="183" s="1"/>
  <c r="AN88" i="197"/>
  <c r="AO88" i="197" s="1"/>
  <c r="AP88" i="197" s="1" a="1"/>
  <c r="AP88" i="197" s="1"/>
  <c r="AI89" i="197" s="1"/>
  <c r="AQ88" i="197"/>
  <c r="I88" i="197"/>
  <c r="J88" i="197" s="1"/>
  <c r="K88" i="197" s="1" a="1"/>
  <c r="K88" i="197" s="1"/>
  <c r="D89" i="197" s="1"/>
  <c r="L88" i="197"/>
  <c r="Z88" i="197"/>
  <c r="W88" i="197"/>
  <c r="X88" i="197" s="1"/>
  <c r="Y88" i="197" s="1" a="1"/>
  <c r="Y88" i="197" s="1"/>
  <c r="R89" i="197" s="1"/>
  <c r="BY88" i="183" l="1"/>
  <c r="BZ88" i="183" s="1"/>
  <c r="CB88" i="183" s="1"/>
  <c r="BI89" i="183"/>
  <c r="BK89" i="183" s="1"/>
  <c r="BO89" i="183" s="1"/>
  <c r="CW89" i="183"/>
  <c r="CN90" i="183"/>
  <c r="CR90" i="183"/>
  <c r="CM90" i="183"/>
  <c r="CL90" i="183"/>
  <c r="CO90" i="183" s="1"/>
  <c r="S89" i="197"/>
  <c r="U89" i="197"/>
  <c r="V89" i="197" s="1"/>
  <c r="E89" i="197"/>
  <c r="G89" i="197"/>
  <c r="H89" i="197" s="1"/>
  <c r="AA88" i="197"/>
  <c r="AB88" i="197" s="1"/>
  <c r="AC88" i="197" s="1" a="1"/>
  <c r="AC88" i="197" s="1"/>
  <c r="AD88" i="197"/>
  <c r="AR88" i="197"/>
  <c r="AS88" i="197" s="1"/>
  <c r="AT88" i="197" s="1" a="1"/>
  <c r="AT88" i="197" s="1"/>
  <c r="AU88" i="197"/>
  <c r="AL89" i="197"/>
  <c r="AM89" i="197" s="1"/>
  <c r="AJ89" i="197"/>
  <c r="CF88" i="183" l="1"/>
  <c r="CC88" i="183"/>
  <c r="CD88" i="183" s="1"/>
  <c r="CE88" i="183" s="1" a="1"/>
  <c r="CE88" i="183" s="1"/>
  <c r="BT89" i="183" s="1"/>
  <c r="BL89" i="183"/>
  <c r="BM89" i="183" s="1"/>
  <c r="BN89" i="183" s="1" a="1"/>
  <c r="BN89" i="183" s="1"/>
  <c r="BC90" i="183" s="1"/>
  <c r="BE90" i="183" s="1"/>
  <c r="CP90" i="183"/>
  <c r="CQ90" i="183" s="1"/>
  <c r="CS90" i="183" s="1"/>
  <c r="AN89" i="197"/>
  <c r="AO89" i="197" s="1"/>
  <c r="AP89" i="197" s="1" a="1"/>
  <c r="AP89" i="197" s="1"/>
  <c r="AQ89" i="197"/>
  <c r="Z89" i="197"/>
  <c r="W89" i="197"/>
  <c r="X89" i="197" s="1"/>
  <c r="Y89" i="197" s="1" a="1"/>
  <c r="Y89" i="197" s="1"/>
  <c r="L89" i="197"/>
  <c r="J26" i="197" s="1"/>
  <c r="I89" i="197"/>
  <c r="J89" i="197" s="1"/>
  <c r="K89" i="197" s="1" a="1"/>
  <c r="K89" i="197" s="1"/>
  <c r="BW89" i="183" l="1"/>
  <c r="CA89" i="183"/>
  <c r="BU89" i="183"/>
  <c r="BX89" i="183" s="1"/>
  <c r="BV89" i="183"/>
  <c r="BJ90" i="183"/>
  <c r="BF90" i="183"/>
  <c r="BD90" i="183"/>
  <c r="BG90" i="183" s="1"/>
  <c r="BH90" i="183" s="1"/>
  <c r="CT90" i="183"/>
  <c r="CU90" i="183" s="1"/>
  <c r="CV90" i="183" s="1" a="1"/>
  <c r="CV90" i="183" s="1"/>
  <c r="CK91" i="183" s="1"/>
  <c r="CW90" i="183"/>
  <c r="J32" i="197"/>
  <c r="G16" i="197" s="1"/>
  <c r="J27" i="197"/>
  <c r="G10" i="197"/>
  <c r="J31" i="197"/>
  <c r="G15" i="197" s="1"/>
  <c r="J30" i="197"/>
  <c r="AD89" i="197"/>
  <c r="AA89" i="197"/>
  <c r="AB89" i="197" s="1"/>
  <c r="AC89" i="197" s="1" a="1"/>
  <c r="AC89" i="197" s="1"/>
  <c r="X26" i="197"/>
  <c r="AR89" i="197"/>
  <c r="AS89" i="197" s="1"/>
  <c r="AT89" i="197" s="1" a="1"/>
  <c r="AT89" i="197" s="1"/>
  <c r="AU89" i="197"/>
  <c r="AO26" i="197"/>
  <c r="BY89" i="183" l="1"/>
  <c r="BZ89" i="183" s="1"/>
  <c r="CB89" i="183" s="1"/>
  <c r="BI90" i="183"/>
  <c r="BK90" i="183" s="1"/>
  <c r="BL90" i="183" s="1"/>
  <c r="BM90" i="183" s="1"/>
  <c r="BN90" i="183" s="1" a="1"/>
  <c r="BN90" i="183" s="1"/>
  <c r="BC91" i="183" s="1"/>
  <c r="CR91" i="183"/>
  <c r="CN91" i="183"/>
  <c r="CL91" i="183"/>
  <c r="CO91" i="183" s="1"/>
  <c r="CM91" i="183"/>
  <c r="X30" i="197"/>
  <c r="X27" i="197"/>
  <c r="X32" i="197"/>
  <c r="H16" i="197" s="1"/>
  <c r="X31" i="197"/>
  <c r="H15" i="197" s="1"/>
  <c r="H10" i="197"/>
  <c r="J28" i="197"/>
  <c r="G11" i="197"/>
  <c r="AO32" i="197"/>
  <c r="I16" i="197" s="1"/>
  <c r="AO31" i="197"/>
  <c r="I15" i="197" s="1"/>
  <c r="I10" i="197"/>
  <c r="AO30" i="197"/>
  <c r="AO27" i="197"/>
  <c r="G14" i="197"/>
  <c r="CF89" i="183" l="1"/>
  <c r="CC89" i="183"/>
  <c r="CD89" i="183" s="1"/>
  <c r="CE89" i="183" s="1" a="1"/>
  <c r="CE89" i="183" s="1"/>
  <c r="BT90" i="183" s="1"/>
  <c r="BO90" i="183"/>
  <c r="BD91" i="183"/>
  <c r="BG91" i="183" s="1"/>
  <c r="BF91" i="183"/>
  <c r="BJ91" i="183"/>
  <c r="BE91" i="183"/>
  <c r="CP91" i="183"/>
  <c r="CQ91" i="183" s="1"/>
  <c r="CS91" i="183" s="1"/>
  <c r="CT91" i="183" s="1"/>
  <c r="CU91" i="183" s="1"/>
  <c r="CV91" i="183" s="1" a="1"/>
  <c r="CV91" i="183" s="1"/>
  <c r="CK92" i="183" s="1"/>
  <c r="AO28" i="197"/>
  <c r="I11" i="197"/>
  <c r="G12" i="197"/>
  <c r="J29" i="197"/>
  <c r="J34" i="197"/>
  <c r="G18" i="197" s="1"/>
  <c r="G48" i="196" s="1"/>
  <c r="I14" i="197"/>
  <c r="H11" i="197"/>
  <c r="X28" i="197"/>
  <c r="H14" i="197"/>
  <c r="BV90" i="183" l="1"/>
  <c r="BU90" i="183"/>
  <c r="BX90" i="183" s="1"/>
  <c r="CA90" i="183"/>
  <c r="BW90" i="183"/>
  <c r="BH91" i="183"/>
  <c r="BI91" i="183" s="1"/>
  <c r="BK91" i="183" s="1"/>
  <c r="CW91" i="183"/>
  <c r="CL92" i="183"/>
  <c r="CO92" i="183" s="1"/>
  <c r="CM92" i="183"/>
  <c r="CN92" i="183"/>
  <c r="CR92" i="183"/>
  <c r="J33" i="197"/>
  <c r="G17" i="197" s="1"/>
  <c r="G13" i="197"/>
  <c r="J35" i="197"/>
  <c r="G19" i="197" s="1"/>
  <c r="G49" i="196" s="1"/>
  <c r="K62" i="145" s="1"/>
  <c r="G88" i="196"/>
  <c r="T21" i="99" s="1"/>
  <c r="G98" i="196"/>
  <c r="C45" i="99" s="1"/>
  <c r="H12" i="197"/>
  <c r="X29" i="197"/>
  <c r="X34" i="197"/>
  <c r="H18" i="197" s="1"/>
  <c r="H48" i="196" s="1"/>
  <c r="AO34" i="197"/>
  <c r="I18" i="197" s="1"/>
  <c r="I48" i="196" s="1"/>
  <c r="I12" i="197"/>
  <c r="AO29" i="197"/>
  <c r="BY90" i="183" l="1"/>
  <c r="BZ90" i="183" s="1"/>
  <c r="CB90" i="183" s="1"/>
  <c r="BL91" i="183"/>
  <c r="BM91" i="183" s="1"/>
  <c r="BN91" i="183" s="1" a="1"/>
  <c r="BN91" i="183" s="1"/>
  <c r="BC92" i="183" s="1"/>
  <c r="BJ92" i="183" s="1"/>
  <c r="BO91" i="183"/>
  <c r="CP92" i="183"/>
  <c r="CQ92" i="183" s="1"/>
  <c r="CS92" i="183" s="1"/>
  <c r="C8" i="99"/>
  <c r="D309" i="111" s="1"/>
  <c r="F309" i="111" s="1"/>
  <c r="F331" i="111" s="1"/>
  <c r="F333" i="111" s="1"/>
  <c r="CI24" i="132"/>
  <c r="CI23" i="132"/>
  <c r="H13" i="197"/>
  <c r="X33" i="197"/>
  <c r="H17" i="197" s="1"/>
  <c r="X35" i="197"/>
  <c r="H19" i="197" s="1"/>
  <c r="H49" i="196" s="1"/>
  <c r="L62" i="145" s="1"/>
  <c r="I13" i="197"/>
  <c r="AO33" i="197"/>
  <c r="I17" i="197" s="1"/>
  <c r="AO35" i="197"/>
  <c r="I19" i="197" s="1"/>
  <c r="I49" i="196" s="1"/>
  <c r="M62" i="145" s="1"/>
  <c r="G50" i="196"/>
  <c r="G89" i="196"/>
  <c r="T22" i="99" s="1"/>
  <c r="H88" i="196"/>
  <c r="T38" i="126" s="1"/>
  <c r="H98" i="196"/>
  <c r="C45" i="126" s="1"/>
  <c r="I98" i="196"/>
  <c r="C45" i="127" s="1"/>
  <c r="I88" i="196"/>
  <c r="T21" i="127" s="1"/>
  <c r="CC90" i="183" l="1"/>
  <c r="CD90" i="183" s="1"/>
  <c r="CE90" i="183" s="1" a="1"/>
  <c r="CE90" i="183" s="1"/>
  <c r="BT91" i="183" s="1"/>
  <c r="CF90" i="183"/>
  <c r="BF92" i="183"/>
  <c r="BD92" i="183"/>
  <c r="BG92" i="183" s="1"/>
  <c r="BE92" i="183"/>
  <c r="AD309" i="111"/>
  <c r="C8" i="126"/>
  <c r="D346" i="111" s="1"/>
  <c r="F346" i="111" s="1"/>
  <c r="F368" i="111" s="1"/>
  <c r="F370" i="111" s="1"/>
  <c r="CI25" i="132"/>
  <c r="CI26" i="132"/>
  <c r="C8" i="127"/>
  <c r="D383" i="111" s="1"/>
  <c r="F383" i="111" s="1"/>
  <c r="F405" i="111" s="1"/>
  <c r="F407" i="111" s="1"/>
  <c r="CI28" i="132"/>
  <c r="CI27" i="132"/>
  <c r="CW92" i="183"/>
  <c r="CT92" i="183"/>
  <c r="CU92" i="183" s="1"/>
  <c r="CV92" i="183" s="1" a="1"/>
  <c r="CV92" i="183" s="1"/>
  <c r="CK93" i="183" s="1"/>
  <c r="U55" i="111"/>
  <c r="U53" i="111"/>
  <c r="I50" i="196"/>
  <c r="I89" i="196"/>
  <c r="T22" i="127" s="1"/>
  <c r="C382" i="127" s="1"/>
  <c r="E382" i="127" s="1"/>
  <c r="H89" i="196"/>
  <c r="T39" i="126" s="1"/>
  <c r="C416" i="126" s="1"/>
  <c r="E416" i="126" s="1"/>
  <c r="H50" i="196"/>
  <c r="E442" i="121"/>
  <c r="U562" i="121"/>
  <c r="R547" i="121" s="1"/>
  <c r="R550" i="121" s="1"/>
  <c r="C622" i="121"/>
  <c r="AF309" i="111" l="1"/>
  <c r="AF331" i="111" s="1"/>
  <c r="AF333" i="111" s="1"/>
  <c r="U58" i="111" s="1"/>
  <c r="AY24" i="132" s="1"/>
  <c r="AG23" i="132"/>
  <c r="O23" i="132" s="1"/>
  <c r="AY23" i="132"/>
  <c r="BW91" i="183"/>
  <c r="CA91" i="183"/>
  <c r="BV91" i="183"/>
  <c r="BU91" i="183"/>
  <c r="BX91" i="183" s="1"/>
  <c r="U56" i="111"/>
  <c r="BH92" i="183"/>
  <c r="BI92" i="183" s="1"/>
  <c r="BK92" i="183" s="1"/>
  <c r="BO92" i="183" s="1"/>
  <c r="AD346" i="111"/>
  <c r="AD383" i="111"/>
  <c r="CR93" i="183"/>
  <c r="CM93" i="183"/>
  <c r="CN93" i="183"/>
  <c r="CL93" i="183"/>
  <c r="CO93" i="183" s="1"/>
  <c r="U67" i="111"/>
  <c r="U65" i="111"/>
  <c r="U61" i="111"/>
  <c r="U59" i="111"/>
  <c r="C401" i="127"/>
  <c r="C435" i="126"/>
  <c r="O641" i="121"/>
  <c r="J622" i="121"/>
  <c r="N622" i="121" s="1"/>
  <c r="O622" i="121" s="1"/>
  <c r="R559" i="121"/>
  <c r="C613" i="121"/>
  <c r="E452" i="121"/>
  <c r="E97" i="145" s="1"/>
  <c r="AB62" i="145"/>
  <c r="AA62" i="145"/>
  <c r="AF346" i="111" l="1"/>
  <c r="AF368" i="111" s="1"/>
  <c r="AF370" i="111" s="1"/>
  <c r="U64" i="111" s="1"/>
  <c r="AY26" i="132" s="1"/>
  <c r="AF383" i="111"/>
  <c r="AF405" i="111" s="1"/>
  <c r="AF407" i="111" s="1"/>
  <c r="U70" i="111" s="1"/>
  <c r="AY28" i="132" s="1"/>
  <c r="AG24" i="132"/>
  <c r="O24" i="132" s="1"/>
  <c r="AG27" i="132"/>
  <c r="O27" i="132" s="1"/>
  <c r="AY25" i="132"/>
  <c r="AG25" i="132"/>
  <c r="O25" i="132" s="1"/>
  <c r="AY27" i="132"/>
  <c r="BY91" i="183"/>
  <c r="BZ91" i="183" s="1"/>
  <c r="CB91" i="183" s="1"/>
  <c r="BL92" i="183"/>
  <c r="BM92" i="183" s="1"/>
  <c r="BN92" i="183" s="1" a="1"/>
  <c r="BN92" i="183" s="1"/>
  <c r="BC93" i="183" s="1"/>
  <c r="BF93" i="183" s="1"/>
  <c r="U62" i="111"/>
  <c r="U68" i="111"/>
  <c r="CP93" i="183"/>
  <c r="CQ93" i="183" s="1"/>
  <c r="CS93" i="183" s="1"/>
  <c r="C410" i="127"/>
  <c r="N401" i="127"/>
  <c r="D410" i="127"/>
  <c r="O414" i="127"/>
  <c r="C831" i="127"/>
  <c r="C835" i="127" s="1"/>
  <c r="C798" i="127"/>
  <c r="C802" i="127" s="1"/>
  <c r="D444" i="126"/>
  <c r="N435" i="126"/>
  <c r="C824" i="126"/>
  <c r="C827" i="126" s="1"/>
  <c r="C444" i="126"/>
  <c r="O448" i="126"/>
  <c r="C791" i="126"/>
  <c r="C794" i="126" s="1"/>
  <c r="U441" i="121"/>
  <c r="R426" i="121" s="1"/>
  <c r="R429" i="121" s="1"/>
  <c r="J613" i="121"/>
  <c r="N613" i="121" s="1"/>
  <c r="O613" i="121" s="1"/>
  <c r="AA63" i="145"/>
  <c r="L63" i="145"/>
  <c r="AB63" i="145"/>
  <c r="M63" i="145"/>
  <c r="AG28" i="132" l="1"/>
  <c r="O28" i="132" s="1"/>
  <c r="AG26" i="132"/>
  <c r="O26" i="132" s="1"/>
  <c r="CF91" i="183"/>
  <c r="CC91" i="183"/>
  <c r="CD91" i="183" s="1"/>
  <c r="CE91" i="183" s="1" a="1"/>
  <c r="CE91" i="183" s="1"/>
  <c r="BT92" i="183" s="1"/>
  <c r="BJ93" i="183"/>
  <c r="BD93" i="183"/>
  <c r="BG93" i="183" s="1"/>
  <c r="BE93" i="183"/>
  <c r="CT93" i="183"/>
  <c r="CU93" i="183" s="1"/>
  <c r="CV93" i="183" s="1" a="1"/>
  <c r="CV93" i="183" s="1"/>
  <c r="CK94" i="183" s="1"/>
  <c r="CW93" i="183"/>
  <c r="O453" i="126"/>
  <c r="C455" i="126" s="1"/>
  <c r="C445" i="126"/>
  <c r="D445" i="126"/>
  <c r="E791" i="126"/>
  <c r="E794" i="126" s="1"/>
  <c r="E824" i="126"/>
  <c r="E827" i="126" s="1"/>
  <c r="O419" i="127"/>
  <c r="C421" i="127" s="1"/>
  <c r="E831" i="127"/>
  <c r="E835" i="127" s="1"/>
  <c r="C411" i="127"/>
  <c r="D411" i="127"/>
  <c r="E798" i="127"/>
  <c r="E802" i="127" s="1"/>
  <c r="R432" i="121"/>
  <c r="C612" i="121"/>
  <c r="BU92" i="183" l="1"/>
  <c r="BX92" i="183" s="1"/>
  <c r="BV92" i="183"/>
  <c r="CA92" i="183"/>
  <c r="BW92" i="183"/>
  <c r="BH93" i="183"/>
  <c r="BI93" i="183" s="1"/>
  <c r="BK93" i="183" s="1"/>
  <c r="BO93" i="183" s="1"/>
  <c r="CN94" i="183"/>
  <c r="CM94" i="183"/>
  <c r="CR94" i="183"/>
  <c r="CL94" i="183"/>
  <c r="CO94" i="183" s="1"/>
  <c r="D790" i="127"/>
  <c r="D791" i="127"/>
  <c r="D823" i="127"/>
  <c r="D824" i="127"/>
  <c r="G798" i="127"/>
  <c r="G802" i="127" s="1"/>
  <c r="G831" i="127"/>
  <c r="G835" i="127" s="1"/>
  <c r="D782" i="126"/>
  <c r="D783" i="126"/>
  <c r="G791" i="126"/>
  <c r="G794" i="126" s="1"/>
  <c r="G824" i="126"/>
  <c r="G827" i="126" s="1"/>
  <c r="F831" i="127"/>
  <c r="F835" i="127" s="1"/>
  <c r="F798" i="127"/>
  <c r="F802" i="127" s="1"/>
  <c r="D815" i="126"/>
  <c r="D816" i="126"/>
  <c r="F791" i="126"/>
  <c r="F794" i="126" s="1"/>
  <c r="F824" i="126"/>
  <c r="F827" i="126" s="1"/>
  <c r="J612" i="121"/>
  <c r="N612" i="121" s="1"/>
  <c r="L10" i="145"/>
  <c r="M11" i="145"/>
  <c r="L11" i="145"/>
  <c r="M10" i="145"/>
  <c r="BL93" i="183" l="1"/>
  <c r="BM93" i="183" s="1"/>
  <c r="BN93" i="183" s="1" a="1"/>
  <c r="BN93" i="183" s="1"/>
  <c r="BC94" i="183" s="1"/>
  <c r="BJ94" i="183" s="1"/>
  <c r="BY92" i="183"/>
  <c r="BZ92" i="183" s="1"/>
  <c r="CB92" i="183" s="1"/>
  <c r="M831" i="127"/>
  <c r="M835" i="127" s="1"/>
  <c r="M798" i="127"/>
  <c r="M802" i="127" s="1"/>
  <c r="M824" i="126"/>
  <c r="M827" i="126" s="1"/>
  <c r="M791" i="126"/>
  <c r="M794" i="126" s="1"/>
  <c r="CP94" i="183"/>
  <c r="CQ94" i="183" s="1"/>
  <c r="CS94" i="183" s="1"/>
  <c r="C171" i="141"/>
  <c r="H824" i="126"/>
  <c r="H827" i="126" s="1"/>
  <c r="H798" i="127"/>
  <c r="H802" i="127" s="1"/>
  <c r="C180" i="141"/>
  <c r="H831" i="127"/>
  <c r="H835" i="127" s="1"/>
  <c r="C190" i="141"/>
  <c r="D171" i="141"/>
  <c r="D161" i="141"/>
  <c r="C161" i="141"/>
  <c r="H791" i="126"/>
  <c r="H794" i="126" s="1"/>
  <c r="D190" i="141"/>
  <c r="D180" i="141"/>
  <c r="O612" i="121"/>
  <c r="E447" i="121"/>
  <c r="E445" i="121"/>
  <c r="E448" i="121"/>
  <c r="E446" i="121"/>
  <c r="R544" i="121"/>
  <c r="E444" i="121"/>
  <c r="BE94" i="183" l="1"/>
  <c r="BF94" i="183"/>
  <c r="BD94" i="183"/>
  <c r="BG94" i="183" s="1"/>
  <c r="CC92" i="183"/>
  <c r="CD92" i="183" s="1"/>
  <c r="CE92" i="183" s="1" a="1"/>
  <c r="CE92" i="183" s="1"/>
  <c r="BT93" i="183" s="1"/>
  <c r="CF92" i="183"/>
  <c r="CW94" i="183"/>
  <c r="CT94" i="183"/>
  <c r="CU94" i="183" s="1"/>
  <c r="CV94" i="183" s="1" a="1"/>
  <c r="CV94" i="183" s="1"/>
  <c r="CK95" i="183" s="1"/>
  <c r="E190" i="141"/>
  <c r="E194" i="141"/>
  <c r="C164" i="141"/>
  <c r="C774" i="126"/>
  <c r="D174" i="141"/>
  <c r="C808" i="126"/>
  <c r="D808" i="126" s="1"/>
  <c r="J180" i="141"/>
  <c r="C815" i="127"/>
  <c r="C194" i="141"/>
  <c r="C807" i="126"/>
  <c r="C174" i="141"/>
  <c r="C184" i="141"/>
  <c r="C782" i="127"/>
  <c r="J171" i="141"/>
  <c r="J190" i="141"/>
  <c r="E180" i="141"/>
  <c r="E184" i="141"/>
  <c r="C783" i="127"/>
  <c r="D783" i="127" s="1"/>
  <c r="D184" i="141"/>
  <c r="D194" i="141"/>
  <c r="C816" i="127"/>
  <c r="D816" i="127" s="1"/>
  <c r="E171" i="141"/>
  <c r="E174" i="141"/>
  <c r="J161" i="141"/>
  <c r="E161" i="141"/>
  <c r="E164" i="141"/>
  <c r="D164" i="141"/>
  <c r="C775" i="126"/>
  <c r="D775" i="126" s="1"/>
  <c r="L5" i="145"/>
  <c r="M5" i="145"/>
  <c r="AB5" i="145"/>
  <c r="AA5" i="145"/>
  <c r="BH94" i="183" l="1"/>
  <c r="BI94" i="183" s="1"/>
  <c r="BK94" i="183" s="1"/>
  <c r="BL94" i="183" s="1"/>
  <c r="BM94" i="183" s="1"/>
  <c r="BN94" i="183" s="1" a="1"/>
  <c r="BN94" i="183" s="1"/>
  <c r="BC95" i="183" s="1"/>
  <c r="BU93" i="183"/>
  <c r="BX93" i="183" s="1"/>
  <c r="BV93" i="183"/>
  <c r="BW93" i="183"/>
  <c r="CA93" i="183"/>
  <c r="CN95" i="183"/>
  <c r="CR95" i="183"/>
  <c r="CM95" i="183"/>
  <c r="CL95" i="183"/>
  <c r="CO95" i="183" s="1"/>
  <c r="C779" i="126"/>
  <c r="D779" i="126" s="1"/>
  <c r="J164" i="141"/>
  <c r="J194" i="141"/>
  <c r="C820" i="127"/>
  <c r="D820" i="127" s="1"/>
  <c r="J174" i="141"/>
  <c r="C812" i="126"/>
  <c r="D812" i="126" s="1"/>
  <c r="I28" i="132"/>
  <c r="D774" i="126"/>
  <c r="C781" i="126"/>
  <c r="D781" i="126" s="1"/>
  <c r="D782" i="127"/>
  <c r="C789" i="127"/>
  <c r="D789" i="127" s="1"/>
  <c r="D815" i="127"/>
  <c r="C822" i="127"/>
  <c r="D822" i="127" s="1"/>
  <c r="C787" i="127"/>
  <c r="D787" i="127" s="1"/>
  <c r="J184" i="141"/>
  <c r="I25" i="132"/>
  <c r="I26" i="132"/>
  <c r="D807" i="126"/>
  <c r="C814" i="126"/>
  <c r="D814" i="126" s="1"/>
  <c r="I27" i="132"/>
  <c r="AB4" i="145"/>
  <c r="AB9" i="145"/>
  <c r="AA4" i="145"/>
  <c r="L9" i="145"/>
  <c r="AA9" i="145"/>
  <c r="L4" i="145"/>
  <c r="M9" i="145"/>
  <c r="M4" i="145"/>
  <c r="BY93" i="183" l="1"/>
  <c r="BZ93" i="183" s="1"/>
  <c r="CB93" i="183" s="1"/>
  <c r="BO94" i="183"/>
  <c r="BJ95" i="183"/>
  <c r="BF95" i="183"/>
  <c r="BE95" i="183"/>
  <c r="BD95" i="183"/>
  <c r="BG95" i="183" s="1"/>
  <c r="CP95" i="183"/>
  <c r="CQ95" i="183" s="1"/>
  <c r="CS95" i="183" s="1"/>
  <c r="H28" i="132"/>
  <c r="M28" i="132" s="1"/>
  <c r="H27" i="132"/>
  <c r="M27" i="132" s="1"/>
  <c r="H25" i="132"/>
  <c r="M25" i="132" s="1"/>
  <c r="H26" i="132"/>
  <c r="M26" i="132" s="1"/>
  <c r="E449" i="121"/>
  <c r="R423" i="121" s="1"/>
  <c r="CC93" i="183" l="1"/>
  <c r="CD93" i="183" s="1"/>
  <c r="CE93" i="183" s="1" a="1"/>
  <c r="CE93" i="183" s="1"/>
  <c r="BT94" i="183" s="1"/>
  <c r="CF93" i="183"/>
  <c r="BH95" i="183"/>
  <c r="BI95" i="183" s="1"/>
  <c r="BK95" i="183" s="1"/>
  <c r="BO95" i="183" s="1"/>
  <c r="CW95" i="183"/>
  <c r="CT95" i="183"/>
  <c r="CU95" i="183" s="1"/>
  <c r="CV95" i="183" s="1" a="1"/>
  <c r="CV95" i="183" s="1"/>
  <c r="CK96" i="183" s="1"/>
  <c r="U561" i="121"/>
  <c r="R546" i="121" s="1"/>
  <c r="R549" i="121" s="1"/>
  <c r="E451" i="121"/>
  <c r="BV94" i="183" l="1"/>
  <c r="BW94" i="183"/>
  <c r="CA94" i="183"/>
  <c r="BU94" i="183"/>
  <c r="BX94" i="183" s="1"/>
  <c r="BL95" i="183"/>
  <c r="BM95" i="183" s="1"/>
  <c r="BN95" i="183" s="1" a="1"/>
  <c r="BN95" i="183" s="1"/>
  <c r="BC96" i="183" s="1"/>
  <c r="BF96" i="183" s="1"/>
  <c r="CN96" i="183"/>
  <c r="CL96" i="183"/>
  <c r="CO96" i="183" s="1"/>
  <c r="CR96" i="183"/>
  <c r="CM96" i="183"/>
  <c r="E96" i="145"/>
  <c r="U440" i="121"/>
  <c r="R425" i="121" s="1"/>
  <c r="R428" i="121" s="1"/>
  <c r="R431" i="121" s="1"/>
  <c r="R558" i="121"/>
  <c r="U560" i="121"/>
  <c r="R545" i="121" s="1"/>
  <c r="R548" i="121" s="1"/>
  <c r="BY94" i="183" l="1"/>
  <c r="BZ94" i="183" s="1"/>
  <c r="CB94" i="183" s="1"/>
  <c r="BE96" i="183"/>
  <c r="BJ96" i="183"/>
  <c r="BD96" i="183"/>
  <c r="BG96" i="183" s="1"/>
  <c r="CP96" i="183"/>
  <c r="CQ96" i="183" s="1"/>
  <c r="CS96" i="183" s="1"/>
  <c r="R551" i="121"/>
  <c r="R560" i="121" s="1"/>
  <c r="R561" i="121" s="1"/>
  <c r="J561" i="121"/>
  <c r="E443" i="121"/>
  <c r="CC94" i="183" l="1"/>
  <c r="CD94" i="183" s="1"/>
  <c r="CE94" i="183" s="1" a="1"/>
  <c r="CE94" i="183" s="1"/>
  <c r="BT95" i="183" s="1"/>
  <c r="CF94" i="183"/>
  <c r="BH96" i="183"/>
  <c r="BI96" i="183" s="1"/>
  <c r="BK96" i="183" s="1"/>
  <c r="BL96" i="183" s="1"/>
  <c r="BM96" i="183" s="1"/>
  <c r="BN96" i="183" s="1" a="1"/>
  <c r="BN96" i="183" s="1"/>
  <c r="BC97" i="183" s="1"/>
  <c r="CW96" i="183"/>
  <c r="CT96" i="183"/>
  <c r="CU96" i="183" s="1"/>
  <c r="CV96" i="183" s="1" a="1"/>
  <c r="CV96" i="183" s="1"/>
  <c r="CK97" i="183" s="1"/>
  <c r="J442" i="121"/>
  <c r="R564" i="121"/>
  <c r="R570" i="121" s="1"/>
  <c r="R563" i="121"/>
  <c r="R578" i="121"/>
  <c r="R580" i="121" s="1"/>
  <c r="X579" i="121" s="1"/>
  <c r="R562" i="121"/>
  <c r="R581" i="121"/>
  <c r="R582" i="121" s="1"/>
  <c r="R583" i="121" s="1"/>
  <c r="G76" i="145"/>
  <c r="BW95" i="183" l="1"/>
  <c r="BV95" i="183"/>
  <c r="CA95" i="183"/>
  <c r="BU95" i="183"/>
  <c r="BX95" i="183" s="1"/>
  <c r="BO96" i="183"/>
  <c r="BJ97" i="183"/>
  <c r="BE97" i="183"/>
  <c r="BF97" i="183"/>
  <c r="BD97" i="183"/>
  <c r="BG97" i="183" s="1"/>
  <c r="CL97" i="183"/>
  <c r="CO97" i="183" s="1"/>
  <c r="CR97" i="183"/>
  <c r="CM97" i="183"/>
  <c r="CN97" i="183"/>
  <c r="R575" i="121"/>
  <c r="R586" i="121" s="1"/>
  <c r="BM15" i="132" a="1"/>
  <c r="BM15" i="132" s="1"/>
  <c r="R565" i="121"/>
  <c r="R571" i="121" s="1"/>
  <c r="C534" i="121"/>
  <c r="C533" i="121"/>
  <c r="R566" i="121"/>
  <c r="R572" i="121" s="1"/>
  <c r="BY95" i="183" l="1"/>
  <c r="BZ95" i="183" s="1"/>
  <c r="CB95" i="183" s="1"/>
  <c r="BH97" i="183"/>
  <c r="BI97" i="183" s="1"/>
  <c r="BK97" i="183" s="1"/>
  <c r="CP97" i="183"/>
  <c r="CQ97" i="183" s="1"/>
  <c r="CS97" i="183" s="1"/>
  <c r="D654" i="121"/>
  <c r="C654" i="121"/>
  <c r="C655" i="121" s="1"/>
  <c r="D659" i="121"/>
  <c r="C659" i="121"/>
  <c r="C660" i="121" s="1"/>
  <c r="R573" i="121"/>
  <c r="R574" i="121" s="1"/>
  <c r="R543" i="121" s="1"/>
  <c r="C535" i="121"/>
  <c r="R577" i="121"/>
  <c r="R588" i="121" s="1"/>
  <c r="R576" i="121"/>
  <c r="R587" i="121" s="1"/>
  <c r="CC95" i="183" l="1"/>
  <c r="CD95" i="183" s="1"/>
  <c r="CE95" i="183" s="1" a="1"/>
  <c r="CE95" i="183" s="1"/>
  <c r="BT96" i="183" s="1"/>
  <c r="CF95" i="183"/>
  <c r="BL97" i="183"/>
  <c r="BM97" i="183" s="1"/>
  <c r="BN97" i="183" s="1" a="1"/>
  <c r="BN97" i="183" s="1"/>
  <c r="BC98" i="183" s="1"/>
  <c r="BO97" i="183"/>
  <c r="CT97" i="183"/>
  <c r="CU97" i="183" s="1"/>
  <c r="CV97" i="183" s="1" a="1"/>
  <c r="CV97" i="183" s="1"/>
  <c r="CK98" i="183" s="1"/>
  <c r="CW97" i="183"/>
  <c r="C664" i="121"/>
  <c r="C665" i="121" s="1"/>
  <c r="D664" i="121"/>
  <c r="C348" i="121"/>
  <c r="E348" i="121" s="1"/>
  <c r="BU96" i="183" l="1"/>
  <c r="BX96" i="183" s="1"/>
  <c r="BV96" i="183"/>
  <c r="CA96" i="183"/>
  <c r="BW96" i="183"/>
  <c r="BD98" i="183"/>
  <c r="BG98" i="183" s="1"/>
  <c r="BF98" i="183"/>
  <c r="BE98" i="183"/>
  <c r="BJ98" i="183"/>
  <c r="CM98" i="183"/>
  <c r="CR98" i="183"/>
  <c r="CL98" i="183"/>
  <c r="CO98" i="183" s="1"/>
  <c r="CN98" i="183"/>
  <c r="C352" i="121"/>
  <c r="C349" i="121"/>
  <c r="E349" i="121" s="1"/>
  <c r="C353" i="121" s="1"/>
  <c r="E450" i="121"/>
  <c r="V60" i="145"/>
  <c r="BY96" i="183" l="1"/>
  <c r="BZ96" i="183" s="1"/>
  <c r="CB96" i="183" s="1"/>
  <c r="BH98" i="183"/>
  <c r="BI98" i="183" s="1"/>
  <c r="BK98" i="183" s="1"/>
  <c r="CP98" i="183"/>
  <c r="CQ98" i="183" s="1"/>
  <c r="CS98" i="183" s="1"/>
  <c r="C614" i="121"/>
  <c r="J353" i="121"/>
  <c r="N353" i="121" s="1"/>
  <c r="O353" i="121" s="1"/>
  <c r="U439" i="121"/>
  <c r="R424" i="121" s="1"/>
  <c r="R427" i="121" s="1"/>
  <c r="E95" i="145"/>
  <c r="O360" i="121"/>
  <c r="C728" i="121"/>
  <c r="C731" i="121" s="1"/>
  <c r="C697" i="121"/>
  <c r="C700" i="121" s="1"/>
  <c r="C356" i="121"/>
  <c r="J352" i="121"/>
  <c r="N352" i="121" s="1"/>
  <c r="D356" i="121"/>
  <c r="G61" i="145"/>
  <c r="V61" i="145"/>
  <c r="CC96" i="183" l="1"/>
  <c r="CD96" i="183" s="1"/>
  <c r="CE96" i="183" s="1" a="1"/>
  <c r="CE96" i="183" s="1"/>
  <c r="BT97" i="183" s="1"/>
  <c r="CF96" i="183"/>
  <c r="BL98" i="183"/>
  <c r="BM98" i="183" s="1"/>
  <c r="BN98" i="183" s="1" a="1"/>
  <c r="BN98" i="183" s="1"/>
  <c r="BC99" i="183" s="1"/>
  <c r="BO98" i="183"/>
  <c r="CW98" i="183"/>
  <c r="CT98" i="183"/>
  <c r="CU98" i="183" s="1"/>
  <c r="CV98" i="183" s="1" a="1"/>
  <c r="CV98" i="183" s="1"/>
  <c r="CK99" i="183" s="1"/>
  <c r="E697" i="121"/>
  <c r="E728" i="121"/>
  <c r="D357" i="121"/>
  <c r="O352" i="121"/>
  <c r="C357" i="121"/>
  <c r="O361" i="121"/>
  <c r="C363" i="121" s="1"/>
  <c r="R430" i="121"/>
  <c r="R439" i="121" s="1"/>
  <c r="R440" i="121" s="1"/>
  <c r="J614" i="121"/>
  <c r="N614" i="121" s="1"/>
  <c r="BW97" i="183" l="1"/>
  <c r="CA97" i="183"/>
  <c r="BV97" i="183"/>
  <c r="BU97" i="183"/>
  <c r="BX97" i="183" s="1"/>
  <c r="BE99" i="183"/>
  <c r="BF99" i="183"/>
  <c r="BJ99" i="183"/>
  <c r="BD99" i="183"/>
  <c r="BG99" i="183" s="1"/>
  <c r="CN99" i="183"/>
  <c r="CM99" i="183"/>
  <c r="CR99" i="183"/>
  <c r="CL99" i="183"/>
  <c r="CO99" i="183" s="1"/>
  <c r="R443" i="121"/>
  <c r="R449" i="121" s="1"/>
  <c r="G697" i="121"/>
  <c r="G728" i="121"/>
  <c r="R442" i="121"/>
  <c r="R457" i="121"/>
  <c r="R460" i="121"/>
  <c r="R461" i="121" s="1"/>
  <c r="R462" i="121" s="1"/>
  <c r="R441" i="121"/>
  <c r="F697" i="121"/>
  <c r="F728" i="121"/>
  <c r="O614" i="121"/>
  <c r="BY97" i="183" l="1"/>
  <c r="BZ97" i="183" s="1"/>
  <c r="CB97" i="183" s="1"/>
  <c r="M697" i="121"/>
  <c r="M728" i="121"/>
  <c r="BH99" i="183"/>
  <c r="BI99" i="183" s="1"/>
  <c r="BK99" i="183" s="1"/>
  <c r="CP99" i="183"/>
  <c r="CQ99" i="183" s="1"/>
  <c r="CS99" i="183" s="1"/>
  <c r="C70" i="141"/>
  <c r="H728" i="121"/>
  <c r="C412" i="121"/>
  <c r="C413" i="121"/>
  <c r="C62" i="141"/>
  <c r="H697" i="121"/>
  <c r="R444" i="121"/>
  <c r="R450" i="121" s="1"/>
  <c r="R459" i="121"/>
  <c r="X458" i="121" s="1"/>
  <c r="R445" i="121"/>
  <c r="R451" i="121" s="1"/>
  <c r="D70" i="141"/>
  <c r="D62" i="141"/>
  <c r="R454" i="121"/>
  <c r="CF97" i="183" l="1"/>
  <c r="CC97" i="183"/>
  <c r="CD97" i="183" s="1"/>
  <c r="CE97" i="183" s="1" a="1"/>
  <c r="CE97" i="183" s="1"/>
  <c r="BT98" i="183" s="1"/>
  <c r="BO99" i="183"/>
  <c r="BL99" i="183"/>
  <c r="BM99" i="183" s="1"/>
  <c r="BN99" i="183" s="1" a="1"/>
  <c r="BN99" i="183" s="1"/>
  <c r="BC100" i="183" s="1"/>
  <c r="CT99" i="183"/>
  <c r="CU99" i="183" s="1"/>
  <c r="CV99" i="183" s="1" a="1"/>
  <c r="CV99" i="183" s="1"/>
  <c r="CK100" i="183" s="1"/>
  <c r="CW99" i="183"/>
  <c r="D516" i="121"/>
  <c r="C516" i="121"/>
  <c r="C517" i="121" s="1"/>
  <c r="D511" i="121"/>
  <c r="C511" i="121"/>
  <c r="C512" i="121" s="1"/>
  <c r="C414" i="121"/>
  <c r="R465" i="121"/>
  <c r="R452" i="121"/>
  <c r="R453" i="121" s="1"/>
  <c r="R422" i="121" s="1"/>
  <c r="R456" i="121"/>
  <c r="R467" i="121" s="1"/>
  <c r="G41" i="145"/>
  <c r="J62" i="141"/>
  <c r="J70" i="141"/>
  <c r="E62" i="141"/>
  <c r="E70" i="141"/>
  <c r="R455" i="121"/>
  <c r="R466" i="121" s="1"/>
  <c r="V41" i="145" l="1"/>
  <c r="CA98" i="183"/>
  <c r="BU98" i="183"/>
  <c r="BX98" i="183" s="1"/>
  <c r="BV98" i="183"/>
  <c r="BW98" i="183"/>
  <c r="BE100" i="183"/>
  <c r="BF100" i="183"/>
  <c r="BD100" i="183"/>
  <c r="BG100" i="183" s="1"/>
  <c r="BJ100" i="183"/>
  <c r="CN100" i="183"/>
  <c r="CR100" i="183"/>
  <c r="CM100" i="183"/>
  <c r="CL100" i="183"/>
  <c r="CO100" i="183" s="1"/>
  <c r="D521" i="121"/>
  <c r="C521" i="121"/>
  <c r="C522" i="121" s="1"/>
  <c r="G48" i="145"/>
  <c r="G45" i="145"/>
  <c r="BG15" i="132" a="1"/>
  <c r="BG15" i="132" s="1"/>
  <c r="AA560" i="121"/>
  <c r="X545" i="121" s="1"/>
  <c r="X548" i="121" s="1"/>
  <c r="X544" i="121"/>
  <c r="BG16" i="132" l="1" a="1"/>
  <c r="BG16" i="132" s="1"/>
  <c r="BY98" i="183"/>
  <c r="BZ98" i="183" s="1"/>
  <c r="CB98" i="183" s="1"/>
  <c r="BH100" i="183"/>
  <c r="BI100" i="183" s="1"/>
  <c r="BK100" i="183" s="1"/>
  <c r="CP100" i="183"/>
  <c r="CQ100" i="183" s="1"/>
  <c r="CS100" i="183" s="1"/>
  <c r="BY15" i="132" a="1"/>
  <c r="BY15" i="132" s="1"/>
  <c r="V48" i="145"/>
  <c r="BV15" i="132" a="1"/>
  <c r="BV15" i="132" s="1"/>
  <c r="V45" i="145"/>
  <c r="X551" i="121"/>
  <c r="BV16" i="132" l="1" a="1"/>
  <c r="BV16" i="132" s="1"/>
  <c r="BY16" i="132" a="1"/>
  <c r="BY16" i="132" s="1"/>
  <c r="CC98" i="183"/>
  <c r="CD98" i="183" s="1"/>
  <c r="CE98" i="183" s="1" a="1"/>
  <c r="CE98" i="183" s="1"/>
  <c r="BT99" i="183" s="1"/>
  <c r="CF98" i="183"/>
  <c r="BO100" i="183"/>
  <c r="BL100" i="183"/>
  <c r="BM100" i="183" s="1"/>
  <c r="BN100" i="183" s="1" a="1"/>
  <c r="BN100" i="183" s="1"/>
  <c r="BC101" i="183" s="1"/>
  <c r="CT100" i="183"/>
  <c r="CU100" i="183" s="1"/>
  <c r="CV100" i="183" s="1" a="1"/>
  <c r="CV100" i="183" s="1"/>
  <c r="CK101" i="183" s="1"/>
  <c r="CW100" i="183"/>
  <c r="C460" i="121"/>
  <c r="E460" i="121" s="1"/>
  <c r="H492" i="121" s="1"/>
  <c r="C461" i="121"/>
  <c r="E461" i="121" s="1"/>
  <c r="H494" i="121" s="1"/>
  <c r="I494" i="121" s="1"/>
  <c r="J494" i="121" s="1"/>
  <c r="C462" i="121"/>
  <c r="E462" i="121" s="1"/>
  <c r="H496" i="121" s="1"/>
  <c r="I496" i="121" s="1"/>
  <c r="J496" i="121" s="1"/>
  <c r="C458" i="121"/>
  <c r="E458" i="121" s="1"/>
  <c r="C459" i="121"/>
  <c r="E459" i="121" s="1"/>
  <c r="AA562" i="121"/>
  <c r="X547" i="121" s="1"/>
  <c r="X550" i="121" s="1"/>
  <c r="C463" i="121"/>
  <c r="E463" i="121" s="1"/>
  <c r="X423" i="121" s="1"/>
  <c r="C466" i="121"/>
  <c r="E466" i="121" s="1"/>
  <c r="AA561" i="121"/>
  <c r="X546" i="121" s="1"/>
  <c r="X549" i="121" s="1"/>
  <c r="C465" i="121"/>
  <c r="E465" i="121" s="1"/>
  <c r="C457" i="121"/>
  <c r="E457" i="121" s="1"/>
  <c r="BU99" i="183" l="1"/>
  <c r="BX99" i="183" s="1"/>
  <c r="CA99" i="183"/>
  <c r="BV99" i="183"/>
  <c r="BW99" i="183"/>
  <c r="BE101" i="183"/>
  <c r="BJ101" i="183"/>
  <c r="BD101" i="183"/>
  <c r="BG101" i="183" s="1"/>
  <c r="BF101" i="183"/>
  <c r="CL101" i="183"/>
  <c r="CO101" i="183" s="1"/>
  <c r="CM101" i="183"/>
  <c r="CR101" i="183"/>
  <c r="CN101" i="183"/>
  <c r="H500" i="121"/>
  <c r="P699" i="121" s="1"/>
  <c r="P700" i="121" s="1"/>
  <c r="K494" i="121"/>
  <c r="L494" i="121" s="1"/>
  <c r="K496" i="121"/>
  <c r="L496" i="121" s="1"/>
  <c r="J443" i="121"/>
  <c r="E103" i="145"/>
  <c r="AA440" i="121"/>
  <c r="X425" i="121" s="1"/>
  <c r="X428" i="121" s="1"/>
  <c r="X431" i="121" s="1"/>
  <c r="E104" i="145"/>
  <c r="AA441" i="121"/>
  <c r="X426" i="121" s="1"/>
  <c r="X429" i="121" s="1"/>
  <c r="X558" i="121"/>
  <c r="X560" i="121" s="1"/>
  <c r="X562" i="121" s="1"/>
  <c r="X559" i="121"/>
  <c r="K492" i="121"/>
  <c r="I492" i="121"/>
  <c r="I500" i="121" s="1"/>
  <c r="C464" i="121"/>
  <c r="E464" i="121" s="1"/>
  <c r="G77" i="145"/>
  <c r="BY99" i="183" l="1"/>
  <c r="BZ99" i="183" s="1"/>
  <c r="CB99" i="183" s="1"/>
  <c r="BH101" i="183"/>
  <c r="BI101" i="183" s="1"/>
  <c r="BK101" i="183" s="1"/>
  <c r="CP101" i="183"/>
  <c r="CQ101" i="183" s="1"/>
  <c r="CS101" i="183" s="1"/>
  <c r="X563" i="121"/>
  <c r="X566" i="121" s="1"/>
  <c r="X572" i="121" s="1"/>
  <c r="X581" i="121"/>
  <c r="X582" i="121" s="1"/>
  <c r="X583" i="121" s="1"/>
  <c r="X578" i="121"/>
  <c r="X580" i="121" s="1"/>
  <c r="X561" i="121"/>
  <c r="X564" i="121" s="1"/>
  <c r="X570" i="121" s="1"/>
  <c r="K500" i="121"/>
  <c r="R699" i="121" s="1"/>
  <c r="R700" i="121" s="1"/>
  <c r="J445" i="121"/>
  <c r="J444" i="121"/>
  <c r="E102" i="145"/>
  <c r="AA439" i="121"/>
  <c r="X424" i="121" s="1"/>
  <c r="X427" i="121" s="1"/>
  <c r="L492" i="121"/>
  <c r="L500" i="121" s="1"/>
  <c r="Q699" i="121"/>
  <c r="Q700" i="121" s="1"/>
  <c r="J492" i="121"/>
  <c r="J500" i="121" s="1"/>
  <c r="M64" i="141"/>
  <c r="X432" i="121"/>
  <c r="X565" i="121"/>
  <c r="X571" i="121" s="1"/>
  <c r="G68" i="145"/>
  <c r="CF99" i="183" l="1"/>
  <c r="CC99" i="183"/>
  <c r="CD99" i="183" s="1"/>
  <c r="CE99" i="183" s="1" a="1"/>
  <c r="CE99" i="183" s="1"/>
  <c r="BT100" i="183" s="1"/>
  <c r="BL101" i="183"/>
  <c r="BM101" i="183" s="1"/>
  <c r="BN101" i="183" s="1" a="1"/>
  <c r="BN101" i="183" s="1"/>
  <c r="BC102" i="183" s="1"/>
  <c r="BO101" i="183"/>
  <c r="CW101" i="183"/>
  <c r="CT101" i="183"/>
  <c r="CU101" i="183" s="1"/>
  <c r="CV101" i="183" s="1" a="1"/>
  <c r="CV101" i="183" s="1"/>
  <c r="CK102" i="183" s="1"/>
  <c r="X575" i="121"/>
  <c r="X586" i="121" s="1"/>
  <c r="C537" i="121"/>
  <c r="F659" i="121" s="1"/>
  <c r="E660" i="121" s="1"/>
  <c r="C661" i="121" s="1"/>
  <c r="C536" i="121"/>
  <c r="F654" i="121" s="1"/>
  <c r="E655" i="121" s="1"/>
  <c r="C656" i="121" s="1"/>
  <c r="K730" i="121" s="1"/>
  <c r="K731" i="121" s="1"/>
  <c r="S699" i="121"/>
  <c r="S700" i="121" s="1"/>
  <c r="X573" i="121"/>
  <c r="X574" i="121" s="1"/>
  <c r="X543" i="121" s="1"/>
  <c r="J730" i="121" s="1"/>
  <c r="J731" i="121" s="1"/>
  <c r="M65" i="141"/>
  <c r="N64" i="141"/>
  <c r="X576" i="121"/>
  <c r="X587" i="121" s="1"/>
  <c r="O64" i="141"/>
  <c r="V699" i="121"/>
  <c r="X577" i="121"/>
  <c r="X588" i="121" s="1"/>
  <c r="X430" i="121"/>
  <c r="X439" i="121" s="1"/>
  <c r="X440" i="121" s="1"/>
  <c r="G78" i="145"/>
  <c r="G79" i="145"/>
  <c r="G69" i="145"/>
  <c r="G71" i="145"/>
  <c r="G70" i="145"/>
  <c r="S64" i="141" l="1"/>
  <c r="V700" i="121"/>
  <c r="BW100" i="183"/>
  <c r="BU100" i="183"/>
  <c r="BX100" i="183" s="1"/>
  <c r="BV100" i="183"/>
  <c r="CA100" i="183"/>
  <c r="BJ102" i="183"/>
  <c r="BE102" i="183"/>
  <c r="BD102" i="183"/>
  <c r="BG102" i="183" s="1"/>
  <c r="BF102" i="183"/>
  <c r="CN102" i="183"/>
  <c r="CM102" i="183"/>
  <c r="CR102" i="183"/>
  <c r="CL102" i="183"/>
  <c r="CO102" i="183" s="1"/>
  <c r="BL15" i="132" a="1"/>
  <c r="BL15" i="132" s="1"/>
  <c r="BN15" i="132" a="1"/>
  <c r="BN15" i="132" s="1"/>
  <c r="C538" i="121"/>
  <c r="F664" i="121" s="1"/>
  <c r="E665" i="121" s="1"/>
  <c r="C666" i="121" s="1"/>
  <c r="L730" i="121" s="1"/>
  <c r="L731" i="121" s="1"/>
  <c r="H72" i="141"/>
  <c r="P64" i="141"/>
  <c r="J562" i="121"/>
  <c r="W699" i="121"/>
  <c r="G72" i="141"/>
  <c r="H632" i="121"/>
  <c r="I632" i="121" s="1"/>
  <c r="C716" i="121"/>
  <c r="D716" i="121" s="1"/>
  <c r="G73" i="141"/>
  <c r="N65" i="141"/>
  <c r="H631" i="121"/>
  <c r="H633" i="121"/>
  <c r="I633" i="121" s="1"/>
  <c r="K634" i="121"/>
  <c r="O65" i="141"/>
  <c r="X443" i="121"/>
  <c r="X449" i="121" s="1"/>
  <c r="P65" i="141"/>
  <c r="X460" i="121"/>
  <c r="X461" i="121" s="1"/>
  <c r="X462" i="121" s="1"/>
  <c r="X457" i="121"/>
  <c r="X441" i="121"/>
  <c r="X442" i="121"/>
  <c r="K638" i="121"/>
  <c r="L638" i="121" s="1"/>
  <c r="H638" i="121"/>
  <c r="I638" i="121" s="1"/>
  <c r="J638" i="121" s="1"/>
  <c r="K642" i="121"/>
  <c r="L642" i="121" s="1"/>
  <c r="G623" i="121"/>
  <c r="H642" i="121"/>
  <c r="I642" i="121" s="1"/>
  <c r="J642" i="121" s="1"/>
  <c r="G74" i="145"/>
  <c r="V7" i="145"/>
  <c r="T64" i="141" l="1"/>
  <c r="W700" i="121"/>
  <c r="W15" i="132"/>
  <c r="BY100" i="183"/>
  <c r="BZ100" i="183" s="1"/>
  <c r="CB100" i="183" s="1"/>
  <c r="BH102" i="183"/>
  <c r="BI102" i="183" s="1"/>
  <c r="BK102" i="183" s="1"/>
  <c r="CP102" i="183"/>
  <c r="CQ102" i="183" s="1"/>
  <c r="CS102" i="183" s="1"/>
  <c r="I72" i="141"/>
  <c r="C719" i="121"/>
  <c r="D719" i="121" s="1"/>
  <c r="I73" i="141"/>
  <c r="C717" i="121"/>
  <c r="D717" i="121" s="1"/>
  <c r="H73" i="141"/>
  <c r="K643" i="121"/>
  <c r="R730" i="121" s="1"/>
  <c r="R731" i="121" s="1"/>
  <c r="J564" i="121"/>
  <c r="J563" i="121"/>
  <c r="J633" i="121"/>
  <c r="O633" i="121" s="1"/>
  <c r="X445" i="121"/>
  <c r="X451" i="121" s="1"/>
  <c r="X444" i="121"/>
  <c r="X450" i="121" s="1"/>
  <c r="C415" i="121"/>
  <c r="C416" i="121"/>
  <c r="F516" i="121" s="1"/>
  <c r="E517" i="121" s="1"/>
  <c r="C518" i="121" s="1"/>
  <c r="S65" i="141"/>
  <c r="T65" i="141"/>
  <c r="X454" i="121"/>
  <c r="J632" i="121"/>
  <c r="O632" i="121" s="1"/>
  <c r="L634" i="121"/>
  <c r="L643" i="121" s="1"/>
  <c r="X459" i="121"/>
  <c r="I631" i="121"/>
  <c r="C616" i="121"/>
  <c r="C615" i="121"/>
  <c r="C617" i="121"/>
  <c r="C621" i="121"/>
  <c r="C618" i="121"/>
  <c r="K16" i="132"/>
  <c r="O623" i="121"/>
  <c r="O642" i="121"/>
  <c r="G53" i="145"/>
  <c r="V53" i="145"/>
  <c r="G75" i="145"/>
  <c r="V8" i="145"/>
  <c r="CC100" i="183" l="1"/>
  <c r="CD100" i="183" s="1"/>
  <c r="CE100" i="183" s="1" a="1"/>
  <c r="CE100" i="183" s="1"/>
  <c r="BT101" i="183" s="1"/>
  <c r="CF100" i="183"/>
  <c r="BL102" i="183"/>
  <c r="BM102" i="183" s="1"/>
  <c r="BN102" i="183" s="1" a="1"/>
  <c r="BN102" i="183" s="1"/>
  <c r="BC103" i="183" s="1"/>
  <c r="BO102" i="183"/>
  <c r="CW102" i="183"/>
  <c r="CT102" i="183"/>
  <c r="CU102" i="183" s="1"/>
  <c r="CV102" i="183" s="1" a="1"/>
  <c r="CV102" i="183" s="1"/>
  <c r="CK103" i="183" s="1"/>
  <c r="L16" i="132"/>
  <c r="S730" i="121"/>
  <c r="F511" i="121"/>
  <c r="E512" i="121" s="1"/>
  <c r="C513" i="121" s="1"/>
  <c r="K699" i="121" s="1"/>
  <c r="K700" i="121" s="1"/>
  <c r="X452" i="121"/>
  <c r="X453" i="121" s="1"/>
  <c r="X422" i="121" s="1"/>
  <c r="J699" i="121" s="1"/>
  <c r="J700" i="121" s="1"/>
  <c r="G43" i="145"/>
  <c r="G42" i="145"/>
  <c r="J631" i="121"/>
  <c r="C619" i="121"/>
  <c r="C620" i="121"/>
  <c r="J616" i="121"/>
  <c r="N616" i="121" s="1"/>
  <c r="O616" i="121" s="1"/>
  <c r="O635" i="121"/>
  <c r="C417" i="121"/>
  <c r="X456" i="121"/>
  <c r="X467" i="121" s="1"/>
  <c r="J615" i="121"/>
  <c r="C424" i="121"/>
  <c r="E424" i="121" s="1"/>
  <c r="F477" i="121" s="1"/>
  <c r="F478" i="121" s="1"/>
  <c r="O72" i="141"/>
  <c r="V730" i="121"/>
  <c r="J618" i="121"/>
  <c r="N618" i="121" s="1"/>
  <c r="O618" i="121" s="1"/>
  <c r="O637" i="121"/>
  <c r="X465" i="121"/>
  <c r="X455" i="121"/>
  <c r="X466" i="121" s="1"/>
  <c r="O640" i="121"/>
  <c r="J621" i="121"/>
  <c r="N621" i="121" s="1"/>
  <c r="O621" i="121" s="1"/>
  <c r="O636" i="121"/>
  <c r="J617" i="121"/>
  <c r="N617" i="121" s="1"/>
  <c r="O617" i="121" s="1"/>
  <c r="V70" i="145"/>
  <c r="C431" i="121" l="1"/>
  <c r="E431" i="121" s="1"/>
  <c r="F481" i="121" s="1"/>
  <c r="F482" i="121" s="1"/>
  <c r="F484" i="121" s="1"/>
  <c r="S731" i="121"/>
  <c r="S72" i="141"/>
  <c r="V731" i="121"/>
  <c r="V43" i="145"/>
  <c r="BH16" i="132" s="1" a="1"/>
  <c r="BH16" i="132" s="1"/>
  <c r="V42" i="145"/>
  <c r="G47" i="145"/>
  <c r="BV101" i="183"/>
  <c r="CA101" i="183"/>
  <c r="BW101" i="183"/>
  <c r="BU101" i="183"/>
  <c r="BX101" i="183" s="1"/>
  <c r="H64" i="141"/>
  <c r="BJ103" i="183"/>
  <c r="BF103" i="183"/>
  <c r="BD103" i="183"/>
  <c r="BG103" i="183" s="1"/>
  <c r="BE103" i="183"/>
  <c r="CL103" i="183"/>
  <c r="CO103" i="183" s="1"/>
  <c r="CR103" i="183"/>
  <c r="CM103" i="183"/>
  <c r="CN103" i="183"/>
  <c r="W730" i="121"/>
  <c r="P72" i="141"/>
  <c r="C626" i="121"/>
  <c r="C686" i="121"/>
  <c r="D686" i="121" s="1"/>
  <c r="F521" i="121"/>
  <c r="E522" i="121" s="1"/>
  <c r="C523" i="121" s="1"/>
  <c r="L699" i="121" s="1"/>
  <c r="L700" i="121" s="1"/>
  <c r="E477" i="121"/>
  <c r="D477" i="121" s="1"/>
  <c r="M477" i="121" s="1"/>
  <c r="E423" i="121"/>
  <c r="C478" i="121" s="1"/>
  <c r="C477" i="121"/>
  <c r="C427" i="121"/>
  <c r="E427" i="121" s="1"/>
  <c r="F479" i="121" s="1"/>
  <c r="F480" i="121" s="1"/>
  <c r="D730" i="121"/>
  <c r="D731" i="121" s="1"/>
  <c r="J619" i="121"/>
  <c r="H634" i="121"/>
  <c r="H643" i="121" s="1"/>
  <c r="E615" i="121"/>
  <c r="D615" i="121" s="1"/>
  <c r="M615" i="121" s="1"/>
  <c r="N615" i="121" s="1"/>
  <c r="G64" i="141"/>
  <c r="G46" i="145"/>
  <c r="G49" i="145"/>
  <c r="BF15" i="132" a="1"/>
  <c r="BF15" i="132" s="1"/>
  <c r="O631" i="121"/>
  <c r="P73" i="141"/>
  <c r="O73" i="141"/>
  <c r="O639" i="121"/>
  <c r="J620" i="121"/>
  <c r="N620" i="121" s="1"/>
  <c r="O620" i="121" s="1"/>
  <c r="G44" i="145"/>
  <c r="BH15" i="132" a="1"/>
  <c r="BH15" i="132" s="1"/>
  <c r="G8" i="145"/>
  <c r="V74" i="145"/>
  <c r="V71" i="145"/>
  <c r="C481" i="121" l="1"/>
  <c r="J481" i="121" s="1"/>
  <c r="E481" i="121"/>
  <c r="D481" i="121" s="1"/>
  <c r="M481" i="121" s="1"/>
  <c r="E430" i="121"/>
  <c r="C483" i="121" s="1"/>
  <c r="BF16" i="132" a="1"/>
  <c r="BF16" i="132" s="1"/>
  <c r="T72" i="141"/>
  <c r="W731" i="121"/>
  <c r="T73" i="141" s="1"/>
  <c r="V47" i="145"/>
  <c r="BY101" i="183"/>
  <c r="BZ101" i="183" s="1"/>
  <c r="CB101" i="183" s="1"/>
  <c r="CP103" i="183"/>
  <c r="CQ103" i="183" s="1"/>
  <c r="CS103" i="183" s="1"/>
  <c r="BH103" i="183"/>
  <c r="BI103" i="183" s="1"/>
  <c r="BK103" i="183" s="1"/>
  <c r="H65" i="141"/>
  <c r="BW15" i="132" a="1"/>
  <c r="BW15" i="132" s="1"/>
  <c r="V44" i="145"/>
  <c r="BZ15" i="132" a="1"/>
  <c r="BZ15" i="132" s="1"/>
  <c r="BX15" i="132" a="1"/>
  <c r="BX15" i="132" s="1"/>
  <c r="X15" i="132" s="1"/>
  <c r="V49" i="145"/>
  <c r="BU15" i="132" a="1"/>
  <c r="BU15" i="132" s="1"/>
  <c r="V46" i="145"/>
  <c r="C688" i="121"/>
  <c r="D688" i="121" s="1"/>
  <c r="I64" i="141"/>
  <c r="G477" i="121"/>
  <c r="O492" i="121" s="1"/>
  <c r="E479" i="121"/>
  <c r="D479" i="121" s="1"/>
  <c r="M479" i="121" s="1"/>
  <c r="E426" i="121"/>
  <c r="C480" i="121" s="1"/>
  <c r="C479" i="121"/>
  <c r="J477" i="121"/>
  <c r="N477" i="121" s="1"/>
  <c r="J478" i="121"/>
  <c r="N478" i="121" s="1"/>
  <c r="O478" i="121" s="1"/>
  <c r="O493" i="121"/>
  <c r="C482" i="121"/>
  <c r="C484" i="121"/>
  <c r="E730" i="121"/>
  <c r="E731" i="121" s="1"/>
  <c r="D721" i="121" s="1"/>
  <c r="I634" i="121"/>
  <c r="I643" i="121" s="1"/>
  <c r="P730" i="121"/>
  <c r="P731" i="121" s="1"/>
  <c r="G615" i="121"/>
  <c r="S73" i="141"/>
  <c r="L15" i="132"/>
  <c r="E619" i="121"/>
  <c r="D619" i="121" s="1"/>
  <c r="M619" i="121" s="1"/>
  <c r="N619" i="121" s="1"/>
  <c r="C685" i="121"/>
  <c r="D685" i="121" s="1"/>
  <c r="G65" i="141"/>
  <c r="V75" i="145"/>
  <c r="G7" i="145"/>
  <c r="G481" i="121" l="1"/>
  <c r="O496" i="121" s="1"/>
  <c r="N481" i="121"/>
  <c r="D722" i="121"/>
  <c r="BZ16" i="132" a="1"/>
  <c r="BZ16" i="132" s="1"/>
  <c r="BU16" i="132" a="1"/>
  <c r="BU16" i="132" s="1"/>
  <c r="BW16" i="132" a="1"/>
  <c r="BW16" i="132" s="1"/>
  <c r="BX16" i="132" a="1"/>
  <c r="BX16" i="132" s="1"/>
  <c r="X16" i="132" s="1"/>
  <c r="CC101" i="183"/>
  <c r="CD101" i="183" s="1"/>
  <c r="CE101" i="183" s="1" a="1"/>
  <c r="CE101" i="183" s="1"/>
  <c r="BT102" i="183" s="1"/>
  <c r="CF101" i="183"/>
  <c r="BO103" i="183"/>
  <c r="BI34" i="183" s="1"/>
  <c r="BI43" i="183" s="1"/>
  <c r="R11" i="183" s="1"/>
  <c r="BL103" i="183"/>
  <c r="BM103" i="183" s="1"/>
  <c r="BN103" i="183" s="1" a="1"/>
  <c r="BN103" i="183" s="1"/>
  <c r="CT103" i="183"/>
  <c r="CU103" i="183" s="1"/>
  <c r="CV103" i="183" s="1" a="1"/>
  <c r="CV103" i="183" s="1"/>
  <c r="CW103" i="183"/>
  <c r="CQ34" i="183" s="1"/>
  <c r="I65" i="141"/>
  <c r="O481" i="121"/>
  <c r="C627" i="121"/>
  <c r="G479" i="121"/>
  <c r="C487" i="121"/>
  <c r="D699" i="121"/>
  <c r="D700" i="121" s="1"/>
  <c r="O497" i="121"/>
  <c r="J482" i="121"/>
  <c r="N482" i="121" s="1"/>
  <c r="O482" i="121" s="1"/>
  <c r="J483" i="121"/>
  <c r="N483" i="121" s="1"/>
  <c r="O483" i="121" s="1"/>
  <c r="O498" i="121"/>
  <c r="O477" i="121"/>
  <c r="J484" i="121"/>
  <c r="N484" i="121" s="1"/>
  <c r="O484" i="121" s="1"/>
  <c r="O499" i="121"/>
  <c r="J479" i="121"/>
  <c r="N479" i="121" s="1"/>
  <c r="O495" i="121"/>
  <c r="J480" i="121"/>
  <c r="N480" i="121" s="1"/>
  <c r="O480" i="121" s="1"/>
  <c r="G619" i="121"/>
  <c r="M72" i="141"/>
  <c r="J634" i="121"/>
  <c r="J643" i="121" s="1"/>
  <c r="Q730" i="121"/>
  <c r="Q731" i="121" s="1"/>
  <c r="K15" i="132"/>
  <c r="O615" i="121"/>
  <c r="V68" i="145"/>
  <c r="D487" i="121" l="1"/>
  <c r="BI44" i="183"/>
  <c r="R2" i="183"/>
  <c r="BW102" i="183"/>
  <c r="BU102" i="183"/>
  <c r="BX102" i="183" s="1"/>
  <c r="BV102" i="183"/>
  <c r="CA102" i="183"/>
  <c r="BI39" i="183"/>
  <c r="R7" i="183" s="1"/>
  <c r="BI40" i="183"/>
  <c r="R8" i="183" s="1"/>
  <c r="BI38" i="183"/>
  <c r="R6" i="183" s="1"/>
  <c r="BI35" i="183"/>
  <c r="R3" i="183" s="1"/>
  <c r="BI46" i="183"/>
  <c r="R12" i="183"/>
  <c r="CQ44" i="183"/>
  <c r="CQ40" i="183"/>
  <c r="T8" i="183" s="1"/>
  <c r="T2" i="183"/>
  <c r="CQ43" i="183"/>
  <c r="T11" i="183" s="1"/>
  <c r="CQ39" i="183"/>
  <c r="T7" i="183" s="1"/>
  <c r="CQ35" i="183"/>
  <c r="CQ38" i="183"/>
  <c r="O494" i="121"/>
  <c r="O500" i="121" s="1"/>
  <c r="C502" i="121" s="1"/>
  <c r="G699" i="121" s="1"/>
  <c r="G700" i="121" s="1"/>
  <c r="O638" i="121"/>
  <c r="D626" i="121"/>
  <c r="D627" i="121"/>
  <c r="F730" i="121" s="1"/>
  <c r="F731" i="121" s="1"/>
  <c r="C488" i="121"/>
  <c r="D488" i="121"/>
  <c r="F699" i="121" s="1"/>
  <c r="F700" i="121" s="1"/>
  <c r="E699" i="121"/>
  <c r="E700" i="121" s="1"/>
  <c r="D690" i="121" s="1"/>
  <c r="O479" i="121"/>
  <c r="O634" i="121"/>
  <c r="O619" i="121"/>
  <c r="N72" i="141"/>
  <c r="M73" i="141"/>
  <c r="V76" i="145"/>
  <c r="G10" i="145"/>
  <c r="V69" i="145"/>
  <c r="V79" i="145"/>
  <c r="V77" i="145"/>
  <c r="V78" i="145"/>
  <c r="D691" i="121" l="1"/>
  <c r="BY102" i="183"/>
  <c r="BZ102" i="183" s="1"/>
  <c r="CB102" i="183" s="1"/>
  <c r="BI36" i="183"/>
  <c r="BI48" i="183" s="1"/>
  <c r="C713" i="121"/>
  <c r="C682" i="121"/>
  <c r="M699" i="121"/>
  <c r="M700" i="121" s="1"/>
  <c r="R14" i="183"/>
  <c r="BI51" i="183"/>
  <c r="R19" i="183" s="1"/>
  <c r="S60" i="187" s="1"/>
  <c r="S360" i="187" s="1"/>
  <c r="C40" i="100" s="1"/>
  <c r="C5" i="100" s="1"/>
  <c r="T6" i="183"/>
  <c r="T3" i="183"/>
  <c r="CQ36" i="183"/>
  <c r="CQ46" i="183"/>
  <c r="T12" i="183"/>
  <c r="BM16" i="132" a="1"/>
  <c r="BM16" i="132" s="1"/>
  <c r="BN16" i="132" a="1"/>
  <c r="BN16" i="132" s="1"/>
  <c r="BL16" i="132" a="1"/>
  <c r="BL16" i="132" s="1"/>
  <c r="O643" i="121"/>
  <c r="C645" i="121" s="1"/>
  <c r="G730" i="121" s="1"/>
  <c r="C64" i="141"/>
  <c r="D64" i="141"/>
  <c r="H699" i="121"/>
  <c r="D65" i="141"/>
  <c r="C683" i="121"/>
  <c r="D683" i="121" s="1"/>
  <c r="C72" i="141"/>
  <c r="N73" i="141"/>
  <c r="G5" i="145"/>
  <c r="G11" i="145"/>
  <c r="H730" i="121" l="1"/>
  <c r="G731" i="121"/>
  <c r="D73" i="141" s="1"/>
  <c r="H700" i="121"/>
  <c r="E65" i="141" s="1"/>
  <c r="C73" i="141"/>
  <c r="BI37" i="183"/>
  <c r="R5" i="183" s="1"/>
  <c r="R4" i="183"/>
  <c r="CF102" i="183"/>
  <c r="CC102" i="183"/>
  <c r="CD102" i="183" s="1"/>
  <c r="CE102" i="183" s="1" a="1"/>
  <c r="CE102" i="183" s="1"/>
  <c r="BT103" i="183" s="1"/>
  <c r="C65" i="141"/>
  <c r="M730" i="121"/>
  <c r="M731" i="121" s="1"/>
  <c r="CB18" i="132"/>
  <c r="D191" i="111"/>
  <c r="CB17" i="132"/>
  <c r="T3" i="100"/>
  <c r="C333" i="100" s="1"/>
  <c r="E333" i="100" s="1"/>
  <c r="C340" i="100" s="1"/>
  <c r="BI41" i="183"/>
  <c r="R9" i="183" s="1"/>
  <c r="BI42" i="183"/>
  <c r="R16" i="183"/>
  <c r="S57" i="187" s="1"/>
  <c r="W16" i="132"/>
  <c r="T14" i="183"/>
  <c r="CQ51" i="183"/>
  <c r="T19" i="183" s="1"/>
  <c r="AA60" i="187" s="1"/>
  <c r="AA360" i="187" s="1"/>
  <c r="C41" i="124" s="1"/>
  <c r="C5" i="124" s="1"/>
  <c r="CQ48" i="183"/>
  <c r="T4" i="183"/>
  <c r="CQ37" i="183"/>
  <c r="J64" i="141"/>
  <c r="D72" i="141"/>
  <c r="E64" i="141"/>
  <c r="D682" i="121"/>
  <c r="C689" i="121"/>
  <c r="D689" i="121" s="1"/>
  <c r="C687" i="121"/>
  <c r="D687" i="121" s="1"/>
  <c r="J65" i="141"/>
  <c r="I15" i="132"/>
  <c r="E72" i="141"/>
  <c r="D713" i="121"/>
  <c r="G4" i="145"/>
  <c r="G9" i="145"/>
  <c r="V4" i="145"/>
  <c r="G191" i="111" l="1"/>
  <c r="E191" i="111"/>
  <c r="H191" i="111"/>
  <c r="H220" i="111" s="1"/>
  <c r="W35" i="111" s="1"/>
  <c r="I191" i="111"/>
  <c r="I220" i="111" s="1"/>
  <c r="I222" i="111" s="1"/>
  <c r="H731" i="121"/>
  <c r="E73" i="141" s="1"/>
  <c r="BI49" i="183"/>
  <c r="R17" i="183" s="1"/>
  <c r="S58" i="187" s="1"/>
  <c r="S263" i="187" s="1"/>
  <c r="T29" i="100" s="1"/>
  <c r="BW103" i="183"/>
  <c r="BV103" i="183"/>
  <c r="BU103" i="183"/>
  <c r="BX103" i="183" s="1"/>
  <c r="CA103" i="183"/>
  <c r="R10" i="183"/>
  <c r="BI45" i="183"/>
  <c r="BI47" i="183"/>
  <c r="R15" i="183" s="1"/>
  <c r="S262" i="187"/>
  <c r="T28" i="100" s="1"/>
  <c r="S350" i="187"/>
  <c r="C45" i="100" s="1"/>
  <c r="S307" i="187"/>
  <c r="Z5" i="100" s="1"/>
  <c r="AD191" i="111"/>
  <c r="CB22" i="132"/>
  <c r="CB21" i="132"/>
  <c r="T5" i="183"/>
  <c r="CQ49" i="183"/>
  <c r="T17" i="183" s="1"/>
  <c r="AA58" i="187" s="1"/>
  <c r="CQ42" i="183"/>
  <c r="CQ41" i="183"/>
  <c r="T9" i="183" s="1"/>
  <c r="T16" i="183"/>
  <c r="AA57" i="187" s="1"/>
  <c r="D265" i="111"/>
  <c r="T3" i="124"/>
  <c r="C333" i="124" s="1"/>
  <c r="E333" i="124" s="1"/>
  <c r="C340" i="124" s="1"/>
  <c r="C342" i="124" s="1"/>
  <c r="C714" i="121"/>
  <c r="D714" i="121" s="1"/>
  <c r="J72" i="141"/>
  <c r="H15" i="132"/>
  <c r="M15" i="132" s="1"/>
  <c r="H16" i="132"/>
  <c r="C718" i="121"/>
  <c r="D718" i="121" s="1"/>
  <c r="J73" i="141"/>
  <c r="V5" i="145"/>
  <c r="V9" i="145"/>
  <c r="AE191" i="111" l="1"/>
  <c r="AI191" i="111"/>
  <c r="AI220" i="111" s="1"/>
  <c r="AI222" i="111" s="1"/>
  <c r="AH191" i="111"/>
  <c r="AH220" i="111" s="1"/>
  <c r="AG191" i="111"/>
  <c r="I265" i="111"/>
  <c r="I294" i="111" s="1"/>
  <c r="I296" i="111" s="1"/>
  <c r="H265" i="111"/>
  <c r="H294" i="111" s="1"/>
  <c r="W47" i="111" s="1"/>
  <c r="G265" i="111"/>
  <c r="E265" i="111"/>
  <c r="W38" i="111"/>
  <c r="S308" i="187"/>
  <c r="Z6" i="100" s="1"/>
  <c r="H60" i="145"/>
  <c r="I16" i="132"/>
  <c r="M16" i="132" s="1"/>
  <c r="AI17" i="132"/>
  <c r="Q17" i="132" s="1"/>
  <c r="BY103" i="183"/>
  <c r="BZ103" i="183" s="1"/>
  <c r="CB103" i="183" s="1"/>
  <c r="R13" i="183"/>
  <c r="BI50" i="183"/>
  <c r="R18" i="183" s="1"/>
  <c r="S59" i="187" s="1"/>
  <c r="R72" i="187" s="1"/>
  <c r="AA307" i="187"/>
  <c r="Z5" i="124" s="1"/>
  <c r="AA350" i="187"/>
  <c r="C46" i="124" s="1"/>
  <c r="AA262" i="187"/>
  <c r="T23" i="124" s="1"/>
  <c r="G828" i="124"/>
  <c r="G795" i="124"/>
  <c r="T10" i="183"/>
  <c r="CQ45" i="183"/>
  <c r="AD265" i="111"/>
  <c r="AA308" i="187"/>
  <c r="Z6" i="124" s="1"/>
  <c r="AA263" i="187"/>
  <c r="T24" i="124" s="1"/>
  <c r="J60" i="145"/>
  <c r="CQ47" i="183"/>
  <c r="T15" i="183" s="1"/>
  <c r="C720" i="121"/>
  <c r="D720" i="121" s="1"/>
  <c r="AH265" i="111" l="1"/>
  <c r="AH294" i="111" s="1"/>
  <c r="AG265" i="111"/>
  <c r="AE265" i="111"/>
  <c r="AI265" i="111"/>
  <c r="AI294" i="111" s="1"/>
  <c r="AI296" i="111" s="1"/>
  <c r="W50" i="111"/>
  <c r="M828" i="124"/>
  <c r="J128" i="141" s="1"/>
  <c r="M795" i="124"/>
  <c r="J118" i="141" s="1"/>
  <c r="AI18" i="132"/>
  <c r="Q18" i="132" s="1"/>
  <c r="AI21" i="132"/>
  <c r="Q21" i="132" s="1"/>
  <c r="CC103" i="183"/>
  <c r="CD103" i="183" s="1"/>
  <c r="CE103" i="183" s="1" a="1"/>
  <c r="CE103" i="183" s="1"/>
  <c r="CF103" i="183"/>
  <c r="BZ34" i="183" s="1"/>
  <c r="R74" i="187"/>
  <c r="R76" i="187"/>
  <c r="Q90" i="187"/>
  <c r="R90" i="187" s="1"/>
  <c r="S261" i="187"/>
  <c r="T27" i="100" s="1"/>
  <c r="R73" i="187"/>
  <c r="R75" i="187"/>
  <c r="CQ50" i="183"/>
  <c r="T18" i="183" s="1"/>
  <c r="AA59" i="187" s="1"/>
  <c r="Z72" i="187" s="1"/>
  <c r="T13" i="183"/>
  <c r="H795" i="124"/>
  <c r="D118" i="141"/>
  <c r="D128" i="141"/>
  <c r="H828" i="124"/>
  <c r="E128" i="141" l="1"/>
  <c r="E118" i="141"/>
  <c r="AI22" i="132"/>
  <c r="Q22" i="132" s="1"/>
  <c r="BZ43" i="183"/>
  <c r="S11" i="183" s="1"/>
  <c r="BZ40" i="183"/>
  <c r="S8" i="183" s="1"/>
  <c r="BZ39" i="183"/>
  <c r="S7" i="183" s="1"/>
  <c r="BZ44" i="183"/>
  <c r="BZ38" i="183"/>
  <c r="BZ35" i="183"/>
  <c r="S2" i="183"/>
  <c r="S265" i="187"/>
  <c r="T31" i="100" s="1"/>
  <c r="R78" i="187"/>
  <c r="H21" i="145"/>
  <c r="W21" i="145" s="1"/>
  <c r="Q89" i="187"/>
  <c r="R89" i="187" s="1"/>
  <c r="C675" i="100"/>
  <c r="E675" i="100" s="1"/>
  <c r="C549" i="100"/>
  <c r="E549" i="100" s="1"/>
  <c r="S266" i="187"/>
  <c r="T32" i="100" s="1"/>
  <c r="R79" i="187"/>
  <c r="S264" i="187"/>
  <c r="T30" i="100" s="1"/>
  <c r="R77" i="187"/>
  <c r="Z75" i="187"/>
  <c r="Z76" i="187"/>
  <c r="Z73" i="187"/>
  <c r="Z74" i="187"/>
  <c r="AA261" i="187"/>
  <c r="T22" i="124" s="1"/>
  <c r="Y90" i="187"/>
  <c r="E334" i="100"/>
  <c r="C342" i="100" s="1"/>
  <c r="S3" i="183" l="1"/>
  <c r="BZ36" i="183"/>
  <c r="S6" i="183"/>
  <c r="BZ46" i="183"/>
  <c r="S12" i="183"/>
  <c r="C676" i="100"/>
  <c r="E676" i="100" s="1"/>
  <c r="C550" i="100"/>
  <c r="E550" i="100" s="1"/>
  <c r="Q93" i="187"/>
  <c r="R93" i="187"/>
  <c r="CL18" i="132"/>
  <c r="CL17" i="132"/>
  <c r="C552" i="100"/>
  <c r="E552" i="100" s="1"/>
  <c r="C678" i="100"/>
  <c r="E678" i="100" s="1"/>
  <c r="R92" i="187"/>
  <c r="Q92" i="187"/>
  <c r="CK18" i="132"/>
  <c r="CK17" i="132"/>
  <c r="CJ18" i="132"/>
  <c r="CJ17" i="132"/>
  <c r="R91" i="187"/>
  <c r="Q91" i="187"/>
  <c r="C551" i="100"/>
  <c r="E551" i="100" s="1"/>
  <c r="C677" i="100"/>
  <c r="E677" i="100" s="1"/>
  <c r="C674" i="124"/>
  <c r="E674" i="124" s="1"/>
  <c r="C548" i="124"/>
  <c r="E548" i="124" s="1"/>
  <c r="Z77" i="187"/>
  <c r="AA264" i="187"/>
  <c r="T25" i="124" s="1"/>
  <c r="J21" i="145"/>
  <c r="Y21" i="145" s="1"/>
  <c r="Y89" i="187"/>
  <c r="Z89" i="187" s="1"/>
  <c r="Z78" i="187"/>
  <c r="AA265" i="187"/>
  <c r="T26" i="124" s="1"/>
  <c r="Z90" i="187"/>
  <c r="AA266" i="187"/>
  <c r="T27" i="124" s="1"/>
  <c r="Z79" i="187"/>
  <c r="G829" i="100"/>
  <c r="G796" i="100"/>
  <c r="M829" i="100" l="1"/>
  <c r="M796" i="100"/>
  <c r="S14" i="183"/>
  <c r="BZ51" i="183"/>
  <c r="S19" i="183" s="1"/>
  <c r="W60" i="187" s="1"/>
  <c r="W360" i="187" s="1"/>
  <c r="C46" i="123" s="1"/>
  <c r="C5" i="123" s="1"/>
  <c r="BZ37" i="183"/>
  <c r="BZ48" i="183"/>
  <c r="S4" i="183"/>
  <c r="R96" i="187"/>
  <c r="Q96" i="187"/>
  <c r="Q94" i="187"/>
  <c r="R94" i="187"/>
  <c r="Q95" i="187"/>
  <c r="R95" i="187"/>
  <c r="CJ22" i="132"/>
  <c r="CJ21" i="132"/>
  <c r="CL21" i="132"/>
  <c r="CL22" i="132"/>
  <c r="CK22" i="132"/>
  <c r="CK21" i="132"/>
  <c r="Y93" i="187"/>
  <c r="Z93" i="187"/>
  <c r="C550" i="124"/>
  <c r="E550" i="124" s="1"/>
  <c r="C676" i="124"/>
  <c r="E676" i="124" s="1"/>
  <c r="C677" i="124"/>
  <c r="E677" i="124" s="1"/>
  <c r="C551" i="124"/>
  <c r="E551" i="124" s="1"/>
  <c r="C549" i="124"/>
  <c r="E549" i="124" s="1"/>
  <c r="C675" i="124"/>
  <c r="E675" i="124" s="1"/>
  <c r="Z91" i="187"/>
  <c r="Y91" i="187"/>
  <c r="Y92" i="187"/>
  <c r="Z92" i="187"/>
  <c r="H796" i="100"/>
  <c r="D77" i="141"/>
  <c r="H829" i="100"/>
  <c r="D87" i="141"/>
  <c r="S16" i="183" l="1"/>
  <c r="W57" i="187" s="1"/>
  <c r="BZ41" i="183"/>
  <c r="S9" i="183" s="1"/>
  <c r="BZ42" i="183"/>
  <c r="S5" i="183"/>
  <c r="BZ49" i="183"/>
  <c r="S17" i="183" s="1"/>
  <c r="W58" i="187" s="1"/>
  <c r="CB20" i="132"/>
  <c r="D228" i="111"/>
  <c r="CB19" i="132"/>
  <c r="T3" i="123"/>
  <c r="C333" i="123" s="1"/>
  <c r="E333" i="123" s="1"/>
  <c r="C340" i="123" s="1"/>
  <c r="C342" i="123" s="1"/>
  <c r="R101" i="187"/>
  <c r="R111" i="187" s="1"/>
  <c r="Q101" i="187"/>
  <c r="Q111" i="187" s="1"/>
  <c r="Z95" i="187"/>
  <c r="Y95" i="187"/>
  <c r="Z94" i="187"/>
  <c r="Y94" i="187"/>
  <c r="Z96" i="187"/>
  <c r="Y96" i="187"/>
  <c r="J87" i="141"/>
  <c r="E87" i="141"/>
  <c r="E77" i="141"/>
  <c r="J77" i="141"/>
  <c r="E473" i="100"/>
  <c r="E470" i="100"/>
  <c r="E474" i="100"/>
  <c r="F497" i="100" s="1"/>
  <c r="E472" i="100"/>
  <c r="G228" i="111" l="1"/>
  <c r="E228" i="111"/>
  <c r="I228" i="111"/>
  <c r="I257" i="111" s="1"/>
  <c r="I259" i="111" s="1"/>
  <c r="H228" i="111"/>
  <c r="H257" i="111" s="1"/>
  <c r="BZ47" i="183"/>
  <c r="S15" i="183" s="1"/>
  <c r="AD228" i="111"/>
  <c r="W308" i="187"/>
  <c r="Z6" i="123" s="1"/>
  <c r="I60" i="145"/>
  <c r="W263" i="187"/>
  <c r="T44" i="123" s="1"/>
  <c r="C481" i="123" s="1"/>
  <c r="E481" i="123" s="1"/>
  <c r="C485" i="123" s="1"/>
  <c r="G820" i="123"/>
  <c r="G787" i="123"/>
  <c r="S10" i="183"/>
  <c r="BZ45" i="183"/>
  <c r="W262" i="187"/>
  <c r="T43" i="123" s="1"/>
  <c r="C482" i="123" s="1"/>
  <c r="E482" i="123" s="1"/>
  <c r="C486" i="123" s="1"/>
  <c r="J486" i="123" s="1"/>
  <c r="N486" i="123" s="1"/>
  <c r="O486" i="123" s="1"/>
  <c r="W307" i="187"/>
  <c r="Z5" i="123" s="1"/>
  <c r="W350" i="187"/>
  <c r="C51" i="123" s="1"/>
  <c r="R120" i="187"/>
  <c r="R104" i="187"/>
  <c r="R107" i="187" s="1"/>
  <c r="R127" i="187" s="1"/>
  <c r="Q120" i="187"/>
  <c r="Q104" i="187"/>
  <c r="Q107" i="187" s="1"/>
  <c r="Q127" i="187" s="1"/>
  <c r="Z101" i="187"/>
  <c r="Z102" i="187" s="1"/>
  <c r="Z105" i="187" s="1"/>
  <c r="Z125" i="187" s="1"/>
  <c r="Y101" i="187"/>
  <c r="Y103" i="187" s="1"/>
  <c r="Y106" i="187" s="1"/>
  <c r="Y126" i="187" s="1"/>
  <c r="Q102" i="187"/>
  <c r="Q105" i="187" s="1"/>
  <c r="Q125" i="187" s="1"/>
  <c r="Q103" i="187"/>
  <c r="Q106" i="187" s="1"/>
  <c r="Q126" i="187" s="1"/>
  <c r="S138" i="187"/>
  <c r="R102" i="187"/>
  <c r="R105" i="187" s="1"/>
  <c r="R125" i="187" s="1"/>
  <c r="R103" i="187"/>
  <c r="R106" i="187" s="1"/>
  <c r="R126" i="187" s="1"/>
  <c r="Q113" i="187"/>
  <c r="R113" i="187" s="1"/>
  <c r="H37" i="145"/>
  <c r="W37" i="145" s="1"/>
  <c r="F498" i="100"/>
  <c r="G497" i="100"/>
  <c r="G498" i="100" s="1"/>
  <c r="AE228" i="111" l="1"/>
  <c r="AI228" i="111"/>
  <c r="AI257" i="111" s="1"/>
  <c r="AI259" i="111" s="1"/>
  <c r="AH228" i="111"/>
  <c r="AH257" i="111" s="1"/>
  <c r="AG228" i="111"/>
  <c r="W41" i="111"/>
  <c r="AI19" i="132" s="1"/>
  <c r="Q19" i="132" s="1"/>
  <c r="W44" i="111"/>
  <c r="M787" i="123"/>
  <c r="H787" i="123"/>
  <c r="D97" i="141"/>
  <c r="D489" i="123"/>
  <c r="C489" i="123"/>
  <c r="O493" i="123"/>
  <c r="C791" i="123"/>
  <c r="E791" i="123" s="1"/>
  <c r="C824" i="123"/>
  <c r="E824" i="123" s="1"/>
  <c r="J485" i="123"/>
  <c r="N485" i="123" s="1"/>
  <c r="BZ50" i="183"/>
  <c r="S18" i="183" s="1"/>
  <c r="W59" i="187" s="1"/>
  <c r="V72" i="187" s="1"/>
  <c r="S13" i="183"/>
  <c r="M820" i="123"/>
  <c r="H820" i="123"/>
  <c r="D108" i="141"/>
  <c r="Y104" i="187"/>
  <c r="Y107" i="187" s="1"/>
  <c r="Y127" i="187" s="1"/>
  <c r="Z104" i="187"/>
  <c r="Z107" i="187" s="1"/>
  <c r="Z127" i="187" s="1"/>
  <c r="Q108" i="187"/>
  <c r="Z120" i="187"/>
  <c r="Q128" i="187"/>
  <c r="Q129" i="187" s="1"/>
  <c r="Z103" i="187"/>
  <c r="Z106" i="187" s="1"/>
  <c r="Z126" i="187" s="1"/>
  <c r="Z111" i="187"/>
  <c r="Y111" i="187"/>
  <c r="Y113" i="187" s="1"/>
  <c r="AA267" i="187" s="1"/>
  <c r="T28" i="124" s="1"/>
  <c r="AA138" i="187"/>
  <c r="Y120" i="187"/>
  <c r="Y102" i="187"/>
  <c r="Y105" i="187" s="1"/>
  <c r="Y125" i="187" s="1"/>
  <c r="R108" i="187"/>
  <c r="Q109" i="187"/>
  <c r="R109" i="187"/>
  <c r="R110" i="187"/>
  <c r="R128" i="187"/>
  <c r="R129" i="187" s="1"/>
  <c r="S351" i="187"/>
  <c r="C46" i="100" s="1"/>
  <c r="S113" i="187"/>
  <c r="R114" i="187"/>
  <c r="R115" i="187" s="1"/>
  <c r="Q114" i="187"/>
  <c r="Q115" i="187" s="1"/>
  <c r="Q116" i="187" s="1"/>
  <c r="S267" i="187"/>
  <c r="T33" i="100" s="1"/>
  <c r="S139" i="187"/>
  <c r="S269" i="187" s="1"/>
  <c r="T35" i="100" s="1"/>
  <c r="Q110" i="187"/>
  <c r="Y109" i="187"/>
  <c r="Z108" i="187"/>
  <c r="O833" i="100"/>
  <c r="L91" i="141" s="1"/>
  <c r="O800" i="100"/>
  <c r="L81" i="141" s="1"/>
  <c r="N833" i="100"/>
  <c r="K91" i="141" s="1"/>
  <c r="N800" i="100"/>
  <c r="K81" i="141" s="1"/>
  <c r="E471" i="100"/>
  <c r="X61" i="145"/>
  <c r="I61" i="145"/>
  <c r="E108" i="141" l="1"/>
  <c r="J108" i="141"/>
  <c r="J97" i="141"/>
  <c r="E97" i="141"/>
  <c r="AI20" i="132"/>
  <c r="Q20" i="132" s="1"/>
  <c r="Q47" i="132" s="1"/>
  <c r="C496" i="123"/>
  <c r="O494" i="123"/>
  <c r="V75" i="187"/>
  <c r="W261" i="187"/>
  <c r="T42" i="123" s="1"/>
  <c r="V74" i="187"/>
  <c r="U90" i="187"/>
  <c r="V90" i="187" s="1"/>
  <c r="V76" i="187"/>
  <c r="V73" i="187"/>
  <c r="C490" i="123"/>
  <c r="O485" i="123"/>
  <c r="D490" i="123"/>
  <c r="Z128" i="187"/>
  <c r="Z129" i="187" s="1"/>
  <c r="Y128" i="187"/>
  <c r="Y129" i="187" s="1"/>
  <c r="Z110" i="187"/>
  <c r="Y110" i="187"/>
  <c r="S370" i="187"/>
  <c r="C64" i="100" s="1"/>
  <c r="Y108" i="187"/>
  <c r="J37" i="145"/>
  <c r="Y37" i="145" s="1"/>
  <c r="Z113" i="187"/>
  <c r="Z114" i="187" s="1"/>
  <c r="Z115" i="187" s="1"/>
  <c r="Y114" i="187"/>
  <c r="Y115" i="187" s="1"/>
  <c r="Y118" i="187" s="1"/>
  <c r="AA139" i="187"/>
  <c r="AA269" i="187" s="1"/>
  <c r="T30" i="124" s="1"/>
  <c r="C537" i="124" s="1"/>
  <c r="E537" i="124" s="1"/>
  <c r="K590" i="124" s="1"/>
  <c r="L590" i="124" s="1"/>
  <c r="S371" i="187"/>
  <c r="C65" i="100" s="1"/>
  <c r="S372" i="187"/>
  <c r="C66" i="100" s="1"/>
  <c r="C536" i="100"/>
  <c r="E536" i="100" s="1"/>
  <c r="C576" i="100" s="1"/>
  <c r="C655" i="100"/>
  <c r="E655" i="100" s="1"/>
  <c r="C711" i="100" s="1"/>
  <c r="Q118" i="187"/>
  <c r="Q117" i="187"/>
  <c r="C538" i="100"/>
  <c r="E538" i="100" s="1"/>
  <c r="K591" i="100" s="1"/>
  <c r="L591" i="100" s="1"/>
  <c r="C657" i="100"/>
  <c r="E657" i="100" s="1"/>
  <c r="K730" i="100" s="1"/>
  <c r="L730" i="100" s="1"/>
  <c r="R116" i="187"/>
  <c r="R143" i="187" s="1"/>
  <c r="R200" i="187" s="1"/>
  <c r="R202" i="187" s="1"/>
  <c r="R130" i="187"/>
  <c r="R118" i="187"/>
  <c r="R119" i="187" s="1"/>
  <c r="R142" i="187" s="1"/>
  <c r="R117" i="187"/>
  <c r="S352" i="187"/>
  <c r="C47" i="100" s="1"/>
  <c r="S114" i="187"/>
  <c r="S115" i="187" s="1"/>
  <c r="S116" i="187" s="1"/>
  <c r="S143" i="187" s="1"/>
  <c r="S200" i="187" s="1"/>
  <c r="S202" i="187" s="1"/>
  <c r="S375" i="187"/>
  <c r="C69" i="100" s="1"/>
  <c r="S374" i="187"/>
  <c r="S376" i="187"/>
  <c r="C70" i="100" s="1"/>
  <c r="Q130" i="187"/>
  <c r="Z109" i="187"/>
  <c r="C654" i="124"/>
  <c r="E654" i="124" s="1"/>
  <c r="C710" i="124" s="1"/>
  <c r="C535" i="124"/>
  <c r="E535" i="124" s="1"/>
  <c r="C575" i="124" s="1"/>
  <c r="F488" i="100"/>
  <c r="F487" i="100"/>
  <c r="C487" i="100"/>
  <c r="C488" i="100"/>
  <c r="Q46" i="132" l="1"/>
  <c r="Q48" i="132" s="1"/>
  <c r="Q68" i="132" s="1"/>
  <c r="Q101" i="132" s="1"/>
  <c r="C540" i="123"/>
  <c r="E540" i="123" s="1"/>
  <c r="C666" i="123"/>
  <c r="E666" i="123" s="1"/>
  <c r="F824" i="123"/>
  <c r="F791" i="123"/>
  <c r="W264" i="187"/>
  <c r="T45" i="123" s="1"/>
  <c r="V77" i="187"/>
  <c r="V78" i="187"/>
  <c r="W265" i="187"/>
  <c r="T46" i="123" s="1"/>
  <c r="I21" i="145"/>
  <c r="X21" i="145" s="1"/>
  <c r="U89" i="187"/>
  <c r="V89" i="187" s="1"/>
  <c r="W266" i="187"/>
  <c r="T47" i="123" s="1"/>
  <c r="V79" i="187"/>
  <c r="G791" i="123"/>
  <c r="D101" i="141" s="1"/>
  <c r="G824" i="123"/>
  <c r="D112" i="141" s="1"/>
  <c r="AA351" i="187"/>
  <c r="C47" i="124" s="1"/>
  <c r="AA113" i="187"/>
  <c r="AA376" i="187" s="1"/>
  <c r="C73" i="124" s="1"/>
  <c r="AA372" i="187"/>
  <c r="C69" i="124" s="1"/>
  <c r="AA370" i="187"/>
  <c r="C67" i="124" s="1"/>
  <c r="AA371" i="187"/>
  <c r="C68" i="124" s="1"/>
  <c r="Y130" i="187"/>
  <c r="Y116" i="187"/>
  <c r="Y117" i="187"/>
  <c r="D218" i="111"/>
  <c r="K203" i="111" s="1"/>
  <c r="K220" i="111" s="1"/>
  <c r="K222" i="111" s="1"/>
  <c r="C656" i="124"/>
  <c r="E656" i="124" s="1"/>
  <c r="K729" i="124" s="1"/>
  <c r="L729" i="124" s="1"/>
  <c r="D211" i="111"/>
  <c r="D207" i="111" s="1"/>
  <c r="S302" i="187"/>
  <c r="T68" i="100" s="1"/>
  <c r="D606" i="100" s="1"/>
  <c r="S203" i="187"/>
  <c r="R203" i="187"/>
  <c r="C68" i="100"/>
  <c r="D209" i="111" s="1"/>
  <c r="D205" i="111" s="1"/>
  <c r="H33" i="145"/>
  <c r="W33" i="145" s="1"/>
  <c r="R167" i="187"/>
  <c r="R179" i="187"/>
  <c r="R204" i="187"/>
  <c r="R225" i="187" s="1"/>
  <c r="S118" i="187"/>
  <c r="S119" i="187" s="1"/>
  <c r="S142" i="187" s="1"/>
  <c r="S117" i="187"/>
  <c r="S130" i="187"/>
  <c r="S303" i="187" s="1"/>
  <c r="T69" i="100" s="1"/>
  <c r="H34" i="145"/>
  <c r="W34" i="145" s="1"/>
  <c r="D210" i="111"/>
  <c r="D206" i="111" s="1"/>
  <c r="S300" i="187"/>
  <c r="T66" i="100" s="1"/>
  <c r="H30" i="145"/>
  <c r="Q119" i="187"/>
  <c r="S136" i="187"/>
  <c r="S137" i="187" s="1"/>
  <c r="J711" i="100"/>
  <c r="N711" i="100" s="1"/>
  <c r="O711" i="100" s="1"/>
  <c r="J576" i="100"/>
  <c r="N576" i="100" s="1"/>
  <c r="O576" i="100" s="1"/>
  <c r="J575" i="124"/>
  <c r="N575" i="124" s="1"/>
  <c r="O575" i="124" s="1"/>
  <c r="Y119" i="187"/>
  <c r="AA136" i="187"/>
  <c r="AA137" i="187" s="1"/>
  <c r="Z130" i="187"/>
  <c r="Z118" i="187"/>
  <c r="Z119" i="187" s="1"/>
  <c r="Z142" i="187" s="1"/>
  <c r="Z117" i="187"/>
  <c r="Z116" i="187"/>
  <c r="Z143" i="187" s="1"/>
  <c r="Z200" i="187" s="1"/>
  <c r="Z202" i="187" s="1"/>
  <c r="J710" i="124"/>
  <c r="N710" i="124" s="1"/>
  <c r="O710" i="124" s="1"/>
  <c r="O495" i="100"/>
  <c r="C491" i="100"/>
  <c r="D491" i="100"/>
  <c r="J486" i="100"/>
  <c r="N486" i="100" s="1"/>
  <c r="O497" i="100"/>
  <c r="J488" i="100"/>
  <c r="N488" i="100" s="1"/>
  <c r="O488" i="100" s="1"/>
  <c r="O496" i="100"/>
  <c r="J487" i="100"/>
  <c r="N487" i="100" s="1"/>
  <c r="O487" i="100" s="1"/>
  <c r="H207" i="111" l="1"/>
  <c r="G207" i="111"/>
  <c r="E207" i="111"/>
  <c r="E206" i="111"/>
  <c r="H206" i="111"/>
  <c r="G206" i="111"/>
  <c r="H205" i="111"/>
  <c r="G205" i="111"/>
  <c r="E205" i="111"/>
  <c r="Q71" i="132"/>
  <c r="Q104" i="132" s="1"/>
  <c r="Q75" i="132"/>
  <c r="Q108" i="132" s="1"/>
  <c r="Q72" i="132"/>
  <c r="Q105" i="132" s="1"/>
  <c r="Q76" i="132"/>
  <c r="Q109" i="132" s="1"/>
  <c r="Q65" i="132"/>
  <c r="Q98" i="132" s="1"/>
  <c r="Q73" i="132"/>
  <c r="Q106" i="132" s="1"/>
  <c r="Q63" i="132"/>
  <c r="Q96" i="132" s="1"/>
  <c r="Q69" i="132"/>
  <c r="Q102" i="132" s="1"/>
  <c r="Q52" i="132"/>
  <c r="Q85" i="132" s="1"/>
  <c r="Q62" i="132"/>
  <c r="Q95" i="132" s="1"/>
  <c r="Q61" i="132"/>
  <c r="Q94" i="132" s="1"/>
  <c r="Q74" i="132"/>
  <c r="Q107" i="132" s="1"/>
  <c r="Q53" i="132"/>
  <c r="Q86" i="132" s="1"/>
  <c r="Q57" i="132"/>
  <c r="Q90" i="132" s="1"/>
  <c r="Q54" i="132"/>
  <c r="Q87" i="132" s="1"/>
  <c r="Q77" i="132"/>
  <c r="Q110" i="132" s="1"/>
  <c r="Q66" i="132"/>
  <c r="Q99" i="132" s="1"/>
  <c r="Q58" i="132"/>
  <c r="Q91" i="132" s="1"/>
  <c r="Q67" i="132"/>
  <c r="Q100" i="132" s="1"/>
  <c r="Q56" i="132"/>
  <c r="Q89" i="132" s="1"/>
  <c r="Q55" i="132"/>
  <c r="Q88" i="132" s="1"/>
  <c r="Q59" i="132"/>
  <c r="Q92" i="132" s="1"/>
  <c r="Q64" i="132"/>
  <c r="Q97" i="132" s="1"/>
  <c r="Q51" i="132"/>
  <c r="Q84" i="132" s="1"/>
  <c r="Q60" i="132"/>
  <c r="Q93" i="132" s="1"/>
  <c r="Q70" i="132"/>
  <c r="Q103" i="132" s="1"/>
  <c r="CL20" i="132"/>
  <c r="CL19" i="132"/>
  <c r="U93" i="187"/>
  <c r="V93" i="187"/>
  <c r="C112" i="141"/>
  <c r="M824" i="123"/>
  <c r="J112" i="141" s="1"/>
  <c r="H824" i="123"/>
  <c r="E112" i="141" s="1"/>
  <c r="H791" i="123"/>
  <c r="E101" i="141" s="1"/>
  <c r="M791" i="123"/>
  <c r="J101" i="141" s="1"/>
  <c r="C101" i="141"/>
  <c r="C543" i="123"/>
  <c r="E543" i="123" s="1"/>
  <c r="G97" i="145" s="1"/>
  <c r="C669" i="123"/>
  <c r="E669" i="123" s="1"/>
  <c r="C541" i="123"/>
  <c r="E541" i="123" s="1"/>
  <c r="G95" i="145" s="1"/>
  <c r="C667" i="123"/>
  <c r="E667" i="123" s="1"/>
  <c r="CK19" i="132"/>
  <c r="U92" i="187"/>
  <c r="CK20" i="132"/>
  <c r="V92" i="187"/>
  <c r="CJ20" i="132"/>
  <c r="U91" i="187"/>
  <c r="CJ19" i="132"/>
  <c r="V91" i="187"/>
  <c r="V94" i="187" s="1"/>
  <c r="C542" i="123"/>
  <c r="E542" i="123" s="1"/>
  <c r="G96" i="145" s="1"/>
  <c r="C668" i="123"/>
  <c r="E668" i="123" s="1"/>
  <c r="AD218" i="111"/>
  <c r="D285" i="111"/>
  <c r="AA375" i="187"/>
  <c r="C72" i="124" s="1"/>
  <c r="D284" i="111" s="1"/>
  <c r="AA374" i="187"/>
  <c r="C71" i="124" s="1"/>
  <c r="D283" i="111" s="1"/>
  <c r="D279" i="111" s="1"/>
  <c r="AA352" i="187"/>
  <c r="C48" i="124" s="1"/>
  <c r="AA114" i="187"/>
  <c r="AA115" i="187" s="1"/>
  <c r="AA116" i="187" s="1"/>
  <c r="AA143" i="187" s="1"/>
  <c r="AA200" i="187" s="1"/>
  <c r="AA202" i="187" s="1"/>
  <c r="J30" i="145"/>
  <c r="J4" i="159" s="1"/>
  <c r="J7" i="159" s="1"/>
  <c r="AA302" i="187"/>
  <c r="T63" i="124" s="1"/>
  <c r="D748" i="124" s="1"/>
  <c r="AD211" i="111"/>
  <c r="C749" i="100"/>
  <c r="C750" i="100" s="1"/>
  <c r="D749" i="100"/>
  <c r="C606" i="100"/>
  <c r="C607" i="100" s="1"/>
  <c r="Z203" i="187"/>
  <c r="H4" i="159"/>
  <c r="H7" i="159" s="1"/>
  <c r="H16" i="159" s="1"/>
  <c r="W30" i="145"/>
  <c r="W4" i="159" s="1"/>
  <c r="W7" i="159" s="1"/>
  <c r="C513" i="100"/>
  <c r="C633" i="100"/>
  <c r="C634" i="100"/>
  <c r="C514" i="100"/>
  <c r="C512" i="100"/>
  <c r="C635" i="100"/>
  <c r="AD210" i="111"/>
  <c r="S167" i="187"/>
  <c r="S179" i="187"/>
  <c r="S204" i="187"/>
  <c r="S225" i="187" s="1"/>
  <c r="F749" i="100"/>
  <c r="E750" i="100" s="1"/>
  <c r="F606" i="100"/>
  <c r="E607" i="100" s="1"/>
  <c r="AD207" i="111"/>
  <c r="S301" i="187"/>
  <c r="T67" i="100" s="1"/>
  <c r="H32" i="145"/>
  <c r="Y35" i="111"/>
  <c r="Y37" i="111"/>
  <c r="R205" i="187"/>
  <c r="R183" i="187"/>
  <c r="S282" i="187"/>
  <c r="T48" i="100" s="1"/>
  <c r="R182" i="187"/>
  <c r="R180" i="187"/>
  <c r="R181" i="187" s="1"/>
  <c r="S280" i="187" s="1"/>
  <c r="T46" i="100" s="1"/>
  <c r="C527" i="100" s="1"/>
  <c r="E527" i="100" s="1"/>
  <c r="R168" i="187"/>
  <c r="R169" i="187" s="1"/>
  <c r="S275" i="187" s="1"/>
  <c r="T41" i="100" s="1"/>
  <c r="C531" i="100" s="1"/>
  <c r="E531" i="100" s="1"/>
  <c r="S273" i="187"/>
  <c r="T39" i="100" s="1"/>
  <c r="C545" i="100" s="1"/>
  <c r="E545" i="100" s="1"/>
  <c r="R171" i="187"/>
  <c r="R173" i="187"/>
  <c r="S268" i="187"/>
  <c r="T34" i="100" s="1"/>
  <c r="S348" i="187"/>
  <c r="C36" i="100" s="1"/>
  <c r="C6" i="100" s="1"/>
  <c r="AD209" i="111"/>
  <c r="Z204" i="187"/>
  <c r="Z225" i="187" s="1"/>
  <c r="Z179" i="187"/>
  <c r="Z167" i="187"/>
  <c r="AA268" i="187"/>
  <c r="T29" i="124" s="1"/>
  <c r="AA348" i="187"/>
  <c r="C36" i="124" s="1"/>
  <c r="C6" i="124" s="1"/>
  <c r="AA300" i="187"/>
  <c r="T61" i="124" s="1"/>
  <c r="C492" i="100"/>
  <c r="O486" i="100"/>
  <c r="D492" i="100"/>
  <c r="O498" i="100"/>
  <c r="C500" i="100" s="1"/>
  <c r="R206" i="187" l="1"/>
  <c r="R207" i="187" s="1"/>
  <c r="R219" i="187" s="1"/>
  <c r="R212" i="187"/>
  <c r="R213" i="187" s="1"/>
  <c r="AK203" i="111"/>
  <c r="AK220" i="111" s="1"/>
  <c r="AK222" i="111" s="1"/>
  <c r="Y40" i="111" s="1"/>
  <c r="AH207" i="111"/>
  <c r="AG207" i="111"/>
  <c r="AE207" i="111"/>
  <c r="H279" i="111"/>
  <c r="G279" i="111"/>
  <c r="E279" i="111"/>
  <c r="AD284" i="111"/>
  <c r="D280" i="111"/>
  <c r="AD285" i="111"/>
  <c r="D281" i="111"/>
  <c r="Q78" i="132"/>
  <c r="D292" i="111"/>
  <c r="K277" i="111" s="1"/>
  <c r="K294" i="111" s="1"/>
  <c r="K296" i="111" s="1"/>
  <c r="AK17" i="132"/>
  <c r="S17" i="132" s="1"/>
  <c r="BC17" i="132"/>
  <c r="V96" i="187"/>
  <c r="U94" i="187"/>
  <c r="U96" i="187"/>
  <c r="U95" i="187"/>
  <c r="V95" i="187"/>
  <c r="V101" i="187" s="1"/>
  <c r="J34" i="145"/>
  <c r="Y34" i="145" s="1"/>
  <c r="J33" i="145"/>
  <c r="Y33" i="145" s="1"/>
  <c r="AA117" i="187"/>
  <c r="AA301" i="187" s="1"/>
  <c r="T62" i="124" s="1"/>
  <c r="AA130" i="187"/>
  <c r="AA303" i="187" s="1"/>
  <c r="T64" i="124" s="1"/>
  <c r="F748" i="124" s="1"/>
  <c r="E749" i="124" s="1"/>
  <c r="E530" i="100"/>
  <c r="E526" i="100"/>
  <c r="AA118" i="187"/>
  <c r="AA119" i="187" s="1"/>
  <c r="AA142" i="187" s="1"/>
  <c r="AA179" i="187" s="1"/>
  <c r="AA203" i="187"/>
  <c r="C748" i="124"/>
  <c r="C749" i="124" s="1"/>
  <c r="C605" i="124"/>
  <c r="C606" i="124" s="1"/>
  <c r="D605" i="124"/>
  <c r="Y30" i="145"/>
  <c r="Y4" i="159" s="1"/>
  <c r="Y7" i="159" s="1"/>
  <c r="Y16" i="159" s="1"/>
  <c r="C751" i="100"/>
  <c r="C608" i="100"/>
  <c r="R170" i="187"/>
  <c r="R189" i="187" s="1"/>
  <c r="S278" i="187" s="1"/>
  <c r="T44" i="100" s="1"/>
  <c r="C543" i="100" s="1"/>
  <c r="E543" i="100" s="1"/>
  <c r="S205" i="187"/>
  <c r="D192" i="111"/>
  <c r="CA18" i="132"/>
  <c r="CA17" i="132"/>
  <c r="S295" i="187"/>
  <c r="T61" i="100" s="1"/>
  <c r="C662" i="100" s="1"/>
  <c r="S285" i="187"/>
  <c r="T51" i="100" s="1"/>
  <c r="C648" i="100" s="1"/>
  <c r="E648" i="100" s="1"/>
  <c r="R209" i="187"/>
  <c r="S286" i="187" s="1"/>
  <c r="T52" i="100" s="1"/>
  <c r="C649" i="100" s="1"/>
  <c r="E649" i="100" s="1"/>
  <c r="C537" i="100"/>
  <c r="E537" i="100" s="1"/>
  <c r="F591" i="100" s="1"/>
  <c r="C656" i="100"/>
  <c r="E656" i="100" s="1"/>
  <c r="F730" i="100" s="1"/>
  <c r="AD206" i="111"/>
  <c r="D764" i="100"/>
  <c r="C764" i="100"/>
  <c r="C765" i="100" s="1"/>
  <c r="R174" i="187"/>
  <c r="S274" i="187"/>
  <c r="T40" i="100" s="1"/>
  <c r="C548" i="100" s="1"/>
  <c r="E548" i="100" s="1"/>
  <c r="AD283" i="111"/>
  <c r="W32" i="145"/>
  <c r="W6" i="159" s="1"/>
  <c r="W9" i="159" s="1"/>
  <c r="W20" i="159" s="1"/>
  <c r="H6" i="159"/>
  <c r="H9" i="159" s="1"/>
  <c r="D611" i="100"/>
  <c r="C611" i="100"/>
  <c r="C612" i="100" s="1"/>
  <c r="C515" i="100"/>
  <c r="F611" i="100" s="1"/>
  <c r="E612" i="100" s="1"/>
  <c r="C638" i="100"/>
  <c r="F764" i="100" s="1"/>
  <c r="E765" i="100" s="1"/>
  <c r="C516" i="100"/>
  <c r="F616" i="100" s="1"/>
  <c r="E617" i="100" s="1"/>
  <c r="C636" i="100"/>
  <c r="F754" i="100" s="1"/>
  <c r="E755" i="100" s="1"/>
  <c r="C517" i="100"/>
  <c r="F621" i="100" s="1"/>
  <c r="E622" i="100" s="1"/>
  <c r="C637" i="100"/>
  <c r="F759" i="100" s="1"/>
  <c r="E760" i="100" s="1"/>
  <c r="D621" i="100"/>
  <c r="C621" i="100"/>
  <c r="C622" i="100" s="1"/>
  <c r="S173" i="187"/>
  <c r="S171" i="187"/>
  <c r="S315" i="187"/>
  <c r="Z13" i="100" s="1"/>
  <c r="C559" i="100" s="1"/>
  <c r="E559" i="100" s="1"/>
  <c r="F581" i="100" s="1"/>
  <c r="F582" i="100" s="1"/>
  <c r="F584" i="100" s="1"/>
  <c r="S168" i="187"/>
  <c r="S169" i="187" s="1"/>
  <c r="S317" i="187" s="1"/>
  <c r="Z15" i="100" s="1"/>
  <c r="D759" i="100"/>
  <c r="C759" i="100"/>
  <c r="C760" i="100" s="1"/>
  <c r="D754" i="100"/>
  <c r="C754" i="100"/>
  <c r="C755" i="100" s="1"/>
  <c r="AD205" i="111"/>
  <c r="C544" i="100"/>
  <c r="E544" i="100" s="1"/>
  <c r="W16" i="159"/>
  <c r="S324" i="187"/>
  <c r="Z22" i="100" s="1"/>
  <c r="C558" i="100" s="1"/>
  <c r="E558" i="100" s="1"/>
  <c r="S183" i="187"/>
  <c r="S180" i="187"/>
  <c r="S181" i="187" s="1"/>
  <c r="S322" i="187" s="1"/>
  <c r="Z20" i="100" s="1"/>
  <c r="S182" i="187"/>
  <c r="D616" i="100"/>
  <c r="C616" i="100"/>
  <c r="C617" i="100" s="1"/>
  <c r="S283" i="187"/>
  <c r="T49" i="100" s="1"/>
  <c r="C547" i="100" s="1"/>
  <c r="E547" i="100" s="1"/>
  <c r="R184" i="187"/>
  <c r="H22" i="159"/>
  <c r="BQ17" i="132" a="1"/>
  <c r="BQ17" i="132" s="1"/>
  <c r="D266" i="111"/>
  <c r="CA22" i="132"/>
  <c r="CA21" i="132"/>
  <c r="AA282" i="187"/>
  <c r="T43" i="124" s="1"/>
  <c r="C543" i="124" s="1"/>
  <c r="E543" i="124" s="1"/>
  <c r="Z183" i="187"/>
  <c r="Z182" i="187"/>
  <c r="Z180" i="187"/>
  <c r="Z181" i="187" s="1"/>
  <c r="AA280" i="187" s="1"/>
  <c r="T41" i="124" s="1"/>
  <c r="C526" i="124" s="1"/>
  <c r="E526" i="124" s="1"/>
  <c r="C655" i="124"/>
  <c r="E655" i="124" s="1"/>
  <c r="F729" i="124" s="1"/>
  <c r="C536" i="124"/>
  <c r="E536" i="124" s="1"/>
  <c r="F590" i="124" s="1"/>
  <c r="AD279" i="111"/>
  <c r="C633" i="124"/>
  <c r="C513" i="124"/>
  <c r="C634" i="124"/>
  <c r="C511" i="124"/>
  <c r="C632" i="124"/>
  <c r="C512" i="124"/>
  <c r="AA273" i="187"/>
  <c r="T34" i="124" s="1"/>
  <c r="C544" i="124" s="1"/>
  <c r="E544" i="124" s="1"/>
  <c r="Z171" i="187"/>
  <c r="Z173" i="187"/>
  <c r="Z168" i="187"/>
  <c r="Z169" i="187" s="1"/>
  <c r="AA275" i="187" s="1"/>
  <c r="T36" i="124" s="1"/>
  <c r="C530" i="124" s="1"/>
  <c r="E530" i="124" s="1"/>
  <c r="Z205" i="187"/>
  <c r="J16" i="159"/>
  <c r="G800" i="100"/>
  <c r="D81" i="141" s="1"/>
  <c r="G833" i="100"/>
  <c r="D91" i="141" s="1"/>
  <c r="F833" i="100"/>
  <c r="F800" i="100"/>
  <c r="R217" i="187" l="1"/>
  <c r="C667" i="100"/>
  <c r="E667" i="100" s="1"/>
  <c r="C666" i="100"/>
  <c r="E666" i="100" s="1"/>
  <c r="S206" i="187"/>
  <c r="S207" i="187" s="1"/>
  <c r="S219" i="187" s="1"/>
  <c r="S212" i="187"/>
  <c r="S213" i="187" s="1"/>
  <c r="Z206" i="187"/>
  <c r="Z207" i="187" s="1"/>
  <c r="Z219" i="187" s="1"/>
  <c r="Z212" i="187"/>
  <c r="Z213" i="187" s="1"/>
  <c r="H280" i="111"/>
  <c r="E280" i="111"/>
  <c r="G280" i="111"/>
  <c r="G281" i="111"/>
  <c r="H281" i="111"/>
  <c r="E281" i="111"/>
  <c r="AH279" i="111"/>
  <c r="AG279" i="111"/>
  <c r="AE279" i="111"/>
  <c r="AH206" i="111"/>
  <c r="AG206" i="111"/>
  <c r="AE206" i="111"/>
  <c r="AG205" i="111"/>
  <c r="AE205" i="111"/>
  <c r="AH205" i="111"/>
  <c r="H266" i="111"/>
  <c r="G266" i="111"/>
  <c r="Y38" i="111"/>
  <c r="AK18" i="132" s="1"/>
  <c r="S18" i="132" s="1"/>
  <c r="AD292" i="111"/>
  <c r="Y49" i="111"/>
  <c r="H192" i="111"/>
  <c r="G192" i="111"/>
  <c r="BC18" i="132"/>
  <c r="AA17" i="132" a="1"/>
  <c r="AA17" i="132" s="1"/>
  <c r="Y17" i="132" s="1"/>
  <c r="V104" i="187"/>
  <c r="V107" i="187" s="1"/>
  <c r="V127" i="187" s="1"/>
  <c r="V102" i="187"/>
  <c r="V105" i="187" s="1"/>
  <c r="V125" i="187" s="1"/>
  <c r="V120" i="187"/>
  <c r="V103" i="187"/>
  <c r="V106" i="187" s="1"/>
  <c r="V126" i="187" s="1"/>
  <c r="V111" i="187"/>
  <c r="U101" i="187"/>
  <c r="U103" i="187" s="1"/>
  <c r="U106" i="187" s="1"/>
  <c r="F579" i="100"/>
  <c r="F580" i="100" s="1"/>
  <c r="AD281" i="111"/>
  <c r="J32" i="145"/>
  <c r="J6" i="159" s="1"/>
  <c r="J9" i="159" s="1"/>
  <c r="F605" i="124"/>
  <c r="E606" i="124" s="1"/>
  <c r="C607" i="124" s="1"/>
  <c r="E525" i="124"/>
  <c r="E529" i="124"/>
  <c r="C750" i="124"/>
  <c r="AA204" i="187"/>
  <c r="AA167" i="187"/>
  <c r="AA173" i="187" s="1"/>
  <c r="R190" i="187"/>
  <c r="R191" i="187" s="1"/>
  <c r="S277" i="187" s="1"/>
  <c r="T43" i="100" s="1"/>
  <c r="C524" i="100" s="1"/>
  <c r="E524" i="100" s="1"/>
  <c r="R192" i="187"/>
  <c r="S279" i="187" s="1"/>
  <c r="T45" i="100" s="1"/>
  <c r="C546" i="100" s="1"/>
  <c r="E546" i="100" s="1"/>
  <c r="M833" i="100"/>
  <c r="M800" i="100"/>
  <c r="C766" i="100"/>
  <c r="C618" i="100"/>
  <c r="C623" i="100"/>
  <c r="S170" i="187"/>
  <c r="S189" i="187" s="1"/>
  <c r="S190" i="187" s="1"/>
  <c r="S191" i="187" s="1"/>
  <c r="S319" i="187" s="1"/>
  <c r="Z17" i="100" s="1"/>
  <c r="H18" i="159"/>
  <c r="H20" i="159"/>
  <c r="F600" i="100"/>
  <c r="N801" i="100" s="1"/>
  <c r="K82" i="141" s="1"/>
  <c r="G591" i="100"/>
  <c r="BS18" i="132" a="1"/>
  <c r="BS18" i="132" s="1"/>
  <c r="W24" i="159"/>
  <c r="S292" i="187"/>
  <c r="T58" i="100" s="1"/>
  <c r="C644" i="100" s="1"/>
  <c r="E644" i="100" s="1"/>
  <c r="E705" i="100" s="1"/>
  <c r="S316" i="187"/>
  <c r="Z14" i="100" s="1"/>
  <c r="C562" i="100" s="1"/>
  <c r="E562" i="100" s="1"/>
  <c r="S174" i="187"/>
  <c r="AD280" i="111"/>
  <c r="C756" i="100"/>
  <c r="C761" i="100"/>
  <c r="C663" i="100"/>
  <c r="E663" i="100" s="1"/>
  <c r="C665" i="100"/>
  <c r="E665" i="100" s="1"/>
  <c r="E662" i="100"/>
  <c r="C664" i="100"/>
  <c r="E664" i="100" s="1"/>
  <c r="S184" i="187"/>
  <c r="S325" i="187"/>
  <c r="Z23" i="100" s="1"/>
  <c r="C561" i="100" s="1"/>
  <c r="E561" i="100" s="1"/>
  <c r="AD192" i="111"/>
  <c r="W18" i="159"/>
  <c r="AD266" i="111"/>
  <c r="W22" i="159"/>
  <c r="BQ18" i="132" a="1"/>
  <c r="BQ18" i="132" s="1"/>
  <c r="C613" i="100"/>
  <c r="G730" i="100"/>
  <c r="F743" i="100"/>
  <c r="N834" i="100" s="1"/>
  <c r="K92" i="141" s="1"/>
  <c r="S337" i="187"/>
  <c r="Z35" i="100" s="1"/>
  <c r="C683" i="100" s="1"/>
  <c r="Z170" i="187"/>
  <c r="Z189" i="187" s="1"/>
  <c r="AA278" i="187" s="1"/>
  <c r="T39" i="124" s="1"/>
  <c r="C542" i="124" s="1"/>
  <c r="E542" i="124" s="1"/>
  <c r="C637" i="124"/>
  <c r="F763" i="124" s="1"/>
  <c r="E764" i="124" s="1"/>
  <c r="C514" i="124"/>
  <c r="F610" i="124" s="1"/>
  <c r="E611" i="124" s="1"/>
  <c r="C516" i="124"/>
  <c r="F620" i="124" s="1"/>
  <c r="E621" i="124" s="1"/>
  <c r="C635" i="124"/>
  <c r="F753" i="124" s="1"/>
  <c r="E754" i="124" s="1"/>
  <c r="C636" i="124"/>
  <c r="F758" i="124" s="1"/>
  <c r="E759" i="124" s="1"/>
  <c r="C515" i="124"/>
  <c r="F615" i="124" s="1"/>
  <c r="E616" i="124" s="1"/>
  <c r="BQ21" i="132" a="1"/>
  <c r="BQ21" i="132" s="1"/>
  <c r="J22" i="159"/>
  <c r="AA324" i="187"/>
  <c r="Z22" i="124" s="1"/>
  <c r="C557" i="124" s="1"/>
  <c r="E557" i="124" s="1"/>
  <c r="F578" i="124" s="1"/>
  <c r="F579" i="124" s="1"/>
  <c r="AA182" i="187"/>
  <c r="AA183" i="187"/>
  <c r="AA180" i="187"/>
  <c r="AA181" i="187" s="1"/>
  <c r="AA322" i="187" s="1"/>
  <c r="Z20" i="124" s="1"/>
  <c r="D615" i="124"/>
  <c r="C615" i="124"/>
  <c r="C616" i="124" s="1"/>
  <c r="C753" i="124"/>
  <c r="C754" i="124" s="1"/>
  <c r="D753" i="124"/>
  <c r="C758" i="124"/>
  <c r="C759" i="124" s="1"/>
  <c r="D758" i="124"/>
  <c r="D610" i="124"/>
  <c r="C610" i="124"/>
  <c r="C611" i="124" s="1"/>
  <c r="AA295" i="187"/>
  <c r="T56" i="124" s="1"/>
  <c r="C661" i="124" s="1"/>
  <c r="C665" i="124" s="1"/>
  <c r="G590" i="124"/>
  <c r="F599" i="124"/>
  <c r="N800" i="124" s="1"/>
  <c r="K123" i="141" s="1"/>
  <c r="AA285" i="187"/>
  <c r="T46" i="124" s="1"/>
  <c r="C647" i="124" s="1"/>
  <c r="E647" i="124" s="1"/>
  <c r="Z209" i="187"/>
  <c r="AA286" i="187" s="1"/>
  <c r="T47" i="124" s="1"/>
  <c r="C648" i="124" s="1"/>
  <c r="E648" i="124" s="1"/>
  <c r="G729" i="124"/>
  <c r="F742" i="124"/>
  <c r="N833" i="124" s="1"/>
  <c r="K133" i="141" s="1"/>
  <c r="C620" i="124"/>
  <c r="C621" i="124" s="1"/>
  <c r="D620" i="124"/>
  <c r="Y22" i="159"/>
  <c r="BQ22" i="132" a="1"/>
  <c r="BQ22" i="132" s="1"/>
  <c r="Z174" i="187"/>
  <c r="AA274" i="187"/>
  <c r="T35" i="124" s="1"/>
  <c r="C547" i="124" s="1"/>
  <c r="E547" i="124" s="1"/>
  <c r="AA283" i="187"/>
  <c r="T44" i="124" s="1"/>
  <c r="C546" i="124" s="1"/>
  <c r="E546" i="124" s="1"/>
  <c r="Z184" i="187"/>
  <c r="D763" i="124"/>
  <c r="C763" i="124"/>
  <c r="C764" i="124" s="1"/>
  <c r="C81" i="141"/>
  <c r="H800" i="100"/>
  <c r="E81" i="141" s="1"/>
  <c r="C91" i="141"/>
  <c r="H833" i="100"/>
  <c r="E91" i="141" s="1"/>
  <c r="E469" i="100"/>
  <c r="E480" i="100" s="1"/>
  <c r="C503" i="100" s="1"/>
  <c r="C505" i="100" s="1"/>
  <c r="S327" i="187" l="1"/>
  <c r="Z25" i="100" s="1"/>
  <c r="C687" i="100"/>
  <c r="C689" i="100"/>
  <c r="C688" i="100"/>
  <c r="Z217" i="187"/>
  <c r="S217" i="187"/>
  <c r="S334" i="187" s="1"/>
  <c r="Z32" i="100" s="1"/>
  <c r="AA205" i="187"/>
  <c r="AA206" i="187" s="1"/>
  <c r="AA207" i="187" s="1"/>
  <c r="AA219" i="187" s="1"/>
  <c r="AA225" i="187"/>
  <c r="S209" i="187"/>
  <c r="S342" i="187" s="1"/>
  <c r="Z40" i="100" s="1"/>
  <c r="R221" i="187"/>
  <c r="R226" i="187" s="1"/>
  <c r="S296" i="187" s="1"/>
  <c r="T62" i="100" s="1"/>
  <c r="C669" i="100" s="1"/>
  <c r="E669" i="100" s="1"/>
  <c r="R220" i="187"/>
  <c r="R224" i="187" s="1"/>
  <c r="R229" i="187" s="1"/>
  <c r="S299" i="187" s="1"/>
  <c r="T65" i="100" s="1"/>
  <c r="C674" i="100" s="1"/>
  <c r="E674" i="100" s="1"/>
  <c r="R218" i="187"/>
  <c r="R223" i="187"/>
  <c r="R228" i="187" s="1"/>
  <c r="S298" i="187" s="1"/>
  <c r="T64" i="100" s="1"/>
  <c r="C671" i="100" s="1"/>
  <c r="E671" i="100" s="1"/>
  <c r="S293" i="187"/>
  <c r="T59" i="100" s="1"/>
  <c r="C645" i="100" s="1"/>
  <c r="E645" i="100" s="1"/>
  <c r="C667" i="124"/>
  <c r="E667" i="124" s="1"/>
  <c r="C666" i="124"/>
  <c r="E666" i="124" s="1"/>
  <c r="AH280" i="111"/>
  <c r="AG280" i="111"/>
  <c r="AE280" i="111"/>
  <c r="AH281" i="111"/>
  <c r="AG281" i="111"/>
  <c r="AE281" i="111"/>
  <c r="AK277" i="111"/>
  <c r="AK294" i="111" s="1"/>
  <c r="AK296" i="111" s="1"/>
  <c r="Y52" i="111" s="1"/>
  <c r="BC22" i="132" s="1"/>
  <c r="AH266" i="111"/>
  <c r="AG266" i="111"/>
  <c r="AH192" i="111"/>
  <c r="AG192" i="111"/>
  <c r="AB18" i="132" a="1"/>
  <c r="AB18" i="132" s="1"/>
  <c r="BC21" i="132"/>
  <c r="AA22" i="132" a="1"/>
  <c r="AA22" i="132" s="1"/>
  <c r="AA21" i="132" a="1"/>
  <c r="AA21" i="132" s="1"/>
  <c r="AA18" i="132" a="1"/>
  <c r="AA18" i="132" s="1"/>
  <c r="U102" i="187"/>
  <c r="U104" i="187"/>
  <c r="U107" i="187" s="1"/>
  <c r="U127" i="187" s="1"/>
  <c r="U111" i="187"/>
  <c r="U113" i="187" s="1"/>
  <c r="W138" i="187"/>
  <c r="U120" i="187"/>
  <c r="V110" i="187"/>
  <c r="U126" i="187"/>
  <c r="U109" i="187"/>
  <c r="V108" i="187"/>
  <c r="V109" i="187"/>
  <c r="Y32" i="145"/>
  <c r="Y6" i="159" s="1"/>
  <c r="Y9" i="159" s="1"/>
  <c r="Y20" i="159" s="1"/>
  <c r="V128" i="187"/>
  <c r="V129" i="187" s="1"/>
  <c r="AA315" i="187"/>
  <c r="Z13" i="124" s="1"/>
  <c r="C558" i="124" s="1"/>
  <c r="E558" i="124" s="1"/>
  <c r="F580" i="124" s="1"/>
  <c r="F581" i="124" s="1"/>
  <c r="F583" i="124" s="1"/>
  <c r="Y47" i="111"/>
  <c r="AA168" i="187"/>
  <c r="AA169" i="187" s="1"/>
  <c r="AA317" i="187" s="1"/>
  <c r="Z15" i="124" s="1"/>
  <c r="AA171" i="187"/>
  <c r="E523" i="100"/>
  <c r="R193" i="187"/>
  <c r="R194" i="187" s="1"/>
  <c r="S354" i="187" s="1"/>
  <c r="C49" i="100" s="1"/>
  <c r="S320" i="187"/>
  <c r="Z18" i="100" s="1"/>
  <c r="C557" i="100" s="1"/>
  <c r="E557" i="100" s="1"/>
  <c r="F577" i="100" s="1"/>
  <c r="F578" i="100" s="1"/>
  <c r="S192" i="187"/>
  <c r="S321" i="187" s="1"/>
  <c r="Z19" i="100" s="1"/>
  <c r="C560" i="100" s="1"/>
  <c r="Z190" i="187"/>
  <c r="Z191" i="187" s="1"/>
  <c r="AA277" i="187" s="1"/>
  <c r="T38" i="124" s="1"/>
  <c r="C523" i="124" s="1"/>
  <c r="E523" i="124" s="1"/>
  <c r="Z192" i="187"/>
  <c r="AA279" i="187" s="1"/>
  <c r="T40" i="124" s="1"/>
  <c r="C545" i="124" s="1"/>
  <c r="E545" i="124" s="1"/>
  <c r="G743" i="100"/>
  <c r="O834" i="100" s="1"/>
  <c r="L92" i="141" s="1"/>
  <c r="O730" i="100"/>
  <c r="E683" i="100"/>
  <c r="C684" i="100"/>
  <c r="C685" i="100"/>
  <c r="C686" i="100"/>
  <c r="E673" i="100"/>
  <c r="E672" i="100"/>
  <c r="W23" i="159"/>
  <c r="BO18" i="132" a="1"/>
  <c r="BO18" i="132" s="1"/>
  <c r="G600" i="100"/>
  <c r="O801" i="100" s="1"/>
  <c r="L82" i="141" s="1"/>
  <c r="O591" i="100"/>
  <c r="BS17" i="132" a="1"/>
  <c r="BS17" i="132" s="1"/>
  <c r="H24" i="159"/>
  <c r="BO17" i="132" a="1"/>
  <c r="BO17" i="132" s="1"/>
  <c r="H23" i="159"/>
  <c r="C617" i="124"/>
  <c r="C612" i="124"/>
  <c r="C622" i="124"/>
  <c r="C765" i="124"/>
  <c r="C760" i="124"/>
  <c r="C755" i="124"/>
  <c r="C663" i="124"/>
  <c r="E663" i="124" s="1"/>
  <c r="E665" i="124"/>
  <c r="E661" i="124"/>
  <c r="C662" i="124"/>
  <c r="E662" i="124" s="1"/>
  <c r="C664" i="124"/>
  <c r="E664" i="124" s="1"/>
  <c r="AA184" i="187"/>
  <c r="AA325" i="187"/>
  <c r="Z23" i="124" s="1"/>
  <c r="C560" i="124" s="1"/>
  <c r="E560" i="124" s="1"/>
  <c r="G742" i="124"/>
  <c r="O833" i="124" s="1"/>
  <c r="L133" i="141" s="1"/>
  <c r="O729" i="124"/>
  <c r="AA316" i="187"/>
  <c r="Z14" i="124" s="1"/>
  <c r="C561" i="124" s="1"/>
  <c r="E561" i="124" s="1"/>
  <c r="AA174" i="187"/>
  <c r="AA292" i="187"/>
  <c r="T53" i="124" s="1"/>
  <c r="C643" i="124" s="1"/>
  <c r="E643" i="124" s="1"/>
  <c r="E704" i="124" s="1"/>
  <c r="G599" i="124"/>
  <c r="O800" i="124" s="1"/>
  <c r="L123" i="141" s="1"/>
  <c r="O590" i="124"/>
  <c r="J20" i="159"/>
  <c r="J18" i="159"/>
  <c r="I800" i="100"/>
  <c r="I802" i="100" s="1"/>
  <c r="I833" i="100"/>
  <c r="I835" i="100" s="1"/>
  <c r="AA217" i="187" l="1"/>
  <c r="AA209" i="187"/>
  <c r="AA342" i="187" s="1"/>
  <c r="Z40" i="124" s="1"/>
  <c r="AA327" i="187"/>
  <c r="Z25" i="124" s="1"/>
  <c r="R222" i="187"/>
  <c r="R227" i="187" s="1"/>
  <c r="S294" i="187"/>
  <c r="T60" i="100" s="1"/>
  <c r="E560" i="100"/>
  <c r="C668" i="100"/>
  <c r="E668" i="100" s="1"/>
  <c r="J661" i="100" s="1"/>
  <c r="S221" i="187"/>
  <c r="S226" i="187" s="1"/>
  <c r="S338" i="187" s="1"/>
  <c r="Z36" i="100" s="1"/>
  <c r="C690" i="100" s="1"/>
  <c r="E690" i="100" s="1"/>
  <c r="S220" i="187"/>
  <c r="S224" i="187" s="1"/>
  <c r="S229" i="187" s="1"/>
  <c r="S341" i="187" s="1"/>
  <c r="Z39" i="100" s="1"/>
  <c r="C695" i="100" s="1"/>
  <c r="E695" i="100" s="1"/>
  <c r="S218" i="187"/>
  <c r="S223" i="187"/>
  <c r="S228" i="187" s="1"/>
  <c r="S340" i="187" s="1"/>
  <c r="Z38" i="100" s="1"/>
  <c r="C692" i="100" s="1"/>
  <c r="E692" i="100" s="1"/>
  <c r="S335" i="187"/>
  <c r="Z33" i="100" s="1"/>
  <c r="Z221" i="187"/>
  <c r="Z226" i="187" s="1"/>
  <c r="AA296" i="187" s="1"/>
  <c r="T57" i="124" s="1"/>
  <c r="C668" i="124" s="1"/>
  <c r="E668" i="124" s="1"/>
  <c r="Z220" i="187"/>
  <c r="Z224" i="187" s="1"/>
  <c r="Z229" i="187" s="1"/>
  <c r="Z218" i="187"/>
  <c r="AA212" i="187"/>
  <c r="AA213" i="187" s="1"/>
  <c r="Z223" i="187"/>
  <c r="Z228" i="187" s="1"/>
  <c r="AA298" i="187" s="1"/>
  <c r="T59" i="124" s="1"/>
  <c r="C670" i="124" s="1"/>
  <c r="E670" i="124" s="1"/>
  <c r="AA293" i="187"/>
  <c r="T54" i="124" s="1"/>
  <c r="C644" i="124" s="1"/>
  <c r="E644" i="124" s="1"/>
  <c r="Y50" i="111"/>
  <c r="AK22" i="132" s="1"/>
  <c r="S22" i="132" s="1"/>
  <c r="I37" i="145"/>
  <c r="X37" i="145" s="1"/>
  <c r="Z17" i="132" a="1"/>
  <c r="Z17" i="132" s="1"/>
  <c r="AB17" i="132" a="1"/>
  <c r="AB17" i="132" s="1"/>
  <c r="AK21" i="132"/>
  <c r="S21" i="132" s="1"/>
  <c r="Z18" i="132" a="1"/>
  <c r="Z18" i="132" s="1"/>
  <c r="Y18" i="132" s="1"/>
  <c r="U110" i="187"/>
  <c r="U105" i="187"/>
  <c r="U125" i="187" s="1"/>
  <c r="U128" i="187" s="1"/>
  <c r="U129" i="187" s="1"/>
  <c r="AA170" i="187"/>
  <c r="AA189" i="187" s="1"/>
  <c r="AA190" i="187" s="1"/>
  <c r="AA191" i="187" s="1"/>
  <c r="AA319" i="187" s="1"/>
  <c r="Z17" i="124" s="1"/>
  <c r="Y18" i="159"/>
  <c r="W139" i="187"/>
  <c r="W269" i="187" s="1"/>
  <c r="T50" i="123" s="1"/>
  <c r="W267" i="187"/>
  <c r="T48" i="123" s="1"/>
  <c r="V113" i="187"/>
  <c r="U114" i="187"/>
  <c r="U115" i="187" s="1"/>
  <c r="AA337" i="187"/>
  <c r="Z35" i="124" s="1"/>
  <c r="C682" i="124" s="1"/>
  <c r="S193" i="187"/>
  <c r="S194" i="187" s="1"/>
  <c r="S355" i="187" s="1"/>
  <c r="C50" i="100" s="1"/>
  <c r="C53" i="100" s="1"/>
  <c r="D193" i="111" s="1"/>
  <c r="E522" i="124"/>
  <c r="Z193" i="187"/>
  <c r="Z194" i="187" s="1"/>
  <c r="AA354" i="187" s="1"/>
  <c r="C52" i="124" s="1"/>
  <c r="E687" i="100"/>
  <c r="F715" i="100" s="1"/>
  <c r="E685" i="100"/>
  <c r="E684" i="100"/>
  <c r="F712" i="100" s="1"/>
  <c r="E686" i="100"/>
  <c r="F714" i="100" s="1"/>
  <c r="E688" i="100"/>
  <c r="F719" i="100" s="1"/>
  <c r="F720" i="100" s="1"/>
  <c r="E689" i="100"/>
  <c r="BS22" i="132" a="1"/>
  <c r="BS22" i="132" s="1"/>
  <c r="Y24" i="159"/>
  <c r="E672" i="124"/>
  <c r="J23" i="159"/>
  <c r="BO21" i="132" a="1"/>
  <c r="BO21" i="132" s="1"/>
  <c r="AA334" i="187"/>
  <c r="Z32" i="124" s="1"/>
  <c r="J24" i="159"/>
  <c r="BS21" i="132" a="1"/>
  <c r="BS21" i="132" s="1"/>
  <c r="E671" i="124"/>
  <c r="J91" i="141"/>
  <c r="F91" i="141"/>
  <c r="J81" i="141"/>
  <c r="F81" i="141"/>
  <c r="Z222" i="187" l="1"/>
  <c r="Z227" i="187" s="1"/>
  <c r="AA297" i="187" s="1"/>
  <c r="T58" i="124" s="1"/>
  <c r="C669" i="124" s="1"/>
  <c r="E669" i="124" s="1"/>
  <c r="AA294" i="187"/>
  <c r="T55" i="124" s="1"/>
  <c r="S222" i="187"/>
  <c r="S227" i="187" s="1"/>
  <c r="S336" i="187"/>
  <c r="Z34" i="100" s="1"/>
  <c r="C706" i="100" s="1"/>
  <c r="E706" i="100" s="1"/>
  <c r="F713" i="100" s="1"/>
  <c r="C686" i="124"/>
  <c r="C688" i="124"/>
  <c r="C687" i="124"/>
  <c r="R230" i="187"/>
  <c r="R231" i="187" s="1"/>
  <c r="R232" i="187" s="1"/>
  <c r="S356" i="187" s="1"/>
  <c r="C51" i="100" s="1"/>
  <c r="S297" i="187"/>
  <c r="T63" i="100" s="1"/>
  <c r="C670" i="100" s="1"/>
  <c r="E670" i="100" s="1"/>
  <c r="Z230" i="187"/>
  <c r="Z231" i="187" s="1"/>
  <c r="Z232" i="187" s="1"/>
  <c r="AA356" i="187" s="1"/>
  <c r="C54" i="124" s="1"/>
  <c r="AA299" i="187"/>
  <c r="T60" i="124" s="1"/>
  <c r="C673" i="124" s="1"/>
  <c r="E673" i="124" s="1"/>
  <c r="AA221" i="187"/>
  <c r="AA226" i="187" s="1"/>
  <c r="AA338" i="187" s="1"/>
  <c r="Z36" i="124" s="1"/>
  <c r="C689" i="124" s="1"/>
  <c r="E689" i="124" s="1"/>
  <c r="AA220" i="187"/>
  <c r="AA224" i="187" s="1"/>
  <c r="AA229" i="187" s="1"/>
  <c r="AA341" i="187" s="1"/>
  <c r="Z39" i="124" s="1"/>
  <c r="C694" i="124" s="1"/>
  <c r="E694" i="124" s="1"/>
  <c r="AA218" i="187"/>
  <c r="AA223" i="187"/>
  <c r="AA228" i="187" s="1"/>
  <c r="AA340" i="187" s="1"/>
  <c r="Z38" i="124" s="1"/>
  <c r="C691" i="124" s="1"/>
  <c r="E691" i="124" s="1"/>
  <c r="AA335" i="187"/>
  <c r="Z33" i="124" s="1"/>
  <c r="E193" i="111"/>
  <c r="H193" i="111"/>
  <c r="H221" i="111" s="1"/>
  <c r="H222" i="111" s="1"/>
  <c r="G193" i="111"/>
  <c r="G221" i="111" s="1"/>
  <c r="G222" i="111" s="1"/>
  <c r="I41" i="145"/>
  <c r="I45" i="145" s="1"/>
  <c r="I43" i="145"/>
  <c r="I42" i="145"/>
  <c r="Z21" i="132" a="1"/>
  <c r="Z21" i="132" s="1"/>
  <c r="Y21" i="132" s="1"/>
  <c r="AB21" i="132" a="1"/>
  <c r="AB21" i="132" s="1"/>
  <c r="Y23" i="159"/>
  <c r="AB22" i="132" a="1"/>
  <c r="AB22" i="132" s="1"/>
  <c r="BO22" i="132" a="1"/>
  <c r="BO22" i="132" s="1"/>
  <c r="AA192" i="187"/>
  <c r="AA321" i="187" s="1"/>
  <c r="Z19" i="124" s="1"/>
  <c r="C559" i="124" s="1"/>
  <c r="E559" i="124" s="1"/>
  <c r="AA320" i="187"/>
  <c r="Z18" i="124" s="1"/>
  <c r="C556" i="124" s="1"/>
  <c r="E556" i="124" s="1"/>
  <c r="F576" i="124" s="1"/>
  <c r="F577" i="124" s="1"/>
  <c r="U108" i="187"/>
  <c r="W370" i="187" s="1"/>
  <c r="F723" i="100"/>
  <c r="C723" i="100"/>
  <c r="J723" i="100" s="1"/>
  <c r="N723" i="100" s="1"/>
  <c r="F716" i="100"/>
  <c r="F722" i="100"/>
  <c r="F721" i="100"/>
  <c r="F718" i="100"/>
  <c r="E682" i="124"/>
  <c r="E687" i="124" s="1"/>
  <c r="F718" i="124" s="1"/>
  <c r="F719" i="124" s="1"/>
  <c r="U116" i="187"/>
  <c r="U118" i="187"/>
  <c r="U130" i="187"/>
  <c r="U117" i="187"/>
  <c r="V114" i="187"/>
  <c r="V115" i="187" s="1"/>
  <c r="V116" i="187" s="1"/>
  <c r="V143" i="187" s="1"/>
  <c r="W113" i="187"/>
  <c r="W351" i="187"/>
  <c r="C52" i="123" s="1"/>
  <c r="W372" i="187"/>
  <c r="C74" i="123" s="1"/>
  <c r="W371" i="187"/>
  <c r="C685" i="124"/>
  <c r="C527" i="123"/>
  <c r="E527" i="123" s="1"/>
  <c r="C646" i="123"/>
  <c r="E646" i="123" s="1"/>
  <c r="C529" i="123"/>
  <c r="E529" i="123" s="1"/>
  <c r="K582" i="123" s="1"/>
  <c r="L582" i="123" s="1"/>
  <c r="C648" i="123"/>
  <c r="E648" i="123" s="1"/>
  <c r="K721" i="123" s="1"/>
  <c r="L721" i="123" s="1"/>
  <c r="C683" i="124"/>
  <c r="C684" i="124"/>
  <c r="CC17" i="132"/>
  <c r="D196" i="111"/>
  <c r="E196" i="111" s="1"/>
  <c r="E220" i="111" s="1"/>
  <c r="E694" i="100"/>
  <c r="U39" i="111"/>
  <c r="E693" i="100"/>
  <c r="C784" i="100"/>
  <c r="D784" i="100" s="1"/>
  <c r="F83" i="141"/>
  <c r="F93" i="141"/>
  <c r="C817" i="100"/>
  <c r="D817" i="100" s="1"/>
  <c r="H6" i="145"/>
  <c r="W6" i="145"/>
  <c r="AA222" i="187" l="1"/>
  <c r="AA227" i="187" s="1"/>
  <c r="AA336" i="187"/>
  <c r="Z34" i="124" s="1"/>
  <c r="C705" i="124" s="1"/>
  <c r="E705" i="124" s="1"/>
  <c r="S230" i="187"/>
  <c r="S231" i="187" s="1"/>
  <c r="S232" i="187" s="1"/>
  <c r="S357" i="187" s="1"/>
  <c r="C52" i="100" s="1"/>
  <c r="C54" i="100" s="1"/>
  <c r="S339" i="187"/>
  <c r="Z37" i="100" s="1"/>
  <c r="C691" i="100" s="1"/>
  <c r="E691" i="100" s="1"/>
  <c r="T35" i="111"/>
  <c r="V37" i="111"/>
  <c r="BG19" i="132" a="1"/>
  <c r="BG19" i="132" s="1"/>
  <c r="I48" i="145"/>
  <c r="BY19" i="132" s="1" a="1"/>
  <c r="BY19" i="132" s="1"/>
  <c r="X19" i="132" s="1"/>
  <c r="X41" i="145"/>
  <c r="BG20" i="132" s="1" a="1"/>
  <c r="BG20" i="132" s="1"/>
  <c r="BF19" i="132" a="1"/>
  <c r="BF19" i="132" s="1"/>
  <c r="I46" i="145"/>
  <c r="I49" i="145"/>
  <c r="BX19" i="132" s="1" a="1"/>
  <c r="BX19" i="132" s="1"/>
  <c r="X42" i="145"/>
  <c r="I44" i="145"/>
  <c r="X44" i="145" s="1"/>
  <c r="X43" i="145"/>
  <c r="I47" i="145"/>
  <c r="BH19" i="132" a="1"/>
  <c r="BH19" i="132" s="1"/>
  <c r="J17" i="132"/>
  <c r="AA193" i="187"/>
  <c r="AA194" i="187" s="1"/>
  <c r="AA355" i="187" s="1"/>
  <c r="C53" i="124" s="1"/>
  <c r="C56" i="124" s="1"/>
  <c r="D267" i="111" s="1"/>
  <c r="AP18" i="132"/>
  <c r="Z22" i="132" a="1"/>
  <c r="Z22" i="132" s="1"/>
  <c r="Y22" i="132" s="1"/>
  <c r="C702" i="123"/>
  <c r="J702" i="123" s="1"/>
  <c r="N702" i="123" s="1"/>
  <c r="O702" i="123" s="1"/>
  <c r="C567" i="123"/>
  <c r="J567" i="123" s="1"/>
  <c r="N567" i="123" s="1"/>
  <c r="O567" i="123" s="1"/>
  <c r="V200" i="187"/>
  <c r="V202" i="187" s="1"/>
  <c r="V203" i="187" s="1"/>
  <c r="E686" i="124"/>
  <c r="V118" i="187"/>
  <c r="V119" i="187" s="1"/>
  <c r="V142" i="187" s="1"/>
  <c r="V130" i="187"/>
  <c r="W302" i="187" s="1"/>
  <c r="T83" i="123" s="1"/>
  <c r="V117" i="187"/>
  <c r="W300" i="187" s="1"/>
  <c r="T81" i="123" s="1"/>
  <c r="E684" i="124"/>
  <c r="F712" i="124" s="1"/>
  <c r="C72" i="123"/>
  <c r="W136" i="187"/>
  <c r="W137" i="187" s="1"/>
  <c r="U119" i="187"/>
  <c r="C73" i="123"/>
  <c r="W114" i="187"/>
  <c r="W115" i="187" s="1"/>
  <c r="W116" i="187" s="1"/>
  <c r="W143" i="187" s="1"/>
  <c r="W376" i="187"/>
  <c r="C78" i="123" s="1"/>
  <c r="D248" i="111" s="1"/>
  <c r="D244" i="111" s="1"/>
  <c r="W375" i="187"/>
  <c r="C77" i="123" s="1"/>
  <c r="W374" i="187"/>
  <c r="C76" i="123" s="1"/>
  <c r="W352" i="187"/>
  <c r="C53" i="123" s="1"/>
  <c r="E685" i="124"/>
  <c r="F713" i="124" s="1"/>
  <c r="E688" i="124"/>
  <c r="E683" i="124"/>
  <c r="F711" i="124" s="1"/>
  <c r="X45" i="145"/>
  <c r="BV19" i="132" a="1"/>
  <c r="BV19" i="132" s="1"/>
  <c r="U36" i="111"/>
  <c r="E693" i="124"/>
  <c r="J18" i="132"/>
  <c r="AD193" i="111" l="1"/>
  <c r="CC18" i="132"/>
  <c r="AD196" i="111"/>
  <c r="AE196" i="111" s="1"/>
  <c r="AE220" i="111" s="1"/>
  <c r="T38" i="111" s="1"/>
  <c r="AA230" i="187"/>
  <c r="AA231" i="187" s="1"/>
  <c r="AA232" i="187" s="1"/>
  <c r="AA357" i="187" s="1"/>
  <c r="C55" i="124" s="1"/>
  <c r="C57" i="124" s="1"/>
  <c r="AA339" i="187"/>
  <c r="Z37" i="124" s="1"/>
  <c r="C690" i="124" s="1"/>
  <c r="E690" i="124" s="1"/>
  <c r="G267" i="111"/>
  <c r="G295" i="111" s="1"/>
  <c r="G296" i="111" s="1"/>
  <c r="E267" i="111"/>
  <c r="H267" i="111"/>
  <c r="H295" i="111" s="1"/>
  <c r="H296" i="111" s="1"/>
  <c r="H244" i="111"/>
  <c r="G244" i="111"/>
  <c r="E244" i="111"/>
  <c r="H25" i="159"/>
  <c r="AF17" i="132"/>
  <c r="N17" i="132" s="1"/>
  <c r="T72" i="100"/>
  <c r="T74" i="100" s="1"/>
  <c r="T77" i="100" s="1"/>
  <c r="C391" i="100" s="1"/>
  <c r="C436" i="100" s="1"/>
  <c r="C439" i="100" s="1"/>
  <c r="K798" i="100" s="1"/>
  <c r="H79" i="141" s="1"/>
  <c r="X48" i="145"/>
  <c r="BY20" i="132" s="1" a="1"/>
  <c r="BY20" i="132" s="1"/>
  <c r="X20" i="132" s="1"/>
  <c r="BH20" i="132" a="1"/>
  <c r="BH20" i="132" s="1"/>
  <c r="X46" i="145"/>
  <c r="BU20" i="132" s="1" a="1"/>
  <c r="BU20" i="132" s="1"/>
  <c r="BU19" i="132" a="1"/>
  <c r="BU19" i="132" s="1"/>
  <c r="X49" i="145"/>
  <c r="BX20" i="132" s="1" a="1"/>
  <c r="BX20" i="132" s="1"/>
  <c r="BW19" i="132" a="1"/>
  <c r="BW19" i="132" s="1"/>
  <c r="X47" i="145"/>
  <c r="BZ20" i="132" s="1" a="1"/>
  <c r="BZ20" i="132" s="1"/>
  <c r="BF20" i="132" a="1"/>
  <c r="BF20" i="132" s="1"/>
  <c r="BZ19" i="132" a="1"/>
  <c r="BZ19" i="132" s="1"/>
  <c r="D270" i="111"/>
  <c r="E270" i="111" s="1"/>
  <c r="E294" i="111" s="1"/>
  <c r="V36" i="111"/>
  <c r="AZ17" i="132"/>
  <c r="BW20" i="132" a="1"/>
  <c r="BW20" i="132" s="1"/>
  <c r="AP17" i="132"/>
  <c r="CC21" i="132"/>
  <c r="BV20" i="132" a="1"/>
  <c r="BV20" i="132" s="1"/>
  <c r="F722" i="124"/>
  <c r="C722" i="124"/>
  <c r="J722" i="124" s="1"/>
  <c r="N722" i="124" s="1"/>
  <c r="E692" i="124"/>
  <c r="F714" i="124"/>
  <c r="I33" i="145"/>
  <c r="X33" i="145" s="1"/>
  <c r="D246" i="111"/>
  <c r="D242" i="111" s="1"/>
  <c r="I34" i="145"/>
  <c r="X34" i="145" s="1"/>
  <c r="D255" i="111"/>
  <c r="K240" i="111" s="1"/>
  <c r="K257" i="111" s="1"/>
  <c r="K259" i="111" s="1"/>
  <c r="D247" i="111"/>
  <c r="D243" i="111" s="1"/>
  <c r="C504" i="123"/>
  <c r="C505" i="123"/>
  <c r="C625" i="123"/>
  <c r="C624" i="123"/>
  <c r="C503" i="123"/>
  <c r="C626" i="123"/>
  <c r="I30" i="145"/>
  <c r="W268" i="187"/>
  <c r="T49" i="123" s="1"/>
  <c r="W348" i="187"/>
  <c r="C41" i="123" s="1"/>
  <c r="C6" i="123" s="1"/>
  <c r="D740" i="123"/>
  <c r="D597" i="123"/>
  <c r="C740" i="123"/>
  <c r="C741" i="123" s="1"/>
  <c r="C597" i="123"/>
  <c r="C598" i="123" s="1"/>
  <c r="W200" i="187"/>
  <c r="W202" i="187" s="1"/>
  <c r="W203" i="187" s="1"/>
  <c r="AD248" i="111"/>
  <c r="V179" i="187"/>
  <c r="V204" i="187"/>
  <c r="V225" i="187" s="1"/>
  <c r="V167" i="187"/>
  <c r="U51" i="111"/>
  <c r="W117" i="187"/>
  <c r="W118" i="187"/>
  <c r="W119" i="187" s="1"/>
  <c r="W142" i="187" s="1"/>
  <c r="W130" i="187"/>
  <c r="W303" i="187" s="1"/>
  <c r="T84" i="123" s="1"/>
  <c r="E349" i="100"/>
  <c r="C360" i="100" s="1"/>
  <c r="AD267" i="111" l="1"/>
  <c r="CC22" i="132"/>
  <c r="AD270" i="111"/>
  <c r="AE270" i="111" s="1"/>
  <c r="AE294" i="111" s="1"/>
  <c r="T50" i="111" s="1"/>
  <c r="Y25" i="159" s="1"/>
  <c r="T73" i="100"/>
  <c r="T75" i="100" s="1"/>
  <c r="T78" i="100" s="1"/>
  <c r="AF18" i="132"/>
  <c r="N18" i="132" s="1"/>
  <c r="W25" i="159"/>
  <c r="AG193" i="111"/>
  <c r="AG221" i="111" s="1"/>
  <c r="AE193" i="111"/>
  <c r="AH193" i="111"/>
  <c r="AH221" i="111" s="1"/>
  <c r="AH222" i="111" s="1"/>
  <c r="E243" i="111"/>
  <c r="H243" i="111"/>
  <c r="G243" i="111"/>
  <c r="E242" i="111"/>
  <c r="G242" i="111"/>
  <c r="H242" i="111"/>
  <c r="AF22" i="132"/>
  <c r="N22" i="132" s="1"/>
  <c r="T47" i="111"/>
  <c r="U48" i="111"/>
  <c r="V49" i="111"/>
  <c r="AQ17" i="132"/>
  <c r="AP22" i="132"/>
  <c r="F721" i="124"/>
  <c r="F720" i="124"/>
  <c r="F715" i="124"/>
  <c r="F717" i="124"/>
  <c r="AD246" i="111"/>
  <c r="AD242" i="111"/>
  <c r="F740" i="123"/>
  <c r="E741" i="123" s="1"/>
  <c r="C742" i="123" s="1"/>
  <c r="J825" i="123" s="1"/>
  <c r="J826" i="123" s="1"/>
  <c r="F597" i="123"/>
  <c r="E598" i="123" s="1"/>
  <c r="C599" i="123" s="1"/>
  <c r="J792" i="123" s="1"/>
  <c r="J793" i="123" s="1"/>
  <c r="C755" i="123"/>
  <c r="C756" i="123" s="1"/>
  <c r="D755" i="123"/>
  <c r="I4" i="159"/>
  <c r="I7" i="159" s="1"/>
  <c r="X30" i="145"/>
  <c r="X4" i="159" s="1"/>
  <c r="X7" i="159" s="1"/>
  <c r="C602" i="123"/>
  <c r="C603" i="123" s="1"/>
  <c r="D602" i="123"/>
  <c r="V168" i="187"/>
  <c r="V169" i="187" s="1"/>
  <c r="W275" i="187" s="1"/>
  <c r="T56" i="123" s="1"/>
  <c r="C522" i="123" s="1"/>
  <c r="E522" i="123" s="1"/>
  <c r="W273" i="187"/>
  <c r="T54" i="123" s="1"/>
  <c r="C536" i="123" s="1"/>
  <c r="E536" i="123" s="1"/>
  <c r="V171" i="187"/>
  <c r="V173" i="187"/>
  <c r="C745" i="123"/>
  <c r="C746" i="123" s="1"/>
  <c r="D745" i="123"/>
  <c r="W301" i="187"/>
  <c r="T82" i="123" s="1"/>
  <c r="I32" i="145"/>
  <c r="V205" i="187"/>
  <c r="C750" i="123"/>
  <c r="C751" i="123" s="1"/>
  <c r="D750" i="123"/>
  <c r="D612" i="123"/>
  <c r="C612" i="123"/>
  <c r="C613" i="123" s="1"/>
  <c r="D229" i="111"/>
  <c r="CA20" i="132"/>
  <c r="CA19" i="132"/>
  <c r="D607" i="123"/>
  <c r="C607" i="123"/>
  <c r="C608" i="123" s="1"/>
  <c r="C647" i="123"/>
  <c r="E647" i="123" s="1"/>
  <c r="F721" i="123" s="1"/>
  <c r="C528" i="123"/>
  <c r="E528" i="123" s="1"/>
  <c r="F582" i="123" s="1"/>
  <c r="W167" i="187"/>
  <c r="W204" i="187"/>
  <c r="W225" i="187" s="1"/>
  <c r="W179" i="187"/>
  <c r="V180" i="187"/>
  <c r="V181" i="187" s="1"/>
  <c r="W280" i="187" s="1"/>
  <c r="T61" i="123" s="1"/>
  <c r="C518" i="123" s="1"/>
  <c r="E518" i="123" s="1"/>
  <c r="V183" i="187"/>
  <c r="V182" i="187"/>
  <c r="W282" i="187"/>
  <c r="T63" i="123" s="1"/>
  <c r="C535" i="123" s="1"/>
  <c r="E535" i="123" s="1"/>
  <c r="AD244" i="111"/>
  <c r="AD247" i="111"/>
  <c r="AD255" i="111"/>
  <c r="AK240" i="111" s="1"/>
  <c r="AK257" i="111" s="1"/>
  <c r="AK259" i="111" s="1"/>
  <c r="O369" i="100"/>
  <c r="C830" i="100"/>
  <c r="C797" i="100"/>
  <c r="J360" i="100"/>
  <c r="N360" i="100" s="1"/>
  <c r="T68" i="124" l="1"/>
  <c r="T70" i="124" s="1"/>
  <c r="T73" i="124" s="1"/>
  <c r="C811" i="124" s="1"/>
  <c r="AG222" i="111"/>
  <c r="V40" i="111" s="1"/>
  <c r="AZ18" i="132" s="1"/>
  <c r="V39" i="111"/>
  <c r="AQ18" i="132" s="1"/>
  <c r="C812" i="100"/>
  <c r="C392" i="100"/>
  <c r="C437" i="100" s="1"/>
  <c r="C440" i="100" s="1"/>
  <c r="K831" i="100" s="1"/>
  <c r="H89" i="141" s="1"/>
  <c r="AH267" i="111"/>
  <c r="AH295" i="111" s="1"/>
  <c r="AH296" i="111" s="1"/>
  <c r="AG267" i="111"/>
  <c r="AG295" i="111" s="1"/>
  <c r="AE267" i="111"/>
  <c r="V206" i="187"/>
  <c r="V207" i="187" s="1"/>
  <c r="V219" i="187" s="1"/>
  <c r="V212" i="187"/>
  <c r="V213" i="187" s="1"/>
  <c r="AG242" i="111"/>
  <c r="AH242" i="111"/>
  <c r="AE242" i="111"/>
  <c r="AG244" i="111"/>
  <c r="AH244" i="111"/>
  <c r="AE244" i="111"/>
  <c r="H229" i="111"/>
  <c r="G229" i="111"/>
  <c r="T67" i="124"/>
  <c r="T69" i="124" s="1"/>
  <c r="T72" i="124" s="1"/>
  <c r="J25" i="159"/>
  <c r="AF21" i="132"/>
  <c r="N21" i="132" s="1"/>
  <c r="V48" i="111"/>
  <c r="AQ21" i="132" s="1"/>
  <c r="AZ21" i="132"/>
  <c r="AP21" i="132"/>
  <c r="V170" i="187"/>
  <c r="V189" i="187" s="1"/>
  <c r="W278" i="187" s="1"/>
  <c r="T59" i="123" s="1"/>
  <c r="C534" i="123" s="1"/>
  <c r="E534" i="123" s="1"/>
  <c r="W205" i="187"/>
  <c r="W171" i="187"/>
  <c r="W168" i="187"/>
  <c r="W169" i="187" s="1"/>
  <c r="W317" i="187" s="1"/>
  <c r="Z15" i="123" s="1"/>
  <c r="W315" i="187"/>
  <c r="Z13" i="123" s="1"/>
  <c r="C550" i="123" s="1"/>
  <c r="E550" i="123" s="1"/>
  <c r="K587" i="123" s="1"/>
  <c r="L587" i="123" s="1"/>
  <c r="W173" i="187"/>
  <c r="G113" i="141"/>
  <c r="G102" i="141"/>
  <c r="I16" i="159"/>
  <c r="W295" i="187"/>
  <c r="T76" i="123" s="1"/>
  <c r="C653" i="123" s="1"/>
  <c r="C657" i="123" s="1"/>
  <c r="AD243" i="111"/>
  <c r="AD229" i="111"/>
  <c r="F591" i="123"/>
  <c r="N792" i="123" s="1"/>
  <c r="N793" i="123" s="1"/>
  <c r="G582" i="123"/>
  <c r="F734" i="123"/>
  <c r="N825" i="123" s="1"/>
  <c r="N826" i="123" s="1"/>
  <c r="G721" i="123"/>
  <c r="X16" i="159"/>
  <c r="V184" i="187"/>
  <c r="W283" i="187"/>
  <c r="T64" i="123" s="1"/>
  <c r="C538" i="123" s="1"/>
  <c r="E538" i="123" s="1"/>
  <c r="X32" i="145"/>
  <c r="X6" i="159" s="1"/>
  <c r="X9" i="159" s="1"/>
  <c r="X18" i="159" s="1"/>
  <c r="I6" i="159"/>
  <c r="I9" i="159" s="1"/>
  <c r="I20" i="159" s="1"/>
  <c r="V174" i="187"/>
  <c r="W274" i="187"/>
  <c r="T55" i="123" s="1"/>
  <c r="C539" i="123" s="1"/>
  <c r="E539" i="123" s="1"/>
  <c r="E521" i="123"/>
  <c r="C572" i="123"/>
  <c r="E517" i="123"/>
  <c r="C571" i="123" s="1"/>
  <c r="C570" i="123"/>
  <c r="C628" i="123"/>
  <c r="F750" i="123" s="1"/>
  <c r="E751" i="123" s="1"/>
  <c r="C752" i="123" s="1"/>
  <c r="C629" i="123"/>
  <c r="F755" i="123" s="1"/>
  <c r="E756" i="123" s="1"/>
  <c r="C757" i="123" s="1"/>
  <c r="L825" i="123" s="1"/>
  <c r="L826" i="123" s="1"/>
  <c r="C507" i="123"/>
  <c r="F607" i="123" s="1"/>
  <c r="E608" i="123" s="1"/>
  <c r="C609" i="123" s="1"/>
  <c r="C508" i="123"/>
  <c r="F612" i="123" s="1"/>
  <c r="E613" i="123" s="1"/>
  <c r="C614" i="123" s="1"/>
  <c r="L792" i="123" s="1"/>
  <c r="L793" i="123" s="1"/>
  <c r="C506" i="123"/>
  <c r="F602" i="123" s="1"/>
  <c r="E603" i="123" s="1"/>
  <c r="C604" i="123" s="1"/>
  <c r="K792" i="123" s="1"/>
  <c r="H102" i="141" s="1"/>
  <c r="C627" i="123"/>
  <c r="F745" i="123" s="1"/>
  <c r="E746" i="123" s="1"/>
  <c r="C747" i="123" s="1"/>
  <c r="K825" i="123" s="1"/>
  <c r="H113" i="141" s="1"/>
  <c r="Y41" i="111"/>
  <c r="Y43" i="111"/>
  <c r="Y46" i="111"/>
  <c r="Y44" i="111"/>
  <c r="W324" i="187"/>
  <c r="Z22" i="123" s="1"/>
  <c r="C549" i="123" s="1"/>
  <c r="E549" i="123" s="1"/>
  <c r="K585" i="123" s="1"/>
  <c r="L585" i="123" s="1"/>
  <c r="W180" i="187"/>
  <c r="W181" i="187" s="1"/>
  <c r="W322" i="187" s="1"/>
  <c r="Z20" i="123" s="1"/>
  <c r="W182" i="187"/>
  <c r="W183" i="187"/>
  <c r="O360" i="100"/>
  <c r="E350" i="100"/>
  <c r="C361" i="100" s="1"/>
  <c r="C392" i="124" l="1"/>
  <c r="C437" i="124" s="1"/>
  <c r="C440" i="124" s="1"/>
  <c r="K830" i="124" s="1"/>
  <c r="H130" i="141" s="1"/>
  <c r="V217" i="187"/>
  <c r="W292" i="187" s="1"/>
  <c r="T73" i="123" s="1"/>
  <c r="C635" i="123" s="1"/>
  <c r="E635" i="123" s="1"/>
  <c r="AG296" i="111"/>
  <c r="V52" i="111" s="1"/>
  <c r="AZ22" i="132" s="1"/>
  <c r="V51" i="111"/>
  <c r="AQ22" i="132" s="1"/>
  <c r="W285" i="187"/>
  <c r="T66" i="123" s="1"/>
  <c r="C639" i="123" s="1"/>
  <c r="E639" i="123" s="1"/>
  <c r="C707" i="123" s="1"/>
  <c r="V209" i="187"/>
  <c r="W286" i="187" s="1"/>
  <c r="T67" i="123" s="1"/>
  <c r="C640" i="123" s="1"/>
  <c r="E640" i="123" s="1"/>
  <c r="C711" i="123" s="1"/>
  <c r="C659" i="123"/>
  <c r="E659" i="123" s="1"/>
  <c r="C658" i="123"/>
  <c r="E658" i="123" s="1"/>
  <c r="W206" i="187"/>
  <c r="W207" i="187" s="1"/>
  <c r="W219" i="187" s="1"/>
  <c r="W212" i="187"/>
  <c r="W213" i="187" s="1"/>
  <c r="AH243" i="111"/>
  <c r="AE243" i="111"/>
  <c r="AG243" i="111"/>
  <c r="AH229" i="111"/>
  <c r="AG229" i="111"/>
  <c r="C778" i="124"/>
  <c r="C391" i="124"/>
  <c r="C436" i="124" s="1"/>
  <c r="C439" i="124" s="1"/>
  <c r="K797" i="124" s="1"/>
  <c r="H120" i="141" s="1"/>
  <c r="V190" i="187"/>
  <c r="V191" i="187" s="1"/>
  <c r="W277" i="187" s="1"/>
  <c r="T58" i="123" s="1"/>
  <c r="C515" i="123" s="1"/>
  <c r="E515" i="123" s="1"/>
  <c r="E514" i="123" s="1"/>
  <c r="C569" i="123" s="1"/>
  <c r="V192" i="187"/>
  <c r="V193" i="187" s="1"/>
  <c r="V194" i="187" s="1"/>
  <c r="W354" i="187" s="1"/>
  <c r="C57" i="123" s="1"/>
  <c r="BC20" i="132"/>
  <c r="AK20" i="132"/>
  <c r="S20" i="132" s="1"/>
  <c r="BC19" i="132"/>
  <c r="AK19" i="132"/>
  <c r="S19" i="132" s="1"/>
  <c r="F570" i="123"/>
  <c r="E570" i="123" s="1"/>
  <c r="D570" i="123" s="1"/>
  <c r="M570" i="123" s="1"/>
  <c r="W170" i="187"/>
  <c r="W189" i="187" s="1"/>
  <c r="W192" i="187" s="1"/>
  <c r="F572" i="123"/>
  <c r="F573" i="123" s="1"/>
  <c r="F575" i="123" s="1"/>
  <c r="BS19" i="132" a="1"/>
  <c r="BS19" i="132" s="1"/>
  <c r="I24" i="159"/>
  <c r="X23" i="159"/>
  <c r="BO20" i="132" a="1"/>
  <c r="BO20" i="132" s="1"/>
  <c r="G114" i="141"/>
  <c r="C809" i="123"/>
  <c r="D809" i="123" s="1"/>
  <c r="J572" i="123"/>
  <c r="O582" i="123"/>
  <c r="G591" i="123"/>
  <c r="O792" i="123" s="1"/>
  <c r="O793" i="123" s="1"/>
  <c r="K102" i="141"/>
  <c r="G103" i="141"/>
  <c r="C776" i="123"/>
  <c r="D776" i="123" s="1"/>
  <c r="I102" i="141"/>
  <c r="X20" i="159"/>
  <c r="E657" i="123"/>
  <c r="E653" i="123"/>
  <c r="C655" i="123"/>
  <c r="E655" i="123" s="1"/>
  <c r="C654" i="123"/>
  <c r="E654" i="123" s="1"/>
  <c r="C656" i="123"/>
  <c r="E656" i="123" s="1"/>
  <c r="K113" i="141"/>
  <c r="W325" i="187"/>
  <c r="Z23" i="123" s="1"/>
  <c r="C552" i="123" s="1"/>
  <c r="E552" i="123" s="1"/>
  <c r="H585" i="123" s="1"/>
  <c r="I585" i="123" s="1"/>
  <c r="J585" i="123" s="1"/>
  <c r="W184" i="187"/>
  <c r="O721" i="123"/>
  <c r="G734" i="123"/>
  <c r="O825" i="123" s="1"/>
  <c r="O826" i="123" s="1"/>
  <c r="C712" i="123"/>
  <c r="C709" i="123"/>
  <c r="I113" i="141"/>
  <c r="BQ20" i="132" a="1"/>
  <c r="BQ20" i="132" s="1"/>
  <c r="X22" i="159"/>
  <c r="W174" i="187"/>
  <c r="W316" i="187"/>
  <c r="Z14" i="123" s="1"/>
  <c r="C553" i="123" s="1"/>
  <c r="E553" i="123" s="1"/>
  <c r="H587" i="123" s="1"/>
  <c r="I587" i="123" s="1"/>
  <c r="J587" i="123" s="1"/>
  <c r="I18" i="159"/>
  <c r="W209" i="187"/>
  <c r="W342" i="187" s="1"/>
  <c r="Z40" i="123" s="1"/>
  <c r="C573" i="123"/>
  <c r="C574" i="123"/>
  <c r="C575" i="123"/>
  <c r="J570" i="123"/>
  <c r="J571" i="123"/>
  <c r="N571" i="123" s="1"/>
  <c r="O571" i="123" s="1"/>
  <c r="O586" i="123"/>
  <c r="J533" i="123"/>
  <c r="BQ19" i="132" a="1"/>
  <c r="BQ19" i="132" s="1"/>
  <c r="I22" i="159"/>
  <c r="W337" i="187"/>
  <c r="Z35" i="123" s="1"/>
  <c r="C674" i="123" s="1"/>
  <c r="J361" i="100"/>
  <c r="N361" i="100" s="1"/>
  <c r="O370" i="100"/>
  <c r="I66" i="145"/>
  <c r="X7" i="145"/>
  <c r="X66" i="145"/>
  <c r="I76" i="145"/>
  <c r="I7" i="145"/>
  <c r="C708" i="123" l="1"/>
  <c r="C706" i="123"/>
  <c r="J706" i="123" s="1"/>
  <c r="E696" i="123"/>
  <c r="C713" i="123" s="1"/>
  <c r="C710" i="123"/>
  <c r="J710" i="123" s="1"/>
  <c r="W217" i="187"/>
  <c r="W327" i="187"/>
  <c r="Z25" i="123" s="1"/>
  <c r="C678" i="123"/>
  <c r="C680" i="123"/>
  <c r="C679" i="123"/>
  <c r="V223" i="187"/>
  <c r="V228" i="187" s="1"/>
  <c r="W298" i="187" s="1"/>
  <c r="T79" i="123" s="1"/>
  <c r="C662" i="123" s="1"/>
  <c r="E662" i="123" s="1"/>
  <c r="W293" i="187"/>
  <c r="T74" i="123" s="1"/>
  <c r="C636" i="123" s="1"/>
  <c r="E636" i="123" s="1"/>
  <c r="C705" i="123" s="1"/>
  <c r="J705" i="123" s="1"/>
  <c r="N705" i="123" s="1"/>
  <c r="O705" i="123" s="1"/>
  <c r="V220" i="187"/>
  <c r="V224" i="187" s="1"/>
  <c r="V229" i="187" s="1"/>
  <c r="W299" i="187" s="1"/>
  <c r="T80" i="123" s="1"/>
  <c r="C665" i="123" s="1"/>
  <c r="E665" i="123" s="1"/>
  <c r="V221" i="187"/>
  <c r="V226" i="187" s="1"/>
  <c r="V218" i="187"/>
  <c r="W279" i="187"/>
  <c r="T60" i="123" s="1"/>
  <c r="C537" i="123" s="1"/>
  <c r="E537" i="123" s="1"/>
  <c r="C568" i="123"/>
  <c r="C578" i="123" s="1"/>
  <c r="S46" i="132"/>
  <c r="W320" i="187"/>
  <c r="Z18" i="123" s="1"/>
  <c r="C548" i="123" s="1"/>
  <c r="E548" i="123" s="1"/>
  <c r="J534" i="123" s="1"/>
  <c r="J535" i="123" s="1"/>
  <c r="W190" i="187"/>
  <c r="W191" i="187" s="1"/>
  <c r="W319" i="187" s="1"/>
  <c r="Z17" i="123" s="1"/>
  <c r="E572" i="123"/>
  <c r="D572" i="123" s="1"/>
  <c r="M572" i="123" s="1"/>
  <c r="N572" i="123" s="1"/>
  <c r="F571" i="123"/>
  <c r="Z20" i="132" a="1"/>
  <c r="Z20" i="132" s="1"/>
  <c r="AB19" i="132" a="1"/>
  <c r="AB19" i="132" s="1"/>
  <c r="AA19" i="132" a="1"/>
  <c r="AA19" i="132" s="1"/>
  <c r="AA20" i="132" a="1"/>
  <c r="AA20" i="132" s="1"/>
  <c r="Y20" i="132" s="1"/>
  <c r="S47" i="132"/>
  <c r="N570" i="123"/>
  <c r="BM19" i="132" a="1"/>
  <c r="BM19" i="132" s="1"/>
  <c r="L113" i="141"/>
  <c r="E663" i="123"/>
  <c r="I103" i="141"/>
  <c r="C779" i="123"/>
  <c r="D779" i="123" s="1"/>
  <c r="K103" i="141"/>
  <c r="J708" i="123"/>
  <c r="N708" i="123" s="1"/>
  <c r="O708" i="123" s="1"/>
  <c r="O727" i="123"/>
  <c r="J707" i="123"/>
  <c r="N707" i="123" s="1"/>
  <c r="O707" i="123" s="1"/>
  <c r="O726" i="123"/>
  <c r="K19" i="132"/>
  <c r="J569" i="123"/>
  <c r="N569" i="123" s="1"/>
  <c r="O569" i="123" s="1"/>
  <c r="O584" i="123"/>
  <c r="W193" i="187"/>
  <c r="W194" i="187" s="1"/>
  <c r="W355" i="187" s="1"/>
  <c r="C58" i="123" s="1"/>
  <c r="C61" i="123" s="1"/>
  <c r="D230" i="111" s="1"/>
  <c r="W321" i="187"/>
  <c r="Z19" i="123" s="1"/>
  <c r="C551" i="123" s="1"/>
  <c r="E551" i="123" s="1"/>
  <c r="J711" i="123"/>
  <c r="N711" i="123" s="1"/>
  <c r="O711" i="123" s="1"/>
  <c r="O730" i="123"/>
  <c r="O590" i="123"/>
  <c r="J575" i="123"/>
  <c r="N575" i="123" s="1"/>
  <c r="O575" i="123" s="1"/>
  <c r="K20" i="132"/>
  <c r="W334" i="187"/>
  <c r="Z32" i="123" s="1"/>
  <c r="O731" i="123"/>
  <c r="J712" i="123"/>
  <c r="N712" i="123" s="1"/>
  <c r="O712" i="123" s="1"/>
  <c r="J573" i="123"/>
  <c r="N573" i="123" s="1"/>
  <c r="O573" i="123" s="1"/>
  <c r="O588" i="123"/>
  <c r="G570" i="123"/>
  <c r="C703" i="123"/>
  <c r="E664" i="123"/>
  <c r="I23" i="159"/>
  <c r="BO19" i="132" a="1"/>
  <c r="BO19" i="132" s="1"/>
  <c r="L102" i="141"/>
  <c r="J652" i="123"/>
  <c r="O589" i="123"/>
  <c r="J574" i="123"/>
  <c r="N574" i="123" s="1"/>
  <c r="O574" i="123" s="1"/>
  <c r="C677" i="123"/>
  <c r="C676" i="123"/>
  <c r="E674" i="123"/>
  <c r="C675" i="123"/>
  <c r="BS20" i="132" a="1"/>
  <c r="BS20" i="132" s="1"/>
  <c r="X24" i="159"/>
  <c r="I114" i="141"/>
  <c r="C812" i="123"/>
  <c r="D812" i="123" s="1"/>
  <c r="K114" i="141"/>
  <c r="O728" i="123"/>
  <c r="J709" i="123"/>
  <c r="N709" i="123" s="1"/>
  <c r="O709" i="123" s="1"/>
  <c r="O361" i="100"/>
  <c r="E352" i="100"/>
  <c r="F371" i="100" s="1"/>
  <c r="I67" i="145"/>
  <c r="I77" i="145"/>
  <c r="I78" i="145"/>
  <c r="X67" i="145"/>
  <c r="O732" i="123" l="1"/>
  <c r="J713" i="123"/>
  <c r="N713" i="123" s="1"/>
  <c r="O713" i="123" s="1"/>
  <c r="W296" i="187"/>
  <c r="T77" i="123" s="1"/>
  <c r="C660" i="123" s="1"/>
  <c r="E660" i="123" s="1"/>
  <c r="H583" i="123"/>
  <c r="V222" i="187"/>
  <c r="V227" i="187" s="1"/>
  <c r="W297" i="187" s="1"/>
  <c r="T78" i="123" s="1"/>
  <c r="C661" i="123" s="1"/>
  <c r="E661" i="123" s="1"/>
  <c r="W294" i="187"/>
  <c r="T75" i="123" s="1"/>
  <c r="W223" i="187"/>
  <c r="W228" i="187" s="1"/>
  <c r="W340" i="187" s="1"/>
  <c r="Z38" i="123" s="1"/>
  <c r="C683" i="123" s="1"/>
  <c r="E683" i="123" s="1"/>
  <c r="H724" i="123" s="1"/>
  <c r="I724" i="123" s="1"/>
  <c r="J724" i="123" s="1"/>
  <c r="W335" i="187"/>
  <c r="Z33" i="123" s="1"/>
  <c r="W221" i="187"/>
  <c r="W226" i="187" s="1"/>
  <c r="W338" i="187" s="1"/>
  <c r="Z36" i="123" s="1"/>
  <c r="C681" i="123" s="1"/>
  <c r="E681" i="123" s="1"/>
  <c r="W220" i="187"/>
  <c r="W224" i="187" s="1"/>
  <c r="W229" i="187" s="1"/>
  <c r="W341" i="187" s="1"/>
  <c r="Z39" i="123" s="1"/>
  <c r="C686" i="123" s="1"/>
  <c r="E686" i="123" s="1"/>
  <c r="H733" i="123" s="1"/>
  <c r="I733" i="123" s="1"/>
  <c r="J733" i="123" s="1"/>
  <c r="W218" i="187"/>
  <c r="H230" i="111"/>
  <c r="H258" i="111" s="1"/>
  <c r="H259" i="111" s="1"/>
  <c r="E230" i="111"/>
  <c r="G230" i="111"/>
  <c r="G258" i="111" s="1"/>
  <c r="G259" i="111" s="1"/>
  <c r="D792" i="123"/>
  <c r="S48" i="132"/>
  <c r="S53" i="132" s="1"/>
  <c r="S86" i="132" s="1"/>
  <c r="F568" i="123"/>
  <c r="F569" i="123" s="1"/>
  <c r="J536" i="123"/>
  <c r="J568" i="123"/>
  <c r="K583" i="123"/>
  <c r="L583" i="123" s="1"/>
  <c r="L591" i="123" s="1"/>
  <c r="S792" i="123" s="1"/>
  <c r="S793" i="123" s="1"/>
  <c r="G572" i="123"/>
  <c r="O587" i="123" s="1"/>
  <c r="AB20" i="132" a="1"/>
  <c r="AB20" i="132" s="1"/>
  <c r="Z19" i="132" a="1"/>
  <c r="Z19" i="132" s="1"/>
  <c r="Y19" i="132" s="1"/>
  <c r="Y47" i="132" s="1"/>
  <c r="BL19" i="132" a="1"/>
  <c r="BL19" i="132" s="1"/>
  <c r="W19" i="132" s="1"/>
  <c r="L103" i="141"/>
  <c r="O570" i="123"/>
  <c r="O585" i="123"/>
  <c r="E679" i="123"/>
  <c r="F710" i="123" s="1"/>
  <c r="E680" i="123"/>
  <c r="C714" i="123" s="1"/>
  <c r="J714" i="123" s="1"/>
  <c r="N714" i="123" s="1"/>
  <c r="E678" i="123"/>
  <c r="F706" i="123" s="1"/>
  <c r="E676" i="123"/>
  <c r="E675" i="123"/>
  <c r="F703" i="123" s="1"/>
  <c r="E677" i="123"/>
  <c r="F705" i="123" s="1"/>
  <c r="L114" i="141"/>
  <c r="J703" i="123"/>
  <c r="N703" i="123" s="1"/>
  <c r="H591" i="123"/>
  <c r="P792" i="123" s="1"/>
  <c r="P793" i="123" s="1"/>
  <c r="I583" i="123"/>
  <c r="CC19" i="132"/>
  <c r="D233" i="111"/>
  <c r="E233" i="111" s="1"/>
  <c r="E257" i="111" s="1"/>
  <c r="F372" i="100"/>
  <c r="G371" i="100"/>
  <c r="E351" i="100"/>
  <c r="C362" i="100" s="1"/>
  <c r="I79" i="145"/>
  <c r="H722" i="123" l="1"/>
  <c r="I722" i="123" s="1"/>
  <c r="O724" i="123"/>
  <c r="W222" i="187"/>
  <c r="W227" i="187" s="1"/>
  <c r="W336" i="187"/>
  <c r="Z34" i="123" s="1"/>
  <c r="C697" i="123" s="1"/>
  <c r="E697" i="123" s="1"/>
  <c r="C704" i="123" s="1"/>
  <c r="C717" i="123" s="1"/>
  <c r="V230" i="187"/>
  <c r="V231" i="187" s="1"/>
  <c r="V232" i="187" s="1"/>
  <c r="W356" i="187" s="1"/>
  <c r="C59" i="123" s="1"/>
  <c r="T41" i="111"/>
  <c r="E792" i="123"/>
  <c r="D793" i="123"/>
  <c r="E568" i="123"/>
  <c r="D568" i="123" s="1"/>
  <c r="M568" i="123" s="1"/>
  <c r="N568" i="123" s="1"/>
  <c r="C579" i="123" s="1"/>
  <c r="S74" i="132"/>
  <c r="S107" i="132" s="1"/>
  <c r="S52" i="132"/>
  <c r="S85" i="132" s="1"/>
  <c r="S65" i="132"/>
  <c r="S98" i="132" s="1"/>
  <c r="S64" i="132"/>
  <c r="S97" i="132" s="1"/>
  <c r="S56" i="132"/>
  <c r="S89" i="132" s="1"/>
  <c r="S77" i="132"/>
  <c r="S110" i="132" s="1"/>
  <c r="S69" i="132"/>
  <c r="S102" i="132" s="1"/>
  <c r="S67" i="132"/>
  <c r="S100" i="132" s="1"/>
  <c r="S66" i="132"/>
  <c r="S99" i="132" s="1"/>
  <c r="S58" i="132"/>
  <c r="S91" i="132" s="1"/>
  <c r="S76" i="132"/>
  <c r="S109" i="132" s="1"/>
  <c r="S54" i="132"/>
  <c r="S87" i="132" s="1"/>
  <c r="S71" i="132"/>
  <c r="S104" i="132" s="1"/>
  <c r="S51" i="132"/>
  <c r="S84" i="132" s="1"/>
  <c r="S73" i="132"/>
  <c r="S106" i="132" s="1"/>
  <c r="S70" i="132"/>
  <c r="S103" i="132" s="1"/>
  <c r="S63" i="132"/>
  <c r="S96" i="132" s="1"/>
  <c r="S59" i="132"/>
  <c r="S92" i="132" s="1"/>
  <c r="S72" i="132"/>
  <c r="S105" i="132" s="1"/>
  <c r="S75" i="132"/>
  <c r="S108" i="132" s="1"/>
  <c r="S60" i="132"/>
  <c r="S93" i="132" s="1"/>
  <c r="S62" i="132"/>
  <c r="S95" i="132" s="1"/>
  <c r="S57" i="132"/>
  <c r="S90" i="132" s="1"/>
  <c r="S55" i="132"/>
  <c r="S88" i="132" s="1"/>
  <c r="S68" i="132"/>
  <c r="S101" i="132" s="1"/>
  <c r="S61" i="132"/>
  <c r="S94" i="132" s="1"/>
  <c r="BN19" i="132" a="1"/>
  <c r="BN19" i="132" s="1"/>
  <c r="K591" i="123"/>
  <c r="R792" i="123" s="1"/>
  <c r="R793" i="123" s="1"/>
  <c r="O572" i="123"/>
  <c r="Y46" i="132"/>
  <c r="Y48" i="132" s="1"/>
  <c r="F711" i="123"/>
  <c r="E710" i="123"/>
  <c r="D710" i="123" s="1"/>
  <c r="M710" i="123" s="1"/>
  <c r="N710" i="123" s="1"/>
  <c r="E706" i="123"/>
  <c r="D706" i="123" s="1"/>
  <c r="M706" i="123" s="1"/>
  <c r="N706" i="123" s="1"/>
  <c r="F712" i="123"/>
  <c r="F707" i="123"/>
  <c r="F713" i="123"/>
  <c r="F709" i="123"/>
  <c r="O703" i="123"/>
  <c r="I591" i="123"/>
  <c r="Q792" i="123" s="1"/>
  <c r="Q793" i="123" s="1"/>
  <c r="J583" i="123"/>
  <c r="J591" i="123" s="1"/>
  <c r="P102" i="141"/>
  <c r="W792" i="123"/>
  <c r="U45" i="111"/>
  <c r="J722" i="123"/>
  <c r="J653" i="123"/>
  <c r="F714" i="123"/>
  <c r="G714" i="123" s="1"/>
  <c r="K733" i="123"/>
  <c r="L733" i="123" s="1"/>
  <c r="U42" i="111"/>
  <c r="J704" i="123"/>
  <c r="N704" i="123" s="1"/>
  <c r="O704" i="123" s="1"/>
  <c r="M102" i="141"/>
  <c r="E684" i="123"/>
  <c r="H725" i="123" s="1"/>
  <c r="K725" i="123"/>
  <c r="E685" i="123"/>
  <c r="H729" i="123" s="1"/>
  <c r="I729" i="123" s="1"/>
  <c r="K729" i="123"/>
  <c r="L729" i="123" s="1"/>
  <c r="D830" i="100"/>
  <c r="D797" i="100"/>
  <c r="D365" i="100"/>
  <c r="C365" i="100"/>
  <c r="O371" i="100"/>
  <c r="J362" i="100"/>
  <c r="N362" i="100" s="1"/>
  <c r="G372" i="100"/>
  <c r="N830" i="100"/>
  <c r="N835" i="100" s="1"/>
  <c r="N797" i="100"/>
  <c r="N802" i="100" s="1"/>
  <c r="I71" i="145"/>
  <c r="I68" i="145"/>
  <c r="I70" i="145"/>
  <c r="D825" i="123" l="1"/>
  <c r="D826" i="123" s="1"/>
  <c r="W230" i="187"/>
  <c r="W231" i="187" s="1"/>
  <c r="W232" i="187" s="1"/>
  <c r="W357" i="187" s="1"/>
  <c r="C60" i="123" s="1"/>
  <c r="C62" i="123" s="1"/>
  <c r="W339" i="187"/>
  <c r="Z37" i="123" s="1"/>
  <c r="C682" i="123" s="1"/>
  <c r="E682" i="123" s="1"/>
  <c r="H723" i="123" s="1"/>
  <c r="I723" i="123" s="1"/>
  <c r="F704" i="123"/>
  <c r="AF19" i="132"/>
  <c r="N19" i="132" s="1"/>
  <c r="I25" i="159"/>
  <c r="T87" i="123"/>
  <c r="T89" i="123" s="1"/>
  <c r="T92" i="123" s="1"/>
  <c r="C425" i="123" s="1"/>
  <c r="C470" i="123" s="1"/>
  <c r="C473" i="123" s="1"/>
  <c r="K790" i="123" s="1"/>
  <c r="K793" i="123" s="1"/>
  <c r="E825" i="123"/>
  <c r="T102" i="141"/>
  <c r="W793" i="123"/>
  <c r="G568" i="123"/>
  <c r="D579" i="123" s="1"/>
  <c r="F792" i="123" s="1"/>
  <c r="C102" i="141" s="1"/>
  <c r="S78" i="132"/>
  <c r="O102" i="141"/>
  <c r="V792" i="123"/>
  <c r="N577" i="123"/>
  <c r="G710" i="123"/>
  <c r="O710" i="123" s="1"/>
  <c r="AP20" i="132"/>
  <c r="AP19" i="132"/>
  <c r="G706" i="123"/>
  <c r="O706" i="123" s="1"/>
  <c r="C718" i="123"/>
  <c r="I725" i="123"/>
  <c r="P103" i="141"/>
  <c r="K734" i="123"/>
  <c r="R825" i="123" s="1"/>
  <c r="R826" i="123" s="1"/>
  <c r="L725" i="123"/>
  <c r="L734" i="123" s="1"/>
  <c r="S825" i="123" s="1"/>
  <c r="S826" i="123" s="1"/>
  <c r="V42" i="111"/>
  <c r="V43" i="111"/>
  <c r="O722" i="123"/>
  <c r="Y66" i="132"/>
  <c r="Y99" i="132" s="1"/>
  <c r="Y64" i="132"/>
  <c r="Y97" i="132" s="1"/>
  <c r="Y53" i="132"/>
  <c r="Y86" i="132" s="1"/>
  <c r="Y63" i="132"/>
  <c r="Y96" i="132" s="1"/>
  <c r="Y73" i="132"/>
  <c r="Y106" i="132" s="1"/>
  <c r="Y77" i="132"/>
  <c r="Y110" i="132" s="1"/>
  <c r="Y67" i="132"/>
  <c r="Y100" i="132" s="1"/>
  <c r="Y57" i="132"/>
  <c r="Y90" i="132" s="1"/>
  <c r="Y65" i="132"/>
  <c r="Y98" i="132" s="1"/>
  <c r="Y62" i="132"/>
  <c r="Y95" i="132" s="1"/>
  <c r="Y74" i="132"/>
  <c r="Y107" i="132" s="1"/>
  <c r="Y51" i="132"/>
  <c r="Y52" i="132"/>
  <c r="Y85" i="132" s="1"/>
  <c r="Y59" i="132"/>
  <c r="Y92" i="132" s="1"/>
  <c r="Y60" i="132"/>
  <c r="Y93" i="132" s="1"/>
  <c r="Y71" i="132"/>
  <c r="Y104" i="132" s="1"/>
  <c r="Y56" i="132"/>
  <c r="Y89" i="132" s="1"/>
  <c r="Y76" i="132"/>
  <c r="Y109" i="132" s="1"/>
  <c r="Y61" i="132"/>
  <c r="Y94" i="132" s="1"/>
  <c r="Y69" i="132"/>
  <c r="Y102" i="132" s="1"/>
  <c r="Y72" i="132"/>
  <c r="Y105" i="132" s="1"/>
  <c r="Y55" i="132"/>
  <c r="Y88" i="132" s="1"/>
  <c r="Y68" i="132"/>
  <c r="Y101" i="132" s="1"/>
  <c r="Y70" i="132"/>
  <c r="Y103" i="132" s="1"/>
  <c r="Y58" i="132"/>
  <c r="Y91" i="132" s="1"/>
  <c r="Y75" i="132"/>
  <c r="Y108" i="132" s="1"/>
  <c r="Y54" i="132"/>
  <c r="Y87" i="132" s="1"/>
  <c r="O714" i="123"/>
  <c r="O733" i="123"/>
  <c r="M103" i="141"/>
  <c r="N102" i="141"/>
  <c r="O103" i="141"/>
  <c r="J729" i="123"/>
  <c r="J655" i="123"/>
  <c r="J654" i="123"/>
  <c r="O797" i="100"/>
  <c r="O802" i="100" s="1"/>
  <c r="O830" i="100"/>
  <c r="O835" i="100" s="1"/>
  <c r="K78" i="141"/>
  <c r="O372" i="100"/>
  <c r="C374" i="100" s="1"/>
  <c r="K88" i="141"/>
  <c r="C366" i="100"/>
  <c r="D366" i="100"/>
  <c r="O362" i="100"/>
  <c r="E797" i="100"/>
  <c r="E830" i="100"/>
  <c r="X79" i="145"/>
  <c r="I69" i="145"/>
  <c r="X76" i="145"/>
  <c r="I75" i="145"/>
  <c r="H66" i="145"/>
  <c r="X78" i="145"/>
  <c r="X77" i="145"/>
  <c r="W66" i="145"/>
  <c r="H734" i="123" l="1"/>
  <c r="P825" i="123" s="1"/>
  <c r="P826" i="123" s="1"/>
  <c r="J723" i="123"/>
  <c r="O723" i="123" s="1"/>
  <c r="AD230" i="111"/>
  <c r="CC20" i="132"/>
  <c r="AD233" i="111"/>
  <c r="AE233" i="111" s="1"/>
  <c r="AE257" i="111" s="1"/>
  <c r="T44" i="111" s="1"/>
  <c r="H100" i="141"/>
  <c r="O568" i="123"/>
  <c r="O577" i="123" s="1"/>
  <c r="S102" i="141"/>
  <c r="V793" i="123"/>
  <c r="S103" i="141" s="1"/>
  <c r="O583" i="123"/>
  <c r="O591" i="123" s="1"/>
  <c r="C593" i="123" s="1"/>
  <c r="G792" i="123" s="1"/>
  <c r="H792" i="123" s="1"/>
  <c r="E102" i="141" s="1"/>
  <c r="BM20" i="132" a="1"/>
  <c r="BM20" i="132" s="1"/>
  <c r="D578" i="123"/>
  <c r="O729" i="123"/>
  <c r="AQ19" i="132"/>
  <c r="AZ19" i="132"/>
  <c r="D718" i="123"/>
  <c r="F825" i="123" s="1"/>
  <c r="C113" i="141" s="1"/>
  <c r="D717" i="123"/>
  <c r="BL20" i="132" a="1"/>
  <c r="BL20" i="132" s="1"/>
  <c r="BN20" i="132" a="1"/>
  <c r="BN20" i="132" s="1"/>
  <c r="N103" i="141"/>
  <c r="W825" i="123"/>
  <c r="P113" i="141"/>
  <c r="O113" i="141"/>
  <c r="V825" i="123"/>
  <c r="Y78" i="132"/>
  <c r="Y84" i="132"/>
  <c r="T103" i="141"/>
  <c r="H103" i="141"/>
  <c r="C777" i="123"/>
  <c r="D777" i="123" s="1"/>
  <c r="J725" i="123"/>
  <c r="I734" i="123"/>
  <c r="Q825" i="123" s="1"/>
  <c r="Q826" i="123" s="1"/>
  <c r="F830" i="100"/>
  <c r="F797" i="100"/>
  <c r="K93" i="141"/>
  <c r="G830" i="100"/>
  <c r="G797" i="100"/>
  <c r="K83" i="141"/>
  <c r="L88" i="141"/>
  <c r="L78" i="141"/>
  <c r="W67" i="145"/>
  <c r="H67" i="145"/>
  <c r="I74" i="145"/>
  <c r="X71" i="145"/>
  <c r="I8" i="145"/>
  <c r="X68" i="145"/>
  <c r="X70" i="145"/>
  <c r="M113" i="141" l="1"/>
  <c r="J734" i="123"/>
  <c r="AF20" i="132"/>
  <c r="N20" i="132" s="1"/>
  <c r="T88" i="123"/>
  <c r="T90" i="123" s="1"/>
  <c r="T93" i="123" s="1"/>
  <c r="X25" i="159"/>
  <c r="AH230" i="111"/>
  <c r="AH258" i="111" s="1"/>
  <c r="AH259" i="111" s="1"/>
  <c r="AG230" i="111"/>
  <c r="AG258" i="111" s="1"/>
  <c r="AE230" i="111"/>
  <c r="S113" i="141"/>
  <c r="V826" i="123"/>
  <c r="T113" i="141"/>
  <c r="W826" i="123"/>
  <c r="M792" i="123"/>
  <c r="J102" i="141" s="1"/>
  <c r="D102" i="141"/>
  <c r="W20" i="132"/>
  <c r="M114" i="141"/>
  <c r="L19" i="132"/>
  <c r="O114" i="141"/>
  <c r="P114" i="141"/>
  <c r="N113" i="141"/>
  <c r="O725" i="123"/>
  <c r="O734" i="123" s="1"/>
  <c r="C736" i="123" s="1"/>
  <c r="G825" i="123" s="1"/>
  <c r="H825" i="123" s="1"/>
  <c r="E113" i="141" s="1"/>
  <c r="M830" i="100"/>
  <c r="M797" i="100"/>
  <c r="L83" i="141"/>
  <c r="L93" i="141"/>
  <c r="D78" i="141"/>
  <c r="D88" i="141"/>
  <c r="H797" i="100"/>
  <c r="C78" i="141"/>
  <c r="H830" i="100"/>
  <c r="C88" i="141"/>
  <c r="X69" i="145"/>
  <c r="X75" i="145"/>
  <c r="X74" i="145"/>
  <c r="AG259" i="111" l="1"/>
  <c r="V46" i="111" s="1"/>
  <c r="AZ20" i="132" s="1"/>
  <c r="V45" i="111"/>
  <c r="AQ20" i="132" s="1"/>
  <c r="C426" i="123"/>
  <c r="C471" i="123" s="1"/>
  <c r="C474" i="123" s="1"/>
  <c r="K823" i="123" s="1"/>
  <c r="C803" i="123"/>
  <c r="N47" i="132"/>
  <c r="N46" i="132"/>
  <c r="N114" i="141"/>
  <c r="T114" i="141"/>
  <c r="S114" i="141"/>
  <c r="D113" i="141"/>
  <c r="M825" i="123"/>
  <c r="J113" i="141" s="1"/>
  <c r="J88" i="141"/>
  <c r="E88" i="141"/>
  <c r="E78" i="141"/>
  <c r="J78" i="141"/>
  <c r="C448" i="100"/>
  <c r="E448" i="100" s="1"/>
  <c r="C452" i="100" s="1"/>
  <c r="C714" i="100"/>
  <c r="N48" i="132" l="1"/>
  <c r="N77" i="132" s="1"/>
  <c r="N110" i="132" s="1"/>
  <c r="N53" i="132"/>
  <c r="N86" i="132" s="1"/>
  <c r="N70" i="132"/>
  <c r="N103" i="132" s="1"/>
  <c r="N62" i="132"/>
  <c r="N95" i="132" s="1"/>
  <c r="N66" i="132"/>
  <c r="N99" i="132" s="1"/>
  <c r="N60" i="132"/>
  <c r="N93" i="132" s="1"/>
  <c r="K826" i="123"/>
  <c r="H111" i="141"/>
  <c r="J452" i="100"/>
  <c r="N452" i="100" s="1"/>
  <c r="O452" i="100" s="1"/>
  <c r="J714" i="100"/>
  <c r="N714" i="100" s="1"/>
  <c r="O714" i="100" s="1"/>
  <c r="C447" i="100"/>
  <c r="E447" i="100" s="1"/>
  <c r="C451" i="100" s="1"/>
  <c r="N58" i="132" l="1"/>
  <c r="N91" i="132" s="1"/>
  <c r="N68" i="132"/>
  <c r="N101" i="132" s="1"/>
  <c r="N74" i="132"/>
  <c r="N107" i="132" s="1"/>
  <c r="N52" i="132"/>
  <c r="N85" i="132" s="1"/>
  <c r="N64" i="132"/>
  <c r="N97" i="132" s="1"/>
  <c r="N71" i="132"/>
  <c r="N104" i="132" s="1"/>
  <c r="N65" i="132"/>
  <c r="N98" i="132" s="1"/>
  <c r="N57" i="132"/>
  <c r="N90" i="132" s="1"/>
  <c r="N63" i="132"/>
  <c r="N96" i="132" s="1"/>
  <c r="N67" i="132"/>
  <c r="N100" i="132" s="1"/>
  <c r="N73" i="132"/>
  <c r="N106" i="132" s="1"/>
  <c r="N76" i="132"/>
  <c r="N109" i="132" s="1"/>
  <c r="N56" i="132"/>
  <c r="N89" i="132" s="1"/>
  <c r="N69" i="132"/>
  <c r="N102" i="132" s="1"/>
  <c r="N72" i="132"/>
  <c r="N105" i="132" s="1"/>
  <c r="N55" i="132"/>
  <c r="N88" i="132" s="1"/>
  <c r="N61" i="132"/>
  <c r="N94" i="132" s="1"/>
  <c r="N54" i="132"/>
  <c r="N87" i="132" s="1"/>
  <c r="N75" i="132"/>
  <c r="N108" i="132" s="1"/>
  <c r="N51" i="132"/>
  <c r="N84" i="132" s="1"/>
  <c r="N59" i="132"/>
  <c r="N92" i="132" s="1"/>
  <c r="H114" i="141"/>
  <c r="C810" i="123"/>
  <c r="D810" i="123" s="1"/>
  <c r="J451" i="100"/>
  <c r="N451" i="100" s="1"/>
  <c r="O451" i="100" s="1"/>
  <c r="O459" i="100"/>
  <c r="C455" i="100"/>
  <c r="C832" i="100"/>
  <c r="C799" i="100"/>
  <c r="D455" i="100"/>
  <c r="W61" i="145"/>
  <c r="X8" i="145"/>
  <c r="H61" i="145"/>
  <c r="W60" i="145"/>
  <c r="N78" i="132" l="1"/>
  <c r="L20" i="132"/>
  <c r="E832" i="100"/>
  <c r="E799" i="100"/>
  <c r="C456" i="100"/>
  <c r="O460" i="100"/>
  <c r="C462" i="100" s="1"/>
  <c r="D456" i="100"/>
  <c r="F799" i="100" s="1"/>
  <c r="G832" i="100" l="1"/>
  <c r="D90" i="141" s="1"/>
  <c r="G799" i="100"/>
  <c r="D80" i="141" s="1"/>
  <c r="C80" i="141"/>
  <c r="F832" i="100"/>
  <c r="M832" i="100" l="1"/>
  <c r="J90" i="141" s="1"/>
  <c r="M799" i="100"/>
  <c r="J80" i="141" s="1"/>
  <c r="H799" i="100"/>
  <c r="E80" i="141" s="1"/>
  <c r="H832" i="100"/>
  <c r="E90" i="141" s="1"/>
  <c r="C90" i="141"/>
  <c r="J542" i="100" l="1"/>
  <c r="C712" i="100" l="1"/>
  <c r="F97" i="145"/>
  <c r="C713" i="100"/>
  <c r="F96" i="145" l="1"/>
  <c r="J712" i="100"/>
  <c r="N712" i="100" s="1"/>
  <c r="J713" i="100"/>
  <c r="N713" i="100" s="1"/>
  <c r="O713" i="100" s="1"/>
  <c r="C722" i="100"/>
  <c r="O712" i="100" l="1"/>
  <c r="J722" i="100"/>
  <c r="N722" i="100" s="1"/>
  <c r="O722" i="100" s="1"/>
  <c r="O741" i="100"/>
  <c r="J834" i="100" l="1"/>
  <c r="J835" i="100" s="1"/>
  <c r="G92" i="141" l="1"/>
  <c r="K834" i="100"/>
  <c r="K835" i="100" s="1"/>
  <c r="H92" i="141" l="1"/>
  <c r="C818" i="100"/>
  <c r="D818" i="100" s="1"/>
  <c r="G93" i="141"/>
  <c r="L834" i="100"/>
  <c r="L835" i="100" s="1"/>
  <c r="W7" i="145"/>
  <c r="H93" i="141" l="1"/>
  <c r="C819" i="100"/>
  <c r="D819" i="100" s="1"/>
  <c r="I92" i="141"/>
  <c r="K18" i="132"/>
  <c r="F95" i="145"/>
  <c r="W8" i="145"/>
  <c r="L18" i="132" l="1"/>
  <c r="I93" i="141"/>
  <c r="C821" i="100"/>
  <c r="D821" i="100" s="1"/>
  <c r="H41" i="145" l="1"/>
  <c r="H42" i="145"/>
  <c r="H43" i="145"/>
  <c r="W42" i="145" l="1"/>
  <c r="W43" i="145"/>
  <c r="W41" i="145"/>
  <c r="H47" i="145"/>
  <c r="H44" i="145"/>
  <c r="BH17" i="132" a="1"/>
  <c r="BH17" i="132" s="1"/>
  <c r="H46" i="145"/>
  <c r="H49" i="145"/>
  <c r="BF17" i="132" a="1"/>
  <c r="BF17" i="132" s="1"/>
  <c r="H45" i="145"/>
  <c r="BG17" i="132" a="1"/>
  <c r="BG17" i="132" s="1"/>
  <c r="H48" i="145"/>
  <c r="W47" i="145" l="1"/>
  <c r="BU17" i="132" a="1"/>
  <c r="BU17" i="132" s="1"/>
  <c r="W46" i="145"/>
  <c r="BX17" i="132" a="1"/>
  <c r="BX17" i="132" s="1"/>
  <c r="W49" i="145"/>
  <c r="BZ17" i="132" a="1"/>
  <c r="BZ17" i="132" s="1"/>
  <c r="BY17" i="132" a="1"/>
  <c r="BY17" i="132" s="1"/>
  <c r="X17" i="132" s="1"/>
  <c r="W48" i="145"/>
  <c r="BV17" i="132" a="1"/>
  <c r="BV17" i="132" s="1"/>
  <c r="W45" i="145"/>
  <c r="BW17" i="132" a="1"/>
  <c r="BW17" i="132" s="1"/>
  <c r="W44" i="145"/>
  <c r="K801" i="100"/>
  <c r="K802" i="100" s="1"/>
  <c r="H596" i="100"/>
  <c r="I596" i="100" s="1"/>
  <c r="J596" i="100" s="1"/>
  <c r="H594" i="100"/>
  <c r="I594" i="100" s="1"/>
  <c r="J594" i="100" s="1"/>
  <c r="K594" i="100"/>
  <c r="L594" i="100" s="1"/>
  <c r="H592" i="100"/>
  <c r="J801" i="100"/>
  <c r="J802" i="100" s="1"/>
  <c r="H600" i="100" l="1"/>
  <c r="K596" i="100"/>
  <c r="L596" i="100" s="1"/>
  <c r="J543" i="100"/>
  <c r="H82" i="141"/>
  <c r="L801" i="100"/>
  <c r="C785" i="100"/>
  <c r="D785" i="100" s="1"/>
  <c r="G82" i="141"/>
  <c r="K592" i="100"/>
  <c r="P801" i="100"/>
  <c r="P802" i="100" s="1"/>
  <c r="I592" i="100"/>
  <c r="I600" i="100" s="1"/>
  <c r="H7" i="145"/>
  <c r="I82" i="141" l="1"/>
  <c r="L802" i="100"/>
  <c r="C788" i="100" s="1"/>
  <c r="D788" i="100" s="1"/>
  <c r="K17" i="132"/>
  <c r="K600" i="100"/>
  <c r="R801" i="100" s="1"/>
  <c r="R802" i="100" s="1"/>
  <c r="J544" i="100"/>
  <c r="J545" i="100"/>
  <c r="C786" i="100"/>
  <c r="D786" i="100" s="1"/>
  <c r="H83" i="141"/>
  <c r="G83" i="141"/>
  <c r="M82" i="141"/>
  <c r="C581" i="100"/>
  <c r="C578" i="100"/>
  <c r="C577" i="100"/>
  <c r="L592" i="100"/>
  <c r="C580" i="100"/>
  <c r="C579" i="100"/>
  <c r="J592" i="100"/>
  <c r="J600" i="100" s="1"/>
  <c r="Q801" i="100"/>
  <c r="Q802" i="100" s="1"/>
  <c r="H68" i="145"/>
  <c r="H8" i="145"/>
  <c r="L17" i="132" l="1"/>
  <c r="J662" i="100"/>
  <c r="L600" i="100"/>
  <c r="S801" i="100" s="1"/>
  <c r="I83" i="141"/>
  <c r="J581" i="100"/>
  <c r="C582" i="100"/>
  <c r="C583" i="100"/>
  <c r="C584" i="100"/>
  <c r="V801" i="100"/>
  <c r="O82" i="141"/>
  <c r="K738" i="100"/>
  <c r="L738" i="100" s="1"/>
  <c r="H738" i="100"/>
  <c r="I738" i="100" s="1"/>
  <c r="J738" i="100" s="1"/>
  <c r="H731" i="100"/>
  <c r="N82" i="141"/>
  <c r="K742" i="100"/>
  <c r="L742" i="100" s="1"/>
  <c r="G723" i="100"/>
  <c r="H742" i="100"/>
  <c r="I742" i="100" s="1"/>
  <c r="J742" i="100" s="1"/>
  <c r="H732" i="100"/>
  <c r="I732" i="100" s="1"/>
  <c r="K734" i="100"/>
  <c r="H734" i="100"/>
  <c r="I734" i="100" s="1"/>
  <c r="J734" i="100" s="1"/>
  <c r="J578" i="100"/>
  <c r="N578" i="100" s="1"/>
  <c r="O578" i="100" s="1"/>
  <c r="O593" i="100"/>
  <c r="H733" i="100"/>
  <c r="I733" i="100" s="1"/>
  <c r="J579" i="100"/>
  <c r="M83" i="141"/>
  <c r="J577" i="100"/>
  <c r="O595" i="100"/>
  <c r="J580" i="100"/>
  <c r="N580" i="100" s="1"/>
  <c r="O580" i="100" s="1"/>
  <c r="H69" i="145"/>
  <c r="H70" i="145"/>
  <c r="W801" i="100" l="1"/>
  <c r="W802" i="100" s="1"/>
  <c r="S802" i="100"/>
  <c r="P83" i="141" s="1"/>
  <c r="S82" i="141"/>
  <c r="V802" i="100"/>
  <c r="H743" i="100"/>
  <c r="K743" i="100"/>
  <c r="J664" i="100"/>
  <c r="J663" i="100"/>
  <c r="P82" i="141"/>
  <c r="C587" i="100"/>
  <c r="D801" i="100"/>
  <c r="C720" i="100"/>
  <c r="R834" i="100"/>
  <c r="R835" i="100" s="1"/>
  <c r="L734" i="100"/>
  <c r="E581" i="100"/>
  <c r="D581" i="100" s="1"/>
  <c r="M581" i="100" s="1"/>
  <c r="N581" i="100" s="1"/>
  <c r="O83" i="141"/>
  <c r="J584" i="100"/>
  <c r="N584" i="100" s="1"/>
  <c r="O584" i="100" s="1"/>
  <c r="O599" i="100"/>
  <c r="J582" i="100"/>
  <c r="N582" i="100" s="1"/>
  <c r="O582" i="100" s="1"/>
  <c r="O597" i="100"/>
  <c r="N83" i="141"/>
  <c r="C716" i="100"/>
  <c r="C721" i="100"/>
  <c r="C717" i="100"/>
  <c r="C718" i="100"/>
  <c r="C715" i="100"/>
  <c r="P834" i="100"/>
  <c r="P835" i="100" s="1"/>
  <c r="I731" i="100"/>
  <c r="I743" i="100" s="1"/>
  <c r="J733" i="100"/>
  <c r="O733" i="100" s="1"/>
  <c r="J583" i="100"/>
  <c r="N583" i="100" s="1"/>
  <c r="O583" i="100" s="1"/>
  <c r="O598" i="100"/>
  <c r="J732" i="100"/>
  <c r="O732" i="100" s="1"/>
  <c r="O723" i="100"/>
  <c r="O742" i="100"/>
  <c r="E579" i="100"/>
  <c r="D579" i="100" s="1"/>
  <c r="M579" i="100" s="1"/>
  <c r="N579" i="100" s="1"/>
  <c r="H71" i="145"/>
  <c r="H74" i="145"/>
  <c r="T82" i="141" l="1"/>
  <c r="E801" i="100"/>
  <c r="D802" i="100"/>
  <c r="L743" i="100"/>
  <c r="S834" i="100" s="1"/>
  <c r="E577" i="100"/>
  <c r="D577" i="100" s="1"/>
  <c r="M577" i="100" s="1"/>
  <c r="N577" i="100" s="1"/>
  <c r="C719" i="100"/>
  <c r="J719" i="100" s="1"/>
  <c r="M92" i="141"/>
  <c r="G581" i="100"/>
  <c r="O596" i="100" s="1"/>
  <c r="J717" i="100"/>
  <c r="N717" i="100" s="1"/>
  <c r="O717" i="100" s="1"/>
  <c r="O736" i="100"/>
  <c r="S83" i="141"/>
  <c r="J731" i="100"/>
  <c r="J743" i="100" s="1"/>
  <c r="Q834" i="100"/>
  <c r="Q835" i="100" s="1"/>
  <c r="J715" i="100"/>
  <c r="O735" i="100"/>
  <c r="J716" i="100"/>
  <c r="N716" i="100" s="1"/>
  <c r="O716" i="100" s="1"/>
  <c r="J720" i="100"/>
  <c r="N720" i="100" s="1"/>
  <c r="O720" i="100" s="1"/>
  <c r="O739" i="100"/>
  <c r="V834" i="100"/>
  <c r="O92" i="141"/>
  <c r="C382" i="100"/>
  <c r="E382" i="100" s="1"/>
  <c r="E715" i="100"/>
  <c r="D715" i="100" s="1"/>
  <c r="M715" i="100" s="1"/>
  <c r="G579" i="100"/>
  <c r="O737" i="100"/>
  <c r="J718" i="100"/>
  <c r="N718" i="100" s="1"/>
  <c r="O718" i="100" s="1"/>
  <c r="J721" i="100"/>
  <c r="N721" i="100" s="1"/>
  <c r="O721" i="100" s="1"/>
  <c r="O740" i="100"/>
  <c r="T83" i="141"/>
  <c r="H75" i="145"/>
  <c r="W70" i="145"/>
  <c r="W68" i="145"/>
  <c r="S92" i="141" l="1"/>
  <c r="V835" i="100"/>
  <c r="P92" i="141"/>
  <c r="S835" i="100"/>
  <c r="P93" i="141" s="1"/>
  <c r="W834" i="100"/>
  <c r="W835" i="100" s="1"/>
  <c r="C726" i="100"/>
  <c r="C588" i="100"/>
  <c r="G577" i="100"/>
  <c r="D588" i="100" s="1"/>
  <c r="D834" i="100"/>
  <c r="D835" i="100" s="1"/>
  <c r="O731" i="100"/>
  <c r="N715" i="100"/>
  <c r="O581" i="100"/>
  <c r="O594" i="100"/>
  <c r="N92" i="141"/>
  <c r="M93" i="141"/>
  <c r="K413" i="100"/>
  <c r="L413" i="100" s="1"/>
  <c r="O93" i="141"/>
  <c r="G715" i="100"/>
  <c r="O579" i="100"/>
  <c r="W74" i="145"/>
  <c r="W69" i="145"/>
  <c r="W71" i="145"/>
  <c r="T92" i="141" l="1"/>
  <c r="O577" i="100"/>
  <c r="D587" i="100"/>
  <c r="F801" i="100"/>
  <c r="O592" i="100"/>
  <c r="E834" i="100"/>
  <c r="O734" i="100"/>
  <c r="E719" i="100"/>
  <c r="T93" i="141"/>
  <c r="O715" i="100"/>
  <c r="N93" i="141"/>
  <c r="S93" i="141"/>
  <c r="W75" i="145"/>
  <c r="C82" i="141" l="1"/>
  <c r="O600" i="100"/>
  <c r="C602" i="100" s="1"/>
  <c r="G801" i="100" s="1"/>
  <c r="D719" i="100"/>
  <c r="M719" i="100" s="1"/>
  <c r="N719" i="100" s="1"/>
  <c r="G719" i="100"/>
  <c r="D726" i="100" s="1"/>
  <c r="H801" i="100" l="1"/>
  <c r="M801" i="100"/>
  <c r="BX18" i="132" a="1"/>
  <c r="BX18" i="132" s="1"/>
  <c r="BU18" i="132" a="1"/>
  <c r="BU18" i="132" s="1"/>
  <c r="BF18" i="132" a="1"/>
  <c r="BF18" i="132" s="1"/>
  <c r="BZ18" i="132" a="1"/>
  <c r="BZ18" i="132" s="1"/>
  <c r="BH18" i="132" a="1"/>
  <c r="BH18" i="132" s="1"/>
  <c r="BW18" i="132" a="1"/>
  <c r="BW18" i="132" s="1"/>
  <c r="BV18" i="132" a="1"/>
  <c r="BV18" i="132" s="1"/>
  <c r="BY18" i="132" a="1"/>
  <c r="BY18" i="132" s="1"/>
  <c r="X18" i="132" s="1"/>
  <c r="BG18" i="132" a="1"/>
  <c r="BG18" i="132" s="1"/>
  <c r="C727" i="100"/>
  <c r="D727" i="100"/>
  <c r="F834" i="100" s="1"/>
  <c r="D82" i="141"/>
  <c r="O738" i="100"/>
  <c r="O743" i="100" s="1"/>
  <c r="C745" i="100" s="1"/>
  <c r="O719" i="100"/>
  <c r="J82" i="141" l="1"/>
  <c r="E82" i="141"/>
  <c r="G834" i="100"/>
  <c r="C92" i="141"/>
  <c r="H834" i="100" l="1"/>
  <c r="M834" i="100"/>
  <c r="D92" i="141"/>
  <c r="J92" i="141" l="1"/>
  <c r="E92" i="141"/>
  <c r="E349" i="124"/>
  <c r="C360" i="124" s="1"/>
  <c r="J360" i="124" l="1"/>
  <c r="N360" i="124" s="1"/>
  <c r="C829" i="124"/>
  <c r="C796" i="124"/>
  <c r="O369" i="124"/>
  <c r="O360" i="124" l="1"/>
  <c r="E350" i="124"/>
  <c r="C361" i="124" s="1"/>
  <c r="J361" i="124" l="1"/>
  <c r="N361" i="124" s="1"/>
  <c r="O370" i="124"/>
  <c r="O361" i="124" l="1"/>
  <c r="E351" i="124"/>
  <c r="C362" i="124" s="1"/>
  <c r="J362" i="124" s="1"/>
  <c r="D829" i="124" l="1"/>
  <c r="C365" i="124"/>
  <c r="D796" i="124"/>
  <c r="D365" i="124"/>
  <c r="N362" i="124"/>
  <c r="C366" i="124" l="1"/>
  <c r="D366" i="124"/>
  <c r="O362" i="124"/>
  <c r="E796" i="124"/>
  <c r="E829" i="124"/>
  <c r="E352" i="124"/>
  <c r="F371" i="124" s="1"/>
  <c r="F372" i="124" l="1"/>
  <c r="G371" i="124"/>
  <c r="F829" i="124"/>
  <c r="F796" i="124"/>
  <c r="C119" i="141" l="1"/>
  <c r="C129" i="141"/>
  <c r="G372" i="124"/>
  <c r="O371" i="124"/>
  <c r="N829" i="124"/>
  <c r="N834" i="124" s="1"/>
  <c r="N796" i="124"/>
  <c r="N801" i="124" s="1"/>
  <c r="K119" i="141" l="1"/>
  <c r="K129" i="141"/>
  <c r="O796" i="124"/>
  <c r="O801" i="124" s="1"/>
  <c r="O829" i="124"/>
  <c r="O834" i="124" s="1"/>
  <c r="O372" i="124"/>
  <c r="C374" i="124"/>
  <c r="J66" i="145"/>
  <c r="Y66" i="145"/>
  <c r="G829" i="124" l="1"/>
  <c r="G796" i="124"/>
  <c r="L119" i="141"/>
  <c r="L129" i="141"/>
  <c r="K134" i="141"/>
  <c r="K124" i="141"/>
  <c r="J67" i="145"/>
  <c r="Y67" i="145"/>
  <c r="M829" i="124" l="1"/>
  <c r="M796" i="124"/>
  <c r="L134" i="141"/>
  <c r="L124" i="141"/>
  <c r="D119" i="141"/>
  <c r="H796" i="124"/>
  <c r="D129" i="141"/>
  <c r="H829" i="124"/>
  <c r="J119" i="141" l="1"/>
  <c r="E129" i="141"/>
  <c r="J129" i="141"/>
  <c r="E119" i="141"/>
  <c r="K413" i="124" l="1"/>
  <c r="L413" i="124" s="1"/>
  <c r="C713" i="124" l="1"/>
  <c r="C448" i="124"/>
  <c r="E448" i="124" s="1"/>
  <c r="C452" i="124" s="1"/>
  <c r="J452" i="124" l="1"/>
  <c r="N452" i="124" s="1"/>
  <c r="O452" i="124" s="1"/>
  <c r="J713" i="124"/>
  <c r="N713" i="124" s="1"/>
  <c r="O713" i="124" s="1"/>
  <c r="J541" i="124" l="1"/>
  <c r="J76" i="145"/>
  <c r="BM21" i="132" l="1" a="1"/>
  <c r="BM21" i="132" s="1"/>
  <c r="C711" i="124" l="1"/>
  <c r="C712" i="124"/>
  <c r="C721" i="124" l="1"/>
  <c r="O740" i="124" s="1"/>
  <c r="H96" i="145"/>
  <c r="J711" i="124"/>
  <c r="N711" i="124" s="1"/>
  <c r="J712" i="124"/>
  <c r="N712" i="124" s="1"/>
  <c r="O712" i="124" s="1"/>
  <c r="J721" i="124" l="1"/>
  <c r="N721" i="124" s="1"/>
  <c r="O721" i="124" s="1"/>
  <c r="H97" i="145"/>
  <c r="O711" i="124"/>
  <c r="J660" i="124"/>
  <c r="J833" i="124" l="1"/>
  <c r="K833" i="124"/>
  <c r="K834" i="124" s="1"/>
  <c r="G133" i="141" l="1"/>
  <c r="J834" i="124"/>
  <c r="C819" i="124" s="1"/>
  <c r="D819" i="124" s="1"/>
  <c r="H133" i="141"/>
  <c r="L833" i="124"/>
  <c r="L834" i="124" s="1"/>
  <c r="Y7" i="145"/>
  <c r="G134" i="141" l="1"/>
  <c r="H134" i="141"/>
  <c r="C820" i="124"/>
  <c r="D820" i="124" s="1"/>
  <c r="I133" i="141"/>
  <c r="K22" i="132"/>
  <c r="C447" i="124"/>
  <c r="E447" i="124" s="1"/>
  <c r="C451" i="124" s="1"/>
  <c r="Y8" i="145"/>
  <c r="L22" i="132" l="1"/>
  <c r="I134" i="141"/>
  <c r="C816" i="124"/>
  <c r="D816" i="124" s="1"/>
  <c r="H95" i="145"/>
  <c r="D455" i="124"/>
  <c r="O459" i="124"/>
  <c r="C798" i="124"/>
  <c r="J451" i="124"/>
  <c r="N451" i="124" s="1"/>
  <c r="C831" i="124"/>
  <c r="C455" i="124"/>
  <c r="Y61" i="145"/>
  <c r="C456" i="124" l="1"/>
  <c r="O451" i="124"/>
  <c r="D456" i="124"/>
  <c r="E831" i="124"/>
  <c r="O460" i="124"/>
  <c r="C462" i="124"/>
  <c r="E798" i="124"/>
  <c r="Y60" i="145"/>
  <c r="J61" i="145"/>
  <c r="G798" i="124" l="1"/>
  <c r="G831" i="124"/>
  <c r="F798" i="124"/>
  <c r="F831" i="124"/>
  <c r="M798" i="124" l="1"/>
  <c r="M831" i="124"/>
  <c r="H831" i="124"/>
  <c r="C131" i="141"/>
  <c r="C121" i="141"/>
  <c r="H798" i="124"/>
  <c r="D131" i="141"/>
  <c r="D121" i="141"/>
  <c r="J121" i="141" l="1"/>
  <c r="J131" i="141"/>
  <c r="J41" i="145"/>
  <c r="J42" i="145"/>
  <c r="J43" i="145"/>
  <c r="E121" i="141"/>
  <c r="E131" i="141"/>
  <c r="Y43" i="145" l="1"/>
  <c r="Y42" i="145"/>
  <c r="Y41" i="145"/>
  <c r="J47" i="145"/>
  <c r="BH21" i="132" a="1"/>
  <c r="BH21" i="132" s="1"/>
  <c r="J44" i="145"/>
  <c r="BF21" i="132" a="1"/>
  <c r="BF21" i="132" s="1"/>
  <c r="J49" i="145"/>
  <c r="J46" i="145"/>
  <c r="J45" i="145"/>
  <c r="J48" i="145"/>
  <c r="BG21" i="132" a="1"/>
  <c r="BG21" i="132" s="1"/>
  <c r="BH22" i="132" l="1" a="1"/>
  <c r="BH22" i="132" s="1"/>
  <c r="BF22" i="132" a="1"/>
  <c r="BF22" i="132" s="1"/>
  <c r="Y47" i="145"/>
  <c r="BG22" i="132" a="1"/>
  <c r="BG22" i="132" s="1"/>
  <c r="BX21" i="132" a="1"/>
  <c r="BX21" i="132" s="1"/>
  <c r="Y49" i="145"/>
  <c r="BV21" i="132" a="1"/>
  <c r="BV21" i="132" s="1"/>
  <c r="Y45" i="145"/>
  <c r="BY21" i="132" a="1"/>
  <c r="BY21" i="132" s="1"/>
  <c r="X21" i="132" s="1"/>
  <c r="Y48" i="145"/>
  <c r="BU21" i="132" a="1"/>
  <c r="BU21" i="132" s="1"/>
  <c r="Y46" i="145"/>
  <c r="BW21" i="132" a="1"/>
  <c r="BW21" i="132" s="1"/>
  <c r="Y44" i="145"/>
  <c r="BZ21" i="132" a="1"/>
  <c r="BZ21" i="132" s="1"/>
  <c r="J800" i="124"/>
  <c r="J801" i="124" s="1"/>
  <c r="H591" i="124"/>
  <c r="K593" i="124"/>
  <c r="L593" i="124" s="1"/>
  <c r="H593" i="124"/>
  <c r="I593" i="124" s="1"/>
  <c r="J593" i="124" s="1"/>
  <c r="H595" i="124"/>
  <c r="I595" i="124" s="1"/>
  <c r="J595" i="124" s="1"/>
  <c r="K800" i="124"/>
  <c r="K801" i="124" s="1"/>
  <c r="BZ22" i="132" l="1" a="1"/>
  <c r="BZ22" i="132" s="1"/>
  <c r="BV22" i="132" a="1"/>
  <c r="BV22" i="132" s="1"/>
  <c r="BX22" i="132" a="1"/>
  <c r="BX22" i="132" s="1"/>
  <c r="BW22" i="132" a="1"/>
  <c r="BW22" i="132" s="1"/>
  <c r="BU22" i="132" a="1"/>
  <c r="BU22" i="132" s="1"/>
  <c r="BY22" i="132" a="1"/>
  <c r="BY22" i="132" s="1"/>
  <c r="X22" i="132" s="1"/>
  <c r="H599" i="124"/>
  <c r="P800" i="124" s="1"/>
  <c r="P801" i="124" s="1"/>
  <c r="K595" i="124"/>
  <c r="L595" i="124" s="1"/>
  <c r="J542" i="124"/>
  <c r="H123" i="141"/>
  <c r="G124" i="141"/>
  <c r="G123" i="141"/>
  <c r="K591" i="124"/>
  <c r="I591" i="124"/>
  <c r="I599" i="124" s="1"/>
  <c r="L800" i="124"/>
  <c r="L801" i="124" s="1"/>
  <c r="J77" i="145"/>
  <c r="K599" i="124" l="1"/>
  <c r="J543" i="124"/>
  <c r="J544" i="124"/>
  <c r="H124" i="141"/>
  <c r="C785" i="124"/>
  <c r="D785" i="124" s="1"/>
  <c r="C784" i="124"/>
  <c r="D784" i="124" s="1"/>
  <c r="I123" i="141"/>
  <c r="C579" i="124"/>
  <c r="C578" i="124"/>
  <c r="J591" i="124"/>
  <c r="J599" i="124" s="1"/>
  <c r="Q800" i="124"/>
  <c r="Q801" i="124" s="1"/>
  <c r="C577" i="124"/>
  <c r="C576" i="124"/>
  <c r="C580" i="124"/>
  <c r="R800" i="124"/>
  <c r="R801" i="124" s="1"/>
  <c r="L591" i="124"/>
  <c r="M123" i="141"/>
  <c r="J68" i="145"/>
  <c r="J79" i="145"/>
  <c r="J7" i="145"/>
  <c r="J8" i="145"/>
  <c r="J661" i="124" l="1"/>
  <c r="L599" i="124"/>
  <c r="S800" i="124" s="1"/>
  <c r="L21" i="132"/>
  <c r="K21" i="132"/>
  <c r="C787" i="124"/>
  <c r="D787" i="124" s="1"/>
  <c r="I124" i="141"/>
  <c r="BN21" i="132" a="1"/>
  <c r="BN21" i="132" s="1"/>
  <c r="H737" i="124"/>
  <c r="I737" i="124" s="1"/>
  <c r="J737" i="124" s="1"/>
  <c r="K737" i="124"/>
  <c r="L737" i="124" s="1"/>
  <c r="H732" i="124"/>
  <c r="I732" i="124" s="1"/>
  <c r="J576" i="124"/>
  <c r="H733" i="124"/>
  <c r="I733" i="124" s="1"/>
  <c r="J733" i="124" s="1"/>
  <c r="K733" i="124"/>
  <c r="H730" i="124"/>
  <c r="O594" i="124"/>
  <c r="J579" i="124"/>
  <c r="N579" i="124" s="1"/>
  <c r="O579" i="124" s="1"/>
  <c r="J580" i="124"/>
  <c r="C581" i="124"/>
  <c r="C582" i="124"/>
  <c r="C583" i="124"/>
  <c r="O592" i="124"/>
  <c r="J577" i="124"/>
  <c r="N577" i="124" s="1"/>
  <c r="O577" i="124" s="1"/>
  <c r="O123" i="141"/>
  <c r="V800" i="124"/>
  <c r="H731" i="124"/>
  <c r="I731" i="124" s="1"/>
  <c r="N123" i="141"/>
  <c r="M124" i="141"/>
  <c r="J578" i="124"/>
  <c r="H741" i="124"/>
  <c r="I741" i="124" s="1"/>
  <c r="J741" i="124" s="1"/>
  <c r="K741" i="124"/>
  <c r="L741" i="124" s="1"/>
  <c r="G722" i="124"/>
  <c r="J70" i="145"/>
  <c r="J69" i="145"/>
  <c r="J78" i="145"/>
  <c r="W800" i="124" l="1"/>
  <c r="S801" i="124"/>
  <c r="S123" i="141"/>
  <c r="V801" i="124"/>
  <c r="BL21" i="132" a="1"/>
  <c r="BL21" i="132" s="1"/>
  <c r="W21" i="132" s="1"/>
  <c r="H742" i="124"/>
  <c r="K742" i="124"/>
  <c r="R833" i="124" s="1"/>
  <c r="R834" i="124" s="1"/>
  <c r="J663" i="124"/>
  <c r="J662" i="124"/>
  <c r="P123" i="141"/>
  <c r="C586" i="124"/>
  <c r="D800" i="124"/>
  <c r="C719" i="124"/>
  <c r="E576" i="124"/>
  <c r="D576" i="124" s="1"/>
  <c r="M576" i="124" s="1"/>
  <c r="N576" i="124" s="1"/>
  <c r="E578" i="124"/>
  <c r="D578" i="124" s="1"/>
  <c r="M578" i="124" s="1"/>
  <c r="N578" i="124" s="1"/>
  <c r="J583" i="124"/>
  <c r="N583" i="124" s="1"/>
  <c r="O583" i="124" s="1"/>
  <c r="O598" i="124"/>
  <c r="J582" i="124"/>
  <c r="N582" i="124" s="1"/>
  <c r="O582" i="124" s="1"/>
  <c r="O597" i="124"/>
  <c r="J581" i="124"/>
  <c r="N581" i="124" s="1"/>
  <c r="O581" i="124" s="1"/>
  <c r="O596" i="124"/>
  <c r="O124" i="141"/>
  <c r="E580" i="124"/>
  <c r="D580" i="124" s="1"/>
  <c r="M580" i="124" s="1"/>
  <c r="N580" i="124" s="1"/>
  <c r="L733" i="124"/>
  <c r="C716" i="124"/>
  <c r="C720" i="124"/>
  <c r="C717" i="124"/>
  <c r="C715" i="124"/>
  <c r="C714" i="124"/>
  <c r="N124" i="141"/>
  <c r="J732" i="124"/>
  <c r="O732" i="124" s="1"/>
  <c r="J731" i="124"/>
  <c r="O731" i="124" s="1"/>
  <c r="P833" i="124"/>
  <c r="P834" i="124" s="1"/>
  <c r="I730" i="124"/>
  <c r="I742" i="124" s="1"/>
  <c r="O722" i="124"/>
  <c r="O741" i="124"/>
  <c r="J74" i="145"/>
  <c r="J71" i="145"/>
  <c r="T123" i="141" l="1"/>
  <c r="W801" i="124"/>
  <c r="E800" i="124"/>
  <c r="D801" i="124"/>
  <c r="P124" i="141"/>
  <c r="L742" i="124"/>
  <c r="S833" i="124" s="1"/>
  <c r="C587" i="124"/>
  <c r="G578" i="124"/>
  <c r="O593" i="124" s="1"/>
  <c r="C718" i="124"/>
  <c r="J718" i="124" s="1"/>
  <c r="G580" i="124"/>
  <c r="O595" i="124" s="1"/>
  <c r="E714" i="124"/>
  <c r="D714" i="124" s="1"/>
  <c r="M714" i="124" s="1"/>
  <c r="M133" i="141"/>
  <c r="O734" i="124"/>
  <c r="J715" i="124"/>
  <c r="N715" i="124" s="1"/>
  <c r="O715" i="124" s="1"/>
  <c r="J720" i="124"/>
  <c r="N720" i="124" s="1"/>
  <c r="O720" i="124" s="1"/>
  <c r="O739" i="124"/>
  <c r="G576" i="124"/>
  <c r="O133" i="141"/>
  <c r="V833" i="124"/>
  <c r="T124" i="141"/>
  <c r="J719" i="124"/>
  <c r="N719" i="124" s="1"/>
  <c r="O719" i="124" s="1"/>
  <c r="O738" i="124"/>
  <c r="J714" i="124"/>
  <c r="O736" i="124"/>
  <c r="J717" i="124"/>
  <c r="N717" i="124" s="1"/>
  <c r="O717" i="124" s="1"/>
  <c r="J716" i="124"/>
  <c r="N716" i="124" s="1"/>
  <c r="O716" i="124" s="1"/>
  <c r="O735" i="124"/>
  <c r="S124" i="141"/>
  <c r="J730" i="124"/>
  <c r="J742" i="124" s="1"/>
  <c r="Q833" i="124"/>
  <c r="Q834" i="124" s="1"/>
  <c r="N585" i="124"/>
  <c r="Y77" i="145"/>
  <c r="Y76" i="145"/>
  <c r="Y78" i="145"/>
  <c r="Y68" i="145"/>
  <c r="J75" i="145"/>
  <c r="Y79" i="145"/>
  <c r="Y70" i="145"/>
  <c r="W833" i="124" l="1"/>
  <c r="S834" i="124"/>
  <c r="S133" i="141"/>
  <c r="V834" i="124"/>
  <c r="D586" i="124"/>
  <c r="P133" i="141"/>
  <c r="P134" i="141"/>
  <c r="C725" i="124"/>
  <c r="D587" i="124"/>
  <c r="F800" i="124" s="1"/>
  <c r="O578" i="124"/>
  <c r="D833" i="124"/>
  <c r="G714" i="124"/>
  <c r="O733" i="124" s="1"/>
  <c r="O730" i="124"/>
  <c r="O576" i="124"/>
  <c r="O580" i="124"/>
  <c r="BM22" i="132" a="1"/>
  <c r="BM22" i="132" s="1"/>
  <c r="BL22" i="132" a="1"/>
  <c r="BL22" i="132" s="1"/>
  <c r="BN22" i="132" a="1"/>
  <c r="BN22" i="132" s="1"/>
  <c r="N133" i="141"/>
  <c r="M134" i="141"/>
  <c r="N714" i="124"/>
  <c r="O591" i="124"/>
  <c r="O599" i="124" s="1"/>
  <c r="C601" i="124" s="1"/>
  <c r="O134" i="141"/>
  <c r="Y74" i="145"/>
  <c r="Y71" i="145"/>
  <c r="Y69" i="145"/>
  <c r="T133" i="141" l="1"/>
  <c r="W834" i="124"/>
  <c r="T134" i="141" s="1"/>
  <c r="E833" i="124"/>
  <c r="D834" i="124"/>
  <c r="C123" i="141"/>
  <c r="W22" i="132"/>
  <c r="O585" i="124"/>
  <c r="E718" i="124"/>
  <c r="G800" i="124"/>
  <c r="M800" i="124" s="1"/>
  <c r="O714" i="124"/>
  <c r="N134" i="141"/>
  <c r="S134" i="141"/>
  <c r="Y75" i="145"/>
  <c r="H800" i="124" l="1"/>
  <c r="D718" i="124"/>
  <c r="M718" i="124" s="1"/>
  <c r="N718" i="124" s="1"/>
  <c r="G718" i="124"/>
  <c r="D725" i="124" s="1"/>
  <c r="D123" i="141"/>
  <c r="C726" i="124" l="1"/>
  <c r="D726" i="124"/>
  <c r="F833" i="124" s="1"/>
  <c r="J123" i="141"/>
  <c r="O737" i="124"/>
  <c r="O742" i="124" s="1"/>
  <c r="C744" i="124" s="1"/>
  <c r="E123" i="141"/>
  <c r="O718" i="124"/>
  <c r="G833" i="124" l="1"/>
  <c r="M833" i="124" s="1"/>
  <c r="C133" i="141"/>
  <c r="H833" i="124" l="1"/>
  <c r="D133" i="141"/>
  <c r="J133" i="141"/>
  <c r="E133" i="141" l="1"/>
  <c r="H31" i="192" l="1"/>
  <c r="H37" i="192" s="1"/>
  <c r="G31" i="192"/>
  <c r="G37" i="192" s="1"/>
  <c r="I31" i="192"/>
  <c r="I37" i="192" s="1"/>
  <c r="I38" i="192" l="1"/>
  <c r="J64" i="145" s="1"/>
  <c r="I82" i="192"/>
  <c r="G38" i="192"/>
  <c r="H64" i="145" s="1"/>
  <c r="G82" i="192"/>
  <c r="T22" i="100" s="1"/>
  <c r="H82" i="192"/>
  <c r="T37" i="123" s="1"/>
  <c r="C417" i="123" s="1"/>
  <c r="E417" i="123" s="1"/>
  <c r="H38" i="192"/>
  <c r="I64" i="145" s="1"/>
  <c r="H83" i="192" l="1"/>
  <c r="T38" i="123" s="1"/>
  <c r="C418" i="123" s="1"/>
  <c r="E418" i="123" s="1"/>
  <c r="C436" i="123" s="1"/>
  <c r="H42" i="192"/>
  <c r="H39" i="192"/>
  <c r="G83" i="192"/>
  <c r="T23" i="100" s="1"/>
  <c r="G42" i="192"/>
  <c r="G39" i="192"/>
  <c r="T17" i="124"/>
  <c r="C383" i="124" s="1"/>
  <c r="E383" i="124" s="1"/>
  <c r="C383" i="100"/>
  <c r="E383" i="100" s="1"/>
  <c r="I83" i="192"/>
  <c r="I39" i="192"/>
  <c r="I42" i="192"/>
  <c r="O447" i="123" l="1"/>
  <c r="C454" i="123" s="1"/>
  <c r="C790" i="123"/>
  <c r="C793" i="123" s="1"/>
  <c r="C443" i="123"/>
  <c r="C823" i="123"/>
  <c r="C826" i="123" s="1"/>
  <c r="J436" i="123"/>
  <c r="N436" i="123" s="1"/>
  <c r="D443" i="123"/>
  <c r="I40" i="192"/>
  <c r="I41" i="192"/>
  <c r="I92" i="192" s="1"/>
  <c r="C45" i="124" s="1"/>
  <c r="T18" i="124"/>
  <c r="C384" i="124" s="1"/>
  <c r="E384" i="124" s="1"/>
  <c r="C402" i="124" s="1"/>
  <c r="C384" i="100"/>
  <c r="E384" i="100" s="1"/>
  <c r="G40" i="192"/>
  <c r="G41" i="192"/>
  <c r="G92" i="192" s="1"/>
  <c r="C44" i="100" s="1"/>
  <c r="H40" i="192"/>
  <c r="H41" i="192"/>
  <c r="H92" i="192" s="1"/>
  <c r="C50" i="123" s="1"/>
  <c r="I65" i="145"/>
  <c r="X65" i="145"/>
  <c r="X64" i="145"/>
  <c r="C8" i="123" l="1"/>
  <c r="D235" i="111" s="1"/>
  <c r="F235" i="111" s="1"/>
  <c r="F257" i="111" s="1"/>
  <c r="F259" i="111" s="1"/>
  <c r="CI20" i="132"/>
  <c r="CI19" i="132"/>
  <c r="C8" i="100"/>
  <c r="D198" i="111" s="1"/>
  <c r="F198" i="111" s="1"/>
  <c r="F220" i="111" s="1"/>
  <c r="F222" i="111" s="1"/>
  <c r="CI18" i="132"/>
  <c r="CI17" i="132"/>
  <c r="C8" i="124"/>
  <c r="D272" i="111" s="1"/>
  <c r="F272" i="111" s="1"/>
  <c r="F294" i="111" s="1"/>
  <c r="F296" i="111" s="1"/>
  <c r="CI22" i="132"/>
  <c r="CI21" i="132"/>
  <c r="C402" i="100"/>
  <c r="D409" i="100" s="1"/>
  <c r="G384" i="100"/>
  <c r="D409" i="124"/>
  <c r="C409" i="124"/>
  <c r="C830" i="124"/>
  <c r="C834" i="124" s="1"/>
  <c r="O413" i="124"/>
  <c r="C420" i="124" s="1"/>
  <c r="J402" i="124"/>
  <c r="N402" i="124" s="1"/>
  <c r="C797" i="124"/>
  <c r="C801" i="124" s="1"/>
  <c r="O436" i="123"/>
  <c r="C444" i="123"/>
  <c r="D444" i="123"/>
  <c r="E790" i="123"/>
  <c r="E793" i="123" s="1"/>
  <c r="E823" i="123"/>
  <c r="E826" i="123" s="1"/>
  <c r="G823" i="123"/>
  <c r="G826" i="123" s="1"/>
  <c r="G790" i="123"/>
  <c r="G793" i="123" s="1"/>
  <c r="E334" i="99"/>
  <c r="C342" i="99" s="1"/>
  <c r="Y65" i="145"/>
  <c r="W78" i="145"/>
  <c r="H79" i="145"/>
  <c r="H65" i="145"/>
  <c r="H78" i="145"/>
  <c r="H77" i="145"/>
  <c r="W64" i="145"/>
  <c r="W76" i="145"/>
  <c r="W79" i="145"/>
  <c r="Y64" i="145"/>
  <c r="H76" i="145"/>
  <c r="W65" i="145"/>
  <c r="W77" i="145"/>
  <c r="J65" i="145"/>
  <c r="AD235" i="111" l="1"/>
  <c r="AD198" i="111"/>
  <c r="AD272" i="111"/>
  <c r="C798" i="100"/>
  <c r="O413" i="100"/>
  <c r="C420" i="100" s="1"/>
  <c r="G831" i="100" s="1"/>
  <c r="G835" i="100" s="1"/>
  <c r="C831" i="100"/>
  <c r="C409" i="100"/>
  <c r="J402" i="100"/>
  <c r="N402" i="100" s="1"/>
  <c r="D410" i="100" s="1"/>
  <c r="BM17" i="132" a="1"/>
  <c r="BM17" i="132" s="1"/>
  <c r="BN17" i="132" a="1"/>
  <c r="BN17" i="132" s="1"/>
  <c r="BL17" i="132" a="1"/>
  <c r="BL17" i="132" s="1"/>
  <c r="BM18" i="132" a="1"/>
  <c r="BM18" i="132" s="1"/>
  <c r="BL18" i="132" a="1"/>
  <c r="BL18" i="132" s="1"/>
  <c r="BN18" i="132" a="1"/>
  <c r="BN18" i="132" s="1"/>
  <c r="U43" i="111"/>
  <c r="U41" i="111"/>
  <c r="O402" i="124"/>
  <c r="C410" i="124"/>
  <c r="D410" i="124"/>
  <c r="G797" i="124"/>
  <c r="G801" i="124" s="1"/>
  <c r="G830" i="124"/>
  <c r="G834" i="124" s="1"/>
  <c r="E830" i="124"/>
  <c r="E834" i="124" s="1"/>
  <c r="E797" i="124"/>
  <c r="E801" i="124" s="1"/>
  <c r="D782" i="123"/>
  <c r="D781" i="123"/>
  <c r="D100" i="141"/>
  <c r="D111" i="141"/>
  <c r="F823" i="123"/>
  <c r="F790" i="123"/>
  <c r="D815" i="123"/>
  <c r="D814" i="123"/>
  <c r="U49" i="111"/>
  <c r="U47" i="111"/>
  <c r="U35" i="111"/>
  <c r="U37" i="111"/>
  <c r="G798" i="99"/>
  <c r="G831" i="99"/>
  <c r="I10" i="145"/>
  <c r="I11" i="145"/>
  <c r="AF272" i="111" l="1"/>
  <c r="AF294" i="111" s="1"/>
  <c r="AF296" i="111" s="1"/>
  <c r="U52" i="111" s="1"/>
  <c r="AY22" i="132" s="1"/>
  <c r="AF198" i="111"/>
  <c r="AF220" i="111" s="1"/>
  <c r="AF222" i="111" s="1"/>
  <c r="AF235" i="111"/>
  <c r="AF257" i="111" s="1"/>
  <c r="AF259" i="111" s="1"/>
  <c r="M831" i="99"/>
  <c r="M798" i="99"/>
  <c r="M823" i="123"/>
  <c r="M826" i="123" s="1"/>
  <c r="F826" i="123"/>
  <c r="M790" i="123"/>
  <c r="M793" i="123" s="1"/>
  <c r="F793" i="123"/>
  <c r="E831" i="100"/>
  <c r="E835" i="100" s="1"/>
  <c r="D824" i="100" s="1"/>
  <c r="C835" i="100"/>
  <c r="C802" i="100"/>
  <c r="U46" i="111"/>
  <c r="AG17" i="132"/>
  <c r="O17" i="132" s="1"/>
  <c r="AY17" i="132"/>
  <c r="AG21" i="132"/>
  <c r="O21" i="132" s="1"/>
  <c r="AG19" i="132"/>
  <c r="O19" i="132" s="1"/>
  <c r="AY19" i="132"/>
  <c r="AY21" i="132"/>
  <c r="U40" i="111"/>
  <c r="U50" i="111"/>
  <c r="G798" i="100"/>
  <c r="G802" i="100" s="1"/>
  <c r="W18" i="132"/>
  <c r="O402" i="100"/>
  <c r="E798" i="100"/>
  <c r="E802" i="100" s="1"/>
  <c r="C410" i="100"/>
  <c r="W17" i="132"/>
  <c r="D130" i="141"/>
  <c r="D120" i="141"/>
  <c r="F797" i="124"/>
  <c r="F830" i="124"/>
  <c r="D789" i="124"/>
  <c r="D790" i="124"/>
  <c r="D822" i="124"/>
  <c r="D823" i="124"/>
  <c r="C100" i="141"/>
  <c r="H790" i="123"/>
  <c r="H793" i="123" s="1"/>
  <c r="D103" i="141"/>
  <c r="C774" i="123"/>
  <c r="D774" i="123" s="1"/>
  <c r="C111" i="141"/>
  <c r="H823" i="123"/>
  <c r="H826" i="123" s="1"/>
  <c r="D114" i="141"/>
  <c r="C807" i="123"/>
  <c r="D89" i="141"/>
  <c r="F831" i="100"/>
  <c r="F798" i="100"/>
  <c r="F802" i="100" s="1"/>
  <c r="H831" i="99"/>
  <c r="D148" i="141"/>
  <c r="H798" i="99"/>
  <c r="D138" i="141"/>
  <c r="I5" i="145"/>
  <c r="J11" i="145"/>
  <c r="J10" i="145"/>
  <c r="U38" i="111" l="1"/>
  <c r="AG18" i="132" s="1"/>
  <c r="O18" i="132" s="1"/>
  <c r="U44" i="111"/>
  <c r="AG20" i="132" s="1"/>
  <c r="O20" i="132" s="1"/>
  <c r="AY20" i="132"/>
  <c r="M830" i="124"/>
  <c r="M834" i="124" s="1"/>
  <c r="F834" i="124"/>
  <c r="M797" i="124"/>
  <c r="M801" i="124" s="1"/>
  <c r="F801" i="124"/>
  <c r="M831" i="100"/>
  <c r="M835" i="100" s="1"/>
  <c r="F835" i="100"/>
  <c r="D790" i="100"/>
  <c r="D791" i="100"/>
  <c r="AY18" i="132"/>
  <c r="AG22" i="132"/>
  <c r="O22" i="132" s="1"/>
  <c r="O46" i="132" s="1"/>
  <c r="M798" i="100"/>
  <c r="M802" i="100" s="1"/>
  <c r="D79" i="141"/>
  <c r="D823" i="100"/>
  <c r="C130" i="141"/>
  <c r="H830" i="124"/>
  <c r="H834" i="124" s="1"/>
  <c r="C815" i="124"/>
  <c r="D815" i="124" s="1"/>
  <c r="D134" i="141"/>
  <c r="C120" i="141"/>
  <c r="H797" i="124"/>
  <c r="H801" i="124" s="1"/>
  <c r="C782" i="124"/>
  <c r="D782" i="124" s="1"/>
  <c r="D124" i="141"/>
  <c r="D807" i="123"/>
  <c r="I19" i="132"/>
  <c r="J111" i="141"/>
  <c r="E111" i="141"/>
  <c r="E114" i="141"/>
  <c r="J100" i="141"/>
  <c r="C103" i="141"/>
  <c r="C773" i="123"/>
  <c r="C806" i="123"/>
  <c r="D806" i="123" s="1"/>
  <c r="C114" i="141"/>
  <c r="E100" i="141"/>
  <c r="E103" i="141"/>
  <c r="H798" i="100"/>
  <c r="H802" i="100" s="1"/>
  <c r="C79" i="141"/>
  <c r="H831" i="100"/>
  <c r="H835" i="100" s="1"/>
  <c r="C89" i="141"/>
  <c r="D93" i="141"/>
  <c r="C816" i="100"/>
  <c r="D816" i="100" s="1"/>
  <c r="D83" i="141"/>
  <c r="C783" i="100"/>
  <c r="D783" i="100" s="1"/>
  <c r="J138" i="141"/>
  <c r="E138" i="141"/>
  <c r="J148" i="141"/>
  <c r="E148" i="141"/>
  <c r="C471" i="99"/>
  <c r="E471" i="99" s="1"/>
  <c r="C474" i="99"/>
  <c r="E474" i="99" s="1"/>
  <c r="C476" i="99"/>
  <c r="E476" i="99" s="1"/>
  <c r="F499" i="99" s="1"/>
  <c r="C473" i="99"/>
  <c r="E473" i="99" s="1"/>
  <c r="J5" i="145"/>
  <c r="H10" i="145"/>
  <c r="Y5" i="145"/>
  <c r="H11" i="145"/>
  <c r="X5" i="145"/>
  <c r="W5" i="145"/>
  <c r="X4" i="145"/>
  <c r="H5" i="145"/>
  <c r="O47" i="132" l="1"/>
  <c r="O48" i="132" s="1"/>
  <c r="I17" i="132"/>
  <c r="I21" i="132"/>
  <c r="E120" i="141"/>
  <c r="E124" i="141"/>
  <c r="I22" i="132"/>
  <c r="C781" i="124"/>
  <c r="C124" i="141"/>
  <c r="C814" i="124"/>
  <c r="C134" i="141"/>
  <c r="E130" i="141"/>
  <c r="E134" i="141"/>
  <c r="J120" i="141"/>
  <c r="J130" i="141"/>
  <c r="H20" i="132"/>
  <c r="J103" i="141"/>
  <c r="C778" i="123"/>
  <c r="D778" i="123" s="1"/>
  <c r="C780" i="123"/>
  <c r="D780" i="123" s="1"/>
  <c r="D773" i="123"/>
  <c r="I20" i="132"/>
  <c r="J114" i="141"/>
  <c r="C811" i="123"/>
  <c r="D811" i="123" s="1"/>
  <c r="C813" i="123"/>
  <c r="D813" i="123" s="1"/>
  <c r="I18" i="132"/>
  <c r="C815" i="100"/>
  <c r="C93" i="141"/>
  <c r="E89" i="141"/>
  <c r="E93" i="141"/>
  <c r="J89" i="141"/>
  <c r="J79" i="141"/>
  <c r="C782" i="100"/>
  <c r="C83" i="141"/>
  <c r="E83" i="141"/>
  <c r="E79" i="141"/>
  <c r="C490" i="99"/>
  <c r="J490" i="99" s="1"/>
  <c r="N490" i="99" s="1"/>
  <c r="O490" i="99" s="1"/>
  <c r="C489" i="99"/>
  <c r="F500" i="99"/>
  <c r="G499" i="99"/>
  <c r="G500" i="99" s="1"/>
  <c r="I4" i="145"/>
  <c r="X9" i="145"/>
  <c r="I9" i="145"/>
  <c r="M20" i="132" l="1"/>
  <c r="O54" i="132"/>
  <c r="O87" i="132" s="1"/>
  <c r="O55" i="132"/>
  <c r="O88" i="132" s="1"/>
  <c r="D781" i="124"/>
  <c r="C788" i="124"/>
  <c r="D788" i="124" s="1"/>
  <c r="J134" i="141"/>
  <c r="C821" i="124"/>
  <c r="D821" i="124" s="1"/>
  <c r="C786" i="124"/>
  <c r="D786" i="124" s="1"/>
  <c r="J124" i="141"/>
  <c r="D814" i="124"/>
  <c r="C817" i="124"/>
  <c r="D817" i="124" s="1"/>
  <c r="H19" i="132"/>
  <c r="M19" i="132" s="1"/>
  <c r="J83" i="141"/>
  <c r="C787" i="100"/>
  <c r="D787" i="100" s="1"/>
  <c r="D782" i="100"/>
  <c r="C789" i="100"/>
  <c r="D789" i="100" s="1"/>
  <c r="C820" i="100"/>
  <c r="D820" i="100" s="1"/>
  <c r="J93" i="141"/>
  <c r="D815" i="100"/>
  <c r="C822" i="100"/>
  <c r="D822" i="100" s="1"/>
  <c r="O73" i="132"/>
  <c r="O106" i="132" s="1"/>
  <c r="O57" i="132"/>
  <c r="O90" i="132" s="1"/>
  <c r="O62" i="132"/>
  <c r="O95" i="132" s="1"/>
  <c r="O71" i="132"/>
  <c r="O104" i="132" s="1"/>
  <c r="O52" i="132"/>
  <c r="O85" i="132" s="1"/>
  <c r="O74" i="132"/>
  <c r="O107" i="132" s="1"/>
  <c r="O63" i="132"/>
  <c r="O96" i="132" s="1"/>
  <c r="O68" i="132"/>
  <c r="O101" i="132" s="1"/>
  <c r="O69" i="132"/>
  <c r="O102" i="132" s="1"/>
  <c r="O60" i="132"/>
  <c r="O93" i="132" s="1"/>
  <c r="O51" i="132"/>
  <c r="O59" i="132"/>
  <c r="O92" i="132" s="1"/>
  <c r="O56" i="132"/>
  <c r="O89" i="132" s="1"/>
  <c r="O70" i="132"/>
  <c r="O103" i="132" s="1"/>
  <c r="O66" i="132"/>
  <c r="O99" i="132" s="1"/>
  <c r="O53" i="132"/>
  <c r="O86" i="132" s="1"/>
  <c r="O61" i="132"/>
  <c r="O94" i="132" s="1"/>
  <c r="O64" i="132"/>
  <c r="O97" i="132" s="1"/>
  <c r="O75" i="132"/>
  <c r="O108" i="132" s="1"/>
  <c r="O67" i="132"/>
  <c r="O100" i="132" s="1"/>
  <c r="O77" i="132"/>
  <c r="O110" i="132" s="1"/>
  <c r="O72" i="132"/>
  <c r="O105" i="132" s="1"/>
  <c r="O76" i="132"/>
  <c r="O109" i="132" s="1"/>
  <c r="O65" i="132"/>
  <c r="O98" i="132" s="1"/>
  <c r="O58" i="132"/>
  <c r="O91" i="132" s="1"/>
  <c r="O499" i="99"/>
  <c r="N835" i="99"/>
  <c r="K152" i="141" s="1"/>
  <c r="N802" i="99"/>
  <c r="K142" i="141" s="1"/>
  <c r="J489" i="99"/>
  <c r="N489" i="99" s="1"/>
  <c r="O489" i="99" s="1"/>
  <c r="O498" i="99"/>
  <c r="O835" i="99"/>
  <c r="L152" i="141" s="1"/>
  <c r="O802" i="99"/>
  <c r="L142" i="141" s="1"/>
  <c r="O497" i="99"/>
  <c r="J488" i="99"/>
  <c r="N488" i="99" s="1"/>
  <c r="D493" i="99"/>
  <c r="C493" i="99"/>
  <c r="C472" i="99"/>
  <c r="E472" i="99" s="1"/>
  <c r="E482" i="99" s="1"/>
  <c r="C505" i="99" s="1"/>
  <c r="C507" i="99" s="1"/>
  <c r="C475" i="99"/>
  <c r="E475" i="99" s="1"/>
  <c r="H4" i="145"/>
  <c r="Y4" i="145"/>
  <c r="W4" i="145"/>
  <c r="W9" i="145"/>
  <c r="Y9" i="145"/>
  <c r="J9" i="145"/>
  <c r="J4" i="145"/>
  <c r="H9" i="145"/>
  <c r="H17" i="132" l="1"/>
  <c r="M17" i="132" s="1"/>
  <c r="H22" i="132"/>
  <c r="M22" i="132" s="1"/>
  <c r="H21" i="132"/>
  <c r="M21" i="132" s="1"/>
  <c r="H18" i="132"/>
  <c r="M18" i="132" s="1"/>
  <c r="O84" i="132"/>
  <c r="O78" i="132"/>
  <c r="F490" i="99"/>
  <c r="F489" i="99"/>
  <c r="O488" i="99"/>
  <c r="C494" i="99"/>
  <c r="D494" i="99"/>
  <c r="I835" i="99"/>
  <c r="I837" i="99" s="1"/>
  <c r="I802" i="99"/>
  <c r="I804" i="99" s="1"/>
  <c r="O500" i="99"/>
  <c r="C502" i="99"/>
  <c r="G835" i="99" l="1"/>
  <c r="D152" i="141" s="1"/>
  <c r="G802" i="99"/>
  <c r="D142" i="141" s="1"/>
  <c r="F142" i="141"/>
  <c r="F835" i="99"/>
  <c r="F802" i="99"/>
  <c r="F152" i="141"/>
  <c r="M802" i="99" l="1"/>
  <c r="J142" i="141" s="1"/>
  <c r="M835" i="99"/>
  <c r="F154" i="141"/>
  <c r="C819" i="99"/>
  <c r="D819" i="99" s="1"/>
  <c r="C152" i="141"/>
  <c r="H835" i="99"/>
  <c r="E152" i="141" s="1"/>
  <c r="H802" i="99"/>
  <c r="E142" i="141" s="1"/>
  <c r="C142" i="141"/>
  <c r="F144" i="141"/>
  <c r="C786" i="99"/>
  <c r="D786" i="99" s="1"/>
  <c r="J152" i="141"/>
  <c r="Z6" i="145"/>
  <c r="K6" i="145"/>
  <c r="J24" i="132" l="1"/>
  <c r="J23" i="132"/>
  <c r="E349" i="99" l="1"/>
  <c r="C360" i="99" s="1"/>
  <c r="C832" i="99" l="1"/>
  <c r="C799" i="99"/>
  <c r="J360" i="99"/>
  <c r="N360" i="99" s="1"/>
  <c r="O369" i="99"/>
  <c r="O360" i="99" l="1"/>
  <c r="E351" i="99"/>
  <c r="E352" i="99"/>
  <c r="F371" i="99" s="1"/>
  <c r="F372" i="99" l="1"/>
  <c r="G371" i="99"/>
  <c r="G372" i="99" l="1"/>
  <c r="N799" i="99"/>
  <c r="N804" i="99" s="1"/>
  <c r="N832" i="99"/>
  <c r="N837" i="99" s="1"/>
  <c r="K149" i="141" l="1"/>
  <c r="K139" i="141"/>
  <c r="O832" i="99"/>
  <c r="O837" i="99" s="1"/>
  <c r="O799" i="99"/>
  <c r="O804" i="99" s="1"/>
  <c r="Z66" i="145"/>
  <c r="K66" i="145"/>
  <c r="L149" i="141" l="1"/>
  <c r="K144" i="141"/>
  <c r="K154" i="141"/>
  <c r="L139" i="141"/>
  <c r="Z67" i="145"/>
  <c r="K67" i="145"/>
  <c r="L144" i="141" l="1"/>
  <c r="L154" i="141"/>
  <c r="E350" i="99"/>
  <c r="C362" i="99" l="1"/>
  <c r="C361" i="99"/>
  <c r="D799" i="99" l="1"/>
  <c r="O370" i="99"/>
  <c r="D832" i="99"/>
  <c r="J361" i="99"/>
  <c r="N361" i="99" s="1"/>
  <c r="C365" i="99"/>
  <c r="D365" i="99"/>
  <c r="J362" i="99"/>
  <c r="N362" i="99" s="1"/>
  <c r="O362" i="99" s="1"/>
  <c r="O371" i="99"/>
  <c r="D366" i="99" l="1"/>
  <c r="O361" i="99"/>
  <c r="C366" i="99"/>
  <c r="E832" i="99"/>
  <c r="C374" i="99"/>
  <c r="O372" i="99"/>
  <c r="E799" i="99"/>
  <c r="G799" i="99" l="1"/>
  <c r="G832" i="99"/>
  <c r="F832" i="99"/>
  <c r="F799" i="99"/>
  <c r="M799" i="99" l="1"/>
  <c r="M832" i="99"/>
  <c r="H799" i="99"/>
  <c r="C139" i="141"/>
  <c r="C149" i="141"/>
  <c r="H832" i="99"/>
  <c r="D149" i="141"/>
  <c r="D139" i="141"/>
  <c r="E149" i="141" l="1"/>
  <c r="J139" i="141"/>
  <c r="J149" i="141"/>
  <c r="E139" i="141"/>
  <c r="C382" i="99"/>
  <c r="E382" i="99" s="1"/>
  <c r="C402" i="99" s="1"/>
  <c r="N402" i="99" l="1"/>
  <c r="C724" i="99"/>
  <c r="Z62" i="145"/>
  <c r="O743" i="99" l="1"/>
  <c r="J724" i="99"/>
  <c r="N724" i="99" s="1"/>
  <c r="O724" i="99" s="1"/>
  <c r="I97" i="145"/>
  <c r="C715" i="99"/>
  <c r="J715" i="99" l="1"/>
  <c r="N715" i="99" s="1"/>
  <c r="O715" i="99" s="1"/>
  <c r="C714" i="99" l="1"/>
  <c r="J714" i="99" l="1"/>
  <c r="N714" i="99" s="1"/>
  <c r="O714" i="99" l="1"/>
  <c r="I96" i="145" l="1"/>
  <c r="C449" i="99" l="1"/>
  <c r="E449" i="99" s="1"/>
  <c r="C453" i="99" l="1"/>
  <c r="J453" i="99" s="1"/>
  <c r="N453" i="99" s="1"/>
  <c r="J663" i="99"/>
  <c r="J544" i="99"/>
  <c r="C450" i="99"/>
  <c r="E450" i="99" s="1"/>
  <c r="C454" i="99" s="1"/>
  <c r="C716" i="99"/>
  <c r="C383" i="99"/>
  <c r="E383" i="99" s="1"/>
  <c r="Z60" i="145"/>
  <c r="C403" i="99" l="1"/>
  <c r="N403" i="99" s="1"/>
  <c r="C404" i="99"/>
  <c r="N404" i="99" s="1"/>
  <c r="I95" i="145"/>
  <c r="O453" i="99"/>
  <c r="J716" i="99"/>
  <c r="N716" i="99" s="1"/>
  <c r="C457" i="99"/>
  <c r="J454" i="99"/>
  <c r="N454" i="99" s="1"/>
  <c r="O454" i="99" s="1"/>
  <c r="C801" i="99"/>
  <c r="E801" i="99" s="1"/>
  <c r="C834" i="99"/>
  <c r="E834" i="99" s="1"/>
  <c r="D457" i="99"/>
  <c r="O461" i="99"/>
  <c r="K61" i="145"/>
  <c r="Z61" i="145"/>
  <c r="C833" i="99" l="1"/>
  <c r="C837" i="99" s="1"/>
  <c r="C800" i="99"/>
  <c r="O415" i="99"/>
  <c r="O420" i="99" s="1"/>
  <c r="C411" i="99"/>
  <c r="D411" i="99"/>
  <c r="D458" i="99"/>
  <c r="F834" i="99" s="1"/>
  <c r="C458" i="99"/>
  <c r="J836" i="99"/>
  <c r="J837" i="99" s="1"/>
  <c r="O716" i="99"/>
  <c r="K836" i="99"/>
  <c r="K837" i="99" s="1"/>
  <c r="C412" i="99"/>
  <c r="D412" i="99"/>
  <c r="C464" i="99"/>
  <c r="O462" i="99"/>
  <c r="K76" i="145"/>
  <c r="K63" i="145"/>
  <c r="Z63" i="145"/>
  <c r="E800" i="99" l="1"/>
  <c r="C804" i="99"/>
  <c r="BM23" i="132" a="1"/>
  <c r="BM23" i="132" s="1"/>
  <c r="H153" i="141"/>
  <c r="F801" i="99"/>
  <c r="E833" i="99"/>
  <c r="C422" i="99"/>
  <c r="G800" i="99" s="1"/>
  <c r="L836" i="99"/>
  <c r="L837" i="99" s="1"/>
  <c r="C151" i="141"/>
  <c r="G834" i="99"/>
  <c r="D151" i="141" s="1"/>
  <c r="G801" i="99"/>
  <c r="D141" i="141" s="1"/>
  <c r="G153" i="141"/>
  <c r="F833" i="99"/>
  <c r="F800" i="99"/>
  <c r="M800" i="99" l="1"/>
  <c r="M834" i="99"/>
  <c r="J151" i="141" s="1"/>
  <c r="C141" i="141"/>
  <c r="M801" i="99"/>
  <c r="J141" i="141" s="1"/>
  <c r="G833" i="99"/>
  <c r="D150" i="141" s="1"/>
  <c r="H154" i="141"/>
  <c r="C821" i="99"/>
  <c r="D821" i="99" s="1"/>
  <c r="I153" i="141"/>
  <c r="H801" i="99"/>
  <c r="E141" i="141" s="1"/>
  <c r="H800" i="99"/>
  <c r="C140" i="141"/>
  <c r="D140" i="141"/>
  <c r="G154" i="141"/>
  <c r="C820" i="99"/>
  <c r="D820" i="99" s="1"/>
  <c r="C150" i="141"/>
  <c r="H834" i="99"/>
  <c r="E151" i="141" s="1"/>
  <c r="C823" i="99"/>
  <c r="D823" i="99" s="1"/>
  <c r="I154" i="141"/>
  <c r="Z7" i="145"/>
  <c r="Z8" i="145"/>
  <c r="M833" i="99" l="1"/>
  <c r="J150" i="141" s="1"/>
  <c r="H833" i="99"/>
  <c r="E150" i="141" s="1"/>
  <c r="L24" i="132"/>
  <c r="J140" i="141"/>
  <c r="E140" i="141"/>
  <c r="K24" i="132"/>
  <c r="K596" i="99" l="1"/>
  <c r="L596" i="99" s="1"/>
  <c r="H594" i="99"/>
  <c r="H598" i="99"/>
  <c r="I598" i="99" s="1"/>
  <c r="J598" i="99" s="1"/>
  <c r="H596" i="99"/>
  <c r="I596" i="99" s="1"/>
  <c r="J596" i="99" s="1"/>
  <c r="J803" i="99"/>
  <c r="J804" i="99" s="1"/>
  <c r="K803" i="99"/>
  <c r="K804" i="99" s="1"/>
  <c r="H602" i="99" l="1"/>
  <c r="K598" i="99"/>
  <c r="L598" i="99" s="1"/>
  <c r="J545" i="99"/>
  <c r="H143" i="141"/>
  <c r="L803" i="99"/>
  <c r="L804" i="99" s="1"/>
  <c r="G143" i="141"/>
  <c r="P803" i="99"/>
  <c r="P804" i="99" s="1"/>
  <c r="I594" i="99"/>
  <c r="I602" i="99" s="1"/>
  <c r="K594" i="99"/>
  <c r="K77" i="145"/>
  <c r="K602" i="99" l="1"/>
  <c r="R803" i="99" s="1"/>
  <c r="R804" i="99" s="1"/>
  <c r="J547" i="99"/>
  <c r="J546" i="99"/>
  <c r="C788" i="99"/>
  <c r="D788" i="99" s="1"/>
  <c r="H144" i="141"/>
  <c r="M143" i="141"/>
  <c r="C579" i="99"/>
  <c r="C580" i="99"/>
  <c r="C583" i="99"/>
  <c r="L594" i="99"/>
  <c r="I143" i="141"/>
  <c r="C581" i="99"/>
  <c r="C582" i="99"/>
  <c r="Q803" i="99"/>
  <c r="Q804" i="99" s="1"/>
  <c r="J594" i="99"/>
  <c r="J602" i="99" s="1"/>
  <c r="G144" i="141"/>
  <c r="C787" i="99"/>
  <c r="D787" i="99" s="1"/>
  <c r="K79" i="145"/>
  <c r="K7" i="145"/>
  <c r="K8" i="145"/>
  <c r="K68" i="145"/>
  <c r="K78" i="145"/>
  <c r="J664" i="99" l="1"/>
  <c r="L602" i="99"/>
  <c r="S803" i="99" s="1"/>
  <c r="L23" i="132"/>
  <c r="BL23" i="132" a="1"/>
  <c r="BL23" i="132" s="1"/>
  <c r="W23" i="132" s="1"/>
  <c r="BN23" i="132" a="1"/>
  <c r="BN23" i="132" s="1"/>
  <c r="K736" i="99"/>
  <c r="H736" i="99"/>
  <c r="I736" i="99" s="1"/>
  <c r="J736" i="99" s="1"/>
  <c r="O143" i="141"/>
  <c r="V803" i="99"/>
  <c r="O597" i="99"/>
  <c r="J582" i="99"/>
  <c r="N582" i="99" s="1"/>
  <c r="O582" i="99" s="1"/>
  <c r="K23" i="132"/>
  <c r="C584" i="99"/>
  <c r="C585" i="99"/>
  <c r="C586" i="99"/>
  <c r="O595" i="99"/>
  <c r="J580" i="99"/>
  <c r="N580" i="99" s="1"/>
  <c r="O580" i="99" s="1"/>
  <c r="H735" i="99"/>
  <c r="I735" i="99" s="1"/>
  <c r="H734" i="99"/>
  <c r="I734" i="99" s="1"/>
  <c r="I144" i="141"/>
  <c r="C790" i="99"/>
  <c r="D790" i="99" s="1"/>
  <c r="J579" i="99"/>
  <c r="G725" i="99"/>
  <c r="K744" i="99"/>
  <c r="L744" i="99" s="1"/>
  <c r="H744" i="99"/>
  <c r="I744" i="99" s="1"/>
  <c r="J744" i="99" s="1"/>
  <c r="J581" i="99"/>
  <c r="J583" i="99"/>
  <c r="H733" i="99"/>
  <c r="M144" i="141"/>
  <c r="N143" i="141"/>
  <c r="K740" i="99"/>
  <c r="L740" i="99" s="1"/>
  <c r="H740" i="99"/>
  <c r="I740" i="99" s="1"/>
  <c r="J740" i="99" s="1"/>
  <c r="K69" i="145"/>
  <c r="K70" i="145"/>
  <c r="P143" i="141" l="1"/>
  <c r="S804" i="99"/>
  <c r="P144" i="141" s="1"/>
  <c r="S143" i="141"/>
  <c r="V804" i="99"/>
  <c r="W803" i="99"/>
  <c r="K745" i="99"/>
  <c r="R836" i="99" s="1"/>
  <c r="R837" i="99" s="1"/>
  <c r="H745" i="99"/>
  <c r="P836" i="99" s="1"/>
  <c r="P837" i="99" s="1"/>
  <c r="J666" i="99"/>
  <c r="J665" i="99"/>
  <c r="C589" i="99"/>
  <c r="C722" i="99"/>
  <c r="D803" i="99"/>
  <c r="J734" i="99"/>
  <c r="O734" i="99" s="1"/>
  <c r="J735" i="99"/>
  <c r="O735" i="99" s="1"/>
  <c r="I733" i="99"/>
  <c r="I745" i="99" s="1"/>
  <c r="O144" i="141"/>
  <c r="L736" i="99"/>
  <c r="O725" i="99"/>
  <c r="O744" i="99"/>
  <c r="J586" i="99"/>
  <c r="N586" i="99" s="1"/>
  <c r="O586" i="99" s="1"/>
  <c r="O601" i="99"/>
  <c r="O600" i="99"/>
  <c r="J585" i="99"/>
  <c r="N585" i="99" s="1"/>
  <c r="O585" i="99" s="1"/>
  <c r="C721" i="99"/>
  <c r="E579" i="99"/>
  <c r="D579" i="99" s="1"/>
  <c r="M579" i="99" s="1"/>
  <c r="N579" i="99" s="1"/>
  <c r="N144" i="141"/>
  <c r="E581" i="99"/>
  <c r="D581" i="99" s="1"/>
  <c r="M581" i="99" s="1"/>
  <c r="N581" i="99" s="1"/>
  <c r="C717" i="99"/>
  <c r="C723" i="99"/>
  <c r="C718" i="99"/>
  <c r="C720" i="99"/>
  <c r="C719" i="99"/>
  <c r="J584" i="99"/>
  <c r="N584" i="99" s="1"/>
  <c r="O584" i="99" s="1"/>
  <c r="O599" i="99"/>
  <c r="E583" i="99"/>
  <c r="D583" i="99" s="1"/>
  <c r="M583" i="99" s="1"/>
  <c r="N583" i="99" s="1"/>
  <c r="K74" i="145"/>
  <c r="K71" i="145"/>
  <c r="T143" i="141" l="1"/>
  <c r="W804" i="99"/>
  <c r="T144" i="141" s="1"/>
  <c r="E803" i="99"/>
  <c r="E804" i="99" s="1"/>
  <c r="D793" i="99" s="1"/>
  <c r="D804" i="99"/>
  <c r="L745" i="99"/>
  <c r="S836" i="99" s="1"/>
  <c r="C728" i="99"/>
  <c r="C590" i="99"/>
  <c r="G583" i="99"/>
  <c r="O598" i="99" s="1"/>
  <c r="N588" i="99"/>
  <c r="J722" i="99"/>
  <c r="N722" i="99" s="1"/>
  <c r="O722" i="99" s="1"/>
  <c r="O741" i="99"/>
  <c r="J721" i="99"/>
  <c r="J719" i="99"/>
  <c r="N719" i="99" s="1"/>
  <c r="O719" i="99" s="1"/>
  <c r="O738" i="99"/>
  <c r="S144" i="141"/>
  <c r="O742" i="99"/>
  <c r="J723" i="99"/>
  <c r="N723" i="99" s="1"/>
  <c r="O723" i="99" s="1"/>
  <c r="J717" i="99"/>
  <c r="D836" i="99"/>
  <c r="D837" i="99" s="1"/>
  <c r="Q836" i="99"/>
  <c r="Q837" i="99" s="1"/>
  <c r="J733" i="99"/>
  <c r="J745" i="99" s="1"/>
  <c r="J718" i="99"/>
  <c r="N718" i="99" s="1"/>
  <c r="O718" i="99" s="1"/>
  <c r="O737" i="99"/>
  <c r="E717" i="99"/>
  <c r="D717" i="99" s="1"/>
  <c r="M717" i="99" s="1"/>
  <c r="J720" i="99"/>
  <c r="N720" i="99" s="1"/>
  <c r="O720" i="99" s="1"/>
  <c r="O739" i="99"/>
  <c r="M153" i="141"/>
  <c r="G581" i="99"/>
  <c r="O596" i="99" s="1"/>
  <c r="G579" i="99"/>
  <c r="V836" i="99"/>
  <c r="O153" i="141"/>
  <c r="Z70" i="145"/>
  <c r="K75" i="145"/>
  <c r="K11" i="145"/>
  <c r="Z79" i="145"/>
  <c r="Z77" i="145"/>
  <c r="Z68" i="145"/>
  <c r="Z76" i="145"/>
  <c r="Z78" i="145"/>
  <c r="W836" i="99" l="1"/>
  <c r="W837" i="99" s="1"/>
  <c r="S837" i="99"/>
  <c r="P154" i="141" s="1"/>
  <c r="S153" i="141"/>
  <c r="V837" i="99"/>
  <c r="D589" i="99"/>
  <c r="P153" i="141"/>
  <c r="D590" i="99"/>
  <c r="F803" i="99" s="1"/>
  <c r="F804" i="99" s="1"/>
  <c r="D792" i="99"/>
  <c r="O583" i="99"/>
  <c r="G717" i="99"/>
  <c r="O733" i="99"/>
  <c r="N717" i="99"/>
  <c r="BM24" i="132" a="1"/>
  <c r="BM24" i="132" s="1"/>
  <c r="BL24" i="132" a="1"/>
  <c r="BL24" i="132" s="1"/>
  <c r="BN24" i="132" a="1"/>
  <c r="BN24" i="132" s="1"/>
  <c r="M154" i="141"/>
  <c r="O581" i="99"/>
  <c r="E836" i="99"/>
  <c r="E837" i="99" s="1"/>
  <c r="O154" i="141"/>
  <c r="O594" i="99"/>
  <c r="O602" i="99" s="1"/>
  <c r="C604" i="99" s="1"/>
  <c r="N153" i="141"/>
  <c r="O579" i="99"/>
  <c r="Z74" i="145"/>
  <c r="Z69" i="145"/>
  <c r="K10" i="145"/>
  <c r="Z71" i="145"/>
  <c r="T153" i="141" l="1"/>
  <c r="T154" i="141"/>
  <c r="O736" i="99"/>
  <c r="E721" i="99"/>
  <c r="O717" i="99"/>
  <c r="O588" i="99"/>
  <c r="C784" i="99"/>
  <c r="C143" i="141"/>
  <c r="N154" i="141"/>
  <c r="G803" i="99"/>
  <c r="S154" i="141"/>
  <c r="D826" i="99"/>
  <c r="D825" i="99"/>
  <c r="W24" i="132"/>
  <c r="Z75" i="145"/>
  <c r="H803" i="99" l="1"/>
  <c r="H804" i="99" s="1"/>
  <c r="E144" i="141" s="1"/>
  <c r="G804" i="99"/>
  <c r="M803" i="99"/>
  <c r="M804" i="99" s="1"/>
  <c r="K41" i="145"/>
  <c r="D721" i="99"/>
  <c r="M721" i="99" s="1"/>
  <c r="N721" i="99" s="1"/>
  <c r="G721" i="99"/>
  <c r="D728" i="99" s="1"/>
  <c r="C144" i="141"/>
  <c r="D143" i="141"/>
  <c r="D784" i="99"/>
  <c r="K4" i="145"/>
  <c r="E143" i="141" l="1"/>
  <c r="Z41" i="145"/>
  <c r="K43" i="145"/>
  <c r="K42" i="145"/>
  <c r="K48" i="145"/>
  <c r="K45" i="145"/>
  <c r="BG23" i="132" a="1"/>
  <c r="BG23" i="132" s="1"/>
  <c r="C729" i="99"/>
  <c r="D729" i="99"/>
  <c r="F836" i="99" s="1"/>
  <c r="F837" i="99" s="1"/>
  <c r="J143" i="141"/>
  <c r="O740" i="99"/>
  <c r="O745" i="99" s="1"/>
  <c r="C747" i="99" s="1"/>
  <c r="O721" i="99"/>
  <c r="H23" i="132"/>
  <c r="C785" i="99"/>
  <c r="D144" i="141"/>
  <c r="Z43" i="145" l="1"/>
  <c r="Z42" i="145"/>
  <c r="BG24" i="132" a="1"/>
  <c r="BG24" i="132" s="1"/>
  <c r="K47" i="145"/>
  <c r="BV23" i="132" a="1"/>
  <c r="BV23" i="132" s="1"/>
  <c r="Z45" i="145"/>
  <c r="BY23" i="132" a="1"/>
  <c r="BY23" i="132" s="1"/>
  <c r="Z48" i="145"/>
  <c r="K49" i="145"/>
  <c r="K46" i="145"/>
  <c r="BF23" i="132" a="1"/>
  <c r="BF23" i="132" s="1"/>
  <c r="BH23" i="132" a="1"/>
  <c r="BH23" i="132" s="1"/>
  <c r="K44" i="145"/>
  <c r="G836" i="99"/>
  <c r="J144" i="141"/>
  <c r="C789" i="99"/>
  <c r="D789" i="99" s="1"/>
  <c r="C153" i="141"/>
  <c r="D785" i="99"/>
  <c r="C791" i="99"/>
  <c r="D791" i="99" s="1"/>
  <c r="K9" i="145"/>
  <c r="K5" i="145"/>
  <c r="M836" i="99" l="1"/>
  <c r="M837" i="99" s="1"/>
  <c r="G837" i="99"/>
  <c r="BH24" i="132" a="1"/>
  <c r="BH24" i="132" s="1"/>
  <c r="BF24" i="132" a="1"/>
  <c r="BF24" i="132" s="1"/>
  <c r="Z47" i="145"/>
  <c r="BZ24" i="132" s="1" a="1"/>
  <c r="BZ24" i="132" s="1"/>
  <c r="BV24" i="132" a="1"/>
  <c r="BV24" i="132" s="1"/>
  <c r="BY24" i="132" a="1"/>
  <c r="BY24" i="132" s="1"/>
  <c r="BZ23" i="132" a="1"/>
  <c r="BZ23" i="132" s="1"/>
  <c r="BX23" i="132" a="1"/>
  <c r="BX23" i="132" s="1"/>
  <c r="X23" i="132" s="1"/>
  <c r="Z49" i="145"/>
  <c r="BW23" i="132" a="1"/>
  <c r="BW23" i="132" s="1"/>
  <c r="Z44" i="145"/>
  <c r="BU23" i="132" a="1"/>
  <c r="BU23" i="132" s="1"/>
  <c r="Z46" i="145"/>
  <c r="H836" i="99"/>
  <c r="D153" i="141"/>
  <c r="C154" i="141"/>
  <c r="C817" i="99"/>
  <c r="I23" i="132"/>
  <c r="M23" i="132" s="1"/>
  <c r="C332" i="122"/>
  <c r="E332" i="122" s="1"/>
  <c r="C340" i="122" s="1"/>
  <c r="J153" i="141" l="1"/>
  <c r="E153" i="141"/>
  <c r="H837" i="99"/>
  <c r="E154" i="141" s="1"/>
  <c r="BU24" i="132" a="1"/>
  <c r="BU24" i="132" s="1"/>
  <c r="BW24" i="132" a="1"/>
  <c r="BW24" i="132" s="1"/>
  <c r="BX24" i="132" a="1"/>
  <c r="BX24" i="132" s="1"/>
  <c r="X24" i="132"/>
  <c r="C818" i="99"/>
  <c r="D818" i="99" s="1"/>
  <c r="D154" i="141"/>
  <c r="J154" i="141"/>
  <c r="C822" i="99"/>
  <c r="D822" i="99" s="1"/>
  <c r="D817" i="99"/>
  <c r="G687" i="122"/>
  <c r="G717" i="122"/>
  <c r="Z5" i="145"/>
  <c r="Z4" i="145"/>
  <c r="Z9" i="145"/>
  <c r="M717" i="122" l="1"/>
  <c r="M687" i="122"/>
  <c r="C824" i="99"/>
  <c r="D824" i="99" s="1"/>
  <c r="I24" i="132"/>
  <c r="H24" i="132"/>
  <c r="H717" i="122"/>
  <c r="D53" i="141"/>
  <c r="D45" i="141"/>
  <c r="H687" i="122"/>
  <c r="M24" i="132" l="1"/>
  <c r="E45" i="141"/>
  <c r="J45" i="141"/>
  <c r="E53" i="141"/>
  <c r="J53" i="141"/>
  <c r="C347" i="122"/>
  <c r="E347" i="122" s="1"/>
  <c r="C349" i="122"/>
  <c r="E349" i="122" s="1"/>
  <c r="C362" i="122" s="1"/>
  <c r="O370" i="122" l="1"/>
  <c r="J362" i="122"/>
  <c r="N362" i="122" s="1"/>
  <c r="C352" i="122" l="1"/>
  <c r="E352" i="122" s="1"/>
  <c r="C361" i="122" s="1"/>
  <c r="J361" i="122" s="1"/>
  <c r="C351" i="122"/>
  <c r="E351" i="122" s="1"/>
  <c r="C348" i="122"/>
  <c r="E348" i="122" s="1"/>
  <c r="C360" i="122" s="1"/>
  <c r="J360" i="122" l="1"/>
  <c r="N360" i="122" s="1"/>
  <c r="C363" i="122"/>
  <c r="D366" i="122" s="1"/>
  <c r="F363" i="122"/>
  <c r="F360" i="122"/>
  <c r="F362" i="122"/>
  <c r="F361" i="122"/>
  <c r="N361" i="122"/>
  <c r="J363" i="122" l="1"/>
  <c r="N363" i="122" s="1"/>
  <c r="C366" i="122"/>
  <c r="D367" i="122" l="1"/>
  <c r="C367" i="122"/>
  <c r="L47" i="141" l="1"/>
  <c r="L55" i="141"/>
  <c r="F67" i="145"/>
  <c r="U67" i="145"/>
  <c r="K47" i="141" l="1"/>
  <c r="K55" i="141"/>
  <c r="L57" i="141"/>
  <c r="L49" i="141"/>
  <c r="U66" i="145"/>
  <c r="F66" i="145"/>
  <c r="K57" i="141" l="1"/>
  <c r="K49" i="141"/>
  <c r="D55" i="141" l="1"/>
  <c r="D47" i="141"/>
  <c r="E47" i="141" l="1"/>
  <c r="C47" i="141"/>
  <c r="C55" i="141"/>
  <c r="E55" i="141"/>
  <c r="J55" i="141" l="1"/>
  <c r="F47" i="141" l="1"/>
  <c r="F55" i="141"/>
  <c r="J47" i="141"/>
  <c r="C705" i="122"/>
  <c r="D705" i="122" s="1"/>
  <c r="F49" i="141"/>
  <c r="C675" i="122"/>
  <c r="D675" i="122" s="1"/>
  <c r="F6" i="145"/>
  <c r="U6" i="145"/>
  <c r="F57" i="141" l="1"/>
  <c r="J14" i="132"/>
  <c r="J13" i="132"/>
  <c r="D30" i="133" l="1" a="1"/>
  <c r="D30" i="133" s="1"/>
  <c r="K30" i="133" s="1"/>
  <c r="J46" i="132"/>
  <c r="J47" i="132"/>
  <c r="J48" i="132" l="1"/>
  <c r="J52" i="132" s="1"/>
  <c r="J22" i="137"/>
  <c r="J27" i="203"/>
  <c r="J75" i="132" l="1"/>
  <c r="J108" i="132" s="1"/>
  <c r="J59" i="132"/>
  <c r="J92" i="132" s="1"/>
  <c r="J70" i="132"/>
  <c r="J103" i="132" s="1"/>
  <c r="J64" i="132"/>
  <c r="J97" i="132" s="1"/>
  <c r="J54" i="132"/>
  <c r="J87" i="132" s="1"/>
  <c r="J56" i="132"/>
  <c r="J89" i="132" s="1"/>
  <c r="J53" i="132"/>
  <c r="J86" i="132" s="1"/>
  <c r="J66" i="132"/>
  <c r="J99" i="132" s="1"/>
  <c r="J63" i="132"/>
  <c r="J96" i="132" s="1"/>
  <c r="J77" i="132"/>
  <c r="J110" i="132" s="1"/>
  <c r="J71" i="132"/>
  <c r="J104" i="132" s="1"/>
  <c r="J68" i="132"/>
  <c r="J101" i="132" s="1"/>
  <c r="J51" i="132"/>
  <c r="J84" i="132" s="1"/>
  <c r="J58" i="132"/>
  <c r="J91" i="132" s="1"/>
  <c r="J69" i="132"/>
  <c r="J102" i="132" s="1"/>
  <c r="J67" i="132"/>
  <c r="J100" i="132" s="1"/>
  <c r="J57" i="132"/>
  <c r="J90" i="132" s="1"/>
  <c r="J60" i="132"/>
  <c r="J93" i="132" s="1"/>
  <c r="J73" i="132"/>
  <c r="J106" i="132" s="1"/>
  <c r="J85" i="132"/>
  <c r="J62" i="132"/>
  <c r="J95" i="132" s="1"/>
  <c r="J65" i="132"/>
  <c r="J98" i="132" s="1"/>
  <c r="J55" i="132"/>
  <c r="J88" i="132" s="1"/>
  <c r="J76" i="132"/>
  <c r="J109" i="132" s="1"/>
  <c r="J74" i="132"/>
  <c r="J107" i="132" s="1"/>
  <c r="J72" i="132"/>
  <c r="J105" i="132" s="1"/>
  <c r="J61" i="132"/>
  <c r="J94" i="132" s="1"/>
  <c r="C350" i="122"/>
  <c r="E350" i="122" s="1"/>
  <c r="F371" i="122" s="1"/>
  <c r="J78" i="132" l="1"/>
  <c r="F372" i="122"/>
  <c r="G371" i="122"/>
  <c r="O371" i="122" l="1"/>
  <c r="G372" i="122"/>
  <c r="O372" i="122" l="1"/>
  <c r="C374" i="122"/>
  <c r="C552" i="122"/>
  <c r="E552" i="122" s="1"/>
  <c r="C433" i="122"/>
  <c r="E433" i="122" s="1"/>
  <c r="C569" i="122"/>
  <c r="E569" i="122" s="1"/>
  <c r="U553" i="122" s="1"/>
  <c r="R538" i="122" s="1"/>
  <c r="R541" i="122" s="1"/>
  <c r="C443" i="122"/>
  <c r="E443" i="122" s="1"/>
  <c r="C541" i="122"/>
  <c r="E541" i="122" l="1"/>
  <c r="C604" i="122" s="1"/>
  <c r="J604" i="122" s="1"/>
  <c r="N604" i="122" s="1"/>
  <c r="O604" i="122" s="1"/>
  <c r="E562" i="122"/>
  <c r="E560" i="122"/>
  <c r="E561" i="122"/>
  <c r="E565" i="122"/>
  <c r="U432" i="122"/>
  <c r="R417" i="122" s="1"/>
  <c r="R420" i="122" s="1"/>
  <c r="D97" i="145"/>
  <c r="R550" i="122"/>
  <c r="R423" i="122" l="1"/>
  <c r="C535" i="122"/>
  <c r="E535" i="122" l="1"/>
  <c r="E596" i="122" l="1"/>
  <c r="C613" i="122" s="1"/>
  <c r="C603" i="122"/>
  <c r="J603" i="122" s="1"/>
  <c r="N603" i="122" s="1"/>
  <c r="O603" i="122" s="1"/>
  <c r="C435" i="122"/>
  <c r="E435" i="122" s="1"/>
  <c r="C438" i="122"/>
  <c r="E438" i="122" s="1"/>
  <c r="C436" i="122"/>
  <c r="E436" i="122" s="1"/>
  <c r="C437" i="122"/>
  <c r="E437" i="122" s="1"/>
  <c r="C439" i="122"/>
  <c r="E439" i="122" s="1"/>
  <c r="O632" i="122" l="1"/>
  <c r="J613" i="122"/>
  <c r="N613" i="122" s="1"/>
  <c r="O613" i="122" s="1"/>
  <c r="C434" i="122"/>
  <c r="E434" i="122" s="1"/>
  <c r="J433" i="122" l="1"/>
  <c r="F76" i="145"/>
  <c r="BM13" i="132" l="1" a="1"/>
  <c r="BM13" i="132" s="1"/>
  <c r="D67" i="133" s="1" a="1"/>
  <c r="D67" i="133" s="1"/>
  <c r="C442" i="122" l="1"/>
  <c r="E442" i="122" s="1"/>
  <c r="C538" i="122"/>
  <c r="E538" i="122" s="1"/>
  <c r="C542" i="122"/>
  <c r="C440" i="122"/>
  <c r="E440" i="122" s="1"/>
  <c r="R414" i="122" s="1"/>
  <c r="D96" i="145" l="1"/>
  <c r="U431" i="122"/>
  <c r="R416" i="122" s="1"/>
  <c r="R419" i="122" s="1"/>
  <c r="E542" i="122"/>
  <c r="C537" i="122"/>
  <c r="E537" i="122" s="1"/>
  <c r="F608" i="122" l="1"/>
  <c r="R422" i="122"/>
  <c r="C566" i="122"/>
  <c r="E566" i="122" s="1"/>
  <c r="R535" i="122" s="1"/>
  <c r="C567" i="122"/>
  <c r="E567" i="122" s="1"/>
  <c r="U551" i="122" s="1"/>
  <c r="R536" i="122" s="1"/>
  <c r="R539" i="122" s="1"/>
  <c r="C553" i="122"/>
  <c r="C557" i="122" s="1"/>
  <c r="C568" i="122"/>
  <c r="E568" i="122" s="1"/>
  <c r="U552" i="122" s="1"/>
  <c r="R537" i="122" s="1"/>
  <c r="R540" i="122" s="1"/>
  <c r="C559" i="122" l="1"/>
  <c r="C558" i="122"/>
  <c r="R549" i="122"/>
  <c r="R542" i="122"/>
  <c r="R551" i="122" s="1"/>
  <c r="R552" i="122" s="1"/>
  <c r="C555" i="122"/>
  <c r="E555" i="122" s="1"/>
  <c r="C556" i="122"/>
  <c r="E556" i="122" s="1"/>
  <c r="C554" i="122"/>
  <c r="E554" i="122" s="1"/>
  <c r="E559" i="122"/>
  <c r="E553" i="122"/>
  <c r="R569" i="122" l="1"/>
  <c r="R571" i="122" s="1"/>
  <c r="X570" i="122" s="1"/>
  <c r="R555" i="122"/>
  <c r="R561" i="122" s="1"/>
  <c r="R554" i="122"/>
  <c r="R572" i="122"/>
  <c r="R573" i="122" s="1"/>
  <c r="R574" i="122" s="1"/>
  <c r="E557" i="122"/>
  <c r="R553" i="122"/>
  <c r="E558" i="122"/>
  <c r="E564" i="122" l="1"/>
  <c r="E563" i="122"/>
  <c r="J552" i="122"/>
  <c r="R566" i="122"/>
  <c r="R577" i="122" s="1"/>
  <c r="R556" i="122"/>
  <c r="R562" i="122" s="1"/>
  <c r="C524" i="122"/>
  <c r="C525" i="122"/>
  <c r="R557" i="122"/>
  <c r="R563" i="122" s="1"/>
  <c r="C381" i="122"/>
  <c r="E381" i="122" s="1"/>
  <c r="C645" i="122" l="1"/>
  <c r="C646" i="122" s="1"/>
  <c r="D645" i="122"/>
  <c r="D650" i="122"/>
  <c r="C650" i="122"/>
  <c r="C651" i="122" s="1"/>
  <c r="R564" i="122"/>
  <c r="R565" i="122" s="1"/>
  <c r="R534" i="122" s="1"/>
  <c r="R567" i="122"/>
  <c r="R578" i="122" s="1"/>
  <c r="C526" i="122"/>
  <c r="R568" i="122"/>
  <c r="R579" i="122" s="1"/>
  <c r="C385" i="122"/>
  <c r="C534" i="122"/>
  <c r="E534" i="122" s="1"/>
  <c r="C382" i="122"/>
  <c r="E382" i="122" s="1"/>
  <c r="C386" i="122" s="1"/>
  <c r="C441" i="122"/>
  <c r="E441" i="122" s="1"/>
  <c r="C536" i="122"/>
  <c r="E536" i="122" s="1"/>
  <c r="U60" i="145"/>
  <c r="C605" i="122" l="1"/>
  <c r="J605" i="122" s="1"/>
  <c r="N605" i="122" s="1"/>
  <c r="C655" i="122"/>
  <c r="C656" i="122" s="1"/>
  <c r="D655" i="122"/>
  <c r="U430" i="122"/>
  <c r="R415" i="122" s="1"/>
  <c r="R418" i="122" s="1"/>
  <c r="D95" i="145"/>
  <c r="J386" i="122"/>
  <c r="N386" i="122" s="1"/>
  <c r="O386" i="122" s="1"/>
  <c r="O393" i="122"/>
  <c r="C688" i="122"/>
  <c r="C690" i="122" s="1"/>
  <c r="C718" i="122"/>
  <c r="C720" i="122" s="1"/>
  <c r="J385" i="122"/>
  <c r="N385" i="122" s="1"/>
  <c r="C389" i="122"/>
  <c r="D389" i="122"/>
  <c r="U61" i="145"/>
  <c r="F61" i="145"/>
  <c r="O605" i="122" l="1"/>
  <c r="C390" i="122"/>
  <c r="O385" i="122"/>
  <c r="D390" i="122"/>
  <c r="O394" i="122"/>
  <c r="C396" i="122"/>
  <c r="E688" i="122"/>
  <c r="E718" i="122"/>
  <c r="R421" i="122"/>
  <c r="R430" i="122" s="1"/>
  <c r="R433" i="122" l="1"/>
  <c r="R448" i="122"/>
  <c r="R432" i="122"/>
  <c r="R451" i="122"/>
  <c r="R452" i="122" s="1"/>
  <c r="R453" i="122" s="1"/>
  <c r="R431" i="122"/>
  <c r="G688" i="122"/>
  <c r="G718" i="122"/>
  <c r="F718" i="122"/>
  <c r="F688" i="122"/>
  <c r="M688" i="122" l="1"/>
  <c r="M718" i="122"/>
  <c r="H688" i="122"/>
  <c r="C46" i="141"/>
  <c r="H718" i="122"/>
  <c r="C54" i="141"/>
  <c r="D46" i="141"/>
  <c r="D54" i="141"/>
  <c r="R434" i="122"/>
  <c r="R440" i="122" s="1"/>
  <c r="C403" i="122"/>
  <c r="C404" i="122"/>
  <c r="R435" i="122"/>
  <c r="R441" i="122" s="1"/>
  <c r="R450" i="122"/>
  <c r="X449" i="122" s="1"/>
  <c r="R436" i="122"/>
  <c r="R442" i="122" s="1"/>
  <c r="D502" i="122" l="1"/>
  <c r="C502" i="122"/>
  <c r="C503" i="122" s="1"/>
  <c r="D507" i="122"/>
  <c r="C507" i="122"/>
  <c r="C508" i="122" s="1"/>
  <c r="R447" i="122"/>
  <c r="R458" i="122" s="1"/>
  <c r="R443" i="122"/>
  <c r="R444" i="122" s="1"/>
  <c r="R413" i="122" s="1"/>
  <c r="F41" i="145"/>
  <c r="E54" i="141"/>
  <c r="J54" i="141"/>
  <c r="R446" i="122"/>
  <c r="R457" i="122" s="1"/>
  <c r="E46" i="141"/>
  <c r="R445" i="122"/>
  <c r="R456" i="122" s="1"/>
  <c r="C405" i="122"/>
  <c r="J46" i="141"/>
  <c r="U41" i="145" l="1"/>
  <c r="D512" i="122"/>
  <c r="C512" i="122"/>
  <c r="C513" i="122" s="1"/>
  <c r="F48" i="145"/>
  <c r="BG13" i="132" a="1"/>
  <c r="BG13" i="132" s="1"/>
  <c r="F45" i="145"/>
  <c r="BG14" i="132" l="1" a="1"/>
  <c r="BG14" i="132" s="1"/>
  <c r="BV13" i="132" a="1"/>
  <c r="BV13" i="132" s="1"/>
  <c r="U45" i="145"/>
  <c r="BY13" i="132" a="1"/>
  <c r="BY13" i="132" s="1"/>
  <c r="D71" i="133" s="1" a="1"/>
  <c r="D71" i="133" s="1"/>
  <c r="U48" i="145"/>
  <c r="BV14" i="132" l="1" a="1"/>
  <c r="BV14" i="132" s="1"/>
  <c r="BY14" i="132" a="1"/>
  <c r="BY14" i="132" s="1"/>
  <c r="C590" i="122"/>
  <c r="E590" i="122" s="1"/>
  <c r="AA553" i="122" s="1"/>
  <c r="X538" i="122" s="1"/>
  <c r="X541" i="122" s="1"/>
  <c r="C457" i="122"/>
  <c r="E457" i="122" s="1"/>
  <c r="AA432" i="122" l="1"/>
  <c r="X417" i="122" s="1"/>
  <c r="X420" i="122" s="1"/>
  <c r="D104" i="145"/>
  <c r="X550" i="122"/>
  <c r="X423" i="122" l="1"/>
  <c r="C456" i="122"/>
  <c r="E456" i="122" s="1"/>
  <c r="D103" i="145" l="1"/>
  <c r="AA431" i="122"/>
  <c r="X416" i="122" s="1"/>
  <c r="X419" i="122" s="1"/>
  <c r="X422" i="122" l="1"/>
  <c r="C451" i="122"/>
  <c r="E451" i="122" s="1"/>
  <c r="H483" i="122" s="1"/>
  <c r="C450" i="122"/>
  <c r="E450" i="122" s="1"/>
  <c r="F472" i="122" s="1"/>
  <c r="F473" i="122" s="1"/>
  <c r="F475" i="122" s="1"/>
  <c r="C449" i="122"/>
  <c r="E449" i="122" s="1"/>
  <c r="F470" i="122" s="1"/>
  <c r="F471" i="122" s="1"/>
  <c r="C588" i="122"/>
  <c r="E588" i="122" s="1"/>
  <c r="AA551" i="122" s="1"/>
  <c r="X536" i="122" s="1"/>
  <c r="X539" i="122" s="1"/>
  <c r="C453" i="122"/>
  <c r="E453" i="122" s="1"/>
  <c r="H487" i="122" s="1"/>
  <c r="I487" i="122" s="1"/>
  <c r="J487" i="122" s="1"/>
  <c r="C586" i="122"/>
  <c r="C589" i="122"/>
  <c r="E589" i="122" s="1"/>
  <c r="AA552" i="122" s="1"/>
  <c r="X537" i="122" s="1"/>
  <c r="X540" i="122" s="1"/>
  <c r="C452" i="122"/>
  <c r="E452" i="122" s="1"/>
  <c r="H485" i="122" s="1"/>
  <c r="I485" i="122" s="1"/>
  <c r="J485" i="122" s="1"/>
  <c r="I483" i="122" l="1"/>
  <c r="H491" i="122"/>
  <c r="K485" i="122"/>
  <c r="L485" i="122" s="1"/>
  <c r="K487" i="122"/>
  <c r="L487" i="122" s="1"/>
  <c r="X549" i="122"/>
  <c r="X542" i="122"/>
  <c r="X551" i="122" s="1"/>
  <c r="X552" i="122" s="1"/>
  <c r="P689" i="122"/>
  <c r="P690" i="122" s="1"/>
  <c r="J483" i="122" l="1"/>
  <c r="J491" i="122" s="1"/>
  <c r="I491" i="122"/>
  <c r="Q689" i="122" s="1"/>
  <c r="M48" i="141"/>
  <c r="X555" i="122"/>
  <c r="X561" i="122" s="1"/>
  <c r="X554" i="122"/>
  <c r="X572" i="122"/>
  <c r="X553" i="122"/>
  <c r="C448" i="122"/>
  <c r="E448" i="122" s="1"/>
  <c r="F468" i="122" s="1"/>
  <c r="F469" i="122" s="1"/>
  <c r="F68" i="145"/>
  <c r="N48" i="141" l="1"/>
  <c r="Q690" i="122"/>
  <c r="J434" i="122"/>
  <c r="J436" i="122" s="1"/>
  <c r="X566" i="122"/>
  <c r="K483" i="122"/>
  <c r="K491" i="122" s="1"/>
  <c r="X556" i="122"/>
  <c r="X562" i="122" s="1"/>
  <c r="X557" i="122"/>
  <c r="X563" i="122" s="1"/>
  <c r="N49" i="141"/>
  <c r="M49" i="141"/>
  <c r="F69" i="145"/>
  <c r="J435" i="122" l="1"/>
  <c r="X564" i="122"/>
  <c r="X565" i="122" s="1"/>
  <c r="X567" i="122"/>
  <c r="X568" i="122"/>
  <c r="R689" i="122"/>
  <c r="R690" i="122" s="1"/>
  <c r="L483" i="122"/>
  <c r="F77" i="145"/>
  <c r="F78" i="145"/>
  <c r="F79" i="145"/>
  <c r="L491" i="122" l="1"/>
  <c r="S689" i="122" s="1"/>
  <c r="S690" i="122" s="1"/>
  <c r="BL13" i="132" a="1"/>
  <c r="BL13" i="132" s="1"/>
  <c r="BN13" i="132" a="1"/>
  <c r="BN13" i="132" s="1"/>
  <c r="D69" i="133" s="1" a="1"/>
  <c r="D69" i="133" s="1"/>
  <c r="V689" i="122"/>
  <c r="O48" i="141"/>
  <c r="F71" i="145"/>
  <c r="F70" i="145"/>
  <c r="S48" i="141" l="1"/>
  <c r="V690" i="122"/>
  <c r="D68" i="133" a="1"/>
  <c r="D68" i="133" s="1"/>
  <c r="W13" i="132"/>
  <c r="D62" i="133" s="1" a="1"/>
  <c r="D62" i="133" s="1"/>
  <c r="K62" i="133" s="1"/>
  <c r="P48" i="141"/>
  <c r="W689" i="122"/>
  <c r="O49" i="141"/>
  <c r="P49" i="141"/>
  <c r="F74" i="145"/>
  <c r="T48" i="141" l="1"/>
  <c r="W690" i="122"/>
  <c r="J26" i="168"/>
  <c r="J43" i="203"/>
  <c r="T49" i="141"/>
  <c r="S49" i="141"/>
  <c r="C454" i="122"/>
  <c r="E454" i="122" s="1"/>
  <c r="X414" i="122" s="1"/>
  <c r="C574" i="122"/>
  <c r="C587" i="122"/>
  <c r="E587" i="122" s="1"/>
  <c r="X535" i="122" s="1"/>
  <c r="C455" i="122"/>
  <c r="E455" i="122" s="1"/>
  <c r="F75" i="145"/>
  <c r="C579" i="122" l="1"/>
  <c r="C578" i="122"/>
  <c r="E574" i="122"/>
  <c r="E579" i="122" s="1"/>
  <c r="C580" i="122"/>
  <c r="C577" i="122"/>
  <c r="C576" i="122"/>
  <c r="C575" i="122"/>
  <c r="E580" i="122"/>
  <c r="E577" i="122"/>
  <c r="F605" i="122" s="1"/>
  <c r="E576" i="122"/>
  <c r="F604" i="122" s="1"/>
  <c r="E578" i="122"/>
  <c r="E575" i="122"/>
  <c r="F603" i="122" s="1"/>
  <c r="D102" i="145"/>
  <c r="AA430" i="122"/>
  <c r="X415" i="122" s="1"/>
  <c r="X418" i="122" s="1"/>
  <c r="X569" i="122"/>
  <c r="X571" i="122" s="1"/>
  <c r="X573" i="122"/>
  <c r="X534" i="122" s="1"/>
  <c r="J719" i="122" s="1"/>
  <c r="J720" i="122" s="1"/>
  <c r="F614" i="122" l="1"/>
  <c r="G614" i="122" s="1"/>
  <c r="C614" i="122"/>
  <c r="J614" i="122" s="1"/>
  <c r="N614" i="122" s="1"/>
  <c r="E585" i="122"/>
  <c r="H629" i="122" s="1"/>
  <c r="I629" i="122" s="1"/>
  <c r="J629" i="122" s="1"/>
  <c r="J553" i="122"/>
  <c r="C474" i="122"/>
  <c r="C472" i="122"/>
  <c r="J472" i="122" s="1"/>
  <c r="X574" i="122"/>
  <c r="C527" i="122" s="1"/>
  <c r="C473" i="122"/>
  <c r="C475" i="122"/>
  <c r="K625" i="122"/>
  <c r="H623" i="122"/>
  <c r="I623" i="122" s="1"/>
  <c r="E586" i="122"/>
  <c r="H633" i="122" s="1"/>
  <c r="I633" i="122" s="1"/>
  <c r="J633" i="122" s="1"/>
  <c r="K633" i="122"/>
  <c r="L633" i="122" s="1"/>
  <c r="H624" i="122"/>
  <c r="I624" i="122" s="1"/>
  <c r="X421" i="122"/>
  <c r="X430" i="122" s="1"/>
  <c r="H622" i="122"/>
  <c r="K629" i="122"/>
  <c r="L629" i="122" s="1"/>
  <c r="G56" i="141"/>
  <c r="X577" i="122"/>
  <c r="X578" i="122"/>
  <c r="X579" i="122"/>
  <c r="K634" i="122" l="1"/>
  <c r="F645" i="122"/>
  <c r="E646" i="122" s="1"/>
  <c r="C647" i="122" s="1"/>
  <c r="K719" i="122" s="1"/>
  <c r="K720" i="122" s="1"/>
  <c r="J554" i="122"/>
  <c r="J555" i="122"/>
  <c r="C528" i="122"/>
  <c r="F650" i="122" s="1"/>
  <c r="E651" i="122" s="1"/>
  <c r="C652" i="122" s="1"/>
  <c r="J474" i="122"/>
  <c r="N474" i="122" s="1"/>
  <c r="O474" i="122" s="1"/>
  <c r="O489" i="122"/>
  <c r="C471" i="122"/>
  <c r="C470" i="122"/>
  <c r="J470" i="122" s="1"/>
  <c r="O488" i="122"/>
  <c r="J473" i="122"/>
  <c r="N473" i="122" s="1"/>
  <c r="O473" i="122" s="1"/>
  <c r="O490" i="122"/>
  <c r="J475" i="122"/>
  <c r="N475" i="122" s="1"/>
  <c r="O475" i="122" s="1"/>
  <c r="J624" i="122"/>
  <c r="O624" i="122" s="1"/>
  <c r="X433" i="122"/>
  <c r="X432" i="122"/>
  <c r="X451" i="122"/>
  <c r="X452" i="122" s="1"/>
  <c r="X453" i="122" s="1"/>
  <c r="X448" i="122"/>
  <c r="C706" i="122"/>
  <c r="D706" i="122" s="1"/>
  <c r="G57" i="141"/>
  <c r="X431" i="122"/>
  <c r="J623" i="122"/>
  <c r="O623" i="122" s="1"/>
  <c r="O614" i="122"/>
  <c r="O633" i="122"/>
  <c r="I622" i="122"/>
  <c r="L625" i="122"/>
  <c r="R719" i="122"/>
  <c r="R720" i="122" s="1"/>
  <c r="U7" i="145"/>
  <c r="C707" i="122" l="1"/>
  <c r="D707" i="122" s="1"/>
  <c r="L634" i="122"/>
  <c r="S719" i="122" s="1"/>
  <c r="H56" i="141"/>
  <c r="C529" i="122"/>
  <c r="F655" i="122" s="1"/>
  <c r="E656" i="122" s="1"/>
  <c r="C657" i="122" s="1"/>
  <c r="L719" i="122" s="1"/>
  <c r="L720" i="122" s="1"/>
  <c r="J471" i="122"/>
  <c r="N471" i="122" s="1"/>
  <c r="O471" i="122" s="1"/>
  <c r="O486" i="122"/>
  <c r="X434" i="122"/>
  <c r="X440" i="122" s="1"/>
  <c r="H57" i="141"/>
  <c r="K14" i="132"/>
  <c r="X436" i="122"/>
  <c r="X442" i="122" s="1"/>
  <c r="X450" i="122"/>
  <c r="C540" i="122"/>
  <c r="E540" i="122" s="1"/>
  <c r="F610" i="122" s="1"/>
  <c r="F611" i="122" s="1"/>
  <c r="V719" i="122"/>
  <c r="O56" i="141"/>
  <c r="C406" i="122"/>
  <c r="C407" i="122"/>
  <c r="F507" i="122" s="1"/>
  <c r="E508" i="122" s="1"/>
  <c r="C509" i="122" s="1"/>
  <c r="J622" i="122"/>
  <c r="X435" i="122"/>
  <c r="X441" i="122" s="1"/>
  <c r="U8" i="145"/>
  <c r="U70" i="145"/>
  <c r="F53" i="145"/>
  <c r="U53" i="145"/>
  <c r="W719" i="122" l="1"/>
  <c r="S720" i="122"/>
  <c r="S56" i="141"/>
  <c r="V720" i="122"/>
  <c r="P56" i="141"/>
  <c r="I56" i="141"/>
  <c r="F502" i="122"/>
  <c r="E503" i="122" s="1"/>
  <c r="C504" i="122" s="1"/>
  <c r="K689" i="122" s="1"/>
  <c r="K690" i="122" s="1"/>
  <c r="C610" i="122"/>
  <c r="C611" i="122"/>
  <c r="E468" i="122"/>
  <c r="E470" i="122"/>
  <c r="E472" i="122"/>
  <c r="G472" i="122" s="1"/>
  <c r="C469" i="122"/>
  <c r="C468" i="122"/>
  <c r="X443" i="122"/>
  <c r="X444" i="122" s="1"/>
  <c r="X413" i="122" s="1"/>
  <c r="F43" i="145"/>
  <c r="F42" i="145"/>
  <c r="O622" i="122"/>
  <c r="L14" i="132"/>
  <c r="I57" i="141"/>
  <c r="C709" i="122"/>
  <c r="D709" i="122" s="1"/>
  <c r="X445" i="122"/>
  <c r="X456" i="122" s="1"/>
  <c r="O57" i="141"/>
  <c r="C408" i="122"/>
  <c r="X446" i="122"/>
  <c r="X457" i="122" s="1"/>
  <c r="X447" i="122"/>
  <c r="X458" i="122" s="1"/>
  <c r="U74" i="145"/>
  <c r="U71" i="145"/>
  <c r="T56" i="141" l="1"/>
  <c r="W720" i="122"/>
  <c r="T57" i="141" s="1"/>
  <c r="P57" i="141"/>
  <c r="U43" i="145"/>
  <c r="U42" i="145"/>
  <c r="F47" i="145"/>
  <c r="D468" i="122"/>
  <c r="M468" i="122" s="1"/>
  <c r="G468" i="122"/>
  <c r="O483" i="122" s="1"/>
  <c r="D470" i="122"/>
  <c r="M470" i="122" s="1"/>
  <c r="N470" i="122" s="1"/>
  <c r="G470" i="122"/>
  <c r="E539" i="122"/>
  <c r="F606" i="122" s="1"/>
  <c r="C478" i="122"/>
  <c r="C584" i="122"/>
  <c r="E584" i="122" s="1"/>
  <c r="H625" i="122" s="1"/>
  <c r="H634" i="122" s="1"/>
  <c r="J689" i="122"/>
  <c r="J690" i="122" s="1"/>
  <c r="C677" i="122"/>
  <c r="D677" i="122" s="1"/>
  <c r="H48" i="141"/>
  <c r="F512" i="122"/>
  <c r="E513" i="122" s="1"/>
  <c r="C514" i="122" s="1"/>
  <c r="L689" i="122" s="1"/>
  <c r="D472" i="122"/>
  <c r="M472" i="122" s="1"/>
  <c r="N472" i="122" s="1"/>
  <c r="O487" i="122"/>
  <c r="J611" i="122"/>
  <c r="N611" i="122" s="1"/>
  <c r="O611" i="122" s="1"/>
  <c r="O630" i="122"/>
  <c r="J610" i="122"/>
  <c r="D689" i="122"/>
  <c r="D690" i="122" s="1"/>
  <c r="J468" i="122"/>
  <c r="O484" i="122"/>
  <c r="J469" i="122"/>
  <c r="N469" i="122" s="1"/>
  <c r="O469" i="122" s="1"/>
  <c r="S57" i="141"/>
  <c r="F49" i="145"/>
  <c r="BF13" i="132" a="1"/>
  <c r="BF13" i="132" s="1"/>
  <c r="F46" i="145"/>
  <c r="BH13" i="132" a="1"/>
  <c r="BH13" i="132" s="1"/>
  <c r="F44" i="145"/>
  <c r="F8" i="145"/>
  <c r="U75" i="145"/>
  <c r="BF14" i="132" l="1" a="1"/>
  <c r="BF14" i="132" s="1"/>
  <c r="I48" i="141"/>
  <c r="L690" i="122"/>
  <c r="C679" i="122" s="1"/>
  <c r="D679" i="122" s="1"/>
  <c r="BH14" i="132" a="1"/>
  <c r="BH14" i="132" s="1"/>
  <c r="U47" i="145"/>
  <c r="N468" i="122"/>
  <c r="O468" i="122" s="1"/>
  <c r="F613" i="122"/>
  <c r="F612" i="122"/>
  <c r="F607" i="122"/>
  <c r="F609" i="122"/>
  <c r="BW13" i="132" a="1"/>
  <c r="BW13" i="132" s="1"/>
  <c r="U44" i="145"/>
  <c r="BZ13" i="132" a="1"/>
  <c r="BZ13" i="132" s="1"/>
  <c r="BU13" i="132" a="1"/>
  <c r="BU13" i="132" s="1"/>
  <c r="U46" i="145"/>
  <c r="BX13" i="132" a="1"/>
  <c r="BX13" i="132" s="1"/>
  <c r="U49" i="145"/>
  <c r="C606" i="122"/>
  <c r="C609" i="122"/>
  <c r="C608" i="122"/>
  <c r="C607" i="122"/>
  <c r="C612" i="122"/>
  <c r="D478" i="122"/>
  <c r="H49" i="141"/>
  <c r="G48" i="141"/>
  <c r="O472" i="122"/>
  <c r="O485" i="122"/>
  <c r="O491" i="122" s="1"/>
  <c r="C493" i="122" s="1"/>
  <c r="E610" i="122"/>
  <c r="D610" i="122" s="1"/>
  <c r="M610" i="122" s="1"/>
  <c r="N610" i="122" s="1"/>
  <c r="O470" i="122"/>
  <c r="E689" i="122"/>
  <c r="E690" i="122" s="1"/>
  <c r="G49" i="141"/>
  <c r="C676" i="122"/>
  <c r="D676" i="122" s="1"/>
  <c r="L13" i="132"/>
  <c r="I625" i="122"/>
  <c r="I634" i="122" s="1"/>
  <c r="P719" i="122"/>
  <c r="P720" i="122" s="1"/>
  <c r="F7" i="145"/>
  <c r="U77" i="145"/>
  <c r="U76" i="145"/>
  <c r="U79" i="145"/>
  <c r="U78" i="145"/>
  <c r="BZ14" i="132" l="1" a="1"/>
  <c r="BZ14" i="132" s="1"/>
  <c r="C479" i="122"/>
  <c r="BU14" i="132" a="1"/>
  <c r="BU14" i="132" s="1"/>
  <c r="BW14" i="132" a="1"/>
  <c r="BW14" i="132" s="1"/>
  <c r="BX14" i="132" a="1"/>
  <c r="BX14" i="132" s="1"/>
  <c r="X14" i="132" s="1"/>
  <c r="D479" i="122"/>
  <c r="F689" i="122" s="1"/>
  <c r="F690" i="122" s="1"/>
  <c r="N477" i="122"/>
  <c r="D72" i="133" a="1"/>
  <c r="D72" i="133" s="1"/>
  <c r="X13" i="132"/>
  <c r="D63" i="133" s="1" a="1"/>
  <c r="D63" i="133" s="1"/>
  <c r="K63" i="133" s="1"/>
  <c r="BL14" i="132" a="1"/>
  <c r="BL14" i="132" s="1"/>
  <c r="BN14" i="132" a="1"/>
  <c r="BN14" i="132" s="1"/>
  <c r="BM14" i="132" a="1"/>
  <c r="BM14" i="132" s="1"/>
  <c r="J607" i="122"/>
  <c r="N607" i="122" s="1"/>
  <c r="O607" i="122" s="1"/>
  <c r="O626" i="122"/>
  <c r="J608" i="122"/>
  <c r="N608" i="122" s="1"/>
  <c r="O608" i="122" s="1"/>
  <c r="O627" i="122"/>
  <c r="J609" i="122"/>
  <c r="N609" i="122" s="1"/>
  <c r="O609" i="122" s="1"/>
  <c r="O628" i="122"/>
  <c r="O631" i="122"/>
  <c r="J612" i="122"/>
  <c r="N612" i="122" s="1"/>
  <c r="O612" i="122" s="1"/>
  <c r="J606" i="122"/>
  <c r="D719" i="122"/>
  <c r="D720" i="122" s="1"/>
  <c r="C617" i="122"/>
  <c r="E606" i="122"/>
  <c r="I49" i="141"/>
  <c r="O477" i="122"/>
  <c r="G610" i="122"/>
  <c r="O629" i="122" s="1"/>
  <c r="G689" i="122"/>
  <c r="G690" i="122" s="1"/>
  <c r="D681" i="122"/>
  <c r="D682" i="122"/>
  <c r="M56" i="141"/>
  <c r="K13" i="132"/>
  <c r="D31" i="133" a="1"/>
  <c r="D31" i="133" s="1"/>
  <c r="K31" i="133" s="1"/>
  <c r="J625" i="122"/>
  <c r="J634" i="122" s="1"/>
  <c r="Q719" i="122"/>
  <c r="Q720" i="122" s="1"/>
  <c r="F10" i="145"/>
  <c r="U68" i="145"/>
  <c r="F11" i="145"/>
  <c r="M689" i="122" l="1"/>
  <c r="C48" i="141"/>
  <c r="W14" i="132"/>
  <c r="J44" i="203"/>
  <c r="J27" i="168"/>
  <c r="E719" i="122"/>
  <c r="E720" i="122" s="1"/>
  <c r="D606" i="122"/>
  <c r="M606" i="122" s="1"/>
  <c r="N606" i="122" s="1"/>
  <c r="C618" i="122" s="1"/>
  <c r="G606" i="122"/>
  <c r="O625" i="122" s="1"/>
  <c r="O610" i="122"/>
  <c r="J48" i="141"/>
  <c r="D48" i="141"/>
  <c r="H689" i="122"/>
  <c r="H690" i="122" s="1"/>
  <c r="C673" i="122"/>
  <c r="D673" i="122" s="1"/>
  <c r="C49" i="141"/>
  <c r="J23" i="137"/>
  <c r="J28" i="203"/>
  <c r="D29" i="133" a="1"/>
  <c r="D29" i="133" s="1"/>
  <c r="K29" i="133" s="1"/>
  <c r="N56" i="141"/>
  <c r="M57" i="141"/>
  <c r="F4" i="145"/>
  <c r="U69" i="145"/>
  <c r="M690" i="122" l="1"/>
  <c r="C678" i="122" s="1"/>
  <c r="D678" i="122" s="1"/>
  <c r="H13" i="132"/>
  <c r="D617" i="122"/>
  <c r="D618" i="122"/>
  <c r="F719" i="122" s="1"/>
  <c r="F720" i="122" s="1"/>
  <c r="O606" i="122"/>
  <c r="J49" i="141"/>
  <c r="D712" i="122"/>
  <c r="D711" i="122"/>
  <c r="O634" i="122"/>
  <c r="C636" i="122" s="1"/>
  <c r="G719" i="122" s="1"/>
  <c r="G720" i="122" s="1"/>
  <c r="E49" i="141"/>
  <c r="E48" i="141"/>
  <c r="D49" i="141"/>
  <c r="C674" i="122"/>
  <c r="D27" i="133" a="1"/>
  <c r="D27" i="133" s="1"/>
  <c r="K27" i="133" s="1"/>
  <c r="J24" i="203" s="1"/>
  <c r="N57" i="141"/>
  <c r="J21" i="137"/>
  <c r="J26" i="203"/>
  <c r="F9" i="145"/>
  <c r="C703" i="122" l="1"/>
  <c r="D703" i="122" s="1"/>
  <c r="M719" i="122"/>
  <c r="M720" i="122" s="1"/>
  <c r="C56" i="141"/>
  <c r="H719" i="122"/>
  <c r="D56" i="141"/>
  <c r="D674" i="122"/>
  <c r="C680" i="122"/>
  <c r="D680" i="122" s="1"/>
  <c r="J19" i="137"/>
  <c r="D32" i="133" a="1"/>
  <c r="D32" i="133" s="1"/>
  <c r="K32" i="133" s="1"/>
  <c r="J24" i="137" s="1"/>
  <c r="C704" i="122"/>
  <c r="D57" i="141"/>
  <c r="U4" i="145"/>
  <c r="F5" i="145"/>
  <c r="H720" i="122" l="1"/>
  <c r="E57" i="141" s="1"/>
  <c r="H14" i="132"/>
  <c r="C57" i="141"/>
  <c r="J56" i="141"/>
  <c r="E56" i="141"/>
  <c r="I13" i="132"/>
  <c r="J29" i="203"/>
  <c r="D704" i="122"/>
  <c r="C710" i="122"/>
  <c r="D710" i="122" s="1"/>
  <c r="C708" i="122"/>
  <c r="D708" i="122" s="1"/>
  <c r="J57" i="141"/>
  <c r="U5" i="145"/>
  <c r="U9" i="145"/>
  <c r="D28" i="133" l="1" a="1"/>
  <c r="D28" i="133" s="1"/>
  <c r="K28" i="133" s="1"/>
  <c r="J25" i="203" s="1"/>
  <c r="M13" i="132"/>
  <c r="I14" i="132"/>
  <c r="M14" i="132" s="1"/>
  <c r="E385" i="151"/>
  <c r="F404" i="151" s="1"/>
  <c r="J20" i="137" l="1"/>
  <c r="G404" i="151"/>
  <c r="F405" i="151"/>
  <c r="N589" i="151" s="1"/>
  <c r="G405" i="151" l="1"/>
  <c r="K218" i="141"/>
  <c r="O589" i="151" l="1"/>
  <c r="L218" i="141" l="1"/>
  <c r="E382" i="151" l="1"/>
  <c r="C393" i="151" s="1"/>
  <c r="C589" i="151" l="1"/>
  <c r="C593" i="151" s="1"/>
  <c r="O402" i="151"/>
  <c r="J393" i="151"/>
  <c r="N393" i="151" s="1"/>
  <c r="O393" i="151" l="1"/>
  <c r="E384" i="151"/>
  <c r="E383" i="151"/>
  <c r="C395" i="151" l="1"/>
  <c r="O404" i="151" s="1"/>
  <c r="C394" i="151"/>
  <c r="J394" i="151" s="1"/>
  <c r="N394" i="151" s="1"/>
  <c r="D589" i="151" l="1"/>
  <c r="E589" i="151" s="1"/>
  <c r="O403" i="151"/>
  <c r="O405" i="151" s="1"/>
  <c r="C407" i="151" s="1"/>
  <c r="C398" i="151"/>
  <c r="J395" i="151"/>
  <c r="N395" i="151" s="1"/>
  <c r="O395" i="151" s="1"/>
  <c r="D398" i="151"/>
  <c r="O394" i="151"/>
  <c r="G589" i="151" l="1"/>
  <c r="D218" i="141" s="1"/>
  <c r="D399" i="151"/>
  <c r="F589" i="151" s="1"/>
  <c r="C399" i="151"/>
  <c r="M589" i="151" l="1"/>
  <c r="H589" i="151"/>
  <c r="E218" i="141" s="1"/>
  <c r="C218" i="141"/>
  <c r="J218" i="141"/>
  <c r="E414" i="151"/>
  <c r="C443" i="151" s="1"/>
  <c r="J443" i="151" l="1"/>
  <c r="N443" i="151" s="1"/>
  <c r="O454" i="151"/>
  <c r="O443" i="151" l="1"/>
  <c r="E419" i="151"/>
  <c r="F457" i="151" s="1"/>
  <c r="C610" i="151"/>
  <c r="C611" i="151" s="1"/>
  <c r="C631" i="151"/>
  <c r="C632" i="151" s="1"/>
  <c r="E508" i="151"/>
  <c r="E507" i="151"/>
  <c r="E426" i="151"/>
  <c r="E430" i="151"/>
  <c r="E424" i="151"/>
  <c r="O458" i="151" s="1"/>
  <c r="E425" i="151"/>
  <c r="C613" i="151"/>
  <c r="E422" i="151"/>
  <c r="K459" i="151" s="1"/>
  <c r="E416" i="151"/>
  <c r="E415" i="151"/>
  <c r="C445" i="151" s="1" a="1"/>
  <c r="C445" i="151" s="1"/>
  <c r="C605" i="151"/>
  <c r="C606" i="151" s="1"/>
  <c r="C612" i="151"/>
  <c r="C633" i="151"/>
  <c r="C604" i="151"/>
  <c r="C634" i="151"/>
  <c r="E420" i="151"/>
  <c r="E506" i="151"/>
  <c r="E423" i="151"/>
  <c r="H459" i="151" s="1"/>
  <c r="L459" i="151" l="1"/>
  <c r="L461" i="151" s="1"/>
  <c r="S590" i="151" s="1"/>
  <c r="K461" i="151"/>
  <c r="R590" i="151" s="1"/>
  <c r="I459" i="151"/>
  <c r="I461" i="151" s="1"/>
  <c r="H461" i="151"/>
  <c r="P590" i="151" s="1"/>
  <c r="Q590" i="151"/>
  <c r="G457" i="151"/>
  <c r="G461" i="151" s="1"/>
  <c r="O590" i="151" s="1"/>
  <c r="O593" i="151" s="1"/>
  <c r="F461" i="151"/>
  <c r="N590" i="151" s="1"/>
  <c r="N593" i="151" s="1"/>
  <c r="C636" i="151"/>
  <c r="C644" i="151" s="1"/>
  <c r="C615" i="151"/>
  <c r="C623" i="151" s="1"/>
  <c r="C635" i="151"/>
  <c r="C638" i="151" s="1"/>
  <c r="C639" i="151" s="1"/>
  <c r="C640" i="151" s="1"/>
  <c r="C614" i="151"/>
  <c r="C617" i="151" s="1"/>
  <c r="C618" i="151" s="1"/>
  <c r="C619" i="151" s="1"/>
  <c r="E428" i="151"/>
  <c r="E509" i="151"/>
  <c r="H535" i="151" s="1"/>
  <c r="E510" i="151"/>
  <c r="H536" i="151" s="1"/>
  <c r="I536" i="151" s="1"/>
  <c r="E512" i="151"/>
  <c r="K536" i="151" s="1"/>
  <c r="L536" i="151" s="1"/>
  <c r="O456" i="151"/>
  <c r="J445" i="151"/>
  <c r="N445" i="151" s="1"/>
  <c r="O445" i="151" s="1"/>
  <c r="C446" i="151"/>
  <c r="E429" i="151"/>
  <c r="E433" i="151"/>
  <c r="E511" i="151"/>
  <c r="E434" i="151"/>
  <c r="C444" i="151" a="1"/>
  <c r="C444" i="151" s="1"/>
  <c r="N219" i="141" l="1"/>
  <c r="M219" i="141"/>
  <c r="J459" i="151"/>
  <c r="O459" i="151" s="1"/>
  <c r="W590" i="151"/>
  <c r="P219" i="141"/>
  <c r="O219" i="141"/>
  <c r="V590" i="151"/>
  <c r="K219" i="141"/>
  <c r="L219" i="141"/>
  <c r="J446" i="151"/>
  <c r="N446" i="151" s="1"/>
  <c r="O446" i="151" s="1"/>
  <c r="O457" i="151"/>
  <c r="O455" i="151"/>
  <c r="C450" i="151"/>
  <c r="J444" i="151"/>
  <c r="N444" i="151" s="1"/>
  <c r="D450" i="151"/>
  <c r="J536" i="151"/>
  <c r="O536" i="151" s="1"/>
  <c r="H539" i="151"/>
  <c r="P592" i="151" s="1"/>
  <c r="P593" i="151" s="1"/>
  <c r="I535" i="151"/>
  <c r="J506" i="151"/>
  <c r="K535" i="151"/>
  <c r="C620" i="151"/>
  <c r="C621" i="151" s="1"/>
  <c r="C622" i="151" s="1"/>
  <c r="E472" i="151"/>
  <c r="C625" i="151"/>
  <c r="J592" i="151"/>
  <c r="J593" i="151" s="1"/>
  <c r="C641" i="151"/>
  <c r="C642" i="151" s="1"/>
  <c r="C643" i="151" s="1"/>
  <c r="E475" i="151" s="1"/>
  <c r="E476" i="151"/>
  <c r="C626" i="151"/>
  <c r="C646" i="151"/>
  <c r="O66" i="145"/>
  <c r="O67" i="145"/>
  <c r="S219" i="141" l="1"/>
  <c r="T219" i="141"/>
  <c r="J461" i="151"/>
  <c r="K222" i="141"/>
  <c r="L222" i="141"/>
  <c r="E471" i="151"/>
  <c r="C481" i="151" s="1"/>
  <c r="C624" i="151"/>
  <c r="M221" i="141"/>
  <c r="J509" i="151"/>
  <c r="J508" i="151"/>
  <c r="C645" i="151"/>
  <c r="L535" i="151"/>
  <c r="L539" i="151" s="1"/>
  <c r="S592" i="151" s="1"/>
  <c r="S593" i="151" s="1"/>
  <c r="K539" i="151"/>
  <c r="R592" i="151" s="1"/>
  <c r="R593" i="151" s="1"/>
  <c r="I539" i="151"/>
  <c r="Q592" i="151" s="1"/>
  <c r="Q593" i="151" s="1"/>
  <c r="J535" i="151"/>
  <c r="J539" i="151" s="1"/>
  <c r="C482" i="151"/>
  <c r="E477" i="151"/>
  <c r="E478" i="151"/>
  <c r="G221" i="141"/>
  <c r="C451" i="151"/>
  <c r="O444" i="151"/>
  <c r="D451" i="151"/>
  <c r="F590" i="151" s="1"/>
  <c r="O461" i="151"/>
  <c r="C463" i="151" s="1"/>
  <c r="G590" i="151" s="1"/>
  <c r="O68" i="145"/>
  <c r="M590" i="151" l="1"/>
  <c r="E473" i="151"/>
  <c r="F481" i="151" s="1"/>
  <c r="E481" i="151" s="1"/>
  <c r="D481" i="151" s="1"/>
  <c r="M481" i="151" s="1"/>
  <c r="O41" i="145"/>
  <c r="O42" i="145"/>
  <c r="O43" i="145"/>
  <c r="G222" i="141"/>
  <c r="C576" i="151"/>
  <c r="D576" i="151" s="1"/>
  <c r="C483" i="151"/>
  <c r="C486" i="151" s="1"/>
  <c r="E483" i="151"/>
  <c r="F483" i="151"/>
  <c r="F482" i="151"/>
  <c r="J482" i="151"/>
  <c r="C516" i="151"/>
  <c r="E516" i="151" s="1"/>
  <c r="O221" i="141"/>
  <c r="V592" i="151"/>
  <c r="D219" i="141"/>
  <c r="O535" i="151"/>
  <c r="M222" i="141"/>
  <c r="N221" i="141"/>
  <c r="K592" i="151"/>
  <c r="K593" i="151" s="1"/>
  <c r="L592" i="151"/>
  <c r="L593" i="151" s="1"/>
  <c r="C219" i="141"/>
  <c r="H590" i="151"/>
  <c r="P221" i="141"/>
  <c r="W592" i="151"/>
  <c r="J481" i="151"/>
  <c r="O71" i="145"/>
  <c r="O69" i="145"/>
  <c r="O7" i="145"/>
  <c r="O70" i="145"/>
  <c r="T221" i="141" l="1"/>
  <c r="W593" i="151"/>
  <c r="S221" i="141"/>
  <c r="V593" i="151"/>
  <c r="O47" i="145"/>
  <c r="C515" i="151"/>
  <c r="E515" i="151" s="1"/>
  <c r="C513" i="151"/>
  <c r="E513" i="151" s="1"/>
  <c r="C514" i="151"/>
  <c r="E514" i="151" s="1"/>
  <c r="D591" i="151"/>
  <c r="G483" i="151"/>
  <c r="O491" i="151" s="1"/>
  <c r="N481" i="151"/>
  <c r="H221" i="141"/>
  <c r="I221" i="141"/>
  <c r="K31" i="132"/>
  <c r="J219" i="141"/>
  <c r="E482" i="151"/>
  <c r="D482" i="151" s="1"/>
  <c r="M482" i="151" s="1"/>
  <c r="N482" i="151" s="1"/>
  <c r="O222" i="141"/>
  <c r="N222" i="141"/>
  <c r="P222" i="141"/>
  <c r="O539" i="151"/>
  <c r="C541" i="151"/>
  <c r="G592" i="151" s="1"/>
  <c r="O44" i="145"/>
  <c r="BH31" i="132" a="1"/>
  <c r="BH31" i="132" s="1"/>
  <c r="J483" i="151"/>
  <c r="N483" i="151" s="1"/>
  <c r="O49" i="145"/>
  <c r="BF31" i="132" a="1"/>
  <c r="BF31" i="132" s="1"/>
  <c r="O46" i="145"/>
  <c r="G481" i="151"/>
  <c r="E219" i="141"/>
  <c r="O48" i="145"/>
  <c r="BG31" i="132" a="1"/>
  <c r="BG31" i="132" s="1"/>
  <c r="O45" i="145"/>
  <c r="O74" i="145"/>
  <c r="O75" i="145"/>
  <c r="E591" i="151" l="1"/>
  <c r="E593" i="151" s="1"/>
  <c r="D593" i="151"/>
  <c r="M592" i="151"/>
  <c r="BX31" i="132" a="1"/>
  <c r="BX31" i="132" s="1"/>
  <c r="BV31" i="132" a="1"/>
  <c r="BV31" i="132" s="1"/>
  <c r="BY31" i="132" a="1"/>
  <c r="BY31" i="132" s="1"/>
  <c r="X31" i="132" s="1"/>
  <c r="BU31" i="132" a="1"/>
  <c r="BU31" i="132" s="1"/>
  <c r="BW31" i="132" a="1"/>
  <c r="BW31" i="132" s="1"/>
  <c r="BZ31" i="132" a="1"/>
  <c r="BZ31" i="132" s="1"/>
  <c r="O483" i="151"/>
  <c r="D582" i="151"/>
  <c r="O481" i="151"/>
  <c r="C487" i="151"/>
  <c r="G482" i="151"/>
  <c r="D487" i="151" s="1"/>
  <c r="H222" i="141"/>
  <c r="C577" i="151"/>
  <c r="D577" i="151" s="1"/>
  <c r="S222" i="141"/>
  <c r="H592" i="151"/>
  <c r="D221" i="141"/>
  <c r="J221" i="141"/>
  <c r="O489" i="151"/>
  <c r="C579" i="151"/>
  <c r="D579" i="151" s="1"/>
  <c r="I222" i="141"/>
  <c r="T222" i="141"/>
  <c r="O76" i="145"/>
  <c r="O77" i="145"/>
  <c r="O78" i="145"/>
  <c r="O11" i="145"/>
  <c r="O8" i="145"/>
  <c r="O12" i="145"/>
  <c r="O79" i="145"/>
  <c r="E221" i="141" l="1"/>
  <c r="D581" i="151"/>
  <c r="BM31" i="132" a="1"/>
  <c r="BM31" i="132" s="1"/>
  <c r="BN31" i="132" a="1"/>
  <c r="BN31" i="132" s="1"/>
  <c r="BL31" i="132" a="1"/>
  <c r="BL31" i="132" s="1"/>
  <c r="L31" i="132"/>
  <c r="F591" i="151"/>
  <c r="F593" i="151" s="1"/>
  <c r="O490" i="151"/>
  <c r="D486" i="151"/>
  <c r="O482" i="151"/>
  <c r="O10" i="145"/>
  <c r="O492" i="151" l="1"/>
  <c r="C494" i="151" s="1"/>
  <c r="G591" i="151" s="1"/>
  <c r="C220" i="141"/>
  <c r="W31" i="132"/>
  <c r="M591" i="151" l="1"/>
  <c r="M593" i="151" s="1"/>
  <c r="G593" i="151"/>
  <c r="C574" i="151" s="1"/>
  <c r="D574" i="151" s="1"/>
  <c r="H591" i="151"/>
  <c r="D220" i="141"/>
  <c r="C222" i="141"/>
  <c r="C573" i="151"/>
  <c r="J220" i="141"/>
  <c r="O5" i="145"/>
  <c r="E220" i="141" l="1"/>
  <c r="H593" i="151"/>
  <c r="E222" i="141" s="1"/>
  <c r="D222" i="141"/>
  <c r="D573" i="151"/>
  <c r="C580" i="151"/>
  <c r="D580" i="151" s="1"/>
  <c r="I31" i="132"/>
  <c r="C578" i="151"/>
  <c r="D578" i="151" s="1"/>
  <c r="J222" i="141"/>
  <c r="O4" i="145"/>
  <c r="O9" i="145"/>
  <c r="H31" i="132" l="1"/>
  <c r="M31" i="132" s="1"/>
  <c r="E420" i="152" l="1"/>
  <c r="F456" i="152" s="1"/>
  <c r="F461" i="152" l="1"/>
  <c r="G456" i="152"/>
  <c r="N845" i="152" l="1"/>
  <c r="N849" i="152" s="1"/>
  <c r="N877" i="152"/>
  <c r="N881" i="152" s="1"/>
  <c r="G461" i="152"/>
  <c r="O845" i="152" l="1"/>
  <c r="O849" i="152" s="1"/>
  <c r="O877" i="152"/>
  <c r="O881" i="152" s="1"/>
  <c r="K238" i="141"/>
  <c r="K228" i="141"/>
  <c r="P66" i="145"/>
  <c r="AE66" i="145"/>
  <c r="L228" i="141" l="1"/>
  <c r="L238" i="141"/>
  <c r="K232" i="141"/>
  <c r="K242" i="141"/>
  <c r="AE67" i="145"/>
  <c r="P67" i="145"/>
  <c r="L242" i="141" l="1"/>
  <c r="L232" i="141"/>
  <c r="K674" i="152"/>
  <c r="K535" i="152"/>
  <c r="C891" i="152"/>
  <c r="K536" i="152"/>
  <c r="C899" i="152"/>
  <c r="C920" i="152"/>
  <c r="E425" i="152"/>
  <c r="E416" i="152"/>
  <c r="K673" i="152"/>
  <c r="K534" i="152"/>
  <c r="E423" i="152"/>
  <c r="K675" i="152"/>
  <c r="E426" i="152"/>
  <c r="E424" i="152"/>
  <c r="K681" i="152" l="1"/>
  <c r="H789" i="152" s="1"/>
  <c r="I789" i="152" s="1"/>
  <c r="E415" i="152"/>
  <c r="C440" i="152" s="1"/>
  <c r="C903" i="152"/>
  <c r="K542" i="152"/>
  <c r="H628" i="152" s="1"/>
  <c r="I628" i="152" s="1"/>
  <c r="E419" i="152"/>
  <c r="C902" i="152" l="1"/>
  <c r="E439" i="152"/>
  <c r="E445" i="152"/>
  <c r="E440" i="152"/>
  <c r="E446" i="152"/>
  <c r="J628" i="152"/>
  <c r="O456" i="152"/>
  <c r="J440" i="152"/>
  <c r="N440" i="152" s="1"/>
  <c r="O440" i="152" s="1"/>
  <c r="J789" i="152"/>
  <c r="E427" i="152"/>
  <c r="H460" i="152" s="1"/>
  <c r="K540" i="152"/>
  <c r="K628" i="152" s="1"/>
  <c r="L628" i="152" s="1"/>
  <c r="H461" i="152" l="1"/>
  <c r="I460" i="152"/>
  <c r="O628" i="152"/>
  <c r="E428" i="152"/>
  <c r="K460" i="152" s="1"/>
  <c r="L460" i="152" s="1"/>
  <c r="K679" i="152"/>
  <c r="K789" i="152" s="1"/>
  <c r="L789" i="152" s="1"/>
  <c r="O789" i="152" s="1"/>
  <c r="E413" i="152"/>
  <c r="C923" i="152"/>
  <c r="C926" i="152" s="1"/>
  <c r="C927" i="152" s="1"/>
  <c r="C928" i="152" s="1"/>
  <c r="K680" i="152"/>
  <c r="H788" i="152" s="1"/>
  <c r="H791" i="152" s="1"/>
  <c r="C894" i="152"/>
  <c r="K543" i="152"/>
  <c r="P880" i="152" l="1"/>
  <c r="M241" i="141" s="1"/>
  <c r="P845" i="152"/>
  <c r="P877" i="152"/>
  <c r="C924" i="152"/>
  <c r="C932" i="152" s="1"/>
  <c r="C929" i="152" s="1"/>
  <c r="C930" i="152" s="1"/>
  <c r="C931" i="152" s="1"/>
  <c r="E497" i="152" s="1"/>
  <c r="K549" i="152"/>
  <c r="K548" i="152"/>
  <c r="K547" i="152"/>
  <c r="I788" i="152"/>
  <c r="I461" i="152"/>
  <c r="J460" i="152"/>
  <c r="J461" i="152" s="1"/>
  <c r="C905" i="152"/>
  <c r="C906" i="152" s="1"/>
  <c r="C907" i="152" s="1"/>
  <c r="C911" i="152"/>
  <c r="P881" i="152" l="1"/>
  <c r="Q845" i="152"/>
  <c r="Q877" i="152"/>
  <c r="C934" i="152"/>
  <c r="C504" i="152"/>
  <c r="E500" i="152"/>
  <c r="M228" i="141"/>
  <c r="I791" i="152"/>
  <c r="J788" i="152"/>
  <c r="J791" i="152" s="1"/>
  <c r="C933" i="152"/>
  <c r="E498" i="152" s="1"/>
  <c r="E499" i="152" s="1"/>
  <c r="C914" i="152"/>
  <c r="C908" i="152"/>
  <c r="C909" i="152" s="1"/>
  <c r="C910" i="152" s="1"/>
  <c r="E493" i="152" s="1"/>
  <c r="C503" i="152" s="1"/>
  <c r="M238" i="141"/>
  <c r="O460" i="152"/>
  <c r="C913" i="152"/>
  <c r="AE68" i="145"/>
  <c r="Q880" i="152" l="1"/>
  <c r="N241" i="141" s="1"/>
  <c r="F505" i="152"/>
  <c r="F504" i="152"/>
  <c r="E505" i="152"/>
  <c r="J503" i="152"/>
  <c r="N228" i="141"/>
  <c r="M242" i="141"/>
  <c r="C505" i="152"/>
  <c r="C508" i="152" s="1"/>
  <c r="C912" i="152"/>
  <c r="E494" i="152" s="1"/>
  <c r="E495" i="152" s="1"/>
  <c r="F503" i="152" s="1"/>
  <c r="N238" i="141"/>
  <c r="J504" i="152"/>
  <c r="K541" i="152"/>
  <c r="H627" i="152" s="1"/>
  <c r="K682" i="152"/>
  <c r="K539" i="152"/>
  <c r="J562" i="152" s="1"/>
  <c r="K678" i="152"/>
  <c r="J699" i="152" s="1"/>
  <c r="E414" i="152"/>
  <c r="Q881" i="152" l="1"/>
  <c r="N242" i="141" s="1"/>
  <c r="D847" i="152"/>
  <c r="J702" i="152"/>
  <c r="J701" i="152"/>
  <c r="D879" i="152"/>
  <c r="E879" i="152" s="1"/>
  <c r="J564" i="152"/>
  <c r="J565" i="152"/>
  <c r="G505" i="152"/>
  <c r="O514" i="152" s="1"/>
  <c r="K686" i="152"/>
  <c r="C439" i="152" a="1"/>
  <c r="C439" i="152" s="1"/>
  <c r="K455" i="152"/>
  <c r="K788" i="152"/>
  <c r="K627" i="152"/>
  <c r="K688" i="152"/>
  <c r="K687" i="152"/>
  <c r="H630" i="152"/>
  <c r="P848" i="152" s="1"/>
  <c r="P849" i="152" s="1"/>
  <c r="I627" i="152"/>
  <c r="H651" i="152"/>
  <c r="H646" i="152"/>
  <c r="H641" i="152"/>
  <c r="E503" i="152"/>
  <c r="D503" i="152" s="1"/>
  <c r="M503" i="152" s="1"/>
  <c r="N503" i="152" s="1"/>
  <c r="J505" i="152"/>
  <c r="N505" i="152" s="1"/>
  <c r="E504" i="152"/>
  <c r="D504" i="152" s="1"/>
  <c r="M504" i="152" s="1"/>
  <c r="N504" i="152" s="1"/>
  <c r="AE69" i="145"/>
  <c r="P55" i="145"/>
  <c r="AE55" i="145"/>
  <c r="E847" i="152" l="1"/>
  <c r="O505" i="152"/>
  <c r="C509" i="152"/>
  <c r="M231" i="141"/>
  <c r="G504" i="152"/>
  <c r="O513" i="152" s="1"/>
  <c r="J627" i="152"/>
  <c r="J630" i="152" s="1"/>
  <c r="I630" i="152"/>
  <c r="Q848" i="152" s="1"/>
  <c r="Q849" i="152" s="1"/>
  <c r="K630" i="152"/>
  <c r="R848" i="152" s="1"/>
  <c r="L627" i="152"/>
  <c r="L630" i="152" s="1"/>
  <c r="S848" i="152" s="1"/>
  <c r="G503" i="152"/>
  <c r="L788" i="152"/>
  <c r="K791" i="152"/>
  <c r="R880" i="152" s="1"/>
  <c r="G646" i="152"/>
  <c r="G647" i="152" s="1"/>
  <c r="C648" i="152" s="1"/>
  <c r="G641" i="152"/>
  <c r="G642" i="152" s="1"/>
  <c r="C643" i="152" s="1"/>
  <c r="K848" i="152" s="1"/>
  <c r="K849" i="152" s="1"/>
  <c r="G651" i="152"/>
  <c r="G652" i="152" s="1"/>
  <c r="C653" i="152" s="1"/>
  <c r="L848" i="152" s="1"/>
  <c r="L849" i="152" s="1"/>
  <c r="L455" i="152"/>
  <c r="L461" i="152" s="1"/>
  <c r="K461" i="152"/>
  <c r="O455" i="152"/>
  <c r="C442" i="152"/>
  <c r="J439" i="152"/>
  <c r="N439" i="152" s="1"/>
  <c r="C441" i="152"/>
  <c r="P54" i="145"/>
  <c r="P77" i="145"/>
  <c r="AE54" i="145"/>
  <c r="P76" i="145"/>
  <c r="P68" i="145"/>
  <c r="P79" i="145"/>
  <c r="P78" i="145"/>
  <c r="R877" i="152" l="1"/>
  <c r="R881" i="152" s="1"/>
  <c r="R845" i="152"/>
  <c r="R849" i="152" s="1"/>
  <c r="S845" i="152"/>
  <c r="S849" i="152" s="1"/>
  <c r="S877" i="152"/>
  <c r="G637" i="152"/>
  <c r="C638" i="152" s="1"/>
  <c r="J848" i="152" s="1"/>
  <c r="J849" i="152" s="1"/>
  <c r="BM32" i="132" a="1"/>
  <c r="BM32" i="132" s="1"/>
  <c r="BN32" i="132" a="1"/>
  <c r="BN32" i="132" s="1"/>
  <c r="BL32" i="132" a="1"/>
  <c r="BL32" i="132" s="1"/>
  <c r="O439" i="152"/>
  <c r="J442" i="152"/>
  <c r="N442" i="152" s="1"/>
  <c r="O442" i="152" s="1"/>
  <c r="J441" i="152"/>
  <c r="N441" i="152" s="1"/>
  <c r="O441" i="152" s="1"/>
  <c r="O627" i="152"/>
  <c r="W848" i="152"/>
  <c r="T231" i="141" s="1"/>
  <c r="P231" i="141"/>
  <c r="O241" i="141"/>
  <c r="V880" i="152"/>
  <c r="S241" i="141" s="1"/>
  <c r="L791" i="152"/>
  <c r="S880" i="152" s="1"/>
  <c r="O788" i="152"/>
  <c r="C110" i="145"/>
  <c r="C109" i="145"/>
  <c r="C108" i="145"/>
  <c r="D509" i="152"/>
  <c r="O512" i="152"/>
  <c r="D508" i="152"/>
  <c r="O504" i="152"/>
  <c r="H231" i="141"/>
  <c r="O231" i="141"/>
  <c r="V848" i="152"/>
  <c r="S231" i="141" s="1"/>
  <c r="M232" i="141"/>
  <c r="O503" i="152"/>
  <c r="I231" i="141"/>
  <c r="N231" i="141"/>
  <c r="AE76" i="145"/>
  <c r="P69" i="145"/>
  <c r="AE79" i="145"/>
  <c r="AE78" i="145"/>
  <c r="AE77" i="145"/>
  <c r="S881" i="152" l="1"/>
  <c r="W32" i="132"/>
  <c r="F847" i="152"/>
  <c r="F879" i="152"/>
  <c r="BL33" i="132" a="1"/>
  <c r="BL33" i="132" s="1"/>
  <c r="BM33" i="132" a="1"/>
  <c r="BM33" i="132" s="1"/>
  <c r="BN33" i="132" a="1"/>
  <c r="BN33" i="132" s="1"/>
  <c r="O630" i="152"/>
  <c r="C632" i="152" s="1"/>
  <c r="G848" i="152" s="1"/>
  <c r="W877" i="152"/>
  <c r="P238" i="141"/>
  <c r="P228" i="141"/>
  <c r="W845" i="152"/>
  <c r="V845" i="152"/>
  <c r="O228" i="141"/>
  <c r="O515" i="152"/>
  <c r="C517" i="152" s="1"/>
  <c r="O238" i="141"/>
  <c r="V877" i="152"/>
  <c r="O791" i="152"/>
  <c r="C793" i="152" s="1"/>
  <c r="G880" i="152" s="1"/>
  <c r="W880" i="152"/>
  <c r="T241" i="141" s="1"/>
  <c r="P241" i="141"/>
  <c r="C833" i="152"/>
  <c r="D833" i="152" s="1"/>
  <c r="H232" i="141"/>
  <c r="N232" i="141"/>
  <c r="C835" i="152"/>
  <c r="D835" i="152" s="1"/>
  <c r="I232" i="141"/>
  <c r="P71" i="145"/>
  <c r="AE70" i="145"/>
  <c r="P70" i="145"/>
  <c r="AE71" i="145"/>
  <c r="P8" i="145"/>
  <c r="S238" i="141" l="1"/>
  <c r="V881" i="152"/>
  <c r="T238" i="141"/>
  <c r="W881" i="152"/>
  <c r="T228" i="141"/>
  <c r="W849" i="152"/>
  <c r="S228" i="141"/>
  <c r="V849" i="152"/>
  <c r="M848" i="152"/>
  <c r="J231" i="141" s="1"/>
  <c r="L32" i="132"/>
  <c r="W33" i="132"/>
  <c r="W47" i="132" s="1"/>
  <c r="G879" i="152"/>
  <c r="D240" i="141" s="1"/>
  <c r="G847" i="152"/>
  <c r="D230" i="141" s="1"/>
  <c r="P42" i="145"/>
  <c r="P41" i="145"/>
  <c r="P43" i="145"/>
  <c r="G231" i="141"/>
  <c r="C240" i="141"/>
  <c r="O242" i="141"/>
  <c r="P242" i="141"/>
  <c r="C230" i="141"/>
  <c r="O232" i="141"/>
  <c r="D231" i="141"/>
  <c r="H848" i="152"/>
  <c r="E231" i="141" s="1"/>
  <c r="G808" i="152"/>
  <c r="C809" i="152" s="1"/>
  <c r="G803" i="152"/>
  <c r="C804" i="152" s="1"/>
  <c r="K880" i="152" s="1"/>
  <c r="G813" i="152"/>
  <c r="C814" i="152" s="1"/>
  <c r="L880" i="152" s="1"/>
  <c r="L881" i="152" s="1"/>
  <c r="E422" i="152"/>
  <c r="C444" i="152" s="1"/>
  <c r="D241" i="141"/>
  <c r="H880" i="152"/>
  <c r="P232" i="141"/>
  <c r="P75" i="145"/>
  <c r="AE75" i="145"/>
  <c r="P74" i="145"/>
  <c r="AE74" i="145"/>
  <c r="M880" i="152" l="1"/>
  <c r="K881" i="152"/>
  <c r="E241" i="141"/>
  <c r="P47" i="145"/>
  <c r="M879" i="152"/>
  <c r="J240" i="141" s="1"/>
  <c r="M847" i="152"/>
  <c r="J230" i="141" s="1"/>
  <c r="W46" i="132"/>
  <c r="W48" i="132" s="1"/>
  <c r="AE43" i="145"/>
  <c r="P48" i="145"/>
  <c r="AE41" i="145"/>
  <c r="P49" i="145"/>
  <c r="AE42" i="145"/>
  <c r="C877" i="152"/>
  <c r="C881" i="152" s="1"/>
  <c r="C845" i="152"/>
  <c r="C849" i="152" s="1"/>
  <c r="BG32" i="132" a="1"/>
  <c r="BG32" i="132" s="1"/>
  <c r="P44" i="145"/>
  <c r="P45" i="145"/>
  <c r="BH32" i="132" a="1"/>
  <c r="BH32" i="132" s="1"/>
  <c r="BF32" i="132" a="1"/>
  <c r="BF32" i="132" s="1"/>
  <c r="P46" i="145"/>
  <c r="C832" i="152"/>
  <c r="D832" i="152" s="1"/>
  <c r="G232" i="141"/>
  <c r="G798" i="152"/>
  <c r="I241" i="141"/>
  <c r="H241" i="141"/>
  <c r="S242" i="141"/>
  <c r="J444" i="152"/>
  <c r="N444" i="152" s="1"/>
  <c r="O457" i="152"/>
  <c r="C447" i="152"/>
  <c r="D451" i="152" s="1"/>
  <c r="H879" i="152"/>
  <c r="E240" i="141" s="1"/>
  <c r="S232" i="141"/>
  <c r="T242" i="141"/>
  <c r="T232" i="141"/>
  <c r="H847" i="152"/>
  <c r="E230" i="141" s="1"/>
  <c r="P7" i="145"/>
  <c r="BH33" i="132" l="1" a="1"/>
  <c r="BH33" i="132" s="1"/>
  <c r="K32" i="132"/>
  <c r="BF33" i="132" a="1"/>
  <c r="BF33" i="132" s="1"/>
  <c r="BG33" i="132" a="1"/>
  <c r="BG33" i="132" s="1"/>
  <c r="AE47" i="145"/>
  <c r="W64" i="132"/>
  <c r="W97" i="132" s="1"/>
  <c r="W55" i="132"/>
  <c r="W88" i="132" s="1"/>
  <c r="W69" i="132"/>
  <c r="W102" i="132" s="1"/>
  <c r="W56" i="132"/>
  <c r="W89" i="132" s="1"/>
  <c r="W67" i="132"/>
  <c r="W100" i="132" s="1"/>
  <c r="W66" i="132"/>
  <c r="W99" i="132" s="1"/>
  <c r="W61" i="132"/>
  <c r="W94" i="132" s="1"/>
  <c r="W63" i="132"/>
  <c r="W96" i="132" s="1"/>
  <c r="W70" i="132"/>
  <c r="W103" i="132" s="1"/>
  <c r="W60" i="132"/>
  <c r="W93" i="132" s="1"/>
  <c r="W58" i="132"/>
  <c r="W91" i="132" s="1"/>
  <c r="W73" i="132"/>
  <c r="W106" i="132" s="1"/>
  <c r="W59" i="132"/>
  <c r="W92" i="132" s="1"/>
  <c r="W77" i="132"/>
  <c r="W110" i="132" s="1"/>
  <c r="W75" i="132"/>
  <c r="W108" i="132" s="1"/>
  <c r="W52" i="132"/>
  <c r="W85" i="132" s="1"/>
  <c r="W57" i="132"/>
  <c r="W90" i="132" s="1"/>
  <c r="W71" i="132"/>
  <c r="W104" i="132" s="1"/>
  <c r="W72" i="132"/>
  <c r="W105" i="132" s="1"/>
  <c r="W74" i="132"/>
  <c r="W107" i="132" s="1"/>
  <c r="W68" i="132"/>
  <c r="W101" i="132" s="1"/>
  <c r="W76" i="132"/>
  <c r="W109" i="132" s="1"/>
  <c r="W54" i="132"/>
  <c r="W87" i="132" s="1"/>
  <c r="W53" i="132"/>
  <c r="W86" i="132" s="1"/>
  <c r="W62" i="132"/>
  <c r="W95" i="132" s="1"/>
  <c r="W65" i="132"/>
  <c r="W98" i="132" s="1"/>
  <c r="W51" i="132"/>
  <c r="W84" i="132" s="1"/>
  <c r="BV32" i="132" a="1"/>
  <c r="BV32" i="132" s="1"/>
  <c r="AE45" i="145"/>
  <c r="BU32" i="132" a="1"/>
  <c r="BU32" i="132" s="1"/>
  <c r="AE46" i="145"/>
  <c r="BX32" i="132" a="1"/>
  <c r="BX32" i="132" s="1"/>
  <c r="AE49" i="145"/>
  <c r="BW32" i="132" a="1"/>
  <c r="BW32" i="132" s="1"/>
  <c r="AE44" i="145"/>
  <c r="BY32" i="132" a="1"/>
  <c r="BY32" i="132" s="1"/>
  <c r="X32" i="132" s="1"/>
  <c r="AE48" i="145"/>
  <c r="BZ32" i="132" a="1"/>
  <c r="BZ32" i="132" s="1"/>
  <c r="C799" i="152"/>
  <c r="J880" i="152" s="1"/>
  <c r="D877" i="152"/>
  <c r="D881" i="152" s="1"/>
  <c r="D845" i="152"/>
  <c r="D849" i="152" s="1"/>
  <c r="C451" i="152"/>
  <c r="O461" i="152"/>
  <c r="C463" i="152" s="1"/>
  <c r="I242" i="141"/>
  <c r="C867" i="152"/>
  <c r="D867" i="152" s="1"/>
  <c r="O444" i="152"/>
  <c r="C865" i="152"/>
  <c r="D865" i="152" s="1"/>
  <c r="H242" i="141"/>
  <c r="J447" i="152"/>
  <c r="N447" i="152" s="1"/>
  <c r="O447" i="152" s="1"/>
  <c r="AE8" i="145"/>
  <c r="G241" i="141" l="1"/>
  <c r="J881" i="152"/>
  <c r="G242" i="141" s="1"/>
  <c r="BZ33" i="132" a="1"/>
  <c r="BZ33" i="132" s="1"/>
  <c r="BV33" i="132" a="1"/>
  <c r="BV33" i="132" s="1"/>
  <c r="BY33" i="132" a="1"/>
  <c r="BY33" i="132" s="1"/>
  <c r="X33" i="132" s="1"/>
  <c r="X47" i="132" s="1"/>
  <c r="BW33" i="132" a="1"/>
  <c r="BW33" i="132" s="1"/>
  <c r="L33" i="132"/>
  <c r="L46" i="132" s="1"/>
  <c r="BX33" i="132" a="1"/>
  <c r="BX33" i="132" s="1"/>
  <c r="BU33" i="132" a="1"/>
  <c r="BU33" i="132" s="1"/>
  <c r="W78" i="132"/>
  <c r="E877" i="152"/>
  <c r="E881" i="152" s="1"/>
  <c r="D870" i="152" s="1"/>
  <c r="E845" i="152"/>
  <c r="E849" i="152" s="1"/>
  <c r="D838" i="152" s="1"/>
  <c r="G845" i="152"/>
  <c r="G849" i="152" s="1"/>
  <c r="G877" i="152"/>
  <c r="G881" i="152" s="1"/>
  <c r="D452" i="152"/>
  <c r="J241" i="141"/>
  <c r="C452" i="152"/>
  <c r="P11" i="145"/>
  <c r="L47" i="132" l="1"/>
  <c r="L48" i="132" s="1"/>
  <c r="L57" i="132" s="1"/>
  <c r="L90" i="132" s="1"/>
  <c r="X46" i="132"/>
  <c r="X48" i="132" s="1"/>
  <c r="X56" i="132" s="1"/>
  <c r="X89" i="132" s="1"/>
  <c r="D869" i="152"/>
  <c r="D837" i="152"/>
  <c r="F877" i="152"/>
  <c r="F845" i="152"/>
  <c r="F849" i="152" s="1"/>
  <c r="C864" i="152"/>
  <c r="D864" i="152" s="1"/>
  <c r="D238" i="141"/>
  <c r="D228" i="141"/>
  <c r="P10" i="145"/>
  <c r="AE7" i="145"/>
  <c r="M877" i="152" l="1"/>
  <c r="M881" i="152" s="1"/>
  <c r="F881" i="152"/>
  <c r="C861" i="152" s="1"/>
  <c r="H845" i="152"/>
  <c r="M845" i="152"/>
  <c r="M849" i="152" s="1"/>
  <c r="X66" i="132"/>
  <c r="X99" i="132" s="1"/>
  <c r="X62" i="132"/>
  <c r="X95" i="132" s="1"/>
  <c r="X53" i="132"/>
  <c r="X86" i="132" s="1"/>
  <c r="X51" i="132"/>
  <c r="X84" i="132" s="1"/>
  <c r="X70" i="132"/>
  <c r="X103" i="132" s="1"/>
  <c r="X59" i="132"/>
  <c r="X92" i="132" s="1"/>
  <c r="X67" i="132"/>
  <c r="X100" i="132" s="1"/>
  <c r="X77" i="132"/>
  <c r="X110" i="132" s="1"/>
  <c r="X64" i="132"/>
  <c r="X97" i="132" s="1"/>
  <c r="X58" i="132"/>
  <c r="X91" i="132" s="1"/>
  <c r="X71" i="132"/>
  <c r="X104" i="132" s="1"/>
  <c r="X73" i="132"/>
  <c r="X106" i="132" s="1"/>
  <c r="X76" i="132"/>
  <c r="X109" i="132" s="1"/>
  <c r="X60" i="132"/>
  <c r="X93" i="132" s="1"/>
  <c r="X74" i="132"/>
  <c r="X107" i="132" s="1"/>
  <c r="X57" i="132"/>
  <c r="X90" i="132" s="1"/>
  <c r="X72" i="132"/>
  <c r="X105" i="132" s="1"/>
  <c r="X61" i="132"/>
  <c r="X94" i="132" s="1"/>
  <c r="X54" i="132"/>
  <c r="X87" i="132" s="1"/>
  <c r="X75" i="132"/>
  <c r="X108" i="132" s="1"/>
  <c r="X69" i="132"/>
  <c r="X102" i="132" s="1"/>
  <c r="X65" i="132"/>
  <c r="X98" i="132" s="1"/>
  <c r="X52" i="132"/>
  <c r="X85" i="132" s="1"/>
  <c r="X68" i="132"/>
  <c r="X101" i="132" s="1"/>
  <c r="X63" i="132"/>
  <c r="X96" i="132" s="1"/>
  <c r="X55" i="132"/>
  <c r="X88" i="132" s="1"/>
  <c r="L53" i="132"/>
  <c r="L86" i="132" s="1"/>
  <c r="L75" i="132"/>
  <c r="L108" i="132" s="1"/>
  <c r="L67" i="132"/>
  <c r="L100" i="132" s="1"/>
  <c r="L62" i="132"/>
  <c r="L95" i="132" s="1"/>
  <c r="L72" i="132"/>
  <c r="L105" i="132" s="1"/>
  <c r="L73" i="132"/>
  <c r="L106" i="132" s="1"/>
  <c r="L55" i="132"/>
  <c r="L88" i="132" s="1"/>
  <c r="L58" i="132"/>
  <c r="L91" i="132" s="1"/>
  <c r="L65" i="132"/>
  <c r="L98" i="132" s="1"/>
  <c r="L76" i="132"/>
  <c r="L109" i="132" s="1"/>
  <c r="L51" i="132"/>
  <c r="L56" i="132"/>
  <c r="L89" i="132" s="1"/>
  <c r="L61" i="132"/>
  <c r="L94" i="132" s="1"/>
  <c r="L70" i="132"/>
  <c r="L103" i="132" s="1"/>
  <c r="L52" i="132"/>
  <c r="L85" i="132" s="1"/>
  <c r="L66" i="132"/>
  <c r="L99" i="132" s="1"/>
  <c r="L77" i="132"/>
  <c r="L110" i="132" s="1"/>
  <c r="L69" i="132"/>
  <c r="L102" i="132" s="1"/>
  <c r="L71" i="132"/>
  <c r="L104" i="132" s="1"/>
  <c r="L74" i="132"/>
  <c r="L107" i="132" s="1"/>
  <c r="L68" i="132"/>
  <c r="L101" i="132" s="1"/>
  <c r="L63" i="132"/>
  <c r="L96" i="132" s="1"/>
  <c r="L59" i="132"/>
  <c r="L92" i="132" s="1"/>
  <c r="L60" i="132"/>
  <c r="L93" i="132" s="1"/>
  <c r="L64" i="132"/>
  <c r="L97" i="132" s="1"/>
  <c r="L54" i="132"/>
  <c r="L87" i="132" s="1"/>
  <c r="C238" i="141"/>
  <c r="H877" i="152"/>
  <c r="C829" i="152"/>
  <c r="C228" i="141"/>
  <c r="K33" i="132"/>
  <c r="C830" i="152"/>
  <c r="D830" i="152" s="1"/>
  <c r="D232" i="141"/>
  <c r="C862" i="152"/>
  <c r="D862" i="152" s="1"/>
  <c r="D242" i="141"/>
  <c r="P5" i="145"/>
  <c r="AE5" i="145"/>
  <c r="J238" i="141" l="1"/>
  <c r="H881" i="152"/>
  <c r="E242" i="141" s="1"/>
  <c r="H849" i="152"/>
  <c r="E232" i="141" s="1"/>
  <c r="I32" i="132"/>
  <c r="I33" i="132"/>
  <c r="E228" i="141"/>
  <c r="X78" i="132"/>
  <c r="L78" i="132"/>
  <c r="L84" i="132"/>
  <c r="J228" i="141"/>
  <c r="C242" i="141"/>
  <c r="C232" i="141"/>
  <c r="E238" i="141"/>
  <c r="K46" i="132"/>
  <c r="K47" i="132"/>
  <c r="J242" i="141"/>
  <c r="C866" i="152"/>
  <c r="D866" i="152" s="1"/>
  <c r="D861" i="152"/>
  <c r="C868" i="152"/>
  <c r="D868" i="152" s="1"/>
  <c r="C834" i="152"/>
  <c r="D834" i="152" s="1"/>
  <c r="J232" i="141"/>
  <c r="D829" i="152"/>
  <c r="C836" i="152"/>
  <c r="D836" i="152" s="1"/>
  <c r="P4" i="145"/>
  <c r="P9" i="145"/>
  <c r="AE9" i="145"/>
  <c r="AE4" i="145"/>
  <c r="I47" i="132" l="1"/>
  <c r="I46" i="132"/>
  <c r="H32" i="132"/>
  <c r="M32" i="132" s="1"/>
  <c r="H33" i="132"/>
  <c r="M33" i="132" s="1"/>
  <c r="K48" i="132"/>
  <c r="K53" i="132" s="1"/>
  <c r="K86" i="132" s="1"/>
  <c r="I48" i="132" l="1"/>
  <c r="I58" i="132" s="1"/>
  <c r="I91" i="132" s="1"/>
  <c r="M46" i="132"/>
  <c r="H46" i="132"/>
  <c r="M47" i="132"/>
  <c r="H47" i="132"/>
  <c r="K56" i="132"/>
  <c r="K89" i="132" s="1"/>
  <c r="K52" i="132"/>
  <c r="K85" i="132" s="1"/>
  <c r="K70" i="132"/>
  <c r="K103" i="132" s="1"/>
  <c r="K68" i="132"/>
  <c r="K101" i="132" s="1"/>
  <c r="K71" i="132"/>
  <c r="K104" i="132" s="1"/>
  <c r="K65" i="132"/>
  <c r="K98" i="132" s="1"/>
  <c r="K57" i="132"/>
  <c r="K90" i="132" s="1"/>
  <c r="K64" i="132"/>
  <c r="K97" i="132" s="1"/>
  <c r="K75" i="132"/>
  <c r="K108" i="132" s="1"/>
  <c r="K54" i="132"/>
  <c r="K87" i="132" s="1"/>
  <c r="K72" i="132"/>
  <c r="K105" i="132" s="1"/>
  <c r="K66" i="132"/>
  <c r="K99" i="132" s="1"/>
  <c r="K69" i="132"/>
  <c r="K102" i="132" s="1"/>
  <c r="K60" i="132"/>
  <c r="K93" i="132" s="1"/>
  <c r="K51" i="132"/>
  <c r="K84" i="132" s="1"/>
  <c r="K63" i="132"/>
  <c r="K96" i="132" s="1"/>
  <c r="K55" i="132"/>
  <c r="K88" i="132" s="1"/>
  <c r="K73" i="132"/>
  <c r="K106" i="132" s="1"/>
  <c r="K62" i="132"/>
  <c r="K95" i="132" s="1"/>
  <c r="K67" i="132"/>
  <c r="K100" i="132" s="1"/>
  <c r="K58" i="132"/>
  <c r="K91" i="132" s="1"/>
  <c r="K76" i="132"/>
  <c r="K109" i="132" s="1"/>
  <c r="K61" i="132"/>
  <c r="K94" i="132" s="1"/>
  <c r="K59" i="132"/>
  <c r="K92" i="132" s="1"/>
  <c r="K74" i="132"/>
  <c r="K107" i="132" s="1"/>
  <c r="K77" i="132"/>
  <c r="K110" i="132" s="1"/>
  <c r="H48" i="132" l="1"/>
  <c r="H52" i="132" s="1"/>
  <c r="I63" i="132"/>
  <c r="I96" i="132" s="1"/>
  <c r="I65" i="132"/>
  <c r="I98" i="132" s="1"/>
  <c r="I77" i="132"/>
  <c r="I110" i="132" s="1"/>
  <c r="I61" i="132"/>
  <c r="I94" i="132" s="1"/>
  <c r="I67" i="132"/>
  <c r="I100" i="132" s="1"/>
  <c r="I66" i="132"/>
  <c r="I99" i="132" s="1"/>
  <c r="I56" i="132"/>
  <c r="I89" i="132" s="1"/>
  <c r="I64" i="132"/>
  <c r="I97" i="132" s="1"/>
  <c r="I68" i="132"/>
  <c r="I101" i="132" s="1"/>
  <c r="I53" i="132"/>
  <c r="I86" i="132" s="1"/>
  <c r="I60" i="132"/>
  <c r="I93" i="132" s="1"/>
  <c r="I73" i="132"/>
  <c r="I106" i="132" s="1"/>
  <c r="I57" i="132"/>
  <c r="I90" i="132" s="1"/>
  <c r="I62" i="132"/>
  <c r="I95" i="132" s="1"/>
  <c r="I54" i="132"/>
  <c r="I87" i="132" s="1"/>
  <c r="I76" i="132"/>
  <c r="I109" i="132" s="1"/>
  <c r="I55" i="132"/>
  <c r="I88" i="132" s="1"/>
  <c r="I69" i="132"/>
  <c r="I102" i="132" s="1"/>
  <c r="I74" i="132"/>
  <c r="I107" i="132" s="1"/>
  <c r="I52" i="132"/>
  <c r="I85" i="132" s="1"/>
  <c r="I59" i="132"/>
  <c r="I92" i="132" s="1"/>
  <c r="I72" i="132"/>
  <c r="I105" i="132" s="1"/>
  <c r="I70" i="132"/>
  <c r="I103" i="132" s="1"/>
  <c r="I71" i="132"/>
  <c r="I104" i="132" s="1"/>
  <c r="I75" i="132"/>
  <c r="I108" i="132" s="1"/>
  <c r="I51" i="132"/>
  <c r="I84" i="132" s="1"/>
  <c r="M48" i="132"/>
  <c r="M67" i="132" s="1"/>
  <c r="M100" i="132" s="1"/>
  <c r="K78" i="132"/>
  <c r="H74" i="132" l="1"/>
  <c r="H107" i="132" s="1"/>
  <c r="I78" i="132"/>
  <c r="M76" i="132"/>
  <c r="M109" i="132" s="1"/>
  <c r="M73" i="132"/>
  <c r="M106" i="132" s="1"/>
  <c r="M51" i="132"/>
  <c r="M84" i="132" s="1"/>
  <c r="M58" i="132"/>
  <c r="M91" i="132" s="1"/>
  <c r="M59" i="132"/>
  <c r="M92" i="132" s="1"/>
  <c r="M77" i="132"/>
  <c r="M110" i="132" s="1"/>
  <c r="M72" i="132"/>
  <c r="M105" i="132" s="1"/>
  <c r="M55" i="132"/>
  <c r="M88" i="132" s="1"/>
  <c r="M69" i="132"/>
  <c r="M102" i="132" s="1"/>
  <c r="M70" i="132"/>
  <c r="M103" i="132" s="1"/>
  <c r="M66" i="132"/>
  <c r="M99" i="132" s="1"/>
  <c r="M74" i="132"/>
  <c r="M107" i="132" s="1"/>
  <c r="M54" i="132"/>
  <c r="M87" i="132" s="1"/>
  <c r="H58" i="132"/>
  <c r="H91" i="132" s="1"/>
  <c r="H57" i="132"/>
  <c r="H90" i="132" s="1"/>
  <c r="H72" i="132"/>
  <c r="H105" i="132" s="1"/>
  <c r="H55" i="132"/>
  <c r="H88" i="132" s="1"/>
  <c r="H51" i="132"/>
  <c r="H84" i="132" s="1"/>
  <c r="H64" i="132"/>
  <c r="H97" i="132" s="1"/>
  <c r="H54" i="132"/>
  <c r="H87" i="132" s="1"/>
  <c r="H73" i="132"/>
  <c r="H106" i="132" s="1"/>
  <c r="H61" i="132"/>
  <c r="H94" i="132" s="1"/>
  <c r="H76" i="132"/>
  <c r="H109" i="132" s="1"/>
  <c r="H56" i="132"/>
  <c r="H89" i="132" s="1"/>
  <c r="H63" i="132"/>
  <c r="H96" i="132" s="1"/>
  <c r="H53" i="132"/>
  <c r="H86" i="132" s="1"/>
  <c r="H69" i="132"/>
  <c r="H102" i="132" s="1"/>
  <c r="H67" i="132"/>
  <c r="H100" i="132" s="1"/>
  <c r="AC100" i="132" s="1"/>
  <c r="H59" i="132"/>
  <c r="H92" i="132" s="1"/>
  <c r="M52" i="132"/>
  <c r="M85" i="132" s="1"/>
  <c r="H65" i="132"/>
  <c r="H98" i="132" s="1"/>
  <c r="H71" i="132"/>
  <c r="H104" i="132" s="1"/>
  <c r="H77" i="132"/>
  <c r="H110" i="132" s="1"/>
  <c r="H75" i="132"/>
  <c r="H108" i="132" s="1"/>
  <c r="M53" i="132"/>
  <c r="M86" i="132" s="1"/>
  <c r="H62" i="132"/>
  <c r="H95" i="132" s="1"/>
  <c r="M61" i="132"/>
  <c r="M94" i="132" s="1"/>
  <c r="M71" i="132"/>
  <c r="M104" i="132" s="1"/>
  <c r="H60" i="132"/>
  <c r="H93" i="132" s="1"/>
  <c r="H66" i="132"/>
  <c r="H99" i="132" s="1"/>
  <c r="M64" i="132"/>
  <c r="M97" i="132" s="1"/>
  <c r="H85" i="132"/>
  <c r="H70" i="132"/>
  <c r="H103" i="132" s="1"/>
  <c r="H68" i="132"/>
  <c r="H101" i="132" s="1"/>
  <c r="M57" i="132"/>
  <c r="M90" i="132" s="1"/>
  <c r="M60" i="132"/>
  <c r="M93" i="132" s="1"/>
  <c r="M68" i="132"/>
  <c r="M101" i="132" s="1"/>
  <c r="M62" i="132"/>
  <c r="M95" i="132" s="1"/>
  <c r="M65" i="132"/>
  <c r="M98" i="132" s="1"/>
  <c r="M63" i="132"/>
  <c r="M96" i="132" s="1"/>
  <c r="M56" i="132"/>
  <c r="M89" i="132" s="1"/>
  <c r="M75" i="132"/>
  <c r="M108" i="132" s="1"/>
  <c r="AC91" i="132" l="1"/>
  <c r="AC92" i="132"/>
  <c r="AC107" i="132"/>
  <c r="AC84" i="132"/>
  <c r="AC109" i="132"/>
  <c r="AC105" i="132"/>
  <c r="AC99" i="132"/>
  <c r="AC87" i="132"/>
  <c r="AC110" i="132"/>
  <c r="AC88" i="132"/>
  <c r="AC106" i="132"/>
  <c r="AC102" i="132"/>
  <c r="AC90" i="132"/>
  <c r="AC103" i="132"/>
  <c r="AC89" i="132"/>
  <c r="AC97" i="132"/>
  <c r="AC101" i="132"/>
  <c r="AC96" i="132"/>
  <c r="AC85" i="132"/>
  <c r="AC104" i="132"/>
  <c r="AC86" i="132"/>
  <c r="AC94" i="132"/>
  <c r="AC95" i="132"/>
  <c r="AC98" i="132"/>
  <c r="AC93" i="132"/>
  <c r="AC108" i="132"/>
  <c r="H78" i="132"/>
  <c r="M78" i="132"/>
  <c r="AD84" i="132" l="1"/>
  <c r="B12" i="135" s="1"/>
  <c r="AD98" i="132"/>
  <c r="AD90" i="132"/>
  <c r="AD88" i="132"/>
  <c r="AD99" i="132"/>
  <c r="AD105" i="132"/>
  <c r="AD87" i="132"/>
  <c r="AD92" i="132"/>
  <c r="AD97" i="132"/>
  <c r="AD107" i="132"/>
  <c r="AD86" i="132"/>
  <c r="AD96" i="132"/>
  <c r="AD109" i="132"/>
  <c r="AD108" i="132"/>
  <c r="AD89" i="132"/>
  <c r="AD100" i="132"/>
  <c r="AD103" i="132"/>
  <c r="AD85" i="132"/>
  <c r="AD102" i="132"/>
  <c r="AD95" i="132"/>
  <c r="AD110" i="132"/>
  <c r="AD106" i="132"/>
  <c r="AD104" i="132"/>
  <c r="AD93" i="132"/>
  <c r="AD94" i="132"/>
  <c r="AD91" i="132"/>
  <c r="AD101" i="132"/>
  <c r="B26" i="135" l="1"/>
  <c r="B17" i="135"/>
  <c r="B36" i="135"/>
  <c r="B31" i="135"/>
  <c r="B14" i="135"/>
  <c r="B15" i="135"/>
  <c r="B13" i="135"/>
  <c r="B24" i="135"/>
  <c r="B35" i="135"/>
  <c r="B33" i="135"/>
  <c r="B25" i="135"/>
  <c r="B21" i="135"/>
  <c r="B34" i="135"/>
  <c r="B27" i="135"/>
  <c r="B28" i="135"/>
  <c r="B32" i="135"/>
  <c r="B38" i="135"/>
  <c r="B23" i="135"/>
  <c r="B16" i="135"/>
  <c r="B37" i="135"/>
  <c r="B29" i="135"/>
  <c r="B19" i="135"/>
  <c r="B22" i="135"/>
  <c r="B20" i="135"/>
  <c r="B30" i="135"/>
  <c r="B18" i="135"/>
  <c r="B10" i="206"/>
  <c r="D10" i="206" s="1" a="1"/>
  <c r="D10" i="206" s="1"/>
  <c r="J76" i="139" s="1" a="1"/>
  <c r="J76" i="139" s="1"/>
  <c r="B5" i="206"/>
  <c r="C5" i="206" s="1" a="1"/>
  <c r="C5" i="206" s="1"/>
  <c r="D46" i="139" s="1" a="1"/>
  <c r="D46" i="139" s="1"/>
  <c r="A42" i="132"/>
  <c r="AG43" i="132" s="1" a="1"/>
  <c r="AG43" i="132" s="1"/>
  <c r="B26" i="206"/>
  <c r="D26" i="206" s="1" a="1"/>
  <c r="D26" i="206" s="1"/>
  <c r="J184" i="139" s="1" a="1"/>
  <c r="J184" i="139" s="1"/>
  <c r="B19" i="206"/>
  <c r="C19" i="206" s="1" a="1"/>
  <c r="C19" i="206" s="1"/>
  <c r="D136" i="139" s="1" a="1"/>
  <c r="D136" i="139" s="1"/>
  <c r="B2" i="206"/>
  <c r="C2" i="206" s="1" a="1"/>
  <c r="C2" i="206" s="1"/>
  <c r="D28" i="139" s="1" a="1"/>
  <c r="D28" i="139" s="1"/>
  <c r="B12" i="206"/>
  <c r="D12" i="206" s="1" a="1"/>
  <c r="D12" i="206" s="1"/>
  <c r="J94" i="139" s="1" a="1"/>
  <c r="J94" i="139" s="1"/>
  <c r="A34" i="132"/>
  <c r="AV35" i="132" s="1" a="1"/>
  <c r="AV35" i="132" s="1"/>
  <c r="A37" i="132"/>
  <c r="BX37" i="132" s="1" a="1"/>
  <c r="BX37" i="132" s="1"/>
  <c r="B3" i="206"/>
  <c r="C3" i="206" s="1" a="1"/>
  <c r="C3" i="206" s="1"/>
  <c r="D34" i="139" s="1" a="1"/>
  <c r="D34" i="139" s="1"/>
  <c r="B20" i="206"/>
  <c r="C20" i="206" s="1" a="1"/>
  <c r="C20" i="206" s="1"/>
  <c r="D142" i="139" s="1" a="1"/>
  <c r="D142" i="139" s="1"/>
  <c r="B17" i="206"/>
  <c r="D17" i="206" s="1" a="1"/>
  <c r="D17" i="206" s="1"/>
  <c r="J124" i="139" s="1" a="1"/>
  <c r="J124" i="139" s="1"/>
  <c r="A38" i="132"/>
  <c r="B6" i="206"/>
  <c r="B8" i="206"/>
  <c r="C8" i="206" s="1" a="1"/>
  <c r="C8" i="206" s="1"/>
  <c r="D64" i="139" s="1" a="1"/>
  <c r="D64" i="139" s="1"/>
  <c r="B28" i="206"/>
  <c r="D28" i="206" s="1" a="1"/>
  <c r="D28" i="206" s="1"/>
  <c r="J196" i="139" s="1" a="1"/>
  <c r="J196" i="139" s="1"/>
  <c r="B14" i="206"/>
  <c r="C14" i="206" s="1" a="1"/>
  <c r="C14" i="206" s="1"/>
  <c r="D106" i="139" s="1" a="1"/>
  <c r="D106" i="139" s="1"/>
  <c r="A36" i="132"/>
  <c r="AP37" i="132" s="1" a="1"/>
  <c r="AP37" i="132" s="1"/>
  <c r="B25" i="206"/>
  <c r="C25" i="206" s="1" a="1"/>
  <c r="C25" i="206" s="1"/>
  <c r="D178" i="139" s="1" a="1"/>
  <c r="D178" i="139" s="1"/>
  <c r="B18" i="206"/>
  <c r="D18" i="206" s="1" a="1"/>
  <c r="D18" i="206" s="1"/>
  <c r="J130" i="139" s="1" a="1"/>
  <c r="J130" i="139" s="1"/>
  <c r="A39" i="132"/>
  <c r="E39" i="132" s="1" a="1"/>
  <c r="E39" i="132" s="1"/>
  <c r="A43" i="132"/>
  <c r="W43" i="132" s="1" a="1"/>
  <c r="W43" i="132" s="1"/>
  <c r="B16" i="206"/>
  <c r="B15" i="206"/>
  <c r="C15" i="206" s="1" a="1"/>
  <c r="C15" i="206" s="1"/>
  <c r="D112" i="139" s="1" a="1"/>
  <c r="D112" i="139" s="1"/>
  <c r="B22" i="206"/>
  <c r="C22" i="206" s="1" a="1"/>
  <c r="C22" i="206" s="1"/>
  <c r="D160" i="139" s="1" a="1"/>
  <c r="D160" i="139" s="1"/>
  <c r="B4" i="206"/>
  <c r="C4" i="206" s="1" a="1"/>
  <c r="C4" i="206" s="1"/>
  <c r="D40" i="139" s="1" a="1"/>
  <c r="D40" i="139" s="1"/>
  <c r="B27" i="206"/>
  <c r="C27" i="206" s="1" a="1"/>
  <c r="C27" i="206" s="1"/>
  <c r="D190" i="139" s="1" a="1"/>
  <c r="D190" i="139" s="1"/>
  <c r="B7" i="206"/>
  <c r="C7" i="206" s="1" a="1"/>
  <c r="C7" i="206" s="1"/>
  <c r="D58" i="139" s="1" a="1"/>
  <c r="D58" i="139" s="1"/>
  <c r="B11" i="206"/>
  <c r="C11" i="206" s="1" a="1"/>
  <c r="C11" i="206" s="1"/>
  <c r="D82" i="139" s="1" a="1"/>
  <c r="D82" i="139" s="1"/>
  <c r="A40" i="132"/>
  <c r="AE41" i="132" s="1" a="1"/>
  <c r="AE41" i="132" s="1"/>
  <c r="A41" i="132"/>
  <c r="W41" i="132" s="1" a="1"/>
  <c r="W41" i="132" s="1"/>
  <c r="B13" i="206"/>
  <c r="B24" i="206"/>
  <c r="C24" i="206" s="1" a="1"/>
  <c r="C24" i="206" s="1"/>
  <c r="D172" i="139" s="1" a="1"/>
  <c r="D172" i="139" s="1"/>
  <c r="B23" i="206"/>
  <c r="C23" i="206" s="1" a="1"/>
  <c r="C23" i="206" s="1"/>
  <c r="D166" i="139" s="1" a="1"/>
  <c r="D166" i="139" s="1"/>
  <c r="B9" i="206"/>
  <c r="B21" i="206"/>
  <c r="D21" i="206" s="1" a="1"/>
  <c r="D21" i="206" s="1"/>
  <c r="J148" i="139" s="1" a="1"/>
  <c r="J148" i="139" s="1"/>
  <c r="A35" i="132"/>
  <c r="AE36" i="132" s="1" a="1"/>
  <c r="AE36" i="132" s="1"/>
  <c r="C10" i="206" l="1" a="1"/>
  <c r="C10" i="206" s="1"/>
  <c r="D76" i="139" s="1" a="1"/>
  <c r="D76" i="139" s="1"/>
  <c r="D5" i="206" a="1"/>
  <c r="D5" i="206" s="1"/>
  <c r="J46" i="139" s="1" a="1"/>
  <c r="J46" i="139" s="1"/>
  <c r="S42" i="132" a="1"/>
  <c r="S42" i="132" s="1"/>
  <c r="BL42" i="132" a="1"/>
  <c r="BL42" i="132" s="1"/>
  <c r="BV42" i="132" a="1"/>
  <c r="BV42" i="132" s="1"/>
  <c r="AA42" i="132" a="1"/>
  <c r="AA42" i="132" s="1"/>
  <c r="H42" i="132" a="1"/>
  <c r="H42" i="132" s="1"/>
  <c r="AH43" i="132" a="1"/>
  <c r="AH43" i="132" s="1"/>
  <c r="P42" i="132" a="1"/>
  <c r="P42" i="132" s="1"/>
  <c r="Z42" i="132" a="1"/>
  <c r="Z42" i="132" s="1"/>
  <c r="AP43" i="132" a="1"/>
  <c r="AP43" i="132" s="1"/>
  <c r="AZ43" i="132" a="1"/>
  <c r="AZ43" i="132" s="1"/>
  <c r="AE43" i="132" a="1"/>
  <c r="AE43" i="132" s="1"/>
  <c r="AS43" i="132" a="1"/>
  <c r="AS43" i="132" s="1"/>
  <c r="AI43" i="132" a="1"/>
  <c r="AI43" i="132" s="1"/>
  <c r="BY42" i="132" a="1"/>
  <c r="BY42" i="132" s="1"/>
  <c r="B42" i="132" a="1"/>
  <c r="B42" i="132" s="1"/>
  <c r="M42" i="132" a="1"/>
  <c r="M42" i="132" s="1"/>
  <c r="BZ42" i="132" a="1"/>
  <c r="BZ42" i="132" s="1"/>
  <c r="V42" i="132" a="1"/>
  <c r="V42" i="132" s="1"/>
  <c r="BT42" i="132" a="1"/>
  <c r="BT42" i="132" s="1"/>
  <c r="X42" i="132" a="1"/>
  <c r="X42" i="132" s="1"/>
  <c r="AM43" i="132" a="1"/>
  <c r="AM43" i="132" s="1"/>
  <c r="D42" i="132" a="1"/>
  <c r="D42" i="132" s="1"/>
  <c r="BM42" i="132" a="1"/>
  <c r="BM42" i="132" s="1"/>
  <c r="BQ42" i="132" a="1"/>
  <c r="BQ42" i="132" s="1"/>
  <c r="AB42" i="132" a="1"/>
  <c r="AB42" i="132" s="1"/>
  <c r="BG42" i="132" a="1"/>
  <c r="BG42" i="132" s="1"/>
  <c r="E10" i="135" a="1"/>
  <c r="E10" i="135" s="1"/>
  <c r="O42" i="132" a="1"/>
  <c r="O42" i="132" s="1"/>
  <c r="D10" i="135" a="1"/>
  <c r="D10" i="135" s="1"/>
  <c r="R42" i="132" a="1"/>
  <c r="R42" i="132" s="1"/>
  <c r="BN42" i="132" a="1"/>
  <c r="BN42" i="132" s="1"/>
  <c r="BR42" i="132" a="1"/>
  <c r="BR42" i="132" s="1"/>
  <c r="U42" i="132" a="1"/>
  <c r="U42" i="132" s="1"/>
  <c r="T42" i="132" a="1"/>
  <c r="T42" i="132" s="1"/>
  <c r="AT43" i="132" a="1"/>
  <c r="AT43" i="132" s="1"/>
  <c r="K42" i="132" a="1"/>
  <c r="K42" i="132" s="1"/>
  <c r="BX42" i="132" a="1"/>
  <c r="BX42" i="132" s="1"/>
  <c r="BO42" i="132" a="1"/>
  <c r="BO42" i="132" s="1"/>
  <c r="Q42" i="132" a="1"/>
  <c r="Q42" i="132" s="1"/>
  <c r="F42" i="132" a="1"/>
  <c r="F42" i="132" s="1"/>
  <c r="AJ43" i="132" a="1"/>
  <c r="AJ43" i="132" s="1"/>
  <c r="AY43" i="132" a="1"/>
  <c r="AY43" i="132" s="1"/>
  <c r="AF43" i="132" a="1"/>
  <c r="AF43" i="132" s="1"/>
  <c r="G42" i="132" a="1"/>
  <c r="G42" i="132" s="1"/>
  <c r="BB43" i="132" a="1"/>
  <c r="BB43" i="132" s="1"/>
  <c r="AV43" i="132" a="1"/>
  <c r="AV43" i="132" s="1"/>
  <c r="AK43" i="132" a="1"/>
  <c r="AK43" i="132" s="1"/>
  <c r="BH42" i="132" a="1"/>
  <c r="BH42" i="132" s="1"/>
  <c r="I42" i="132" a="1"/>
  <c r="I42" i="132" s="1"/>
  <c r="AN43" i="132" a="1"/>
  <c r="AN43" i="132" s="1"/>
  <c r="AD43" i="132" a="1"/>
  <c r="AD43" i="132" s="1"/>
  <c r="Y42" i="132" a="1"/>
  <c r="Y42" i="132" s="1"/>
  <c r="AW43" i="132" a="1"/>
  <c r="AW43" i="132" s="1"/>
  <c r="BF42" i="132" a="1"/>
  <c r="BF42" i="132" s="1"/>
  <c r="N42" i="132" a="1"/>
  <c r="N42" i="132" s="1"/>
  <c r="BU42" i="132" a="1"/>
  <c r="BU42" i="132" s="1"/>
  <c r="A10" i="135" a="1"/>
  <c r="A10" i="135" s="1"/>
  <c r="J10" i="135" s="1"/>
  <c r="W42" i="132" a="1"/>
  <c r="W42" i="132" s="1"/>
  <c r="L42" i="132" a="1"/>
  <c r="L42" i="132" s="1"/>
  <c r="BC43" i="132" a="1"/>
  <c r="BC43" i="132" s="1"/>
  <c r="BW42" i="132" a="1"/>
  <c r="BW42" i="132" s="1"/>
  <c r="E42" i="132" a="1"/>
  <c r="E42" i="132" s="1"/>
  <c r="AQ43" i="132" a="1"/>
  <c r="AQ43" i="132" s="1"/>
  <c r="BP42" i="132" a="1"/>
  <c r="BP42" i="132" s="1"/>
  <c r="J42" i="132" a="1"/>
  <c r="J42" i="132" s="1"/>
  <c r="BS42" i="132" a="1"/>
  <c r="BS42" i="132" s="1"/>
  <c r="C26" i="206" a="1"/>
  <c r="C26" i="206" s="1"/>
  <c r="D184" i="139" s="1" a="1"/>
  <c r="D184" i="139" s="1"/>
  <c r="D2" i="206" a="1"/>
  <c r="D2" i="206" s="1"/>
  <c r="J28" i="139" s="1" a="1"/>
  <c r="J28" i="139" s="1"/>
  <c r="C12" i="206" a="1"/>
  <c r="C12" i="206" s="1"/>
  <c r="D94" i="139" s="1" a="1"/>
  <c r="D94" i="139" s="1"/>
  <c r="D19" i="206" a="1"/>
  <c r="D19" i="206" s="1"/>
  <c r="J136" i="139" s="1" a="1"/>
  <c r="J136" i="139" s="1"/>
  <c r="D3" i="206" a="1"/>
  <c r="D3" i="206" s="1"/>
  <c r="J34" i="139" s="1" a="1"/>
  <c r="J34" i="139" s="1"/>
  <c r="BS34" i="132" a="1"/>
  <c r="BS34" i="132" s="1"/>
  <c r="E2" i="135" a="1"/>
  <c r="E2" i="135" s="1"/>
  <c r="BN34" i="132" a="1"/>
  <c r="BN34" i="132" s="1"/>
  <c r="F34" i="132" a="1"/>
  <c r="F34" i="132" s="1"/>
  <c r="G34" i="132" a="1"/>
  <c r="G34" i="132" s="1"/>
  <c r="AZ35" i="132" a="1"/>
  <c r="AZ35" i="132" s="1"/>
  <c r="N34" i="132" a="1"/>
  <c r="N34" i="132" s="1"/>
  <c r="S34" i="132" a="1"/>
  <c r="S34" i="132" s="1"/>
  <c r="AF35" i="132" a="1"/>
  <c r="AF35" i="132" s="1"/>
  <c r="BF34" i="132" a="1"/>
  <c r="BF34" i="132" s="1"/>
  <c r="AT35" i="132" a="1"/>
  <c r="AT35" i="132" s="1"/>
  <c r="AB34" i="132" a="1"/>
  <c r="AB34" i="132" s="1"/>
  <c r="P34" i="132" a="1"/>
  <c r="P34" i="132" s="1"/>
  <c r="BU34" i="132" a="1"/>
  <c r="BU34" i="132" s="1"/>
  <c r="AA34" i="132" a="1"/>
  <c r="AA34" i="132" s="1"/>
  <c r="AS35" i="132" a="1"/>
  <c r="AS35" i="132" s="1"/>
  <c r="T34" i="132" a="1"/>
  <c r="T34" i="132" s="1"/>
  <c r="U34" i="132" a="1"/>
  <c r="U34" i="132" s="1"/>
  <c r="BO34" i="132" a="1"/>
  <c r="BO34" i="132" s="1"/>
  <c r="L34" i="132" a="1"/>
  <c r="L34" i="132" s="1"/>
  <c r="V34" i="132" a="1"/>
  <c r="V34" i="132" s="1"/>
  <c r="M34" i="132" a="1"/>
  <c r="M34" i="132" s="1"/>
  <c r="BG34" i="132" a="1"/>
  <c r="BG34" i="132" s="1"/>
  <c r="AK35" i="132" a="1"/>
  <c r="AK35" i="132" s="1"/>
  <c r="H34" i="132" a="1"/>
  <c r="H34" i="132" s="1"/>
  <c r="Q34" i="132" a="1"/>
  <c r="Q34" i="132" s="1"/>
  <c r="BV34" i="132" a="1"/>
  <c r="BV34" i="132" s="1"/>
  <c r="W34" i="132" a="1"/>
  <c r="W34" i="132" s="1"/>
  <c r="K34" i="132" a="1"/>
  <c r="K34" i="132" s="1"/>
  <c r="BM34" i="132" a="1"/>
  <c r="BM34" i="132" s="1"/>
  <c r="Z34" i="132" a="1"/>
  <c r="Z34" i="132" s="1"/>
  <c r="AQ35" i="132" a="1"/>
  <c r="AQ35" i="132" s="1"/>
  <c r="D2" i="135" a="1"/>
  <c r="D2" i="135" s="1"/>
  <c r="D34" i="132" a="1"/>
  <c r="D34" i="132" s="1"/>
  <c r="X34" i="132" a="1"/>
  <c r="X34" i="132" s="1"/>
  <c r="BC35" i="132" a="1"/>
  <c r="BC35" i="132" s="1"/>
  <c r="J37" i="132" a="1"/>
  <c r="J37" i="132" s="1"/>
  <c r="H37" i="132" a="1"/>
  <c r="H37" i="132" s="1"/>
  <c r="A5" i="135" a="1"/>
  <c r="A5" i="135" s="1"/>
  <c r="I5" i="135" s="1"/>
  <c r="BC107" i="134" s="1"/>
  <c r="F750" i="112" s="1"/>
  <c r="D750" i="112" s="1"/>
  <c r="D5" i="135" a="1"/>
  <c r="D5" i="135" s="1"/>
  <c r="BG37" i="132" a="1"/>
  <c r="BG37" i="132" s="1"/>
  <c r="L37" i="132" a="1"/>
  <c r="L37" i="132" s="1"/>
  <c r="V37" i="132" a="1"/>
  <c r="V37" i="132" s="1"/>
  <c r="BH37" i="132" a="1"/>
  <c r="BH37" i="132" s="1"/>
  <c r="BF37" i="132" a="1"/>
  <c r="BF37" i="132" s="1"/>
  <c r="I37" i="132" a="1"/>
  <c r="I37" i="132" s="1"/>
  <c r="AT38" i="132" a="1"/>
  <c r="AT38" i="132" s="1"/>
  <c r="BS37" i="132" a="1"/>
  <c r="BS37" i="132" s="1"/>
  <c r="P37" i="132" a="1"/>
  <c r="P37" i="132" s="1"/>
  <c r="BO37" i="132" a="1"/>
  <c r="BO37" i="132" s="1"/>
  <c r="AK38" i="132" a="1"/>
  <c r="AK38" i="132" s="1"/>
  <c r="D37" i="132" a="1"/>
  <c r="D37" i="132" s="1"/>
  <c r="U37" i="132" a="1"/>
  <c r="U37" i="132" s="1"/>
  <c r="W37" i="132" a="1"/>
  <c r="W37" i="132" s="1"/>
  <c r="AF38" i="132" a="1"/>
  <c r="AF38" i="132" s="1"/>
  <c r="AH35" i="132" a="1"/>
  <c r="AH35" i="132" s="1"/>
  <c r="BX34" i="132" a="1"/>
  <c r="BX34" i="132" s="1"/>
  <c r="AA37" i="132" a="1"/>
  <c r="AA37" i="132" s="1"/>
  <c r="Y37" i="132" a="1"/>
  <c r="Y37" i="132" s="1"/>
  <c r="BW37" i="132" a="1"/>
  <c r="BW37" i="132" s="1"/>
  <c r="D20" i="206" a="1"/>
  <c r="D20" i="206" s="1"/>
  <c r="J142" i="139" s="1" a="1"/>
  <c r="J142" i="139" s="1"/>
  <c r="AW35" i="132" a="1"/>
  <c r="AW35" i="132" s="1"/>
  <c r="BL34" i="132" a="1"/>
  <c r="BL34" i="132" s="1"/>
  <c r="A2" i="135" a="1"/>
  <c r="A2" i="135" s="1"/>
  <c r="F2" i="135" s="1"/>
  <c r="AY35" i="132" a="1"/>
  <c r="AY35" i="132" s="1"/>
  <c r="AZ38" i="132" a="1"/>
  <c r="AZ38" i="132" s="1"/>
  <c r="G37" i="132" a="1"/>
  <c r="G37" i="132" s="1"/>
  <c r="BR37" i="132" a="1"/>
  <c r="BR37" i="132" s="1"/>
  <c r="T37" i="132" a="1"/>
  <c r="T37" i="132" s="1"/>
  <c r="BP37" i="132" a="1"/>
  <c r="BP37" i="132" s="1"/>
  <c r="BT34" i="132" a="1"/>
  <c r="BT34" i="132" s="1"/>
  <c r="AP38" i="132" a="1"/>
  <c r="AP38" i="132" s="1"/>
  <c r="C17" i="206" a="1"/>
  <c r="C17" i="206" s="1"/>
  <c r="D124" i="139" s="1" a="1"/>
  <c r="D124" i="139" s="1"/>
  <c r="AS38" i="132" a="1"/>
  <c r="AS38" i="132" s="1"/>
  <c r="AH38" i="132" a="1"/>
  <c r="AH38" i="132" s="1"/>
  <c r="M37" i="132" a="1"/>
  <c r="M37" i="132" s="1"/>
  <c r="F37" i="132" a="1"/>
  <c r="F37" i="132" s="1"/>
  <c r="AQ38" i="132" a="1"/>
  <c r="AQ38" i="132" s="1"/>
  <c r="BY37" i="132" a="1"/>
  <c r="BY37" i="132" s="1"/>
  <c r="Z37" i="132" a="1"/>
  <c r="Z37" i="132" s="1"/>
  <c r="K37" i="132" a="1"/>
  <c r="K37" i="132" s="1"/>
  <c r="Q37" i="132" a="1"/>
  <c r="Q37" i="132" s="1"/>
  <c r="E5" i="135" a="1"/>
  <c r="E5" i="135" s="1"/>
  <c r="AD38" i="132" a="1"/>
  <c r="AD38" i="132" s="1"/>
  <c r="AB37" i="132" a="1"/>
  <c r="AB37" i="132" s="1"/>
  <c r="AI38" i="132" a="1"/>
  <c r="AI38" i="132" s="1"/>
  <c r="BC38" i="132" a="1"/>
  <c r="BC38" i="132" s="1"/>
  <c r="R37" i="132" a="1"/>
  <c r="R37" i="132" s="1"/>
  <c r="BU37" i="132" a="1"/>
  <c r="BU37" i="132" s="1"/>
  <c r="S37" i="132" a="1"/>
  <c r="S37" i="132" s="1"/>
  <c r="BL37" i="132" a="1"/>
  <c r="BL37" i="132" s="1"/>
  <c r="E37" i="132" a="1"/>
  <c r="E37" i="132" s="1"/>
  <c r="AW38" i="132" a="1"/>
  <c r="AW38" i="132" s="1"/>
  <c r="BB38" i="132" a="1"/>
  <c r="BB38" i="132" s="1"/>
  <c r="BN37" i="132" a="1"/>
  <c r="BN37" i="132" s="1"/>
  <c r="N37" i="132" a="1"/>
  <c r="N37" i="132" s="1"/>
  <c r="O37" i="132" a="1"/>
  <c r="O37" i="132" s="1"/>
  <c r="BV37" i="132" a="1"/>
  <c r="BV37" i="132" s="1"/>
  <c r="BM37" i="132" a="1"/>
  <c r="BM37" i="132" s="1"/>
  <c r="AJ38" i="132" a="1"/>
  <c r="AJ38" i="132" s="1"/>
  <c r="AE38" i="132" a="1"/>
  <c r="AE38" i="132" s="1"/>
  <c r="AY38" i="132" a="1"/>
  <c r="AY38" i="132" s="1"/>
  <c r="B37" i="132" a="1"/>
  <c r="B37" i="132" s="1"/>
  <c r="I34" i="132" a="1"/>
  <c r="I34" i="132" s="1"/>
  <c r="AM35" i="132" a="1"/>
  <c r="AM35" i="132" s="1"/>
  <c r="BW34" i="132" a="1"/>
  <c r="BW34" i="132" s="1"/>
  <c r="Y34" i="132" a="1"/>
  <c r="Y34" i="132" s="1"/>
  <c r="AN35" i="132" a="1"/>
  <c r="AN35" i="132" s="1"/>
  <c r="BB35" i="132" a="1"/>
  <c r="BB35" i="132" s="1"/>
  <c r="J34" i="132" a="1"/>
  <c r="J34" i="132" s="1"/>
  <c r="AG35" i="132" a="1"/>
  <c r="AG35" i="132" s="1"/>
  <c r="BY34" i="132" a="1"/>
  <c r="BY34" i="132" s="1"/>
  <c r="BQ34" i="132" a="1"/>
  <c r="BQ34" i="132" s="1"/>
  <c r="R34" i="132" a="1"/>
  <c r="R34" i="132" s="1"/>
  <c r="BP34" i="132" a="1"/>
  <c r="BP34" i="132" s="1"/>
  <c r="BR34" i="132" a="1"/>
  <c r="BR34" i="132" s="1"/>
  <c r="AJ35" i="132" a="1"/>
  <c r="AJ35" i="132" s="1"/>
  <c r="E34" i="132" a="1"/>
  <c r="E34" i="132" s="1"/>
  <c r="B34" i="132" a="1"/>
  <c r="B34" i="132" s="1"/>
  <c r="AE35" i="132" a="1"/>
  <c r="AE35" i="132" s="1"/>
  <c r="BH34" i="132" a="1"/>
  <c r="BH34" i="132" s="1"/>
  <c r="AP35" i="132" a="1"/>
  <c r="AP35" i="132" s="1"/>
  <c r="AI35" i="132" a="1"/>
  <c r="AI35" i="132" s="1"/>
  <c r="O34" i="132" a="1"/>
  <c r="O34" i="132" s="1"/>
  <c r="AD35" i="132" a="1"/>
  <c r="AD35" i="132" s="1"/>
  <c r="AV38" i="132" a="1"/>
  <c r="AV38" i="132" s="1"/>
  <c r="AG38" i="132" a="1"/>
  <c r="AG38" i="132" s="1"/>
  <c r="BQ37" i="132" a="1"/>
  <c r="BQ37" i="132" s="1"/>
  <c r="X37" i="132" a="1"/>
  <c r="X37" i="132" s="1"/>
  <c r="BT37" i="132" a="1"/>
  <c r="BT37" i="132" s="1"/>
  <c r="AN38" i="132" a="1"/>
  <c r="AN38" i="132" s="1"/>
  <c r="AM38" i="132" a="1"/>
  <c r="AM38" i="132" s="1"/>
  <c r="K41" i="132" a="1"/>
  <c r="K41" i="132" s="1"/>
  <c r="D41" i="132" a="1"/>
  <c r="D41" i="132" s="1"/>
  <c r="AV42" i="132" a="1"/>
  <c r="AV42" i="132" s="1"/>
  <c r="O41" i="132" a="1"/>
  <c r="O41" i="132" s="1"/>
  <c r="BY41" i="132" a="1"/>
  <c r="BY41" i="132" s="1"/>
  <c r="A9" i="135" a="1"/>
  <c r="A9" i="135" s="1"/>
  <c r="J9" i="135" s="1"/>
  <c r="J41" i="132" a="1"/>
  <c r="J41" i="132" s="1"/>
  <c r="AS41" i="132" a="1"/>
  <c r="AS41" i="132" s="1"/>
  <c r="AF41" i="132" a="1"/>
  <c r="AF41" i="132" s="1"/>
  <c r="BW41" i="132" a="1"/>
  <c r="BW41" i="132" s="1"/>
  <c r="BU41" i="132" a="1"/>
  <c r="BU41" i="132" s="1"/>
  <c r="AJ42" i="132" a="1"/>
  <c r="AJ42" i="132" s="1"/>
  <c r="Z41" i="132" a="1"/>
  <c r="Z41" i="132" s="1"/>
  <c r="AD42" i="132" a="1"/>
  <c r="AD42" i="132" s="1"/>
  <c r="X40" i="132" a="1"/>
  <c r="X40" i="132" s="1"/>
  <c r="BW36" i="132" a="1"/>
  <c r="BW36" i="132" s="1"/>
  <c r="X36" i="132" a="1"/>
  <c r="X36" i="132" s="1"/>
  <c r="BS36" i="132" a="1"/>
  <c r="BS36" i="132" s="1"/>
  <c r="BL36" i="132" a="1"/>
  <c r="BL36" i="132" s="1"/>
  <c r="B41" i="132" a="1"/>
  <c r="B41" i="132" s="1"/>
  <c r="BR36" i="132" a="1"/>
  <c r="BR36" i="132" s="1"/>
  <c r="BT36" i="132" a="1"/>
  <c r="BT36" i="132" s="1"/>
  <c r="R40" i="132" a="1"/>
  <c r="R40" i="132" s="1"/>
  <c r="M36" i="132" a="1"/>
  <c r="M36" i="132" s="1"/>
  <c r="AG37" i="132" a="1"/>
  <c r="AG37" i="132" s="1"/>
  <c r="AY41" i="132" a="1"/>
  <c r="AY41" i="132" s="1"/>
  <c r="C28" i="206" a="1"/>
  <c r="C28" i="206" s="1"/>
  <c r="D196" i="139" s="1" a="1"/>
  <c r="D196" i="139" s="1"/>
  <c r="AE42" i="132" a="1"/>
  <c r="AE42" i="132" s="1"/>
  <c r="AG42" i="132" a="1"/>
  <c r="AG42" i="132" s="1"/>
  <c r="R41" i="132" a="1"/>
  <c r="R41" i="132" s="1"/>
  <c r="BT41" i="132" a="1"/>
  <c r="BT41" i="132" s="1"/>
  <c r="AP42" i="132" a="1"/>
  <c r="AP42" i="132" s="1"/>
  <c r="N41" i="132" a="1"/>
  <c r="N41" i="132" s="1"/>
  <c r="V41" i="132" a="1"/>
  <c r="V41" i="132" s="1"/>
  <c r="BC42" i="132" a="1"/>
  <c r="BC42" i="132" s="1"/>
  <c r="L41" i="132" a="1"/>
  <c r="L41" i="132" s="1"/>
  <c r="BO41" i="132" a="1"/>
  <c r="BO41" i="132" s="1"/>
  <c r="M41" i="132" a="1"/>
  <c r="M41" i="132" s="1"/>
  <c r="BF41" i="132" a="1"/>
  <c r="BF41" i="132" s="1"/>
  <c r="S41" i="132" a="1"/>
  <c r="S41" i="132" s="1"/>
  <c r="F41" i="132" a="1"/>
  <c r="F41" i="132" s="1"/>
  <c r="T41" i="132" a="1"/>
  <c r="T41" i="132" s="1"/>
  <c r="BX41" i="132" a="1"/>
  <c r="BX41" i="132" s="1"/>
  <c r="P41" i="132" a="1"/>
  <c r="P41" i="132" s="1"/>
  <c r="BX36" i="132" a="1"/>
  <c r="BX36" i="132" s="1"/>
  <c r="F36" i="132" a="1"/>
  <c r="F36" i="132" s="1"/>
  <c r="AQ37" i="132" a="1"/>
  <c r="AQ37" i="132" s="1"/>
  <c r="AW37" i="132" a="1"/>
  <c r="AW37" i="132" s="1"/>
  <c r="AD37" i="132" a="1"/>
  <c r="AD37" i="132" s="1"/>
  <c r="AM37" i="132" a="1"/>
  <c r="AM37" i="132" s="1"/>
  <c r="BC37" i="132" a="1"/>
  <c r="BC37" i="132" s="1"/>
  <c r="A4" i="135" a="1"/>
  <c r="A4" i="135" s="1"/>
  <c r="F4" i="135" s="1"/>
  <c r="B36" i="132" a="1"/>
  <c r="B36" i="132" s="1"/>
  <c r="AA36" i="132" a="1"/>
  <c r="AA36" i="132" s="1"/>
  <c r="BM36" i="132" a="1"/>
  <c r="BM36" i="132" s="1"/>
  <c r="AJ37" i="132" a="1"/>
  <c r="AJ37" i="132" s="1"/>
  <c r="R36" i="132" a="1"/>
  <c r="R36" i="132" s="1"/>
  <c r="AT37" i="132" a="1"/>
  <c r="AT37" i="132" s="1"/>
  <c r="G36" i="132" a="1"/>
  <c r="G36" i="132" s="1"/>
  <c r="J36" i="132" a="1"/>
  <c r="J36" i="132" s="1"/>
  <c r="E4" i="135" a="1"/>
  <c r="E4" i="135" s="1"/>
  <c r="BQ36" i="132" a="1"/>
  <c r="BQ36" i="132" s="1"/>
  <c r="BN36" i="132" a="1"/>
  <c r="BN36" i="132" s="1"/>
  <c r="BG36" i="132" a="1"/>
  <c r="BG36" i="132" s="1"/>
  <c r="Y36" i="132" a="1"/>
  <c r="Y36" i="132" s="1"/>
  <c r="AI37" i="132" a="1"/>
  <c r="AI37" i="132" s="1"/>
  <c r="AS37" i="132" a="1"/>
  <c r="AS37" i="132" s="1"/>
  <c r="AY37" i="132" a="1"/>
  <c r="AY37" i="132" s="1"/>
  <c r="K36" i="132" a="1"/>
  <c r="K36" i="132" s="1"/>
  <c r="U36" i="132" a="1"/>
  <c r="U36" i="132" s="1"/>
  <c r="L36" i="132" a="1"/>
  <c r="L36" i="132" s="1"/>
  <c r="D36" i="132" a="1"/>
  <c r="D36" i="132" s="1"/>
  <c r="Z36" i="132" a="1"/>
  <c r="Z36" i="132" s="1"/>
  <c r="BU36" i="132" a="1"/>
  <c r="BU36" i="132" s="1"/>
  <c r="H36" i="132" a="1"/>
  <c r="H36" i="132" s="1"/>
  <c r="V36" i="132" a="1"/>
  <c r="V36" i="132" s="1"/>
  <c r="BO36" i="132" a="1"/>
  <c r="BO36" i="132" s="1"/>
  <c r="AK37" i="132" a="1"/>
  <c r="AK37" i="132" s="1"/>
  <c r="W36" i="132" a="1"/>
  <c r="W36" i="132" s="1"/>
  <c r="T36" i="132" a="1"/>
  <c r="T36" i="132" s="1"/>
  <c r="Q36" i="132" a="1"/>
  <c r="Q36" i="132" s="1"/>
  <c r="D4" i="135" a="1"/>
  <c r="D4" i="135" s="1"/>
  <c r="AE37" i="132" a="1"/>
  <c r="AE37" i="132" s="1"/>
  <c r="S36" i="132" a="1"/>
  <c r="S36" i="132" s="1"/>
  <c r="BP36" i="132" a="1"/>
  <c r="BP36" i="132" s="1"/>
  <c r="BB37" i="132" a="1"/>
  <c r="BB37" i="132" s="1"/>
  <c r="AN37" i="132" a="1"/>
  <c r="AN37" i="132" s="1"/>
  <c r="E36" i="132" a="1"/>
  <c r="E36" i="132" s="1"/>
  <c r="O36" i="132" a="1"/>
  <c r="O36" i="132" s="1"/>
  <c r="AZ37" i="132" a="1"/>
  <c r="AZ37" i="132" s="1"/>
  <c r="I36" i="132" a="1"/>
  <c r="I36" i="132" s="1"/>
  <c r="BH36" i="132" a="1"/>
  <c r="BH36" i="132" s="1"/>
  <c r="N36" i="132" a="1"/>
  <c r="N36" i="132" s="1"/>
  <c r="BV36" i="132" a="1"/>
  <c r="BV36" i="132" s="1"/>
  <c r="AB36" i="132" a="1"/>
  <c r="AB36" i="132" s="1"/>
  <c r="AV37" i="132" a="1"/>
  <c r="AV37" i="132" s="1"/>
  <c r="AH37" i="132" a="1"/>
  <c r="AH37" i="132" s="1"/>
  <c r="BY36" i="132" a="1"/>
  <c r="BY36" i="132" s="1"/>
  <c r="BF36" i="132" a="1"/>
  <c r="BF36" i="132" s="1"/>
  <c r="AF37" i="132" a="1"/>
  <c r="AF37" i="132" s="1"/>
  <c r="P36" i="132" a="1"/>
  <c r="P36" i="132" s="1"/>
  <c r="AH41" i="132" a="1"/>
  <c r="AH41" i="132" s="1"/>
  <c r="BG40" i="132" a="1"/>
  <c r="BG40" i="132" s="1"/>
  <c r="F40" i="132" a="1"/>
  <c r="F40" i="132" s="1"/>
  <c r="U40" i="132" a="1"/>
  <c r="U40" i="132" s="1"/>
  <c r="AW41" i="132" a="1"/>
  <c r="AW41" i="132" s="1"/>
  <c r="BC41" i="132" a="1"/>
  <c r="BC41" i="132" s="1"/>
  <c r="BP40" i="132" a="1"/>
  <c r="BP40" i="132" s="1"/>
  <c r="T40" i="132" a="1"/>
  <c r="T40" i="132" s="1"/>
  <c r="BT40" i="132" a="1"/>
  <c r="BT40" i="132" s="1"/>
  <c r="AQ41" i="132" a="1"/>
  <c r="AQ41" i="132" s="1"/>
  <c r="BB41" i="132" a="1"/>
  <c r="BB41" i="132" s="1"/>
  <c r="AG41" i="132" a="1"/>
  <c r="AG41" i="132" s="1"/>
  <c r="BL40" i="132" a="1"/>
  <c r="BL40" i="132" s="1"/>
  <c r="G40" i="132" a="1"/>
  <c r="G40" i="132" s="1"/>
  <c r="AI41" i="132" a="1"/>
  <c r="AI41" i="132" s="1"/>
  <c r="BV40" i="132" a="1"/>
  <c r="BV40" i="132" s="1"/>
  <c r="AN41" i="132" a="1"/>
  <c r="AN41" i="132" s="1"/>
  <c r="AM41" i="132" a="1"/>
  <c r="AM41" i="132" s="1"/>
  <c r="BS40" i="132" a="1"/>
  <c r="BS40" i="132" s="1"/>
  <c r="S40" i="132" a="1"/>
  <c r="S40" i="132" s="1"/>
  <c r="Z40" i="132" a="1"/>
  <c r="Z40" i="132" s="1"/>
  <c r="N40" i="132" a="1"/>
  <c r="N40" i="132" s="1"/>
  <c r="BY40" i="132" a="1"/>
  <c r="BY40" i="132" s="1"/>
  <c r="J40" i="132" a="1"/>
  <c r="J40" i="132" s="1"/>
  <c r="L40" i="132" a="1"/>
  <c r="L40" i="132" s="1"/>
  <c r="BN40" i="132" a="1"/>
  <c r="BN40" i="132" s="1"/>
  <c r="A8" i="135" a="1"/>
  <c r="A8" i="135" s="1"/>
  <c r="F8" i="135" s="1"/>
  <c r="M40" i="132" a="1"/>
  <c r="M40" i="132" s="1"/>
  <c r="E8" i="135" a="1"/>
  <c r="E8" i="135" s="1"/>
  <c r="BW40" i="132" a="1"/>
  <c r="BW40" i="132" s="1"/>
  <c r="Q40" i="132" a="1"/>
  <c r="Q40" i="132" s="1"/>
  <c r="AT41" i="132" a="1"/>
  <c r="AT41" i="132" s="1"/>
  <c r="BF40" i="132" a="1"/>
  <c r="BF40" i="132" s="1"/>
  <c r="AK41" i="132" a="1"/>
  <c r="AK41" i="132" s="1"/>
  <c r="I40" i="132" a="1"/>
  <c r="I40" i="132" s="1"/>
  <c r="BU40" i="132" a="1"/>
  <c r="BU40" i="132" s="1"/>
  <c r="H40" i="132" a="1"/>
  <c r="H40" i="132" s="1"/>
  <c r="BQ40" i="132" a="1"/>
  <c r="BQ40" i="132" s="1"/>
  <c r="AB40" i="132" a="1"/>
  <c r="AB40" i="132" s="1"/>
  <c r="D8" i="135" a="1"/>
  <c r="D8" i="135" s="1"/>
  <c r="AZ41" i="132" a="1"/>
  <c r="AZ41" i="132" s="1"/>
  <c r="B40" i="132" a="1"/>
  <c r="B40" i="132" s="1"/>
  <c r="BM40" i="132" a="1"/>
  <c r="BM40" i="132" s="1"/>
  <c r="AP41" i="132" a="1"/>
  <c r="AP41" i="132" s="1"/>
  <c r="AA40" i="132" a="1"/>
  <c r="AA40" i="132" s="1"/>
  <c r="AV41" i="132" a="1"/>
  <c r="AV41" i="132" s="1"/>
  <c r="W40" i="132" a="1"/>
  <c r="W40" i="132" s="1"/>
  <c r="BO40" i="132" a="1"/>
  <c r="BO40" i="132" s="1"/>
  <c r="BX40" i="132" a="1"/>
  <c r="BX40" i="132" s="1"/>
  <c r="AJ41" i="132" a="1"/>
  <c r="AJ41" i="132" s="1"/>
  <c r="K40" i="132" a="1"/>
  <c r="K40" i="132" s="1"/>
  <c r="Y40" i="132" a="1"/>
  <c r="Y40" i="132" s="1"/>
  <c r="V40" i="132" a="1"/>
  <c r="V40" i="132" s="1"/>
  <c r="D40" i="132" a="1"/>
  <c r="D40" i="132" s="1"/>
  <c r="P40" i="132" a="1"/>
  <c r="P40" i="132" s="1"/>
  <c r="BH40" i="132" a="1"/>
  <c r="BH40" i="132" s="1"/>
  <c r="AD41" i="132" a="1"/>
  <c r="AD41" i="132" s="1"/>
  <c r="BR40" i="132" a="1"/>
  <c r="BR40" i="132" s="1"/>
  <c r="O40" i="132" a="1"/>
  <c r="O40" i="132" s="1"/>
  <c r="E40" i="132" a="1"/>
  <c r="E40" i="132" s="1"/>
  <c r="C18" i="206" a="1"/>
  <c r="C18" i="206" s="1"/>
  <c r="D130" i="139" s="1" a="1"/>
  <c r="D130" i="139" s="1"/>
  <c r="S43" i="132" a="1"/>
  <c r="S43" i="132" s="1"/>
  <c r="P43" i="132" a="1"/>
  <c r="P43" i="132" s="1"/>
  <c r="H43" i="132" a="1"/>
  <c r="H43" i="132" s="1"/>
  <c r="AP44" i="132" a="1"/>
  <c r="AP44" i="132" s="1"/>
  <c r="M43" i="132" a="1"/>
  <c r="M43" i="132" s="1"/>
  <c r="B43" i="132" a="1"/>
  <c r="B43" i="132" s="1"/>
  <c r="AV44" i="132" a="1"/>
  <c r="AV44" i="132" s="1"/>
  <c r="BS43" i="132" a="1"/>
  <c r="BS43" i="132" s="1"/>
  <c r="BB44" i="132" a="1"/>
  <c r="BB44" i="132" s="1"/>
  <c r="K43" i="132" a="1"/>
  <c r="K43" i="132" s="1"/>
  <c r="AY44" i="132" a="1"/>
  <c r="AY44" i="132" s="1"/>
  <c r="AA43" i="132" a="1"/>
  <c r="AA43" i="132" s="1"/>
  <c r="J43" i="132" a="1"/>
  <c r="J43" i="132" s="1"/>
  <c r="A11" i="135" a="1"/>
  <c r="A11" i="135" s="1"/>
  <c r="J11" i="135" s="1"/>
  <c r="V43" i="132" a="1"/>
  <c r="V43" i="132" s="1"/>
  <c r="L43" i="132" a="1"/>
  <c r="L43" i="132" s="1"/>
  <c r="BX43" i="132" a="1"/>
  <c r="BX43" i="132" s="1"/>
  <c r="AB43" i="132" a="1"/>
  <c r="AB43" i="132" s="1"/>
  <c r="BF43" i="132" a="1"/>
  <c r="BF43" i="132" s="1"/>
  <c r="AI44" i="132" a="1"/>
  <c r="AI44" i="132" s="1"/>
  <c r="F43" i="132" a="1"/>
  <c r="F43" i="132" s="1"/>
  <c r="AH44" i="132" a="1"/>
  <c r="AH44" i="132" s="1"/>
  <c r="BN43" i="132" a="1"/>
  <c r="BN43" i="132" s="1"/>
  <c r="AQ44" i="132" a="1"/>
  <c r="AQ44" i="132" s="1"/>
  <c r="N43" i="132" a="1"/>
  <c r="N43" i="132" s="1"/>
  <c r="D8" i="206" a="1"/>
  <c r="D8" i="206" s="1"/>
  <c r="J64" i="139" s="1" a="1"/>
  <c r="J64" i="139" s="1"/>
  <c r="BQ39" i="132" a="1"/>
  <c r="BQ39" i="132" s="1"/>
  <c r="K39" i="132" a="1"/>
  <c r="K39" i="132" s="1"/>
  <c r="H39" i="132" a="1"/>
  <c r="H39" i="132" s="1"/>
  <c r="D14" i="206" a="1"/>
  <c r="D14" i="206" s="1"/>
  <c r="J106" i="139" s="1" a="1"/>
  <c r="J106" i="139" s="1"/>
  <c r="D4" i="206" a="1"/>
  <c r="D4" i="206" s="1"/>
  <c r="J40" i="139" s="1" a="1"/>
  <c r="J40" i="139" s="1"/>
  <c r="BW43" i="132" a="1"/>
  <c r="BW43" i="132" s="1"/>
  <c r="Q43" i="132" a="1"/>
  <c r="Q43" i="132" s="1"/>
  <c r="C6" i="206" a="1"/>
  <c r="C6" i="206" s="1"/>
  <c r="D52" i="139" s="1" a="1"/>
  <c r="D52" i="139" s="1"/>
  <c r="D6" i="206" a="1"/>
  <c r="D6" i="206" s="1"/>
  <c r="J52" i="139" s="1" a="1"/>
  <c r="J52" i="139" s="1"/>
  <c r="BQ43" i="132" a="1"/>
  <c r="BQ43" i="132" s="1"/>
  <c r="A6" i="135" a="1"/>
  <c r="A6" i="135" s="1"/>
  <c r="Z38" i="132" a="1"/>
  <c r="Z38" i="132" s="1"/>
  <c r="H38" i="132" a="1"/>
  <c r="H38" i="132" s="1"/>
  <c r="BX38" i="132" a="1"/>
  <c r="BX38" i="132" s="1"/>
  <c r="BM38" i="132" a="1"/>
  <c r="BM38" i="132" s="1"/>
  <c r="D38" i="132" a="1"/>
  <c r="D38" i="132" s="1"/>
  <c r="D6" i="135" a="1"/>
  <c r="D6" i="135" s="1"/>
  <c r="BL38" i="132" a="1"/>
  <c r="BL38" i="132" s="1"/>
  <c r="S38" i="132" a="1"/>
  <c r="S38" i="132" s="1"/>
  <c r="BW38" i="132" a="1"/>
  <c r="BW38" i="132" s="1"/>
  <c r="AE39" i="132" a="1"/>
  <c r="AE39" i="132" s="1"/>
  <c r="AM39" i="132" a="1"/>
  <c r="AM39" i="132" s="1"/>
  <c r="O38" i="132" a="1"/>
  <c r="O38" i="132" s="1"/>
  <c r="AH39" i="132" a="1"/>
  <c r="AH39" i="132" s="1"/>
  <c r="E38" i="132" a="1"/>
  <c r="E38" i="132" s="1"/>
  <c r="BY38" i="132" a="1"/>
  <c r="BY38" i="132" s="1"/>
  <c r="BP38" i="132" a="1"/>
  <c r="BP38" i="132" s="1"/>
  <c r="P38" i="132" a="1"/>
  <c r="P38" i="132" s="1"/>
  <c r="I38" i="132" a="1"/>
  <c r="I38" i="132" s="1"/>
  <c r="BQ38" i="132" a="1"/>
  <c r="BQ38" i="132" s="1"/>
  <c r="T38" i="132" a="1"/>
  <c r="T38" i="132" s="1"/>
  <c r="F38" i="132" a="1"/>
  <c r="F38" i="132" s="1"/>
  <c r="AV39" i="132" a="1"/>
  <c r="AV39" i="132" s="1"/>
  <c r="Y38" i="132" a="1"/>
  <c r="Y38" i="132" s="1"/>
  <c r="BV38" i="132" a="1"/>
  <c r="BV38" i="132" s="1"/>
  <c r="L38" i="132" a="1"/>
  <c r="L38" i="132" s="1"/>
  <c r="AD39" i="132" a="1"/>
  <c r="AD39" i="132" s="1"/>
  <c r="AY39" i="132" a="1"/>
  <c r="AY39" i="132" s="1"/>
  <c r="BU38" i="132" a="1"/>
  <c r="BU38" i="132" s="1"/>
  <c r="AN39" i="132" a="1"/>
  <c r="AN39" i="132" s="1"/>
  <c r="X38" i="132" a="1"/>
  <c r="X38" i="132" s="1"/>
  <c r="U38" i="132" a="1"/>
  <c r="U38" i="132" s="1"/>
  <c r="BF38" i="132" a="1"/>
  <c r="BF38" i="132" s="1"/>
  <c r="AW39" i="132" a="1"/>
  <c r="AW39" i="132" s="1"/>
  <c r="AA38" i="132" a="1"/>
  <c r="AA38" i="132" s="1"/>
  <c r="BR38" i="132" a="1"/>
  <c r="BR38" i="132" s="1"/>
  <c r="AQ39" i="132" a="1"/>
  <c r="AQ39" i="132" s="1"/>
  <c r="BB39" i="132" a="1"/>
  <c r="BB39" i="132" s="1"/>
  <c r="AF39" i="132" a="1"/>
  <c r="AF39" i="132" s="1"/>
  <c r="AB38" i="132" a="1"/>
  <c r="AB38" i="132" s="1"/>
  <c r="K38" i="132" a="1"/>
  <c r="K38" i="132" s="1"/>
  <c r="B38" i="132" a="1"/>
  <c r="B38" i="132" s="1"/>
  <c r="W38" i="132" a="1"/>
  <c r="W38" i="132" s="1"/>
  <c r="AZ39" i="132" a="1"/>
  <c r="AZ39" i="132" s="1"/>
  <c r="V38" i="132" a="1"/>
  <c r="V38" i="132" s="1"/>
  <c r="E6" i="135" a="1"/>
  <c r="E6" i="135" s="1"/>
  <c r="AK39" i="132" a="1"/>
  <c r="AK39" i="132" s="1"/>
  <c r="AS39" i="132" a="1"/>
  <c r="AS39" i="132" s="1"/>
  <c r="BS38" i="132" a="1"/>
  <c r="BS38" i="132" s="1"/>
  <c r="BH38" i="132" a="1"/>
  <c r="BH38" i="132" s="1"/>
  <c r="AI39" i="132" a="1"/>
  <c r="AI39" i="132" s="1"/>
  <c r="AJ39" i="132" a="1"/>
  <c r="AJ39" i="132" s="1"/>
  <c r="BC39" i="132" a="1"/>
  <c r="BC39" i="132" s="1"/>
  <c r="N38" i="132" a="1"/>
  <c r="N38" i="132" s="1"/>
  <c r="BG38" i="132" a="1"/>
  <c r="BG38" i="132" s="1"/>
  <c r="G38" i="132" a="1"/>
  <c r="G38" i="132" s="1"/>
  <c r="BO38" i="132" a="1"/>
  <c r="BO38" i="132" s="1"/>
  <c r="AT39" i="132" a="1"/>
  <c r="AT39" i="132" s="1"/>
  <c r="BT38" i="132" a="1"/>
  <c r="BT38" i="132" s="1"/>
  <c r="AP39" i="132" a="1"/>
  <c r="AP39" i="132" s="1"/>
  <c r="M38" i="132" a="1"/>
  <c r="M38" i="132" s="1"/>
  <c r="R38" i="132" a="1"/>
  <c r="R38" i="132" s="1"/>
  <c r="J38" i="132" a="1"/>
  <c r="J38" i="132" s="1"/>
  <c r="Q38" i="132" a="1"/>
  <c r="Q38" i="132" s="1"/>
  <c r="BN38" i="132" a="1"/>
  <c r="BN38" i="132" s="1"/>
  <c r="AG39" i="132" a="1"/>
  <c r="AG39" i="132" s="1"/>
  <c r="D25" i="206" a="1"/>
  <c r="D25" i="206" s="1"/>
  <c r="J178" i="139" s="1" a="1"/>
  <c r="J178" i="139" s="1"/>
  <c r="BO43" i="132" a="1"/>
  <c r="BO43" i="132" s="1"/>
  <c r="AF44" i="132" a="1"/>
  <c r="AF44" i="132" s="1"/>
  <c r="X39" i="132" a="1"/>
  <c r="X39" i="132" s="1"/>
  <c r="BG39" i="132" a="1"/>
  <c r="BG39" i="132" s="1"/>
  <c r="D39" i="132" a="1"/>
  <c r="D39" i="132" s="1"/>
  <c r="R39" i="132" a="1"/>
  <c r="R39" i="132" s="1"/>
  <c r="AF40" i="132" a="1"/>
  <c r="AF40" i="132" s="1"/>
  <c r="W39" i="132" a="1"/>
  <c r="W39" i="132" s="1"/>
  <c r="B39" i="132" a="1"/>
  <c r="B39" i="132" s="1"/>
  <c r="AH40" i="132" a="1"/>
  <c r="AH40" i="132" s="1"/>
  <c r="AM40" i="132" a="1"/>
  <c r="AM40" i="132" s="1"/>
  <c r="A7" i="135" a="1"/>
  <c r="A7" i="135" s="1"/>
  <c r="F7" i="135" s="1"/>
  <c r="BW39" i="132" a="1"/>
  <c r="BW39" i="132" s="1"/>
  <c r="AG40" i="132" a="1"/>
  <c r="AG40" i="132" s="1"/>
  <c r="BO39" i="132" a="1"/>
  <c r="BO39" i="132" s="1"/>
  <c r="AP40" i="132" a="1"/>
  <c r="AP40" i="132" s="1"/>
  <c r="AQ40" i="132" a="1"/>
  <c r="AQ40" i="132" s="1"/>
  <c r="BM39" i="132" a="1"/>
  <c r="BM39" i="132" s="1"/>
  <c r="T39" i="132" a="1"/>
  <c r="T39" i="132" s="1"/>
  <c r="BP39" i="132" a="1"/>
  <c r="BP39" i="132" s="1"/>
  <c r="O39" i="132" a="1"/>
  <c r="O39" i="132" s="1"/>
  <c r="BR39" i="132" a="1"/>
  <c r="BR39" i="132" s="1"/>
  <c r="BN39" i="132" a="1"/>
  <c r="BN39" i="132" s="1"/>
  <c r="BS39" i="132" a="1"/>
  <c r="BS39" i="132" s="1"/>
  <c r="M39" i="132" a="1"/>
  <c r="M39" i="132" s="1"/>
  <c r="E7" i="135" a="1"/>
  <c r="E7" i="135" s="1"/>
  <c r="D27" i="206" a="1"/>
  <c r="D27" i="206" s="1"/>
  <c r="J190" i="139" s="1" a="1"/>
  <c r="J190" i="139" s="1"/>
  <c r="BM43" i="132" a="1"/>
  <c r="BM43" i="132" s="1"/>
  <c r="AW44" i="132" a="1"/>
  <c r="AW44" i="132" s="1"/>
  <c r="BZ43" i="132" a="1"/>
  <c r="BZ43" i="132" s="1"/>
  <c r="BH43" i="132" a="1"/>
  <c r="BH43" i="132" s="1"/>
  <c r="E11" i="135" a="1"/>
  <c r="E11" i="135" s="1"/>
  <c r="BC44" i="132" a="1"/>
  <c r="BC44" i="132" s="1"/>
  <c r="BT43" i="132" a="1"/>
  <c r="BT43" i="132" s="1"/>
  <c r="Z43" i="132" a="1"/>
  <c r="Z43" i="132" s="1"/>
  <c r="AN44" i="132" a="1"/>
  <c r="AN44" i="132" s="1"/>
  <c r="D15" i="206" a="1"/>
  <c r="D15" i="206" s="1"/>
  <c r="J112" i="139" s="1" a="1"/>
  <c r="J112" i="139" s="1"/>
  <c r="AJ44" i="132" a="1"/>
  <c r="AJ44" i="132" s="1"/>
  <c r="BG43" i="132" a="1"/>
  <c r="BG43" i="132" s="1"/>
  <c r="AG44" i="132" a="1"/>
  <c r="AG44" i="132" s="1"/>
  <c r="U43" i="132" a="1"/>
  <c r="U43" i="132" s="1"/>
  <c r="AZ44" i="132" a="1"/>
  <c r="AZ44" i="132" s="1"/>
  <c r="AM44" i="132" a="1"/>
  <c r="AM44" i="132" s="1"/>
  <c r="D22" i="206" a="1"/>
  <c r="D22" i="206" s="1"/>
  <c r="J160" i="139" s="1" a="1"/>
  <c r="J160" i="139" s="1"/>
  <c r="AT44" i="132" a="1"/>
  <c r="AT44" i="132" s="1"/>
  <c r="X43" i="132" a="1"/>
  <c r="X43" i="132" s="1"/>
  <c r="AS44" i="132" a="1"/>
  <c r="AS44" i="132" s="1"/>
  <c r="T43" i="132" a="1"/>
  <c r="T43" i="132" s="1"/>
  <c r="E43" i="132" a="1"/>
  <c r="E43" i="132" s="1"/>
  <c r="BY43" i="132" a="1"/>
  <c r="BY43" i="132" s="1"/>
  <c r="D11" i="135" a="1"/>
  <c r="D11" i="135" s="1"/>
  <c r="BL43" i="132" a="1"/>
  <c r="BL43" i="132" s="1"/>
  <c r="Y43" i="132" a="1"/>
  <c r="Y43" i="132" s="1"/>
  <c r="I43" i="132" a="1"/>
  <c r="I43" i="132" s="1"/>
  <c r="G43" i="132" a="1"/>
  <c r="G43" i="132" s="1"/>
  <c r="R43" i="132" a="1"/>
  <c r="R43" i="132" s="1"/>
  <c r="BP43" i="132" a="1"/>
  <c r="BP43" i="132" s="1"/>
  <c r="BV43" i="132" a="1"/>
  <c r="BV43" i="132" s="1"/>
  <c r="D43" i="132" a="1"/>
  <c r="D43" i="132" s="1"/>
  <c r="AE44" i="132" a="1"/>
  <c r="AE44" i="132" s="1"/>
  <c r="AK44" i="132" a="1"/>
  <c r="AK44" i="132" s="1"/>
  <c r="AD44" i="132" a="1"/>
  <c r="AD44" i="132" s="1"/>
  <c r="BU43" i="132" a="1"/>
  <c r="BU43" i="132" s="1"/>
  <c r="O43" i="132" a="1"/>
  <c r="O43" i="132" s="1"/>
  <c r="D11" i="206" a="1"/>
  <c r="D11" i="206" s="1"/>
  <c r="J82" i="139" s="1" a="1"/>
  <c r="J82" i="139" s="1"/>
  <c r="D7" i="206" a="1"/>
  <c r="D7" i="206" s="1"/>
  <c r="J58" i="139" s="1" a="1"/>
  <c r="J58" i="139" s="1"/>
  <c r="C16" i="206" a="1"/>
  <c r="C16" i="206" s="1"/>
  <c r="D118" i="139" s="1" a="1"/>
  <c r="D118" i="139" s="1"/>
  <c r="D16" i="206" a="1"/>
  <c r="D16" i="206" s="1"/>
  <c r="J118" i="139" s="1" a="1"/>
  <c r="J118" i="139" s="1"/>
  <c r="AB39" i="132" a="1"/>
  <c r="AB39" i="132" s="1"/>
  <c r="AT40" i="132" a="1"/>
  <c r="AT40" i="132" s="1"/>
  <c r="Y39" i="132" a="1"/>
  <c r="Y39" i="132" s="1"/>
  <c r="AY40" i="132" a="1"/>
  <c r="AY40" i="132" s="1"/>
  <c r="U39" i="132" a="1"/>
  <c r="U39" i="132" s="1"/>
  <c r="G39" i="132" a="1"/>
  <c r="G39" i="132" s="1"/>
  <c r="AI40" i="132" a="1"/>
  <c r="AI40" i="132" s="1"/>
  <c r="Z39" i="132" a="1"/>
  <c r="Z39" i="132" s="1"/>
  <c r="I39" i="132" a="1"/>
  <c r="I39" i="132" s="1"/>
  <c r="AA39" i="132" a="1"/>
  <c r="AA39" i="132" s="1"/>
  <c r="AD40" i="132" a="1"/>
  <c r="AD40" i="132" s="1"/>
  <c r="BT39" i="132" a="1"/>
  <c r="BT39" i="132" s="1"/>
  <c r="BU39" i="132" a="1"/>
  <c r="BU39" i="132" s="1"/>
  <c r="F39" i="132" a="1"/>
  <c r="F39" i="132" s="1"/>
  <c r="BH39" i="132" a="1"/>
  <c r="BH39" i="132" s="1"/>
  <c r="AZ40" i="132" a="1"/>
  <c r="AZ40" i="132" s="1"/>
  <c r="AS40" i="132" a="1"/>
  <c r="AS40" i="132" s="1"/>
  <c r="BF39" i="132" a="1"/>
  <c r="BF39" i="132" s="1"/>
  <c r="AE40" i="132" a="1"/>
  <c r="AE40" i="132" s="1"/>
  <c r="AW40" i="132" a="1"/>
  <c r="AW40" i="132" s="1"/>
  <c r="AJ40" i="132" a="1"/>
  <c r="AJ40" i="132" s="1"/>
  <c r="V39" i="132" a="1"/>
  <c r="V39" i="132" s="1"/>
  <c r="BC40" i="132" a="1"/>
  <c r="BC40" i="132" s="1"/>
  <c r="BB40" i="132" a="1"/>
  <c r="BB40" i="132" s="1"/>
  <c r="BY39" i="132" a="1"/>
  <c r="BY39" i="132" s="1"/>
  <c r="P39" i="132" a="1"/>
  <c r="P39" i="132" s="1"/>
  <c r="Q39" i="132" a="1"/>
  <c r="Q39" i="132" s="1"/>
  <c r="J39" i="132" a="1"/>
  <c r="J39" i="132" s="1"/>
  <c r="S39" i="132" a="1"/>
  <c r="S39" i="132" s="1"/>
  <c r="D7" i="135" a="1"/>
  <c r="D7" i="135" s="1"/>
  <c r="BL39" i="132" a="1"/>
  <c r="BL39" i="132" s="1"/>
  <c r="L39" i="132" a="1"/>
  <c r="L39" i="132" s="1"/>
  <c r="BV39" i="132" a="1"/>
  <c r="BV39" i="132" s="1"/>
  <c r="AV40" i="132" a="1"/>
  <c r="AV40" i="132" s="1"/>
  <c r="BX39" i="132" a="1"/>
  <c r="BX39" i="132" s="1"/>
  <c r="AN40" i="132" a="1"/>
  <c r="AN40" i="132" s="1"/>
  <c r="AK40" i="132" a="1"/>
  <c r="AK40" i="132" s="1"/>
  <c r="BR43" i="132" a="1"/>
  <c r="BR43" i="132" s="1"/>
  <c r="N39" i="132" a="1"/>
  <c r="N39" i="132" s="1"/>
  <c r="AW42" i="132" a="1"/>
  <c r="AW42" i="132" s="1"/>
  <c r="D9" i="135" a="1"/>
  <c r="D9" i="135" s="1"/>
  <c r="AY42" i="132" a="1"/>
  <c r="AY42" i="132" s="1"/>
  <c r="BQ41" i="132" a="1"/>
  <c r="BQ41" i="132" s="1"/>
  <c r="E9" i="135" a="1"/>
  <c r="E9" i="135" s="1"/>
  <c r="AF42" i="132" a="1"/>
  <c r="AF42" i="132" s="1"/>
  <c r="BN41" i="132" a="1"/>
  <c r="BN41" i="132" s="1"/>
  <c r="Q41" i="132" a="1"/>
  <c r="Q41" i="132" s="1"/>
  <c r="AN42" i="132" a="1"/>
  <c r="AN42" i="132" s="1"/>
  <c r="G41" i="132" a="1"/>
  <c r="G41" i="132" s="1"/>
  <c r="AS42" i="132" a="1"/>
  <c r="AS42" i="132" s="1"/>
  <c r="AA41" i="132" a="1"/>
  <c r="AA41" i="132" s="1"/>
  <c r="AT42" i="132" a="1"/>
  <c r="AT42" i="132" s="1"/>
  <c r="BG41" i="132" a="1"/>
  <c r="BG41" i="132" s="1"/>
  <c r="AM42" i="132" a="1"/>
  <c r="AM42" i="132" s="1"/>
  <c r="C21" i="206" a="1"/>
  <c r="C21" i="206" s="1"/>
  <c r="D148" i="139" s="1" a="1"/>
  <c r="D148" i="139" s="1"/>
  <c r="BP41" i="132" a="1"/>
  <c r="BP41" i="132" s="1"/>
  <c r="E41" i="132" a="1"/>
  <c r="E41" i="132" s="1"/>
  <c r="BB42" i="132" a="1"/>
  <c r="BB42" i="132" s="1"/>
  <c r="U41" i="132" a="1"/>
  <c r="U41" i="132" s="1"/>
  <c r="BH41" i="132" a="1"/>
  <c r="BH41" i="132" s="1"/>
  <c r="BS41" i="132" a="1"/>
  <c r="BS41" i="132" s="1"/>
  <c r="AB41" i="132" a="1"/>
  <c r="AB41" i="132" s="1"/>
  <c r="Y41" i="132" a="1"/>
  <c r="Y41" i="132" s="1"/>
  <c r="AH42" i="132" a="1"/>
  <c r="AH42" i="132" s="1"/>
  <c r="BL41" i="132" a="1"/>
  <c r="BL41" i="132" s="1"/>
  <c r="I41" i="132" a="1"/>
  <c r="I41" i="132" s="1"/>
  <c r="BM41" i="132" a="1"/>
  <c r="BM41" i="132" s="1"/>
  <c r="H41" i="132" a="1"/>
  <c r="H41" i="132" s="1"/>
  <c r="AZ42" i="132" a="1"/>
  <c r="AZ42" i="132" s="1"/>
  <c r="BR41" i="132" a="1"/>
  <c r="BR41" i="132" s="1"/>
  <c r="BV41" i="132" a="1"/>
  <c r="BV41" i="132" s="1"/>
  <c r="AK42" i="132" a="1"/>
  <c r="AK42" i="132" s="1"/>
  <c r="AQ42" i="132" a="1"/>
  <c r="AQ42" i="132" s="1"/>
  <c r="X41" i="132" a="1"/>
  <c r="X41" i="132" s="1"/>
  <c r="AI42" i="132" a="1"/>
  <c r="AI42" i="132" s="1"/>
  <c r="D23" i="206" a="1"/>
  <c r="D23" i="206" s="1"/>
  <c r="J166" i="139" s="1" a="1"/>
  <c r="J166" i="139" s="1"/>
  <c r="D24" i="206" a="1"/>
  <c r="D24" i="206" s="1"/>
  <c r="J172" i="139" s="1" a="1"/>
  <c r="J172" i="139" s="1"/>
  <c r="M35" i="132" a="1"/>
  <c r="M35" i="132" s="1"/>
  <c r="F35" i="132" a="1"/>
  <c r="F35" i="132" s="1"/>
  <c r="AI36" i="132" a="1"/>
  <c r="AI36" i="132" s="1"/>
  <c r="BX35" i="132" a="1"/>
  <c r="BX35" i="132" s="1"/>
  <c r="G35" i="132" a="1"/>
  <c r="G35" i="132" s="1"/>
  <c r="AQ36" i="132" a="1"/>
  <c r="AQ36" i="132" s="1"/>
  <c r="R35" i="132" a="1"/>
  <c r="R35" i="132" s="1"/>
  <c r="H35" i="132" a="1"/>
  <c r="H35" i="132" s="1"/>
  <c r="BL35" i="132" a="1"/>
  <c r="BL35" i="132" s="1"/>
  <c r="BR35" i="132" a="1"/>
  <c r="BR35" i="132" s="1"/>
  <c r="BF35" i="132" a="1"/>
  <c r="BF35" i="132" s="1"/>
  <c r="AP36" i="132" a="1"/>
  <c r="AP36" i="132" s="1"/>
  <c r="AJ36" i="132" a="1"/>
  <c r="AJ36" i="132" s="1"/>
  <c r="BO35" i="132" a="1"/>
  <c r="BO35" i="132" s="1"/>
  <c r="BP35" i="132" a="1"/>
  <c r="BP35" i="132" s="1"/>
  <c r="AF36" i="132" a="1"/>
  <c r="AF36" i="132" s="1"/>
  <c r="BW35" i="132" a="1"/>
  <c r="BW35" i="132" s="1"/>
  <c r="AV36" i="132" a="1"/>
  <c r="AV36" i="132" s="1"/>
  <c r="BT35" i="132" a="1"/>
  <c r="BT35" i="132" s="1"/>
  <c r="BQ35" i="132" a="1"/>
  <c r="BQ35" i="132" s="1"/>
  <c r="BY35" i="132" a="1"/>
  <c r="BY35" i="132" s="1"/>
  <c r="AM36" i="132" a="1"/>
  <c r="AM36" i="132" s="1"/>
  <c r="O35" i="132" a="1"/>
  <c r="O35" i="132" s="1"/>
  <c r="BC36" i="132" a="1"/>
  <c r="BC36" i="132" s="1"/>
  <c r="AT36" i="132" a="1"/>
  <c r="AT36" i="132" s="1"/>
  <c r="X35" i="132" a="1"/>
  <c r="X35" i="132" s="1"/>
  <c r="AW36" i="132" a="1"/>
  <c r="AW36" i="132" s="1"/>
  <c r="Q35" i="132" a="1"/>
  <c r="Q35" i="132" s="1"/>
  <c r="L35" i="132" a="1"/>
  <c r="L35" i="132" s="1"/>
  <c r="BM35" i="132" a="1"/>
  <c r="BM35" i="132" s="1"/>
  <c r="BS35" i="132" a="1"/>
  <c r="BS35" i="132" s="1"/>
  <c r="K35" i="132" a="1"/>
  <c r="K35" i="132" s="1"/>
  <c r="P35" i="132" a="1"/>
  <c r="P35" i="132" s="1"/>
  <c r="W35" i="132" a="1"/>
  <c r="W35" i="132" s="1"/>
  <c r="S35" i="132" a="1"/>
  <c r="S35" i="132" s="1"/>
  <c r="D35" i="132" a="1"/>
  <c r="D35" i="132" s="1"/>
  <c r="AA35" i="132" a="1"/>
  <c r="AA35" i="132" s="1"/>
  <c r="AY36" i="132" a="1"/>
  <c r="AY36" i="132" s="1"/>
  <c r="BG35" i="132" a="1"/>
  <c r="BG35" i="132" s="1"/>
  <c r="J35" i="132" a="1"/>
  <c r="J35" i="132" s="1"/>
  <c r="E3" i="135" a="1"/>
  <c r="E3" i="135" s="1"/>
  <c r="BV35" i="132" a="1"/>
  <c r="BV35" i="132" s="1"/>
  <c r="AG36" i="132" a="1"/>
  <c r="AG36" i="132" s="1"/>
  <c r="AD36" i="132" a="1"/>
  <c r="AD36" i="132" s="1"/>
  <c r="BN35" i="132" a="1"/>
  <c r="BN35" i="132" s="1"/>
  <c r="AN36" i="132" a="1"/>
  <c r="AN36" i="132" s="1"/>
  <c r="T35" i="132" a="1"/>
  <c r="T35" i="132" s="1"/>
  <c r="AZ36" i="132" a="1"/>
  <c r="AZ36" i="132" s="1"/>
  <c r="AB35" i="132" a="1"/>
  <c r="AB35" i="132" s="1"/>
  <c r="BH35" i="132" a="1"/>
  <c r="BH35" i="132" s="1"/>
  <c r="A3" i="135" a="1"/>
  <c r="A3" i="135" s="1"/>
  <c r="J3" i="135" s="1"/>
  <c r="I40" i="134" s="1"/>
  <c r="I35" i="132" a="1"/>
  <c r="I35" i="132" s="1"/>
  <c r="AK36" i="132" a="1"/>
  <c r="AK36" i="132" s="1"/>
  <c r="Y35" i="132" a="1"/>
  <c r="Y35" i="132" s="1"/>
  <c r="Z35" i="132" a="1"/>
  <c r="Z35" i="132" s="1"/>
  <c r="U35" i="132" a="1"/>
  <c r="U35" i="132" s="1"/>
  <c r="BU35" i="132" a="1"/>
  <c r="BU35" i="132" s="1"/>
  <c r="D3" i="135" a="1"/>
  <c r="D3" i="135" s="1"/>
  <c r="BB36" i="132" a="1"/>
  <c r="BB36" i="132" s="1"/>
  <c r="AS36" i="132" a="1"/>
  <c r="AS36" i="132" s="1"/>
  <c r="E35" i="132" a="1"/>
  <c r="E35" i="132" s="1"/>
  <c r="V35" i="132" a="1"/>
  <c r="V35" i="132" s="1"/>
  <c r="N35" i="132" a="1"/>
  <c r="N35" i="132" s="1"/>
  <c r="B35" i="132" a="1"/>
  <c r="B35" i="132" s="1"/>
  <c r="AH36" i="132" a="1"/>
  <c r="AH36" i="132" s="1"/>
  <c r="D13" i="206" a="1"/>
  <c r="D13" i="206" s="1"/>
  <c r="J100" i="139" s="1" a="1"/>
  <c r="J100" i="139" s="1"/>
  <c r="C13" i="206" a="1"/>
  <c r="C13" i="206" s="1"/>
  <c r="D100" i="139" s="1" a="1"/>
  <c r="D100" i="139" s="1"/>
  <c r="C9" i="206" a="1"/>
  <c r="C9" i="206" s="1"/>
  <c r="D70" i="139" s="1" a="1"/>
  <c r="D70" i="139" s="1"/>
  <c r="D9" i="206" a="1"/>
  <c r="D9" i="206" s="1"/>
  <c r="J70" i="139" s="1" a="1"/>
  <c r="J70" i="139" s="1"/>
  <c r="R15" i="205" l="1"/>
  <c r="H24" i="133"/>
  <c r="H23" i="133" s="1"/>
  <c r="R15" i="168"/>
  <c r="R18" i="204"/>
  <c r="R33" i="138"/>
  <c r="R16" i="203"/>
  <c r="R15" i="137"/>
  <c r="R16" i="138"/>
  <c r="B9" i="135"/>
  <c r="F9" i="135"/>
  <c r="I10" i="135"/>
  <c r="F10" i="135"/>
  <c r="B10" i="135"/>
  <c r="J5" i="135"/>
  <c r="I54" i="134" s="1"/>
  <c r="F5" i="135"/>
  <c r="B5" i="135"/>
  <c r="I2" i="135"/>
  <c r="BC104" i="134" s="1"/>
  <c r="F747" i="112" s="1"/>
  <c r="D747" i="112" s="1"/>
  <c r="B2" i="135"/>
  <c r="J2" i="135"/>
  <c r="I33" i="134" s="1"/>
  <c r="B8" i="135"/>
  <c r="I4" i="135"/>
  <c r="BC106" i="134" s="1"/>
  <c r="F749" i="112" s="1"/>
  <c r="D749" i="112" s="1"/>
  <c r="I9" i="135"/>
  <c r="J4" i="135"/>
  <c r="I47" i="134" s="1"/>
  <c r="B4" i="135"/>
  <c r="F11" i="135"/>
  <c r="B11" i="135"/>
  <c r="I11" i="135"/>
  <c r="J8" i="135"/>
  <c r="I8" i="135"/>
  <c r="B6" i="135"/>
  <c r="F6" i="135"/>
  <c r="J6" i="135"/>
  <c r="I6" i="135"/>
  <c r="J7" i="135"/>
  <c r="B7" i="135"/>
  <c r="I7" i="135"/>
  <c r="I3" i="135"/>
  <c r="BC105" i="134" s="1"/>
  <c r="F748" i="112" s="1"/>
  <c r="D748" i="112" s="1"/>
  <c r="F3" i="135"/>
  <c r="B3" i="135"/>
  <c r="H59" i="133" l="1" a="1"/>
  <c r="H59" i="133" s="1"/>
  <c r="S59" i="133" s="1"/>
  <c r="H61" i="133" a="1"/>
  <c r="H61" i="133" s="1"/>
  <c r="S61" i="133" s="1"/>
  <c r="H26" i="133" a="1"/>
  <c r="H26" i="133" s="1"/>
  <c r="S26" i="133" s="1"/>
  <c r="H60" i="133" a="1"/>
  <c r="H60" i="133" s="1"/>
  <c r="S60" i="133" s="1"/>
  <c r="H98" i="133" a="1"/>
  <c r="H98" i="133" s="1"/>
  <c r="S98" i="133" s="1"/>
  <c r="R29" i="205" s="1"/>
  <c r="H100" i="133" a="1"/>
  <c r="H100" i="133" s="1"/>
  <c r="S100" i="133" s="1"/>
  <c r="R31" i="205" s="1"/>
  <c r="H93" i="133" a="1"/>
  <c r="H93" i="133" s="1"/>
  <c r="S93" i="133" s="1"/>
  <c r="R24" i="205" s="1"/>
  <c r="H94" i="133" a="1"/>
  <c r="H94" i="133" s="1"/>
  <c r="S94" i="133" s="1"/>
  <c r="R25" i="205" s="1"/>
  <c r="H92" i="133" a="1"/>
  <c r="H92" i="133" s="1"/>
  <c r="S92" i="133" s="1"/>
  <c r="R23" i="205" s="1"/>
  <c r="H95" i="133" a="1"/>
  <c r="H95" i="133" s="1"/>
  <c r="S95" i="133" s="1"/>
  <c r="R26" i="205" s="1"/>
  <c r="H96" i="133" a="1"/>
  <c r="H96" i="133" s="1"/>
  <c r="S96" i="133" s="1"/>
  <c r="R27" i="205" s="1"/>
  <c r="H97" i="133" a="1"/>
  <c r="H97" i="133" s="1"/>
  <c r="S97" i="133" s="1"/>
  <c r="R28" i="205" s="1"/>
  <c r="H99" i="133" a="1"/>
  <c r="H99" i="133" s="1"/>
  <c r="S99" i="133" s="1"/>
  <c r="R30" i="205" s="1"/>
  <c r="H83" i="133" a="1"/>
  <c r="H83" i="133" s="1"/>
  <c r="S83" i="133" s="1"/>
  <c r="H85" i="133" a="1"/>
  <c r="H85" i="133" s="1"/>
  <c r="S85" i="133" s="1"/>
  <c r="H30" i="133" a="1"/>
  <c r="H30" i="133" s="1"/>
  <c r="S30" i="133" s="1"/>
  <c r="H38" i="133" a="1"/>
  <c r="H38" i="133" s="1"/>
  <c r="S38" i="133" s="1"/>
  <c r="H81" i="133" a="1"/>
  <c r="H81" i="133" s="1"/>
  <c r="S81" i="133" s="1"/>
  <c r="H39" i="133" a="1"/>
  <c r="H39" i="133" s="1"/>
  <c r="S39" i="133" s="1"/>
  <c r="H103" i="133" a="1"/>
  <c r="H103" i="133" s="1"/>
  <c r="S103" i="133" s="1"/>
  <c r="R34" i="205" s="1"/>
  <c r="H101" i="133" a="1"/>
  <c r="H101" i="133" s="1"/>
  <c r="S101" i="133" s="1"/>
  <c r="R32" i="205" s="1"/>
  <c r="H102" i="133" a="1"/>
  <c r="H102" i="133" s="1"/>
  <c r="S102" i="133" s="1"/>
  <c r="R33" i="205" s="1"/>
  <c r="H87" i="133" a="1"/>
  <c r="H87" i="133" s="1"/>
  <c r="S87" i="133" s="1"/>
  <c r="H84" i="133" a="1"/>
  <c r="H84" i="133" s="1"/>
  <c r="S84" i="133" s="1"/>
  <c r="H86" i="133" a="1"/>
  <c r="H86" i="133" s="1"/>
  <c r="S86" i="133" s="1"/>
  <c r="H80" i="133" a="1"/>
  <c r="H80" i="133" s="1"/>
  <c r="S80" i="133" s="1"/>
  <c r="H76" i="133" a="1"/>
  <c r="H76" i="133" s="1"/>
  <c r="H75" i="133" a="1"/>
  <c r="H75" i="133" s="1"/>
  <c r="H64" i="133" a="1"/>
  <c r="H64" i="133" s="1"/>
  <c r="S64" i="133" s="1"/>
  <c r="H48" i="133" a="1"/>
  <c r="H48" i="133" s="1"/>
  <c r="S48" i="133" s="1"/>
  <c r="H47" i="133" a="1"/>
  <c r="H47" i="133" s="1"/>
  <c r="S47" i="133" s="1"/>
  <c r="H41" i="133" a="1"/>
  <c r="H41" i="133" s="1"/>
  <c r="S41" i="133" s="1"/>
  <c r="H40" i="133" a="1"/>
  <c r="H40" i="133" s="1"/>
  <c r="S40" i="133" s="1"/>
  <c r="H77" i="133" a="1"/>
  <c r="H77" i="133" s="1"/>
  <c r="H37" i="133" a="1"/>
  <c r="H37" i="133" s="1"/>
  <c r="S37" i="133" s="1"/>
  <c r="H82" i="133" a="1"/>
  <c r="H82" i="133" s="1"/>
  <c r="S82" i="133" s="1"/>
  <c r="H36" i="133" a="1"/>
  <c r="H36" i="133" s="1"/>
  <c r="S36" i="133" s="1"/>
  <c r="H44" i="133" a="1"/>
  <c r="H44" i="133" s="1"/>
  <c r="S44" i="133" s="1"/>
  <c r="H45" i="133" a="1"/>
  <c r="H45" i="133" s="1"/>
  <c r="S45" i="133" s="1"/>
  <c r="H29" i="133" a="1"/>
  <c r="H29" i="133" s="1"/>
  <c r="S29" i="133" s="1"/>
  <c r="H71" i="133" a="1"/>
  <c r="H71" i="133" s="1"/>
  <c r="H72" i="133" a="1"/>
  <c r="H72" i="133" s="1"/>
  <c r="H63" i="133" a="1"/>
  <c r="H63" i="133" s="1"/>
  <c r="S63" i="133" s="1"/>
  <c r="H68" i="133" a="1"/>
  <c r="H68" i="133" s="1"/>
  <c r="H69" i="133" a="1"/>
  <c r="H69" i="133" s="1"/>
  <c r="H31" i="133" a="1"/>
  <c r="H31" i="133" s="1"/>
  <c r="S31" i="133" s="1"/>
  <c r="H67" i="133" a="1"/>
  <c r="H67" i="133" s="1"/>
  <c r="H62" i="133" a="1"/>
  <c r="H62" i="133" s="1"/>
  <c r="S62" i="133" s="1"/>
  <c r="H28" i="133" a="1"/>
  <c r="H28" i="133" s="1"/>
  <c r="S28" i="133" s="1"/>
  <c r="H32" i="133" a="1"/>
  <c r="H32" i="133" s="1"/>
  <c r="S32" i="133" s="1"/>
  <c r="H27" i="133" a="1"/>
  <c r="H27" i="133" s="1"/>
  <c r="S27" i="133" s="1"/>
  <c r="P33" i="138"/>
  <c r="P18" i="204"/>
  <c r="P15" i="205"/>
  <c r="P16" i="138"/>
  <c r="P15" i="168"/>
  <c r="G24" i="133"/>
  <c r="G23" i="133" s="1"/>
  <c r="P15" i="137"/>
  <c r="P16" i="203"/>
  <c r="N18" i="204"/>
  <c r="N33" i="138"/>
  <c r="N16" i="203"/>
  <c r="N16" i="138"/>
  <c r="F24" i="133"/>
  <c r="F23" i="133" s="1"/>
  <c r="N15" i="205"/>
  <c r="N15" i="168"/>
  <c r="N15" i="137"/>
  <c r="L16" i="138"/>
  <c r="L16" i="203"/>
  <c r="L15" i="168"/>
  <c r="L15" i="205"/>
  <c r="L33" i="138"/>
  <c r="L18" i="204"/>
  <c r="L15" i="137"/>
  <c r="E24" i="133"/>
  <c r="E23" i="133" s="1"/>
  <c r="N128" i="131"/>
  <c r="N146" i="131"/>
  <c r="N134" i="131"/>
  <c r="W746" i="112"/>
  <c r="H746" i="112" s="1"/>
  <c r="F746" i="112" s="1"/>
  <c r="D746" i="112" s="1"/>
  <c r="W745" i="112"/>
  <c r="H745" i="112" s="1"/>
  <c r="F745" i="112" s="1"/>
  <c r="D745" i="112" s="1"/>
  <c r="Y745" i="112"/>
  <c r="M745" i="112" s="1"/>
  <c r="N132" i="131"/>
  <c r="W743" i="112"/>
  <c r="H743" i="112" s="1"/>
  <c r="F743" i="112" s="1"/>
  <c r="D743" i="112" s="1"/>
  <c r="W744" i="112"/>
  <c r="H744" i="112" s="1"/>
  <c r="F744" i="112" s="1"/>
  <c r="D744" i="112" s="1"/>
  <c r="Y743" i="112"/>
  <c r="M743" i="112" s="1"/>
  <c r="W742" i="112"/>
  <c r="H742" i="112" s="1"/>
  <c r="F742" i="112" s="1"/>
  <c r="D742" i="112" s="1"/>
  <c r="N130" i="131"/>
  <c r="N138" i="131"/>
  <c r="Y742" i="112"/>
  <c r="M742" i="112" s="1"/>
  <c r="Y746" i="112"/>
  <c r="M746" i="112" s="1"/>
  <c r="N136" i="131"/>
  <c r="N140" i="131"/>
  <c r="Y744" i="112"/>
  <c r="M744" i="112" s="1"/>
  <c r="N142" i="131"/>
  <c r="N144" i="131"/>
  <c r="R42" i="138" l="1"/>
  <c r="R43" i="138"/>
  <c r="P15" i="138"/>
  <c r="R14" i="137"/>
  <c r="J17" i="204"/>
  <c r="N15" i="203"/>
  <c r="R45" i="138"/>
  <c r="R46" i="138"/>
  <c r="L14" i="205"/>
  <c r="R29" i="138"/>
  <c r="S55" i="133"/>
  <c r="R37" i="203" s="1"/>
  <c r="R22" i="137"/>
  <c r="R27" i="203"/>
  <c r="R29" i="204"/>
  <c r="R51" i="203"/>
  <c r="R28" i="168"/>
  <c r="R45" i="203"/>
  <c r="R31" i="204"/>
  <c r="R53" i="203"/>
  <c r="R26" i="204"/>
  <c r="R48" i="203"/>
  <c r="R32" i="204"/>
  <c r="R54" i="203"/>
  <c r="R28" i="203"/>
  <c r="R23" i="137"/>
  <c r="R33" i="204"/>
  <c r="R55" i="203"/>
  <c r="R30" i="204"/>
  <c r="R52" i="203"/>
  <c r="R44" i="203"/>
  <c r="R27" i="168"/>
  <c r="R24" i="138"/>
  <c r="S50" i="133"/>
  <c r="R32" i="203" s="1"/>
  <c r="R19" i="137"/>
  <c r="R24" i="203"/>
  <c r="R28" i="204"/>
  <c r="R50" i="203"/>
  <c r="R41" i="203"/>
  <c r="R24" i="168"/>
  <c r="R29" i="203"/>
  <c r="R24" i="137"/>
  <c r="R25" i="138"/>
  <c r="S51" i="133"/>
  <c r="R33" i="203" s="1"/>
  <c r="R27" i="138"/>
  <c r="S53" i="133"/>
  <c r="R35" i="203" s="1"/>
  <c r="R26" i="203"/>
  <c r="R21" i="137"/>
  <c r="R20" i="137"/>
  <c r="R25" i="203"/>
  <c r="R27" i="204"/>
  <c r="R49" i="203"/>
  <c r="R25" i="168"/>
  <c r="R42" i="203"/>
  <c r="R26" i="168"/>
  <c r="R43" i="203"/>
  <c r="R28" i="138"/>
  <c r="S54" i="133"/>
  <c r="R36" i="203" s="1"/>
  <c r="R26" i="138"/>
  <c r="S52" i="133"/>
  <c r="R34" i="203" s="1"/>
  <c r="R40" i="203"/>
  <c r="R23" i="168"/>
  <c r="G26" i="133" a="1"/>
  <c r="G26" i="133" s="1"/>
  <c r="Q26" i="133" s="1"/>
  <c r="G59" i="133" a="1"/>
  <c r="G59" i="133" s="1"/>
  <c r="Q59" i="133" s="1"/>
  <c r="G61" i="133" a="1"/>
  <c r="G61" i="133" s="1"/>
  <c r="Q61" i="133" s="1"/>
  <c r="G60" i="133" a="1"/>
  <c r="G60" i="133" s="1"/>
  <c r="Q60" i="133" s="1"/>
  <c r="G102" i="133" a="1"/>
  <c r="G102" i="133" s="1"/>
  <c r="Q102" i="133" s="1"/>
  <c r="P33" i="205" s="1"/>
  <c r="G98" i="133" a="1"/>
  <c r="G98" i="133" s="1"/>
  <c r="Q98" i="133" s="1"/>
  <c r="P29" i="205" s="1"/>
  <c r="G100" i="133" a="1"/>
  <c r="G100" i="133" s="1"/>
  <c r="Q100" i="133" s="1"/>
  <c r="P31" i="205" s="1"/>
  <c r="G103" i="133" a="1"/>
  <c r="G103" i="133" s="1"/>
  <c r="Q103" i="133" s="1"/>
  <c r="P34" i="205" s="1"/>
  <c r="G99" i="133" a="1"/>
  <c r="G99" i="133" s="1"/>
  <c r="Q99" i="133" s="1"/>
  <c r="P30" i="205" s="1"/>
  <c r="G101" i="133" a="1"/>
  <c r="G101" i="133" s="1"/>
  <c r="Q101" i="133" s="1"/>
  <c r="P32" i="205" s="1"/>
  <c r="G38" i="133" a="1"/>
  <c r="G38" i="133" s="1"/>
  <c r="Q38" i="133" s="1"/>
  <c r="G47" i="133" a="1"/>
  <c r="G47" i="133" s="1"/>
  <c r="Q47" i="133" s="1"/>
  <c r="G40" i="133" a="1"/>
  <c r="G40" i="133" s="1"/>
  <c r="Q40" i="133" s="1"/>
  <c r="G84" i="133" a="1"/>
  <c r="G84" i="133" s="1"/>
  <c r="Q84" i="133" s="1"/>
  <c r="G86" i="133" a="1"/>
  <c r="G86" i="133" s="1"/>
  <c r="Q86" i="133" s="1"/>
  <c r="G97" i="133" a="1"/>
  <c r="G97" i="133" s="1"/>
  <c r="Q97" i="133" s="1"/>
  <c r="P28" i="205" s="1"/>
  <c r="G85" i="133" a="1"/>
  <c r="G85" i="133" s="1"/>
  <c r="Q85" i="133" s="1"/>
  <c r="G83" i="133" a="1"/>
  <c r="G83" i="133" s="1"/>
  <c r="Q83" i="133" s="1"/>
  <c r="G96" i="133" a="1"/>
  <c r="G96" i="133" s="1"/>
  <c r="Q96" i="133" s="1"/>
  <c r="P27" i="205" s="1"/>
  <c r="G95" i="133" a="1"/>
  <c r="G95" i="133" s="1"/>
  <c r="Q95" i="133" s="1"/>
  <c r="P26" i="205" s="1"/>
  <c r="G81" i="133" a="1"/>
  <c r="G81" i="133" s="1"/>
  <c r="Q81" i="133" s="1"/>
  <c r="G39" i="133" a="1"/>
  <c r="G39" i="133" s="1"/>
  <c r="Q39" i="133" s="1"/>
  <c r="G94" i="133" a="1"/>
  <c r="G94" i="133" s="1"/>
  <c r="Q94" i="133" s="1"/>
  <c r="P25" i="205" s="1"/>
  <c r="G92" i="133" a="1"/>
  <c r="G92" i="133" s="1"/>
  <c r="Q92" i="133" s="1"/>
  <c r="P23" i="205" s="1"/>
  <c r="G93" i="133" a="1"/>
  <c r="G93" i="133" s="1"/>
  <c r="Q93" i="133" s="1"/>
  <c r="P24" i="205" s="1"/>
  <c r="G48" i="133" a="1"/>
  <c r="G48" i="133" s="1"/>
  <c r="Q48" i="133" s="1"/>
  <c r="G41" i="133" a="1"/>
  <c r="G41" i="133" s="1"/>
  <c r="Q41" i="133" s="1"/>
  <c r="G80" i="133" a="1"/>
  <c r="G80" i="133" s="1"/>
  <c r="Q80" i="133" s="1"/>
  <c r="G75" i="133" a="1"/>
  <c r="G75" i="133" s="1"/>
  <c r="G64" i="133" a="1"/>
  <c r="G64" i="133" s="1"/>
  <c r="Q64" i="133" s="1"/>
  <c r="G76" i="133" a="1"/>
  <c r="G76" i="133" s="1"/>
  <c r="G77" i="133" a="1"/>
  <c r="G77" i="133" s="1"/>
  <c r="G82" i="133" a="1"/>
  <c r="G82" i="133" s="1"/>
  <c r="Q82" i="133" s="1"/>
  <c r="G30" i="133" a="1"/>
  <c r="G30" i="133" s="1"/>
  <c r="Q30" i="133" s="1"/>
  <c r="G36" i="133" a="1"/>
  <c r="G36" i="133" s="1"/>
  <c r="Q36" i="133" s="1"/>
  <c r="G45" i="133" a="1"/>
  <c r="G45" i="133" s="1"/>
  <c r="Q45" i="133" s="1"/>
  <c r="G63" i="133" a="1"/>
  <c r="G63" i="133" s="1"/>
  <c r="Q63" i="133" s="1"/>
  <c r="G72" i="133" a="1"/>
  <c r="G72" i="133" s="1"/>
  <c r="G71" i="133" a="1"/>
  <c r="G71" i="133" s="1"/>
  <c r="G29" i="133" a="1"/>
  <c r="G29" i="133" s="1"/>
  <c r="Q29" i="133" s="1"/>
  <c r="G31" i="133" a="1"/>
  <c r="G31" i="133" s="1"/>
  <c r="Q31" i="133" s="1"/>
  <c r="G87" i="133" a="1"/>
  <c r="G87" i="133" s="1"/>
  <c r="Q87" i="133" s="1"/>
  <c r="G68" i="133" a="1"/>
  <c r="G68" i="133" s="1"/>
  <c r="G69" i="133" a="1"/>
  <c r="G69" i="133" s="1"/>
  <c r="G37" i="133" a="1"/>
  <c r="G37" i="133" s="1"/>
  <c r="Q37" i="133" s="1"/>
  <c r="G44" i="133" a="1"/>
  <c r="G44" i="133" s="1"/>
  <c r="Q44" i="133" s="1"/>
  <c r="G67" i="133" a="1"/>
  <c r="G67" i="133" s="1"/>
  <c r="G62" i="133" a="1"/>
  <c r="G62" i="133" s="1"/>
  <c r="Q62" i="133" s="1"/>
  <c r="G28" i="133" a="1"/>
  <c r="G28" i="133" s="1"/>
  <c r="Q28" i="133" s="1"/>
  <c r="G32" i="133" a="1"/>
  <c r="G32" i="133" s="1"/>
  <c r="Q32" i="133" s="1"/>
  <c r="G27" i="133" a="1"/>
  <c r="G27" i="133" s="1"/>
  <c r="Q27" i="133" s="1"/>
  <c r="F59" i="133" a="1"/>
  <c r="F59" i="133" s="1"/>
  <c r="O59" i="133" s="1"/>
  <c r="F60" i="133" a="1"/>
  <c r="F60" i="133" s="1"/>
  <c r="O60" i="133" s="1"/>
  <c r="F61" i="133" a="1"/>
  <c r="F61" i="133" s="1"/>
  <c r="O61" i="133" s="1"/>
  <c r="F26" i="133" a="1"/>
  <c r="F26" i="133" s="1"/>
  <c r="O26" i="133" s="1"/>
  <c r="F100" i="133" a="1"/>
  <c r="F100" i="133" s="1"/>
  <c r="O100" i="133" s="1"/>
  <c r="N31" i="205" s="1"/>
  <c r="F101" i="133" a="1"/>
  <c r="F101" i="133" s="1"/>
  <c r="O101" i="133" s="1"/>
  <c r="N32" i="205" s="1"/>
  <c r="F99" i="133" a="1"/>
  <c r="F99" i="133" s="1"/>
  <c r="O99" i="133" s="1"/>
  <c r="N30" i="205" s="1"/>
  <c r="F102" i="133" a="1"/>
  <c r="F102" i="133" s="1"/>
  <c r="O102" i="133" s="1"/>
  <c r="N33" i="205" s="1"/>
  <c r="F103" i="133" a="1"/>
  <c r="F103" i="133" s="1"/>
  <c r="O103" i="133" s="1"/>
  <c r="N34" i="205" s="1"/>
  <c r="F98" i="133" a="1"/>
  <c r="F98" i="133" s="1"/>
  <c r="O98" i="133" s="1"/>
  <c r="N29" i="205" s="1"/>
  <c r="F38" i="133" a="1"/>
  <c r="F38" i="133" s="1"/>
  <c r="O38" i="133" s="1"/>
  <c r="F47" i="133" a="1"/>
  <c r="F47" i="133" s="1"/>
  <c r="O47" i="133" s="1"/>
  <c r="F40" i="133" a="1"/>
  <c r="F40" i="133" s="1"/>
  <c r="O40" i="133" s="1"/>
  <c r="F86" i="133" a="1"/>
  <c r="F86" i="133" s="1"/>
  <c r="O86" i="133" s="1"/>
  <c r="F84" i="133" a="1"/>
  <c r="F84" i="133" s="1"/>
  <c r="O84" i="133" s="1"/>
  <c r="F83" i="133" a="1"/>
  <c r="F83" i="133" s="1"/>
  <c r="O83" i="133" s="1"/>
  <c r="F85" i="133" a="1"/>
  <c r="F85" i="133" s="1"/>
  <c r="O85" i="133" s="1"/>
  <c r="F95" i="133" a="1"/>
  <c r="F95" i="133" s="1"/>
  <c r="O95" i="133" s="1"/>
  <c r="N26" i="205" s="1"/>
  <c r="F96" i="133" a="1"/>
  <c r="F96" i="133" s="1"/>
  <c r="O96" i="133" s="1"/>
  <c r="N27" i="205" s="1"/>
  <c r="F97" i="133" a="1"/>
  <c r="F97" i="133" s="1"/>
  <c r="O97" i="133" s="1"/>
  <c r="N28" i="205" s="1"/>
  <c r="F81" i="133" a="1"/>
  <c r="F81" i="133" s="1"/>
  <c r="O81" i="133" s="1"/>
  <c r="F39" i="133" a="1"/>
  <c r="F39" i="133" s="1"/>
  <c r="O39" i="133" s="1"/>
  <c r="F93" i="133" a="1"/>
  <c r="F93" i="133" s="1"/>
  <c r="O93" i="133" s="1"/>
  <c r="N24" i="205" s="1"/>
  <c r="F92" i="133" a="1"/>
  <c r="F92" i="133" s="1"/>
  <c r="O92" i="133" s="1"/>
  <c r="N23" i="205" s="1"/>
  <c r="F94" i="133" a="1"/>
  <c r="F94" i="133" s="1"/>
  <c r="O94" i="133" s="1"/>
  <c r="N25" i="205" s="1"/>
  <c r="F80" i="133" a="1"/>
  <c r="F80" i="133" s="1"/>
  <c r="O80" i="133" s="1"/>
  <c r="F48" i="133" a="1"/>
  <c r="F48" i="133" s="1"/>
  <c r="O48" i="133" s="1"/>
  <c r="F77" i="133" a="1"/>
  <c r="F77" i="133" s="1"/>
  <c r="F41" i="133" a="1"/>
  <c r="F41" i="133" s="1"/>
  <c r="O41" i="133" s="1"/>
  <c r="F75" i="133" a="1"/>
  <c r="F75" i="133" s="1"/>
  <c r="F82" i="133" a="1"/>
  <c r="F82" i="133" s="1"/>
  <c r="O82" i="133" s="1"/>
  <c r="F76" i="133" a="1"/>
  <c r="F76" i="133" s="1"/>
  <c r="F64" i="133" a="1"/>
  <c r="F64" i="133" s="1"/>
  <c r="O64" i="133" s="1"/>
  <c r="F45" i="133" a="1"/>
  <c r="F45" i="133" s="1"/>
  <c r="O45" i="133" s="1"/>
  <c r="F36" i="133" a="1"/>
  <c r="F36" i="133" s="1"/>
  <c r="O36" i="133" s="1"/>
  <c r="F87" i="133" a="1"/>
  <c r="F87" i="133" s="1"/>
  <c r="O87" i="133" s="1"/>
  <c r="F44" i="133" a="1"/>
  <c r="F44" i="133" s="1"/>
  <c r="O44" i="133" s="1"/>
  <c r="F37" i="133" a="1"/>
  <c r="F37" i="133" s="1"/>
  <c r="O37" i="133" s="1"/>
  <c r="F30" i="133" a="1"/>
  <c r="F30" i="133" s="1"/>
  <c r="O30" i="133" s="1"/>
  <c r="F29" i="133" a="1"/>
  <c r="F29" i="133" s="1"/>
  <c r="O29" i="133" s="1"/>
  <c r="F31" i="133" a="1"/>
  <c r="F31" i="133" s="1"/>
  <c r="O31" i="133" s="1"/>
  <c r="F68" i="133" a="1"/>
  <c r="F68" i="133" s="1"/>
  <c r="F69" i="133" a="1"/>
  <c r="F69" i="133" s="1"/>
  <c r="F67" i="133" a="1"/>
  <c r="F67" i="133" s="1"/>
  <c r="F62" i="133" a="1"/>
  <c r="F62" i="133" s="1"/>
  <c r="O62" i="133" s="1"/>
  <c r="F71" i="133" a="1"/>
  <c r="F71" i="133" s="1"/>
  <c r="F72" i="133" a="1"/>
  <c r="F72" i="133" s="1"/>
  <c r="F63" i="133" a="1"/>
  <c r="F63" i="133" s="1"/>
  <c r="O63" i="133" s="1"/>
  <c r="F27" i="133" a="1"/>
  <c r="F27" i="133" s="1"/>
  <c r="O27" i="133" s="1"/>
  <c r="F32" i="133" a="1"/>
  <c r="F32" i="133" s="1"/>
  <c r="O32" i="133" s="1"/>
  <c r="F28" i="133" a="1"/>
  <c r="F28" i="133" s="1"/>
  <c r="O28" i="133" s="1"/>
  <c r="E26" i="133" a="1"/>
  <c r="E26" i="133" s="1"/>
  <c r="M26" i="133" s="1"/>
  <c r="E61" i="133" a="1"/>
  <c r="E61" i="133" s="1"/>
  <c r="M61" i="133" s="1"/>
  <c r="E60" i="133" a="1"/>
  <c r="E60" i="133" s="1"/>
  <c r="M60" i="133" s="1"/>
  <c r="E59" i="133" a="1"/>
  <c r="E59" i="133" s="1"/>
  <c r="M59" i="133" s="1"/>
  <c r="E103" i="133" a="1"/>
  <c r="E103" i="133" s="1"/>
  <c r="M103" i="133" s="1"/>
  <c r="L34" i="205" s="1"/>
  <c r="E99" i="133" a="1"/>
  <c r="E99" i="133" s="1"/>
  <c r="M99" i="133" s="1"/>
  <c r="L30" i="205" s="1"/>
  <c r="E100" i="133" a="1"/>
  <c r="E100" i="133" s="1"/>
  <c r="M100" i="133" s="1"/>
  <c r="L31" i="205" s="1"/>
  <c r="E96" i="133" a="1"/>
  <c r="E96" i="133" s="1"/>
  <c r="M96" i="133" s="1"/>
  <c r="L27" i="205" s="1"/>
  <c r="E101" i="133" a="1"/>
  <c r="E101" i="133" s="1"/>
  <c r="M101" i="133" s="1"/>
  <c r="L32" i="205" s="1"/>
  <c r="E97" i="133" a="1"/>
  <c r="E97" i="133" s="1"/>
  <c r="M97" i="133" s="1"/>
  <c r="L28" i="205" s="1"/>
  <c r="E95" i="133" a="1"/>
  <c r="E95" i="133" s="1"/>
  <c r="M95" i="133" s="1"/>
  <c r="L26" i="205" s="1"/>
  <c r="E102" i="133" a="1"/>
  <c r="E102" i="133" s="1"/>
  <c r="M102" i="133" s="1"/>
  <c r="L33" i="205" s="1"/>
  <c r="E98" i="133" a="1"/>
  <c r="E98" i="133" s="1"/>
  <c r="M98" i="133" s="1"/>
  <c r="L29" i="205" s="1"/>
  <c r="E84" i="133" a="1"/>
  <c r="E84" i="133" s="1"/>
  <c r="M84" i="133" s="1"/>
  <c r="E86" i="133" a="1"/>
  <c r="E86" i="133" s="1"/>
  <c r="M86" i="133" s="1"/>
  <c r="E81" i="133" a="1"/>
  <c r="E81" i="133" s="1"/>
  <c r="M81" i="133" s="1"/>
  <c r="E80" i="133" a="1"/>
  <c r="E80" i="133" s="1"/>
  <c r="M80" i="133" s="1"/>
  <c r="E85" i="133" a="1"/>
  <c r="E85" i="133" s="1"/>
  <c r="M85" i="133" s="1"/>
  <c r="E83" i="133" a="1"/>
  <c r="E83" i="133" s="1"/>
  <c r="M83" i="133" s="1"/>
  <c r="E38" i="133" a="1"/>
  <c r="E38" i="133" s="1"/>
  <c r="M38" i="133" s="1"/>
  <c r="E92" i="133" a="1"/>
  <c r="E92" i="133" s="1"/>
  <c r="M92" i="133" s="1"/>
  <c r="L23" i="205" s="1"/>
  <c r="E94" i="133" a="1"/>
  <c r="E94" i="133" s="1"/>
  <c r="M94" i="133" s="1"/>
  <c r="L25" i="205" s="1"/>
  <c r="E30" i="133" a="1"/>
  <c r="E30" i="133" s="1"/>
  <c r="M30" i="133" s="1"/>
  <c r="E93" i="133" a="1"/>
  <c r="E93" i="133" s="1"/>
  <c r="M93" i="133" s="1"/>
  <c r="L24" i="205" s="1"/>
  <c r="E87" i="133" a="1"/>
  <c r="E87" i="133" s="1"/>
  <c r="M87" i="133" s="1"/>
  <c r="E48" i="133" a="1"/>
  <c r="E48" i="133" s="1"/>
  <c r="M48" i="133" s="1"/>
  <c r="E41" i="133" a="1"/>
  <c r="E41" i="133" s="1"/>
  <c r="M41" i="133" s="1"/>
  <c r="E47" i="133" a="1"/>
  <c r="E47" i="133" s="1"/>
  <c r="M47" i="133" s="1"/>
  <c r="E40" i="133" a="1"/>
  <c r="E40" i="133" s="1"/>
  <c r="M40" i="133" s="1"/>
  <c r="E77" i="133" a="1"/>
  <c r="E77" i="133" s="1"/>
  <c r="E76" i="133" a="1"/>
  <c r="E76" i="133" s="1"/>
  <c r="E75" i="133" a="1"/>
  <c r="E75" i="133" s="1"/>
  <c r="E82" i="133" a="1"/>
  <c r="E82" i="133" s="1"/>
  <c r="M82" i="133" s="1"/>
  <c r="E64" i="133" a="1"/>
  <c r="E64" i="133" s="1"/>
  <c r="M64" i="133" s="1"/>
  <c r="E36" i="133" a="1"/>
  <c r="E36" i="133" s="1"/>
  <c r="M36" i="133" s="1"/>
  <c r="E39" i="133" a="1"/>
  <c r="E39" i="133" s="1"/>
  <c r="M39" i="133" s="1"/>
  <c r="E67" i="133" a="1"/>
  <c r="E67" i="133" s="1"/>
  <c r="E68" i="133" a="1"/>
  <c r="E68" i="133" s="1"/>
  <c r="E69" i="133" a="1"/>
  <c r="E69" i="133" s="1"/>
  <c r="E62" i="133" a="1"/>
  <c r="E62" i="133" s="1"/>
  <c r="M62" i="133" s="1"/>
  <c r="E31" i="133" a="1"/>
  <c r="E31" i="133" s="1"/>
  <c r="M31" i="133" s="1"/>
  <c r="E72" i="133" a="1"/>
  <c r="E72" i="133" s="1"/>
  <c r="E71" i="133" a="1"/>
  <c r="E71" i="133" s="1"/>
  <c r="E28" i="133" a="1"/>
  <c r="E28" i="133" s="1"/>
  <c r="M28" i="133" s="1"/>
  <c r="E63" i="133" a="1"/>
  <c r="E63" i="133" s="1"/>
  <c r="M63" i="133" s="1"/>
  <c r="E27" i="133" a="1"/>
  <c r="E27" i="133" s="1"/>
  <c r="M27" i="133" s="1"/>
  <c r="E37" i="133" a="1"/>
  <c r="E37" i="133" s="1"/>
  <c r="M37" i="133" s="1"/>
  <c r="E44" i="133" a="1"/>
  <c r="E44" i="133" s="1"/>
  <c r="M44" i="133" s="1"/>
  <c r="E29" i="133" a="1"/>
  <c r="E29" i="133" s="1"/>
  <c r="M29" i="133" s="1"/>
  <c r="E32" i="133" a="1"/>
  <c r="E32" i="133" s="1"/>
  <c r="M32" i="133" s="1"/>
  <c r="E45" i="133" a="1"/>
  <c r="E45" i="133" s="1"/>
  <c r="M45" i="133" s="1"/>
  <c r="J15" i="203"/>
  <c r="N14" i="205"/>
  <c r="J14" i="205"/>
  <c r="J14" i="168"/>
  <c r="R14" i="168"/>
  <c r="J14" i="137"/>
  <c r="J15" i="138"/>
  <c r="R15" i="138"/>
  <c r="R17" i="204"/>
  <c r="R14" i="205"/>
  <c r="V742" i="112"/>
  <c r="R15" i="203"/>
  <c r="P14" i="205"/>
  <c r="L14" i="137"/>
  <c r="L17" i="204"/>
  <c r="L15" i="203"/>
  <c r="N14" i="137"/>
  <c r="N15" i="138"/>
  <c r="P17" i="204"/>
  <c r="P14" i="168"/>
  <c r="N17" i="204"/>
  <c r="N14" i="168"/>
  <c r="P14" i="137"/>
  <c r="P15" i="203"/>
  <c r="L14" i="168"/>
  <c r="L15" i="138"/>
  <c r="H36" i="111"/>
  <c r="W42" i="111"/>
  <c r="P46" i="138" l="1"/>
  <c r="L42" i="138"/>
  <c r="N42" i="138"/>
  <c r="N43" i="138"/>
  <c r="L45" i="138"/>
  <c r="P43" i="138"/>
  <c r="L46" i="138"/>
  <c r="N45" i="138"/>
  <c r="N46" i="138"/>
  <c r="P42" i="138"/>
  <c r="L43" i="138"/>
  <c r="P45" i="138"/>
  <c r="Q51" i="133"/>
  <c r="P33" i="203" s="1"/>
  <c r="P25" i="138"/>
  <c r="P28" i="168"/>
  <c r="P45" i="203"/>
  <c r="P52" i="203"/>
  <c r="P30" i="204"/>
  <c r="Q54" i="133"/>
  <c r="P36" i="203" s="1"/>
  <c r="P28" i="138"/>
  <c r="P48" i="203"/>
  <c r="P26" i="204"/>
  <c r="P33" i="204"/>
  <c r="P55" i="203"/>
  <c r="P29" i="138"/>
  <c r="Q55" i="133"/>
  <c r="P37" i="203" s="1"/>
  <c r="P26" i="138"/>
  <c r="Q52" i="133"/>
  <c r="P34" i="203" s="1"/>
  <c r="P54" i="203"/>
  <c r="P32" i="204"/>
  <c r="P28" i="203"/>
  <c r="P23" i="137"/>
  <c r="P21" i="137"/>
  <c r="P26" i="203"/>
  <c r="Q53" i="133"/>
  <c r="P35" i="203" s="1"/>
  <c r="P27" i="138"/>
  <c r="P27" i="168"/>
  <c r="P44" i="203"/>
  <c r="P27" i="204"/>
  <c r="P49" i="203"/>
  <c r="P19" i="137"/>
  <c r="P24" i="203"/>
  <c r="P24" i="168"/>
  <c r="P41" i="203"/>
  <c r="P29" i="203"/>
  <c r="P24" i="137"/>
  <c r="P24" i="138"/>
  <c r="Q50" i="133"/>
  <c r="P32" i="203" s="1"/>
  <c r="P42" i="203"/>
  <c r="P25" i="168"/>
  <c r="P25" i="203"/>
  <c r="P20" i="137"/>
  <c r="P22" i="137"/>
  <c r="P27" i="203"/>
  <c r="P51" i="203"/>
  <c r="P29" i="204"/>
  <c r="P40" i="203"/>
  <c r="P23" i="168"/>
  <c r="P43" i="203"/>
  <c r="P26" i="168"/>
  <c r="P28" i="204"/>
  <c r="P50" i="203"/>
  <c r="P53" i="203"/>
  <c r="P31" i="204"/>
  <c r="N29" i="204"/>
  <c r="N51" i="203"/>
  <c r="N52" i="203"/>
  <c r="N30" i="204"/>
  <c r="N32" i="204"/>
  <c r="N54" i="203"/>
  <c r="N28" i="204"/>
  <c r="N50" i="203"/>
  <c r="O55" i="133"/>
  <c r="N37" i="203" s="1"/>
  <c r="N29" i="138"/>
  <c r="N28" i="138"/>
  <c r="O54" i="133"/>
  <c r="N36" i="203" s="1"/>
  <c r="N26" i="168"/>
  <c r="N43" i="203"/>
  <c r="N26" i="138"/>
  <c r="O52" i="133"/>
  <c r="N34" i="203" s="1"/>
  <c r="N48" i="203"/>
  <c r="N26" i="204"/>
  <c r="N23" i="137"/>
  <c r="N28" i="203"/>
  <c r="N26" i="203"/>
  <c r="N21" i="137"/>
  <c r="N27" i="203"/>
  <c r="N22" i="137"/>
  <c r="N25" i="138"/>
  <c r="O51" i="133"/>
  <c r="N33" i="203" s="1"/>
  <c r="O53" i="133"/>
  <c r="N35" i="203" s="1"/>
  <c r="N27" i="138"/>
  <c r="N27" i="204"/>
  <c r="N49" i="203"/>
  <c r="N20" i="137"/>
  <c r="N25" i="203"/>
  <c r="N33" i="204"/>
  <c r="N55" i="203"/>
  <c r="N24" i="137"/>
  <c r="N29" i="203"/>
  <c r="O50" i="133"/>
  <c r="N32" i="203" s="1"/>
  <c r="N24" i="138"/>
  <c r="N25" i="168"/>
  <c r="N42" i="203"/>
  <c r="N19" i="137"/>
  <c r="N24" i="203"/>
  <c r="N24" i="168"/>
  <c r="N41" i="203"/>
  <c r="N27" i="168"/>
  <c r="N44" i="203"/>
  <c r="N28" i="168"/>
  <c r="N45" i="203"/>
  <c r="N31" i="204"/>
  <c r="N53" i="203"/>
  <c r="N40" i="203"/>
  <c r="N23" i="168"/>
  <c r="L25" i="138"/>
  <c r="M51" i="133"/>
  <c r="L33" i="203" s="1"/>
  <c r="L27" i="204"/>
  <c r="L49" i="203"/>
  <c r="L24" i="203"/>
  <c r="L19" i="137"/>
  <c r="M54" i="133"/>
  <c r="L36" i="203" s="1"/>
  <c r="L28" i="138"/>
  <c r="L32" i="204"/>
  <c r="L54" i="203"/>
  <c r="M55" i="133"/>
  <c r="L37" i="203" s="1"/>
  <c r="L29" i="138"/>
  <c r="L30" i="204"/>
  <c r="L52" i="203"/>
  <c r="L23" i="137"/>
  <c r="L28" i="203"/>
  <c r="L22" i="137"/>
  <c r="L27" i="203"/>
  <c r="L26" i="168"/>
  <c r="L43" i="203"/>
  <c r="L27" i="168"/>
  <c r="L44" i="203"/>
  <c r="L25" i="203"/>
  <c r="L20" i="137"/>
  <c r="L27" i="138"/>
  <c r="M53" i="133"/>
  <c r="L35" i="203" s="1"/>
  <c r="L26" i="138"/>
  <c r="M52" i="133"/>
  <c r="L34" i="203" s="1"/>
  <c r="L40" i="203"/>
  <c r="L23" i="168"/>
  <c r="L33" i="204"/>
  <c r="L55" i="203"/>
  <c r="L24" i="137"/>
  <c r="L29" i="203"/>
  <c r="L24" i="138"/>
  <c r="M50" i="133"/>
  <c r="L32" i="203" s="1"/>
  <c r="L29" i="204"/>
  <c r="L51" i="203"/>
  <c r="L24" i="168"/>
  <c r="L41" i="203"/>
  <c r="L26" i="203"/>
  <c r="L21" i="137"/>
  <c r="L45" i="203"/>
  <c r="L28" i="168"/>
  <c r="L31" i="204"/>
  <c r="L53" i="203"/>
  <c r="L25" i="168"/>
  <c r="L42" i="203"/>
  <c r="L28" i="204"/>
  <c r="L50" i="203"/>
  <c r="L26" i="204"/>
  <c r="L48" i="203"/>
  <c r="W30" i="111"/>
  <c r="W31" i="111"/>
  <c r="W28" i="111"/>
  <c r="W27" i="111"/>
  <c r="W19" i="111"/>
  <c r="W18" i="111"/>
  <c r="W24" i="111"/>
  <c r="W25" i="111"/>
  <c r="W51" i="111"/>
  <c r="W52" i="111"/>
  <c r="W48" i="111"/>
  <c r="W49" i="111"/>
  <c r="W63" i="111"/>
  <c r="W64" i="111"/>
  <c r="W45" i="111"/>
  <c r="W46" i="111"/>
  <c r="W61" i="111"/>
  <c r="W60" i="111"/>
  <c r="W43" i="111"/>
  <c r="W70" i="111"/>
  <c r="W69" i="111"/>
  <c r="W9" i="111"/>
  <c r="W10" i="111"/>
  <c r="W54" i="111"/>
  <c r="W55" i="111"/>
  <c r="H37" i="111"/>
  <c r="W7" i="111" s="1"/>
  <c r="W6" i="111"/>
  <c r="W57" i="111"/>
  <c r="W58" i="111"/>
  <c r="W75" i="111"/>
  <c r="W76" i="111"/>
  <c r="W66" i="111"/>
  <c r="W67" i="111"/>
  <c r="W73" i="111"/>
  <c r="W72" i="111"/>
  <c r="W39" i="111"/>
  <c r="W40" i="111"/>
  <c r="W12" i="111"/>
  <c r="W13" i="111"/>
  <c r="W34" i="111"/>
  <c r="W33" i="111"/>
  <c r="W15" i="111"/>
  <c r="W16" i="111"/>
  <c r="W36" i="111"/>
  <c r="W37" i="111"/>
  <c r="W79" i="111"/>
  <c r="W78" i="111"/>
  <c r="W82" i="111"/>
  <c r="W81" i="111"/>
  <c r="W22" i="111"/>
  <c r="W21" i="111"/>
  <c r="W85" i="111"/>
  <c r="W84" i="111"/>
  <c r="BA13" i="132" l="1"/>
  <c r="BA18" i="132"/>
  <c r="AR28" i="132"/>
  <c r="AR11" i="132"/>
  <c r="BA9" i="132"/>
  <c r="AR8" i="132"/>
  <c r="BA8" i="132"/>
  <c r="BA33" i="132"/>
  <c r="AR18" i="132"/>
  <c r="BA28" i="132"/>
  <c r="AR19" i="132"/>
  <c r="AR12" i="132"/>
  <c r="BA12" i="132"/>
  <c r="AR25" i="132"/>
  <c r="BA14" i="132"/>
  <c r="AR32" i="132"/>
  <c r="BA27" i="132"/>
  <c r="AR9" i="132"/>
  <c r="BA17" i="132"/>
  <c r="BA24" i="132"/>
  <c r="BA26" i="132"/>
  <c r="BA11" i="132"/>
  <c r="BA19" i="132"/>
  <c r="AR15" i="132"/>
  <c r="BA31" i="132"/>
  <c r="AR17" i="132"/>
  <c r="BA32" i="132"/>
  <c r="AR27" i="132"/>
  <c r="AR20" i="132"/>
  <c r="AR24" i="132"/>
  <c r="BA21" i="132"/>
  <c r="AR33" i="132"/>
  <c r="AR29" i="132"/>
  <c r="BA15" i="132"/>
  <c r="AR30" i="132"/>
  <c r="AR26" i="132"/>
  <c r="BA20" i="132"/>
  <c r="BA10" i="132"/>
  <c r="AR7" i="132"/>
  <c r="AR10" i="132"/>
  <c r="BA7" i="132"/>
  <c r="D46" i="133" s="1" a="1"/>
  <c r="D46" i="133" s="1"/>
  <c r="K46" i="133" s="1"/>
  <c r="BA23" i="132"/>
  <c r="BA22" i="132"/>
  <c r="AR13" i="132"/>
  <c r="AR14" i="132"/>
  <c r="BA29" i="132"/>
  <c r="BA25" i="132"/>
  <c r="AR31" i="132"/>
  <c r="BA30" i="132"/>
  <c r="AR21" i="132"/>
  <c r="AR16" i="132"/>
  <c r="BA16" i="132"/>
  <c r="AR23" i="132"/>
  <c r="AR22" i="132"/>
  <c r="X604" i="112"/>
  <c r="L604" i="112" s="1"/>
  <c r="Y604" i="112"/>
  <c r="M604" i="112" s="1"/>
  <c r="H604" i="112"/>
  <c r="AR44" i="132" l="1" a="1"/>
  <c r="AR44" i="132" s="1"/>
  <c r="AR36" i="132" a="1"/>
  <c r="AR36" i="132" s="1"/>
  <c r="BA40" i="132" a="1"/>
  <c r="BA40" i="132" s="1"/>
  <c r="BA36" i="132" a="1"/>
  <c r="BA36" i="132" s="1"/>
  <c r="AR43" i="132" a="1"/>
  <c r="AR43" i="132" s="1"/>
  <c r="H46" i="133" a="1"/>
  <c r="H46" i="133" s="1"/>
  <c r="S46" i="133" s="1"/>
  <c r="R44" i="138" s="1"/>
  <c r="AR35" i="132" a="1"/>
  <c r="AR35" i="132" s="1"/>
  <c r="AR38" i="132" a="1"/>
  <c r="AR38" i="132" s="1"/>
  <c r="BA35" i="132" a="1"/>
  <c r="BA35" i="132" s="1"/>
  <c r="BA38" i="132" a="1"/>
  <c r="BA38" i="132" s="1"/>
  <c r="E46" i="133" a="1"/>
  <c r="E46" i="133" s="1"/>
  <c r="M46" i="133" s="1"/>
  <c r="L44" i="138" s="1"/>
  <c r="BA37" i="132" a="1"/>
  <c r="BA37" i="132" s="1"/>
  <c r="BA39" i="132" a="1"/>
  <c r="BA39" i="132" s="1"/>
  <c r="BA41" i="132" a="1"/>
  <c r="BA41" i="132" s="1"/>
  <c r="G46" i="133" a="1"/>
  <c r="G46" i="133" s="1"/>
  <c r="Q46" i="133" s="1"/>
  <c r="P44" i="138" s="1"/>
  <c r="BA42" i="132" a="1"/>
  <c r="BA42" i="132" s="1"/>
  <c r="AR37" i="132" a="1"/>
  <c r="AR37" i="132" s="1"/>
  <c r="AR41" i="132" a="1"/>
  <c r="AR41" i="132" s="1"/>
  <c r="BA44" i="132" a="1"/>
  <c r="BA44" i="132" s="1"/>
  <c r="AR40" i="132" a="1"/>
  <c r="AR40" i="132" s="1"/>
  <c r="BA43" i="132" a="1"/>
  <c r="BA43" i="132" s="1"/>
  <c r="AR42" i="132" a="1"/>
  <c r="AR42" i="132" s="1"/>
  <c r="AR39" i="132" a="1"/>
  <c r="AR39" i="132" s="1"/>
  <c r="F46" i="133" a="1"/>
  <c r="F46" i="133" s="1"/>
  <c r="O46" i="133" s="1"/>
  <c r="N44" i="138" s="1"/>
  <c r="J44" i="138"/>
  <c r="N604" i="112"/>
  <c r="F604" i="112" s="1"/>
  <c r="D604" i="112" s="1"/>
  <c r="AE7" i="111" l="1"/>
  <c r="E414" i="111"/>
  <c r="AE44" i="111"/>
  <c r="E451" i="111"/>
  <c r="AE414" i="111"/>
  <c r="AE118" i="111"/>
  <c r="AE81" i="111"/>
  <c r="AE155" i="111"/>
  <c r="E488" i="111"/>
  <c r="AE488" i="111"/>
  <c r="E377" i="111"/>
  <c r="AE377" i="111"/>
  <c r="E303" i="111"/>
  <c r="AE303" i="111"/>
  <c r="E340" i="111"/>
  <c r="AE340" i="111"/>
  <c r="E266" i="111"/>
  <c r="AE266" i="111"/>
  <c r="AE192" i="111"/>
  <c r="AE229" i="111"/>
  <c r="E44" i="111"/>
  <c r="E118" i="111"/>
  <c r="E81" i="111"/>
  <c r="E155" i="111"/>
  <c r="E192" i="111"/>
  <c r="E229" i="111"/>
  <c r="E7" i="111"/>
  <c r="E36" i="111" s="1"/>
  <c r="E37" i="111" s="1"/>
  <c r="AE515" i="111" l="1"/>
  <c r="AE517" i="111"/>
  <c r="AE518" i="111" s="1"/>
  <c r="AE258" i="111"/>
  <c r="AE259" i="111" s="1"/>
  <c r="AE256" i="111"/>
  <c r="AE293" i="111"/>
  <c r="AE295" i="111"/>
  <c r="AE296" i="111" s="1"/>
  <c r="E367" i="111"/>
  <c r="E369" i="111"/>
  <c r="E370" i="111" s="1"/>
  <c r="T61" i="111" s="1"/>
  <c r="AE404" i="111"/>
  <c r="AE406" i="111"/>
  <c r="AE407" i="111" s="1"/>
  <c r="AE184" i="111"/>
  <c r="AE185" i="111" s="1"/>
  <c r="T34" i="111" s="1"/>
  <c r="AE182" i="111"/>
  <c r="AE71" i="111"/>
  <c r="AE73" i="111"/>
  <c r="AE74" i="111" s="1"/>
  <c r="T16" i="111" s="1"/>
  <c r="E293" i="111"/>
  <c r="E295" i="111"/>
  <c r="E296" i="111" s="1"/>
  <c r="T49" i="111" s="1"/>
  <c r="AE330" i="111"/>
  <c r="AE332" i="111"/>
  <c r="AE333" i="111" s="1"/>
  <c r="T58" i="111" s="1"/>
  <c r="AE441" i="111"/>
  <c r="AE443" i="111"/>
  <c r="AE444" i="111" s="1"/>
  <c r="T76" i="111" s="1"/>
  <c r="E443" i="111"/>
  <c r="E444" i="111" s="1"/>
  <c r="T73" i="111" s="1"/>
  <c r="E441" i="111"/>
  <c r="AE219" i="111"/>
  <c r="AE221" i="111"/>
  <c r="AE222" i="111" s="1"/>
  <c r="AE367" i="111"/>
  <c r="AE369" i="111"/>
  <c r="AE370" i="111" s="1"/>
  <c r="T64" i="111" s="1"/>
  <c r="E330" i="111"/>
  <c r="E332" i="111"/>
  <c r="E333" i="111" s="1"/>
  <c r="T55" i="111" s="1"/>
  <c r="E404" i="111"/>
  <c r="E406" i="111"/>
  <c r="E407" i="111" s="1"/>
  <c r="T67" i="111" s="1"/>
  <c r="E515" i="111"/>
  <c r="E517" i="111"/>
  <c r="E518" i="111" s="1"/>
  <c r="T82" i="111" s="1"/>
  <c r="AE108" i="111"/>
  <c r="AE110" i="111"/>
  <c r="AE111" i="111" s="1"/>
  <c r="AE145" i="111"/>
  <c r="AE147" i="111"/>
  <c r="AE148" i="111" s="1"/>
  <c r="T28" i="111" s="1"/>
  <c r="E478" i="111"/>
  <c r="E480" i="111"/>
  <c r="E481" i="111" s="1"/>
  <c r="T79" i="111" s="1"/>
  <c r="AE34" i="111"/>
  <c r="AE36" i="111"/>
  <c r="AE37" i="111" s="1"/>
  <c r="T10" i="111" s="1"/>
  <c r="E219" i="111"/>
  <c r="E221" i="111"/>
  <c r="E222" i="111" s="1"/>
  <c r="T37" i="111" s="1"/>
  <c r="E256" i="111"/>
  <c r="E258" i="111"/>
  <c r="E259" i="111" s="1"/>
  <c r="E182" i="111"/>
  <c r="E184" i="111"/>
  <c r="E185" i="111" s="1"/>
  <c r="E108" i="111"/>
  <c r="E110" i="111"/>
  <c r="E111" i="111" s="1"/>
  <c r="E147" i="111"/>
  <c r="E148" i="111" s="1"/>
  <c r="T25" i="111" s="1"/>
  <c r="E145" i="111"/>
  <c r="E71" i="111"/>
  <c r="E73" i="111"/>
  <c r="E74" i="111" s="1"/>
  <c r="T13" i="111" s="1"/>
  <c r="E34" i="111"/>
  <c r="T85" i="111"/>
  <c r="T46" i="111"/>
  <c r="T6" i="111"/>
  <c r="T7" i="111"/>
  <c r="T45" i="111" l="1"/>
  <c r="T36" i="111"/>
  <c r="T51" i="111"/>
  <c r="T69" i="111"/>
  <c r="T39" i="111"/>
  <c r="AO18" i="132" s="1"/>
  <c r="T54" i="111"/>
  <c r="AO23" i="132" s="1"/>
  <c r="T57" i="111"/>
  <c r="AO24" i="132" s="1"/>
  <c r="T75" i="111"/>
  <c r="AO30" i="132" s="1"/>
  <c r="T78" i="111"/>
  <c r="AO31" i="132" s="1"/>
  <c r="T9" i="111"/>
  <c r="AO8" i="132" s="1"/>
  <c r="T63" i="111"/>
  <c r="AO26" i="132" s="1"/>
  <c r="T21" i="111"/>
  <c r="AO12" i="132" s="1"/>
  <c r="T60" i="111"/>
  <c r="AO25" i="132" s="1"/>
  <c r="T81" i="111"/>
  <c r="AO32" i="132" s="1"/>
  <c r="T18" i="111"/>
  <c r="AO11" i="132" s="1"/>
  <c r="T30" i="111"/>
  <c r="AO15" i="132" s="1"/>
  <c r="T66" i="111"/>
  <c r="AO27" i="132" s="1"/>
  <c r="T24" i="111"/>
  <c r="AO13" i="132" s="1"/>
  <c r="T12" i="111"/>
  <c r="AO9" i="132" s="1"/>
  <c r="T42" i="111"/>
  <c r="AO19" i="132" s="1"/>
  <c r="T15" i="111"/>
  <c r="AO10" i="132" s="1"/>
  <c r="T48" i="111"/>
  <c r="AO21" i="132" s="1"/>
  <c r="T70" i="111"/>
  <c r="AX28" i="132" s="1"/>
  <c r="T52" i="111"/>
  <c r="AX22" i="132" s="1"/>
  <c r="T31" i="111"/>
  <c r="AX15" i="132" s="1"/>
  <c r="T72" i="111"/>
  <c r="AO29" i="132" s="1"/>
  <c r="T84" i="111"/>
  <c r="AO33" i="132" s="1"/>
  <c r="T27" i="111"/>
  <c r="AO14" i="132" s="1"/>
  <c r="T40" i="111"/>
  <c r="AX18" i="132" s="1"/>
  <c r="T19" i="111"/>
  <c r="AX11" i="132" s="1"/>
  <c r="T43" i="111"/>
  <c r="AX19" i="132" s="1"/>
  <c r="T22" i="111"/>
  <c r="AX12" i="132" s="1"/>
  <c r="T33" i="111"/>
  <c r="AO16" i="132" s="1"/>
  <c r="AX26" i="132"/>
  <c r="AX14" i="132"/>
  <c r="AX8" i="132"/>
  <c r="AX23" i="132"/>
  <c r="AX32" i="132"/>
  <c r="AX27" i="132"/>
  <c r="AX24" i="132"/>
  <c r="AX17" i="132"/>
  <c r="AO22" i="132"/>
  <c r="AX30" i="132"/>
  <c r="AX7" i="132"/>
  <c r="D43" i="133" s="1" a="1"/>
  <c r="D43" i="133" s="1"/>
  <c r="K43" i="133" s="1"/>
  <c r="AO7" i="132"/>
  <c r="AX29" i="132"/>
  <c r="AX25" i="132"/>
  <c r="AX31" i="132"/>
  <c r="AX21" i="132"/>
  <c r="AO20" i="132"/>
  <c r="AX33" i="132"/>
  <c r="AO28" i="132"/>
  <c r="AX16" i="132"/>
  <c r="AX13" i="132"/>
  <c r="AO17" i="132"/>
  <c r="AX10" i="132"/>
  <c r="AX9" i="132"/>
  <c r="AX20" i="132"/>
  <c r="F43" i="133" l="1" a="1"/>
  <c r="F43" i="133" s="1"/>
  <c r="O43" i="133" s="1"/>
  <c r="N41" i="138" s="1"/>
  <c r="AO36" i="132" a="1"/>
  <c r="AO36" i="132" s="1"/>
  <c r="AX44" i="132" a="1"/>
  <c r="AX44" i="132" s="1"/>
  <c r="AO38" i="132" a="1"/>
  <c r="AO38" i="132" s="1"/>
  <c r="AO41" i="132" a="1"/>
  <c r="AO41" i="132" s="1"/>
  <c r="AX36" i="132" a="1"/>
  <c r="AX36" i="132" s="1"/>
  <c r="AO39" i="132" a="1"/>
  <c r="AO39" i="132" s="1"/>
  <c r="H43" i="133" a="1"/>
  <c r="H43" i="133" s="1"/>
  <c r="S43" i="133" s="1"/>
  <c r="R41" i="138" s="1"/>
  <c r="AO35" i="132" a="1"/>
  <c r="AO35" i="132" s="1"/>
  <c r="AX41" i="132" a="1"/>
  <c r="AX41" i="132" s="1"/>
  <c r="AX42" i="132" a="1"/>
  <c r="AX42" i="132" s="1"/>
  <c r="E43" i="133" a="1"/>
  <c r="E43" i="133" s="1"/>
  <c r="M43" i="133" s="1"/>
  <c r="L41" i="138" s="1"/>
  <c r="G43" i="133" a="1"/>
  <c r="G43" i="133" s="1"/>
  <c r="Q43" i="133" s="1"/>
  <c r="P41" i="138" s="1"/>
  <c r="AX38" i="132" a="1"/>
  <c r="AX38" i="132" s="1"/>
  <c r="AX40" i="132" a="1"/>
  <c r="AX40" i="132" s="1"/>
  <c r="AO37" i="132" a="1"/>
  <c r="AO37" i="132" s="1"/>
  <c r="AX37" i="132" a="1"/>
  <c r="AX37" i="132" s="1"/>
  <c r="AX43" i="132" a="1"/>
  <c r="AX43" i="132" s="1"/>
  <c r="AO40" i="132" a="1"/>
  <c r="AO40" i="132" s="1"/>
  <c r="AO43" i="132" a="1"/>
  <c r="AO43" i="132" s="1"/>
  <c r="AO44" i="132" a="1"/>
  <c r="AO44" i="132" s="1"/>
  <c r="AO42" i="132" a="1"/>
  <c r="AO42" i="132" s="1"/>
  <c r="AX39" i="132" a="1"/>
  <c r="AX39" i="132" s="1"/>
  <c r="AX35" i="132" a="1"/>
  <c r="AX35" i="132" s="1"/>
  <c r="J41" i="138"/>
  <c r="BZ7" i="132" l="1" a="1"/>
  <c r="BZ7" i="132" s="1"/>
  <c r="BZ41" i="132" s="1" a="1"/>
  <c r="BZ41" i="132" s="1"/>
  <c r="BZ34" i="132" l="1" a="1"/>
  <c r="BZ34" i="132" s="1"/>
  <c r="E73" i="133" a="1"/>
  <c r="E73" i="133" s="1"/>
  <c r="BZ38" i="132" a="1"/>
  <c r="BZ38" i="132" s="1"/>
  <c r="BZ35" i="132" a="1"/>
  <c r="BZ35" i="132" s="1"/>
  <c r="F73" i="133" a="1"/>
  <c r="F73" i="133" s="1"/>
  <c r="BZ40" i="132" a="1"/>
  <c r="BZ40" i="132" s="1"/>
  <c r="D73" i="133" a="1"/>
  <c r="D73" i="133" s="1"/>
  <c r="BZ36" i="132" a="1"/>
  <c r="BZ36" i="132" s="1"/>
  <c r="G73" i="133" a="1"/>
  <c r="G73" i="133" s="1"/>
  <c r="BZ39" i="132" a="1"/>
  <c r="BZ39" i="132" s="1"/>
  <c r="BZ37" i="132" a="1"/>
  <c r="BZ37" i="132" s="1"/>
  <c r="H73" i="133" a="1"/>
  <c r="H73" i="1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tc={A6595AA7-BE78-43BC-A1EA-46AE9A971861}</author>
    <author>tc={4792F912-96A0-4F5C-A160-981931227189}</author>
    <author>tc={2D3F5DB9-EEDD-4422-970B-C284499AB8FB}</author>
    <author>tc={E0440D7E-F296-4DA8-8B47-7FA064A08FF6}</author>
    <author>tc={5E66A81A-2661-400E-BAD3-226B3D19B613}</author>
    <author>tc={F5622972-9244-4AC0-96BD-235D2BE87C19}</author>
    <author>tc={5D989AC7-38A4-4E05-AF8F-6F448FAF571C}</author>
  </authors>
  <commentList>
    <comment ref="AZ98" authorId="0" shapeId="0" xr:uid="{A6595AA7-BE78-43BC-A1EA-46AE9A971861}">
      <text>
        <t>[Threaded comment]
Your version of Excel allows you to read this threaded comment; however, any edits to it will get removed if the file is opened in a newer version of Excel. Learn more: https://go.microsoft.com/fwlink/?linkid=870924
Comment:
    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
      </text>
    </comment>
    <comment ref="AZ100" authorId="1" shapeId="0" xr:uid="{4792F912-96A0-4F5C-A160-981931227189}">
      <text>
        <t>[Threaded comment]
Your version of Excel allows you to read this threaded comment; however, any edits to it will get removed if the file is opened in a newer version of Excel. Learn more: https://go.microsoft.com/fwlink/?linkid=870924
Comment:
    DST:
Capital costs are annualized as $/animal/year. 
They include costs of construction and equipment needed for all unit processes in the given MMS scenario. 
These costs are calculated from the initial purchase price, expected lifetime, annual usage, salvage value, and interest.</t>
      </text>
    </comment>
    <comment ref="AZ101" authorId="2" shapeId="0" xr:uid="{2D3F5DB9-EEDD-4422-970B-C284499AB8FB}">
      <text>
        <t>[Threaded comment]
Your version of Excel allows you to read this threaded comment; however, any edits to it will get removed if the file is opened in a newer version of Excel. Learn more: https://go.microsoft.com/fwlink/?linkid=870924
Comment:
    DST:
Operational costs are reported in annual $/animal/year. 
These costs include insurance, repair and maintenance, electricity, fuel, lube, and labor for the MMS in the given scenario.</t>
      </text>
    </comment>
    <comment ref="AZ103" authorId="3" shapeId="0" xr:uid="{E0440D7E-F296-4DA8-8B47-7FA064A08FF6}">
      <text>
        <t>[Threaded comment]
Your version of Excel allows you to read this threaded comment; however, any edits to it will get removed if the file is opened in a newer version of Excel. Learn more: https://go.microsoft.com/fwlink/?linkid=870924
Comment:
    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
      </text>
    </comment>
    <comment ref="AZ104" authorId="4" shapeId="0" xr:uid="{5E66A81A-2661-400E-BAD3-226B3D19B613}">
      <text>
        <t>[Threaded comment]
Your version of Excel allows you to read this threaded comment; however, any edits to it will get removed if the file is opened in a newer version of Excel. Learn more: https://go.microsoft.com/fwlink/?linkid=870924
Comment:
    DST:
Cost savings are reported in $/animal/year. 
These include cost savings from avoided resource use, such as recycled water and bedding.</t>
      </text>
    </comment>
    <comment ref="AZ105" authorId="5" shapeId="0" xr:uid="{F5622972-9244-4AC0-96BD-235D2BE87C19}">
      <text>
        <t>[Threaded comment]
Your version of Excel allows you to read this threaded comment; however, any edits to it will get removed if the file is opened in a newer version of Excel. Learn more: https://go.microsoft.com/fwlink/?linkid=870924
Comment:
    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
      </text>
    </comment>
    <comment ref="AZ106" authorId="6" shapeId="0" xr:uid="{5D989AC7-38A4-4E05-AF8F-6F448FAF571C}">
      <text>
        <t>[Threaded comment]
Your version of Excel allows you to read this threaded comment; however, any edits to it will get removed if the file is opened in a newer version of Excel. Learn more: https://go.microsoft.com/fwlink/?linkid=870924
Comment:
    DST:
Negative values (and bars in graph) indicate that costs exceed benefits by the given amount; positive values (and bars in graph) indicate that benefits exceed costs by the given amount.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tc={9F758521-8AF0-436A-9E0D-6000A5FA39F0}</author>
  </authors>
  <commentList>
    <comment ref="N466" authorId="0" shapeId="0" xr:uid="{9F758521-8AF0-436A-9E0D-6000A5FA39F0}">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tc={CD61A0FD-E5FE-4EB3-ABEC-FC91409F5D96}</author>
    <author>tc={6A00705B-9AD8-41EC-B00C-D362D8CB85CE}</author>
    <author>tc={26E77BA5-AB1F-4F5F-A0E7-5B35F8DAE36C}</author>
  </authors>
  <commentList>
    <comment ref="N341" authorId="0" shapeId="0" xr:uid="{CD61A0FD-E5FE-4EB3-ABEC-FC91409F5D96}">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O341" authorId="1" shapeId="0" xr:uid="{6A00705B-9AD8-41EC-B00C-D362D8CB85CE}">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N498" authorId="2" shapeId="0" xr:uid="{26E77BA5-AB1F-4F5F-A0E7-5B35F8DAE36C}">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tc={0D05FC37-12F1-4DA3-9DEC-342F7BA05F76}</author>
  </authors>
  <commentList>
    <comment ref="B353" authorId="0" shapeId="0" xr:uid="{0D05FC37-12F1-4DA3-9DEC-342F7BA05F76}">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tc={B2E17018-6C37-416E-BD42-E06DA2552867}</author>
  </authors>
  <commentList>
    <comment ref="B386" authorId="0" shapeId="0" xr:uid="{B2E17018-6C37-416E-BD42-E06DA2552867}">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tc={BDB0F4C0-01D7-4AD3-805D-ACC453AC9F97}</author>
  </authors>
  <commentList>
    <comment ref="B353" authorId="0" shapeId="0" xr:uid="{BDB0F4C0-01D7-4AD3-805D-ACC453AC9F97}">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tc={B084FD37-5850-44F1-9E62-59658A8047D9}</author>
  </authors>
  <commentList>
    <comment ref="B452" authorId="0" shapeId="0" xr:uid="{B084FD37-5850-44F1-9E62-59658A8047D9}">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tc={6206E44F-700B-40B3-828F-E43A13E3DF7A}</author>
  </authors>
  <commentList>
    <comment ref="B486" authorId="0" shapeId="0" xr:uid="{6206E44F-700B-40B3-828F-E43A13E3DF7A}">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tc={AA3686A0-5E40-4BF4-95E1-5C781EBD8861}</author>
  </authors>
  <commentList>
    <comment ref="B452" authorId="0" shapeId="0" xr:uid="{AA3686A0-5E40-4BF4-95E1-5C781EBD8861}">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tc={8A31C49A-6DDB-47B4-AF2D-C3299FB5368D}</author>
    <author>tc={3D011255-600F-49C1-99C5-13D19E009C42}</author>
    <author>tc={6A0FCBC2-BE2B-4059-9597-F7AB8F4A3422}</author>
  </authors>
  <commentList>
    <comment ref="N401" authorId="0" shapeId="0" xr:uid="{8A31C49A-6DDB-47B4-AF2D-C3299FB5368D}">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B403" authorId="1" shapeId="0" xr:uid="{3D011255-600F-49C1-99C5-13D19E009C42}">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 ref="B454" authorId="2" shapeId="0" xr:uid="{6A0FCBC2-BE2B-4059-9597-F7AB8F4A3422}">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tc={925598C0-A370-4B04-8FF2-237761F08625}</author>
    <author>tc={1DCE39B6-60DE-414D-AFA3-4B2F4BF0ABD4}</author>
    <author>tc={B52AC329-AB8D-4067-9B3D-F0D1C4E24BE9}</author>
    <author>tc={2E63B876-2E65-4FCB-AF37-2AB15E964318}</author>
  </authors>
  <commentList>
    <comment ref="N434" authorId="0" shapeId="0" xr:uid="{925598C0-A370-4B04-8FF2-237761F08625}">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B436" authorId="1" shapeId="0" xr:uid="{1DCE39B6-60DE-414D-AFA3-4B2F4BF0ABD4}">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 ref="F443" authorId="2" shapeId="0" xr:uid="{B52AC329-AB8D-4067-9B3D-F0D1C4E24BE9}">
      <text>
        <t>[Threaded comment]
Your version of Excel allows you to read this threaded comment; however, any edits to it will get removed if the file is opened in a newer version of Excel. Learn more: https://go.microsoft.com/fwlink/?linkid=870924
Comment:
    this could be calculated using EPA ag star equation, or equation created from NRCS data for cost of lagoon plus cost of lagoon cover</t>
      </text>
    </comment>
    <comment ref="B487" authorId="3" shapeId="0" xr:uid="{2E63B876-2E65-4FCB-AF37-2AB15E964318}">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tc={F2F7849C-2416-4077-B149-C2D0E2D9CA81}</author>
    <author>tc={5F94CB22-CA28-4D2C-907B-9601EBE405E8}</author>
    <author>tc={C3B25A34-8FDE-44A3-BE5E-5CA44D351524}</author>
    <author>tc={0A6FC94C-0527-42D4-B76F-12581BCA5D20}</author>
    <author>tc={00C99F13-54AB-404E-8486-3B6BE5A5EFB2}</author>
    <author>tc={138D0C50-4CF9-4258-B0F7-D0CB21CA5073}</author>
    <author>tc={1981C9DE-E8E9-42EF-B493-EF1D72070587}</author>
    <author>tc={50B62E81-80A7-48C3-8C26-11AA054BCF9A}</author>
    <author>tc={5CEB85C6-E045-4E76-88DD-6B02B2E4DE14}</author>
    <author>tc={BB6DE31D-7185-42FA-A56E-46A4746346DB}</author>
    <author>tc={A2C06F64-864E-472A-90BB-399CD32CD276}</author>
    <author>tc={F4786EFD-0094-4229-A762-B42CE30DD579}</author>
    <author>tc={58F3EBA4-33EF-40F2-92BF-8220F3327B1A}</author>
  </authors>
  <commentList>
    <comment ref="D19" authorId="0" shapeId="0" xr:uid="{F2F7849C-2416-4077-B149-C2D0E2D9CA81}">
      <text>
        <t>[Threaded comment]
Your version of Excel allows you to read this threaded comment; however, any edits to it will get removed if the file is opened in a newer version of Excel. Learn more: https://go.microsoft.com/fwlink/?linkid=870924
Comment:
    DST:
Capital costs are annualized as $/animal/year. 
They include costs of construction and equipment needed for all unit processes in the given MMS scenario. 
These costs are calculated from the initial purchase price, expected lifetime, annual usage, salvage value, and interest.</t>
      </text>
    </comment>
    <comment ref="D20" authorId="1" shapeId="0" xr:uid="{5F94CB22-CA28-4D2C-907B-9601EBE405E8}">
      <text>
        <t>[Threaded comment]
Your version of Excel allows you to read this threaded comment; however, any edits to it will get removed if the file is opened in a newer version of Excel. Learn more: https://go.microsoft.com/fwlink/?linkid=870924
Comment:
    DST:
Operational costs are reported in annual $/animal/year. 
These costs include insurance, repair and maintenance, electricity, fuel, lube, and labor for the MMS in the given scenario.</t>
      </text>
    </comment>
    <comment ref="D21" authorId="2" shapeId="0" xr:uid="{C3B25A34-8FDE-44A3-BE5E-5CA44D351524}">
      <text>
        <t>[Threaded comment]
Your version of Excel allows you to read this threaded comment; however, any edits to it will get removed if the file is opened in a newer version of Excel. Learn more: https://go.microsoft.com/fwlink/?linkid=870924
Comment:
    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
      </text>
    </comment>
    <comment ref="D22" authorId="3" shapeId="0" xr:uid="{0A6FC94C-0527-42D4-B76F-12581BCA5D20}">
      <text>
        <t>[Threaded comment]
Your version of Excel allows you to read this threaded comment; however, any edits to it will get removed if the file is opened in a newer version of Excel. Learn more: https://go.microsoft.com/fwlink/?linkid=870924
Comment:
    DST:
Cost savings are reported in $/animal/year. 
These include cost savings from avoided resource use, such as recycled water and bedding.</t>
      </text>
    </comment>
    <comment ref="D23" authorId="4" shapeId="0" xr:uid="{00C99F13-54AB-404E-8486-3B6BE5A5EFB2}">
      <text>
        <t>[Threaded comment]
Your version of Excel allows you to read this threaded comment; however, any edits to it will get removed if the file is opened in a newer version of Excel. Learn more: https://go.microsoft.com/fwlink/?linkid=870924
Comment:
    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
      </text>
    </comment>
    <comment ref="D24" authorId="5" shapeId="0" xr:uid="{138D0C50-4CF9-4258-B0F7-D0CB21CA5073}">
      <text>
        <t>[Threaded comment]
Your version of Excel allows you to read this threaded comment; however, any edits to it will get removed if the file is opened in a newer version of Excel. Learn more: https://go.microsoft.com/fwlink/?linkid=870924
Comment:
    DST:
Negative values (and bars in graph) indicate that costs exceed benefits by the given amount; positive values (and bars in graph) indicate that benefits exceed costs by the given amount.</t>
      </text>
    </comment>
    <comment ref="AZ101" authorId="6" shapeId="0" xr:uid="{1981C9DE-E8E9-42EF-B493-EF1D72070587}">
      <text>
        <t>[Threaded comment]
Your version of Excel allows you to read this threaded comment; however, any edits to it will get removed if the file is opened in a newer version of Excel. Learn more: https://go.microsoft.com/fwlink/?linkid=870924
Comment:
    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
      </text>
    </comment>
    <comment ref="AZ103" authorId="7" shapeId="0" xr:uid="{50B62E81-80A7-48C3-8C26-11AA054BCF9A}">
      <text>
        <t>[Threaded comment]
Your version of Excel allows you to read this threaded comment; however, any edits to it will get removed if the file is opened in a newer version of Excel. Learn more: https://go.microsoft.com/fwlink/?linkid=870924
Comment:
    DST:
Capital costs are annualized as $/animal/year. 
They include costs of construction and equipment needed for all unit processes in the given MMS scenario. 
These costs are calculated from the initial purchase price, expected lifetime, annual usage, salvage value, and interest.</t>
      </text>
    </comment>
    <comment ref="AZ104" authorId="8" shapeId="0" xr:uid="{5CEB85C6-E045-4E76-88DD-6B02B2E4DE14}">
      <text>
        <t>[Threaded comment]
Your version of Excel allows you to read this threaded comment; however, any edits to it will get removed if the file is opened in a newer version of Excel. Learn more: https://go.microsoft.com/fwlink/?linkid=870924
Comment:
    DST:
Operational costs are reported in annual $/animal/year. 
These costs include insurance, repair and maintenance, electricity, fuel, lube, and labor for the MMS in the given scenario.</t>
      </text>
    </comment>
    <comment ref="AZ106" authorId="9" shapeId="0" xr:uid="{BB6DE31D-7185-42FA-A56E-46A4746346DB}">
      <text>
        <t>[Threaded comment]
Your version of Excel allows you to read this threaded comment; however, any edits to it will get removed if the file is opened in a newer version of Excel. Learn more: https://go.microsoft.com/fwlink/?linkid=870924
Comment:
    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
      </text>
    </comment>
    <comment ref="AZ107" authorId="10" shapeId="0" xr:uid="{A2C06F64-864E-472A-90BB-399CD32CD276}">
      <text>
        <t>[Threaded comment]
Your version of Excel allows you to read this threaded comment; however, any edits to it will get removed if the file is opened in a newer version of Excel. Learn more: https://go.microsoft.com/fwlink/?linkid=870924
Comment:
    DST:
Cost savings are reported in $/animal/year. 
These include cost savings from avoided resource use, such as recycled water and bedding.</t>
      </text>
    </comment>
    <comment ref="AZ108" authorId="11" shapeId="0" xr:uid="{F4786EFD-0094-4229-A762-B42CE30DD579}">
      <text>
        <t>[Threaded comment]
Your version of Excel allows you to read this threaded comment; however, any edits to it will get removed if the file is opened in a newer version of Excel. Learn more: https://go.microsoft.com/fwlink/?linkid=870924
Comment:
    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
      </text>
    </comment>
    <comment ref="AZ109" authorId="12" shapeId="0" xr:uid="{58F3EBA4-33EF-40F2-92BF-8220F3327B1A}">
      <text>
        <t>[Threaded comment]
Your version of Excel allows you to read this threaded comment; however, any edits to it will get removed if the file is opened in a newer version of Excel. Learn more: https://go.microsoft.com/fwlink/?linkid=870924
Comment:
    DST:
Negative values (and bars in graph) indicate that costs exceed benefits by the given amount; positive values (and bars in graph) indicate that benefits exceed costs by the given amount.</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tc={8E4CA411-914D-42CE-B0C5-A7D262845373}</author>
    <author>tc={AE60F49A-828F-4834-9A26-7B7DD5E5012D}</author>
    <author>tc={9E174F8A-592D-421E-817A-9CC03E92B593}</author>
    <author>tc={ADC99375-A02D-4559-B386-59B09BA5F5AE}</author>
  </authors>
  <commentList>
    <comment ref="N400" authorId="0" shapeId="0" xr:uid="{8E4CA411-914D-42CE-B0C5-A7D262845373}">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B402" authorId="1" shapeId="0" xr:uid="{AE60F49A-828F-4834-9A26-7B7DD5E5012D}">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 ref="F409" authorId="2" shapeId="0" xr:uid="{9E174F8A-592D-421E-817A-9CC03E92B593}">
      <text>
        <t>[Threaded comment]
Your version of Excel allows you to read this threaded comment; however, any edits to it will get removed if the file is opened in a newer version of Excel. Learn more: https://go.microsoft.com/fwlink/?linkid=870924
Comment:
    this could be calculated using EPA ag star equation, or equation created from NRCS data for cost of lagoon plus cost of lagoon cover</t>
      </text>
    </comment>
    <comment ref="B453" authorId="3" shapeId="0" xr:uid="{ADC99375-A02D-4559-B386-59B09BA5F5AE}">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tc={AC382ED1-E07E-470C-BE9B-DA39948E19FD}</author>
    <author>tc={3FC9F05A-CA1E-48D4-8256-316323B59AFE}</author>
  </authors>
  <commentList>
    <comment ref="N427" authorId="0" shapeId="0" xr:uid="{AC382ED1-E07E-470C-BE9B-DA39948E19FD}">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N585" authorId="1" shapeId="0" xr:uid="{3FC9F05A-CA1E-48D4-8256-316323B59AFE}">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tc={97D81F0C-AB86-46C2-BF51-55279FEC2559}</author>
    <author>tc={FACD5AA7-2450-47CE-832E-389943676B43}</author>
    <author>tc={7BF18413-630A-4234-9946-AD82A4EFBBA6}</author>
    <author>tc={666B3AFF-1DCE-4000-AC76-31902B4BB7E4}</author>
    <author>tc={3D71964E-9C1F-4B5C-B0D6-9DE04B5B2F9F}</author>
    <author>tc={B7A6838E-EEF0-4D7A-AF0D-71344D04A138}</author>
  </authors>
  <commentList>
    <comment ref="N442" authorId="0" shapeId="0" xr:uid="{97D81F0C-AB86-46C2-BF51-55279FEC2559}">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O442" authorId="1" shapeId="0" xr:uid="{FACD5AA7-2450-47CE-832E-389943676B43}">
      <text>
        <t>[Threaded comment]
Your version of Excel allows you to read this threaded comment; however, any edits to it will get removed if the file is opened in a newer version of Excel. Learn more: https://go.microsoft.com/fwlink/?linkid=870924
Comment:
    CRV accounts for PP, salvage, depreciation, discount rate</t>
      </text>
    </comment>
    <comment ref="E471" authorId="2" shapeId="0" xr:uid="{7BF18413-630A-4234-9946-AD82A4EFBBA6}">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 ref="E472" authorId="3" shapeId="0" xr:uid="{666B3AFF-1DCE-4000-AC76-31902B4BB7E4}">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E475" authorId="4" shapeId="0" xr:uid="{3D71964E-9C1F-4B5C-B0D6-9DE04B5B2F9F}">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 ref="E476" authorId="5" shapeId="0" xr:uid="{B7A6838E-EEF0-4D7A-AF0D-71344D04A138}">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tc={26681BB4-D637-4784-BC4E-DFB8083D86AC}</author>
    <author>tc={9679787E-5C1F-4D21-86D0-1246D9825C50}</author>
    <author>tc={9D4D6094-3CAD-4ED2-A59A-80C1AC8D8A53}</author>
    <author>tc={2F562844-7AF6-4AB7-BD24-551B42AA47A8}</author>
    <author>tc={07B38E62-4A67-46C8-A831-DD041B277A07}</author>
    <author>tc={D743BC6E-C5F5-422C-B93B-418EFCE85538}</author>
    <author>tc={EB39364E-9012-4116-89AD-804DCC21A99F}</author>
    <author>tc={4728B079-93F3-455C-AA42-FDABCDD91BC6}</author>
    <author>tc={8F952C8B-8EDE-428E-9178-5CB6B6888658}</author>
    <author>tc={C895105B-340C-41AC-A2DB-89E3E2D3A8AE}</author>
    <author>tc={EB5E2D17-1E2D-4F53-9A99-4CE21F873801}</author>
    <author>tc={9E1AA03D-DEBE-4BE9-AE63-FA03DB6CD5C4}</author>
    <author>tc={C7417F51-46C1-47EE-93F1-A4528F45E3AF}</author>
    <author>tc={D0408E0B-7B55-4736-A004-99A36CAF1E5E}</author>
  </authors>
  <commentList>
    <comment ref="B475" authorId="0" shapeId="0" xr:uid="{26681BB4-D637-4784-BC4E-DFB8083D86AC}">
      <text>
        <t>[Threaded comment]
Your version of Excel allows you to read this threaded comment; however, any edits to it will get removed if the file is opened in a newer version of Excel. Learn more: https://go.microsoft.com/fwlink/?linkid=870924
Comment:
    Here I assume the liner area is equal to surface area</t>
      </text>
    </comment>
    <comment ref="E493" authorId="1" shapeId="0" xr:uid="{9679787E-5C1F-4D21-86D0-1246D9825C50}">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 ref="E494" authorId="2" shapeId="0" xr:uid="{9D4D6094-3CAD-4ED2-A59A-80C1AC8D8A53}">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E497" authorId="3" shapeId="0" xr:uid="{2F562844-7AF6-4AB7-BD24-551B42AA47A8}">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 ref="E498" authorId="4" shapeId="0" xr:uid="{07B38E62-4A67-46C8-A831-DD041B277A07}">
      <text>
        <t>[Threaded comment]
Your version of Excel allows you to read this threaded comment; however, any edits to it will get removed if the file is opened in a newer version of Excel. Learn more: https://go.microsoft.com/fwlink/?linkid=870924
Comment:
    link to tractor usage tables</t>
      </text>
    </comment>
    <comment ref="H535" authorId="5" shapeId="0" xr:uid="{D743BC6E-C5F5-422C-B93B-418EFCE85538}">
      <text>
        <t>[Threaded comment]
Your version of Excel allows you to read this threaded comment; however, any edits to it will get removed if the file is opened in a newer version of Excel. Learn more: https://go.microsoft.com/fwlink/?linkid=870924
Comment:
    for transfering solids to box spreader</t>
      </text>
    </comment>
    <comment ref="E536" authorId="6" shapeId="0" xr:uid="{EB39364E-9012-4116-89AD-804DCC21A99F}">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E539" authorId="7" shapeId="0" xr:uid="{4728B079-93F3-455C-AA42-FDABCDD91BC6}">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E543" authorId="8" shapeId="0" xr:uid="{8F952C8B-8EDE-428E-9178-5CB6B6888658}">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H674" authorId="9" shapeId="0" xr:uid="{C895105B-340C-41AC-A2DB-89E3E2D3A8AE}">
      <text>
        <t>[Threaded comment]
Your version of Excel allows you to read this threaded comment; however, any edits to it will get removed if the file is opened in a newer version of Excel. Learn more: https://go.microsoft.com/fwlink/?linkid=870924
Comment:
    for transfering solids to box spreader</t>
      </text>
    </comment>
    <comment ref="E678" authorId="10" shapeId="0" xr:uid="{EB5E2D17-1E2D-4F53-9A99-4CE21F873801}">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E679" authorId="11" shapeId="0" xr:uid="{9E1AA03D-DEBE-4BE9-AE63-FA03DB6CD5C4}">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F745" authorId="12" shapeId="0" xr:uid="{C7417F51-46C1-47EE-93F1-A4528F45E3AF}">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 ref="F749" authorId="13" shapeId="0" xr:uid="{D0408E0B-7B55-4736-A004-99A36CAF1E5E}">
      <text>
        <t>[Threaded comment]
Your version of Excel allows you to read this threaded comment; however, any edits to it will get removed if the file is opened in a newer version of Excel. Learn more: https://go.microsoft.com/fwlink/?linkid=870924
Comment:
    link to tractor usage table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Erin</author>
  </authors>
  <commentList>
    <comment ref="D23" authorId="0" shapeId="0" xr:uid="{2BB6171D-74DA-451D-B394-193190B7014F}">
      <text>
        <r>
          <rPr>
            <sz val="9"/>
            <color indexed="81"/>
            <rFont val="Tahoma"/>
            <family val="2"/>
          </rPr>
          <t>A measure of how many farms are using the technology relative to the total number of farms on which it could be appropriately used.</t>
        </r>
      </text>
    </comment>
    <comment ref="D24" authorId="0" shapeId="0" xr:uid="{EA075C93-B55D-4276-9253-5AC0B60C7907}">
      <text>
        <r>
          <rPr>
            <sz val="9"/>
            <color indexed="81"/>
            <rFont val="Tahoma"/>
            <family val="2"/>
          </rPr>
          <t>The value here is based on the expected downtime of a system as a percentage of total operating time. Lower scores here are considered better, as they relate to lower downtimes. 
Note that scores for each unit process in the technology can range from 1.14% (very reliable, with breakdowns less than once every two or more years) to 14.25% (very unreliable, with breakdowns likely weekly).</t>
        </r>
      </text>
    </comment>
    <comment ref="D25" authorId="0" shapeId="0" xr:uid="{1DFCE717-D7B0-4132-8C5A-96C9C4DA6D9B}">
      <text>
        <r>
          <rPr>
            <sz val="9"/>
            <color indexed="81"/>
            <rFont val="Tahoma"/>
            <family val="2"/>
          </rPr>
          <t>A measure of the ability of the manure management system and broader farm operation to continue to function acceptably with minimal delay or other negative impact when the technology breaks, goes offline or otherwise malfunctions.
Resilience scores range from 1 (technology performs a critical task without backup measures normally being easily implemented; where consequences of malfunction are potentially very significant and extend beyond manure management) to 5 (technology performs an independent task where consequences of malfunction have minimal or no negative consequence for the rest of the manure management system or farm operation), where larger values are considered better. 
The score provided in the results for each scenario is taken as the minimum score across all technologies/unit processes comprising a given scenario, since the resilience of the whole system is based on the weakest link of the system.</t>
        </r>
      </text>
    </comment>
    <comment ref="D26" authorId="0" shapeId="0" xr:uid="{BF2991D8-AF1E-4897-8BCE-AF13F656CB09}">
      <text>
        <r>
          <rPr>
            <sz val="9"/>
            <color indexed="81"/>
            <rFont val="Tahoma"/>
            <family val="2"/>
          </rPr>
          <t xml:space="preserve">The estimated amount of labor required to land apply manure nutrients on the farm. </t>
        </r>
      </text>
    </comment>
    <comment ref="D27" authorId="0" shapeId="0" xr:uid="{D56E1A84-0586-4BD2-B6E0-CA611F1BB2CF}">
      <text>
        <r>
          <rPr>
            <sz val="9"/>
            <color indexed="81"/>
            <rFont val="Tahoma"/>
            <family val="2"/>
          </rPr>
          <t>Calculated as the difference between the estimated land needed to apply all manure nutrients and the amount of land available, as indicated on the Farm Management page.</t>
        </r>
      </text>
    </comment>
    <comment ref="D28" authorId="0" shapeId="0" xr:uid="{DB1B12BB-9BDA-4A7B-92EF-423E0B481027}">
      <text>
        <r>
          <rPr>
            <sz val="9"/>
            <color indexed="81"/>
            <rFont val="Tahoma"/>
            <family val="2"/>
          </rPr>
          <t>A measure of how much manure must be exported off farm, which happens when there is not enough land available.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tc={A1436B12-BB35-4259-8CDA-F70661223E9F}</author>
    <author>tc={AB4C43C9-EC7F-42D1-ADA0-F7268F3BF558}</author>
    <author>tc={6B9ECC72-A014-4F56-92D8-443FBC6A58A6}</author>
    <author>tc={39CAD85D-7CD2-4173-9EA1-F9B52A1694A8}</author>
    <author>tc={DE6CA30F-AEAD-41C6-AAA8-ECC935736490}</author>
    <author>tc={7ECDC75A-7A1C-43E6-BE8D-CE3D5B4A1D4B}</author>
    <author>tc={DBFF7FB8-DA17-4666-B050-196E3B1734BA}</author>
  </authors>
  <commentList>
    <comment ref="AZ122" authorId="0" shapeId="0" xr:uid="{A1436B12-BB35-4259-8CDA-F70661223E9F}">
      <text>
        <t>[Threaded comment]
Your version of Excel allows you to read this threaded comment; however, any edits to it will get removed if the file is opened in a newer version of Excel. Learn more: https://go.microsoft.com/fwlink/?linkid=870924
Comment:
    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
      </text>
    </comment>
    <comment ref="AZ124" authorId="1" shapeId="0" xr:uid="{AB4C43C9-EC7F-42D1-ADA0-F7268F3BF558}">
      <text>
        <t>[Threaded comment]
Your version of Excel allows you to read this threaded comment; however, any edits to it will get removed if the file is opened in a newer version of Excel. Learn more: https://go.microsoft.com/fwlink/?linkid=870924
Comment:
    DST:
Capital costs are annualized as $/animal/year. 
They include costs of construction and equipment needed for all unit processes in the given MMS scenario. 
These costs are calculated from the initial purchase price, expected lifetime, annual usage, salvage value, and interest.</t>
      </text>
    </comment>
    <comment ref="AZ125" authorId="2" shapeId="0" xr:uid="{6B9ECC72-A014-4F56-92D8-443FBC6A58A6}">
      <text>
        <t>[Threaded comment]
Your version of Excel allows you to read this threaded comment; however, any edits to it will get removed if the file is opened in a newer version of Excel. Learn more: https://go.microsoft.com/fwlink/?linkid=870924
Comment:
    DST:
Operational costs are reported in annual $/animal/year. 
These costs include insurance, repair and maintenance, electricity, fuel, lube, and labor for the MMS in the given scenario.</t>
      </text>
    </comment>
    <comment ref="AZ127" authorId="3" shapeId="0" xr:uid="{39CAD85D-7CD2-4173-9EA1-F9B52A1694A8}">
      <text>
        <t>[Threaded comment]
Your version of Excel allows you to read this threaded comment; however, any edits to it will get removed if the file is opened in a newer version of Excel. Learn more: https://go.microsoft.com/fwlink/?linkid=870924
Comment:
    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
      </text>
    </comment>
    <comment ref="AZ128" authorId="4" shapeId="0" xr:uid="{DE6CA30F-AEAD-41C6-AAA8-ECC935736490}">
      <text>
        <t>[Threaded comment]
Your version of Excel allows you to read this threaded comment; however, any edits to it will get removed if the file is opened in a newer version of Excel. Learn more: https://go.microsoft.com/fwlink/?linkid=870924
Comment:
    DST:
Cost savings are reported in $/animal/year. 
These include cost savings from avoided resource use, such as recycled water and bedding.</t>
      </text>
    </comment>
    <comment ref="AZ129" authorId="5" shapeId="0" xr:uid="{7ECDC75A-7A1C-43E6-BE8D-CE3D5B4A1D4B}">
      <text>
        <t>[Threaded comment]
Your version of Excel allows you to read this threaded comment; however, any edits to it will get removed if the file is opened in a newer version of Excel. Learn more: https://go.microsoft.com/fwlink/?linkid=870924
Comment:
    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
      </text>
    </comment>
    <comment ref="AZ130" authorId="6" shapeId="0" xr:uid="{DBFF7FB8-DA17-4666-B050-196E3B1734BA}">
      <text>
        <t>[Threaded comment]
Your version of Excel allows you to read this threaded comment; however, any edits to it will get removed if the file is opened in a newer version of Excel. Learn more: https://go.microsoft.com/fwlink/?linkid=870924
Comment:
    DST:
Negative values (and bars in graph) indicate that costs exceed benefits by the given amount; positive values (and bars in graph) indicate that benefits exceed costs by the given amount.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tc={78DA5F0E-AE98-44BD-8E7D-05688D449432}</author>
    <author>tc={D5066020-D7D6-4043-A3A9-97FB45657654}</author>
    <author>tc={BD2FD09C-7FDB-42BA-AE6C-F1FC647C907E}</author>
    <author>tc={0F3BCE9E-A4D4-4B24-B379-56BC897A778A}</author>
    <author>tc={2936D0A4-00B0-40D2-B058-E5B30F417564}</author>
    <author>tc={86D78672-21CA-4D44-913B-D8270EDC54EB}</author>
    <author>tc={AA96D5A6-E0A8-463B-AD03-4F1A9CDC450D}</author>
  </authors>
  <commentList>
    <comment ref="AZ137" authorId="0" shapeId="0" xr:uid="{78DA5F0E-AE98-44BD-8E7D-05688D449432}">
      <text>
        <t>[Threaded comment]
Your version of Excel allows you to read this threaded comment; however, any edits to it will get removed if the file is opened in a newer version of Excel. Learn more: https://go.microsoft.com/fwlink/?linkid=870924
Comment:
    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
      </text>
    </comment>
    <comment ref="AZ139" authorId="1" shapeId="0" xr:uid="{D5066020-D7D6-4043-A3A9-97FB45657654}">
      <text>
        <t>[Threaded comment]
Your version of Excel allows you to read this threaded comment; however, any edits to it will get removed if the file is opened in a newer version of Excel. Learn more: https://go.microsoft.com/fwlink/?linkid=870924
Comment:
    DST:
Capital costs are annualized as $/animal/year. 
They include costs of construction and equipment needed for all unit processes in the given MMS scenario. 
These costs are calculated from the initial purchase price, expected lifetime, annual usage, salvage value, and interest.</t>
      </text>
    </comment>
    <comment ref="AZ140" authorId="2" shapeId="0" xr:uid="{BD2FD09C-7FDB-42BA-AE6C-F1FC647C907E}">
      <text>
        <t>[Threaded comment]
Your version of Excel allows you to read this threaded comment; however, any edits to it will get removed if the file is opened in a newer version of Excel. Learn more: https://go.microsoft.com/fwlink/?linkid=870924
Comment:
    DST:
Operational costs are reported in annual $/animal/year. 
These costs include insurance, repair and maintenance, electricity, fuel, lube, and labor for the MMS in the given scenario.</t>
      </text>
    </comment>
    <comment ref="AZ142" authorId="3" shapeId="0" xr:uid="{0F3BCE9E-A4D4-4B24-B379-56BC897A778A}">
      <text>
        <t>[Threaded comment]
Your version of Excel allows you to read this threaded comment; however, any edits to it will get removed if the file is opened in a newer version of Excel. Learn more: https://go.microsoft.com/fwlink/?linkid=870924
Comment:
    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
      </text>
    </comment>
    <comment ref="AZ143" authorId="4" shapeId="0" xr:uid="{2936D0A4-00B0-40D2-B058-E5B30F417564}">
      <text>
        <t>[Threaded comment]
Your version of Excel allows you to read this threaded comment; however, any edits to it will get removed if the file is opened in a newer version of Excel. Learn more: https://go.microsoft.com/fwlink/?linkid=870924
Comment:
    DST:
Cost savings are reported in $/animal/year. 
These include cost savings from avoided resource use, such as recycled water and bedding.</t>
      </text>
    </comment>
    <comment ref="AZ144" authorId="5" shapeId="0" xr:uid="{86D78672-21CA-4D44-913B-D8270EDC54EB}">
      <text>
        <t>[Threaded comment]
Your version of Excel allows you to read this threaded comment; however, any edits to it will get removed if the file is opened in a newer version of Excel. Learn more: https://go.microsoft.com/fwlink/?linkid=870924
Comment:
    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
      </text>
    </comment>
    <comment ref="AZ145" authorId="6" shapeId="0" xr:uid="{AA96D5A6-E0A8-463B-AD03-4F1A9CDC450D}">
      <text>
        <t>[Threaded comment]
Your version of Excel allows you to read this threaded comment; however, any edits to it will get removed if the file is opened in a newer version of Excel. Learn more: https://go.microsoft.com/fwlink/?linkid=870924
Comment:
    DST:
Negative values (and bars in graph) indicate that costs exceed benefits by the given amount; positive values (and bars in graph) indicate that benefits exceed costs by the given amount.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tc={1D57CA9C-4D62-4698-A40A-2508E34A5D47}</author>
    <author>Erin</author>
    <author>tc={13DB2E4D-C53B-4D51-B827-FA028F40006B}</author>
  </authors>
  <commentList>
    <comment ref="H226" authorId="0" shapeId="0" xr:uid="{1D57CA9C-4D62-4698-A40A-2508E34A5D47}">
      <text>
        <t>[Threaded comment]
Your version of Excel allows you to read this threaded comment; however, any edits to it will get removed if the file is opened in a newer version of Excel. Learn more: https://go.microsoft.com/fwlink/?linkid=870924
Comment:
    NEED TO CHANGE THIS TO LINK TO USER INPUT</t>
      </text>
    </comment>
    <comment ref="E448" authorId="1" shapeId="0" xr:uid="{3E3AD339-20B7-4507-9A33-5C4A440A4B53}">
      <text>
        <r>
          <rPr>
            <b/>
            <sz val="9"/>
            <color indexed="81"/>
            <rFont val="Tahoma"/>
            <family val="2"/>
          </rPr>
          <t>Erin:</t>
        </r>
        <r>
          <rPr>
            <sz val="9"/>
            <color indexed="81"/>
            <rFont val="Tahoma"/>
            <family val="2"/>
          </rPr>
          <t xml:space="preserve">
Erin - check year</t>
        </r>
      </text>
    </comment>
    <comment ref="B454" authorId="2" shapeId="0" xr:uid="{13DB2E4D-C53B-4D51-B827-FA028F40006B}">
      <text>
        <t>[Threaded comment]
Your version of Excel allows you to read this threaded comment; however, any edits to it will get removed if the file is opened in a newer version of Excel. Learn more: https://go.microsoft.com/fwlink/?linkid=870924
Comment:
    Resume units here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tc={95F11506-14EC-4491-8DFE-BD1C88FB2309}</author>
  </authors>
  <commentList>
    <comment ref="B23" authorId="0" shapeId="0" xr:uid="{95F11506-14EC-4491-8DFE-BD1C88FB2309}">
      <text>
        <t>[Threaded comment]
Your version of Excel allows you to read this threaded comment; however, any edits to it will get removed if the file is opened in a newer version of Excel. Learn more: https://go.microsoft.com/fwlink/?linkid=870924
Comment:
    I am no longer using this reference, because I'm assuming that separator housing will cost $70,000 (see associated reference)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tc={DCB7B53E-80B1-40F2-828F-FF5A127D0452}</author>
    <author>tc={063944FE-BCDF-49CD-BD4C-57D53829D2B1}</author>
    <author>tc={9E66CE42-DC1B-4836-B4E2-7D064975DC28}</author>
    <author>tc={E40723F9-89F4-4D78-A46E-D73E6A41AB7C}</author>
  </authors>
  <commentList>
    <comment ref="AF3" authorId="0" shapeId="0" xr:uid="{DCB7B53E-80B1-40F2-828F-FF5A127D0452}">
      <text>
        <t>[Threaded comment]
Your version of Excel allows you to read this threaded comment; however, any edits to it will get removed if the file is opened in a newer version of Excel. Learn more: https://go.microsoft.com/fwlink/?linkid=870924
Comment:
    Emissions/animal/year - Includes emissions related to the manure management activities from manure generation to land application and the raw materials consumed.</t>
      </text>
    </comment>
    <comment ref="AO3" authorId="1" shapeId="0" xr:uid="{063944FE-BCDF-49CD-BD4C-57D53829D2B1}">
      <text>
        <t>[Threaded comment]
Your version of Excel allows you to read this threaded comment; however, any edits to it will get removed if the file is opened in a newer version of Excel. Learn more: https://go.microsoft.com/fwlink/?linkid=870924
Comment:
    Emissions/animal/year - Includes emissions related to the commercial fertilizer substitution by Manure land application.</t>
      </text>
    </comment>
    <comment ref="AX3" authorId="2" shapeId="0" xr:uid="{9E66CE42-DC1B-4836-B4E2-7D064975DC28}">
      <text>
        <t>[Threaded comment]
Your version of Excel allows you to read this threaded comment; however, any edits to it will get removed if the file is opened in a newer version of Excel. Learn more: https://go.microsoft.com/fwlink/?linkid=870924
Comment:
    Emissions/animal/year - Includes emissions related to the commercial fertilizer substitution by Manure land application.</t>
      </text>
    </comment>
    <comment ref="A8" authorId="3" shapeId="0" xr:uid="{E40723F9-89F4-4D78-A46E-D73E6A41AB7C}">
      <text>
        <t>[Threaded comment]
Your version of Excel allows you to read this threaded comment; however, any edits to it will get removed if the file is opened in a newer version of Excel. Learn more: https://go.microsoft.com/fwlink/?linkid=870924
Comment:
    @Sudharsan Varma Vempalli: hey varma, should these scenarios be labeled like in the green column? Basically, each tab is a scenario, with the a and b within each tab?
Reply:
    @Erin Scott Yes Erin, that makes sense.
Reply:
    I updated it, once the table starting from G is filled out, I can check for errors. I guess it should work well.</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tc={F306DE0E-234A-47F9-8469-E252EFE672EE}</author>
  </authors>
  <commentList>
    <comment ref="B37" authorId="0" shapeId="0" xr:uid="{F306DE0E-234A-47F9-8469-E252EFE672EE}">
      <text>
        <t xml:space="preserve">[Threaded comment]
Your version of Excel allows you to read this threaded comment; however, any edits to it will get removed if the file is opened in a newer version of Excel. Learn more: https://go.microsoft.com/fwlink/?linkid=870924
Comment:
    @Erin Scott 
For Erin -- Conversion factors for liquids to tons goes in B23:B25
	- Should we make these variables in UD? That way super users can change these if tech or conditions change?
All other calculations are already setup, so AHP results will update automatically when the conversion factors change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<sst xmlns="http://schemas.openxmlformats.org/spreadsheetml/2006/main" count="42065" uniqueCount="7510">
  <si>
    <t>Welcome Page</t>
  </si>
  <si>
    <t>Farm Info</t>
  </si>
  <si>
    <t>Animals</t>
  </si>
  <si>
    <t>Manure Characteristics</t>
  </si>
  <si>
    <t>Excess Manure Streams</t>
  </si>
  <si>
    <t>Tractor Properties</t>
  </si>
  <si>
    <t>Skip to Results Pages</t>
  </si>
  <si>
    <t>Next Page</t>
  </si>
  <si>
    <t>Capital Expenses</t>
  </si>
  <si>
    <t>Operational Expenses</t>
  </si>
  <si>
    <t>Priorities</t>
  </si>
  <si>
    <t>Scenario Choices</t>
  </si>
  <si>
    <t>Inputs Summary</t>
  </si>
  <si>
    <t>Welcome to the ManureTech Swine DST!</t>
  </si>
  <si>
    <t>Assumptions and Limitations:</t>
  </si>
  <si>
    <t>-  Models manure management systems only; is not a whole farm planning DST</t>
  </si>
  <si>
    <t>-  Models manure management from primarily shallow pit barns, but includes two scenarios with deep pit barn.</t>
  </si>
  <si>
    <t>-  Compares a user-input Baseline scenario with either the top ranked alternatives or scenarios of choice by the user.</t>
  </si>
  <si>
    <t xml:space="preserve">-  Uses terminology that might be different from terminology used in certain parts of the U.S. - user should review the Glossary of Terms to understand what is meant by pond, anaerobic lagoon, etc. </t>
  </si>
  <si>
    <t>-  Specific animal breeds are not included in the DST, although the user can certainly adjust operative factors such as animal weight and manure characteristics to align with their on-farm breeds.</t>
  </si>
  <si>
    <t>-  Similarly, specific crops or crop cycles are not included in the DST, although the user can assess their average crop nutrient fertilizer needs and adjust the values in the DST to align with their on-farm circumstances.</t>
  </si>
  <si>
    <t>Contact Information:</t>
  </si>
  <si>
    <t>Dr. Richard Stowell</t>
  </si>
  <si>
    <t>richard.stowell@unl.edu</t>
  </si>
  <si>
    <t>Example Page</t>
  </si>
  <si>
    <t>Example</t>
  </si>
  <si>
    <t>The ManureTech Decision Support Tool (DST) is an Excel based platform with precalculated mass balance for various manure management system (MMS) alternatives representing current and emerging treatment technologies and practices. The purpose of the tool is to help users identify the suite of technologies that could be used on farm, given the user’s unique set of preferences and constraints. ASABE standards are used for many calculations.</t>
  </si>
  <si>
    <t>This example page is available to show how questions are asked and answered. If you do not have experience with this decision support tool, please review this page. Otherwise, click the "Next Page" button to move to the first input page for farm information.</t>
  </si>
  <si>
    <t>Example Inputs (These will not be used for calculations)</t>
  </si>
  <si>
    <t>For this first example, the input box has a dropdown which becomes visible when clicking within the box where it says "Cookies"; you will see an arrow pointed downwards on the right side of the box. Clicking this arrow opens a dropdown, where you can change the selection.</t>
  </si>
  <si>
    <t>What is your favorite dessert?</t>
  </si>
  <si>
    <t>Instructions</t>
  </si>
  <si>
    <t>Your Choice</t>
  </si>
  <si>
    <t>Please select an entry from the dropdown:</t>
  </si>
  <si>
    <t>Cookies</t>
  </si>
  <si>
    <t>The second question asks you how many times you have flown in a plane. Underneath the question, there are multiple columns. The first is the prompt which tells you what this row of input boxes is for. The second is the "Min" column, which tells you the minimum value that the DST will be able to use. The "Max" column tells you the maximum value that can be used. The "Your Value" column is where you type your answer. If you choose not to answer the question, the "Default" column tells you what value the DST will use instead.</t>
  </si>
  <si>
    <t>How many times have you flown in a plane?</t>
  </si>
  <si>
    <t>Plane Trips</t>
  </si>
  <si>
    <t>Unit</t>
  </si>
  <si>
    <t>Default</t>
  </si>
  <si>
    <t>Your Value</t>
  </si>
  <si>
    <t>Min</t>
  </si>
  <si>
    <t>Max</t>
  </si>
  <si>
    <t>Input Status</t>
  </si>
  <si>
    <t>How many?</t>
  </si>
  <si>
    <t>flights</t>
  </si>
  <si>
    <t>Any number</t>
  </si>
  <si>
    <t>The "Min" and "Max" columns are very important for questions that have them. If the value that you enter into "Your Value" is outside of this range of numbers, the DST will use the default value. This helps to prevent calculation errors that can occur for values outside of the range. The DST will also highlight when this happens by changing the "Input Status" column and the color of the row with an unaccepted answer. Please make sure to adjust the value you enter if you see this. Below is an example of what the changes will look like:</t>
  </si>
  <si>
    <t>This is an example of an invalid input:</t>
  </si>
  <si>
    <t>Grocery Trips</t>
  </si>
  <si>
    <t>trips/year</t>
  </si>
  <si>
    <t>The value is too large!</t>
  </si>
  <si>
    <t>Spending</t>
  </si>
  <si>
    <t>$/trip</t>
  </si>
  <si>
    <t>Value accepted!</t>
  </si>
  <si>
    <t>In the example, the first row is highlighted and the "Input Status" box tells you that the value entered in the "Your Value" column for that row is too large. The second row has a message saying that the value was accepted because it was within the Min to Max range. You'll see a different message depending on the issue that is detected, but they should all give you a hint on how to change the value to fit the conditions. Remember that if the value isn't changed, the default value will be used in its place to prevent possible calculation errors.</t>
  </si>
  <si>
    <t>Reminder: You may choose to leave any of the input boxes blank and the model will use the default value instead. If you are ready, press the "Get started!" button below to move into the farm data entry page. If you do not feel ready, you can consult the user manual for more information on how to use the DST or you can call an extension agent for assistance.</t>
  </si>
  <si>
    <t>Get Started!</t>
  </si>
  <si>
    <t>Farm Management Information</t>
  </si>
  <si>
    <t>Please answer a few questions about your farm. If you choose not to enter a value for any question, the default value will be used in its place.</t>
  </si>
  <si>
    <t>What is the name of your farm?</t>
  </si>
  <si>
    <t>Enter the farm name and/or brief title for this evaluation.</t>
  </si>
  <si>
    <t>Wean to Finish Test Farm</t>
  </si>
  <si>
    <t>What manure system scenario do you want to use as the baseline for comparison? Recommendation: Select the scenario that most closely resembles your current system if you have one:</t>
  </si>
  <si>
    <t>Choose a scenario from the dropdown, for a longer description of the scenario see below:</t>
  </si>
  <si>
    <t>Deep pit, tanker</t>
  </si>
  <si>
    <t>Description of the system you have chosen:</t>
  </si>
  <si>
    <r>
      <t xml:space="preserve">Where is the farm located? </t>
    </r>
    <r>
      <rPr>
        <b/>
        <i/>
        <u/>
        <sz val="18"/>
        <color theme="0"/>
        <rFont val="Calibri"/>
        <family val="2"/>
        <scheme val="minor"/>
      </rPr>
      <t>Click here to see the US Climate Divisions.</t>
    </r>
  </si>
  <si>
    <t>Select an entry from the dropdown:</t>
  </si>
  <si>
    <t>Iowa (Northwest)</t>
  </si>
  <si>
    <t>The following questions are about water usage and nutrient application on your farm.</t>
  </si>
  <si>
    <t>Does your farm use sprinklers to cool swine during hot conditions?</t>
  </si>
  <si>
    <t>Select Yes or No from the dropdown:</t>
  </si>
  <si>
    <t>Yes</t>
  </si>
  <si>
    <t>Sprinklers</t>
  </si>
  <si>
    <t>Time on per cycle</t>
  </si>
  <si>
    <t>Number of cycles</t>
  </si>
  <si>
    <t>Flow rate</t>
  </si>
  <si>
    <t>How much land is available for spreading manure? Enter annual average land area.</t>
  </si>
  <si>
    <t>Land Available</t>
  </si>
  <si>
    <t>For manure application</t>
  </si>
  <si>
    <t>None</t>
  </si>
  <si>
    <t>Which nutrient do you apply for (i.e., is it a nitrogen or phosphorus basis)?</t>
  </si>
  <si>
    <t>Select from dropdown:</t>
  </si>
  <si>
    <t>N</t>
  </si>
  <si>
    <t>How will liquid and/or slurry manure streams be applied to fields?</t>
  </si>
  <si>
    <t>Injection</t>
  </si>
  <si>
    <t>After considering your soil test results and crop rotation nutrient needs for land that receives manure, what are your average annual nutrient application rates for N-P-K?</t>
  </si>
  <si>
    <t>Manure Nutrient</t>
  </si>
  <si>
    <t>Nitrogen (N)</t>
  </si>
  <si>
    <t>Phosphorus (P2O5)</t>
  </si>
  <si>
    <t>Potassium (K2O)</t>
  </si>
  <si>
    <t>What is your window of opportunity, in terms of days per year, that you have available for applying manure?</t>
  </si>
  <si>
    <t>Typical Year</t>
  </si>
  <si>
    <t>Days Available</t>
  </si>
  <si>
    <t>What price would you expect to be paid for eligible carbon credits?  Enter a price assuming credits would be earned (1 credit = 1 metric ton CO2e)</t>
  </si>
  <si>
    <t>Carbon Credits</t>
  </si>
  <si>
    <t>Price</t>
  </si>
  <si>
    <t>UD Variables on this page</t>
  </si>
  <si>
    <t>Lookup_Name</t>
  </si>
  <si>
    <t>Gated_Value</t>
  </si>
  <si>
    <t>User_Input</t>
  </si>
  <si>
    <t>Default_Value</t>
  </si>
  <si>
    <t>Blank_Check</t>
  </si>
  <si>
    <t>User_Units</t>
  </si>
  <si>
    <t>Final_Units</t>
  </si>
  <si>
    <t>Input_Min</t>
  </si>
  <si>
    <t>Input_Max</t>
  </si>
  <si>
    <t>Meets_Restrictions</t>
  </si>
  <si>
    <t>Description</t>
  </si>
  <si>
    <t>Default_Used</t>
  </si>
  <si>
    <t>Input_Status</t>
  </si>
  <si>
    <t>UDV.u.farm_name</t>
  </si>
  <si>
    <t>UDV.u.farm_baseline</t>
  </si>
  <si>
    <t>UDV.u.state_region</t>
  </si>
  <si>
    <t>UDV.sprinkler.used</t>
  </si>
  <si>
    <t>UDV.sprinkler.on_time</t>
  </si>
  <si>
    <t>UDV.sprinkler.cycles</t>
  </si>
  <si>
    <t>UDV.sprinkler.flow</t>
  </si>
  <si>
    <t>UDV.crops.acres_available</t>
  </si>
  <si>
    <t>UDV.crops.apply_for</t>
  </si>
  <si>
    <t>UDV.crops.apply_method</t>
  </si>
  <si>
    <t>UDV.crops.N_need</t>
  </si>
  <si>
    <t>UDV.crops.P_need</t>
  </si>
  <si>
    <t>UDV.crops.K_need</t>
  </si>
  <si>
    <t>UDV.tractor.application_time_non_sludge</t>
  </si>
  <si>
    <t>UDV.econ_energy.carbon_credits</t>
  </si>
  <si>
    <t>Input validation</t>
  </si>
  <si>
    <t>Input Acceptance Messages</t>
  </si>
  <si>
    <t>You have answered all of the questions for this page. Press the "Next Page" button below to move to Animals page. This page asks you about the animals on your farm.</t>
  </si>
  <si>
    <t>Accepted</t>
  </si>
  <si>
    <t>One or more of your inputs was not accepted, please double check your entries.</t>
  </si>
  <si>
    <t>Using default</t>
  </si>
  <si>
    <t>Below min</t>
  </si>
  <si>
    <t>Above max</t>
  </si>
  <si>
    <t>Animals on the Farm</t>
  </si>
  <si>
    <t>Please answer questions about the number of swine you have on your farm and their average weights. There are questions about nursery, wean to finish, and grow to finish swine, and gestating and lactating sows.</t>
  </si>
  <si>
    <t>Nursery swine</t>
  </si>
  <si>
    <t>If you have a nursery herd on your farm, is their manure managed by your treatment system?</t>
  </si>
  <si>
    <t>No</t>
  </si>
  <si>
    <t>Nursery Swine</t>
  </si>
  <si>
    <t>Average weight</t>
  </si>
  <si>
    <t>Wean to finish swine</t>
  </si>
  <si>
    <t>If you have wean to finish swine on your farm, is their manure managed by your treatment system?</t>
  </si>
  <si>
    <t>Wean to Finish</t>
  </si>
  <si>
    <t>Grow to finish swine</t>
  </si>
  <si>
    <t>If you have grow to finish swine on your farm, is their manure managed by your treatment system?</t>
  </si>
  <si>
    <t>Grow to Finish</t>
  </si>
  <si>
    <t>Gestating sows</t>
  </si>
  <si>
    <t>If you have gestating sows on your farm, is their manure managed by your treatment system?</t>
  </si>
  <si>
    <t>Gestating Sows</t>
  </si>
  <si>
    <t>Farrowing sows</t>
  </si>
  <si>
    <t>If you have farrowing sows on your farm, is their manure managed by your treatment system?</t>
  </si>
  <si>
    <t>Farrowing Sows</t>
  </si>
  <si>
    <t>Final_Unit</t>
  </si>
  <si>
    <t>UDV.animal.a_treated</t>
  </si>
  <si>
    <t>UDV.animal.a_count</t>
  </si>
  <si>
    <t>UDV.animal.a_weight</t>
  </si>
  <si>
    <t>UDV.animal.e_treated</t>
  </si>
  <si>
    <t>UDV.animal.e_count</t>
  </si>
  <si>
    <t>UDV.animal.e_weight</t>
  </si>
  <si>
    <t>UDV.animal.b_treated</t>
  </si>
  <si>
    <t>UDV.animal.b_count</t>
  </si>
  <si>
    <t>UDV.animal.b_weight</t>
  </si>
  <si>
    <t>UDV.animal.c_treated</t>
  </si>
  <si>
    <t>UDV.animal.c_count</t>
  </si>
  <si>
    <t>UDV.animal.c_weight</t>
  </si>
  <si>
    <t>UDV.animal.d_treated</t>
  </si>
  <si>
    <t>UDV.animal.d_count</t>
  </si>
  <si>
    <t>UDV.animal.d_weight</t>
  </si>
  <si>
    <t>You have answered all of the questions for this page. Press the "Next Page" button below to move to the next input page, which will ask you about you’re the manure characteristics of your animals.</t>
  </si>
  <si>
    <t>animal_a</t>
  </si>
  <si>
    <t>Nursery</t>
  </si>
  <si>
    <t>animal_b</t>
  </si>
  <si>
    <t>Grow-finish</t>
  </si>
  <si>
    <t>Final box</t>
  </si>
  <si>
    <t>animal_c</t>
  </si>
  <si>
    <t>Gestating sow</t>
  </si>
  <si>
    <t>animal_d</t>
  </si>
  <si>
    <t>Lactating</t>
  </si>
  <si>
    <t>animal_e</t>
  </si>
  <si>
    <t>Wean-finish</t>
  </si>
  <si>
    <t>For manure storage facilities such as ponds or lagoons, what is the maximum depth that you could build them to?</t>
  </si>
  <si>
    <t>Depth</t>
  </si>
  <si>
    <t>Maximum depth</t>
  </si>
  <si>
    <t>When using a flush water manure collection system, what percentage of water do you recycle from storage facilities?</t>
  </si>
  <si>
    <t>Cleaning Water</t>
  </si>
  <si>
    <t>Percentage Recycled</t>
  </si>
  <si>
    <t>%</t>
  </si>
  <si>
    <t>How much water would you use to clean the following manure handling systems? Default value estimate changes with number of animals on farm.</t>
  </si>
  <si>
    <t>Flush System</t>
  </si>
  <si>
    <t>Scrape System</t>
  </si>
  <si>
    <t>Pull plug System</t>
  </si>
  <si>
    <t>Deep pit System</t>
  </si>
  <si>
    <t>In the table below, you can enter raw manure, as-excreted, production characteristics. The min, max, and default values for various manure characteristics are shown in the tables for each type of swine. Modifying these values is not recommended unless you have specific reasons to do so.</t>
  </si>
  <si>
    <t>What properties of the nursery herd's raw manure would you like to adjust?</t>
  </si>
  <si>
    <t>Category</t>
  </si>
  <si>
    <t>Your value</t>
  </si>
  <si>
    <t>Manure produced</t>
  </si>
  <si>
    <t>Total Solids (TS)</t>
  </si>
  <si>
    <t>Volatile Solids (VS)</t>
  </si>
  <si>
    <t>Nitrogen</t>
  </si>
  <si>
    <t>Phosphorus as P2O5</t>
  </si>
  <si>
    <t>Potassium as K2O</t>
  </si>
  <si>
    <t>What properties of the wean to finish herd's raw manure would you like to adjust?</t>
  </si>
  <si>
    <t>What properties of the grow-finish herd's raw manure would you like to adjust?</t>
  </si>
  <si>
    <t>What properties of the gestating sow herd's raw manure would you like to adjust?</t>
  </si>
  <si>
    <t>What properties of the farrowing sow herd's raw manure would you like to adjust?</t>
  </si>
  <si>
    <t>User value</t>
  </si>
  <si>
    <t>User_Raw</t>
  </si>
  <si>
    <t>Defaults_Used</t>
  </si>
  <si>
    <t>UDV.storage_facilities.max_depth</t>
  </si>
  <si>
    <t>UDV.rfw.fraction_recycled</t>
  </si>
  <si>
    <t>UDV.handling_manure.flow_flush</t>
  </si>
  <si>
    <t>UDV.handling_manure.flow_scrape</t>
  </si>
  <si>
    <t>UDV.handling_manure.flow_pullplug</t>
  </si>
  <si>
    <t>UDV.handling_manure.flow_deeppit</t>
  </si>
  <si>
    <t>nursery</t>
  </si>
  <si>
    <t>UDV.animal.a_manure</t>
  </si>
  <si>
    <t>UDV.animal.a_TS</t>
  </si>
  <si>
    <t>UDV.animal.a_VS</t>
  </si>
  <si>
    <t>UDV.animal.a_N</t>
  </si>
  <si>
    <t>UDV.animal.a_P</t>
  </si>
  <si>
    <t>UDV.animal.a_K</t>
  </si>
  <si>
    <t>wean finish</t>
  </si>
  <si>
    <t>UDV.animal.e_manure</t>
  </si>
  <si>
    <t>UDV.animal.e_TS</t>
  </si>
  <si>
    <t>UDV.animal.e_VS</t>
  </si>
  <si>
    <t>UDV.animal.e_N</t>
  </si>
  <si>
    <t>UDV.animal.e_P</t>
  </si>
  <si>
    <t>UDV.animal.e_K</t>
  </si>
  <si>
    <t>grow finish</t>
  </si>
  <si>
    <t>UDV.animal.b_manure</t>
  </si>
  <si>
    <t>UDV.animal.b_TS</t>
  </si>
  <si>
    <t>UDV.animal.b_VS</t>
  </si>
  <si>
    <t>UDV.animal.b_N</t>
  </si>
  <si>
    <t>UDV.animal.b_P</t>
  </si>
  <si>
    <t>UDV.animal.b_K</t>
  </si>
  <si>
    <t>gestating</t>
  </si>
  <si>
    <t>UDV.animal.c_manure</t>
  </si>
  <si>
    <t>UDV.animal.c_TS</t>
  </si>
  <si>
    <t>UDV.animal.c_VS</t>
  </si>
  <si>
    <t>UDV.animal.c_N</t>
  </si>
  <si>
    <t>UDV.animal.c_P</t>
  </si>
  <si>
    <t>UDV.animal.c_K</t>
  </si>
  <si>
    <t>UDV.animal.d_manure</t>
  </si>
  <si>
    <t>lactating</t>
  </si>
  <si>
    <t>UDV.animal.d_TS</t>
  </si>
  <si>
    <t>UDV.animal.d_VS</t>
  </si>
  <si>
    <t>UDV.animal.d_N</t>
  </si>
  <si>
    <t>UDV.animal.d_P</t>
  </si>
  <si>
    <t>UDV.animal.d_K</t>
  </si>
  <si>
    <t>You have answered all of the questions for this page. Press the next page button to move to the excess manure page.</t>
  </si>
  <si>
    <t>Excess Manure Stream Fates and Costs</t>
  </si>
  <si>
    <t>The economics of manure management can be affected by local prices and market conditions for manure products generated on-farm. On this sheet, you can adjust the prices you pay and receive, as well as what happens to each type of manure that your farm produces. For manure that isn't applied onto your land, it needs to be sold, given away, or hauled off at a price. You can adjust the amount of manure that is removed with each method or use the defaults, which generally assume that you give it away. If your percentages don't add up to 100 for a given manure type, the values will revert to the default.</t>
  </si>
  <si>
    <t xml:space="preserve">If you have excess manure that cannot be applied to your land, what would you do with it? </t>
  </si>
  <si>
    <t>Excess Manure</t>
  </si>
  <si>
    <t>Pay to haul off</t>
  </si>
  <si>
    <t>Give away</t>
  </si>
  <si>
    <t>Sell</t>
  </si>
  <si>
    <t>Your Sum</t>
  </si>
  <si>
    <t>Liquid</t>
  </si>
  <si>
    <t>Slurry</t>
  </si>
  <si>
    <t>Sludge</t>
  </si>
  <si>
    <t>Separated Solids</t>
  </si>
  <si>
    <t>Compost</t>
  </si>
  <si>
    <t>If you PAY to have any excess manure streams hauled off-farm, what is the cost?</t>
  </si>
  <si>
    <t>Manure Costs</t>
  </si>
  <si>
    <t>Price Paid</t>
  </si>
  <si>
    <t>If you receive revenues from any excess manure streams SOLD off-farm, what is the price?</t>
  </si>
  <si>
    <t>Manure Sales</t>
  </si>
  <si>
    <t>Sale Price</t>
  </si>
  <si>
    <t>UDV.econ_manure.liquid_export_pct</t>
  </si>
  <si>
    <t>UDV.econ_manure.slurry_export_pct</t>
  </si>
  <si>
    <t>UDV.econ_manure.sludge_export_pct</t>
  </si>
  <si>
    <t>UDV.econ_manure.sep_solids_export_pct</t>
  </si>
  <si>
    <t>UDV.econ_manure.compost_export_pct</t>
  </si>
  <si>
    <t>UDV.econ_manure.liquid_give_pct</t>
  </si>
  <si>
    <t>UDV.econ_manure.slurry_give_pct</t>
  </si>
  <si>
    <t>UDV.econ_manure.sludge_give_pct</t>
  </si>
  <si>
    <t>UDV.econ_manure.sep_solids_give_pct</t>
  </si>
  <si>
    <t>UDV.econ_manure.compost_give_pct</t>
  </si>
  <si>
    <t>UDV.econ_manure.liquid_sell_pct</t>
  </si>
  <si>
    <t>UDV.econ_manure.slurry_sell_pct</t>
  </si>
  <si>
    <t>UDV.econ_manure.sludge_sell_pct</t>
  </si>
  <si>
    <t>UDV.econ_manure.sep_solids_sell_pct</t>
  </si>
  <si>
    <t>UDV.econ_manure.compost_sell_pct</t>
  </si>
  <si>
    <t>UDV.econ_manure.liquid_export_cost</t>
  </si>
  <si>
    <t>UDV.econ_manure.slurry_export_cost</t>
  </si>
  <si>
    <t>UDV.econ_manure.sludge_export_cost</t>
  </si>
  <si>
    <t>UDV.econ_manure.sep_solids_export_cost</t>
  </si>
  <si>
    <t>UDV.econ_manure.compost_export_cost</t>
  </si>
  <si>
    <t>UDV.econ_manure.liquid_sell_price</t>
  </si>
  <si>
    <t>UDV.econ_manure.slurry_sell_price</t>
  </si>
  <si>
    <t>UDV.econ_manure.sludge_sell_price</t>
  </si>
  <si>
    <t>UDV.econ_manure.sep_solids_sell_price</t>
  </si>
  <si>
    <t>UDV.econ_manure.compost_sell_price</t>
  </si>
  <si>
    <t>Paid_Rel</t>
  </si>
  <si>
    <t>Give_Rel</t>
  </si>
  <si>
    <t>Sold_Rel</t>
  </si>
  <si>
    <t>Manure stream fate check</t>
  </si>
  <si>
    <t>User entered values</t>
  </si>
  <si>
    <t>Final Checks</t>
  </si>
  <si>
    <t>Defaults</t>
  </si>
  <si>
    <t>Type</t>
  </si>
  <si>
    <t>Paid</t>
  </si>
  <si>
    <t>Give</t>
  </si>
  <si>
    <t>Sold</t>
  </si>
  <si>
    <t>SUM_Check</t>
  </si>
  <si>
    <t>Negative_Check</t>
  </si>
  <si>
    <t>Over_100_Check</t>
  </si>
  <si>
    <t>Paid_Check</t>
  </si>
  <si>
    <t>Give_Check</t>
  </si>
  <si>
    <t>Sold_Check</t>
  </si>
  <si>
    <t>Use_Values</t>
  </si>
  <si>
    <t>Total</t>
  </si>
  <si>
    <t>Default String</t>
  </si>
  <si>
    <t>Paid_Default</t>
  </si>
  <si>
    <t>Give_Default</t>
  </si>
  <si>
    <t>Sold_Default</t>
  </si>
  <si>
    <t>First check that given values are greater than 0.</t>
  </si>
  <si>
    <t>We will turn values into relative percentages to prevent issues when the user doesn't enter a total of 100. If value is &lt; 0, consider that value to be zero.</t>
  </si>
  <si>
    <t>You have answered all of the questions for this page. Press the "Next page" button below to move to the tractor properties page.</t>
  </si>
  <si>
    <t>Tractor, Drag Hose, and Tanker</t>
  </si>
  <si>
    <t xml:space="preserve">Various properties of the tractor, draghose, and tankers that your farm might use are listed in the table below. You can modify any of the properties or leave them with their default values. </t>
  </si>
  <si>
    <t>Specify the information below about land application distances and equipment usage.</t>
  </si>
  <si>
    <t>Property</t>
  </si>
  <si>
    <t>Average distance for land application of manure on-farm (drag hose or tanker)</t>
  </si>
  <si>
    <t>Maximum distance for land application of manure on-farm (drag hose or tanker)</t>
  </si>
  <si>
    <t>Tanker Size (select from dropdown)</t>
  </si>
  <si>
    <t>Number of hours an invididual tractor is used for all on-farm activities (MMS and otherwise) over a year</t>
  </si>
  <si>
    <t>Maximum number of hours that a tractor can be used in a single day</t>
  </si>
  <si>
    <t>Maximum number of hours that a tractor can be used over a year</t>
  </si>
  <si>
    <t>UDV.land_application.avg_distance</t>
  </si>
  <si>
    <t>UDV.land_application.max_distance</t>
  </si>
  <si>
    <t>UDV.land_application.tanker_volume</t>
  </si>
  <si>
    <t>UDV.tractor.min_usage_yearly</t>
  </si>
  <si>
    <t>UDV.tractor.max_usage_daily</t>
  </si>
  <si>
    <t>UDV.tractor.max_usage_yearly</t>
  </si>
  <si>
    <t>You have answered all of the questions for this page. Press the "Next page" button below to move to the capital expenses page.</t>
  </si>
  <si>
    <t>Capital Costs</t>
  </si>
  <si>
    <t>The default cost of several types of tractors and farm equipment are shown in the table below. If these prices seem too low or too high, adjust the equipment cost multiplier setting in the question that follows this table. Check the table again to see if the prices are more accurate to your region. Construction costs may also be adjusted.</t>
  </si>
  <si>
    <t>Equipment Type and Description</t>
  </si>
  <si>
    <t>Default Price</t>
  </si>
  <si>
    <t>Price after Multiplier</t>
  </si>
  <si>
    <t>An 85 pto hp tractor that may be used to pull a box spreader for solids manure land application</t>
  </si>
  <si>
    <t>A 580 pto hp tractor may be used to pull a hose reel and applicator for drag hose land application of manure</t>
  </si>
  <si>
    <t>Cost of the tanker pulled by a tractor during land application</t>
  </si>
  <si>
    <t>Skid steer loader</t>
  </si>
  <si>
    <t>Pickup truck</t>
  </si>
  <si>
    <t>If you expect variations in the above costs (e.g., due to location or geology), you can adjust them by using a multiplier in the boxes below. This will uniformly update all construction and equipment costs.</t>
  </si>
  <si>
    <t>What overall adjustments do you want to make to your default construction and equipment costs?</t>
  </si>
  <si>
    <t>Costs</t>
  </si>
  <si>
    <t>Construction</t>
  </si>
  <si>
    <t>Equipment</t>
  </si>
  <si>
    <t>Base Value</t>
  </si>
  <si>
    <t>UDV.adj.construction_cost</t>
  </si>
  <si>
    <t>Equipment Adjustments table</t>
  </si>
  <si>
    <t>UDV.adj.routine_equip_cost</t>
  </si>
  <si>
    <t>Min Factor</t>
  </si>
  <si>
    <t>UDV.econ_tractor.85hp</t>
  </si>
  <si>
    <t>Max Factor</t>
  </si>
  <si>
    <t>UDV.econ_tractor.94hp</t>
  </si>
  <si>
    <t>User val</t>
  </si>
  <si>
    <t>UDV.econ_tractor.160hp</t>
  </si>
  <si>
    <t>UDV.econ_tractor.180hp</t>
  </si>
  <si>
    <t>Factor</t>
  </si>
  <si>
    <t>UDV.econ_tractor.250hp</t>
  </si>
  <si>
    <t>UDV.econ_tractor.340hp</t>
  </si>
  <si>
    <t>Base Min</t>
  </si>
  <si>
    <t>Base Default</t>
  </si>
  <si>
    <t>Base Max</t>
  </si>
  <si>
    <t>UDV.econ_tractor.580hp</t>
  </si>
  <si>
    <t>econ_tractor:85hp</t>
  </si>
  <si>
    <t>Tractor, 85 pto hp</t>
  </si>
  <si>
    <t>UDV.econ_skid_steer.loader</t>
  </si>
  <si>
    <t>econ_tractor:94hp</t>
  </si>
  <si>
    <t>Tractor, 94 pto hp</t>
  </si>
  <si>
    <t>UDV.econ_truck.pickup</t>
  </si>
  <si>
    <t>econ_tractor:160hp</t>
  </si>
  <si>
    <t>Tractor, 160 pto hp</t>
  </si>
  <si>
    <t>UDV.econ_tanker.cost</t>
  </si>
  <si>
    <t>econ_tractor:180hp</t>
  </si>
  <si>
    <t>Tractor, 180 pto hp</t>
  </si>
  <si>
    <t>UDV.econ_toolbar.boom</t>
  </si>
  <si>
    <t>econ_tractor:250hp</t>
  </si>
  <si>
    <t>Tractor, 250 pto hp</t>
  </si>
  <si>
    <t>UDV.econ_toolbar.injection</t>
  </si>
  <si>
    <t>econ_tractor:340hp</t>
  </si>
  <si>
    <t>Tractor, 340 pto hp</t>
  </si>
  <si>
    <t>UDV.econ_box_spreader.one_size</t>
  </si>
  <si>
    <t>econ_tractor:580hp</t>
  </si>
  <si>
    <t>Tractor, 580 pto hp</t>
  </si>
  <si>
    <t>UDV.econ_toolbar.loader</t>
  </si>
  <si>
    <t>econ_skid_steer:loader</t>
  </si>
  <si>
    <t>econ_truck:pickup</t>
  </si>
  <si>
    <t>econ_tanker:7400gal</t>
  </si>
  <si>
    <t>econ_toolbar:boom</t>
  </si>
  <si>
    <t>You have answered all of the questions for this page. Press the "Next page" button below to move to the operational expenses page.</t>
  </si>
  <si>
    <t>econ_toolbar:injection</t>
  </si>
  <si>
    <t>econ_box_spreader:one_size</t>
  </si>
  <si>
    <t>econ_toolbar:loader</t>
  </si>
  <si>
    <t>econ_toolbar:windrow_turner_8ft</t>
  </si>
  <si>
    <t>econ_toolbar:windrow_turner_14ft</t>
  </si>
  <si>
    <t>econ_toolbar:windrow_turner_16ft</t>
  </si>
  <si>
    <t>Operational Costs</t>
  </si>
  <si>
    <t>The expected min, max, and default (i.e., average) prices for labor, utilities, fuel, and fertilizer are shown below. You can enter any value in "Your Value"; otherwise the model will use the default value. Labor, fuel, and utility prices are based on the state you selected on a previous page.</t>
  </si>
  <si>
    <t>What are the costs of labor, water, electricity, fuel, and fertilizer for your farm?</t>
  </si>
  <si>
    <t>Wage rate, hourly average</t>
  </si>
  <si>
    <t>Electricity</t>
  </si>
  <si>
    <t>Diesel</t>
  </si>
  <si>
    <t>Gasoline</t>
  </si>
  <si>
    <t>N fertilizer</t>
  </si>
  <si>
    <t>P2O5 fertilizer</t>
  </si>
  <si>
    <t>K2O fertilizer</t>
  </si>
  <si>
    <t>Fresh water</t>
  </si>
  <si>
    <t>UDV.labor.non_specialized_cost</t>
  </si>
  <si>
    <t>UDV.electricity.avg_cost</t>
  </si>
  <si>
    <t>UDV.fuel.diesel_avg_cost</t>
  </si>
  <si>
    <t>UDV.fuel.gasoline_avg_cost</t>
  </si>
  <si>
    <t>UDV.econ_fertilizer.N</t>
  </si>
  <si>
    <t>UDV.econ_fertilizer.P2O5</t>
  </si>
  <si>
    <t>UDV.econ_fertilizer.K2O</t>
  </si>
  <si>
    <t>UDV.water.avg_cost</t>
  </si>
  <si>
    <t>You have answered all of the operations questions for this page. Press the "Next page" button to move to the priorities page.</t>
  </si>
  <si>
    <t>The following questions impact your scenario rankings. When choosing the environmental impact type, consider whether you want the rankings to include impacts that happen just on your farm (Farm) or if it should include both on farm impacts and impacts from processes outside of your control (Net) such as electricity generation and fuel production. Some processes also generate manure in the form of sludge, which needs additional considerations when applying to land and often requires more land than you might have available.</t>
  </si>
  <si>
    <t>Which is most important to you regarding manure management: non-sludge year, sludge year (when applicable), or both (average)?</t>
  </si>
  <si>
    <t>Choose Non-Sludge Year, Sludge Year, or Both from the dropdown:</t>
  </si>
  <si>
    <t>Non-Sludge Year</t>
  </si>
  <si>
    <t>What environmental impact type do you want to use for scenario rankings?</t>
  </si>
  <si>
    <t>Choose Farm or Net from the dropdown:</t>
  </si>
  <si>
    <t>Farm</t>
  </si>
  <si>
    <t>The following questions are about your priorities. Your priorities are used to rank all of the possible scenarios and determine the best system choices for you. A pie chart will show you a visual of how your priorities compare relative to each other. Economic categories are yellow, environmental categories are green, and technology categories are blue. Relative weights are displayed to the left of the pie chart.</t>
  </si>
  <si>
    <t>On a scale of 0 to 100, how do you rate these economic priorities? Default is 50</t>
  </si>
  <si>
    <t>Economics</t>
  </si>
  <si>
    <t>Rating</t>
  </si>
  <si>
    <t>Relative Weight</t>
  </si>
  <si>
    <t>Capital costs</t>
  </si>
  <si>
    <t>Operating costs</t>
  </si>
  <si>
    <t>Net benefits</t>
  </si>
  <si>
    <t>Fertilizer value</t>
  </si>
  <si>
    <t>Cost savings</t>
  </si>
  <si>
    <t>Revenues</t>
  </si>
  <si>
    <t>On a scale of 0 to 100, how do you rate these environmental priorities? Default is 50</t>
  </si>
  <si>
    <t>Environmental</t>
  </si>
  <si>
    <t>Carbon footprint</t>
  </si>
  <si>
    <t>Energy footprint</t>
  </si>
  <si>
    <t>Land footprint</t>
  </si>
  <si>
    <t>Water footprint</t>
  </si>
  <si>
    <t>Nitrogen footprint</t>
  </si>
  <si>
    <t>Phosphorus footprint</t>
  </si>
  <si>
    <t>On a scale of 0 to 100, how do you rate these functional and logistical priorities? Default is 50</t>
  </si>
  <si>
    <t>Technical</t>
  </si>
  <si>
    <t>Adoption rate</t>
  </si>
  <si>
    <t>Operational reliability</t>
  </si>
  <si>
    <t>Operational resilience</t>
  </si>
  <si>
    <t>Labor hours for application</t>
  </si>
  <si>
    <t>Additional land required for application</t>
  </si>
  <si>
    <t>Quantity of exported manure</t>
  </si>
  <si>
    <t>Rank</t>
  </si>
  <si>
    <t>Current Top Ten Scenarios</t>
  </si>
  <si>
    <t>The properties for the top 10 scenarios that best meet your priorities are shown to the right. Further changes to inputs will impact the top 10 scenarios.</t>
  </si>
  <si>
    <t>Unit_Convert</t>
  </si>
  <si>
    <t>UDV.econ_manure.export_concern</t>
  </si>
  <si>
    <t>UDV.u.env_results_type</t>
  </si>
  <si>
    <t>Class</t>
  </si>
  <si>
    <t>Local_PCT</t>
  </si>
  <si>
    <t>All_PCT</t>
  </si>
  <si>
    <t>Adj_Score</t>
  </si>
  <si>
    <t>Checks</t>
  </si>
  <si>
    <t>Bounds</t>
  </si>
  <si>
    <t>Zero_Fix</t>
  </si>
  <si>
    <t>Is_Number</t>
  </si>
  <si>
    <t>Is_Blank</t>
  </si>
  <si>
    <t>Raw input</t>
  </si>
  <si>
    <t>Name</t>
  </si>
  <si>
    <t>Input status</t>
  </si>
  <si>
    <t>UDV.weight.cost_capex</t>
  </si>
  <si>
    <t>Cost</t>
  </si>
  <si>
    <t>Capital</t>
  </si>
  <si>
    <t>capital costs</t>
  </si>
  <si>
    <t>UDV.weight.cost_opex</t>
  </si>
  <si>
    <t>Opex</t>
  </si>
  <si>
    <t>operating costs</t>
  </si>
  <si>
    <t>UDV.weight.cost_net</t>
  </si>
  <si>
    <t>Net</t>
  </si>
  <si>
    <t>net costs</t>
  </si>
  <si>
    <t>UDV.weight.cost_fert</t>
  </si>
  <si>
    <t>Fertilizer</t>
  </si>
  <si>
    <t>fertilizer values</t>
  </si>
  <si>
    <t>UDV.weight.cost_savings</t>
  </si>
  <si>
    <t>Savings</t>
  </si>
  <si>
    <t>cost savings</t>
  </si>
  <si>
    <t>UDV.weight.cost_revenues</t>
  </si>
  <si>
    <t>Revenue</t>
  </si>
  <si>
    <t>revenues</t>
  </si>
  <si>
    <t>UDV.weight.env_carbon</t>
  </si>
  <si>
    <t>Env</t>
  </si>
  <si>
    <t>Carbon</t>
  </si>
  <si>
    <t>carbon footprint</t>
  </si>
  <si>
    <t>UDV.weight.env_energy</t>
  </si>
  <si>
    <t>Energy</t>
  </si>
  <si>
    <t>energy footprint</t>
  </si>
  <si>
    <t>UDV.weight.env_land</t>
  </si>
  <si>
    <t>Land</t>
  </si>
  <si>
    <t>land footprint</t>
  </si>
  <si>
    <t>UDV.weight.env_water</t>
  </si>
  <si>
    <t>Water</t>
  </si>
  <si>
    <t>water use</t>
  </si>
  <si>
    <t>UDV.weight.env_nitrogen</t>
  </si>
  <si>
    <t>nitrogen footprint</t>
  </si>
  <si>
    <t>UDV.weight.env_phos</t>
  </si>
  <si>
    <t>Phosphorus</t>
  </si>
  <si>
    <t>phosphorus footprint</t>
  </si>
  <si>
    <t>UDV.weight.tech_adoption</t>
  </si>
  <si>
    <t>Tech</t>
  </si>
  <si>
    <t>Adoption</t>
  </si>
  <si>
    <t>adoption</t>
  </si>
  <si>
    <t>UDV.weight.tech_reliability</t>
  </si>
  <si>
    <t>Reliability</t>
  </si>
  <si>
    <t>reliability</t>
  </si>
  <si>
    <t>UDV.weight.tech_integrity</t>
  </si>
  <si>
    <t>Resilience</t>
  </si>
  <si>
    <t>resilience</t>
  </si>
  <si>
    <t>UDV.weight.tech_labor</t>
  </si>
  <si>
    <t>Labor</t>
  </si>
  <si>
    <t>labor hours</t>
  </si>
  <si>
    <t>UDV.weight.tech_land</t>
  </si>
  <si>
    <t>Application</t>
  </si>
  <si>
    <t>land application</t>
  </si>
  <si>
    <t>UDV.weight.tech_transport</t>
  </si>
  <si>
    <t>Export</t>
  </si>
  <si>
    <t>manure export</t>
  </si>
  <si>
    <t>Sum</t>
  </si>
  <si>
    <t>You have answered all of the questions for this page. Press the "Next Page" button to move to the scenario choices page, where you can choose specific scenarios to display in the results.</t>
  </si>
  <si>
    <t>Chart colors</t>
  </si>
  <si>
    <t>ffbf00</t>
  </si>
  <si>
    <t>ffc518</t>
  </si>
  <si>
    <t>ffca2e</t>
  </si>
  <si>
    <t>ffd049</t>
  </si>
  <si>
    <t>ffd96d</t>
  </si>
  <si>
    <t>ffe18f</t>
  </si>
  <si>
    <t>007a37</t>
  </si>
  <si>
    <t>#009644</t>
  </si>
  <si>
    <t>00b451</t>
  </si>
  <si>
    <t>00d661</t>
  </si>
  <si>
    <t>00f66f</t>
  </si>
  <si>
    <t>37ff91</t>
  </si>
  <si>
    <t>2f5597</t>
  </si>
  <si>
    <t>The choices below determines which scenarios you will see on the graphs and plots in other results pages. By default, the DST will compare your chosen baseline farm to the top 4 ranked scenarios. You may click a dropdown box to change any of the top 4 scenarios to another of your choosing. The description column gives a full description of how each scenario is setup. The rank column tells you how the scenario compares to others based on the priorities you provided in the UI.Priorities tab.</t>
  </si>
  <si>
    <t>Choose Scenarios for Results (Dropdown)</t>
  </si>
  <si>
    <t>Your baseline scenario:</t>
  </si>
  <si>
    <t>Top ranked scenario</t>
  </si>
  <si>
    <t>Second ranked scenario</t>
  </si>
  <si>
    <t>Third ranked scenario</t>
  </si>
  <si>
    <t>Fourth ranked scenario</t>
  </si>
  <si>
    <t>You have chosen your scenarios for the results pages. Press the "Next page" button below to see a summary of your inputs.</t>
  </si>
  <si>
    <t>UDV.u.farm_alt1</t>
  </si>
  <si>
    <t>UDV.u.farm_alt2</t>
  </si>
  <si>
    <t>UDV.u.farm_alt3</t>
  </si>
  <si>
    <t>UDV.u.farm_alt4</t>
  </si>
  <si>
    <t>Results Summary</t>
  </si>
  <si>
    <t>ManureTech Swine DST Input Summary</t>
  </si>
  <si>
    <r>
      <t xml:space="preserve">The table below tells you the values that are used for each variable in the </t>
    </r>
    <r>
      <rPr>
        <b/>
        <i/>
        <sz val="14"/>
        <color theme="1"/>
        <rFont val="Calibri"/>
        <family val="2"/>
        <scheme val="minor"/>
      </rPr>
      <t>Farm Info</t>
    </r>
    <r>
      <rPr>
        <b/>
        <sz val="14"/>
        <color theme="1"/>
        <rFont val="Calibri"/>
        <family val="2"/>
        <scheme val="minor"/>
      </rPr>
      <t xml:space="preserve"> page</t>
    </r>
  </si>
  <si>
    <t>Farm Info Variable Description</t>
  </si>
  <si>
    <t>Value</t>
  </si>
  <si>
    <t>Default Used?</t>
  </si>
  <si>
    <r>
      <t xml:space="preserve">The table below tells you the values that are used for each variable in the </t>
    </r>
    <r>
      <rPr>
        <b/>
        <i/>
        <sz val="14"/>
        <color theme="1"/>
        <rFont val="Calibri"/>
        <family val="2"/>
        <scheme val="minor"/>
      </rPr>
      <t>Animals</t>
    </r>
    <r>
      <rPr>
        <b/>
        <sz val="14"/>
        <color theme="1"/>
        <rFont val="Calibri"/>
        <family val="2"/>
        <scheme val="minor"/>
      </rPr>
      <t xml:space="preserve"> page</t>
    </r>
  </si>
  <si>
    <t>Animal Characteristics Variable Description</t>
  </si>
  <si>
    <r>
      <t xml:space="preserve">The table below tells you the values that are used for each variable in the </t>
    </r>
    <r>
      <rPr>
        <b/>
        <i/>
        <sz val="14"/>
        <color theme="1"/>
        <rFont val="Calibri"/>
        <family val="2"/>
        <scheme val="minor"/>
      </rPr>
      <t>Manure Characteristics</t>
    </r>
    <r>
      <rPr>
        <b/>
        <sz val="14"/>
        <color theme="1"/>
        <rFont val="Calibri"/>
        <family val="2"/>
        <scheme val="minor"/>
      </rPr>
      <t xml:space="preserve"> page</t>
    </r>
  </si>
  <si>
    <t>Manure Characteristics Variable Description</t>
  </si>
  <si>
    <r>
      <t xml:space="preserve">The table below tells you the values that are used for each variable in the </t>
    </r>
    <r>
      <rPr>
        <b/>
        <i/>
        <sz val="14"/>
        <color theme="1"/>
        <rFont val="Calibri"/>
        <family val="2"/>
        <scheme val="minor"/>
      </rPr>
      <t>Excess Manure Streams</t>
    </r>
    <r>
      <rPr>
        <b/>
        <sz val="14"/>
        <color theme="1"/>
        <rFont val="Calibri"/>
        <family val="2"/>
        <scheme val="minor"/>
      </rPr>
      <t xml:space="preserve"> page</t>
    </r>
  </si>
  <si>
    <t>Manure Streams Variable Description</t>
  </si>
  <si>
    <r>
      <t xml:space="preserve">The table below tells you the values that are used for each variable in the </t>
    </r>
    <r>
      <rPr>
        <b/>
        <i/>
        <sz val="14"/>
        <color theme="1"/>
        <rFont val="Calibri"/>
        <family val="2"/>
        <scheme val="minor"/>
      </rPr>
      <t>Tractor Properties</t>
    </r>
    <r>
      <rPr>
        <b/>
        <sz val="14"/>
        <color theme="1"/>
        <rFont val="Calibri"/>
        <family val="2"/>
        <scheme val="minor"/>
      </rPr>
      <t xml:space="preserve"> page</t>
    </r>
  </si>
  <si>
    <t>Tractor Page Variable Description</t>
  </si>
  <si>
    <r>
      <t xml:space="preserve">The table below tells you the values that are used for each variable in the </t>
    </r>
    <r>
      <rPr>
        <b/>
        <i/>
        <sz val="14"/>
        <color theme="1"/>
        <rFont val="Calibri"/>
        <family val="2"/>
        <scheme val="minor"/>
      </rPr>
      <t>Capital Expenses</t>
    </r>
    <r>
      <rPr>
        <b/>
        <sz val="14"/>
        <color theme="1"/>
        <rFont val="Calibri"/>
        <family val="2"/>
        <scheme val="minor"/>
      </rPr>
      <t xml:space="preserve"> page</t>
    </r>
  </si>
  <si>
    <t>Capital Costs Variable Description</t>
  </si>
  <si>
    <r>
      <t xml:space="preserve">The table below tells you the values that are used for each variable in the </t>
    </r>
    <r>
      <rPr>
        <b/>
        <i/>
        <sz val="14"/>
        <color theme="1"/>
        <rFont val="Calibri"/>
        <family val="2"/>
        <scheme val="minor"/>
      </rPr>
      <t>Operational Expenses</t>
    </r>
    <r>
      <rPr>
        <b/>
        <sz val="14"/>
        <color theme="1"/>
        <rFont val="Calibri"/>
        <family val="2"/>
        <scheme val="minor"/>
      </rPr>
      <t xml:space="preserve"> page</t>
    </r>
  </si>
  <si>
    <t>Operational Costs Variable Description</t>
  </si>
  <si>
    <r>
      <t xml:space="preserve">The table below tells you the values that are used for each variable in the </t>
    </r>
    <r>
      <rPr>
        <b/>
        <i/>
        <sz val="14"/>
        <color theme="1"/>
        <rFont val="Calibri"/>
        <family val="2"/>
        <scheme val="minor"/>
      </rPr>
      <t>Priorities</t>
    </r>
    <r>
      <rPr>
        <b/>
        <sz val="14"/>
        <color theme="1"/>
        <rFont val="Calibri"/>
        <family val="2"/>
        <scheme val="minor"/>
      </rPr>
      <t xml:space="preserve"> page</t>
    </r>
  </si>
  <si>
    <t>Priorities Page Variable Description</t>
  </si>
  <si>
    <t>Type of year considered (non-sludge year, sludge year , or both)</t>
  </si>
  <si>
    <t>year type</t>
  </si>
  <si>
    <t>Environmental impact type used for scenario rankings</t>
  </si>
  <si>
    <t>impact type</t>
  </si>
  <si>
    <t>Priorities Weightings</t>
  </si>
  <si>
    <t>Weight of 100%</t>
  </si>
  <si>
    <r>
      <t xml:space="preserve">The table below tells you the values that are used for each input within the </t>
    </r>
    <r>
      <rPr>
        <b/>
        <i/>
        <sz val="14"/>
        <color theme="1"/>
        <rFont val="Calibri"/>
        <family val="2"/>
        <scheme val="minor"/>
      </rPr>
      <t>Scenarios Choices</t>
    </r>
    <r>
      <rPr>
        <b/>
        <sz val="14"/>
        <color theme="1"/>
        <rFont val="Calibri"/>
        <family val="2"/>
        <scheme val="minor"/>
      </rPr>
      <t xml:space="preserve"> page</t>
    </r>
  </si>
  <si>
    <t>Scenarios that are compared against your baseline scenario</t>
  </si>
  <si>
    <t>Name on charts</t>
  </si>
  <si>
    <t>Alt 1</t>
  </si>
  <si>
    <t>Alt 2</t>
  </si>
  <si>
    <t>Alt 3</t>
  </si>
  <si>
    <t>Alt 4</t>
  </si>
  <si>
    <t>Return to Input Pages</t>
  </si>
  <si>
    <t>Scenario Rankings and Descriptions</t>
  </si>
  <si>
    <t>Economic Results</t>
  </si>
  <si>
    <t>Environmental Results</t>
  </si>
  <si>
    <t>Functionality and Logistics Results</t>
  </si>
  <si>
    <t>Resources Results</t>
  </si>
  <si>
    <t>Nutrient Concentrations</t>
  </si>
  <si>
    <t>ManureTech Swine DST</t>
  </si>
  <si>
    <t>Scenario</t>
  </si>
  <si>
    <t>Baseline</t>
  </si>
  <si>
    <t>Overall Ranking</t>
  </si>
  <si>
    <t>Functionality and Logistics</t>
  </si>
  <si>
    <t>Resources</t>
  </si>
  <si>
    <t>Economic results</t>
  </si>
  <si>
    <t>Base</t>
  </si>
  <si>
    <t>Capital outlay (total $ / animal)</t>
  </si>
  <si>
    <t>ANNUAL COSTS ($/animal/year)</t>
  </si>
  <si>
    <t>Annualized capital costs</t>
  </si>
  <si>
    <t>Operational costs</t>
  </si>
  <si>
    <t>ANNUAL BENEFITS ($/animal/year)</t>
  </si>
  <si>
    <t>Fertilizer value (on-farm use)</t>
  </si>
  <si>
    <t>Revenues (sale of manure product or energy)</t>
  </si>
  <si>
    <t>(Net costs) or net benefits</t>
  </si>
  <si>
    <t>Scenario Rankings</t>
  </si>
  <si>
    <t>For your convenience, all of the scenarios, their rankings, and their descriptions are below. At any time, you can press the return to the priorities page to adjust how scenarios are ranked. If you wish to change which scenarios show up in the remaining results pages, you can press the results choice button to quickly move back to that page.</t>
  </si>
  <si>
    <t>Return to priorities page</t>
  </si>
  <si>
    <t>Keep scrolling to view rankings 11 - 20</t>
  </si>
  <si>
    <t>Results Choice</t>
  </si>
  <si>
    <t>Keep scrolling to view rankings 21-30</t>
  </si>
  <si>
    <t>Economics Results</t>
  </si>
  <si>
    <t>Economic results ($/animal/year)</t>
  </si>
  <si>
    <r>
      <rPr>
        <sz val="11"/>
        <color rgb="FFFF0000"/>
        <rFont val="Calibri"/>
        <family val="2"/>
        <scheme val="minor"/>
      </rPr>
      <t>(Net costs)</t>
    </r>
    <r>
      <rPr>
        <sz val="11"/>
        <color theme="1"/>
        <rFont val="Calibri"/>
        <family val="2"/>
        <scheme val="minor"/>
      </rPr>
      <t xml:space="preserve"> or Net benefits</t>
    </r>
  </si>
  <si>
    <t>NOTE: Negative values (red parentheses) represent costs or net costs and positive values (black text) represent benefits or net benefits.</t>
  </si>
  <si>
    <t>NOTE: Bar color represents economic metric.</t>
  </si>
  <si>
    <t>Negative values represent costs or net costs; positve values represent benefits or net benefits.</t>
  </si>
  <si>
    <t>* Mouse over cell to view description about how to interpret results</t>
  </si>
  <si>
    <t>Farm emissions</t>
  </si>
  <si>
    <t>Net Impact</t>
  </si>
  <si>
    <t>Resource Use on Farm</t>
  </si>
  <si>
    <t>These results are NOT included in the ranking of scenarios</t>
  </si>
  <si>
    <t>Back to Summary</t>
  </si>
  <si>
    <t>Long-Term Average Nutrient Concentrations as Land Applied</t>
  </si>
  <si>
    <t>Module_Calc_ID</t>
  </si>
  <si>
    <t>Variable_Name</t>
  </si>
  <si>
    <t>Final_Value</t>
  </si>
  <si>
    <t>Input_Type</t>
  </si>
  <si>
    <t>UI_Page</t>
  </si>
  <si>
    <t>Module_Description</t>
  </si>
  <si>
    <t>Variable_Description</t>
  </si>
  <si>
    <t>Notes</t>
  </si>
  <si>
    <t>Pure_Input</t>
  </si>
  <si>
    <t>Sensitivity</t>
  </si>
  <si>
    <t>Source</t>
  </si>
  <si>
    <t>Check1</t>
  </si>
  <si>
    <t>Base_Value</t>
  </si>
  <si>
    <t>Base_Min</t>
  </si>
  <si>
    <t>Base_Max</t>
  </si>
  <si>
    <t>Base_Unit</t>
  </si>
  <si>
    <t>Convert_Base_to_User</t>
  </si>
  <si>
    <t>Convert_User_to_Final</t>
  </si>
  <si>
    <t>User_Visible_Unit</t>
  </si>
  <si>
    <t>Final_UD_Unit</t>
  </si>
  <si>
    <t>Metric_Unit</t>
  </si>
  <si>
    <t>US_Unit</t>
  </si>
  <si>
    <t>adj</t>
  </si>
  <si>
    <t>construction_cost</t>
  </si>
  <si>
    <t>Override</t>
  </si>
  <si>
    <t>UI.Cap</t>
  </si>
  <si>
    <t>Adjustment factors for model</t>
  </si>
  <si>
    <t>The routine equipment (tractors) cost adjustment factor</t>
  </si>
  <si>
    <t>routine_equip_cost</t>
  </si>
  <si>
    <t>The construction cost adjustment factor</t>
  </si>
  <si>
    <t>special_tech_cost</t>
  </si>
  <si>
    <t>The specialized technology (manure management and other tech) cost adjustment factor</t>
  </si>
  <si>
    <t>anaer_digest</t>
  </si>
  <si>
    <t>CH4_fraction</t>
  </si>
  <si>
    <t>Anaerobic digestion CSTR base stats</t>
  </si>
  <si>
    <t>Methane generation</t>
  </si>
  <si>
    <t>CH4_kWhr</t>
  </si>
  <si>
    <t>Unbounded</t>
  </si>
  <si>
    <t>m3 CH4 (kWhr at 55% efficiency)</t>
  </si>
  <si>
    <t>CH4_MJ</t>
  </si>
  <si>
    <t>m3 CH4</t>
  </si>
  <si>
    <t>gas_fraction</t>
  </si>
  <si>
    <t>Top cover volume (Gas storage)</t>
  </si>
  <si>
    <t>gas_gen</t>
  </si>
  <si>
    <t>Biogas generation (m3/kg VS added)</t>
  </si>
  <si>
    <t>HRT</t>
  </si>
  <si>
    <t>Hydraulic retention time (HRT)</t>
  </si>
  <si>
    <t>max_height</t>
  </si>
  <si>
    <t>Maximum height of a built digester</t>
  </si>
  <si>
    <t>min_count</t>
  </si>
  <si>
    <t>Minimum count of digesters needed to continuously operate system even during cleaning periods</t>
  </si>
  <si>
    <t>N_retained</t>
  </si>
  <si>
    <t>Calc</t>
  </si>
  <si>
    <t>Fraction of all nitrogen that enters the digester and remains in either liquid effluent or sludge after storage period</t>
  </si>
  <si>
    <t>ratio_h_r</t>
  </si>
  <si>
    <t>Height to radius ratio of cylindrical digester</t>
  </si>
  <si>
    <t>sludge_fraction</t>
  </si>
  <si>
    <t>Sludge accumulation volume as fraction of loading</t>
  </si>
  <si>
    <t>sludge_time</t>
  </si>
  <si>
    <t>Sludge accumulation period</t>
  </si>
  <si>
    <t>storage_safety_factor</t>
  </si>
  <si>
    <t>Safety factor for digester volume, intended to accommodate unexpected flows and changes in practice</t>
  </si>
  <si>
    <t>vs_reduced</t>
  </si>
  <si>
    <t>Fraction of influent VS that is reduced by digester</t>
  </si>
  <si>
    <t>AWMFH 651 Ch 10</t>
  </si>
  <si>
    <t>anaer_digest_effluent</t>
  </si>
  <si>
    <t>K</t>
  </si>
  <si>
    <t>Anaerobic digestion effluent characteristics</t>
  </si>
  <si>
    <t>P</t>
  </si>
  <si>
    <t>TAN</t>
  </si>
  <si>
    <t>TS</t>
  </si>
  <si>
    <t>Total solids (TS)</t>
  </si>
  <si>
    <t>VS</t>
  </si>
  <si>
    <t>Volatile solids loading (VS)</t>
  </si>
  <si>
    <t>anaer_digest_liquid</t>
  </si>
  <si>
    <t>prop</t>
  </si>
  <si>
    <t>Anaerobic digestion liquid nutrient value</t>
  </si>
  <si>
    <t>Treatment efficiency, percentage of N available in liquid</t>
  </si>
  <si>
    <t>anaer_digest_sludge</t>
  </si>
  <si>
    <t>Anaerobic digestion sludge nutrient value</t>
  </si>
  <si>
    <t>Treatment efficiency, percentage of N available in sludge</t>
  </si>
  <si>
    <t>Total solids concentration</t>
  </si>
  <si>
    <t>anaer_lagoon</t>
  </si>
  <si>
    <t>berm_width</t>
  </si>
  <si>
    <t>Anaerobic lagoon</t>
  </si>
  <si>
    <t>Width of the lagoon berm and freeboard slope that drains into lagoon</t>
  </si>
  <si>
    <t>depth</t>
  </si>
  <si>
    <t>Depth of lagoon sludge, precipitation, and treatment volume</t>
  </si>
  <si>
    <t>effluent_K</t>
  </si>
  <si>
    <t>Potassium remaining in lagoon liquid</t>
  </si>
  <si>
    <t>effluent_N</t>
  </si>
  <si>
    <t>Fraction of non-volatilized N that remains in effluent</t>
  </si>
  <si>
    <t>FIX THIS TO BE LIKE DAIRY</t>
  </si>
  <si>
    <t>N_loss_atmosphere</t>
  </si>
  <si>
    <t>Anaerobic lagoon effluent</t>
  </si>
  <si>
    <t>Fraction of all nitrogen that enters the lagoon and is lost to the atmosphere before storage period passes</t>
  </si>
  <si>
    <t>Fraction of all nitrogen that enters the lagoon and remains in either liquid effluent or sludge after storage period</t>
  </si>
  <si>
    <t>effluent_P</t>
  </si>
  <si>
    <t>Phosphorus remaining in lagoon liquid</t>
  </si>
  <si>
    <t>effluent_removal</t>
  </si>
  <si>
    <t>Top-bound</t>
  </si>
  <si>
    <t>Anaerobic lagoon effluent and sludge removal</t>
  </si>
  <si>
    <t>Effluent removal activity</t>
  </si>
  <si>
    <t>Added on March 21 2022</t>
  </si>
  <si>
    <t>effluent_TAN</t>
  </si>
  <si>
    <t>TAN remaining in lagoon liquid</t>
  </si>
  <si>
    <t>effluent_time</t>
  </si>
  <si>
    <t>Constant</t>
  </si>
  <si>
    <t>Time between liquid removal events</t>
  </si>
  <si>
    <t>effluent_TS</t>
  </si>
  <si>
    <t>TS remaining in lagoon liquid</t>
  </si>
  <si>
    <t>effluent_VS</t>
  </si>
  <si>
    <t>VS remaining in lagoon liquid</t>
  </si>
  <si>
    <t>evap_modifier</t>
  </si>
  <si>
    <t>Evaporation modifier that is based on lagoon conditions. If evaporation cannot occur, use a value of 0.</t>
  </si>
  <si>
    <t>evap_modifier_flush</t>
  </si>
  <si>
    <t>Evaporation modifier for lagoons that receive effluent from a flush system.</t>
  </si>
  <si>
    <t>evap_modifier_ob</t>
  </si>
  <si>
    <t>Evaporation modifier for lagoons that have organic bedding and no solid sep.</t>
  </si>
  <si>
    <t>evap_modifier_scrape</t>
  </si>
  <si>
    <t>Evaporation modifier for lagoons that receive effluent with sand from a scrape system.</t>
  </si>
  <si>
    <t>evap_modifier_sl</t>
  </si>
  <si>
    <t>Evaporation modifier for lagoons that receive effluent of any kind from a solid sep system.</t>
  </si>
  <si>
    <t>freeboard</t>
  </si>
  <si>
    <t>Freeboard</t>
  </si>
  <si>
    <t>Hydraulic retention time</t>
  </si>
  <si>
    <t>liquid_events</t>
  </si>
  <si>
    <t>Anaerobic lagoon characteristics</t>
  </si>
  <si>
    <t>Liquid removal events per year</t>
  </si>
  <si>
    <t>pump_and_motor_efficiency</t>
  </si>
  <si>
    <t>Overall efficiency of the pump and motor system</t>
  </si>
  <si>
    <t>recycle_pump_flowrate</t>
  </si>
  <si>
    <t>Flowrate of the recycle pump for cleaning</t>
  </si>
  <si>
    <t>recycle_pump_headloss</t>
  </si>
  <si>
    <t>Headloss from storage to cleaning area</t>
  </si>
  <si>
    <t>slope</t>
  </si>
  <si>
    <t>Horizontal to vertical ratio of sloped banks</t>
  </si>
  <si>
    <t>sludge_accumulation_ratio</t>
  </si>
  <si>
    <t>Sludge accumulation ratio (SAR)</t>
  </si>
  <si>
    <t>Source is table 10-7 of AWMFH, chapter 10 part 651. Further sourced from Barth 1985</t>
  </si>
  <si>
    <t>sludge_events</t>
  </si>
  <si>
    <t>Sludge removal events per year (annualized)</t>
  </si>
  <si>
    <t>sludge_K</t>
  </si>
  <si>
    <t>K remaining in lagoon sludge</t>
  </si>
  <si>
    <t>Added March 25 2022 (% difference from the effluent loss is matched with the Sludge nutrient concentration)</t>
  </si>
  <si>
    <t>sludge_N</t>
  </si>
  <si>
    <t>Fraction of non-volatilized N that remains in sludge</t>
  </si>
  <si>
    <t>sludge_N_retained</t>
  </si>
  <si>
    <t>Anaerobic lagoon sludge nutrient</t>
  </si>
  <si>
    <t>Fraction of N that does not volatilize to atmosphere from sludge portion of lagoon</t>
  </si>
  <si>
    <t>sludge_P</t>
  </si>
  <si>
    <t>P remaining in lagoon sludge</t>
  </si>
  <si>
    <t>Sludge removal time period</t>
  </si>
  <si>
    <t>sludge_TS</t>
  </si>
  <si>
    <t>TS remaining in lagoon sludge</t>
  </si>
  <si>
    <t>volume_sludge</t>
  </si>
  <si>
    <t>Sludge accumulation volume (m3/ kg TS added)</t>
  </si>
  <si>
    <t>VS_loading_rate</t>
  </si>
  <si>
    <t>Volatile solids loading rate (VSLR) for selected location</t>
  </si>
  <si>
    <t>Refer to AWMFH Part 651 figure 10-27</t>
  </si>
  <si>
    <t>VSLR_multiplier</t>
  </si>
  <si>
    <t>VSLR multiplier to account for odor minimization needs. Smaller number == more odor to be reduced, value 1 == no reduction</t>
  </si>
  <si>
    <t>treatment_toggle</t>
  </si>
  <si>
    <t>Drop</t>
  </si>
  <si>
    <t>Toggle that switches between anaerobic and storage design. 1 == Anaerobic, 0 == Storage</t>
  </si>
  <si>
    <t>sludge_toggle</t>
  </si>
  <si>
    <t>Toggle that switches between sludge storage and no sludge storage volume. 1 == Sludge volume, 0 == No sludge volume</t>
  </si>
  <si>
    <t>effluent_TS_lost</t>
  </si>
  <si>
    <t>Fraction of TS lost during storage period</t>
  </si>
  <si>
    <t>effluent_TS_target</t>
  </si>
  <si>
    <t>Fraction of applied volume after storage period that is TS</t>
  </si>
  <si>
    <t>irrigation_events</t>
  </si>
  <si>
    <t>Irrigation removal events per year</t>
  </si>
  <si>
    <t>sludge_accumulation_ratio_storage_modifier</t>
  </si>
  <si>
    <t>Sludge accumulation ratio (SAR) modifier for a storage lagoon design (no MTV), applies to base or solid sep value.</t>
  </si>
  <si>
    <t>Based on feedback during KC meeting March 10, 2025</t>
  </si>
  <si>
    <t>sludge_accumulation_ratio_base</t>
  </si>
  <si>
    <t>Sludge accumulation ratio (SAR) for anaerobic lagoon without solids separation</t>
  </si>
  <si>
    <t>sludge_accumulation_ratio_sol_sep</t>
  </si>
  <si>
    <t>Sludge accumulation ratio (SAR) for anaerobic lagoon system with solids separation</t>
  </si>
  <si>
    <t>VSLR_odor_multiplier</t>
  </si>
  <si>
    <t>VSLR_solids_multiplier</t>
  </si>
  <si>
    <t>VSLR multiplier to account for solids removal. When solids are removed via separation, the loading rate can be increased.</t>
  </si>
  <si>
    <t>animal</t>
  </si>
  <si>
    <t>a_count</t>
  </si>
  <si>
    <t>UI.Animal</t>
  </si>
  <si>
    <t>Animal a (nursery swine)</t>
  </si>
  <si>
    <t>Number of nursery swine</t>
  </si>
  <si>
    <t>a_K</t>
  </si>
  <si>
    <t>UI.Manure</t>
  </si>
  <si>
    <t>K2O in nursery manure</t>
  </si>
  <si>
    <t>a_manure</t>
  </si>
  <si>
    <t>Total manure produced by nursery swine</t>
  </si>
  <si>
    <t>a_N</t>
  </si>
  <si>
    <t>Nitrogen in nursery manure</t>
  </si>
  <si>
    <t>a_P</t>
  </si>
  <si>
    <t>P2O5 in nursery manure</t>
  </si>
  <si>
    <t>a_TAN</t>
  </si>
  <si>
    <t>TAN in nursery manure</t>
  </si>
  <si>
    <t>a_treated</t>
  </si>
  <si>
    <t>1 or 0</t>
  </si>
  <si>
    <t>Yes or No</t>
  </si>
  <si>
    <t>Text drop</t>
  </si>
  <si>
    <t>Animal properties</t>
  </si>
  <si>
    <t>Is manure from nursery swine treated?</t>
  </si>
  <si>
    <t>a_TS</t>
  </si>
  <si>
    <t>TS in nursery manure</t>
  </si>
  <si>
    <t>a_VS</t>
  </si>
  <si>
    <t>VS in nursery manure</t>
  </si>
  <si>
    <t>a_weight</t>
  </si>
  <si>
    <t>Average weight of nursery swine</t>
  </si>
  <si>
    <t>abcde_count</t>
  </si>
  <si>
    <t>Total count of all animals, regardless of manure treatment</t>
  </si>
  <si>
    <t>b_count</t>
  </si>
  <si>
    <t>Animal b (Grow-finish)</t>
  </si>
  <si>
    <t>Number of grow to finish swine</t>
  </si>
  <si>
    <t>b_K</t>
  </si>
  <si>
    <t>K2O in grow to finish manure</t>
  </si>
  <si>
    <t>b_manure</t>
  </si>
  <si>
    <t>Total manure produced by grow to finish swine</t>
  </si>
  <si>
    <t>b_N</t>
  </si>
  <si>
    <t>Nitrogen in grow to finish manure</t>
  </si>
  <si>
    <t>b_P</t>
  </si>
  <si>
    <t>P2O5 in grow to finish manure</t>
  </si>
  <si>
    <t>b_TAN</t>
  </si>
  <si>
    <t>TAN in grow to finish manure</t>
  </si>
  <si>
    <t>b_treated</t>
  </si>
  <si>
    <t>Is manure from grow to finish swine treated?</t>
  </si>
  <si>
    <t>b_TS</t>
  </si>
  <si>
    <t>TS in grow to finish manure</t>
  </si>
  <si>
    <t>b_VS</t>
  </si>
  <si>
    <t>VS in grow to finish manure</t>
  </si>
  <si>
    <t>b_weight</t>
  </si>
  <si>
    <t>Average weight of grow to finish swine</t>
  </si>
  <si>
    <t>c_count</t>
  </si>
  <si>
    <t>Animal c (Gestating sow)</t>
  </si>
  <si>
    <t>Number of gestating sows</t>
  </si>
  <si>
    <t>c_K</t>
  </si>
  <si>
    <t>K2O in gestating manure</t>
  </si>
  <si>
    <t>c_manure</t>
  </si>
  <si>
    <t>Total manure produced by gestating sows</t>
  </si>
  <si>
    <t>c_N</t>
  </si>
  <si>
    <t>Nitrogen in gestating manure</t>
  </si>
  <si>
    <t>c_P</t>
  </si>
  <si>
    <t>P2O5 in gestating manure</t>
  </si>
  <si>
    <t>c_TAN</t>
  </si>
  <si>
    <t>TAN in gestating manure</t>
  </si>
  <si>
    <t>c_treated</t>
  </si>
  <si>
    <t>Is manure from animal gestating sows treated?</t>
  </si>
  <si>
    <t>c_TS</t>
  </si>
  <si>
    <t>TS in gestating manure</t>
  </si>
  <si>
    <t>c_VS</t>
  </si>
  <si>
    <t>VS in gestating manure</t>
  </si>
  <si>
    <t>c_weight</t>
  </si>
  <si>
    <t>Average weight of gestating sows</t>
  </si>
  <si>
    <t>d_count</t>
  </si>
  <si>
    <t>Animal d (Lactating swine)</t>
  </si>
  <si>
    <t>Number of farrowing sows</t>
  </si>
  <si>
    <t>d_K</t>
  </si>
  <si>
    <t>K2O in farrowing manure</t>
  </si>
  <si>
    <t>d_manure</t>
  </si>
  <si>
    <t>Total manure produced by farrowing sows</t>
  </si>
  <si>
    <t>d_N</t>
  </si>
  <si>
    <t>Nitrogen in farrowing manure</t>
  </si>
  <si>
    <t>d_P</t>
  </si>
  <si>
    <t>P2O5 in farrowing manure</t>
  </si>
  <si>
    <t>d_TAN</t>
  </si>
  <si>
    <t>TAN in farrowing manure</t>
  </si>
  <si>
    <t>d_treated</t>
  </si>
  <si>
    <t>Is manure from farrowing sows treated?</t>
  </si>
  <si>
    <t>d_TS</t>
  </si>
  <si>
    <t>TS in farrowing manure</t>
  </si>
  <si>
    <t>d_VS</t>
  </si>
  <si>
    <t>VS in farrowing manure</t>
  </si>
  <si>
    <t>d_weight</t>
  </si>
  <si>
    <t>Average weight of farrowing sows</t>
  </si>
  <si>
    <t>e_count</t>
  </si>
  <si>
    <t>UI.Animals</t>
  </si>
  <si>
    <t>Animal e (Wean-finish)</t>
  </si>
  <si>
    <t>Number of wean to finish swine</t>
  </si>
  <si>
    <t>e_K</t>
  </si>
  <si>
    <t>K2O in wean to finish manure</t>
  </si>
  <si>
    <t>e_manure</t>
  </si>
  <si>
    <t>Total manure produced by wean to finish swine</t>
  </si>
  <si>
    <t>e_N</t>
  </si>
  <si>
    <t>Nitrogen in wean to finish manure</t>
  </si>
  <si>
    <t>e_P</t>
  </si>
  <si>
    <t>P2O5 in wean to finish manure</t>
  </si>
  <si>
    <t>e_TAN</t>
  </si>
  <si>
    <t>TAN in wean to finish manure</t>
  </si>
  <si>
    <t>e_treated</t>
  </si>
  <si>
    <t>Is manure from wean to finish swine treated?</t>
  </si>
  <si>
    <t>e_TS</t>
  </si>
  <si>
    <t>TS in wean to finish manure</t>
  </si>
  <si>
    <t>e_VS</t>
  </si>
  <si>
    <t>VS in wean to finish manure</t>
  </si>
  <si>
    <t>e_weight</t>
  </si>
  <si>
    <t>Average weight of wean to finish swine</t>
  </si>
  <si>
    <t>K2O</t>
  </si>
  <si>
    <t>Animal characteristics</t>
  </si>
  <si>
    <t>Overall weighted average for K2O production</t>
  </si>
  <si>
    <t>This is calculated in Regressions tab</t>
  </si>
  <si>
    <t>manure</t>
  </si>
  <si>
    <t>Overall weighted average for manure production</t>
  </si>
  <si>
    <t>Overall weighted average for N production</t>
  </si>
  <si>
    <t>P2O5</t>
  </si>
  <si>
    <t>Overall weighted average for P2O5 production</t>
  </si>
  <si>
    <t>Overall weighted average for TAN production</t>
  </si>
  <si>
    <t>total</t>
  </si>
  <si>
    <t>Total number of animals with treated waste</t>
  </si>
  <si>
    <t>This is calculated using other UD variables. Generally, it should not be directly changed.</t>
  </si>
  <si>
    <t>Overall weighted average for TS production</t>
  </si>
  <si>
    <t>Overall weighted average for VS production</t>
  </si>
  <si>
    <t>barn_recharge</t>
  </si>
  <si>
    <t>N_loss</t>
  </si>
  <si>
    <t>Manure removed from barn floor via recharge system</t>
  </si>
  <si>
    <t>Percentage of N lost</t>
  </si>
  <si>
    <t>barn_scrape</t>
  </si>
  <si>
    <t>Manure removed from barn floor via scrape system</t>
  </si>
  <si>
    <t>bed_organic</t>
  </si>
  <si>
    <t>density</t>
  </si>
  <si>
    <t>Organic bedding characteristics</t>
  </si>
  <si>
    <t>Density of organic bedding</t>
  </si>
  <si>
    <t>dry_matter</t>
  </si>
  <si>
    <t>Fraction of dry matter in organic bedding</t>
  </si>
  <si>
    <t>fraction_recycled</t>
  </si>
  <si>
    <t>Fraction of organic bedding that comes from separated solids</t>
  </si>
  <si>
    <t>usage</t>
  </si>
  <si>
    <t>Organic bedding usage rate</t>
  </si>
  <si>
    <t>bed_sand</t>
  </si>
  <si>
    <t>Sand bedding characteristics</t>
  </si>
  <si>
    <t>Density of sand bedding</t>
  </si>
  <si>
    <t>Fraction of dry matter in sand bedding</t>
  </si>
  <si>
    <t>Sand bedding usage rate</t>
  </si>
  <si>
    <t>box_spreader</t>
  </si>
  <si>
    <t>hp</t>
  </si>
  <si>
    <t>Box spreader characteristics</t>
  </si>
  <si>
    <t>Horsepower of the tractor that operates box spreader</t>
  </si>
  <si>
    <t>capacity</t>
  </si>
  <si>
    <t>Capacity of the box spreader</t>
  </si>
  <si>
    <t>time_spreader_to_field</t>
  </si>
  <si>
    <t>Time required to spread solids on field when using box spreader</t>
  </si>
  <si>
    <t>compost</t>
  </si>
  <si>
    <t>length_row</t>
  </si>
  <si>
    <t>Characteristics of mixing-vessel composting system</t>
  </si>
  <si>
    <t>Maximum length of compost rows</t>
  </si>
  <si>
    <t>https://extension.missouri.edu/publications/g3402</t>
  </si>
  <si>
    <t>width_row</t>
  </si>
  <si>
    <t>Width of compost rows</t>
  </si>
  <si>
    <t>height_row</t>
  </si>
  <si>
    <t>Height/depth of compost rows</t>
  </si>
  <si>
    <t>fraction_carbon</t>
  </si>
  <si>
    <t>Fraction of raw waste manure volume that is added as carbon</t>
  </si>
  <si>
    <t>fraction_screened_compost</t>
  </si>
  <si>
    <t>Fraction of raw waste manure volume that is added as recycled screened compost</t>
  </si>
  <si>
    <t>fraction_fine_compost</t>
  </si>
  <si>
    <t>Fraction of raw waste manure volume that is added as recycled fine compost</t>
  </si>
  <si>
    <t>mc_carbon</t>
  </si>
  <si>
    <t>Fraction of carbon material that is moisture</t>
  </si>
  <si>
    <t>density_carbon</t>
  </si>
  <si>
    <t>Density of carbon source</t>
  </si>
  <si>
    <t>N_carbon</t>
  </si>
  <si>
    <t>Nitrogen content of carbon source</t>
  </si>
  <si>
    <t>P_carbon</t>
  </si>
  <si>
    <t>Phosphorus content of carbon source</t>
  </si>
  <si>
    <t>K_carbon</t>
  </si>
  <si>
    <t>Potassium content of carbon source</t>
  </si>
  <si>
    <t>fraction_compost_area</t>
  </si>
  <si>
    <t>Fraction of the entire composting barn that composting rows will take. Remainder is used for storage, screening, curing, walkways, and driving space.</t>
  </si>
  <si>
    <t>area_safety_factor</t>
  </si>
  <si>
    <t>Safety factor for compost row area. A larger value requires a larger barn but can better handle unexpected changes in manure production. Smaller values (below 1) indicate that compost is expected to significantly shrink in volume before being taken for screening.</t>
  </si>
  <si>
    <t>manure_TS_remaining</t>
  </si>
  <si>
    <t>Fraction of TS from manure that remains after curing</t>
  </si>
  <si>
    <t>manure_VS_remaining</t>
  </si>
  <si>
    <t>Fraction of VS from manure that remains after curing</t>
  </si>
  <si>
    <t>manure_N_remaining</t>
  </si>
  <si>
    <t>Fraction of N from manure that remains after curing</t>
  </si>
  <si>
    <t>manure_P_remaining</t>
  </si>
  <si>
    <t>Fraction of P from manure that remains after curing</t>
  </si>
  <si>
    <t>manure_K_remaining</t>
  </si>
  <si>
    <t>Fraction of K from manure that remains after curing</t>
  </si>
  <si>
    <t>carbon_TS_remaining</t>
  </si>
  <si>
    <t>Fraction of TS from carbon that remains after curing</t>
  </si>
  <si>
    <t>carbon_N_remaining</t>
  </si>
  <si>
    <t>Fraction of N from carbon that remains after curing</t>
  </si>
  <si>
    <t>carbon_P_remaining</t>
  </si>
  <si>
    <t>Fraction of P from carbon that remains after curing</t>
  </si>
  <si>
    <t>carbon_K_remaining</t>
  </si>
  <si>
    <t>Fraction of K from carbon that remains after curing</t>
  </si>
  <si>
    <t>mc_compost</t>
  </si>
  <si>
    <t>Fraction of cured compost that is moisture</t>
  </si>
  <si>
    <t>time_storage_to_compost</t>
  </si>
  <si>
    <t>Time required to move scoops of carbon and recycled compost to composting pit rows</t>
  </si>
  <si>
    <t>time_screen_to_storage</t>
  </si>
  <si>
    <t>Time required to move scoops of compost to screening machine and afterwards to storage</t>
  </si>
  <si>
    <t>volume_day0_to_screening</t>
  </si>
  <si>
    <t>Volume loss or expansion of composted material from day 0 to moment of screening</t>
  </si>
  <si>
    <t>screening_rate</t>
  </si>
  <si>
    <t>Rate at which compost screening machine processes compost</t>
  </si>
  <si>
    <t>screening_fuel</t>
  </si>
  <si>
    <t>Rate at which compost screening machine uses fuel while processing compost</t>
  </si>
  <si>
    <t>volume_day0_to_cured</t>
  </si>
  <si>
    <t>Volume loss or expansion of composted material from day 0 to after curing</t>
  </si>
  <si>
    <t>time_curing_to_spreader</t>
  </si>
  <si>
    <t>Time required to move compost from cured compost storage area to box spreader or truck if exporting</t>
  </si>
  <si>
    <t>density_bulk</t>
  </si>
  <si>
    <t>Composting module</t>
  </si>
  <si>
    <t>Bulk density</t>
  </si>
  <si>
    <t>final_density</t>
  </si>
  <si>
    <t>Compost K loses</t>
  </si>
  <si>
    <t>fraction_dry_final</t>
  </si>
  <si>
    <t>Final dry matter fraction (after loss)</t>
  </si>
  <si>
    <t>fraction_volume_loss</t>
  </si>
  <si>
    <t>Volume loss fraction</t>
  </si>
  <si>
    <t>fraction_wet_final</t>
  </si>
  <si>
    <t>Final wet matter fraction (after loss + curing)</t>
  </si>
  <si>
    <t>K_loss</t>
  </si>
  <si>
    <t>Compost N loses</t>
  </si>
  <si>
    <t>P_loss</t>
  </si>
  <si>
    <t>Compost P loses</t>
  </si>
  <si>
    <t>time</t>
  </si>
  <si>
    <t>Total composting time</t>
  </si>
  <si>
    <t>emit_CH4</t>
  </si>
  <si>
    <t>Composting emissions</t>
  </si>
  <si>
    <t>Kg CH4/ kg wet waste treated</t>
  </si>
  <si>
    <t>emit_CO2</t>
  </si>
  <si>
    <t>Kg CO2/ kg Dry solids treated</t>
  </si>
  <si>
    <t>emit_N2O</t>
  </si>
  <si>
    <t>Kg N2O/ kg wet waste treated</t>
  </si>
  <si>
    <t>cover_digest</t>
  </si>
  <si>
    <t>Covered earthen digester characteristics</t>
  </si>
  <si>
    <t>Width of the lagoon berm and freeboard slope that drains into lagoon digester</t>
  </si>
  <si>
    <t>Fraction of biogas that is methane CH4</t>
  </si>
  <si>
    <t>Total design depth of a digester lagoon, which includes sludge, precipitation, and treatment volumes but not freeboard</t>
  </si>
  <si>
    <t>Height of the freeboard</t>
  </si>
  <si>
    <t>liquid_prop</t>
  </si>
  <si>
    <t>N available in Liquid portion</t>
  </si>
  <si>
    <t>FIX description</t>
  </si>
  <si>
    <t>sludge_prop</t>
  </si>
  <si>
    <t>N available in Sludge portion</t>
  </si>
  <si>
    <t>Fraction of VS that is reduced during storage in cover lagoon</t>
  </si>
  <si>
    <t>cover_lagoon</t>
  </si>
  <si>
    <t>m3 CH4 (kWhr at 100% efficiency)</t>
  </si>
  <si>
    <t>Time between sludge and liquid removal events</t>
  </si>
  <si>
    <t>Total solids</t>
  </si>
  <si>
    <t>Refer to NRCS Code 366 Anaerobic Digester figure 1, Covered lagoons - maximum loading rate</t>
  </si>
  <si>
    <t>Covered lagoon characteristics</t>
  </si>
  <si>
    <t>crops</t>
  </si>
  <si>
    <t>acres_available</t>
  </si>
  <si>
    <t>UI.Farm</t>
  </si>
  <si>
    <t>Crops that are connected to land application of manure</t>
  </si>
  <si>
    <t>The amount of land available for manure application each year</t>
  </si>
  <si>
    <t>Based on user.inputs from Erin</t>
  </si>
  <si>
    <t>application_max_irrigation</t>
  </si>
  <si>
    <t>Maximum volume of irrigated liquid manure that can be applied per land area based on terrain, weather, and soil conditions per application period irrespective of nutrient contents.</t>
  </si>
  <si>
    <t>Source: Teng Lim during 2025-02-14 meeting</t>
  </si>
  <si>
    <t>application_max_liquids</t>
  </si>
  <si>
    <t>Maximum volume of liquid slurry manure that can be applied per land area based on terrain, weather, and soil conditions per application period irrespective of nutrient contents.</t>
  </si>
  <si>
    <t>application_max_sludge</t>
  </si>
  <si>
    <t>Maximum volume of sludge manure that can be applied per land area based on terrain, weather, and soil conditions per application period irrespective of nutrient contents.</t>
  </si>
  <si>
    <t>application_wait_irrigation</t>
  </si>
  <si>
    <t>Waiting period between application events that is required to let land dry and be ready for next irrigation application</t>
  </si>
  <si>
    <t>application_wait_liquids</t>
  </si>
  <si>
    <t>Waiting period between application events that is required to let land dry and be ready for next liquid application</t>
  </si>
  <si>
    <t>application_wait_sludge</t>
  </si>
  <si>
    <t>Waiting period between application events that is required to let land dry and be ready for next sludge application</t>
  </si>
  <si>
    <t>apply_for</t>
  </si>
  <si>
    <t>The primary nutrient for which to apply manure</t>
  </si>
  <si>
    <t>apply_method</t>
  </si>
  <si>
    <t>The method by which manure is applied</t>
  </si>
  <si>
    <t>K_avail</t>
  </si>
  <si>
    <t xml:space="preserve">Manure nutrient availability to crops </t>
  </si>
  <si>
    <t>K that is taken in by soil</t>
  </si>
  <si>
    <t>K_lost</t>
  </si>
  <si>
    <t>K that is lost or unavailable to plants</t>
  </si>
  <si>
    <t>K_need</t>
  </si>
  <si>
    <t>The quantity of K2O5 applied on the land area</t>
  </si>
  <si>
    <t>In UI.Farm page</t>
  </si>
  <si>
    <t>K2O_avail_injection</t>
  </si>
  <si>
    <t>Potassium available through injection</t>
  </si>
  <si>
    <t>K2O_avail_surface</t>
  </si>
  <si>
    <t>Potassium available through surface broadcast</t>
  </si>
  <si>
    <t>N_avail</t>
  </si>
  <si>
    <t>N that is taken in by soil</t>
  </si>
  <si>
    <t>N_avail_injection</t>
  </si>
  <si>
    <t>Nitrogen available through injection</t>
  </si>
  <si>
    <t>N_avail_surface</t>
  </si>
  <si>
    <t>Nitrogen available through surface broadcast</t>
  </si>
  <si>
    <t>N_lost</t>
  </si>
  <si>
    <t>N that is lost or unavailable to plants</t>
  </si>
  <si>
    <t>N_need</t>
  </si>
  <si>
    <t>The quantity of N applied on the land area</t>
  </si>
  <si>
    <t>P_avail</t>
  </si>
  <si>
    <t>P that is taken in by soil</t>
  </si>
  <si>
    <t>P_lost</t>
  </si>
  <si>
    <t>P that is lost or unavailable to plants</t>
  </si>
  <si>
    <t>P_need</t>
  </si>
  <si>
    <t>The quantity of P2O5 applied on the land area</t>
  </si>
  <si>
    <t>P2O5_avail_injection</t>
  </si>
  <si>
    <t>Phosphorus available through injection</t>
  </si>
  <si>
    <t>P2O5_avail_surface</t>
  </si>
  <si>
    <t>Phosphorus available through surface broadcast</t>
  </si>
  <si>
    <t>Density</t>
  </si>
  <si>
    <t>Density of raw manure</t>
  </si>
  <si>
    <t>dhl</t>
  </si>
  <si>
    <t>agitation_trailer</t>
  </si>
  <si>
    <t>Drag hose properties</t>
  </si>
  <si>
    <t>Agitation trailer flow rate</t>
  </si>
  <si>
    <t>agitation_trailer_fuel</t>
  </si>
  <si>
    <t>Drag hose land application specs</t>
  </si>
  <si>
    <t>Diesel fuel usage rate for agitation trailer</t>
  </si>
  <si>
    <t>agitation_utilization</t>
  </si>
  <si>
    <t>Fraction of time that agitation trailer is on</t>
  </si>
  <si>
    <t>application_maneuver_factor</t>
  </si>
  <si>
    <t>Multiplier for the drag hose application time to account for maneuvering</t>
  </si>
  <si>
    <t>applicator_pump_size</t>
  </si>
  <si>
    <t>Maximum pump rate for drag hose system</t>
  </si>
  <si>
    <t>booster_pump</t>
  </si>
  <si>
    <t>Booster pump flow rate</t>
  </si>
  <si>
    <t>booster_pump_fuel</t>
  </si>
  <si>
    <t>Diesel fuel usage rate for booster pump</t>
  </si>
  <si>
    <t>booster_utilization</t>
  </si>
  <si>
    <t>Fraction of time that booster pump is on</t>
  </si>
  <si>
    <t>diesel_powered_pump_size</t>
  </si>
  <si>
    <t>Diesel pump size</t>
  </si>
  <si>
    <t>distance_booster</t>
  </si>
  <si>
    <t>Miles of hose per booster pump</t>
  </si>
  <si>
    <t>hose_mover</t>
  </si>
  <si>
    <t>Hose mover flow rate</t>
  </si>
  <si>
    <t>hose_mover_fuel</t>
  </si>
  <si>
    <t>Diesel fuel usage rate for hose mover</t>
  </si>
  <si>
    <t>hose_mover_utilization</t>
  </si>
  <si>
    <t>Fraction of time that hose mover is used during land application</t>
  </si>
  <si>
    <t>lead_pump</t>
  </si>
  <si>
    <t>Lead pump flow rate</t>
  </si>
  <si>
    <t>lead_pump_fuel</t>
  </si>
  <si>
    <t>Diesel fuel usage rate for lead pump</t>
  </si>
  <si>
    <t>lead_utilization</t>
  </si>
  <si>
    <t>Fraction of time that lead pump is on</t>
  </si>
  <si>
    <t xml:space="preserve">pick_up </t>
  </si>
  <si>
    <t>Pick up flow rate</t>
  </si>
  <si>
    <t>pickup_fuel</t>
  </si>
  <si>
    <t>Diesel fuel usage rate for supporting pickup truck usage</t>
  </si>
  <si>
    <t>pickup_utilization</t>
  </si>
  <si>
    <t>Fraction of time that pickup truck is on</t>
  </si>
  <si>
    <t>speed_applicator</t>
  </si>
  <si>
    <t>Max speed that you expect applicator tractor to drive at</t>
  </si>
  <si>
    <t>toolbar_utilization</t>
  </si>
  <si>
    <t>Fraction of time that toolbar is used per unit tractor pulling it</t>
  </si>
  <si>
    <t>tractor_applicator</t>
  </si>
  <si>
    <t>Tractor applicator flow rate</t>
  </si>
  <si>
    <t>tractor_applicator_hp</t>
  </si>
  <si>
    <t>Size of tractor that pulls hose reel and applicator</t>
  </si>
  <si>
    <t>tractor_pulley_hp</t>
  </si>
  <si>
    <t>Size of support tractor that operates the hose pulley</t>
  </si>
  <si>
    <t>width_toolbar</t>
  </si>
  <si>
    <t>Width of the toolbar applicator</t>
  </si>
  <si>
    <t>dpss</t>
  </si>
  <si>
    <t>agitation</t>
  </si>
  <si>
    <t>Deep pit slurry storage system characteristics</t>
  </si>
  <si>
    <t>Fraction of agitation that is needed</t>
  </si>
  <si>
    <t>Depth of the pit underneath the barn</t>
  </si>
  <si>
    <t>width</t>
  </si>
  <si>
    <t>Width of the pit underneath the barn</t>
  </si>
  <si>
    <t>Fraction of K2O that is retained in effluent</t>
  </si>
  <si>
    <t>Fraction of N that is retained in effluent</t>
  </si>
  <si>
    <t>Fraction of P2O5 that is retained in effluent</t>
  </si>
  <si>
    <t>Fraction of TAN that is retained in effluent</t>
  </si>
  <si>
    <t>Fraction of TS that is retained in effluent</t>
  </si>
  <si>
    <t>Fraction of VS that is retained in effluent</t>
  </si>
  <si>
    <t>removal_events</t>
  </si>
  <si>
    <t>Number of effluent removal events per year</t>
  </si>
  <si>
    <t>dpss_aer</t>
  </si>
  <si>
    <t>Deep pit aerated slurry storage system characteristics</t>
  </si>
  <si>
    <t>drive_per_area</t>
  </si>
  <si>
    <t>Area coverage per drive unit</t>
  </si>
  <si>
    <t>motor_per_drive</t>
  </si>
  <si>
    <t>Number of motors per drive unit</t>
  </si>
  <si>
    <t>drive_motor_hp</t>
  </si>
  <si>
    <t>HP rating of the motors in each drive unit</t>
  </si>
  <si>
    <t>time_aeration</t>
  </si>
  <si>
    <t>Daily aeration time of the deep pit</t>
  </si>
  <si>
    <t>econ_agi</t>
  </si>
  <si>
    <t>diesel_trailer</t>
  </si>
  <si>
    <t>Economic costs for agitators</t>
  </si>
  <si>
    <t>Diesel powered agitation trailer</t>
  </si>
  <si>
    <t>Econ.Tables</t>
  </si>
  <si>
    <t>electric</t>
  </si>
  <si>
    <t>Agitator, electric</t>
  </si>
  <si>
    <t>pto</t>
  </si>
  <si>
    <t>Agitator, pto</t>
  </si>
  <si>
    <t>pump_motor</t>
  </si>
  <si>
    <t>Agi-pump, electric</t>
  </si>
  <si>
    <t>econ_attachments</t>
  </si>
  <si>
    <t>scraper</t>
  </si>
  <si>
    <t>Economic costs for attachments</t>
  </si>
  <si>
    <t>Scraper attachment</t>
  </si>
  <si>
    <t>econ_auto_scrape</t>
  </si>
  <si>
    <t>chain</t>
  </si>
  <si>
    <t>Economic costs for auto alley scraper system</t>
  </si>
  <si>
    <t>Auto alley system chain and accessories</t>
  </si>
  <si>
    <t>Econ.Tables Feb 2023</t>
  </si>
  <si>
    <t>install</t>
  </si>
  <si>
    <t>Auto alley system installation and electrical</t>
  </si>
  <si>
    <t>econ_box_spreader</t>
  </si>
  <si>
    <t>one_size</t>
  </si>
  <si>
    <t>Economic costs for box spreader used for land application</t>
  </si>
  <si>
    <t>Box spreader</t>
  </si>
  <si>
    <t>econ_build</t>
  </si>
  <si>
    <t>compost_building</t>
  </si>
  <si>
    <t>Economic costs for building system processes</t>
  </si>
  <si>
    <t>Compost building with concrete lanes and metal structure</t>
  </si>
  <si>
    <t>concrete_sand_lane</t>
  </si>
  <si>
    <t>Concrete sand settling lane</t>
  </si>
  <si>
    <t>concrete_slab_no_side</t>
  </si>
  <si>
    <t>Concrete slab, no side walls</t>
  </si>
  <si>
    <t>covered_building_cost</t>
  </si>
  <si>
    <t>Covered building for separators</t>
  </si>
  <si>
    <t>covered_building_size</t>
  </si>
  <si>
    <t>metal_building</t>
  </si>
  <si>
    <t>Metal covered building</t>
  </si>
  <si>
    <t>econ_capital</t>
  </si>
  <si>
    <t>interest_rate</t>
  </si>
  <si>
    <t>Economic interest rate for capital purchases</t>
  </si>
  <si>
    <t>Represented as fraction in UD; shown as percentage in Scenario tabs</t>
  </si>
  <si>
    <t>Econ.inputsTable</t>
  </si>
  <si>
    <t>econ_centrifuge</t>
  </si>
  <si>
    <t>158ft3</t>
  </si>
  <si>
    <t>Economic costs for decanting centrifuge</t>
  </si>
  <si>
    <t>Decanting centrifuge, 158 ft3</t>
  </si>
  <si>
    <t>209ft3</t>
  </si>
  <si>
    <t>Decanting centrifuge, 209 ft3</t>
  </si>
  <si>
    <t>452ft3</t>
  </si>
  <si>
    <t>Decanting centrifuge, 452 ft3</t>
  </si>
  <si>
    <t>econ_cng</t>
  </si>
  <si>
    <t>connected</t>
  </si>
  <si>
    <t>Fate of energy produced</t>
  </si>
  <si>
    <t>Yes/No toggle (1,0) for connecting gas to grid</t>
  </si>
  <si>
    <t>on_farm_use_no_grid_pct</t>
  </si>
  <si>
    <t>CNG used on farm, when no grid connect</t>
  </si>
  <si>
    <t>on_farm_use_yes_grid_pct</t>
  </si>
  <si>
    <t>CNG used on farm, when grid connect</t>
  </si>
  <si>
    <t>scrub_effic</t>
  </si>
  <si>
    <t>Efficiency of scrubbing methane</t>
  </si>
  <si>
    <t>sell_to_grid_no_grid_pct</t>
  </si>
  <si>
    <t>CNG sold to grid, when no grid connect</t>
  </si>
  <si>
    <t>sell_to_grid_price</t>
  </si>
  <si>
    <t>Price received for CNG, as fraction of retail</t>
  </si>
  <si>
    <t>sell_to_grid_yes_grid_pct</t>
  </si>
  <si>
    <t>CNG sold to grid, when grid connect</t>
  </si>
  <si>
    <t>econ_compost</t>
  </si>
  <si>
    <t>wood_chips</t>
  </si>
  <si>
    <t>Economic costs for wood chips added to compost manure</t>
  </si>
  <si>
    <t>Wood chips by the yd3</t>
  </si>
  <si>
    <t>econ_compost_vessel</t>
  </si>
  <si>
    <t>20.0ft</t>
  </si>
  <si>
    <t>Economic costs for compost lane mixing vessel</t>
  </si>
  <si>
    <t>Compost mixing vessel 20.0ft wide</t>
  </si>
  <si>
    <t>9.8ft</t>
  </si>
  <si>
    <t>Compost mixing vessel 9.8ft wide</t>
  </si>
  <si>
    <t>econ_elec</t>
  </si>
  <si>
    <t>Yes/No toggle (1,0) for connecting electric to grid</t>
  </si>
  <si>
    <t>generation_equipment</t>
  </si>
  <si>
    <t>Economic costs for electricity generation equipment</t>
  </si>
  <si>
    <t>Electricity generation equipment</t>
  </si>
  <si>
    <t>grid_connection</t>
  </si>
  <si>
    <t>Electrical grid connection</t>
  </si>
  <si>
    <t>Electricity used on farm, when no grid connect</t>
  </si>
  <si>
    <t>Electricity used on farm, when grid connect</t>
  </si>
  <si>
    <t>Electricity sold to grid, when no grid connect</t>
  </si>
  <si>
    <t>Price received for electriciy, as fraction of retail</t>
  </si>
  <si>
    <t>Electricity sold to grid, when grid connect</t>
  </si>
  <si>
    <t>econ_energy</t>
  </si>
  <si>
    <t>carbon_credits</t>
  </si>
  <si>
    <t>Economic benefits of emissions reductions</t>
  </si>
  <si>
    <t>Value of carbon offset credits</t>
  </si>
  <si>
    <t>renewable_energy_credits</t>
  </si>
  <si>
    <t>Renewable energy credits</t>
  </si>
  <si>
    <t>econ_fertilizer</t>
  </si>
  <si>
    <t>UI.OpExpenses</t>
  </si>
  <si>
    <t>Economic costs for fertilizers</t>
  </si>
  <si>
    <t>Cost of K2O (potassium) based fertilizer</t>
  </si>
  <si>
    <t>Cost of N (nitrogen) based fertilizer</t>
  </si>
  <si>
    <t>Cost of P2O5 (phosphorus) based fertilizer</t>
  </si>
  <si>
    <t>econ_hose</t>
  </si>
  <si>
    <t>hose_drag_flex_660ft</t>
  </si>
  <si>
    <t>Economic costs for hoses</t>
  </si>
  <si>
    <t>Flexible drag hose, 6in 660 ft</t>
  </si>
  <si>
    <t>hose_pulley</t>
  </si>
  <si>
    <t>Hose pulley</t>
  </si>
  <si>
    <t>hose_reel_hydraulic</t>
  </si>
  <si>
    <t>Hose reel, hydraulic, no specific size</t>
  </si>
  <si>
    <t>econ_liner</t>
  </si>
  <si>
    <t>lagoon_geomembrane</t>
  </si>
  <si>
    <t>Economic costs for liners</t>
  </si>
  <si>
    <t>Lagoon liner, geomembrane 40 mil</t>
  </si>
  <si>
    <t>econ_manure</t>
  </si>
  <si>
    <t>compost_export_cost</t>
  </si>
  <si>
    <t>UI.Streams</t>
  </si>
  <si>
    <t>Economic costs for removing manure</t>
  </si>
  <si>
    <t>Compost manure, cost to export</t>
  </si>
  <si>
    <t>Added on January 19, 2022</t>
  </si>
  <si>
    <t>compost_export_pct</t>
  </si>
  <si>
    <t>Compost manure, percentage to export at cost</t>
  </si>
  <si>
    <t>compost_give_cost</t>
  </si>
  <si>
    <t>Compost manure, cost to give away if any</t>
  </si>
  <si>
    <t>compost_give_pct</t>
  </si>
  <si>
    <t>Compost manure, percentage to give away</t>
  </si>
  <si>
    <t>Erin, March 22, 2022</t>
  </si>
  <si>
    <t>compost_sell_pct</t>
  </si>
  <si>
    <t>Compost manure, percentage to sell</t>
  </si>
  <si>
    <t>compost_sell_price</t>
  </si>
  <si>
    <t>Compost manure, price to sell</t>
  </si>
  <si>
    <t>Erin</t>
  </si>
  <si>
    <t>export_concern</t>
  </si>
  <si>
    <t>UI.Priorities</t>
  </si>
  <si>
    <t>The most concerning export requirement for a user between sludge and non-sludge year amounts. Can also choose both for hybrid weighting</t>
  </si>
  <si>
    <t>liquid_export_cost</t>
  </si>
  <si>
    <t>Liquid manure, cost to export</t>
  </si>
  <si>
    <t>liquid_export_pct</t>
  </si>
  <si>
    <t>Liquid manure, percentage to export at cost</t>
  </si>
  <si>
    <t>liquid_give_cost</t>
  </si>
  <si>
    <t>Liquid manure, cost to give away if any</t>
  </si>
  <si>
    <t>liquid_give_pct</t>
  </si>
  <si>
    <t>Liquid manure, percentage to give away</t>
  </si>
  <si>
    <t>liquid_sell_pct</t>
  </si>
  <si>
    <t>Liquid manure, percentage to sell</t>
  </si>
  <si>
    <t>liquid_sell_price</t>
  </si>
  <si>
    <t>Liquid manure, price to sell</t>
  </si>
  <si>
    <t>liquid_to_ton</t>
  </si>
  <si>
    <t>Conversion factor for changing 1000 gal liquid to tons</t>
  </si>
  <si>
    <t>sep_solids_export_cost</t>
  </si>
  <si>
    <t>Separated solids manure, cost to export</t>
  </si>
  <si>
    <t>sep_solids_export_pct</t>
  </si>
  <si>
    <t>Separated solids manure, percentage to export at cost</t>
  </si>
  <si>
    <t>sep_solids_give_cost</t>
  </si>
  <si>
    <t>Separated solids manure, cost to give away if any</t>
  </si>
  <si>
    <t>sep_solids_give_pct</t>
  </si>
  <si>
    <t>Separated solids manure, percentage to give away</t>
  </si>
  <si>
    <t>sep_solids_sell_pct</t>
  </si>
  <si>
    <t>Separated solids manure, percentage to sell</t>
  </si>
  <si>
    <t>sep_solids_sell_price</t>
  </si>
  <si>
    <t>Separated solids manure, price to sell</t>
  </si>
  <si>
    <t>set_solids_export_cost</t>
  </si>
  <si>
    <t>Settled solids manure, cost to export</t>
  </si>
  <si>
    <t>set_solids_export_pct</t>
  </si>
  <si>
    <t>Settled solids manure, percentage to export at cost</t>
  </si>
  <si>
    <t>set_solids_give_cost</t>
  </si>
  <si>
    <t>Settled solids manure, cost to give away if any</t>
  </si>
  <si>
    <t>set_solids_give_pct</t>
  </si>
  <si>
    <t>Settled solids manure, percentage to give away</t>
  </si>
  <si>
    <t>set_solids_sell_pct</t>
  </si>
  <si>
    <t>Settled solids manure, percentage to sell</t>
  </si>
  <si>
    <t>set_solids_sell_price</t>
  </si>
  <si>
    <t>Settled solids manure, price to sell</t>
  </si>
  <si>
    <t>sludge_export_cost</t>
  </si>
  <si>
    <t>Sludge manure, cost to export</t>
  </si>
  <si>
    <t>sludge_export_pct</t>
  </si>
  <si>
    <t>Sludge manure, percentage to export at cost</t>
  </si>
  <si>
    <t>sludge_give_cost</t>
  </si>
  <si>
    <t>Sludge manure, cost to give away if any</t>
  </si>
  <si>
    <t>sludge_give_pct</t>
  </si>
  <si>
    <t>Sludge manure, percentage to give away</t>
  </si>
  <si>
    <t>sludge_sell_pct</t>
  </si>
  <si>
    <t>Sludge manure, percentage to sell</t>
  </si>
  <si>
    <t>sludge_sell_price</t>
  </si>
  <si>
    <t>Sludge manure, price to sell</t>
  </si>
  <si>
    <t>sludge_to_ton</t>
  </si>
  <si>
    <t>Bottom bounded</t>
  </si>
  <si>
    <t>Conversion factor for changing 1000 gal sludge to tons</t>
  </si>
  <si>
    <t>slurry_export_cost</t>
  </si>
  <si>
    <t>Slurry manure, cost to export</t>
  </si>
  <si>
    <t>slurry_export_pct</t>
  </si>
  <si>
    <t>Slurry manure, percentage to export at cost</t>
  </si>
  <si>
    <t>slurry_give_cost</t>
  </si>
  <si>
    <t>Slurry manure, cost to give away if any</t>
  </si>
  <si>
    <t>slurry_give_pct</t>
  </si>
  <si>
    <t>Slurry manure, percentage to give away</t>
  </si>
  <si>
    <t>slurry_sell_pct</t>
  </si>
  <si>
    <t>Slurry manure, percentage to sell</t>
  </si>
  <si>
    <t>slurry_sell_price</t>
  </si>
  <si>
    <t>Slurry manure, price to sell</t>
  </si>
  <si>
    <t>slurry_to_ton</t>
  </si>
  <si>
    <t>Conversion factor for changing 1000 gal slurry to tons</t>
  </si>
  <si>
    <t>econ_methane</t>
  </si>
  <si>
    <t>fate</t>
  </si>
  <si>
    <t>drop</t>
  </si>
  <si>
    <t>Flare (0) or electricity generation (1) or compressed gas (2)</t>
  </si>
  <si>
    <t>econ_motor</t>
  </si>
  <si>
    <t>100hp</t>
  </si>
  <si>
    <t>Economic costs for motor</t>
  </si>
  <si>
    <t>Cost of 100 hp motor</t>
  </si>
  <si>
    <t>10hp</t>
  </si>
  <si>
    <t>10 hp motor</t>
  </si>
  <si>
    <t>11hp</t>
  </si>
  <si>
    <t>11 hp motor</t>
  </si>
  <si>
    <t>12hp</t>
  </si>
  <si>
    <t>12 hp motor</t>
  </si>
  <si>
    <t>15hp</t>
  </si>
  <si>
    <t>15 hp motor</t>
  </si>
  <si>
    <t>1hp</t>
  </si>
  <si>
    <t>Economic costs for drive unit</t>
  </si>
  <si>
    <t>1 hp motor</t>
  </si>
  <si>
    <t>26hp</t>
  </si>
  <si>
    <t>26 hp motor</t>
  </si>
  <si>
    <t>2hp</t>
  </si>
  <si>
    <t>2 hp motor</t>
  </si>
  <si>
    <t>35hp</t>
  </si>
  <si>
    <t>Cost of 35 hp motor</t>
  </si>
  <si>
    <t>3hp</t>
  </si>
  <si>
    <t>3 hp motor</t>
  </si>
  <si>
    <t>4hp</t>
  </si>
  <si>
    <t>4 hp motor</t>
  </si>
  <si>
    <t>5hp</t>
  </si>
  <si>
    <t>5 hp motor</t>
  </si>
  <si>
    <t>6hp</t>
  </si>
  <si>
    <t>6 hp motor</t>
  </si>
  <si>
    <t>75hp</t>
  </si>
  <si>
    <t>75 hp motor</t>
  </si>
  <si>
    <t>7hp</t>
  </si>
  <si>
    <t>7 hp motor</t>
  </si>
  <si>
    <t>8hp</t>
  </si>
  <si>
    <t>8 hp motor</t>
  </si>
  <si>
    <t>9hp</t>
  </si>
  <si>
    <t>9 hp motor</t>
  </si>
  <si>
    <t>econ_pipe</t>
  </si>
  <si>
    <t>12in_underground_flush</t>
  </si>
  <si>
    <t>Economic costs for underground piping</t>
  </si>
  <si>
    <t>6 inches</t>
  </si>
  <si>
    <t>Economic costs for pipes</t>
  </si>
  <si>
    <t>Manure piping to field</t>
  </si>
  <si>
    <t>econ_power</t>
  </si>
  <si>
    <t>drive_unit</t>
  </si>
  <si>
    <t>Drive unit, motor, controls, ancillaries</t>
  </si>
  <si>
    <t>econ_pump</t>
  </si>
  <si>
    <t>diesel_booster</t>
  </si>
  <si>
    <t>Economic costs for pumps</t>
  </si>
  <si>
    <t>Diesel powered booster pump</t>
  </si>
  <si>
    <t>diesel_lead</t>
  </si>
  <si>
    <t>Diesel powered lead pump</t>
  </si>
  <si>
    <t>non_pto_flush</t>
  </si>
  <si>
    <t>Pump, non-pto flush</t>
  </si>
  <si>
    <t>side_mount_double</t>
  </si>
  <si>
    <t>Double side mount pump for above ground storage tank</t>
  </si>
  <si>
    <t>side_mount_quad</t>
  </si>
  <si>
    <t>Quadruple side mount pump for above ground storage tank</t>
  </si>
  <si>
    <t>side_mount_single</t>
  </si>
  <si>
    <t>Single side mount pump for above ground storage tank</t>
  </si>
  <si>
    <t>tractor_pto</t>
  </si>
  <si>
    <t>Pump, tractor ptoDefault</t>
  </si>
  <si>
    <t>econ_rds</t>
  </si>
  <si>
    <t>138ft</t>
  </si>
  <si>
    <t>Economic costs for rotary drum screens</t>
  </si>
  <si>
    <t>Rotary drum screen, 138 ft2</t>
  </si>
  <si>
    <t>188ft</t>
  </si>
  <si>
    <t>Rotary drum screen, 188 ft2</t>
  </si>
  <si>
    <t>94ft</t>
  </si>
  <si>
    <t>Rotary drum screen, 94 ft2</t>
  </si>
  <si>
    <t>econ_roller_press</t>
  </si>
  <si>
    <t>24in</t>
  </si>
  <si>
    <t>Economic costs for roller presses</t>
  </si>
  <si>
    <t>Roller press, 24 in</t>
  </si>
  <si>
    <t>36in</t>
  </si>
  <si>
    <t>Roller press, 36 in</t>
  </si>
  <si>
    <t>48in</t>
  </si>
  <si>
    <t>Roller press, 48 in</t>
  </si>
  <si>
    <t>72in</t>
  </si>
  <si>
    <t>Roller press, 72 in</t>
  </si>
  <si>
    <t>econ_screw_press</t>
  </si>
  <si>
    <t>double_15hp</t>
  </si>
  <si>
    <t>Economic costs for screw press</t>
  </si>
  <si>
    <t>Screw press, double 15 hp</t>
  </si>
  <si>
    <t>single_10hp</t>
  </si>
  <si>
    <t>Screw press, single 10 hp</t>
  </si>
  <si>
    <t>single_15hp</t>
  </si>
  <si>
    <t>Screw press, single 15 hp</t>
  </si>
  <si>
    <t>econ_skid_steer</t>
  </si>
  <si>
    <t>loader</t>
  </si>
  <si>
    <t>Economic costs for skid steers</t>
  </si>
  <si>
    <t>econ_slope_screen</t>
  </si>
  <si>
    <t>32ft</t>
  </si>
  <si>
    <t>Economic costs for slope screen</t>
  </si>
  <si>
    <t>Slope screen, 32 ft2</t>
  </si>
  <si>
    <t>64ft</t>
  </si>
  <si>
    <t>Slope screen, 64 ft2</t>
  </si>
  <si>
    <t>96ft</t>
  </si>
  <si>
    <t>Slope screen, 96 ft2</t>
  </si>
  <si>
    <t>econ_tanker</t>
  </si>
  <si>
    <t>cost</t>
  </si>
  <si>
    <t>Lookup</t>
  </si>
  <si>
    <t>Economic costs for tankers</t>
  </si>
  <si>
    <t>Cost of the tanker used for land application of manure</t>
  </si>
  <si>
    <t>econ_toolbar</t>
  </si>
  <si>
    <t>boom</t>
  </si>
  <si>
    <t>Economic costs for toolbars used for land application</t>
  </si>
  <si>
    <t>Boom toolbar</t>
  </si>
  <si>
    <t>injection</t>
  </si>
  <si>
    <t>Injection toolbar</t>
  </si>
  <si>
    <t>Economic costs for toolbar used for various activities</t>
  </si>
  <si>
    <t>Front end loader</t>
  </si>
  <si>
    <t>rake</t>
  </si>
  <si>
    <t>Economic costs toolbars used for raking</t>
  </si>
  <si>
    <t>Rake</t>
  </si>
  <si>
    <t>rotary_tiller_13ft</t>
  </si>
  <si>
    <t>Economic costs toolbars used for tilling</t>
  </si>
  <si>
    <t>Rotary tiller 13 ft</t>
  </si>
  <si>
    <t>rotary_tiller_20ft</t>
  </si>
  <si>
    <t>Rotary tiller 20 ft</t>
  </si>
  <si>
    <t>rotary_tiller_6ft</t>
  </si>
  <si>
    <t>Rotary tiller 6 ft</t>
  </si>
  <si>
    <t>econ_tractor</t>
  </si>
  <si>
    <t>160hp</t>
  </si>
  <si>
    <t>Economic costs for tractors</t>
  </si>
  <si>
    <t>Tractor 160 hp</t>
  </si>
  <si>
    <t>180hp</t>
  </si>
  <si>
    <t>Tractor 180 hp</t>
  </si>
  <si>
    <t>250hp</t>
  </si>
  <si>
    <t>Tractor 250 hp</t>
  </si>
  <si>
    <t>340hp</t>
  </si>
  <si>
    <t>Tractor 340 hp</t>
  </si>
  <si>
    <t>580hp</t>
  </si>
  <si>
    <t>Tractor 580 hp</t>
  </si>
  <si>
    <t>85hp</t>
  </si>
  <si>
    <t>Tractor 85 hp</t>
  </si>
  <si>
    <t>94hp</t>
  </si>
  <si>
    <t>Tractor 94 hp</t>
  </si>
  <si>
    <t>econ_transfer_channel</t>
  </si>
  <si>
    <t>Economic costs for transfer channel system</t>
  </si>
  <si>
    <t>Transfer channel chain and accessories</t>
  </si>
  <si>
    <t>Transfer channel installation and electrical</t>
  </si>
  <si>
    <t>pipe_and_install</t>
  </si>
  <si>
    <t>Economic costs for transfer channel system for flush</t>
  </si>
  <si>
    <t>Transfer channel pipe and install for flush ($2023/ft)</t>
  </si>
  <si>
    <t>econ_transfer_trolley</t>
  </si>
  <si>
    <t>Economic costs for compost lane transfer trolley</t>
  </si>
  <si>
    <t>Compost transfer trolley 20.0 ft wide</t>
  </si>
  <si>
    <t>Compost transfer trolley 9.8 ft wide</t>
  </si>
  <si>
    <t>econ_truck</t>
  </si>
  <si>
    <t>pickup</t>
  </si>
  <si>
    <t>Economic costs for trucks</t>
  </si>
  <si>
    <t>Pick up truck</t>
  </si>
  <si>
    <t>effluent_AD_pond</t>
  </si>
  <si>
    <t>Pond effluent characteristics (water + solids)</t>
  </si>
  <si>
    <t>N content</t>
  </si>
  <si>
    <t>effluent_CL_pond</t>
  </si>
  <si>
    <t>electricity</t>
  </si>
  <si>
    <t>avg_cost</t>
  </si>
  <si>
    <t>Electricity resources and utilities</t>
  </si>
  <si>
    <t>The utility electricity cost for on-farm usage</t>
  </si>
  <si>
    <t>combustion_ratio</t>
  </si>
  <si>
    <t>Gas emissions</t>
  </si>
  <si>
    <t>Mass of CO2 produced when fully combusting CH4</t>
  </si>
  <si>
    <t>Conversion factor of m3 CH4 to kilograms CH4</t>
  </si>
  <si>
    <t>BD</t>
  </si>
  <si>
    <t>Biodegradibility of manure emission factor</t>
  </si>
  <si>
    <t>https://www.ipcc-nggip.iges.or.jp/public/2019rf/pdf/4_Volume4/19R_V4_Ch10_Livestock.pdf</t>
  </si>
  <si>
    <t>CO2e_cf</t>
  </si>
  <si>
    <t>Methane to CO2e conversion factor</t>
  </si>
  <si>
    <t>IPCC</t>
  </si>
  <si>
    <t>Factor (m3) CH4 to kg/m3</t>
  </si>
  <si>
    <t>MCF</t>
  </si>
  <si>
    <t>Methane conversion factor (MCF)</t>
  </si>
  <si>
    <t>MCF_anaer_lagoon</t>
  </si>
  <si>
    <t>Methane conversion factor (MCF) for uncovered anaerobic lagoon</t>
  </si>
  <si>
    <t>MCF_slurry_dpss</t>
  </si>
  <si>
    <t>Methane conversion factor (MCF) for deep pit system</t>
  </si>
  <si>
    <t>MCF_slurry_dpss_aerated</t>
  </si>
  <si>
    <t>Methane conversion factor (MCF) for deep pit system with aeration</t>
  </si>
  <si>
    <t>MCF_shallow_flush</t>
  </si>
  <si>
    <t>Methane conversion factor (MCF) for shallow pit flush systems</t>
  </si>
  <si>
    <t>MCF_shallow_scrape</t>
  </si>
  <si>
    <t>Methane conversion factor (MCF) for shallow pit scrape systems</t>
  </si>
  <si>
    <t>MCF_shallow_scrape_compost</t>
  </si>
  <si>
    <t>Methane conversion factor (MCF) for shallow pit scrape systems that are paired with composting systems</t>
  </si>
  <si>
    <t>MCF_shallow_plug</t>
  </si>
  <si>
    <t>Methane conversion factor (MCF) for shallow pit pull plug systems</t>
  </si>
  <si>
    <t>MCF_storage_tank</t>
  </si>
  <si>
    <t>Methane conversion factor (MCF) for storage tank systems</t>
  </si>
  <si>
    <t>MCF_solids</t>
  </si>
  <si>
    <t>Methane conversion factor (MCF) for solids that are uncovered</t>
  </si>
  <si>
    <t>MCF_solids_cover_compact</t>
  </si>
  <si>
    <t>Methane conversion factor (MCF) for solids that are covered or compacted</t>
  </si>
  <si>
    <t>MCF_windrow_compost_intense</t>
  </si>
  <si>
    <t>Methane conversion factor (MCF) for windrow compost systems with frequent turning and stirring</t>
  </si>
  <si>
    <t>MCF_windrow_compost_passive</t>
  </si>
  <si>
    <t>Methane conversion factor (MCF) for windrow compost systems that are passively managed, with infrequent turning and stirring</t>
  </si>
  <si>
    <t>MCF_anaer_digest</t>
  </si>
  <si>
    <t>Methane conversion factor (MCF) for anaerobic digestion systems</t>
  </si>
  <si>
    <t>MCF_cover_digest</t>
  </si>
  <si>
    <t>Methane conversion factor (MCF) for covered digestion systems</t>
  </si>
  <si>
    <t>MS</t>
  </si>
  <si>
    <t>Manure handled in system (MS)</t>
  </si>
  <si>
    <t>VS_days</t>
  </si>
  <si>
    <t>Volatile solids day/year</t>
  </si>
  <si>
    <t>emit_gas</t>
  </si>
  <si>
    <t>FA</t>
  </si>
  <si>
    <t>Free ammonia (FA)</t>
  </si>
  <si>
    <t>FA_head</t>
  </si>
  <si>
    <t>Free ammonia per cow</t>
  </si>
  <si>
    <t>emit_N2O_direct</t>
  </si>
  <si>
    <t>N2O to CO2e conversion factor</t>
  </si>
  <si>
    <t>EF</t>
  </si>
  <si>
    <t>Emission factor N2O direct</t>
  </si>
  <si>
    <t>fraction_MMS</t>
  </si>
  <si>
    <t>Fraction manure management system (MMS)</t>
  </si>
  <si>
    <t>N_days</t>
  </si>
  <si>
    <t>N excretion day/year</t>
  </si>
  <si>
    <t>N_to_N2O</t>
  </si>
  <si>
    <t>Convert N2O-N to N2O</t>
  </si>
  <si>
    <t>emit_N2O_indirect</t>
  </si>
  <si>
    <t>CO2E</t>
  </si>
  <si>
    <t>Carbon dioxide equivalent</t>
  </si>
  <si>
    <t>EF N2O direct</t>
  </si>
  <si>
    <t>fraction_NH4</t>
  </si>
  <si>
    <t>Fraction of N that volatilizes as ammonia</t>
  </si>
  <si>
    <t>emit_NH3_N_proportion</t>
  </si>
  <si>
    <t>TAN_days</t>
  </si>
  <si>
    <t>emit_NH3_N_proportion_TAN</t>
  </si>
  <si>
    <t>Emission factor NH3_N</t>
  </si>
  <si>
    <t>ef4</t>
  </si>
  <si>
    <t>N2O indirect emission factor 4, based on climate region</t>
  </si>
  <si>
    <t>kg N2O-N/(kg NH3 + kg NOx)</t>
  </si>
  <si>
    <t>lb N2O-N/(lb NH3 + lb NOx)</t>
  </si>
  <si>
    <t>ef3_anaer_digest</t>
  </si>
  <si>
    <t>N2O Direct emissions from manure storage systems</t>
  </si>
  <si>
    <t>Emission factor for direct N2O from anaerobic digester</t>
  </si>
  <si>
    <t>IPCC 2019 table 10.21</t>
  </si>
  <si>
    <t>kg N2O-N/kg N</t>
  </si>
  <si>
    <t>lb N2O-N/lb N</t>
  </si>
  <si>
    <t>ef3_cover_digest</t>
  </si>
  <si>
    <t>Emission factor for direct N2O from covered lagoon and earthen digester system</t>
  </si>
  <si>
    <t>ef3_anaer_lagoon</t>
  </si>
  <si>
    <t>Emission factor for direct N2O from lagoon systems</t>
  </si>
  <si>
    <t>ef3_pit</t>
  </si>
  <si>
    <t>Emission factor for direct N2O from deep pit</t>
  </si>
  <si>
    <t>ef3_pit_aerated</t>
  </si>
  <si>
    <t>Emission factor for direct N2O from deep pit with aeration</t>
  </si>
  <si>
    <t>ef3_pond_crust</t>
  </si>
  <si>
    <t>Emission factor for direct N2O from ponds with crusted surface</t>
  </si>
  <si>
    <t>ef3_pond_no_crust</t>
  </si>
  <si>
    <t>Emission factor for direct N2O from ponds without crusted surface</t>
  </si>
  <si>
    <t>ef3_solids</t>
  </si>
  <si>
    <t>Emission factor for direct N2O from solids storage piles and basins</t>
  </si>
  <si>
    <t>ef3_shallow_flush</t>
  </si>
  <si>
    <t>Emission factor for direct N2O from shallow pit with flush</t>
  </si>
  <si>
    <t>ef3_shallow_scrape</t>
  </si>
  <si>
    <t>ef3_shallow_plug</t>
  </si>
  <si>
    <t>ef3_storage_tank</t>
  </si>
  <si>
    <t>Emission factor for direct N2O from storage tank (no cover)</t>
  </si>
  <si>
    <t>ef3_windrow</t>
  </si>
  <si>
    <t>Emission factor for direct N2O from windrow composted solids</t>
  </si>
  <si>
    <t>ef3_bedded_pack</t>
  </si>
  <si>
    <t>Emission factor for direct N2O from bedded pack barn</t>
  </si>
  <si>
    <t>emit_NH3</t>
  </si>
  <si>
    <t>lossfrac_anaer_digest</t>
  </si>
  <si>
    <t>NH3 emissions from manure storage systems</t>
  </si>
  <si>
    <t>N loss fraction due to volatilization and leaching of NH3 and NOX from anaerobic digester</t>
  </si>
  <si>
    <t>IPCC 2019 table 10.22</t>
  </si>
  <si>
    <t>fraction</t>
  </si>
  <si>
    <t>lossfrac_cover_digest</t>
  </si>
  <si>
    <t>N loss fraction due to volatilization and leaching of NH3 and NOX from covered lagoon and earthen digester system</t>
  </si>
  <si>
    <t>lossfrac_anaer_lagoon</t>
  </si>
  <si>
    <t>N loss fraction due to volatilization and leaching of NH3 and NOX from lagoon systems</t>
  </si>
  <si>
    <t>lossfrac_pit_aerated</t>
  </si>
  <si>
    <t>N loss fraction due to volatilization and leaching of NH3 and NOX from aerated deep pit</t>
  </si>
  <si>
    <t>lossfrac_pit_no_air</t>
  </si>
  <si>
    <t>N loss fraction due to volatilization and leaching of NH3 and NOX from deep pit</t>
  </si>
  <si>
    <t>lossfrac_pond_crust</t>
  </si>
  <si>
    <t>N loss fraction due to volatilization and leaching of NH3 and NOX from ponds with crusted surface</t>
  </si>
  <si>
    <t>lossfrac_pond_no_crust</t>
  </si>
  <si>
    <t>N loss fraction due to volatilization and leaching of NH3 and NOX from ponds without crusted surface</t>
  </si>
  <si>
    <t>lossfrac_shallow_flush</t>
  </si>
  <si>
    <t>N loss fraction due to volatilization and leaching of NH3 and NOX from shallow pit with flush system</t>
  </si>
  <si>
    <t>lossfrac_shallow_scrape</t>
  </si>
  <si>
    <t>N loss fraction due to volatilization and leaching of NH3 and NOX from shallow pit with scrape system</t>
  </si>
  <si>
    <t>lossfrac_shallow_plug</t>
  </si>
  <si>
    <t>N loss fraction due to volatilization and leaching of NH3 and NOX from shallow pit with pull plug</t>
  </si>
  <si>
    <t>lossfrac_storage_tank</t>
  </si>
  <si>
    <t>N loss fraction due to volatilization and leaching of NH3 and NOX from storage tank (no cover)</t>
  </si>
  <si>
    <t>lossfrac_solids</t>
  </si>
  <si>
    <t>N loss fraction due to volatilization and leaching of NH3 and NOX from solids storage piles and basins</t>
  </si>
  <si>
    <t>lossfrac_windrow</t>
  </si>
  <si>
    <t>N loss fraction due to volatilization and leaching of NH3 and NOX from windrow composted solids</t>
  </si>
  <si>
    <t>lossfrac_bedded_pack</t>
  </si>
  <si>
    <t>N loss fraction due to volatilization and leaching of NH3 and NOX from bedded pack barn</t>
  </si>
  <si>
    <t>energy</t>
  </si>
  <si>
    <t>Covered lagoon base stats</t>
  </si>
  <si>
    <t>Energy content of methane</t>
  </si>
  <si>
    <t>CH4_MMBTU</t>
  </si>
  <si>
    <t>Energy generation from various sources</t>
  </si>
  <si>
    <t>CH4_to_energy</t>
  </si>
  <si>
    <t>Fraction of total energy content that is captured when converting CH4 to energy</t>
  </si>
  <si>
    <t>fac_lagoon_AD_sludge</t>
  </si>
  <si>
    <t>Facultative lagoon AD sludge nutrient</t>
  </si>
  <si>
    <t>N losses in sludge during AD+ Lagoon treatment</t>
  </si>
  <si>
    <t>Added May 27 2024 (% difference from the effluent loss is matched with the Sludge nutrient concentration)</t>
  </si>
  <si>
    <t>fac_lagoon_CL_eff</t>
  </si>
  <si>
    <t>Facultative lagoon CL effluent</t>
  </si>
  <si>
    <t>N losses in effluent during CL+ Lagoon treatment</t>
  </si>
  <si>
    <t>fac_lagoon_CL_sludge</t>
  </si>
  <si>
    <t>Facultative lagoon CL sludge nutrient</t>
  </si>
  <si>
    <t>N losses in sludge during CL+ Lagoon treatment</t>
  </si>
  <si>
    <t>flush_waste</t>
  </si>
  <si>
    <t>max_pump_time</t>
  </si>
  <si>
    <t>Flush system waste generated</t>
  </si>
  <si>
    <t>Maximum operational time for a single pump/motor</t>
  </si>
  <si>
    <t>handling_manure</t>
  </si>
  <si>
    <t>distance_pump_to_barn</t>
  </si>
  <si>
    <t>Distance that recycle pump moves liquids from recycle/recharge source to shallow pit</t>
  </si>
  <si>
    <t>distance_pump_to_split</t>
  </si>
  <si>
    <t>Distance that recycle pump moves liquids from recycle/recharge source to splitters which direct flow to each barn</t>
  </si>
  <si>
    <t>distance_split_to_barn</t>
  </si>
  <si>
    <t>Distance that recycle pump moves liquids from splitters to each barn</t>
  </si>
  <si>
    <t>head_per_barn</t>
  </si>
  <si>
    <t>Number of head of animals that barns are built to hold</t>
  </si>
  <si>
    <t>tank_flushes</t>
  </si>
  <si>
    <t>Flush tank flushes per day</t>
  </si>
  <si>
    <t>Added on Sep 5 2024</t>
  </si>
  <si>
    <t>tank_volume</t>
  </si>
  <si>
    <t>Total volume of the flush tank</t>
  </si>
  <si>
    <t>front_end_loader</t>
  </si>
  <si>
    <t>Front end loader characteristics</t>
  </si>
  <si>
    <t>Horsepower of the tractor that moves solids around</t>
  </si>
  <si>
    <t>bucket_capacity</t>
  </si>
  <si>
    <t>Size of the bucket used for moving solids</t>
  </si>
  <si>
    <t>bucket_fill_rate</t>
  </si>
  <si>
    <t>Fraction of bucket that is filled when moving solids</t>
  </si>
  <si>
    <t>fuel</t>
  </si>
  <si>
    <t>diesel_avg_cost</t>
  </si>
  <si>
    <t>Fuel costs from user interface</t>
  </si>
  <si>
    <t>The diesel cost for the chosen state or an override by user</t>
  </si>
  <si>
    <t>gasoline_avg_cost</t>
  </si>
  <si>
    <t>The gasoline cost for the chosen state or an override by user</t>
  </si>
  <si>
    <t>naturalgas_avg_cost</t>
  </si>
  <si>
    <t>The natural gas cost for the chosen state or an override by user</t>
  </si>
  <si>
    <t>propane_avg_cost</t>
  </si>
  <si>
    <t>The propane cost for the chosen state or an override by user</t>
  </si>
  <si>
    <t>a_deeppit</t>
  </si>
  <si>
    <t>Manure handling system</t>
  </si>
  <si>
    <t>Flow through deepit A</t>
  </si>
  <si>
    <t>These values are first calculated/determined in Regressions tab</t>
  </si>
  <si>
    <t>a_flush</t>
  </si>
  <si>
    <t>Flow through flush A</t>
  </si>
  <si>
    <t>a_pullplug</t>
  </si>
  <si>
    <t>Flow through pullplug A</t>
  </si>
  <si>
    <t>a_scrape</t>
  </si>
  <si>
    <t>Flow through scrape A</t>
  </si>
  <si>
    <t>b_deeppit</t>
  </si>
  <si>
    <t>Flow through deepit B</t>
  </si>
  <si>
    <t>b_flush</t>
  </si>
  <si>
    <t>Flow through flush B</t>
  </si>
  <si>
    <t>b_pullplug</t>
  </si>
  <si>
    <t>Flow through pullplug B</t>
  </si>
  <si>
    <t>b_scrape</t>
  </si>
  <si>
    <t>Flow through scrape B</t>
  </si>
  <si>
    <t>c_deeppit</t>
  </si>
  <si>
    <t>Flow through deepit C</t>
  </si>
  <si>
    <t>c_flush</t>
  </si>
  <si>
    <t>Flow through flush C</t>
  </si>
  <si>
    <t>c_pullplug</t>
  </si>
  <si>
    <t>Flow through pullplug C</t>
  </si>
  <si>
    <t>c_scrape</t>
  </si>
  <si>
    <t>Flow through scrape C</t>
  </si>
  <si>
    <t>d_deeppit</t>
  </si>
  <si>
    <t>Flow through deepit D</t>
  </si>
  <si>
    <t>d_flush</t>
  </si>
  <si>
    <t>Flow through flush D</t>
  </si>
  <si>
    <t>d_pullplug</t>
  </si>
  <si>
    <t>Flow through pullplug D</t>
  </si>
  <si>
    <t>d_scrape</t>
  </si>
  <si>
    <t>Flow through scrape D</t>
  </si>
  <si>
    <t>e_deeppit</t>
  </si>
  <si>
    <t>Flow through deepit E</t>
  </si>
  <si>
    <t>e_flush</t>
  </si>
  <si>
    <t>Flow through flush E</t>
  </si>
  <si>
    <t>e_pullplug</t>
  </si>
  <si>
    <t>Flow through pullplug E</t>
  </si>
  <si>
    <t>e_scrape</t>
  </si>
  <si>
    <t>Flow through scrape E</t>
  </si>
  <si>
    <t>flow_deeppit</t>
  </si>
  <si>
    <t>Total deep pit water usage for all treated animal types</t>
  </si>
  <si>
    <t>The defaults and min/max are calculated in Regressions tab</t>
  </si>
  <si>
    <t>flow_flush</t>
  </si>
  <si>
    <t>Total flush system water usage for treated animals</t>
  </si>
  <si>
    <t>flow_pullplug</t>
  </si>
  <si>
    <t>Total pullplug water usage for all treated animal types</t>
  </si>
  <si>
    <t>flow_scrape</t>
  </si>
  <si>
    <t>Total scraping system water usage for treated animals</t>
  </si>
  <si>
    <t>incline_removal</t>
  </si>
  <si>
    <t>density_dry</t>
  </si>
  <si>
    <t>Rotating drum removal efficiency</t>
  </si>
  <si>
    <t>Density of the solids after they dry</t>
  </si>
  <si>
    <t>density_wet</t>
  </si>
  <si>
    <t>Density of the solids after they leave the separator</t>
  </si>
  <si>
    <t>fraction_solar_dry</t>
  </si>
  <si>
    <t>Fraction of effluent solids that is dry matter after solar drying</t>
  </si>
  <si>
    <t>For bedding, Moisture (10-15% is recommended), so we use the following number assuming solar/natural drying</t>
  </si>
  <si>
    <t>Inclined slope screen removal efficiency</t>
  </si>
  <si>
    <t>TKN</t>
  </si>
  <si>
    <t>TS Fibers</t>
  </si>
  <si>
    <t>VS as fraction of TS</t>
  </si>
  <si>
    <t>wet_solids</t>
  </si>
  <si>
    <t>Inclined slope screen solid effluent</t>
  </si>
  <si>
    <t>Wet mass solids (DW - dry weight)</t>
  </si>
  <si>
    <t>irrigation</t>
  </si>
  <si>
    <t>fraction_applied</t>
  </si>
  <si>
    <t>Irrigation systems</t>
  </si>
  <si>
    <t>Percentage of storage liquids (in lagoon or pond) that is applied via irrigation. Remainder is applied via tanker or drag hose.</t>
  </si>
  <si>
    <t>allocation</t>
  </si>
  <si>
    <t>Fraction of costs and impacts associated with irrigation that are allocated to manure management. If irrigation already occurs on your farm, a value of less than 1 might be appropriate.</t>
  </si>
  <si>
    <t>pump_flowrate</t>
  </si>
  <si>
    <t>Flowrate of the pump that runs the irrigation system when storage structure is used as water source</t>
  </si>
  <si>
    <t>Source: https://extension.missouri.edu/publications/g1697 and https://extensionpubs.unl.edu/publication/g1851/2008/pdf/view/g1851-2008.pdf#:~:text=This%20example%20shows%20the%20minimum,gpm%20(656%2F0.95).</t>
  </si>
  <si>
    <t>pump_power</t>
  </si>
  <si>
    <t>Power of the electrical pump that runs the irrigation system when stoage system is used as water source.</t>
  </si>
  <si>
    <t>labor</t>
  </si>
  <si>
    <t>non_specialized_cost</t>
  </si>
  <si>
    <t>Labor costs from user interface</t>
  </si>
  <si>
    <t>The non-specialized labor cost for the chosen state or an override by user</t>
  </si>
  <si>
    <t>specialized_cost</t>
  </si>
  <si>
    <t>The specialized labor cost for the chosen state or an override by user. This is used only for certain tasks.</t>
  </si>
  <si>
    <t>OPEX_labor</t>
  </si>
  <si>
    <t>Operational cost factors that relate to labor</t>
  </si>
  <si>
    <t>Labor time for irrigation</t>
  </si>
  <si>
    <t>tractor_active</t>
  </si>
  <si>
    <t>Labor time multiplier for active tractor usage. Smaller means less time spent, larger means more time spent.</t>
  </si>
  <si>
    <t>tractor_stationary</t>
  </si>
  <si>
    <t>Labor time multiplier for stationary tractor usage. Smaller means less time spent, larger means more time spent.</t>
  </si>
  <si>
    <t>tractor_x</t>
  </si>
  <si>
    <t>Labor factors</t>
  </si>
  <si>
    <t>Labor time multiplier for tractor usage. Smaller means less time spent, larger means more time spent.</t>
  </si>
  <si>
    <t>land_application</t>
  </si>
  <si>
    <t>agitation_tractor_power</t>
  </si>
  <si>
    <t>Land application tractor characteristics</t>
  </si>
  <si>
    <t>PTO HP of the tractor that agitates the stored manure before pumping</t>
  </si>
  <si>
    <t>avg_distance</t>
  </si>
  <si>
    <t>UI.Tractor</t>
  </si>
  <si>
    <t>Average distance for land application of manure via drag hose or tanker</t>
  </si>
  <si>
    <t>Added on March 24, 2022</t>
  </si>
  <si>
    <t>field_maneuver_time</t>
  </si>
  <si>
    <t>Time required for maneuvering tanker while in application field but not applying</t>
  </si>
  <si>
    <t>max_distance</t>
  </si>
  <si>
    <t>Maximum distance for land application of manure via drag hose or tanker</t>
  </si>
  <si>
    <t>storage_agitation_max_time</t>
  </si>
  <si>
    <t>Max hours spent on agitation of stored manure during land application</t>
  </si>
  <si>
    <t>storage_maneuver_time</t>
  </si>
  <si>
    <t>Time required for maneuvering tanker and connnecting to pump near storage</t>
  </si>
  <si>
    <t>storage_pump_max_time</t>
  </si>
  <si>
    <t>Max hours spent on pumping from storage to tanker per day</t>
  </si>
  <si>
    <t>storage_to_tanker_load_rate</t>
  </si>
  <si>
    <t>Average loading rate from storage pump to tanker</t>
  </si>
  <si>
    <t>tanker_loaded_speed</t>
  </si>
  <si>
    <t>Average speed of loaded tanker from storage to field</t>
  </si>
  <si>
    <t>tanker_pump_power</t>
  </si>
  <si>
    <t>PTO HP of the tractor that pumps from storage to tanker</t>
  </si>
  <si>
    <t>tanker_tractor_power</t>
  </si>
  <si>
    <t>PTO HP of the tractor that spreads via tanker</t>
  </si>
  <si>
    <t>tanker_unload_rate</t>
  </si>
  <si>
    <t>Average unload rate of tanker while applying in field</t>
  </si>
  <si>
    <t>tanker_unloaded_speed</t>
  </si>
  <si>
    <t>Average speed of unloaded tanker from field to storage</t>
  </si>
  <si>
    <t>tanker_volume</t>
  </si>
  <si>
    <t>Volume that the tractor unloads</t>
  </si>
  <si>
    <t>lca</t>
  </si>
  <si>
    <t>MJ_per_kg_oil_eq</t>
  </si>
  <si>
    <t>LCA</t>
  </si>
  <si>
    <t>MJ of energy per kg oil equivalent</t>
  </si>
  <si>
    <t>MJ_per_gal_diesel</t>
  </si>
  <si>
    <t>MJ of energy per gallon of diesel</t>
  </si>
  <si>
    <t>diesel_combustion_gwp</t>
  </si>
  <si>
    <t>Global warming potential in mass of CO2e per gallon of diesel combusted</t>
  </si>
  <si>
    <t>electricity_gwp</t>
  </si>
  <si>
    <t>Global warming potential per kWh of electricity</t>
  </si>
  <si>
    <t>diesel_gwp</t>
  </si>
  <si>
    <t>Global warming potential per MJ of diesel produced</t>
  </si>
  <si>
    <t>water_gwp</t>
  </si>
  <si>
    <t>Global warming potential per kg of water</t>
  </si>
  <si>
    <t>urea_gwp</t>
  </si>
  <si>
    <t>Global warming potential per kg of urea</t>
  </si>
  <si>
    <t>P2O5_gwp</t>
  </si>
  <si>
    <t>Global warming potential per kg of P2O5</t>
  </si>
  <si>
    <t>K2O_gwp</t>
  </si>
  <si>
    <t>Global warming potential per kg of K2O</t>
  </si>
  <si>
    <t>sand_gwp</t>
  </si>
  <si>
    <t>Global warming potential per kg of sand</t>
  </si>
  <si>
    <t>electricity_ef</t>
  </si>
  <si>
    <t>Energy footprint in oil equivalent per kWh of electricity</t>
  </si>
  <si>
    <t>diesel_ef</t>
  </si>
  <si>
    <t>Energy footprint in oil equivalent per MJ of diesel</t>
  </si>
  <si>
    <t>water_ef</t>
  </si>
  <si>
    <t>Energy footprint in oil equivalent per kg of water</t>
  </si>
  <si>
    <t>urea_ef</t>
  </si>
  <si>
    <t>Energy footprint in oil equivalent per kg of urea</t>
  </si>
  <si>
    <t>P2O5_ef</t>
  </si>
  <si>
    <t>Energy footprint in oil equivalent per kg of P2O5</t>
  </si>
  <si>
    <t>K2O_ef</t>
  </si>
  <si>
    <t>Energy footprint in oil equivalent per kg of K2O</t>
  </si>
  <si>
    <t>sand_ef</t>
  </si>
  <si>
    <t>Energy footprint in oil equivalent per kg of sand</t>
  </si>
  <si>
    <t>electricity_wf</t>
  </si>
  <si>
    <t>Water footprint in volume per kWh of electricity</t>
  </si>
  <si>
    <t>diesel_wf</t>
  </si>
  <si>
    <t>Water footprint in volume per MJ of diesel</t>
  </si>
  <si>
    <t>water_wf</t>
  </si>
  <si>
    <t>Water footprint in volume per kg of water</t>
  </si>
  <si>
    <t>urea_wf</t>
  </si>
  <si>
    <t>Water footprint in volume per kg of urea</t>
  </si>
  <si>
    <t>P2O5_wf</t>
  </si>
  <si>
    <t>Water footprint in volume per kg of P2O5</t>
  </si>
  <si>
    <t>K2O_wf</t>
  </si>
  <si>
    <t>Water footprint in volume per kg of K2O</t>
  </si>
  <si>
    <t>sand_wf</t>
  </si>
  <si>
    <t>Water footprint in volume per kg of sand</t>
  </si>
  <si>
    <t>electricity_land</t>
  </si>
  <si>
    <t>Land footprint in area of crop equivalent for electricity</t>
  </si>
  <si>
    <t>diesel_land</t>
  </si>
  <si>
    <t>Land footprint in area of crop equivalent for diesel</t>
  </si>
  <si>
    <t>water_land</t>
  </si>
  <si>
    <t>Land footprint in area of crop equivalent for water</t>
  </si>
  <si>
    <t>urea_land</t>
  </si>
  <si>
    <t>Land footprint in area of crop equivalent for urea</t>
  </si>
  <si>
    <t>P2O5_land</t>
  </si>
  <si>
    <t>Land footprint in area of crop equivalent for P2O5</t>
  </si>
  <si>
    <t>K2O_land</t>
  </si>
  <si>
    <t>Land footprint in area of crop equivalent for K2O</t>
  </si>
  <si>
    <t>sand_land</t>
  </si>
  <si>
    <t>Land footprint in area of crop equivalent for sand</t>
  </si>
  <si>
    <t>urea_n_content</t>
  </si>
  <si>
    <t>N content of urea</t>
  </si>
  <si>
    <t>P2O5_TSP</t>
  </si>
  <si>
    <t>P2O5 content in TSP</t>
  </si>
  <si>
    <t>K2O_KCI</t>
  </si>
  <si>
    <t>K2O content in KCI</t>
  </si>
  <si>
    <t>removal_factor</t>
  </si>
  <si>
    <t>Manure removed from storage for land application.</t>
  </si>
  <si>
    <t>Percentage of manure removed from storage for each land application event.</t>
  </si>
  <si>
    <t>manure_transfer_channel</t>
  </si>
  <si>
    <t>length_per_animal</t>
  </si>
  <si>
    <t>Manure transfer channel</t>
  </si>
  <si>
    <t>Length of channel per animal with treated manure</t>
  </si>
  <si>
    <t>pullplug</t>
  </si>
  <si>
    <t>time_recharge</t>
  </si>
  <si>
    <t>Pull plug system characteristics</t>
  </si>
  <si>
    <t>Number of days of recharge water that is stored before plug is pulled and system empties</t>
  </si>
  <si>
    <t>rain</t>
  </si>
  <si>
    <t>drainage_area</t>
  </si>
  <si>
    <t>Rainfall that can enter manure systems</t>
  </si>
  <si>
    <t>Area on the farm that is expected to drain into manure systems. Do not include system specific area here, this is just for other land area that all scenarios have.</t>
  </si>
  <si>
    <t>evaporation</t>
  </si>
  <si>
    <t>Yearly evaporation amount in the selected state/area</t>
  </si>
  <si>
    <t>regular</t>
  </si>
  <si>
    <t>Yearly rainfall amount in the selected state/area</t>
  </si>
  <si>
    <t>storm2524</t>
  </si>
  <si>
    <t>Rain amount from a 25 year, 24 hour storm in the selected state/area</t>
  </si>
  <si>
    <t>reception_pit</t>
  </si>
  <si>
    <t>agitation_motor_hp</t>
  </si>
  <si>
    <t>Reception pit characteristics</t>
  </si>
  <si>
    <t>HP rating of the agitation motor within pit</t>
  </si>
  <si>
    <t>concrete_thickness</t>
  </si>
  <si>
    <t>Thickness of concrete walls in the pit</t>
  </si>
  <si>
    <t>Depth of the pit</t>
  </si>
  <si>
    <t>Flowrate of pump within pit</t>
  </si>
  <si>
    <t>pump_hours</t>
  </si>
  <si>
    <t>Max number of hours pit pump operates per day</t>
  </si>
  <si>
    <t>removal_time</t>
  </si>
  <si>
    <t>Time between waste removal events</t>
  </si>
  <si>
    <t>Width of the pit</t>
  </si>
  <si>
    <t>recharge_event</t>
  </si>
  <si>
    <t>draining_pullplug</t>
  </si>
  <si>
    <t>Recharge events</t>
  </si>
  <si>
    <t>The frequency in which manure is cleaned from the barn using a draining pullplug</t>
  </si>
  <si>
    <t>water_type_pullplug</t>
  </si>
  <si>
    <t>type</t>
  </si>
  <si>
    <t>Fresh</t>
  </si>
  <si>
    <t>Specifies the type of water used to recharege pull plug system</t>
  </si>
  <si>
    <t>March 16 2022: Added</t>
  </si>
  <si>
    <t>rfw</t>
  </si>
  <si>
    <t>Waste generation flush systems</t>
  </si>
  <si>
    <t>Fraction of flush water recycled (RFW)</t>
  </si>
  <si>
    <t>Potassium (K) in recycled flush water</t>
  </si>
  <si>
    <t>Nitrogen (N) in recycled flush water</t>
  </si>
  <si>
    <t>Phosphorus (P) in recycled flush water</t>
  </si>
  <si>
    <t>TAN in recycled flush water</t>
  </si>
  <si>
    <t>Total solids in recycled flush water</t>
  </si>
  <si>
    <t>Fraction of volatile solids in recycled flush water</t>
  </si>
  <si>
    <t>scrape_auto</t>
  </si>
  <si>
    <t>head_per_alley</t>
  </si>
  <si>
    <t>Auto alley scraper system characteristics</t>
  </si>
  <si>
    <t>Number of animals per alley/motor system</t>
  </si>
  <si>
    <t>interval</t>
  </si>
  <si>
    <t>Interval for manure scraping</t>
  </si>
  <si>
    <t>tc_length_per_driver</t>
  </si>
  <si>
    <t>Length of the transfer channel per auto alley drive unit</t>
  </si>
  <si>
    <t>tc_length_per_motor</t>
  </si>
  <si>
    <t>Length of transfer channel that each transfer channel motor can handle</t>
  </si>
  <si>
    <t>scrape_per_day</t>
  </si>
  <si>
    <t>Number of scrapes per operation</t>
  </si>
  <si>
    <t>size_motor</t>
  </si>
  <si>
    <t>Combined size of the electric motor(s) that power the drive unit</t>
  </si>
  <si>
    <t>speed</t>
  </si>
  <si>
    <t>Operation speed for scrapers</t>
  </si>
  <si>
    <t>length_per_head</t>
  </si>
  <si>
    <t>Length of barn per head</t>
  </si>
  <si>
    <t>length_per_driver</t>
  </si>
  <si>
    <t>Maximum length of the barn that each drive unit can handle, with consideration to the width of scrapers and motor power.</t>
  </si>
  <si>
    <t>motors_per_driver</t>
  </si>
  <si>
    <t>lanes_per_driver</t>
  </si>
  <si>
    <t>Number of scrape lanes that each drive unit controls</t>
  </si>
  <si>
    <t>scrapers_per_driver</t>
  </si>
  <si>
    <t>Number of scrapers per drive unit</t>
  </si>
  <si>
    <t>tc_scrape_per_day</t>
  </si>
  <si>
    <t>Number of transfer channel scrapes per day</t>
  </si>
  <si>
    <t>stalls_per_width</t>
  </si>
  <si>
    <t>Number of stalls for each section of the alley</t>
  </si>
  <si>
    <t>width_stall</t>
  </si>
  <si>
    <t>Width of an animal stall</t>
  </si>
  <si>
    <t>separated_solids</t>
  </si>
  <si>
    <t>Separated solids characteristics</t>
  </si>
  <si>
    <t>Thickness of the concrete used in drying and storage area</t>
  </si>
  <si>
    <t>density_solids</t>
  </si>
  <si>
    <t>Density of effluent solids before drying</t>
  </si>
  <si>
    <t>excess_pile_height</t>
  </si>
  <si>
    <t>Height of the pile that stores excess solids before export or application</t>
  </si>
  <si>
    <t>interval_land_application</t>
  </si>
  <si>
    <t>Interval between land app or export separated solids</t>
  </si>
  <si>
    <t>interval_solids_moving</t>
  </si>
  <si>
    <t>Interval between times that tractor moves solids from separator to storage</t>
  </si>
  <si>
    <t>Fraction of N in solids piles that is retained after drying and storage</t>
  </si>
  <si>
    <t>spreader_capacity</t>
  </si>
  <si>
    <t>storage_days</t>
  </si>
  <si>
    <t>Days of effluent solids that are stored before removal</t>
  </si>
  <si>
    <t>Safety factor for storage space of effluent solids</t>
  </si>
  <si>
    <t>time_separator_to_storage</t>
  </si>
  <si>
    <t>Time required to move one scoop of solids from separator to storage area</t>
  </si>
  <si>
    <t>time_storage_to_spreader</t>
  </si>
  <si>
    <t>Time required to move one scoop from storage to box spreader</t>
  </si>
  <si>
    <t>tractor_mover_hp</t>
  </si>
  <si>
    <t>tractor_spreader_hp</t>
  </si>
  <si>
    <t>shallow_pit</t>
  </si>
  <si>
    <t>length</t>
  </si>
  <si>
    <t>Shallow pit built characteristics</t>
  </si>
  <si>
    <t>Length of the pit, which should correlate with length of barn structures</t>
  </si>
  <si>
    <t>plug_N_remaining</t>
  </si>
  <si>
    <t>Fraction of N that remains after shallow plug storage</t>
  </si>
  <si>
    <t>plug_waste_storage</t>
  </si>
  <si>
    <t>Maximum number of days of manure can be stored in a shallow pull plug pit</t>
  </si>
  <si>
    <t>plug_liquids_storage</t>
  </si>
  <si>
    <t>Maximum number of days that cleaning water can be stored in a shallow pull plug pit</t>
  </si>
  <si>
    <t>flush_N_remaining</t>
  </si>
  <si>
    <t>flush_waste_storage</t>
  </si>
  <si>
    <t>Maximum number of days of manure can be stored in a shallow flush pit</t>
  </si>
  <si>
    <t>flush_liquids_storage</t>
  </si>
  <si>
    <t>Maximum number of days that cleaning water can be stored in a shallow flush pit</t>
  </si>
  <si>
    <t>scrape_N_remaining</t>
  </si>
  <si>
    <t>scrape_waste_storage</t>
  </si>
  <si>
    <t>Maximum number of days of manure can be stored in a shallow scrape pit</t>
  </si>
  <si>
    <t>scrape_liquids_storage</t>
  </si>
  <si>
    <t>Maximum number of days that cleaning water can be stored in a shallow scrape pit</t>
  </si>
  <si>
    <t>scrape_compost_storage</t>
  </si>
  <si>
    <t>Maximum number of days that manure can be stored in a shallow scrape pit that is followed by a composting system</t>
  </si>
  <si>
    <t>sprinkler</t>
  </si>
  <si>
    <t>adj_water_used</t>
  </si>
  <si>
    <t>Calc Bottom Bound</t>
  </si>
  <si>
    <t>Sprinklers for cooling</t>
  </si>
  <si>
    <t>Adjusted usage of water after accounting for temp</t>
  </si>
  <si>
    <t>cycles</t>
  </si>
  <si>
    <t>Cooling systems</t>
  </si>
  <si>
    <t>The number of cycles that the sprinkler system goes through in a day</t>
  </si>
  <si>
    <t>evaporative_cooling</t>
  </si>
  <si>
    <t>Evaporative cooling rate for sprinkler water</t>
  </si>
  <si>
    <t>Added June 15, 2024</t>
  </si>
  <si>
    <t>flow</t>
  </si>
  <si>
    <t>The flow rate of the sprinkler system</t>
  </si>
  <si>
    <t>fresh_water_used</t>
  </si>
  <si>
    <t>Total fresh water used for sprinklers after accounting for temp</t>
  </si>
  <si>
    <t>on_time</t>
  </si>
  <si>
    <t>The length of time that sprinklers spray water per cycle</t>
  </si>
  <si>
    <t>used</t>
  </si>
  <si>
    <t>Are sprinklers used on your farm?</t>
  </si>
  <si>
    <t>Asks the user whether sprinklers are used. If no, default flow becomes 0</t>
  </si>
  <si>
    <t>storage_facilities</t>
  </si>
  <si>
    <t>max_depth</t>
  </si>
  <si>
    <t>Manure storage facility general properties and limitations</t>
  </si>
  <si>
    <t>Maximum depth of a dug in storage facility, such as a pond or lagoon or reception pit, that can be built when considering local geography and equipment limitations.</t>
  </si>
  <si>
    <t>storage_pond</t>
  </si>
  <si>
    <t>Storage pond characteristics</t>
  </si>
  <si>
    <t>storage_tank</t>
  </si>
  <si>
    <t>Above ground storage tank characteristics</t>
  </si>
  <si>
    <t>Hydraulic retention time period for manure storage</t>
  </si>
  <si>
    <t>Fraction of TS that is lost during HRT and does not leave with effluent</t>
  </si>
  <si>
    <t>TS concentration target that ensures slurry can be pumped</t>
  </si>
  <si>
    <t>Total depth of the tank which includes storage, 24 hr storm, freeboard, and residual spaces</t>
  </si>
  <si>
    <t>depth_freeboard</t>
  </si>
  <si>
    <t>Depth of the freeboard</t>
  </si>
  <si>
    <t>max_radius</t>
  </si>
  <si>
    <t>Maximum radius that a tank can be built to</t>
  </si>
  <si>
    <t>min_radius</t>
  </si>
  <si>
    <t>Minimum radius than a tank can be built to</t>
  </si>
  <si>
    <t>depth_residual</t>
  </si>
  <si>
    <t>Depth of the residual volume that is not removed via pumping</t>
  </si>
  <si>
    <t>agi_type</t>
  </si>
  <si>
    <t>single</t>
  </si>
  <si>
    <t>Type of agitation pump that is used</t>
  </si>
  <si>
    <t>Number of removal events per year</t>
  </si>
  <si>
    <t>effluent_N_retained</t>
  </si>
  <si>
    <t>Fraction of N that remains after storage period</t>
  </si>
  <si>
    <t>effluent_P_retained</t>
  </si>
  <si>
    <t>Fraction of P that remains after storage period</t>
  </si>
  <si>
    <t>effluent_K_retained</t>
  </si>
  <si>
    <t>Fraction of K that remains after storage period</t>
  </si>
  <si>
    <t>storage_tank_eff</t>
  </si>
  <si>
    <t>Properties for outside storage treatment efficiency</t>
  </si>
  <si>
    <t>Potassium</t>
  </si>
  <si>
    <t>tractor</t>
  </si>
  <si>
    <t>application_time_non_sludge</t>
  </si>
  <si>
    <t>Tractor properties and usage</t>
  </si>
  <si>
    <t>Timeframe to land apply on a typical year (constraint on liquids, slurry)</t>
  </si>
  <si>
    <t>application_time_sludge</t>
  </si>
  <si>
    <t>Timeframe to land apply on a best case year (allows for sludge application year)</t>
  </si>
  <si>
    <t>application_time_sludge_multiplier</t>
  </si>
  <si>
    <t>Multiplier for sludge year application available tractor time</t>
  </si>
  <si>
    <t>fuel_efficiency</t>
  </si>
  <si>
    <t>Average ASABE tractor fuel consumption per time power</t>
  </si>
  <si>
    <t>max_usage_daily</t>
  </si>
  <si>
    <t>Maximum tractor usage, day</t>
  </si>
  <si>
    <t>max_usage_yearly</t>
  </si>
  <si>
    <t>Maximum tractor usage, year</t>
  </si>
  <si>
    <t>min_usage_yearly</t>
  </si>
  <si>
    <t>Annual tractor usage for all farm activities</t>
  </si>
  <si>
    <t>u</t>
  </si>
  <si>
    <t>env_results_type</t>
  </si>
  <si>
    <t>User interface</t>
  </si>
  <si>
    <t>The type of environmental results to use for rankings. Can be "Farm", "Net", or "Off Farm". Only Farm and Net will appear to standard users in Results.Choice.</t>
  </si>
  <si>
    <t>alt1_rank</t>
  </si>
  <si>
    <t>Overall score rank of alternative 1</t>
  </si>
  <si>
    <t>alt2_rank</t>
  </si>
  <si>
    <t>Overall score rank of alternative 2</t>
  </si>
  <si>
    <t>alt3_rank</t>
  </si>
  <si>
    <t>Overall score rank of alternative 3</t>
  </si>
  <si>
    <t>alt4_rank</t>
  </si>
  <si>
    <t>Overall score rank of alternative 4</t>
  </si>
  <si>
    <t>baseline_rank</t>
  </si>
  <si>
    <t>Overall score rank of baseline</t>
  </si>
  <si>
    <t>farm_alt1</t>
  </si>
  <si>
    <t>Results.Choice</t>
  </si>
  <si>
    <t>Alternative management system 1 to your baseline scenario</t>
  </si>
  <si>
    <t>farm_alt2</t>
  </si>
  <si>
    <t>Alternative management system 2 to your baseline scenario</t>
  </si>
  <si>
    <t>farm_alt3</t>
  </si>
  <si>
    <t>Alternative management system 3 to your baseline scenario</t>
  </si>
  <si>
    <t>farm_alt4</t>
  </si>
  <si>
    <t>Alternative management system 4 to your baseline scenario</t>
  </si>
  <si>
    <t>farm_baseline</t>
  </si>
  <si>
    <t>The baseline manure handling system for your farm</t>
  </si>
  <si>
    <t>Dropdown</t>
  </si>
  <si>
    <t>Fifth ranked scenario</t>
  </si>
  <si>
    <t>farm_name</t>
  </si>
  <si>
    <t>Text</t>
  </si>
  <si>
    <t>The name of your farm</t>
  </si>
  <si>
    <t>User can enter any name, doesn't affect results</t>
  </si>
  <si>
    <t>Example Farm</t>
  </si>
  <si>
    <t>state</t>
  </si>
  <si>
    <t>The state that the user chooses in UI</t>
  </si>
  <si>
    <t>state_abrv</t>
  </si>
  <si>
    <t>The abbreviation for the state that the user chose</t>
  </si>
  <si>
    <t>state_region</t>
  </si>
  <si>
    <t>The region of your state that your farm resides in</t>
  </si>
  <si>
    <t>Arkansas</t>
  </si>
  <si>
    <t>state_temp_days</t>
  </si>
  <si>
    <t>The number of days in the user chosen state with temps above 72 F in each year, on average</t>
  </si>
  <si>
    <t>state_climate_zone</t>
  </si>
  <si>
    <t>The climate zone of the selected region</t>
  </si>
  <si>
    <t>unit_index</t>
  </si>
  <si>
    <t>number</t>
  </si>
  <si>
    <t>The index for getting the correct conversion factor to go from user_unit to final_unit</t>
  </si>
  <si>
    <t>unit_system</t>
  </si>
  <si>
    <t>US Customary</t>
  </si>
  <si>
    <t>The chosen "master" unit system, which influences the default units for everything else and the order of unit dropdown</t>
  </si>
  <si>
    <t>water</t>
  </si>
  <si>
    <t>Water resources and utilities</t>
  </si>
  <si>
    <t>Average cost of obtaining water for farm usage</t>
  </si>
  <si>
    <t>irrigation_amount</t>
  </si>
  <si>
    <t>Amount of water used to irrigate crops throughout the year</t>
  </si>
  <si>
    <t>weight</t>
  </si>
  <si>
    <t>cost_capex</t>
  </si>
  <si>
    <t>Weightings for priorities</t>
  </si>
  <si>
    <t>Weighting for capital costs</t>
  </si>
  <si>
    <t>April 11: For subcriteria</t>
  </si>
  <si>
    <t>cost_fert</t>
  </si>
  <si>
    <t>Weighting for fertilizer costs</t>
  </si>
  <si>
    <t>cost_net</t>
  </si>
  <si>
    <t>Weighting for net benefits</t>
  </si>
  <si>
    <t>cost_opex</t>
  </si>
  <si>
    <t>Weighting for operating costs</t>
  </si>
  <si>
    <t>cost_revenues</t>
  </si>
  <si>
    <t>Weighting for revenues</t>
  </si>
  <si>
    <t>cost_savings</t>
  </si>
  <si>
    <t>Weighting for cost savings</t>
  </si>
  <si>
    <t>env_carbon</t>
  </si>
  <si>
    <t>Weighting for carbon footprint</t>
  </si>
  <si>
    <t>env_energy</t>
  </si>
  <si>
    <t>Weighting for energy footprint</t>
  </si>
  <si>
    <t>env_land</t>
  </si>
  <si>
    <t>Weighting for land footprint</t>
  </si>
  <si>
    <t>env_nitrogen</t>
  </si>
  <si>
    <t>Weighting for nitrogen footprint</t>
  </si>
  <si>
    <t>env_phos</t>
  </si>
  <si>
    <t>Weighting for phosporus footprint</t>
  </si>
  <si>
    <t>env_water</t>
  </si>
  <si>
    <t>Weighting for water consumption</t>
  </si>
  <si>
    <t>tech_adoption</t>
  </si>
  <si>
    <t>Weighting for adoption rate</t>
  </si>
  <si>
    <t>tech_integrity</t>
  </si>
  <si>
    <t>Weighting for operational integrity</t>
  </si>
  <si>
    <t>tech_labor</t>
  </si>
  <si>
    <t>Weighting for labor hours requirement</t>
  </si>
  <si>
    <t>Add 2024-01-10</t>
  </si>
  <si>
    <t>tech_land</t>
  </si>
  <si>
    <t>Weighting for land required for manure application</t>
  </si>
  <si>
    <t>tech_reliability</t>
  </si>
  <si>
    <t>Weighting for operational reliability</t>
  </si>
  <si>
    <t>tech_transport</t>
  </si>
  <si>
    <t>Weighting for transportability of manure</t>
  </si>
  <si>
    <t>Base_to_Metric</t>
  </si>
  <si>
    <t>Base_to_US</t>
  </si>
  <si>
    <t>Base_to_Final</t>
  </si>
  <si>
    <t>Metric_to_Final</t>
  </si>
  <si>
    <t>US_to_Final</t>
  </si>
  <si>
    <t>acre</t>
  </si>
  <si>
    <t>hectare</t>
  </si>
  <si>
    <t>Area</t>
  </si>
  <si>
    <t>ft2</t>
  </si>
  <si>
    <t>m2</t>
  </si>
  <si>
    <t>ft2/head</t>
  </si>
  <si>
    <t>m2/head</t>
  </si>
  <si>
    <t>Area per head</t>
  </si>
  <si>
    <t>acre/head/year</t>
  </si>
  <si>
    <t>hectare/head/year</t>
  </si>
  <si>
    <t>Area per head per time</t>
  </si>
  <si>
    <t>ft2/hr</t>
  </si>
  <si>
    <t>m2/hr</t>
  </si>
  <si>
    <t>Area per time</t>
  </si>
  <si>
    <t>acre/year</t>
  </si>
  <si>
    <t>hectare/year</t>
  </si>
  <si>
    <t>m2/unit</t>
  </si>
  <si>
    <t>ft2/unit</t>
  </si>
  <si>
    <t>Area per unit</t>
  </si>
  <si>
    <t>Binary</t>
  </si>
  <si>
    <t>$</t>
  </si>
  <si>
    <t>$ (Construction)</t>
  </si>
  <si>
    <t>Cost multiplier for construction</t>
  </si>
  <si>
    <t>$ (Equipment)</t>
  </si>
  <si>
    <t>Cost multiplier for equipment</t>
  </si>
  <si>
    <t>$ (Special Tech)</t>
  </si>
  <si>
    <t>Cost multiplier for tech</t>
  </si>
  <si>
    <t>$/ft2</t>
  </si>
  <si>
    <t>$/m2</t>
  </si>
  <si>
    <t>Cost per area</t>
  </si>
  <si>
    <t>$/credit</t>
  </si>
  <si>
    <t>Cost per credit</t>
  </si>
  <si>
    <t>$/ft</t>
  </si>
  <si>
    <t>$/m</t>
  </si>
  <si>
    <t>Cost per length</t>
  </si>
  <si>
    <t>$/lb</t>
  </si>
  <si>
    <t>$/kg</t>
  </si>
  <si>
    <t>Cost per mass</t>
  </si>
  <si>
    <t>$/ton (2000 lb) CO2e</t>
  </si>
  <si>
    <t>$/tonne (1000 kg) CO2e</t>
  </si>
  <si>
    <t>$/ton (2000 lb)</t>
  </si>
  <si>
    <t>$/tonne (1000 kg)</t>
  </si>
  <si>
    <t>$/kWh</t>
  </si>
  <si>
    <t>Cost per power consumption</t>
  </si>
  <si>
    <t>$/MWh</t>
  </si>
  <si>
    <t>$/hr</t>
  </si>
  <si>
    <t>Cost per time</t>
  </si>
  <si>
    <t>$/1000 ft3</t>
  </si>
  <si>
    <t>$/1000 L</t>
  </si>
  <si>
    <t>Cost per volume</t>
  </si>
  <si>
    <t>$/1000 gal</t>
  </si>
  <si>
    <t>$/gal</t>
  </si>
  <si>
    <t>$/L</t>
  </si>
  <si>
    <t>$/yd3</t>
  </si>
  <si>
    <t>$/m3</t>
  </si>
  <si>
    <t>cycle/day</t>
  </si>
  <si>
    <t>Cycle per time</t>
  </si>
  <si>
    <t>events/year</t>
  </si>
  <si>
    <t>Event per time</t>
  </si>
  <si>
    <t>events/month</t>
  </si>
  <si>
    <t>events/week</t>
  </si>
  <si>
    <t>% of excess</t>
  </si>
  <si>
    <t>Fraction</t>
  </si>
  <si>
    <t>fuel/hr</t>
  </si>
  <si>
    <t>Fuel per time</t>
  </si>
  <si>
    <t>head</t>
  </si>
  <si>
    <t>Head</t>
  </si>
  <si>
    <t>head/unit</t>
  </si>
  <si>
    <t>Head per unit</t>
  </si>
  <si>
    <t>Index</t>
  </si>
  <si>
    <t>index</t>
  </si>
  <si>
    <t>state index</t>
  </si>
  <si>
    <t>cm</t>
  </si>
  <si>
    <t>m</t>
  </si>
  <si>
    <t>inches</t>
  </si>
  <si>
    <t>Length</t>
  </si>
  <si>
    <t>ft</t>
  </si>
  <si>
    <t>ft (constant)</t>
  </si>
  <si>
    <t>miles</t>
  </si>
  <si>
    <t>km</t>
  </si>
  <si>
    <t>miles (land app)</t>
  </si>
  <si>
    <t>miles/hour</t>
  </si>
  <si>
    <t>km/hour</t>
  </si>
  <si>
    <t>Length per time</t>
  </si>
  <si>
    <t>m/min</t>
  </si>
  <si>
    <t>ft/min</t>
  </si>
  <si>
    <t>m/s</t>
  </si>
  <si>
    <t>ft/s</t>
  </si>
  <si>
    <t>m/head</t>
  </si>
  <si>
    <t>ft/head</t>
  </si>
  <si>
    <t>Length per head</t>
  </si>
  <si>
    <t>kg NH3-N</t>
  </si>
  <si>
    <t>lb NH3-N</t>
  </si>
  <si>
    <t>Mass</t>
  </si>
  <si>
    <t>kg</t>
  </si>
  <si>
    <t>lb</t>
  </si>
  <si>
    <t>tonne (1000 kg)</t>
  </si>
  <si>
    <t>ton (2000 lb)</t>
  </si>
  <si>
    <t>lb K2O/acre</t>
  </si>
  <si>
    <t>kg K2O/hectare</t>
  </si>
  <si>
    <t>Mass per area</t>
  </si>
  <si>
    <t>lb N/acre</t>
  </si>
  <si>
    <t>kg N/hectare</t>
  </si>
  <si>
    <t>lb P2O5/acre</t>
  </si>
  <si>
    <t>kg P2O5/hectare</t>
  </si>
  <si>
    <t>lb/acre</t>
  </si>
  <si>
    <t>kg/hectare</t>
  </si>
  <si>
    <t>lb/head</t>
  </si>
  <si>
    <t>kg/head</t>
  </si>
  <si>
    <t>Mass per head</t>
  </si>
  <si>
    <t>kg CO2E/head/year</t>
  </si>
  <si>
    <t>lb CO2E/head/year</t>
  </si>
  <si>
    <t>Mass per head per time</t>
  </si>
  <si>
    <t>kg N/head/year</t>
  </si>
  <si>
    <t>lb N/head/year</t>
  </si>
  <si>
    <t>kg N/head/day</t>
  </si>
  <si>
    <t>lb N/head year</t>
  </si>
  <si>
    <t>kg VS/head/day</t>
  </si>
  <si>
    <t>lb VS/head/day</t>
  </si>
  <si>
    <t>kg/head/day</t>
  </si>
  <si>
    <t>lb/head/day</t>
  </si>
  <si>
    <t>kg/head/year</t>
  </si>
  <si>
    <t>lb/head/year</t>
  </si>
  <si>
    <t>tonne (1000 kg) CO2E/head/year</t>
  </si>
  <si>
    <t>ton (2000 lb) CO2E/head/year</t>
  </si>
  <si>
    <t>lb/ton (2000 lb)</t>
  </si>
  <si>
    <t>kg/tonne (1000 kg)</t>
  </si>
  <si>
    <t>Mass per mass</t>
  </si>
  <si>
    <t>kg CO2/kg CH4</t>
  </si>
  <si>
    <t>lb CO2/lb CH4</t>
  </si>
  <si>
    <t>kg CO2e/kg CH4</t>
  </si>
  <si>
    <t>lb CO2e/lb CH4</t>
  </si>
  <si>
    <t>kg CO2e/kg N2O</t>
  </si>
  <si>
    <t>lb CO2e/lb N2O</t>
  </si>
  <si>
    <t>kg N2O-N/kg N2O</t>
  </si>
  <si>
    <t>lb N2O-N/lb N2O</t>
  </si>
  <si>
    <t>kg CH4/day</t>
  </si>
  <si>
    <t>lb CH4/day</t>
  </si>
  <si>
    <t>Mass per time</t>
  </si>
  <si>
    <t>kg CO2/day</t>
  </si>
  <si>
    <t>lb CO2/day</t>
  </si>
  <si>
    <t>kg N2O/day</t>
  </si>
  <si>
    <t>lb N2O/day</t>
  </si>
  <si>
    <t>kg N2O/year</t>
  </si>
  <si>
    <t>lb N2O/year</t>
  </si>
  <si>
    <t>kg/day</t>
  </si>
  <si>
    <t>lb/day</t>
  </si>
  <si>
    <t>ton (2000 lb)/year</t>
  </si>
  <si>
    <t>tonne (1000 kg)/year</t>
  </si>
  <si>
    <t>g/L</t>
  </si>
  <si>
    <t>lb/1000 gal</t>
  </si>
  <si>
    <t>Mass per volume</t>
  </si>
  <si>
    <t>kg/m3</t>
  </si>
  <si>
    <t>lb/ft3</t>
  </si>
  <si>
    <t>mg/L</t>
  </si>
  <si>
    <t>kg/m3/day</t>
  </si>
  <si>
    <t>lb/ft3/day</t>
  </si>
  <si>
    <t>Mass per volume per time</t>
  </si>
  <si>
    <t>lb VS/1000 ft3/day</t>
  </si>
  <si>
    <t>kg VS/1000 m3/day</t>
  </si>
  <si>
    <t>conversion</t>
  </si>
  <si>
    <t>Multiplier</t>
  </si>
  <si>
    <t>multiplier</t>
  </si>
  <si>
    <t>name</t>
  </si>
  <si>
    <t>none</t>
  </si>
  <si>
    <t>Number</t>
  </si>
  <si>
    <t>occurrences/event</t>
  </si>
  <si>
    <t>Occurrences per event</t>
  </si>
  <si>
    <t>Power</t>
  </si>
  <si>
    <t>hp (land app)</t>
  </si>
  <si>
    <t>kWhr</t>
  </si>
  <si>
    <t>MJ</t>
  </si>
  <si>
    <t>kWhr/head/year</t>
  </si>
  <si>
    <t>Power per head per time</t>
  </si>
  <si>
    <t>MJ/m3</t>
  </si>
  <si>
    <t>BTU/ft3</t>
  </si>
  <si>
    <t>Power per volume</t>
  </si>
  <si>
    <t>MMBTU/1000 ft3</t>
  </si>
  <si>
    <t>quantity</t>
  </si>
  <si>
    <t>Quantity</t>
  </si>
  <si>
    <t>quantity/day</t>
  </si>
  <si>
    <t>Quantity per time</t>
  </si>
  <si>
    <t>H to V</t>
  </si>
  <si>
    <t>Ratio</t>
  </si>
  <si>
    <t>stalls/alley</t>
  </si>
  <si>
    <t>Stalls per alley</t>
  </si>
  <si>
    <t>day</t>
  </si>
  <si>
    <t>Time</t>
  </si>
  <si>
    <t>days</t>
  </si>
  <si>
    <t>min</t>
  </si>
  <si>
    <t>years</t>
  </si>
  <si>
    <t>min/action</t>
  </si>
  <si>
    <t>Time per action</t>
  </si>
  <si>
    <t>hr/acre</t>
  </si>
  <si>
    <t>hr/hectare</t>
  </si>
  <si>
    <t>Time per area</t>
  </si>
  <si>
    <t>min/cycle</t>
  </si>
  <si>
    <t>Time per cycle</t>
  </si>
  <si>
    <t>hr/event</t>
  </si>
  <si>
    <t>Time per event</t>
  </si>
  <si>
    <t>hr/head</t>
  </si>
  <si>
    <t>min/head</t>
  </si>
  <si>
    <t>Time per head</t>
  </si>
  <si>
    <t>hr/head/day</t>
  </si>
  <si>
    <t>Time per head per time</t>
  </si>
  <si>
    <t>day/year</t>
  </si>
  <si>
    <t>Time per time</t>
  </si>
  <si>
    <t>hr/day</t>
  </si>
  <si>
    <t>hr/year</t>
  </si>
  <si>
    <t>hr/unit</t>
  </si>
  <si>
    <t>Time per unit</t>
  </si>
  <si>
    <t>bushel</t>
  </si>
  <si>
    <t>Volume</t>
  </si>
  <si>
    <t>yd3</t>
  </si>
  <si>
    <t>m3</t>
  </si>
  <si>
    <t>ft3</t>
  </si>
  <si>
    <t>gal</t>
  </si>
  <si>
    <t>L</t>
  </si>
  <si>
    <t>gal (tank size)</t>
  </si>
  <si>
    <t>1000 gal/acre</t>
  </si>
  <si>
    <t>1000 L/hectare</t>
  </si>
  <si>
    <t>Volume per area</t>
  </si>
  <si>
    <t>L/hectare</t>
  </si>
  <si>
    <t>gal/acre</t>
  </si>
  <si>
    <t>L/event</t>
  </si>
  <si>
    <t>gal/event</t>
  </si>
  <si>
    <t>Volume per event</t>
  </si>
  <si>
    <t>gal/head</t>
  </si>
  <si>
    <t>L/head</t>
  </si>
  <si>
    <t>Volume per head</t>
  </si>
  <si>
    <t>gal/head/min</t>
  </si>
  <si>
    <t>L/head/min</t>
  </si>
  <si>
    <t>Volume per head per time</t>
  </si>
  <si>
    <t>gal/head/year</t>
  </si>
  <si>
    <t>L/head/year</t>
  </si>
  <si>
    <t>L/head/day</t>
  </si>
  <si>
    <t>gal/head/day</t>
  </si>
  <si>
    <t>m3 CH4 / kg VS</t>
  </si>
  <si>
    <t>ft3 CH4 / lb VS</t>
  </si>
  <si>
    <t>Volume per mass</t>
  </si>
  <si>
    <t>m3/kg</t>
  </si>
  <si>
    <t>ft3/lb</t>
  </si>
  <si>
    <t>m3/kg TS</t>
  </si>
  <si>
    <t>ft3/lb TS</t>
  </si>
  <si>
    <t>ft3/lb VS</t>
  </si>
  <si>
    <t>m3/kg VS</t>
  </si>
  <si>
    <t>gal/hr</t>
  </si>
  <si>
    <t>L/hr</t>
  </si>
  <si>
    <t>Volume per time</t>
  </si>
  <si>
    <t>gal/hr (unload rate)</t>
  </si>
  <si>
    <t>gpm</t>
  </si>
  <si>
    <t>L/min</t>
  </si>
  <si>
    <t>gal/min</t>
  </si>
  <si>
    <t>gal/year</t>
  </si>
  <si>
    <t>L/year</t>
  </si>
  <si>
    <t>L/day</t>
  </si>
  <si>
    <t>gal/day</t>
  </si>
  <si>
    <t>m3/day</t>
  </si>
  <si>
    <t>ft3/day</t>
  </si>
  <si>
    <t>m3/hr</t>
  </si>
  <si>
    <t>ft3/hr</t>
  </si>
  <si>
    <t>gal/hr/hp</t>
  </si>
  <si>
    <t>L/hr/hp</t>
  </si>
  <si>
    <t>Volume per time per power</t>
  </si>
  <si>
    <t>Directly reference these columns in UD (Don't copy and paste because they won't update if changed)</t>
  </si>
  <si>
    <t>Quick unit refs</t>
  </si>
  <si>
    <t>Start</t>
  </si>
  <si>
    <t>End</t>
  </si>
  <si>
    <t>Conversion</t>
  </si>
  <si>
    <t>mile</t>
  </si>
  <si>
    <t>in</t>
  </si>
  <si>
    <t>g</t>
  </si>
  <si>
    <t>mg</t>
  </si>
  <si>
    <t>ton</t>
  </si>
  <si>
    <t>tonne</t>
  </si>
  <si>
    <t>year</t>
  </si>
  <si>
    <t>week</t>
  </si>
  <si>
    <t>hour</t>
  </si>
  <si>
    <t>sec</t>
  </si>
  <si>
    <t>month</t>
  </si>
  <si>
    <t>Pump power equation</t>
  </si>
  <si>
    <t>pump power US</t>
  </si>
  <si>
    <t>pump_US</t>
  </si>
  <si>
    <r>
      <t xml:space="preserve">The Engineering ToolBox (2003). </t>
    </r>
    <r>
      <rPr>
        <i/>
        <sz val="11"/>
        <color theme="1"/>
        <rFont val="Calibri"/>
        <family val="2"/>
        <scheme val="minor"/>
      </rPr>
      <t>Pump Power Calculator</t>
    </r>
    <r>
      <rPr>
        <sz val="11"/>
        <color theme="1"/>
        <rFont val="Calibri"/>
        <family val="2"/>
        <scheme val="minor"/>
      </rPr>
      <t>. [online] Available at: https://www.engineeringtoolbox.com/pumps-power-d_505.html [Accessed 29 August 2024].</t>
    </r>
  </si>
  <si>
    <t>kW</t>
  </si>
  <si>
    <t>min*ft2*mile/(hr*acre*ft)</t>
  </si>
  <si>
    <t>495_rule</t>
  </si>
  <si>
    <t>NH3</t>
  </si>
  <si>
    <t>NH4</t>
  </si>
  <si>
    <t>NO3</t>
  </si>
  <si>
    <t>PO4</t>
  </si>
  <si>
    <t>BTU</t>
  </si>
  <si>
    <t>kWh</t>
  </si>
  <si>
    <t>MMBTU</t>
  </si>
  <si>
    <t>N2O</t>
  </si>
  <si>
    <t>NOTES:</t>
  </si>
  <si>
    <t>Sheet_Unit_System</t>
  </si>
  <si>
    <t>We have two units systems: Metric or US Customary</t>
  </si>
  <si>
    <t>The user does not pick the system, it is "built in" to the workbook.</t>
  </si>
  <si>
    <t>An advanced user could access this sheet to change their workbook to the other system if they wanted to.</t>
  </si>
  <si>
    <t>The FINAL_UNIT is independent of the chosen system (it will probably be metric, but is sometimes US customary or something else)</t>
  </si>
  <si>
    <t>User system</t>
  </si>
  <si>
    <t>The displayed unit is what is shown in the UI for associated questions. It is based on the system chosen by the dropdown in this sheet.</t>
  </si>
  <si>
    <t>Unit index</t>
  </si>
  <si>
    <t>Metric convert final is what we need to multiply by to change from metric to the final unit</t>
  </si>
  <si>
    <t>US convert final is what we need to multiply by to change from US Customary to the final unit</t>
  </si>
  <si>
    <t>Conversion factor is the value to go from the currently displayed unit to the final unit</t>
  </si>
  <si>
    <t>Final value conversion</t>
  </si>
  <si>
    <t>Phosphorous</t>
  </si>
  <si>
    <t>Land application surplus (acres/year)</t>
  </si>
  <si>
    <t>Manure transportability (tons/year)</t>
  </si>
  <si>
    <t>Sludge year (tons/year)</t>
  </si>
  <si>
    <t>Slurry, liquids, sludge</t>
  </si>
  <si>
    <t>Solids and compost</t>
  </si>
  <si>
    <t>Plot data</t>
  </si>
  <si>
    <t>Table data</t>
  </si>
  <si>
    <t>Index_Loc</t>
  </si>
  <si>
    <t>Capital outlay (total $/head)</t>
  </si>
  <si>
    <t>Capital outlay</t>
  </si>
  <si>
    <t>Graph labels for Econ results output</t>
  </si>
  <si>
    <t>Annualized capital costs ($/head/year)</t>
  </si>
  <si>
    <t>CAPEX</t>
  </si>
  <si>
    <t>B</t>
  </si>
  <si>
    <t>Operational costs ($/head/year)</t>
  </si>
  <si>
    <t>OPEX</t>
  </si>
  <si>
    <t>A1</t>
  </si>
  <si>
    <t>Fertilizer value for on-farm use ($/head/year)</t>
  </si>
  <si>
    <t>A2</t>
  </si>
  <si>
    <t>Cost savings ($/head/year)</t>
  </si>
  <si>
    <t>A3</t>
  </si>
  <si>
    <t>Revenues from sale of manure product or energy ($/head/year)</t>
  </si>
  <si>
    <t>A4</t>
  </si>
  <si>
    <r>
      <rPr>
        <b/>
        <sz val="12"/>
        <color rgb="FFFF0000"/>
        <rFont val="Calibri"/>
        <family val="2"/>
        <scheme val="minor"/>
      </rPr>
      <t>(NET COSTS)</t>
    </r>
    <r>
      <rPr>
        <b/>
        <sz val="12"/>
        <color theme="1"/>
        <rFont val="Calibri"/>
        <family val="2"/>
        <scheme val="minor"/>
      </rPr>
      <t xml:space="preserve"> or NET BENEFITS ($/head/year)</t>
    </r>
  </si>
  <si>
    <t>Environmental - On Farm</t>
  </si>
  <si>
    <t>Farm Emissions</t>
  </si>
  <si>
    <t>Water consumption</t>
  </si>
  <si>
    <t>Phosphorous excess</t>
  </si>
  <si>
    <t>Environmental - Net</t>
  </si>
  <si>
    <t>Environment - Prioritized</t>
  </si>
  <si>
    <t>Tech sentence end:</t>
  </si>
  <si>
    <t>Technology - User Prioritized</t>
  </si>
  <si>
    <t>Adoption Rate</t>
  </si>
  <si>
    <t>Larger value = More common</t>
  </si>
  <si>
    <t>Operational Reliability</t>
  </si>
  <si>
    <t>Downtime %, smaller is better</t>
  </si>
  <si>
    <t>Operational Resilience</t>
  </si>
  <si>
    <t>Larger value = More resilient</t>
  </si>
  <si>
    <t>Labor Hours for Application</t>
  </si>
  <si>
    <t>hours/year</t>
  </si>
  <si>
    <t>Additional Land Required for Application</t>
  </si>
  <si>
    <t>Manure Exported</t>
  </si>
  <si>
    <t>Technology - Static Chart Data</t>
  </si>
  <si>
    <t>Sludge Year</t>
  </si>
  <si>
    <t>Average Year</t>
  </si>
  <si>
    <t>Electricity Required for Operations</t>
  </si>
  <si>
    <t>Fresh Water Used on Farm</t>
  </si>
  <si>
    <t>Diesel Used on Farm</t>
  </si>
  <si>
    <t>Nutrients</t>
  </si>
  <si>
    <t>Land application deficit</t>
  </si>
  <si>
    <t>Manure transportability</t>
  </si>
  <si>
    <t>19222b</t>
  </si>
  <si>
    <t>Page background</t>
  </si>
  <si>
    <t>#003049</t>
  </si>
  <si>
    <t>Page header</t>
  </si>
  <si>
    <t>#005782</t>
  </si>
  <si>
    <t>Question</t>
  </si>
  <si>
    <t>#9BDEFF</t>
  </si>
  <si>
    <t>d62828</t>
  </si>
  <si>
    <t>Unused (reserve)</t>
  </si>
  <si>
    <t>f77f00</t>
  </si>
  <si>
    <t>Conditional formatting</t>
  </si>
  <si>
    <t>#FCBF49</t>
  </si>
  <si>
    <t>Info box</t>
  </si>
  <si>
    <t>#FDC93B</t>
  </si>
  <si>
    <t>Tab button (active)</t>
  </si>
  <si>
    <t>#EAE2B7</t>
  </si>
  <si>
    <t>Tab button (inactive)</t>
  </si>
  <si>
    <t>#64D562</t>
  </si>
  <si>
    <t>Next page</t>
  </si>
  <si>
    <t>#EDE7E3</t>
  </si>
  <si>
    <t>Input box</t>
  </si>
  <si>
    <t>#8B8F8D</t>
  </si>
  <si>
    <t>Frame outline</t>
  </si>
  <si>
    <t>#C9C9C9</t>
  </si>
  <si>
    <t>Table headers</t>
  </si>
  <si>
    <t>#FFFFFF</t>
  </si>
  <si>
    <t>Background of pages</t>
  </si>
  <si>
    <t>Environmental Plots</t>
  </si>
  <si>
    <t>#F8CBAD</t>
  </si>
  <si>
    <t>#70AD47</t>
  </si>
  <si>
    <t>#C00000</t>
  </si>
  <si>
    <t>Main columns are 8.43 (64 pixels across)</t>
  </si>
  <si>
    <t>Mini columns are 1.86 (18 pixels across)</t>
  </si>
  <si>
    <t>All row heights are 15 (20 pixels tall)</t>
  </si>
  <si>
    <t>Template</t>
  </si>
  <si>
    <t>Anaerobic digestion, AD total CAPEX</t>
  </si>
  <si>
    <t>based on manure inflow</t>
  </si>
  <si>
    <t>see "5Anaerobic-digesters-module.xlsx" tab "rev.cost.data.scrape"</t>
  </si>
  <si>
    <t>power function</t>
  </si>
  <si>
    <t>Item</t>
  </si>
  <si>
    <t>Variable</t>
  </si>
  <si>
    <t>Nomenclature</t>
  </si>
  <si>
    <t>Anaerobic digester system</t>
  </si>
  <si>
    <t>r2</t>
  </si>
  <si>
    <t>Anaerobic digester systemr2</t>
  </si>
  <si>
    <t>y</t>
  </si>
  <si>
    <t>Anaerobic digester systemy</t>
  </si>
  <si>
    <t>$2024 per m3 digester size</t>
  </si>
  <si>
    <t>a</t>
  </si>
  <si>
    <t>Anaerobic digester systema</t>
  </si>
  <si>
    <t>x</t>
  </si>
  <si>
    <t>Anaerobic digester systemx</t>
  </si>
  <si>
    <t>m3 digester size</t>
  </si>
  <si>
    <t>b</t>
  </si>
  <si>
    <t>Anaerobic digester systemb</t>
  </si>
  <si>
    <t>Anaerobic digestion, CHP minus utility total CAPEX</t>
  </si>
  <si>
    <t>based on CH4 produced</t>
  </si>
  <si>
    <t>Combined heat and power</t>
  </si>
  <si>
    <t>Combined heat and powerr2</t>
  </si>
  <si>
    <t>Combined heat and powery</t>
  </si>
  <si>
    <t xml:space="preserve">$2024 per m3 ch4 produced/y </t>
  </si>
  <si>
    <t>Combined heat and powera</t>
  </si>
  <si>
    <t>Combined heat and powerx</t>
  </si>
  <si>
    <t>m3 ch4 produced/y</t>
  </si>
  <si>
    <t>Combined heat and powerb</t>
  </si>
  <si>
    <t>Anaerobic digestion, CNG minus utility total CAPX</t>
  </si>
  <si>
    <t>Compressed natural gas</t>
  </si>
  <si>
    <t>Compressed natural gasr2</t>
  </si>
  <si>
    <t>Compressed natural gasy</t>
  </si>
  <si>
    <t>Compressed natural gasa</t>
  </si>
  <si>
    <t>Compressed natural gasx</t>
  </si>
  <si>
    <t>Compressed natural gasb</t>
  </si>
  <si>
    <t>Anaerobic digestion, CNG utility connection CAPEX</t>
  </si>
  <si>
    <t>Compressed natural gas utility connection</t>
  </si>
  <si>
    <t>Compressed natural gas utility connectionr2</t>
  </si>
  <si>
    <t>Compressed natural gas utility connectiony</t>
  </si>
  <si>
    <t>Compressed natural gas utility connectiona</t>
  </si>
  <si>
    <t>Compressed natural gas utility connectionx</t>
  </si>
  <si>
    <t>Compressed natural gas utility connectionb</t>
  </si>
  <si>
    <t>Anaerobic digestion, system operational labor</t>
  </si>
  <si>
    <t>placeholder</t>
  </si>
  <si>
    <t>see "5Anaerobic-digesters-module.xlsx"</t>
  </si>
  <si>
    <t>linear</t>
  </si>
  <si>
    <t>AD system operational labor</t>
  </si>
  <si>
    <t>AD system operational laborr2</t>
  </si>
  <si>
    <t>AD system operational labory</t>
  </si>
  <si>
    <t>h/y</t>
  </si>
  <si>
    <t>AD system operational laborm</t>
  </si>
  <si>
    <t>AD system operational laborx</t>
  </si>
  <si>
    <t>manure inflow volume</t>
  </si>
  <si>
    <t>m3 manure/y</t>
  </si>
  <si>
    <t>AD system operational laborb</t>
  </si>
  <si>
    <t>CHP, system operational labor</t>
  </si>
  <si>
    <t>CHP operational labor</t>
  </si>
  <si>
    <t>CHP operational laborr2</t>
  </si>
  <si>
    <t>CHP operational labory</t>
  </si>
  <si>
    <t>CHP operational laborm</t>
  </si>
  <si>
    <t>CHP operational laborx</t>
  </si>
  <si>
    <t>CHP operational laborb</t>
  </si>
  <si>
    <t>CNG, system operational labor</t>
  </si>
  <si>
    <t>CNG operational labor</t>
  </si>
  <si>
    <t>CNG operational laborr2</t>
  </si>
  <si>
    <t>CNG operational labory</t>
  </si>
  <si>
    <t>CNG operational laborm</t>
  </si>
  <si>
    <t>CNG operational laborx</t>
  </si>
  <si>
    <t>CNG operational laborb</t>
  </si>
  <si>
    <t>CHP energy inputs ("utilities" in WaSt calc)</t>
  </si>
  <si>
    <t>power</t>
  </si>
  <si>
    <t>CHP energy inputs</t>
  </si>
  <si>
    <t>CHP energy inputsr2</t>
  </si>
  <si>
    <t>CHP energy inputsy</t>
  </si>
  <si>
    <t>$2024/m3 manure / y</t>
  </si>
  <si>
    <t>CHP energy inputsa</t>
  </si>
  <si>
    <t>CHP energy inputsx</t>
  </si>
  <si>
    <t>CHP energy inputsb</t>
  </si>
  <si>
    <t>Concrete settling basin with or without weeping wall</t>
  </si>
  <si>
    <t>see "3Settling-basin-with-or-without-weeping-wall.xlsx"</t>
  </si>
  <si>
    <t>power (y = ax^b) equation</t>
  </si>
  <si>
    <t>Concrete basin</t>
  </si>
  <si>
    <t>Concrete basinr2</t>
  </si>
  <si>
    <t>Concrete basiny</t>
  </si>
  <si>
    <t>$2024 per ft3</t>
  </si>
  <si>
    <t>Concrete basina</t>
  </si>
  <si>
    <t>Concrete basinx</t>
  </si>
  <si>
    <t>ft3 constructed volume</t>
  </si>
  <si>
    <t>Concrete basinb</t>
  </si>
  <si>
    <t>Cover for lagoon</t>
  </si>
  <si>
    <t>see "6Lagoon-uncovered&amp;covered.xlsx"</t>
  </si>
  <si>
    <t>Cover for lagoonr2</t>
  </si>
  <si>
    <t>Cover for lagoony</t>
  </si>
  <si>
    <t>capital cost per ft2</t>
  </si>
  <si>
    <t>$2024/ft2</t>
  </si>
  <si>
    <t>Cover for lagoona</t>
  </si>
  <si>
    <t>Cover for lagoonx</t>
  </si>
  <si>
    <t>surface area of lagoon</t>
  </si>
  <si>
    <t>Cover for lagoonb</t>
  </si>
  <si>
    <t>Flush water recycling system</t>
  </si>
  <si>
    <t>see "1Water-recycling.xlsx"</t>
  </si>
  <si>
    <t>linear equation</t>
  </si>
  <si>
    <t>Flush water recycling systemr2</t>
  </si>
  <si>
    <t>Flush water recycling systemy</t>
  </si>
  <si>
    <t>$2024</t>
  </si>
  <si>
    <t>Flush water recycling systemslope</t>
  </si>
  <si>
    <t>Flush water recycling systemx</t>
  </si>
  <si>
    <t>flush water volume</t>
  </si>
  <si>
    <t>intercept</t>
  </si>
  <si>
    <t>Flush water recycling systemintercept</t>
  </si>
  <si>
    <t>Lagoon construction</t>
  </si>
  <si>
    <t>Lagoon constructionr2</t>
  </si>
  <si>
    <t>Lagoon constructiony</t>
  </si>
  <si>
    <t>cost per ft3 ($2023/ft3)</t>
  </si>
  <si>
    <t>2024$/ft3 constructed</t>
  </si>
  <si>
    <t>Lagoon constructiona</t>
  </si>
  <si>
    <t>Lagoon constructionx</t>
  </si>
  <si>
    <t>constructed volume (ft3)</t>
  </si>
  <si>
    <t>Lagoon constructionb</t>
  </si>
  <si>
    <t>Pond construction</t>
  </si>
  <si>
    <t>see "6Pond.xlsx"</t>
  </si>
  <si>
    <t>Pond constructionr2</t>
  </si>
  <si>
    <t>Pond constructiony</t>
  </si>
  <si>
    <t>Pond constructiona</t>
  </si>
  <si>
    <t>Pond constructionx</t>
  </si>
  <si>
    <t>Pond constructionb</t>
  </si>
  <si>
    <t>Reception pit construction</t>
  </si>
  <si>
    <t>see "2Reception-pit.xlsx"</t>
  </si>
  <si>
    <t>Reception pit constructionr2</t>
  </si>
  <si>
    <t>Reception pit constructiony</t>
  </si>
  <si>
    <t>cost per gal ($2023/gal)</t>
  </si>
  <si>
    <t>2024$/gal constructed volume</t>
  </si>
  <si>
    <t>Reception pit constructiona</t>
  </si>
  <si>
    <t>Reception pit constructionx</t>
  </si>
  <si>
    <t>constructed volume (gal)</t>
  </si>
  <si>
    <t>gal constructed volume</t>
  </si>
  <si>
    <t>Reception pit constructionb</t>
  </si>
  <si>
    <t>Above ground slurry storage tank</t>
  </si>
  <si>
    <t>see "6Slurry-storage-tank.xlsx"</t>
  </si>
  <si>
    <t>Slurry storage tank</t>
  </si>
  <si>
    <t>Slurry storage tankr2</t>
  </si>
  <si>
    <t>Slurry storage tanky</t>
  </si>
  <si>
    <t>cost per gal ($/gal)</t>
  </si>
  <si>
    <t>$/gal constructed volume</t>
  </si>
  <si>
    <t>Slurry storage tanka</t>
  </si>
  <si>
    <t>Slurry storage tankx</t>
  </si>
  <si>
    <t>Slurry storage tankb</t>
  </si>
  <si>
    <t>Irrigation system</t>
  </si>
  <si>
    <t>see "9Irrigation-system.xlsx"</t>
  </si>
  <si>
    <t>Irrigation systemr2</t>
  </si>
  <si>
    <t>Irrigation systemy</t>
  </si>
  <si>
    <t>cost per ac ($/ac)</t>
  </si>
  <si>
    <t>$/ac</t>
  </si>
  <si>
    <t>Irrigation systema</t>
  </si>
  <si>
    <t>Irrigation systemx</t>
  </si>
  <si>
    <t>ac irrigated</t>
  </si>
  <si>
    <t>Irrigation systemb</t>
  </si>
  <si>
    <t>Deep and Shallow Pit Construction</t>
  </si>
  <si>
    <t>see "1Deep pit and shallow pit.xlsx"</t>
  </si>
  <si>
    <t>power (y=ax^b) equation</t>
  </si>
  <si>
    <t>Deep and shallow pit construction</t>
  </si>
  <si>
    <t>Deep and shallow pit constructionr2</t>
  </si>
  <si>
    <t>Deep and shallow pit constructiony</t>
  </si>
  <si>
    <t>unit cost</t>
  </si>
  <si>
    <t>$/ft3</t>
  </si>
  <si>
    <t>Deep and shallow pit constructiona</t>
  </si>
  <si>
    <t>Deep and shallow pit constructionx</t>
  </si>
  <si>
    <t>constructed volume</t>
  </si>
  <si>
    <t>Deep and shallow pit constructionb</t>
  </si>
  <si>
    <t>Cost type</t>
  </si>
  <si>
    <t>Action</t>
  </si>
  <si>
    <t>Circumstance</t>
  </si>
  <si>
    <t>Reference</t>
  </si>
  <si>
    <t>Note</t>
  </si>
  <si>
    <t>Accessory equipment</t>
  </si>
  <si>
    <t>2-stage slope and roller</t>
  </si>
  <si>
    <t>CAPEXAccessory equipment2-stage slope and rollerDefault</t>
  </si>
  <si>
    <t>percent of equipment cost</t>
  </si>
  <si>
    <t>USFS, CDFA AMMP, surveys; see 1Misc-reference-values.xlsx"</t>
  </si>
  <si>
    <t>Roller press</t>
  </si>
  <si>
    <t>CAPEXAccessory equipmentRoller pressDefault</t>
  </si>
  <si>
    <t>Rotary drum screen</t>
  </si>
  <si>
    <t>CAPEXAccessory equipmentRotary drum screenDefault</t>
  </si>
  <si>
    <t>Screw press</t>
  </si>
  <si>
    <t>CAPEXAccessory equipmentScrew pressDefault</t>
  </si>
  <si>
    <t>USFS; see "4Screw-press.xlsx"</t>
  </si>
  <si>
    <t>Slope screen</t>
  </si>
  <si>
    <t>CAPEXAccessory equipmentSlope screenDefault</t>
  </si>
  <si>
    <t>USFS; see 4Slope-screen.xlsx"</t>
  </si>
  <si>
    <t>Administrative costs</t>
  </si>
  <si>
    <t>Unknown</t>
  </si>
  <si>
    <t>NA</t>
  </si>
  <si>
    <t>OPEXAdministrative costsUnknownNA</t>
  </si>
  <si>
    <t>percent of production cost</t>
  </si>
  <si>
    <t>Sefeedpari et al, 2019</t>
  </si>
  <si>
    <t>production cost, I assume is all annual costs which they define as energy, labor, maintenance depreciation, insurance, and contigency</t>
  </si>
  <si>
    <t>Annual discount rate</t>
  </si>
  <si>
    <t>NAAnnual discount rateNADefault</t>
  </si>
  <si>
    <t>percent</t>
  </si>
  <si>
    <t>Annual usage on activity</t>
  </si>
  <si>
    <t>Items that are used only on the given activity</t>
  </si>
  <si>
    <t>CAPEXAnnual usage on activityItems that are used only on the given activityDefault</t>
  </si>
  <si>
    <t>percent time on activity</t>
  </si>
  <si>
    <t>Annual usage on farm</t>
  </si>
  <si>
    <t>CAPEXAnnual usage on farmBox spreaderDefault</t>
  </si>
  <si>
    <t>h</t>
  </si>
  <si>
    <t>placeholder, need citation</t>
  </si>
  <si>
    <t>CAPEXAnnual usage on farmSkid steer loaderDefault</t>
  </si>
  <si>
    <t>Lazarus Machdata 2020 cites 3000 h; Idaho dairy budget cites 3 y; therefore assume 1000 h per year of usage</t>
  </si>
  <si>
    <t>Tractors, all</t>
  </si>
  <si>
    <t>CAPEXAnnual usage on farmTractors, allDefault</t>
  </si>
  <si>
    <t>need citation</t>
  </si>
  <si>
    <t>Truck, pickup</t>
  </si>
  <si>
    <t>CAPEXAnnual usage on farmTruck, pickupDefault</t>
  </si>
  <si>
    <t>Belt lifetime</t>
  </si>
  <si>
    <t>Belt filter press</t>
  </si>
  <si>
    <t>OPEXBelt lifetimeBelt filter pressDefault</t>
  </si>
  <si>
    <t>running hours, average</t>
  </si>
  <si>
    <t>EPA, 2000. Biosolids technology fact sheet: belt filter press (EPA 832-F-00-057)</t>
  </si>
  <si>
    <t>High</t>
  </si>
  <si>
    <t>OPEXBelt lifetimeBelt filter pressHigh</t>
  </si>
  <si>
    <t>running hours, high</t>
  </si>
  <si>
    <t>Low</t>
  </si>
  <si>
    <t>OPEXBelt lifetimeBelt filter pressLow</t>
  </si>
  <si>
    <t>running hours, low</t>
  </si>
  <si>
    <t>Capital preproduction cost</t>
  </si>
  <si>
    <t>CAPEXCapital preproduction costNADefault</t>
  </si>
  <si>
    <t>percent of initial cost</t>
  </si>
  <si>
    <t>they don't define initial cost</t>
  </si>
  <si>
    <t>Contigencies</t>
  </si>
  <si>
    <t>OPEXContigenciesNADefault</t>
  </si>
  <si>
    <t>Economy of scale price reductions</t>
  </si>
  <si>
    <t>CAPEXEconomy of scale price reductionsNA</t>
  </si>
  <si>
    <t xml:space="preserve">% </t>
  </si>
  <si>
    <t>applies to equip and other equip</t>
  </si>
  <si>
    <t>CDFA AMMP</t>
  </si>
  <si>
    <t>Engineering design</t>
  </si>
  <si>
    <t>Technologies</t>
  </si>
  <si>
    <t>CAPEXEngineering designTechnologiesDefault</t>
  </si>
  <si>
    <t>percent of project costs</t>
  </si>
  <si>
    <t>USFS; similar to WaSt AD calculator</t>
  </si>
  <si>
    <t>10 percent of  project costs</t>
  </si>
  <si>
    <t>CAPEXEngineering design10 percent of  project costsDefault</t>
  </si>
  <si>
    <t>Financed amount</t>
  </si>
  <si>
    <t>CAPEXFinanced amountNADefault</t>
  </si>
  <si>
    <t>Housing</t>
  </si>
  <si>
    <t>Separators</t>
  </si>
  <si>
    <t>General</t>
  </si>
  <si>
    <t>CAPEXHousingSeparatorsGeneral</t>
  </si>
  <si>
    <t>Installation</t>
  </si>
  <si>
    <t>?verify</t>
  </si>
  <si>
    <t>CAPEXInstallationBelt filter press?verify</t>
  </si>
  <si>
    <t>percent of capital equipment</t>
  </si>
  <si>
    <t>values for rotary drum, assuming similar for belt filter press; CDW</t>
  </si>
  <si>
    <t>CAPEXInstallationRoller pressDefault</t>
  </si>
  <si>
    <t>NRCS Payment Schedule (with consideration of data from surveys and other sources); see "1Misc-reference-values"</t>
  </si>
  <si>
    <t>CAPEXInstallationRotary drum screenDefault</t>
  </si>
  <si>
    <t>NRCS Payment Schedule (with consideration of data from surveys and other sources); see "1Misc-reference-values"; Vendor surveys, see "4Rotary-drum.xlsx"</t>
  </si>
  <si>
    <t>CAPEXInstallationScrew pressDefault</t>
  </si>
  <si>
    <t>Centrifuge</t>
  </si>
  <si>
    <t>CAPEXInstallationCentrifugeDefault</t>
  </si>
  <si>
    <t>percent of equipments cost</t>
  </si>
  <si>
    <t>see "4Decanting-centrifuge.xlsx"</t>
  </si>
  <si>
    <t>CAPEXInstallationSlope screenDefault</t>
  </si>
  <si>
    <t>CAPEXInstallationScrew pressLow</t>
  </si>
  <si>
    <t>US Farm Systems spreadsheet quote</t>
  </si>
  <si>
    <t>for screw press alone, this is 4.1% at 1000 cows and 3.2% at 5000 cows</t>
  </si>
  <si>
    <t>Pit aeration system</t>
  </si>
  <si>
    <t>CAPEXInstallationPit aeration systemDefault</t>
  </si>
  <si>
    <t>EasyFix vendor survey</t>
  </si>
  <si>
    <t>CAPEXInstallationAbove ground slurry storage tankDefault</t>
  </si>
  <si>
    <t>percent of tank cost</t>
  </si>
  <si>
    <t>vendor survey; see "6-Slurry-storage-tank.xlsx"</t>
  </si>
  <si>
    <t>Insurance</t>
  </si>
  <si>
    <t>Everything</t>
  </si>
  <si>
    <t>OPEXInsuranceEverythingDefault</t>
  </si>
  <si>
    <t>see other citations for insurance</t>
  </si>
  <si>
    <t>Investment duration</t>
  </si>
  <si>
    <t>NAInvestment durationNANA</t>
  </si>
  <si>
    <t>Auto scraper, chain/cable</t>
  </si>
  <si>
    <t>OPEXLaborAuto scraper, chain/cableDefault</t>
  </si>
  <si>
    <t>Vendor survey</t>
  </si>
  <si>
    <t>Auto alley scraper system</t>
  </si>
  <si>
    <t>OPEXLaborAuto alley scraper systemDefault</t>
  </si>
  <si>
    <t>vendor survey</t>
  </si>
  <si>
    <t>Transfer channel</t>
  </si>
  <si>
    <t>OPEXLaborTransfer channelDefault</t>
  </si>
  <si>
    <t>assumed based on auto scrape system, less need than that</t>
  </si>
  <si>
    <t>OPEXLaborRoller pressDefault</t>
  </si>
  <si>
    <t>Vendor surveys, see "4Roller-press.xlsx"</t>
  </si>
  <si>
    <t>OPEXLaborRotary drum screenDefault</t>
  </si>
  <si>
    <t>Vendor surveys, see "4Rotary-drum.xlsx"</t>
  </si>
  <si>
    <t>OPEXLaborScrew pressDefault</t>
  </si>
  <si>
    <t>see "4Screw-press.xlsx"</t>
  </si>
  <si>
    <t>Centrifuge system</t>
  </si>
  <si>
    <t>OPEXLaborCentrifuge systemDefault</t>
  </si>
  <si>
    <t>percentage of run time equals the hours</t>
  </si>
  <si>
    <t>OPEXLaborSlope screenDefault</t>
  </si>
  <si>
    <t>Vendor survey for slope screen (and see notes doc)</t>
  </si>
  <si>
    <t>Tractor</t>
  </si>
  <si>
    <t>OPEXLaborTractorDefault</t>
  </si>
  <si>
    <t>factor, this times the tractor operation time</t>
  </si>
  <si>
    <t>Rotz et al., 2018 (IFSM); Univ of Illinois tractor prices (Lattz and Schnitkey 2017)</t>
  </si>
  <si>
    <t>OPEXLaborPit aeration systemDefault</t>
  </si>
  <si>
    <t>vendor survey - "1Pit-aeration.xlsx"</t>
  </si>
  <si>
    <t>Labor, specialized</t>
  </si>
  <si>
    <t>OPEXLabor, specializedElectricity generation equipmentDefault</t>
  </si>
  <si>
    <t>Land application, drag  hose</t>
  </si>
  <si>
    <t>Pump, booster, needed if distance is greater than</t>
  </si>
  <si>
    <t>NALand application, drag  hosePump, booster, needed if distance is greater thanDefault</t>
  </si>
  <si>
    <t>mi</t>
  </si>
  <si>
    <t>Chen et al., 2020</t>
  </si>
  <si>
    <t>Lifetime</t>
  </si>
  <si>
    <t>CAPEXLifetimeAgi-pump, electricDefault</t>
  </si>
  <si>
    <t>US Farm Systems from CDFA AMMP</t>
  </si>
  <si>
    <t>CAPEXLifetimeAgitator, electricDefault</t>
  </si>
  <si>
    <t>default, between low and hi</t>
  </si>
  <si>
    <t>CAPEXLifetimeAgitator, ptoDefault</t>
  </si>
  <si>
    <t>Flaten et al., 2007; US Farm Systems from CDFA AMMP; V-05-ME</t>
  </si>
  <si>
    <t>Agi-pump, pto</t>
  </si>
  <si>
    <t>CAPEXLifetimeAgi-pump, ptoDefault</t>
  </si>
  <si>
    <t>Anaerobic digester, CHP, CNG-Engineering design</t>
  </si>
  <si>
    <t>CAPEXLifetimeAnaerobic digester, CHP, CNG-Engineering designDefault</t>
  </si>
  <si>
    <t>merge each component</t>
  </si>
  <si>
    <t>Drive units for auto scraper, transfer channel</t>
  </si>
  <si>
    <t>CAPEXLifetimeDrive units for auto scraper, transfer channelDefault</t>
  </si>
  <si>
    <t>Scraper blade</t>
  </si>
  <si>
    <t>CAPEXLifetimeScraper bladeDefault</t>
  </si>
  <si>
    <t>Buildings and construction</t>
  </si>
  <si>
    <t>CAPEXLifetimeBuildings and constructionDefault</t>
  </si>
  <si>
    <t>Sefeedpari et al, 2019 and Rotz et al, 2018 = 20 y. Horner et al, 2020 = 15 y</t>
  </si>
  <si>
    <t>Center pivot system</t>
  </si>
  <si>
    <t>CAPEXLifetimeCenter pivot systemDefault</t>
  </si>
  <si>
    <t>Dorn, Tom. UNL-IANR. Annualized cost of owning and operating an irrigation system (for pivot); Morata et al, 2019 (AL)</t>
  </si>
  <si>
    <t>compost bedded pack barn</t>
  </si>
  <si>
    <t>CAPEXLifetimecompost bedded pack barnDefault</t>
  </si>
  <si>
    <t>"if properly maintained"</t>
  </si>
  <si>
    <t>Conveyor</t>
  </si>
  <si>
    <t>CAPEXLifetimeConveyorDefault</t>
  </si>
  <si>
    <t>Covered lagoon flare</t>
  </si>
  <si>
    <t>CAPEXLifetimeCovered lagoon flareDefault</t>
  </si>
  <si>
    <t>average of lagoon and cover lifetimes (AnimalWasteEconHG - NRCS - defaults; Steinglein et al 2011)</t>
  </si>
  <si>
    <t>Diesel-powered pump set package (at lagoon)</t>
  </si>
  <si>
    <t>CAPEXLifetimeDiesel-powered pump set package (at lagoon)Default</t>
  </si>
  <si>
    <t>Diesel-powered pump set package (booster at field)</t>
  </si>
  <si>
    <t>CAPEXLifetimeDiesel-powered pump set package (booster at field)Default</t>
  </si>
  <si>
    <t>Drag hose</t>
  </si>
  <si>
    <t>CAPEXLifetimeDrag hoseDefault</t>
  </si>
  <si>
    <t>Flaten et al., 2007</t>
  </si>
  <si>
    <t>CAPEXLifetimeEquipmentDefault</t>
  </si>
  <si>
    <t>Rotz et al., 2018; Horner et al., 2020a and b; Lattz and Schnitkey 2017; Painter et al., 2011</t>
  </si>
  <si>
    <t>Motor</t>
  </si>
  <si>
    <t>CAPEXLifetimeMotorDefault</t>
  </si>
  <si>
    <t>https://www.vehiclesuggest.com/electric-motor-life-expectancy/#:~:text=Well%20under%20test%20conditions%20the,values%20and%20normal%20operating%20conditions.</t>
  </si>
  <si>
    <t>Pressure washer</t>
  </si>
  <si>
    <t>CAPEXLifetimePressure washerDefault</t>
  </si>
  <si>
    <t>Pump, non-pto</t>
  </si>
  <si>
    <t>CAPEXLifetimePump, non-ptoDefault</t>
  </si>
  <si>
    <t>Pump, stationary</t>
  </si>
  <si>
    <t>CAPEXLifetimePump, stationaryDefault</t>
  </si>
  <si>
    <t>Pump, tractor pto</t>
  </si>
  <si>
    <t>CAPEXLifetimePump, tractor ptoDefault</t>
  </si>
  <si>
    <t>Vendor surveys, see "V-05-MS"; will be lower if sand is used</t>
  </si>
  <si>
    <t>CAPEXLifetimeRoller pressDefault</t>
  </si>
  <si>
    <t>CAPEXLifetimeRotary drum screenDefault</t>
  </si>
  <si>
    <t>CAPEXLifetimeScrew pressDefault</t>
  </si>
  <si>
    <t>CAPEXLifetimeCentrifuge systemDefault</t>
  </si>
  <si>
    <t>CAPEXLifetimeSkid steer loaderDefault</t>
  </si>
  <si>
    <t>Idaho dairy budget D4-12-2500 2013</t>
  </si>
  <si>
    <t>CAPEXLifetimeSlope screenDefault</t>
  </si>
  <si>
    <t>Vendor survey; US Farm Systems from CDFA AMMP</t>
  </si>
  <si>
    <t>CAPEXLifetimeTractorDefault</t>
  </si>
  <si>
    <t>range across references; see "8Vehicles.xlsx"</t>
  </si>
  <si>
    <t>Tractor, 2 wheel drive and stationary</t>
  </si>
  <si>
    <t>CAPEXLifetimeTractor, 2 wheel drive and stationaryDefault</t>
  </si>
  <si>
    <t>ASABE, 2011</t>
  </si>
  <si>
    <t>Assume 2 WD if using hp (non-pto)</t>
  </si>
  <si>
    <t>or just always assume 4 wd?</t>
  </si>
  <si>
    <t>Tractor, 4 wheel drive and crawler</t>
  </si>
  <si>
    <t>CAPEXLifetimeTractor, 4 wheel drive and crawlerDefault</t>
  </si>
  <si>
    <t>Assume 4 WD if using pto hp</t>
  </si>
  <si>
    <t>CAPEXLifetimeTruck, pickupDefault</t>
  </si>
  <si>
    <t>see "8Vehicles.xlsx"</t>
  </si>
  <si>
    <t>Vacuum scraper truck</t>
  </si>
  <si>
    <t>CAPEXLifetimeVacuum scraper truckDefault</t>
  </si>
  <si>
    <t>CDFA AMMP 2017</t>
  </si>
  <si>
    <t>Default, h</t>
  </si>
  <si>
    <t>CAPEXLifetimeSkid steer loaderDefault, h</t>
  </si>
  <si>
    <r>
      <rPr>
        <sz val="11"/>
        <rFont val="Calibri"/>
        <family val="2"/>
        <scheme val="minor"/>
      </rPr>
      <t xml:space="preserve">Skid steer_kubota blog; </t>
    </r>
    <r>
      <rPr>
        <u/>
        <sz val="11"/>
        <color theme="10"/>
        <rFont val="Calibri"/>
        <family val="2"/>
        <scheme val="minor"/>
      </rPr>
      <t>Lazarus Machdata 2020</t>
    </r>
    <r>
      <rPr>
        <sz val="11"/>
        <rFont val="Calibri"/>
        <family val="2"/>
        <scheme val="minor"/>
      </rPr>
      <t xml:space="preserve"> says 3000 h</t>
    </r>
  </si>
  <si>
    <t>CAPEXLifetimeAbove ground slurry storage tankDefault</t>
  </si>
  <si>
    <t>CAPEXLifetimeVacuum scraper truckDefault, h</t>
  </si>
  <si>
    <t>DO I WANT TO HOUR FOR THIS? IF YES, CHANGE MODULES IN SCENARIOS</t>
  </si>
  <si>
    <t>Lube</t>
  </si>
  <si>
    <t>OPEXLubeLubeDefault</t>
  </si>
  <si>
    <t>percent of fuel cost</t>
  </si>
  <si>
    <t>Lattz and Schnitkey 2017</t>
  </si>
  <si>
    <t>Operations labor</t>
  </si>
  <si>
    <t>OPEXOperations laborBelt filter pressDefault</t>
  </si>
  <si>
    <t>4-8</t>
  </si>
  <si>
    <t>staff hours per day for 1 belt press</t>
  </si>
  <si>
    <t>OPEXOperations laborBelt filter pressHigh</t>
  </si>
  <si>
    <t>8-10</t>
  </si>
  <si>
    <t>staff hours per day for 6-8 belt presses</t>
  </si>
  <si>
    <t>Percent time for use</t>
  </si>
  <si>
    <t>Application toolbar usage per unit tractor pulling it usage</t>
  </si>
  <si>
    <t>NAPercent time for useApplication toolbar usage per unit tractor pulling it usageDefault</t>
  </si>
  <si>
    <t>percent of tractor time</t>
  </si>
  <si>
    <t>Chen et al., 2014 (see 9Land-application-drag-hose)</t>
  </si>
  <si>
    <t>Applicator tractor for drag hose land application</t>
  </si>
  <si>
    <t>NAPercent time for useApplicator tractor for drag hose land applicationDefault</t>
  </si>
  <si>
    <t>percent of pumping time</t>
  </si>
  <si>
    <t>Hose mover tractor for drag hose land application</t>
  </si>
  <si>
    <t>NAPercent time for useHose mover tractor for drag hose land applicationDefault</t>
  </si>
  <si>
    <t>PUCK</t>
  </si>
  <si>
    <t>Pickup truck for drag hose land application</t>
  </si>
  <si>
    <t>NAPercent time for usePickup truck for drag hose land applicationDefault</t>
  </si>
  <si>
    <t>V-04-DH vendor survey</t>
  </si>
  <si>
    <t>Purchase price discount</t>
  </si>
  <si>
    <t>CAPEXPurchase price discountTractors, allDefault</t>
  </si>
  <si>
    <t>percent of list price</t>
  </si>
  <si>
    <t>Repair and maintenance</t>
  </si>
  <si>
    <t>OPEXRepair and maintenanceAgi-pump, electricDefault</t>
  </si>
  <si>
    <t>CDFA AMMP (US Farm Systems; see reference for stationary pump)</t>
  </si>
  <si>
    <t>OPEXRepair and maintenanceAgitator, electricDefault</t>
  </si>
  <si>
    <t>CDFA AMMP (US Farm Systems; see reference for stationary agitator)</t>
  </si>
  <si>
    <t>Anaerobic digester</t>
  </si>
  <si>
    <t>OPEXRepair and maintenanceAnaerobic digesterDefault</t>
  </si>
  <si>
    <t>% of initial cost</t>
  </si>
  <si>
    <t>USDA (2007); Enahoro and Gloy (2008); see "5Anaerobic-digesters…."</t>
  </si>
  <si>
    <t>OPEXRepair and maintenanceAuto scraper, chain/cableDefault</t>
  </si>
  <si>
    <t>OPEXRepair and maintenanceAuto scraper systemDefault</t>
  </si>
  <si>
    <t>OPEXRepair and maintenanceTransfer channelDefault</t>
  </si>
  <si>
    <t>OPEXRepair and maintenanceBuildings and constructionDefault</t>
  </si>
  <si>
    <t>percent of capital investment</t>
  </si>
  <si>
    <t>Horner et al., 2020 = 1%; Rotz et al., 2018 = 0.5% for "structures"; EPA, 2001 = 2%</t>
  </si>
  <si>
    <t>CNG equipment</t>
  </si>
  <si>
    <t>OPEXRepair and maintenanceCNG equipmentDefault</t>
  </si>
  <si>
    <t>WaSt calculator; see "5Anaerobic-digesters-module.xlsm"</t>
  </si>
  <si>
    <t>OPEXRepair and maintenanceElectricity generation equipmentDefault</t>
  </si>
  <si>
    <t>OPEXRepair and maintenanceEquipmentDefault</t>
  </si>
  <si>
    <t>Rotz et al., 2018 = 3-4%; Horner et al., 2020 = 2.5%</t>
  </si>
  <si>
    <t>OPEXRepair and maintenanceBox spreaderDefault</t>
  </si>
  <si>
    <t>Painter et al., 2011, "8Vehicles.xlsx"</t>
  </si>
  <si>
    <t>OPEXRepair and maintenancePump, non-ptoDefault</t>
  </si>
  <si>
    <t>OPEXRepair and maintenancePump, tractor ptoDefault</t>
  </si>
  <si>
    <t>Vendor surveys, see "7Pumps-motors-agitators-conveyors.xlsx"</t>
  </si>
  <si>
    <t>OPEXRepair and maintenanceRoller pressDefault</t>
  </si>
  <si>
    <t>OPEXRepair and maintenanceRotary drum screenDefault</t>
  </si>
  <si>
    <t>OPEXRepair and maintenanceScrew pressDefault</t>
  </si>
  <si>
    <t>OPEXRepair and maintenanceCentrifuge systemDefault</t>
  </si>
  <si>
    <t>percent of centrifuge cost</t>
  </si>
  <si>
    <t>OPEXRepair and maintenanceSlope screenDefault</t>
  </si>
  <si>
    <t>CDFA AMMP average</t>
  </si>
  <si>
    <t>OPEXRepair and maintenanceAbove ground slurry storage tankDefault</t>
  </si>
  <si>
    <t>dollars per year (regardless of size)</t>
  </si>
  <si>
    <t>Salvage</t>
  </si>
  <si>
    <t>CAPEXSalvageBuildings and constructionDefault</t>
  </si>
  <si>
    <t>Mike Popp, personal communication, September 2, 2020; Rotz et al., 2018</t>
  </si>
  <si>
    <t>CAPEXSalvageEquipmentDefault</t>
  </si>
  <si>
    <t>vendor surveys generally assign 20%; Rotz et al., 2018 = 30%; Horner et al., 2020 = 0%</t>
  </si>
  <si>
    <t>CAPEXSalvageRoller pressDefault</t>
  </si>
  <si>
    <t>CAPEXSalvageRotary drum screenDefault</t>
  </si>
  <si>
    <t>CAPEXSalvageScrew pressDefault</t>
  </si>
  <si>
    <t>CAPEXSalvageCentrifuge systemDefault</t>
  </si>
  <si>
    <t>CAPEXSalvageSlope screenDefault</t>
  </si>
  <si>
    <t>CAPEXSalvagePit aeration systemDefault</t>
  </si>
  <si>
    <t>CAPEXSalvageAbove ground slurry storage tankDefault</t>
  </si>
  <si>
    <t>System operations</t>
  </si>
  <si>
    <t>OPEXSystem operationsElectricity generation equipmentDefault</t>
  </si>
  <si>
    <t>OPEXSystem operationsElectricity generation equipmentHigh</t>
  </si>
  <si>
    <t>OPEXSystem operationsElectricity generation equipmentLow</t>
  </si>
  <si>
    <t>Taxes</t>
  </si>
  <si>
    <t>Structures</t>
  </si>
  <si>
    <t>OPEXTaxesStructuresDefault</t>
  </si>
  <si>
    <t>Gordon (NRCS) ( AnimalWasteEconHG - NRCS - defaults)</t>
  </si>
  <si>
    <t>this applies only to lagoon, compost structure, digester pit</t>
  </si>
  <si>
    <t>OPEXTaxesStructuresNA</t>
  </si>
  <si>
    <t>Varies</t>
  </si>
  <si>
    <t>Rotz et al., 2018 (IFSM)</t>
  </si>
  <si>
    <t>calls this property tax; user input property tax rate times the assessed value of the structure, which is set at 42% of PP</t>
  </si>
  <si>
    <t>Taxes and insurance</t>
  </si>
  <si>
    <t>HighB</t>
  </si>
  <si>
    <t>OPEXTaxes and insuranceCenter pivot systemHighB</t>
  </si>
  <si>
    <t>Morata et al, 2019</t>
  </si>
  <si>
    <t>Transport into separator system</t>
  </si>
  <si>
    <t>?</t>
  </si>
  <si>
    <t>CAPEXTransport into separator system?</t>
  </si>
  <si>
    <t>pumps, piping, pump panels</t>
  </si>
  <si>
    <t>Transport out of separator (conveyor)</t>
  </si>
  <si>
    <t>Convery, belt, etc</t>
  </si>
  <si>
    <t>CAPEXTransport out of separator (conveyor)Convery, belt, etcDefault</t>
  </si>
  <si>
    <t>Previous</t>
  </si>
  <si>
    <t>Next</t>
  </si>
  <si>
    <t xml:space="preserve">Description : </t>
  </si>
  <si>
    <t>UD Name</t>
  </si>
  <si>
    <t>Module description</t>
  </si>
  <si>
    <t>Analysis location</t>
  </si>
  <si>
    <t>Named range in UD</t>
  </si>
  <si>
    <t>Split for named range concat, Part 1</t>
  </si>
  <si>
    <t>Split for named range concat, Part 2</t>
  </si>
  <si>
    <t>Diesel powered agitation trailerDefault</t>
  </si>
  <si>
    <t>assume -/+ 30%</t>
  </si>
  <si>
    <t>UDV.econ_agi.diesel_trailer</t>
  </si>
  <si>
    <t>Agitation, pump</t>
  </si>
  <si>
    <t>see "9Land-application-equipment.xlsx"</t>
  </si>
  <si>
    <t>Agitator, ptoDefault</t>
  </si>
  <si>
    <t>UDV.econ_agi.pto</t>
  </si>
  <si>
    <t>see "7Pumps-motors-agitators.xlsx"</t>
  </si>
  <si>
    <t>econ_agi:pto</t>
  </si>
  <si>
    <t>Agi-pump, motor</t>
  </si>
  <si>
    <t>Agi-pump, motorDefault</t>
  </si>
  <si>
    <t>UDV.econ_agi.pump_motor</t>
  </si>
  <si>
    <t>econ_agi:pump_motor</t>
  </si>
  <si>
    <t>Agitator, electricDefault</t>
  </si>
  <si>
    <t>UDV.econ_agi.electric</t>
  </si>
  <si>
    <t>see "7Pumps-motors-agitators.xlsx"; average, 25th for low, 75th for high</t>
  </si>
  <si>
    <t>econ_agi:electric</t>
  </si>
  <si>
    <t>Scraper bladeDefault</t>
  </si>
  <si>
    <t>UDV.econ_attachments.scraper</t>
  </si>
  <si>
    <t>Manure collection</t>
  </si>
  <si>
    <t>see "1Scrape-systems.xlsx"; assume -/+ 30% for min/max</t>
  </si>
  <si>
    <t>econ_attachments:scraper</t>
  </si>
  <si>
    <t>Auto alley system chain and accessoriesDefault</t>
  </si>
  <si>
    <t>$2024/ft</t>
  </si>
  <si>
    <t>UDV.econ_auto_scrape.chain</t>
  </si>
  <si>
    <t>econ_auto_scrape:chain</t>
  </si>
  <si>
    <t>Auto alley system installation and electricalDefault</t>
  </si>
  <si>
    <t>% of equip cost (scraper; drive unit etc; cable)</t>
  </si>
  <si>
    <t>UDV.econ_auto_scrape.install</t>
  </si>
  <si>
    <t>econ_auto_scrape:install</t>
  </si>
  <si>
    <t>Drive unit, motor, controls, ancillariesDefault</t>
  </si>
  <si>
    <t>$2024/unit</t>
  </si>
  <si>
    <t>UDV.econ_power.drive_unit</t>
  </si>
  <si>
    <t>econ_power:drive_unit</t>
  </si>
  <si>
    <t>Transfer channel chain and accessoriesDefault</t>
  </si>
  <si>
    <t>UDV.econ_transfer_channel.chain</t>
  </si>
  <si>
    <t>econ_transfer_channel:chain</t>
  </si>
  <si>
    <t>Transfer channel installation and electricalDefault</t>
  </si>
  <si>
    <t>% of equip cost (drive unit etc; cable)</t>
  </si>
  <si>
    <t>UDV.econ_transfer_channel.install</t>
  </si>
  <si>
    <t>econ_transfer_channel:install</t>
  </si>
  <si>
    <t>85 hp</t>
  </si>
  <si>
    <t>Tractor85 hp</t>
  </si>
  <si>
    <t>Tractors</t>
  </si>
  <si>
    <t>see "8Vehicles.xlsx"; -/+ 20%</t>
  </si>
  <si>
    <t>94 hp</t>
  </si>
  <si>
    <t>Tractor94 hp</t>
  </si>
  <si>
    <t>160 hp</t>
  </si>
  <si>
    <t>Tractor160 hp</t>
  </si>
  <si>
    <t>180 hp</t>
  </si>
  <si>
    <t>Tractor180 hp</t>
  </si>
  <si>
    <t>250 hp</t>
  </si>
  <si>
    <t>Tractor250 hp</t>
  </si>
  <si>
    <t>340 hp</t>
  </si>
  <si>
    <t>Tractor340 hp</t>
  </si>
  <si>
    <t>580 hp</t>
  </si>
  <si>
    <t>Tractor580 hp</t>
  </si>
  <si>
    <t>Electricity, on-farm use</t>
  </si>
  <si>
    <t>Default, yes grid connect</t>
  </si>
  <si>
    <t>Electricity, on-farm useDefault, yes grid connect</t>
  </si>
  <si>
    <t>% of electricity produced</t>
  </si>
  <si>
    <t>UDV.econ_elec.on_farm_use_yes_grid_pct</t>
  </si>
  <si>
    <t>see "5Anaerobic-digesters…xlsx"</t>
  </si>
  <si>
    <t>econ_elec:on_farm_use_yes_grid_pct</t>
  </si>
  <si>
    <t>Default, no grid connect</t>
  </si>
  <si>
    <t>Electricity, on-farm useDefault, no grid connect</t>
  </si>
  <si>
    <t>UDV.econ_elec.on_farm_use_no_grid_pct</t>
  </si>
  <si>
    <t>econ_elec:on_farm_use_no_grid_pct</t>
  </si>
  <si>
    <t>Electricity, sell to grid</t>
  </si>
  <si>
    <t>Electricity, sell to gridDefault, yes grid connect</t>
  </si>
  <si>
    <t>UDV.econ_elec.sell_to_grid_yes_grid_pct</t>
  </si>
  <si>
    <t>econ_elec:sell_to_grid_yes_grid_pct</t>
  </si>
  <si>
    <t>Electricity, sell to gridDefault, no grid connect</t>
  </si>
  <si>
    <t>UDV.econ_elec.sell_to_grid_no_grid_pct</t>
  </si>
  <si>
    <t>econ_elec:sell_to_grid_no_grid_pct</t>
  </si>
  <si>
    <t>Electricity price, sell to grid</t>
  </si>
  <si>
    <t>Electricity price, sell to gridDefault</t>
  </si>
  <si>
    <t>% of retail price</t>
  </si>
  <si>
    <t>min 30%, max 70%</t>
  </si>
  <si>
    <t>UDV.econ_elec.sell_to_grid_price</t>
  </si>
  <si>
    <t>econ_elec:sell_to_grid_price</t>
  </si>
  <si>
    <t>Compressed natural gas, on-farm use</t>
  </si>
  <si>
    <t>Compressed natural gas, on-farm useDefault, yes grid connect</t>
  </si>
  <si>
    <t>% of CNG produced</t>
  </si>
  <si>
    <t>UDV.econ_cng.on_farm_use_yes_grid_pct</t>
  </si>
  <si>
    <t>econ_cng:on_farm_use_yes_grid_pct</t>
  </si>
  <si>
    <t>Compressed natural gas, on-farm useDefault, no grid connect</t>
  </si>
  <si>
    <t>UDV.econ_cng.on_farm_use_no_grid_pct</t>
  </si>
  <si>
    <t>econ_cng:on_farm_use_no_grid_pct</t>
  </si>
  <si>
    <t>Compressed natural gas, sell to grid</t>
  </si>
  <si>
    <t>Compressed natural gas, sell to gridDefault, yes grid connect</t>
  </si>
  <si>
    <t>UDV.econ_cng.sell_to_grid_yes_grid_pct</t>
  </si>
  <si>
    <t>econ_cng:sell_to_grid_yes_grid_pct</t>
  </si>
  <si>
    <t>Compressed natural gas, sell to gridDefault, no grid connect</t>
  </si>
  <si>
    <t>UDV.econ_cng.sell_to_grid_no_grid_pct</t>
  </si>
  <si>
    <t>econ_cng:sell_to_grid_no_grid_pct</t>
  </si>
  <si>
    <t>Compressed natural gas price, sell to grid</t>
  </si>
  <si>
    <t>Compressed natural gas price, sell to gridDefault</t>
  </si>
  <si>
    <t>UDV.econ_cng.sell_to_grid_price</t>
  </si>
  <si>
    <t>econ_cng:sell_to_grid_price</t>
  </si>
  <si>
    <t>Efficiency of scrubbing methaneDefault</t>
  </si>
  <si>
    <t>% of methane produced</t>
  </si>
  <si>
    <t>UDV.econ_cng.scrub_effic</t>
  </si>
  <si>
    <t>econ_cng:scrub_effic</t>
  </si>
  <si>
    <t>Flexible drag hose, 6in 660 ftDefault</t>
  </si>
  <si>
    <t>UDV.econ_hose.hose_drag_flex_660ft</t>
  </si>
  <si>
    <t>Flexible drag hose</t>
  </si>
  <si>
    <t>econ_hose:hose_drag_flex_660ft</t>
  </si>
  <si>
    <t>InjectionDefault</t>
  </si>
  <si>
    <t>Application implement</t>
  </si>
  <si>
    <t>see "9Land-application-equipment.xlsx" or "8Vehicles.xlsx"</t>
  </si>
  <si>
    <t>Boom</t>
  </si>
  <si>
    <t>BoomDefault</t>
  </si>
  <si>
    <t>Box spreaderDefault</t>
  </si>
  <si>
    <t>Liquid manure, percentage to sellDefault</t>
  </si>
  <si>
    <t>% of excess manure</t>
  </si>
  <si>
    <t>default, but allow user input</t>
  </si>
  <si>
    <t>Excess manure (liquids, sludge, solids) and recycling bedding (sand, manure solids)</t>
  </si>
  <si>
    <t>see "1Fertilizer-prices.xlsx" and "1Barn.xlsx"</t>
  </si>
  <si>
    <t>econ_manure:liquid_sell_pct</t>
  </si>
  <si>
    <t>Liquid manure, percentage to give awayDefault</t>
  </si>
  <si>
    <t>econ_manure:liquid_give_pct</t>
  </si>
  <si>
    <t>Liquid manure, percentage to export at costDefault</t>
  </si>
  <si>
    <t>econ_manure:liquid_export_pct</t>
  </si>
  <si>
    <t>Slurry manure, percentage to sellDefault</t>
  </si>
  <si>
    <t>econ_manure:slurry_sell_pct</t>
  </si>
  <si>
    <t>Slurry manure, percentage to give awayDefault</t>
  </si>
  <si>
    <t>econ_manure:slurry_give_pct</t>
  </si>
  <si>
    <t>Slurry manure, percentage to export at costDefault</t>
  </si>
  <si>
    <t>econ_manure:slurry_export_pct</t>
  </si>
  <si>
    <t>Sludge manure, percentage to sellDefault</t>
  </si>
  <si>
    <t>econ_manure:sludge_sell_pct</t>
  </si>
  <si>
    <t>Sludge manure, percentage to give awayDefault</t>
  </si>
  <si>
    <t>econ_manure:sludge_give_pct</t>
  </si>
  <si>
    <t>Sludge manure, percentage to export at costDefault</t>
  </si>
  <si>
    <t>econ_manure:sludge_export_pct</t>
  </si>
  <si>
    <t>Solids manure, percentage to sell</t>
  </si>
  <si>
    <t>Solids manure, percentage to sellDefault</t>
  </si>
  <si>
    <t>econ_manure:sep_solids_sell_pct</t>
  </si>
  <si>
    <t>Solids manure, percentage to give away</t>
  </si>
  <si>
    <t>Solids manure, percentage to give awayDefault</t>
  </si>
  <si>
    <t>econ_manure:sep_solids_give_pct</t>
  </si>
  <si>
    <t>Solids manure, percentage to export at cost</t>
  </si>
  <si>
    <t>Solids manure, percentage to export at costDefault</t>
  </si>
  <si>
    <t>econ_manure:sep_solids_export_pct</t>
  </si>
  <si>
    <t>Compost, percentage to sell</t>
  </si>
  <si>
    <t>Compost, percentage to sellDefault</t>
  </si>
  <si>
    <t>econ_manure:compost_sell_pct</t>
  </si>
  <si>
    <t>Compost, percentage to give away</t>
  </si>
  <si>
    <t>Compost, percentage to give awayDefault</t>
  </si>
  <si>
    <t>econ_manure:compost_give_pct</t>
  </si>
  <si>
    <t>Compost, percentage to export at cost</t>
  </si>
  <si>
    <t>Compost, percentage to export at costDefault</t>
  </si>
  <si>
    <t>econ_manure:compost_export_pct</t>
  </si>
  <si>
    <t>Liquid manure, price to sellDefault</t>
  </si>
  <si>
    <t>$2024/1000 gal</t>
  </si>
  <si>
    <t>see "1Fertilizer-prices.xlsx"</t>
  </si>
  <si>
    <t>econ_manure:liquid_sell_price</t>
  </si>
  <si>
    <t>Liquid manure, cost to give away</t>
  </si>
  <si>
    <t>Liquid manure, cost to give awayDefault</t>
  </si>
  <si>
    <t>UDV.econ_manure.liquid_give_cost</t>
  </si>
  <si>
    <t>econ_manure:liquid_give_cost</t>
  </si>
  <si>
    <t>Liquid manure, cost to exportDefault</t>
  </si>
  <si>
    <t>econ_manure:liquid_export_cost</t>
  </si>
  <si>
    <t>Slurry manure, price to sellDefault</t>
  </si>
  <si>
    <t>econ_manure:slurry_sell_price</t>
  </si>
  <si>
    <t>Slurry manure, cost to give away</t>
  </si>
  <si>
    <t>Slurry manure, cost to give awayDefault</t>
  </si>
  <si>
    <t>UDV.econ_manure.slurry_give_cost</t>
  </si>
  <si>
    <t>econ_manure:slurry_give_cost</t>
  </si>
  <si>
    <t>Slurry manure, cost to exportDefault</t>
  </si>
  <si>
    <t>econ_manure:slurry_export_cost</t>
  </si>
  <si>
    <t>Sludge manure, price to sellDefault</t>
  </si>
  <si>
    <t>econ_manure:sludge_sell_price</t>
  </si>
  <si>
    <t>Sludge manure, cost to give away</t>
  </si>
  <si>
    <t>Sludge manure, cost to give awayDefault</t>
  </si>
  <si>
    <t>UDV.econ_manure.sludge_give_cost</t>
  </si>
  <si>
    <t>econ_manure:sludge_give_cost</t>
  </si>
  <si>
    <t>Sludge manure, cost to exportDefault</t>
  </si>
  <si>
    <t>econ_manure:sludge_export_cost</t>
  </si>
  <si>
    <t>Solids manure, price to sell</t>
  </si>
  <si>
    <t>Solids manure, price to sellDefault</t>
  </si>
  <si>
    <t>$2024/ton</t>
  </si>
  <si>
    <t>econ_manure:sep_solids_sell_price</t>
  </si>
  <si>
    <t>Solids manure, cost to give away</t>
  </si>
  <si>
    <t>Solids manure, cost to give awayDefault</t>
  </si>
  <si>
    <t>UDV.econ_manure.sep_solids_give_cost</t>
  </si>
  <si>
    <t>econ_manure:sep_solids_give_cost</t>
  </si>
  <si>
    <t>Solids manure, cost to export</t>
  </si>
  <si>
    <t>Solids manure, cost to exportDefault</t>
  </si>
  <si>
    <t>econ_manure:sep_solids_export_cost</t>
  </si>
  <si>
    <t>Compost, price to sell</t>
  </si>
  <si>
    <t>Compost, price to sellDefault</t>
  </si>
  <si>
    <t>econ_manure:compost_sell_price</t>
  </si>
  <si>
    <t>Compost, cost to give away</t>
  </si>
  <si>
    <t>Compost, cost to give awayDefault</t>
  </si>
  <si>
    <t>UDV.econ_manure.compost_give_cost</t>
  </si>
  <si>
    <t>econ_manure:compost_give_cost</t>
  </si>
  <si>
    <t>Compost, cost to export</t>
  </si>
  <si>
    <t>Compost, cost to exportDefault</t>
  </si>
  <si>
    <t>econ_manure:compost_export_cost</t>
  </si>
  <si>
    <t>Skid steer loaderDefault</t>
  </si>
  <si>
    <t>Vehicles and implements</t>
  </si>
  <si>
    <t>Pick up truckDefault</t>
  </si>
  <si>
    <t>Front end loaderDefault</t>
  </si>
  <si>
    <t>Rotary tiller, pull type</t>
  </si>
  <si>
    <t>6 ft</t>
  </si>
  <si>
    <t>Rotary tiller, pull type6 ft</t>
  </si>
  <si>
    <t>UDV.econ_toolbar.rotary_tiller_6ft</t>
  </si>
  <si>
    <t>econ_toolbar:rotary_tiller_6ft</t>
  </si>
  <si>
    <t>13 ft</t>
  </si>
  <si>
    <t>Rotary tiller, pull type13 ft</t>
  </si>
  <si>
    <t>UDV.econ_toolbar.rotary_tiller_13ft</t>
  </si>
  <si>
    <t>econ_toolbar:rotary_tiller_13ft</t>
  </si>
  <si>
    <t>20 ft</t>
  </si>
  <si>
    <t>Rotary tiller, pull type20 ft</t>
  </si>
  <si>
    <t>UDV.econ_toolbar.rotary_tiller_20ft</t>
  </si>
  <si>
    <t>econ_toolbar:rotary_tiller_20ft</t>
  </si>
  <si>
    <t>RakeDefault</t>
  </si>
  <si>
    <t>UDV.econ_toolbar.rake</t>
  </si>
  <si>
    <t>econ_toolbar:rake</t>
  </si>
  <si>
    <t>Roller press, 24 inDefault</t>
  </si>
  <si>
    <t>UDV.econ_roller_press.24in</t>
  </si>
  <si>
    <t>Roller Press</t>
  </si>
  <si>
    <t>see "4Roller-press.xlsx"</t>
  </si>
  <si>
    <t>econ_roller_press:24in</t>
  </si>
  <si>
    <t>Roller press, 36 inDefault</t>
  </si>
  <si>
    <t>UDV.econ_roller_press.36in</t>
  </si>
  <si>
    <t>econ_roller_press:36in</t>
  </si>
  <si>
    <t>Roller press, 48 inDefault</t>
  </si>
  <si>
    <t>UDV.econ_roller_press.48in</t>
  </si>
  <si>
    <t>econ_roller_press:48in</t>
  </si>
  <si>
    <t>Roller press, 72 inDefault</t>
  </si>
  <si>
    <t>UDV.econ_roller_press.72in</t>
  </si>
  <si>
    <t>econ_roller_press:72in</t>
  </si>
  <si>
    <t>Rotary drum screen, 94 ft2Default</t>
  </si>
  <si>
    <t>UDV.econ_rds.94ft</t>
  </si>
  <si>
    <t>Rotary Drum Screens</t>
  </si>
  <si>
    <t>see "4Rotary-drum.xlsx"</t>
  </si>
  <si>
    <t>econ_rds:94ft</t>
  </si>
  <si>
    <t>Rotary drum screen, 138 ft2Default</t>
  </si>
  <si>
    <t>UDV.econ_rds.138ft</t>
  </si>
  <si>
    <t>econ_rds:138ft</t>
  </si>
  <si>
    <t>Rotary drum screen, 188 ft2Default</t>
  </si>
  <si>
    <t>UDV.econ_rds.188ft</t>
  </si>
  <si>
    <t>econ_rds:188ft</t>
  </si>
  <si>
    <t>Screw press, single-10hp</t>
  </si>
  <si>
    <t>Screw press, single-10hpDefault</t>
  </si>
  <si>
    <t>UDV.econ_screw_press.single_10hp</t>
  </si>
  <si>
    <t>Screw presses</t>
  </si>
  <si>
    <t>econ_screw_press:single_10hp</t>
  </si>
  <si>
    <t>Screw press, single-15hp</t>
  </si>
  <si>
    <t>Screw press, single-15hpDefault</t>
  </si>
  <si>
    <t>UDV.econ_screw_press.single_15hp</t>
  </si>
  <si>
    <t>econ_screw_press:single_15hp</t>
  </si>
  <si>
    <t>Screw press, double-15hp</t>
  </si>
  <si>
    <t>Screw press, double-15hpDefault</t>
  </si>
  <si>
    <t>UDV.econ_screw_press.double_15hp</t>
  </si>
  <si>
    <t>econ_screw_press:double_15hp</t>
  </si>
  <si>
    <t>Slope screen, 32 ft2Default</t>
  </si>
  <si>
    <t>UDV.econ_slope_screen.32ft</t>
  </si>
  <si>
    <t>Slope Screens</t>
  </si>
  <si>
    <t>see "4Slope-screen.xlsx"</t>
  </si>
  <si>
    <t>econ_slope_screen:32ft</t>
  </si>
  <si>
    <t>Slope screen, 64 ft2Default</t>
  </si>
  <si>
    <t>UDV.econ_slope_screen.64ft</t>
  </si>
  <si>
    <t>econ_slope_screen:64ft</t>
  </si>
  <si>
    <t>Slope screen, 96 ft2Default</t>
  </si>
  <si>
    <t>UDV.econ_slope_screen.96ft</t>
  </si>
  <si>
    <t>econ_slope_screen:96ft</t>
  </si>
  <si>
    <t>Centrifuge, 158ft3</t>
  </si>
  <si>
    <t>Centrifuge, 158ft3Default</t>
  </si>
  <si>
    <t>UDV.econ_centrifuge.158ft3</t>
  </si>
  <si>
    <t>Decanting Centrifuge</t>
  </si>
  <si>
    <t>see "4Decanting-centrigue.xlsx"</t>
  </si>
  <si>
    <t>econ_centrifuge:158ft3</t>
  </si>
  <si>
    <t>Centrifuge, 209ft3</t>
  </si>
  <si>
    <t>Centrifuge, 209ft3Default</t>
  </si>
  <si>
    <t>UDV.econ_centrifuge.209ft3</t>
  </si>
  <si>
    <t>econ_centrifuge:209ft3</t>
  </si>
  <si>
    <t>Centrifuge, 452ft3</t>
  </si>
  <si>
    <t>Centrifuge, 452ft3Default</t>
  </si>
  <si>
    <t>UDV.econ_centrifuge.452ft3</t>
  </si>
  <si>
    <t>econ_centrifuge:452ft3</t>
  </si>
  <si>
    <t>Electricity generation equipmentDefault</t>
  </si>
  <si>
    <t>% of AD system alone</t>
  </si>
  <si>
    <t>assume -/+5%</t>
  </si>
  <si>
    <t>UDV.econ_elec.generation_equipment</t>
  </si>
  <si>
    <t>see "5Anaerobic-digesters…xlsx" (AH44 table) (tab costCHP)</t>
  </si>
  <si>
    <t>econ_elec:generation_equipment</t>
  </si>
  <si>
    <t>CHP utility connectionDefault</t>
  </si>
  <si>
    <t>UDV.econ_elec.grid_connection</t>
  </si>
  <si>
    <t>econ_elec:grid_connection</t>
  </si>
  <si>
    <t>Pump, non-pto flushDefault</t>
  </si>
  <si>
    <t>UDV.econ_pump.non_pto_flush</t>
  </si>
  <si>
    <t>Pumps, non-pto</t>
  </si>
  <si>
    <t>see "7Pumps-motors-agitators-conveyors.xlsx"</t>
  </si>
  <si>
    <t>econ_pump:non_pto_flush</t>
  </si>
  <si>
    <t>UDV.econ_pump.tractor_pto</t>
  </si>
  <si>
    <t>Pumps, tractor pto</t>
  </si>
  <si>
    <t>econ_pump:tractor_pto</t>
  </si>
  <si>
    <t>Manure piping to fieldDefault</t>
  </si>
  <si>
    <t>min/max from literature, surveys</t>
  </si>
  <si>
    <t>UDV.econ_pipe.manure</t>
  </si>
  <si>
    <t>Piping manure to field, semi permanent</t>
  </si>
  <si>
    <t>see "9Land-application-draghose-liquid-and-sludge.xlsx"</t>
  </si>
  <si>
    <t>econ_pipe:manure</t>
  </si>
  <si>
    <t>Diesel powered lead pumpDefault</t>
  </si>
  <si>
    <t>UDV.econ_pump.diesel_lead</t>
  </si>
  <si>
    <t>Pump, diesel powered with engine</t>
  </si>
  <si>
    <t>see "9Land-application-equipment"</t>
  </si>
  <si>
    <t>econ_pump:diesel_lead</t>
  </si>
  <si>
    <t>Diesel powered booster pumpDefault</t>
  </si>
  <si>
    <t>UDV.econ_pump.diesel_booster</t>
  </si>
  <si>
    <t>econ_pump:diesel_booster</t>
  </si>
  <si>
    <t>Hose reel, hydraulic,no specific sizeDefault</t>
  </si>
  <si>
    <t>UDV.econ_hose.hose_reel_hydraulic</t>
  </si>
  <si>
    <t>Drag hose, hose reel caddy</t>
  </si>
  <si>
    <t>econ_hose:hose_reel_hydraulic</t>
  </si>
  <si>
    <t>Hose pulleyDefault</t>
  </si>
  <si>
    <t>UDV.econ_hose.hose_pulley</t>
  </si>
  <si>
    <t>Drag hose, hose pulley</t>
  </si>
  <si>
    <t>econ_hose:hose_pulley</t>
  </si>
  <si>
    <t>Lagoon liner, geomembrane</t>
  </si>
  <si>
    <t>Lagoon liner geomembraneDefault</t>
  </si>
  <si>
    <t>$2024/ft2 liner area</t>
  </si>
  <si>
    <t>min/max from resources</t>
  </si>
  <si>
    <t>UDV.econ_liner.lagoon_geomembrane</t>
  </si>
  <si>
    <t>Lagoon liner installed</t>
  </si>
  <si>
    <t>see "6Lagoon….xlsx"</t>
  </si>
  <si>
    <t>econ_liner:lagoon_geomembrane</t>
  </si>
  <si>
    <t>Concrete sand settling laneDefault</t>
  </si>
  <si>
    <t>UDV.econ_build.concrete_sand_lane</t>
  </si>
  <si>
    <t>see "3Sand-lane-and-storage-slab.xlsx"</t>
  </si>
  <si>
    <t>econ_build:concrete_sand_lane</t>
  </si>
  <si>
    <t>Concrete slab, no side wallsDefault</t>
  </si>
  <si>
    <t>UDV.econ_build.concrete_slab_no_side</t>
  </si>
  <si>
    <t>Concrete slabs, no side walls</t>
  </si>
  <si>
    <t>econ_build:concrete_slab_no_side</t>
  </si>
  <si>
    <t>Compost building, concrete and metal building</t>
  </si>
  <si>
    <t>Compost building, concrete and metal buildingDefault</t>
  </si>
  <si>
    <t>UDV.econ_build.compost_building</t>
  </si>
  <si>
    <t>Composting building</t>
  </si>
  <si>
    <t>see "3Compost-building.xlsx"</t>
  </si>
  <si>
    <t>econ_build:compost_building</t>
  </si>
  <si>
    <t>Compost mixing vessel, 9.8 ft</t>
  </si>
  <si>
    <t>Compost mixing vessel, 9.8 ftDefault</t>
  </si>
  <si>
    <t>UDV.econ_compost_vessel.9.8ft</t>
  </si>
  <si>
    <t>econ_compost_vessel:9.8ft</t>
  </si>
  <si>
    <t>Compost mixing vessel, 20 ft</t>
  </si>
  <si>
    <t>Compost mixing vessel, 20 ftDefault</t>
  </si>
  <si>
    <t>UDV.econ_compost_vessel.20.0ft</t>
  </si>
  <si>
    <t>econ_compost_vessel:20.0ft</t>
  </si>
  <si>
    <t>Transfer trolley for compost building, 9.8 ft</t>
  </si>
  <si>
    <t>Transfer trolley for compost building, 9.8 ftDefault</t>
  </si>
  <si>
    <t>UDV.econ_transfer_trolley.9.8ft</t>
  </si>
  <si>
    <t>econ_transfer_trolley:9.8ft</t>
  </si>
  <si>
    <t>Transfer trolley for compost building, 20.0 ft</t>
  </si>
  <si>
    <t>Transfer trolley for compost building, 20.0 ftDefault</t>
  </si>
  <si>
    <t>UDV.econ_transfer_trolley.20.0ft</t>
  </si>
  <si>
    <t>econ_transfer_trolley:20.0ft</t>
  </si>
  <si>
    <t>Covered building cost</t>
  </si>
  <si>
    <t>Covered building costDefault</t>
  </si>
  <si>
    <t>UDV.econ_build.covered_building_cost</t>
  </si>
  <si>
    <t>see "8Housing.xlsx"</t>
  </si>
  <si>
    <t>econ_build:covered_building_cost</t>
  </si>
  <si>
    <t>Covered building size</t>
  </si>
  <si>
    <t>Covered building sizeDefault</t>
  </si>
  <si>
    <t>UDV.econ_build.covered_building_size</t>
  </si>
  <si>
    <t>econ_build:covered_building_size</t>
  </si>
  <si>
    <t>Carbon offset credits</t>
  </si>
  <si>
    <t>Carbon offset creditsDefault</t>
  </si>
  <si>
    <t>$2024/ton CO2e reduced</t>
  </si>
  <si>
    <t>Carbon and renewable energy credits</t>
  </si>
  <si>
    <t>see "1Misc-reference-values.xlsx"</t>
  </si>
  <si>
    <t>econ_energy:carbon_credits</t>
  </si>
  <si>
    <t>Renewable energy creditsDefault</t>
  </si>
  <si>
    <t>UDV.econ_energy.renewable_energy_credits</t>
  </si>
  <si>
    <t>econ_energy:renewable_energy_credits</t>
  </si>
  <si>
    <t>Underground 12 in pipe for flush</t>
  </si>
  <si>
    <t>Underground 12 in pipe for flushDefault</t>
  </si>
  <si>
    <t>UDV.econ_pipe.12in_underground_flush</t>
  </si>
  <si>
    <t>Flush system</t>
  </si>
  <si>
    <t>econ_pipe:12in_underground_flush</t>
  </si>
  <si>
    <t>NDefault</t>
  </si>
  <si>
    <t>$2024/lb</t>
  </si>
  <si>
    <t>assume -/+ 50%</t>
  </si>
  <si>
    <t>Land application</t>
  </si>
  <si>
    <t>see "Fert_Price_Weekly_2018_2024_062024_FROM JP.xlsx" in References folder</t>
  </si>
  <si>
    <t>econ_fertilizer:N</t>
  </si>
  <si>
    <t>P2O5Default</t>
  </si>
  <si>
    <t>econ_fertilizer:P2O5</t>
  </si>
  <si>
    <t>K2ODefault</t>
  </si>
  <si>
    <t>econ_fertilizer:K2O</t>
  </si>
  <si>
    <t>Pump, side mount single</t>
  </si>
  <si>
    <t>Pump, side mount singleDefault</t>
  </si>
  <si>
    <t>UDV.econ_pump.side_mount_single</t>
  </si>
  <si>
    <t>econ_pump:side_mount_single</t>
  </si>
  <si>
    <t>Pump, side mount double</t>
  </si>
  <si>
    <t>Pump, side mount doubleDefault</t>
  </si>
  <si>
    <t>UDV.econ_pump.side_mount_double</t>
  </si>
  <si>
    <t>econ_pump:side_mount_double</t>
  </si>
  <si>
    <t>Pump, side mount quadruple</t>
  </si>
  <si>
    <t>Pump, side mount quadrupleDefault</t>
  </si>
  <si>
    <t>UDV.econ_pump.side_mount_quad</t>
  </si>
  <si>
    <t>econ_pump:side_mount_quad</t>
  </si>
  <si>
    <t>Motor, 1 hp</t>
  </si>
  <si>
    <t>Motor, 1 hpDefault</t>
  </si>
  <si>
    <t>UDV.econ_motor.1hp</t>
  </si>
  <si>
    <t>Motors</t>
  </si>
  <si>
    <t>see "7Pumps-motors-agitators-conveyors.xlsx"; calc from equation</t>
  </si>
  <si>
    <t>econ_motor:1hp</t>
  </si>
  <si>
    <t>Motor, 2 hp</t>
  </si>
  <si>
    <t>Motor, 2 hpDefault</t>
  </si>
  <si>
    <t>UDV.econ_motor.2hp</t>
  </si>
  <si>
    <t>econ_motor:2hp</t>
  </si>
  <si>
    <t>Motor, 3 hp</t>
  </si>
  <si>
    <t>Motor, 3 hpDefault</t>
  </si>
  <si>
    <t>UDV.econ_motor.3hp</t>
  </si>
  <si>
    <t>econ_motor:3hp</t>
  </si>
  <si>
    <t>Motor, 4 hp</t>
  </si>
  <si>
    <t>Motor, 4 hpDefault</t>
  </si>
  <si>
    <t>UDV.econ_motor.4hp</t>
  </si>
  <si>
    <t>econ_motor:4hp</t>
  </si>
  <si>
    <t>Motor, 5 hp</t>
  </si>
  <si>
    <t>Motor, 5 hpDefault</t>
  </si>
  <si>
    <t>UDV.econ_motor.5hp</t>
  </si>
  <si>
    <t>econ_motor:5hp</t>
  </si>
  <si>
    <t>Motor, 6 hp</t>
  </si>
  <si>
    <t>Motor, 6 hpDefault</t>
  </si>
  <si>
    <t>UDV.econ_motor.6hp</t>
  </si>
  <si>
    <t>econ_motor:6hp</t>
  </si>
  <si>
    <t>Motor, 7 hp</t>
  </si>
  <si>
    <t>Motor, 7 hpDefault</t>
  </si>
  <si>
    <t>UDV.econ_motor.7hp</t>
  </si>
  <si>
    <t>econ_motor:7hp</t>
  </si>
  <si>
    <t>Motor, 8 hp</t>
  </si>
  <si>
    <t>Motor, 8 hpDefault</t>
  </si>
  <si>
    <t>UDV.econ_motor.8hp</t>
  </si>
  <si>
    <t>econ_motor:8hp</t>
  </si>
  <si>
    <t>Motor, 9 hp</t>
  </si>
  <si>
    <t>Motor, 9 hpDefault</t>
  </si>
  <si>
    <t>UDV.econ_motor.9hp</t>
  </si>
  <si>
    <t>econ_motor:9hp</t>
  </si>
  <si>
    <t>Motor, 10 hp</t>
  </si>
  <si>
    <t>Motor, 10 hpDefault</t>
  </si>
  <si>
    <t>UDV.econ_motor.10hp</t>
  </si>
  <si>
    <t>econ_motor:10hp</t>
  </si>
  <si>
    <t>Motor, 11 hp</t>
  </si>
  <si>
    <t>Motor, 11 hpDefault</t>
  </si>
  <si>
    <t>UDV.econ_motor.11hp</t>
  </si>
  <si>
    <t>econ_motor:11hp</t>
  </si>
  <si>
    <t>Motor, 12 hp</t>
  </si>
  <si>
    <t>Motor, 12 hpDefault</t>
  </si>
  <si>
    <t>UDV.econ_motor.12hp</t>
  </si>
  <si>
    <t>econ_motor:12hp</t>
  </si>
  <si>
    <t>Motor, 15 hp</t>
  </si>
  <si>
    <t>Motor, 15 hpDefault</t>
  </si>
  <si>
    <t>UDV.econ_motor.15hp</t>
  </si>
  <si>
    <t>econ_motor:15hp</t>
  </si>
  <si>
    <t>Motor, 26 hp</t>
  </si>
  <si>
    <t>Motor, 26 hpDefault</t>
  </si>
  <si>
    <t>UDV.econ_motor.26hp</t>
  </si>
  <si>
    <t>econ_motor:26hp</t>
  </si>
  <si>
    <t>Motor, 75 hp</t>
  </si>
  <si>
    <t>Motor, 75 hpDefault</t>
  </si>
  <si>
    <t>UDV.econ_motor.75hp</t>
  </si>
  <si>
    <t>econ_motor:75hp</t>
  </si>
  <si>
    <t>Wood chips</t>
  </si>
  <si>
    <t>$2024/yd3</t>
  </si>
  <si>
    <t>UDV.econ_compost.wood_chips</t>
  </si>
  <si>
    <t>econ_compost:wood_chips</t>
  </si>
  <si>
    <t>Tankers for land application (size in gallons)</t>
  </si>
  <si>
    <t>Tanker_min</t>
  </si>
  <si>
    <t>Tanker_max</t>
  </si>
  <si>
    <t>Tanker_avg</t>
  </si>
  <si>
    <t>Anaerobic digestion - Electricity generated</t>
  </si>
  <si>
    <t>see "5Anaerobic-digesters-module.xlsx" and "5Anaerobic-digesters-cost-estimates.xlsx"</t>
  </si>
  <si>
    <t>Electricity generation conversion factor</t>
  </si>
  <si>
    <t>Electricity generation conversion factorDefault</t>
  </si>
  <si>
    <t>kWh generated/m3 CH4</t>
  </si>
  <si>
    <t>Electricity generation conversion efficiency</t>
  </si>
  <si>
    <t>Electricity generation conversion efficiencyDefault</t>
  </si>
  <si>
    <t>Electricity generation parasitic load</t>
  </si>
  <si>
    <t>Electricity generation parasitic loadDefault</t>
  </si>
  <si>
    <t>% (*must take 1 - this value)</t>
  </si>
  <si>
    <t>Energy inputs for CNG</t>
  </si>
  <si>
    <t>CNG energy inputs</t>
  </si>
  <si>
    <t>$2021 per m3 manure inflow/y</t>
  </si>
  <si>
    <t>ConveyorDefault</t>
  </si>
  <si>
    <t>average</t>
  </si>
  <si>
    <t>Pit aeration</t>
  </si>
  <si>
    <t>see "1Pit-aeration.xlsx"</t>
  </si>
  <si>
    <t>Pit aeration, complete system</t>
  </si>
  <si>
    <t>Pit aeration, complete systemDefault</t>
  </si>
  <si>
    <t>$/ft2 of barn floor</t>
  </si>
  <si>
    <t>2024$</t>
  </si>
  <si>
    <t>$/1000ft3</t>
  </si>
  <si>
    <t>$/h</t>
  </si>
  <si>
    <t>State_name</t>
  </si>
  <si>
    <t>Water_avg</t>
  </si>
  <si>
    <t>Electricity_min</t>
  </si>
  <si>
    <t>Electricity_max</t>
  </si>
  <si>
    <t>Electricity_avg</t>
  </si>
  <si>
    <t>NaturalGas_min</t>
  </si>
  <si>
    <t>NaturalGas_max</t>
  </si>
  <si>
    <t>NaturalGas_avg</t>
  </si>
  <si>
    <t>Diesel_min</t>
  </si>
  <si>
    <t>Diesel_max</t>
  </si>
  <si>
    <t>Diesel_avg</t>
  </si>
  <si>
    <t>Gasoline_min</t>
  </si>
  <si>
    <t>Gasoline_max</t>
  </si>
  <si>
    <t>Gasoline_avg</t>
  </si>
  <si>
    <t>Propane_min</t>
  </si>
  <si>
    <t>Propane_max</t>
  </si>
  <si>
    <t>Propane_avg</t>
  </si>
  <si>
    <t>NonSpecialized_avg</t>
  </si>
  <si>
    <t>Specialized_avg</t>
  </si>
  <si>
    <t>Alabama</t>
  </si>
  <si>
    <t>Alaska</t>
  </si>
  <si>
    <t>Arizona</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</si>
  <si>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</si>
  <si>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</si>
  <si>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</si>
  <si>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</si>
  <si>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</si>
  <si>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</si>
  <si>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</si>
  <si>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</si>
  <si>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</si>
  <si>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</si>
  <si>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</si>
  <si>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</si>
  <si>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</si>
  <si>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</si>
  <si>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</si>
  <si>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</si>
  <si>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</si>
  <si>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</si>
  <si>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</si>
  <si>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</si>
  <si>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</si>
  <si>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</si>
  <si>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</si>
  <si>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</si>
  <si>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</si>
  <si>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</si>
  <si>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</si>
  <si>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</si>
  <si>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</si>
  <si>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</si>
  <si>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</si>
  <si>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</si>
  <si>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</si>
  <si>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</si>
  <si>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</si>
  <si>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</si>
  <si>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</si>
  <si>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</si>
  <si>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</si>
  <si>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</si>
  <si>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</si>
  <si>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</si>
  <si>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</si>
  <si>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</si>
  <si>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</si>
  <si>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</si>
  <si>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</si>
  <si>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This sheet serves as the reference for all UD entries with multiple, predefined choices for the values (type: drop)</t>
  </si>
  <si>
    <t>UD_Lookup_Name</t>
  </si>
  <si>
    <t>Choice 1</t>
  </si>
  <si>
    <t>Choice 2</t>
  </si>
  <si>
    <t>Choice 3</t>
  </si>
  <si>
    <t>Choice 4</t>
  </si>
  <si>
    <t>Choice 5</t>
  </si>
  <si>
    <t>Choice 6</t>
  </si>
  <si>
    <t>Choice 7</t>
  </si>
  <si>
    <t>Choice 8</t>
  </si>
  <si>
    <t>Choice 9</t>
  </si>
  <si>
    <t>Choice 10</t>
  </si>
  <si>
    <t>Choice 11</t>
  </si>
  <si>
    <t>Choice 12</t>
  </si>
  <si>
    <t>Choice 13</t>
  </si>
  <si>
    <t>Choice 14</t>
  </si>
  <si>
    <t>Choice 15</t>
  </si>
  <si>
    <t>Choice 16</t>
  </si>
  <si>
    <t>Choice 17</t>
  </si>
  <si>
    <t>Choice 18</t>
  </si>
  <si>
    <t>Choice 19</t>
  </si>
  <si>
    <t>Choice 20</t>
  </si>
  <si>
    <t>Choice 21</t>
  </si>
  <si>
    <t>Choice 22</t>
  </si>
  <si>
    <t>Choice 23</t>
  </si>
  <si>
    <t>Choice 24</t>
  </si>
  <si>
    <t>Choice 25</t>
  </si>
  <si>
    <t>Choice 26</t>
  </si>
  <si>
    <t>Choice 27</t>
  </si>
  <si>
    <t>Choice 28</t>
  </si>
  <si>
    <t>Choice 29</t>
  </si>
  <si>
    <t>Choice 30</t>
  </si>
  <si>
    <t>Choice 31</t>
  </si>
  <si>
    <t>Choice 32</t>
  </si>
  <si>
    <t>Choice 33</t>
  </si>
  <si>
    <t>Choice 34</t>
  </si>
  <si>
    <t>Choice 35</t>
  </si>
  <si>
    <t>Choice 36</t>
  </si>
  <si>
    <t>Choice 37</t>
  </si>
  <si>
    <t>Choice 38</t>
  </si>
  <si>
    <t>Choice 39</t>
  </si>
  <si>
    <t>Choice 40</t>
  </si>
  <si>
    <t>Choice 41</t>
  </si>
  <si>
    <t>Choice 42</t>
  </si>
  <si>
    <t>Choice 43</t>
  </si>
  <si>
    <t>Choice 44</t>
  </si>
  <si>
    <t>Choice 45</t>
  </si>
  <si>
    <t>Choice 46</t>
  </si>
  <si>
    <t>Choice 47</t>
  </si>
  <si>
    <t>Choice 48</t>
  </si>
  <si>
    <t>Choice 49</t>
  </si>
  <si>
    <t>Choice 50</t>
  </si>
  <si>
    <t>Choice 51</t>
  </si>
  <si>
    <t>Choice 52</t>
  </si>
  <si>
    <t>Choice 53</t>
  </si>
  <si>
    <t>Choice 54</t>
  </si>
  <si>
    <t>Choice 55</t>
  </si>
  <si>
    <t>Choice 56</t>
  </si>
  <si>
    <t>Choice 57</t>
  </si>
  <si>
    <t>Choice 58</t>
  </si>
  <si>
    <t>Choice 59</t>
  </si>
  <si>
    <t>Choice 60</t>
  </si>
  <si>
    <t>Choice 61</t>
  </si>
  <si>
    <t>Choice 62</t>
  </si>
  <si>
    <t>Choice 63</t>
  </si>
  <si>
    <t>Choice 64</t>
  </si>
  <si>
    <t>Choice 65</t>
  </si>
  <si>
    <t>Choice 66</t>
  </si>
  <si>
    <t>Choice 67</t>
  </si>
  <si>
    <t>Choice 68</t>
  </si>
  <si>
    <t>Choice 69</t>
  </si>
  <si>
    <t>u:state</t>
  </si>
  <si>
    <t>recharge_events:water_type_pullplug</t>
  </si>
  <si>
    <t>Recycled</t>
  </si>
  <si>
    <t>u:unit_system</t>
  </si>
  <si>
    <t>Metric</t>
  </si>
  <si>
    <t>u:env_results_type</t>
  </si>
  <si>
    <t>example:dropdown</t>
  </si>
  <si>
    <t>Pie</t>
  </si>
  <si>
    <t>Cake</t>
  </si>
  <si>
    <t>Ice Cream</t>
  </si>
  <si>
    <t>Fruit Cobbler</t>
  </si>
  <si>
    <t>crops:apply_for</t>
  </si>
  <si>
    <t>land_application:distance</t>
  </si>
  <si>
    <t>land_application:volume</t>
  </si>
  <si>
    <t>tractor:application_time</t>
  </si>
  <si>
    <t>Yes/No Question</t>
  </si>
  <si>
    <t>crops:apply_method</t>
  </si>
  <si>
    <t>Broadcast</t>
  </si>
  <si>
    <t>u:state_region</t>
  </si>
  <si>
    <t>Alabama (North Valley)</t>
  </si>
  <si>
    <t>Alabama (Appalacian Mountain)</t>
  </si>
  <si>
    <t>Alabama (Upper Plains)</t>
  </si>
  <si>
    <t>Alabama (Eastern Valley)</t>
  </si>
  <si>
    <t>Alabama (Piedmont Plateau)</t>
  </si>
  <si>
    <t>Alabama (Prairie)</t>
  </si>
  <si>
    <t>Alabama (Coastal Plain)</t>
  </si>
  <si>
    <t>Alabama (Gulf)</t>
  </si>
  <si>
    <t>Arizona (Northwest)</t>
  </si>
  <si>
    <t>Arizona (Northeast)</t>
  </si>
  <si>
    <t>Arizona (North Central)</t>
  </si>
  <si>
    <t>Arizona (East Central)</t>
  </si>
  <si>
    <t>Arizona (Southwest)</t>
  </si>
  <si>
    <t>Arizona (South Central)</t>
  </si>
  <si>
    <t>Arizona (Southeast)</t>
  </si>
  <si>
    <t>Arkansas (Northwest)</t>
  </si>
  <si>
    <t>Arkansas (North Central)</t>
  </si>
  <si>
    <t>Arkansas (Northeast)</t>
  </si>
  <si>
    <t>Arkansas (West Central)</t>
  </si>
  <si>
    <t>Arkansas (Central)</t>
  </si>
  <si>
    <t>Arkansas (East Central)</t>
  </si>
  <si>
    <t>Arkansas (Southwest)</t>
  </si>
  <si>
    <t>Arkansas (South Central)</t>
  </si>
  <si>
    <t>Arkansas (Southeast)</t>
  </si>
  <si>
    <t>California (North Coast Drainage)</t>
  </si>
  <si>
    <t>California (Sacramento Drainage)</t>
  </si>
  <si>
    <t>California (Northeast Interior Basins)</t>
  </si>
  <si>
    <t>California (Central Coast Drainage)</t>
  </si>
  <si>
    <t>California (San Jaoquin Drainage)</t>
  </si>
  <si>
    <t>California (South Coast Drainage)</t>
  </si>
  <si>
    <t>California (Southeast Desert Basin)</t>
  </si>
  <si>
    <t>Colorado (Arkansas Drainage)</t>
  </si>
  <si>
    <t>Colorado (Colorado Drainage)</t>
  </si>
  <si>
    <t>Colorado (Kansas Drainage)</t>
  </si>
  <si>
    <t>Colorado (Platte Drainage)</t>
  </si>
  <si>
    <t>Colorado (Rio Grande Drainage)</t>
  </si>
  <si>
    <t>Connecticut (Northwest)</t>
  </si>
  <si>
    <t>Connecticut (Central)</t>
  </si>
  <si>
    <t>Connecticut (Coastal)</t>
  </si>
  <si>
    <t>Delaware (Northern)</t>
  </si>
  <si>
    <t>Delaware (Southern)</t>
  </si>
  <si>
    <t>Florida (Northwest)</t>
  </si>
  <si>
    <t>Florida (North)</t>
  </si>
  <si>
    <t>Florida (North Central)</t>
  </si>
  <si>
    <t>Florida (South Central)</t>
  </si>
  <si>
    <t>Florida (Everglades and Southwest)</t>
  </si>
  <si>
    <t>Florida (Lower East Coast)</t>
  </si>
  <si>
    <t>Florida (Keys)</t>
  </si>
  <si>
    <t>Georgia (Northwest)</t>
  </si>
  <si>
    <t>Georgia (North Central)</t>
  </si>
  <si>
    <t>Georgia (Northeast)</t>
  </si>
  <si>
    <t>Georgia (West Central)</t>
  </si>
  <si>
    <t>Georgia (Central)</t>
  </si>
  <si>
    <t>Georgia (East Central)</t>
  </si>
  <si>
    <t>Georgia (Southwest)</t>
  </si>
  <si>
    <t>Georgia (South Central)</t>
  </si>
  <si>
    <t>Georgia (Southeast)</t>
  </si>
  <si>
    <t>Idaho (Panhandle)</t>
  </si>
  <si>
    <t>Idaho (North Central Prairies)</t>
  </si>
  <si>
    <t>Idaho (North Central Canyons)</t>
  </si>
  <si>
    <t>Idaho (Central Mountains)</t>
  </si>
  <si>
    <t>Idaho (Southwestern Valleys)</t>
  </si>
  <si>
    <t>Idaho (Southwestern Highlands)</t>
  </si>
  <si>
    <t>Idaho (Central Plains)</t>
  </si>
  <si>
    <t>Idaho (Northeastern Valleys)</t>
  </si>
  <si>
    <t>Idaho (Upper Snake River)</t>
  </si>
  <si>
    <t>Idaho (Eastern Highlands)</t>
  </si>
  <si>
    <t>Illinois (Northwest)</t>
  </si>
  <si>
    <t>Illinois (Northeast)</t>
  </si>
  <si>
    <t>Illinois (West)</t>
  </si>
  <si>
    <t>Illinois (Central)</t>
  </si>
  <si>
    <t>Illinois (East)</t>
  </si>
  <si>
    <t>Illinois (West Southwest)</t>
  </si>
  <si>
    <t>Illinois (East Southeast)</t>
  </si>
  <si>
    <t>Illinois (Southwest)</t>
  </si>
  <si>
    <t>Illinois (Southeast)</t>
  </si>
  <si>
    <t>Indiana (Northwest)</t>
  </si>
  <si>
    <t>Indiana (North Central)</t>
  </si>
  <si>
    <t>Indiana (Northeast)</t>
  </si>
  <si>
    <t>Indiana (West Central)</t>
  </si>
  <si>
    <t>Indiana (Central)</t>
  </si>
  <si>
    <t>Indiana (East Central)</t>
  </si>
  <si>
    <t>Indiana (Southwest)</t>
  </si>
  <si>
    <t>Indiana (South Central)</t>
  </si>
  <si>
    <t>Indiana (Southeast)</t>
  </si>
  <si>
    <t>Iowa (North Central)</t>
  </si>
  <si>
    <t>Iowa (Northeast)</t>
  </si>
  <si>
    <t>Iowa (West Central)</t>
  </si>
  <si>
    <t>Iowa (Central)</t>
  </si>
  <si>
    <t>Iowa (East Central)</t>
  </si>
  <si>
    <t>Iowa (Southwest)</t>
  </si>
  <si>
    <t>Iowa (South Central)</t>
  </si>
  <si>
    <t>Iowa (Southeast)</t>
  </si>
  <si>
    <t>Kansas (Northwest)</t>
  </si>
  <si>
    <t>Kansas (North Central)</t>
  </si>
  <si>
    <t>Kansas (Northeast)</t>
  </si>
  <si>
    <t>Kansas (West Central)</t>
  </si>
  <si>
    <t>Kansas (Central)</t>
  </si>
  <si>
    <t>Kansas (East Central)</t>
  </si>
  <si>
    <t>Kansas (Southwest)</t>
  </si>
  <si>
    <t>Kansas (South Central)</t>
  </si>
  <si>
    <t>Kansas (Southeast)</t>
  </si>
  <si>
    <t>Kentucky (Western)</t>
  </si>
  <si>
    <t>Kentucky (Central)</t>
  </si>
  <si>
    <t>Kentucky (Blue Grass)</t>
  </si>
  <si>
    <t>Kentucky (Eastern)</t>
  </si>
  <si>
    <t>Louisiana (Northwest)</t>
  </si>
  <si>
    <t>Louisiana (North Central)</t>
  </si>
  <si>
    <t>Louisiana (Northeast)</t>
  </si>
  <si>
    <t>Louisiana (West Central)</t>
  </si>
  <si>
    <t>Louisiana (Central)</t>
  </si>
  <si>
    <t>Louisiana (East Central)</t>
  </si>
  <si>
    <t>Louisiana (Southwest)</t>
  </si>
  <si>
    <t>Louisiana (South Central)</t>
  </si>
  <si>
    <t>Louisiana (Southeast)</t>
  </si>
  <si>
    <t>Maine (North)</t>
  </si>
  <si>
    <t>Maine (South Interior)</t>
  </si>
  <si>
    <t>Maine (Coastal)</t>
  </si>
  <si>
    <t>Maryland (Southeastern Shore)</t>
  </si>
  <si>
    <t>Maryland (Central Eastern Shore)</t>
  </si>
  <si>
    <t>Maryland (Lower Southern)</t>
  </si>
  <si>
    <t>Maryland (Upper Southern)</t>
  </si>
  <si>
    <t>Maryland (Northeastern Shore)</t>
  </si>
  <si>
    <t>Maryland (North Central)</t>
  </si>
  <si>
    <t>Maryland (Appalacian Mountains)</t>
  </si>
  <si>
    <t>Maryland (Alleghney Plateau)</t>
  </si>
  <si>
    <t>Massachusetts (West)</t>
  </si>
  <si>
    <t>Massachusetts (Central)</t>
  </si>
  <si>
    <t>Massachusetts (Coastal)</t>
  </si>
  <si>
    <t>Michigan (West Upper)</t>
  </si>
  <si>
    <t>Michigan (East Upper)</t>
  </si>
  <si>
    <t>Michigan (Northwest Lower)</t>
  </si>
  <si>
    <t>Michigan (Northeast Lower)</t>
  </si>
  <si>
    <t>Michigan (West Central Lower)</t>
  </si>
  <si>
    <t>Michigan (Central Lower)</t>
  </si>
  <si>
    <t>Michigan (East Central Lower)</t>
  </si>
  <si>
    <t>Michigan (Southwest Lower)</t>
  </si>
  <si>
    <t>Michigan (South Central Lower)</t>
  </si>
  <si>
    <t>Michigan (Southeast Lower)</t>
  </si>
  <si>
    <t>Minnesota (Northwest)</t>
  </si>
  <si>
    <t>Minnesota (North Central)</t>
  </si>
  <si>
    <t>Minnesota (Northeast)</t>
  </si>
  <si>
    <t>Minnesota (West Central)</t>
  </si>
  <si>
    <t>Minnesota (Central)</t>
  </si>
  <si>
    <t>Minnesota (East Central)</t>
  </si>
  <si>
    <t>Minnesota (Southwest)</t>
  </si>
  <si>
    <t>Minnesota (South Central)</t>
  </si>
  <si>
    <t>Minnesota (Southeast)</t>
  </si>
  <si>
    <t>Mississippi (Upper Delata)</t>
  </si>
  <si>
    <t>Mississippi (North Central)</t>
  </si>
  <si>
    <t>Mississippi (Northeast)</t>
  </si>
  <si>
    <t>Mississippi (Lower Delta)</t>
  </si>
  <si>
    <t>Mississippi (Central)</t>
  </si>
  <si>
    <t>Mississippi (East Central)</t>
  </si>
  <si>
    <t>Mississippi (Southwest)</t>
  </si>
  <si>
    <t>Mississippi (South Central)</t>
  </si>
  <si>
    <t>Mississippi (Southeast)</t>
  </si>
  <si>
    <t>Mississippi (Coastal)</t>
  </si>
  <si>
    <t>Missouri (Northwest Prairie)</t>
  </si>
  <si>
    <t>Missouri (Northeast Prairie)</t>
  </si>
  <si>
    <t>Missouri (West Central Plains)</t>
  </si>
  <si>
    <t>Missouri (West Ozarks)</t>
  </si>
  <si>
    <t>Missouri (East Ozarks)</t>
  </si>
  <si>
    <t>Missouri (Bootheel)</t>
  </si>
  <si>
    <t>Montana (Western)</t>
  </si>
  <si>
    <t>Montana (Southwestern)</t>
  </si>
  <si>
    <t>Montana (North Central)</t>
  </si>
  <si>
    <t>Montana (Central)</t>
  </si>
  <si>
    <t>Montana (South Central)</t>
  </si>
  <si>
    <t>Montana (Northeastern)</t>
  </si>
  <si>
    <t>Montana (Southeastern)</t>
  </si>
  <si>
    <t>Nebraska (Panhandle)</t>
  </si>
  <si>
    <t>Nebraska (North Central)</t>
  </si>
  <si>
    <t>Nebraska (Northeast)</t>
  </si>
  <si>
    <t>Nebraska (Central)</t>
  </si>
  <si>
    <t>Nebraska (East Central)</t>
  </si>
  <si>
    <t>Nebraska (Southwest)</t>
  </si>
  <si>
    <t>Nebraska (South Central)</t>
  </si>
  <si>
    <t>Nebraska (Southeast)</t>
  </si>
  <si>
    <t>Nevada (Northwestern)</t>
  </si>
  <si>
    <t>Nevada (Northeastern)</t>
  </si>
  <si>
    <t>Nevada (South Central)</t>
  </si>
  <si>
    <t>Nevada (Extreme Southern)</t>
  </si>
  <si>
    <t>New Hampshire (North)</t>
  </si>
  <si>
    <t>New Hampshire (South)</t>
  </si>
  <si>
    <t>New Jersey (Northern)</t>
  </si>
  <si>
    <t>New Jersey (Southern)</t>
  </si>
  <si>
    <t>New Jersey (Coastal)</t>
  </si>
  <si>
    <t>New Mexico (Northwestern Plateau)</t>
  </si>
  <si>
    <t>New Mexico (Northern Mountains)</t>
  </si>
  <si>
    <t>New Mexico (Northeastern Plains)</t>
  </si>
  <si>
    <t>New Mexico (Southwestern Mountains)</t>
  </si>
  <si>
    <t>New Mexico (Central Valley)</t>
  </si>
  <si>
    <t>New Mexico (Central Highlands)</t>
  </si>
  <si>
    <t>New Mexico (Southeastern Plains)</t>
  </si>
  <si>
    <t>New Mexico (Southern Desert)</t>
  </si>
  <si>
    <t>New York (Western Plateau)</t>
  </si>
  <si>
    <t>New York (Eastern Plateau)</t>
  </si>
  <si>
    <t>New York (Northern Plateau)</t>
  </si>
  <si>
    <t>New York (Coastal)</t>
  </si>
  <si>
    <t>New York (Hudson Valley)</t>
  </si>
  <si>
    <t>New York (Mohawk Valley)</t>
  </si>
  <si>
    <t>New York (Champlain Valley)</t>
  </si>
  <si>
    <t>New York (St. Lawrence Valley)</t>
  </si>
  <si>
    <t>New York (Great Lakes)</t>
  </si>
  <si>
    <t>New York (Central Lakes)</t>
  </si>
  <si>
    <t>North Carolina (Southern Mountains)</t>
  </si>
  <si>
    <t>North Carolina (Northern Mountains)</t>
  </si>
  <si>
    <t>North Carolina (Northern Piedmont)</t>
  </si>
  <si>
    <t>North Carolina (Central Piedmont)</t>
  </si>
  <si>
    <t>North Carolina (Southern Piedmont)</t>
  </si>
  <si>
    <t>North Carolina (Southern Coastal Plain)</t>
  </si>
  <si>
    <t>North Carolina (Central Coastal Plain)</t>
  </si>
  <si>
    <t>North Carolina (Northern Coastal Plain)</t>
  </si>
  <si>
    <t>North Dakota (Northwest)</t>
  </si>
  <si>
    <t>North Dakota (North Central)</t>
  </si>
  <si>
    <t>North Dakota (Northeast)</t>
  </si>
  <si>
    <t>North Dakota (West Central)</t>
  </si>
  <si>
    <t>North Dakota (Central)</t>
  </si>
  <si>
    <t>North Dakota (East Central)</t>
  </si>
  <si>
    <t>North Dakota (Southwest)</t>
  </si>
  <si>
    <t>North Dakota (South Central)</t>
  </si>
  <si>
    <t>North Dakota (Southeast)</t>
  </si>
  <si>
    <t>Ohio (Northwest)</t>
  </si>
  <si>
    <t>Ohio (North Central)</t>
  </si>
  <si>
    <t>Ohio (Northeast)</t>
  </si>
  <si>
    <t>Ohio (West Central)</t>
  </si>
  <si>
    <t>Ohio (Central)</t>
  </si>
  <si>
    <t>Ohio (Central Hills)</t>
  </si>
  <si>
    <t>Ohio (Northeast Hills)</t>
  </si>
  <si>
    <t>Ohio (Southwest)</t>
  </si>
  <si>
    <t>Ohio (South Central)</t>
  </si>
  <si>
    <t>Ohio (Southeast)</t>
  </si>
  <si>
    <t>Oklahoma (Panhandle)</t>
  </si>
  <si>
    <t>Oklahoma (North Central)</t>
  </si>
  <si>
    <t>Oklahoma (Northeast)</t>
  </si>
  <si>
    <t>Oklahoma (West Central)</t>
  </si>
  <si>
    <t>Oklahoma (Central)</t>
  </si>
  <si>
    <t>Oklahoma (East Central)</t>
  </si>
  <si>
    <t>Oklahoma (Southwest)</t>
  </si>
  <si>
    <t>Oklahoma (South Central)</t>
  </si>
  <si>
    <t>Oklahoma (Southeast)</t>
  </si>
  <si>
    <t>Oregon (Coastal Area)</t>
  </si>
  <si>
    <t>Oregon (Willamette Valley)</t>
  </si>
  <si>
    <t>Oregon (Southwestern Valleys)</t>
  </si>
  <si>
    <t>Oregon (Northernern Cascades)</t>
  </si>
  <si>
    <t>Oregon (High Plateau)</t>
  </si>
  <si>
    <t>Oregon (North Central)</t>
  </si>
  <si>
    <t>Oregon (South Central)</t>
  </si>
  <si>
    <t>Oregon (Northeast)</t>
  </si>
  <si>
    <t>Oregon (Southeast)</t>
  </si>
  <si>
    <t>Pennsylvania (Pocono Mountains)</t>
  </si>
  <si>
    <t>Pennsylvania (East Central Mountains)</t>
  </si>
  <si>
    <t>Pennsylvania (Southeastern Piedmont)</t>
  </si>
  <si>
    <t>Pennsylvania (Lower Susquehanna)</t>
  </si>
  <si>
    <t>Pennsylvania (Middle Susquehanna)</t>
  </si>
  <si>
    <t>Pennsylvania (Upper Susquehanna)</t>
  </si>
  <si>
    <t>Pennsylvania (Central Mountains)</t>
  </si>
  <si>
    <t>Pennsylvania (South Central Mountains)</t>
  </si>
  <si>
    <t>Pennsylvania (Southwest Plateau)</t>
  </si>
  <si>
    <t>Pennsylvania (Northwest Plateau)</t>
  </si>
  <si>
    <t>Rhode Island (Rhode Island)</t>
  </si>
  <si>
    <t>South Carolina (Mountain)</t>
  </si>
  <si>
    <t>South Carolina (Northwest)</t>
  </si>
  <si>
    <t>South Carolina (North Central)</t>
  </si>
  <si>
    <t>South Carolina (Northeast)</t>
  </si>
  <si>
    <t>South Carolina (West Central)</t>
  </si>
  <si>
    <t>South Carolina (Central)</t>
  </si>
  <si>
    <t>South Carolina (Southern)</t>
  </si>
  <si>
    <t>South Dakota (Northwest)</t>
  </si>
  <si>
    <t>South Dakota (North Central)</t>
  </si>
  <si>
    <t>South Dakota (Northeast)</t>
  </si>
  <si>
    <t>South Dakota (Black Hills)</t>
  </si>
  <si>
    <t>South Dakota (Southwest)</t>
  </si>
  <si>
    <t>South Dakota (Central)</t>
  </si>
  <si>
    <t>South Dakota (East Central)</t>
  </si>
  <si>
    <t>South Dakota (South Central)</t>
  </si>
  <si>
    <t>South Dakota (Southeast)</t>
  </si>
  <si>
    <t>Tennessee (Eastern)</t>
  </si>
  <si>
    <t>Tennessee (Cumberland Plateau)</t>
  </si>
  <si>
    <t>Tennessee (Middle)</t>
  </si>
  <si>
    <t>Tennessee (Western)</t>
  </si>
  <si>
    <t>Texas (High Plains)</t>
  </si>
  <si>
    <t>Texas (Low Rolling Plains)</t>
  </si>
  <si>
    <t>Texas (North Central)</t>
  </si>
  <si>
    <t>Texas (East Texas)</t>
  </si>
  <si>
    <t>Texas (Trans Pecos)</t>
  </si>
  <si>
    <t>Texas (Edwards Plateau)</t>
  </si>
  <si>
    <t>Texas (South Central)</t>
  </si>
  <si>
    <t>Texas (Upper Coast)</t>
  </si>
  <si>
    <t>Texas (South)</t>
  </si>
  <si>
    <t>Texas (Lower Valley)</t>
  </si>
  <si>
    <t>Utah (Western)</t>
  </si>
  <si>
    <t>Utah (Dixie)</t>
  </si>
  <si>
    <t>Utah (North Central)</t>
  </si>
  <si>
    <t>Utah (South Central)</t>
  </si>
  <si>
    <t>Utah (Northern Mountains)</t>
  </si>
  <si>
    <t>Utah (Uinta Basin)</t>
  </si>
  <si>
    <t>Utah (Southeast)</t>
  </si>
  <si>
    <t>Vermont (Northeastern)</t>
  </si>
  <si>
    <t>Vermont (Western)</t>
  </si>
  <si>
    <t>Vermont (Southeastern)</t>
  </si>
  <si>
    <t>Virginia (Tidewater)</t>
  </si>
  <si>
    <t>Virginia (Eastern Piedmont)</t>
  </si>
  <si>
    <t>Virginia (Western Piedmont)</t>
  </si>
  <si>
    <t>Virginia (Northern)</t>
  </si>
  <si>
    <t>Virginia (Central Mountain)</t>
  </si>
  <si>
    <t>Virginia (Southwestern Mountain)</t>
  </si>
  <si>
    <t>Washington (West Olympic Coast)</t>
  </si>
  <si>
    <t>Washington (North East Olympic)</t>
  </si>
  <si>
    <t>Washington (Puget Sound Lowlands)</t>
  </si>
  <si>
    <t>Washington (East Olympic Cascade)</t>
  </si>
  <si>
    <t>Washington (Cascade Mountains West)</t>
  </si>
  <si>
    <t>Washington (East Slope Cascades)</t>
  </si>
  <si>
    <t>Washington (Okanogan Big Bend)</t>
  </si>
  <si>
    <t>Washington (Central Basin)</t>
  </si>
  <si>
    <t>Washington (Northeastern)</t>
  </si>
  <si>
    <t>Washington (Plouse Blue Mountains)</t>
  </si>
  <si>
    <t>West Virginia (Northwestern)</t>
  </si>
  <si>
    <t>West Virginia (North Central)</t>
  </si>
  <si>
    <t>West Virginia (Southwestern)</t>
  </si>
  <si>
    <t>West Virginia (Central)</t>
  </si>
  <si>
    <t>West Virginia (Southern)</t>
  </si>
  <si>
    <t>West Virginia (Northeastern)</t>
  </si>
  <si>
    <t>Wisconsin (Northwest)</t>
  </si>
  <si>
    <t>Wisconsin (North Central)</t>
  </si>
  <si>
    <t>Wisconsin (Northeast)</t>
  </si>
  <si>
    <t>Wisconsin (West Central)</t>
  </si>
  <si>
    <t>Wisconsin (Central)</t>
  </si>
  <si>
    <t>Wisconsin (East Central)</t>
  </si>
  <si>
    <t>Wisconsin (Southwest)</t>
  </si>
  <si>
    <t>Wisconsin (South Central)</t>
  </si>
  <si>
    <t>Wisconsin (Southeast)</t>
  </si>
  <si>
    <t>Wyoming (Yellowstone Drainage)</t>
  </si>
  <si>
    <t>Wyoming (Snake Drainage)</t>
  </si>
  <si>
    <t>Wyoming (Green and Bear Drainage)</t>
  </si>
  <si>
    <t>Wyoming (Big Horn)</t>
  </si>
  <si>
    <t>Wyoming (Powder, Little Mo &amp; Tongue Drainages)</t>
  </si>
  <si>
    <t>Wyoming (Belle Fourche Drainage)</t>
  </si>
  <si>
    <t>Wyoming (Cheyenne Niobrara Drainage)</t>
  </si>
  <si>
    <t>Wyoming (Lower Platte)</t>
  </si>
  <si>
    <t>Wyoming (Wind River)</t>
  </si>
  <si>
    <t>Wyoming (Upper Platte)</t>
  </si>
  <si>
    <t>econ_manure:export_concern</t>
  </si>
  <si>
    <t>Annual Average</t>
  </si>
  <si>
    <t>DROPS.storage_tank.agi_type</t>
  </si>
  <si>
    <t>double</t>
  </si>
  <si>
    <t>quadruple</t>
  </si>
  <si>
    <t>u.state_climate_zone</t>
  </si>
  <si>
    <t>CoolTempMoist</t>
  </si>
  <si>
    <t>CoolTempDry</t>
  </si>
  <si>
    <t>BorealMoist</t>
  </si>
  <si>
    <t>BorealDry</t>
  </si>
  <si>
    <t>WarmTempMoist</t>
  </si>
  <si>
    <t>WarmTempDry</t>
  </si>
  <si>
    <t>TropMontane</t>
  </si>
  <si>
    <t>TropWet</t>
  </si>
  <si>
    <t>TropMoist</t>
  </si>
  <si>
    <t>TropDry</t>
  </si>
  <si>
    <t>All references tables can go in this sheet</t>
  </si>
  <si>
    <t>HP Lookup for land_application:power variable based on volume</t>
  </si>
  <si>
    <t>State_abbreviation</t>
  </si>
  <si>
    <t>HP</t>
  </si>
  <si>
    <t>AL</t>
  </si>
  <si>
    <t>AK</t>
  </si>
  <si>
    <t>AZ</t>
  </si>
  <si>
    <t>AR</t>
  </si>
  <si>
    <t>CA</t>
  </si>
  <si>
    <t>CO</t>
  </si>
  <si>
    <t>CN</t>
  </si>
  <si>
    <t>DE</t>
  </si>
  <si>
    <t>DC</t>
  </si>
  <si>
    <t>FL</t>
  </si>
  <si>
    <t>GA</t>
  </si>
  <si>
    <t>HI</t>
  </si>
  <si>
    <t>ID</t>
  </si>
  <si>
    <t>IL</t>
  </si>
  <si>
    <t>IN</t>
  </si>
  <si>
    <t>IA</t>
  </si>
  <si>
    <t>KS</t>
  </si>
  <si>
    <t>KY</t>
  </si>
  <si>
    <t>LA</t>
  </si>
  <si>
    <t>ME</t>
  </si>
  <si>
    <t>MD</t>
  </si>
  <si>
    <t>MA</t>
  </si>
  <si>
    <t>MI</t>
  </si>
  <si>
    <t>MN</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</si>
  <si>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</si>
  <si>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</si>
  <si>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</si>
  <si>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</si>
  <si>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</si>
  <si>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</si>
  <si>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</si>
  <si>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</si>
  <si>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</si>
  <si>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</si>
  <si>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</si>
  <si>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</si>
  <si>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</si>
  <si>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</si>
  <si>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</si>
  <si>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</si>
  <si>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</si>
  <si>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</si>
  <si>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</si>
  <si>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</si>
  <si>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</si>
  <si>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</si>
  <si>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</si>
  <si>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</si>
  <si>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</si>
  <si>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</si>
  <si>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TYPE OF PRODUCER</t>
  </si>
  <si>
    <t>ENERGY SOURCE</t>
  </si>
  <si>
    <t>GENERATION (Megawatthours)</t>
  </si>
  <si>
    <t>CO2
(Metric Tons)</t>
  </si>
  <si>
    <t>SO2
(Metric Tons)</t>
  </si>
  <si>
    <t>NOx
(Metric Tons)</t>
  </si>
  <si>
    <t>KEY</t>
  </si>
  <si>
    <t>kg CO2 / kWh</t>
  </si>
  <si>
    <t>kg NOx / kWh</t>
  </si>
  <si>
    <t>kg SO2 / kWh</t>
  </si>
  <si>
    <t>Current state</t>
  </si>
  <si>
    <t>Energy for all states</t>
  </si>
  <si>
    <t>YEAR</t>
  </si>
  <si>
    <t>STATE</t>
  </si>
  <si>
    <t>Total Electric Power Industry</t>
  </si>
  <si>
    <t>Industry</t>
  </si>
  <si>
    <t>AK-Industry</t>
  </si>
  <si>
    <t>AL-Industry</t>
  </si>
  <si>
    <t>AR-Industry</t>
  </si>
  <si>
    <t>AZ-Industry</t>
  </si>
  <si>
    <t>CA-Industry</t>
  </si>
  <si>
    <t>CO-Industry</t>
  </si>
  <si>
    <t>CT</t>
  </si>
  <si>
    <t>CT-Industry</t>
  </si>
  <si>
    <t>DC-Industry</t>
  </si>
  <si>
    <t>DE-Industry</t>
  </si>
  <si>
    <t>FL-Industry</t>
  </si>
  <si>
    <t>GA-Industry</t>
  </si>
  <si>
    <t>HI-Industry</t>
  </si>
  <si>
    <t>IA-Industry</t>
  </si>
  <si>
    <t>ID-Industry</t>
  </si>
  <si>
    <t>IL-Industry</t>
  </si>
  <si>
    <t>IN-Industry</t>
  </si>
  <si>
    <t>KS-Industry</t>
  </si>
  <si>
    <t>KY-Industry</t>
  </si>
  <si>
    <t>LA-Industry</t>
  </si>
  <si>
    <t>MA-Industry</t>
  </si>
  <si>
    <t>MD-Industry</t>
  </si>
  <si>
    <t>ME-Industry</t>
  </si>
  <si>
    <t>MI-Industry</t>
  </si>
  <si>
    <t>MN-Industry</t>
  </si>
  <si>
    <t>MO-Industry</t>
  </si>
  <si>
    <t>MS-Industry</t>
  </si>
  <si>
    <t>MT-Industry</t>
  </si>
  <si>
    <t>NC-Industry</t>
  </si>
  <si>
    <t>ND-Industry</t>
  </si>
  <si>
    <t>NE-Industry</t>
  </si>
  <si>
    <t>NH-Industry</t>
  </si>
  <si>
    <t>NJ-Industry</t>
  </si>
  <si>
    <t>NM-Industry</t>
  </si>
  <si>
    <t>NV-Industry</t>
  </si>
  <si>
    <t>NY-Industry</t>
  </si>
  <si>
    <t>OH-Industry</t>
  </si>
  <si>
    <t>OK-Industry</t>
  </si>
  <si>
    <t>OR-Industry</t>
  </si>
  <si>
    <t>PA-Industry</t>
  </si>
  <si>
    <t>RI-Industry</t>
  </si>
  <si>
    <t>SC-Industry</t>
  </si>
  <si>
    <t>SD-Industry</t>
  </si>
  <si>
    <t>TN-Industry</t>
  </si>
  <si>
    <t>TX-Industry</t>
  </si>
  <si>
    <t>US-TOTAL</t>
  </si>
  <si>
    <t>US-TOTAL-Industry</t>
  </si>
  <si>
    <t>UT-Industry</t>
  </si>
  <si>
    <t>VA-Industry</t>
  </si>
  <si>
    <t>VT-Industry</t>
  </si>
  <si>
    <t>WA-Industry</t>
  </si>
  <si>
    <t>WI-Industry</t>
  </si>
  <si>
    <t>WV-Industry</t>
  </si>
  <si>
    <t>WY-Industry</t>
  </si>
  <si>
    <t>Chosen State</t>
  </si>
  <si>
    <t>25y24h</t>
  </si>
  <si>
    <t>Annual</t>
  </si>
  <si>
    <t>Evap</t>
  </si>
  <si>
    <t>Cooling</t>
  </si>
  <si>
    <t>Zone</t>
  </si>
  <si>
    <t>Match</t>
  </si>
  <si>
    <t>VSLR_CD</t>
  </si>
  <si>
    <t>MIN_HRT</t>
  </si>
  <si>
    <t>VSLR_SL</t>
  </si>
  <si>
    <t>Map scale</t>
  </si>
  <si>
    <t>Annual precip normals data from: https://ncei-normals-mapper.rcc-acis.org/</t>
  </si>
  <si>
    <t>Data is sourced from NCEI (National Centers for Environmental Information)</t>
  </si>
  <si>
    <t>Alaska rainfall: https://akclimate.org/data/precipitation-normals/</t>
  </si>
  <si>
    <t>Hawaii rainfall: Giambelluca, T.W., Q. Chen, A.G. Frazier, J.P. Price, Y.-L. Chen, P.-S. Chu, J.K. Eischeid, and D.M. Delparte, 2013: Online Rainfall Atlas of Hawai‘i. Bull. Amer. Meteor. Soc. 94, 313-316, doi: 10.1175/BAMS-D-11-00228.1.</t>
  </si>
  <si>
    <t>25 year 24 hour storms are sourced from NOAA Atlas 14 Precipitation Frequency Data Server</t>
  </si>
  <si>
    <t>The interactive website was used. Attempts were made to click the corresponding location of each state, although it is possible that some states have wide ranging values within a small area due to geographical features such as mountains.</t>
  </si>
  <si>
    <t>Washington, Oregon, Idaho, Montana, and Wyoming data was from Atlas 2. There was not data on PFDS as of retrieval time in May 2024.</t>
  </si>
  <si>
    <t>I cannot emphasize enough that these are all rough estimates!!! For better estimates, the user should use the PFDS themselves and click on or near their exact location.</t>
  </si>
  <si>
    <t>Values can vary so much with even slight differences in location and its not always clear where in a state each region begins and ends. If someone is in the northern part of their state, does Northwest, Central, or Northeast represent them the best? Because I can't decide for them!</t>
  </si>
  <si>
    <t>Link: https://toolkit.climate.gov/dashboard-noaa-atlas-14-precipitation-frequency-data-server</t>
  </si>
  <si>
    <t>Based on NRCS conservation practice 366 figure 1 and 2</t>
  </si>
  <si>
    <t>Based on AWMFH Ch 10 Figure 10-27</t>
  </si>
  <si>
    <t>Rainfall table</t>
  </si>
  <si>
    <t>Rainfall and evaporation in inches</t>
  </si>
  <si>
    <t>Covered earthen digester or lagoon</t>
  </si>
  <si>
    <t>Anaerobic storage lagoon</t>
  </si>
  <si>
    <t>State_Region</t>
  </si>
  <si>
    <t>Old_Evap</t>
  </si>
  <si>
    <t>Cooling_Days</t>
  </si>
  <si>
    <t>Div_ID</t>
  </si>
  <si>
    <t>New_Evap</t>
  </si>
  <si>
    <t>Climate_Zone_MCF</t>
  </si>
  <si>
    <t>CD</t>
  </si>
  <si>
    <t>Evap_Yearly</t>
  </si>
  <si>
    <t>State_Name</t>
  </si>
  <si>
    <t>Demopolis Lock and Dam NWS 34</t>
  </si>
  <si>
    <t>Martin Dam NWS 34</t>
  </si>
  <si>
    <t>Fairhope NWS 34</t>
  </si>
  <si>
    <t>Davis Dam 2 NWS 34</t>
  </si>
  <si>
    <t>Hawley Lake (Hawley) NWS 34</t>
  </si>
  <si>
    <t>Bartlette Dam WRCC</t>
  </si>
  <si>
    <t>Yuma Citrus Station NWS 34</t>
  </si>
  <si>
    <t>Nogales 2 N NWS 34</t>
  </si>
  <si>
    <t>Blakely Mountain Dam NWS 34May to Oct</t>
  </si>
  <si>
    <t>Mountain Home, CE NWS 34 May to Oct</t>
  </si>
  <si>
    <t>Narrows Dam NWS 34</t>
  </si>
  <si>
    <t>Russellville (Russellville 4 N) NWS 34</t>
  </si>
  <si>
    <t>Stuttgart 9 ESE NWS 34</t>
  </si>
  <si>
    <t>Hope 3 NE (Hope) NWS 34</t>
  </si>
  <si>
    <t>Whiskeytown Reservoir WRCC</t>
  </si>
  <si>
    <t>Chico Experiment Station WRCC</t>
  </si>
  <si>
    <t>Tahoe WRCC</t>
  </si>
  <si>
    <t>Nacimiento Dam WRCC</t>
  </si>
  <si>
    <t>San Luis Dam WRCC</t>
  </si>
  <si>
    <t>Chula Vista WRCC</t>
  </si>
  <si>
    <t>Mojave WRCC</t>
  </si>
  <si>
    <t>Alamosa WSP AP WRCC</t>
  </si>
  <si>
    <t>MONTROSE 1   WRCC</t>
  </si>
  <si>
    <t xml:space="preserve">AKRON 4 E  WRCC </t>
  </si>
  <si>
    <t>SPRINGFIELD 7 WSW WRCC</t>
  </si>
  <si>
    <t>ARBOLES WRCC</t>
  </si>
  <si>
    <t>Norfolk NWS 34 May to Oct</t>
  </si>
  <si>
    <t>Coventry Other season</t>
  </si>
  <si>
    <t>Newark University Farm NWS 34 other season</t>
  </si>
  <si>
    <t>Georgetown NWS 34 May to Oct</t>
  </si>
  <si>
    <t>Woodruff Dam NWS 34</t>
  </si>
  <si>
    <t>Gainesville 2 WSW NWS 34</t>
  </si>
  <si>
    <t>Lisbon NWS 34</t>
  </si>
  <si>
    <t>Lake Alfred NWS 34</t>
  </si>
  <si>
    <t>Moore Haven Lock No. 1 NWS 34</t>
  </si>
  <si>
    <t>Ft. Lauderdale Exp Sta NWS 34</t>
  </si>
  <si>
    <t>Rome WSO AP (Rome) NWS 34</t>
  </si>
  <si>
    <t>Athens College of Agric NWS 34</t>
  </si>
  <si>
    <t>Experiment NWS 34</t>
  </si>
  <si>
    <t>Aily  NWS 34</t>
  </si>
  <si>
    <t>Savannah WSO AP NWS 34</t>
  </si>
  <si>
    <t>Tifton Exp Sta (Tifton) NWS 34</t>
  </si>
  <si>
    <t>Sandpoint WRCC</t>
  </si>
  <si>
    <t>Moscow Idaho WRCC</t>
  </si>
  <si>
    <t>Arrowrock Dam WRCC</t>
  </si>
  <si>
    <t>Parma Experiment Station WRCC</t>
  </si>
  <si>
    <t>Twin Falls WRCC</t>
  </si>
  <si>
    <t>Minidoka Dam WRCC</t>
  </si>
  <si>
    <t>Mackay WRCC</t>
  </si>
  <si>
    <t>Aberdeen Experiment Station Data WRCC</t>
  </si>
  <si>
    <t>Blackfoot Dam WRCC</t>
  </si>
  <si>
    <t>Springfield WSO AP NWS 34 May to Oct</t>
  </si>
  <si>
    <t>Carlyle Reservoir NWS 34 May to Oct</t>
  </si>
  <si>
    <t>Hennepin Power Plant NWS 34 May to Oct</t>
  </si>
  <si>
    <t>Urbana NWS 34 May to Oct</t>
  </si>
  <si>
    <t>Valparaiso Waterworks NWS 34 May to Oct</t>
  </si>
  <si>
    <t>Culver Exp Farm NWS 34 May to Oct</t>
  </si>
  <si>
    <t>Rendallville NWS 34 May to Oct</t>
  </si>
  <si>
    <t>W. Lafayette 61111  NWS 34 May to Oct</t>
  </si>
  <si>
    <t>Oaklandon Geist Reservoir (Indianapolis) NWS 34 May to Oct</t>
  </si>
  <si>
    <t>Dubois S Ind Forage Farm NWS 34 May to Oct</t>
  </si>
  <si>
    <t>Milan Waterworks (Milan)  NWS 34 May to Oct</t>
  </si>
  <si>
    <t>Cherokee NWS 34 May to Oct</t>
  </si>
  <si>
    <t>Dubuque WSO AP NWS 34 May to Oct</t>
  </si>
  <si>
    <t>Castana Exp Farm (Castana 4E) NWS 34 May to Oct</t>
  </si>
  <si>
    <t>Ames 8 WSW NWS 34 May to Oct</t>
  </si>
  <si>
    <t>Shenandoah 1 NE NWS 34 May to Oct</t>
  </si>
  <si>
    <t>Burlington Radio KBUR NWS 34 May to Oct</t>
  </si>
  <si>
    <t>Colby 1 SW NWS 34 May to Oct</t>
  </si>
  <si>
    <t>Glen Elder Dam NWS 34 May to Oct</t>
  </si>
  <si>
    <t>Manhattan Agronomy Farm NWS 34 May to Oct</t>
  </si>
  <si>
    <t>Tribune 1 W (Tribune) NWS 34 May to Oct</t>
  </si>
  <si>
    <t>Cedar Bluff Dam' NWS 34 May to Oct</t>
  </si>
  <si>
    <t>Council Grove Dam  NWS 34 May to Oct</t>
  </si>
  <si>
    <t>Garden City Exp Sta  NWS 34 May to Oct</t>
  </si>
  <si>
    <t>Wichita NWS 34 May to Oct</t>
  </si>
  <si>
    <t>Elk City Daa NWS 34 May to Oct</t>
  </si>
  <si>
    <t>Esdsville (Lock 21)  NWS 34 May to Oct</t>
  </si>
  <si>
    <t>Wolf Creek Dam NWS 34</t>
  </si>
  <si>
    <t>Dix Dam NWS 34 May to Oct</t>
  </si>
  <si>
    <t>Buckhorn Lake NWS 34 May to Oct</t>
  </si>
  <si>
    <t>Shreveport WB Airport NWS 34</t>
  </si>
  <si>
    <t xml:space="preserve">Alexandria WB Airport NWS 34 </t>
  </si>
  <si>
    <t xml:space="preserve">Baton Rouge WB Airport NWS 34 </t>
  </si>
  <si>
    <t xml:space="preserve">Lake Charles WB Airport NWS 34 </t>
  </si>
  <si>
    <t xml:space="preserve">New Orleans WB Moisant NWS 34 </t>
  </si>
  <si>
    <t>Caribou WSO AP NWS 34 May to Oct</t>
  </si>
  <si>
    <t>New Gloucester NWS 34 Other season</t>
  </si>
  <si>
    <t>Upper Marlboro 3 NNW NWS 34 May to Oct</t>
  </si>
  <si>
    <t>Beltsville NWS 34 May to Oct</t>
  </si>
  <si>
    <t>Savage River Dam NWS 34 May to Oct</t>
  </si>
  <si>
    <t>Rochester  NWS 34 May to Oct</t>
  </si>
  <si>
    <t>Germfask Wildlife Refuge NWS 34 May to Oct</t>
  </si>
  <si>
    <t>Lake City Exp Farm NWS 34 May to Oct</t>
  </si>
  <si>
    <t>East Lansing NWS 34 May to Oct</t>
  </si>
  <si>
    <t>Lupton 1 SW NWS 34 May to Oct</t>
  </si>
  <si>
    <t>South Haven Exp Farm NWS 34 May to Oct</t>
  </si>
  <si>
    <t>Dearborn NWS 34 May to Oct</t>
  </si>
  <si>
    <t>Hoyt Lakes 5 N NWS 34 May to Oct</t>
  </si>
  <si>
    <t>Lamberton SW Exp NWS 34 May to Oct</t>
  </si>
  <si>
    <t>Waseca Exp Sta NWS 34 Other season</t>
  </si>
  <si>
    <t>Tunica 2  NWS 34 May to Oct</t>
  </si>
  <si>
    <t>State University NWS 34</t>
  </si>
  <si>
    <t>Scott NWS 34</t>
  </si>
  <si>
    <t>Spickard 7 W NWS 34 May to Oct</t>
  </si>
  <si>
    <t>Weldon Springs  NWS 34 May to Oct</t>
  </si>
  <si>
    <t>Columbia (University) NWS 34 May to Oct</t>
  </si>
  <si>
    <t>Pomme De Terre Dam NWS 34 May to Oct</t>
  </si>
  <si>
    <t>St. Louis (Washington U) NWS 34 May to Oct</t>
  </si>
  <si>
    <t>Hungry Horse Dam NWS 34 May to Oct</t>
  </si>
  <si>
    <t>Dillon WMCE NWS 34 May to Oct</t>
  </si>
  <si>
    <t>Tiber Dam NWS 34 May to Oct</t>
  </si>
  <si>
    <t>Moccasin Exp Sta NWS 34 Other season</t>
  </si>
  <si>
    <t>Yellowtail Dam  NWS 34 May to Oct</t>
  </si>
  <si>
    <t>Sherbourne Lake  NWS 34 Other season</t>
  </si>
  <si>
    <t>Sidney NWS 34 May to Oct</t>
  </si>
  <si>
    <t>Box Butte Experiment Station NWS 34 May to Oct</t>
  </si>
  <si>
    <t>Valentine Lakes Game NWS 34 May to Oct</t>
  </si>
  <si>
    <t>Gavins Point Dam NWS 34 May to Oct</t>
  </si>
  <si>
    <t>Kingsley Dam  NWS 34 May to Oct</t>
  </si>
  <si>
    <t>Lincoln Agron Farm  NWS 34 May to Oct</t>
  </si>
  <si>
    <t>Trenton Dam  NWS 34 May to Oct</t>
  </si>
  <si>
    <t>Harlan Co Lake (or Dam)  NWS 34 May to Oct</t>
  </si>
  <si>
    <t>Lahontan Dam NWS 34 May to Oct</t>
  </si>
  <si>
    <t>Ruby Lake NWS 34 May to Oct</t>
  </si>
  <si>
    <t>Central Nev Field Lab NWS 34 May to Oct</t>
  </si>
  <si>
    <t xml:space="preserve">Boulder City NWS 34 </t>
  </si>
  <si>
    <t>Lakeport 2  NWS 34 May to Oct</t>
  </si>
  <si>
    <t>Hassabesic Lake  NWS 34 May to Oct</t>
  </si>
  <si>
    <t>Canoe Brook   NWS 34 May to Oct</t>
  </si>
  <si>
    <t>Pleasantville   NWS 34 May to Oct  (Southern - Coastal)</t>
  </si>
  <si>
    <t>Pleasantville   NWS 34 May to Oct (Southern - Coastal)</t>
  </si>
  <si>
    <t>Navajo Dam  NWS 34 May to Oct</t>
  </si>
  <si>
    <t>El Vado Dam  NWS 34 May to Oct</t>
  </si>
  <si>
    <t>Ute Dam  NWS 34 May to Oct</t>
  </si>
  <si>
    <t>Animas  NWS 34 May to Oct</t>
  </si>
  <si>
    <t>Bosque del Apache NWS 34</t>
  </si>
  <si>
    <t>Lake Avalon NWS 34</t>
  </si>
  <si>
    <t>Caballo Dam NWS 34</t>
  </si>
  <si>
    <t>Aurora Research Farm  NWS 34 May to Oct</t>
  </si>
  <si>
    <t>Downesville Dam  NWS 34 May to Oct</t>
  </si>
  <si>
    <t>Greenport Power House  NWS 34 May to Oct</t>
  </si>
  <si>
    <t>New York Central Park  NWS 34 May to Oct</t>
  </si>
  <si>
    <t>Boonville 2 SSW  NWS 34 May to Oct</t>
  </si>
  <si>
    <t>Canton 4 SE (or 3 SE)  NWS 34 May to Oct</t>
  </si>
  <si>
    <t>Lockport 4 NE   NWS 34 May to Oct</t>
  </si>
  <si>
    <t>Cataloochee  NWS 34 May to Oct</t>
  </si>
  <si>
    <t>W. Kerr Scott Reservoir  NWS 34 May to Oct</t>
  </si>
  <si>
    <t xml:space="preserve">Chapel Hill 2 W (Chapel Hill)  NWS 34 </t>
  </si>
  <si>
    <t xml:space="preserve">Lumberton 6 NW   NWS 34 </t>
  </si>
  <si>
    <t xml:space="preserve">Kaysville, (Hoffman Forest)  NWS 34 </t>
  </si>
  <si>
    <t>Williston  NWS 34 May to Oct</t>
  </si>
  <si>
    <t>Riverdale  NWS 34 May to Oct</t>
  </si>
  <si>
    <t>Devils Lake KDLR  NWS 34 May to Oct</t>
  </si>
  <si>
    <t>Carrington 4 N  NWS 34 May to Oct</t>
  </si>
  <si>
    <t>Fargo WSO AP  NWS 34 May to Oct</t>
  </si>
  <si>
    <t>Edgeley Exp Farm  NWS 34 Other season</t>
  </si>
  <si>
    <t>Charles Mill Lake NWS 34 May to Oct</t>
  </si>
  <si>
    <t>Wooster Experimental Station NWS 34 May to Oct</t>
  </si>
  <si>
    <t>Dayton NWS 34 May to Oct</t>
  </si>
  <si>
    <t>Columbus NWS 34 May to Oct</t>
  </si>
  <si>
    <t>Tom Jenkins Lake NWS 34 May to Oct</t>
  </si>
  <si>
    <t>Deer Creek NWS 34 May to Oct</t>
  </si>
  <si>
    <t>Coshocton Agricultural Research Station NWS 34 May to Oct</t>
  </si>
  <si>
    <t>Fort Supply Dam NWS 34 May to Oct</t>
  </si>
  <si>
    <t>Great Salt Plains Dam NWS 34 May to Oct</t>
  </si>
  <si>
    <t>Oologah Dam NWS 34 May to Oct</t>
  </si>
  <si>
    <t xml:space="preserve">Canton Dam NWS 34 </t>
  </si>
  <si>
    <t>Norman University NWS 34 May to Oct</t>
  </si>
  <si>
    <t>Keystone Dam NWS 34 May to Oct</t>
  </si>
  <si>
    <t>Altus Dam NWS 34 May to Oct</t>
  </si>
  <si>
    <t>Atoka Dam NWS 34 May to Oct</t>
  </si>
  <si>
    <t xml:space="preserve">Wister Dam NWS 34 </t>
  </si>
  <si>
    <t xml:space="preserve">Astor Exp Station NWS 34 </t>
  </si>
  <si>
    <t>Corvalis State College NWS 34 May to Oct</t>
  </si>
  <si>
    <t xml:space="preserve">Medford Exp Station NWS 34 </t>
  </si>
  <si>
    <t>Detroit Dam NWS 34 May to Oct</t>
  </si>
  <si>
    <t>Wickiup Dam NWS 34 May to Oct</t>
  </si>
  <si>
    <t>Moro NWS 34 May to Oct</t>
  </si>
  <si>
    <t>Summer Lake 1 s NWS 34 May to Oct</t>
  </si>
  <si>
    <t>Malheur Branch Exp Station NWS 34 May to Oct</t>
  </si>
  <si>
    <t>Malheur Branch Exp station NWS 34 May to Oct</t>
  </si>
  <si>
    <t>Francis E. Walter  NWS 34 Other season</t>
  </si>
  <si>
    <t>Landsville NWS 34 May to Oct</t>
  </si>
  <si>
    <t>Bellefonte NWS 34 May to Oct</t>
  </si>
  <si>
    <t>Ford City 4 S Dam NWS 34 May to Oct</t>
  </si>
  <si>
    <t>Confluence NWS 34 May to Oct</t>
  </si>
  <si>
    <t>Jamestown  NWS 34 Other season</t>
  </si>
  <si>
    <t>Kingston NWS 34 May to Oct</t>
  </si>
  <si>
    <t>Rainbow Lake NWS 34 May to Oct</t>
  </si>
  <si>
    <t>Clemson University NWS 34</t>
  </si>
  <si>
    <t>Union 7 SW NWS 34</t>
  </si>
  <si>
    <t>Clark Hill Dam NWS 34</t>
  </si>
  <si>
    <t>Blackville NWS 34</t>
  </si>
  <si>
    <t>Charleston City NWS 34</t>
  </si>
  <si>
    <t>Newell 2 NW NWS 34 May to Oct</t>
  </si>
  <si>
    <t>Shadehill Dam NWS 34 May to Oct</t>
  </si>
  <si>
    <t>Madison Research Sta NWS 34 May to Oct</t>
  </si>
  <si>
    <t>Pactola Dam NWS 34 May to Oct</t>
  </si>
  <si>
    <t>Angostura Dam NWS 34 May to Oct</t>
  </si>
  <si>
    <t>Oahe Dam NWS 34 May to Oct</t>
  </si>
  <si>
    <t>Redfield 6 E NWS 34 May to Oct</t>
  </si>
  <si>
    <t>Cottonwood NWS 34 May to Oct</t>
  </si>
  <si>
    <t>Brookings NWS 34 Other season</t>
  </si>
  <si>
    <t>Jefferson City  NWS 34</t>
  </si>
  <si>
    <t>Center Hill Dam  NWS 34 May to Oct</t>
  </si>
  <si>
    <t>Paris 5 E  NWS 34</t>
  </si>
  <si>
    <t>Selmer NWS 34 May to Oct</t>
  </si>
  <si>
    <t>Spur 1 WNW  NWS 34</t>
  </si>
  <si>
    <t>Hords Creek Dam  NWS 34</t>
  </si>
  <si>
    <t>Benbrook Dam  NWS 34</t>
  </si>
  <si>
    <t>Sam Rayburn Dam  NWS 34</t>
  </si>
  <si>
    <t>Red Bluff Dam  NWS 34</t>
  </si>
  <si>
    <t>Sommerville Dam  NWS 34</t>
  </si>
  <si>
    <t>Beeville  NWS 34</t>
  </si>
  <si>
    <t>Point Comfort  NWS 34</t>
  </si>
  <si>
    <t>Dilley  NWS 34</t>
  </si>
  <si>
    <t>Rio Grande City 3 W  NWS 34</t>
  </si>
  <si>
    <t>Fish Springs Refuge NWS 34 May to Oct</t>
  </si>
  <si>
    <t>Mexican Hat NWS 34 May to Oct</t>
  </si>
  <si>
    <t>Gunnison NWS 34 May to Oct</t>
  </si>
  <si>
    <t>Strawberry Reservoir NWS 34 May to Oct</t>
  </si>
  <si>
    <t xml:space="preserve">Flaming Gorge NWS 34 </t>
  </si>
  <si>
    <t>Moab NWS 34 May to Oct</t>
  </si>
  <si>
    <t>Essex Junction NWS 34 May to Oct</t>
  </si>
  <si>
    <t>Holland 1E NWS 34 May to Oct</t>
  </si>
  <si>
    <t>John H. Kerr Dam NWS 34 May to Oct</t>
  </si>
  <si>
    <t>Charlottesville 1W NWS 34 May to Oct</t>
  </si>
  <si>
    <t>Sterling Test Lab NWS 34 May to Oct</t>
  </si>
  <si>
    <t>Philpott Dam 2 NWS 34 May to Oct</t>
  </si>
  <si>
    <t>Marion Evap Station NWS 34 May to Oct</t>
  </si>
  <si>
    <t>Seattle Maple Leaf NWS 34 May to Oct</t>
  </si>
  <si>
    <t>Lake Kachess NWS 34 May to Oct</t>
  </si>
  <si>
    <t xml:space="preserve">Bumping Lake NWS 34 </t>
  </si>
  <si>
    <t>Quincy NWS 34 May to Oct</t>
  </si>
  <si>
    <t>Moses Lake 3 E NWS 34 May to Oct</t>
  </si>
  <si>
    <t xml:space="preserve">Spokane WBAP NWS 34 </t>
  </si>
  <si>
    <t>Eltopia NWS 34 May to Oct</t>
  </si>
  <si>
    <t>Walla Walla NWS 34 May to Oct</t>
  </si>
  <si>
    <t>Wardensville NWS 34 May to Oct</t>
  </si>
  <si>
    <t>Parsons NWS 34 May to Oct</t>
  </si>
  <si>
    <t>Hogsett  Gallipolis Dam NWS 34 May to Oct</t>
  </si>
  <si>
    <t>Sutton Reservoir NWS 34 May to Oct</t>
  </si>
  <si>
    <t>Bluestone Dam NWS 34 May to Oct</t>
  </si>
  <si>
    <t>Kearneysville NWS 34 May to Oct</t>
  </si>
  <si>
    <t>Trempealeau Dam #6 NWS 34 May to Oct</t>
  </si>
  <si>
    <t>Rainbow Reservoir NWS 34 May to Oct</t>
  </si>
  <si>
    <t>Marshfield Experiment Station NWS 34 May to Oct</t>
  </si>
  <si>
    <t>Arlington University Farm NWS 34 May to Oct</t>
  </si>
  <si>
    <t>Heart Mountain  NWS 34 May to Oct</t>
  </si>
  <si>
    <t>Farson</t>
  </si>
  <si>
    <t>Green River  NWS 34</t>
  </si>
  <si>
    <t>Boysen Dam  NWS 34 May to Oct</t>
  </si>
  <si>
    <t>Sheridan Field Station  NWS 34 Other season</t>
  </si>
  <si>
    <t>Gillette  NWS 34 May to Oct</t>
  </si>
  <si>
    <t>Whalen Dam  NWS 34 May to Oct</t>
  </si>
  <si>
    <t>Archer  NWS 34 May to Oct</t>
  </si>
  <si>
    <t xml:space="preserve">Anchor Dam  NWS 34 </t>
  </si>
  <si>
    <t>Laramie 2 NW  NWS 34 May to Oct</t>
  </si>
  <si>
    <r>
      <rPr>
        <b/>
        <sz val="12"/>
        <rFont val="Calibri"/>
        <family val="2"/>
        <scheme val="minor"/>
      </rPr>
      <t>Table 10.17 (Updated)
Methane Conversion Factors for manure management systems</t>
    </r>
  </si>
  <si>
    <t>Note: These climate zones are not explicitly given a temperature in the footnote; therefore, I used values for the two columns on the left.</t>
  </si>
  <si>
    <t>MCFs by climate zone (with annual average temp. for each zone in next row)</t>
  </si>
  <si>
    <t>Cool</t>
  </si>
  <si>
    <t>Temperate</t>
  </si>
  <si>
    <t>Warm</t>
  </si>
  <si>
    <t>Days of storage</t>
  </si>
  <si>
    <t>System4</t>
  </si>
  <si>
    <t>Cool Temp. Moist</t>
  </si>
  <si>
    <t>Cool Temp. Dry</t>
  </si>
  <si>
    <t>Boreal Moist</t>
  </si>
  <si>
    <t>Boreal Dry</t>
  </si>
  <si>
    <t>Warm Temp. Moist</t>
  </si>
  <si>
    <t>Warm Temp. Dry</t>
  </si>
  <si>
    <t>Tropical Montane</t>
  </si>
  <si>
    <t>Tropical Wet</t>
  </si>
  <si>
    <t>Tropical Moist</t>
  </si>
  <si>
    <t>Tropical Dry</t>
  </si>
  <si>
    <t>Uncovered anaerobic lagoon</t>
  </si>
  <si>
    <t>Liquid/Slurry, and Pit storage below animal confinements</t>
  </si>
  <si>
    <t>DPSS</t>
  </si>
  <si>
    <t>Shallow flush</t>
  </si>
  <si>
    <t>Shallow scrape</t>
  </si>
  <si>
    <t>Shallow scrape + compost</t>
  </si>
  <si>
    <t>Shallow plug</t>
  </si>
  <si>
    <t>Storage tank</t>
  </si>
  <si>
    <t>30 days</t>
  </si>
  <si>
    <t>90 days</t>
  </si>
  <si>
    <t>120 days</t>
  </si>
  <si>
    <t>180 days</t>
  </si>
  <si>
    <t>365 days</t>
  </si>
  <si>
    <t>Cattle and Swine deep bedding</t>
  </si>
  <si>
    <r>
      <t>&gt; 1 month</t>
    </r>
    <r>
      <rPr>
        <vertAlign val="superscript"/>
        <sz val="12"/>
        <rFont val="Calibri"/>
        <family val="2"/>
        <scheme val="minor"/>
      </rPr>
      <t>1</t>
    </r>
  </si>
  <si>
    <r>
      <t>&lt; 1 month</t>
    </r>
    <r>
      <rPr>
        <vertAlign val="superscript"/>
        <sz val="12"/>
        <rFont val="Calibri"/>
        <family val="2"/>
        <scheme val="minor"/>
      </rPr>
      <t>1</t>
    </r>
  </si>
  <si>
    <t>Solid storage</t>
  </si>
  <si>
    <t>Solid storage – Covered/compacted</t>
  </si>
  <si>
    <t>Solid storage – Bulking agent addition</t>
  </si>
  <si>
    <t>Solid storage – Additives</t>
  </si>
  <si>
    <t>Dry lot</t>
  </si>
  <si>
    <t>Daily spread</t>
  </si>
  <si>
    <t>Composting - In-vessel</t>
  </si>
  <si>
    <t>Composting - Static pile (Forced aeration)</t>
  </si>
  <si>
    <t>Composting - Intensive windrow</t>
  </si>
  <si>
    <t>Composting – Passive windrow (Unfrequent turning)</t>
  </si>
  <si>
    <t>Aerobic treatment</t>
  </si>
  <si>
    <t>Burned for fuel</t>
  </si>
  <si>
    <t>Anaerobic Digester, Low leakage, High quality   gastight   storage,   best   complete industrial technology</t>
  </si>
  <si>
    <t>Anaerobic Digester, Low leakage, High quality industrial  technology,  low  quality gastight storage technology</t>
  </si>
  <si>
    <t>Anaerobic Digester, Low leakage, High quality industrial technology, open storage</t>
  </si>
  <si>
    <t>Anaerobic  Digester,  High  leakage,  low quality  technology,  high  quality  gastight storage technology</t>
  </si>
  <si>
    <t>Anaerobic  Digester,  High  leakage,  low quality  technology,  low  quality  gastight storage technology</t>
  </si>
  <si>
    <t>Anaerobic  Digester,  High  leakage,  low quality technology, open storage</t>
  </si>
  <si>
    <t>Current Location</t>
  </si>
  <si>
    <t>Current Location Climate Code</t>
  </si>
  <si>
    <t>Column index</t>
  </si>
  <si>
    <t>Est MCF for anaerobic digestion</t>
  </si>
  <si>
    <t>Est MCF for covered digestion basin</t>
  </si>
  <si>
    <t>Est MCF for aerated deep pit system</t>
  </si>
  <si>
    <t xml:space="preserve">Reliability </t>
  </si>
  <si>
    <t xml:space="preserve">Integrity </t>
  </si>
  <si>
    <t>No. of Unit Processes</t>
  </si>
  <si>
    <t>SUM</t>
  </si>
  <si>
    <t>Technology or Process</t>
  </si>
  <si>
    <t>Reliability_Uptime</t>
  </si>
  <si>
    <t>Reliability_Raw_Score</t>
  </si>
  <si>
    <t>R_X1</t>
  </si>
  <si>
    <t>R_X2</t>
  </si>
  <si>
    <t>Slope</t>
  </si>
  <si>
    <t>R_Y2</t>
  </si>
  <si>
    <t>R_Y1</t>
  </si>
  <si>
    <t>Uptime</t>
  </si>
  <si>
    <t>Deep pit slurry storage</t>
  </si>
  <si>
    <t>Deep pit, drag hose</t>
  </si>
  <si>
    <t>Permanent aeration system for deep pits</t>
  </si>
  <si>
    <t>Deep pit, aeration, tanker</t>
  </si>
  <si>
    <t>Flush system for shallow pit barn</t>
  </si>
  <si>
    <t>Deep pit, aeration, drag hose</t>
  </si>
  <si>
    <t>Automatic scrape system for shallow pit barn</t>
  </si>
  <si>
    <t>Shallow pit, flush, lagoon, tanker</t>
  </si>
  <si>
    <t>Pull plug system for shallow pit barn</t>
  </si>
  <si>
    <t>Shallow pit, flush, lagoon, drag hose</t>
  </si>
  <si>
    <t>Shallow pit, scrape auto, lagoon, tanker</t>
  </si>
  <si>
    <t>Electricity generation (post digester)</t>
  </si>
  <si>
    <t>Shallow pit, scrape auto, lagoon, drag hose</t>
  </si>
  <si>
    <t>Compressed natural gas generation (post digester)</t>
  </si>
  <si>
    <t>Shallow pit, pull plug, lagoon, tanker</t>
  </si>
  <si>
    <t>Covered lagoon</t>
  </si>
  <si>
    <t>Shallow pit, pull plug, lagoon, drag hose</t>
  </si>
  <si>
    <t>Shallow pit, flush, AD, lagoon, tanker</t>
  </si>
  <si>
    <t>Composting in concrete alley</t>
  </si>
  <si>
    <t>Shallow pit, flush, AD, lagoon, drag hose</t>
  </si>
  <si>
    <t>Slope screen solid separator</t>
  </si>
  <si>
    <t>Shallow pit, scrape auto, AD, lagoon, tanker</t>
  </si>
  <si>
    <t>Anaerobic Lagoon</t>
  </si>
  <si>
    <t>Shallow pit, scrape auto, AD, lagoon, drag hose</t>
  </si>
  <si>
    <t>Tractor Pulled Tankers – Manure application</t>
  </si>
  <si>
    <t>Shallow pit, pull plug, AD, lagoon, tanker</t>
  </si>
  <si>
    <t>Drag Hose Pipe – Manure application</t>
  </si>
  <si>
    <t>Shallow pit, pull plug, AD, lagoon, drag hose</t>
  </si>
  <si>
    <t>Shallow pit, flush, covered lagoon, lagoon, tanker</t>
  </si>
  <si>
    <t>Shallow pit, flush, covered lagoon, lagoon, drag hose</t>
  </si>
  <si>
    <t>Shallow pit, scrape auto, covered lagoon, lagoon, tanker</t>
  </si>
  <si>
    <t>Shallow pit, scrape auto, covered lagoon, lagoon, drag hose</t>
  </si>
  <si>
    <t>Shallow pit, pull plug, covered lagoon, lagoon, tanker</t>
  </si>
  <si>
    <t>Shallow pit, pull plug, covered lagoon, lagoon, drag hose</t>
  </si>
  <si>
    <t>Shallow pit, scrape auto, above ground storage tank, tanker</t>
  </si>
  <si>
    <t>Shallow pit, scrape auto, above ground storage tank, drag hose</t>
  </si>
  <si>
    <t>Shallow pit, scrape auto, compost, tanker</t>
  </si>
  <si>
    <t>Shallow pit, scrape auto, slope screen, lagoon, tanker</t>
  </si>
  <si>
    <t>Shallow pit, scrape auto, slope screen, lagoon, drag hose</t>
  </si>
  <si>
    <t>Iteratively solve storage size to get an APPROXIMATION of what it will be</t>
  </si>
  <si>
    <t>Multipliers</t>
  </si>
  <si>
    <t>Each scenario with a covered earthen digester has its size calculated here. Many of the characteristics are shared with uncovered, anaerobic lagoons.</t>
  </si>
  <si>
    <t>There are several constants that apply to each scenario, they are listed below</t>
  </si>
  <si>
    <t>CONSTANTS ACROSS ALL SCENARIOS</t>
  </si>
  <si>
    <t>Required lagoon depth (lagoon must be deeper than rain total)</t>
  </si>
  <si>
    <t>Lagoon slope</t>
  </si>
  <si>
    <t>Minimum width of water surface</t>
  </si>
  <si>
    <t>Lagoon berm width (that drains into lagoon)</t>
  </si>
  <si>
    <t>Lagoon berm height (height for freeboard)</t>
  </si>
  <si>
    <t>Summary</t>
  </si>
  <si>
    <t>Facility drainage area that goes to lagoon</t>
  </si>
  <si>
    <t>Minimum width of water surface + berms</t>
  </si>
  <si>
    <t>SCENARIO SPECIFIC CALCULATIONS</t>
  </si>
  <si>
    <t>Sc9</t>
  </si>
  <si>
    <t>Sc10</t>
  </si>
  <si>
    <t>Sc11</t>
  </si>
  <si>
    <t>Reserved</t>
  </si>
  <si>
    <t>Volume of covered earthen digester</t>
  </si>
  <si>
    <t>Best diff</t>
  </si>
  <si>
    <t>Final width</t>
  </si>
  <si>
    <t>Final width + berm width</t>
  </si>
  <si>
    <t>Freeboard volume</t>
  </si>
  <si>
    <t>Lagoon volume</t>
  </si>
  <si>
    <t>m3/HRT</t>
  </si>
  <si>
    <t>Best result</t>
  </si>
  <si>
    <t>Iterations</t>
  </si>
  <si>
    <t>iterations</t>
  </si>
  <si>
    <t>Non-applied volume</t>
  </si>
  <si>
    <t>Surface area</t>
  </si>
  <si>
    <t>Built volume</t>
  </si>
  <si>
    <t>Parameter:</t>
  </si>
  <si>
    <t>Count</t>
  </si>
  <si>
    <t>Top Width</t>
  </si>
  <si>
    <t>Bottom Width</t>
  </si>
  <si>
    <t>Lagoon Vol</t>
  </si>
  <si>
    <t>Pyramid Vol</t>
  </si>
  <si>
    <t>Diff</t>
  </si>
  <si>
    <t>Greater?</t>
  </si>
  <si>
    <t>Gate</t>
  </si>
  <si>
    <t>AbsDiff</t>
  </si>
  <si>
    <t>Units:</t>
  </si>
  <si>
    <t>Num iterations</t>
  </si>
  <si>
    <t>Yes/No</t>
  </si>
  <si>
    <t># of yes</t>
  </si>
  <si>
    <t>Min width</t>
  </si>
  <si>
    <t>Min width * first multiplier</t>
  </si>
  <si>
    <t>Iteratively solve lagoon size to get an APPROXIMATION of what it will be</t>
  </si>
  <si>
    <t>Each scenario with an open-air lagoon has its lagoon size calculated here</t>
  </si>
  <si>
    <t>days/HRT</t>
  </si>
  <si>
    <t>Retention periods per year</t>
  </si>
  <si>
    <t>year/HRT</t>
  </si>
  <si>
    <t>25 year, 24 hour rainfall</t>
  </si>
  <si>
    <t>m/HRT</t>
  </si>
  <si>
    <t>Regular rainfall rate over HRT</t>
  </si>
  <si>
    <t>Modified evaporation rate over HRT</t>
  </si>
  <si>
    <t>Regular rainfall and 24 hour storm depth</t>
  </si>
  <si>
    <t>User Requested Lagoon depth</t>
  </si>
  <si>
    <t>Minimum lagoon width (depth must be reached in the middle)</t>
  </si>
  <si>
    <t>Rain capture width over lagoon</t>
  </si>
  <si>
    <t>Minimum rain capture area over lagoon</t>
  </si>
  <si>
    <t>Minimum 25 year rain volume</t>
  </si>
  <si>
    <t>Minimum regular rain volume</t>
  </si>
  <si>
    <t>Minimum 25 year and regular rain volume</t>
  </si>
  <si>
    <t>Minimum freeboard volume</t>
  </si>
  <si>
    <t>Minimum volume of lagoon without flat bottom (square pyramid)</t>
  </si>
  <si>
    <t>Facility 25 year volume</t>
  </si>
  <si>
    <t>Facility regular volume</t>
  </si>
  <si>
    <t>Facility total drainage volume</t>
  </si>
  <si>
    <t>Sc3</t>
  </si>
  <si>
    <t>Sc4</t>
  </si>
  <si>
    <t>Sc5</t>
  </si>
  <si>
    <t>Sc6</t>
  </si>
  <si>
    <t>Sc7</t>
  </si>
  <si>
    <t>Sc8</t>
  </si>
  <si>
    <t>Sc14</t>
  </si>
  <si>
    <t>Evaporation modifier for this scenario</t>
  </si>
  <si>
    <t>Evaporation rate for this scenario</t>
  </si>
  <si>
    <t>Sludge treatment volume (SV)</t>
  </si>
  <si>
    <t>m3/sludge period</t>
  </si>
  <si>
    <t>Minimum treatment volume (MTV)</t>
  </si>
  <si>
    <t>Liquid treatment volume (WV)</t>
  </si>
  <si>
    <t>Water volume required for application</t>
  </si>
  <si>
    <t>TS volume for treatment period</t>
  </si>
  <si>
    <t>m3 TS/HRT</t>
  </si>
  <si>
    <t>Lagoon volume requirement, excluding rainfall (LV)</t>
  </si>
  <si>
    <t>System surface areas that runoff into lagoon (Sand lane, weeping wall, etc)</t>
  </si>
  <si>
    <t>System specific 25 year rain volume (Sand lane, weeping wall, etc)</t>
  </si>
  <si>
    <t>24 hr, 25 year rain volume</t>
  </si>
  <si>
    <t>System specific regular rain volume (Sand lane, weeping wall, etc)</t>
  </si>
  <si>
    <t>Regular rain volume</t>
  </si>
  <si>
    <t>Evaporated volume</t>
  </si>
  <si>
    <t>Evap check volume</t>
  </si>
  <si>
    <t>Applicable volume</t>
  </si>
  <si>
    <t>Supplemental water needs</t>
  </si>
  <si>
    <t>If yes, we need larger lagoon sides. If No, use the minimum lagoon width</t>
  </si>
  <si>
    <t>Applied non sludge volume</t>
  </si>
  <si>
    <t>Supplemental water used</t>
  </si>
  <si>
    <t>Regular Rain Vol</t>
  </si>
  <si>
    <t>24 Hour Rain</t>
  </si>
  <si>
    <t>Evaporation Vol</t>
  </si>
  <si>
    <t>Evap Check Vol</t>
  </si>
  <si>
    <t>Env type</t>
  </si>
  <si>
    <t>Can be "Farm", "Off Farm", or "Net". Use dropdown in the Results.Choice tab!</t>
  </si>
  <si>
    <t>Export concern</t>
  </si>
  <si>
    <t>Use dropdown in Results.Choice</t>
  </si>
  <si>
    <t>Old cap outlay formula is: VLOOKUP(C8,#REF!,6, FALSE)</t>
  </si>
  <si>
    <t>Cost analysis</t>
  </si>
  <si>
    <t xml:space="preserve"> (per animal/year)</t>
  </si>
  <si>
    <t>Survey</t>
  </si>
  <si>
    <t>Manure Exports</t>
  </si>
  <si>
    <t>EconIntermediate_Index_Loc</t>
  </si>
  <si>
    <t>Off Farm and Avoided impact (Upstream credit (+)), Scope 2 and 3</t>
  </si>
  <si>
    <t>Net impact</t>
  </si>
  <si>
    <t>Land required for application</t>
  </si>
  <si>
    <t>Land acre deficit or surplus</t>
  </si>
  <si>
    <t>Land acre deficit</t>
  </si>
  <si>
    <t xml:space="preserve">Carbon footprint </t>
  </si>
  <si>
    <t xml:space="preserve">Nitrogen footprint </t>
  </si>
  <si>
    <t>Phosphorous footprint</t>
  </si>
  <si>
    <t>Resilience/Integrity</t>
  </si>
  <si>
    <t>Land Deficit</t>
  </si>
  <si>
    <t>Sludge Year Export</t>
  </si>
  <si>
    <t>Non-Sludge Year Export</t>
  </si>
  <si>
    <t>Average Manure Export</t>
  </si>
  <si>
    <t>Nitrogen footprint (for reactive N)</t>
  </si>
  <si>
    <t>Phosphorous footprint (for phosphate, potentially leach)</t>
  </si>
  <si>
    <t>Sludge Year Acres</t>
  </si>
  <si>
    <t>Non-Sludge Year Acres</t>
  </si>
  <si>
    <t>Acres Needed Average</t>
  </si>
  <si>
    <t>Sludge year labor</t>
  </si>
  <si>
    <t>Non-sludge labor</t>
  </si>
  <si>
    <t>Labor average</t>
  </si>
  <si>
    <t>Sludge Year Liquids</t>
  </si>
  <si>
    <t>Sludge Year Solids</t>
  </si>
  <si>
    <t>Non-Sludge Year Liquids</t>
  </si>
  <si>
    <t>Non-Sludge Year Solids</t>
  </si>
  <si>
    <t>Average Liquids</t>
  </si>
  <si>
    <t>Average Solids</t>
  </si>
  <si>
    <t>Average</t>
  </si>
  <si>
    <t>N in treated manure (non sludge)</t>
  </si>
  <si>
    <t>N in treated manure (sludge + solids)</t>
  </si>
  <si>
    <t>P2O5 in treated manure (non sludge)</t>
  </si>
  <si>
    <t>P2O5 in treated manure (sludge + solids)</t>
  </si>
  <si>
    <t>Land for treatment facilities</t>
  </si>
  <si>
    <t>Nitrogen in slurry liquids</t>
  </si>
  <si>
    <t>P2O5 in slurry liquids</t>
  </si>
  <si>
    <t>K2O in slurry liquids</t>
  </si>
  <si>
    <t>Nitrogen in sludge</t>
  </si>
  <si>
    <t>P2O5 in sludge</t>
  </si>
  <si>
    <t>K2O in sludge</t>
  </si>
  <si>
    <t>Nitrogen in separated solids</t>
  </si>
  <si>
    <t>P2O5 in separated solids</t>
  </si>
  <si>
    <t>K2O in separated solids</t>
  </si>
  <si>
    <t>Nitrogen in partially composted material</t>
  </si>
  <si>
    <t>P2O5 in partially composted material</t>
  </si>
  <si>
    <t>K2O in partially composted material</t>
  </si>
  <si>
    <t>Reactive forms</t>
  </si>
  <si>
    <t>mJ / kg</t>
  </si>
  <si>
    <t>Reactive N</t>
  </si>
  <si>
    <r>
      <t>N losses occur as NH</t>
    </r>
    <r>
      <rPr>
        <b/>
        <vertAlign val="subscript"/>
        <sz val="11"/>
        <color theme="1"/>
        <rFont val="Calibri"/>
        <family val="2"/>
        <scheme val="minor"/>
      </rPr>
      <t>3</t>
    </r>
    <r>
      <rPr>
        <b/>
        <sz val="11"/>
        <color theme="1"/>
        <rFont val="Calibri"/>
        <family val="2"/>
        <scheme val="minor"/>
      </rPr>
      <t xml:space="preserve"> and N oxides (NOx).</t>
    </r>
  </si>
  <si>
    <t>Eutrohpication (kg N-eq.)</t>
  </si>
  <si>
    <t>Eutrohpication (kg P-eq.)</t>
  </si>
  <si>
    <t xml:space="preserve">kg CO2-eq </t>
  </si>
  <si>
    <t>$/swine</t>
  </si>
  <si>
    <t>$ / swine / yr</t>
  </si>
  <si>
    <t>tonne CO2</t>
  </si>
  <si>
    <t>acres</t>
  </si>
  <si>
    <t>lb N</t>
  </si>
  <si>
    <t>lb P</t>
  </si>
  <si>
    <t>Expert ranking</t>
  </si>
  <si>
    <t>hours/yr</t>
  </si>
  <si>
    <t>acres/yr</t>
  </si>
  <si>
    <t>Ton/Year</t>
  </si>
  <si>
    <t>Tons (2000 lb)/sludge year</t>
  </si>
  <si>
    <t>Tons (2000 lb)/year</t>
  </si>
  <si>
    <t>tonne CO2 eq</t>
  </si>
  <si>
    <t>MW/h</t>
  </si>
  <si>
    <t>gallons</t>
  </si>
  <si>
    <t>Acres/Year</t>
  </si>
  <si>
    <t>Hours/year</t>
  </si>
  <si>
    <t>kWh/year</t>
  </si>
  <si>
    <t>gallons/year</t>
  </si>
  <si>
    <t>(# and hp)</t>
  </si>
  <si>
    <t>tons/year (2000 lb/year)</t>
  </si>
  <si>
    <t>lb/ton</t>
  </si>
  <si>
    <t>Impact categories (per m3/ton manure treated)</t>
  </si>
  <si>
    <t>Methane</t>
  </si>
  <si>
    <t>Methane (total animals)</t>
  </si>
  <si>
    <r>
      <t>Water foot print (m</t>
    </r>
    <r>
      <rPr>
        <b/>
        <vertAlign val="superscript"/>
        <sz val="11"/>
        <color theme="1"/>
        <rFont val="Calibri"/>
        <family val="2"/>
        <scheme val="minor"/>
      </rPr>
      <t>3</t>
    </r>
    <r>
      <rPr>
        <b/>
        <sz val="11"/>
        <color theme="1"/>
        <rFont val="Calibri"/>
        <family val="2"/>
        <scheme val="minor"/>
      </rPr>
      <t xml:space="preserve"> H</t>
    </r>
    <r>
      <rPr>
        <b/>
        <vertAlign val="subscript"/>
        <sz val="11"/>
        <color theme="1"/>
        <rFont val="Calibri"/>
        <family val="2"/>
        <scheme val="minor"/>
      </rPr>
      <t>2</t>
    </r>
    <r>
      <rPr>
        <b/>
        <sz val="11"/>
        <color theme="1"/>
        <rFont val="Calibri"/>
        <family val="2"/>
        <scheme val="minor"/>
      </rPr>
      <t>O-eq)</t>
    </r>
  </si>
  <si>
    <t>Nitrogen foot print</t>
  </si>
  <si>
    <t>P - foot print</t>
  </si>
  <si>
    <t xml:space="preserve">Energy foot print </t>
  </si>
  <si>
    <t>Land  foot print (m^2)</t>
  </si>
  <si>
    <t>Carbon foot print</t>
  </si>
  <si>
    <t>Acidification</t>
  </si>
  <si>
    <t>Alternatives</t>
  </si>
  <si>
    <t>End User - Farmer priority</t>
  </si>
  <si>
    <r>
      <t>Carbon foot print (kg CO</t>
    </r>
    <r>
      <rPr>
        <b/>
        <vertAlign val="subscript"/>
        <sz val="11"/>
        <color theme="1"/>
        <rFont val="Calibri"/>
        <family val="2"/>
        <scheme val="minor"/>
      </rPr>
      <t>2</t>
    </r>
    <r>
      <rPr>
        <b/>
        <sz val="11"/>
        <color theme="1"/>
        <rFont val="Calibri"/>
        <family val="2"/>
        <scheme val="minor"/>
      </rPr>
      <t>-eq)</t>
    </r>
  </si>
  <si>
    <r>
      <t>Water foot print (m</t>
    </r>
    <r>
      <rPr>
        <b/>
        <vertAlign val="superscript"/>
        <sz val="11"/>
        <color theme="1"/>
        <rFont val="Calibri"/>
        <family val="2"/>
        <scheme val="minor"/>
      </rPr>
      <t>3</t>
    </r>
    <r>
      <rPr>
        <b/>
        <sz val="11"/>
        <color theme="1"/>
        <rFont val="Calibri"/>
        <family val="2"/>
        <scheme val="minor"/>
      </rPr>
      <t xml:space="preserve"> )</t>
    </r>
  </si>
  <si>
    <t>kg/animal/yr</t>
  </si>
  <si>
    <t>kg/yr</t>
  </si>
  <si>
    <r>
      <t>kg CO</t>
    </r>
    <r>
      <rPr>
        <b/>
        <vertAlign val="subscript"/>
        <sz val="11"/>
        <rFont val="Calibri"/>
        <family val="2"/>
        <scheme val="minor"/>
      </rPr>
      <t>2</t>
    </r>
    <r>
      <rPr>
        <b/>
        <sz val="11"/>
        <rFont val="Calibri"/>
        <family val="2"/>
        <scheme val="minor"/>
      </rPr>
      <t> eq</t>
    </r>
  </si>
  <si>
    <r>
      <t>kg SO</t>
    </r>
    <r>
      <rPr>
        <b/>
        <vertAlign val="subscript"/>
        <sz val="11"/>
        <color rgb="FFFF0000"/>
        <rFont val="Calibri"/>
        <family val="2"/>
        <scheme val="minor"/>
      </rPr>
      <t>2</t>
    </r>
    <r>
      <rPr>
        <b/>
        <sz val="11"/>
        <color rgb="FFFF0000"/>
        <rFont val="Calibri"/>
        <family val="2"/>
        <scheme val="minor"/>
      </rPr>
      <t> eq</t>
    </r>
  </si>
  <si>
    <t>Sc - 1a</t>
  </si>
  <si>
    <t>TL</t>
  </si>
  <si>
    <t>A</t>
  </si>
  <si>
    <t>Deep pit slurry system</t>
  </si>
  <si>
    <t>Sc -1</t>
  </si>
  <si>
    <t>Sc-1b</t>
  </si>
  <si>
    <t>DHL</t>
  </si>
  <si>
    <t>Sc - 2</t>
  </si>
  <si>
    <t>Sc - 2a</t>
  </si>
  <si>
    <t>Deep pit slurry - Aeration system</t>
  </si>
  <si>
    <t>Sc - 3</t>
  </si>
  <si>
    <t>Sc - 2b</t>
  </si>
  <si>
    <t>Sc - 4</t>
  </si>
  <si>
    <t>Sc - 3a</t>
  </si>
  <si>
    <t xml:space="preserve">Flush - Lagoon </t>
  </si>
  <si>
    <t>Sc -5</t>
  </si>
  <si>
    <t>Sc - 3b</t>
  </si>
  <si>
    <t>Sc -6</t>
  </si>
  <si>
    <t>Sc - 4a</t>
  </si>
  <si>
    <t>Scrape - Lagoon</t>
  </si>
  <si>
    <t>Sc -7</t>
  </si>
  <si>
    <t>Sc - 4b</t>
  </si>
  <si>
    <t>Sc -8</t>
  </si>
  <si>
    <t>Sc - 5a</t>
  </si>
  <si>
    <t>Pull plug - Lagoon</t>
  </si>
  <si>
    <t>Sc -9</t>
  </si>
  <si>
    <t>Sc - 5b</t>
  </si>
  <si>
    <t>Sc -10</t>
  </si>
  <si>
    <t>Sc - 6a</t>
  </si>
  <si>
    <t>Flush - Anaerobic Digestion</t>
  </si>
  <si>
    <t>Sc -11</t>
  </si>
  <si>
    <t>Sc - 6b</t>
  </si>
  <si>
    <t>Sc -12</t>
  </si>
  <si>
    <t>Sc - 7a</t>
  </si>
  <si>
    <t>Scrape - Anaerobic Digestion</t>
  </si>
  <si>
    <t>Sc - 7b</t>
  </si>
  <si>
    <t>Sc - 8a</t>
  </si>
  <si>
    <t>Pull plug - Anaerobic Digestion</t>
  </si>
  <si>
    <t>Sc - 8b</t>
  </si>
  <si>
    <t>Sc - 9a</t>
  </si>
  <si>
    <t xml:space="preserve">Flush - Covered Lagoon </t>
  </si>
  <si>
    <t>Sc - 9b</t>
  </si>
  <si>
    <t>Sc - 10a</t>
  </si>
  <si>
    <t xml:space="preserve">Scrape - Covered Lagoon </t>
  </si>
  <si>
    <t>Sc - 10b</t>
  </si>
  <si>
    <t>Sc - 11a</t>
  </si>
  <si>
    <t xml:space="preserve">Pull plug - Covered Lagoon </t>
  </si>
  <si>
    <t>Sc - 11b</t>
  </si>
  <si>
    <t>Sc - 12a</t>
  </si>
  <si>
    <t>SS - Storage</t>
  </si>
  <si>
    <t>Sc - 12b</t>
  </si>
  <si>
    <t>Sc - 13a</t>
  </si>
  <si>
    <t>SS - Compost</t>
  </si>
  <si>
    <t>Sc - 14a</t>
  </si>
  <si>
    <t>Scrape - ISS - Lagoon</t>
  </si>
  <si>
    <t>Sc - 14b</t>
  </si>
  <si>
    <t>Sixth ranked scenario</t>
  </si>
  <si>
    <t>Seventh ranked scenario</t>
  </si>
  <si>
    <t>Eigth ranked scenario</t>
  </si>
  <si>
    <t>Ninth ranked scenario</t>
  </si>
  <si>
    <t>Tenth ranked scenario</t>
  </si>
  <si>
    <t>Is smaller or larger number better?</t>
  </si>
  <si>
    <t>Smaller</t>
  </si>
  <si>
    <t>Larger</t>
  </si>
  <si>
    <t/>
  </si>
  <si>
    <t>Smaller:</t>
  </si>
  <si>
    <t>=(Val - Max ) / (Min - Max)</t>
  </si>
  <si>
    <t>=(Val - Min ) / (Max - Min)</t>
  </si>
  <si>
    <t>Land application surplus</t>
  </si>
  <si>
    <t>$ / cow / yr</t>
  </si>
  <si>
    <t>Score</t>
  </si>
  <si>
    <t>Sc -1a</t>
  </si>
  <si>
    <t>Sc -1b</t>
  </si>
  <si>
    <t>Sc -4a</t>
  </si>
  <si>
    <t>Sc -4b</t>
  </si>
  <si>
    <t>Sc-5a</t>
  </si>
  <si>
    <t>Sc-5b</t>
  </si>
  <si>
    <t>Sc-6a</t>
  </si>
  <si>
    <t>Sc-6b</t>
  </si>
  <si>
    <t>Sc-7a</t>
  </si>
  <si>
    <t>Sc-7b</t>
  </si>
  <si>
    <t>Sc-8a</t>
  </si>
  <si>
    <t>Sc-8b</t>
  </si>
  <si>
    <t>Sc-9a</t>
  </si>
  <si>
    <t>Sc-9b</t>
  </si>
  <si>
    <t>Sc-10a</t>
  </si>
  <si>
    <t>Sc-10b</t>
  </si>
  <si>
    <t>Sc-11a</t>
  </si>
  <si>
    <t>Sc-11b</t>
  </si>
  <si>
    <t>Weightage</t>
  </si>
  <si>
    <t>Final score</t>
  </si>
  <si>
    <t>Rank order</t>
  </si>
  <si>
    <t xml:space="preserve">Global weights </t>
  </si>
  <si>
    <t>W-Cost
 (W-Ct)</t>
  </si>
  <si>
    <t>weight:cost_capex</t>
  </si>
  <si>
    <t>weight:cost_opex</t>
  </si>
  <si>
    <t>Deep pit slurry system - 1a (TL)</t>
  </si>
  <si>
    <t>weight:cost_savings</t>
  </si>
  <si>
    <t>Deep pit slurry system - 1b (DHL)</t>
  </si>
  <si>
    <t>weight:cost_fert</t>
  </si>
  <si>
    <t>Deep pit slurry - Aeration system - 2a TL</t>
  </si>
  <si>
    <t>weight:cost_revenues</t>
  </si>
  <si>
    <t>Deep pit slurry - Aeration system - 2b DHL</t>
  </si>
  <si>
    <t>weight:cost_net</t>
  </si>
  <si>
    <t>Flush - Lagoon  - 3a (TL)</t>
  </si>
  <si>
    <t>W-Environmental 
(W-En)</t>
  </si>
  <si>
    <t>weight:env_carbon</t>
  </si>
  <si>
    <t>Flush - Lagoon  - 3b (DHL)</t>
  </si>
  <si>
    <t>weight:env_land</t>
  </si>
  <si>
    <t>Scrape - Lagoon - 4a (TL)</t>
  </si>
  <si>
    <t>weight:env_energy</t>
  </si>
  <si>
    <t>Scrape- Lagoon  - 4b (DHL)</t>
  </si>
  <si>
    <t>weight:env_water</t>
  </si>
  <si>
    <t>Pull plug - Lagoon - 5a (TL)</t>
  </si>
  <si>
    <t>weight:env_nitrogen</t>
  </si>
  <si>
    <t>Pull plug - Lagoon - 5b (DHL)</t>
  </si>
  <si>
    <t>weight:env_phos</t>
  </si>
  <si>
    <t xml:space="preserve">Flush - Anaerobic Digestion - 6a (TL) </t>
  </si>
  <si>
    <t>W-Technology</t>
  </si>
  <si>
    <t>weight:tech_adoption</t>
  </si>
  <si>
    <t>Flush - Anaerobic Digestion - 6b (DHL)</t>
  </si>
  <si>
    <t>weight:tech_reliability</t>
  </si>
  <si>
    <t xml:space="preserve">Scrape - Anaerobic Digestion - 7a (TL) </t>
  </si>
  <si>
    <t>weight:tech_integrity</t>
  </si>
  <si>
    <t>Scrape - Anaerobic Digestion - 7b (DHL)</t>
  </si>
  <si>
    <t>weight:tech_labor</t>
  </si>
  <si>
    <t xml:space="preserve">Pull plug - Anaerobic Digestion - 8a (TL) </t>
  </si>
  <si>
    <t>weight:tech_land</t>
  </si>
  <si>
    <t>Pull plug - Anaerobic Digestion - 8b (DHL)</t>
  </si>
  <si>
    <t>weight:tech_transport</t>
  </si>
  <si>
    <t>Flush - Covered Lagoon  - 9a (TL)</t>
  </si>
  <si>
    <t>Flush - Covered Lagoon  - 9b (DHL)</t>
  </si>
  <si>
    <t>Scrape - Covered Lagoon  - 10a (TL)</t>
  </si>
  <si>
    <t>Scrape - Covered Lagoon  - 10b (DHL)</t>
  </si>
  <si>
    <t>Pull plug - Covered Lagoon  - 11a (TL)</t>
  </si>
  <si>
    <t>Pull plug - Covered Lagoon  - 11b (DHL)</t>
  </si>
  <si>
    <t>Outisde SS covered storage - 12a (TL)</t>
  </si>
  <si>
    <t>Outisde SS covered storage - 12b (DHL)</t>
  </si>
  <si>
    <t xml:space="preserve">Manure - Optimal range values </t>
  </si>
  <si>
    <t>Nutrient content (kg/day)</t>
  </si>
  <si>
    <t>ASAE Standards 2005 - Revised Version 2019</t>
  </si>
  <si>
    <t>kg / finished animal</t>
  </si>
  <si>
    <t>Concat</t>
  </si>
  <si>
    <t>Size (lbs)</t>
  </si>
  <si>
    <t>Animal</t>
  </si>
  <si>
    <t>Total manure (kg/day)</t>
  </si>
  <si>
    <t>Total solids - TS (kg/day)</t>
  </si>
  <si>
    <t>Volatile solids - VS (kg/day)</t>
  </si>
  <si>
    <t>N (kg)</t>
  </si>
  <si>
    <t>TAN  (kg)</t>
  </si>
  <si>
    <r>
      <t>P</t>
    </r>
    <r>
      <rPr>
        <vertAlign val="subscript"/>
        <sz val="11"/>
        <color indexed="8"/>
        <rFont val="Calibri"/>
        <family val="2"/>
      </rPr>
      <t>2</t>
    </r>
    <r>
      <rPr>
        <sz val="11"/>
        <color indexed="8"/>
        <rFont val="Calibri"/>
        <family val="2"/>
      </rPr>
      <t>O</t>
    </r>
    <r>
      <rPr>
        <vertAlign val="subscript"/>
        <sz val="11"/>
        <color indexed="8"/>
        <rFont val="Calibri"/>
        <family val="2"/>
      </rPr>
      <t>5 (kg)</t>
    </r>
  </si>
  <si>
    <r>
      <t>K</t>
    </r>
    <r>
      <rPr>
        <vertAlign val="subscript"/>
        <sz val="11"/>
        <color indexed="8"/>
        <rFont val="Calibri"/>
        <family val="2"/>
      </rPr>
      <t>2</t>
    </r>
    <r>
      <rPr>
        <sz val="11"/>
        <color indexed="8"/>
        <rFont val="Calibri"/>
        <family val="2"/>
      </rPr>
      <t>O (kg)</t>
    </r>
  </si>
  <si>
    <t>Swine</t>
  </si>
  <si>
    <t xml:space="preserve">Weight </t>
  </si>
  <si>
    <t>Manure</t>
  </si>
  <si>
    <t>No. of days</t>
  </si>
  <si>
    <t>y = 0.0333 x + 0.0302</t>
  </si>
  <si>
    <t>y = 0.0036x + 0.0045</t>
  </si>
  <si>
    <t>y = 0.003x + 0.0015</t>
  </si>
  <si>
    <t>y = 0.0085x - 0.2026</t>
  </si>
  <si>
    <t>y = 0.0025x - 0.0608</t>
  </si>
  <si>
    <t>y = -5E-19x + 0.0045</t>
  </si>
  <si>
    <t>y = 0.0003x - 0.003</t>
  </si>
  <si>
    <t xml:space="preserve">Nursery </t>
  </si>
  <si>
    <t>y = 0.0223x + 0.0172</t>
  </si>
  <si>
    <t>y = 0.0024x + 0.0047</t>
  </si>
  <si>
    <t>y = 0.002x + 0.0001</t>
  </si>
  <si>
    <t>y = 0.0003x + 0.0023</t>
  </si>
  <si>
    <t>y = 8E-05x + 0.0007</t>
  </si>
  <si>
    <t>y = 8E-05x + 0.0025</t>
  </si>
  <si>
    <t>y = 0.0002x - 0.0055</t>
  </si>
  <si>
    <t xml:space="preserve">Grow-Finish </t>
  </si>
  <si>
    <t>y = 0.0104x - 0.0454</t>
  </si>
  <si>
    <t>y = 0.0009x - 0.0015</t>
  </si>
  <si>
    <t>y = 0.0008x - 0.0015</t>
  </si>
  <si>
    <t>y = 7E-05x + 0.0015</t>
  </si>
  <si>
    <t>y = 2E-05x + 0.0005</t>
  </si>
  <si>
    <t>y = 5E-05x</t>
  </si>
  <si>
    <t>y = 5E-05x + 0.0045</t>
  </si>
  <si>
    <t>y = 0.0214x - 0.0747</t>
  </si>
  <si>
    <t>y = 0.0021x - 0.0075</t>
  </si>
  <si>
    <t>y = 0.0019x - 0.0013</t>
  </si>
  <si>
    <t>y = 0.0002x + 0.0011</t>
  </si>
  <si>
    <t>y = 6E-05x + 0.0003</t>
  </si>
  <si>
    <t>y = 0.0001x - 0.0029</t>
  </si>
  <si>
    <t>y = 0.0002x - 0.0011</t>
  </si>
  <si>
    <t>kg /finished animal/day</t>
  </si>
  <si>
    <t xml:space="preserve"> per day</t>
  </si>
  <si>
    <t>body weight (lbs)</t>
  </si>
  <si>
    <t>kg /finished animal</t>
  </si>
  <si>
    <t>Avg- Default</t>
  </si>
  <si>
    <t xml:space="preserve">Max </t>
  </si>
  <si>
    <t>Final table</t>
  </si>
  <si>
    <t>1990 to 2021</t>
  </si>
  <si>
    <t>72° F or 22.22° C</t>
  </si>
  <si>
    <t>Animal code</t>
  </si>
  <si>
    <t>Animal type</t>
  </si>
  <si>
    <t>User Value</t>
  </si>
  <si>
    <t>Yearly_avg</t>
  </si>
  <si>
    <t>Rainfall (Inches)</t>
  </si>
  <si>
    <t>New Table to USE</t>
  </si>
  <si>
    <t>e</t>
  </si>
  <si>
    <t>Wean to finish</t>
  </si>
  <si>
    <t>State</t>
  </si>
  <si>
    <t>Days</t>
  </si>
  <si>
    <t>Inches</t>
  </si>
  <si>
    <t xml:space="preserve">Sprinkler Systems for Cooling </t>
  </si>
  <si>
    <t>c</t>
  </si>
  <si>
    <t>Sprinklers ON time per cycle</t>
  </si>
  <si>
    <t>mins/cycle</t>
  </si>
  <si>
    <t>d</t>
  </si>
  <si>
    <t xml:space="preserve">No. of timer cycles </t>
  </si>
  <si>
    <t>cycles/d</t>
  </si>
  <si>
    <t xml:space="preserve">Water flow rate </t>
  </si>
  <si>
    <t>Evaporative cooling</t>
  </si>
  <si>
    <t>ltrs/min</t>
  </si>
  <si>
    <t>Average number of days with temperature greater than 72 °F in a year</t>
  </si>
  <si>
    <t>days/year</t>
  </si>
  <si>
    <t>UD</t>
  </si>
  <si>
    <t>Manure characteristics</t>
  </si>
  <si>
    <t>Regression line equation</t>
  </si>
  <si>
    <t>Water flow rate</t>
  </si>
  <si>
    <t>Code</t>
  </si>
  <si>
    <t>Intercept</t>
  </si>
  <si>
    <t>Finish</t>
  </si>
  <si>
    <t>Gestation</t>
  </si>
  <si>
    <t>Total water</t>
  </si>
  <si>
    <t>Lactation</t>
  </si>
  <si>
    <t>Adjusted water usage</t>
  </si>
  <si>
    <t>After evap</t>
  </si>
  <si>
    <t>Fresh water usage</t>
  </si>
  <si>
    <t>N  (kg/day)</t>
  </si>
  <si>
    <t>Handling manure wash water usage</t>
  </si>
  <si>
    <t>UDV.animal.a_TAN</t>
  </si>
  <si>
    <t>TAN   (kg/day)</t>
  </si>
  <si>
    <t>Module</t>
  </si>
  <si>
    <r>
      <t>P</t>
    </r>
    <r>
      <rPr>
        <vertAlign val="subscript"/>
        <sz val="11"/>
        <color indexed="8"/>
        <rFont val="Calibri"/>
        <family val="2"/>
      </rPr>
      <t>2</t>
    </r>
    <r>
      <rPr>
        <sz val="11"/>
        <color indexed="8"/>
        <rFont val="Calibri"/>
        <family val="2"/>
      </rPr>
      <t>O</t>
    </r>
    <r>
      <rPr>
        <vertAlign val="subscript"/>
        <sz val="11"/>
        <color indexed="8"/>
        <rFont val="Calibri"/>
        <family val="2"/>
      </rPr>
      <t>5  (kg/day)</t>
    </r>
  </si>
  <si>
    <r>
      <t>K</t>
    </r>
    <r>
      <rPr>
        <vertAlign val="subscript"/>
        <sz val="11"/>
        <color indexed="8"/>
        <rFont val="Calibri"/>
        <family val="2"/>
      </rPr>
      <t>2</t>
    </r>
    <r>
      <rPr>
        <sz val="11"/>
        <color indexed="8"/>
        <rFont val="Calibri"/>
        <family val="2"/>
      </rPr>
      <t>O (kg/day)</t>
    </r>
  </si>
  <si>
    <t>Reference material values</t>
  </si>
  <si>
    <t>Sprinklers OFF time per cycle</t>
  </si>
  <si>
    <t>UDV.animal.b_TAN</t>
  </si>
  <si>
    <t>Timer cycles per h</t>
  </si>
  <si>
    <t>Timer cycles per d</t>
  </si>
  <si>
    <t>UDV.animal.c_TAN</t>
  </si>
  <si>
    <t>UDV.animal.d_TAN</t>
  </si>
  <si>
    <t>Wean-Finish</t>
  </si>
  <si>
    <t>y = 0.0215x+0.00001</t>
  </si>
  <si>
    <t>y = 0.0021x + 0.00001</t>
  </si>
  <si>
    <t>y = 0.0017x + 0.000009</t>
  </si>
  <si>
    <t>y = 0.0002x + 0.0000009</t>
  </si>
  <si>
    <t>deeppit</t>
  </si>
  <si>
    <t>UDV.animal.e_TAN</t>
  </si>
  <si>
    <t>y = 0.00009x + 0.0000005</t>
  </si>
  <si>
    <t>flush</t>
  </si>
  <si>
    <t>y = 0.00007x + 0.0000003</t>
  </si>
  <si>
    <t>scrape</t>
  </si>
  <si>
    <t>Treated</t>
  </si>
  <si>
    <t>Actual_Count</t>
  </si>
  <si>
    <t>Treated_Count</t>
  </si>
  <si>
    <t>swine</t>
  </si>
  <si>
    <t>Updated</t>
  </si>
  <si>
    <t xml:space="preserve">Final wash water </t>
  </si>
  <si>
    <t>Weighted Variables</t>
  </si>
  <si>
    <t>Characteristic</t>
  </si>
  <si>
    <t>Weighted per animal</t>
  </si>
  <si>
    <t>(kg/day)</t>
  </si>
  <si>
    <t>P2O5  (kg/day)</t>
  </si>
  <si>
    <t>K2O (kg/day)</t>
  </si>
  <si>
    <t>Results by Unit Process for each Scenario</t>
  </si>
  <si>
    <t>Units</t>
  </si>
  <si>
    <t>$/y</t>
  </si>
  <si>
    <t>column number ----</t>
  </si>
  <si>
    <t>annualized capital recovery</t>
  </si>
  <si>
    <t>annual</t>
  </si>
  <si>
    <t>annualized</t>
  </si>
  <si>
    <t>Sc1 Tanker</t>
  </si>
  <si>
    <t>Unit process</t>
  </si>
  <si>
    <t>Total annual costs</t>
  </si>
  <si>
    <t>Cost_savings</t>
  </si>
  <si>
    <t>Fertilizer_value</t>
  </si>
  <si>
    <t>Manure export costs</t>
  </si>
  <si>
    <t>Electricity amount</t>
  </si>
  <si>
    <t>Electricity cost</t>
  </si>
  <si>
    <t>Fuel amount</t>
  </si>
  <si>
    <t>Fuel cost</t>
  </si>
  <si>
    <t>Nonmanager labor amount</t>
  </si>
  <si>
    <t>Nonmanager labor cost</t>
  </si>
  <si>
    <t>Manager labor amount</t>
  </si>
  <si>
    <t>Manager labor cost</t>
  </si>
  <si>
    <t>Total labor amount</t>
  </si>
  <si>
    <t>Total labor cost</t>
  </si>
  <si>
    <t>End use tanker</t>
  </si>
  <si>
    <t>Totals</t>
  </si>
  <si>
    <t>Sc1 Drag Hose</t>
  </si>
  <si>
    <t>End use drag hose</t>
  </si>
  <si>
    <t>Sc2 Tanker</t>
  </si>
  <si>
    <t>Sc2 Drag Hose</t>
  </si>
  <si>
    <t>Sc3 Tanker</t>
  </si>
  <si>
    <t>Barn and parlor</t>
  </si>
  <si>
    <t>Lagoon</t>
  </si>
  <si>
    <t>Flush water</t>
  </si>
  <si>
    <t>Sc3 Drag Hose</t>
  </si>
  <si>
    <t>Sc4 Tanker</t>
  </si>
  <si>
    <t>Sc4 Drag Hose</t>
  </si>
  <si>
    <t>Sc5 Tanker</t>
  </si>
  <si>
    <t>Pit recharge</t>
  </si>
  <si>
    <t>Sc5 Drag Hose</t>
  </si>
  <si>
    <t>Sc6 Tanker</t>
  </si>
  <si>
    <t>Reception pit</t>
  </si>
  <si>
    <t>Anaerobic digestion</t>
  </si>
  <si>
    <t>Sc6 Drag Hose</t>
  </si>
  <si>
    <t>Sc7 Tanker</t>
  </si>
  <si>
    <t>Scrape auto</t>
  </si>
  <si>
    <t>Sc7 Drag Hose</t>
  </si>
  <si>
    <t>Sc8 Tanker</t>
  </si>
  <si>
    <t>Sc8 Drag Hose</t>
  </si>
  <si>
    <t>Sc9 Tanker</t>
  </si>
  <si>
    <t>Sc9 Drag Hose</t>
  </si>
  <si>
    <t>Sc10 Tanker</t>
  </si>
  <si>
    <t>Sc10 Drag Hose</t>
  </si>
  <si>
    <t>Sc11 Tanker</t>
  </si>
  <si>
    <t>Sc11 Drag Hose</t>
  </si>
  <si>
    <t>Sc12 Tanker</t>
  </si>
  <si>
    <t>Sc12 Drag Hose</t>
  </si>
  <si>
    <t>Sc13 Box Spreader</t>
  </si>
  <si>
    <t>Compost mixing vessel</t>
  </si>
  <si>
    <t>Sc14 Tanker</t>
  </si>
  <si>
    <t>Sc14 Drag Hose</t>
  </si>
  <si>
    <t>ECONOMICS SUMMARY RESULTS</t>
  </si>
  <si>
    <t>Sc1</t>
  </si>
  <si>
    <t>Sc2</t>
  </si>
  <si>
    <t>Sc12</t>
  </si>
  <si>
    <t>Sc13</t>
  </si>
  <si>
    <t>Tanker Land Application Scenarios</t>
  </si>
  <si>
    <t>Exported liquid manure generated</t>
  </si>
  <si>
    <t>1000 gal/y</t>
  </si>
  <si>
    <t>Exported slurry manure generated</t>
  </si>
  <si>
    <t>Exported sludge manure generated per event</t>
  </si>
  <si>
    <t>1000 gal/event</t>
  </si>
  <si>
    <t>ton/y</t>
  </si>
  <si>
    <t>Exported sludge manure generated</t>
  </si>
  <si>
    <t>ton/event</t>
  </si>
  <si>
    <t>Exported separated solids generated, on average</t>
  </si>
  <si>
    <t>ton/y (on average)</t>
  </si>
  <si>
    <t>Exported separated solids generated, non-sludge year</t>
  </si>
  <si>
    <t>ton on non-sludge year</t>
  </si>
  <si>
    <t>Exported separated solids generated, sludge year</t>
  </si>
  <si>
    <t>ton on sludge year</t>
  </si>
  <si>
    <t>Exported compost generated, on average</t>
  </si>
  <si>
    <t>Exported compost generated, non-sludge year</t>
  </si>
  <si>
    <t>Exported compost generated, sludge year</t>
  </si>
  <si>
    <t>Sum of liquid, slurry on non-sludge year</t>
  </si>
  <si>
    <t>Sum of solids, compost on non-sludge year</t>
  </si>
  <si>
    <t>Sum of liquid, slurry, sludge on sludge year</t>
  </si>
  <si>
    <t>Sum of solids, compost on sludge  year</t>
  </si>
  <si>
    <t>Sum of liquid, slurry, sludge, annual average</t>
  </si>
  <si>
    <t>Sum of solids, compost, annual average</t>
  </si>
  <si>
    <t>Sum of exported streams on non-sludge year (non-sludge streams only)</t>
  </si>
  <si>
    <t>Sum of all exported manure streams on sludge year (non-sludge plus sludge streams)</t>
  </si>
  <si>
    <t>Sum of all exported manure streams, on average</t>
  </si>
  <si>
    <t>Emissions</t>
  </si>
  <si>
    <t>ton CO2e/y</t>
  </si>
  <si>
    <t>Scenario number</t>
  </si>
  <si>
    <t>Land applic method</t>
  </si>
  <si>
    <t>Reference ID</t>
  </si>
  <si>
    <t>1TL</t>
  </si>
  <si>
    <t>2TL</t>
  </si>
  <si>
    <t>3TL</t>
  </si>
  <si>
    <t>4TL</t>
  </si>
  <si>
    <t>5TL</t>
  </si>
  <si>
    <t>6TL</t>
  </si>
  <si>
    <t>7TL</t>
  </si>
  <si>
    <t>8TL</t>
  </si>
  <si>
    <t>9TL</t>
  </si>
  <si>
    <t>10TL</t>
  </si>
  <si>
    <t>11TL</t>
  </si>
  <si>
    <t>12TL</t>
  </si>
  <si>
    <t>13TL</t>
  </si>
  <si>
    <t>14TL</t>
  </si>
  <si>
    <t>1DHL</t>
  </si>
  <si>
    <t>2DHL</t>
  </si>
  <si>
    <t>3DHL</t>
  </si>
  <si>
    <t>4DHL</t>
  </si>
  <si>
    <t>5DHL</t>
  </si>
  <si>
    <t>6DHL</t>
  </si>
  <si>
    <t>7DHL</t>
  </si>
  <si>
    <t>8DHL</t>
  </si>
  <si>
    <t>9DHL</t>
  </si>
  <si>
    <t>10DHL</t>
  </si>
  <si>
    <t>11DHL</t>
  </si>
  <si>
    <t>12DHL</t>
  </si>
  <si>
    <t>14DHL</t>
  </si>
  <si>
    <t>Reference for OPEX col</t>
  </si>
  <si>
    <t>Scrape code</t>
  </si>
  <si>
    <t>End use code</t>
  </si>
  <si>
    <t>This table tells us how much of each stream is exported at cost or given away. Sold manure does not count for transportability.</t>
  </si>
  <si>
    <t>Giveaway PCT</t>
  </si>
  <si>
    <t>Pay to export PCT</t>
  </si>
  <si>
    <t>SUM PCT</t>
  </si>
  <si>
    <t>DHLEnd use drag hose</t>
  </si>
  <si>
    <t>Conversion factors (1000 gal x conversion = ton)</t>
  </si>
  <si>
    <t>Liquid to ton</t>
  </si>
  <si>
    <t>ton/1000 gal</t>
  </si>
  <si>
    <t>Slurry to ton</t>
  </si>
  <si>
    <t>Sep Solids</t>
  </si>
  <si>
    <t>Sludge to ton</t>
  </si>
  <si>
    <t>Set Solids</t>
  </si>
  <si>
    <t>Liquid manure</t>
  </si>
  <si>
    <t>lb/gal</t>
  </si>
  <si>
    <t>https://lpelc.org/common-manure-test-results-conversions/</t>
  </si>
  <si>
    <t>https://www.pumper.com/editorial/2008/02/weighty-issues#:~:text=That's%20why%20the%20sludge%20is,at%209%20pounds%20per%20gallon.</t>
  </si>
  <si>
    <t>Col. in Sc tab</t>
  </si>
  <si>
    <t>kWh/y</t>
  </si>
  <si>
    <t>gal/y</t>
  </si>
  <si>
    <t>Labor needed for land application activities</t>
  </si>
  <si>
    <t>Acres needed for raw manure as excreted</t>
  </si>
  <si>
    <t>Raw manure</t>
  </si>
  <si>
    <t>Fertilizer value of manure</t>
  </si>
  <si>
    <t>Unit; Clarification</t>
  </si>
  <si>
    <t>Rates</t>
  </si>
  <si>
    <t>Pre-processing manure characteristics</t>
  </si>
  <si>
    <t>Fertilizer (as manure) cost savings</t>
  </si>
  <si>
    <t>N availability in manure (proportion)</t>
  </si>
  <si>
    <t>Raw manure as excreted</t>
  </si>
  <si>
    <t>L/y</t>
  </si>
  <si>
    <t>Volume of manure removed</t>
  </si>
  <si>
    <t>P availability in manure (proportion)</t>
  </si>
  <si>
    <t>Manure N content</t>
  </si>
  <si>
    <t>K availability in manure (proportion)</t>
  </si>
  <si>
    <t>Manure P2O5 content</t>
  </si>
  <si>
    <t>N avail can change depending on if it is broadcast or injection; Varma may specify default values</t>
  </si>
  <si>
    <t>Manure K2O content</t>
  </si>
  <si>
    <t>Nutrient to apply for</t>
  </si>
  <si>
    <t>Manure N available</t>
  </si>
  <si>
    <t>Crop N needs (lb/ac/y)</t>
  </si>
  <si>
    <t>lb/y</t>
  </si>
  <si>
    <t>Manure P2O5 available</t>
  </si>
  <si>
    <t>Crop P needs (lb/ac/y)</t>
  </si>
  <si>
    <t>Manure K2O available</t>
  </si>
  <si>
    <t>Crop K needs (lb/ac/y)</t>
  </si>
  <si>
    <t>Amount of manure needed for N</t>
  </si>
  <si>
    <t>1000 gal/ac/y</t>
  </si>
  <si>
    <t>Amount of manure needed for P2O5</t>
  </si>
  <si>
    <t>Crop P2O5 needs (lb/ac/y)</t>
  </si>
  <si>
    <t>Amount of manure needed for K2O</t>
  </si>
  <si>
    <t>Crop K2O needs (lb/ac/y)</t>
  </si>
  <si>
    <t>Amount of manure to apply</t>
  </si>
  <si>
    <t>1000 gal/ac</t>
  </si>
  <si>
    <t>Manure N content (lb/1000 gal)</t>
  </si>
  <si>
    <t>Nutrient N available that will be applied</t>
  </si>
  <si>
    <t>lb/ac/y</t>
  </si>
  <si>
    <t>Manure P2O5 content (lb/1000 gal)</t>
  </si>
  <si>
    <t>Nutrient P2O5 available that will be applied</t>
  </si>
  <si>
    <t>Manure K2O content (lb/1000 gal)</t>
  </si>
  <si>
    <t>Nutrient K2O available that will be applied</t>
  </si>
  <si>
    <t>Nutrient N with value</t>
  </si>
  <si>
    <t xml:space="preserve">compare to crop needs to see </t>
  </si>
  <si>
    <t>Nutrient P2O5 with value</t>
  </si>
  <si>
    <t xml:space="preserve">how much commercial fertilizer </t>
  </si>
  <si>
    <t>Nutrient K2O with value</t>
  </si>
  <si>
    <t>you would need</t>
  </si>
  <si>
    <t>N cost of fertilizer</t>
  </si>
  <si>
    <t>P2O5 cost of fertilizer</t>
  </si>
  <si>
    <t>K2O cost of fertilizer</t>
  </si>
  <si>
    <t>Manure value for N</t>
  </si>
  <si>
    <t>$/ac/y</t>
  </si>
  <si>
    <t>Manure value for P2O5</t>
  </si>
  <si>
    <t>Manure value for K2O</t>
  </si>
  <si>
    <t>Manure value by acre (summed all nutrients values)</t>
  </si>
  <si>
    <t>Manure value by manure volume</t>
  </si>
  <si>
    <t>Excess N applied</t>
  </si>
  <si>
    <t>Excess P2O5 applied</t>
  </si>
  <si>
    <t>Excess K2O applied</t>
  </si>
  <si>
    <t>Acres needed for complete application</t>
  </si>
  <si>
    <t>ac/y</t>
  </si>
  <si>
    <t>Acres available for application</t>
  </si>
  <si>
    <t>Acres actually applied by liquids</t>
  </si>
  <si>
    <t>Volume of manure able to apply</t>
  </si>
  <si>
    <r>
      <t xml:space="preserve">Volume of </t>
    </r>
    <r>
      <rPr>
        <b/>
        <sz val="11"/>
        <color theme="1"/>
        <rFont val="Calibri"/>
        <family val="2"/>
        <scheme val="minor"/>
      </rPr>
      <t>available manure</t>
    </r>
    <r>
      <rPr>
        <sz val="11"/>
        <color theme="1"/>
        <rFont val="Calibri"/>
        <family val="2"/>
        <scheme val="minor"/>
      </rPr>
      <t xml:space="preserve"> to apply</t>
    </r>
  </si>
  <si>
    <t>Excess volume of manure</t>
  </si>
  <si>
    <t>NA - drag hose application does not exist in Sc13</t>
  </si>
  <si>
    <t>Capital outlay, total</t>
  </si>
  <si>
    <t>Capital outlay, per cow</t>
  </si>
  <si>
    <t>$/cow</t>
  </si>
  <si>
    <t>Cost to export excess manure streams</t>
  </si>
  <si>
    <t>Cost per unit manure land applied on-farm (liquid, slurry, sludge)</t>
  </si>
  <si>
    <t>Cost per unit manure land applied on-farm (solids, compost)</t>
  </si>
  <si>
    <t>$/ton</t>
  </si>
  <si>
    <t>Total waste generated (manure+water)</t>
  </si>
  <si>
    <t>gal/d</t>
  </si>
  <si>
    <t>gal/head/d</t>
  </si>
  <si>
    <t>Total separated solids generated</t>
  </si>
  <si>
    <t>Total settled solids generated</t>
  </si>
  <si>
    <t>Total compost generated</t>
  </si>
  <si>
    <t>Total liquid manure generated</t>
  </si>
  <si>
    <t>Total slurry manure generated</t>
  </si>
  <si>
    <t>Total sludge manure generated</t>
  </si>
  <si>
    <t>[KEEPING THESE ROWS - NOT BEING USED RN, BUT JUST IN CASE SOMETHING CHANGES IN THE FUTURE 6/24/2025]</t>
  </si>
  <si>
    <t>1000 gal on sludge year</t>
  </si>
  <si>
    <t>lb/y (on average)</t>
  </si>
  <si>
    <t>Acres needed, deep pit slurry manure</t>
  </si>
  <si>
    <t>Acres needed, storage tank slurry manure</t>
  </si>
  <si>
    <t>Acres needed, lagoon liquid manure</t>
  </si>
  <si>
    <t>Acres needed, lagoon sludge manure (sludge year)</t>
  </si>
  <si>
    <t>ac on sludge year</t>
  </si>
  <si>
    <t>Acres needed, separated solids</t>
  </si>
  <si>
    <t>Acres needed, compost manure</t>
  </si>
  <si>
    <t>Total acres needed non-sludge year</t>
  </si>
  <si>
    <t>Total acres needed sludge year</t>
  </si>
  <si>
    <t>TOTAL ACRES NEEDED, ON AVERAGE</t>
  </si>
  <si>
    <t>ac/y (on average)</t>
  </si>
  <si>
    <t>TOTAL DEFICIT OR SURPLUS ACRES, ON AVERAGE (ac available minus acres needed)</t>
  </si>
  <si>
    <t>TOTAL DEFICIT OR SURPLUS ACRES, non-sludge year (ac available minus acres needed)</t>
  </si>
  <si>
    <t>TOTAL DEFICIT OR SURPLUS ACRES, sludge year (ac available minus acres needed)</t>
  </si>
  <si>
    <r>
      <t xml:space="preserve">TOTAL </t>
    </r>
    <r>
      <rPr>
        <b/>
        <sz val="11"/>
        <color rgb="FFFF0000"/>
        <rFont val="Calibri"/>
        <family val="2"/>
        <scheme val="minor"/>
      </rPr>
      <t>DEFICIT</t>
    </r>
    <r>
      <rPr>
        <b/>
        <sz val="11"/>
        <color theme="1"/>
        <rFont val="Calibri"/>
        <family val="2"/>
        <scheme val="minor"/>
      </rPr>
      <t xml:space="preserve"> ACRES, ON AVERAGE (ac available minus acres needed)</t>
    </r>
  </si>
  <si>
    <r>
      <t xml:space="preserve">TOTAL </t>
    </r>
    <r>
      <rPr>
        <b/>
        <sz val="11"/>
        <color rgb="FFFF0000"/>
        <rFont val="Calibri"/>
        <family val="2"/>
        <scheme val="minor"/>
      </rPr>
      <t>DEFICIT</t>
    </r>
    <r>
      <rPr>
        <b/>
        <sz val="11"/>
        <color theme="1"/>
        <rFont val="Calibri"/>
        <family val="2"/>
        <scheme val="minor"/>
      </rPr>
      <t xml:space="preserve"> ACRES, non-sludge year (ac available minus acres needed)</t>
    </r>
  </si>
  <si>
    <r>
      <t xml:space="preserve">TOTAL </t>
    </r>
    <r>
      <rPr>
        <b/>
        <sz val="11"/>
        <color rgb="FFFF0000"/>
        <rFont val="Calibri"/>
        <family val="2"/>
        <scheme val="minor"/>
      </rPr>
      <t xml:space="preserve">DEFICIT </t>
    </r>
    <r>
      <rPr>
        <b/>
        <sz val="11"/>
        <color theme="1"/>
        <rFont val="Calibri"/>
        <family val="2"/>
        <scheme val="minor"/>
      </rPr>
      <t>ACRES, sludge year (ac available minus acres needed)</t>
    </r>
  </si>
  <si>
    <t>Excess volume, deep pit slurry manure</t>
  </si>
  <si>
    <t>Excess volume, lagoon sludge manure (sludge year)</t>
  </si>
  <si>
    <t>1000 gal/y (on average)</t>
  </si>
  <si>
    <t>Excess amount, separated solids (non-sludge year)</t>
  </si>
  <si>
    <t>Excess amount, separated solids (sludge year)</t>
  </si>
  <si>
    <t>Excess amount, compost (non-sludge year)</t>
  </si>
  <si>
    <t>Excess amount, compost (sludge year)</t>
  </si>
  <si>
    <t>Storage tank constructed size (sum of all tanks)</t>
  </si>
  <si>
    <t>Storage tank total capital cost (sum of all tanks)</t>
  </si>
  <si>
    <t>Lagoon constructed size</t>
  </si>
  <si>
    <t>Lagoon total capital cost</t>
  </si>
  <si>
    <t>Covered lagoon constructed size</t>
  </si>
  <si>
    <t>Covered lagoon total capital cost</t>
  </si>
  <si>
    <t>Digester constructed size (sum of all digesters)</t>
  </si>
  <si>
    <t>Digester total capital cost (sum of all digesters)</t>
  </si>
  <si>
    <t>Non-sludge year labor</t>
  </si>
  <si>
    <t>Sludge labor</t>
  </si>
  <si>
    <t>Sum non-sludge + sludge year labor</t>
  </si>
  <si>
    <t>Average non-sludge + sludge labor</t>
  </si>
  <si>
    <t>h/y (on average)</t>
  </si>
  <si>
    <t>Acres needed for raw, as-excreted manure, pre-processing</t>
  </si>
  <si>
    <t>NUTRIENT CONTENT OF MANURE STREAMS</t>
  </si>
  <si>
    <t>N (lb/1000 gal)</t>
  </si>
  <si>
    <t>P2O5 (lb/1000 gal)</t>
  </si>
  <si>
    <t>K2O (lb/1000 gal)</t>
  </si>
  <si>
    <t>True_ID</t>
  </si>
  <si>
    <t>Scenario_Number</t>
  </si>
  <si>
    <t>Sub_Scenario</t>
  </si>
  <si>
    <t>Scenario_Type</t>
  </si>
  <si>
    <t>Scenario_Name</t>
  </si>
  <si>
    <t>Scenario_ID</t>
  </si>
  <si>
    <t>Scenario_Properties</t>
  </si>
  <si>
    <t>Scenario_True_Properties (Use for index, when you want the actual name)</t>
  </si>
  <si>
    <t>Scenario_Desc</t>
  </si>
  <si>
    <t>The farm uses a deep pit slurry storage system, where the manure and wash water is stored for a period of time before being emptied. The accumulated slurry is agitated and land-applied using tractor-pulled tanker method.</t>
  </si>
  <si>
    <t>The farm uses a deep pit slurry storage system, where the manure and wash water is stored for a period of time before being emptied. The accumulated slurry is agitated and land-applied using tractor-pulled drag hose method.</t>
  </si>
  <si>
    <t>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tractor-pulled tanker method.</t>
  </si>
  <si>
    <t>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the tractor-pulled drag hose method.</t>
  </si>
  <si>
    <t>The farm uses a flush water system for barn cleaning. The flushed manure flows to a lagoon and is stored for a period of time before it is emptied. The accumulated sludge is removed after a long storage period. Both the liquids and sludge removal is done with agitation and land applied using the tractor-pulled tanker method.</t>
  </si>
  <si>
    <t>Outside SS covered storage</t>
  </si>
  <si>
    <t>The farm uses a scrape system for barn cleaning. The scraped manure is collected in a reception pit and pumped to an outside Slurry Storage tank for a period of time before it is emptied. The slurry removal is done with agitation and land applied using the tractor-pulled tanker method.</t>
  </si>
  <si>
    <t>The farm uses a scrape system for barn cleaning. The scraped manure is collected in a reception pit and pumped to an outside Slurry Storage tank for a period of time before it is emptied. The slurry removal is done with agitation and land applied using the  tractor-pulled drag hose method.</t>
  </si>
  <si>
    <t>Scrape -  Compost</t>
  </si>
  <si>
    <t>The farm uses a scrape system for barn cleaning. The manure is scraped into a collection pit and pumped to an on-site facility for composting.</t>
  </si>
  <si>
    <t>Scrape - Inclined SS - Lagoon</t>
  </si>
  <si>
    <t>Waste generated - Animals</t>
  </si>
  <si>
    <t>All</t>
  </si>
  <si>
    <t>Total number of animals with managed manure</t>
  </si>
  <si>
    <t>Total manure generated by all animals</t>
  </si>
  <si>
    <t>kg/y</t>
  </si>
  <si>
    <t>Total solids in animal manure</t>
  </si>
  <si>
    <t>Total volatile solids in animal manure</t>
  </si>
  <si>
    <t>Total nitrogen in manure</t>
  </si>
  <si>
    <t>Total P2O5 in manure</t>
  </si>
  <si>
    <t>Total K2O in manure</t>
  </si>
  <si>
    <t>Density of manure</t>
  </si>
  <si>
    <t>Volume of manure</t>
  </si>
  <si>
    <t>Waste generated - Sprinklers</t>
  </si>
  <si>
    <t>Fresh water usage rate of sprinklers</t>
  </si>
  <si>
    <t>Non-evaporated water usage rate of sprinklers that enters waste stream</t>
  </si>
  <si>
    <t>Maximum possible volume of sprinkler water that enters waste stream</t>
  </si>
  <si>
    <t>Total volume of sprinkler water that enters waste stream</t>
  </si>
  <si>
    <t>Waste generated - All systems minimum volume</t>
  </si>
  <si>
    <t>Volume of waste from animals and sprinklers</t>
  </si>
  <si>
    <t>Waste generated - Flush systems</t>
  </si>
  <si>
    <t>Water used for flushing</t>
  </si>
  <si>
    <t>Fraction of flush water that is recycled</t>
  </si>
  <si>
    <t>Recycled flush water in waste stream</t>
  </si>
  <si>
    <t>Fresh flush water in waste stream</t>
  </si>
  <si>
    <t>Total volume of flow within flush system</t>
  </si>
  <si>
    <t>Waste generated - Scrape systems</t>
  </si>
  <si>
    <t>Water used for scraping</t>
  </si>
  <si>
    <t>Use recycle or fresh toggle? (1 = Fresh, 0 = Recycle)</t>
  </si>
  <si>
    <t>toggle</t>
  </si>
  <si>
    <t>Total volume of flow within scrape system</t>
  </si>
  <si>
    <t>Waste generated - Pull plug systems</t>
  </si>
  <si>
    <t>Water used for recharging</t>
  </si>
  <si>
    <t>Days of recharging until plug is pulled event</t>
  </si>
  <si>
    <t>days/event</t>
  </si>
  <si>
    <t>Recharge rate</t>
  </si>
  <si>
    <t>Recycled water needed per day</t>
  </si>
  <si>
    <t>Fresh water needed per day</t>
  </si>
  <si>
    <t>Pit recharge frequency</t>
  </si>
  <si>
    <t>Total volume of flow within pull plug system</t>
  </si>
  <si>
    <t>The farm uses a deep pit slurry storage system, where the manure and wash water is stored for 365 days before being emptied. The accumulated slurry is agitated and land-applied using tractor-pulled tanker method.</t>
  </si>
  <si>
    <t>The farm uses a deep pit slurry storage system, where the manure and wash water is stored for 365 days before being emptied. The accumulated slurry is agitated and land-applied using tractor-pulled drag hose method.</t>
  </si>
  <si>
    <t>The farm uses a deep pit slurry storage system with precise aeration, where the manure and wash water is stored for 365 days before being emptied. The aeration system spreads compressed air throughout the pit increasing oxygen levels, ensuring it is constantly in a liquid state. The accumulated slurry is agitated and land-applied using tractor-pulled tanker method.</t>
  </si>
  <si>
    <t>Base system</t>
  </si>
  <si>
    <t>Aerated system</t>
  </si>
  <si>
    <t>Most likely volume of sprinkler water that enters waste stream</t>
  </si>
  <si>
    <t>Waste generated - Summary</t>
  </si>
  <si>
    <t>Deep pit slurry system loading rates</t>
  </si>
  <si>
    <t>Volume of waste loaded into pit</t>
  </si>
  <si>
    <t>Mass loading rate of TS in pit</t>
  </si>
  <si>
    <t>Mass loading rate of VS in pit</t>
  </si>
  <si>
    <t>Mass loading rate of N in pit</t>
  </si>
  <si>
    <t>Mass loading rate of P2O5 in pit</t>
  </si>
  <si>
    <t>Mass loading rate of K2O in pit</t>
  </si>
  <si>
    <t>day/HRT</t>
  </si>
  <si>
    <t>Removal events per year</t>
  </si>
  <si>
    <t>Interval between slurry removal</t>
  </si>
  <si>
    <t>Volume of waste over HRT</t>
  </si>
  <si>
    <t>Mass of TS accumulated over HRT</t>
  </si>
  <si>
    <t>kg/HRT</t>
  </si>
  <si>
    <t>Mass of VS accumulated over HRT</t>
  </si>
  <si>
    <t>Mass of N accumulated over HRT</t>
  </si>
  <si>
    <t>Mass of P2O5 accumulated over HRT</t>
  </si>
  <si>
    <t>Mass of K2O accumulated over HRT</t>
  </si>
  <si>
    <t>Deep pit rectangular basin sizing</t>
  </si>
  <si>
    <t>Width of the basin</t>
  </si>
  <si>
    <t>Depth of the basin</t>
  </si>
  <si>
    <t>Length of the basin to hold required volume</t>
  </si>
  <si>
    <t>Deep pit footprint area</t>
  </si>
  <si>
    <t>Total volume of deep pit</t>
  </si>
  <si>
    <t>Deep pit aeration system (where needed)</t>
  </si>
  <si>
    <t>Drive units per area footprint</t>
  </si>
  <si>
    <t>motors/unit</t>
  </si>
  <si>
    <t>Size of motor(s)</t>
  </si>
  <si>
    <t>Pit aeration operation time</t>
  </si>
  <si>
    <t>Number of drive units, pit aeration</t>
  </si>
  <si>
    <t>Number of motors/compressors, pit aeration</t>
  </si>
  <si>
    <t>Motor electricity demand</t>
  </si>
  <si>
    <t>Electricity needed, total</t>
  </si>
  <si>
    <t>LCA Electricity</t>
  </si>
  <si>
    <t>Removal efficiency</t>
  </si>
  <si>
    <t>Fraction of TS that remains after storage period</t>
  </si>
  <si>
    <t>Fraction of VS that remains after storage period</t>
  </si>
  <si>
    <t>Fraction of P2O5 that remains after storage period</t>
  </si>
  <si>
    <t>Fraction of K2O that remains after storage period</t>
  </si>
  <si>
    <t>Effluent slurry</t>
  </si>
  <si>
    <t>TS in effluent</t>
  </si>
  <si>
    <t>VS in effluent</t>
  </si>
  <si>
    <t>N in effluent</t>
  </si>
  <si>
    <t>P2O5 in effluent</t>
  </si>
  <si>
    <t>K2O in effluent</t>
  </si>
  <si>
    <t>Total manure slurry removed each year</t>
  </si>
  <si>
    <t>1000 gal/yr</t>
  </si>
  <si>
    <t>Effluent concentrations</t>
  </si>
  <si>
    <t>N concentration</t>
  </si>
  <si>
    <t>P2O5 concentration</t>
  </si>
  <si>
    <t>K2O concentration</t>
  </si>
  <si>
    <t>Slurry N content</t>
  </si>
  <si>
    <t>Slurry P2O5 content</t>
  </si>
  <si>
    <t>Slurry K2O content</t>
  </si>
  <si>
    <t>Deep pit manure nutrient application</t>
  </si>
  <si>
    <t>Fraction of N that can be taken in with application method</t>
  </si>
  <si>
    <t>Fraction of P that can be taken in with application method</t>
  </si>
  <si>
    <t>Fraction of K that can be taken in with application method</t>
  </si>
  <si>
    <t>lb/ac/yr</t>
  </si>
  <si>
    <t>Nutrient application of slurry</t>
  </si>
  <si>
    <t>1000 gal/ac/yr</t>
  </si>
  <si>
    <t>nutrient</t>
  </si>
  <si>
    <t>Maximum volume that can be applied per land area per treatment period</t>
  </si>
  <si>
    <t>Waiting period between application events that is required to let land dry and be ready for next application</t>
  </si>
  <si>
    <t>Maximum volume that can be applied per land area per year</t>
  </si>
  <si>
    <t>LCA Land for slurry application (m2)</t>
  </si>
  <si>
    <t>Volume of manure that is needed for on farm application</t>
  </si>
  <si>
    <t>Volume of manure that is available for on farm application</t>
  </si>
  <si>
    <t>Application rate for manure</t>
  </si>
  <si>
    <t>Application from storage</t>
  </si>
  <si>
    <t>gal/ac/year</t>
  </si>
  <si>
    <t>Fraction of removable volume that is applied on farm</t>
  </si>
  <si>
    <t>Volume of manure slurry applied on farm</t>
  </si>
  <si>
    <t>gallons/event</t>
  </si>
  <si>
    <t>Application depth</t>
  </si>
  <si>
    <t>Nutrient value</t>
  </si>
  <si>
    <t>Mass loading of VS</t>
  </si>
  <si>
    <t>Methane producing capacity (B_o)</t>
  </si>
  <si>
    <t>m3 CH4/kg VS</t>
  </si>
  <si>
    <t>Conversion factor of m3 CH4 to kg CH4</t>
  </si>
  <si>
    <t>Estimated MCF</t>
  </si>
  <si>
    <t>CH4 emissions from this structure</t>
  </si>
  <si>
    <t>LCA CH4 emissions</t>
  </si>
  <si>
    <t>kg CH4/head/year</t>
  </si>
  <si>
    <t>Nitrogen emissions</t>
  </si>
  <si>
    <t>N entering deep pit</t>
  </si>
  <si>
    <t>Conversion factor for direct N2O-N to N2O</t>
  </si>
  <si>
    <t>kg N2O/kg N2O-N</t>
  </si>
  <si>
    <t>N stored in lagoon</t>
  </si>
  <si>
    <t>kg N/animal year</t>
  </si>
  <si>
    <t>NH3 emissions</t>
  </si>
  <si>
    <t>Fraction of nitrogen that volatilizes as NH3 in deep pit</t>
  </si>
  <si>
    <t>NH3 emission from lagoon</t>
  </si>
  <si>
    <t>kg N/animal/year</t>
  </si>
  <si>
    <t>Total NH3 emissions from system</t>
  </si>
  <si>
    <t>LCA NH3</t>
  </si>
  <si>
    <t>N2O direct emissions</t>
  </si>
  <si>
    <t>N2O direct emission factor for deep pit</t>
  </si>
  <si>
    <r>
      <t>kg N</t>
    </r>
    <r>
      <rPr>
        <vertAlign val="subscript"/>
        <sz val="11"/>
        <color theme="1"/>
        <rFont val="Calibri"/>
        <family val="2"/>
        <scheme val="minor"/>
      </rPr>
      <t>2</t>
    </r>
    <r>
      <rPr>
        <sz val="11"/>
        <color theme="1"/>
        <rFont val="Calibri"/>
        <family val="2"/>
        <scheme val="minor"/>
      </rPr>
      <t>O-N/kg N</t>
    </r>
  </si>
  <si>
    <t>Direct nitrous oxide emission from lagoon</t>
  </si>
  <si>
    <t>kg N2O/animal/year</t>
  </si>
  <si>
    <t>Total N2O direct emissions from system</t>
  </si>
  <si>
    <t>LCA N2O Direct</t>
  </si>
  <si>
    <t>N2O indirect emissions</t>
  </si>
  <si>
    <t>N2O indirect EF4</t>
  </si>
  <si>
    <t>kg N2O-N per (kg NH3 and NOx)</t>
  </si>
  <si>
    <t>Indirect nitrous oxide emission from lagoon</t>
  </si>
  <si>
    <t>Total N2O indirect emissions from system</t>
  </si>
  <si>
    <t>LCA N2O Indirect</t>
  </si>
  <si>
    <t>Application from storage (general characteristics)</t>
  </si>
  <si>
    <t>Is additional aeration required before application? Yes == 1, No == 0</t>
  </si>
  <si>
    <t>Timeframe to land apply non-sludge</t>
  </si>
  <si>
    <t>Maximum tractor usage per day</t>
  </si>
  <si>
    <t>Time between removal events</t>
  </si>
  <si>
    <t>Distance from storage to field (average)</t>
  </si>
  <si>
    <t>Distance from storage to field (max, applicable to drag hose)</t>
  </si>
  <si>
    <t>Unloading events per year</t>
  </si>
  <si>
    <t>event/year</t>
  </si>
  <si>
    <t>Tanker - Application on field</t>
  </si>
  <si>
    <t>Tanker, size</t>
  </si>
  <si>
    <t>Tractor for tanker, size</t>
  </si>
  <si>
    <t>PTO HP</t>
  </si>
  <si>
    <t>Near storage maneuvering time</t>
  </si>
  <si>
    <t>hr</t>
  </si>
  <si>
    <t>In field maneuvering time</t>
  </si>
  <si>
    <t>Storage to tanker loading rate</t>
  </si>
  <si>
    <t>Storage to tanker loading time one cycle</t>
  </si>
  <si>
    <t>Tanker spreader unloading rate while applying</t>
  </si>
  <si>
    <t>Tanker spreader unloading time one cycle</t>
  </si>
  <si>
    <t>Tractor tanker loaded road speed</t>
  </si>
  <si>
    <t>mile/hr</t>
  </si>
  <si>
    <t>Tractor tanker unloaded road speed</t>
  </si>
  <si>
    <t>Loaded tractor tanker road travel time to field</t>
  </si>
  <si>
    <t>Unloaded tractor tanker road travel time back to storage</t>
  </si>
  <si>
    <t>Time for one load/unload cycle</t>
  </si>
  <si>
    <t>Effective unloading rate per tanker</t>
  </si>
  <si>
    <t>Operation time for tractor with tanker</t>
  </si>
  <si>
    <t>Time required for a single tanker to apply one year of manure during days in non-sludge timeframe</t>
  </si>
  <si>
    <t>Number of tanker tractors needed for application within non-sludge timeframe</t>
  </si>
  <si>
    <t>Number of days where tankers will apply per year</t>
  </si>
  <si>
    <t>Labor hours required per year of application</t>
  </si>
  <si>
    <t>Land application fuel usage rate</t>
  </si>
  <si>
    <t>Fuel needed for tractor with tank and applicator</t>
  </si>
  <si>
    <t>Fuel needed per year of application</t>
  </si>
  <si>
    <t>Tanker - Storage to tractor pumping</t>
  </si>
  <si>
    <t>Tractor for pumping, size</t>
  </si>
  <si>
    <t>PTO hp</t>
  </si>
  <si>
    <t>Max pumping time per day</t>
  </si>
  <si>
    <t>Pumping fuel usage rate</t>
  </si>
  <si>
    <t>Operation time for tractor pumping</t>
  </si>
  <si>
    <t>Average pumping time needed for days in timeframe</t>
  </si>
  <si>
    <t>Number of tractors needed for pumping</t>
  </si>
  <si>
    <t>Total time in days needed to pump</t>
  </si>
  <si>
    <t>day/event</t>
  </si>
  <si>
    <t>Fuel needed for tractor for pumping</t>
  </si>
  <si>
    <t>Fuel needed per year of pumping</t>
  </si>
  <si>
    <t>Tanker - Storage agitation</t>
  </si>
  <si>
    <t>NOTE: Agitation might not be needed for aerated system</t>
  </si>
  <si>
    <t>Tractor for agitator, size</t>
  </si>
  <si>
    <t>Hours spent on agitation before pumping begins on each day</t>
  </si>
  <si>
    <t>Agitation fuel usage rate</t>
  </si>
  <si>
    <t>Operation time for tractor agitating</t>
  </si>
  <si>
    <t>Average agitation time needed for days in timeframe</t>
  </si>
  <si>
    <t>Number of tractors needed for agitating</t>
  </si>
  <si>
    <t>Fuel needed for tractor for agitating</t>
  </si>
  <si>
    <t>Fuel needed per year of agitation</t>
  </si>
  <si>
    <t>gal/cow/year</t>
  </si>
  <si>
    <t>Fuel needed per year for all tanker application activity</t>
  </si>
  <si>
    <t>LCA Tanker Fuel Diesel</t>
  </si>
  <si>
    <t>Drag hose - Application from storage</t>
  </si>
  <si>
    <t>Size of tractor for pulling hose reel and applicator</t>
  </si>
  <si>
    <t>pto hp</t>
  </si>
  <si>
    <t>Max speed of draghose tractor when applying</t>
  </si>
  <si>
    <t>mile/hour</t>
  </si>
  <si>
    <t>Toolbar width</t>
  </si>
  <si>
    <t>Theoretical application rate with given speed, toolbar width, and nutrient requirements</t>
  </si>
  <si>
    <t>Maximum possible unloading rate of DHL pump</t>
  </si>
  <si>
    <t>Actual application rate (if ideal &gt; max, go down to max. Driver would need to reduce speed as well)</t>
  </si>
  <si>
    <t>Actual speed of the draghose tractor</t>
  </si>
  <si>
    <t>Time required to apply manure via drag hose</t>
  </si>
  <si>
    <t>Total operation time for tractor pulling hose reel and applicator, including maneuvers</t>
  </si>
  <si>
    <t>Daily average operation time for pulling hose reel and applicator, including manuevers</t>
  </si>
  <si>
    <t>Number of tractors for pulling hose reel and applicator (roundup)</t>
  </si>
  <si>
    <t>Size of tractor for support with hose pulley</t>
  </si>
  <si>
    <t>Number of tractors for support with hose pulley</t>
  </si>
  <si>
    <t>Fuel usage rate for tractor for pulling hose reel and applicator</t>
  </si>
  <si>
    <t>Fuel usage rate for support tractor with hose pulley</t>
  </si>
  <si>
    <t>Fuel needed for application per event</t>
  </si>
  <si>
    <t>Fuel needed for application per year</t>
  </si>
  <si>
    <t>Drag hose - Agitation and pumping</t>
  </si>
  <si>
    <t>Diesel powered pump(s), size</t>
  </si>
  <si>
    <t>Number of diesel powered lead pumps needed</t>
  </si>
  <si>
    <t>Number of diesel powered agitation trailers needed</t>
  </si>
  <si>
    <t>miles/pump</t>
  </si>
  <si>
    <t>Number of booster pumps needed</t>
  </si>
  <si>
    <t>Operation time for pumping</t>
  </si>
  <si>
    <t>Fuel needed for diesel powered lead pump</t>
  </si>
  <si>
    <t>Fuel needed for diesel powered booster pump</t>
  </si>
  <si>
    <t>Fuel needed for diesel powered agitation trailer</t>
  </si>
  <si>
    <t>Fuel needed for pickup truck</t>
  </si>
  <si>
    <t>Fuel needed for agitation and pumping per event</t>
  </si>
  <si>
    <t>Fuel needed for agitation and pumping per year</t>
  </si>
  <si>
    <t>Fuel needed for all drag hose activity per year</t>
  </si>
  <si>
    <t>Transfer</t>
  </si>
  <si>
    <t>Transfer table entries (aligned with tables on the left)</t>
  </si>
  <si>
    <t>Deep pit properties</t>
  </si>
  <si>
    <t>Pit constructed size</t>
  </si>
  <si>
    <t>quantity/year</t>
  </si>
  <si>
    <t>Manure slurry removed, deep pit</t>
  </si>
  <si>
    <t>m3/year</t>
  </si>
  <si>
    <t>N removed, deep pit</t>
  </si>
  <si>
    <t>P2O5 removed, deep pit</t>
  </si>
  <si>
    <t>K2O removed, deep pit</t>
  </si>
  <si>
    <t>Tanker application during non-sludge years</t>
  </si>
  <si>
    <t>Application by broadcast or injection?</t>
  </si>
  <si>
    <t>hrs/event</t>
  </si>
  <si>
    <t>Number of tractors with tanker needed</t>
  </si>
  <si>
    <t>Number of tractors for agitating needed</t>
  </si>
  <si>
    <t>Number of tractors for pumping needed</t>
  </si>
  <si>
    <t>Drag hose application during non-sludge years</t>
  </si>
  <si>
    <t>Number of tractors for pulling hose reel and applicator</t>
  </si>
  <si>
    <t>Distance from storage to field</t>
  </si>
  <si>
    <t>Fuel needed for tractor for pulling hose reel and applicator</t>
  </si>
  <si>
    <t>Fuel needed for support tractor with hose pulley</t>
  </si>
  <si>
    <t>Manure costs and excess</t>
  </si>
  <si>
    <t>1000 gal/year</t>
  </si>
  <si>
    <t>Fertilizer value for on-farm use, slurry</t>
  </si>
  <si>
    <t>$/year</t>
  </si>
  <si>
    <t>Deep pit with aeration</t>
  </si>
  <si>
    <t>LCA Table Entries</t>
  </si>
  <si>
    <t>Land required for deep pit system</t>
  </si>
  <si>
    <t>Land for slurry application</t>
  </si>
  <si>
    <t>Total land area of facilities</t>
  </si>
  <si>
    <t>Total land area of application</t>
  </si>
  <si>
    <t>Total land area required</t>
  </si>
  <si>
    <t>Fuel</t>
  </si>
  <si>
    <t>Diesel fuel used for tanker land application of slurry</t>
  </si>
  <si>
    <t>Diesel fuel used for drag hose land application of slurry</t>
  </si>
  <si>
    <t>Slurry nutrient contents</t>
  </si>
  <si>
    <t>Total N accumulated in liquids</t>
  </si>
  <si>
    <t>Total P2O5 accumulated in liquids</t>
  </si>
  <si>
    <t>Total K2O accumulated in liquids</t>
  </si>
  <si>
    <t>Excess slurry nutrient application</t>
  </si>
  <si>
    <t>Excess N applied due to slurry</t>
  </si>
  <si>
    <t>Excess P2O5 applied due to slurry</t>
  </si>
  <si>
    <t>Excess K2O applied due to slurry</t>
  </si>
  <si>
    <t>CH4 from deep pit</t>
  </si>
  <si>
    <t>NH3 from deep pit</t>
  </si>
  <si>
    <t>N2O direct from deep pit</t>
  </si>
  <si>
    <t>N2O indirect from deep pit</t>
  </si>
  <si>
    <t>Electricity used by aeration system</t>
  </si>
  <si>
    <t>kWh/head/year</t>
  </si>
  <si>
    <t>Shallow pit with flush system</t>
  </si>
  <si>
    <t>Volume of waste water and manure</t>
  </si>
  <si>
    <t>Volume of flush water used per day</t>
  </si>
  <si>
    <t>Volatile solids in stream</t>
  </si>
  <si>
    <t>Nitrogen in stream</t>
  </si>
  <si>
    <t>Shallow pit sizing</t>
  </si>
  <si>
    <t>Days of waste water and manure that can be stored</t>
  </si>
  <si>
    <t>Days of flush water that can be stored</t>
  </si>
  <si>
    <t>Shallow pit length</t>
  </si>
  <si>
    <t>Shallow pit depth</t>
  </si>
  <si>
    <t>Volume required to store waste water and manure</t>
  </si>
  <si>
    <t>Volume required to store flush water</t>
  </si>
  <si>
    <t>Total volume of shallow pit</t>
  </si>
  <si>
    <t>Shallow pit width</t>
  </si>
  <si>
    <t>Shallow pit land footprint</t>
  </si>
  <si>
    <t>LCA Land footprint</t>
  </si>
  <si>
    <t>Flushing</t>
  </si>
  <si>
    <t>From PT.waste_generation</t>
  </si>
  <si>
    <t>Recycled water usage</t>
  </si>
  <si>
    <t>Number of flushes per day</t>
  </si>
  <si>
    <t>flush/day</t>
  </si>
  <si>
    <t>Volume of water per flush</t>
  </si>
  <si>
    <t>m3/flush</t>
  </si>
  <si>
    <t>Nutrient losses</t>
  </si>
  <si>
    <t>Fraction of nitrogen remaining after storage</t>
  </si>
  <si>
    <t>Nitrogen that leaves after storage period</t>
  </si>
  <si>
    <t>Storage to flush tank loading</t>
  </si>
  <si>
    <t>Size of motor(s) needed for pump(s)</t>
  </si>
  <si>
    <t>hp/pump</t>
  </si>
  <si>
    <t>Maximum operational time for pump/motor</t>
  </si>
  <si>
    <t>Recycle pump flowrate per hour</t>
  </si>
  <si>
    <t>m3/hr/pump</t>
  </si>
  <si>
    <t>Number of pumps needed from pond/lagoon</t>
  </si>
  <si>
    <t>pumps</t>
  </si>
  <si>
    <t>Operational time for pump/motor</t>
  </si>
  <si>
    <r>
      <t>hr/day</t>
    </r>
    <r>
      <rPr>
        <sz val="11"/>
        <color theme="1"/>
        <rFont val="Calibri"/>
        <family val="2"/>
        <scheme val="minor"/>
      </rPr>
      <t>/pump</t>
    </r>
  </si>
  <si>
    <t>Power requirements</t>
  </si>
  <si>
    <t>kWh/cow/year</t>
  </si>
  <si>
    <t>Energy needed for motor(s) for pump(s)</t>
  </si>
  <si>
    <t>kWh/day</t>
  </si>
  <si>
    <t>Length of transfer channel per animal</t>
  </si>
  <si>
    <t>Transfer channel total length</t>
  </si>
  <si>
    <t>Pumping system requirements</t>
  </si>
  <si>
    <t>Number of head per barn</t>
  </si>
  <si>
    <t>head/barn</t>
  </si>
  <si>
    <t>Number of head on the farm</t>
  </si>
  <si>
    <t>Distance from each pump to splitters</t>
  </si>
  <si>
    <t>Distance from splitters to each barn</t>
  </si>
  <si>
    <t>Number of barns</t>
  </si>
  <si>
    <t>Total distance from pump to splitters</t>
  </si>
  <si>
    <t>Total distance from splitters to barns</t>
  </si>
  <si>
    <t>N entering shallow pit flush system</t>
  </si>
  <si>
    <t>N stored in shallow pit flush system</t>
  </si>
  <si>
    <t>Fraction of nitrogen that volatilizes as NH3 in shallow pit flush system</t>
  </si>
  <si>
    <t>NH3 emission from shallow pit flush system</t>
  </si>
  <si>
    <t>N2O direct emission factor for shallow pit flush system</t>
  </si>
  <si>
    <t>Direct nitrous oxide emission from shallow pit flush system</t>
  </si>
  <si>
    <t>Indirect nitrous oxide emission from shallow pit flush system</t>
  </si>
  <si>
    <t>Transfer table entries</t>
  </si>
  <si>
    <t>Total recycled water needed</t>
  </si>
  <si>
    <t>Manure removal from shallow pit flush</t>
  </si>
  <si>
    <t>Number of flushes</t>
  </si>
  <si>
    <t>Volume of recycled water per flush</t>
  </si>
  <si>
    <t>Total flush water volume</t>
  </si>
  <si>
    <t>Recycled water volume</t>
  </si>
  <si>
    <t>2025-04-24: Resolve questions about this line with Erin regarding recycle vs fresh</t>
  </si>
  <si>
    <t>Electricity for pumping to shallow pit</t>
  </si>
  <si>
    <t>Fresh water used for pumping to shallow pit</t>
  </si>
  <si>
    <t>m3/head/year</t>
  </si>
  <si>
    <t>CH4 from shallow flush</t>
  </si>
  <si>
    <t>NH3 from shallow flush</t>
  </si>
  <si>
    <t>Direct N2O from shallow flush</t>
  </si>
  <si>
    <t>Indirect N2O from shallow flush</t>
  </si>
  <si>
    <t>Shallow pit with scrape system</t>
  </si>
  <si>
    <t>All except 13</t>
  </si>
  <si>
    <t>Volume of scrape water used per day</t>
  </si>
  <si>
    <t>Recycled scrape water in waste stream</t>
  </si>
  <si>
    <t>Fresh scrape water in waste stream</t>
  </si>
  <si>
    <t>VS in system</t>
  </si>
  <si>
    <t>Days of scrape water that can be stored</t>
  </si>
  <si>
    <t>Scrape water tank</t>
  </si>
  <si>
    <t>Possibly delete: Are we wanting a recycle water system for scrape barns?</t>
  </si>
  <si>
    <t>Number of cleanings per day</t>
  </si>
  <si>
    <t>Volume of water per cleaning</t>
  </si>
  <si>
    <t>Volume of each tank</t>
  </si>
  <si>
    <t>Number of tanks</t>
  </si>
  <si>
    <t>tanks</t>
  </si>
  <si>
    <t>Distance from the recycle/recharge pump to barn</t>
  </si>
  <si>
    <t>Auto Alley Scraper</t>
  </si>
  <si>
    <t>Number of animals</t>
  </si>
  <si>
    <t>Number of scrapes per day</t>
  </si>
  <si>
    <t>times/day</t>
  </si>
  <si>
    <t>Electric motor size for drive unit</t>
  </si>
  <si>
    <t>Barn alley lane length per animal</t>
  </si>
  <si>
    <t>Barn alley lane length per driver</t>
  </si>
  <si>
    <t>m/driver</t>
  </si>
  <si>
    <t>Number of scrapers per driver</t>
  </si>
  <si>
    <t>Total length of barn alley lanes needed</t>
  </si>
  <si>
    <t>Number of drive units needed</t>
  </si>
  <si>
    <t>Number of scrapers needed</t>
  </si>
  <si>
    <t>Power consumption of one driver</t>
  </si>
  <si>
    <t>Time required to scrape entire length of barn alley lanes</t>
  </si>
  <si>
    <t>Time required for operation per day</t>
  </si>
  <si>
    <t>Total electricity used by auto alley system</t>
  </si>
  <si>
    <t>LCA Electricity Auto Alley</t>
  </si>
  <si>
    <t>Manure transfer channel for auto alley</t>
  </si>
  <si>
    <t>Length of transfer channel per transfer channel motor</t>
  </si>
  <si>
    <t>m/motor</t>
  </si>
  <si>
    <t>Length of transfer channel for auto alley drive unit</t>
  </si>
  <si>
    <t>m/unit</t>
  </si>
  <si>
    <t>scrapes/day</t>
  </si>
  <si>
    <t>Transfer channel number of drive units/motors</t>
  </si>
  <si>
    <t>Transfer channel system operation time</t>
  </si>
  <si>
    <t>Transfer channel total electricity</t>
  </si>
  <si>
    <t>LCA Electricity Transfer Channel</t>
  </si>
  <si>
    <t>N entering shallow pit scrape system</t>
  </si>
  <si>
    <t>N stored in shallow pit scrape system</t>
  </si>
  <si>
    <t>Fraction of nitrogen that volatilizes as NH3 in shallow pit scrape system</t>
  </si>
  <si>
    <t>NH3 emission from shallow pit scrape system</t>
  </si>
  <si>
    <t>N2O direct emission factor for shallow pit scrape system</t>
  </si>
  <si>
    <t>Direct nitrous oxide emission from shallow pit scrape system</t>
  </si>
  <si>
    <t>Indirect nitrous oxide emission from shallow pit scrape system</t>
  </si>
  <si>
    <t>Distance from pump to barns</t>
  </si>
  <si>
    <t>Number of scrapes, auto</t>
  </si>
  <si>
    <t>Alley length, total</t>
  </si>
  <si>
    <t>Auto alley system number of drive units/motors</t>
  </si>
  <si>
    <t>Number of scraper blades, auto</t>
  </si>
  <si>
    <t>Auto alley system operation time</t>
  </si>
  <si>
    <t>Auto alley system total electricity</t>
  </si>
  <si>
    <t>Electricity for pumping flush water into scrape system</t>
  </si>
  <si>
    <t>Electricity used by auto alley scrape system</t>
  </si>
  <si>
    <t>Electricity used by transfer channel in scrape system</t>
  </si>
  <si>
    <t>Fresh water used by scrape system</t>
  </si>
  <si>
    <t>CH4 from shallow scrape</t>
  </si>
  <si>
    <t>NH3 from shallow scrape</t>
  </si>
  <si>
    <t>Direct N2O from shallow scrape</t>
  </si>
  <si>
    <t>Indirect N2O from shallow scrape</t>
  </si>
  <si>
    <t>Shallow pit with pull plug</t>
  </si>
  <si>
    <t>Recharge frequency</t>
  </si>
  <si>
    <t>Total recycled water needed per event</t>
  </si>
  <si>
    <t>m3/event</t>
  </si>
  <si>
    <t>VS in stream</t>
  </si>
  <si>
    <t>Days of recharge water that can be stored</t>
  </si>
  <si>
    <t>Volume required to store recharge water</t>
  </si>
  <si>
    <t>Recharge system</t>
  </si>
  <si>
    <t>Number of pumps needed for recharge</t>
  </si>
  <si>
    <t>N entering shallow pit pull plug system</t>
  </si>
  <si>
    <t>N stored in shallow pit pull plug system</t>
  </si>
  <si>
    <t>Fraction of nitrogen that volatilizes as NH3 in shallow pit pull plug system</t>
  </si>
  <si>
    <t>NH3 emission from shallow pit pull plug system</t>
  </si>
  <si>
    <t>N2O direct emission factor for shallow pit pull plug system</t>
  </si>
  <si>
    <t>Direct nitrous oxide emission from shallow pit pull plug system</t>
  </si>
  <si>
    <t>Indirect nitrous oxide emission from shallow pit pull plug system</t>
  </si>
  <si>
    <t>Shallow plug properties</t>
  </si>
  <si>
    <t>Electricity used by recharge system</t>
  </si>
  <si>
    <t>Shallow pit</t>
  </si>
  <si>
    <t>Fresh water used to fill pull plug pit</t>
  </si>
  <si>
    <t>CH4 from shallow plug</t>
  </si>
  <si>
    <t>NH3 from shallow plug</t>
  </si>
  <si>
    <t>Direct N2O from shallow plug</t>
  </si>
  <si>
    <t>Indirect N2O from shallow plug</t>
  </si>
  <si>
    <t>Reception Pit - Sizing</t>
  </si>
  <si>
    <t>Volume of waste entering pit each day</t>
  </si>
  <si>
    <t>Days between pit waste removal</t>
  </si>
  <si>
    <t>Concrete wall thickness</t>
  </si>
  <si>
    <t>Width of pit</t>
  </si>
  <si>
    <t>Depth of pit</t>
  </si>
  <si>
    <t>Pit volume requirement</t>
  </si>
  <si>
    <t>Length of pit</t>
  </si>
  <si>
    <t>Land footprint of pit</t>
  </si>
  <si>
    <t>Surface area of pit concrete</t>
  </si>
  <si>
    <t>Concrete volume</t>
  </si>
  <si>
    <t>LCA Concrete Volume</t>
  </si>
  <si>
    <t>Reception Pit - Pumping</t>
  </si>
  <si>
    <t>Size of motor for agitation pumps</t>
  </si>
  <si>
    <t>Pump flowrate</t>
  </si>
  <si>
    <t>Max pumping hours per day</t>
  </si>
  <si>
    <t>hr/pump</t>
  </si>
  <si>
    <t>Number of agitation pumps needed</t>
  </si>
  <si>
    <t>Hours of pumping per day</t>
  </si>
  <si>
    <t>hr/day/pump</t>
  </si>
  <si>
    <t>Reception pit constructed size</t>
  </si>
  <si>
    <t>Size of motor(s) for agi-pump(s)</t>
  </si>
  <si>
    <t>Number of agi-pumps needed</t>
  </si>
  <si>
    <t>Energy needed for motor for agi-pump</t>
  </si>
  <si>
    <t>Electricity use</t>
  </si>
  <si>
    <t>Electricity used by reception pit pumps</t>
  </si>
  <si>
    <t>Land used by reception pit</t>
  </si>
  <si>
    <t>Inclined Slope Screen</t>
  </si>
  <si>
    <t>Volume of waste entering S/L</t>
  </si>
  <si>
    <t>Volume of recycled water</t>
  </si>
  <si>
    <t>Total solids loading of manure and bedding</t>
  </si>
  <si>
    <t>Volatile solids loading of manure and bedding</t>
  </si>
  <si>
    <t>Total nitrogen loading</t>
  </si>
  <si>
    <t>Total P2O5 loading</t>
  </si>
  <si>
    <t>Total K2O loading</t>
  </si>
  <si>
    <t>System Properties</t>
  </si>
  <si>
    <t>Minimum number of units</t>
  </si>
  <si>
    <t>units</t>
  </si>
  <si>
    <t>System that is chosen</t>
  </si>
  <si>
    <t>system number</t>
  </si>
  <si>
    <t>Number of motors</t>
  </si>
  <si>
    <t>Screen option</t>
  </si>
  <si>
    <t>inch</t>
  </si>
  <si>
    <t>Motor power requirement</t>
  </si>
  <si>
    <t>Maximum hydraulic loading per surface area</t>
  </si>
  <si>
    <t>gal/min/ft2</t>
  </si>
  <si>
    <t>Processing rate per minute</t>
  </si>
  <si>
    <t>gal/min/unit</t>
  </si>
  <si>
    <t>Processing rate over daily runtime</t>
  </si>
  <si>
    <t>gal/day/unit</t>
  </si>
  <si>
    <t>Size of motor for system in hp</t>
  </si>
  <si>
    <t>Time required for processing</t>
  </si>
  <si>
    <t>Energy use</t>
  </si>
  <si>
    <t>Thickness of concrete for storage surface areas</t>
  </si>
  <si>
    <t>Removal Efficiency</t>
  </si>
  <si>
    <t>Solids separation before digester? If before, value == 0, if after value == 1</t>
  </si>
  <si>
    <t>binary</t>
  </si>
  <si>
    <t>Organic bedding digestion multiplier</t>
  </si>
  <si>
    <t>Fraction of TS that goes into solids</t>
  </si>
  <si>
    <t>Fraction of VS that goes into solids</t>
  </si>
  <si>
    <t>Fraction of nitrogen that ends up in solids</t>
  </si>
  <si>
    <t>Fraction of P2O5 that ends up in solids</t>
  </si>
  <si>
    <t>Fraction of K2O that ends up in solids</t>
  </si>
  <si>
    <t>Effluent solids</t>
  </si>
  <si>
    <t>Total solids after S/L in solid portion</t>
  </si>
  <si>
    <t>Volatile solids after S/L in solid portion</t>
  </si>
  <si>
    <t>Total Nitrogen after S/L in solid portion</t>
  </si>
  <si>
    <t>Fraction of nitrogen remaining after solids storage</t>
  </si>
  <si>
    <t>Total P2O5 after S/L in solid portion</t>
  </si>
  <si>
    <t>Total K2O after S/L in solid portion</t>
  </si>
  <si>
    <t>Fraction of effluent solids that is dry matter</t>
  </si>
  <si>
    <t>Total mass of the solids pile, including total solids and moisture, which is sent to storage piles</t>
  </si>
  <si>
    <t>Total volume of moisture in pile</t>
  </si>
  <si>
    <t>Separated solids drying</t>
  </si>
  <si>
    <t>Density of the undried solids</t>
  </si>
  <si>
    <t>Number of days worth of solids piles stored</t>
  </si>
  <si>
    <t>Safety factor for storage area to allow overflow and maneuvering</t>
  </si>
  <si>
    <t>Daily volume of undried solids and volume of one cone pile</t>
  </si>
  <si>
    <t>Wet solids moved</t>
  </si>
  <si>
    <t>Approximate height and radius of cone pile</t>
  </si>
  <si>
    <t>Surface area occupied by one solids pile</t>
  </si>
  <si>
    <t>m2/day</t>
  </si>
  <si>
    <t>Total surface area for pile storage</t>
  </si>
  <si>
    <t>LCA Land Use</t>
  </si>
  <si>
    <t>Concrete volume for solids drying area</t>
  </si>
  <si>
    <t>Solids and recycled bedding drying</t>
  </si>
  <si>
    <t>Organic bedding used each day</t>
  </si>
  <si>
    <t>Fraction of bedding that comes from recycled solids (if available)</t>
  </si>
  <si>
    <t>Fraction of total solids that is dry matter after solar drying</t>
  </si>
  <si>
    <t>Density of recovered solids and organic bedding</t>
  </si>
  <si>
    <t>Mass of solids after solar drying</t>
  </si>
  <si>
    <t>Mass of recovered solids designated for export or land application</t>
  </si>
  <si>
    <t>Volume of recovered solids designated for export or land application</t>
  </si>
  <si>
    <t>Mass of solids applied or exported over entire year</t>
  </si>
  <si>
    <t>Nutrient application of solids</t>
  </si>
  <si>
    <t>ton/year</t>
  </si>
  <si>
    <t>Fraction of solids that leave the system via export or land application</t>
  </si>
  <si>
    <t>Nutrient contents of solids</t>
  </si>
  <si>
    <t>Total daily dry mass of solids</t>
  </si>
  <si>
    <t>N removed</t>
  </si>
  <si>
    <t>g/kg</t>
  </si>
  <si>
    <t>P2O5 removed</t>
  </si>
  <si>
    <t>K2O removed</t>
  </si>
  <si>
    <t>Total solids leaving the system via solids export or application</t>
  </si>
  <si>
    <t>Volatile solids leaving the system via solids export or application</t>
  </si>
  <si>
    <t>N leaving the system via solids export or application</t>
  </si>
  <si>
    <t>P2O5 leaving the system via solids export or application</t>
  </si>
  <si>
    <t>K2O leaving the system via solids export or application</t>
  </si>
  <si>
    <t>Effluent liquids</t>
  </si>
  <si>
    <t>Volume of waste after S/L</t>
  </si>
  <si>
    <t>Downstream</t>
  </si>
  <si>
    <t>Total volume of new waste entering storage structure (WV = TVM + TWW + CW)</t>
  </si>
  <si>
    <t>Total solids after S/L in liquid portion</t>
  </si>
  <si>
    <t>Volatile solids after S/L in liquid portion</t>
  </si>
  <si>
    <t>Total Nitrogen after S/L in liquid portion</t>
  </si>
  <si>
    <t>Total P2O5 after S/L in liquid portion</t>
  </si>
  <si>
    <t>Total K2O after S/L in liquid portion</t>
  </si>
  <si>
    <t>Excess solids stored for export or application</t>
  </si>
  <si>
    <t>Days of storage needed</t>
  </si>
  <si>
    <t>Surface area occupied by one cone pile</t>
  </si>
  <si>
    <t>m2/pile</t>
  </si>
  <si>
    <t>Volume of single cone pile</t>
  </si>
  <si>
    <t>m3/pile</t>
  </si>
  <si>
    <t>Application events per year</t>
  </si>
  <si>
    <t>Mass of solids stored for entire event</t>
  </si>
  <si>
    <t>kg/event</t>
  </si>
  <si>
    <t>Volume of solids stored for entire event</t>
  </si>
  <si>
    <t>Volume of dried solids available</t>
  </si>
  <si>
    <t>Number of piles formed</t>
  </si>
  <si>
    <t>piles/event</t>
  </si>
  <si>
    <t>Total surface area needed for exported or applied solids</t>
  </si>
  <si>
    <t>m2/event</t>
  </si>
  <si>
    <t>Concrete volume for solids export area</t>
  </si>
  <si>
    <t>Moving wet solids from separator to storage area</t>
  </si>
  <si>
    <t>Size of tractor with front end loader</t>
  </si>
  <si>
    <t>Bucket capacity</t>
  </si>
  <si>
    <t>m3/scoop</t>
  </si>
  <si>
    <t>Bucket volume removal efficiency</t>
  </si>
  <si>
    <t>Tractor average fuel efficiency</t>
  </si>
  <si>
    <t>gal/hp/hr</t>
  </si>
  <si>
    <t>Average volume removed with each bucket scoop</t>
  </si>
  <si>
    <t>No. of times needed</t>
  </si>
  <si>
    <t>scoops/day</t>
  </si>
  <si>
    <t>Time required for one day of volume to be moved</t>
  </si>
  <si>
    <t>Operation time for tractor with front end loader, for drying</t>
  </si>
  <si>
    <t>h/day</t>
  </si>
  <si>
    <t>Fuel needed for tractor with front end loader, for drying</t>
  </si>
  <si>
    <t>LCA Fuel Diesel</t>
  </si>
  <si>
    <t>gal diesel/day</t>
  </si>
  <si>
    <t>Moving dried solids from storage area to box spreader/export truck</t>
  </si>
  <si>
    <t>Scoops required to load all solids</t>
  </si>
  <si>
    <t>scoops/event</t>
  </si>
  <si>
    <t>mins</t>
  </si>
  <si>
    <t>Operation time for tractor with front end loader, to box spreader</t>
  </si>
  <si>
    <t>h/event</t>
  </si>
  <si>
    <t>Fuel needed for tractor with front end loader, to box spreader</t>
  </si>
  <si>
    <t>gal diesel/event</t>
  </si>
  <si>
    <t>Nutrient application of separated solids</t>
  </si>
  <si>
    <t>Mass of solids that are applied or exported per year</t>
  </si>
  <si>
    <t>Sludge year frequency</t>
  </si>
  <si>
    <t>LCA Solids (kg/head/year)</t>
  </si>
  <si>
    <t>Solids N content</t>
  </si>
  <si>
    <t>Solids P2O5 content</t>
  </si>
  <si>
    <t>Solids K2O content</t>
  </si>
  <si>
    <t>ton/ac/year</t>
  </si>
  <si>
    <t>lb/ac/year</t>
  </si>
  <si>
    <t>LCA Excess Emissions Annual Average (kg/head/year)</t>
  </si>
  <si>
    <t>Acres needed for complete application of solids</t>
  </si>
  <si>
    <t>Acres available on farm</t>
  </si>
  <si>
    <t>Solids nutrient application</t>
  </si>
  <si>
    <t>Non sludge year</t>
  </si>
  <si>
    <t>Sludge year</t>
  </si>
  <si>
    <t>Acres actually applied by other sources of nutrients</t>
  </si>
  <si>
    <t>liquids acres applied</t>
  </si>
  <si>
    <t>liquids + sludge acres applied</t>
  </si>
  <si>
    <t>Acres available for application of solids</t>
  </si>
  <si>
    <t>Acres actually applied by solids</t>
  </si>
  <si>
    <t>Percentage of solids applied</t>
  </si>
  <si>
    <t>Average:</t>
  </si>
  <si>
    <t>Percentage</t>
  </si>
  <si>
    <t>Percentage of solids exported</t>
  </si>
  <si>
    <t>Mass of solids exported</t>
  </si>
  <si>
    <t>Land application of dried solids</t>
  </si>
  <si>
    <t>Volume of dried solids available per event</t>
  </si>
  <si>
    <t>Spreading tractor HP</t>
  </si>
  <si>
    <t>Box spreader capacity</t>
  </si>
  <si>
    <t>min/trip</t>
  </si>
  <si>
    <t>Volume of dried solids applied on land</t>
  </si>
  <si>
    <t>Total trips needed</t>
  </si>
  <si>
    <t>trips/event</t>
  </si>
  <si>
    <t>Operation time for tractor with box spreader</t>
  </si>
  <si>
    <t>LCA Fuel Diesel (gal/cow/year)</t>
  </si>
  <si>
    <t>Fuel needed for tractor with box spreader</t>
  </si>
  <si>
    <t>Average operation time (sludge and non sludge combined)</t>
  </si>
  <si>
    <t>Average fuel use (sludge and non sludge combined)</t>
  </si>
  <si>
    <t>Manure value by manure amount</t>
  </si>
  <si>
    <t>$/ton/y</t>
  </si>
  <si>
    <t>Mass of manure able to apply</t>
  </si>
  <si>
    <t>Volume of available manure to apply</t>
  </si>
  <si>
    <t>N entering solids pile</t>
  </si>
  <si>
    <t>N stored in solids pile</t>
  </si>
  <si>
    <t>Fraction of nitrogen that volatilizes as NH3 in solids pile</t>
  </si>
  <si>
    <t>NH3 emission from solids pile</t>
  </si>
  <si>
    <t>N2O direct emission factor for solids pile</t>
  </si>
  <si>
    <t>Direct nitrous oxide emission from solids pile</t>
  </si>
  <si>
    <t>Indirect nitrous oxide emission from solids pile</t>
  </si>
  <si>
    <t>Fertilizer value for on-farm use, solids (non-sludge year)</t>
  </si>
  <si>
    <t>Fertilizer value for on-farm use, solids (sludge year)</t>
  </si>
  <si>
    <t>Number of SS units needed</t>
  </si>
  <si>
    <t>Size of slope screen needed</t>
  </si>
  <si>
    <t>Number of motors for SS</t>
  </si>
  <si>
    <t>Size of motor for SS</t>
  </si>
  <si>
    <t>SS operation time</t>
  </si>
  <si>
    <t>Energy needed for SS motor(s)</t>
  </si>
  <si>
    <t>Concrete storage slab for separated solids</t>
  </si>
  <si>
    <t>Fibers recovered from SS</t>
  </si>
  <si>
    <t>Total organic bedding needed</t>
  </si>
  <si>
    <t>Interval between moving solids for drying</t>
  </si>
  <si>
    <t>Tractor with front end loader, size</t>
  </si>
  <si>
    <t>Interval between land app or export separted solids</t>
  </si>
  <si>
    <t>Tractor with solids box spreader, size</t>
  </si>
  <si>
    <t>gal diesel/event (average bt non sludge and sludge year)</t>
  </si>
  <si>
    <t>hr/event (average bt non sludge and sludge year)</t>
  </si>
  <si>
    <t>Separated solids available on-farm or export</t>
  </si>
  <si>
    <t>N removed, SS</t>
  </si>
  <si>
    <t>P2O5 removed, SS</t>
  </si>
  <si>
    <t>K2O removed, SS</t>
  </si>
  <si>
    <t>Electricity used by slope screen</t>
  </si>
  <si>
    <t>Solids drying pile storage</t>
  </si>
  <si>
    <t>Solids export area storage</t>
  </si>
  <si>
    <t>Solids manure application</t>
  </si>
  <si>
    <t>Solids nutrient contents</t>
  </si>
  <si>
    <t>Total N</t>
  </si>
  <si>
    <t>Total P2O5</t>
  </si>
  <si>
    <t>Total K2O</t>
  </si>
  <si>
    <t>Excess solids nutrient application</t>
  </si>
  <si>
    <t>Excess N from solids</t>
  </si>
  <si>
    <t>Excess P2O5 from solids</t>
  </si>
  <si>
    <t>Excess K2O from solids</t>
  </si>
  <si>
    <t>CH4 from slope screen solids pile</t>
  </si>
  <si>
    <t>NH3 from slope screen solids pile</t>
  </si>
  <si>
    <t>N2O direct from slope screen solids pile</t>
  </si>
  <si>
    <t>N2O indirect from slope screen solids pile</t>
  </si>
  <si>
    <t>Inflow</t>
  </si>
  <si>
    <t>Anaerobic digester inflows</t>
  </si>
  <si>
    <t>Daily manure inflow (DMI)</t>
  </si>
  <si>
    <t>Total solids loading rate</t>
  </si>
  <si>
    <t>kg TS/day</t>
  </si>
  <si>
    <t>Volatile solids loading rate</t>
  </si>
  <si>
    <t>kg VS/day</t>
  </si>
  <si>
    <t>Hydraulic detention time</t>
  </si>
  <si>
    <t>Digester volume safety factor</t>
  </si>
  <si>
    <t>Digester effective volume (DEV)</t>
  </si>
  <si>
    <t>Gas</t>
  </si>
  <si>
    <t>Anaerobic digester gas production</t>
  </si>
  <si>
    <t>Fraction of VS reduced during digestion process</t>
  </si>
  <si>
    <t>Biogas production rate</t>
  </si>
  <si>
    <t>m3 biogas/kg VS destroyed</t>
  </si>
  <si>
    <t>Fraction of biogas that is CH4 (methane)</t>
  </si>
  <si>
    <t>Efficiency of methane burning</t>
  </si>
  <si>
    <t>Density of methane</t>
  </si>
  <si>
    <t>Methane to CO2 combustion</t>
  </si>
  <si>
    <t>VS reduced and destroyed</t>
  </si>
  <si>
    <t>Biogas produced</t>
  </si>
  <si>
    <t>Volume of methane</t>
  </si>
  <si>
    <t>Mass of methane</t>
  </si>
  <si>
    <t>Total energy content of methane</t>
  </si>
  <si>
    <t>MJ/day</t>
  </si>
  <si>
    <t>Energy production of burnt methane</t>
  </si>
  <si>
    <t>Mass of methane that escapes unburnt</t>
  </si>
  <si>
    <t>LCA Emissions</t>
  </si>
  <si>
    <t>CO2 produced while burning methane</t>
  </si>
  <si>
    <t>Size</t>
  </si>
  <si>
    <t>Anaerobic digester sizing (cylindrical)</t>
  </si>
  <si>
    <t>Number of animals on with managed manure</t>
  </si>
  <si>
    <t>Max height of individual digesters</t>
  </si>
  <si>
    <t>Minimum number of digesters per system for maintenance needs</t>
  </si>
  <si>
    <t>digesters per system</t>
  </si>
  <si>
    <t>Fraction of digestate volume that is mirrored as gas storage</t>
  </si>
  <si>
    <t>Height to radius ratio</t>
  </si>
  <si>
    <t>H to r</t>
  </si>
  <si>
    <t>Maximum radius of digester</t>
  </si>
  <si>
    <t>Volume of largest possible digester</t>
  </si>
  <si>
    <t>Minimum number of digesters needed to stay under volume limit</t>
  </si>
  <si>
    <t>digesters</t>
  </si>
  <si>
    <t>Number of digesters required to run system while meeting all maintenance needs and volume limits</t>
  </si>
  <si>
    <t>Volume of each digester</t>
  </si>
  <si>
    <t>m3/digester</t>
  </si>
  <si>
    <t>Actual radius of digesters</t>
  </si>
  <si>
    <t>Actual height of digesters</t>
  </si>
  <si>
    <t>Approximate land footprint of all digesters</t>
  </si>
  <si>
    <t>LCA Land Footprint</t>
  </si>
  <si>
    <t>Top cover volume used for gas storage in each digester</t>
  </si>
  <si>
    <t>Outflow</t>
  </si>
  <si>
    <t>Anaerobic digester outflows</t>
  </si>
  <si>
    <t>Digestate leaving systems</t>
  </si>
  <si>
    <t>Total solids exit rate</t>
  </si>
  <si>
    <t>Volatile solids exit rate</t>
  </si>
  <si>
    <t>Total nitrogen exiting system</t>
  </si>
  <si>
    <t>Total P2O5 exiting system</t>
  </si>
  <si>
    <t>Total K2O exiting system</t>
  </si>
  <si>
    <t>N entering anaer digester</t>
  </si>
  <si>
    <t>N stored in anaer digester</t>
  </si>
  <si>
    <t>Fraction of nitrogen that volatilizes as NH3 in anaer digester</t>
  </si>
  <si>
    <t>NH3 emission from anaer digester</t>
  </si>
  <si>
    <t>N2O direct emission factor for anaer digester</t>
  </si>
  <si>
    <t>Direct nitrous oxide emission from anaer digester</t>
  </si>
  <si>
    <t>Indirect nitrous oxide emission from anaer digester</t>
  </si>
  <si>
    <t>Manure inflow volume</t>
  </si>
  <si>
    <t>Number of digesters</t>
  </si>
  <si>
    <t>Digester constructed size</t>
  </si>
  <si>
    <t>Carbon/methane produced by volume</t>
  </si>
  <si>
    <t>MMBTU (eq to 1000 ft3)/year</t>
  </si>
  <si>
    <t>Land used for anaerobic digesters</t>
  </si>
  <si>
    <t>Emissions from digesters</t>
  </si>
  <si>
    <t>NH3 from anaerobic digester</t>
  </si>
  <si>
    <t>Direct N2O from anaerobic digester</t>
  </si>
  <si>
    <t>Indirect N2O from anaerobic digester</t>
  </si>
  <si>
    <t>Covered digestion basin inflows</t>
  </si>
  <si>
    <t>Surface area of system components that drains into basin</t>
  </si>
  <si>
    <t>Solids separation before lagoon? If yes, value == 1, if no value == 0</t>
  </si>
  <si>
    <t>Minimum hydraulic retention time</t>
  </si>
  <si>
    <t>Basin volume safety factor</t>
  </si>
  <si>
    <t>Base volatile solids loading rate</t>
  </si>
  <si>
    <t>VSLR odor modifier</t>
  </si>
  <si>
    <t>VSLR solids modifier</t>
  </si>
  <si>
    <t>Adjusted volatile solids loading rate (VSLR)</t>
  </si>
  <si>
    <t>HRT retention volume</t>
  </si>
  <si>
    <t>Covered earthen digester design volume</t>
  </si>
  <si>
    <t>Covered digestion basin gas production</t>
  </si>
  <si>
    <t>Energy content of unburnt methane</t>
  </si>
  <si>
    <t>Covered digestion basin sizing (inverted square pyramid shape)</t>
  </si>
  <si>
    <t>Fraction of basin volume that is constructed to hold biogas</t>
  </si>
  <si>
    <t>Maximum basin depth</t>
  </si>
  <si>
    <t>Basin sidewall slope</t>
  </si>
  <si>
    <t>Basin berm width</t>
  </si>
  <si>
    <t>Basin freeboard height</t>
  </si>
  <si>
    <t>Minimum basin width of water surface + side berms</t>
  </si>
  <si>
    <t>Minimum basin storage volume</t>
  </si>
  <si>
    <t>Minimum basin freeboard volume</t>
  </si>
  <si>
    <t>Total minimum basin volume</t>
  </si>
  <si>
    <t>Minimum volume of storage needed for covered earthen digester that meets all criteria</t>
  </si>
  <si>
    <t>Surface area of covered earthen digester</t>
  </si>
  <si>
    <t>See Cover_Size sheet</t>
  </si>
  <si>
    <t>Built volume of covered earthen digester</t>
  </si>
  <si>
    <t>Top cover volume used for gas storage</t>
  </si>
  <si>
    <t>Covered digestion basin outflows</t>
  </si>
  <si>
    <t>Covered lagoon surface area</t>
  </si>
  <si>
    <t>Covered digestion basin</t>
  </si>
  <si>
    <t>Emissions from ponds/lagoons/basins/digesters</t>
  </si>
  <si>
    <r>
      <t>CH</t>
    </r>
    <r>
      <rPr>
        <vertAlign val="subscript"/>
        <sz val="11"/>
        <rFont val="Calibri"/>
        <family val="2"/>
      </rPr>
      <t>4</t>
    </r>
    <r>
      <rPr>
        <sz val="11"/>
        <rFont val="Calibri"/>
        <family val="2"/>
      </rPr>
      <t xml:space="preserve"> from covered digester</t>
    </r>
  </si>
  <si>
    <t>NH3 from covered digester</t>
  </si>
  <si>
    <t>Direct N2O from covered digester</t>
  </si>
  <si>
    <t>Indirect N2O from covered digester</t>
  </si>
  <si>
    <t>PT</t>
  </si>
  <si>
    <t>Reconciliation</t>
  </si>
  <si>
    <t>Reconciliation of water flows into anaerobic lagoon</t>
  </si>
  <si>
    <t>Flush</t>
  </si>
  <si>
    <t>Scrape</t>
  </si>
  <si>
    <t>Plug</t>
  </si>
  <si>
    <t>Flush from anaer digest</t>
  </si>
  <si>
    <t>Scrape from anaer digest</t>
  </si>
  <si>
    <t>Pull from anaer digest</t>
  </si>
  <si>
    <t>Flush from cover digest</t>
  </si>
  <si>
    <t>Scrape from cover digest</t>
  </si>
  <si>
    <t>Pull plug from cover digest</t>
  </si>
  <si>
    <t>Scrape + Screen</t>
  </si>
  <si>
    <t>Total flow that enters storage structure</t>
  </si>
  <si>
    <t>Expected recycled water flowrate</t>
  </si>
  <si>
    <t>Total solids loading</t>
  </si>
  <si>
    <t>Volatile solids loading</t>
  </si>
  <si>
    <t>Nitrogen loading rate</t>
  </si>
  <si>
    <t>Phosphorus loading rate</t>
  </si>
  <si>
    <t>Potassium loading rate</t>
  </si>
  <si>
    <t>Density of TS and VS</t>
  </si>
  <si>
    <t>TS application concentration target for liquids</t>
  </si>
  <si>
    <t>Total solids volume</t>
  </si>
  <si>
    <t>Volatile solids volume</t>
  </si>
  <si>
    <t>Total solids losses</t>
  </si>
  <si>
    <t>Total solids volume after losses</t>
  </si>
  <si>
    <t>Volatile solids volume after losses</t>
  </si>
  <si>
    <t>Volume of water needed to apply TS liquids</t>
  </si>
  <si>
    <t>Storage process</t>
  </si>
  <si>
    <t>Volume of NEW water that enters storage structure</t>
  </si>
  <si>
    <t>Fresh water that is used to supplement flow, if required</t>
  </si>
  <si>
    <t>Adjusted recycled water flowrate</t>
  </si>
  <si>
    <t>Adjusted flow into storage structure</t>
  </si>
  <si>
    <t>Total daily volatile solids loading (TVS)</t>
  </si>
  <si>
    <t>Lagoon inputs</t>
  </si>
  <si>
    <t>Volume of new waste that enters lagoon each day (TVM + TWW + CW)</t>
  </si>
  <si>
    <t>Volume of water needed for TS application</t>
  </si>
  <si>
    <t>Allocate space for sludge volume? If yes, value == 1, else value == 0</t>
  </si>
  <si>
    <t>Anaerobic or storage lagoon design? If anaerobic, value == 1, else value == 0</t>
  </si>
  <si>
    <t>yr/sludge period</t>
  </si>
  <si>
    <t>Hydraulic retention time for storage structure (HRT)</t>
  </si>
  <si>
    <t>Time between effluent removal events</t>
  </si>
  <si>
    <t>days/treatment period</t>
  </si>
  <si>
    <t>kg/1000 m3/day</t>
  </si>
  <si>
    <t>Treatment periods per retention time</t>
  </si>
  <si>
    <t>treatments/HRT</t>
  </si>
  <si>
    <t>Accumulation rate of sludge</t>
  </si>
  <si>
    <t>m3 sludge/day</t>
  </si>
  <si>
    <t>Sludge accumulated per treatment period</t>
  </si>
  <si>
    <t>m3 sludge/treatment period</t>
  </si>
  <si>
    <t>Sludge volume accumulated per hydraulic retention time</t>
  </si>
  <si>
    <t>Allocated volume for sludge volume accumulation between sludge removal events (SV)</t>
  </si>
  <si>
    <t>Lagoon Sizing</t>
  </si>
  <si>
    <t>m3 sludge/sludge period</t>
  </si>
  <si>
    <t>Maximum possible waste volume over HRT (WV max)</t>
  </si>
  <si>
    <t>Water volume needed for HRT to meet application requirements</t>
  </si>
  <si>
    <t>Lagoon size</t>
  </si>
  <si>
    <t>Anaerobic lagoon sizing characteristics</t>
  </si>
  <si>
    <t>Lagoon surface area</t>
  </si>
  <si>
    <t>Total lagoon volume</t>
  </si>
  <si>
    <t>Non-sludge HRT volume</t>
  </si>
  <si>
    <t>Sludge period volume</t>
  </si>
  <si>
    <t>Modified</t>
  </si>
  <si>
    <t>Anaerobic lagoon nutrients removed after treatment and sludge periods</t>
  </si>
  <si>
    <t>X</t>
  </si>
  <si>
    <t>Irrigated liquids</t>
  </si>
  <si>
    <t>Tanker/Drag liquids</t>
  </si>
  <si>
    <t>Removal events per year averaged over storage design size</t>
  </si>
  <si>
    <t>treatments/year</t>
  </si>
  <si>
    <t>Fraction of N remaining in lagoon after atmospheric losses</t>
  </si>
  <si>
    <t>Fraction of N in each stream</t>
  </si>
  <si>
    <t>Fraction of P2O5 in each stream</t>
  </si>
  <si>
    <t>Fraction of K2O in each stream</t>
  </si>
  <si>
    <t>Total N accumulated in each stream</t>
  </si>
  <si>
    <t>kg/period</t>
  </si>
  <si>
    <t>Total P2O5 accumulated in each stream</t>
  </si>
  <si>
    <t>Total K2O accumulated in each stream</t>
  </si>
  <si>
    <t>Manure removal factor</t>
  </si>
  <si>
    <t>Manure removed from storage</t>
  </si>
  <si>
    <t>m3/period</t>
  </si>
  <si>
    <t>Total manure slurry/liquids/sludge removed</t>
  </si>
  <si>
    <t>1000 gal/yr and 1000 gal/sludge period</t>
  </si>
  <si>
    <t>Nutrient availability and needs</t>
  </si>
  <si>
    <t>Fraction of liquids applied via irrigation</t>
  </si>
  <si>
    <t>Nutrient application</t>
  </si>
  <si>
    <t>Nutrient application of lagoon liquids and sludge</t>
  </si>
  <si>
    <t>Volume that could be applied via each method per year</t>
  </si>
  <si>
    <t>New</t>
  </si>
  <si>
    <t>Volume that could be applied via each method per event</t>
  </si>
  <si>
    <t>Maximum volume that can be applied per land area per treatment period via tanker or drag hose</t>
  </si>
  <si>
    <t>1000 gal/ac/application</t>
  </si>
  <si>
    <t>Maximum volume that can be applied per land area per year via tanker or drag hose</t>
  </si>
  <si>
    <t>Amount of manure to apply per acre via tanker or drag hose</t>
  </si>
  <si>
    <t>Acres actually applied by liquids and sludge</t>
  </si>
  <si>
    <t>gal/ac</t>
  </si>
  <si>
    <t>Liquids</t>
  </si>
  <si>
    <t>Irrigation</t>
  </si>
  <si>
    <t>Irrigation pump time and costs</t>
  </si>
  <si>
    <t>Irrigation rate</t>
  </si>
  <si>
    <t>Fraction of costs and impacts associated with irrigation that are allocated to manure management.</t>
  </si>
  <si>
    <t>Flowrate of irrigation pumps that empty storage structure</t>
  </si>
  <si>
    <t>Electrical power requirements of the irrigation pumps that empty storage structure</t>
  </si>
  <si>
    <t>Time required for pumping liquids</t>
  </si>
  <si>
    <t>Electricity used by irrigation pump</t>
  </si>
  <si>
    <t>Irrigation passes on each acre</t>
  </si>
  <si>
    <t>Total labor time required for irrigation</t>
  </si>
  <si>
    <t>Application general</t>
  </si>
  <si>
    <t>Tanker</t>
  </si>
  <si>
    <t>Tanker - Application from storage</t>
  </si>
  <si>
    <t>Time required for a single tanker to apply one year of manure during days in timeframe</t>
  </si>
  <si>
    <t>Number of tanker tractors needed for application during timeframe</t>
  </si>
  <si>
    <t>Days needed to pump and agitate</t>
  </si>
  <si>
    <t>N entering lagoon</t>
  </si>
  <si>
    <t>Fraction of nitrogen that volatilizes as NH3 in lagoon</t>
  </si>
  <si>
    <t>N2O direct emission factor for lagoon</t>
  </si>
  <si>
    <r>
      <t>kg N</t>
    </r>
    <r>
      <rPr>
        <vertAlign val="subscript"/>
        <sz val="11"/>
        <color theme="0"/>
        <rFont val="Calibri"/>
        <family val="2"/>
        <scheme val="minor"/>
      </rPr>
      <t>2</t>
    </r>
    <r>
      <rPr>
        <sz val="11"/>
        <color theme="0"/>
        <rFont val="Calibri"/>
        <family val="2"/>
        <scheme val="minor"/>
      </rPr>
      <t>O-N/kg N</t>
    </r>
  </si>
  <si>
    <t>Interval between liquids removal</t>
  </si>
  <si>
    <t>Lagoon liquids</t>
  </si>
  <si>
    <t>Manure liquids removed, lagoon</t>
  </si>
  <si>
    <t>N removed, lagoon</t>
  </si>
  <si>
    <t>P2O5 removed, lagoon</t>
  </si>
  <si>
    <t>K2O removed, lagoon</t>
  </si>
  <si>
    <t>Field area applied by lagoon liquids</t>
  </si>
  <si>
    <t>Lagoon liquids irrigation</t>
  </si>
  <si>
    <t>Energy needed to pump lagoon liquids</t>
  </si>
  <si>
    <t>Excess volume, lagoon liquid manure</t>
  </si>
  <si>
    <t>Excess volume, lagoon sludge manure</t>
  </si>
  <si>
    <t>Fertilizer value for on-farm use, liquids</t>
  </si>
  <si>
    <t>Fertilizer value for on-farm use, sludge</t>
  </si>
  <si>
    <t>$/event</t>
  </si>
  <si>
    <t>Transfer table entries (aligned with tables on the right)</t>
  </si>
  <si>
    <t>Interval between sludge removal</t>
  </si>
  <si>
    <t>Lagoon sludge</t>
  </si>
  <si>
    <t>Manure sludge removed, lagoon</t>
  </si>
  <si>
    <t>Tanker application during sludge years</t>
  </si>
  <si>
    <t>Size of tractor for pulling hose reel and applicator toolbar</t>
  </si>
  <si>
    <t>Drag hose application during sludge years</t>
  </si>
  <si>
    <t>Electricity for irrigation pump</t>
  </si>
  <si>
    <t>Land for lagoon surface area</t>
  </si>
  <si>
    <t>Land for liquid application</t>
  </si>
  <si>
    <t>Land for sludge application</t>
  </si>
  <si>
    <t>Diesel fuel used for tanker land application of liquids</t>
  </si>
  <si>
    <t>Diesel fuel used for tanker land application of sludge</t>
  </si>
  <si>
    <t>Diesel fuel used for drag hose land application of liquids</t>
  </si>
  <si>
    <t>Diesel fuel used for drag hose land application of sludge</t>
  </si>
  <si>
    <t>Fresh water used to supplement flow into storage structure</t>
  </si>
  <si>
    <t>Fresh water used to supplement application liquid volume</t>
  </si>
  <si>
    <t>Sludge nutrient contents</t>
  </si>
  <si>
    <t>Total N accumulated in sludge</t>
  </si>
  <si>
    <t>Total P2O5 accumulated in sludge</t>
  </si>
  <si>
    <t>Total K2O accumulated in sludge</t>
  </si>
  <si>
    <t>Excess N from liquids</t>
  </si>
  <si>
    <t>Excess P2O5 from liquids</t>
  </si>
  <si>
    <t>Excess K2O from liquids</t>
  </si>
  <si>
    <t>Excess sludge nutrient application</t>
  </si>
  <si>
    <t>Excess N from sludge</t>
  </si>
  <si>
    <t>Excess P2O5 from sludge</t>
  </si>
  <si>
    <t>Excess K2O from sludge</t>
  </si>
  <si>
    <t>CH4 from lagoon</t>
  </si>
  <si>
    <t>NH3 from lagoon</t>
  </si>
  <si>
    <t>N2O direct from lagoon</t>
  </si>
  <si>
    <t>N2O indirect from lagoon</t>
  </si>
  <si>
    <t>LCA ends</t>
  </si>
  <si>
    <t>Reconciliation of water flows into above ground storage tank</t>
  </si>
  <si>
    <t>Volume of recycled water used</t>
  </si>
  <si>
    <t>Volume of fresh water added</t>
  </si>
  <si>
    <t>LCA Fresh water</t>
  </si>
  <si>
    <t>Volume of waste stored per day</t>
  </si>
  <si>
    <t>Fresh water that is used to supplement recycled flow, if required</t>
  </si>
  <si>
    <t>Additional volume of water needed for pumpable slurry</t>
  </si>
  <si>
    <t>Sizing</t>
  </si>
  <si>
    <t>Above ground storage tank sizing</t>
  </si>
  <si>
    <t>Hydraulic retention time of tank</t>
  </si>
  <si>
    <t>Depth of tank</t>
  </si>
  <si>
    <t>Freeboard height</t>
  </si>
  <si>
    <t>Regular rain rate</t>
  </si>
  <si>
    <t>m/year</t>
  </si>
  <si>
    <t>Regular evaporation rate</t>
  </si>
  <si>
    <t>25 year, 24 hour storm depth</t>
  </si>
  <si>
    <t>m/event</t>
  </si>
  <si>
    <t>Maximum radius of tank</t>
  </si>
  <si>
    <t>Minimum radius of tank</t>
  </si>
  <si>
    <t>Residual volume depth</t>
  </si>
  <si>
    <t>HRT/year</t>
  </si>
  <si>
    <t>Minimum treatment volume</t>
  </si>
  <si>
    <t>Regular rain rate over storage period</t>
  </si>
  <si>
    <t>Regular evaporation rate over storage period</t>
  </si>
  <si>
    <t>Effective tank depth</t>
  </si>
  <si>
    <t>Radius of single tank system (if possible)</t>
  </si>
  <si>
    <t>Volume of largest possible tank</t>
  </si>
  <si>
    <t>Volume of smallest possible tank</t>
  </si>
  <si>
    <t>Number of tanks needed</t>
  </si>
  <si>
    <t>Volume going into each tank</t>
  </si>
  <si>
    <t>Radius of each tank</t>
  </si>
  <si>
    <t>Total volume of each tank</t>
  </si>
  <si>
    <t>Total volume of storage</t>
  </si>
  <si>
    <t>Area of each tank</t>
  </si>
  <si>
    <t>Total area of all tanks</t>
  </si>
  <si>
    <t>Volume of regular rain stored</t>
  </si>
  <si>
    <t>Volume evaporated from tanks</t>
  </si>
  <si>
    <t>Net atmospheric water</t>
  </si>
  <si>
    <t>Volume reserved for 25 year, 24 hour storm</t>
  </si>
  <si>
    <t>Volume reserved for freeboard</t>
  </si>
  <si>
    <t>Volume of residual</t>
  </si>
  <si>
    <t>Agitation pump requirements</t>
  </si>
  <si>
    <t>Size of agitation pumps</t>
  </si>
  <si>
    <t>Number of agitation pumps</t>
  </si>
  <si>
    <t>Size of agitation motor</t>
  </si>
  <si>
    <t>Agitation rate of each pump</t>
  </si>
  <si>
    <t>Nutrient contents</t>
  </si>
  <si>
    <t>Fraction of N remaining in effluent after storage</t>
  </si>
  <si>
    <t>Fraction of P remaining in effluent after storage</t>
  </si>
  <si>
    <t>Fraction of K remaining in effluent after storage</t>
  </si>
  <si>
    <t>Volume of fresh water needed to dilute slurry to pumpable % TS</t>
  </si>
  <si>
    <t>Total TS remaining after losses</t>
  </si>
  <si>
    <t>Total VS remaining after losses</t>
  </si>
  <si>
    <t>Total N remaining after losses</t>
  </si>
  <si>
    <t>Total P2O5 remaining after losses</t>
  </si>
  <si>
    <t>Total K2O remaining after losses</t>
  </si>
  <si>
    <t>Total volume removed after each event</t>
  </si>
  <si>
    <t>Total manure slurry removed</t>
  </si>
  <si>
    <t>N removed, tank slurry</t>
  </si>
  <si>
    <t>P2O5 removed, tank slurry</t>
  </si>
  <si>
    <t>K2O removed, tank slurry</t>
  </si>
  <si>
    <t>Storage pond manure nutrient application</t>
  </si>
  <si>
    <t>Application part 2</t>
  </si>
  <si>
    <t>N entering storage tank</t>
  </si>
  <si>
    <t>N stored in storage tank</t>
  </si>
  <si>
    <t>Fraction of nitrogen that volatilizes as NH3 in storage tank</t>
  </si>
  <si>
    <t>NH3 emission from storage tank</t>
  </si>
  <si>
    <t>N2O direct emission factor for storage tank</t>
  </si>
  <si>
    <t>Direct nitrous oxide emission from storage tank</t>
  </si>
  <si>
    <t>Indirect nitrous oxide emission from storage tank</t>
  </si>
  <si>
    <t>Emissions end</t>
  </si>
  <si>
    <t>Tanker pumping</t>
  </si>
  <si>
    <t>Tanker agitation</t>
  </si>
  <si>
    <t>Drag hose agitation</t>
  </si>
  <si>
    <t>End PT</t>
  </si>
  <si>
    <t>Storage tank constructed size</t>
  </si>
  <si>
    <t>Number of constructed storage tanks</t>
  </si>
  <si>
    <t>times/year</t>
  </si>
  <si>
    <t>Size of agi-pump(s)</t>
  </si>
  <si>
    <t>single, double, or quadruple</t>
  </si>
  <si>
    <t>Number of agi-pump(s)</t>
  </si>
  <si>
    <t>Manure slurry removed, tank</t>
  </si>
  <si>
    <t>N removed, tank</t>
  </si>
  <si>
    <t>P2O5 removed, tank</t>
  </si>
  <si>
    <t>K2O removed, tank</t>
  </si>
  <si>
    <t>Tanker land application</t>
  </si>
  <si>
    <t>Tractor for agitator, quantity</t>
  </si>
  <si>
    <t>Tractor for pump, quantity</t>
  </si>
  <si>
    <t>Tractor for tanker, quantity</t>
  </si>
  <si>
    <t>Tanker land application - slurry</t>
  </si>
  <si>
    <t>Drag hose land application</t>
  </si>
  <si>
    <t>Tractor for pulling hose reel and applicator, quantity</t>
  </si>
  <si>
    <t>Tractor for support with hose pulley, quantity</t>
  </si>
  <si>
    <t>Maximum distance from storage to field</t>
  </si>
  <si>
    <t>Drag hose land application - slurry</t>
  </si>
  <si>
    <t>Diesel powered lead pump, operation time</t>
  </si>
  <si>
    <t>Diesel powered booster pump, operation time</t>
  </si>
  <si>
    <t>Diesel powered agitation trailer, operation time</t>
  </si>
  <si>
    <t>Tractor for pulling hose reel and applicator, operation time</t>
  </si>
  <si>
    <t>Tractor for support with hose pulley, operation time</t>
  </si>
  <si>
    <t>Truck, pickup, operation time</t>
  </si>
  <si>
    <t>gal/h</t>
  </si>
  <si>
    <t>Excess volume, tank slurry</t>
  </si>
  <si>
    <t>Fertilizer value for on-farm use, tank slurry</t>
  </si>
  <si>
    <t>Storage tank land area</t>
  </si>
  <si>
    <t>Application of slurry</t>
  </si>
  <si>
    <t>Tanker application</t>
  </si>
  <si>
    <t>Drag hose application</t>
  </si>
  <si>
    <t>Supplemental flow for recycling of storage tank water</t>
  </si>
  <si>
    <t>Dilution water for storage tank application</t>
  </si>
  <si>
    <t>CH4 from storage tank</t>
  </si>
  <si>
    <r>
      <t>NH</t>
    </r>
    <r>
      <rPr>
        <vertAlign val="subscript"/>
        <sz val="11"/>
        <rFont val="Calibri"/>
        <family val="2"/>
      </rPr>
      <t>3</t>
    </r>
    <r>
      <rPr>
        <sz val="11"/>
        <rFont val="Calibri"/>
        <family val="2"/>
      </rPr>
      <t xml:space="preserve"> from storage tank</t>
    </r>
  </si>
  <si>
    <r>
      <t>Direct N</t>
    </r>
    <r>
      <rPr>
        <vertAlign val="subscript"/>
        <sz val="11"/>
        <rFont val="Calibri"/>
        <family val="2"/>
      </rPr>
      <t>2</t>
    </r>
    <r>
      <rPr>
        <sz val="11"/>
        <rFont val="Calibri"/>
        <family val="2"/>
      </rPr>
      <t>O from storage tank</t>
    </r>
  </si>
  <si>
    <r>
      <t>Indirect N</t>
    </r>
    <r>
      <rPr>
        <vertAlign val="subscript"/>
        <sz val="11"/>
        <rFont val="Calibri"/>
        <family val="2"/>
      </rPr>
      <t>2</t>
    </r>
    <r>
      <rPr>
        <sz val="11"/>
        <rFont val="Calibri"/>
        <family val="2"/>
      </rPr>
      <t>O from storage tank</t>
    </r>
  </si>
  <si>
    <t>Compost system loading</t>
  </si>
  <si>
    <t>The farm uses a scrape system for barn cleaning. The scraped manure flows to a reception pit and pumped to a solid-Liquid separator. The separated liquid flows to a facultative lagoon for 365 days of storage before it is emptied. The accumulated sludge is removed every 5 or 10 years. Both the liquids and sludge removal is done with agitation and land applied using the tractor-pulled drag hose method.</t>
  </si>
  <si>
    <t>Volume of waste composted per day</t>
  </si>
  <si>
    <t>Fraction of raw waste volume for carbon source (typically woodchips)</t>
  </si>
  <si>
    <t>Fraction of raw waste volume for coarse (screened) compost</t>
  </si>
  <si>
    <t>Fraction of raw waste volume for fine compost</t>
  </si>
  <si>
    <t>Moisture content of carbon source</t>
  </si>
  <si>
    <t>kg/tonne</t>
  </si>
  <si>
    <t>Mass of raw waste</t>
  </si>
  <si>
    <t>Volume of carbon source added</t>
  </si>
  <si>
    <t>Volume of coarse compost added</t>
  </si>
  <si>
    <t>Volume of fine compost added</t>
  </si>
  <si>
    <t>Total volume of composting material</t>
  </si>
  <si>
    <t>Tonnage of carbon source</t>
  </si>
  <si>
    <t>tonne/day</t>
  </si>
  <si>
    <t>Mass of TS from carbon source</t>
  </si>
  <si>
    <t>Nitrogen loading from carbon source</t>
  </si>
  <si>
    <t>Phosphorus loading from carbon source</t>
  </si>
  <si>
    <t>Potassium loading from carbon source</t>
  </si>
  <si>
    <t>yd3/day</t>
  </si>
  <si>
    <t>Mass of manure</t>
  </si>
  <si>
    <t>yd3/year</t>
  </si>
  <si>
    <t>Mass of carbon source</t>
  </si>
  <si>
    <t>yd3/year finished</t>
  </si>
  <si>
    <t>Total mass of new materials</t>
  </si>
  <si>
    <t>shrinkage</t>
  </si>
  <si>
    <t>Carbon to nitrogen ratio of carbon source</t>
  </si>
  <si>
    <t>C to N</t>
  </si>
  <si>
    <t>Compost pit rows</t>
  </si>
  <si>
    <t>Days of mixing and composting before removal</t>
  </si>
  <si>
    <t>Maximum length of row</t>
  </si>
  <si>
    <t>Check these numbers against MO</t>
  </si>
  <si>
    <t>Width of row</t>
  </si>
  <si>
    <t>Height of row</t>
  </si>
  <si>
    <t>Fraction of barn space used for composting rows</t>
  </si>
  <si>
    <t>Expansion/contraction multiplier for compost rows</t>
  </si>
  <si>
    <t>Volume of maximum sized row</t>
  </si>
  <si>
    <t>Surface area of maximum sized row</t>
  </si>
  <si>
    <t>Volume required for composting</t>
  </si>
  <si>
    <t>Minimum number of rows required</t>
  </si>
  <si>
    <t>rows</t>
  </si>
  <si>
    <t>Cured compost</t>
  </si>
  <si>
    <t>Woodchips</t>
  </si>
  <si>
    <t>Volume assigned to each row</t>
  </si>
  <si>
    <t>Length of row</t>
  </si>
  <si>
    <t>Surface area of all rows</t>
  </si>
  <si>
    <t>Surface area of entire barn, including rows and storage</t>
  </si>
  <si>
    <t>Volume available in rows</t>
  </si>
  <si>
    <t>Compost nutrients</t>
  </si>
  <si>
    <t>400 to 800 lb/yd3 for woodchips</t>
  </si>
  <si>
    <t>Fraction of manure sourced TS remaining after composting</t>
  </si>
  <si>
    <t>Fraction of manure sourced VS remaining after composting</t>
  </si>
  <si>
    <t>Fraction of manure sourced N remaining after composting</t>
  </si>
  <si>
    <t>UDV.compost.N_loss</t>
  </si>
  <si>
    <t>Fraction of manure sourced P2O5 remaining after composting</t>
  </si>
  <si>
    <t>Fraction of manure sourced K2O remaining after composting</t>
  </si>
  <si>
    <t>Fraction of carbon sourced TS remaining after composting</t>
  </si>
  <si>
    <t>Fraction of carbon sourced N remaining after composting</t>
  </si>
  <si>
    <t>https://extension.missouri.edu/media/wysiwyg/Extensiondata/Pub/pdf/agguides/ansci/g03402.pdf</t>
  </si>
  <si>
    <t>Fraction of carbon sourced P2O5 remaining after composting</t>
  </si>
  <si>
    <t>Fraction of carbon sourced K2O remaining after composting</t>
  </si>
  <si>
    <t>Moisture level of substrate after final curing</t>
  </si>
  <si>
    <t>Mass of manure sourced TS after composting</t>
  </si>
  <si>
    <t>Mass of manure sourced VS after composting</t>
  </si>
  <si>
    <t>Mass of manure sourced N after composting</t>
  </si>
  <si>
    <t>Mass of manure sourced P2O5 after composting</t>
  </si>
  <si>
    <t>Mass of manure sourced K2O after composting</t>
  </si>
  <si>
    <t>Mass of carbon sourced TS after composting</t>
  </si>
  <si>
    <t>Mass of carbon sourced N after composting</t>
  </si>
  <si>
    <t>Mass of carbon sourced P2O5 after composting</t>
  </si>
  <si>
    <t>Mass of carbon sourced K2O after composting</t>
  </si>
  <si>
    <t>Total TS of cured compost</t>
  </si>
  <si>
    <t>Total N of cured compost</t>
  </si>
  <si>
    <t>Total P2O5 of cured compost</t>
  </si>
  <si>
    <t>Total K2O of cured compost</t>
  </si>
  <si>
    <t>Total mass of compost after curing</t>
  </si>
  <si>
    <t>CO2 emission rate for dry solids</t>
  </si>
  <si>
    <t>kg CO2/kg dry solids</t>
  </si>
  <si>
    <t>N2O emission rate for wet manure</t>
  </si>
  <si>
    <t>kg N2O/kg wet waste</t>
  </si>
  <si>
    <t>NH3 (the old calculations make ZERO sense)</t>
  </si>
  <si>
    <t>CO2 emissions</t>
  </si>
  <si>
    <t>N2O emissions</t>
  </si>
  <si>
    <t>kg NH3/head/year</t>
  </si>
  <si>
    <t>CH4 Emissions</t>
  </si>
  <si>
    <t>N entering compost barn</t>
  </si>
  <si>
    <t>N stored in compost barn</t>
  </si>
  <si>
    <t>Fraction of nitrogen that volatilizes as NH3 in compost barn</t>
  </si>
  <si>
    <t>NH3 emission from compost barn</t>
  </si>
  <si>
    <t>N2O direct emission factor for compost barn</t>
  </si>
  <si>
    <t>Direct nitrous oxide emission from compost barn</t>
  </si>
  <si>
    <t>Indirect nitrous oxide emission from compost barn</t>
  </si>
  <si>
    <t>Extra checks</t>
  </si>
  <si>
    <t>Total mass of compost</t>
  </si>
  <si>
    <t>ton/day</t>
  </si>
  <si>
    <t>Ballpark</t>
  </si>
  <si>
    <t>P concentration</t>
  </si>
  <si>
    <t>K concentration</t>
  </si>
  <si>
    <t>Too high!</t>
  </si>
  <si>
    <t>Equip</t>
  </si>
  <si>
    <t>Composting equipment</t>
  </si>
  <si>
    <t>Number of compost agitators needed</t>
  </si>
  <si>
    <t>Agitator motor quantity</t>
  </si>
  <si>
    <t>Lift/propel motor quantity</t>
  </si>
  <si>
    <t>Mixing vessel composter, size</t>
  </si>
  <si>
    <t>Operation time for vessel</t>
  </si>
  <si>
    <t>Electricity for vessel, total</t>
  </si>
  <si>
    <t>Carbon addition and compost recycling</t>
  </si>
  <si>
    <t>Volume of carbon and recycled compost moved to rows</t>
  </si>
  <si>
    <t>Time required to move one scoop of material from storage to composting area</t>
  </si>
  <si>
    <t>Number of scoops needed</t>
  </si>
  <si>
    <t>Screening machine loading and operation</t>
  </si>
  <si>
    <t>Expansion/contraction of compost from day 0 to moment of screening</t>
  </si>
  <si>
    <t>Screening rate</t>
  </si>
  <si>
    <t>Screening machine diesel usage rate</t>
  </si>
  <si>
    <t>Time required to move one scoop of compost through screen and into storage</t>
  </si>
  <si>
    <t>min/scoop</t>
  </si>
  <si>
    <t>Volume of compost sent to screening machine</t>
  </si>
  <si>
    <t>Number of scoops to move screenable compost to machine</t>
  </si>
  <si>
    <t>Operation time for moving to screening machine with front end loader</t>
  </si>
  <si>
    <t>Fuel needed for moving to screening machine with front end loader</t>
  </si>
  <si>
    <t>Operation time for screening machine</t>
  </si>
  <si>
    <t>Fuel needed for screening machine</t>
  </si>
  <si>
    <t>Moving cured compost into box spreader or truck</t>
  </si>
  <si>
    <t>Days between application events</t>
  </si>
  <si>
    <t>Expansion/contraction of compost from day 0 to fully cured</t>
  </si>
  <si>
    <t>Time required to move one scoop from curing area to box or truck</t>
  </si>
  <si>
    <t>Volume of cured compost</t>
  </si>
  <si>
    <t>Number of scoops to move cured compost to box spreader or truck</t>
  </si>
  <si>
    <t>Operation time to move all compost from curing to box spreader or truck</t>
  </si>
  <si>
    <t>Fuel needed for moving to box spreader or truck</t>
  </si>
  <si>
    <t>Nutrient application of compost</t>
  </si>
  <si>
    <t>Mass of cured compost generated</t>
  </si>
  <si>
    <t>Mass of compost that can be applied or exported per year</t>
  </si>
  <si>
    <t>Mass of manure needed for complete application on all acres available</t>
  </si>
  <si>
    <t>Mass of manure that can actually be applied</t>
  </si>
  <si>
    <t>Compost barn</t>
  </si>
  <si>
    <t>Compost building area</t>
  </si>
  <si>
    <t>"9.8 ft width" or "20.0 ft width"</t>
  </si>
  <si>
    <t>Mixing vessel composter, quantity</t>
  </si>
  <si>
    <t>Motor, 2 hp, quantity</t>
  </si>
  <si>
    <t>Motor, 10 hp, quantity</t>
  </si>
  <si>
    <t>kWh/d</t>
  </si>
  <si>
    <t>Tractor to move wood chips/seed compost, store compost, size</t>
  </si>
  <si>
    <t>Operation time to move wood chips/seed compost, store compost</t>
  </si>
  <si>
    <t>Fuel needed to move wood chips/seed compost, store compost</t>
  </si>
  <si>
    <t>Amount of fresh wood chips</t>
  </si>
  <si>
    <t>Land application - box spreader</t>
  </si>
  <si>
    <t>Interval to land apply or export compost</t>
  </si>
  <si>
    <t>Tractor with front loader to load compost into box spreader, size</t>
  </si>
  <si>
    <t>Operation time to load compost into box spreader</t>
  </si>
  <si>
    <t>Fuel needed to load compost into box spreader</t>
  </si>
  <si>
    <t>Tractor for pulling box spreader, size</t>
  </si>
  <si>
    <t>Tractor to pull box spreader, quantity</t>
  </si>
  <si>
    <t>Box spreader, quantity</t>
  </si>
  <si>
    <t>Operation time for tractor with box spreader, compost</t>
  </si>
  <si>
    <t>Fuel needed for tractor to pull box spreader</t>
  </si>
  <si>
    <t>Compost available on-farm or export</t>
  </si>
  <si>
    <t>N removed, compost</t>
  </si>
  <si>
    <t>P2O5 removed, compost</t>
  </si>
  <si>
    <t>K2O removed, compost</t>
  </si>
  <si>
    <t>Excess amount, compost</t>
  </si>
  <si>
    <t>Fertilizer value for on-farm use, compost</t>
  </si>
  <si>
    <t>Composting machine</t>
  </si>
  <si>
    <t>Footprint of composting barn</t>
  </si>
  <si>
    <t>Land application of compost</t>
  </si>
  <si>
    <t>Adding carbon and recycling compost with front end loader</t>
  </si>
  <si>
    <t>Loading screening machine with front end loader</t>
  </si>
  <si>
    <t>Screening machine operation</t>
  </si>
  <si>
    <t>Moving from curing area to box spreader or truck</t>
  </si>
  <si>
    <t>Application of compost</t>
  </si>
  <si>
    <t>Total N accumulated in solids</t>
  </si>
  <si>
    <t>Total P2O5 accumulated in solids</t>
  </si>
  <si>
    <t>Total K2O accumulated in solids</t>
  </si>
  <si>
    <t>Emissions from solids</t>
  </si>
  <si>
    <t>CH4 from compost</t>
  </si>
  <si>
    <r>
      <t>NH</t>
    </r>
    <r>
      <rPr>
        <vertAlign val="subscript"/>
        <sz val="11"/>
        <rFont val="Calibri"/>
        <family val="2"/>
      </rPr>
      <t>3</t>
    </r>
    <r>
      <rPr>
        <sz val="11"/>
        <rFont val="Calibri"/>
        <family val="2"/>
      </rPr>
      <t xml:space="preserve"> from compost</t>
    </r>
  </si>
  <si>
    <r>
      <t>Direct N</t>
    </r>
    <r>
      <rPr>
        <vertAlign val="subscript"/>
        <sz val="11"/>
        <rFont val="Calibri"/>
        <family val="2"/>
      </rPr>
      <t>2</t>
    </r>
    <r>
      <rPr>
        <sz val="11"/>
        <rFont val="Calibri"/>
        <family val="2"/>
      </rPr>
      <t>O from compost</t>
    </r>
  </si>
  <si>
    <r>
      <t>Indirect N</t>
    </r>
    <r>
      <rPr>
        <vertAlign val="subscript"/>
        <sz val="11"/>
        <rFont val="Calibri"/>
        <family val="2"/>
      </rPr>
      <t>2</t>
    </r>
    <r>
      <rPr>
        <sz val="11"/>
        <rFont val="Calibri"/>
        <family val="2"/>
      </rPr>
      <t>O from compost</t>
    </r>
  </si>
  <si>
    <t>Inclined slope screen</t>
  </si>
  <si>
    <t>Constants</t>
  </si>
  <si>
    <t>Outputs</t>
  </si>
  <si>
    <t>Maximum daily runtime</t>
  </si>
  <si>
    <t>Flow rate through system</t>
  </si>
  <si>
    <t>System 1</t>
  </si>
  <si>
    <t>units required</t>
  </si>
  <si>
    <t>System 2</t>
  </si>
  <si>
    <t>System 3</t>
  </si>
  <si>
    <t>System number</t>
  </si>
  <si>
    <t>Composting machines</t>
  </si>
  <si>
    <t>Number of pit rows</t>
  </si>
  <si>
    <t>Length of pit rows</t>
  </si>
  <si>
    <t>ft/row/turn</t>
  </si>
  <si>
    <t>Number of compost turns per day</t>
  </si>
  <si>
    <t>turns/day</t>
  </si>
  <si>
    <t>Note: System 2 doesn't have full characteristics</t>
  </si>
  <si>
    <t>It should never be selected until we get them, so I put 50000</t>
  </si>
  <si>
    <t>This ensures it always loses the comparison</t>
  </si>
  <si>
    <t>Agitator motor size</t>
  </si>
  <si>
    <t>Number of agitator motors</t>
  </si>
  <si>
    <t>Lift/propel motor size</t>
  </si>
  <si>
    <t>Number of lift motors</t>
  </si>
  <si>
    <t>Total horsepower of each system</t>
  </si>
  <si>
    <t>Capacity of each system</t>
  </si>
  <si>
    <t>head/system</t>
  </si>
  <si>
    <t>Width of turner</t>
  </si>
  <si>
    <t>Compost row turning rate</t>
  </si>
  <si>
    <t>hr/ft</t>
  </si>
  <si>
    <t>Name of system</t>
  </si>
  <si>
    <t>610M</t>
  </si>
  <si>
    <t>Total electrical demand of each system</t>
  </si>
  <si>
    <t>Distance traveled by system</t>
  </si>
  <si>
    <t>ft/day</t>
  </si>
  <si>
    <t>Total operation time to turn and mix rows</t>
  </si>
  <si>
    <t>Total electricity used to turn and mix rows</t>
  </si>
  <si>
    <t>Total electricity</t>
  </si>
  <si>
    <t>Total for subscenario a</t>
  </si>
  <si>
    <t>Total for subscenario b</t>
  </si>
  <si>
    <t>Total for subscenario c</t>
  </si>
  <si>
    <t>Total for subscenario d</t>
  </si>
  <si>
    <r>
      <t>CH</t>
    </r>
    <r>
      <rPr>
        <vertAlign val="subscript"/>
        <sz val="11"/>
        <rFont val="Calibri"/>
        <family val="2"/>
      </rPr>
      <t>4</t>
    </r>
  </si>
  <si>
    <r>
      <t>Direct N</t>
    </r>
    <r>
      <rPr>
        <vertAlign val="subscript"/>
        <sz val="11"/>
        <rFont val="Calibri"/>
        <family val="2"/>
      </rPr>
      <t>2</t>
    </r>
    <r>
      <rPr>
        <sz val="11"/>
        <rFont val="Calibri"/>
        <family val="2"/>
      </rPr>
      <t>O</t>
    </r>
  </si>
  <si>
    <r>
      <t>Indirect N</t>
    </r>
    <r>
      <rPr>
        <vertAlign val="subscript"/>
        <sz val="11"/>
        <rFont val="Calibri"/>
        <family val="2"/>
      </rPr>
      <t>2</t>
    </r>
    <r>
      <rPr>
        <sz val="11"/>
        <rFont val="Calibri"/>
        <family val="2"/>
      </rPr>
      <t>O</t>
    </r>
  </si>
  <si>
    <r>
      <t>NH</t>
    </r>
    <r>
      <rPr>
        <vertAlign val="subscript"/>
        <sz val="11"/>
        <rFont val="Calibri"/>
        <family val="2"/>
      </rPr>
      <t>3</t>
    </r>
  </si>
  <si>
    <t>Land use</t>
  </si>
  <si>
    <t>kg oil eq</t>
  </si>
  <si>
    <t>Remarks</t>
  </si>
  <si>
    <t>kg of CO2/gallon of Diesel</t>
  </si>
  <si>
    <t>Scenario 1a</t>
  </si>
  <si>
    <t>Additonal indicators</t>
  </si>
  <si>
    <t>Farm Scenario</t>
  </si>
  <si>
    <t xml:space="preserve">Impact </t>
  </si>
  <si>
    <t>Scenario 1b</t>
  </si>
  <si>
    <t xml:space="preserve">Unit </t>
  </si>
  <si>
    <t>Amount per functional unit (per animal/year)</t>
  </si>
  <si>
    <t>Water Consumption</t>
  </si>
  <si>
    <t>Phosphorous footprint (for phosphate, potentialy leach)</t>
  </si>
  <si>
    <r>
      <t>kg CO</t>
    </r>
    <r>
      <rPr>
        <vertAlign val="subscript"/>
        <sz val="11"/>
        <color theme="1"/>
        <rFont val="Calibri"/>
        <family val="2"/>
        <scheme val="minor"/>
      </rPr>
      <t>2</t>
    </r>
    <r>
      <rPr>
        <sz val="11"/>
        <color theme="1"/>
        <rFont val="Calibri"/>
        <family val="2"/>
        <scheme val="minor"/>
      </rPr>
      <t xml:space="preserve"> eq</t>
    </r>
  </si>
  <si>
    <r>
      <t>m</t>
    </r>
    <r>
      <rPr>
        <vertAlign val="superscript"/>
        <sz val="11"/>
        <color theme="1"/>
        <rFont val="Calibri"/>
        <family val="2"/>
        <scheme val="minor"/>
      </rPr>
      <t>2</t>
    </r>
    <r>
      <rPr>
        <sz val="11"/>
        <color theme="1"/>
        <rFont val="Calibri"/>
        <family val="2"/>
        <scheme val="minor"/>
      </rPr>
      <t>a crop eq</t>
    </r>
  </si>
  <si>
    <r>
      <t>m</t>
    </r>
    <r>
      <rPr>
        <vertAlign val="superscript"/>
        <sz val="11"/>
        <color theme="1"/>
        <rFont val="Calibri"/>
        <family val="2"/>
        <scheme val="minor"/>
      </rPr>
      <t>3</t>
    </r>
  </si>
  <si>
    <t>kg N</t>
  </si>
  <si>
    <t>kg P</t>
  </si>
  <si>
    <r>
      <t>tonne CO</t>
    </r>
    <r>
      <rPr>
        <vertAlign val="subscript"/>
        <sz val="11"/>
        <color theme="1"/>
        <rFont val="Calibri"/>
        <family val="2"/>
        <scheme val="minor"/>
      </rPr>
      <t>2</t>
    </r>
    <r>
      <rPr>
        <sz val="11"/>
        <color theme="1"/>
        <rFont val="Calibri"/>
        <family val="2"/>
        <scheme val="minor"/>
      </rPr>
      <t xml:space="preserve"> eq</t>
    </r>
  </si>
  <si>
    <t xml:space="preserve">Raw materials consumed </t>
  </si>
  <si>
    <t>kg oil eq to MJ = 41.868</t>
  </si>
  <si>
    <t>GWP factor</t>
  </si>
  <si>
    <t>Sc 1a</t>
  </si>
  <si>
    <t>N2O to CO2 eq</t>
  </si>
  <si>
    <t>Upstream</t>
  </si>
  <si>
    <t>CH4 to Co2 eq</t>
  </si>
  <si>
    <t>Fuel (Diesel) used in ag-machinery</t>
  </si>
  <si>
    <t>Sc 1b</t>
  </si>
  <si>
    <t>Sand</t>
  </si>
  <si>
    <t xml:space="preserve">if you want to exclude impact for this resource use, make the relevant cells blank. </t>
  </si>
  <si>
    <t>Conversion factor</t>
  </si>
  <si>
    <t>Consider only the inputs, as are used</t>
  </si>
  <si>
    <t>NH3-N to NH3</t>
  </si>
  <si>
    <t>Diesel on farm</t>
  </si>
  <si>
    <t>NOx-N to NOx</t>
  </si>
  <si>
    <t>Sc 2a</t>
  </si>
  <si>
    <t>Manure handling facilities</t>
  </si>
  <si>
    <t xml:space="preserve">N and P footprints are for the emitted portion only, and since is related to the manaure handlign facilties, I have summed and put the total value here. You may decide.  Water footprint is only for the fresh water consumed. </t>
  </si>
  <si>
    <t>N2O-N to N2O</t>
  </si>
  <si>
    <t>NO3-N to NO3</t>
  </si>
  <si>
    <r>
      <t xml:space="preserve">GHG from manure handling processes </t>
    </r>
    <r>
      <rPr>
        <b/>
        <sz val="11"/>
        <color rgb="FFFF0000"/>
        <rFont val="Calibri"/>
        <family val="2"/>
        <scheme val="minor"/>
      </rPr>
      <t>and land application</t>
    </r>
  </si>
  <si>
    <t>Sc 2b</t>
  </si>
  <si>
    <t>N2O (direct+indirect) total</t>
  </si>
  <si>
    <t>Urea-N (Substitution)</t>
  </si>
  <si>
    <t>Urea, N content</t>
  </si>
  <si>
    <t>TSP, P2O5 (Substitution)</t>
  </si>
  <si>
    <t>TSP, P2O5 content</t>
  </si>
  <si>
    <t>CO2 (if any)</t>
  </si>
  <si>
    <t>KCl, K2O (Substitution)</t>
  </si>
  <si>
    <t>KCl, K2O content</t>
  </si>
  <si>
    <t>Sc 3a</t>
  </si>
  <si>
    <t xml:space="preserve">if there is no quantified CO2 emissions, ignore this. </t>
  </si>
  <si>
    <t>Avoided fertilizer</t>
  </si>
  <si>
    <t>N-Urea</t>
  </si>
  <si>
    <t>Avoided Impact (Upstream)</t>
  </si>
  <si>
    <t>Sc 3b</t>
  </si>
  <si>
    <t>P2O5-TSP</t>
  </si>
  <si>
    <t>Farm (Materials + Farm emissions)</t>
  </si>
  <si>
    <t>K2O-KCl</t>
  </si>
  <si>
    <t>Avoided Impact (Upstream - Fertilizer substitution)</t>
  </si>
  <si>
    <t>Fuel (gallons)</t>
  </si>
  <si>
    <t>Manure nutrient values</t>
  </si>
  <si>
    <t>Net Impact (Farm + Substituted)</t>
  </si>
  <si>
    <t>Sc 4a</t>
  </si>
  <si>
    <t>Alley Scrape</t>
  </si>
  <si>
    <t>AS</t>
  </si>
  <si>
    <t>On Farm - Gas emissons</t>
  </si>
  <si>
    <t>Skid Steer</t>
  </si>
  <si>
    <t>SS</t>
  </si>
  <si>
    <t>Sc 4b</t>
  </si>
  <si>
    <t>Nitrogen footprint ()</t>
  </si>
  <si>
    <t xml:space="preserve">Manure Vaccum </t>
  </si>
  <si>
    <t>MV</t>
  </si>
  <si>
    <t>N2O-N</t>
  </si>
  <si>
    <t>Tanker Land Appl</t>
  </si>
  <si>
    <t>NH3-N</t>
  </si>
  <si>
    <t>Drag Hose Land Appl</t>
  </si>
  <si>
    <t>Sc 5a</t>
  </si>
  <si>
    <t>Nox-N</t>
  </si>
  <si>
    <t>P- footprint</t>
  </si>
  <si>
    <t>Sc 5b</t>
  </si>
  <si>
    <t>P-leach</t>
  </si>
  <si>
    <t>SS + TL</t>
  </si>
  <si>
    <t>(per m3/ton manure treated)</t>
  </si>
  <si>
    <t>MV + TL</t>
  </si>
  <si>
    <t xml:space="preserve">Total impact </t>
  </si>
  <si>
    <t>AS + DHL</t>
  </si>
  <si>
    <t>Sc 6a</t>
  </si>
  <si>
    <t>units per FU</t>
  </si>
  <si>
    <t>Off Farm and Avoided Impact (Upstream)</t>
  </si>
  <si>
    <t>Net Impact (Farm + Off Farm)</t>
  </si>
  <si>
    <t>SS + DHL</t>
  </si>
  <si>
    <t>Sc 6b</t>
  </si>
  <si>
    <t>Scenario 2a</t>
  </si>
  <si>
    <t>Scenario 2b</t>
  </si>
  <si>
    <t>Sc 7a</t>
  </si>
  <si>
    <t>Sc 7b</t>
  </si>
  <si>
    <t>Sc 8a</t>
  </si>
  <si>
    <t>Sc 8b</t>
  </si>
  <si>
    <t>Sc 9a</t>
  </si>
  <si>
    <t>Sc 9b</t>
  </si>
  <si>
    <t>Sc 10a</t>
  </si>
  <si>
    <t>Sc 10b</t>
  </si>
  <si>
    <t>Sc 11a</t>
  </si>
  <si>
    <t>Sc 11b</t>
  </si>
  <si>
    <t>Sc 12a</t>
  </si>
  <si>
    <t>Sc 12b</t>
  </si>
  <si>
    <t>Scenario 3a</t>
  </si>
  <si>
    <t>Scenario 3b</t>
  </si>
  <si>
    <t>Sc 13a</t>
  </si>
  <si>
    <t>Sc 14a</t>
  </si>
  <si>
    <t>Sc 14b</t>
  </si>
  <si>
    <t>Scenario 4a</t>
  </si>
  <si>
    <t>Scenario 4b</t>
  </si>
  <si>
    <t>Scenario 5a</t>
  </si>
  <si>
    <t>Scenario 5b</t>
  </si>
  <si>
    <t>Scenario 6a</t>
  </si>
  <si>
    <t>Scenario 6b</t>
  </si>
  <si>
    <t>Scenario 7a</t>
  </si>
  <si>
    <t>Scenario 7b</t>
  </si>
  <si>
    <t>Scenario 8a</t>
  </si>
  <si>
    <t>Scenario 8b</t>
  </si>
  <si>
    <t>Scenario 9a</t>
  </si>
  <si>
    <t>Scenario 9b</t>
  </si>
  <si>
    <t>Scenario 10a</t>
  </si>
  <si>
    <t>Scenario 10b</t>
  </si>
  <si>
    <t>Scenario 11a</t>
  </si>
  <si>
    <t>Scenario 11b</t>
  </si>
  <si>
    <t>Scenario 12a</t>
  </si>
  <si>
    <t>Scenario 12b</t>
  </si>
  <si>
    <t>Scenario 13a</t>
  </si>
  <si>
    <t>Scenario 14a</t>
  </si>
  <si>
    <t>Scenario 14b</t>
  </si>
  <si>
    <t>H2So4</t>
  </si>
  <si>
    <t>Deep pit</t>
  </si>
  <si>
    <t>LCA Summary Table</t>
  </si>
  <si>
    <t>Tanker LCA inputs</t>
  </si>
  <si>
    <t>Transfer table, general and non-sludge year information</t>
  </si>
  <si>
    <t>Wastewater (Manure)</t>
  </si>
  <si>
    <t>Total fresh water needed</t>
  </si>
  <si>
    <t>Fuel - (Diesel)</t>
  </si>
  <si>
    <t>See subscenarios below</t>
  </si>
  <si>
    <t>Total land footprint per animal</t>
  </si>
  <si>
    <t>Mass of nutrients in liquids</t>
  </si>
  <si>
    <t>Mass of nutrients in sludges and solids</t>
  </si>
  <si>
    <t>LCA Emissions during treatment processes</t>
  </si>
  <si>
    <t>Fraction of N2O emissions emitted as both N2O and NOX</t>
  </si>
  <si>
    <t>NOx-N to Nox conversion factor</t>
  </si>
  <si>
    <t>kg NOX/kg N</t>
  </si>
  <si>
    <t>Total N2O emissions as N</t>
  </si>
  <si>
    <t>Total NH3 emissions as N</t>
  </si>
  <si>
    <t>Total NOX emissions as N</t>
  </si>
  <si>
    <t>List of modules in this scenario</t>
  </si>
  <si>
    <t>Land application - tanker slurry</t>
  </si>
  <si>
    <t>Land application - drag hose slurry</t>
  </si>
  <si>
    <t>Pit (Deep or Shallow)</t>
  </si>
  <si>
    <t>Input info from Varma</t>
  </si>
  <si>
    <t>Units (from Varma)</t>
  </si>
  <si>
    <t>Units (for Erin)</t>
  </si>
  <si>
    <t>Pit</t>
  </si>
  <si>
    <t>CAPITAL COSTS</t>
  </si>
  <si>
    <t>Purchase price</t>
  </si>
  <si>
    <t>Expected lifetime (y)</t>
  </si>
  <si>
    <t>Annual usage on farm (h/y)</t>
  </si>
  <si>
    <t>Annual usage on this activity (h/y)</t>
  </si>
  <si>
    <t>Percent time used on this activity (%)</t>
  </si>
  <si>
    <t>Interest rate (%)</t>
  </si>
  <si>
    <t>Salvage (% of PP)</t>
  </si>
  <si>
    <t>Salvage value ($)</t>
  </si>
  <si>
    <t>Amount financed (%)</t>
  </si>
  <si>
    <t>Effective interest rate (%)</t>
  </si>
  <si>
    <t>CRF</t>
  </si>
  <si>
    <t>CRV ($/y)</t>
  </si>
  <si>
    <t>CRV for this unit process ($/y)</t>
  </si>
  <si>
    <t>Pit_construction</t>
  </si>
  <si>
    <t>Construction of pit</t>
  </si>
  <si>
    <t>On farm</t>
  </si>
  <si>
    <t>For this unit process</t>
  </si>
  <si>
    <t>Total capital cost</t>
  </si>
  <si>
    <t>Total capital recovery value</t>
  </si>
  <si>
    <t>OPERATIONAL COSTS</t>
  </si>
  <si>
    <t>Annual insurance (% of PP)</t>
  </si>
  <si>
    <t>Annual maintenance (% of PP)</t>
  </si>
  <si>
    <t>Annual maintenance ($)</t>
  </si>
  <si>
    <t>Electricity amount (kWh/y)</t>
  </si>
  <si>
    <t>Electricity cost ($/y)</t>
  </si>
  <si>
    <t>Fuel amount (gal/y)</t>
  </si>
  <si>
    <t>Fuel cost ($/y)</t>
  </si>
  <si>
    <t>Lube cost ($/y)</t>
  </si>
  <si>
    <t>Nonmanager labor amount (h/y)</t>
  </si>
  <si>
    <t>Nonmanager labor cost ($/y)</t>
  </si>
  <si>
    <t>Manager labor amount (h/y)</t>
  </si>
  <si>
    <t>Manager labor cost ($/y)</t>
  </si>
  <si>
    <t>Annual costs ($/y)</t>
  </si>
  <si>
    <t>Annual operational costs</t>
  </si>
  <si>
    <t>End use - tanker and/or box spreader</t>
  </si>
  <si>
    <t>DEEP PIT</t>
  </si>
  <si>
    <t>User input information</t>
  </si>
  <si>
    <t>Field area available for application</t>
  </si>
  <si>
    <t>Amount of the excess slurry manure that can be sold</t>
  </si>
  <si>
    <t>Amount of the excess slurry manure that can be given away at no cost</t>
  </si>
  <si>
    <t>Amount of the excess slurry manure to transport off field at a cost</t>
  </si>
  <si>
    <t>Input info and conversions for Erin</t>
  </si>
  <si>
    <t>Agitator pto, quantity</t>
  </si>
  <si>
    <t>Pump pto, quantity</t>
  </si>
  <si>
    <t>Tanker, quantity</t>
  </si>
  <si>
    <t>Broadcast/Injection</t>
  </si>
  <si>
    <t>Labor for land applications</t>
  </si>
  <si>
    <t>times/y</t>
  </si>
  <si>
    <t>h on sludge year</t>
  </si>
  <si>
    <t>Input info from Erin</t>
  </si>
  <si>
    <t>Cost of diesel</t>
  </si>
  <si>
    <t>Cost of labor, nonspecialized</t>
  </si>
  <si>
    <t>Annual usage on farm (h/y/unit)</t>
  </si>
  <si>
    <t>Annual usage on this activity (h/y/unit)</t>
  </si>
  <si>
    <t>Salvage value (% of PP)</t>
  </si>
  <si>
    <t>CRV for all activities ($/y)</t>
  </si>
  <si>
    <t>End use tanker_equipment</t>
  </si>
  <si>
    <t>Tractor for agitator</t>
  </si>
  <si>
    <t>Tractor for pump</t>
  </si>
  <si>
    <t>Tractor for pulling tanker</t>
  </si>
  <si>
    <t>Boom applicator</t>
  </si>
  <si>
    <t>Injection applicator</t>
  </si>
  <si>
    <t>For all farm activities</t>
  </si>
  <si>
    <t>ALL VALUES ARE REPORTED IN ANNUAL AVERAGES</t>
  </si>
  <si>
    <t>Deep pit slurry</t>
  </si>
  <si>
    <t>FERTILIZER VALUE ON-FARM</t>
  </si>
  <si>
    <t>Fertilizer value for on-farm use</t>
  </si>
  <si>
    <t>Annual fertilizer value for on-farm use</t>
  </si>
  <si>
    <t>REVENUES FROM SALES OF EXCESS MANURE</t>
  </si>
  <si>
    <t>Revenue from selling excess off-farm</t>
  </si>
  <si>
    <t>Annual revenues</t>
  </si>
  <si>
    <t>UNREALIZED REVENUE</t>
  </si>
  <si>
    <t>Unrealized revenue from giving excess away</t>
  </si>
  <si>
    <t>Annual unrealized revenues</t>
  </si>
  <si>
    <t>COST TO EXPORT EXCESS MANURE</t>
  </si>
  <si>
    <t>Cost to pay to haul off-farm</t>
  </si>
  <si>
    <t>Annual cost to export excess</t>
  </si>
  <si>
    <t>Cost to land apply</t>
  </si>
  <si>
    <t>$/gal (for liq., slurry, sludge)</t>
  </si>
  <si>
    <t>Cost per unit manure land applied on-farm</t>
  </si>
  <si>
    <t>Land application - drag hose slurry only</t>
  </si>
  <si>
    <t>Field area applied</t>
  </si>
  <si>
    <t>ac</t>
  </si>
  <si>
    <t>user input</t>
  </si>
  <si>
    <t>user input or default</t>
  </si>
  <si>
    <t>difference between excess and the first two options</t>
  </si>
  <si>
    <t>Equipment required or situation-optional</t>
  </si>
  <si>
    <t>Diesel-powered lead pump set package</t>
  </si>
  <si>
    <t>Diesel-powered booster pump set package</t>
  </si>
  <si>
    <t>Agitation trailer</t>
  </si>
  <si>
    <t>Tractor for pulling hose reel and applicator</t>
  </si>
  <si>
    <t>Hose reel</t>
  </si>
  <si>
    <t>Tractor for support with hose pulley</t>
  </si>
  <si>
    <t>Hose</t>
  </si>
  <si>
    <t>Piping manure to field</t>
  </si>
  <si>
    <t>broadcast/injection</t>
  </si>
  <si>
    <t>events/y</t>
  </si>
  <si>
    <t>Length of piping needed</t>
  </si>
  <si>
    <t>Average annual usage on this activity (h/y/unit)</t>
  </si>
  <si>
    <t>End use drag hose_equipment</t>
  </si>
  <si>
    <t>Diesel-powered agitation trailer</t>
  </si>
  <si>
    <t>Hose reel (caddy)</t>
  </si>
  <si>
    <t>Pond sludge</t>
  </si>
  <si>
    <t>Results summary</t>
  </si>
  <si>
    <t>CASE # (tanker) (TL)</t>
  </si>
  <si>
    <t>User inputs</t>
  </si>
  <si>
    <t>Decision variables</t>
  </si>
  <si>
    <t>$/head/y</t>
  </si>
  <si>
    <t>Cost to export excess manure</t>
  </si>
  <si>
    <t>*included in Opex</t>
  </si>
  <si>
    <t>Total costs</t>
  </si>
  <si>
    <t>$/animal</t>
  </si>
  <si>
    <t>OpEx details</t>
  </si>
  <si>
    <t>Detail - annual averages</t>
  </si>
  <si>
    <t>CAPEX II_Construction</t>
  </si>
  <si>
    <t>CAPEX II_Equipment</t>
  </si>
  <si>
    <t>CAPEX II total</t>
  </si>
  <si>
    <t>CAPEX Annualized Unit Process</t>
  </si>
  <si>
    <t>Net costs or benefits</t>
  </si>
  <si>
    <t>TLPit</t>
  </si>
  <si>
    <t>TLEnd use tanker</t>
  </si>
  <si>
    <t>TLTotals</t>
  </si>
  <si>
    <t>CAPEX II represents the Initial Investment Cost; it does not account for annualization or unit process contribution</t>
  </si>
  <si>
    <t>CASE # (DH)</t>
  </si>
  <si>
    <t>DHLPit</t>
  </si>
  <si>
    <t>DHLTotals</t>
  </si>
  <si>
    <t>DPSS - precise aeration</t>
  </si>
  <si>
    <t>End use tanker and/or box spreader</t>
  </si>
  <si>
    <t>h/d</t>
  </si>
  <si>
    <t>Cost of electricity</t>
  </si>
  <si>
    <t>Cost of labor, specialized</t>
  </si>
  <si>
    <t>Pit aeration_equipment</t>
  </si>
  <si>
    <t>Pit aeration_construction</t>
  </si>
  <si>
    <t>Note: no agitation needed because uses pit aeration system.</t>
  </si>
  <si>
    <t>may use a function to align hose length with caddy capacity</t>
  </si>
  <si>
    <t>TLPit aeration</t>
  </si>
  <si>
    <t>DHLPit aeration</t>
  </si>
  <si>
    <t>Flush.Lagoon</t>
  </si>
  <si>
    <t>Total diesel fuel used for tanker systems</t>
  </si>
  <si>
    <t>Total diesel fuel used for drag hose systems</t>
  </si>
  <si>
    <t>Flush water recycling</t>
  </si>
  <si>
    <t>Reference term for summaries</t>
  </si>
  <si>
    <t>Barn and parlor (flush water and bedding)</t>
  </si>
  <si>
    <t>m3/d</t>
  </si>
  <si>
    <t>cost of water</t>
  </si>
  <si>
    <t>Total fresh water value</t>
  </si>
  <si>
    <t>Lagoon_construction</t>
  </si>
  <si>
    <t>Construction of lagoon</t>
  </si>
  <si>
    <t>Liner and installation</t>
  </si>
  <si>
    <t>Underground 6 in pipe</t>
  </si>
  <si>
    <t>quantity/d</t>
  </si>
  <si>
    <t>gal/flush</t>
  </si>
  <si>
    <t>Motor(s), electric, for pump(s)</t>
  </si>
  <si>
    <t>Cost of water</t>
  </si>
  <si>
    <t>Total length of recycle water piping needed</t>
  </si>
  <si>
    <t>Underground piping</t>
  </si>
  <si>
    <t>Pump(s), non-pto (swine)</t>
  </si>
  <si>
    <t>COST-SAVINGS</t>
  </si>
  <si>
    <t>Cost savings ($/y)</t>
  </si>
  <si>
    <t>Water reuse</t>
  </si>
  <si>
    <t>Annual cost savings</t>
  </si>
  <si>
    <t>LAGOON</t>
  </si>
  <si>
    <t>Amount of the excess liquid manure that can be sold</t>
  </si>
  <si>
    <t>Amount of the excess liquid manure that can be given away at no cost</t>
  </si>
  <si>
    <t>Amount of the excess liquid manure to transport off field at a cost</t>
  </si>
  <si>
    <t>Amount of the excess sludge manure that can be sold</t>
  </si>
  <si>
    <t>Amount of the excess sludge manure that can be given away at no cost</t>
  </si>
  <si>
    <t>Amount of the excess sludge manure to transport off field at a cost</t>
  </si>
  <si>
    <t>Liquids irrigation</t>
  </si>
  <si>
    <t>Liquids tanker</t>
  </si>
  <si>
    <t>Tanker Non-sludge year labor</t>
  </si>
  <si>
    <t>Tanker Sludge labor</t>
  </si>
  <si>
    <t>Tanker Sum non-sludge + sludge year labor</t>
  </si>
  <si>
    <t>Tanker Average non-sludge + sludge labor</t>
  </si>
  <si>
    <t>POND/LAGOON</t>
  </si>
  <si>
    <t>Irrigation_equipment</t>
  </si>
  <si>
    <t>VALUES REPORTED IN ANNUAL AVERAGES EXCEPT SLUDGE YEAR VALUES</t>
  </si>
  <si>
    <t>$/y (non-sludge year)</t>
  </si>
  <si>
    <t>$ (sludge year)</t>
  </si>
  <si>
    <t>Average fertilizer value for on-farm use</t>
  </si>
  <si>
    <t>Average revenue from sale of excess manure</t>
  </si>
  <si>
    <t>Average unrealized revenue from giving excess away</t>
  </si>
  <si>
    <t>Average cost to export excess</t>
  </si>
  <si>
    <t>Land application - drag hose liquids and sludge</t>
  </si>
  <si>
    <t>Drag hose Non-sludge year labor</t>
  </si>
  <si>
    <t>Drag hose Sludge labor</t>
  </si>
  <si>
    <t>Drag hose Sum non-sludge + sludge year labor</t>
  </si>
  <si>
    <t>Drag hose Average non-sludge + sludge labor</t>
  </si>
  <si>
    <t>gal diesel/y</t>
  </si>
  <si>
    <t>Tractor for pulling hose reel and applicator, operation time, sludge</t>
  </si>
  <si>
    <t>Tractor for support with hose pulley, operation time, sludge</t>
  </si>
  <si>
    <t>Cost per gallon land applied</t>
  </si>
  <si>
    <t>Annual cost per gallon manure land applied</t>
  </si>
  <si>
    <t>$/cow/y</t>
  </si>
  <si>
    <t>Transfer table, sludge year information</t>
  </si>
  <si>
    <t>Lagoon sludge year</t>
  </si>
  <si>
    <t>Shallow pit scrape</t>
  </si>
  <si>
    <t>Total fuel used for tanker systems</t>
  </si>
  <si>
    <t>Total fuel used for drag hose systems</t>
  </si>
  <si>
    <t>Scrape system - autoscraper</t>
  </si>
  <si>
    <t>Auto alley system scraper blade</t>
  </si>
  <si>
    <t>Auto alley system drive unit(s) and motor(s)</t>
  </si>
  <si>
    <t>Scrape auto_equipment</t>
  </si>
  <si>
    <t>Scrape auto_construction</t>
  </si>
  <si>
    <t>Scraper blade attachment</t>
  </si>
  <si>
    <t>Auto alley system</t>
  </si>
  <si>
    <t>Conversion factors</t>
  </si>
  <si>
    <t>1000 gal</t>
  </si>
  <si>
    <t>Liquids value as fertilizer</t>
  </si>
  <si>
    <t>LAGOON LIQUID</t>
  </si>
  <si>
    <t>Sludge value as fertilizer</t>
  </si>
  <si>
    <t>LAGOON SLUDGE</t>
  </si>
  <si>
    <r>
      <t xml:space="preserve">$/event </t>
    </r>
    <r>
      <rPr>
        <b/>
        <sz val="11"/>
        <color theme="1"/>
        <rFont val="Calibri"/>
        <family val="2"/>
        <scheme val="minor"/>
      </rPr>
      <t>(sludge year only)</t>
    </r>
  </si>
  <si>
    <t>lb/ac/event</t>
  </si>
  <si>
    <t>lb/ac</t>
  </si>
  <si>
    <t>ac/event</t>
  </si>
  <si>
    <t>Acres actually applied by sludge</t>
  </si>
  <si>
    <t>Excess N applied, annual average</t>
  </si>
  <si>
    <t>Excess P2O5 applied, annual average</t>
  </si>
  <si>
    <t>Excess K2O applied, annual average</t>
  </si>
  <si>
    <t>Excess P applied</t>
  </si>
  <si>
    <t>Excess K applied</t>
  </si>
  <si>
    <t>Pull Plug - Lagoon</t>
  </si>
  <si>
    <t>Pit recharge water recycling system</t>
  </si>
  <si>
    <t>Barn and parlor (Pit recharge water)</t>
  </si>
  <si>
    <t>Flush - Anaerobic Digester</t>
  </si>
  <si>
    <t>The farm uses a flush water system for barn cleaning. The flushed manure is collected in a reception pit and pumped to an Anaerobic Digestor (CSTR) with a HRT of 25 days and the effluent lows to a facultative lagoon for 365 days of storage before it is emptied. The accumulated sludge is removed every 5 or 10 years. Both the liquids and sludge removal is done with agitation and land applied using the tractor-pulled tanker method.</t>
  </si>
  <si>
    <t>Lagoon non-sludge</t>
  </si>
  <si>
    <t>Emissions (methane and direct N2O)</t>
  </si>
  <si>
    <t>CO2e emissions for tanker</t>
  </si>
  <si>
    <t>tonne CO2-eq/animal/year</t>
  </si>
  <si>
    <t>CO2e emissions for drag hose</t>
  </si>
  <si>
    <t>Emissions for tanker</t>
  </si>
  <si>
    <t>tonne CO2e/y</t>
  </si>
  <si>
    <t>Emissions for drag hose</t>
  </si>
  <si>
    <t>Emissions reductions</t>
  </si>
  <si>
    <t>Emissions reductions for tanker</t>
  </si>
  <si>
    <t>Emissions reductions for drag hose</t>
  </si>
  <si>
    <t>End use - tanker from AD and Lagoon</t>
  </si>
  <si>
    <t>End use - drag hose from AD and Lagoon</t>
  </si>
  <si>
    <t>Reception pit with pump and agitator</t>
  </si>
  <si>
    <t>reviewed 12/30/2021</t>
  </si>
  <si>
    <t>Equipment/items required or situation-optional</t>
  </si>
  <si>
    <t>Motor for agi-pump</t>
  </si>
  <si>
    <t>Reception pit_construction</t>
  </si>
  <si>
    <t>Reception pit_equipment</t>
  </si>
  <si>
    <t>Motor(s) for agi-pump(s)</t>
  </si>
  <si>
    <t>Anaerobic digester with CHP or CNG</t>
  </si>
  <si>
    <t>AD Total CAPEX</t>
  </si>
  <si>
    <t>CHP total CAPEX (excluding utility connection)</t>
  </si>
  <si>
    <t>m3/y</t>
  </si>
  <si>
    <t>Electrical utility connection</t>
  </si>
  <si>
    <t>CNG total CAPEX (excluding utility connection)</t>
  </si>
  <si>
    <t>m3 CH4/y</t>
  </si>
  <si>
    <t>CNG utility connection</t>
  </si>
  <si>
    <t>m3 CH4/year</t>
  </si>
  <si>
    <t>Biogas end use</t>
  </si>
  <si>
    <t>"Flare"/"CHP"/"CNG"</t>
  </si>
  <si>
    <t>Flare (0)/CHP (1)/CNG (2)</t>
  </si>
  <si>
    <t>Conversions</t>
  </si>
  <si>
    <t>"Yes"/"No"</t>
  </si>
  <si>
    <t>Yes (1)/No (0)</t>
  </si>
  <si>
    <t>kg CH4</t>
  </si>
  <si>
    <t>CNG grid connection</t>
  </si>
  <si>
    <t>Energy needed for generator</t>
  </si>
  <si>
    <t>gal diesel/d</t>
  </si>
  <si>
    <t>reduction of ton CO2e/y</t>
  </si>
  <si>
    <t>*Annual system operations means routine system expenses, oil, filters</t>
  </si>
  <si>
    <t>Cost of compressed natural gas</t>
  </si>
  <si>
    <t>Anaerobic digestion_construction</t>
  </si>
  <si>
    <t>Electricity utility connection</t>
  </si>
  <si>
    <t>Electricity ("utilities") cost ($/y)</t>
  </si>
  <si>
    <t>Annual system operations (% of PP)*</t>
  </si>
  <si>
    <t>ENERGY PRODUCTION</t>
  </si>
  <si>
    <t>Total electricity production</t>
  </si>
  <si>
    <t>Total CNG production</t>
  </si>
  <si>
    <t>MMBTU/year (eq. to 1000 ft3/y)</t>
  </si>
  <si>
    <t>Electricity generation, on-farm use</t>
  </si>
  <si>
    <t>CNG production, on-farm use</t>
  </si>
  <si>
    <t>REVENUE GENERATION</t>
  </si>
  <si>
    <t>Electricity generation, sell to grid</t>
  </si>
  <si>
    <t>CNG production, sell to grid</t>
  </si>
  <si>
    <t>Carbon credits for tanker</t>
  </si>
  <si>
    <t>these depend on "current" emissions - so emissions from the base system in this DST; will vary across Tanker and Drag Hose application methods</t>
  </si>
  <si>
    <t>Carbon credits for drag hose</t>
  </si>
  <si>
    <t>Annual revenues for tanker</t>
  </si>
  <si>
    <t>due to Carbon credits, revenues will vary across Tanker and Drag Hose application methods</t>
  </si>
  <si>
    <t>Annual revenues for drag hose</t>
  </si>
  <si>
    <t>End use - tanker from Lagoon</t>
  </si>
  <si>
    <t>LAGOON (no land application of AD effluent)</t>
  </si>
  <si>
    <t>Liquids from Lagoon</t>
  </si>
  <si>
    <t>Sludge from Lagoon</t>
  </si>
  <si>
    <t>End use - drag hose from Lagoon</t>
  </si>
  <si>
    <t>Carbon emissions reductions revenues</t>
  </si>
  <si>
    <t>Lagoon non sludge</t>
  </si>
  <si>
    <t>*not sure if we will have diesel amount, or if I will estimate energy costs based on WaSt tool; right now, it's via WaSt tool</t>
  </si>
  <si>
    <t>Land application - drag hose from Lagoon</t>
  </si>
  <si>
    <t>Sludge from AD and Lagoon</t>
  </si>
  <si>
    <t>Pull plug</t>
  </si>
  <si>
    <t>Pit recharge water</t>
  </si>
  <si>
    <t>Cover digest</t>
  </si>
  <si>
    <t>End use tanker from AD and covered lagoon</t>
  </si>
  <si>
    <t>End use drag hose from AD and covered lagoon</t>
  </si>
  <si>
    <t>Cover and installation</t>
  </si>
  <si>
    <t>Carbon/methane produced</t>
  </si>
  <si>
    <t>Flare/CHP/CNG</t>
  </si>
  <si>
    <t>Covered lagoon_construction</t>
  </si>
  <si>
    <t>Lagoon liner and installation</t>
  </si>
  <si>
    <t>Lagoon cover and installation</t>
  </si>
  <si>
    <t>Covered lagoon_construction and equipment</t>
  </si>
  <si>
    <t>CHP capital</t>
  </si>
  <si>
    <t>CHP utility connection</t>
  </si>
  <si>
    <t>Utilities ($/y)</t>
  </si>
  <si>
    <t>LAGOON (no land application of CL effluent)</t>
  </si>
  <si>
    <t>End use tanker from covered lagoon and lagoon</t>
  </si>
  <si>
    <t>End use drag hose from covered lagoon and lagoon</t>
  </si>
  <si>
    <t>for now, assume this is not an option for covered lagoon due to inefficiency</t>
  </si>
  <si>
    <t>alternative calculation for capital cost of covered lagoon, using EPA formula; this does appear to overestimate the cost compared to NRCS data</t>
  </si>
  <si>
    <t>Sludge from Covered lagoon and Lagoon</t>
  </si>
  <si>
    <t>Tank</t>
  </si>
  <si>
    <t>gal/unit</t>
  </si>
  <si>
    <t>Pump(s) for storage tank</t>
  </si>
  <si>
    <t>events per year</t>
  </si>
  <si>
    <t>"single", "double", "quadruple"</t>
  </si>
  <si>
    <t>Storage tank_construction</t>
  </si>
  <si>
    <t>Storage tank cost</t>
  </si>
  <si>
    <t>Storage tank installation</t>
  </si>
  <si>
    <t>Storage tank_equipment</t>
  </si>
  <si>
    <t>Agi-pump for storage tank</t>
  </si>
  <si>
    <t>SLURRY STORAGE TANK</t>
  </si>
  <si>
    <t>END USE TANKER</t>
  </si>
  <si>
    <t>TLBarn and parlor</t>
  </si>
  <si>
    <t>TLScrape auto</t>
  </si>
  <si>
    <t>TLReception pit</t>
  </si>
  <si>
    <t>TLStorage tank</t>
  </si>
  <si>
    <t>DHLBarn and parlor</t>
  </si>
  <si>
    <t>DHLScrape auto</t>
  </si>
  <si>
    <t>DHLReception pit</t>
  </si>
  <si>
    <t>DHLStorage tank</t>
  </si>
  <si>
    <t>Composting barn</t>
  </si>
  <si>
    <t>Compost land applic.</t>
  </si>
  <si>
    <t>Total fuel use</t>
  </si>
  <si>
    <t>94 pto hp tractor in compost building and land application modules</t>
  </si>
  <si>
    <t>85 pto hp tractor in land application module</t>
  </si>
  <si>
    <t>Composting mixing vessel</t>
  </si>
  <si>
    <t>Assume 10 hp motor(s), same quantity as that of mixing vessels</t>
  </si>
  <si>
    <t>Assume 2 hp motor, 2x number of mixing vessels</t>
  </si>
  <si>
    <t>9.8 ft width or "20.0 ft width"</t>
  </si>
  <si>
    <t>this is related to adding woodchips to compost lane; can also combine this with needs related to moving finished compost to compost lanes to "seed" the compost lane</t>
  </si>
  <si>
    <t>Tractor to move wood chips and seed compost, quantity</t>
  </si>
  <si>
    <t>NA - in tractors module</t>
  </si>
  <si>
    <t>yd3/y</t>
  </si>
  <si>
    <t>land applic module for fuel; tractors module for capex, insurance, R&amp;M</t>
  </si>
  <si>
    <t>Tractor with front loader to load compost into box spreader, quantity</t>
  </si>
  <si>
    <t>Compost building</t>
  </si>
  <si>
    <t>Mixing vessel composter</t>
  </si>
  <si>
    <t>Transfer trolley</t>
  </si>
  <si>
    <t>Motor(s)</t>
  </si>
  <si>
    <t>Tractors for listed activities</t>
  </si>
  <si>
    <t>in tractors module</t>
  </si>
  <si>
    <t>Tractor to move wood chips/seed compost, store compost</t>
  </si>
  <si>
    <t>Insurance and R&amp;M in tractors module</t>
  </si>
  <si>
    <t>Tractors; box spreader</t>
  </si>
  <si>
    <t>Tractor size</t>
  </si>
  <si>
    <t>94 pto hp tractor, quantity</t>
  </si>
  <si>
    <t>Total operation time, 94 pto hp</t>
  </si>
  <si>
    <t>Total operation time per tractor, 94 pto hp</t>
  </si>
  <si>
    <t>h/y/tractor</t>
  </si>
  <si>
    <t>85 pto hp tractor, quantity</t>
  </si>
  <si>
    <t>Total operation time, 85 pto hp</t>
  </si>
  <si>
    <t>Total operation time per tractor, 85 pto hp</t>
  </si>
  <si>
    <t>Expected lifetime</t>
  </si>
  <si>
    <t>Annual usage on farm (h/y/tractor)</t>
  </si>
  <si>
    <t>Annual usage on this activity (h/y/tractor)</t>
  </si>
  <si>
    <t>Tractors_equipment</t>
  </si>
  <si>
    <t>94 pto hp tractor</t>
  </si>
  <si>
    <t>85 pto hp tractor</t>
  </si>
  <si>
    <t>in respective modules ---</t>
  </si>
  <si>
    <t>End use - box spreader</t>
  </si>
  <si>
    <t>COMPOST</t>
  </si>
  <si>
    <t>NON-SLUDGE YEAR APPLICATION</t>
  </si>
  <si>
    <t>Amount of the excess compost that can be sold</t>
  </si>
  <si>
    <t>Amount of the excess compost that can be given away at no cost</t>
  </si>
  <si>
    <t>Amount of the excess compost to pay to haul off</t>
  </si>
  <si>
    <t>Expected lifetime, y</t>
  </si>
  <si>
    <t>Tractor with front loader to remove compost from barn</t>
  </si>
  <si>
    <t>included in"Tractors" section</t>
  </si>
  <si>
    <t>Tractor with box spreader to land apply compost</t>
  </si>
  <si>
    <t>Front loader</t>
  </si>
  <si>
    <t>$/ton (for compost)</t>
  </si>
  <si>
    <t>CASE # (tanker)</t>
  </si>
  <si>
    <t>Tractor/skid steer usage</t>
  </si>
  <si>
    <t>94 pto hp:</t>
  </si>
  <si>
    <t>Adding woodchips and moving compost</t>
  </si>
  <si>
    <t>Adding woodchips and moving compost for storage</t>
  </si>
  <si>
    <t>rev. 2/1/2022</t>
  </si>
  <si>
    <t>Rules (defaults/user inputs)</t>
  </si>
  <si>
    <t>for storage</t>
  </si>
  <si>
    <t>Events per year</t>
  </si>
  <si>
    <t>events</t>
  </si>
  <si>
    <t>d/y</t>
  </si>
  <si>
    <t>pto hp size</t>
  </si>
  <si>
    <t>(every day)</t>
  </si>
  <si>
    <t>(per year)</t>
  </si>
  <si>
    <t>Compost loading to box spreader</t>
  </si>
  <si>
    <t>x times per year</t>
  </si>
  <si>
    <t>(every X number of days; this is how many hours per day I need during the timeframe I'm land applying settled solids)</t>
  </si>
  <si>
    <t>Totals for 94 pto hp tractors</t>
  </si>
  <si>
    <t>Operation time for 94 pto hp tractor, maximum per day</t>
  </si>
  <si>
    <t>h/d (maximum)</t>
  </si>
  <si>
    <t>(on days in which separated solids are being land applied, in addition to daily solids moving)</t>
  </si>
  <si>
    <t>Total number of 94 pto hp tractors needed (based on max h/d)</t>
  </si>
  <si>
    <t>based on max h/d</t>
  </si>
  <si>
    <t>Roundup total number of 94 pto hp tractors needed (based on max h/d)</t>
  </si>
  <si>
    <t>Total number of 94 pto hp tractors needed (based on max h/y)</t>
  </si>
  <si>
    <t>based on max h/y</t>
  </si>
  <si>
    <t>Roundup total number of 94 pto hp tractors needed (based on max h/y)</t>
  </si>
  <si>
    <t>Total number of 94 pto hp tractors needed</t>
  </si>
  <si>
    <t>Total operation time for 94 pto hp tractor per year</t>
  </si>
  <si>
    <t>Operation time for each 94 pto hp tractor</t>
  </si>
  <si>
    <t>Percent allocation of time to move solids for drying</t>
  </si>
  <si>
    <t>allocation for R&amp;M for this unit process</t>
  </si>
  <si>
    <t>Percent allocation of time to loading separated solids into spreader</t>
  </si>
  <si>
    <t>85 pto hp:</t>
  </si>
  <si>
    <t>Land apply compost</t>
  </si>
  <si>
    <t>Settled solids box spreader land application</t>
  </si>
  <si>
    <t>Operation time for tractor with box spreader, to land apply</t>
  </si>
  <si>
    <t>Totals for 85 pto hp tractors</t>
  </si>
  <si>
    <t>Operation time for 85 pto hp tractor, maximum per day</t>
  </si>
  <si>
    <t>(on days in which settled solids and compost are also being land applied)</t>
  </si>
  <si>
    <t>Total number of 85 pto hp tractors needed (based on max h/d)</t>
  </si>
  <si>
    <t>Roundup total number of 85 pto hp tractors needed (based on max h/d)</t>
  </si>
  <si>
    <t>Total number of 85 pto hp tractors needed (based on max h/y)</t>
  </si>
  <si>
    <t>Roundup total number of 85 pto hp tractors needed (based on max h/y)</t>
  </si>
  <si>
    <t>Total number of 85 pto hp tractors needed</t>
  </si>
  <si>
    <t>Total operation time for 85 pto hp tractor per year</t>
  </si>
  <si>
    <t>Operation time for each 85 pto hp tractor</t>
  </si>
  <si>
    <t>Percent allocation of time to land apply settled solids with spreader</t>
  </si>
  <si>
    <t>Manure processing (d)</t>
  </si>
  <si>
    <t>No. of equipments</t>
  </si>
  <si>
    <t>"32" ft2/"64" ft2/"96" ft2</t>
  </si>
  <si>
    <t>Slope screen(s)</t>
  </si>
  <si>
    <t>Motor(s) for slope screen(s)</t>
  </si>
  <si>
    <t>(pedestall, leg stand, kits, electrical, piping, panel, sprayer)</t>
  </si>
  <si>
    <t>(labor and equipment mobilization)</t>
  </si>
  <si>
    <t>Size of motor for conveyor</t>
  </si>
  <si>
    <t>Covered building</t>
  </si>
  <si>
    <t>Number of motors for conveyor</t>
  </si>
  <si>
    <t>Concrete storage slab</t>
  </si>
  <si>
    <t>Conveyor(s)</t>
  </si>
  <si>
    <t>assume default no conveyor, rather elevated screen, gravity drop to slab</t>
  </si>
  <si>
    <t>Motor(s) for conveyor</t>
  </si>
  <si>
    <t>Energy needed for conveyor(s)</t>
  </si>
  <si>
    <t>Tractor with front loader to move solids for further drying</t>
  </si>
  <si>
    <t>kg/d</t>
  </si>
  <si>
    <t>Slope screen_equipment</t>
  </si>
  <si>
    <t>Slope screen_construction</t>
  </si>
  <si>
    <t>Motor(s) for conveyor(s)</t>
  </si>
  <si>
    <t>Tractor with front loader, move solids for drying/storage</t>
  </si>
  <si>
    <t>included in "Tractors" section ---</t>
  </si>
  <si>
    <t>included in "Tractors" section</t>
  </si>
  <si>
    <t>SEPARATED SOLIDS</t>
  </si>
  <si>
    <t>Amount of the excess settled solids that can be sold</t>
  </si>
  <si>
    <t>Amount of the excess settled solids that can be given away at no cost</t>
  </si>
  <si>
    <t>Amount of the excess settled solids to pay to haul off</t>
  </si>
  <si>
    <t>SLUDGE YEAR APPLICATION</t>
  </si>
  <si>
    <t>Number of tractors with front end loader</t>
  </si>
  <si>
    <t>in "Tractors" module</t>
  </si>
  <si>
    <t>Number of tractors with box spreader</t>
  </si>
  <si>
    <t>Tractor with front end loader</t>
  </si>
  <si>
    <t>Tractor for box spreader</t>
  </si>
  <si>
    <t>Separated solids</t>
  </si>
  <si>
    <t>c930</t>
  </si>
  <si>
    <t>Moving separated solids for drying</t>
  </si>
  <si>
    <t>daily</t>
  </si>
  <si>
    <t>module "Rotary drum screen"</t>
  </si>
  <si>
    <t>Separated solids loading to box spreader</t>
  </si>
  <si>
    <t>Settled solids loading to box spreader</t>
  </si>
  <si>
    <t>module "End use"</t>
  </si>
  <si>
    <t>Land apply settled solids</t>
  </si>
  <si>
    <t>* applied IF function due to manure streams</t>
  </si>
  <si>
    <t>Tanker Application - liquids</t>
  </si>
  <si>
    <t>Operation time for agitating</t>
  </si>
  <si>
    <t>Operation time for tanker</t>
  </si>
  <si>
    <t>quantity for this tractor in this process</t>
  </si>
  <si>
    <t>intermediate step</t>
  </si>
  <si>
    <t>Operation time per tractor for agitating</t>
  </si>
  <si>
    <t>h/event/ tractor in this process</t>
  </si>
  <si>
    <t>Operation time per tractor for pumping</t>
  </si>
  <si>
    <t>Operation time per tractor with tanker</t>
  </si>
  <si>
    <t>h/y/ tractor in this process</t>
  </si>
  <si>
    <t>Operation time for each tractor with tanker</t>
  </si>
  <si>
    <t>Percent time for this activity for agitating</t>
  </si>
  <si>
    <t>percent time on this activity per tractor</t>
  </si>
  <si>
    <t>provides check for table in module</t>
  </si>
  <si>
    <t>Percent time for this activity for pumping</t>
  </si>
  <si>
    <t>Percent time for this activity for each tractor with tanker</t>
  </si>
  <si>
    <t>Tanker Application - Sludge</t>
  </si>
  <si>
    <t>Timeframe to land apply sludge</t>
  </si>
  <si>
    <t>average h/y/tractor for this process</t>
  </si>
  <si>
    <t>average percent time on this activity per tractor</t>
  </si>
  <si>
    <t>Tanker Application - TOTALS</t>
  </si>
  <si>
    <t>End use drag</t>
  </si>
  <si>
    <t>Drag Hose Application - liquids</t>
  </si>
  <si>
    <t>Operation time for tractor pulling hose reel and applicator</t>
  </si>
  <si>
    <t>Operation time for support tractor with hose pulley</t>
  </si>
  <si>
    <t>always equals tractor for pulling hose reel and applicator</t>
  </si>
  <si>
    <t>Operation time per tractor for pulling hose reel and applicator</t>
  </si>
  <si>
    <t>Operation time per tractor for support with hose pulley</t>
  </si>
  <si>
    <t>Operation time for tractor for support with hose pulley</t>
  </si>
  <si>
    <t>Percent time for this activity for tractor pulling hose and applicator</t>
  </si>
  <si>
    <t>Percent time for this activity for tractor support with hose pulley</t>
  </si>
  <si>
    <t>Drag Hose Application - Sludge</t>
  </si>
  <si>
    <t>Percent time for this activity for pulling hose reel and applicator</t>
  </si>
  <si>
    <t>Percent time for this activity for support with hose pulley</t>
  </si>
  <si>
    <t>Operation time for tractor support with hose pulley</t>
  </si>
  <si>
    <t>Percent time for this activity for tractor pulling hose reel and applicator</t>
  </si>
  <si>
    <t>CO2 from anaerobic digesters</t>
  </si>
  <si>
    <t>CH4 from anaerobic digesters</t>
  </si>
  <si>
    <t>CO2</t>
  </si>
  <si>
    <t>CO2 from covered digester</t>
  </si>
  <si>
    <t>CO2 from compost</t>
  </si>
  <si>
    <t>CO2_toggle</t>
  </si>
  <si>
    <t>CO2 direct emissions toggle. 1 fully tracks CO2 impacts for digesters and other management systems, 0 excludes CO2 from methane combustion and other sources.</t>
  </si>
  <si>
    <t>The purpose of this DST is to assist in optimizing manure management in deep pit and shallow pit barns from collection to land application on-farm and/or export off-farm.</t>
  </si>
  <si>
    <t>Number of diesel powered pickup trucks needed</t>
  </si>
  <si>
    <t>Fuel utilization rate for diesel powered lead pump</t>
  </si>
  <si>
    <t>Fuel utilization rate for diesel powered booster pump</t>
  </si>
  <si>
    <t>Fuel utilization rate for diesel powered agitation trailer</t>
  </si>
  <si>
    <t>Fuel utilization rate for diesel powered pickup truck</t>
  </si>
  <si>
    <t>Toggle that determines if agitation trailer is needed when emptying lagoon. 1 is yes, 0 is no. Agitation is needed for systems that aren't premixed.</t>
  </si>
  <si>
    <t>Version number: 1.0.3 (September 11, 2025)</t>
  </si>
  <si>
    <t>Shallow pit, flush, lagoon, irrigation + tanker</t>
  </si>
  <si>
    <t>Shallow pit, flush, lagoon, irrigation + drag hose</t>
  </si>
  <si>
    <t>The farm uses a flush water system for barn cleaning. The flushed manure flows to a lagoon and is stored for a period of time before it is emptied. Liquids are land applied via irrigation while the accumulated sludge is removed after a longer storage period and land applied via agitation and tractor-pulled tanker.</t>
  </si>
  <si>
    <t>Shallow pit, scrape auto, lagoon, irrigation + tanker</t>
  </si>
  <si>
    <t>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t>
  </si>
  <si>
    <t>Shallow pit, scrape auto, lagoon, irrigation + drag hose</t>
  </si>
  <si>
    <t>Shallow pit, pull plug, lagoon, irrigation + tanker</t>
  </si>
  <si>
    <t>The farm uses a pull-plug method for barn cleaning. Then the manure flows to a lagoon and is stored for a period of time before it is emptied. Liquids are land applied via irrigation while the accumulated sludge is removed after a longer storage period and land applied via agitation and tractor-pulled tanker.</t>
  </si>
  <si>
    <t>Shallow pit, pull plug, lagoon, irrigation + drag hose</t>
  </si>
  <si>
    <t>Shallow pit, flush, AD, lagoon, irrigation + tanker</t>
  </si>
  <si>
    <t>The farm uses a flush water system for barn cleaning. The flushed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</si>
  <si>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flush, AD, lagoon, irrigation + drag hose</t>
  </si>
  <si>
    <t>Shallow pit, scrape auto, AD, lagoon, irrigation + tanker</t>
  </si>
  <si>
    <t>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</si>
  <si>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scrape auto, AD, lagoon, irrigation + drag hose</t>
  </si>
  <si>
    <t>Shallow pit, pull plug, AD, lagoon, irrigation + tanker</t>
  </si>
  <si>
    <t>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</si>
  <si>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pull plug, AD, lagoon, irrigation + drag hose</t>
  </si>
  <si>
    <t>Shallow pit, flush, covered digestion basin, lagoon, irrigation + tanker</t>
  </si>
  <si>
    <t>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emptied.Liquids are land applied via irrigation while the accumulated sludge is removed after a longer storage period and land applied via agitation and tractor-pulled tanker.</t>
  </si>
  <si>
    <t>Shallow pit, flush, covered digestion basin, lagoon, irrigation + drag hose</t>
  </si>
  <si>
    <t>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</si>
  <si>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scrape auto, covered digestion basin, lagoon, irrigation + tanker</t>
  </si>
  <si>
    <t>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</si>
  <si>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scrape auto, covered digestion basin, lagoon, irrigation + drag hose</t>
  </si>
  <si>
    <t>Shallow pit, pull plug, covered digestion basin, lagoon, irrigation + tanker</t>
  </si>
  <si>
    <t>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t>
  </si>
  <si>
    <t>Shallow pit, pull plug, covered digestion basin, lagoon, irrigation + drag hose</t>
  </si>
  <si>
    <t>Shallow pit, scrape auto, slope screen, lagoon, irrigation + tanker</t>
  </si>
  <si>
    <t>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t>
  </si>
  <si>
    <t>Shallow pit, scrape auto, slope screen, lagoon, irrigation + drag hose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</si>
</sst>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44" formatCode="_(&quot;$&quot;* #,##0.00_);_(&quot;$&quot;* \(#,##0.00\);_(&quot;$&quot;* &quot;-&quot;??_);_(@_)"/>
    <numFmt numFmtId="43" formatCode="_(* #,##0.00_);_(* \(#,##0.00\);_(* &quot;-&quot;??_);_(@_)"/>
    <numFmt numFmtId="164" formatCode="0.0"/>
    <numFmt numFmtId="165" formatCode="0.000"/>
    <numFmt numFmtId="166" formatCode="0.0000"/>
    <numFmt numFmtId="167" formatCode="0.00000"/>
    <numFmt numFmtId="168" formatCode="0.000000"/>
    <numFmt numFmtId="169" formatCode="&quot;$&quot;#,##0.00"/>
    <numFmt numFmtId="170" formatCode="0.00000000"/>
    <numFmt numFmtId="171" formatCode="_(* #,##0_);_(* \(#,##0\);_(* &quot;-&quot;??_);_(@_)"/>
    <numFmt numFmtId="172" formatCode="_(&quot;$&quot;* #,##0_);_(&quot;$&quot;* \(#,##0\);_(&quot;$&quot;* &quot;-&quot;??_);_(@_)"/>
    <numFmt numFmtId="173" formatCode="0.0%"/>
    <numFmt numFmtId="174" formatCode="_(&quot;$&quot;* #,##0.0000_);_(&quot;$&quot;* \(#,##0.0000\);_(&quot;$&quot;* &quot;-&quot;??_);_(@_)"/>
    <numFmt numFmtId="175" formatCode="_(&quot;$&quot;* #,##0.000_);_(&quot;$&quot;* \(#,##0.000\);_(&quot;$&quot;* &quot;-&quot;??_);_(@_)"/>
    <numFmt numFmtId="176" formatCode="&quot;$&quot;#,##0"/>
    <numFmt numFmtId="177" formatCode="_(&quot;$&quot;* #,##0.00000_);_(&quot;$&quot;* \(#,##0.00000\);_(&quot;$&quot;* &quot;-&quot;??_);_(@_)"/>
    <numFmt numFmtId="178" formatCode="_(&quot;$&quot;* #,##0.00000000_);_(&quot;$&quot;* \(#,##0.00000000\);_(&quot;$&quot;* &quot;-&quot;??_);_(@_)"/>
    <numFmt numFmtId="179" formatCode="_(&quot;$&quot;* #,##0_);_(&quot;$&quot;* \(#,##0\);_(&quot;$&quot;* &quot;-&quot;????_);_(@_)"/>
    <numFmt numFmtId="180" formatCode="_(&quot;$&quot;* #,##0.0_);_(&quot;$&quot;* \(#,##0.0\);_(&quot;$&quot;* &quot;-&quot;??_);_(@_)"/>
    <numFmt numFmtId="181" formatCode="_(* #,##0.0_);_(* \(#,##0.0\);_(* &quot;-&quot;??_);_(@_)"/>
    <numFmt numFmtId="182" formatCode="_(&quot;$&quot;* #,##0.000000_);_(&quot;$&quot;* \(#,##0.000000\);_(&quot;$&quot;* &quot;-&quot;??_);_(@_)"/>
    <numFmt numFmtId="183" formatCode="_(&quot;$&quot;* #,##0.0_);_(&quot;$&quot;* \(#,##0.0\);_(&quot;$&quot;* &quot;-&quot;?_);_(@_)"/>
    <numFmt numFmtId="184" formatCode="&quot;$&quot;#,##0.000_);[Red]\(&quot;$&quot;#,##0.000\)"/>
    <numFmt numFmtId="185" formatCode="0.0000000"/>
    <numFmt numFmtId="186" formatCode="0.0000000000"/>
    <numFmt numFmtId="187" formatCode="&quot;$&quot;#,##0.000"/>
    <numFmt numFmtId="188" formatCode="#,##0.0"/>
    <numFmt numFmtId="189" formatCode="#,##0.000"/>
    <numFmt numFmtId="190" formatCode="#,##0.0_);\(#,##0.0\)"/>
  </numFmts>
  <fonts count="134" x14ac:knownFonts="1">
    <font>
      <sz val="11"/>
      <color theme="1"/>
      <name val="Calibri"/>
      <family val="2"/>
      <scheme val="minor"/>
    </font>
    <font>
      <sz val="11"/>
      <color indexed="8"/>
      <name val="Calibri"/>
      <family val="2"/>
    </font>
    <font>
      <u/>
      <sz val="11"/>
      <color indexed="12"/>
      <name val="Calibri"/>
      <family val="2"/>
    </font>
    <font>
      <u/>
      <sz val="11"/>
      <color theme="1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4"/>
      <color theme="1"/>
      <name val="Calibri"/>
      <family val="2"/>
      <scheme val="minor"/>
    </font>
    <font>
      <vertAlign val="superscript"/>
      <sz val="11"/>
      <color theme="1"/>
      <name val="Calibri"/>
      <family val="2"/>
      <scheme val="minor"/>
    </font>
    <font>
      <u/>
      <sz val="11"/>
      <color theme="0"/>
      <name val="Calibri"/>
      <family val="2"/>
      <scheme val="minor"/>
    </font>
    <font>
      <b/>
      <sz val="10"/>
      <color rgb="FFFF0000"/>
      <name val="Calibri"/>
      <family val="2"/>
      <scheme val="minor"/>
    </font>
    <font>
      <sz val="14"/>
      <color rgb="FFFF0000"/>
      <name val="Calibri"/>
      <family val="2"/>
      <scheme val="minor"/>
    </font>
    <font>
      <sz val="11"/>
      <name val="Calibri"/>
      <family val="2"/>
      <scheme val="minor"/>
    </font>
    <font>
      <sz val="14"/>
      <name val="Calibri"/>
      <family val="2"/>
      <scheme val="minor"/>
    </font>
    <font>
      <sz val="10"/>
      <name val="Calibri"/>
      <family val="2"/>
      <scheme val="minor"/>
    </font>
    <font>
      <b/>
      <sz val="10"/>
      <name val="Calibri"/>
      <family val="2"/>
      <scheme val="minor"/>
    </font>
    <font>
      <sz val="10"/>
      <name val="Arial"/>
      <family val="2"/>
    </font>
    <font>
      <u/>
      <sz val="10"/>
      <color indexed="12"/>
      <name val="Arial"/>
      <family val="2"/>
    </font>
    <font>
      <sz val="11"/>
      <color theme="1"/>
      <name val="Calisto MT"/>
      <family val="2"/>
    </font>
    <font>
      <u/>
      <sz val="11"/>
      <color theme="10"/>
      <name val="Calisto MT"/>
      <family val="2"/>
    </font>
    <font>
      <sz val="10"/>
      <name val="Arial"/>
      <family val="2"/>
    </font>
    <font>
      <u/>
      <sz val="10"/>
      <color indexed="12"/>
      <name val="Arial"/>
      <family val="2"/>
    </font>
    <font>
      <sz val="12"/>
      <color rgb="FF000000"/>
      <name val="Verdana"/>
      <family val="2"/>
    </font>
    <font>
      <sz val="11"/>
      <color rgb="FF201F1E"/>
      <name val="Calibri"/>
      <family val="2"/>
    </font>
    <font>
      <b/>
      <sz val="11"/>
      <color rgb="FF201F1E"/>
      <name val="Calibri"/>
      <family val="2"/>
    </font>
    <font>
      <b/>
      <sz val="11"/>
      <color rgb="FF201F1E"/>
      <name val="Calibri"/>
      <family val="2"/>
      <scheme val="minor"/>
    </font>
    <font>
      <sz val="11"/>
      <color rgb="FFFF0000"/>
      <name val="Calibri"/>
      <family val="2"/>
    </font>
    <font>
      <sz val="12"/>
      <color rgb="FF000000"/>
      <name val="Verdana"/>
      <family val="2"/>
    </font>
    <font>
      <sz val="11"/>
      <color theme="1"/>
      <name val="Calibri"/>
      <family val="2"/>
      <scheme val="minor"/>
    </font>
    <font>
      <b/>
      <sz val="11"/>
      <name val="Calibri"/>
      <family val="2"/>
      <scheme val="minor"/>
    </font>
    <font>
      <b/>
      <sz val="11"/>
      <color rgb="FFFF0000"/>
      <name val="Calibri"/>
      <family val="2"/>
      <scheme val="minor"/>
    </font>
    <font>
      <sz val="10"/>
      <name val="Arial"/>
      <family val="2"/>
    </font>
    <font>
      <u/>
      <sz val="10"/>
      <color indexed="12"/>
      <name val="Arial"/>
      <family val="2"/>
    </font>
    <font>
      <sz val="12"/>
      <color rgb="FF000000"/>
      <name val="Verdana"/>
      <family val="2"/>
    </font>
    <font>
      <vertAlign val="subscript"/>
      <sz val="11"/>
      <color indexed="8"/>
      <name val="Calibri"/>
      <family val="2"/>
    </font>
    <font>
      <sz val="11"/>
      <color theme="1"/>
      <name val="Calibri"/>
      <family val="2"/>
    </font>
    <font>
      <u/>
      <sz val="11"/>
      <color theme="10"/>
      <name val="Calibri"/>
      <family val="2"/>
    </font>
    <font>
      <sz val="8"/>
      <name val="Arial"/>
      <family val="2"/>
    </font>
    <font>
      <b/>
      <vertAlign val="subscript"/>
      <sz val="11"/>
      <color rgb="FFFF0000"/>
      <name val="Calibri"/>
      <family val="2"/>
      <scheme val="minor"/>
    </font>
    <font>
      <b/>
      <vertAlign val="subscript"/>
      <sz val="11"/>
      <color theme="1"/>
      <name val="Calibri"/>
      <family val="2"/>
      <scheme val="minor"/>
    </font>
    <font>
      <sz val="11"/>
      <color rgb="FF000000"/>
      <name val="Calibri"/>
      <family val="2"/>
      <scheme val="minor"/>
    </font>
    <font>
      <sz val="12"/>
      <name val="Calibri"/>
      <family val="2"/>
      <scheme val="minor"/>
    </font>
    <font>
      <vertAlign val="subscript"/>
      <sz val="11"/>
      <color theme="1"/>
      <name val="Calibri"/>
      <family val="2"/>
      <scheme val="minor"/>
    </font>
    <font>
      <i/>
      <sz val="11"/>
      <color theme="1"/>
      <name val="Calibri"/>
      <family val="2"/>
      <scheme val="minor"/>
    </font>
    <font>
      <sz val="11"/>
      <color rgb="FFC00000"/>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i/>
      <sz val="11"/>
      <color rgb="FFFF0000"/>
      <name val="Calibri"/>
      <family val="2"/>
      <scheme val="minor"/>
    </font>
    <font>
      <i/>
      <sz val="11"/>
      <color theme="1"/>
      <name val="Calisto MT"/>
      <family val="1"/>
    </font>
    <font>
      <sz val="8"/>
      <name val="Calibri"/>
      <family val="2"/>
      <scheme val="minor"/>
    </font>
    <font>
      <strike/>
      <sz val="11"/>
      <color theme="1"/>
      <name val="Calibri"/>
      <family val="2"/>
      <scheme val="minor"/>
    </font>
    <font>
      <b/>
      <sz val="16"/>
      <color theme="1"/>
      <name val="Calibri"/>
      <family val="2"/>
      <scheme val="minor"/>
    </font>
    <font>
      <b/>
      <sz val="14"/>
      <color theme="1"/>
      <name val="Calibri"/>
      <family val="2"/>
      <scheme val="minor"/>
    </font>
    <font>
      <b/>
      <sz val="11"/>
      <color rgb="FFFF0000"/>
      <name val="Calibri"/>
      <family val="2"/>
    </font>
    <font>
      <b/>
      <sz val="13"/>
      <color theme="3"/>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sz val="11"/>
      <color rgb="FFFFFFFF"/>
      <name val="Calibri"/>
      <family val="2"/>
      <scheme val="minor"/>
    </font>
    <font>
      <sz val="22"/>
      <color theme="0"/>
      <name val="Calibri"/>
      <family val="2"/>
      <scheme val="minor"/>
    </font>
    <font>
      <sz val="12"/>
      <color theme="0"/>
      <name val="Calibri"/>
      <family val="2"/>
      <scheme val="minor"/>
    </font>
    <font>
      <sz val="11"/>
      <color theme="0" tint="-4.9989318521683403E-2"/>
      <name val="Calibri"/>
      <family val="2"/>
      <scheme val="minor"/>
    </font>
    <font>
      <b/>
      <sz val="18"/>
      <name val="Calibri"/>
      <family val="2"/>
      <scheme val="minor"/>
    </font>
    <font>
      <sz val="18"/>
      <color theme="1"/>
      <name val="Calibri"/>
      <family val="2"/>
      <scheme val="minor"/>
    </font>
    <font>
      <b/>
      <sz val="18"/>
      <color theme="0"/>
      <name val="Calibri"/>
      <family val="2"/>
      <scheme val="minor"/>
    </font>
    <font>
      <b/>
      <sz val="18"/>
      <color theme="1"/>
      <name val="Calibri"/>
      <family val="2"/>
      <scheme val="minor"/>
    </font>
    <font>
      <sz val="11"/>
      <color rgb="FF0070C0"/>
      <name val="Calibri"/>
      <family val="2"/>
      <scheme val="minor"/>
    </font>
    <font>
      <b/>
      <vertAlign val="superscript"/>
      <sz val="11"/>
      <color theme="1"/>
      <name val="Calibri"/>
      <family val="2"/>
      <scheme val="minor"/>
    </font>
    <font>
      <b/>
      <vertAlign val="subscript"/>
      <sz val="11"/>
      <name val="Calibri"/>
      <family val="2"/>
      <scheme val="minor"/>
    </font>
    <font>
      <b/>
      <sz val="11"/>
      <color rgb="FF0070C0"/>
      <name val="Calibri"/>
      <family val="2"/>
      <scheme val="minor"/>
    </font>
    <font>
      <sz val="24"/>
      <color theme="0"/>
      <name val="Calibri"/>
      <family val="2"/>
      <scheme val="minor"/>
    </font>
    <font>
      <b/>
      <sz val="16"/>
      <name val="Calibri"/>
      <family val="2"/>
      <scheme val="minor"/>
    </font>
    <font>
      <sz val="11"/>
      <color rgb="FF242424"/>
      <name val="Segoe UI"/>
      <family val="2"/>
    </font>
    <font>
      <b/>
      <u/>
      <sz val="16"/>
      <color theme="0"/>
      <name val="Calibri"/>
      <family val="2"/>
      <scheme val="minor"/>
    </font>
    <font>
      <b/>
      <u/>
      <sz val="16"/>
      <color theme="1"/>
      <name val="Calibri"/>
      <family val="2"/>
      <scheme val="minor"/>
    </font>
    <font>
      <sz val="20"/>
      <color theme="0"/>
      <name val="Calibri"/>
      <family val="2"/>
      <scheme val="minor"/>
    </font>
    <font>
      <sz val="12"/>
      <color theme="1"/>
      <name val="Calibri"/>
      <family val="2"/>
      <scheme val="minor"/>
    </font>
    <font>
      <b/>
      <i/>
      <sz val="18"/>
      <color theme="0"/>
      <name val="Calibri"/>
      <family val="2"/>
      <scheme val="minor"/>
    </font>
    <font>
      <sz val="24"/>
      <color rgb="FF000000"/>
      <name val="Calibri"/>
      <family val="2"/>
      <scheme val="minor"/>
    </font>
    <font>
      <sz val="16"/>
      <color rgb="FF000000"/>
      <name val="Calibri"/>
      <family val="2"/>
      <scheme val="minor"/>
    </font>
    <font>
      <b/>
      <sz val="48"/>
      <color theme="0"/>
      <name val="Calibri"/>
      <family val="2"/>
      <scheme val="minor"/>
    </font>
    <font>
      <b/>
      <i/>
      <sz val="16"/>
      <color theme="0"/>
      <name val="Calibri"/>
      <family val="2"/>
      <scheme val="minor"/>
    </font>
    <font>
      <b/>
      <i/>
      <sz val="36"/>
      <color theme="0"/>
      <name val="Calibri"/>
      <family val="2"/>
      <scheme val="minor"/>
    </font>
    <font>
      <b/>
      <sz val="9"/>
      <color rgb="FFFF0000"/>
      <name val="Roboto"/>
    </font>
    <font>
      <i/>
      <sz val="11"/>
      <name val="Calibri"/>
      <family val="2"/>
      <scheme val="minor"/>
    </font>
    <font>
      <b/>
      <sz val="20"/>
      <color theme="1"/>
      <name val="Calibri"/>
      <family val="2"/>
      <scheme val="minor"/>
    </font>
    <font>
      <b/>
      <sz val="12"/>
      <name val="Calibri"/>
      <family val="2"/>
      <scheme val="minor"/>
    </font>
    <font>
      <b/>
      <u/>
      <sz val="11"/>
      <name val="Calibri"/>
      <family val="2"/>
      <scheme val="minor"/>
    </font>
    <font>
      <i/>
      <sz val="11"/>
      <color rgb="FF0070C0"/>
      <name val="Calibri"/>
      <family val="2"/>
      <scheme val="minor"/>
    </font>
    <font>
      <b/>
      <u/>
      <sz val="11"/>
      <color theme="0"/>
      <name val="Calibri"/>
      <family val="2"/>
      <scheme val="minor"/>
    </font>
    <font>
      <b/>
      <sz val="16"/>
      <color theme="0"/>
      <name val="Calibri"/>
      <family val="2"/>
      <scheme val="minor"/>
    </font>
    <font>
      <sz val="12"/>
      <color rgb="FFFFFFFF"/>
      <name val="Calibri"/>
      <family val="2"/>
      <scheme val="minor"/>
    </font>
    <font>
      <b/>
      <sz val="14"/>
      <name val="Calibri"/>
      <family val="2"/>
      <scheme val="minor"/>
    </font>
    <font>
      <b/>
      <i/>
      <sz val="14"/>
      <name val="Calibri"/>
      <family val="2"/>
      <scheme val="minor"/>
    </font>
    <font>
      <sz val="18"/>
      <name val="Calibri"/>
      <family val="2"/>
      <scheme val="minor"/>
    </font>
    <font>
      <b/>
      <sz val="12"/>
      <color theme="0"/>
      <name val="Calibri"/>
      <family val="2"/>
      <scheme val="minor"/>
    </font>
    <font>
      <sz val="16"/>
      <name val="Calibri"/>
      <family val="2"/>
      <scheme val="minor"/>
    </font>
    <font>
      <b/>
      <sz val="36"/>
      <color theme="1"/>
      <name val="Calibri"/>
      <family val="2"/>
      <scheme val="minor"/>
    </font>
    <font>
      <sz val="24"/>
      <name val="Calibri"/>
      <family val="2"/>
      <scheme val="minor"/>
    </font>
    <font>
      <b/>
      <u/>
      <sz val="14"/>
      <name val="Calibri"/>
      <family val="2"/>
      <scheme val="minor"/>
    </font>
    <font>
      <sz val="28"/>
      <name val="Calibri"/>
      <family val="2"/>
      <scheme val="minor"/>
    </font>
    <font>
      <b/>
      <i/>
      <sz val="16"/>
      <color rgb="FFC00000"/>
      <name val="Calibri"/>
      <family val="2"/>
      <scheme val="minor"/>
    </font>
    <font>
      <sz val="20"/>
      <name val="Calibri"/>
      <family val="2"/>
      <scheme val="minor"/>
    </font>
    <font>
      <b/>
      <sz val="28"/>
      <color theme="0"/>
      <name val="Calibri"/>
      <family val="2"/>
      <scheme val="minor"/>
    </font>
    <font>
      <b/>
      <sz val="22"/>
      <color theme="1"/>
      <name val="Calibri"/>
      <family val="2"/>
      <scheme val="minor"/>
    </font>
    <font>
      <b/>
      <u/>
      <sz val="12"/>
      <color theme="1"/>
      <name val="Calibri"/>
      <family val="2"/>
      <scheme val="minor"/>
    </font>
    <font>
      <sz val="9"/>
      <color indexed="81"/>
      <name val="Tahoma"/>
      <family val="2"/>
    </font>
    <font>
      <b/>
      <sz val="9"/>
      <color indexed="81"/>
      <name val="Tahoma"/>
      <family val="2"/>
    </font>
    <font>
      <b/>
      <i/>
      <sz val="14"/>
      <color theme="1"/>
      <name val="Calibri"/>
      <family val="2"/>
      <scheme val="minor"/>
    </font>
    <font>
      <sz val="11"/>
      <name val="Calibri"/>
      <family val="2"/>
    </font>
    <font>
      <vertAlign val="subscript"/>
      <sz val="11"/>
      <name val="Calibri"/>
      <family val="2"/>
    </font>
    <font>
      <b/>
      <sz val="10"/>
      <color theme="0"/>
      <name val="Calibri"/>
      <family val="2"/>
      <scheme val="minor"/>
    </font>
    <font>
      <b/>
      <sz val="12"/>
      <color rgb="FFFF0000"/>
      <name val="Calibri"/>
      <family val="2"/>
      <scheme val="minor"/>
    </font>
    <font>
      <b/>
      <sz val="36"/>
      <color theme="0"/>
      <name val="Calibri"/>
      <family val="2"/>
      <scheme val="minor"/>
    </font>
    <font>
      <b/>
      <sz val="14"/>
      <color theme="0"/>
      <name val="Calibri"/>
      <family val="2"/>
      <scheme val="minor"/>
    </font>
    <font>
      <sz val="16"/>
      <color theme="1"/>
      <name val="Calibri"/>
      <family val="2"/>
      <scheme val="minor"/>
    </font>
    <font>
      <b/>
      <sz val="11"/>
      <color rgb="FF0D0D0D"/>
      <name val="Segoe UI"/>
      <family val="2"/>
    </font>
    <font>
      <b/>
      <sz val="11"/>
      <name val="Calibri"/>
      <family val="2"/>
    </font>
    <font>
      <b/>
      <sz val="11"/>
      <color indexed="8"/>
      <name val="Arial"/>
      <family val="2"/>
    </font>
    <font>
      <b/>
      <sz val="11"/>
      <name val="Arial"/>
      <family val="2"/>
    </font>
    <font>
      <b/>
      <sz val="11"/>
      <name val="Segoe UI"/>
      <family val="2"/>
    </font>
    <font>
      <b/>
      <sz val="24"/>
      <color rgb="FF000000"/>
      <name val="Calibri"/>
      <family val="2"/>
      <scheme val="minor"/>
    </font>
    <font>
      <b/>
      <sz val="22"/>
      <color rgb="FF000000"/>
      <name val="Calibri"/>
      <family val="2"/>
      <scheme val="minor"/>
    </font>
    <font>
      <b/>
      <sz val="24"/>
      <color theme="1"/>
      <name val="Calibri"/>
      <family val="2"/>
      <scheme val="minor"/>
    </font>
    <font>
      <b/>
      <i/>
      <u/>
      <sz val="18"/>
      <color theme="0"/>
      <name val="Calibri"/>
      <family val="2"/>
      <scheme val="minor"/>
    </font>
    <font>
      <b/>
      <sz val="11"/>
      <name val="Roboto"/>
    </font>
    <font>
      <sz val="11"/>
      <name val="Times New Roman"/>
      <family val="1"/>
    </font>
    <font>
      <sz val="11"/>
      <color rgb="FFEE0000"/>
      <name val="Calibri"/>
      <family val="2"/>
      <scheme val="minor"/>
    </font>
    <font>
      <b/>
      <sz val="24"/>
      <name val="Calibri"/>
      <family val="2"/>
      <scheme val="minor"/>
    </font>
    <font>
      <sz val="12"/>
      <color rgb="FF000000"/>
      <name val="Calibri"/>
      <family val="2"/>
      <scheme val="minor"/>
    </font>
    <font>
      <vertAlign val="superscript"/>
      <sz val="12"/>
      <name val="Calibri"/>
      <family val="2"/>
      <scheme val="minor"/>
    </font>
    <font>
      <vertAlign val="subscript"/>
      <sz val="11"/>
      <color theme="0"/>
      <name val="Calibri"/>
      <family val="2"/>
      <scheme val="minor"/>
    </font>
  </fonts>
  <fills count="10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bgColor indexed="64"/>
      </patternFill>
    </fill>
    <fill>
      <patternFill patternType="solid">
        <fgColor theme="1"/>
        <bgColor indexed="64"/>
      </patternFill>
    </fill>
    <fill>
      <patternFill patternType="solid">
        <fgColor theme="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FF"/>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FF"/>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7030A0"/>
        <bgColor indexed="64"/>
      </patternFill>
    </fill>
    <fill>
      <patternFill patternType="solid">
        <fgColor theme="2"/>
        <bgColor indexed="64"/>
      </patternFill>
    </fill>
    <fill>
      <patternFill patternType="solid">
        <fgColor rgb="FFCEFAED"/>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FDC93B"/>
        <bgColor indexed="64"/>
      </patternFill>
    </fill>
    <fill>
      <patternFill patternType="solid">
        <fgColor rgb="FFD9D9D9"/>
        <bgColor indexed="64"/>
      </patternFill>
    </fill>
    <fill>
      <patternFill patternType="solid">
        <fgColor rgb="FF8B8F8D"/>
        <bgColor indexed="64"/>
      </patternFill>
    </fill>
    <fill>
      <patternFill patternType="solid">
        <fgColor rgb="FFFFBF00"/>
        <bgColor indexed="64"/>
      </patternFill>
    </fill>
    <fill>
      <patternFill patternType="solid">
        <fgColor rgb="FF6991A3"/>
        <bgColor indexed="64"/>
      </patternFill>
    </fill>
    <fill>
      <patternFill patternType="solid">
        <fgColor rgb="FFF6F6E9"/>
        <bgColor indexed="64"/>
      </patternFill>
    </fill>
    <fill>
      <patternFill patternType="solid">
        <fgColor rgb="FFFFCA2E"/>
        <bgColor indexed="64"/>
      </patternFill>
    </fill>
    <fill>
      <patternFill patternType="solid">
        <fgColor rgb="FF007A37"/>
        <bgColor indexed="64"/>
      </patternFill>
    </fill>
    <fill>
      <patternFill patternType="solid">
        <fgColor rgb="FFBCBBBC"/>
        <bgColor indexed="64"/>
      </patternFill>
    </fill>
    <fill>
      <patternFill patternType="solid">
        <fgColor rgb="FF37FF9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rgb="FFEDE7E3"/>
        <bgColor indexed="64"/>
      </patternFill>
    </fill>
    <fill>
      <patternFill patternType="solid">
        <fgColor rgb="FFB3C8D1"/>
        <bgColor indexed="64"/>
      </patternFill>
    </fill>
    <fill>
      <patternFill patternType="solid">
        <fgColor rgb="FFFFF2CC"/>
        <bgColor indexed="64"/>
      </patternFill>
    </fill>
    <fill>
      <patternFill patternType="solid">
        <fgColor rgb="FF2B72AA"/>
        <bgColor indexed="64"/>
      </patternFill>
    </fill>
    <fill>
      <patternFill patternType="solid">
        <fgColor theme="4" tint="-0.249977111117893"/>
        <bgColor indexed="64"/>
      </patternFill>
    </fill>
    <fill>
      <patternFill patternType="solid">
        <fgColor rgb="FFC9C9C9"/>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rgb="FF8EA9DB"/>
        <bgColor indexed="64"/>
      </patternFill>
    </fill>
    <fill>
      <patternFill patternType="solid">
        <fgColor rgb="FFACC1E6"/>
        <bgColor indexed="64"/>
      </patternFill>
    </fill>
    <fill>
      <patternFill patternType="solid">
        <fgColor rgb="FF19222B"/>
        <bgColor indexed="64"/>
      </patternFill>
    </fill>
    <fill>
      <patternFill patternType="solid">
        <fgColor rgb="FFEAE2B7"/>
        <bgColor indexed="64"/>
      </patternFill>
    </fill>
    <fill>
      <patternFill patternType="solid">
        <fgColor rgb="FF64D562"/>
        <bgColor indexed="64"/>
      </patternFill>
    </fill>
    <fill>
      <patternFill patternType="solid">
        <fgColor rgb="FF003049"/>
        <bgColor indexed="64"/>
      </patternFill>
    </fill>
    <fill>
      <patternFill patternType="solid">
        <fgColor rgb="FFFCBF49"/>
        <bgColor indexed="64"/>
      </patternFill>
    </fill>
    <fill>
      <patternFill patternType="solid">
        <fgColor rgb="FF005782"/>
        <bgColor indexed="64"/>
      </patternFill>
    </fill>
    <fill>
      <patternFill patternType="solid">
        <fgColor rgb="FF9BDEFF"/>
        <bgColor indexed="64"/>
      </patternFill>
    </fill>
    <fill>
      <patternFill patternType="solid">
        <fgColor rgb="FFD62828"/>
        <bgColor indexed="64"/>
      </patternFill>
    </fill>
    <fill>
      <patternFill patternType="solid">
        <fgColor rgb="FFF77F00"/>
        <bgColor indexed="64"/>
      </patternFill>
    </fill>
    <fill>
      <patternFill patternType="solid">
        <fgColor rgb="FFE4E4E4"/>
        <bgColor indexed="64"/>
      </patternFill>
    </fill>
    <fill>
      <patternFill patternType="solid">
        <fgColor rgb="FFF2F2F2"/>
        <bgColor indexed="64"/>
      </patternFill>
    </fill>
    <fill>
      <patternFill patternType="solid">
        <fgColor rgb="FFFF0000"/>
        <bgColor indexed="64"/>
      </patternFill>
    </fill>
    <fill>
      <patternFill patternType="solid">
        <fgColor rgb="FFF8CBAD"/>
        <bgColor indexed="64"/>
      </patternFill>
    </fill>
    <fill>
      <patternFill patternType="solid">
        <fgColor rgb="FFDBDBDB"/>
        <bgColor indexed="64"/>
      </patternFill>
    </fill>
    <fill>
      <patternFill patternType="solid">
        <fgColor rgb="FF2F75B5"/>
        <bgColor indexed="64"/>
      </patternFill>
    </fill>
    <fill>
      <patternFill patternType="solid">
        <fgColor rgb="FFC6E0B4"/>
        <bgColor indexed="64"/>
      </patternFill>
    </fill>
    <fill>
      <patternFill patternType="solid">
        <fgColor rgb="FFB4C6E7"/>
        <bgColor indexed="64"/>
      </patternFill>
    </fill>
    <fill>
      <patternFill patternType="solid">
        <fgColor rgb="FF70AD47"/>
        <bgColor indexed="64"/>
      </patternFill>
    </fill>
    <fill>
      <patternFill patternType="solid">
        <fgColor rgb="FFC00000"/>
        <bgColor indexed="64"/>
      </patternFill>
    </fill>
    <fill>
      <patternFill patternType="solid">
        <fgColor rgb="FFFCE4D6"/>
        <bgColor indexed="64"/>
      </patternFill>
    </fill>
    <fill>
      <patternFill patternType="solid">
        <fgColor rgb="FFA9D08E"/>
        <bgColor indexed="64"/>
      </patternFill>
    </fill>
    <fill>
      <patternFill patternType="solid">
        <fgColor rgb="FF305496"/>
        <bgColor indexed="64"/>
      </patternFill>
    </fill>
    <fill>
      <patternFill patternType="solid">
        <fgColor theme="6" tint="0.59999389629810485"/>
        <bgColor indexed="64"/>
      </patternFill>
    </fill>
    <fill>
      <patternFill patternType="solid">
        <fgColor rgb="FF75C4FF"/>
        <bgColor indexed="64"/>
      </patternFill>
    </fill>
    <fill>
      <patternFill patternType="solid">
        <fgColor rgb="FF00FF00"/>
        <bgColor indexed="64"/>
      </patternFill>
    </fill>
    <fill>
      <patternFill patternType="solid">
        <fgColor rgb="FFBDD7EE"/>
        <bgColor indexed="64"/>
      </patternFill>
    </fill>
    <fill>
      <patternFill patternType="solid">
        <fgColor rgb="FF3EB489"/>
        <bgColor indexed="64"/>
      </patternFill>
    </fill>
    <fill>
      <patternFill patternType="solid">
        <fgColor rgb="FF002060"/>
        <bgColor indexed="64"/>
      </patternFill>
    </fill>
    <fill>
      <patternFill patternType="solid">
        <fgColor rgb="FFFFD85B"/>
        <bgColor indexed="64"/>
      </patternFill>
    </fill>
    <fill>
      <patternFill patternType="solid">
        <fgColor rgb="FFF4B084"/>
        <bgColor indexed="64"/>
      </patternFill>
    </fill>
    <fill>
      <patternFill patternType="solid">
        <fgColor theme="9"/>
        <bgColor indexed="64"/>
      </patternFill>
    </fill>
    <fill>
      <patternFill patternType="solid">
        <fgColor theme="9" tint="-0.249977111117893"/>
        <bgColor indexed="64"/>
      </patternFill>
    </fill>
    <fill>
      <patternFill patternType="solid">
        <fgColor rgb="FFFBFBFB"/>
        <bgColor indexed="64"/>
      </patternFill>
    </fill>
    <fill>
      <patternFill patternType="solid">
        <fgColor rgb="FFD3D3D3"/>
        <bgColor indexed="64"/>
      </patternFill>
    </fill>
    <fill>
      <patternFill patternType="solid">
        <fgColor rgb="FF86D4F2"/>
        <bgColor indexed="64"/>
      </patternFill>
    </fill>
    <fill>
      <patternFill patternType="solid">
        <fgColor rgb="FF68A758"/>
        <bgColor indexed="64"/>
      </patternFill>
    </fill>
    <fill>
      <patternFill patternType="solid">
        <fgColor rgb="FFFFFFA7"/>
        <bgColor indexed="64"/>
      </patternFill>
    </fill>
    <fill>
      <patternFill patternType="solid">
        <fgColor rgb="FFDB8700"/>
        <bgColor indexed="64"/>
      </patternFill>
    </fill>
    <fill>
      <patternFill patternType="solid">
        <fgColor rgb="FFCF4EFF"/>
        <bgColor indexed="64"/>
      </patternFill>
    </fill>
    <fill>
      <patternFill patternType="solid">
        <fgColor rgb="FFB8FFDF"/>
        <bgColor indexed="64"/>
      </patternFill>
    </fill>
    <fill>
      <patternFill patternType="solid">
        <fgColor rgb="FF08369B"/>
        <bgColor indexed="64"/>
      </patternFill>
    </fill>
    <fill>
      <patternFill patternType="solid">
        <fgColor rgb="FFFFF9E7"/>
        <bgColor indexed="64"/>
      </patternFill>
    </fill>
    <fill>
      <patternFill patternType="solid">
        <fgColor rgb="FFEAF4E4"/>
        <bgColor indexed="64"/>
      </patternFill>
    </fill>
    <fill>
      <patternFill patternType="solid">
        <fgColor rgb="FFEAF3FA"/>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top/>
      <bottom style="mediumDashed">
        <color rgb="FF7030A0"/>
      </bottom>
      <diagonal/>
    </border>
    <border>
      <left/>
      <right/>
      <top style="mediumDashed">
        <color rgb="FF7030A0"/>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right/>
      <top/>
      <bottom style="thick">
        <color theme="4" tint="0.499984740745262"/>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thin">
        <color indexed="64"/>
      </top>
      <bottom style="medium">
        <color indexed="64"/>
      </bottom>
      <diagonal/>
    </border>
    <border>
      <left style="thick">
        <color theme="1"/>
      </left>
      <right/>
      <top style="thick">
        <color theme="1"/>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D1D1D1"/>
      </left>
      <right style="medium">
        <color rgb="FFD1D1D1"/>
      </right>
      <top style="medium">
        <color rgb="FFD1D1D1"/>
      </top>
      <bottom style="medium">
        <color rgb="FFD1D1D1"/>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ck">
        <color rgb="FF10413A"/>
      </left>
      <right style="medium">
        <color indexed="64"/>
      </right>
      <top style="medium">
        <color indexed="64"/>
      </top>
      <bottom/>
      <diagonal/>
    </border>
    <border>
      <left style="medium">
        <color indexed="64"/>
      </left>
      <right/>
      <top style="thick">
        <color rgb="FF10413A"/>
      </top>
      <bottom/>
      <diagonal/>
    </border>
    <border>
      <left style="thick">
        <color rgb="FF10413A"/>
      </left>
      <right style="medium">
        <color indexed="64"/>
      </right>
      <top style="thick">
        <color rgb="FF10413A"/>
      </top>
      <bottom/>
      <diagonal/>
    </border>
    <border>
      <left style="medium">
        <color indexed="64"/>
      </left>
      <right/>
      <top style="thick">
        <color rgb="FF10413A"/>
      </top>
      <bottom style="medium">
        <color indexed="64"/>
      </bottom>
      <diagonal/>
    </border>
    <border>
      <left style="thick">
        <color rgb="FF10413A"/>
      </left>
      <right style="medium">
        <color indexed="64"/>
      </right>
      <top style="thick">
        <color rgb="FF10413A"/>
      </top>
      <bottom style="medium">
        <color indexed="64"/>
      </bottom>
      <diagonal/>
    </border>
    <border>
      <left style="thick">
        <color theme="1"/>
      </left>
      <right style="medium">
        <color indexed="64"/>
      </right>
      <top style="medium">
        <color indexed="64"/>
      </top>
      <bottom/>
      <diagonal/>
    </border>
    <border>
      <left style="medium">
        <color indexed="64"/>
      </left>
      <right/>
      <top style="thick">
        <color theme="1"/>
      </top>
      <bottom/>
      <diagonal/>
    </border>
    <border>
      <left style="thick">
        <color theme="1"/>
      </left>
      <right style="medium">
        <color indexed="64"/>
      </right>
      <top style="thick">
        <color theme="1"/>
      </top>
      <bottom/>
      <diagonal/>
    </border>
    <border>
      <left style="medium">
        <color indexed="64"/>
      </left>
      <right/>
      <top style="thick">
        <color theme="1"/>
      </top>
      <bottom style="medium">
        <color indexed="64"/>
      </bottom>
      <diagonal/>
    </border>
    <border>
      <left style="thick">
        <color theme="1"/>
      </left>
      <right style="medium">
        <color indexed="64"/>
      </right>
      <top style="thick">
        <color theme="1"/>
      </top>
      <bottom style="medium">
        <color indexed="64"/>
      </bottom>
      <diagonal/>
    </border>
    <border>
      <left style="thick">
        <color theme="1"/>
      </left>
      <right/>
      <top style="medium">
        <color indexed="64"/>
      </top>
      <bottom/>
      <diagonal/>
    </border>
    <border>
      <left style="thick">
        <color theme="1"/>
      </left>
      <right/>
      <top style="thick">
        <color theme="1"/>
      </top>
      <bottom style="medium">
        <color indexed="64"/>
      </bottom>
      <diagonal/>
    </border>
    <border>
      <left style="thin">
        <color indexed="64"/>
      </left>
      <right/>
      <top style="medium">
        <color indexed="64"/>
      </top>
      <bottom/>
      <diagonal/>
    </border>
    <border>
      <left/>
      <right style="thin">
        <color indexed="64"/>
      </right>
      <top/>
      <bottom style="dashed">
        <color indexed="64"/>
      </bottom>
      <diagonal/>
    </border>
    <border>
      <left/>
      <right/>
      <top/>
      <bottom style="dashed">
        <color indexed="64"/>
      </bottom>
      <diagonal/>
    </border>
    <border>
      <left/>
      <right/>
      <top style="dashed">
        <color indexed="64"/>
      </top>
      <bottom/>
      <diagonal/>
    </border>
    <border>
      <left/>
      <right style="thin">
        <color indexed="64"/>
      </right>
      <top style="dashed">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mediumDashed">
        <color rgb="FF7030A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indexed="64"/>
      </bottom>
      <diagonal/>
    </border>
    <border>
      <left/>
      <right/>
      <top style="thin">
        <color rgb="FF000000"/>
      </top>
      <bottom/>
      <diagonal/>
    </border>
    <border>
      <left style="thin">
        <color indexed="64"/>
      </left>
      <right style="thin">
        <color indexed="64"/>
      </right>
      <top style="thin">
        <color rgb="FF000000"/>
      </top>
      <bottom style="medium">
        <color rgb="FF000000"/>
      </bottom>
      <diagonal/>
    </border>
  </borders>
  <cellStyleXfs count="49">
    <xf numFmtId="0" fontId="0" fillId="0" borderId="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0" fontId="17" fillId="0" borderId="0"/>
    <xf numFmtId="43" fontId="17" fillId="0" borderId="0" applyFont="0" applyFill="0" applyBorder="0" applyAlignment="0" applyProtection="0"/>
    <xf numFmtId="0" fontId="18" fillId="0" borderId="0" applyNumberFormat="0" applyFill="0" applyBorder="0" applyAlignment="0" applyProtection="0">
      <alignment vertical="top"/>
      <protection locked="0"/>
    </xf>
    <xf numFmtId="9" fontId="17"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0" fontId="20" fillId="0" borderId="0" applyNumberFormat="0" applyFill="0" applyBorder="0" applyAlignment="0" applyProtection="0"/>
    <xf numFmtId="43" fontId="21" fillId="0" borderId="0" applyFont="0" applyFill="0" applyBorder="0" applyAlignment="0" applyProtection="0"/>
    <xf numFmtId="0" fontId="22" fillId="0" borderId="0" applyNumberFormat="0" applyFill="0" applyBorder="0" applyAlignment="0" applyProtection="0">
      <alignment vertical="top"/>
      <protection locked="0"/>
    </xf>
    <xf numFmtId="0" fontId="21" fillId="0" borderId="0"/>
    <xf numFmtId="0" fontId="23" fillId="0" borderId="0"/>
    <xf numFmtId="9" fontId="21" fillId="0" borderId="0" applyFont="0" applyFill="0" applyBorder="0" applyAlignment="0" applyProtection="0"/>
    <xf numFmtId="0" fontId="28" fillId="0" borderId="0"/>
    <xf numFmtId="43" fontId="19" fillId="0" borderId="0" applyFont="0" applyFill="0" applyBorder="0" applyAlignment="0" applyProtection="0"/>
    <xf numFmtId="9" fontId="29" fillId="0" borderId="0" applyFont="0" applyFill="0" applyBorder="0" applyAlignment="0" applyProtection="0"/>
    <xf numFmtId="43" fontId="17" fillId="0" borderId="0" applyFont="0" applyFill="0" applyBorder="0" applyAlignment="0" applyProtection="0"/>
    <xf numFmtId="0" fontId="18" fillId="0" borderId="0" applyNumberFormat="0" applyFill="0" applyBorder="0" applyAlignment="0" applyProtection="0">
      <alignment vertical="top"/>
      <protection locked="0"/>
    </xf>
    <xf numFmtId="0" fontId="17" fillId="0" borderId="0"/>
    <xf numFmtId="9" fontId="17" fillId="0" borderId="0" applyFont="0" applyFill="0" applyBorder="0" applyAlignment="0" applyProtection="0"/>
    <xf numFmtId="0" fontId="23" fillId="0" borderId="0"/>
    <xf numFmtId="43" fontId="17" fillId="0" borderId="0" applyFont="0" applyFill="0" applyBorder="0" applyAlignment="0" applyProtection="0"/>
    <xf numFmtId="0" fontId="18" fillId="0" borderId="0" applyNumberFormat="0" applyFill="0" applyBorder="0" applyAlignment="0" applyProtection="0">
      <alignment vertical="top"/>
      <protection locked="0"/>
    </xf>
    <xf numFmtId="0" fontId="17" fillId="0" borderId="0"/>
    <xf numFmtId="9" fontId="17" fillId="0" borderId="0" applyFont="0" applyFill="0" applyBorder="0" applyAlignment="0" applyProtection="0"/>
    <xf numFmtId="0" fontId="23" fillId="0" borderId="0"/>
    <xf numFmtId="0" fontId="32" fillId="0" borderId="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9" fontId="32" fillId="0" borderId="0" applyFont="0" applyFill="0" applyBorder="0" applyAlignment="0" applyProtection="0"/>
    <xf numFmtId="0" fontId="34" fillId="0" borderId="0"/>
    <xf numFmtId="0" fontId="17" fillId="0" borderId="0"/>
    <xf numFmtId="43" fontId="17" fillId="0" borderId="0" applyFont="0" applyFill="0" applyBorder="0" applyAlignment="0" applyProtection="0"/>
    <xf numFmtId="0" fontId="18" fillId="0" borderId="0" applyNumberFormat="0" applyFill="0" applyBorder="0" applyAlignment="0" applyProtection="0">
      <alignment vertical="top"/>
      <protection locked="0"/>
    </xf>
    <xf numFmtId="9" fontId="17" fillId="0" borderId="0" applyFont="0" applyFill="0" applyBorder="0" applyAlignment="0" applyProtection="0"/>
    <xf numFmtId="0" fontId="23" fillId="0" borderId="0"/>
    <xf numFmtId="0" fontId="37" fillId="0" borderId="0" applyNumberFormat="0" applyFill="0" applyBorder="0" applyAlignment="0" applyProtection="0">
      <alignment vertical="top"/>
      <protection locked="0"/>
    </xf>
    <xf numFmtId="0" fontId="38"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56" fillId="0" borderId="66" applyNumberFormat="0" applyFill="0" applyAlignment="0" applyProtection="0"/>
  </cellStyleXfs>
  <cellXfs count="3060">
    <xf numFmtId="0" fontId="0" fillId="0" borderId="0" xfId="0"/>
    <xf numFmtId="0" fontId="8" fillId="0" borderId="0" xfId="0" applyFont="1" applyAlignment="1">
      <alignment horizontal="center"/>
    </xf>
    <xf numFmtId="0" fontId="6" fillId="0" borderId="0" xfId="0" applyFont="1"/>
    <xf numFmtId="0" fontId="6" fillId="0" borderId="0" xfId="0" applyFont="1" applyAlignment="1">
      <alignment horizontal="center"/>
    </xf>
    <xf numFmtId="0" fontId="12"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2" fontId="0" fillId="0" borderId="0" xfId="0" applyNumberFormat="1" applyAlignment="1">
      <alignment horizontal="center"/>
    </xf>
    <xf numFmtId="0" fontId="3" fillId="0" borderId="0" xfId="3"/>
    <xf numFmtId="0" fontId="0" fillId="0" borderId="1" xfId="0" applyBorder="1" applyAlignment="1">
      <alignment horizontal="center"/>
    </xf>
    <xf numFmtId="0" fontId="0" fillId="0" borderId="23" xfId="0" applyBorder="1"/>
    <xf numFmtId="0" fontId="0" fillId="0" borderId="25" xfId="0" applyBorder="1"/>
    <xf numFmtId="0" fontId="0" fillId="0" borderId="2" xfId="0" applyBorder="1" applyAlignment="1">
      <alignment horizontal="center"/>
    </xf>
    <xf numFmtId="1" fontId="5" fillId="0" borderId="1" xfId="0" applyNumberFormat="1" applyFont="1" applyBorder="1" applyAlignment="1">
      <alignment horizontal="center"/>
    </xf>
    <xf numFmtId="0" fontId="6" fillId="0" borderId="0" xfId="0" applyFont="1" applyAlignment="1">
      <alignment horizontal="left"/>
    </xf>
    <xf numFmtId="0" fontId="0" fillId="0" borderId="25" xfId="0" applyBorder="1" applyAlignment="1">
      <alignment horizontal="center"/>
    </xf>
    <xf numFmtId="0" fontId="0" fillId="0" borderId="27" xfId="0" applyBorder="1" applyAlignment="1">
      <alignment horizontal="center"/>
    </xf>
    <xf numFmtId="0" fontId="0" fillId="0" borderId="27" xfId="0" applyBorder="1"/>
    <xf numFmtId="0" fontId="0" fillId="0" borderId="1" xfId="0" applyBorder="1" applyAlignment="1">
      <alignment horizontal="left"/>
    </xf>
    <xf numFmtId="0" fontId="5" fillId="0" borderId="0" xfId="0" applyFont="1" applyAlignment="1">
      <alignment horizontal="center"/>
    </xf>
    <xf numFmtId="0" fontId="0" fillId="0" borderId="0" xfId="0" applyAlignment="1">
      <alignment horizontal="left"/>
    </xf>
    <xf numFmtId="0" fontId="0" fillId="0" borderId="23" xfId="0" applyBorder="1" applyAlignment="1">
      <alignment horizontal="center"/>
    </xf>
    <xf numFmtId="0" fontId="0" fillId="0" borderId="16" xfId="0" applyBorder="1"/>
    <xf numFmtId="0" fontId="0" fillId="0" borderId="16" xfId="0" applyBorder="1" applyAlignment="1">
      <alignment horizontal="center"/>
    </xf>
    <xf numFmtId="1" fontId="0" fillId="0" borderId="16" xfId="0" applyNumberFormat="1" applyBorder="1" applyAlignment="1">
      <alignment horizontal="center"/>
    </xf>
    <xf numFmtId="1" fontId="4" fillId="2" borderId="1" xfId="0" applyNumberFormat="1" applyFont="1" applyFill="1" applyBorder="1" applyAlignment="1">
      <alignment horizontal="center"/>
    </xf>
    <xf numFmtId="0" fontId="0" fillId="2" borderId="4" xfId="0" applyFill="1" applyBorder="1" applyAlignment="1">
      <alignment horizontal="center"/>
    </xf>
    <xf numFmtId="2" fontId="13" fillId="2" borderId="1" xfId="0" applyNumberFormat="1" applyFont="1" applyFill="1" applyBorder="1" applyAlignment="1">
      <alignment horizontal="center"/>
    </xf>
    <xf numFmtId="0" fontId="0" fillId="2" borderId="1" xfId="0" applyFill="1" applyBorder="1" applyAlignment="1">
      <alignment horizontal="left" vertical="center"/>
    </xf>
    <xf numFmtId="0" fontId="0" fillId="2" borderId="1" xfId="0" applyFill="1" applyBorder="1" applyAlignment="1">
      <alignment horizontal="left"/>
    </xf>
    <xf numFmtId="1" fontId="7" fillId="12" borderId="1" xfId="0" applyNumberFormat="1" applyFont="1" applyFill="1" applyBorder="1"/>
    <xf numFmtId="0" fontId="4" fillId="4" borderId="1" xfId="0" applyFont="1" applyFill="1" applyBorder="1"/>
    <xf numFmtId="0" fontId="31" fillId="4" borderId="1" xfId="0" applyFont="1" applyFill="1" applyBorder="1" applyAlignment="1">
      <alignment horizontal="center"/>
    </xf>
    <xf numFmtId="0" fontId="6" fillId="0" borderId="1" xfId="0" applyFont="1" applyBorder="1"/>
    <xf numFmtId="0" fontId="5" fillId="0" borderId="0" xfId="0" applyFont="1"/>
    <xf numFmtId="0" fontId="0" fillId="0" borderId="24" xfId="0" applyBorder="1"/>
    <xf numFmtId="0" fontId="4" fillId="0" borderId="0" xfId="0" applyFont="1" applyAlignment="1">
      <alignment horizontal="center"/>
    </xf>
    <xf numFmtId="2" fontId="0" fillId="0" borderId="1" xfId="0" applyNumberFormat="1" applyBorder="1" applyAlignment="1">
      <alignment horizont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0" fillId="2" borderId="0" xfId="0" applyFill="1"/>
    <xf numFmtId="0" fontId="0" fillId="10" borderId="0" xfId="0" applyFill="1"/>
    <xf numFmtId="0" fontId="0" fillId="0" borderId="0" xfId="0" applyAlignment="1">
      <alignment horizontal="center"/>
    </xf>
    <xf numFmtId="0" fontId="10" fillId="8" borderId="0" xfId="3" applyFont="1" applyFill="1"/>
    <xf numFmtId="0" fontId="10" fillId="7" borderId="0" xfId="3" applyFont="1" applyFill="1"/>
    <xf numFmtId="0" fontId="10" fillId="9" borderId="0" xfId="3" applyFont="1" applyFill="1"/>
    <xf numFmtId="2" fontId="6" fillId="0" borderId="0" xfId="0" applyNumberFormat="1" applyFont="1" applyAlignment="1">
      <alignment horizontal="center"/>
    </xf>
    <xf numFmtId="164" fontId="6" fillId="0" borderId="0" xfId="0" applyNumberFormat="1" applyFont="1" applyAlignment="1">
      <alignment horizontal="left" vertical="center"/>
    </xf>
    <xf numFmtId="0" fontId="5" fillId="0" borderId="1" xfId="0" applyFont="1" applyBorder="1" applyAlignment="1">
      <alignment horizontal="center"/>
    </xf>
    <xf numFmtId="0" fontId="0" fillId="0" borderId="1" xfId="0" applyBorder="1"/>
    <xf numFmtId="1" fontId="0" fillId="0" borderId="1" xfId="0" applyNumberFormat="1" applyBorder="1" applyAlignment="1">
      <alignment horizontal="center"/>
    </xf>
    <xf numFmtId="0" fontId="6" fillId="0" borderId="1" xfId="0" applyFont="1" applyBorder="1" applyAlignment="1">
      <alignment horizontal="center"/>
    </xf>
    <xf numFmtId="0" fontId="13" fillId="0" borderId="1" xfId="0" applyFont="1" applyBorder="1" applyAlignment="1">
      <alignment horizontal="center"/>
    </xf>
    <xf numFmtId="1" fontId="0" fillId="4" borderId="1" xfId="0" applyNumberFormat="1" applyFill="1" applyBorder="1" applyAlignment="1">
      <alignment horizontal="center"/>
    </xf>
    <xf numFmtId="0" fontId="0" fillId="4" borderId="1" xfId="0" applyFill="1" applyBorder="1" applyAlignment="1">
      <alignment horizontal="center"/>
    </xf>
    <xf numFmtId="0" fontId="5" fillId="4" borderId="1" xfId="0" applyFont="1" applyFill="1" applyBorder="1" applyAlignment="1">
      <alignment horizontal="center"/>
    </xf>
    <xf numFmtId="2" fontId="4" fillId="4" borderId="1" xfId="0" applyNumberFormat="1" applyFont="1" applyFill="1" applyBorder="1" applyAlignment="1">
      <alignment horizontal="center"/>
    </xf>
    <xf numFmtId="2" fontId="5" fillId="0" borderId="1" xfId="0" applyNumberFormat="1" applyFont="1" applyBorder="1" applyAlignment="1">
      <alignment horizontal="center"/>
    </xf>
    <xf numFmtId="0" fontId="0" fillId="2" borderId="1" xfId="0" applyFill="1" applyBorder="1" applyAlignment="1">
      <alignment horizontal="center"/>
    </xf>
    <xf numFmtId="0" fontId="6" fillId="0" borderId="1" xfId="0" applyFont="1" applyBorder="1" applyAlignment="1">
      <alignment horizontal="center" vertical="center" wrapText="1"/>
    </xf>
    <xf numFmtId="0" fontId="6" fillId="2" borderId="0" xfId="0" applyFont="1" applyFill="1" applyAlignment="1">
      <alignment horizontal="center" vertical="center" wrapText="1"/>
    </xf>
    <xf numFmtId="0" fontId="0" fillId="4" borderId="1" xfId="0" applyFill="1" applyBorder="1"/>
    <xf numFmtId="166" fontId="0" fillId="0" borderId="1" xfId="0" applyNumberFormat="1" applyBorder="1" applyAlignment="1">
      <alignment horizontal="center"/>
    </xf>
    <xf numFmtId="0" fontId="0" fillId="2" borderId="1" xfId="0" applyFill="1" applyBorder="1"/>
    <xf numFmtId="1" fontId="0" fillId="2" borderId="1" xfId="0" applyNumberFormat="1" applyFill="1" applyBorder="1" applyAlignment="1">
      <alignment horizontal="center"/>
    </xf>
    <xf numFmtId="2" fontId="0" fillId="2" borderId="1" xfId="0" applyNumberFormat="1" applyFill="1" applyBorder="1" applyAlignment="1">
      <alignment horizontal="center"/>
    </xf>
    <xf numFmtId="0" fontId="13" fillId="0" borderId="0" xfId="0" applyFont="1" applyAlignment="1">
      <alignment horizontal="center"/>
    </xf>
    <xf numFmtId="0" fontId="4" fillId="0" borderId="1" xfId="0" applyFont="1" applyBorder="1" applyAlignment="1">
      <alignment horizontal="center"/>
    </xf>
    <xf numFmtId="0" fontId="4" fillId="4" borderId="1" xfId="0" applyFont="1" applyFill="1" applyBorder="1" applyAlignment="1">
      <alignment horizontal="center"/>
    </xf>
    <xf numFmtId="0" fontId="4" fillId="4" borderId="0" xfId="0" applyFont="1" applyFill="1"/>
    <xf numFmtId="0" fontId="0" fillId="0" borderId="4" xfId="0" applyBorder="1"/>
    <xf numFmtId="0" fontId="0" fillId="0" borderId="4" xfId="0" applyBorder="1" applyAlignment="1">
      <alignment horizontal="center"/>
    </xf>
    <xf numFmtId="0" fontId="0" fillId="0" borderId="41" xfId="0" applyBorder="1"/>
    <xf numFmtId="0" fontId="0" fillId="0" borderId="31" xfId="0" applyBorder="1"/>
    <xf numFmtId="0" fontId="0" fillId="0" borderId="28" xfId="0" applyBorder="1"/>
    <xf numFmtId="0" fontId="0" fillId="0" borderId="37" xfId="0" applyBorder="1"/>
    <xf numFmtId="0" fontId="4" fillId="0" borderId="1" xfId="0" applyFont="1" applyBorder="1"/>
    <xf numFmtId="164" fontId="0" fillId="0" borderId="1" xfId="0" applyNumberFormat="1" applyBorder="1" applyAlignment="1">
      <alignment horizontal="center"/>
    </xf>
    <xf numFmtId="2" fontId="0" fillId="0" borderId="0" xfId="0" applyNumberFormat="1"/>
    <xf numFmtId="1" fontId="0" fillId="0" borderId="0" xfId="0" applyNumberFormat="1" applyAlignment="1">
      <alignment horizontal="center"/>
    </xf>
    <xf numFmtId="0" fontId="0" fillId="19" borderId="1" xfId="0" applyFill="1" applyBorder="1"/>
    <xf numFmtId="0" fontId="5" fillId="0" borderId="1" xfId="0" applyFont="1" applyBorder="1" applyAlignment="1">
      <alignment horizontal="left"/>
    </xf>
    <xf numFmtId="0" fontId="4" fillId="0" borderId="0" xfId="0" applyFont="1"/>
    <xf numFmtId="0" fontId="31" fillId="0" borderId="0" xfId="0" applyFont="1"/>
    <xf numFmtId="0" fontId="4" fillId="0" borderId="0" xfId="0" applyFont="1" applyAlignment="1">
      <alignment horizontal="left"/>
    </xf>
    <xf numFmtId="0" fontId="41" fillId="0" borderId="1" xfId="0" applyFont="1" applyBorder="1"/>
    <xf numFmtId="0" fontId="0" fillId="0" borderId="0" xfId="0" applyAlignment="1">
      <alignment horizontal="center" vertical="center"/>
    </xf>
    <xf numFmtId="0" fontId="5" fillId="0" borderId="0" xfId="0" applyFont="1" applyAlignment="1">
      <alignment horizontal="left"/>
    </xf>
    <xf numFmtId="0" fontId="5" fillId="0" borderId="4" xfId="0" applyFont="1" applyBorder="1" applyAlignment="1">
      <alignment horizontal="center" wrapText="1"/>
    </xf>
    <xf numFmtId="0" fontId="30" fillId="0" borderId="1" xfId="0" applyFont="1" applyBorder="1" applyAlignment="1">
      <alignment horizontal="left"/>
    </xf>
    <xf numFmtId="0" fontId="13" fillId="0" borderId="0" xfId="0" applyFont="1"/>
    <xf numFmtId="0" fontId="13" fillId="0" borderId="1" xfId="0" applyFont="1" applyBorder="1"/>
    <xf numFmtId="0" fontId="4" fillId="0" borderId="44" xfId="0" applyFont="1" applyBorder="1"/>
    <xf numFmtId="0" fontId="0" fillId="0" borderId="0" xfId="0" applyAlignment="1">
      <alignment vertical="center"/>
    </xf>
    <xf numFmtId="0" fontId="5" fillId="4" borderId="0" xfId="0" applyFont="1" applyFill="1"/>
    <xf numFmtId="0" fontId="0" fillId="0" borderId="1" xfId="0" applyBorder="1" applyAlignment="1">
      <alignment horizontal="left" vertical="center"/>
    </xf>
    <xf numFmtId="0" fontId="0" fillId="0" borderId="1" xfId="0" applyBorder="1" applyAlignment="1">
      <alignment horizontal="center" wrapText="1"/>
    </xf>
    <xf numFmtId="0" fontId="4" fillId="0" borderId="1" xfId="0" applyFont="1" applyBorder="1" applyAlignment="1">
      <alignment horizontal="center" wrapText="1"/>
    </xf>
    <xf numFmtId="1" fontId="13" fillId="0" borderId="1" xfId="0" applyNumberFormat="1" applyFont="1" applyBorder="1" applyAlignment="1">
      <alignment horizontal="center"/>
    </xf>
    <xf numFmtId="0" fontId="0" fillId="0" borderId="44" xfId="0" applyBorder="1"/>
    <xf numFmtId="0" fontId="4" fillId="0" borderId="1" xfId="0" applyFont="1" applyBorder="1" applyAlignment="1">
      <alignment horizontal="left"/>
    </xf>
    <xf numFmtId="0" fontId="0" fillId="0" borderId="0" xfId="0" applyAlignment="1">
      <alignment horizontal="center" wrapText="1"/>
    </xf>
    <xf numFmtId="165" fontId="0" fillId="0" borderId="1" xfId="0" applyNumberFormat="1" applyBorder="1" applyAlignment="1">
      <alignment horizontal="center"/>
    </xf>
    <xf numFmtId="0" fontId="0" fillId="0" borderId="43" xfId="0" applyBorder="1" applyAlignment="1">
      <alignment horizontal="left"/>
    </xf>
    <xf numFmtId="0" fontId="0" fillId="0" borderId="6" xfId="0" applyBorder="1" applyAlignment="1">
      <alignment horizontal="left"/>
    </xf>
    <xf numFmtId="0" fontId="0" fillId="0" borderId="13" xfId="0" applyBorder="1" applyAlignment="1">
      <alignment horizontal="left"/>
    </xf>
    <xf numFmtId="0" fontId="0" fillId="11" borderId="1" xfId="0" applyFill="1" applyBorder="1" applyAlignment="1">
      <alignment horizontal="center" vertical="center"/>
    </xf>
    <xf numFmtId="165" fontId="0" fillId="0" borderId="4" xfId="0" applyNumberFormat="1" applyBorder="1" applyAlignment="1">
      <alignment horizontal="center"/>
    </xf>
    <xf numFmtId="2" fontId="0" fillId="0" borderId="4" xfId="0" applyNumberFormat="1" applyBorder="1" applyAlignment="1">
      <alignment horizontal="center"/>
    </xf>
    <xf numFmtId="1" fontId="0" fillId="0" borderId="4" xfId="0" applyNumberFormat="1" applyBorder="1" applyAlignment="1">
      <alignment horizontal="center"/>
    </xf>
    <xf numFmtId="0" fontId="0" fillId="11" borderId="16" xfId="0" applyFill="1" applyBorder="1" applyAlignment="1">
      <alignment horizontal="center" vertical="center"/>
    </xf>
    <xf numFmtId="0" fontId="0" fillId="0" borderId="43" xfId="0" applyBorder="1" applyAlignment="1">
      <alignment horizontal="center" vertical="center"/>
    </xf>
    <xf numFmtId="0" fontId="0" fillId="0" borderId="31"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37" xfId="0" applyBorder="1" applyAlignment="1">
      <alignment horizontal="center"/>
    </xf>
    <xf numFmtId="0" fontId="4" fillId="24" borderId="1" xfId="0" applyFont="1" applyFill="1" applyBorder="1"/>
    <xf numFmtId="0" fontId="44" fillId="0" borderId="1" xfId="0" applyFont="1" applyBorder="1"/>
    <xf numFmtId="0" fontId="4" fillId="20" borderId="1" xfId="0" applyFont="1" applyFill="1" applyBorder="1"/>
    <xf numFmtId="0" fontId="4" fillId="20" borderId="1" xfId="0" applyFont="1" applyFill="1" applyBorder="1" applyAlignment="1">
      <alignment horizontal="center"/>
    </xf>
    <xf numFmtId="0" fontId="45" fillId="0" borderId="0" xfId="0" applyFont="1"/>
    <xf numFmtId="0" fontId="4" fillId="4" borderId="30" xfId="0" applyFont="1" applyFill="1" applyBorder="1"/>
    <xf numFmtId="2" fontId="4" fillId="20" borderId="1" xfId="0" applyNumberFormat="1" applyFont="1" applyFill="1" applyBorder="1" applyAlignment="1">
      <alignment horizontal="center"/>
    </xf>
    <xf numFmtId="0" fontId="4" fillId="26" borderId="0" xfId="0" applyFont="1" applyFill="1"/>
    <xf numFmtId="0" fontId="0" fillId="26" borderId="0" xfId="0" applyFill="1"/>
    <xf numFmtId="0" fontId="0" fillId="27" borderId="0" xfId="0" applyFill="1"/>
    <xf numFmtId="0" fontId="0" fillId="3" borderId="0" xfId="0" applyFill="1"/>
    <xf numFmtId="0" fontId="0" fillId="29" borderId="0" xfId="0" applyFill="1"/>
    <xf numFmtId="0" fontId="0" fillId="4" borderId="0" xfId="0" applyFill="1"/>
    <xf numFmtId="165" fontId="0" fillId="0" borderId="0" xfId="0" applyNumberFormat="1" applyAlignment="1">
      <alignment horizontal="center"/>
    </xf>
    <xf numFmtId="1" fontId="0" fillId="0" borderId="1" xfId="0" applyNumberFormat="1" applyBorder="1" applyAlignment="1">
      <alignment horizontal="center" vertical="center"/>
    </xf>
    <xf numFmtId="0" fontId="5" fillId="0" borderId="1" xfId="0" applyFont="1" applyBorder="1" applyAlignment="1">
      <alignment horizontal="center" vertical="center"/>
    </xf>
    <xf numFmtId="0" fontId="0" fillId="30" borderId="0" xfId="0" applyFill="1"/>
    <xf numFmtId="0" fontId="13" fillId="30" borderId="0" xfId="0" applyFont="1" applyFill="1" applyAlignment="1">
      <alignment horizontal="center"/>
    </xf>
    <xf numFmtId="0" fontId="5" fillId="30" borderId="0" xfId="0" applyFont="1" applyFill="1" applyAlignment="1">
      <alignment horizontal="center"/>
    </xf>
    <xf numFmtId="0" fontId="0" fillId="30" borderId="0" xfId="0" applyFill="1" applyAlignment="1">
      <alignment horizontal="center"/>
    </xf>
    <xf numFmtId="0" fontId="6" fillId="30" borderId="0" xfId="0" applyFont="1" applyFill="1" applyAlignment="1">
      <alignment horizontal="center"/>
    </xf>
    <xf numFmtId="0" fontId="0" fillId="0" borderId="49" xfId="0" applyBorder="1"/>
    <xf numFmtId="0" fontId="46" fillId="0" borderId="0" xfId="0" applyFont="1"/>
    <xf numFmtId="0" fontId="4" fillId="0" borderId="10" xfId="0" applyFont="1" applyBorder="1"/>
    <xf numFmtId="0" fontId="4" fillId="0" borderId="11" xfId="0" applyFont="1" applyBorder="1"/>
    <xf numFmtId="0" fontId="0" fillId="0" borderId="12" xfId="0" applyBorder="1"/>
    <xf numFmtId="0" fontId="0" fillId="0" borderId="11" xfId="0" applyBorder="1"/>
    <xf numFmtId="0" fontId="47" fillId="0" borderId="44" xfId="0" applyFont="1" applyBorder="1"/>
    <xf numFmtId="0" fontId="47" fillId="0" borderId="0" xfId="0" applyFont="1"/>
    <xf numFmtId="0" fontId="47" fillId="0" borderId="47" xfId="0" applyFont="1" applyBorder="1"/>
    <xf numFmtId="0" fontId="0" fillId="0" borderId="47" xfId="0" applyBorder="1"/>
    <xf numFmtId="1" fontId="0" fillId="0" borderId="0" xfId="0" applyNumberFormat="1"/>
    <xf numFmtId="171" fontId="0" fillId="0" borderId="0" xfId="46" applyNumberFormat="1" applyFont="1"/>
    <xf numFmtId="0" fontId="0" fillId="0" borderId="13" xfId="0" applyBorder="1"/>
    <xf numFmtId="0" fontId="0" fillId="0" borderId="14" xfId="0" applyBorder="1"/>
    <xf numFmtId="0" fontId="0" fillId="0" borderId="15" xfId="0" applyBorder="1"/>
    <xf numFmtId="0" fontId="4" fillId="0" borderId="0" xfId="0" applyFont="1" applyAlignment="1">
      <alignment wrapText="1"/>
    </xf>
    <xf numFmtId="172" fontId="0" fillId="0" borderId="0" xfId="0" applyNumberFormat="1"/>
    <xf numFmtId="9" fontId="0" fillId="0" borderId="0" xfId="22" applyFont="1"/>
    <xf numFmtId="173" fontId="0" fillId="0" borderId="0" xfId="22" applyNumberFormat="1" applyFont="1"/>
    <xf numFmtId="44" fontId="0" fillId="0" borderId="0" xfId="0" applyNumberFormat="1"/>
    <xf numFmtId="172" fontId="0" fillId="0" borderId="47" xfId="0" applyNumberFormat="1" applyBorder="1"/>
    <xf numFmtId="172" fontId="0" fillId="0" borderId="0" xfId="47" applyNumberFormat="1" applyFont="1"/>
    <xf numFmtId="172" fontId="0" fillId="0" borderId="14" xfId="0" applyNumberFormat="1" applyBorder="1"/>
    <xf numFmtId="0" fontId="4" fillId="26" borderId="44" xfId="0" applyFont="1" applyFill="1" applyBorder="1"/>
    <xf numFmtId="0" fontId="4" fillId="0" borderId="47" xfId="0" applyFont="1" applyBorder="1" applyAlignment="1">
      <alignment wrapText="1"/>
    </xf>
    <xf numFmtId="0" fontId="0" fillId="31" borderId="44" xfId="0" applyFill="1" applyBorder="1"/>
    <xf numFmtId="0" fontId="0" fillId="31" borderId="0" xfId="0" applyFill="1"/>
    <xf numFmtId="171" fontId="0" fillId="0" borderId="44" xfId="46" applyNumberFormat="1" applyFont="1" applyBorder="1"/>
    <xf numFmtId="0" fontId="0" fillId="0" borderId="44" xfId="0" applyBorder="1" applyAlignment="1">
      <alignment horizontal="right"/>
    </xf>
    <xf numFmtId="171" fontId="0" fillId="0" borderId="0" xfId="0" applyNumberFormat="1"/>
    <xf numFmtId="172" fontId="0" fillId="0" borderId="47" xfId="47" applyNumberFormat="1" applyFont="1" applyBorder="1"/>
    <xf numFmtId="1" fontId="0" fillId="31" borderId="0" xfId="0" applyNumberFormat="1" applyFill="1"/>
    <xf numFmtId="172" fontId="0" fillId="31" borderId="47" xfId="47" applyNumberFormat="1" applyFont="1" applyFill="1" applyBorder="1"/>
    <xf numFmtId="0" fontId="4" fillId="12" borderId="0" xfId="0" applyFont="1" applyFill="1"/>
    <xf numFmtId="0" fontId="30" fillId="0" borderId="10" xfId="0" applyFont="1" applyBorder="1"/>
    <xf numFmtId="0" fontId="30" fillId="0" borderId="44" xfId="0" applyFont="1" applyBorder="1"/>
    <xf numFmtId="0" fontId="4" fillId="0" borderId="47" xfId="0" applyFont="1" applyBorder="1"/>
    <xf numFmtId="0" fontId="0" fillId="0" borderId="44" xfId="11" applyFont="1" applyBorder="1"/>
    <xf numFmtId="0" fontId="48" fillId="0" borderId="44" xfId="0" applyFont="1" applyBorder="1"/>
    <xf numFmtId="0" fontId="48" fillId="0" borderId="0" xfId="11" applyFont="1"/>
    <xf numFmtId="0" fontId="0" fillId="0" borderId="0" xfId="11" applyFont="1"/>
    <xf numFmtId="1" fontId="0" fillId="0" borderId="44" xfId="0" applyNumberFormat="1" applyBorder="1"/>
    <xf numFmtId="0" fontId="47" fillId="0" borderId="0" xfId="11" applyFont="1"/>
    <xf numFmtId="0" fontId="0" fillId="5" borderId="14" xfId="11" applyFont="1" applyFill="1" applyBorder="1"/>
    <xf numFmtId="43" fontId="0" fillId="5" borderId="14" xfId="11" applyNumberFormat="1" applyFont="1" applyFill="1" applyBorder="1"/>
    <xf numFmtId="0" fontId="0" fillId="0" borderId="14" xfId="11" applyFont="1" applyBorder="1"/>
    <xf numFmtId="171" fontId="0" fillId="0" borderId="14" xfId="21" applyNumberFormat="1" applyFont="1" applyBorder="1"/>
    <xf numFmtId="0" fontId="44" fillId="0" borderId="14" xfId="11" applyFont="1" applyBorder="1"/>
    <xf numFmtId="0" fontId="0" fillId="0" borderId="7" xfId="11" applyFont="1" applyBorder="1"/>
    <xf numFmtId="0" fontId="0" fillId="0" borderId="11" xfId="11" applyFont="1" applyBorder="1"/>
    <xf numFmtId="165" fontId="0" fillId="0" borderId="11" xfId="11" applyNumberFormat="1" applyFont="1" applyBorder="1"/>
    <xf numFmtId="164" fontId="0" fillId="0" borderId="0" xfId="11" applyNumberFormat="1" applyFont="1"/>
    <xf numFmtId="165" fontId="0" fillId="0" borderId="0" xfId="11" applyNumberFormat="1" applyFont="1"/>
    <xf numFmtId="165" fontId="0" fillId="0" borderId="14" xfId="11" applyNumberFormat="1" applyFont="1" applyBorder="1"/>
    <xf numFmtId="164" fontId="0" fillId="0" borderId="14" xfId="11" applyNumberFormat="1" applyFont="1" applyBorder="1"/>
    <xf numFmtId="165" fontId="0" fillId="0" borderId="7" xfId="11" applyNumberFormat="1" applyFont="1" applyBorder="1"/>
    <xf numFmtId="2" fontId="0" fillId="0" borderId="0" xfId="11" applyNumberFormat="1" applyFont="1"/>
    <xf numFmtId="0" fontId="0" fillId="26" borderId="0" xfId="11" applyFont="1" applyFill="1"/>
    <xf numFmtId="164" fontId="0" fillId="26" borderId="0" xfId="11" applyNumberFormat="1" applyFont="1" applyFill="1"/>
    <xf numFmtId="2" fontId="0" fillId="0" borderId="14" xfId="11" applyNumberFormat="1" applyFont="1" applyBorder="1"/>
    <xf numFmtId="0" fontId="0" fillId="26" borderId="14" xfId="11" applyFont="1" applyFill="1" applyBorder="1"/>
    <xf numFmtId="164" fontId="0" fillId="26" borderId="14" xfId="11" applyNumberFormat="1" applyFont="1" applyFill="1" applyBorder="1"/>
    <xf numFmtId="0" fontId="44" fillId="0" borderId="0" xfId="0" applyFont="1"/>
    <xf numFmtId="1" fontId="0" fillId="0" borderId="44" xfId="46" applyNumberFormat="1" applyFont="1" applyBorder="1"/>
    <xf numFmtId="164" fontId="0" fillId="0" borderId="44" xfId="0" applyNumberFormat="1" applyBorder="1"/>
    <xf numFmtId="2" fontId="0" fillId="0" borderId="7" xfId="11" applyNumberFormat="1" applyFont="1" applyBorder="1"/>
    <xf numFmtId="0" fontId="0" fillId="0" borderId="3" xfId="11" applyFont="1" applyBorder="1"/>
    <xf numFmtId="164" fontId="0" fillId="0" borderId="11" xfId="0" applyNumberFormat="1" applyBorder="1"/>
    <xf numFmtId="164" fontId="0" fillId="0" borderId="0" xfId="0" applyNumberFormat="1"/>
    <xf numFmtId="0" fontId="4" fillId="12" borderId="10" xfId="0" applyFont="1" applyFill="1" applyBorder="1"/>
    <xf numFmtId="0" fontId="4" fillId="0" borderId="11" xfId="0" applyFont="1" applyBorder="1" applyAlignment="1">
      <alignment horizontal="center"/>
    </xf>
    <xf numFmtId="0" fontId="4" fillId="0" borderId="12" xfId="0" applyFont="1" applyBorder="1" applyAlignment="1">
      <alignment horizontal="center"/>
    </xf>
    <xf numFmtId="164" fontId="0" fillId="0" borderId="14" xfId="0" applyNumberFormat="1" applyBorder="1"/>
    <xf numFmtId="0" fontId="4" fillId="6" borderId="44" xfId="0" applyFont="1" applyFill="1" applyBorder="1"/>
    <xf numFmtId="171" fontId="0" fillId="26" borderId="11" xfId="0" applyNumberFormat="1" applyFill="1" applyBorder="1"/>
    <xf numFmtId="0" fontId="0" fillId="26" borderId="11" xfId="11" applyFont="1" applyFill="1" applyBorder="1"/>
    <xf numFmtId="1" fontId="13" fillId="0" borderId="0" xfId="0" applyNumberFormat="1" applyFont="1" applyAlignment="1">
      <alignment horizontal="center"/>
    </xf>
    <xf numFmtId="164" fontId="0" fillId="0" borderId="0" xfId="0" applyNumberFormat="1" applyAlignment="1">
      <alignment horizontal="center"/>
    </xf>
    <xf numFmtId="173" fontId="0" fillId="0" borderId="0" xfId="22" applyNumberFormat="1" applyFont="1" applyFill="1" applyBorder="1" applyAlignment="1">
      <alignment horizontal="center"/>
    </xf>
    <xf numFmtId="173" fontId="0" fillId="0" borderId="0" xfId="22" applyNumberFormat="1" applyFont="1" applyFill="1" applyBorder="1" applyAlignment="1">
      <alignment horizontal="right"/>
    </xf>
    <xf numFmtId="9" fontId="0" fillId="0" borderId="0" xfId="22" applyFont="1" applyFill="1" applyBorder="1"/>
    <xf numFmtId="173" fontId="0" fillId="0" borderId="0" xfId="22" applyNumberFormat="1" applyFont="1" applyFill="1" applyBorder="1"/>
    <xf numFmtId="43" fontId="0" fillId="0" borderId="0" xfId="0" applyNumberFormat="1"/>
    <xf numFmtId="9" fontId="0" fillId="0" borderId="0" xfId="22" applyFont="1" applyFill="1" applyBorder="1" applyAlignment="1">
      <alignment horizontal="center"/>
    </xf>
    <xf numFmtId="1" fontId="0" fillId="26" borderId="0" xfId="0" applyNumberFormat="1" applyFill="1"/>
    <xf numFmtId="0" fontId="0" fillId="0" borderId="44" xfId="0" applyBorder="1" applyAlignment="1">
      <alignment horizontal="left"/>
    </xf>
    <xf numFmtId="172" fontId="0" fillId="0" borderId="0" xfId="0" applyNumberFormat="1" applyAlignment="1">
      <alignment horizontal="center"/>
    </xf>
    <xf numFmtId="0" fontId="0" fillId="31" borderId="7" xfId="11" applyFont="1" applyFill="1" applyBorder="1"/>
    <xf numFmtId="1" fontId="0" fillId="31" borderId="7" xfId="0" applyNumberFormat="1" applyFill="1" applyBorder="1"/>
    <xf numFmtId="0" fontId="0" fillId="31" borderId="3" xfId="11" applyFont="1" applyFill="1" applyBorder="1"/>
    <xf numFmtId="171" fontId="0" fillId="26" borderId="7" xfId="0" applyNumberFormat="1" applyFill="1" applyBorder="1"/>
    <xf numFmtId="0" fontId="0" fillId="26" borderId="3" xfId="11" applyFont="1" applyFill="1" applyBorder="1"/>
    <xf numFmtId="172" fontId="0" fillId="0" borderId="0" xfId="47" applyNumberFormat="1" applyFont="1" applyBorder="1" applyAlignment="1">
      <alignment wrapText="1"/>
    </xf>
    <xf numFmtId="0" fontId="4" fillId="0" borderId="0" xfId="0" applyFont="1" applyAlignment="1">
      <alignment horizontal="center" wrapText="1"/>
    </xf>
    <xf numFmtId="164" fontId="0" fillId="0" borderId="0" xfId="0" applyNumberFormat="1" applyAlignment="1">
      <alignment horizontal="center" wrapText="1"/>
    </xf>
    <xf numFmtId="173" fontId="0" fillId="0" borderId="47" xfId="22" applyNumberFormat="1" applyFont="1" applyFill="1" applyBorder="1" applyAlignment="1">
      <alignment horizontal="right"/>
    </xf>
    <xf numFmtId="172" fontId="0" fillId="0" borderId="0" xfId="47" applyNumberFormat="1" applyFont="1" applyBorder="1"/>
    <xf numFmtId="172" fontId="0" fillId="0" borderId="14" xfId="47" applyNumberFormat="1" applyFont="1" applyBorder="1"/>
    <xf numFmtId="0" fontId="13" fillId="0" borderId="44" xfId="0" applyFont="1" applyBorder="1"/>
    <xf numFmtId="173" fontId="0" fillId="0" borderId="0" xfId="22" applyNumberFormat="1" applyFont="1" applyBorder="1"/>
    <xf numFmtId="9" fontId="0" fillId="0" borderId="0" xfId="0" applyNumberFormat="1" applyAlignment="1">
      <alignment wrapText="1"/>
    </xf>
    <xf numFmtId="172" fontId="0" fillId="0" borderId="0" xfId="47" applyNumberFormat="1" applyFont="1" applyAlignment="1">
      <alignment wrapText="1"/>
    </xf>
    <xf numFmtId="172" fontId="0" fillId="0" borderId="0" xfId="47" applyNumberFormat="1" applyFont="1" applyFill="1"/>
    <xf numFmtId="172" fontId="0" fillId="0" borderId="47" xfId="47" applyNumberFormat="1" applyFont="1" applyFill="1" applyBorder="1" applyAlignment="1">
      <alignment wrapText="1"/>
    </xf>
    <xf numFmtId="0" fontId="4" fillId="31" borderId="0" xfId="0" applyFont="1" applyFill="1"/>
    <xf numFmtId="172" fontId="0" fillId="31" borderId="0" xfId="47" applyNumberFormat="1" applyFont="1" applyFill="1" applyBorder="1"/>
    <xf numFmtId="164" fontId="0" fillId="31" borderId="0" xfId="47" applyNumberFormat="1" applyFont="1" applyFill="1" applyBorder="1"/>
    <xf numFmtId="0" fontId="31" fillId="0" borderId="10" xfId="0" applyFont="1" applyBorder="1"/>
    <xf numFmtId="0" fontId="4" fillId="0" borderId="12" xfId="0" applyFont="1" applyBorder="1"/>
    <xf numFmtId="0" fontId="4" fillId="32" borderId="44" xfId="0" applyFont="1" applyFill="1" applyBorder="1"/>
    <xf numFmtId="0" fontId="4" fillId="14" borderId="44" xfId="0" applyFont="1" applyFill="1" applyBorder="1"/>
    <xf numFmtId="171" fontId="0" fillId="0" borderId="47" xfId="0" applyNumberFormat="1" applyBorder="1"/>
    <xf numFmtId="0" fontId="4" fillId="23" borderId="44" xfId="0" applyFont="1" applyFill="1" applyBorder="1"/>
    <xf numFmtId="0" fontId="4" fillId="33" borderId="44" xfId="0" applyFont="1" applyFill="1" applyBorder="1"/>
    <xf numFmtId="174" fontId="0" fillId="0" borderId="15" xfId="47" applyNumberFormat="1" applyFont="1" applyBorder="1"/>
    <xf numFmtId="171" fontId="0" fillId="5" borderId="14" xfId="11" applyNumberFormat="1" applyFont="1" applyFill="1" applyBorder="1"/>
    <xf numFmtId="0" fontId="13" fillId="0" borderId="13" xfId="0" applyFont="1" applyBorder="1"/>
    <xf numFmtId="0" fontId="44" fillId="0" borderId="47" xfId="0" applyFont="1" applyBorder="1"/>
    <xf numFmtId="9" fontId="0" fillId="0" borderId="0" xfId="22" applyFont="1" applyBorder="1" applyAlignment="1">
      <alignment horizontal="center"/>
    </xf>
    <xf numFmtId="173" fontId="0" fillId="0" borderId="0" xfId="22" applyNumberFormat="1" applyFont="1" applyBorder="1" applyAlignment="1">
      <alignment horizontal="right"/>
    </xf>
    <xf numFmtId="9" fontId="0" fillId="0" borderId="0" xfId="22" applyFont="1" applyBorder="1"/>
    <xf numFmtId="173" fontId="0" fillId="0" borderId="0" xfId="22" applyNumberFormat="1" applyFont="1" applyBorder="1" applyAlignment="1">
      <alignment horizontal="center"/>
    </xf>
    <xf numFmtId="1" fontId="0" fillId="0" borderId="0" xfId="0" applyNumberFormat="1" applyAlignment="1">
      <alignment wrapText="1"/>
    </xf>
    <xf numFmtId="172" fontId="13" fillId="0" borderId="0" xfId="47" applyNumberFormat="1" applyFont="1" applyBorder="1" applyAlignment="1">
      <alignment wrapText="1"/>
    </xf>
    <xf numFmtId="44" fontId="0" fillId="0" borderId="14" xfId="0" applyNumberFormat="1" applyBorder="1"/>
    <xf numFmtId="0" fontId="0" fillId="0" borderId="10" xfId="0" applyBorder="1"/>
    <xf numFmtId="173" fontId="0" fillId="0" borderId="0" xfId="0" applyNumberFormat="1" applyAlignment="1">
      <alignment wrapText="1"/>
    </xf>
    <xf numFmtId="172" fontId="0" fillId="0" borderId="47" xfId="47" applyNumberFormat="1" applyFont="1" applyBorder="1" applyAlignment="1">
      <alignment wrapText="1"/>
    </xf>
    <xf numFmtId="174" fontId="0" fillId="0" borderId="14" xfId="47" applyNumberFormat="1" applyFont="1" applyBorder="1"/>
    <xf numFmtId="0" fontId="0" fillId="0" borderId="50" xfId="0" applyBorder="1"/>
    <xf numFmtId="0" fontId="13" fillId="0" borderId="11" xfId="0" applyFont="1" applyBorder="1" applyAlignment="1">
      <alignment horizontal="center"/>
    </xf>
    <xf numFmtId="0" fontId="5" fillId="0" borderId="11" xfId="0" applyFont="1" applyBorder="1" applyAlignment="1">
      <alignment horizontal="center"/>
    </xf>
    <xf numFmtId="0" fontId="0" fillId="0" borderId="11" xfId="0" applyBorder="1" applyAlignment="1">
      <alignment horizontal="center"/>
    </xf>
    <xf numFmtId="0" fontId="6" fillId="0" borderId="11" xfId="0" applyFont="1" applyBorder="1" applyAlignment="1">
      <alignment horizontal="center"/>
    </xf>
    <xf numFmtId="0" fontId="0" fillId="0" borderId="11" xfId="0" applyBorder="1" applyAlignment="1">
      <alignment horizontal="left"/>
    </xf>
    <xf numFmtId="0" fontId="0" fillId="0" borderId="12" xfId="0" applyBorder="1" applyAlignment="1">
      <alignment horizontal="center"/>
    </xf>
    <xf numFmtId="0" fontId="30" fillId="0" borderId="0" xfId="0" applyFont="1" applyAlignment="1">
      <alignment horizontal="left"/>
    </xf>
    <xf numFmtId="172" fontId="13" fillId="0" borderId="0" xfId="0" applyNumberFormat="1" applyFont="1" applyAlignment="1">
      <alignment horizontal="center"/>
    </xf>
    <xf numFmtId="0" fontId="0" fillId="21" borderId="44" xfId="0" applyFill="1" applyBorder="1"/>
    <xf numFmtId="172" fontId="13" fillId="0" borderId="0" xfId="47" applyNumberFormat="1" applyFont="1" applyBorder="1" applyAlignment="1">
      <alignment horizontal="center"/>
    </xf>
    <xf numFmtId="0" fontId="30" fillId="0" borderId="0" xfId="0" applyFont="1" applyAlignment="1">
      <alignment horizontal="center"/>
    </xf>
    <xf numFmtId="171" fontId="0" fillId="0" borderId="0" xfId="46" applyNumberFormat="1" applyFont="1" applyBorder="1"/>
    <xf numFmtId="0" fontId="13" fillId="0" borderId="0" xfId="0" applyFont="1" applyAlignment="1">
      <alignment horizontal="left"/>
    </xf>
    <xf numFmtId="0" fontId="13" fillId="0" borderId="47" xfId="0" applyFont="1" applyBorder="1"/>
    <xf numFmtId="0" fontId="30" fillId="0" borderId="0" xfId="0" applyFont="1" applyAlignment="1">
      <alignment wrapText="1"/>
    </xf>
    <xf numFmtId="0" fontId="30" fillId="0" borderId="47" xfId="0" applyFont="1" applyBorder="1" applyAlignment="1">
      <alignment wrapText="1"/>
    </xf>
    <xf numFmtId="172" fontId="0" fillId="0" borderId="47" xfId="0" applyNumberFormat="1" applyBorder="1" applyAlignment="1">
      <alignment horizontal="center"/>
    </xf>
    <xf numFmtId="1" fontId="0" fillId="0" borderId="0" xfId="47" applyNumberFormat="1" applyFont="1" applyBorder="1"/>
    <xf numFmtId="1" fontId="0" fillId="0" borderId="47" xfId="0" applyNumberFormat="1" applyBorder="1"/>
    <xf numFmtId="1" fontId="0" fillId="31" borderId="0" xfId="47" applyNumberFormat="1" applyFont="1" applyFill="1" applyBorder="1"/>
    <xf numFmtId="0" fontId="44" fillId="0" borderId="13" xfId="0" applyFont="1" applyBorder="1"/>
    <xf numFmtId="0" fontId="13" fillId="0" borderId="14" xfId="0" applyFont="1" applyBorder="1" applyAlignment="1">
      <alignment horizontal="center"/>
    </xf>
    <xf numFmtId="172" fontId="0" fillId="0" borderId="15" xfId="0" applyNumberFormat="1" applyBorder="1"/>
    <xf numFmtId="0" fontId="4" fillId="0" borderId="14" xfId="0" applyFont="1" applyBorder="1"/>
    <xf numFmtId="0" fontId="0" fillId="0" borderId="14" xfId="0" applyBorder="1" applyAlignment="1">
      <alignment horizontal="left"/>
    </xf>
    <xf numFmtId="0" fontId="0" fillId="0" borderId="0" xfId="0" quotePrefix="1"/>
    <xf numFmtId="0" fontId="30" fillId="0" borderId="0" xfId="0" applyFont="1" applyAlignment="1">
      <alignment horizontal="center" wrapText="1"/>
    </xf>
    <xf numFmtId="1" fontId="0" fillId="0" borderId="11" xfId="0" applyNumberFormat="1" applyBorder="1"/>
    <xf numFmtId="1" fontId="0" fillId="0" borderId="14" xfId="0" applyNumberFormat="1" applyBorder="1"/>
    <xf numFmtId="2" fontId="0" fillId="34" borderId="0" xfId="0" applyNumberFormat="1" applyFill="1"/>
    <xf numFmtId="1" fontId="0" fillId="0" borderId="0" xfId="0" applyNumberFormat="1" applyAlignment="1">
      <alignment horizontal="right"/>
    </xf>
    <xf numFmtId="2" fontId="13" fillId="0" borderId="1" xfId="0" applyNumberFormat="1" applyFont="1" applyBorder="1" applyAlignment="1">
      <alignment horizontal="center" vertical="center"/>
    </xf>
    <xf numFmtId="1" fontId="13" fillId="0" borderId="1" xfId="0" applyNumberFormat="1" applyFont="1" applyBorder="1" applyAlignment="1">
      <alignment horizontal="center" vertical="center"/>
    </xf>
    <xf numFmtId="0" fontId="0" fillId="0" borderId="30" xfId="0" applyBorder="1"/>
    <xf numFmtId="2" fontId="13" fillId="19" borderId="1" xfId="0" applyNumberFormat="1" applyFont="1" applyFill="1" applyBorder="1" applyAlignment="1">
      <alignment horizontal="center"/>
    </xf>
    <xf numFmtId="165" fontId="0" fillId="0" borderId="0" xfId="0" applyNumberFormat="1"/>
    <xf numFmtId="0" fontId="4" fillId="0" borderId="48" xfId="0" applyFont="1" applyBorder="1"/>
    <xf numFmtId="0" fontId="4" fillId="0" borderId="15" xfId="0" applyFont="1" applyBorder="1"/>
    <xf numFmtId="0" fontId="4" fillId="0" borderId="4" xfId="0" applyFont="1" applyBorder="1"/>
    <xf numFmtId="0" fontId="4" fillId="0" borderId="13" xfId="0" applyFont="1" applyBorder="1"/>
    <xf numFmtId="165" fontId="0" fillId="0" borderId="12" xfId="0" applyNumberFormat="1" applyBorder="1"/>
    <xf numFmtId="165" fontId="0" fillId="0" borderId="47" xfId="0" applyNumberFormat="1" applyBorder="1"/>
    <xf numFmtId="165" fontId="0" fillId="0" borderId="14" xfId="0" applyNumberFormat="1" applyBorder="1"/>
    <xf numFmtId="165" fontId="0" fillId="0" borderId="15" xfId="0" applyNumberFormat="1" applyBorder="1"/>
    <xf numFmtId="2" fontId="0" fillId="0" borderId="13" xfId="0" applyNumberFormat="1" applyBorder="1"/>
    <xf numFmtId="2" fontId="0" fillId="0" borderId="14" xfId="0" applyNumberFormat="1" applyBorder="1"/>
    <xf numFmtId="0" fontId="44" fillId="0" borderId="44" xfId="0" applyFont="1" applyBorder="1"/>
    <xf numFmtId="0" fontId="0" fillId="0" borderId="0" xfId="0" applyAlignment="1">
      <alignment horizontal="right"/>
    </xf>
    <xf numFmtId="0" fontId="0" fillId="0" borderId="0" xfId="22" applyNumberFormat="1" applyFont="1" applyFill="1" applyBorder="1"/>
    <xf numFmtId="171" fontId="0" fillId="0" borderId="0" xfId="46" applyNumberFormat="1" applyFont="1" applyFill="1" applyBorder="1"/>
    <xf numFmtId="9" fontId="0" fillId="0" borderId="14" xfId="22" applyFont="1" applyFill="1" applyBorder="1"/>
    <xf numFmtId="172" fontId="0" fillId="0" borderId="0" xfId="47" applyNumberFormat="1" applyFont="1" applyFill="1" applyBorder="1"/>
    <xf numFmtId="172" fontId="0" fillId="0" borderId="14" xfId="47" applyNumberFormat="1" applyFont="1" applyFill="1" applyBorder="1"/>
    <xf numFmtId="175" fontId="0" fillId="0" borderId="14" xfId="47" applyNumberFormat="1" applyFont="1" applyFill="1" applyBorder="1"/>
    <xf numFmtId="0" fontId="49" fillId="0" borderId="0" xfId="0" applyFont="1"/>
    <xf numFmtId="44" fontId="0" fillId="0" borderId="0" xfId="47" applyFont="1" applyBorder="1"/>
    <xf numFmtId="44" fontId="0" fillId="0" borderId="14" xfId="47" applyFont="1" applyBorder="1"/>
    <xf numFmtId="2" fontId="4" fillId="0" borderId="11" xfId="0" applyNumberFormat="1" applyFont="1" applyBorder="1"/>
    <xf numFmtId="0" fontId="30" fillId="0" borderId="0" xfId="0" applyFont="1"/>
    <xf numFmtId="0" fontId="0" fillId="0" borderId="0" xfId="22" applyNumberFormat="1" applyFont="1" applyFill="1"/>
    <xf numFmtId="0" fontId="0" fillId="0" borderId="0" xfId="22" quotePrefix="1" applyNumberFormat="1" applyFont="1" applyFill="1" applyAlignment="1">
      <alignment horizontal="right"/>
    </xf>
    <xf numFmtId="10" fontId="0" fillId="0" borderId="0" xfId="22" quotePrefix="1" applyNumberFormat="1" applyFont="1" applyFill="1" applyAlignment="1">
      <alignment horizontal="right"/>
    </xf>
    <xf numFmtId="0" fontId="0" fillId="0" borderId="0" xfId="22" applyNumberFormat="1" applyFont="1" applyFill="1" applyAlignment="1">
      <alignment horizontal="right"/>
    </xf>
    <xf numFmtId="0" fontId="5" fillId="0" borderId="0" xfId="22" applyNumberFormat="1" applyFont="1" applyFill="1"/>
    <xf numFmtId="9" fontId="0" fillId="0" borderId="0" xfId="22" applyFont="1" applyFill="1"/>
    <xf numFmtId="0" fontId="13" fillId="0" borderId="0" xfId="22" applyNumberFormat="1" applyFont="1" applyFill="1"/>
    <xf numFmtId="173" fontId="0" fillId="0" borderId="0" xfId="22" applyNumberFormat="1" applyFont="1" applyFill="1"/>
    <xf numFmtId="6" fontId="0" fillId="0" borderId="0" xfId="0" applyNumberFormat="1"/>
    <xf numFmtId="164" fontId="0" fillId="31" borderId="0" xfId="0" applyNumberFormat="1" applyFill="1"/>
    <xf numFmtId="0" fontId="5" fillId="0" borderId="1" xfId="0" applyFont="1" applyBorder="1"/>
    <xf numFmtId="0" fontId="5" fillId="4" borderId="0" xfId="0" applyFont="1" applyFill="1" applyAlignment="1">
      <alignment horizontal="center"/>
    </xf>
    <xf numFmtId="0" fontId="4" fillId="0" borderId="9" xfId="0" applyFont="1" applyBorder="1"/>
    <xf numFmtId="0" fontId="0" fillId="0" borderId="42" xfId="0" applyBorder="1"/>
    <xf numFmtId="2" fontId="0" fillId="0" borderId="6" xfId="0" applyNumberFormat="1" applyBorder="1" applyAlignment="1">
      <alignment horizontal="center"/>
    </xf>
    <xf numFmtId="0" fontId="0" fillId="0" borderId="6" xfId="0" applyBorder="1"/>
    <xf numFmtId="0" fontId="4" fillId="0" borderId="1" xfId="0" applyFont="1" applyBorder="1" applyAlignment="1">
      <alignment horizontal="center" vertical="center" wrapText="1"/>
    </xf>
    <xf numFmtId="0" fontId="0" fillId="0" borderId="52" xfId="0" applyBorder="1" applyAlignment="1">
      <alignment horizontal="center"/>
    </xf>
    <xf numFmtId="0" fontId="4" fillId="29" borderId="0" xfId="0" applyFont="1" applyFill="1"/>
    <xf numFmtId="0" fontId="4" fillId="35" borderId="0" xfId="0" applyFont="1" applyFill="1"/>
    <xf numFmtId="174" fontId="0" fillId="0" borderId="0" xfId="0" applyNumberFormat="1"/>
    <xf numFmtId="174" fontId="0" fillId="0" borderId="13" xfId="0" applyNumberFormat="1" applyBorder="1"/>
    <xf numFmtId="44" fontId="0" fillId="0" borderId="44" xfId="0" applyNumberFormat="1" applyBorder="1"/>
    <xf numFmtId="44" fontId="0" fillId="0" borderId="13" xfId="0" applyNumberFormat="1" applyBorder="1"/>
    <xf numFmtId="1" fontId="0" fillId="0" borderId="0" xfId="0" applyNumberFormat="1" applyAlignment="1">
      <alignment horizontal="center" wrapText="1"/>
    </xf>
    <xf numFmtId="166" fontId="0" fillId="0" borderId="0" xfId="0" applyNumberFormat="1"/>
    <xf numFmtId="0" fontId="4" fillId="12" borderId="1" xfId="0" applyFont="1" applyFill="1" applyBorder="1" applyAlignment="1">
      <alignment horizontal="left"/>
    </xf>
    <xf numFmtId="0" fontId="4" fillId="12" borderId="1" xfId="0" applyFont="1" applyFill="1" applyBorder="1"/>
    <xf numFmtId="2" fontId="0" fillId="4" borderId="27" xfId="0" applyNumberFormat="1" applyFill="1" applyBorder="1" applyAlignment="1">
      <alignment horizontal="center"/>
    </xf>
    <xf numFmtId="0" fontId="12" fillId="0" borderId="0" xfId="0" applyFont="1"/>
    <xf numFmtId="171" fontId="0" fillId="0" borderId="44" xfId="46" applyNumberFormat="1" applyFont="1" applyFill="1" applyBorder="1"/>
    <xf numFmtId="177" fontId="0" fillId="0" borderId="44" xfId="0" applyNumberFormat="1" applyBorder="1"/>
    <xf numFmtId="178" fontId="0" fillId="0" borderId="44" xfId="0" applyNumberFormat="1" applyBorder="1"/>
    <xf numFmtId="171" fontId="0" fillId="0" borderId="14" xfId="46" applyNumberFormat="1" applyFont="1" applyBorder="1"/>
    <xf numFmtId="171" fontId="0" fillId="0" borderId="13" xfId="46" applyNumberFormat="1" applyFont="1" applyBorder="1"/>
    <xf numFmtId="0" fontId="4" fillId="15" borderId="10" xfId="0" applyFont="1" applyFill="1" applyBorder="1"/>
    <xf numFmtId="0" fontId="4" fillId="0" borderId="11" xfId="0" applyFont="1" applyBorder="1" applyAlignment="1">
      <alignment wrapText="1"/>
    </xf>
    <xf numFmtId="0" fontId="4" fillId="0" borderId="12" xfId="0" applyFont="1" applyBorder="1" applyAlignment="1">
      <alignment wrapText="1"/>
    </xf>
    <xf numFmtId="10" fontId="0" fillId="0" borderId="0" xfId="0" applyNumberFormat="1"/>
    <xf numFmtId="172" fontId="0" fillId="0" borderId="0" xfId="47" applyNumberFormat="1" applyFont="1" applyBorder="1" applyAlignment="1">
      <alignment horizontal="center"/>
    </xf>
    <xf numFmtId="173" fontId="0" fillId="31" borderId="0" xfId="22" applyNumberFormat="1" applyFont="1" applyFill="1" applyBorder="1"/>
    <xf numFmtId="172" fontId="0" fillId="31" borderId="0" xfId="47" applyNumberFormat="1" applyFont="1" applyFill="1"/>
    <xf numFmtId="0" fontId="4" fillId="3" borderId="44" xfId="0" applyFont="1" applyFill="1" applyBorder="1"/>
    <xf numFmtId="0" fontId="0" fillId="0" borderId="0" xfId="0" applyAlignment="1">
      <alignment wrapText="1"/>
    </xf>
    <xf numFmtId="0" fontId="4" fillId="15" borderId="10" xfId="0" applyFont="1" applyFill="1" applyBorder="1" applyAlignment="1">
      <alignment wrapText="1"/>
    </xf>
    <xf numFmtId="0" fontId="4" fillId="0" borderId="11" xfId="0" applyFont="1" applyBorder="1" applyAlignment="1">
      <alignment horizontal="center" wrapText="1"/>
    </xf>
    <xf numFmtId="44" fontId="0" fillId="0" borderId="47" xfId="0" applyNumberFormat="1" applyBorder="1"/>
    <xf numFmtId="172" fontId="13" fillId="0" borderId="0" xfId="0" applyNumberFormat="1" applyFont="1"/>
    <xf numFmtId="0" fontId="0" fillId="31" borderId="0" xfId="47" applyNumberFormat="1" applyFont="1" applyFill="1" applyBorder="1"/>
    <xf numFmtId="0" fontId="44" fillId="0" borderId="7" xfId="11" applyFont="1" applyBorder="1"/>
    <xf numFmtId="0" fontId="0" fillId="0" borderId="10" xfId="11" applyFont="1" applyBorder="1"/>
    <xf numFmtId="0" fontId="0" fillId="0" borderId="13" xfId="11" applyFont="1" applyBorder="1"/>
    <xf numFmtId="2" fontId="0" fillId="0" borderId="11" xfId="11" applyNumberFormat="1" applyFont="1" applyBorder="1"/>
    <xf numFmtId="165" fontId="0" fillId="26" borderId="0" xfId="11" applyNumberFormat="1" applyFont="1" applyFill="1"/>
    <xf numFmtId="165" fontId="0" fillId="26" borderId="14" xfId="11" applyNumberFormat="1" applyFont="1" applyFill="1" applyBorder="1"/>
    <xf numFmtId="0" fontId="0" fillId="0" borderId="6" xfId="11" applyFont="1" applyBorder="1"/>
    <xf numFmtId="164" fontId="13" fillId="0" borderId="0" xfId="0" applyNumberFormat="1" applyFont="1" applyAlignment="1">
      <alignment horizontal="right"/>
    </xf>
    <xf numFmtId="0" fontId="0" fillId="31" borderId="6" xfId="11" applyFont="1" applyFill="1" applyBorder="1"/>
    <xf numFmtId="0" fontId="31" fillId="0" borderId="2" xfId="0" applyFont="1" applyBorder="1"/>
    <xf numFmtId="0" fontId="4" fillId="32" borderId="48" xfId="0" applyFont="1" applyFill="1" applyBorder="1"/>
    <xf numFmtId="0" fontId="0" fillId="0" borderId="48" xfId="0" applyBorder="1"/>
    <xf numFmtId="172" fontId="0" fillId="0" borderId="13" xfId="47" applyNumberFormat="1" applyFont="1" applyBorder="1"/>
    <xf numFmtId="171" fontId="0" fillId="0" borderId="15" xfId="0" applyNumberFormat="1" applyBorder="1"/>
    <xf numFmtId="172" fontId="0" fillId="0" borderId="15" xfId="47" applyNumberFormat="1" applyFont="1" applyBorder="1"/>
    <xf numFmtId="172" fontId="0" fillId="0" borderId="6" xfId="0" applyNumberFormat="1" applyBorder="1"/>
    <xf numFmtId="0" fontId="0" fillId="0" borderId="3" xfId="0" applyBorder="1"/>
    <xf numFmtId="172" fontId="0" fillId="0" borderId="7" xfId="0" applyNumberFormat="1" applyBorder="1"/>
    <xf numFmtId="172" fontId="0" fillId="0" borderId="1" xfId="0" applyNumberFormat="1" applyBorder="1"/>
    <xf numFmtId="0" fontId="4" fillId="14" borderId="48" xfId="0" applyFont="1" applyFill="1" applyBorder="1"/>
    <xf numFmtId="168" fontId="0" fillId="0" borderId="44" xfId="0" applyNumberFormat="1" applyBorder="1"/>
    <xf numFmtId="168" fontId="0" fillId="0" borderId="47" xfId="0" applyNumberFormat="1" applyBorder="1"/>
    <xf numFmtId="0" fontId="4" fillId="23" borderId="48" xfId="0" applyFont="1" applyFill="1" applyBorder="1"/>
    <xf numFmtId="0" fontId="4" fillId="33" borderId="48" xfId="0" applyFont="1" applyFill="1" applyBorder="1"/>
    <xf numFmtId="164" fontId="0" fillId="0" borderId="11" xfId="11" applyNumberFormat="1" applyFont="1" applyBorder="1"/>
    <xf numFmtId="2" fontId="0" fillId="0" borderId="11" xfId="0" applyNumberFormat="1" applyBorder="1"/>
    <xf numFmtId="2" fontId="0" fillId="0" borderId="44" xfId="0" applyNumberFormat="1" applyBorder="1"/>
    <xf numFmtId="2" fontId="0" fillId="31" borderId="0" xfId="47" applyNumberFormat="1" applyFont="1" applyFill="1" applyBorder="1"/>
    <xf numFmtId="0" fontId="0" fillId="0" borderId="44" xfId="0" applyBorder="1" applyAlignment="1">
      <alignment wrapText="1"/>
    </xf>
    <xf numFmtId="0" fontId="0" fillId="0" borderId="55" xfId="0" applyBorder="1"/>
    <xf numFmtId="0" fontId="0" fillId="0" borderId="56" xfId="0" applyBorder="1"/>
    <xf numFmtId="0" fontId="0" fillId="0" borderId="57" xfId="0" applyBorder="1"/>
    <xf numFmtId="0" fontId="0" fillId="0" borderId="58" xfId="0" applyBorder="1"/>
    <xf numFmtId="0" fontId="30" fillId="0" borderId="53" xfId="0" applyFont="1" applyBorder="1"/>
    <xf numFmtId="0" fontId="13" fillId="0" borderId="55" xfId="0" applyFont="1" applyBorder="1"/>
    <xf numFmtId="0" fontId="13" fillId="0" borderId="56" xfId="0" applyFont="1" applyBorder="1"/>
    <xf numFmtId="0" fontId="30" fillId="0" borderId="28" xfId="0" applyFont="1" applyBorder="1"/>
    <xf numFmtId="0" fontId="30" fillId="0" borderId="41" xfId="0" applyFont="1" applyBorder="1"/>
    <xf numFmtId="0" fontId="13" fillId="0" borderId="57" xfId="0" applyFont="1" applyBorder="1" applyAlignment="1">
      <alignment horizontal="left"/>
    </xf>
    <xf numFmtId="1" fontId="13" fillId="0" borderId="11" xfId="0" applyNumberFormat="1" applyFont="1" applyBorder="1"/>
    <xf numFmtId="0" fontId="13" fillId="0" borderId="58" xfId="0" applyFont="1" applyBorder="1"/>
    <xf numFmtId="0" fontId="0" fillId="0" borderId="28" xfId="0" applyBorder="1" applyAlignment="1">
      <alignment horizontal="left"/>
    </xf>
    <xf numFmtId="0" fontId="13" fillId="0" borderId="28" xfId="0" applyFont="1" applyBorder="1"/>
    <xf numFmtId="1" fontId="13" fillId="0" borderId="0" xfId="0" applyNumberFormat="1" applyFont="1"/>
    <xf numFmtId="0" fontId="13" fillId="0" borderId="41" xfId="0" applyFont="1" applyBorder="1"/>
    <xf numFmtId="0" fontId="13" fillId="0" borderId="59" xfId="0" applyFont="1" applyBorder="1"/>
    <xf numFmtId="1" fontId="13" fillId="0" borderId="14" xfId="0" applyNumberFormat="1" applyFont="1" applyBorder="1"/>
    <xf numFmtId="0" fontId="13" fillId="0" borderId="60" xfId="0" applyFont="1" applyBorder="1"/>
    <xf numFmtId="0" fontId="13" fillId="21" borderId="57" xfId="0" applyFont="1" applyFill="1" applyBorder="1"/>
    <xf numFmtId="2" fontId="13" fillId="21" borderId="11" xfId="0" applyNumberFormat="1" applyFont="1" applyFill="1" applyBorder="1"/>
    <xf numFmtId="0" fontId="13" fillId="21" borderId="58" xfId="0" applyFont="1" applyFill="1" applyBorder="1"/>
    <xf numFmtId="0" fontId="13" fillId="21" borderId="28" xfId="0" applyFont="1" applyFill="1" applyBorder="1"/>
    <xf numFmtId="2" fontId="13" fillId="21" borderId="0" xfId="0" applyNumberFormat="1" applyFont="1" applyFill="1"/>
    <xf numFmtId="0" fontId="13" fillId="21" borderId="41" xfId="0" applyFont="1" applyFill="1" applyBorder="1"/>
    <xf numFmtId="0" fontId="13" fillId="36" borderId="57" xfId="0" applyFont="1" applyFill="1" applyBorder="1" applyAlignment="1">
      <alignment horizontal="left"/>
    </xf>
    <xf numFmtId="2" fontId="13" fillId="36" borderId="11" xfId="0" applyNumberFormat="1" applyFont="1" applyFill="1" applyBorder="1"/>
    <xf numFmtId="0" fontId="13" fillId="36" borderId="58" xfId="0" applyFont="1" applyFill="1" applyBorder="1"/>
    <xf numFmtId="0" fontId="13" fillId="36" borderId="28" xfId="0" applyFont="1" applyFill="1" applyBorder="1" applyAlignment="1">
      <alignment horizontal="left"/>
    </xf>
    <xf numFmtId="2" fontId="13" fillId="36" borderId="0" xfId="0" applyNumberFormat="1" applyFont="1" applyFill="1"/>
    <xf numFmtId="0" fontId="13" fillId="36" borderId="41" xfId="0" applyFont="1" applyFill="1" applyBorder="1"/>
    <xf numFmtId="0" fontId="13" fillId="36" borderId="28" xfId="0" applyFont="1" applyFill="1" applyBorder="1"/>
    <xf numFmtId="0" fontId="30" fillId="21" borderId="57" xfId="0" applyFont="1" applyFill="1" applyBorder="1" applyAlignment="1">
      <alignment horizontal="left"/>
    </xf>
    <xf numFmtId="2" fontId="30" fillId="21" borderId="11" xfId="0" applyNumberFormat="1" applyFont="1" applyFill="1" applyBorder="1"/>
    <xf numFmtId="0" fontId="30" fillId="21" borderId="58" xfId="0" applyFont="1" applyFill="1" applyBorder="1"/>
    <xf numFmtId="0" fontId="30" fillId="21" borderId="28" xfId="0" applyFont="1" applyFill="1" applyBorder="1" applyAlignment="1">
      <alignment horizontal="left"/>
    </xf>
    <xf numFmtId="2" fontId="30" fillId="21" borderId="0" xfId="0" applyNumberFormat="1" applyFont="1" applyFill="1"/>
    <xf numFmtId="0" fontId="30" fillId="21" borderId="41" xfId="0" applyFont="1" applyFill="1" applyBorder="1"/>
    <xf numFmtId="0" fontId="30" fillId="21" borderId="59" xfId="0" applyFont="1" applyFill="1" applyBorder="1"/>
    <xf numFmtId="2" fontId="30" fillId="21" borderId="14" xfId="0" applyNumberFormat="1" applyFont="1" applyFill="1" applyBorder="1"/>
    <xf numFmtId="0" fontId="30" fillId="21" borderId="60" xfId="0" applyFont="1" applyFill="1" applyBorder="1"/>
    <xf numFmtId="0" fontId="13" fillId="21" borderId="57" xfId="0" applyFont="1" applyFill="1" applyBorder="1" applyAlignment="1">
      <alignment horizontal="left"/>
    </xf>
    <xf numFmtId="1" fontId="13" fillId="21" borderId="11" xfId="0" applyNumberFormat="1" applyFont="1" applyFill="1" applyBorder="1"/>
    <xf numFmtId="0" fontId="0" fillId="21" borderId="58" xfId="0" applyFill="1" applyBorder="1"/>
    <xf numFmtId="1" fontId="13" fillId="21" borderId="0" xfId="0" applyNumberFormat="1" applyFont="1" applyFill="1"/>
    <xf numFmtId="0" fontId="0" fillId="21" borderId="41" xfId="0" applyFill="1" applyBorder="1"/>
    <xf numFmtId="0" fontId="13" fillId="21" borderId="59" xfId="0" applyFont="1" applyFill="1" applyBorder="1"/>
    <xf numFmtId="1" fontId="13" fillId="21" borderId="14" xfId="0" applyNumberFormat="1" applyFont="1" applyFill="1" applyBorder="1"/>
    <xf numFmtId="0" fontId="0" fillId="21" borderId="60" xfId="0" applyFill="1" applyBorder="1"/>
    <xf numFmtId="0" fontId="30" fillId="21" borderId="28" xfId="0" applyFont="1" applyFill="1" applyBorder="1"/>
    <xf numFmtId="164" fontId="30" fillId="21" borderId="0" xfId="0" applyNumberFormat="1" applyFont="1" applyFill="1"/>
    <xf numFmtId="9" fontId="13" fillId="21" borderId="11" xfId="22" applyFont="1" applyFill="1" applyBorder="1"/>
    <xf numFmtId="9" fontId="13" fillId="21" borderId="14" xfId="22" applyFont="1" applyFill="1" applyBorder="1"/>
    <xf numFmtId="0" fontId="13" fillId="21" borderId="60" xfId="0" applyFont="1" applyFill="1" applyBorder="1"/>
    <xf numFmtId="0" fontId="13" fillId="0" borderId="57" xfId="0" applyFont="1" applyBorder="1"/>
    <xf numFmtId="0" fontId="13" fillId="0" borderId="11" xfId="0" applyFont="1" applyBorder="1"/>
    <xf numFmtId="0" fontId="13" fillId="21" borderId="28" xfId="0" applyFont="1" applyFill="1" applyBorder="1" applyAlignment="1">
      <alignment horizontal="left"/>
    </xf>
    <xf numFmtId="1" fontId="30" fillId="21" borderId="0" xfId="0" applyNumberFormat="1" applyFont="1" applyFill="1"/>
    <xf numFmtId="0" fontId="30" fillId="3" borderId="57" xfId="0" applyFont="1" applyFill="1" applyBorder="1"/>
    <xf numFmtId="0" fontId="13" fillId="3" borderId="11" xfId="0" applyFont="1" applyFill="1" applyBorder="1"/>
    <xf numFmtId="0" fontId="13" fillId="3" borderId="58" xfId="0" applyFont="1" applyFill="1" applyBorder="1"/>
    <xf numFmtId="0" fontId="30" fillId="3" borderId="28" xfId="0" applyFont="1" applyFill="1" applyBorder="1"/>
    <xf numFmtId="0" fontId="30" fillId="3" borderId="0" xfId="0" applyFont="1" applyFill="1"/>
    <xf numFmtId="0" fontId="30" fillId="3" borderId="41" xfId="0" applyFont="1" applyFill="1" applyBorder="1"/>
    <xf numFmtId="0" fontId="13" fillId="3" borderId="57" xfId="0" applyFont="1" applyFill="1" applyBorder="1"/>
    <xf numFmtId="0" fontId="13" fillId="3" borderId="28" xfId="0" applyFont="1" applyFill="1" applyBorder="1"/>
    <xf numFmtId="1" fontId="13" fillId="3" borderId="0" xfId="0" applyNumberFormat="1" applyFont="1" applyFill="1"/>
    <xf numFmtId="0" fontId="13" fillId="3" borderId="41" xfId="0" applyFont="1" applyFill="1" applyBorder="1"/>
    <xf numFmtId="9" fontId="13" fillId="3" borderId="11" xfId="22" applyFont="1" applyFill="1" applyBorder="1"/>
    <xf numFmtId="9" fontId="13" fillId="3" borderId="0" xfId="22" applyFont="1" applyFill="1" applyBorder="1"/>
    <xf numFmtId="0" fontId="13" fillId="3" borderId="54" xfId="0" applyFont="1" applyFill="1" applyBorder="1"/>
    <xf numFmtId="9" fontId="13" fillId="3" borderId="61" xfId="22" applyFont="1" applyFill="1" applyBorder="1" applyAlignment="1">
      <alignment wrapText="1"/>
    </xf>
    <xf numFmtId="0" fontId="13" fillId="3" borderId="42" xfId="0" applyFont="1" applyFill="1" applyBorder="1"/>
    <xf numFmtId="0" fontId="4" fillId="0" borderId="55" xfId="0" applyFont="1" applyBorder="1"/>
    <xf numFmtId="0" fontId="4" fillId="0" borderId="56" xfId="0" applyFont="1" applyBorder="1"/>
    <xf numFmtId="0" fontId="0" fillId="21" borderId="59" xfId="0" applyFill="1" applyBorder="1"/>
    <xf numFmtId="2" fontId="13" fillId="21" borderId="14" xfId="0" applyNumberFormat="1" applyFont="1" applyFill="1" applyBorder="1"/>
    <xf numFmtId="0" fontId="13" fillId="36" borderId="59" xfId="0" applyFont="1" applyFill="1" applyBorder="1" applyAlignment="1">
      <alignment horizontal="left"/>
    </xf>
    <xf numFmtId="2" fontId="13" fillId="36" borderId="14" xfId="0" applyNumberFormat="1" applyFont="1" applyFill="1" applyBorder="1"/>
    <xf numFmtId="0" fontId="13" fillId="36" borderId="60" xfId="0" applyFont="1" applyFill="1" applyBorder="1"/>
    <xf numFmtId="0" fontId="30" fillId="21" borderId="59" xfId="0" applyFont="1" applyFill="1" applyBorder="1" applyAlignment="1">
      <alignment horizontal="left"/>
    </xf>
    <xf numFmtId="0" fontId="13" fillId="21" borderId="59" xfId="0" applyFont="1" applyFill="1" applyBorder="1" applyAlignment="1">
      <alignment horizontal="left"/>
    </xf>
    <xf numFmtId="0" fontId="30" fillId="21" borderId="57" xfId="0" applyFont="1" applyFill="1" applyBorder="1"/>
    <xf numFmtId="1" fontId="30" fillId="21" borderId="11" xfId="0" applyNumberFormat="1" applyFont="1" applyFill="1" applyBorder="1"/>
    <xf numFmtId="1" fontId="30" fillId="21" borderId="14" xfId="0" applyNumberFormat="1" applyFont="1" applyFill="1" applyBorder="1"/>
    <xf numFmtId="0" fontId="13" fillId="0" borderId="41" xfId="0" applyFont="1" applyBorder="1" applyAlignment="1">
      <alignment horizontal="center"/>
    </xf>
    <xf numFmtId="0" fontId="13" fillId="3" borderId="0" xfId="0" applyFont="1" applyFill="1"/>
    <xf numFmtId="9" fontId="13" fillId="3" borderId="61" xfId="22" applyFont="1" applyFill="1" applyBorder="1"/>
    <xf numFmtId="0" fontId="0" fillId="0" borderId="61" xfId="0" applyBorder="1"/>
    <xf numFmtId="0" fontId="0" fillId="4" borderId="25" xfId="0" applyFill="1" applyBorder="1" applyAlignment="1">
      <alignment horizontal="center"/>
    </xf>
    <xf numFmtId="0" fontId="30" fillId="0" borderId="1" xfId="0" applyFont="1" applyBorder="1"/>
    <xf numFmtId="0" fontId="4" fillId="0" borderId="53" xfId="0" applyFont="1" applyBorder="1"/>
    <xf numFmtId="164" fontId="13" fillId="0" borderId="1" xfId="0" applyNumberFormat="1" applyFont="1" applyBorder="1" applyAlignment="1">
      <alignment horizontal="center"/>
    </xf>
    <xf numFmtId="178" fontId="0" fillId="0" borderId="13" xfId="0" applyNumberFormat="1" applyBorder="1"/>
    <xf numFmtId="0" fontId="4" fillId="26" borderId="10" xfId="0" applyFont="1" applyFill="1" applyBorder="1"/>
    <xf numFmtId="2" fontId="13" fillId="0" borderId="0" xfId="0" applyNumberFormat="1" applyFont="1" applyAlignment="1">
      <alignment horizontal="right"/>
    </xf>
    <xf numFmtId="0" fontId="0" fillId="0" borderId="15" xfId="0" applyBorder="1" applyAlignment="1">
      <alignment horizontal="center"/>
    </xf>
    <xf numFmtId="9" fontId="0" fillId="0" borderId="47" xfId="22" applyFont="1" applyBorder="1"/>
    <xf numFmtId="15" fontId="5" fillId="0" borderId="0" xfId="0" applyNumberFormat="1" applyFont="1"/>
    <xf numFmtId="173" fontId="0" fillId="0" borderId="0" xfId="22" applyNumberFormat="1" applyFont="1" applyAlignment="1">
      <alignment horizontal="right"/>
    </xf>
    <xf numFmtId="172" fontId="0" fillId="0" borderId="0" xfId="47" applyNumberFormat="1" applyFont="1" applyAlignment="1">
      <alignment horizontal="center"/>
    </xf>
    <xf numFmtId="173" fontId="0" fillId="31" borderId="0" xfId="22" applyNumberFormat="1" applyFont="1" applyFill="1"/>
    <xf numFmtId="172" fontId="0" fillId="31" borderId="0" xfId="47" applyNumberFormat="1" applyFont="1" applyFill="1" applyAlignment="1">
      <alignment horizontal="center"/>
    </xf>
    <xf numFmtId="1" fontId="0" fillId="31" borderId="0" xfId="47" applyNumberFormat="1" applyFont="1" applyFill="1" applyAlignment="1">
      <alignment horizontal="center"/>
    </xf>
    <xf numFmtId="0" fontId="0" fillId="31" borderId="0" xfId="47" applyNumberFormat="1" applyFont="1" applyFill="1" applyAlignment="1">
      <alignment horizontal="center"/>
    </xf>
    <xf numFmtId="172" fontId="0" fillId="31" borderId="47" xfId="47" applyNumberFormat="1" applyFont="1" applyFill="1" applyBorder="1" applyAlignment="1">
      <alignment horizontal="center"/>
    </xf>
    <xf numFmtId="0" fontId="13" fillId="0" borderId="1" xfId="0" applyFont="1" applyBorder="1" applyAlignment="1">
      <alignment horizontal="left"/>
    </xf>
    <xf numFmtId="171" fontId="0" fillId="0" borderId="0" xfId="46" applyNumberFormat="1" applyFont="1" applyFill="1"/>
    <xf numFmtId="0" fontId="3" fillId="0" borderId="0" xfId="3" applyFill="1"/>
    <xf numFmtId="0" fontId="0" fillId="0" borderId="0" xfId="47" applyNumberFormat="1" applyFont="1" applyFill="1"/>
    <xf numFmtId="0" fontId="0" fillId="31" borderId="0" xfId="22" applyNumberFormat="1" applyFont="1" applyFill="1"/>
    <xf numFmtId="0" fontId="13" fillId="31" borderId="0" xfId="22" applyNumberFormat="1" applyFont="1" applyFill="1"/>
    <xf numFmtId="0" fontId="5" fillId="31" borderId="0" xfId="0" applyFont="1" applyFill="1"/>
    <xf numFmtId="16" fontId="0" fillId="0" borderId="0" xfId="22" quotePrefix="1" applyNumberFormat="1" applyFont="1" applyFill="1"/>
    <xf numFmtId="173" fontId="0" fillId="0" borderId="0" xfId="22" quotePrefix="1" applyNumberFormat="1" applyFont="1" applyFill="1"/>
    <xf numFmtId="10" fontId="0" fillId="0" borderId="0" xfId="22" applyNumberFormat="1" applyFont="1" applyFill="1"/>
    <xf numFmtId="0" fontId="4" fillId="0" borderId="23" xfId="0" applyFont="1" applyBorder="1"/>
    <xf numFmtId="0" fontId="0" fillId="11" borderId="1" xfId="0" applyFill="1" applyBorder="1" applyAlignment="1">
      <alignment horizontal="center"/>
    </xf>
    <xf numFmtId="0" fontId="8" fillId="0" borderId="0" xfId="0" applyFont="1" applyAlignment="1">
      <alignment horizontal="left" vertical="center"/>
    </xf>
    <xf numFmtId="171" fontId="0" fillId="0" borderId="44" xfId="0" applyNumberFormat="1" applyBorder="1" applyAlignment="1">
      <alignment horizontal="right"/>
    </xf>
    <xf numFmtId="171" fontId="0" fillId="0" borderId="44" xfId="0" applyNumberFormat="1" applyBorder="1"/>
    <xf numFmtId="178" fontId="0" fillId="0" borderId="0" xfId="0" applyNumberFormat="1"/>
    <xf numFmtId="171" fontId="0" fillId="31" borderId="0" xfId="46" applyNumberFormat="1" applyFont="1" applyFill="1"/>
    <xf numFmtId="0" fontId="0" fillId="0" borderId="7" xfId="0" applyBorder="1"/>
    <xf numFmtId="173" fontId="0" fillId="0" borderId="47" xfId="22" applyNumberFormat="1" applyFont="1" applyBorder="1"/>
    <xf numFmtId="172" fontId="0" fillId="31" borderId="0" xfId="0" applyNumberFormat="1" applyFill="1"/>
    <xf numFmtId="172" fontId="0" fillId="31" borderId="47" xfId="0" applyNumberFormat="1" applyFill="1" applyBorder="1"/>
    <xf numFmtId="0" fontId="4" fillId="28" borderId="44" xfId="0" applyFont="1" applyFill="1" applyBorder="1"/>
    <xf numFmtId="179" fontId="0" fillId="0" borderId="0" xfId="0" applyNumberFormat="1"/>
    <xf numFmtId="0" fontId="50" fillId="0" borderId="0" xfId="0" applyFont="1"/>
    <xf numFmtId="179" fontId="0" fillId="0" borderId="14" xfId="0" applyNumberFormat="1" applyBorder="1"/>
    <xf numFmtId="0" fontId="4" fillId="0" borderId="30" xfId="0" applyFont="1" applyBorder="1"/>
    <xf numFmtId="0" fontId="5" fillId="0" borderId="0" xfId="0" applyFont="1" applyAlignment="1">
      <alignment horizontal="center" vertical="center"/>
    </xf>
    <xf numFmtId="0" fontId="0" fillId="31" borderId="0" xfId="47" applyNumberFormat="1" applyFont="1" applyFill="1"/>
    <xf numFmtId="173" fontId="0" fillId="0" borderId="0" xfId="22" applyNumberFormat="1" applyFont="1" applyAlignment="1">
      <alignment horizontal="center"/>
    </xf>
    <xf numFmtId="9" fontId="0" fillId="0" borderId="0" xfId="22" applyFont="1" applyAlignment="1">
      <alignment horizontal="center"/>
    </xf>
    <xf numFmtId="173" fontId="0" fillId="0" borderId="47" xfId="22" applyNumberFormat="1" applyFont="1" applyBorder="1" applyAlignment="1">
      <alignment horizontal="right"/>
    </xf>
    <xf numFmtId="1" fontId="0" fillId="31" borderId="0" xfId="47" applyNumberFormat="1" applyFont="1" applyFill="1"/>
    <xf numFmtId="164" fontId="0" fillId="31" borderId="0" xfId="47" applyNumberFormat="1" applyFont="1" applyFill="1"/>
    <xf numFmtId="172" fontId="13" fillId="0" borderId="0" xfId="47" applyNumberFormat="1" applyFont="1" applyAlignment="1">
      <alignment wrapText="1"/>
    </xf>
    <xf numFmtId="2" fontId="0" fillId="31" borderId="0" xfId="47" applyNumberFormat="1" applyFont="1" applyFill="1"/>
    <xf numFmtId="9" fontId="13" fillId="21" borderId="0" xfId="22" applyFont="1" applyFill="1"/>
    <xf numFmtId="9" fontId="13" fillId="3" borderId="0" xfId="22" applyFont="1" applyFill="1"/>
    <xf numFmtId="0" fontId="52" fillId="0" borderId="44" xfId="0" applyFont="1" applyBorder="1"/>
    <xf numFmtId="0" fontId="52" fillId="0" borderId="13" xfId="0" applyFont="1" applyBorder="1"/>
    <xf numFmtId="174" fontId="0" fillId="0" borderId="0" xfId="47" applyNumberFormat="1" applyFont="1"/>
    <xf numFmtId="9" fontId="0" fillId="31" borderId="0" xfId="22" applyFont="1" applyFill="1"/>
    <xf numFmtId="0" fontId="0" fillId="11" borderId="1" xfId="0" applyFill="1" applyBorder="1" applyAlignment="1">
      <alignment vertical="center"/>
    </xf>
    <xf numFmtId="0" fontId="0" fillId="11" borderId="1" xfId="0" applyFill="1" applyBorder="1" applyAlignment="1">
      <alignment vertical="center" wrapText="1"/>
    </xf>
    <xf numFmtId="0" fontId="0" fillId="11" borderId="2" xfId="0" applyFill="1" applyBorder="1" applyAlignment="1">
      <alignment vertical="center" wrapText="1"/>
    </xf>
    <xf numFmtId="0" fontId="0" fillId="11" borderId="2" xfId="0" applyFill="1" applyBorder="1" applyAlignment="1">
      <alignment horizontal="center" vertical="center"/>
    </xf>
    <xf numFmtId="164" fontId="0" fillId="0" borderId="16" xfId="0" applyNumberFormat="1" applyBorder="1" applyAlignment="1">
      <alignment horizontal="center"/>
    </xf>
    <xf numFmtId="165" fontId="0" fillId="0" borderId="16" xfId="0" applyNumberFormat="1" applyBorder="1" applyAlignment="1">
      <alignment horizontal="center"/>
    </xf>
    <xf numFmtId="165" fontId="4" fillId="0" borderId="1" xfId="0" applyNumberFormat="1" applyFont="1" applyBorder="1" applyAlignment="1">
      <alignment horizontal="center"/>
    </xf>
    <xf numFmtId="2" fontId="31" fillId="4" borderId="0" xfId="0" applyNumberFormat="1" applyFont="1" applyFill="1" applyAlignment="1">
      <alignment horizontal="center"/>
    </xf>
    <xf numFmtId="0" fontId="0" fillId="0" borderId="1" xfId="0" applyBorder="1" applyAlignment="1">
      <alignment horizontal="center" vertical="center"/>
    </xf>
    <xf numFmtId="0" fontId="4" fillId="2" borderId="1" xfId="0" applyFont="1" applyFill="1" applyBorder="1" applyAlignment="1">
      <alignment horizontal="center"/>
    </xf>
    <xf numFmtId="0" fontId="0" fillId="11" borderId="2" xfId="0" applyFill="1" applyBorder="1" applyAlignment="1">
      <alignment horizontal="center"/>
    </xf>
    <xf numFmtId="0" fontId="4" fillId="2" borderId="1" xfId="0" quotePrefix="1" applyFont="1" applyFill="1" applyBorder="1" applyAlignment="1">
      <alignment horizontal="center"/>
    </xf>
    <xf numFmtId="0" fontId="0" fillId="2" borderId="1" xfId="0" applyFill="1" applyBorder="1" applyAlignment="1">
      <alignment horizontal="left" vertical="center" wrapText="1"/>
    </xf>
    <xf numFmtId="0" fontId="0" fillId="17" borderId="0" xfId="0" applyFill="1"/>
    <xf numFmtId="0" fontId="0" fillId="23" borderId="1" xfId="0" applyFill="1" applyBorder="1"/>
    <xf numFmtId="0" fontId="0" fillId="22" borderId="1" xfId="0" applyFill="1" applyBorder="1" applyAlignment="1">
      <alignment vertical="center"/>
    </xf>
    <xf numFmtId="0" fontId="0" fillId="22" borderId="1" xfId="0" applyFill="1" applyBorder="1" applyAlignment="1">
      <alignment horizontal="center" vertical="center" wrapText="1"/>
    </xf>
    <xf numFmtId="0" fontId="0" fillId="22" borderId="1" xfId="0" applyFill="1" applyBorder="1"/>
    <xf numFmtId="0" fontId="0" fillId="22" borderId="1" xfId="0" applyFill="1" applyBorder="1" applyAlignment="1">
      <alignment horizontal="center"/>
    </xf>
    <xf numFmtId="0" fontId="0" fillId="22" borderId="1" xfId="0" applyFill="1" applyBorder="1" applyAlignment="1">
      <alignment horizontal="center" wrapText="1"/>
    </xf>
    <xf numFmtId="0" fontId="0" fillId="14" borderId="1" xfId="0" applyFill="1" applyBorder="1"/>
    <xf numFmtId="0" fontId="4" fillId="13" borderId="30" xfId="0" applyFont="1" applyFill="1" applyBorder="1"/>
    <xf numFmtId="0" fontId="0" fillId="13" borderId="24" xfId="0" applyFill="1" applyBorder="1" applyAlignment="1">
      <alignment horizontal="center"/>
    </xf>
    <xf numFmtId="0" fontId="0" fillId="25" borderId="1" xfId="0" applyFill="1" applyBorder="1"/>
    <xf numFmtId="0" fontId="4" fillId="4" borderId="24" xfId="0" applyFont="1" applyFill="1" applyBorder="1" applyAlignment="1">
      <alignment horizontal="center"/>
    </xf>
    <xf numFmtId="0" fontId="0" fillId="4" borderId="31" xfId="0" applyFill="1" applyBorder="1"/>
    <xf numFmtId="2" fontId="0" fillId="4" borderId="25" xfId="0" applyNumberFormat="1" applyFill="1" applyBorder="1" applyAlignment="1">
      <alignment horizontal="center"/>
    </xf>
    <xf numFmtId="2" fontId="0" fillId="25" borderId="1" xfId="0" applyNumberFormat="1" applyFill="1" applyBorder="1" applyAlignment="1">
      <alignment horizontal="center"/>
    </xf>
    <xf numFmtId="0" fontId="0" fillId="4" borderId="37" xfId="0" applyFill="1" applyBorder="1"/>
    <xf numFmtId="0" fontId="5" fillId="0" borderId="0" xfId="0" applyFont="1" applyAlignment="1">
      <alignment horizontal="right" wrapText="1"/>
    </xf>
    <xf numFmtId="9" fontId="5" fillId="0" borderId="24" xfId="0" applyNumberFormat="1" applyFont="1" applyBorder="1" applyAlignment="1">
      <alignment horizontal="center"/>
    </xf>
    <xf numFmtId="9" fontId="5" fillId="0" borderId="0" xfId="0" applyNumberFormat="1" applyFont="1" applyAlignment="1">
      <alignment horizontal="center"/>
    </xf>
    <xf numFmtId="0" fontId="5" fillId="0" borderId="0" xfId="0" applyFont="1" applyAlignment="1">
      <alignment horizontal="right"/>
    </xf>
    <xf numFmtId="9" fontId="5" fillId="0" borderId="25" xfId="0" applyNumberFormat="1" applyFont="1" applyBorder="1" applyAlignment="1">
      <alignment horizontal="center"/>
    </xf>
    <xf numFmtId="9" fontId="5" fillId="0" borderId="27" xfId="0" applyNumberFormat="1" applyFont="1" applyBorder="1" applyAlignment="1">
      <alignment horizontal="center"/>
    </xf>
    <xf numFmtId="0" fontId="4" fillId="0" borderId="30" xfId="0" applyFont="1" applyBorder="1" applyAlignment="1">
      <alignment horizontal="center"/>
    </xf>
    <xf numFmtId="0" fontId="4" fillId="0" borderId="24" xfId="0" applyFont="1" applyBorder="1" applyAlignment="1">
      <alignment horizontal="center"/>
    </xf>
    <xf numFmtId="2" fontId="0" fillId="3" borderId="1" xfId="0" applyNumberFormat="1" applyFill="1" applyBorder="1" applyAlignment="1">
      <alignment horizontal="center"/>
    </xf>
    <xf numFmtId="2" fontId="0" fillId="0" borderId="27" xfId="22" applyNumberFormat="1" applyFont="1" applyFill="1" applyBorder="1" applyAlignment="1">
      <alignment horizontal="center"/>
    </xf>
    <xf numFmtId="2" fontId="5" fillId="4" borderId="0" xfId="0" applyNumberFormat="1" applyFont="1" applyFill="1" applyAlignment="1">
      <alignment horizontal="left"/>
    </xf>
    <xf numFmtId="0" fontId="5" fillId="4" borderId="1" xfId="0" applyFont="1" applyFill="1" applyBorder="1"/>
    <xf numFmtId="0" fontId="31" fillId="2" borderId="64"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22" borderId="25" xfId="0" applyFill="1" applyBorder="1" applyAlignment="1">
      <alignment horizontal="center" wrapText="1"/>
    </xf>
    <xf numFmtId="0" fontId="31" fillId="2" borderId="65" xfId="0" applyFont="1" applyFill="1" applyBorder="1" applyAlignment="1">
      <alignment horizontal="center" vertical="center" wrapText="1"/>
    </xf>
    <xf numFmtId="0" fontId="0" fillId="22" borderId="16" xfId="0" applyFill="1" applyBorder="1" applyAlignment="1">
      <alignment horizontal="center" wrapText="1"/>
    </xf>
    <xf numFmtId="0" fontId="0" fillId="22" borderId="16" xfId="0" applyFill="1" applyBorder="1" applyAlignment="1">
      <alignment horizontal="center"/>
    </xf>
    <xf numFmtId="0" fontId="0" fillId="22" borderId="27" xfId="0" applyFill="1" applyBorder="1" applyAlignment="1">
      <alignment horizontal="center"/>
    </xf>
    <xf numFmtId="0" fontId="0" fillId="0" borderId="4" xfId="0" applyBorder="1" applyAlignment="1">
      <alignment vertical="center"/>
    </xf>
    <xf numFmtId="0" fontId="0" fillId="0" borderId="13" xfId="0" applyBorder="1" applyAlignment="1">
      <alignment vertical="center"/>
    </xf>
    <xf numFmtId="2" fontId="30" fillId="2" borderId="1" xfId="0" applyNumberFormat="1" applyFont="1" applyFill="1" applyBorder="1" applyAlignment="1">
      <alignment horizontal="center"/>
    </xf>
    <xf numFmtId="0" fontId="0" fillId="0" borderId="1" xfId="0" applyBorder="1" applyAlignment="1">
      <alignment vertical="center"/>
    </xf>
    <xf numFmtId="0" fontId="0" fillId="0" borderId="17" xfId="0" applyBorder="1"/>
    <xf numFmtId="2" fontId="5" fillId="4" borderId="1" xfId="0" applyNumberFormat="1" applyFont="1" applyFill="1" applyBorder="1" applyAlignment="1">
      <alignment horizontal="center"/>
    </xf>
    <xf numFmtId="0" fontId="0" fillId="0" borderId="1" xfId="0" applyBorder="1" applyAlignment="1">
      <alignment horizontal="left" vertical="center" wrapText="1"/>
    </xf>
    <xf numFmtId="0" fontId="0" fillId="0" borderId="1" xfId="0" applyBorder="1" applyAlignment="1">
      <alignment wrapText="1"/>
    </xf>
    <xf numFmtId="9" fontId="0" fillId="0" borderId="0" xfId="0" applyNumberFormat="1"/>
    <xf numFmtId="0" fontId="0" fillId="38" borderId="0" xfId="0" applyFill="1"/>
    <xf numFmtId="0" fontId="0" fillId="39" borderId="0" xfId="0" applyFill="1"/>
    <xf numFmtId="0" fontId="59" fillId="39" borderId="0" xfId="0" applyFont="1" applyFill="1"/>
    <xf numFmtId="0" fontId="0" fillId="45" borderId="1" xfId="0" applyFill="1" applyBorder="1"/>
    <xf numFmtId="0" fontId="0" fillId="45" borderId="48" xfId="0" applyFill="1" applyBorder="1"/>
    <xf numFmtId="0" fontId="0" fillId="45" borderId="0" xfId="0" applyFill="1"/>
    <xf numFmtId="173" fontId="0" fillId="45" borderId="1" xfId="22" applyNumberFormat="1" applyFont="1" applyFill="1" applyBorder="1"/>
    <xf numFmtId="0" fontId="0" fillId="0" borderId="0" xfId="0" applyAlignment="1">
      <alignment horizontal="left" wrapText="1"/>
    </xf>
    <xf numFmtId="0" fontId="4" fillId="0" borderId="5" xfId="0" applyFont="1" applyBorder="1"/>
    <xf numFmtId="0" fontId="68" fillId="0" borderId="4" xfId="0" applyFont="1" applyBorder="1" applyAlignment="1">
      <alignment horizontal="center" wrapText="1"/>
    </xf>
    <xf numFmtId="0" fontId="30" fillId="0" borderId="1" xfId="0" applyFont="1" applyBorder="1" applyAlignment="1">
      <alignment horizontal="center" wrapText="1"/>
    </xf>
    <xf numFmtId="0" fontId="68" fillId="0" borderId="0" xfId="0" applyFont="1" applyAlignment="1">
      <alignment horizontal="center" wrapText="1"/>
    </xf>
    <xf numFmtId="0" fontId="31" fillId="47" borderId="1" xfId="0" applyFont="1" applyFill="1" applyBorder="1" applyAlignment="1">
      <alignment horizontal="center"/>
    </xf>
    <xf numFmtId="0" fontId="4" fillId="47" borderId="1" xfId="0" applyFont="1" applyFill="1" applyBorder="1" applyAlignment="1">
      <alignment horizontal="center"/>
    </xf>
    <xf numFmtId="0" fontId="5" fillId="4" borderId="2" xfId="0" applyFont="1" applyFill="1" applyBorder="1" applyAlignment="1">
      <alignment horizontal="center"/>
    </xf>
    <xf numFmtId="0" fontId="4" fillId="47" borderId="1" xfId="0" applyFont="1" applyFill="1" applyBorder="1" applyAlignment="1">
      <alignment horizontal="center" vertical="center" wrapText="1"/>
    </xf>
    <xf numFmtId="0" fontId="30" fillId="2" borderId="16" xfId="0" applyFont="1" applyFill="1" applyBorder="1" applyAlignment="1">
      <alignment horizontal="center" wrapText="1"/>
    </xf>
    <xf numFmtId="0" fontId="31" fillId="0" borderId="16" xfId="0" applyFont="1" applyBorder="1" applyAlignment="1">
      <alignment horizontal="center" wrapText="1"/>
    </xf>
    <xf numFmtId="0" fontId="68" fillId="0" borderId="0" xfId="0" applyFont="1" applyAlignment="1">
      <alignment horizontal="left" wrapText="1"/>
    </xf>
    <xf numFmtId="0" fontId="4" fillId="0" borderId="6" xfId="0" applyFont="1" applyBorder="1"/>
    <xf numFmtId="0" fontId="4" fillId="0" borderId="7" xfId="0" applyFont="1" applyBorder="1"/>
    <xf numFmtId="0" fontId="4" fillId="0" borderId="3" xfId="0" applyFont="1" applyBorder="1"/>
    <xf numFmtId="0" fontId="68" fillId="0" borderId="1" xfId="0" applyFont="1" applyBorder="1" applyAlignment="1">
      <alignment horizontal="center" vertical="center" wrapText="1"/>
    </xf>
    <xf numFmtId="0" fontId="57" fillId="0" borderId="1" xfId="48" applyFont="1" applyBorder="1" applyAlignment="1">
      <alignment horizontal="left" vertical="center"/>
    </xf>
    <xf numFmtId="167" fontId="0" fillId="0" borderId="1" xfId="0" applyNumberFormat="1" applyBorder="1" applyAlignment="1">
      <alignment horizontal="center"/>
    </xf>
    <xf numFmtId="0" fontId="57" fillId="4" borderId="1" xfId="48" applyFont="1" applyFill="1" applyBorder="1" applyAlignment="1">
      <alignment horizontal="center" vertical="center"/>
    </xf>
    <xf numFmtId="10" fontId="4" fillId="0" borderId="1" xfId="0" applyNumberFormat="1" applyFont="1" applyBorder="1" applyAlignment="1">
      <alignment horizontal="center"/>
    </xf>
    <xf numFmtId="9"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2" fontId="4" fillId="4" borderId="1" xfId="0" applyNumberFormat="1" applyFont="1" applyFill="1" applyBorder="1" applyAlignment="1">
      <alignment horizontal="center" vertical="center"/>
    </xf>
    <xf numFmtId="1" fontId="4" fillId="4" borderId="1" xfId="0" applyNumberFormat="1" applyFont="1" applyFill="1" applyBorder="1" applyAlignment="1">
      <alignment horizontal="center" vertical="center"/>
    </xf>
    <xf numFmtId="0" fontId="71" fillId="35" borderId="1" xfId="0" applyFont="1" applyFill="1" applyBorder="1" applyAlignment="1">
      <alignment vertical="center" wrapText="1"/>
    </xf>
    <xf numFmtId="0" fontId="4" fillId="4" borderId="1" xfId="0" applyFont="1" applyFill="1" applyBorder="1" applyAlignment="1">
      <alignment vertical="center"/>
    </xf>
    <xf numFmtId="2" fontId="31" fillId="35" borderId="1" xfId="0" applyNumberFormat="1" applyFont="1" applyFill="1" applyBorder="1" applyAlignment="1">
      <alignment horizontal="center"/>
    </xf>
    <xf numFmtId="0" fontId="30" fillId="6" borderId="46" xfId="0" applyFont="1" applyFill="1" applyBorder="1" applyAlignment="1">
      <alignment horizontal="center" vertical="center" wrapText="1"/>
    </xf>
    <xf numFmtId="16" fontId="0" fillId="0" borderId="0" xfId="0" applyNumberFormat="1"/>
    <xf numFmtId="0" fontId="74" fillId="16" borderId="79" xfId="0" applyFont="1" applyFill="1" applyBorder="1" applyAlignment="1">
      <alignment vertical="center" wrapText="1"/>
    </xf>
    <xf numFmtId="1" fontId="0" fillId="25" borderId="1" xfId="0" applyNumberFormat="1" applyFill="1" applyBorder="1" applyAlignment="1">
      <alignment horizontal="center"/>
    </xf>
    <xf numFmtId="0" fontId="57" fillId="0" borderId="3" xfId="48" applyFont="1" applyBorder="1" applyAlignment="1">
      <alignment horizontal="left" vertical="center"/>
    </xf>
    <xf numFmtId="0" fontId="0" fillId="51" borderId="51" xfId="0" applyFill="1" applyBorder="1"/>
    <xf numFmtId="1" fontId="0" fillId="0" borderId="1" xfId="0" applyNumberFormat="1" applyBorder="1"/>
    <xf numFmtId="0" fontId="4" fillId="0" borderId="8" xfId="0" applyFont="1" applyBorder="1"/>
    <xf numFmtId="0" fontId="0" fillId="31" borderId="14" xfId="0" applyFill="1" applyBorder="1"/>
    <xf numFmtId="171" fontId="0" fillId="31" borderId="13" xfId="46" applyNumberFormat="1" applyFont="1" applyFill="1" applyBorder="1"/>
    <xf numFmtId="171" fontId="0" fillId="31" borderId="14" xfId="46" applyNumberFormat="1" applyFont="1" applyFill="1" applyBorder="1"/>
    <xf numFmtId="2" fontId="0" fillId="0" borderId="3" xfId="0" applyNumberFormat="1" applyBorder="1" applyAlignment="1">
      <alignment horizontal="center"/>
    </xf>
    <xf numFmtId="165" fontId="13" fillId="0" borderId="1" xfId="0" applyNumberFormat="1" applyFont="1" applyBorder="1" applyAlignment="1">
      <alignment horizontal="center"/>
    </xf>
    <xf numFmtId="172" fontId="0" fillId="31" borderId="14" xfId="47" applyNumberFormat="1" applyFont="1" applyFill="1" applyBorder="1"/>
    <xf numFmtId="172" fontId="0" fillId="31" borderId="15" xfId="47" applyNumberFormat="1" applyFont="1" applyFill="1" applyBorder="1"/>
    <xf numFmtId="14" fontId="0" fillId="0" borderId="0" xfId="0" applyNumberFormat="1"/>
    <xf numFmtId="180" fontId="0" fillId="0" borderId="44" xfId="0" applyNumberFormat="1" applyBorder="1"/>
    <xf numFmtId="180" fontId="0" fillId="0" borderId="13" xfId="0" applyNumberFormat="1" applyBorder="1"/>
    <xf numFmtId="0" fontId="0" fillId="0" borderId="14" xfId="0" quotePrefix="1" applyBorder="1"/>
    <xf numFmtId="171" fontId="30" fillId="0" borderId="44" xfId="46" applyNumberFormat="1" applyFont="1" applyBorder="1" applyAlignment="1">
      <alignment wrapText="1"/>
    </xf>
    <xf numFmtId="171" fontId="0" fillId="0" borderId="11" xfId="46" applyNumberFormat="1" applyFont="1" applyBorder="1"/>
    <xf numFmtId="171" fontId="30" fillId="0" borderId="0" xfId="46" applyNumberFormat="1" applyFont="1" applyBorder="1" applyAlignment="1">
      <alignment wrapText="1"/>
    </xf>
    <xf numFmtId="0" fontId="58" fillId="54" borderId="3" xfId="0" applyFont="1" applyFill="1" applyBorder="1" applyAlignment="1">
      <alignment wrapText="1"/>
    </xf>
    <xf numFmtId="0" fontId="58" fillId="54" borderId="6" xfId="0" applyFont="1" applyFill="1" applyBorder="1" applyAlignment="1">
      <alignment wrapText="1"/>
    </xf>
    <xf numFmtId="0" fontId="0" fillId="4" borderId="1" xfId="0" applyFill="1" applyBorder="1" applyAlignment="1">
      <alignment horizontal="left"/>
    </xf>
    <xf numFmtId="1" fontId="0" fillId="4" borderId="1" xfId="0" applyNumberFormat="1" applyFill="1" applyBorder="1"/>
    <xf numFmtId="0" fontId="4" fillId="38" borderId="0" xfId="0" applyFont="1" applyFill="1"/>
    <xf numFmtId="0" fontId="58" fillId="41" borderId="53" xfId="0" applyFont="1" applyFill="1" applyBorder="1" applyAlignment="1">
      <alignment vertical="center" wrapText="1"/>
    </xf>
    <xf numFmtId="0" fontId="58" fillId="41" borderId="8" xfId="0" applyFont="1" applyFill="1" applyBorder="1"/>
    <xf numFmtId="6" fontId="0" fillId="52" borderId="59" xfId="0" applyNumberFormat="1" applyFill="1" applyBorder="1"/>
    <xf numFmtId="6" fontId="0" fillId="42" borderId="51" xfId="0" applyNumberFormat="1" applyFill="1" applyBorder="1"/>
    <xf numFmtId="176" fontId="0" fillId="42" borderId="51" xfId="0" applyNumberFormat="1" applyFill="1" applyBorder="1"/>
    <xf numFmtId="6" fontId="4" fillId="51" borderId="75" xfId="0" applyNumberFormat="1" applyFont="1" applyFill="1" applyBorder="1"/>
    <xf numFmtId="0" fontId="58" fillId="41" borderId="20" xfId="0" applyFont="1" applyFill="1" applyBorder="1"/>
    <xf numFmtId="6" fontId="0" fillId="52" borderId="81" xfId="0" applyNumberFormat="1" applyFill="1" applyBorder="1"/>
    <xf numFmtId="0" fontId="0" fillId="51" borderId="82" xfId="0" applyFill="1" applyBorder="1"/>
    <xf numFmtId="6" fontId="0" fillId="42" borderId="82" xfId="0" applyNumberFormat="1" applyFill="1" applyBorder="1"/>
    <xf numFmtId="176" fontId="0" fillId="42" borderId="82" xfId="0" applyNumberFormat="1" applyFill="1" applyBorder="1"/>
    <xf numFmtId="6" fontId="4" fillId="51" borderId="83" xfId="0" applyNumberFormat="1" applyFont="1" applyFill="1" applyBorder="1"/>
    <xf numFmtId="0" fontId="58" fillId="41" borderId="21" xfId="0" applyFont="1" applyFill="1" applyBorder="1" applyAlignment="1">
      <alignment vertical="center" wrapText="1"/>
    </xf>
    <xf numFmtId="0" fontId="58" fillId="41" borderId="55" xfId="0" applyFont="1" applyFill="1" applyBorder="1" applyAlignment="1">
      <alignment vertical="center" wrapText="1"/>
    </xf>
    <xf numFmtId="0" fontId="58" fillId="41" borderId="20" xfId="0" applyFont="1" applyFill="1" applyBorder="1" applyAlignment="1">
      <alignment vertical="center"/>
    </xf>
    <xf numFmtId="0" fontId="58" fillId="41" borderId="5" xfId="0" applyFont="1" applyFill="1" applyBorder="1"/>
    <xf numFmtId="6" fontId="0" fillId="52" borderId="14" xfId="0" applyNumberFormat="1" applyFill="1" applyBorder="1"/>
    <xf numFmtId="0" fontId="0" fillId="51" borderId="7" xfId="0" applyFill="1" applyBorder="1"/>
    <xf numFmtId="6" fontId="0" fillId="42" borderId="7" xfId="0" applyNumberFormat="1" applyFill="1" applyBorder="1"/>
    <xf numFmtId="176" fontId="0" fillId="42" borderId="7" xfId="0" applyNumberFormat="1" applyFill="1" applyBorder="1"/>
    <xf numFmtId="6" fontId="4" fillId="51" borderId="77" xfId="0" applyNumberFormat="1" applyFont="1" applyFill="1" applyBorder="1"/>
    <xf numFmtId="0" fontId="58" fillId="41" borderId="22" xfId="0" applyFont="1" applyFill="1" applyBorder="1" applyAlignment="1">
      <alignment vertical="center"/>
    </xf>
    <xf numFmtId="0" fontId="0" fillId="52" borderId="81" xfId="0" applyFill="1" applyBorder="1"/>
    <xf numFmtId="0" fontId="4" fillId="51" borderId="82" xfId="0" applyFont="1" applyFill="1" applyBorder="1"/>
    <xf numFmtId="0" fontId="0" fillId="42" borderId="82" xfId="0" applyFill="1" applyBorder="1"/>
    <xf numFmtId="0" fontId="4" fillId="51" borderId="83" xfId="0" applyFont="1" applyFill="1" applyBorder="1"/>
    <xf numFmtId="0" fontId="4" fillId="56" borderId="0" xfId="0" applyFont="1" applyFill="1"/>
    <xf numFmtId="0" fontId="0" fillId="56" borderId="0" xfId="0" applyFill="1"/>
    <xf numFmtId="170" fontId="0" fillId="11" borderId="0" xfId="0" applyNumberFormat="1" applyFill="1"/>
    <xf numFmtId="0" fontId="0" fillId="37" borderId="0" xfId="0" applyFill="1"/>
    <xf numFmtId="0" fontId="0" fillId="50" borderId="0" xfId="0" applyFill="1"/>
    <xf numFmtId="0" fontId="4" fillId="11" borderId="1" xfId="0" applyFont="1" applyFill="1" applyBorder="1" applyAlignment="1">
      <alignment horizontal="center" vertical="center"/>
    </xf>
    <xf numFmtId="0" fontId="0" fillId="11" borderId="44" xfId="0" applyFill="1" applyBorder="1" applyAlignment="1">
      <alignment horizontal="center" vertical="center"/>
    </xf>
    <xf numFmtId="164" fontId="0" fillId="2" borderId="1" xfId="0" applyNumberFormat="1" applyFill="1" applyBorder="1" applyAlignment="1">
      <alignment horizontal="center" vertical="center"/>
    </xf>
    <xf numFmtId="165" fontId="0" fillId="2" borderId="1" xfId="0" applyNumberFormat="1" applyFill="1" applyBorder="1" applyAlignment="1">
      <alignment horizontal="center"/>
    </xf>
    <xf numFmtId="165" fontId="0" fillId="11" borderId="44" xfId="0" applyNumberFormat="1" applyFill="1" applyBorder="1" applyAlignment="1">
      <alignment horizontal="center" vertical="center"/>
    </xf>
    <xf numFmtId="0" fontId="4" fillId="11" borderId="44" xfId="0" applyFont="1" applyFill="1" applyBorder="1" applyAlignment="1">
      <alignment horizontal="center" vertical="center"/>
    </xf>
    <xf numFmtId="0" fontId="85" fillId="0" borderId="0" xfId="0" applyFont="1" applyAlignment="1">
      <alignment horizontal="center"/>
    </xf>
    <xf numFmtId="0" fontId="11" fillId="0" borderId="0" xfId="0" applyFont="1" applyAlignment="1">
      <alignment horizontal="center"/>
    </xf>
    <xf numFmtId="165" fontId="4" fillId="11" borderId="1" xfId="0" applyNumberFormat="1" applyFont="1" applyFill="1" applyBorder="1" applyAlignment="1">
      <alignment horizontal="center" vertical="center"/>
    </xf>
    <xf numFmtId="0" fontId="53" fillId="0" borderId="0" xfId="0" applyFont="1" applyAlignment="1">
      <alignment horizontal="center" vertical="center"/>
    </xf>
    <xf numFmtId="0" fontId="0" fillId="19" borderId="0" xfId="0" applyFill="1"/>
    <xf numFmtId="0" fontId="0" fillId="28" borderId="0" xfId="0" applyFill="1"/>
    <xf numFmtId="0" fontId="86" fillId="0" borderId="0" xfId="0" applyFont="1"/>
    <xf numFmtId="0" fontId="0" fillId="2" borderId="1" xfId="0" applyFill="1" applyBorder="1" applyAlignment="1">
      <alignment vertical="center"/>
    </xf>
    <xf numFmtId="1" fontId="0" fillId="0" borderId="1" xfId="0" applyNumberFormat="1" applyBorder="1" applyAlignment="1">
      <alignment horizontal="left"/>
    </xf>
    <xf numFmtId="165" fontId="5" fillId="0" borderId="1" xfId="0" applyNumberFormat="1" applyFont="1" applyBorder="1" applyAlignment="1">
      <alignment horizontal="center"/>
    </xf>
    <xf numFmtId="0" fontId="31" fillId="0" borderId="0" xfId="0" applyFont="1" applyAlignment="1">
      <alignment horizontal="left"/>
    </xf>
    <xf numFmtId="0" fontId="13" fillId="4" borderId="1" xfId="0" applyFont="1" applyFill="1" applyBorder="1" applyAlignment="1">
      <alignment horizontal="left"/>
    </xf>
    <xf numFmtId="1" fontId="0" fillId="0" borderId="13" xfId="0" applyNumberFormat="1" applyBorder="1"/>
    <xf numFmtId="10" fontId="0" fillId="0" borderId="0" xfId="22" applyNumberFormat="1" applyFont="1"/>
    <xf numFmtId="44" fontId="0" fillId="0" borderId="0" xfId="47" applyFont="1" applyAlignment="1">
      <alignment horizontal="center"/>
    </xf>
    <xf numFmtId="173" fontId="86" fillId="0" borderId="0" xfId="22" applyNumberFormat="1" applyFont="1"/>
    <xf numFmtId="179" fontId="13" fillId="0" borderId="0" xfId="0" applyNumberFormat="1" applyFont="1"/>
    <xf numFmtId="0" fontId="88" fillId="0" borderId="0" xfId="0" applyFont="1"/>
    <xf numFmtId="0" fontId="30" fillId="0" borderId="11" xfId="0" applyFont="1" applyBorder="1"/>
    <xf numFmtId="0" fontId="13" fillId="0" borderId="12" xfId="0" applyFont="1" applyBorder="1"/>
    <xf numFmtId="0" fontId="89" fillId="0" borderId="44" xfId="0" applyFont="1" applyBorder="1"/>
    <xf numFmtId="0" fontId="89" fillId="0" borderId="0" xfId="0" applyFont="1"/>
    <xf numFmtId="0" fontId="89" fillId="0" borderId="47" xfId="0" applyFont="1" applyBorder="1"/>
    <xf numFmtId="1" fontId="13" fillId="0" borderId="44" xfId="0" applyNumberFormat="1" applyFont="1" applyBorder="1"/>
    <xf numFmtId="0" fontId="13" fillId="0" borderId="14" xfId="0" applyFont="1" applyBorder="1"/>
    <xf numFmtId="1" fontId="13" fillId="0" borderId="13" xfId="0" applyNumberFormat="1" applyFont="1" applyBorder="1"/>
    <xf numFmtId="0" fontId="13" fillId="0" borderId="15" xfId="0" applyFont="1" applyBorder="1"/>
    <xf numFmtId="0" fontId="13" fillId="0" borderId="6" xfId="0" applyFont="1" applyBorder="1"/>
    <xf numFmtId="0" fontId="13" fillId="0" borderId="7" xfId="0" applyFont="1" applyBorder="1"/>
    <xf numFmtId="0" fontId="13" fillId="0" borderId="3" xfId="0" applyFont="1" applyBorder="1"/>
    <xf numFmtId="0" fontId="30" fillId="6" borderId="10" xfId="0" applyFont="1" applyFill="1" applyBorder="1"/>
    <xf numFmtId="0" fontId="30" fillId="0" borderId="11" xfId="0" applyFont="1" applyBorder="1" applyAlignment="1">
      <alignment wrapText="1"/>
    </xf>
    <xf numFmtId="0" fontId="30" fillId="0" borderId="44" xfId="0" applyFont="1" applyBorder="1" applyAlignment="1">
      <alignment wrapText="1"/>
    </xf>
    <xf numFmtId="9" fontId="13" fillId="0" borderId="0" xfId="22" applyFont="1"/>
    <xf numFmtId="173" fontId="13" fillId="0" borderId="0" xfId="22" applyNumberFormat="1" applyFont="1"/>
    <xf numFmtId="172" fontId="13" fillId="0" borderId="44" xfId="0" applyNumberFormat="1" applyFont="1" applyBorder="1"/>
    <xf numFmtId="172" fontId="13" fillId="0" borderId="47" xfId="0" applyNumberFormat="1" applyFont="1" applyBorder="1"/>
    <xf numFmtId="172" fontId="13" fillId="0" borderId="0" xfId="47" applyNumberFormat="1" applyFont="1"/>
    <xf numFmtId="172" fontId="13" fillId="0" borderId="14" xfId="0" applyNumberFormat="1" applyFont="1" applyBorder="1"/>
    <xf numFmtId="172" fontId="13" fillId="0" borderId="14" xfId="47" applyNumberFormat="1" applyFont="1" applyBorder="1"/>
    <xf numFmtId="0" fontId="30" fillId="26" borderId="44" xfId="0" applyFont="1" applyFill="1" applyBorder="1"/>
    <xf numFmtId="9" fontId="13" fillId="0" borderId="0" xfId="0" applyNumberFormat="1" applyFont="1" applyAlignment="1">
      <alignment wrapText="1"/>
    </xf>
    <xf numFmtId="171" fontId="13" fillId="0" borderId="0" xfId="0" applyNumberFormat="1" applyFont="1"/>
    <xf numFmtId="43" fontId="13" fillId="0" borderId="0" xfId="0" applyNumberFormat="1" applyFont="1"/>
    <xf numFmtId="172" fontId="13" fillId="0" borderId="47" xfId="47" applyNumberFormat="1" applyFont="1" applyBorder="1" applyAlignment="1">
      <alignment wrapText="1"/>
    </xf>
    <xf numFmtId="0" fontId="13" fillId="31" borderId="44" xfId="0" applyFont="1" applyFill="1" applyBorder="1"/>
    <xf numFmtId="0" fontId="13" fillId="31" borderId="0" xfId="0" applyFont="1" applyFill="1"/>
    <xf numFmtId="172" fontId="13" fillId="31" borderId="0" xfId="0" applyNumberFormat="1" applyFont="1" applyFill="1"/>
    <xf numFmtId="1" fontId="13" fillId="31" borderId="0" xfId="0" applyNumberFormat="1" applyFont="1" applyFill="1"/>
    <xf numFmtId="2" fontId="13" fillId="0" borderId="0" xfId="0" applyNumberFormat="1" applyFont="1"/>
    <xf numFmtId="181" fontId="0" fillId="0" borderId="14" xfId="46" applyNumberFormat="1" applyFont="1" applyBorder="1"/>
    <xf numFmtId="171" fontId="0" fillId="0" borderId="14" xfId="0" applyNumberFormat="1" applyBorder="1"/>
    <xf numFmtId="0" fontId="30" fillId="0" borderId="53" xfId="0" applyFont="1" applyBorder="1" applyAlignment="1">
      <alignment horizontal="left"/>
    </xf>
    <xf numFmtId="164" fontId="13" fillId="0" borderId="0" xfId="0" applyNumberFormat="1" applyFont="1"/>
    <xf numFmtId="0" fontId="13" fillId="6" borderId="28" xfId="0" applyFont="1" applyFill="1" applyBorder="1"/>
    <xf numFmtId="164" fontId="13" fillId="6" borderId="0" xfId="0" applyNumberFormat="1" applyFont="1" applyFill="1"/>
    <xf numFmtId="0" fontId="13" fillId="6" borderId="41" xfId="0" applyFont="1" applyFill="1" applyBorder="1"/>
    <xf numFmtId="0" fontId="13" fillId="6" borderId="0" xfId="0" applyFont="1" applyFill="1"/>
    <xf numFmtId="1" fontId="13" fillId="3" borderId="61" xfId="0" applyNumberFormat="1" applyFont="1" applyFill="1" applyBorder="1"/>
    <xf numFmtId="2" fontId="13" fillId="6" borderId="0" xfId="0" applyNumberFormat="1" applyFont="1" applyFill="1"/>
    <xf numFmtId="0" fontId="13" fillId="0" borderId="53" xfId="0" applyFont="1" applyBorder="1"/>
    <xf numFmtId="164" fontId="13" fillId="0" borderId="55" xfId="0" applyNumberFormat="1" applyFont="1" applyBorder="1"/>
    <xf numFmtId="0" fontId="13" fillId="0" borderId="41" xfId="0" applyFont="1" applyBorder="1" applyAlignment="1">
      <alignment horizontal="left"/>
    </xf>
    <xf numFmtId="1" fontId="30" fillId="3" borderId="0" xfId="0" applyNumberFormat="1" applyFont="1" applyFill="1"/>
    <xf numFmtId="0" fontId="30" fillId="3" borderId="41" xfId="0" applyFont="1" applyFill="1" applyBorder="1" applyAlignment="1">
      <alignment horizontal="left"/>
    </xf>
    <xf numFmtId="164" fontId="30" fillId="3" borderId="0" xfId="0" applyNumberFormat="1" applyFont="1" applyFill="1"/>
    <xf numFmtId="0" fontId="86" fillId="19" borderId="0" xfId="0" applyFont="1" applyFill="1"/>
    <xf numFmtId="164" fontId="13" fillId="0" borderId="44" xfId="0" applyNumberFormat="1" applyFont="1" applyBorder="1"/>
    <xf numFmtId="164" fontId="13" fillId="0" borderId="13" xfId="0" applyNumberFormat="1" applyFont="1" applyBorder="1"/>
    <xf numFmtId="164" fontId="13" fillId="0" borderId="6" xfId="0" applyNumberFormat="1" applyFont="1" applyBorder="1"/>
    <xf numFmtId="0" fontId="4" fillId="17" borderId="0" xfId="0" applyFont="1" applyFill="1"/>
    <xf numFmtId="0" fontId="5" fillId="0" borderId="14" xfId="0" applyFont="1" applyBorder="1"/>
    <xf numFmtId="0" fontId="0" fillId="0" borderId="15" xfId="11" applyFont="1" applyBorder="1"/>
    <xf numFmtId="0" fontId="6" fillId="0" borderId="44" xfId="0" applyFont="1" applyBorder="1" applyAlignment="1">
      <alignment horizontal="center"/>
    </xf>
    <xf numFmtId="182" fontId="0" fillId="0" borderId="14" xfId="0" applyNumberFormat="1" applyBorder="1"/>
    <xf numFmtId="0" fontId="4" fillId="17" borderId="10" xfId="0" applyFont="1" applyFill="1" applyBorder="1"/>
    <xf numFmtId="172" fontId="86" fillId="0" borderId="0" xfId="0" applyNumberFormat="1" applyFont="1"/>
    <xf numFmtId="1" fontId="0" fillId="0" borderId="0" xfId="46" applyNumberFormat="1" applyFont="1" applyBorder="1"/>
    <xf numFmtId="172" fontId="13" fillId="0" borderId="0" xfId="47" applyNumberFormat="1" applyFont="1" applyBorder="1"/>
    <xf numFmtId="1" fontId="13" fillId="0" borderId="0" xfId="46" applyNumberFormat="1" applyFont="1" applyBorder="1"/>
    <xf numFmtId="1" fontId="13" fillId="0" borderId="0" xfId="47" applyNumberFormat="1" applyFont="1" applyBorder="1"/>
    <xf numFmtId="1" fontId="13" fillId="0" borderId="47" xfId="0" applyNumberFormat="1" applyFont="1" applyBorder="1"/>
    <xf numFmtId="0" fontId="30" fillId="3" borderId="57" xfId="0" applyFont="1" applyFill="1" applyBorder="1" applyAlignment="1">
      <alignment horizontal="left"/>
    </xf>
    <xf numFmtId="1" fontId="30" fillId="3" borderId="11" xfId="0" applyNumberFormat="1" applyFont="1" applyFill="1" applyBorder="1"/>
    <xf numFmtId="0" fontId="30" fillId="3" borderId="58" xfId="0" applyFont="1" applyFill="1" applyBorder="1"/>
    <xf numFmtId="0" fontId="30" fillId="3" borderId="28" xfId="0" applyFont="1" applyFill="1" applyBorder="1" applyAlignment="1">
      <alignment horizontal="left"/>
    </xf>
    <xf numFmtId="0" fontId="30" fillId="3" borderId="59" xfId="0" applyFont="1" applyFill="1" applyBorder="1"/>
    <xf numFmtId="1" fontId="30" fillId="3" borderId="14" xfId="0" applyNumberFormat="1" applyFont="1" applyFill="1" applyBorder="1"/>
    <xf numFmtId="0" fontId="30" fillId="3" borderId="60" xfId="0" applyFont="1" applyFill="1" applyBorder="1"/>
    <xf numFmtId="0" fontId="30" fillId="3" borderId="59" xfId="0" applyFont="1" applyFill="1" applyBorder="1" applyAlignment="1">
      <alignment horizontal="left"/>
    </xf>
    <xf numFmtId="171" fontId="0" fillId="0" borderId="0" xfId="46" applyNumberFormat="1" applyFont="1" applyAlignment="1">
      <alignment horizontal="right"/>
    </xf>
    <xf numFmtId="183" fontId="0" fillId="0" borderId="0" xfId="0" applyNumberFormat="1"/>
    <xf numFmtId="175" fontId="0" fillId="0" borderId="0" xfId="0" applyNumberFormat="1"/>
    <xf numFmtId="175" fontId="0" fillId="0" borderId="13" xfId="0" applyNumberFormat="1" applyBorder="1"/>
    <xf numFmtId="0" fontId="0" fillId="0" borderId="44" xfId="46" applyNumberFormat="1" applyFont="1" applyBorder="1"/>
    <xf numFmtId="0" fontId="0" fillId="0" borderId="47" xfId="0" applyBorder="1" applyAlignment="1">
      <alignment horizontal="left"/>
    </xf>
    <xf numFmtId="172" fontId="90" fillId="0" borderId="0" xfId="0" applyNumberFormat="1" applyFont="1"/>
    <xf numFmtId="43" fontId="0" fillId="0" borderId="0" xfId="0" applyNumberFormat="1" applyAlignment="1">
      <alignment horizontal="center"/>
    </xf>
    <xf numFmtId="0" fontId="4" fillId="0" borderId="53" xfId="0" applyFont="1" applyBorder="1" applyAlignment="1">
      <alignment horizontal="left"/>
    </xf>
    <xf numFmtId="1" fontId="13" fillId="0" borderId="6" xfId="0" applyNumberFormat="1" applyFont="1" applyBorder="1"/>
    <xf numFmtId="0" fontId="13" fillId="0" borderId="49" xfId="0" applyFont="1" applyBorder="1"/>
    <xf numFmtId="172" fontId="44" fillId="0" borderId="0" xfId="47" applyNumberFormat="1" applyFont="1" applyBorder="1"/>
    <xf numFmtId="44" fontId="0" fillId="0" borderId="0" xfId="47" applyFont="1" applyBorder="1" applyAlignment="1">
      <alignment horizontal="center"/>
    </xf>
    <xf numFmtId="173" fontId="44" fillId="0" borderId="0" xfId="22" applyNumberFormat="1" applyFont="1" applyBorder="1"/>
    <xf numFmtId="173" fontId="44" fillId="0" borderId="0" xfId="22" quotePrefix="1" applyNumberFormat="1" applyFont="1" applyBorder="1"/>
    <xf numFmtId="172" fontId="0" fillId="0" borderId="0" xfId="47" quotePrefix="1" applyNumberFormat="1" applyFont="1" applyBorder="1"/>
    <xf numFmtId="1" fontId="0" fillId="0" borderId="10" xfId="0" applyNumberFormat="1" applyBorder="1"/>
    <xf numFmtId="174" fontId="0" fillId="0" borderId="44" xfId="0" applyNumberFormat="1" applyBorder="1"/>
    <xf numFmtId="14" fontId="13" fillId="0" borderId="0" xfId="0" applyNumberFormat="1" applyFont="1"/>
    <xf numFmtId="0" fontId="4" fillId="0" borderId="2" xfId="0" applyFont="1" applyBorder="1"/>
    <xf numFmtId="0" fontId="13" fillId="2" borderId="1" xfId="0" applyFont="1" applyFill="1" applyBorder="1" applyAlignment="1">
      <alignment horizontal="left"/>
    </xf>
    <xf numFmtId="0" fontId="0" fillId="8" borderId="0" xfId="0" applyFill="1" applyAlignment="1">
      <alignment horizontal="center"/>
    </xf>
    <xf numFmtId="0" fontId="0" fillId="8" borderId="0" xfId="0" applyFill="1"/>
    <xf numFmtId="0" fontId="59" fillId="54" borderId="12" xfId="0" applyFont="1" applyFill="1" applyBorder="1" applyAlignment="1">
      <alignment wrapText="1"/>
    </xf>
    <xf numFmtId="0" fontId="4" fillId="25" borderId="0" xfId="0" applyFont="1" applyFill="1"/>
    <xf numFmtId="0" fontId="4" fillId="25" borderId="47" xfId="0" applyFont="1" applyFill="1" applyBorder="1"/>
    <xf numFmtId="0" fontId="4" fillId="25" borderId="10" xfId="0" applyFont="1" applyFill="1" applyBorder="1"/>
    <xf numFmtId="0" fontId="4" fillId="25" borderId="12" xfId="0" applyFont="1" applyFill="1" applyBorder="1"/>
    <xf numFmtId="0" fontId="4" fillId="25" borderId="44" xfId="0" applyFont="1" applyFill="1" applyBorder="1"/>
    <xf numFmtId="0" fontId="4" fillId="25" borderId="15" xfId="0" applyFont="1" applyFill="1" applyBorder="1"/>
    <xf numFmtId="0" fontId="4" fillId="10" borderId="10" xfId="0" applyFont="1" applyFill="1" applyBorder="1"/>
    <xf numFmtId="0" fontId="4" fillId="10" borderId="12" xfId="0" applyFont="1" applyFill="1" applyBorder="1"/>
    <xf numFmtId="0" fontId="4" fillId="10" borderId="44" xfId="0" applyFont="1" applyFill="1" applyBorder="1"/>
    <xf numFmtId="0" fontId="4" fillId="10" borderId="47" xfId="0" applyFont="1" applyFill="1" applyBorder="1"/>
    <xf numFmtId="171" fontId="0" fillId="0" borderId="48" xfId="0" applyNumberFormat="1" applyBorder="1" applyAlignment="1">
      <alignment horizontal="center"/>
    </xf>
    <xf numFmtId="0" fontId="4" fillId="10" borderId="13" xfId="0" applyFont="1" applyFill="1" applyBorder="1"/>
    <xf numFmtId="0" fontId="4" fillId="10" borderId="15" xfId="0" applyFont="1" applyFill="1" applyBorder="1"/>
    <xf numFmtId="0" fontId="4" fillId="10" borderId="0" xfId="0" applyFont="1" applyFill="1"/>
    <xf numFmtId="0" fontId="4" fillId="10" borderId="14" xfId="0" applyFont="1" applyFill="1" applyBorder="1"/>
    <xf numFmtId="0" fontId="4" fillId="5" borderId="0" xfId="0" applyFont="1" applyFill="1"/>
    <xf numFmtId="0" fontId="4" fillId="5" borderId="47" xfId="0" applyFont="1" applyFill="1" applyBorder="1"/>
    <xf numFmtId="0" fontId="4" fillId="5" borderId="14" xfId="0" applyFont="1" applyFill="1" applyBorder="1"/>
    <xf numFmtId="0" fontId="4" fillId="5" borderId="15" xfId="0" applyFont="1" applyFill="1" applyBorder="1"/>
    <xf numFmtId="171" fontId="13" fillId="0" borderId="48" xfId="46" applyNumberFormat="1" applyFont="1" applyFill="1" applyBorder="1" applyAlignment="1">
      <alignment horizontal="center"/>
    </xf>
    <xf numFmtId="0" fontId="4" fillId="10" borderId="84" xfId="0" applyFont="1" applyFill="1" applyBorder="1"/>
    <xf numFmtId="0" fontId="4" fillId="10" borderId="85" xfId="0" applyFont="1" applyFill="1" applyBorder="1"/>
    <xf numFmtId="0" fontId="4" fillId="57" borderId="44" xfId="0" applyFont="1" applyFill="1" applyBorder="1"/>
    <xf numFmtId="172" fontId="13" fillId="0" borderId="48" xfId="47" applyNumberFormat="1" applyFont="1" applyFill="1" applyBorder="1" applyAlignment="1">
      <alignment horizontal="center"/>
    </xf>
    <xf numFmtId="0" fontId="4" fillId="57" borderId="13" xfId="0" applyFont="1" applyFill="1" applyBorder="1"/>
    <xf numFmtId="0" fontId="4" fillId="58" borderId="0" xfId="0" applyFont="1" applyFill="1"/>
    <xf numFmtId="0" fontId="4" fillId="58" borderId="47" xfId="0" applyFont="1" applyFill="1" applyBorder="1"/>
    <xf numFmtId="0" fontId="4" fillId="0" borderId="0" xfId="46" applyNumberFormat="1" applyFont="1" applyFill="1" applyAlignment="1">
      <alignment vertical="top"/>
    </xf>
    <xf numFmtId="0" fontId="59" fillId="8" borderId="12" xfId="0" applyFont="1" applyFill="1" applyBorder="1" applyAlignment="1">
      <alignment wrapText="1"/>
    </xf>
    <xf numFmtId="0" fontId="0" fillId="35" borderId="0" xfId="0" applyFill="1"/>
    <xf numFmtId="0" fontId="4" fillId="0" borderId="44" xfId="0" applyFont="1" applyBorder="1" applyAlignment="1">
      <alignment horizontal="right"/>
    </xf>
    <xf numFmtId="0" fontId="0" fillId="0" borderId="13" xfId="0" applyBorder="1" applyAlignment="1">
      <alignment horizontal="right"/>
    </xf>
    <xf numFmtId="0" fontId="13" fillId="0" borderId="44" xfId="0" applyFont="1" applyBorder="1" applyAlignment="1">
      <alignment horizontal="left"/>
    </xf>
    <xf numFmtId="0" fontId="13" fillId="0" borderId="10" xfId="0" applyFont="1" applyBorder="1" applyAlignment="1">
      <alignment horizontal="left"/>
    </xf>
    <xf numFmtId="172" fontId="13" fillId="0" borderId="11" xfId="0" applyNumberFormat="1" applyFont="1" applyBorder="1" applyAlignment="1">
      <alignment horizontal="center"/>
    </xf>
    <xf numFmtId="0" fontId="0" fillId="0" borderId="12" xfId="11" applyFont="1" applyBorder="1"/>
    <xf numFmtId="0" fontId="0" fillId="0" borderId="47" xfId="11" applyFont="1" applyBorder="1"/>
    <xf numFmtId="171" fontId="0" fillId="0" borderId="2" xfId="0" applyNumberFormat="1" applyBorder="1" applyAlignment="1">
      <alignment horizontal="center"/>
    </xf>
    <xf numFmtId="0" fontId="4" fillId="57" borderId="0" xfId="0" applyFont="1" applyFill="1"/>
    <xf numFmtId="0" fontId="4" fillId="57" borderId="14" xfId="0" applyFont="1" applyFill="1" applyBorder="1"/>
    <xf numFmtId="6" fontId="13" fillId="0" borderId="47" xfId="47" applyNumberFormat="1" applyFont="1" applyFill="1" applyBorder="1" applyAlignment="1"/>
    <xf numFmtId="6" fontId="13" fillId="8" borderId="0" xfId="47" applyNumberFormat="1" applyFont="1" applyFill="1" applyBorder="1" applyAlignment="1"/>
    <xf numFmtId="6" fontId="13" fillId="0" borderId="2" xfId="47" applyNumberFormat="1" applyFont="1" applyFill="1" applyBorder="1" applyAlignment="1"/>
    <xf numFmtId="6" fontId="13" fillId="0" borderId="10" xfId="47" applyNumberFormat="1" applyFont="1" applyFill="1" applyBorder="1" applyAlignment="1"/>
    <xf numFmtId="6" fontId="13" fillId="8" borderId="11" xfId="47" applyNumberFormat="1" applyFont="1" applyFill="1" applyBorder="1" applyAlignment="1"/>
    <xf numFmtId="6" fontId="13" fillId="0" borderId="48" xfId="47" applyNumberFormat="1" applyFont="1" applyFill="1" applyBorder="1" applyAlignment="1"/>
    <xf numFmtId="6" fontId="13" fillId="0" borderId="44" xfId="47" applyNumberFormat="1" applyFont="1" applyFill="1" applyBorder="1" applyAlignment="1"/>
    <xf numFmtId="184" fontId="13" fillId="0" borderId="47" xfId="47" applyNumberFormat="1" applyFont="1" applyFill="1" applyBorder="1" applyAlignment="1"/>
    <xf numFmtId="171" fontId="0" fillId="0" borderId="10" xfId="46" applyNumberFormat="1" applyFont="1" applyBorder="1" applyAlignment="1"/>
    <xf numFmtId="171" fontId="0" fillId="0" borderId="2" xfId="46" applyNumberFormat="1" applyFont="1" applyBorder="1" applyAlignment="1"/>
    <xf numFmtId="171" fontId="0" fillId="8" borderId="11" xfId="46" applyNumberFormat="1" applyFont="1" applyFill="1" applyBorder="1" applyAlignment="1"/>
    <xf numFmtId="171" fontId="0" fillId="0" borderId="48" xfId="0" applyNumberFormat="1" applyBorder="1"/>
    <xf numFmtId="171" fontId="0" fillId="8" borderId="0" xfId="0" applyNumberFormat="1" applyFill="1"/>
    <xf numFmtId="171" fontId="0" fillId="0" borderId="13" xfId="0" applyNumberFormat="1" applyBorder="1"/>
    <xf numFmtId="171" fontId="0" fillId="0" borderId="4" xfId="0" applyNumberFormat="1" applyBorder="1"/>
    <xf numFmtId="171" fontId="0" fillId="8" borderId="14" xfId="0" applyNumberFormat="1" applyFill="1" applyBorder="1"/>
    <xf numFmtId="171" fontId="0" fillId="0" borderId="47" xfId="46" applyNumberFormat="1" applyFont="1" applyBorder="1" applyAlignment="1"/>
    <xf numFmtId="0" fontId="0" fillId="0" borderId="2" xfId="0" applyBorder="1"/>
    <xf numFmtId="1" fontId="0" fillId="0" borderId="48" xfId="46" applyNumberFormat="1" applyFont="1" applyBorder="1" applyAlignment="1">
      <alignment horizontal="center"/>
    </xf>
    <xf numFmtId="1" fontId="13" fillId="0" borderId="48" xfId="46" applyNumberFormat="1" applyFont="1" applyFill="1" applyBorder="1" applyAlignment="1">
      <alignment horizontal="center"/>
    </xf>
    <xf numFmtId="3" fontId="13" fillId="0" borderId="48" xfId="46" applyNumberFormat="1" applyFont="1" applyFill="1" applyBorder="1" applyAlignment="1">
      <alignment horizontal="center"/>
    </xf>
    <xf numFmtId="0" fontId="0" fillId="8" borderId="14" xfId="0" applyFill="1" applyBorder="1" applyAlignment="1">
      <alignment horizontal="center"/>
    </xf>
    <xf numFmtId="171" fontId="0" fillId="8" borderId="0" xfId="46" quotePrefix="1" applyNumberFormat="1" applyFont="1" applyFill="1" applyBorder="1" applyAlignment="1">
      <alignment horizontal="center"/>
    </xf>
    <xf numFmtId="3" fontId="13" fillId="0" borderId="12" xfId="46" applyNumberFormat="1" applyFont="1" applyFill="1" applyBorder="1" applyAlignment="1">
      <alignment horizontal="center"/>
    </xf>
    <xf numFmtId="3" fontId="13" fillId="0" borderId="47" xfId="46" applyNumberFormat="1" applyFont="1" applyFill="1" applyBorder="1" applyAlignment="1">
      <alignment horizontal="center"/>
    </xf>
    <xf numFmtId="3" fontId="0" fillId="0" borderId="47" xfId="0" applyNumberFormat="1" applyBorder="1" applyAlignment="1">
      <alignment horizontal="center"/>
    </xf>
    <xf numFmtId="3" fontId="0" fillId="0" borderId="48" xfId="0" applyNumberFormat="1" applyBorder="1" applyAlignment="1">
      <alignment horizontal="center"/>
    </xf>
    <xf numFmtId="172" fontId="13" fillId="0" borderId="4" xfId="47" applyNumberFormat="1" applyFont="1" applyFill="1" applyBorder="1" applyAlignment="1">
      <alignment horizontal="center"/>
    </xf>
    <xf numFmtId="3" fontId="0" fillId="0" borderId="47" xfId="46" quotePrefix="1" applyNumberFormat="1" applyFont="1" applyBorder="1" applyAlignment="1">
      <alignment horizontal="center"/>
    </xf>
    <xf numFmtId="172" fontId="0" fillId="0" borderId="47" xfId="47" quotePrefix="1" applyNumberFormat="1" applyFont="1" applyBorder="1" applyAlignment="1">
      <alignment horizontal="center"/>
    </xf>
    <xf numFmtId="172" fontId="0" fillId="0" borderId="15" xfId="47" quotePrefix="1" applyNumberFormat="1" applyFont="1" applyBorder="1" applyAlignment="1">
      <alignment horizontal="center"/>
    </xf>
    <xf numFmtId="0" fontId="4" fillId="0" borderId="2" xfId="0" applyFont="1" applyBorder="1" applyAlignment="1">
      <alignment horizontal="left" vertical="top"/>
    </xf>
    <xf numFmtId="0" fontId="4" fillId="59" borderId="1" xfId="0" applyFont="1" applyFill="1" applyBorder="1" applyAlignment="1">
      <alignment horizontal="left" vertical="top"/>
    </xf>
    <xf numFmtId="0" fontId="0" fillId="59" borderId="6" xfId="0" applyFill="1" applyBorder="1"/>
    <xf numFmtId="0" fontId="0" fillId="59" borderId="1" xfId="0" applyFill="1" applyBorder="1" applyAlignment="1">
      <alignment horizontal="center"/>
    </xf>
    <xf numFmtId="0" fontId="0" fillId="59" borderId="1" xfId="0" applyFill="1" applyBorder="1"/>
    <xf numFmtId="164" fontId="0" fillId="59" borderId="1" xfId="0" applyNumberFormat="1" applyFill="1" applyBorder="1" applyAlignment="1">
      <alignment horizontal="center"/>
    </xf>
    <xf numFmtId="0" fontId="4" fillId="0" borderId="0" xfId="0" applyFont="1" applyAlignment="1">
      <alignment vertical="top" wrapText="1"/>
    </xf>
    <xf numFmtId="0" fontId="68" fillId="22" borderId="1" xfId="0" applyFont="1" applyFill="1" applyBorder="1" applyAlignment="1">
      <alignment horizontal="center" wrapText="1"/>
    </xf>
    <xf numFmtId="0" fontId="30" fillId="24" borderId="1" xfId="0" applyFont="1" applyFill="1" applyBorder="1" applyAlignment="1">
      <alignment horizontal="center" wrapText="1"/>
    </xf>
    <xf numFmtId="0" fontId="30" fillId="60" borderId="1" xfId="0" applyFont="1" applyFill="1" applyBorder="1" applyAlignment="1">
      <alignment horizontal="center" wrapText="1"/>
    </xf>
    <xf numFmtId="0" fontId="30" fillId="22" borderId="1" xfId="0" applyFont="1" applyFill="1" applyBorder="1" applyAlignment="1">
      <alignment horizontal="center" wrapText="1"/>
    </xf>
    <xf numFmtId="1" fontId="5" fillId="4" borderId="0" xfId="0" applyNumberFormat="1" applyFont="1" applyFill="1" applyAlignment="1">
      <alignment horizontal="center"/>
    </xf>
    <xf numFmtId="0" fontId="68" fillId="0" borderId="0" xfId="0" applyFont="1" applyAlignment="1">
      <alignment horizontal="center" vertical="center" wrapText="1"/>
    </xf>
    <xf numFmtId="0" fontId="30" fillId="0" borderId="0" xfId="0" applyFont="1" applyAlignment="1">
      <alignment horizontal="center" vertical="center" wrapText="1"/>
    </xf>
    <xf numFmtId="2" fontId="4" fillId="4" borderId="0" xfId="0" applyNumberFormat="1" applyFont="1" applyFill="1" applyAlignment="1">
      <alignment horizontal="center"/>
    </xf>
    <xf numFmtId="0" fontId="4" fillId="49" borderId="0" xfId="0" applyFont="1" applyFill="1"/>
    <xf numFmtId="0" fontId="0" fillId="49" borderId="1" xfId="0" applyFill="1" applyBorder="1" applyAlignment="1">
      <alignment horizontal="center"/>
    </xf>
    <xf numFmtId="0" fontId="30" fillId="49" borderId="1" xfId="0" applyFont="1" applyFill="1" applyBorder="1" applyAlignment="1">
      <alignment horizontal="center"/>
    </xf>
    <xf numFmtId="0" fontId="68" fillId="24" borderId="1" xfId="0" applyFont="1" applyFill="1" applyBorder="1" applyAlignment="1">
      <alignment horizontal="center" vertical="center" wrapText="1"/>
    </xf>
    <xf numFmtId="0" fontId="68" fillId="28" borderId="1" xfId="0" applyFont="1" applyFill="1" applyBorder="1" applyAlignment="1">
      <alignment horizontal="center" vertical="center" wrapText="1"/>
    </xf>
    <xf numFmtId="0" fontId="30" fillId="28" borderId="1" xfId="0" applyFont="1" applyFill="1" applyBorder="1" applyAlignment="1">
      <alignment horizontal="center" wrapText="1"/>
    </xf>
    <xf numFmtId="0" fontId="68" fillId="60" borderId="1" xfId="0" applyFont="1" applyFill="1" applyBorder="1" applyAlignment="1">
      <alignment horizontal="center" vertical="center" wrapText="1"/>
    </xf>
    <xf numFmtId="0" fontId="68" fillId="60" borderId="0" xfId="0" applyFont="1" applyFill="1" applyAlignment="1">
      <alignment horizontal="center" vertical="center" wrapText="1"/>
    </xf>
    <xf numFmtId="0" fontId="68" fillId="22" borderId="1" xfId="0" applyFont="1" applyFill="1" applyBorder="1" applyAlignment="1">
      <alignment horizontal="center" vertical="center" wrapText="1"/>
    </xf>
    <xf numFmtId="0" fontId="13" fillId="24" borderId="1" xfId="0" applyFont="1" applyFill="1" applyBorder="1" applyAlignment="1">
      <alignment horizontal="center" vertical="center" wrapText="1"/>
    </xf>
    <xf numFmtId="0" fontId="13" fillId="28" borderId="1" xfId="0" applyFont="1" applyFill="1" applyBorder="1" applyAlignment="1">
      <alignment horizontal="center" vertical="center" wrapText="1"/>
    </xf>
    <xf numFmtId="0" fontId="68" fillId="13"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center"/>
    </xf>
    <xf numFmtId="0" fontId="0" fillId="13" borderId="1" xfId="0" applyFill="1" applyBorder="1"/>
    <xf numFmtId="1" fontId="0" fillId="0" borderId="0" xfId="0" applyNumberFormat="1" applyAlignment="1">
      <alignment horizontal="center" vertical="center"/>
    </xf>
    <xf numFmtId="2" fontId="4" fillId="14" borderId="1" xfId="0" applyNumberFormat="1" applyFont="1" applyFill="1" applyBorder="1" applyAlignment="1">
      <alignment horizontal="center"/>
    </xf>
    <xf numFmtId="0" fontId="78" fillId="62" borderId="0" xfId="0" applyFont="1" applyFill="1"/>
    <xf numFmtId="0" fontId="93" fillId="62" borderId="0" xfId="0" applyFont="1" applyFill="1" applyAlignment="1">
      <alignment wrapText="1"/>
    </xf>
    <xf numFmtId="0" fontId="88" fillId="62" borderId="0" xfId="4" applyFont="1" applyFill="1" applyBorder="1" applyAlignment="1" applyProtection="1">
      <alignment vertical="center" wrapText="1"/>
    </xf>
    <xf numFmtId="0" fontId="0" fillId="62" borderId="0" xfId="0" applyFill="1"/>
    <xf numFmtId="0" fontId="60" fillId="62" borderId="0" xfId="0" applyFont="1" applyFill="1" applyAlignment="1">
      <alignment wrapText="1"/>
    </xf>
    <xf numFmtId="0" fontId="59" fillId="62" borderId="0" xfId="0" applyFont="1" applyFill="1"/>
    <xf numFmtId="0" fontId="59" fillId="65" borderId="0" xfId="0" applyFont="1" applyFill="1"/>
    <xf numFmtId="0" fontId="0" fillId="65" borderId="0" xfId="0" applyFill="1"/>
    <xf numFmtId="0" fontId="59" fillId="67" borderId="0" xfId="0" applyFont="1" applyFill="1" applyAlignment="1">
      <alignment horizontal="left"/>
    </xf>
    <xf numFmtId="0" fontId="59" fillId="67" borderId="0" xfId="0" applyFont="1" applyFill="1"/>
    <xf numFmtId="0" fontId="0" fillId="67" borderId="0" xfId="0" applyFill="1"/>
    <xf numFmtId="0" fontId="82" fillId="67" borderId="0" xfId="9" applyFont="1" applyFill="1" applyBorder="1" applyAlignment="1" applyProtection="1">
      <alignment vertical="center" wrapText="1"/>
    </xf>
    <xf numFmtId="0" fontId="13" fillId="68" borderId="0" xfId="0" applyFont="1" applyFill="1"/>
    <xf numFmtId="0" fontId="0" fillId="68" borderId="0" xfId="0" applyFill="1"/>
    <xf numFmtId="0" fontId="82" fillId="68" borderId="0" xfId="9" applyFont="1" applyFill="1" applyBorder="1" applyAlignment="1" applyProtection="1">
      <alignment vertical="center" wrapText="1"/>
    </xf>
    <xf numFmtId="0" fontId="59" fillId="69" borderId="0" xfId="0" applyFont="1" applyFill="1"/>
    <xf numFmtId="0" fontId="0" fillId="69" borderId="0" xfId="0" applyFill="1"/>
    <xf numFmtId="0" fontId="13" fillId="70" borderId="0" xfId="0" applyFont="1" applyFill="1"/>
    <xf numFmtId="0" fontId="0" fillId="70" borderId="0" xfId="0" applyFill="1"/>
    <xf numFmtId="0" fontId="59" fillId="70" borderId="0" xfId="0" applyFont="1" applyFill="1"/>
    <xf numFmtId="0" fontId="13" fillId="66" borderId="0" xfId="0" applyFont="1" applyFill="1"/>
    <xf numFmtId="0" fontId="0" fillId="66" borderId="0" xfId="0" applyFill="1"/>
    <xf numFmtId="0" fontId="59" fillId="66" borderId="0" xfId="0" applyFont="1" applyFill="1"/>
    <xf numFmtId="0" fontId="13" fillId="63" borderId="0" xfId="0" applyFont="1" applyFill="1"/>
    <xf numFmtId="0" fontId="0" fillId="63" borderId="0" xfId="0" applyFill="1"/>
    <xf numFmtId="0" fontId="59" fillId="63" borderId="0" xfId="0" applyFont="1" applyFill="1"/>
    <xf numFmtId="0" fontId="13" fillId="64" borderId="0" xfId="0" applyFont="1" applyFill="1"/>
    <xf numFmtId="0" fontId="0" fillId="64" borderId="0" xfId="0" applyFill="1"/>
    <xf numFmtId="0" fontId="13" fillId="50" borderId="0" xfId="0" applyFont="1" applyFill="1"/>
    <xf numFmtId="0" fontId="82" fillId="50" borderId="0" xfId="9" applyFont="1" applyFill="1" applyBorder="1" applyAlignment="1" applyProtection="1">
      <alignment vertical="center" wrapText="1"/>
    </xf>
    <xf numFmtId="0" fontId="13" fillId="39" borderId="0" xfId="0" applyFont="1" applyFill="1"/>
    <xf numFmtId="0" fontId="82" fillId="39" borderId="0" xfId="9" applyFont="1" applyFill="1" applyBorder="1" applyAlignment="1" applyProtection="1">
      <alignment vertical="center" wrapText="1"/>
    </xf>
    <xf numFmtId="0" fontId="13" fillId="55" borderId="0" xfId="0" applyFont="1" applyFill="1"/>
    <xf numFmtId="0" fontId="0" fillId="55" borderId="0" xfId="0" applyFill="1"/>
    <xf numFmtId="0" fontId="82" fillId="55" borderId="0" xfId="9" applyFont="1" applyFill="1" applyBorder="1" applyAlignment="1" applyProtection="1">
      <alignment vertical="center" wrapText="1"/>
    </xf>
    <xf numFmtId="0" fontId="78" fillId="2" borderId="0" xfId="0" applyFont="1" applyFill="1"/>
    <xf numFmtId="0" fontId="0" fillId="2" borderId="53" xfId="0" applyFill="1" applyBorder="1"/>
    <xf numFmtId="0" fontId="0" fillId="2" borderId="55" xfId="0" applyFill="1" applyBorder="1"/>
    <xf numFmtId="0" fontId="0" fillId="2" borderId="56" xfId="0" applyFill="1" applyBorder="1"/>
    <xf numFmtId="0" fontId="0" fillId="2" borderId="28" xfId="0" applyFill="1" applyBorder="1"/>
    <xf numFmtId="0" fontId="0" fillId="2" borderId="41" xfId="0" applyFill="1" applyBorder="1"/>
    <xf numFmtId="0" fontId="0" fillId="2" borderId="54" xfId="0" applyFill="1" applyBorder="1"/>
    <xf numFmtId="0" fontId="0" fillId="2" borderId="61" xfId="0" applyFill="1" applyBorder="1"/>
    <xf numFmtId="0" fontId="0" fillId="2" borderId="42" xfId="0" applyFill="1" applyBorder="1"/>
    <xf numFmtId="0" fontId="58" fillId="2" borderId="0" xfId="0" applyFont="1" applyFill="1"/>
    <xf numFmtId="0" fontId="62" fillId="2" borderId="55" xfId="0" applyFont="1" applyFill="1" applyBorder="1" applyAlignment="1">
      <alignment wrapText="1"/>
    </xf>
    <xf numFmtId="0" fontId="61" fillId="2" borderId="28" xfId="0" applyFont="1" applyFill="1" applyBorder="1" applyAlignment="1">
      <alignment vertical="center"/>
    </xf>
    <xf numFmtId="0" fontId="58" fillId="2" borderId="0" xfId="3" applyFont="1" applyFill="1" applyBorder="1" applyAlignment="1">
      <alignment horizontal="center" vertical="center"/>
    </xf>
    <xf numFmtId="44" fontId="58" fillId="2" borderId="0" xfId="3" applyNumberFormat="1" applyFont="1" applyFill="1" applyBorder="1" applyAlignment="1">
      <alignment horizontal="center" vertical="center"/>
    </xf>
    <xf numFmtId="0" fontId="0" fillId="2" borderId="0" xfId="0" applyFill="1" applyAlignment="1">
      <alignment horizontal="center" vertical="center"/>
    </xf>
    <xf numFmtId="0" fontId="0" fillId="24" borderId="0" xfId="0" applyFill="1"/>
    <xf numFmtId="0" fontId="0" fillId="5" borderId="0" xfId="0" applyFill="1"/>
    <xf numFmtId="9" fontId="0" fillId="38" borderId="0" xfId="22" applyFont="1" applyFill="1"/>
    <xf numFmtId="0" fontId="0" fillId="43" borderId="0" xfId="0" applyFill="1"/>
    <xf numFmtId="0" fontId="0" fillId="16" borderId="53" xfId="0" applyFill="1" applyBorder="1"/>
    <xf numFmtId="0" fontId="0" fillId="16" borderId="56" xfId="0" applyFill="1" applyBorder="1"/>
    <xf numFmtId="0" fontId="0" fillId="16" borderId="28" xfId="0" applyFill="1" applyBorder="1"/>
    <xf numFmtId="0" fontId="0" fillId="16" borderId="41" xfId="0" applyFill="1" applyBorder="1"/>
    <xf numFmtId="0" fontId="54" fillId="2" borderId="0" xfId="0" applyFont="1" applyFill="1" applyAlignment="1">
      <alignment vertical="center" wrapText="1"/>
    </xf>
    <xf numFmtId="0" fontId="0" fillId="16" borderId="54" xfId="0" applyFill="1" applyBorder="1"/>
    <xf numFmtId="0" fontId="0" fillId="16" borderId="42" xfId="0" applyFill="1" applyBorder="1"/>
    <xf numFmtId="0" fontId="93" fillId="62" borderId="0" xfId="0" applyFont="1" applyFill="1" applyAlignment="1">
      <alignment vertical="center" wrapText="1"/>
    </xf>
    <xf numFmtId="0" fontId="4" fillId="2" borderId="0" xfId="3" applyNumberFormat="1" applyFont="1" applyFill="1" applyBorder="1" applyAlignment="1">
      <alignment horizontal="center" vertical="center" wrapText="1"/>
    </xf>
    <xf numFmtId="2" fontId="4" fillId="2" borderId="0" xfId="3" applyNumberFormat="1" applyFont="1" applyFill="1" applyBorder="1" applyAlignment="1">
      <alignment horizontal="center" vertical="center" wrapText="1"/>
    </xf>
    <xf numFmtId="9" fontId="4" fillId="0" borderId="0" xfId="0" applyNumberFormat="1" applyFont="1" applyAlignment="1">
      <alignment horizontal="center"/>
    </xf>
    <xf numFmtId="9" fontId="6" fillId="0" borderId="0" xfId="0" applyNumberFormat="1" applyFont="1"/>
    <xf numFmtId="0" fontId="0" fillId="36" borderId="0" xfId="11" applyFont="1" applyFill="1"/>
    <xf numFmtId="164" fontId="0" fillId="36" borderId="0" xfId="11" applyNumberFormat="1" applyFont="1" applyFill="1"/>
    <xf numFmtId="0" fontId="0" fillId="36" borderId="14" xfId="11" applyFont="1" applyFill="1" applyBorder="1"/>
    <xf numFmtId="164" fontId="0" fillId="36" borderId="14" xfId="11" applyNumberFormat="1" applyFont="1" applyFill="1" applyBorder="1"/>
    <xf numFmtId="1" fontId="0" fillId="36" borderId="0" xfId="11" applyNumberFormat="1" applyFont="1" applyFill="1"/>
    <xf numFmtId="0" fontId="83" fillId="2" borderId="0" xfId="3" applyFont="1" applyFill="1" applyBorder="1" applyAlignment="1">
      <alignment horizontal="center" vertical="center" wrapText="1"/>
    </xf>
    <xf numFmtId="0" fontId="0" fillId="38" borderId="1" xfId="0" applyFill="1" applyBorder="1"/>
    <xf numFmtId="0" fontId="4" fillId="38" borderId="48" xfId="0" applyFont="1" applyFill="1" applyBorder="1"/>
    <xf numFmtId="0" fontId="59" fillId="62" borderId="0" xfId="0" applyFont="1" applyFill="1" applyAlignment="1">
      <alignment vertical="center" wrapText="1"/>
    </xf>
    <xf numFmtId="0" fontId="62" fillId="62" borderId="0" xfId="0" applyFont="1" applyFill="1" applyAlignment="1">
      <alignment vertical="center" wrapText="1"/>
    </xf>
    <xf numFmtId="0" fontId="72" fillId="2" borderId="53" xfId="0" applyFont="1" applyFill="1" applyBorder="1"/>
    <xf numFmtId="0" fontId="72" fillId="2" borderId="55" xfId="0" applyFont="1" applyFill="1" applyBorder="1"/>
    <xf numFmtId="0" fontId="59" fillId="2" borderId="0" xfId="0" applyFont="1" applyFill="1"/>
    <xf numFmtId="0" fontId="53" fillId="2" borderId="0" xfId="0" applyFont="1" applyFill="1"/>
    <xf numFmtId="0" fontId="73" fillId="2" borderId="0" xfId="0" applyFont="1" applyFill="1"/>
    <xf numFmtId="0" fontId="13" fillId="2" borderId="0" xfId="0" applyFont="1" applyFill="1"/>
    <xf numFmtId="0" fontId="75" fillId="2" borderId="28" xfId="0" applyFont="1" applyFill="1" applyBorder="1" applyAlignment="1">
      <alignment horizontal="center"/>
    </xf>
    <xf numFmtId="0" fontId="13" fillId="2" borderId="28" xfId="0" applyFont="1" applyFill="1" applyBorder="1"/>
    <xf numFmtId="0" fontId="86" fillId="2" borderId="54" xfId="0" applyFont="1" applyFill="1" applyBorder="1" applyAlignment="1">
      <alignment wrapText="1"/>
    </xf>
    <xf numFmtId="0" fontId="86" fillId="2" borderId="0" xfId="0" applyFont="1" applyFill="1"/>
    <xf numFmtId="0" fontId="13" fillId="2" borderId="41" xfId="0" applyFont="1" applyFill="1" applyBorder="1"/>
    <xf numFmtId="0" fontId="13" fillId="2" borderId="0" xfId="0" quotePrefix="1" applyFont="1" applyFill="1"/>
    <xf numFmtId="0" fontId="86" fillId="2" borderId="61" xfId="0" applyFont="1" applyFill="1" applyBorder="1" applyAlignment="1">
      <alignment wrapText="1"/>
    </xf>
    <xf numFmtId="0" fontId="13" fillId="2" borderId="61" xfId="0" applyFont="1" applyFill="1" applyBorder="1"/>
    <xf numFmtId="0" fontId="86" fillId="2" borderId="61" xfId="0" applyFont="1" applyFill="1" applyBorder="1"/>
    <xf numFmtId="0" fontId="13" fillId="2" borderId="42" xfId="0" applyFont="1" applyFill="1" applyBorder="1"/>
    <xf numFmtId="0" fontId="100" fillId="2" borderId="0" xfId="0" applyFont="1" applyFill="1" applyAlignment="1">
      <alignment horizontal="center"/>
    </xf>
    <xf numFmtId="0" fontId="4" fillId="0" borderId="48" xfId="0" applyFont="1" applyBorder="1" applyAlignment="1">
      <alignment horizontal="center"/>
    </xf>
    <xf numFmtId="0" fontId="0" fillId="34" borderId="1" xfId="0" applyFill="1" applyBorder="1"/>
    <xf numFmtId="2" fontId="0" fillId="34" borderId="1" xfId="0" applyNumberFormat="1" applyFill="1" applyBorder="1" applyAlignment="1">
      <alignment horizontal="center"/>
    </xf>
    <xf numFmtId="14" fontId="0" fillId="4" borderId="0" xfId="0" applyNumberFormat="1" applyFill="1"/>
    <xf numFmtId="0" fontId="0" fillId="4" borderId="53" xfId="0" applyFill="1" applyBorder="1"/>
    <xf numFmtId="0" fontId="0" fillId="4" borderId="55" xfId="0" applyFill="1" applyBorder="1"/>
    <xf numFmtId="0" fontId="0" fillId="4" borderId="56" xfId="0" applyFill="1" applyBorder="1"/>
    <xf numFmtId="14" fontId="0" fillId="4" borderId="0" xfId="0" applyNumberFormat="1" applyFill="1" applyAlignment="1">
      <alignment horizontal="left"/>
    </xf>
    <xf numFmtId="0" fontId="0" fillId="4" borderId="30" xfId="0" applyFill="1" applyBorder="1"/>
    <xf numFmtId="0" fontId="0" fillId="4" borderId="23" xfId="0" applyFill="1" applyBorder="1"/>
    <xf numFmtId="0" fontId="0" fillId="4" borderId="23" xfId="0" applyFill="1" applyBorder="1" applyAlignment="1">
      <alignment horizontal="left" vertical="center"/>
    </xf>
    <xf numFmtId="0" fontId="0" fillId="4" borderId="24" xfId="0" applyFill="1" applyBorder="1"/>
    <xf numFmtId="0" fontId="0" fillId="8" borderId="1" xfId="0" applyFill="1" applyBorder="1"/>
    <xf numFmtId="0" fontId="0" fillId="8" borderId="16" xfId="0" applyFill="1" applyBorder="1"/>
    <xf numFmtId="0" fontId="0" fillId="4" borderId="55" xfId="0" applyFill="1" applyBorder="1" applyAlignment="1">
      <alignment horizontal="left"/>
    </xf>
    <xf numFmtId="0" fontId="0" fillId="34" borderId="0" xfId="0" applyFill="1"/>
    <xf numFmtId="0" fontId="103" fillId="2" borderId="0" xfId="3" applyFont="1" applyFill="1" applyBorder="1" applyAlignment="1">
      <alignment horizontal="left" vertical="center"/>
    </xf>
    <xf numFmtId="0" fontId="0" fillId="4" borderId="80" xfId="0" applyFill="1" applyBorder="1"/>
    <xf numFmtId="164" fontId="0" fillId="0" borderId="6" xfId="0" applyNumberFormat="1" applyBorder="1" applyAlignment="1">
      <alignment horizontal="center"/>
    </xf>
    <xf numFmtId="164" fontId="0" fillId="0" borderId="43" xfId="0" applyNumberFormat="1" applyBorder="1" applyAlignment="1">
      <alignment horizontal="center"/>
    </xf>
    <xf numFmtId="185" fontId="4" fillId="0" borderId="1" xfId="0" applyNumberFormat="1" applyFont="1" applyBorder="1" applyAlignment="1">
      <alignment horizontal="center"/>
    </xf>
    <xf numFmtId="186" fontId="4" fillId="0" borderId="1" xfId="0" applyNumberFormat="1" applyFont="1" applyBorder="1" applyAlignment="1">
      <alignment horizontal="center"/>
    </xf>
    <xf numFmtId="0" fontId="0" fillId="61" borderId="1" xfId="0" applyFill="1" applyBorder="1"/>
    <xf numFmtId="0" fontId="80" fillId="2" borderId="0" xfId="0" applyFont="1" applyFill="1" applyAlignment="1">
      <alignment vertical="center" wrapText="1"/>
    </xf>
    <xf numFmtId="0" fontId="60" fillId="62" borderId="0" xfId="0" applyFont="1" applyFill="1" applyAlignment="1">
      <alignment vertical="center" wrapText="1"/>
    </xf>
    <xf numFmtId="0" fontId="66" fillId="2" borderId="0" xfId="3" applyFont="1" applyFill="1" applyBorder="1" applyAlignment="1">
      <alignment horizontal="center" vertical="center" wrapText="1"/>
    </xf>
    <xf numFmtId="0" fontId="72" fillId="2" borderId="0" xfId="0" applyFont="1" applyFill="1"/>
    <xf numFmtId="0" fontId="77" fillId="2" borderId="0" xfId="0" applyFont="1" applyFill="1" applyAlignment="1">
      <alignment horizontal="center" vertical="center" wrapText="1"/>
    </xf>
    <xf numFmtId="0" fontId="30" fillId="2" borderId="0" xfId="3" applyFont="1" applyFill="1" applyBorder="1" applyAlignment="1">
      <alignment vertical="center" wrapText="1"/>
    </xf>
    <xf numFmtId="0" fontId="83" fillId="2" borderId="0" xfId="3" applyFont="1" applyFill="1" applyBorder="1" applyAlignment="1">
      <alignment vertical="center" wrapText="1"/>
    </xf>
    <xf numFmtId="0" fontId="46" fillId="2" borderId="0" xfId="3" applyNumberFormat="1" applyFont="1" applyFill="1" applyBorder="1" applyAlignment="1">
      <alignment horizontal="center" vertical="center" wrapText="1"/>
    </xf>
    <xf numFmtId="2" fontId="46" fillId="2" borderId="0" xfId="3" applyNumberFormat="1" applyFont="1" applyFill="1" applyBorder="1" applyAlignment="1">
      <alignment horizontal="center" vertical="center" wrapText="1"/>
    </xf>
    <xf numFmtId="0" fontId="4" fillId="38" borderId="2" xfId="0" applyFont="1" applyFill="1" applyBorder="1"/>
    <xf numFmtId="0" fontId="0" fillId="38" borderId="2" xfId="0" applyFill="1" applyBorder="1"/>
    <xf numFmtId="173" fontId="46" fillId="2" borderId="0" xfId="22" applyNumberFormat="1" applyFont="1" applyFill="1" applyBorder="1" applyAlignment="1">
      <alignment horizontal="center" vertical="center" wrapText="1"/>
    </xf>
    <xf numFmtId="2" fontId="0" fillId="0" borderId="0" xfId="0" applyNumberFormat="1" applyAlignment="1">
      <alignment horizontal="right"/>
    </xf>
    <xf numFmtId="43" fontId="0" fillId="0" borderId="0" xfId="46" applyFont="1"/>
    <xf numFmtId="171" fontId="13" fillId="0" borderId="12" xfId="46" applyNumberFormat="1" applyFont="1" applyFill="1" applyBorder="1" applyAlignment="1"/>
    <xf numFmtId="171" fontId="13" fillId="0" borderId="2" xfId="46" applyNumberFormat="1" applyFont="1" applyFill="1" applyBorder="1" applyAlignment="1">
      <alignment horizontal="center"/>
    </xf>
    <xf numFmtId="171" fontId="0" fillId="8" borderId="11" xfId="46" applyNumberFormat="1" applyFont="1" applyFill="1" applyBorder="1"/>
    <xf numFmtId="171" fontId="13" fillId="0" borderId="15" xfId="46" applyNumberFormat="1" applyFont="1" applyFill="1" applyBorder="1" applyAlignment="1"/>
    <xf numFmtId="171" fontId="13" fillId="0" borderId="4" xfId="46" applyNumberFormat="1" applyFont="1" applyFill="1" applyBorder="1" applyAlignment="1">
      <alignment horizontal="center"/>
    </xf>
    <xf numFmtId="171" fontId="0" fillId="8" borderId="14" xfId="46" applyNumberFormat="1" applyFont="1" applyFill="1" applyBorder="1"/>
    <xf numFmtId="0" fontId="30" fillId="62" borderId="0" xfId="3" applyFont="1" applyFill="1" applyBorder="1" applyAlignment="1">
      <alignment vertical="center" wrapText="1"/>
    </xf>
    <xf numFmtId="1" fontId="0" fillId="0" borderId="0" xfId="22" applyNumberFormat="1" applyFont="1" applyAlignment="1">
      <alignment horizontal="center"/>
    </xf>
    <xf numFmtId="1" fontId="6" fillId="0" borderId="0" xfId="0" applyNumberFormat="1" applyFont="1" applyAlignment="1">
      <alignment horizontal="center"/>
    </xf>
    <xf numFmtId="171" fontId="0" fillId="0" borderId="0" xfId="0" applyNumberFormat="1" applyAlignment="1">
      <alignment horizontal="center"/>
    </xf>
    <xf numFmtId="0" fontId="5" fillId="2" borderId="0" xfId="0" applyFont="1" applyFill="1"/>
    <xf numFmtId="0" fontId="0" fillId="2" borderId="0" xfId="0" applyFill="1" applyAlignment="1">
      <alignment horizontal="center" vertical="center" wrapText="1"/>
    </xf>
    <xf numFmtId="0" fontId="0" fillId="2" borderId="0" xfId="22" applyNumberFormat="1" applyFont="1" applyFill="1" applyBorder="1" applyAlignment="1">
      <alignment horizontal="center" vertical="center"/>
    </xf>
    <xf numFmtId="1" fontId="0" fillId="0" borderId="1" xfId="0" quotePrefix="1" applyNumberFormat="1" applyBorder="1"/>
    <xf numFmtId="0" fontId="0" fillId="26" borderId="0" xfId="0" applyFill="1" applyAlignment="1">
      <alignment horizontal="center"/>
    </xf>
    <xf numFmtId="0" fontId="0" fillId="26" borderId="0" xfId="0" applyFill="1" applyAlignment="1">
      <alignment vertical="center"/>
    </xf>
    <xf numFmtId="0" fontId="0" fillId="26" borderId="0" xfId="0" applyFill="1" applyAlignment="1">
      <alignment horizontal="left"/>
    </xf>
    <xf numFmtId="0" fontId="0" fillId="47" borderId="0" xfId="0" applyFill="1"/>
    <xf numFmtId="0" fontId="0" fillId="36" borderId="1" xfId="0" applyFill="1" applyBorder="1"/>
    <xf numFmtId="0" fontId="0" fillId="36" borderId="1" xfId="0" applyFill="1" applyBorder="1" applyAlignment="1">
      <alignment horizontal="center"/>
    </xf>
    <xf numFmtId="0" fontId="13" fillId="36" borderId="1" xfId="0" applyFont="1" applyFill="1" applyBorder="1" applyAlignment="1">
      <alignment horizontal="center"/>
    </xf>
    <xf numFmtId="2" fontId="0" fillId="15" borderId="1" xfId="0" applyNumberFormat="1" applyFill="1" applyBorder="1" applyAlignment="1">
      <alignment horizontal="center"/>
    </xf>
    <xf numFmtId="0" fontId="0" fillId="35" borderId="1" xfId="0" applyFill="1" applyBorder="1" applyAlignment="1">
      <alignment horizontal="center"/>
    </xf>
    <xf numFmtId="0" fontId="0" fillId="34" borderId="1" xfId="0" applyFill="1" applyBorder="1" applyAlignment="1">
      <alignment horizontal="left"/>
    </xf>
    <xf numFmtId="0" fontId="59" fillId="2" borderId="1" xfId="0" applyFont="1" applyFill="1" applyBorder="1"/>
    <xf numFmtId="0" fontId="0" fillId="15" borderId="1" xfId="0" applyFill="1" applyBorder="1"/>
    <xf numFmtId="0" fontId="0" fillId="11" borderId="1" xfId="0" applyFill="1" applyBorder="1"/>
    <xf numFmtId="0" fontId="0" fillId="3" borderId="1" xfId="0" applyFill="1" applyBorder="1"/>
    <xf numFmtId="0" fontId="0" fillId="48" borderId="1" xfId="0" applyFill="1" applyBorder="1"/>
    <xf numFmtId="0" fontId="0" fillId="6" borderId="1" xfId="0" applyFill="1" applyBorder="1"/>
    <xf numFmtId="0" fontId="0" fillId="35" borderId="0" xfId="0" applyFill="1" applyAlignment="1">
      <alignment horizontal="center"/>
    </xf>
    <xf numFmtId="2" fontId="0" fillId="30" borderId="0" xfId="0" applyNumberFormat="1" applyFill="1"/>
    <xf numFmtId="0" fontId="0" fillId="0" borderId="1" xfId="0" applyBorder="1" applyAlignment="1">
      <alignment horizontal="right"/>
    </xf>
    <xf numFmtId="0" fontId="36" fillId="0" borderId="11" xfId="7" applyFont="1" applyBorder="1" applyAlignment="1">
      <alignment horizontal="left" vertical="top"/>
    </xf>
    <xf numFmtId="0" fontId="36" fillId="0" borderId="0" xfId="7" applyFont="1" applyAlignment="1">
      <alignment horizontal="left" vertical="top"/>
    </xf>
    <xf numFmtId="0" fontId="36" fillId="0" borderId="14" xfId="7" applyFont="1" applyBorder="1" applyAlignment="1">
      <alignment horizontal="left" vertical="top"/>
    </xf>
    <xf numFmtId="0" fontId="0" fillId="35" borderId="1" xfId="0" applyFill="1" applyBorder="1"/>
    <xf numFmtId="0" fontId="4" fillId="74" borderId="0" xfId="0" applyFont="1" applyFill="1"/>
    <xf numFmtId="0" fontId="0" fillId="74" borderId="0" xfId="0" applyFill="1"/>
    <xf numFmtId="0" fontId="4" fillId="75" borderId="0" xfId="0" applyFont="1" applyFill="1"/>
    <xf numFmtId="0" fontId="0" fillId="75" borderId="0" xfId="0" applyFill="1"/>
    <xf numFmtId="0" fontId="4" fillId="76" borderId="0" xfId="0" applyFont="1" applyFill="1"/>
    <xf numFmtId="0" fontId="0" fillId="76" borderId="0" xfId="0" applyFill="1"/>
    <xf numFmtId="1" fontId="0" fillId="76" borderId="0" xfId="0" applyNumberFormat="1" applyFill="1"/>
    <xf numFmtId="0" fontId="4" fillId="77" borderId="0" xfId="0" applyFont="1" applyFill="1"/>
    <xf numFmtId="0" fontId="0" fillId="77" borderId="0" xfId="0" applyFill="1"/>
    <xf numFmtId="2" fontId="0" fillId="77" borderId="0" xfId="0" applyNumberFormat="1" applyFill="1"/>
    <xf numFmtId="0" fontId="4" fillId="78" borderId="0" xfId="0" applyFont="1" applyFill="1"/>
    <xf numFmtId="2" fontId="0" fillId="78" borderId="0" xfId="0" applyNumberFormat="1" applyFill="1"/>
    <xf numFmtId="170" fontId="0" fillId="78" borderId="0" xfId="0" applyNumberFormat="1" applyFill="1"/>
    <xf numFmtId="1" fontId="0" fillId="78" borderId="0" xfId="0" applyNumberFormat="1" applyFill="1"/>
    <xf numFmtId="0" fontId="0" fillId="78" borderId="0" xfId="0" applyFill="1"/>
    <xf numFmtId="166" fontId="0" fillId="78" borderId="0" xfId="0" applyNumberFormat="1" applyFill="1"/>
    <xf numFmtId="0" fontId="4" fillId="55" borderId="0" xfId="0" applyFont="1" applyFill="1"/>
    <xf numFmtId="166" fontId="0" fillId="76" borderId="0" xfId="0" applyNumberFormat="1" applyFill="1"/>
    <xf numFmtId="166" fontId="0" fillId="77" borderId="0" xfId="0" applyNumberFormat="1" applyFill="1"/>
    <xf numFmtId="2" fontId="0" fillId="76" borderId="0" xfId="0" applyNumberFormat="1" applyFill="1"/>
    <xf numFmtId="165" fontId="0" fillId="78" borderId="0" xfId="0" applyNumberFormat="1" applyFill="1"/>
    <xf numFmtId="1" fontId="0" fillId="77" borderId="0" xfId="0" applyNumberFormat="1" applyFill="1"/>
    <xf numFmtId="0" fontId="0" fillId="15" borderId="1" xfId="0" applyFill="1" applyBorder="1" applyAlignment="1">
      <alignment vertical="center"/>
    </xf>
    <xf numFmtId="0" fontId="0" fillId="15" borderId="13" xfId="0" applyFill="1" applyBorder="1" applyAlignment="1">
      <alignment horizontal="left"/>
    </xf>
    <xf numFmtId="0" fontId="0" fillId="15" borderId="1" xfId="0" applyFill="1" applyBorder="1" applyAlignment="1">
      <alignment horizontal="center"/>
    </xf>
    <xf numFmtId="0" fontId="0" fillId="15" borderId="6" xfId="0" applyFill="1" applyBorder="1" applyAlignment="1">
      <alignment horizontal="left"/>
    </xf>
    <xf numFmtId="0" fontId="4" fillId="15" borderId="1" xfId="0" applyFont="1" applyFill="1" applyBorder="1" applyAlignment="1">
      <alignment horizontal="left"/>
    </xf>
    <xf numFmtId="0" fontId="4" fillId="0" borderId="0" xfId="46" applyNumberFormat="1" applyFont="1" applyFill="1" applyBorder="1" applyAlignment="1">
      <alignment vertical="top"/>
    </xf>
    <xf numFmtId="0" fontId="0" fillId="0" borderId="53" xfId="0" applyBorder="1" applyAlignment="1">
      <alignment horizontal="right"/>
    </xf>
    <xf numFmtId="171" fontId="0" fillId="0" borderId="28" xfId="46" applyNumberFormat="1" applyFont="1" applyFill="1" applyBorder="1"/>
    <xf numFmtId="171" fontId="0" fillId="0" borderId="54" xfId="46" applyNumberFormat="1" applyFont="1" applyFill="1" applyBorder="1"/>
    <xf numFmtId="171" fontId="0" fillId="0" borderId="7" xfId="46" applyNumberFormat="1" applyFont="1" applyBorder="1"/>
    <xf numFmtId="0" fontId="48" fillId="0" borderId="28" xfId="11" applyFont="1" applyBorder="1"/>
    <xf numFmtId="0" fontId="47" fillId="0" borderId="28" xfId="11" applyFont="1" applyBorder="1"/>
    <xf numFmtId="0" fontId="0" fillId="5" borderId="59" xfId="11" applyFont="1" applyFill="1" applyBorder="1"/>
    <xf numFmtId="171" fontId="0" fillId="0" borderId="58" xfId="46" applyNumberFormat="1" applyFont="1" applyBorder="1"/>
    <xf numFmtId="0" fontId="0" fillId="0" borderId="59" xfId="11" applyFont="1" applyBorder="1"/>
    <xf numFmtId="171" fontId="0" fillId="0" borderId="41" xfId="46" applyNumberFormat="1" applyFont="1" applyBorder="1"/>
    <xf numFmtId="0" fontId="0" fillId="0" borderId="28" xfId="11" applyFont="1" applyBorder="1"/>
    <xf numFmtId="171" fontId="0" fillId="0" borderId="60" xfId="46" applyNumberFormat="1" applyFont="1" applyBorder="1"/>
    <xf numFmtId="171" fontId="0" fillId="0" borderId="41" xfId="0" applyNumberFormat="1" applyBorder="1"/>
    <xf numFmtId="0" fontId="0" fillId="0" borderId="57" xfId="11" applyFont="1" applyBorder="1"/>
    <xf numFmtId="0" fontId="0" fillId="0" borderId="51" xfId="11" applyFont="1" applyBorder="1"/>
    <xf numFmtId="0" fontId="0" fillId="26" borderId="28" xfId="11" applyFont="1" applyFill="1" applyBorder="1"/>
    <xf numFmtId="0" fontId="0" fillId="26" borderId="59" xfId="11" applyFont="1" applyFill="1" applyBorder="1"/>
    <xf numFmtId="0" fontId="0" fillId="31" borderId="51" xfId="11" applyFont="1" applyFill="1" applyBorder="1"/>
    <xf numFmtId="0" fontId="0" fillId="0" borderId="75" xfId="11" applyFont="1" applyBorder="1"/>
    <xf numFmtId="171" fontId="0" fillId="26" borderId="77" xfId="0" applyNumberFormat="1" applyFill="1" applyBorder="1"/>
    <xf numFmtId="0" fontId="0" fillId="26" borderId="26" xfId="11" applyFont="1" applyFill="1" applyBorder="1"/>
    <xf numFmtId="0" fontId="5" fillId="0" borderId="61" xfId="0" applyFont="1" applyBorder="1"/>
    <xf numFmtId="0" fontId="4" fillId="0" borderId="0" xfId="0" applyFont="1" applyAlignment="1">
      <alignment horizontal="center" vertical="center" wrapText="1"/>
    </xf>
    <xf numFmtId="0" fontId="5" fillId="0" borderId="0" xfId="46" applyNumberFormat="1" applyFont="1"/>
    <xf numFmtId="0" fontId="5" fillId="2" borderId="1" xfId="0" applyFont="1" applyFill="1" applyBorder="1"/>
    <xf numFmtId="2" fontId="30" fillId="2" borderId="48" xfId="0" applyNumberFormat="1" applyFont="1" applyFill="1" applyBorder="1" applyAlignment="1">
      <alignment horizontal="center"/>
    </xf>
    <xf numFmtId="0" fontId="5" fillId="74" borderId="0" xfId="0" applyFont="1" applyFill="1"/>
    <xf numFmtId="0" fontId="5" fillId="75" borderId="0" xfId="0" applyFont="1" applyFill="1"/>
    <xf numFmtId="0" fontId="5" fillId="76" borderId="0" xfId="0" applyFont="1" applyFill="1"/>
    <xf numFmtId="0" fontId="5" fillId="77" borderId="0" xfId="0" applyFont="1" applyFill="1"/>
    <xf numFmtId="2" fontId="5" fillId="78" borderId="0" xfId="0" applyNumberFormat="1" applyFont="1" applyFill="1"/>
    <xf numFmtId="0" fontId="5" fillId="55" borderId="0" xfId="0" applyFont="1" applyFill="1"/>
    <xf numFmtId="0" fontId="5" fillId="56" borderId="0" xfId="0" applyFont="1" applyFill="1"/>
    <xf numFmtId="0" fontId="5" fillId="29" borderId="0" xfId="0" applyFont="1" applyFill="1"/>
    <xf numFmtId="2" fontId="5" fillId="0" borderId="0" xfId="0" applyNumberFormat="1" applyFont="1"/>
    <xf numFmtId="165" fontId="5" fillId="78" borderId="0" xfId="0" applyNumberFormat="1" applyFont="1" applyFill="1"/>
    <xf numFmtId="168" fontId="0" fillId="0" borderId="0" xfId="0" applyNumberFormat="1"/>
    <xf numFmtId="170" fontId="0" fillId="74" borderId="0" xfId="0" applyNumberFormat="1" applyFill="1"/>
    <xf numFmtId="0" fontId="30" fillId="16" borderId="41" xfId="0" applyFont="1" applyFill="1" applyBorder="1" applyAlignment="1">
      <alignment horizontal="center"/>
    </xf>
    <xf numFmtId="0" fontId="30" fillId="16" borderId="41" xfId="0" applyFont="1" applyFill="1" applyBorder="1" applyAlignment="1">
      <alignment horizontal="center" vertical="center" wrapText="1"/>
    </xf>
    <xf numFmtId="0" fontId="0" fillId="16" borderId="41" xfId="0" applyFill="1" applyBorder="1" applyAlignment="1">
      <alignment horizontal="center" vertical="center" wrapText="1"/>
    </xf>
    <xf numFmtId="0" fontId="92" fillId="16" borderId="41" xfId="0" applyFont="1" applyFill="1" applyBorder="1" applyAlignment="1">
      <alignment horizontal="center" vertical="center" wrapText="1"/>
    </xf>
    <xf numFmtId="0" fontId="0" fillId="16" borderId="0" xfId="0" applyFill="1"/>
    <xf numFmtId="165" fontId="30" fillId="2" borderId="1" xfId="0" applyNumberFormat="1" applyFont="1" applyFill="1" applyBorder="1" applyAlignment="1">
      <alignment horizontal="center"/>
    </xf>
    <xf numFmtId="171" fontId="0" fillId="8" borderId="0" xfId="46" applyNumberFormat="1" applyFont="1" applyFill="1" applyBorder="1"/>
    <xf numFmtId="0" fontId="0" fillId="8" borderId="14" xfId="0" applyFill="1" applyBorder="1"/>
    <xf numFmtId="171" fontId="0" fillId="8" borderId="0" xfId="0" applyNumberFormat="1" applyFill="1" applyAlignment="1">
      <alignment horizontal="center"/>
    </xf>
    <xf numFmtId="0" fontId="5" fillId="54" borderId="12" xfId="0" applyFont="1" applyFill="1" applyBorder="1" applyAlignment="1">
      <alignment wrapText="1"/>
    </xf>
    <xf numFmtId="171" fontId="0" fillId="8" borderId="47" xfId="0" applyNumberFormat="1" applyFill="1" applyBorder="1"/>
    <xf numFmtId="164" fontId="0" fillId="0" borderId="13" xfId="0" applyNumberFormat="1" applyBorder="1"/>
    <xf numFmtId="0" fontId="0" fillId="79" borderId="0" xfId="0" applyFill="1"/>
    <xf numFmtId="0" fontId="0" fillId="80" borderId="0" xfId="0" applyFill="1"/>
    <xf numFmtId="0" fontId="0" fillId="44" borderId="0" xfId="0" applyFill="1"/>
    <xf numFmtId="0" fontId="0" fillId="46" borderId="0" xfId="0" applyFill="1"/>
    <xf numFmtId="172" fontId="4" fillId="0" borderId="12" xfId="47" applyNumberFormat="1" applyFont="1" applyBorder="1"/>
    <xf numFmtId="170" fontId="5" fillId="11" borderId="0" xfId="0" applyNumberFormat="1" applyFont="1" applyFill="1"/>
    <xf numFmtId="0" fontId="106" fillId="0" borderId="0" xfId="0" applyFont="1"/>
    <xf numFmtId="0" fontId="4" fillId="26" borderId="47" xfId="0" applyFont="1" applyFill="1" applyBorder="1"/>
    <xf numFmtId="0" fontId="4" fillId="3" borderId="13" xfId="0" applyFont="1" applyFill="1" applyBorder="1"/>
    <xf numFmtId="0" fontId="4" fillId="3" borderId="15" xfId="0" applyFont="1" applyFill="1" applyBorder="1"/>
    <xf numFmtId="43" fontId="0" fillId="0" borderId="14" xfId="46" applyFont="1" applyBorder="1"/>
    <xf numFmtId="0" fontId="44" fillId="0" borderId="0" xfId="0" applyFont="1" applyAlignment="1">
      <alignment wrapText="1"/>
    </xf>
    <xf numFmtId="3" fontId="0" fillId="0" borderId="12" xfId="0" applyNumberFormat="1" applyBorder="1" applyAlignment="1">
      <alignment horizontal="center"/>
    </xf>
    <xf numFmtId="0" fontId="5" fillId="15" borderId="1" xfId="0" applyFont="1" applyFill="1" applyBorder="1" applyAlignment="1">
      <alignment horizontal="center"/>
    </xf>
    <xf numFmtId="15" fontId="0" fillId="0" borderId="0" xfId="0" applyNumberFormat="1"/>
    <xf numFmtId="9" fontId="5" fillId="4" borderId="1" xfId="0" applyNumberFormat="1" applyFont="1" applyFill="1" applyBorder="1"/>
    <xf numFmtId="0" fontId="68" fillId="22" borderId="3" xfId="0" applyFont="1" applyFill="1" applyBorder="1" applyAlignment="1">
      <alignment horizontal="center" wrapText="1"/>
    </xf>
    <xf numFmtId="0" fontId="30" fillId="22" borderId="3" xfId="0" applyFont="1" applyFill="1" applyBorder="1" applyAlignment="1">
      <alignment horizontal="center" wrapText="1"/>
    </xf>
    <xf numFmtId="0" fontId="5" fillId="4" borderId="4" xfId="0" applyFont="1" applyFill="1" applyBorder="1" applyAlignment="1">
      <alignment horizontal="center"/>
    </xf>
    <xf numFmtId="0" fontId="0" fillId="28" borderId="45" xfId="0" applyFill="1" applyBorder="1" applyAlignment="1">
      <alignment horizontal="center" vertical="center" wrapText="1"/>
    </xf>
    <xf numFmtId="0" fontId="0" fillId="28" borderId="46" xfId="0" applyFill="1" applyBorder="1" applyAlignment="1">
      <alignment horizontal="center" vertical="center" wrapText="1"/>
    </xf>
    <xf numFmtId="0" fontId="13" fillId="24" borderId="30" xfId="0" applyFont="1" applyFill="1" applyBorder="1" applyAlignment="1">
      <alignment horizontal="center" wrapText="1"/>
    </xf>
    <xf numFmtId="0" fontId="13" fillId="24" borderId="23" xfId="0" applyFont="1" applyFill="1" applyBorder="1" applyAlignment="1">
      <alignment horizontal="center" wrapText="1"/>
    </xf>
    <xf numFmtId="0" fontId="13" fillId="24" borderId="24" xfId="0" applyFont="1" applyFill="1" applyBorder="1" applyAlignment="1">
      <alignment horizontal="center" wrapText="1"/>
    </xf>
    <xf numFmtId="0" fontId="13" fillId="60" borderId="34" xfId="0" applyFont="1" applyFill="1" applyBorder="1" applyAlignment="1">
      <alignment horizontal="center" wrapText="1"/>
    </xf>
    <xf numFmtId="0" fontId="13" fillId="60" borderId="23" xfId="0" applyFont="1" applyFill="1" applyBorder="1" applyAlignment="1">
      <alignment horizontal="center" wrapText="1"/>
    </xf>
    <xf numFmtId="0" fontId="13" fillId="60" borderId="24" xfId="0" applyFont="1" applyFill="1" applyBorder="1" applyAlignment="1">
      <alignment horizontal="center" wrapText="1"/>
    </xf>
    <xf numFmtId="0" fontId="13" fillId="60" borderId="4" xfId="0" applyFont="1" applyFill="1" applyBorder="1" applyAlignment="1">
      <alignment horizontal="center" wrapText="1"/>
    </xf>
    <xf numFmtId="1" fontId="0" fillId="25" borderId="6" xfId="0" applyNumberFormat="1" applyFill="1" applyBorder="1" applyAlignment="1">
      <alignment horizontal="center"/>
    </xf>
    <xf numFmtId="1" fontId="0" fillId="6" borderId="1" xfId="0" applyNumberFormat="1" applyFill="1" applyBorder="1" applyAlignment="1">
      <alignment horizontal="center"/>
    </xf>
    <xf numFmtId="0" fontId="30" fillId="60" borderId="16" xfId="0" applyFont="1" applyFill="1" applyBorder="1" applyAlignment="1">
      <alignment horizontal="center" vertical="center" wrapText="1"/>
    </xf>
    <xf numFmtId="0" fontId="30" fillId="60" borderId="26" xfId="0" applyFont="1" applyFill="1" applyBorder="1" applyAlignment="1">
      <alignment horizontal="center" vertical="center" wrapText="1"/>
    </xf>
    <xf numFmtId="0" fontId="30" fillId="60" borderId="27" xfId="0" applyFont="1" applyFill="1" applyBorder="1" applyAlignment="1">
      <alignment horizontal="center" vertical="center" wrapText="1"/>
    </xf>
    <xf numFmtId="0" fontId="30" fillId="60" borderId="26" xfId="0" applyFont="1" applyFill="1" applyBorder="1" applyAlignment="1">
      <alignment horizontal="center" vertical="center"/>
    </xf>
    <xf numFmtId="0" fontId="30" fillId="24" borderId="37" xfId="0" applyFont="1" applyFill="1" applyBorder="1" applyAlignment="1">
      <alignment horizontal="center" vertical="center" wrapText="1"/>
    </xf>
    <xf numFmtId="0" fontId="30" fillId="24" borderId="16" xfId="0" applyFont="1" applyFill="1" applyBorder="1" applyAlignment="1">
      <alignment horizontal="center" vertical="center" wrapText="1"/>
    </xf>
    <xf numFmtId="0" fontId="30" fillId="24" borderId="27" xfId="0" applyFont="1" applyFill="1" applyBorder="1" applyAlignment="1">
      <alignment horizontal="center" vertical="center" wrapText="1"/>
    </xf>
    <xf numFmtId="0" fontId="4" fillId="28" borderId="16" xfId="0" applyFont="1" applyFill="1" applyBorder="1" applyAlignment="1">
      <alignment horizontal="center" vertical="center" wrapText="1"/>
    </xf>
    <xf numFmtId="0" fontId="4" fillId="28" borderId="16" xfId="0" applyFont="1" applyFill="1" applyBorder="1" applyAlignment="1">
      <alignment horizontal="center" vertical="center"/>
    </xf>
    <xf numFmtId="0" fontId="4" fillId="28" borderId="27" xfId="0" applyFont="1" applyFill="1" applyBorder="1" applyAlignment="1">
      <alignment horizontal="center" vertical="center"/>
    </xf>
    <xf numFmtId="0" fontId="13" fillId="60" borderId="0" xfId="0" applyFont="1" applyFill="1" applyAlignment="1">
      <alignment horizontal="center" wrapText="1"/>
    </xf>
    <xf numFmtId="2" fontId="0" fillId="0" borderId="1" xfId="0" applyNumberFormat="1" applyBorder="1"/>
    <xf numFmtId="0" fontId="5" fillId="19" borderId="1" xfId="0" applyFont="1" applyFill="1" applyBorder="1"/>
    <xf numFmtId="0" fontId="4" fillId="22" borderId="0" xfId="0" applyFont="1" applyFill="1"/>
    <xf numFmtId="0" fontId="4" fillId="22" borderId="47" xfId="0" applyFont="1" applyFill="1" applyBorder="1"/>
    <xf numFmtId="3" fontId="0" fillId="22" borderId="47" xfId="46" quotePrefix="1" applyNumberFormat="1" applyFont="1" applyFill="1" applyBorder="1" applyAlignment="1">
      <alignment horizontal="center"/>
    </xf>
    <xf numFmtId="0" fontId="0" fillId="22" borderId="0" xfId="0" applyFill="1"/>
    <xf numFmtId="0" fontId="47" fillId="0" borderId="10" xfId="0" applyFont="1" applyBorder="1" applyAlignment="1">
      <alignment horizontal="center"/>
    </xf>
    <xf numFmtId="0" fontId="7" fillId="0" borderId="0" xfId="0" applyFont="1" applyAlignment="1">
      <alignment horizontal="left"/>
    </xf>
    <xf numFmtId="1" fontId="4" fillId="0" borderId="44" xfId="0" applyNumberFormat="1" applyFont="1" applyBorder="1"/>
    <xf numFmtId="0" fontId="4" fillId="0" borderId="44" xfId="0" applyFont="1" applyBorder="1" applyAlignment="1">
      <alignment horizontal="left"/>
    </xf>
    <xf numFmtId="1" fontId="4" fillId="0" borderId="13" xfId="0" applyNumberFormat="1" applyFont="1" applyBorder="1"/>
    <xf numFmtId="0" fontId="7" fillId="0" borderId="14" xfId="0" applyFont="1" applyBorder="1" applyAlignment="1">
      <alignment horizontal="left"/>
    </xf>
    <xf numFmtId="1" fontId="0" fillId="0" borderId="15" xfId="0" applyNumberFormat="1" applyBorder="1"/>
    <xf numFmtId="0" fontId="47" fillId="0" borderId="0" xfId="0" applyFont="1" applyAlignment="1">
      <alignment horizontal="center"/>
    </xf>
    <xf numFmtId="3" fontId="0" fillId="22" borderId="0" xfId="46" quotePrefix="1" applyNumberFormat="1" applyFont="1" applyFill="1" applyBorder="1" applyAlignment="1">
      <alignment horizontal="center"/>
    </xf>
    <xf numFmtId="164" fontId="47" fillId="0" borderId="0" xfId="0" applyNumberFormat="1" applyFont="1"/>
    <xf numFmtId="3" fontId="0" fillId="8" borderId="47" xfId="46" quotePrefix="1" applyNumberFormat="1" applyFont="1" applyFill="1" applyBorder="1" applyAlignment="1">
      <alignment horizontal="center"/>
    </xf>
    <xf numFmtId="3" fontId="0" fillId="8" borderId="0" xfId="46" quotePrefix="1" applyNumberFormat="1" applyFont="1" applyFill="1" applyBorder="1" applyAlignment="1">
      <alignment horizontal="center"/>
    </xf>
    <xf numFmtId="0" fontId="4" fillId="0" borderId="44" xfId="0" applyFont="1" applyBorder="1" applyAlignment="1">
      <alignment horizontal="center"/>
    </xf>
    <xf numFmtId="2" fontId="5" fillId="0" borderId="3" xfId="0" applyNumberFormat="1" applyFont="1" applyBorder="1" applyAlignment="1">
      <alignment horizontal="center"/>
    </xf>
    <xf numFmtId="0" fontId="78" fillId="0" borderId="3" xfId="0" applyFont="1" applyBorder="1" applyAlignment="1">
      <alignment vertical="center" wrapText="1"/>
    </xf>
    <xf numFmtId="168" fontId="0" fillId="0" borderId="1" xfId="0" applyNumberFormat="1" applyBorder="1" applyAlignment="1">
      <alignment horizontal="center"/>
    </xf>
    <xf numFmtId="0" fontId="0" fillId="0" borderId="5" xfId="0" applyBorder="1"/>
    <xf numFmtId="0" fontId="0" fillId="0" borderId="9" xfId="0" applyBorder="1"/>
    <xf numFmtId="0" fontId="13" fillId="60" borderId="80" xfId="0" applyFont="1" applyFill="1" applyBorder="1" applyAlignment="1">
      <alignment horizontal="center" wrapText="1"/>
    </xf>
    <xf numFmtId="0" fontId="30" fillId="60" borderId="43" xfId="0" applyFont="1" applyFill="1" applyBorder="1" applyAlignment="1">
      <alignment horizontal="center" vertical="center" wrapText="1"/>
    </xf>
    <xf numFmtId="0" fontId="13" fillId="60" borderId="1" xfId="0" applyFont="1" applyFill="1" applyBorder="1" applyAlignment="1">
      <alignment horizontal="center" wrapText="1"/>
    </xf>
    <xf numFmtId="0" fontId="30" fillId="60" borderId="1" xfId="0" applyFont="1" applyFill="1" applyBorder="1" applyAlignment="1">
      <alignment horizontal="center" vertical="center" wrapText="1"/>
    </xf>
    <xf numFmtId="0" fontId="4" fillId="0" borderId="24" xfId="0" applyFont="1" applyBorder="1"/>
    <xf numFmtId="0" fontId="13" fillId="60" borderId="31" xfId="0" applyFont="1" applyFill="1" applyBorder="1" applyAlignment="1">
      <alignment horizontal="center" wrapText="1"/>
    </xf>
    <xf numFmtId="0" fontId="13" fillId="60" borderId="25" xfId="0" applyFont="1" applyFill="1" applyBorder="1" applyAlignment="1">
      <alignment horizontal="center" wrapText="1"/>
    </xf>
    <xf numFmtId="0" fontId="30" fillId="60" borderId="37" xfId="0" applyFont="1" applyFill="1" applyBorder="1" applyAlignment="1">
      <alignment horizontal="center" vertical="center" wrapText="1"/>
    </xf>
    <xf numFmtId="0" fontId="0" fillId="82" borderId="64" xfId="0" applyFill="1" applyBorder="1" applyAlignment="1">
      <alignment horizontal="center" vertical="center" wrapText="1"/>
    </xf>
    <xf numFmtId="0" fontId="4" fillId="82" borderId="26" xfId="0" applyFont="1" applyFill="1" applyBorder="1" applyAlignment="1">
      <alignment horizontal="center" vertical="center" wrapText="1"/>
    </xf>
    <xf numFmtId="0" fontId="0" fillId="82" borderId="48" xfId="0" applyFill="1" applyBorder="1" applyAlignment="1">
      <alignment horizontal="center" vertical="center" wrapText="1"/>
    </xf>
    <xf numFmtId="0" fontId="0" fillId="82" borderId="63" xfId="0" applyFill="1" applyBorder="1" applyAlignment="1">
      <alignment horizontal="center" vertical="center" wrapText="1"/>
    </xf>
    <xf numFmtId="0" fontId="0" fillId="82" borderId="2" xfId="0" applyFill="1" applyBorder="1" applyAlignment="1">
      <alignment horizontal="center" wrapText="1"/>
    </xf>
    <xf numFmtId="0" fontId="0" fillId="82" borderId="2" xfId="0" applyFill="1" applyBorder="1" applyAlignment="1">
      <alignment horizontal="center"/>
    </xf>
    <xf numFmtId="0" fontId="0" fillId="82" borderId="33" xfId="0" applyFill="1" applyBorder="1" applyAlignment="1">
      <alignment horizontal="center"/>
    </xf>
    <xf numFmtId="0" fontId="30" fillId="60" borderId="1" xfId="0" applyFont="1" applyFill="1" applyBorder="1" applyAlignment="1">
      <alignment horizontal="center" vertical="center"/>
    </xf>
    <xf numFmtId="0" fontId="4" fillId="3" borderId="14" xfId="0" applyFont="1" applyFill="1" applyBorder="1"/>
    <xf numFmtId="0" fontId="0" fillId="8" borderId="0" xfId="0" applyFill="1" applyAlignment="1">
      <alignment wrapText="1"/>
    </xf>
    <xf numFmtId="0" fontId="47" fillId="0" borderId="44" xfId="0" applyFont="1" applyBorder="1" applyAlignment="1">
      <alignment wrapText="1"/>
    </xf>
    <xf numFmtId="164" fontId="0" fillId="0" borderId="47" xfId="0" applyNumberFormat="1" applyBorder="1" applyAlignment="1">
      <alignment horizontal="center" wrapText="1"/>
    </xf>
    <xf numFmtId="0" fontId="0" fillId="0" borderId="13" xfId="0" applyBorder="1" applyAlignment="1">
      <alignment wrapText="1"/>
    </xf>
    <xf numFmtId="164" fontId="0" fillId="0" borderId="14" xfId="0" applyNumberFormat="1" applyBorder="1" applyAlignment="1">
      <alignment horizontal="center" wrapText="1"/>
    </xf>
    <xf numFmtId="164" fontId="0" fillId="0" borderId="15" xfId="0" applyNumberFormat="1" applyBorder="1" applyAlignment="1">
      <alignment horizontal="center" wrapText="1"/>
    </xf>
    <xf numFmtId="0" fontId="4" fillId="0" borderId="47" xfId="0" applyFont="1" applyBorder="1" applyAlignment="1">
      <alignment horizontal="center"/>
    </xf>
    <xf numFmtId="0" fontId="107" fillId="0" borderId="10" xfId="0" applyFont="1" applyBorder="1" applyAlignment="1">
      <alignment horizontal="center" wrapText="1"/>
    </xf>
    <xf numFmtId="0" fontId="59" fillId="83" borderId="0" xfId="0" applyFont="1" applyFill="1" applyAlignment="1">
      <alignment wrapText="1"/>
    </xf>
    <xf numFmtId="0" fontId="59" fillId="83" borderId="47" xfId="0" applyFont="1" applyFill="1" applyBorder="1" applyAlignment="1">
      <alignment wrapText="1"/>
    </xf>
    <xf numFmtId="0" fontId="0" fillId="0" borderId="11" xfId="0" applyBorder="1" applyAlignment="1">
      <alignment wrapText="1"/>
    </xf>
    <xf numFmtId="0" fontId="4" fillId="0" borderId="53" xfId="0" applyFont="1" applyBorder="1" applyAlignment="1">
      <alignment horizontal="center"/>
    </xf>
    <xf numFmtId="0" fontId="107" fillId="0" borderId="99" xfId="0" applyFont="1" applyBorder="1" applyAlignment="1">
      <alignment horizontal="center" wrapText="1"/>
    </xf>
    <xf numFmtId="0" fontId="107" fillId="0" borderId="55" xfId="0" applyFont="1" applyBorder="1" applyAlignment="1">
      <alignment wrapText="1"/>
    </xf>
    <xf numFmtId="0" fontId="107" fillId="0" borderId="64" xfId="0" applyFont="1" applyBorder="1" applyAlignment="1">
      <alignment wrapText="1"/>
    </xf>
    <xf numFmtId="0" fontId="0" fillId="0" borderId="56" xfId="0" quotePrefix="1" applyBorder="1"/>
    <xf numFmtId="0" fontId="0" fillId="0" borderId="28" xfId="0" applyBorder="1" applyAlignment="1">
      <alignment horizontal="right" wrapText="1"/>
    </xf>
    <xf numFmtId="0" fontId="0" fillId="0" borderId="41" xfId="0" applyBorder="1" applyAlignment="1">
      <alignment wrapText="1"/>
    </xf>
    <xf numFmtId="0" fontId="0" fillId="0" borderId="28" xfId="0" applyBorder="1" applyAlignment="1">
      <alignment wrapText="1"/>
    </xf>
    <xf numFmtId="0" fontId="0" fillId="0" borderId="58" xfId="0" applyBorder="1" applyAlignment="1">
      <alignment wrapText="1"/>
    </xf>
    <xf numFmtId="0" fontId="4" fillId="0" borderId="41" xfId="0" applyFont="1" applyBorder="1" applyAlignment="1">
      <alignment wrapText="1"/>
    </xf>
    <xf numFmtId="0" fontId="59" fillId="83" borderId="41" xfId="0" applyFont="1" applyFill="1" applyBorder="1" applyAlignment="1">
      <alignment wrapText="1"/>
    </xf>
    <xf numFmtId="164" fontId="0" fillId="0" borderId="41" xfId="0" applyNumberFormat="1" applyBorder="1" applyAlignment="1">
      <alignment horizontal="center" wrapText="1"/>
    </xf>
    <xf numFmtId="164" fontId="0" fillId="0" borderId="60" xfId="0" applyNumberFormat="1" applyBorder="1" applyAlignment="1">
      <alignment horizontal="center" wrapText="1"/>
    </xf>
    <xf numFmtId="0" fontId="4" fillId="0" borderId="58" xfId="0" applyFont="1" applyBorder="1" applyAlignment="1">
      <alignment wrapText="1"/>
    </xf>
    <xf numFmtId="0" fontId="0" fillId="0" borderId="62" xfId="0" applyBorder="1" applyAlignment="1">
      <alignment wrapText="1"/>
    </xf>
    <xf numFmtId="164" fontId="0" fillId="0" borderId="65" xfId="0" applyNumberFormat="1" applyBorder="1" applyAlignment="1">
      <alignment horizontal="center" wrapText="1"/>
    </xf>
    <xf numFmtId="0" fontId="47" fillId="0" borderId="10" xfId="0" applyFont="1" applyBorder="1" applyAlignment="1">
      <alignment horizontal="center" wrapText="1"/>
    </xf>
    <xf numFmtId="0" fontId="0" fillId="0" borderId="53" xfId="0" applyBorder="1"/>
    <xf numFmtId="0" fontId="5" fillId="22" borderId="1" xfId="0" applyFont="1" applyFill="1" applyBorder="1" applyAlignment="1">
      <alignment horizontal="center" vertical="center" wrapText="1"/>
    </xf>
    <xf numFmtId="0" fontId="5" fillId="22" borderId="1" xfId="0" applyFont="1" applyFill="1" applyBorder="1" applyAlignment="1">
      <alignment horizontal="center" wrapText="1"/>
    </xf>
    <xf numFmtId="2" fontId="4" fillId="35" borderId="1" xfId="0" applyNumberFormat="1" applyFont="1" applyFill="1" applyBorder="1" applyAlignment="1">
      <alignment horizontal="center"/>
    </xf>
    <xf numFmtId="2" fontId="4" fillId="35" borderId="25" xfId="0" applyNumberFormat="1" applyFont="1" applyFill="1" applyBorder="1" applyAlignment="1">
      <alignment horizontal="center"/>
    </xf>
    <xf numFmtId="2" fontId="31" fillId="14" borderId="1" xfId="0" applyNumberFormat="1" applyFont="1" applyFill="1" applyBorder="1" applyAlignment="1">
      <alignment horizontal="center"/>
    </xf>
    <xf numFmtId="2" fontId="4" fillId="14" borderId="25" xfId="0" applyNumberFormat="1" applyFont="1" applyFill="1" applyBorder="1" applyAlignment="1">
      <alignment horizontal="center"/>
    </xf>
    <xf numFmtId="2" fontId="4" fillId="48" borderId="16" xfId="0" applyNumberFormat="1" applyFont="1" applyFill="1" applyBorder="1" applyAlignment="1">
      <alignment horizontal="center"/>
    </xf>
    <xf numFmtId="2" fontId="4" fillId="48" borderId="27" xfId="0" applyNumberFormat="1" applyFont="1" applyFill="1" applyBorder="1" applyAlignment="1">
      <alignment horizontal="center"/>
    </xf>
    <xf numFmtId="0" fontId="0" fillId="23" borderId="23" xfId="0" applyFill="1" applyBorder="1"/>
    <xf numFmtId="0" fontId="0" fillId="22" borderId="25" xfId="0" applyFill="1" applyBorder="1" applyAlignment="1">
      <alignment horizontal="center" vertical="center" wrapText="1"/>
    </xf>
    <xf numFmtId="0" fontId="0" fillId="22" borderId="25" xfId="0" applyFill="1" applyBorder="1" applyAlignment="1">
      <alignment horizontal="center"/>
    </xf>
    <xf numFmtId="0" fontId="0" fillId="25" borderId="25" xfId="0" applyFill="1" applyBorder="1"/>
    <xf numFmtId="2" fontId="4" fillId="20" borderId="16" xfId="0" applyNumberFormat="1" applyFont="1" applyFill="1" applyBorder="1" applyAlignment="1">
      <alignment horizontal="center"/>
    </xf>
    <xf numFmtId="0" fontId="0" fillId="20" borderId="1" xfId="0" applyFill="1" applyBorder="1" applyAlignment="1">
      <alignment horizontal="center"/>
    </xf>
    <xf numFmtId="0" fontId="0" fillId="20" borderId="1" xfId="0" applyFill="1" applyBorder="1"/>
    <xf numFmtId="0" fontId="5" fillId="20" borderId="1" xfId="0" applyFont="1" applyFill="1" applyBorder="1"/>
    <xf numFmtId="0" fontId="0" fillId="20" borderId="25" xfId="0" applyFill="1" applyBorder="1"/>
    <xf numFmtId="2" fontId="5" fillId="35" borderId="1" xfId="0" applyNumberFormat="1" applyFont="1" applyFill="1" applyBorder="1" applyAlignment="1">
      <alignment horizontal="center"/>
    </xf>
    <xf numFmtId="0" fontId="5" fillId="23" borderId="23" xfId="0" applyFont="1" applyFill="1" applyBorder="1"/>
    <xf numFmtId="2" fontId="5" fillId="20" borderId="1" xfId="0" applyNumberFormat="1" applyFont="1" applyFill="1" applyBorder="1" applyAlignment="1">
      <alignment horizontal="center"/>
    </xf>
    <xf numFmtId="2" fontId="5" fillId="25" borderId="1" xfId="0" applyNumberFormat="1" applyFont="1" applyFill="1" applyBorder="1" applyAlignment="1">
      <alignment horizontal="center"/>
    </xf>
    <xf numFmtId="166" fontId="5" fillId="35" borderId="1" xfId="0" applyNumberFormat="1" applyFont="1" applyFill="1" applyBorder="1" applyAlignment="1">
      <alignment horizontal="center"/>
    </xf>
    <xf numFmtId="165" fontId="0" fillId="76" borderId="0" xfId="0" applyNumberFormat="1" applyFill="1"/>
    <xf numFmtId="9" fontId="0" fillId="26" borderId="0" xfId="0" applyNumberFormat="1" applyFill="1"/>
    <xf numFmtId="9" fontId="0" fillId="35" borderId="0" xfId="0" applyNumberFormat="1" applyFill="1"/>
    <xf numFmtId="9" fontId="0" fillId="24" borderId="0" xfId="0" applyNumberFormat="1" applyFill="1"/>
    <xf numFmtId="0" fontId="0" fillId="35" borderId="0" xfId="0" applyFill="1" applyAlignment="1">
      <alignment vertical="center"/>
    </xf>
    <xf numFmtId="0" fontId="0" fillId="24" borderId="0" xfId="0" applyFill="1" applyAlignment="1">
      <alignment vertical="center"/>
    </xf>
    <xf numFmtId="0" fontId="0" fillId="17" borderId="0" xfId="0" applyFill="1" applyAlignment="1">
      <alignment vertical="center"/>
    </xf>
    <xf numFmtId="0" fontId="4" fillId="5" borderId="101" xfId="0" applyFont="1" applyFill="1" applyBorder="1"/>
    <xf numFmtId="0" fontId="4" fillId="5" borderId="100" xfId="0" applyFont="1" applyFill="1" applyBorder="1"/>
    <xf numFmtId="171" fontId="0" fillId="0" borderId="48" xfId="46" applyNumberFormat="1" applyFont="1" applyBorder="1" applyAlignment="1"/>
    <xf numFmtId="0" fontId="4" fillId="5" borderId="102" xfId="0" applyFont="1" applyFill="1" applyBorder="1"/>
    <xf numFmtId="0" fontId="4" fillId="5" borderId="103" xfId="0" applyFont="1" applyFill="1" applyBorder="1"/>
    <xf numFmtId="0" fontId="4" fillId="6" borderId="0" xfId="0" applyFont="1" applyFill="1"/>
    <xf numFmtId="0" fontId="4" fillId="6" borderId="47" xfId="0" applyFont="1" applyFill="1" applyBorder="1"/>
    <xf numFmtId="0" fontId="4" fillId="6" borderId="14" xfId="0" applyFont="1" applyFill="1" applyBorder="1"/>
    <xf numFmtId="0" fontId="4" fillId="6" borderId="15" xfId="0" applyFont="1" applyFill="1" applyBorder="1"/>
    <xf numFmtId="0" fontId="4" fillId="26" borderId="14" xfId="0" applyFont="1" applyFill="1" applyBorder="1"/>
    <xf numFmtId="0" fontId="4" fillId="26" borderId="15" xfId="0" applyFont="1" applyFill="1" applyBorder="1"/>
    <xf numFmtId="0" fontId="4" fillId="26" borderId="101" xfId="0" applyFont="1" applyFill="1" applyBorder="1"/>
    <xf numFmtId="0" fontId="4" fillId="26" borderId="100" xfId="0" applyFont="1" applyFill="1" applyBorder="1"/>
    <xf numFmtId="0" fontId="4" fillId="3" borderId="0" xfId="0" applyFont="1" applyFill="1"/>
    <xf numFmtId="0" fontId="4" fillId="3" borderId="47" xfId="0" applyFont="1" applyFill="1" applyBorder="1"/>
    <xf numFmtId="171" fontId="0" fillId="0" borderId="14" xfId="46" applyNumberFormat="1" applyFont="1" applyFill="1" applyBorder="1"/>
    <xf numFmtId="0" fontId="87" fillId="0" borderId="0" xfId="0" applyFont="1"/>
    <xf numFmtId="0" fontId="0" fillId="84" borderId="0" xfId="0" applyFill="1"/>
    <xf numFmtId="0" fontId="13" fillId="28" borderId="0" xfId="0" applyFont="1" applyFill="1"/>
    <xf numFmtId="0" fontId="13" fillId="29" borderId="0" xfId="0" applyFont="1" applyFill="1"/>
    <xf numFmtId="165" fontId="0" fillId="66" borderId="0" xfId="0" applyNumberFormat="1" applyFill="1"/>
    <xf numFmtId="2" fontId="0" fillId="81" borderId="0" xfId="0" applyNumberFormat="1" applyFill="1"/>
    <xf numFmtId="2" fontId="0" fillId="66" borderId="0" xfId="0" applyNumberFormat="1" applyFill="1"/>
    <xf numFmtId="164" fontId="0" fillId="66" borderId="0" xfId="0" applyNumberFormat="1" applyFill="1"/>
    <xf numFmtId="167" fontId="0" fillId="66" borderId="0" xfId="0" applyNumberFormat="1" applyFill="1"/>
    <xf numFmtId="2" fontId="0" fillId="27" borderId="0" xfId="0" applyNumberFormat="1" applyFill="1"/>
    <xf numFmtId="2" fontId="0" fillId="3" borderId="0" xfId="0" applyNumberFormat="1" applyFill="1"/>
    <xf numFmtId="0" fontId="5" fillId="66" borderId="0" xfId="0" applyFont="1" applyFill="1"/>
    <xf numFmtId="164" fontId="0" fillId="18" borderId="0" xfId="0" applyNumberFormat="1" applyFill="1"/>
    <xf numFmtId="0" fontId="0" fillId="85" borderId="0" xfId="0" applyFill="1"/>
    <xf numFmtId="0" fontId="0" fillId="6" borderId="0" xfId="0" applyFill="1"/>
    <xf numFmtId="0" fontId="13" fillId="4" borderId="0" xfId="0" applyFont="1" applyFill="1"/>
    <xf numFmtId="0" fontId="13" fillId="19" borderId="0" xfId="0" applyFont="1" applyFill="1"/>
    <xf numFmtId="2" fontId="0" fillId="17" borderId="0" xfId="0" applyNumberFormat="1" applyFill="1"/>
    <xf numFmtId="1" fontId="4" fillId="12" borderId="1" xfId="0" applyNumberFormat="1" applyFont="1" applyFill="1" applyBorder="1" applyAlignment="1">
      <alignment vertical="center"/>
    </xf>
    <xf numFmtId="1" fontId="4" fillId="12" borderId="1" xfId="0" applyNumberFormat="1" applyFont="1" applyFill="1" applyBorder="1" applyAlignment="1">
      <alignment horizontal="left" vertical="center"/>
    </xf>
    <xf numFmtId="1" fontId="13" fillId="12" borderId="1" xfId="0" applyNumberFormat="1" applyFont="1" applyFill="1" applyBorder="1" applyAlignment="1">
      <alignment horizontal="left" vertical="center"/>
    </xf>
    <xf numFmtId="1" fontId="13" fillId="12" borderId="1" xfId="0" applyNumberFormat="1" applyFont="1" applyFill="1" applyBorder="1" applyAlignment="1">
      <alignment horizontal="right" vertical="center"/>
    </xf>
    <xf numFmtId="0" fontId="0" fillId="86" borderId="1" xfId="0" applyFill="1" applyBorder="1" applyAlignment="1">
      <alignment horizontal="right"/>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0"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0" fontId="13" fillId="0" borderId="1" xfId="0" applyFont="1" applyBorder="1" applyAlignment="1">
      <alignment horizontal="left" vertical="center" wrapText="1"/>
    </xf>
    <xf numFmtId="0" fontId="13" fillId="0" borderId="1" xfId="0" applyFont="1" applyBorder="1" applyAlignment="1">
      <alignment horizontal="center" vertical="center"/>
    </xf>
    <xf numFmtId="0" fontId="13" fillId="0" borderId="1" xfId="0" applyFont="1" applyBorder="1" applyAlignment="1">
      <alignment horizontal="left" vertical="center"/>
    </xf>
    <xf numFmtId="164" fontId="0" fillId="86" borderId="1" xfId="0" applyNumberFormat="1" applyFill="1" applyBorder="1" applyAlignment="1">
      <alignment horizontal="right"/>
    </xf>
    <xf numFmtId="164" fontId="13" fillId="86" borderId="1" xfId="0" applyNumberFormat="1" applyFont="1" applyFill="1" applyBorder="1" applyAlignment="1">
      <alignment horizontal="right" vertical="center"/>
    </xf>
    <xf numFmtId="1" fontId="4" fillId="12" borderId="1" xfId="0" applyNumberFormat="1" applyFont="1" applyFill="1" applyBorder="1"/>
    <xf numFmtId="164" fontId="13" fillId="87" borderId="1" xfId="0" applyNumberFormat="1" applyFont="1" applyFill="1" applyBorder="1" applyAlignment="1">
      <alignment horizontal="right"/>
    </xf>
    <xf numFmtId="0" fontId="4" fillId="17" borderId="1" xfId="0" applyFont="1" applyFill="1" applyBorder="1" applyAlignment="1">
      <alignment vertical="center"/>
    </xf>
    <xf numFmtId="0" fontId="0" fillId="86" borderId="1" xfId="0" applyFill="1" applyBorder="1"/>
    <xf numFmtId="164" fontId="0" fillId="0" borderId="1" xfId="0" applyNumberFormat="1" applyBorder="1"/>
    <xf numFmtId="2" fontId="0" fillId="86" borderId="1" xfId="0" applyNumberFormat="1" applyFill="1" applyBorder="1"/>
    <xf numFmtId="0" fontId="4" fillId="12" borderId="1" xfId="0" applyFont="1" applyFill="1" applyBorder="1" applyAlignment="1">
      <alignment vertical="center"/>
    </xf>
    <xf numFmtId="0" fontId="13" fillId="12" borderId="1" xfId="0" applyFont="1" applyFill="1" applyBorder="1" applyAlignment="1">
      <alignment horizontal="left" vertical="center"/>
    </xf>
    <xf numFmtId="164" fontId="0" fillId="87" borderId="1" xfId="0" applyNumberFormat="1" applyFill="1" applyBorder="1"/>
    <xf numFmtId="0" fontId="13" fillId="86" borderId="0" xfId="0" applyFont="1" applyFill="1" applyAlignment="1">
      <alignment horizontal="right" vertical="center"/>
    </xf>
    <xf numFmtId="2" fontId="0" fillId="86" borderId="0" xfId="0" applyNumberFormat="1" applyFill="1"/>
    <xf numFmtId="2" fontId="0" fillId="88" borderId="0" xfId="0" applyNumberFormat="1" applyFill="1"/>
    <xf numFmtId="0" fontId="0" fillId="88" borderId="0" xfId="0" applyFill="1"/>
    <xf numFmtId="0" fontId="0" fillId="86" borderId="0" xfId="0" applyFill="1"/>
    <xf numFmtId="164" fontId="0" fillId="4" borderId="1" xfId="0" applyNumberFormat="1" applyFill="1" applyBorder="1"/>
    <xf numFmtId="0" fontId="0" fillId="87" borderId="1" xfId="0" applyFill="1" applyBorder="1"/>
    <xf numFmtId="0" fontId="0" fillId="73" borderId="0" xfId="0" applyFill="1" applyAlignment="1">
      <alignment horizontal="center"/>
    </xf>
    <xf numFmtId="164" fontId="0" fillId="3" borderId="0" xfId="0" applyNumberFormat="1" applyFill="1"/>
    <xf numFmtId="1" fontId="4" fillId="12" borderId="1" xfId="0" applyNumberFormat="1" applyFont="1" applyFill="1" applyBorder="1" applyAlignment="1">
      <alignment horizontal="left"/>
    </xf>
    <xf numFmtId="1" fontId="13" fillId="12" borderId="1" xfId="0" applyNumberFormat="1" applyFont="1" applyFill="1" applyBorder="1" applyAlignment="1">
      <alignment horizontal="left"/>
    </xf>
    <xf numFmtId="0" fontId="13" fillId="4" borderId="1" xfId="0" applyFont="1" applyFill="1" applyBorder="1"/>
    <xf numFmtId="1" fontId="13" fillId="87" borderId="1" xfId="0" applyNumberFormat="1" applyFont="1" applyFill="1" applyBorder="1" applyAlignment="1">
      <alignment horizontal="right"/>
    </xf>
    <xf numFmtId="0" fontId="13" fillId="86" borderId="1" xfId="0" applyFont="1" applyFill="1" applyBorder="1" applyAlignment="1">
      <alignment horizontal="right"/>
    </xf>
    <xf numFmtId="1" fontId="13" fillId="0" borderId="1" xfId="0" applyNumberFormat="1" applyFont="1" applyBorder="1" applyAlignment="1">
      <alignment horizontal="right"/>
    </xf>
    <xf numFmtId="2" fontId="13" fillId="0" borderId="1" xfId="0" applyNumberFormat="1" applyFont="1" applyBorder="1" applyAlignment="1">
      <alignment horizontal="right"/>
    </xf>
    <xf numFmtId="0" fontId="13" fillId="35" borderId="1" xfId="0" applyFont="1" applyFill="1" applyBorder="1" applyAlignment="1">
      <alignment horizontal="center"/>
    </xf>
    <xf numFmtId="0" fontId="13" fillId="35" borderId="1" xfId="0" applyFont="1" applyFill="1" applyBorder="1" applyAlignment="1">
      <alignment horizontal="left" vertical="center"/>
    </xf>
    <xf numFmtId="1" fontId="13" fillId="12" borderId="1" xfId="0" applyNumberFormat="1" applyFont="1" applyFill="1" applyBorder="1" applyAlignment="1">
      <alignment horizontal="right"/>
    </xf>
    <xf numFmtId="0" fontId="13" fillId="0" borderId="1" xfId="0" applyFont="1" applyBorder="1" applyAlignment="1">
      <alignment horizontal="right"/>
    </xf>
    <xf numFmtId="0" fontId="13" fillId="35" borderId="1" xfId="0" applyFont="1" applyFill="1" applyBorder="1"/>
    <xf numFmtId="164" fontId="13" fillId="35" borderId="1" xfId="0" applyNumberFormat="1" applyFont="1" applyFill="1" applyBorder="1" applyAlignment="1">
      <alignment horizontal="center"/>
    </xf>
    <xf numFmtId="0" fontId="4" fillId="17" borderId="1" xfId="0" applyFont="1" applyFill="1" applyBorder="1"/>
    <xf numFmtId="0" fontId="13" fillId="12" borderId="1" xfId="0" applyFont="1" applyFill="1" applyBorder="1" applyAlignment="1">
      <alignment horizontal="right"/>
    </xf>
    <xf numFmtId="0" fontId="13" fillId="12" borderId="1" xfId="0" applyFont="1" applyFill="1" applyBorder="1" applyAlignment="1">
      <alignment horizontal="left"/>
    </xf>
    <xf numFmtId="0" fontId="13" fillId="0" borderId="1" xfId="0" applyFont="1" applyBorder="1" applyAlignment="1">
      <alignment horizontal="right" vertical="center"/>
    </xf>
    <xf numFmtId="1" fontId="13" fillId="86" borderId="1" xfId="0" applyNumberFormat="1" applyFont="1" applyFill="1" applyBorder="1" applyAlignment="1">
      <alignment horizontal="right" vertical="center"/>
    </xf>
    <xf numFmtId="0" fontId="0" fillId="4" borderId="1" xfId="0" applyFill="1" applyBorder="1" applyAlignment="1">
      <alignment vertical="center"/>
    </xf>
    <xf numFmtId="1" fontId="13" fillId="86" borderId="1" xfId="0" applyNumberFormat="1" applyFont="1" applyFill="1" applyBorder="1" applyAlignment="1">
      <alignment horizontal="right"/>
    </xf>
    <xf numFmtId="164" fontId="13" fillId="0" borderId="1" xfId="0" applyNumberFormat="1" applyFont="1" applyBorder="1" applyAlignment="1">
      <alignment horizontal="right" vertical="center"/>
    </xf>
    <xf numFmtId="164" fontId="13" fillId="0" borderId="1" xfId="0" applyNumberFormat="1" applyFont="1" applyBorder="1" applyAlignment="1">
      <alignment horizontal="right"/>
    </xf>
    <xf numFmtId="2" fontId="13" fillId="35" borderId="1" xfId="0" applyNumberFormat="1" applyFont="1" applyFill="1" applyBorder="1" applyAlignment="1">
      <alignment horizontal="center"/>
    </xf>
    <xf numFmtId="0" fontId="5" fillId="0" borderId="1" xfId="0" applyFont="1" applyBorder="1" applyAlignment="1">
      <alignment horizontal="right"/>
    </xf>
    <xf numFmtId="164" fontId="0" fillId="0" borderId="1" xfId="0" applyNumberFormat="1" applyBorder="1" applyAlignment="1">
      <alignment horizontal="right"/>
    </xf>
    <xf numFmtId="2" fontId="0" fillId="0" borderId="1" xfId="0" applyNumberFormat="1" applyBorder="1" applyAlignment="1">
      <alignment horizontal="right"/>
    </xf>
    <xf numFmtId="164" fontId="0" fillId="87" borderId="1" xfId="0" applyNumberFormat="1" applyFill="1" applyBorder="1" applyAlignment="1">
      <alignment horizontal="right"/>
    </xf>
    <xf numFmtId="0" fontId="13" fillId="86" borderId="1" xfId="0" applyFont="1" applyFill="1" applyBorder="1" applyAlignment="1">
      <alignment horizontal="right" vertical="center"/>
    </xf>
    <xf numFmtId="165" fontId="0" fillId="0" borderId="1" xfId="0" applyNumberFormat="1" applyBorder="1" applyAlignment="1">
      <alignment horizontal="right"/>
    </xf>
    <xf numFmtId="165" fontId="13" fillId="0" borderId="1" xfId="0" applyNumberFormat="1" applyFont="1" applyBorder="1" applyAlignment="1">
      <alignment horizontal="right"/>
    </xf>
    <xf numFmtId="166" fontId="13" fillId="0" borderId="1" xfId="0" applyNumberFormat="1" applyFont="1" applyBorder="1" applyAlignment="1">
      <alignment horizontal="right"/>
    </xf>
    <xf numFmtId="0" fontId="4" fillId="40" borderId="1" xfId="0" applyFont="1" applyFill="1" applyBorder="1"/>
    <xf numFmtId="0" fontId="0" fillId="40" borderId="1" xfId="0" applyFill="1" applyBorder="1"/>
    <xf numFmtId="0" fontId="13" fillId="40" borderId="1" xfId="0" applyFont="1" applyFill="1" applyBorder="1" applyAlignment="1">
      <alignment horizontal="center"/>
    </xf>
    <xf numFmtId="0" fontId="13" fillId="40" borderId="1" xfId="0" applyFont="1" applyFill="1" applyBorder="1" applyAlignment="1">
      <alignment horizontal="left"/>
    </xf>
    <xf numFmtId="0" fontId="13" fillId="40" borderId="1" xfId="0" applyFont="1" applyFill="1" applyBorder="1" applyAlignment="1">
      <alignment horizontal="right"/>
    </xf>
    <xf numFmtId="1" fontId="13" fillId="40" borderId="1" xfId="0" applyNumberFormat="1" applyFont="1" applyFill="1" applyBorder="1" applyAlignment="1">
      <alignment horizontal="right"/>
    </xf>
    <xf numFmtId="0" fontId="0" fillId="40" borderId="1" xfId="0" applyFill="1" applyBorder="1" applyAlignment="1">
      <alignment horizontal="left"/>
    </xf>
    <xf numFmtId="0" fontId="41" fillId="4" borderId="1" xfId="0" applyFont="1" applyFill="1" applyBorder="1"/>
    <xf numFmtId="164" fontId="13" fillId="86" borderId="1" xfId="0" applyNumberFormat="1" applyFont="1" applyFill="1" applyBorder="1" applyAlignment="1">
      <alignment horizontal="right"/>
    </xf>
    <xf numFmtId="2" fontId="13" fillId="86" borderId="1" xfId="0" applyNumberFormat="1" applyFont="1" applyFill="1" applyBorder="1" applyAlignment="1">
      <alignment horizontal="right"/>
    </xf>
    <xf numFmtId="0" fontId="13" fillId="35" borderId="1" xfId="0" applyFont="1" applyFill="1" applyBorder="1" applyAlignment="1">
      <alignment horizontal="right"/>
    </xf>
    <xf numFmtId="164" fontId="13" fillId="35" borderId="1" xfId="0" applyNumberFormat="1" applyFont="1" applyFill="1" applyBorder="1" applyAlignment="1">
      <alignment horizontal="right"/>
    </xf>
    <xf numFmtId="164" fontId="0" fillId="81" borderId="0" xfId="0" applyNumberFormat="1" applyFill="1"/>
    <xf numFmtId="2" fontId="0" fillId="18" borderId="0" xfId="0" applyNumberFormat="1" applyFill="1"/>
    <xf numFmtId="1" fontId="0" fillId="18" borderId="0" xfId="0" applyNumberFormat="1" applyFill="1"/>
    <xf numFmtId="166" fontId="0" fillId="66" borderId="0" xfId="0" applyNumberFormat="1" applyFill="1"/>
    <xf numFmtId="166" fontId="0" fillId="18" borderId="0" xfId="0" applyNumberFormat="1" applyFill="1"/>
    <xf numFmtId="1" fontId="0" fillId="40" borderId="1" xfId="0" applyNumberFormat="1" applyFill="1" applyBorder="1" applyAlignment="1">
      <alignment horizontal="center"/>
    </xf>
    <xf numFmtId="1" fontId="0" fillId="87" borderId="1" xfId="0" applyNumberFormat="1" applyFill="1" applyBorder="1" applyAlignment="1">
      <alignment horizontal="right"/>
    </xf>
    <xf numFmtId="2" fontId="0" fillId="86" borderId="1" xfId="0" applyNumberFormat="1" applyFill="1" applyBorder="1" applyAlignment="1">
      <alignment horizontal="right"/>
    </xf>
    <xf numFmtId="1" fontId="0" fillId="0" borderId="1" xfId="0" applyNumberFormat="1" applyBorder="1" applyAlignment="1">
      <alignment horizontal="right"/>
    </xf>
    <xf numFmtId="1" fontId="0" fillId="0" borderId="1" xfId="0" applyNumberFormat="1" applyBorder="1" applyAlignment="1">
      <alignment horizontal="right" vertical="center"/>
    </xf>
    <xf numFmtId="2" fontId="13" fillId="87" borderId="1" xfId="0" applyNumberFormat="1" applyFont="1" applyFill="1" applyBorder="1"/>
    <xf numFmtId="1" fontId="0" fillId="87" borderId="1" xfId="0" applyNumberFormat="1" applyFill="1" applyBorder="1"/>
    <xf numFmtId="2" fontId="13" fillId="2" borderId="1" xfId="0" applyNumberFormat="1" applyFont="1" applyFill="1" applyBorder="1" applyAlignment="1">
      <alignment horizontal="left"/>
    </xf>
    <xf numFmtId="1" fontId="13" fillId="87" borderId="1" xfId="0" applyNumberFormat="1" applyFont="1" applyFill="1" applyBorder="1" applyAlignment="1">
      <alignment vertical="center" wrapText="1"/>
    </xf>
    <xf numFmtId="166" fontId="13" fillId="86" borderId="1" xfId="0" applyNumberFormat="1" applyFont="1" applyFill="1" applyBorder="1"/>
    <xf numFmtId="0" fontId="13" fillId="86" borderId="1" xfId="0" applyFont="1" applyFill="1" applyBorder="1"/>
    <xf numFmtId="164" fontId="0" fillId="86" borderId="1" xfId="0" applyNumberFormat="1" applyFill="1" applyBorder="1"/>
    <xf numFmtId="164" fontId="13" fillId="0" borderId="1" xfId="0" applyNumberFormat="1" applyFont="1" applyBorder="1"/>
    <xf numFmtId="164" fontId="24" fillId="0" borderId="1" xfId="0" applyNumberFormat="1" applyFont="1" applyBorder="1" applyAlignment="1">
      <alignment vertical="center" wrapText="1"/>
    </xf>
    <xf numFmtId="1" fontId="13" fillId="2" borderId="1" xfId="0" applyNumberFormat="1" applyFont="1" applyFill="1" applyBorder="1"/>
    <xf numFmtId="171" fontId="0" fillId="2" borderId="1" xfId="46" applyNumberFormat="1" applyFont="1" applyFill="1" applyBorder="1" applyAlignment="1">
      <alignment horizontal="left"/>
    </xf>
    <xf numFmtId="0" fontId="13" fillId="87" borderId="1" xfId="0" applyFont="1" applyFill="1" applyBorder="1" applyAlignment="1">
      <alignment horizontal="left"/>
    </xf>
    <xf numFmtId="1" fontId="13" fillId="0" borderId="1" xfId="0" applyNumberFormat="1" applyFont="1" applyBorder="1"/>
    <xf numFmtId="1" fontId="13" fillId="2" borderId="1" xfId="0" applyNumberFormat="1" applyFont="1" applyFill="1" applyBorder="1" applyAlignment="1">
      <alignment horizontal="right"/>
    </xf>
    <xf numFmtId="0" fontId="0" fillId="17" borderId="1" xfId="0" applyFill="1" applyBorder="1" applyAlignment="1">
      <alignment horizontal="left"/>
    </xf>
    <xf numFmtId="0" fontId="13" fillId="17" borderId="1" xfId="0" applyFont="1" applyFill="1" applyBorder="1" applyAlignment="1">
      <alignment horizontal="left"/>
    </xf>
    <xf numFmtId="171" fontId="13" fillId="2" borderId="1" xfId="46" applyNumberFormat="1" applyFont="1" applyFill="1" applyBorder="1" applyAlignment="1">
      <alignment horizontal="left"/>
    </xf>
    <xf numFmtId="1" fontId="13" fillId="2" borderId="1" xfId="0" applyNumberFormat="1" applyFont="1" applyFill="1" applyBorder="1" applyAlignment="1">
      <alignment horizontal="left"/>
    </xf>
    <xf numFmtId="1" fontId="7" fillId="12" borderId="1" xfId="0" applyNumberFormat="1" applyFont="1" applyFill="1" applyBorder="1" applyAlignment="1">
      <alignment horizontal="left"/>
    </xf>
    <xf numFmtId="1" fontId="4" fillId="12" borderId="1" xfId="0" applyNumberFormat="1" applyFont="1" applyFill="1" applyBorder="1" applyAlignment="1">
      <alignment horizontal="right"/>
    </xf>
    <xf numFmtId="1" fontId="30" fillId="12" borderId="1" xfId="0" applyNumberFormat="1" applyFont="1" applyFill="1" applyBorder="1" applyAlignment="1">
      <alignment horizontal="right"/>
    </xf>
    <xf numFmtId="0" fontId="13" fillId="2" borderId="1" xfId="0" applyFont="1" applyFill="1" applyBorder="1" applyAlignment="1">
      <alignment horizontal="left" vertical="center"/>
    </xf>
    <xf numFmtId="0" fontId="0" fillId="0" borderId="1" xfId="11" applyFont="1" applyBorder="1"/>
    <xf numFmtId="0" fontId="13" fillId="86" borderId="1" xfId="11" applyFont="1" applyFill="1" applyBorder="1" applyAlignment="1">
      <alignment horizontal="right"/>
    </xf>
    <xf numFmtId="1" fontId="7" fillId="0" borderId="1" xfId="0" applyNumberFormat="1" applyFont="1" applyBorder="1" applyAlignment="1">
      <alignment horizontal="left"/>
    </xf>
    <xf numFmtId="0" fontId="13" fillId="0" borderId="1" xfId="11" applyFont="1" applyBorder="1" applyAlignment="1">
      <alignment horizontal="right"/>
    </xf>
    <xf numFmtId="0" fontId="13" fillId="4" borderId="1" xfId="11" applyFont="1" applyFill="1" applyBorder="1"/>
    <xf numFmtId="0" fontId="13" fillId="0" borderId="1" xfId="11" applyFont="1" applyBorder="1"/>
    <xf numFmtId="0" fontId="0" fillId="0" borderId="1" xfId="11" applyFont="1" applyBorder="1" applyAlignment="1">
      <alignment horizontal="left"/>
    </xf>
    <xf numFmtId="0" fontId="13" fillId="35" borderId="1" xfId="0" applyFont="1" applyFill="1" applyBorder="1" applyAlignment="1">
      <alignment horizontal="left"/>
    </xf>
    <xf numFmtId="0" fontId="0" fillId="4" borderId="1" xfId="11" applyFont="1" applyFill="1" applyBorder="1"/>
    <xf numFmtId="0" fontId="0" fillId="87" borderId="1" xfId="11" applyFont="1" applyFill="1" applyBorder="1"/>
    <xf numFmtId="0" fontId="0" fillId="87" borderId="1" xfId="0" applyFill="1" applyBorder="1" applyAlignment="1">
      <alignment horizontal="left"/>
    </xf>
    <xf numFmtId="0" fontId="0" fillId="26" borderId="1" xfId="11" applyFont="1" applyFill="1" applyBorder="1"/>
    <xf numFmtId="171" fontId="13" fillId="0" borderId="1" xfId="46" applyNumberFormat="1" applyFont="1" applyBorder="1" applyAlignment="1">
      <alignment horizontal="right"/>
    </xf>
    <xf numFmtId="165" fontId="0" fillId="86" borderId="1" xfId="11" applyNumberFormat="1" applyFont="1" applyFill="1" applyBorder="1"/>
    <xf numFmtId="164" fontId="13" fillId="88" borderId="1" xfId="0" applyNumberFormat="1" applyFont="1" applyFill="1" applyBorder="1" applyAlignment="1">
      <alignment horizontal="right"/>
    </xf>
    <xf numFmtId="1" fontId="0" fillId="66" borderId="0" xfId="0" applyNumberFormat="1" applyFill="1"/>
    <xf numFmtId="1" fontId="13" fillId="0" borderId="1" xfId="0" applyNumberFormat="1" applyFont="1" applyBorder="1" applyAlignment="1">
      <alignment horizontal="left"/>
    </xf>
    <xf numFmtId="1" fontId="0" fillId="89" borderId="1" xfId="0" applyNumberFormat="1" applyFill="1" applyBorder="1" applyAlignment="1">
      <alignment horizontal="right"/>
    </xf>
    <xf numFmtId="0" fontId="0" fillId="89" borderId="1" xfId="0" applyFill="1" applyBorder="1" applyAlignment="1">
      <alignment horizontal="right"/>
    </xf>
    <xf numFmtId="2" fontId="0" fillId="89" borderId="1" xfId="0" applyNumberFormat="1" applyFill="1" applyBorder="1" applyAlignment="1">
      <alignment horizontal="right"/>
    </xf>
    <xf numFmtId="1" fontId="0" fillId="89" borderId="1" xfId="0" applyNumberFormat="1" applyFill="1" applyBorder="1" applyAlignment="1">
      <alignment horizontal="right" vertical="center"/>
    </xf>
    <xf numFmtId="2" fontId="13" fillId="89" borderId="1" xfId="0" applyNumberFormat="1" applyFont="1" applyFill="1" applyBorder="1"/>
    <xf numFmtId="1" fontId="0" fillId="89" borderId="1" xfId="0" applyNumberFormat="1" applyFill="1" applyBorder="1"/>
    <xf numFmtId="1" fontId="13" fillId="89" borderId="1" xfId="0" applyNumberFormat="1" applyFont="1" applyFill="1" applyBorder="1" applyAlignment="1">
      <alignment vertical="center" wrapText="1"/>
    </xf>
    <xf numFmtId="164" fontId="0" fillId="89" borderId="1" xfId="0" applyNumberFormat="1" applyFill="1" applyBorder="1"/>
    <xf numFmtId="0" fontId="0" fillId="89" borderId="1" xfId="0" applyFill="1" applyBorder="1"/>
    <xf numFmtId="166" fontId="13" fillId="89" borderId="1" xfId="0" applyNumberFormat="1" applyFont="1" applyFill="1" applyBorder="1"/>
    <xf numFmtId="0" fontId="13" fillId="89" borderId="1" xfId="0" applyFont="1" applyFill="1" applyBorder="1"/>
    <xf numFmtId="164" fontId="13" fillId="89" borderId="1" xfId="0" applyNumberFormat="1" applyFont="1" applyFill="1" applyBorder="1"/>
    <xf numFmtId="164" fontId="24" fillId="89" borderId="1" xfId="0" applyNumberFormat="1" applyFont="1" applyFill="1" applyBorder="1" applyAlignment="1">
      <alignment vertical="center" wrapText="1"/>
    </xf>
    <xf numFmtId="1" fontId="13" fillId="89" borderId="1" xfId="0" applyNumberFormat="1" applyFont="1" applyFill="1" applyBorder="1"/>
    <xf numFmtId="1" fontId="13" fillId="89" borderId="1" xfId="0" applyNumberFormat="1" applyFont="1" applyFill="1" applyBorder="1" applyAlignment="1">
      <alignment horizontal="right"/>
    </xf>
    <xf numFmtId="0" fontId="13" fillId="89" borderId="1" xfId="0" applyFont="1" applyFill="1" applyBorder="1" applyAlignment="1">
      <alignment horizontal="right"/>
    </xf>
    <xf numFmtId="2" fontId="13" fillId="89" borderId="1" xfId="0" applyNumberFormat="1" applyFont="1" applyFill="1" applyBorder="1" applyAlignment="1">
      <alignment horizontal="right"/>
    </xf>
    <xf numFmtId="0" fontId="13" fillId="89" borderId="1" xfId="11" applyFont="1" applyFill="1" applyBorder="1" applyAlignment="1">
      <alignment horizontal="right"/>
    </xf>
    <xf numFmtId="164" fontId="13" fillId="89" borderId="1" xfId="0" applyNumberFormat="1" applyFont="1" applyFill="1" applyBorder="1" applyAlignment="1">
      <alignment horizontal="right"/>
    </xf>
    <xf numFmtId="165" fontId="13" fillId="89" borderId="1" xfId="0" applyNumberFormat="1" applyFont="1" applyFill="1" applyBorder="1" applyAlignment="1">
      <alignment horizontal="right"/>
    </xf>
    <xf numFmtId="171" fontId="13" fillId="89" borderId="1" xfId="46" applyNumberFormat="1" applyFont="1" applyFill="1" applyBorder="1" applyAlignment="1">
      <alignment horizontal="right"/>
    </xf>
    <xf numFmtId="165" fontId="0" fillId="89" borderId="1" xfId="11" applyNumberFormat="1" applyFont="1" applyFill="1" applyBorder="1"/>
    <xf numFmtId="0" fontId="0" fillId="89" borderId="0" xfId="0" applyFill="1"/>
    <xf numFmtId="2" fontId="0" fillId="89" borderId="1" xfId="0" applyNumberFormat="1" applyFill="1" applyBorder="1"/>
    <xf numFmtId="1" fontId="4" fillId="0" borderId="1" xfId="0" applyNumberFormat="1" applyFont="1" applyBorder="1" applyAlignment="1">
      <alignment horizontal="left"/>
    </xf>
    <xf numFmtId="0" fontId="13" fillId="26" borderId="0" xfId="0" applyFont="1" applyFill="1"/>
    <xf numFmtId="0" fontId="13" fillId="74" borderId="0" xfId="0" applyFont="1" applyFill="1"/>
    <xf numFmtId="0" fontId="13" fillId="75" borderId="0" xfId="0" applyFont="1" applyFill="1"/>
    <xf numFmtId="0" fontId="13" fillId="76" borderId="0" xfId="0" applyFont="1" applyFill="1"/>
    <xf numFmtId="0" fontId="13" fillId="77" borderId="0" xfId="0" applyFont="1" applyFill="1"/>
    <xf numFmtId="2" fontId="13" fillId="78" borderId="0" xfId="0" applyNumberFormat="1" applyFont="1" applyFill="1"/>
    <xf numFmtId="0" fontId="13" fillId="56" borderId="0" xfId="0" applyFont="1" applyFill="1"/>
    <xf numFmtId="2" fontId="13" fillId="76" borderId="0" xfId="0" applyNumberFormat="1" applyFont="1" applyFill="1"/>
    <xf numFmtId="0" fontId="5" fillId="34" borderId="1" xfId="0" applyFont="1" applyFill="1" applyBorder="1" applyAlignment="1">
      <alignment horizontal="center" vertical="center"/>
    </xf>
    <xf numFmtId="165" fontId="0" fillId="0" borderId="1" xfId="0" applyNumberFormat="1" applyBorder="1"/>
    <xf numFmtId="1" fontId="30" fillId="12" borderId="1" xfId="0" applyNumberFormat="1" applyFont="1" applyFill="1" applyBorder="1"/>
    <xf numFmtId="1" fontId="30" fillId="12" borderId="1" xfId="0" applyNumberFormat="1" applyFont="1" applyFill="1" applyBorder="1" applyAlignment="1">
      <alignment horizontal="left"/>
    </xf>
    <xf numFmtId="0" fontId="13" fillId="0" borderId="1" xfId="11" applyFont="1" applyBorder="1" applyAlignment="1">
      <alignment horizontal="left"/>
    </xf>
    <xf numFmtId="1" fontId="13" fillId="35" borderId="1" xfId="0" applyNumberFormat="1" applyFont="1" applyFill="1" applyBorder="1" applyAlignment="1">
      <alignment horizontal="center"/>
    </xf>
    <xf numFmtId="2" fontId="13" fillId="0" borderId="1" xfId="0" applyNumberFormat="1" applyFont="1" applyBorder="1" applyAlignment="1">
      <alignment horizontal="left"/>
    </xf>
    <xf numFmtId="0" fontId="13" fillId="87" borderId="1" xfId="11" applyFont="1" applyFill="1" applyBorder="1"/>
    <xf numFmtId="0" fontId="30" fillId="40" borderId="1" xfId="0" applyFont="1" applyFill="1" applyBorder="1"/>
    <xf numFmtId="0" fontId="13" fillId="40" borderId="1" xfId="0" applyFont="1" applyFill="1" applyBorder="1"/>
    <xf numFmtId="0" fontId="13" fillId="4" borderId="1" xfId="0" applyFont="1" applyFill="1" applyBorder="1" applyAlignment="1">
      <alignment horizontal="left" vertical="center"/>
    </xf>
    <xf numFmtId="0" fontId="30" fillId="90" borderId="1" xfId="0" applyFont="1" applyFill="1" applyBorder="1"/>
    <xf numFmtId="0" fontId="13" fillId="90" borderId="1" xfId="0" applyFont="1" applyFill="1" applyBorder="1"/>
    <xf numFmtId="0" fontId="13" fillId="90" borderId="1" xfId="0" applyFont="1" applyFill="1" applyBorder="1" applyAlignment="1">
      <alignment horizontal="center"/>
    </xf>
    <xf numFmtId="1" fontId="13" fillId="90" borderId="1" xfId="0" applyNumberFormat="1" applyFont="1" applyFill="1" applyBorder="1" applyAlignment="1">
      <alignment horizontal="right"/>
    </xf>
    <xf numFmtId="0" fontId="13" fillId="90" borderId="1" xfId="0" applyFont="1" applyFill="1" applyBorder="1" applyAlignment="1">
      <alignment horizontal="left"/>
    </xf>
    <xf numFmtId="0" fontId="13" fillId="86" borderId="1" xfId="0" applyFont="1" applyFill="1" applyBorder="1" applyAlignment="1">
      <alignment horizontal="center"/>
    </xf>
    <xf numFmtId="0" fontId="13" fillId="21" borderId="1" xfId="0" applyFont="1" applyFill="1" applyBorder="1"/>
    <xf numFmtId="0" fontId="13" fillId="4" borderId="1" xfId="0" applyFont="1" applyFill="1" applyBorder="1" applyAlignment="1">
      <alignment horizontal="right"/>
    </xf>
    <xf numFmtId="2" fontId="13" fillId="2" borderId="1" xfId="0" applyNumberFormat="1" applyFont="1" applyFill="1" applyBorder="1" applyAlignment="1">
      <alignment horizontal="right"/>
    </xf>
    <xf numFmtId="1" fontId="13" fillId="35" borderId="1" xfId="0" applyNumberFormat="1" applyFont="1" applyFill="1" applyBorder="1" applyAlignment="1">
      <alignment horizontal="right"/>
    </xf>
    <xf numFmtId="16" fontId="13" fillId="0" borderId="1" xfId="0" applyNumberFormat="1" applyFont="1" applyBorder="1" applyAlignment="1">
      <alignment horizontal="center"/>
    </xf>
    <xf numFmtId="1" fontId="13" fillId="0" borderId="1" xfId="0" applyNumberFormat="1" applyFont="1" applyBorder="1" applyAlignment="1">
      <alignment horizontal="right" vertical="center"/>
    </xf>
    <xf numFmtId="9" fontId="13" fillId="0" borderId="1" xfId="22" applyFont="1" applyFill="1" applyBorder="1" applyAlignment="1">
      <alignment horizontal="center"/>
    </xf>
    <xf numFmtId="1" fontId="13" fillId="40" borderId="1" xfId="0" applyNumberFormat="1" applyFont="1" applyFill="1" applyBorder="1" applyAlignment="1">
      <alignment horizontal="center"/>
    </xf>
    <xf numFmtId="2" fontId="13" fillId="88" borderId="1" xfId="0" applyNumberFormat="1" applyFont="1" applyFill="1" applyBorder="1" applyAlignment="1">
      <alignment horizontal="right"/>
    </xf>
    <xf numFmtId="1" fontId="0" fillId="2" borderId="1" xfId="0" applyNumberFormat="1" applyFill="1" applyBorder="1" applyAlignment="1">
      <alignment horizontal="left"/>
    </xf>
    <xf numFmtId="2" fontId="0" fillId="2" borderId="1" xfId="0" applyNumberFormat="1" applyFill="1" applyBorder="1" applyAlignment="1">
      <alignment horizontal="right"/>
    </xf>
    <xf numFmtId="165" fontId="0" fillId="89" borderId="1" xfId="0" applyNumberFormat="1" applyFill="1" applyBorder="1"/>
    <xf numFmtId="164" fontId="13" fillId="0" borderId="1" xfId="0" applyNumberFormat="1" applyFont="1" applyBorder="1" applyAlignment="1">
      <alignment horizontal="center" vertical="center"/>
    </xf>
    <xf numFmtId="0" fontId="30" fillId="91" borderId="1" xfId="0" applyFont="1" applyFill="1" applyBorder="1"/>
    <xf numFmtId="1" fontId="0" fillId="86" borderId="1" xfId="0" applyNumberFormat="1" applyFill="1" applyBorder="1" applyAlignment="1">
      <alignment horizontal="right" vertical="center"/>
    </xf>
    <xf numFmtId="0" fontId="42" fillId="0" borderId="1" xfId="0" applyFont="1" applyBorder="1" applyAlignment="1">
      <alignment horizontal="left"/>
    </xf>
    <xf numFmtId="1" fontId="13" fillId="87" borderId="1" xfId="0" applyNumberFormat="1" applyFont="1" applyFill="1" applyBorder="1" applyAlignment="1">
      <alignment horizontal="right" vertical="center"/>
    </xf>
    <xf numFmtId="0" fontId="13" fillId="87" borderId="1" xfId="0" applyFont="1" applyFill="1" applyBorder="1" applyAlignment="1">
      <alignment horizontal="right"/>
    </xf>
    <xf numFmtId="2" fontId="13" fillId="87" borderId="1" xfId="0" applyNumberFormat="1" applyFont="1" applyFill="1" applyBorder="1" applyAlignment="1">
      <alignment horizontal="right"/>
    </xf>
    <xf numFmtId="1" fontId="0" fillId="87" borderId="1" xfId="0" applyNumberFormat="1" applyFill="1" applyBorder="1" applyAlignment="1">
      <alignment horizontal="right" vertical="center"/>
    </xf>
    <xf numFmtId="2" fontId="0" fillId="87" borderId="1" xfId="0" applyNumberFormat="1" applyFill="1" applyBorder="1" applyAlignment="1">
      <alignment horizontal="right"/>
    </xf>
    <xf numFmtId="164" fontId="0" fillId="3" borderId="1" xfId="0" applyNumberFormat="1" applyFill="1" applyBorder="1"/>
    <xf numFmtId="0" fontId="4" fillId="12" borderId="1" xfId="0" applyFont="1" applyFill="1" applyBorder="1" applyAlignment="1">
      <alignment horizontal="right"/>
    </xf>
    <xf numFmtId="0" fontId="7" fillId="0" borderId="1" xfId="0" applyFont="1" applyBorder="1" applyAlignment="1">
      <alignment horizontal="center" vertical="center"/>
    </xf>
    <xf numFmtId="0" fontId="7" fillId="0" borderId="1" xfId="0" applyFont="1" applyBorder="1" applyAlignment="1">
      <alignment horizontal="right" vertical="center"/>
    </xf>
    <xf numFmtId="0" fontId="6" fillId="0" borderId="1" xfId="0" applyFont="1" applyBorder="1" applyAlignment="1">
      <alignment horizontal="center" vertical="center"/>
    </xf>
    <xf numFmtId="2" fontId="6" fillId="0" borderId="1" xfId="0" applyNumberFormat="1" applyFont="1" applyBorder="1" applyAlignment="1">
      <alignment horizontal="center" vertical="center"/>
    </xf>
    <xf numFmtId="10" fontId="7" fillId="0" borderId="1" xfId="0" applyNumberFormat="1" applyFont="1" applyBorder="1" applyAlignment="1">
      <alignment horizontal="center" vertical="center"/>
    </xf>
    <xf numFmtId="0" fontId="0" fillId="0" borderId="1" xfId="0" applyBorder="1" applyAlignment="1">
      <alignment horizontal="right" vertical="center"/>
    </xf>
    <xf numFmtId="0" fontId="0" fillId="87" borderId="1" xfId="0" applyFill="1" applyBorder="1" applyAlignment="1">
      <alignment horizontal="right"/>
    </xf>
    <xf numFmtId="0" fontId="13" fillId="0" borderId="1" xfId="0" applyFont="1" applyBorder="1" applyAlignment="1">
      <alignment vertical="center"/>
    </xf>
    <xf numFmtId="0" fontId="13" fillId="4" borderId="1" xfId="0" applyFont="1" applyFill="1" applyBorder="1" applyAlignment="1">
      <alignment vertical="center"/>
    </xf>
    <xf numFmtId="0" fontId="0" fillId="40" borderId="1" xfId="0" applyFill="1" applyBorder="1" applyAlignment="1">
      <alignment horizontal="center"/>
    </xf>
    <xf numFmtId="0" fontId="0" fillId="40" borderId="1" xfId="0" applyFill="1" applyBorder="1" applyAlignment="1">
      <alignment horizontal="right"/>
    </xf>
    <xf numFmtId="0" fontId="0" fillId="87" borderId="1" xfId="0" applyFill="1" applyBorder="1" applyAlignment="1">
      <alignment horizontal="center"/>
    </xf>
    <xf numFmtId="0" fontId="0" fillId="35" borderId="1" xfId="0" applyFill="1" applyBorder="1" applyAlignment="1">
      <alignment horizontal="left"/>
    </xf>
    <xf numFmtId="164" fontId="0" fillId="35" borderId="1" xfId="0" applyNumberFormat="1" applyFill="1" applyBorder="1" applyAlignment="1">
      <alignment horizontal="right"/>
    </xf>
    <xf numFmtId="2" fontId="0" fillId="35" borderId="1" xfId="0" applyNumberFormat="1" applyFill="1" applyBorder="1" applyAlignment="1">
      <alignment horizontal="right"/>
    </xf>
    <xf numFmtId="0" fontId="5" fillId="35" borderId="1" xfId="0" applyFont="1" applyFill="1" applyBorder="1" applyAlignment="1">
      <alignment horizontal="right"/>
    </xf>
    <xf numFmtId="9" fontId="0" fillId="86" borderId="1" xfId="22" applyFont="1" applyFill="1" applyBorder="1" applyAlignment="1">
      <alignment horizontal="right"/>
    </xf>
    <xf numFmtId="0" fontId="13" fillId="87" borderId="1" xfId="0" applyFont="1" applyFill="1" applyBorder="1" applyAlignment="1">
      <alignment horizontal="center"/>
    </xf>
    <xf numFmtId="0" fontId="5" fillId="87" borderId="1" xfId="0" applyFont="1" applyFill="1" applyBorder="1" applyAlignment="1">
      <alignment horizontal="right"/>
    </xf>
    <xf numFmtId="2" fontId="0" fillId="15" borderId="1" xfId="0" applyNumberFormat="1" applyFill="1" applyBorder="1" applyAlignment="1">
      <alignment horizontal="right"/>
    </xf>
    <xf numFmtId="1" fontId="0" fillId="15" borderId="1" xfId="0" applyNumberFormat="1" applyFill="1" applyBorder="1" applyAlignment="1">
      <alignment horizontal="right"/>
    </xf>
    <xf numFmtId="0" fontId="13" fillId="87" borderId="1" xfId="0" applyFont="1" applyFill="1" applyBorder="1"/>
    <xf numFmtId="10" fontId="0" fillId="87" borderId="1" xfId="0" applyNumberFormat="1" applyFill="1" applyBorder="1" applyAlignment="1">
      <alignment horizontal="center"/>
    </xf>
    <xf numFmtId="1" fontId="13" fillId="15" borderId="1" xfId="0" applyNumberFormat="1" applyFont="1" applyFill="1" applyBorder="1" applyAlignment="1">
      <alignment horizontal="right"/>
    </xf>
    <xf numFmtId="0" fontId="0" fillId="35" borderId="1" xfId="0" applyFill="1" applyBorder="1" applyAlignment="1">
      <alignment horizontal="right"/>
    </xf>
    <xf numFmtId="1" fontId="0" fillId="40" borderId="1" xfId="0" applyNumberFormat="1" applyFill="1" applyBorder="1" applyAlignment="1">
      <alignment horizontal="right"/>
    </xf>
    <xf numFmtId="9" fontId="0" fillId="86" borderId="1" xfId="0" applyNumberFormat="1" applyFill="1" applyBorder="1" applyAlignment="1">
      <alignment horizontal="right"/>
    </xf>
    <xf numFmtId="165" fontId="0" fillId="86" borderId="1" xfId="0" applyNumberFormat="1" applyFill="1" applyBorder="1" applyAlignment="1">
      <alignment horizontal="right"/>
    </xf>
    <xf numFmtId="0" fontId="0" fillId="17" borderId="1" xfId="0" applyFill="1" applyBorder="1"/>
    <xf numFmtId="0" fontId="13" fillId="0" borderId="48" xfId="0" applyFont="1" applyBorder="1" applyAlignment="1">
      <alignment vertical="center"/>
    </xf>
    <xf numFmtId="164" fontId="0" fillId="0" borderId="48" xfId="0" applyNumberFormat="1" applyBorder="1"/>
    <xf numFmtId="1" fontId="0" fillId="11" borderId="1" xfId="0" applyNumberFormat="1" applyFill="1" applyBorder="1"/>
    <xf numFmtId="1" fontId="7" fillId="12" borderId="1" xfId="0" applyNumberFormat="1" applyFont="1" applyFill="1" applyBorder="1" applyAlignment="1">
      <alignment vertical="center"/>
    </xf>
    <xf numFmtId="1" fontId="15" fillId="12" borderId="1" xfId="0" applyNumberFormat="1" applyFont="1" applyFill="1" applyBorder="1" applyAlignment="1">
      <alignment vertical="center"/>
    </xf>
    <xf numFmtId="1" fontId="15" fillId="12" borderId="1" xfId="0" applyNumberFormat="1" applyFont="1" applyFill="1" applyBorder="1" applyAlignment="1">
      <alignment horizontal="right" vertical="center"/>
    </xf>
    <xf numFmtId="164" fontId="13" fillId="88" borderId="1" xfId="0" applyNumberFormat="1" applyFont="1" applyFill="1" applyBorder="1" applyAlignment="1">
      <alignment horizontal="right" vertical="center"/>
    </xf>
    <xf numFmtId="165" fontId="0" fillId="86" borderId="1" xfId="0" applyNumberFormat="1" applyFill="1" applyBorder="1" applyAlignment="1">
      <alignment horizontal="right" vertical="center"/>
    </xf>
    <xf numFmtId="2" fontId="13" fillId="86" borderId="1" xfId="0" applyNumberFormat="1" applyFont="1" applyFill="1" applyBorder="1" applyAlignment="1">
      <alignment horizontal="right" vertical="center"/>
    </xf>
    <xf numFmtId="0" fontId="111" fillId="0" borderId="1" xfId="0" applyFont="1" applyBorder="1" applyAlignment="1">
      <alignment horizontal="left" vertical="center"/>
    </xf>
    <xf numFmtId="164" fontId="0" fillId="86" borderId="1" xfId="0" applyNumberFormat="1" applyFill="1" applyBorder="1" applyAlignment="1">
      <alignment horizontal="right" vertical="center"/>
    </xf>
    <xf numFmtId="2" fontId="0" fillId="86" borderId="1" xfId="0" applyNumberFormat="1" applyFill="1" applyBorder="1" applyAlignment="1">
      <alignment horizontal="right" vertical="center"/>
    </xf>
    <xf numFmtId="164" fontId="0" fillId="35" borderId="1" xfId="0" applyNumberFormat="1" applyFill="1" applyBorder="1"/>
    <xf numFmtId="0" fontId="0" fillId="4" borderId="1" xfId="0" applyFill="1" applyBorder="1" applyAlignment="1">
      <alignment horizontal="left" vertical="center"/>
    </xf>
    <xf numFmtId="0" fontId="0" fillId="86" borderId="1" xfId="0" applyFill="1" applyBorder="1" applyAlignment="1">
      <alignment horizontal="right" vertical="center"/>
    </xf>
    <xf numFmtId="0" fontId="0" fillId="87" borderId="1" xfId="0" applyFill="1" applyBorder="1" applyAlignment="1">
      <alignment horizontal="right" vertical="center"/>
    </xf>
    <xf numFmtId="0" fontId="5" fillId="0" borderId="1" xfId="0" applyFont="1" applyBorder="1" applyAlignment="1">
      <alignment horizontal="left" vertical="center"/>
    </xf>
    <xf numFmtId="0" fontId="0" fillId="34" borderId="1" xfId="0" applyFill="1" applyBorder="1" applyAlignment="1">
      <alignment vertical="center"/>
    </xf>
    <xf numFmtId="1" fontId="0" fillId="34" borderId="1" xfId="0" applyNumberFormat="1" applyFill="1" applyBorder="1"/>
    <xf numFmtId="0" fontId="0" fillId="35" borderId="1" xfId="0" applyFill="1" applyBorder="1" applyAlignment="1">
      <alignment horizontal="left" vertical="center"/>
    </xf>
    <xf numFmtId="1" fontId="30" fillId="12" borderId="1" xfId="0" applyNumberFormat="1" applyFont="1" applyFill="1" applyBorder="1" applyAlignment="1">
      <alignment horizontal="left" vertical="center"/>
    </xf>
    <xf numFmtId="0" fontId="13" fillId="23" borderId="0" xfId="0" applyFont="1" applyFill="1"/>
    <xf numFmtId="165" fontId="0" fillId="0" borderId="48" xfId="0" applyNumberFormat="1" applyBorder="1"/>
    <xf numFmtId="165" fontId="0" fillId="0" borderId="4" xfId="0" applyNumberFormat="1" applyBorder="1"/>
    <xf numFmtId="2" fontId="0" fillId="0" borderId="48" xfId="0" applyNumberFormat="1" applyBorder="1"/>
    <xf numFmtId="2" fontId="0" fillId="0" borderId="4" xfId="0" applyNumberFormat="1" applyBorder="1"/>
    <xf numFmtId="166" fontId="0" fillId="74" borderId="0" xfId="0" applyNumberFormat="1" applyFill="1"/>
    <xf numFmtId="164" fontId="13" fillId="87" borderId="1" xfId="0" applyNumberFormat="1" applyFont="1" applyFill="1" applyBorder="1" applyAlignment="1">
      <alignment horizontal="right" vertical="center"/>
    </xf>
    <xf numFmtId="6" fontId="0" fillId="92" borderId="0" xfId="0" quotePrefix="1" applyNumberFormat="1" applyFill="1"/>
    <xf numFmtId="0" fontId="0" fillId="92" borderId="0" xfId="0" quotePrefix="1" applyFill="1"/>
    <xf numFmtId="0" fontId="0" fillId="92" borderId="0" xfId="0" applyFill="1"/>
    <xf numFmtId="0" fontId="13" fillId="0" borderId="1" xfId="0" applyFont="1" applyBorder="1" applyAlignment="1">
      <alignment vertical="center" wrapText="1"/>
    </xf>
    <xf numFmtId="0" fontId="13" fillId="91" borderId="1" xfId="0" applyFont="1" applyFill="1" applyBorder="1" applyAlignment="1">
      <alignment horizontal="left"/>
    </xf>
    <xf numFmtId="0" fontId="13" fillId="91" borderId="1" xfId="0" applyFont="1" applyFill="1" applyBorder="1"/>
    <xf numFmtId="0" fontId="13" fillId="91" borderId="1" xfId="0" applyFont="1" applyFill="1" applyBorder="1" applyAlignment="1">
      <alignment horizontal="center"/>
    </xf>
    <xf numFmtId="0" fontId="30" fillId="0" borderId="1" xfId="0" applyFont="1" applyBorder="1" applyAlignment="1">
      <alignment vertical="center"/>
    </xf>
    <xf numFmtId="0" fontId="30" fillId="91" borderId="1" xfId="0" applyFont="1" applyFill="1" applyBorder="1" applyAlignment="1">
      <alignment horizontal="left"/>
    </xf>
    <xf numFmtId="2" fontId="0" fillId="87" borderId="1" xfId="0" applyNumberFormat="1" applyFill="1" applyBorder="1"/>
    <xf numFmtId="0" fontId="0" fillId="86" borderId="1" xfId="0" applyFill="1" applyBorder="1" applyAlignment="1">
      <alignment horizontal="center"/>
    </xf>
    <xf numFmtId="0" fontId="13" fillId="34" borderId="0" xfId="0" applyFont="1" applyFill="1"/>
    <xf numFmtId="0" fontId="5" fillId="34" borderId="0" xfId="0" applyFont="1" applyFill="1"/>
    <xf numFmtId="0" fontId="106" fillId="0" borderId="0" xfId="0" applyFont="1" applyAlignment="1">
      <alignment horizontal="left"/>
    </xf>
    <xf numFmtId="0" fontId="0" fillId="20" borderId="1" xfId="0" applyFill="1" applyBorder="1" applyAlignment="1">
      <alignment horizontal="left"/>
    </xf>
    <xf numFmtId="0" fontId="13" fillId="0" borderId="0" xfId="0" applyFont="1" applyAlignment="1">
      <alignment horizontal="left" vertical="center"/>
    </xf>
    <xf numFmtId="0" fontId="13" fillId="0" borderId="2" xfId="0" applyFont="1" applyBorder="1"/>
    <xf numFmtId="167" fontId="13" fillId="0" borderId="0" xfId="0" applyNumberFormat="1" applyFont="1"/>
    <xf numFmtId="1" fontId="4" fillId="0" borderId="1" xfId="0" applyNumberFormat="1" applyFont="1" applyBorder="1"/>
    <xf numFmtId="0" fontId="0" fillId="73" borderId="1" xfId="0" applyFill="1" applyBorder="1"/>
    <xf numFmtId="1" fontId="0" fillId="73" borderId="1" xfId="0" applyNumberFormat="1" applyFill="1" applyBorder="1"/>
    <xf numFmtId="0" fontId="0" fillId="28" borderId="1" xfId="0" applyFill="1" applyBorder="1"/>
    <xf numFmtId="1" fontId="4" fillId="34" borderId="1" xfId="0" applyNumberFormat="1" applyFont="1" applyFill="1" applyBorder="1" applyAlignment="1">
      <alignment horizontal="left"/>
    </xf>
    <xf numFmtId="0" fontId="13" fillId="34" borderId="1" xfId="0" applyFont="1" applyFill="1" applyBorder="1" applyAlignment="1">
      <alignment horizontal="right"/>
    </xf>
    <xf numFmtId="1" fontId="13" fillId="34" borderId="1" xfId="0" applyNumberFormat="1" applyFont="1" applyFill="1" applyBorder="1" applyAlignment="1">
      <alignment horizontal="right"/>
    </xf>
    <xf numFmtId="0" fontId="41" fillId="0" borderId="1" xfId="0" applyFont="1" applyBorder="1" applyAlignment="1">
      <alignment horizontal="left"/>
    </xf>
    <xf numFmtId="0" fontId="4" fillId="34" borderId="1" xfId="0" applyFont="1" applyFill="1" applyBorder="1"/>
    <xf numFmtId="0" fontId="13" fillId="34" borderId="1" xfId="0" applyFont="1" applyFill="1" applyBorder="1" applyAlignment="1">
      <alignment horizontal="center"/>
    </xf>
    <xf numFmtId="0" fontId="4" fillId="91" borderId="1" xfId="0" applyFont="1" applyFill="1" applyBorder="1"/>
    <xf numFmtId="0" fontId="4" fillId="91" borderId="1" xfId="0" applyFont="1" applyFill="1" applyBorder="1" applyAlignment="1">
      <alignment vertical="center"/>
    </xf>
    <xf numFmtId="1" fontId="13" fillId="91" borderId="1" xfId="0" applyNumberFormat="1" applyFont="1" applyFill="1" applyBorder="1" applyAlignment="1">
      <alignment horizontal="right" vertical="center"/>
    </xf>
    <xf numFmtId="0" fontId="0" fillId="91" borderId="1" xfId="0" applyFill="1" applyBorder="1"/>
    <xf numFmtId="0" fontId="0" fillId="91" borderId="1" xfId="0" applyFill="1" applyBorder="1" applyAlignment="1">
      <alignment horizontal="left"/>
    </xf>
    <xf numFmtId="2" fontId="0" fillId="91" borderId="1" xfId="0" applyNumberFormat="1" applyFill="1" applyBorder="1" applyAlignment="1">
      <alignment horizontal="right"/>
    </xf>
    <xf numFmtId="2" fontId="13" fillId="91" borderId="1" xfId="0" applyNumberFormat="1" applyFont="1" applyFill="1" applyBorder="1" applyAlignment="1">
      <alignment horizontal="right"/>
    </xf>
    <xf numFmtId="1" fontId="4" fillId="0" borderId="0" xfId="0" applyNumberFormat="1" applyFont="1"/>
    <xf numFmtId="1" fontId="13" fillId="0" borderId="0" xfId="0" applyNumberFormat="1" applyFont="1" applyAlignment="1">
      <alignment horizontal="left" vertical="center"/>
    </xf>
    <xf numFmtId="0" fontId="13" fillId="0" borderId="0" xfId="0" applyFont="1" applyAlignment="1">
      <alignment horizontal="left" vertical="center" wrapText="1"/>
    </xf>
    <xf numFmtId="1" fontId="13" fillId="0" borderId="0" xfId="0" applyNumberFormat="1" applyFont="1" applyAlignment="1">
      <alignment horizontal="right" vertical="center"/>
    </xf>
    <xf numFmtId="1" fontId="4" fillId="34" borderId="0" xfId="0" applyNumberFormat="1" applyFont="1" applyFill="1"/>
    <xf numFmtId="0" fontId="0" fillId="34" borderId="0" xfId="0" applyFill="1" applyAlignment="1">
      <alignment horizontal="right"/>
    </xf>
    <xf numFmtId="164" fontId="0" fillId="34" borderId="0" xfId="0" applyNumberFormat="1" applyFill="1" applyAlignment="1">
      <alignment horizontal="right"/>
    </xf>
    <xf numFmtId="164" fontId="13" fillId="34" borderId="0" xfId="0" applyNumberFormat="1" applyFont="1" applyFill="1" applyAlignment="1">
      <alignment horizontal="right" vertical="center"/>
    </xf>
    <xf numFmtId="164" fontId="0" fillId="34" borderId="0" xfId="0" applyNumberFormat="1" applyFill="1"/>
    <xf numFmtId="1" fontId="13" fillId="34" borderId="0" xfId="0" applyNumberFormat="1" applyFont="1" applyFill="1" applyAlignment="1">
      <alignment horizontal="right" vertical="center"/>
    </xf>
    <xf numFmtId="1" fontId="0" fillId="0" borderId="0" xfId="22" applyNumberFormat="1" applyFont="1" applyFill="1" applyBorder="1" applyAlignment="1">
      <alignment horizontal="center"/>
    </xf>
    <xf numFmtId="0" fontId="25" fillId="0" borderId="0" xfId="0" applyFont="1" applyAlignment="1">
      <alignment horizontal="center" vertical="center" wrapText="1"/>
    </xf>
    <xf numFmtId="0" fontId="4" fillId="0" borderId="1" xfId="0" applyFont="1" applyBorder="1" applyAlignment="1">
      <alignment horizontal="center" vertical="top"/>
    </xf>
    <xf numFmtId="1" fontId="0" fillId="86" borderId="1" xfId="0" applyNumberFormat="1" applyFill="1" applyBorder="1" applyAlignment="1">
      <alignment horizontal="right"/>
    </xf>
    <xf numFmtId="0" fontId="13" fillId="34" borderId="1" xfId="0" applyFont="1" applyFill="1" applyBorder="1" applyAlignment="1">
      <alignment horizontal="left"/>
    </xf>
    <xf numFmtId="164" fontId="13" fillId="34" borderId="1" xfId="0" applyNumberFormat="1" applyFont="1" applyFill="1" applyBorder="1" applyAlignment="1">
      <alignment horizontal="right"/>
    </xf>
    <xf numFmtId="0" fontId="0" fillId="89" borderId="1" xfId="0" applyFill="1" applyBorder="1" applyAlignment="1">
      <alignment horizontal="center"/>
    </xf>
    <xf numFmtId="1" fontId="13" fillId="0" borderId="1" xfId="46" applyNumberFormat="1" applyFont="1" applyFill="1" applyBorder="1" applyAlignment="1">
      <alignment horizontal="right"/>
    </xf>
    <xf numFmtId="2" fontId="0" fillId="4" borderId="1" xfId="0" applyNumberFormat="1" applyFill="1" applyBorder="1"/>
    <xf numFmtId="0" fontId="13" fillId="35" borderId="1" xfId="11" applyFont="1" applyFill="1" applyBorder="1"/>
    <xf numFmtId="0" fontId="13" fillId="87" borderId="1" xfId="0" applyFont="1" applyFill="1" applyBorder="1" applyAlignment="1">
      <alignment horizontal="left" vertical="center"/>
    </xf>
    <xf numFmtId="1" fontId="13" fillId="35" borderId="1" xfId="0" applyNumberFormat="1" applyFont="1" applyFill="1" applyBorder="1"/>
    <xf numFmtId="9" fontId="13" fillId="0" borderId="1" xfId="22" applyFont="1" applyBorder="1" applyAlignment="1">
      <alignment horizontal="right"/>
    </xf>
    <xf numFmtId="9" fontId="13" fillId="0" borderId="1" xfId="0" applyNumberFormat="1" applyFont="1" applyBorder="1" applyAlignment="1">
      <alignment horizontal="right"/>
    </xf>
    <xf numFmtId="165" fontId="0" fillId="0" borderId="0" xfId="0" applyNumberFormat="1" applyAlignment="1">
      <alignment horizontal="right"/>
    </xf>
    <xf numFmtId="165" fontId="13" fillId="35" borderId="1" xfId="0" applyNumberFormat="1" applyFont="1" applyFill="1" applyBorder="1"/>
    <xf numFmtId="165" fontId="13" fillId="35" borderId="1" xfId="0" applyNumberFormat="1" applyFont="1" applyFill="1" applyBorder="1" applyAlignment="1">
      <alignment horizontal="center"/>
    </xf>
    <xf numFmtId="165" fontId="13" fillId="0" borderId="1" xfId="0" applyNumberFormat="1" applyFont="1" applyBorder="1"/>
    <xf numFmtId="2" fontId="0" fillId="88" borderId="1" xfId="0" applyNumberFormat="1" applyFill="1" applyBorder="1" applyAlignment="1">
      <alignment horizontal="center"/>
    </xf>
    <xf numFmtId="0" fontId="59" fillId="93" borderId="0" xfId="0" applyFont="1" applyFill="1"/>
    <xf numFmtId="0" fontId="0" fillId="93" borderId="0" xfId="0" applyFill="1"/>
    <xf numFmtId="0" fontId="59" fillId="93" borderId="1" xfId="0" applyFont="1" applyFill="1" applyBorder="1"/>
    <xf numFmtId="0" fontId="0" fillId="93" borderId="1" xfId="0" applyFill="1" applyBorder="1"/>
    <xf numFmtId="0" fontId="58" fillId="54" borderId="1" xfId="0" applyFont="1" applyFill="1" applyBorder="1"/>
    <xf numFmtId="1" fontId="58" fillId="54" borderId="1" xfId="0" applyNumberFormat="1" applyFont="1" applyFill="1" applyBorder="1" applyAlignment="1">
      <alignment horizontal="left"/>
    </xf>
    <xf numFmtId="1" fontId="59" fillId="54" borderId="1" xfId="0" applyNumberFormat="1" applyFont="1" applyFill="1" applyBorder="1" applyAlignment="1">
      <alignment horizontal="right"/>
    </xf>
    <xf numFmtId="1" fontId="58" fillId="54" borderId="1" xfId="0" applyNumberFormat="1" applyFont="1" applyFill="1" applyBorder="1"/>
    <xf numFmtId="0" fontId="30" fillId="28" borderId="1" xfId="0" applyFont="1" applyFill="1" applyBorder="1"/>
    <xf numFmtId="0" fontId="13" fillId="28" borderId="1" xfId="0" applyFont="1" applyFill="1" applyBorder="1"/>
    <xf numFmtId="0" fontId="13" fillId="28" borderId="1" xfId="0" applyFont="1" applyFill="1" applyBorder="1" applyAlignment="1">
      <alignment horizontal="center"/>
    </xf>
    <xf numFmtId="0" fontId="13" fillId="28" borderId="1" xfId="0" applyFont="1" applyFill="1" applyBorder="1" applyAlignment="1">
      <alignment horizontal="left"/>
    </xf>
    <xf numFmtId="0" fontId="30" fillId="28" borderId="10" xfId="0" applyFont="1" applyFill="1" applyBorder="1"/>
    <xf numFmtId="0" fontId="13" fillId="28" borderId="11" xfId="0" applyFont="1" applyFill="1" applyBorder="1"/>
    <xf numFmtId="0" fontId="13" fillId="28" borderId="11" xfId="0" applyFont="1" applyFill="1" applyBorder="1" applyAlignment="1">
      <alignment horizontal="center"/>
    </xf>
    <xf numFmtId="0" fontId="13" fillId="28" borderId="2" xfId="0" applyFont="1" applyFill="1" applyBorder="1" applyAlignment="1">
      <alignment horizontal="right"/>
    </xf>
    <xf numFmtId="0" fontId="13" fillId="28" borderId="2" xfId="0" applyFont="1" applyFill="1" applyBorder="1" applyAlignment="1">
      <alignment horizontal="left"/>
    </xf>
    <xf numFmtId="0" fontId="30" fillId="28" borderId="6" xfId="0" applyFont="1" applyFill="1" applyBorder="1"/>
    <xf numFmtId="0" fontId="13" fillId="28" borderId="7" xfId="0" applyFont="1" applyFill="1" applyBorder="1"/>
    <xf numFmtId="0" fontId="13" fillId="28" borderId="7" xfId="0" applyFont="1" applyFill="1" applyBorder="1" applyAlignment="1">
      <alignment horizontal="center"/>
    </xf>
    <xf numFmtId="0" fontId="13" fillId="28" borderId="1" xfId="0" applyFont="1" applyFill="1" applyBorder="1" applyAlignment="1">
      <alignment horizontal="right"/>
    </xf>
    <xf numFmtId="1" fontId="30" fillId="28" borderId="1" xfId="0" applyNumberFormat="1" applyFont="1" applyFill="1" applyBorder="1"/>
    <xf numFmtId="166" fontId="0" fillId="0" borderId="1" xfId="0" applyNumberFormat="1" applyBorder="1"/>
    <xf numFmtId="1" fontId="0" fillId="28" borderId="1" xfId="0" applyNumberFormat="1" applyFill="1" applyBorder="1"/>
    <xf numFmtId="1" fontId="13" fillId="28" borderId="1" xfId="0" applyNumberFormat="1" applyFont="1" applyFill="1" applyBorder="1" applyAlignment="1">
      <alignment horizontal="right"/>
    </xf>
    <xf numFmtId="1" fontId="13" fillId="28" borderId="1" xfId="0" applyNumberFormat="1" applyFont="1" applyFill="1" applyBorder="1" applyAlignment="1">
      <alignment horizontal="left"/>
    </xf>
    <xf numFmtId="1" fontId="13" fillId="54" borderId="1" xfId="0" applyNumberFormat="1" applyFont="1" applyFill="1" applyBorder="1" applyAlignment="1">
      <alignment horizontal="left"/>
    </xf>
    <xf numFmtId="0" fontId="59" fillId="93" borderId="1" xfId="0" applyFont="1" applyFill="1" applyBorder="1" applyAlignment="1">
      <alignment horizontal="center"/>
    </xf>
    <xf numFmtId="0" fontId="59" fillId="93" borderId="1" xfId="0" applyFont="1" applyFill="1" applyBorder="1" applyAlignment="1">
      <alignment horizontal="right"/>
    </xf>
    <xf numFmtId="1" fontId="59" fillId="93" borderId="1" xfId="0" applyNumberFormat="1" applyFont="1" applyFill="1" applyBorder="1" applyAlignment="1">
      <alignment horizontal="right"/>
    </xf>
    <xf numFmtId="0" fontId="0" fillId="54" borderId="0" xfId="0" applyFill="1"/>
    <xf numFmtId="0" fontId="59" fillId="54" borderId="1" xfId="0" applyFont="1" applyFill="1" applyBorder="1" applyAlignment="1">
      <alignment horizontal="right"/>
    </xf>
    <xf numFmtId="0" fontId="58" fillId="54" borderId="1" xfId="0" applyFont="1" applyFill="1" applyBorder="1" applyAlignment="1">
      <alignment horizontal="right"/>
    </xf>
    <xf numFmtId="0" fontId="59" fillId="54" borderId="0" xfId="0" applyFont="1" applyFill="1"/>
    <xf numFmtId="0" fontId="0" fillId="54" borderId="1" xfId="0" applyFill="1" applyBorder="1"/>
    <xf numFmtId="0" fontId="59" fillId="54" borderId="1" xfId="0" applyFont="1" applyFill="1" applyBorder="1"/>
    <xf numFmtId="164" fontId="13" fillId="24" borderId="1" xfId="0" applyNumberFormat="1" applyFont="1" applyFill="1" applyBorder="1" applyAlignment="1">
      <alignment horizontal="left"/>
    </xf>
    <xf numFmtId="0" fontId="13" fillId="24" borderId="1" xfId="0" applyFont="1" applyFill="1" applyBorder="1" applyAlignment="1">
      <alignment horizontal="left"/>
    </xf>
    <xf numFmtId="0" fontId="5" fillId="24" borderId="1" xfId="0" applyFont="1" applyFill="1" applyBorder="1" applyAlignment="1">
      <alignment horizontal="center"/>
    </xf>
    <xf numFmtId="1" fontId="30" fillId="12" borderId="1" xfId="0" applyNumberFormat="1" applyFont="1" applyFill="1" applyBorder="1" applyAlignment="1">
      <alignment vertical="center"/>
    </xf>
    <xf numFmtId="1" fontId="30" fillId="12" borderId="1" xfId="0" applyNumberFormat="1" applyFont="1" applyFill="1" applyBorder="1" applyAlignment="1">
      <alignment horizontal="right" vertical="center"/>
    </xf>
    <xf numFmtId="1" fontId="59" fillId="93" borderId="1" xfId="0" applyNumberFormat="1" applyFont="1" applyFill="1" applyBorder="1" applyAlignment="1">
      <alignment horizontal="center"/>
    </xf>
    <xf numFmtId="0" fontId="59" fillId="93" borderId="1" xfId="0" applyFont="1" applyFill="1" applyBorder="1" applyAlignment="1">
      <alignment horizontal="left"/>
    </xf>
    <xf numFmtId="0" fontId="59" fillId="93" borderId="0" xfId="0" applyFont="1" applyFill="1" applyAlignment="1">
      <alignment horizontal="left"/>
    </xf>
    <xf numFmtId="0" fontId="59" fillId="54" borderId="1" xfId="0" applyFont="1" applyFill="1" applyBorder="1" applyAlignment="1">
      <alignment horizontal="left"/>
    </xf>
    <xf numFmtId="0" fontId="58" fillId="54" borderId="1" xfId="0" applyFont="1" applyFill="1" applyBorder="1" applyAlignment="1">
      <alignment horizontal="left"/>
    </xf>
    <xf numFmtId="1" fontId="59" fillId="54" borderId="1" xfId="0" applyNumberFormat="1" applyFont="1" applyFill="1" applyBorder="1" applyAlignment="1">
      <alignment horizontal="left"/>
    </xf>
    <xf numFmtId="1" fontId="59" fillId="93" borderId="1" xfId="0" applyNumberFormat="1" applyFont="1" applyFill="1" applyBorder="1" applyAlignment="1">
      <alignment horizontal="left"/>
    </xf>
    <xf numFmtId="0" fontId="30" fillId="35" borderId="1" xfId="0" applyFont="1" applyFill="1" applyBorder="1"/>
    <xf numFmtId="0" fontId="13" fillId="14" borderId="1" xfId="0" applyFont="1" applyFill="1" applyBorder="1"/>
    <xf numFmtId="0" fontId="13" fillId="48" borderId="16" xfId="0" applyFont="1" applyFill="1" applyBorder="1"/>
    <xf numFmtId="2" fontId="0" fillId="35" borderId="1" xfId="0" applyNumberFormat="1" applyFill="1" applyBorder="1" applyAlignment="1">
      <alignment horizontal="center"/>
    </xf>
    <xf numFmtId="2" fontId="0" fillId="20" borderId="1" xfId="0" applyNumberFormat="1" applyFill="1" applyBorder="1" applyAlignment="1">
      <alignment horizontal="center"/>
    </xf>
    <xf numFmtId="2" fontId="5" fillId="20" borderId="25" xfId="0" applyNumberFormat="1" applyFont="1" applyFill="1" applyBorder="1" applyAlignment="1">
      <alignment horizontal="center"/>
    </xf>
    <xf numFmtId="0" fontId="4" fillId="57" borderId="47" xfId="0" applyFont="1" applyFill="1" applyBorder="1"/>
    <xf numFmtId="171" fontId="0" fillId="57" borderId="0" xfId="46" applyNumberFormat="1" applyFont="1" applyFill="1"/>
    <xf numFmtId="0" fontId="0" fillId="57" borderId="0" xfId="0" applyFill="1"/>
    <xf numFmtId="0" fontId="4" fillId="57" borderId="15" xfId="0" applyFont="1" applyFill="1" applyBorder="1"/>
    <xf numFmtId="0" fontId="0" fillId="57" borderId="14" xfId="0" applyFill="1" applyBorder="1"/>
    <xf numFmtId="164" fontId="113" fillId="54" borderId="1" xfId="0" applyNumberFormat="1" applyFont="1" applyFill="1" applyBorder="1" applyAlignment="1">
      <alignment horizontal="center" vertical="center"/>
    </xf>
    <xf numFmtId="0" fontId="113" fillId="54" borderId="1" xfId="0" applyFont="1" applyFill="1" applyBorder="1"/>
    <xf numFmtId="0" fontId="58" fillId="0" borderId="0" xfId="0" applyFont="1"/>
    <xf numFmtId="0" fontId="0" fillId="21" borderId="1" xfId="0" applyFill="1" applyBorder="1"/>
    <xf numFmtId="0" fontId="29" fillId="0" borderId="1" xfId="11" applyFont="1" applyBorder="1"/>
    <xf numFmtId="165" fontId="0" fillId="86" borderId="1" xfId="0" applyNumberFormat="1" applyFill="1" applyBorder="1"/>
    <xf numFmtId="164" fontId="0" fillId="0" borderId="1" xfId="0" applyNumberFormat="1" applyBorder="1" applyAlignment="1">
      <alignment horizontal="right" vertical="center"/>
    </xf>
    <xf numFmtId="1" fontId="13" fillId="12" borderId="1" xfId="0" applyNumberFormat="1" applyFont="1" applyFill="1" applyBorder="1" applyAlignment="1">
      <alignment horizontal="center"/>
    </xf>
    <xf numFmtId="2" fontId="13" fillId="86" borderId="1" xfId="0" applyNumberFormat="1" applyFont="1" applyFill="1" applyBorder="1" applyAlignment="1">
      <alignment horizontal="right" vertical="center" wrapText="1"/>
    </xf>
    <xf numFmtId="2" fontId="13" fillId="35" borderId="1" xfId="0" applyNumberFormat="1" applyFont="1" applyFill="1" applyBorder="1" applyAlignment="1">
      <alignment horizontal="right"/>
    </xf>
    <xf numFmtId="1" fontId="59" fillId="89" borderId="1" xfId="0" applyNumberFormat="1" applyFont="1" applyFill="1" applyBorder="1" applyAlignment="1">
      <alignment horizontal="right"/>
    </xf>
    <xf numFmtId="2" fontId="0" fillId="17" borderId="1" xfId="0" applyNumberFormat="1" applyFill="1" applyBorder="1"/>
    <xf numFmtId="0" fontId="49" fillId="2" borderId="0" xfId="0" applyFont="1" applyFill="1"/>
    <xf numFmtId="0" fontId="0" fillId="94" borderId="28" xfId="0" applyFill="1" applyBorder="1"/>
    <xf numFmtId="1" fontId="58" fillId="54" borderId="1" xfId="0" applyNumberFormat="1" applyFont="1" applyFill="1" applyBorder="1" applyAlignment="1">
      <alignment horizontal="center"/>
    </xf>
    <xf numFmtId="1" fontId="58" fillId="93" borderId="1" xfId="0" applyNumberFormat="1" applyFont="1" applyFill="1" applyBorder="1" applyAlignment="1">
      <alignment horizontal="center"/>
    </xf>
    <xf numFmtId="1" fontId="30" fillId="12" borderId="1" xfId="0" applyNumberFormat="1" applyFont="1" applyFill="1" applyBorder="1" applyAlignment="1">
      <alignment horizontal="center"/>
    </xf>
    <xf numFmtId="2" fontId="0" fillId="34" borderId="1" xfId="0" applyNumberFormat="1" applyFill="1" applyBorder="1"/>
    <xf numFmtId="165" fontId="0" fillId="74" borderId="0" xfId="0" applyNumberFormat="1" applyFill="1"/>
    <xf numFmtId="0" fontId="93" fillId="62" borderId="0" xfId="0" applyFont="1" applyFill="1"/>
    <xf numFmtId="0" fontId="88" fillId="62" borderId="0" xfId="4" applyFont="1" applyFill="1" applyBorder="1" applyAlignment="1" applyProtection="1">
      <alignment vertical="center"/>
    </xf>
    <xf numFmtId="0" fontId="78" fillId="0" borderId="0" xfId="0" applyFont="1"/>
    <xf numFmtId="0" fontId="0" fillId="45" borderId="6" xfId="0" applyFill="1" applyBorder="1"/>
    <xf numFmtId="0" fontId="8" fillId="2" borderId="53" xfId="0" applyFont="1" applyFill="1" applyBorder="1" applyAlignment="1">
      <alignment horizontal="left" vertical="center"/>
    </xf>
    <xf numFmtId="0" fontId="0" fillId="16" borderId="61" xfId="0" applyFill="1" applyBorder="1"/>
    <xf numFmtId="176" fontId="64" fillId="16" borderId="0" xfId="47" applyNumberFormat="1" applyFont="1" applyFill="1" applyBorder="1" applyAlignment="1">
      <alignment vertical="center"/>
    </xf>
    <xf numFmtId="0" fontId="0" fillId="2" borderId="0" xfId="0" applyFill="1" applyAlignment="1">
      <alignment vertical="center"/>
    </xf>
    <xf numFmtId="0" fontId="0" fillId="2" borderId="0" xfId="0" applyFill="1" applyAlignment="1">
      <alignment vertical="center" wrapText="1"/>
    </xf>
    <xf numFmtId="0" fontId="0" fillId="2" borderId="0" xfId="22" applyNumberFormat="1" applyFont="1" applyFill="1" applyBorder="1" applyAlignment="1">
      <alignment vertical="center"/>
    </xf>
    <xf numFmtId="0" fontId="101" fillId="2" borderId="0" xfId="0" applyFont="1" applyFill="1" applyAlignment="1">
      <alignment vertical="center"/>
    </xf>
    <xf numFmtId="0" fontId="0" fillId="42" borderId="1" xfId="0" applyFill="1" applyBorder="1" applyAlignment="1">
      <alignment horizontal="center" vertical="center" wrapText="1"/>
    </xf>
    <xf numFmtId="0" fontId="0" fillId="34" borderId="23" xfId="0" applyFill="1" applyBorder="1"/>
    <xf numFmtId="0" fontId="0" fillId="0" borderId="80" xfId="0" applyBorder="1"/>
    <xf numFmtId="0" fontId="0" fillId="0" borderId="24" xfId="0" applyBorder="1" applyAlignment="1">
      <alignment horizontal="center"/>
    </xf>
    <xf numFmtId="0" fontId="13" fillId="60" borderId="31" xfId="0" applyFont="1" applyFill="1" applyBorder="1" applyAlignment="1">
      <alignment horizontal="center" vertical="center" wrapText="1"/>
    </xf>
    <xf numFmtId="0" fontId="13" fillId="60" borderId="1" xfId="0" applyFont="1" applyFill="1" applyBorder="1" applyAlignment="1">
      <alignment horizontal="center" vertical="center" wrapText="1"/>
    </xf>
    <xf numFmtId="0" fontId="13" fillId="34" borderId="1" xfId="0" applyFont="1" applyFill="1" applyBorder="1" applyAlignment="1">
      <alignment horizontal="center" vertical="center" wrapText="1"/>
    </xf>
    <xf numFmtId="0" fontId="13" fillId="60" borderId="6" xfId="0" applyFont="1" applyFill="1" applyBorder="1" applyAlignment="1">
      <alignment horizontal="center" vertical="center" wrapText="1"/>
    </xf>
    <xf numFmtId="0" fontId="13" fillId="60" borderId="25" xfId="0" applyFont="1" applyFill="1" applyBorder="1" applyAlignment="1">
      <alignment horizontal="center" vertical="center" wrapText="1"/>
    </xf>
    <xf numFmtId="0" fontId="30" fillId="34" borderId="16" xfId="0" applyFont="1" applyFill="1" applyBorder="1" applyAlignment="1">
      <alignment horizontal="center" vertical="center" wrapText="1"/>
    </xf>
    <xf numFmtId="0" fontId="75" fillId="2" borderId="0" xfId="0" applyFont="1" applyFill="1" applyAlignment="1">
      <alignment horizontal="center"/>
    </xf>
    <xf numFmtId="0" fontId="88" fillId="2" borderId="0" xfId="0" applyFont="1" applyFill="1"/>
    <xf numFmtId="0" fontId="88" fillId="2" borderId="0" xfId="0" applyFont="1" applyFill="1" applyAlignment="1">
      <alignment horizontal="center"/>
    </xf>
    <xf numFmtId="0" fontId="31" fillId="2" borderId="0" xfId="0" applyFont="1" applyFill="1" applyAlignment="1">
      <alignment horizontal="left" vertical="center"/>
    </xf>
    <xf numFmtId="0" fontId="30" fillId="2" borderId="0" xfId="0" applyFont="1" applyFill="1" applyAlignment="1">
      <alignment vertical="center"/>
    </xf>
    <xf numFmtId="0" fontId="30" fillId="2" borderId="0" xfId="0" applyFont="1" applyFill="1"/>
    <xf numFmtId="0" fontId="30" fillId="2" borderId="0" xfId="0" applyFont="1" applyFill="1" applyAlignment="1">
      <alignment vertical="center" wrapText="1"/>
    </xf>
    <xf numFmtId="6" fontId="0" fillId="2" borderId="0" xfId="0" applyNumberFormat="1" applyFill="1"/>
    <xf numFmtId="176" fontId="0" fillId="2" borderId="0" xfId="0" applyNumberFormat="1" applyFill="1"/>
    <xf numFmtId="6" fontId="4" fillId="2" borderId="0" xfId="0" applyNumberFormat="1" applyFont="1" applyFill="1"/>
    <xf numFmtId="2" fontId="0" fillId="74" borderId="0" xfId="0" applyNumberFormat="1" applyFill="1"/>
    <xf numFmtId="0" fontId="88" fillId="55" borderId="23" xfId="0" applyFont="1" applyFill="1" applyBorder="1" applyAlignment="1">
      <alignment horizontal="center"/>
    </xf>
    <xf numFmtId="0" fontId="76" fillId="2" borderId="0" xfId="0" applyFont="1" applyFill="1" applyAlignment="1">
      <alignment horizontal="center"/>
    </xf>
    <xf numFmtId="164" fontId="78" fillId="2" borderId="0" xfId="0" applyNumberFormat="1" applyFont="1" applyFill="1"/>
    <xf numFmtId="0" fontId="42" fillId="2" borderId="0" xfId="3" applyFont="1" applyFill="1" applyBorder="1" applyAlignment="1">
      <alignment horizontal="center" vertical="center" wrapText="1"/>
    </xf>
    <xf numFmtId="0" fontId="47" fillId="16" borderId="28" xfId="0" applyFont="1" applyFill="1" applyBorder="1"/>
    <xf numFmtId="0" fontId="4" fillId="16" borderId="28" xfId="0" applyFont="1" applyFill="1" applyBorder="1"/>
    <xf numFmtId="0" fontId="116" fillId="65" borderId="20" xfId="0" applyFont="1" applyFill="1" applyBorder="1" applyAlignment="1">
      <alignment horizontal="center" vertical="center"/>
    </xf>
    <xf numFmtId="0" fontId="30" fillId="12" borderId="1" xfId="0" applyFont="1" applyFill="1" applyBorder="1" applyAlignment="1">
      <alignment horizontal="right"/>
    </xf>
    <xf numFmtId="0" fontId="30" fillId="40" borderId="1" xfId="0" applyFont="1" applyFill="1" applyBorder="1" applyAlignment="1">
      <alignment horizontal="center"/>
    </xf>
    <xf numFmtId="1" fontId="4" fillId="40" borderId="1" xfId="0" applyNumberFormat="1" applyFont="1" applyFill="1" applyBorder="1" applyAlignment="1">
      <alignment horizontal="center"/>
    </xf>
    <xf numFmtId="0" fontId="4" fillId="40" borderId="1" xfId="0" applyFont="1" applyFill="1" applyBorder="1" applyAlignment="1">
      <alignment horizontal="center"/>
    </xf>
    <xf numFmtId="3" fontId="0" fillId="38" borderId="1" xfId="0" applyNumberFormat="1" applyFill="1" applyBorder="1"/>
    <xf numFmtId="2" fontId="0" fillId="38" borderId="1" xfId="0" applyNumberFormat="1" applyFill="1" applyBorder="1"/>
    <xf numFmtId="2" fontId="0" fillId="38" borderId="0" xfId="22" applyNumberFormat="1" applyFont="1" applyFill="1"/>
    <xf numFmtId="0" fontId="4" fillId="26" borderId="0" xfId="0" applyFont="1" applyFill="1" applyAlignment="1">
      <alignment horizontal="center"/>
    </xf>
    <xf numFmtId="0" fontId="13" fillId="0" borderId="0" xfId="0" applyFont="1" applyAlignment="1">
      <alignment horizontal="center" vertical="center"/>
    </xf>
    <xf numFmtId="1" fontId="13" fillId="91" borderId="1" xfId="0" applyNumberFormat="1" applyFont="1" applyFill="1" applyBorder="1" applyAlignment="1">
      <alignment horizontal="center"/>
    </xf>
    <xf numFmtId="0" fontId="4" fillId="0" borderId="0" xfId="0" applyFont="1" applyAlignment="1">
      <alignment horizontal="center" vertical="center"/>
    </xf>
    <xf numFmtId="0" fontId="31" fillId="0" borderId="0" xfId="0" applyFont="1" applyAlignment="1">
      <alignment horizontal="center" vertical="center"/>
    </xf>
    <xf numFmtId="2" fontId="4" fillId="0" borderId="0" xfId="0" applyNumberFormat="1" applyFont="1" applyAlignment="1">
      <alignment horizontal="center" vertical="center"/>
    </xf>
    <xf numFmtId="164" fontId="0" fillId="0" borderId="0" xfId="0" applyNumberFormat="1" applyAlignment="1">
      <alignment horizontal="center" vertical="center"/>
    </xf>
    <xf numFmtId="1" fontId="31" fillId="0" borderId="0" xfId="0" applyNumberFormat="1" applyFont="1" applyAlignment="1">
      <alignment horizontal="center" vertical="center"/>
    </xf>
    <xf numFmtId="1" fontId="5" fillId="0" borderId="0" xfId="0" applyNumberFormat="1" applyFont="1" applyAlignment="1">
      <alignment horizontal="center" vertical="center"/>
    </xf>
    <xf numFmtId="9" fontId="13" fillId="0" borderId="0" xfId="0" applyNumberFormat="1" applyFont="1" applyAlignment="1">
      <alignment horizontal="center" vertical="center"/>
    </xf>
    <xf numFmtId="2" fontId="13" fillId="0" borderId="0" xfId="0" applyNumberFormat="1" applyFont="1" applyAlignment="1">
      <alignment horizontal="center" vertical="center"/>
    </xf>
    <xf numFmtId="2" fontId="0" fillId="0" borderId="0" xfId="0" applyNumberFormat="1" applyAlignment="1">
      <alignment horizontal="center" vertical="center"/>
    </xf>
    <xf numFmtId="2" fontId="5" fillId="0" borderId="0" xfId="0" applyNumberFormat="1" applyFont="1" applyAlignment="1">
      <alignment horizontal="center" vertical="center"/>
    </xf>
    <xf numFmtId="164" fontId="5" fillId="0" borderId="0" xfId="0" applyNumberFormat="1" applyFont="1" applyAlignment="1">
      <alignment horizontal="center" vertical="center"/>
    </xf>
    <xf numFmtId="166" fontId="0" fillId="0" borderId="0" xfId="0" applyNumberFormat="1" applyAlignment="1">
      <alignment horizontal="center" vertical="center"/>
    </xf>
    <xf numFmtId="1" fontId="4" fillId="0" borderId="0" xfId="0" applyNumberFormat="1" applyFont="1" applyAlignment="1">
      <alignment horizontal="center" vertical="center"/>
    </xf>
    <xf numFmtId="171" fontId="0" fillId="0" borderId="0" xfId="46" applyNumberFormat="1" applyFont="1" applyFill="1" applyBorder="1" applyAlignment="1">
      <alignment horizontal="center" vertical="center"/>
    </xf>
    <xf numFmtId="9" fontId="0" fillId="0" borderId="0" xfId="0" applyNumberFormat="1" applyAlignment="1">
      <alignment horizontal="center" vertical="center"/>
    </xf>
    <xf numFmtId="0" fontId="30" fillId="0" borderId="0" xfId="0" applyFont="1" applyAlignment="1">
      <alignment horizontal="center" vertical="center"/>
    </xf>
    <xf numFmtId="1" fontId="58" fillId="54" borderId="3" xfId="0" applyNumberFormat="1" applyFont="1" applyFill="1" applyBorder="1"/>
    <xf numFmtId="0" fontId="0" fillId="93" borderId="0" xfId="0" applyFill="1" applyAlignment="1">
      <alignment horizontal="center"/>
    </xf>
    <xf numFmtId="1" fontId="111" fillId="88" borderId="1" xfId="0" applyNumberFormat="1" applyFont="1" applyFill="1" applyBorder="1" applyAlignment="1">
      <alignment horizontal="right" vertical="center" wrapText="1"/>
    </xf>
    <xf numFmtId="0" fontId="111" fillId="16" borderId="1" xfId="0" applyFont="1" applyFill="1" applyBorder="1" applyAlignment="1">
      <alignment horizontal="left" vertical="center"/>
    </xf>
    <xf numFmtId="1" fontId="111" fillId="0" borderId="1" xfId="0" applyNumberFormat="1" applyFont="1" applyBorder="1" applyAlignment="1">
      <alignment horizontal="right" vertical="center" wrapText="1"/>
    </xf>
    <xf numFmtId="0" fontId="119" fillId="0" borderId="1" xfId="0" applyFont="1" applyBorder="1" applyAlignment="1">
      <alignment horizontal="left" vertical="center"/>
    </xf>
    <xf numFmtId="0" fontId="111" fillId="0" borderId="1" xfId="0" applyFont="1" applyBorder="1" applyAlignment="1">
      <alignment horizontal="right" vertical="center" wrapText="1"/>
    </xf>
    <xf numFmtId="0" fontId="119" fillId="16" borderId="1" xfId="0" applyFont="1" applyFill="1" applyBorder="1" applyAlignment="1">
      <alignment horizontal="left" vertical="center"/>
    </xf>
    <xf numFmtId="164" fontId="111" fillId="0" borderId="1" xfId="0" applyNumberFormat="1" applyFont="1" applyBorder="1" applyAlignment="1">
      <alignment horizontal="right" vertical="center" wrapText="1"/>
    </xf>
    <xf numFmtId="2" fontId="111" fillId="0" borderId="1" xfId="0" applyNumberFormat="1" applyFont="1" applyBorder="1" applyAlignment="1">
      <alignment horizontal="right" vertical="center" wrapText="1"/>
    </xf>
    <xf numFmtId="0" fontId="111" fillId="0" borderId="1" xfId="45" applyFont="1" applyBorder="1" applyAlignment="1">
      <alignment horizontal="left" vertical="center"/>
    </xf>
    <xf numFmtId="0" fontId="13" fillId="0" borderId="0" xfId="0" applyFont="1" applyAlignment="1">
      <alignment wrapText="1"/>
    </xf>
    <xf numFmtId="0" fontId="13" fillId="82" borderId="1" xfId="0" applyFont="1" applyFill="1" applyBorder="1" applyAlignment="1">
      <alignment horizontal="left"/>
    </xf>
    <xf numFmtId="1" fontId="4" fillId="82" borderId="1" xfId="0" applyNumberFormat="1" applyFont="1" applyFill="1" applyBorder="1" applyAlignment="1">
      <alignment horizontal="left" vertical="center"/>
    </xf>
    <xf numFmtId="1" fontId="4" fillId="82" borderId="1" xfId="0" applyNumberFormat="1" applyFont="1" applyFill="1" applyBorder="1" applyAlignment="1">
      <alignment horizontal="center" vertical="center"/>
    </xf>
    <xf numFmtId="1" fontId="0" fillId="0" borderId="1" xfId="0" applyNumberFormat="1" applyBorder="1" applyAlignment="1">
      <alignment horizontal="left" vertical="center"/>
    </xf>
    <xf numFmtId="0" fontId="0" fillId="0" borderId="0" xfId="0" applyAlignment="1">
      <alignment horizontal="right" vertical="center"/>
    </xf>
    <xf numFmtId="1" fontId="0" fillId="82" borderId="1" xfId="0" applyNumberFormat="1" applyFill="1" applyBorder="1" applyAlignment="1">
      <alignment horizontal="right" vertical="center"/>
    </xf>
    <xf numFmtId="1" fontId="0" fillId="82" borderId="1" xfId="0" applyNumberFormat="1" applyFill="1" applyBorder="1" applyAlignment="1">
      <alignment horizontal="left" vertical="center"/>
    </xf>
    <xf numFmtId="0" fontId="30" fillId="0" borderId="1" xfId="0" applyFont="1" applyBorder="1" applyAlignment="1">
      <alignment horizontal="left" vertical="center" wrapText="1"/>
    </xf>
    <xf numFmtId="1" fontId="13" fillId="0" borderId="0" xfId="0" applyNumberFormat="1" applyFont="1" applyAlignment="1">
      <alignment horizontal="center" vertical="center"/>
    </xf>
    <xf numFmtId="2" fontId="13" fillId="0" borderId="0" xfId="0" applyNumberFormat="1" applyFont="1" applyAlignment="1">
      <alignment horizontal="center"/>
    </xf>
    <xf numFmtId="0" fontId="30" fillId="0" borderId="0" xfId="0" applyFont="1" applyAlignment="1">
      <alignment vertical="center"/>
    </xf>
    <xf numFmtId="9" fontId="13" fillId="0" borderId="0" xfId="22" applyFont="1" applyFill="1" applyBorder="1" applyAlignment="1">
      <alignment horizontal="center"/>
    </xf>
    <xf numFmtId="164" fontId="13" fillId="0" borderId="0" xfId="0" applyNumberFormat="1" applyFont="1" applyAlignment="1">
      <alignment horizontal="center" vertical="center"/>
    </xf>
    <xf numFmtId="10" fontId="4" fillId="0" borderId="0" xfId="22" applyNumberFormat="1" applyFont="1" applyFill="1" applyBorder="1" applyAlignment="1">
      <alignment horizontal="center" vertical="center"/>
    </xf>
    <xf numFmtId="0" fontId="25" fillId="0" borderId="0" xfId="0" applyFont="1" applyAlignment="1">
      <alignment horizontal="center" vertical="center"/>
    </xf>
    <xf numFmtId="9" fontId="4" fillId="0" borderId="0" xfId="0" applyNumberFormat="1" applyFont="1" applyAlignment="1">
      <alignment horizontal="center" vertical="center"/>
    </xf>
    <xf numFmtId="1" fontId="4" fillId="0" borderId="0" xfId="22" applyNumberFormat="1" applyFont="1" applyFill="1" applyBorder="1" applyAlignment="1">
      <alignment horizontal="center" vertical="center"/>
    </xf>
    <xf numFmtId="0" fontId="4" fillId="0" borderId="0" xfId="22" applyNumberFormat="1" applyFont="1" applyFill="1" applyBorder="1" applyAlignment="1">
      <alignment horizontal="center" vertical="center"/>
    </xf>
    <xf numFmtId="1" fontId="0" fillId="0" borderId="0" xfId="22" applyNumberFormat="1" applyFont="1" applyFill="1" applyBorder="1" applyAlignment="1">
      <alignment horizontal="center" vertical="center"/>
    </xf>
    <xf numFmtId="0" fontId="26" fillId="0" borderId="0" xfId="0" applyFont="1" applyAlignment="1">
      <alignment horizontal="center" vertical="center"/>
    </xf>
    <xf numFmtId="0" fontId="24" fillId="0" borderId="0" xfId="0" applyFont="1" applyAlignment="1">
      <alignment horizontal="center" vertical="center"/>
    </xf>
    <xf numFmtId="1" fontId="27" fillId="0" borderId="0" xfId="0" applyNumberFormat="1" applyFont="1" applyAlignment="1">
      <alignment horizontal="center" vertical="center"/>
    </xf>
    <xf numFmtId="0" fontId="55" fillId="0" borderId="0" xfId="0" applyFont="1" applyAlignment="1">
      <alignment horizontal="center" vertical="center"/>
    </xf>
    <xf numFmtId="2" fontId="55" fillId="0" borderId="0" xfId="0" applyNumberFormat="1" applyFont="1" applyAlignment="1">
      <alignment horizontal="center" vertical="center"/>
    </xf>
    <xf numFmtId="165" fontId="24" fillId="0" borderId="0" xfId="0" applyNumberFormat="1" applyFont="1" applyAlignment="1">
      <alignment horizontal="center" vertical="center"/>
    </xf>
    <xf numFmtId="2" fontId="24" fillId="0" borderId="0" xfId="0" applyNumberFormat="1" applyFont="1" applyAlignment="1">
      <alignment horizontal="center" vertical="center"/>
    </xf>
    <xf numFmtId="1" fontId="24" fillId="0" borderId="0" xfId="0" applyNumberFormat="1" applyFont="1" applyAlignment="1">
      <alignment horizontal="center" vertical="center"/>
    </xf>
    <xf numFmtId="0" fontId="120" fillId="0" borderId="0" xfId="0" applyFont="1" applyAlignment="1">
      <alignment horizontal="center" vertical="center"/>
    </xf>
    <xf numFmtId="2" fontId="31" fillId="0" borderId="0" xfId="0" applyNumberFormat="1" applyFont="1" applyAlignment="1">
      <alignment horizontal="center" vertical="center"/>
    </xf>
    <xf numFmtId="165" fontId="0" fillId="0" borderId="0" xfId="0" applyNumberFormat="1" applyAlignment="1">
      <alignment horizontal="center" vertical="center"/>
    </xf>
    <xf numFmtId="165" fontId="31" fillId="0" borderId="0" xfId="0" applyNumberFormat="1" applyFont="1" applyAlignment="1">
      <alignment horizontal="center" vertical="center"/>
    </xf>
    <xf numFmtId="0" fontId="27" fillId="0" borderId="0" xfId="7" applyFont="1" applyAlignment="1">
      <alignment horizontal="center" vertical="center"/>
    </xf>
    <xf numFmtId="0" fontId="13" fillId="91" borderId="1" xfId="0" applyFont="1" applyFill="1" applyBorder="1" applyAlignment="1">
      <alignment vertical="center" wrapText="1"/>
    </xf>
    <xf numFmtId="0" fontId="13" fillId="0" borderId="0" xfId="0" applyFont="1" applyAlignment="1">
      <alignment horizontal="right"/>
    </xf>
    <xf numFmtId="9" fontId="13" fillId="0" borderId="0" xfId="0" applyNumberFormat="1" applyFont="1" applyAlignment="1">
      <alignment horizontal="center"/>
    </xf>
    <xf numFmtId="164" fontId="13" fillId="0" borderId="0" xfId="0" applyNumberFormat="1" applyFont="1" applyAlignment="1">
      <alignment horizontal="left" vertical="center"/>
    </xf>
    <xf numFmtId="165" fontId="13" fillId="0" borderId="0" xfId="0" applyNumberFormat="1" applyFont="1" applyAlignment="1">
      <alignment horizontal="left" vertical="center"/>
    </xf>
    <xf numFmtId="164" fontId="13" fillId="0" borderId="0" xfId="0" applyNumberFormat="1" applyFont="1" applyAlignment="1">
      <alignment horizontal="center"/>
    </xf>
    <xf numFmtId="2" fontId="30" fillId="0" borderId="0" xfId="0" applyNumberFormat="1" applyFont="1" applyAlignment="1">
      <alignment horizontal="center" vertical="center"/>
    </xf>
    <xf numFmtId="0" fontId="30" fillId="0" borderId="0" xfId="0" applyFont="1" applyAlignment="1">
      <alignment horizontal="right"/>
    </xf>
    <xf numFmtId="0" fontId="111" fillId="0" borderId="0" xfId="0" applyFont="1" applyAlignment="1">
      <alignment horizontal="center" vertical="center"/>
    </xf>
    <xf numFmtId="0" fontId="119" fillId="0" borderId="0" xfId="0" applyFont="1" applyAlignment="1">
      <alignment horizontal="center" vertical="center"/>
    </xf>
    <xf numFmtId="0" fontId="119" fillId="0" borderId="0" xfId="0" applyFont="1" applyAlignment="1">
      <alignment horizontal="left" vertical="center"/>
    </xf>
    <xf numFmtId="1" fontId="111" fillId="0" borderId="0" xfId="0" applyNumberFormat="1" applyFont="1" applyAlignment="1">
      <alignment horizontal="center" vertical="center"/>
    </xf>
    <xf numFmtId="171" fontId="13" fillId="0" borderId="0" xfId="46" applyNumberFormat="1" applyFont="1" applyFill="1" applyBorder="1" applyAlignment="1">
      <alignment horizontal="left"/>
    </xf>
    <xf numFmtId="1" fontId="119" fillId="0" borderId="0" xfId="0" applyNumberFormat="1" applyFont="1" applyAlignment="1">
      <alignment horizontal="center" vertical="center"/>
    </xf>
    <xf numFmtId="1" fontId="30" fillId="0" borderId="0" xfId="0" applyNumberFormat="1" applyFont="1" applyAlignment="1">
      <alignment horizontal="center"/>
    </xf>
    <xf numFmtId="0" fontId="111" fillId="0" borderId="0" xfId="0" applyFont="1" applyAlignment="1">
      <alignment horizontal="left" vertical="center"/>
    </xf>
    <xf numFmtId="2" fontId="111" fillId="0" borderId="0" xfId="0" applyNumberFormat="1" applyFont="1" applyAlignment="1">
      <alignment horizontal="center" vertical="center"/>
    </xf>
    <xf numFmtId="1" fontId="30" fillId="0" borderId="0" xfId="0" applyNumberFormat="1" applyFont="1"/>
    <xf numFmtId="1" fontId="30" fillId="0" borderId="0" xfId="0" applyNumberFormat="1" applyFont="1" applyAlignment="1">
      <alignment horizontal="left"/>
    </xf>
    <xf numFmtId="1" fontId="30" fillId="0" borderId="0" xfId="0" applyNumberFormat="1" applyFont="1" applyAlignment="1">
      <alignment horizontal="left" vertical="center"/>
    </xf>
    <xf numFmtId="171" fontId="13" fillId="0" borderId="0" xfId="46" applyNumberFormat="1" applyFont="1" applyFill="1" applyBorder="1" applyAlignment="1"/>
    <xf numFmtId="1" fontId="30" fillId="0" borderId="0" xfId="0" applyNumberFormat="1" applyFont="1" applyAlignment="1">
      <alignment horizontal="center" vertical="center"/>
    </xf>
    <xf numFmtId="2" fontId="30" fillId="0" borderId="0" xfId="0" applyNumberFormat="1" applyFont="1" applyAlignment="1">
      <alignment horizontal="center"/>
    </xf>
    <xf numFmtId="0" fontId="121" fillId="0" borderId="0" xfId="0" applyFont="1"/>
    <xf numFmtId="166" fontId="13" fillId="0" borderId="0" xfId="0" applyNumberFormat="1" applyFont="1" applyAlignment="1">
      <alignment horizontal="center"/>
    </xf>
    <xf numFmtId="0" fontId="111" fillId="0" borderId="0" xfId="45" applyFont="1" applyAlignment="1">
      <alignment horizontal="left" vertical="center"/>
    </xf>
    <xf numFmtId="165" fontId="30" fillId="0" borderId="0" xfId="0" applyNumberFormat="1" applyFont="1" applyAlignment="1">
      <alignment horizontal="center" vertical="center"/>
    </xf>
    <xf numFmtId="171" fontId="13" fillId="0" borderId="0" xfId="46" applyNumberFormat="1" applyFont="1" applyFill="1" applyBorder="1" applyAlignment="1">
      <alignment horizontal="center"/>
    </xf>
    <xf numFmtId="165" fontId="13" fillId="0" borderId="0" xfId="0" applyNumberFormat="1" applyFont="1" applyAlignment="1">
      <alignment horizontal="center"/>
    </xf>
    <xf numFmtId="9" fontId="13" fillId="0" borderId="0" xfId="0" applyNumberFormat="1" applyFont="1"/>
    <xf numFmtId="2" fontId="0" fillId="0" borderId="1" xfId="0" applyNumberFormat="1" applyBorder="1" applyAlignment="1">
      <alignment horizontal="right" vertical="center"/>
    </xf>
    <xf numFmtId="2" fontId="13" fillId="0" borderId="1" xfId="0" applyNumberFormat="1" applyFont="1" applyBorder="1" applyAlignment="1">
      <alignment horizontal="right" vertical="center"/>
    </xf>
    <xf numFmtId="164" fontId="111" fillId="88" borderId="1" xfId="0" applyNumberFormat="1" applyFont="1" applyFill="1" applyBorder="1" applyAlignment="1">
      <alignment horizontal="right" vertical="center" wrapText="1"/>
    </xf>
    <xf numFmtId="1" fontId="4" fillId="0" borderId="1" xfId="0" applyNumberFormat="1" applyFont="1" applyBorder="1" applyAlignment="1">
      <alignment horizontal="left" vertical="center"/>
    </xf>
    <xf numFmtId="0" fontId="13" fillId="0" borderId="0" xfId="0" applyFont="1" applyAlignment="1">
      <alignment horizontal="center" vertical="center" wrapText="1"/>
    </xf>
    <xf numFmtId="2" fontId="30" fillId="0" borderId="0" xfId="0" applyNumberFormat="1" applyFont="1" applyAlignment="1">
      <alignment horizontal="center" vertical="center" wrapText="1"/>
    </xf>
    <xf numFmtId="1" fontId="13" fillId="0" borderId="0" xfId="0" applyNumberFormat="1" applyFont="1" applyAlignment="1">
      <alignment horizontal="center" vertical="center" wrapText="1"/>
    </xf>
    <xf numFmtId="164" fontId="13" fillId="0" borderId="0" xfId="0" applyNumberFormat="1" applyFont="1" applyAlignment="1">
      <alignment horizontal="center" vertical="center" wrapText="1"/>
    </xf>
    <xf numFmtId="0" fontId="119" fillId="0" borderId="0" xfId="0" applyFont="1" applyAlignment="1">
      <alignment horizontal="center" vertical="center" wrapText="1"/>
    </xf>
    <xf numFmtId="2" fontId="13" fillId="0" borderId="0" xfId="0" applyNumberFormat="1" applyFont="1" applyAlignment="1">
      <alignment horizontal="center" vertical="center" wrapText="1"/>
    </xf>
    <xf numFmtId="9" fontId="30" fillId="0" borderId="0" xfId="0" applyNumberFormat="1" applyFont="1" applyAlignment="1">
      <alignment horizontal="center" vertical="center" wrapText="1"/>
    </xf>
    <xf numFmtId="1" fontId="111" fillId="0" borderId="0" xfId="0" applyNumberFormat="1" applyFont="1" applyAlignment="1">
      <alignment horizontal="center" vertical="center" wrapText="1"/>
    </xf>
    <xf numFmtId="0" fontId="111" fillId="0" borderId="0" xfId="0" applyFont="1" applyAlignment="1">
      <alignment horizontal="center" vertical="center" wrapText="1"/>
    </xf>
    <xf numFmtId="1" fontId="13" fillId="0" borderId="0" xfId="22" applyNumberFormat="1" applyFont="1" applyFill="1" applyBorder="1" applyAlignment="1">
      <alignment horizontal="center" vertical="center" wrapText="1"/>
    </xf>
    <xf numFmtId="1" fontId="119" fillId="0" borderId="0" xfId="0" applyNumberFormat="1" applyFont="1" applyAlignment="1">
      <alignment horizontal="center" vertical="center" wrapText="1"/>
    </xf>
    <xf numFmtId="1" fontId="30" fillId="0" borderId="0" xfId="0" applyNumberFormat="1" applyFont="1" applyAlignment="1">
      <alignment horizontal="center" vertical="center" wrapText="1"/>
    </xf>
    <xf numFmtId="2" fontId="111" fillId="0" borderId="0" xfId="0" applyNumberFormat="1" applyFont="1" applyAlignment="1">
      <alignment horizontal="center" vertical="center" wrapText="1"/>
    </xf>
    <xf numFmtId="9" fontId="13" fillId="0" borderId="0" xfId="0" applyNumberFormat="1" applyFont="1" applyAlignment="1">
      <alignment horizontal="center" vertical="center" wrapText="1"/>
    </xf>
    <xf numFmtId="164" fontId="111" fillId="0" borderId="0" xfId="0" applyNumberFormat="1" applyFont="1" applyAlignment="1">
      <alignment horizontal="center" vertical="center" wrapText="1"/>
    </xf>
    <xf numFmtId="0" fontId="121" fillId="0" borderId="0" xfId="0" applyFont="1" applyAlignment="1">
      <alignment horizontal="center" vertical="center" wrapText="1"/>
    </xf>
    <xf numFmtId="166" fontId="13" fillId="0" borderId="0" xfId="0" applyNumberFormat="1" applyFont="1" applyAlignment="1">
      <alignment horizontal="center" vertical="center" wrapText="1"/>
    </xf>
    <xf numFmtId="0" fontId="111" fillId="0" borderId="0" xfId="45" applyFont="1" applyAlignment="1">
      <alignment horizontal="center" vertical="center" wrapText="1"/>
    </xf>
    <xf numFmtId="167" fontId="30"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166" fontId="30" fillId="0" borderId="0" xfId="0" applyNumberFormat="1" applyFont="1" applyAlignment="1">
      <alignment horizontal="center" vertical="center" wrapText="1"/>
    </xf>
    <xf numFmtId="2" fontId="13" fillId="0" borderId="1" xfId="0" applyNumberFormat="1" applyFont="1" applyBorder="1" applyAlignment="1">
      <alignment horizontal="left" vertical="center" wrapText="1"/>
    </xf>
    <xf numFmtId="1" fontId="13" fillId="0" borderId="1" xfId="0" applyNumberFormat="1" applyFont="1" applyBorder="1" applyAlignment="1">
      <alignment horizontal="left" vertical="center" wrapText="1"/>
    </xf>
    <xf numFmtId="1" fontId="13" fillId="0" borderId="1" xfId="0" applyNumberFormat="1" applyFont="1" applyBorder="1" applyAlignment="1">
      <alignment horizontal="right" vertical="center" wrapText="1"/>
    </xf>
    <xf numFmtId="2" fontId="13" fillId="0" borderId="1" xfId="0" applyNumberFormat="1" applyFont="1" applyBorder="1" applyAlignment="1">
      <alignment horizontal="right" vertical="center" wrapText="1"/>
    </xf>
    <xf numFmtId="0" fontId="30" fillId="0" borderId="1" xfId="0" applyFont="1" applyBorder="1" applyAlignment="1">
      <alignment horizontal="left" vertical="center"/>
    </xf>
    <xf numFmtId="0" fontId="26" fillId="0" borderId="0" xfId="0" applyFont="1" applyAlignment="1">
      <alignment horizontal="center" vertical="center" wrapText="1"/>
    </xf>
    <xf numFmtId="0" fontId="24" fillId="0" borderId="0" xfId="0" applyFont="1" applyAlignment="1">
      <alignment horizontal="center" vertical="center" wrapText="1"/>
    </xf>
    <xf numFmtId="1" fontId="27" fillId="0" borderId="0" xfId="0" applyNumberFormat="1" applyFont="1" applyAlignment="1">
      <alignment horizontal="center" vertical="center" wrapText="1"/>
    </xf>
    <xf numFmtId="0" fontId="55" fillId="0" borderId="0" xfId="0" applyFont="1" applyAlignment="1">
      <alignment horizontal="center" vertical="center" wrapText="1"/>
    </xf>
    <xf numFmtId="1" fontId="55" fillId="0" borderId="0" xfId="0" applyNumberFormat="1" applyFont="1" applyAlignment="1">
      <alignment horizontal="center" vertical="center" wrapText="1"/>
    </xf>
    <xf numFmtId="1" fontId="24" fillId="0" borderId="0" xfId="0" applyNumberFormat="1" applyFont="1" applyAlignment="1">
      <alignment horizontal="center" vertical="center" wrapText="1"/>
    </xf>
    <xf numFmtId="2" fontId="24" fillId="0" borderId="0" xfId="0" applyNumberFormat="1" applyFont="1" applyAlignment="1">
      <alignment horizontal="center" vertical="center" wrapText="1"/>
    </xf>
    <xf numFmtId="0" fontId="4" fillId="0" borderId="0" xfId="0" applyFont="1" applyAlignment="1">
      <alignment horizontal="left" vertical="center"/>
    </xf>
    <xf numFmtId="167" fontId="31" fillId="0" borderId="0" xfId="0" applyNumberFormat="1" applyFont="1" applyAlignment="1">
      <alignment horizontal="center" vertical="center"/>
    </xf>
    <xf numFmtId="166" fontId="31" fillId="0" borderId="0" xfId="0" applyNumberFormat="1" applyFont="1" applyAlignment="1">
      <alignment horizontal="center" vertical="center"/>
    </xf>
    <xf numFmtId="16" fontId="13" fillId="0" borderId="0" xfId="0" applyNumberFormat="1" applyFont="1" applyAlignment="1">
      <alignment horizontal="center" vertical="center"/>
    </xf>
    <xf numFmtId="0" fontId="30" fillId="0" borderId="0" xfId="0" applyFont="1" applyAlignment="1">
      <alignment horizontal="left" vertical="center"/>
    </xf>
    <xf numFmtId="0" fontId="24" fillId="0" borderId="0" xfId="45" applyFont="1" applyAlignment="1">
      <alignment horizontal="center" vertical="center" wrapText="1"/>
    </xf>
    <xf numFmtId="0" fontId="0" fillId="0" borderId="0" xfId="0" applyAlignment="1">
      <alignment horizontal="center" vertical="center" wrapText="1"/>
    </xf>
    <xf numFmtId="0" fontId="31" fillId="0" borderId="0" xfId="0" applyFont="1" applyAlignment="1">
      <alignment horizontal="center" vertical="center" wrapText="1"/>
    </xf>
    <xf numFmtId="1" fontId="31" fillId="0" borderId="0" xfId="0" applyNumberFormat="1" applyFont="1" applyAlignment="1">
      <alignment horizontal="center" vertical="center" wrapText="1"/>
    </xf>
    <xf numFmtId="0" fontId="58" fillId="54" borderId="2" xfId="0" applyFont="1" applyFill="1" applyBorder="1" applyAlignment="1">
      <alignment horizontal="left"/>
    </xf>
    <xf numFmtId="0" fontId="0" fillId="4" borderId="1" xfId="0" applyFill="1" applyBorder="1" applyAlignment="1">
      <alignment horizontal="right"/>
    </xf>
    <xf numFmtId="0" fontId="6" fillId="0" borderId="1" xfId="0" applyFont="1" applyBorder="1" applyAlignment="1">
      <alignment horizontal="left" vertical="center"/>
    </xf>
    <xf numFmtId="0" fontId="6" fillId="0" borderId="1" xfId="0" applyFont="1" applyBorder="1" applyAlignment="1">
      <alignment horizontal="right" vertical="center"/>
    </xf>
    <xf numFmtId="164" fontId="6" fillId="0" borderId="1" xfId="0" applyNumberFormat="1" applyFont="1" applyBorder="1" applyAlignment="1">
      <alignment horizontal="right" vertical="center"/>
    </xf>
    <xf numFmtId="1" fontId="58" fillId="54" borderId="2" xfId="0" applyNumberFormat="1" applyFont="1" applyFill="1" applyBorder="1"/>
    <xf numFmtId="0" fontId="58" fillId="54" borderId="2" xfId="0" applyFont="1" applyFill="1" applyBorder="1"/>
    <xf numFmtId="164" fontId="113" fillId="54" borderId="2" xfId="0" applyNumberFormat="1" applyFont="1" applyFill="1" applyBorder="1" applyAlignment="1">
      <alignment horizontal="center" vertical="center"/>
    </xf>
    <xf numFmtId="0" fontId="113" fillId="54" borderId="2" xfId="0" applyFont="1" applyFill="1" applyBorder="1"/>
    <xf numFmtId="2" fontId="4" fillId="0" borderId="0" xfId="0" applyNumberFormat="1" applyFont="1" applyAlignment="1">
      <alignment horizontal="left" vertical="center"/>
    </xf>
    <xf numFmtId="1" fontId="31"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left" vertical="center"/>
    </xf>
    <xf numFmtId="0" fontId="31" fillId="0" borderId="0" xfId="0" applyFont="1" applyAlignment="1">
      <alignment horizontal="left" vertical="center"/>
    </xf>
    <xf numFmtId="2" fontId="31" fillId="0" borderId="0" xfId="0" applyNumberFormat="1" applyFont="1" applyAlignment="1">
      <alignment horizontal="left" vertical="center"/>
    </xf>
    <xf numFmtId="2" fontId="5" fillId="0" borderId="0" xfId="0" applyNumberFormat="1" applyFont="1" applyAlignment="1">
      <alignment horizontal="left" vertical="center"/>
    </xf>
    <xf numFmtId="2" fontId="13" fillId="0" borderId="0" xfId="0" applyNumberFormat="1" applyFont="1" applyAlignment="1">
      <alignment horizontal="left" vertical="center"/>
    </xf>
    <xf numFmtId="165" fontId="31" fillId="0" borderId="0" xfId="0" applyNumberFormat="1" applyFont="1" applyAlignment="1">
      <alignment horizontal="left" vertical="center"/>
    </xf>
    <xf numFmtId="0" fontId="27" fillId="0" borderId="0" xfId="7" applyFont="1" applyAlignment="1">
      <alignment horizontal="left" vertical="center"/>
    </xf>
    <xf numFmtId="16" fontId="13" fillId="0" borderId="0" xfId="0" applyNumberFormat="1" applyFont="1" applyAlignment="1">
      <alignment horizontal="left" vertical="center"/>
    </xf>
    <xf numFmtId="1" fontId="5" fillId="0" borderId="0" xfId="0" applyNumberFormat="1" applyFont="1" applyAlignment="1">
      <alignment horizontal="left" vertical="center"/>
    </xf>
    <xf numFmtId="1" fontId="4" fillId="0" borderId="0" xfId="0" applyNumberFormat="1" applyFont="1" applyAlignment="1">
      <alignment horizontal="left" vertical="center"/>
    </xf>
    <xf numFmtId="0" fontId="0" fillId="0" borderId="0" xfId="0" applyAlignment="1">
      <alignment horizontal="left" vertical="center"/>
    </xf>
    <xf numFmtId="1" fontId="0" fillId="0" borderId="0" xfId="0" applyNumberFormat="1" applyAlignment="1">
      <alignment horizontal="left" vertical="center"/>
    </xf>
    <xf numFmtId="2" fontId="0" fillId="0" borderId="0" xfId="0" applyNumberFormat="1" applyAlignment="1">
      <alignment horizontal="left" vertical="center"/>
    </xf>
    <xf numFmtId="164" fontId="0" fillId="0" borderId="0" xfId="0" applyNumberFormat="1" applyAlignment="1">
      <alignment horizontal="left" vertical="center"/>
    </xf>
    <xf numFmtId="9" fontId="0" fillId="0" borderId="0" xfId="0" applyNumberFormat="1" applyAlignment="1">
      <alignment horizontal="left" vertical="center"/>
    </xf>
    <xf numFmtId="0" fontId="120" fillId="0" borderId="0" xfId="0" applyFont="1" applyAlignment="1">
      <alignment horizontal="left" vertical="center"/>
    </xf>
    <xf numFmtId="166" fontId="0" fillId="0" borderId="0" xfId="0" applyNumberFormat="1" applyAlignment="1">
      <alignment horizontal="left" vertical="center"/>
    </xf>
    <xf numFmtId="165" fontId="0" fillId="0" borderId="0" xfId="0" applyNumberFormat="1" applyAlignment="1">
      <alignment horizontal="left" vertical="center"/>
    </xf>
    <xf numFmtId="0" fontId="26" fillId="0" borderId="0" xfId="0" applyFont="1" applyAlignment="1">
      <alignment horizontal="left" vertical="center"/>
    </xf>
    <xf numFmtId="0" fontId="24" fillId="0" borderId="0" xfId="0" applyFont="1" applyAlignment="1">
      <alignment horizontal="left" vertical="center"/>
    </xf>
    <xf numFmtId="0" fontId="25" fillId="0" borderId="0" xfId="0" applyFont="1" applyAlignment="1">
      <alignment horizontal="left" vertical="center"/>
    </xf>
    <xf numFmtId="1" fontId="27" fillId="0" borderId="0" xfId="0" applyNumberFormat="1" applyFont="1" applyAlignment="1">
      <alignment horizontal="left" vertical="center"/>
    </xf>
    <xf numFmtId="0" fontId="55" fillId="0" borderId="0" xfId="0" applyFont="1" applyAlignment="1">
      <alignment horizontal="left" vertical="center"/>
    </xf>
    <xf numFmtId="1" fontId="24" fillId="0" borderId="0" xfId="0" applyNumberFormat="1" applyFont="1" applyAlignment="1">
      <alignment horizontal="left" vertical="center"/>
    </xf>
    <xf numFmtId="2" fontId="24" fillId="0" borderId="0" xfId="0" applyNumberFormat="1" applyFont="1" applyAlignment="1">
      <alignment horizontal="left" vertical="center"/>
    </xf>
    <xf numFmtId="9" fontId="13" fillId="0" borderId="0" xfId="0" applyNumberFormat="1" applyFont="1" applyAlignment="1">
      <alignment horizontal="left" vertical="center"/>
    </xf>
    <xf numFmtId="0" fontId="24" fillId="0" borderId="0" xfId="45" applyFont="1" applyAlignment="1">
      <alignment horizontal="left" vertical="center"/>
    </xf>
    <xf numFmtId="0" fontId="45" fillId="2" borderId="0" xfId="0" applyFont="1" applyFill="1" applyAlignment="1">
      <alignment horizontal="left" vertical="center"/>
    </xf>
    <xf numFmtId="0" fontId="59" fillId="2" borderId="0" xfId="0" applyFont="1" applyFill="1" applyAlignment="1">
      <alignment horizontal="center" wrapText="1"/>
    </xf>
    <xf numFmtId="0" fontId="59" fillId="2" borderId="0" xfId="0" applyFont="1" applyFill="1" applyAlignment="1">
      <alignment horizontal="left" wrapText="1"/>
    </xf>
    <xf numFmtId="0" fontId="45" fillId="2" borderId="0" xfId="0" applyFont="1" applyFill="1"/>
    <xf numFmtId="0" fontId="80" fillId="2" borderId="0" xfId="0" applyFont="1" applyFill="1" applyAlignment="1">
      <alignment horizontal="right" vertical="center" wrapText="1" indent="7"/>
    </xf>
    <xf numFmtId="0" fontId="81" fillId="2" borderId="0" xfId="0" applyFont="1" applyFill="1" applyAlignment="1">
      <alignment horizontal="left" vertical="center" wrapText="1"/>
    </xf>
    <xf numFmtId="0" fontId="88" fillId="16" borderId="0" xfId="0" applyFont="1" applyFill="1" applyAlignment="1">
      <alignment vertical="center" wrapText="1"/>
    </xf>
    <xf numFmtId="0" fontId="65" fillId="16" borderId="0" xfId="0" applyFont="1" applyFill="1" applyAlignment="1">
      <alignment vertical="center"/>
    </xf>
    <xf numFmtId="0" fontId="96" fillId="16" borderId="0" xfId="0" applyFont="1" applyFill="1" applyAlignment="1">
      <alignment vertical="center"/>
    </xf>
    <xf numFmtId="0" fontId="62" fillId="2" borderId="0" xfId="0" applyFont="1" applyFill="1" applyAlignment="1">
      <alignment wrapText="1"/>
    </xf>
    <xf numFmtId="0" fontId="59" fillId="2" borderId="0" xfId="0" applyFont="1" applyFill="1" applyAlignment="1">
      <alignment horizontal="center" vertical="center" wrapText="1"/>
    </xf>
    <xf numFmtId="0" fontId="54" fillId="2" borderId="0" xfId="0" applyFont="1" applyFill="1" applyAlignment="1">
      <alignment vertical="center"/>
    </xf>
    <xf numFmtId="0" fontId="63" fillId="2" borderId="0" xfId="0" applyFont="1" applyFill="1"/>
    <xf numFmtId="0" fontId="97" fillId="2" borderId="0" xfId="0" applyFont="1" applyFill="1" applyAlignment="1">
      <alignment horizontal="center"/>
    </xf>
    <xf numFmtId="0" fontId="53" fillId="16" borderId="0" xfId="0" applyFont="1" applyFill="1" applyAlignment="1">
      <alignment vertical="center" wrapText="1"/>
    </xf>
    <xf numFmtId="0" fontId="64" fillId="2" borderId="0" xfId="0" applyFont="1" applyFill="1" applyAlignment="1">
      <alignment vertical="center"/>
    </xf>
    <xf numFmtId="0" fontId="53" fillId="2" borderId="0" xfId="0" applyFont="1" applyFill="1" applyAlignment="1">
      <alignment vertical="center" wrapText="1"/>
    </xf>
    <xf numFmtId="0" fontId="0" fillId="2" borderId="0" xfId="0" applyFill="1" applyAlignment="1">
      <alignment horizontal="right"/>
    </xf>
    <xf numFmtId="0" fontId="78" fillId="2" borderId="0" xfId="0" applyFont="1" applyFill="1" applyAlignment="1">
      <alignment horizontal="center" vertical="center" wrapText="1"/>
    </xf>
    <xf numFmtId="0" fontId="29" fillId="2" borderId="0" xfId="0" applyFont="1" applyFill="1" applyAlignment="1">
      <alignment horizontal="center" vertical="center" wrapText="1"/>
    </xf>
    <xf numFmtId="0" fontId="54" fillId="16" borderId="0" xfId="0" applyFont="1" applyFill="1" applyAlignment="1">
      <alignment vertical="center" wrapText="1"/>
    </xf>
    <xf numFmtId="0" fontId="78" fillId="16" borderId="0" xfId="0" applyFont="1" applyFill="1"/>
    <xf numFmtId="0" fontId="5" fillId="2" borderId="28" xfId="0" applyFont="1" applyFill="1" applyBorder="1"/>
    <xf numFmtId="0" fontId="31" fillId="2" borderId="0" xfId="0" applyFont="1" applyFill="1" applyAlignment="1">
      <alignment vertical="center"/>
    </xf>
    <xf numFmtId="0" fontId="0" fillId="0" borderId="0" xfId="0" quotePrefix="1" applyAlignment="1">
      <alignment vertical="center"/>
    </xf>
    <xf numFmtId="1" fontId="0" fillId="0" borderId="1" xfId="0" applyNumberFormat="1" applyBorder="1" applyAlignment="1">
      <alignment vertical="center"/>
    </xf>
    <xf numFmtId="0" fontId="0" fillId="0" borderId="1" xfId="0" quotePrefix="1" applyBorder="1" applyAlignment="1">
      <alignment vertical="center"/>
    </xf>
    <xf numFmtId="2" fontId="0" fillId="0" borderId="1" xfId="0" applyNumberFormat="1" applyBorder="1" applyAlignment="1">
      <alignment vertical="center"/>
    </xf>
    <xf numFmtId="167" fontId="31" fillId="0" borderId="0" xfId="0" applyNumberFormat="1" applyFont="1" applyAlignment="1">
      <alignment horizontal="left" vertical="center"/>
    </xf>
    <xf numFmtId="166" fontId="31" fillId="0" borderId="0" xfId="0" applyNumberFormat="1" applyFont="1" applyAlignment="1">
      <alignment horizontal="left" vertical="center"/>
    </xf>
    <xf numFmtId="164" fontId="55" fillId="0" borderId="0" xfId="0" applyNumberFormat="1" applyFont="1" applyAlignment="1">
      <alignment horizontal="left" vertical="center"/>
    </xf>
    <xf numFmtId="164" fontId="24" fillId="0" borderId="0" xfId="0" applyNumberFormat="1" applyFont="1" applyAlignment="1">
      <alignment horizontal="left" vertical="center"/>
    </xf>
    <xf numFmtId="0" fontId="5" fillId="26" borderId="0" xfId="0" applyFont="1" applyFill="1" applyAlignment="1">
      <alignment horizontal="center"/>
    </xf>
    <xf numFmtId="0" fontId="5" fillId="26" borderId="0" xfId="0" applyFont="1" applyFill="1"/>
    <xf numFmtId="0" fontId="5" fillId="26" borderId="0" xfId="0" applyFont="1" applyFill="1" applyAlignment="1">
      <alignment vertical="center"/>
    </xf>
    <xf numFmtId="0" fontId="15" fillId="0" borderId="0" xfId="0" applyFont="1" applyAlignment="1">
      <alignment horizontal="left" vertical="center"/>
    </xf>
    <xf numFmtId="2" fontId="0" fillId="0" borderId="0" xfId="0" applyNumberFormat="1" applyAlignment="1">
      <alignment horizontal="left"/>
    </xf>
    <xf numFmtId="0" fontId="0" fillId="20" borderId="6" xfId="0" applyFill="1" applyBorder="1"/>
    <xf numFmtId="0" fontId="13" fillId="93" borderId="0" xfId="0" applyFont="1" applyFill="1"/>
    <xf numFmtId="0" fontId="13" fillId="93" borderId="0" xfId="0" applyFont="1" applyFill="1" applyAlignment="1">
      <alignment horizontal="center"/>
    </xf>
    <xf numFmtId="164" fontId="15" fillId="0" borderId="0" xfId="0" applyNumberFormat="1" applyFont="1" applyAlignment="1">
      <alignment horizontal="center" vertical="center"/>
    </xf>
    <xf numFmtId="2" fontId="15" fillId="0" borderId="0" xfId="0" applyNumberFormat="1" applyFont="1" applyAlignment="1">
      <alignment horizontal="center" vertical="center"/>
    </xf>
    <xf numFmtId="1" fontId="30" fillId="54" borderId="2" xfId="0" applyNumberFormat="1" applyFont="1" applyFill="1" applyBorder="1"/>
    <xf numFmtId="0" fontId="30" fillId="54" borderId="2" xfId="0" applyFont="1" applyFill="1" applyBorder="1" applyAlignment="1">
      <alignment horizontal="left"/>
    </xf>
    <xf numFmtId="0" fontId="30" fillId="54" borderId="2" xfId="0" applyFont="1" applyFill="1" applyBorder="1"/>
    <xf numFmtId="164" fontId="16" fillId="54" borderId="2" xfId="0" applyNumberFormat="1" applyFont="1" applyFill="1" applyBorder="1" applyAlignment="1">
      <alignment horizontal="center" vertical="center"/>
    </xf>
    <xf numFmtId="0" fontId="16" fillId="54" borderId="2" xfId="0" applyFont="1" applyFill="1" applyBorder="1"/>
    <xf numFmtId="1" fontId="30" fillId="54" borderId="1" xfId="0" applyNumberFormat="1" applyFont="1" applyFill="1" applyBorder="1"/>
    <xf numFmtId="0" fontId="30" fillId="54" borderId="1" xfId="0" applyFont="1" applyFill="1" applyBorder="1" applyAlignment="1">
      <alignment horizontal="left"/>
    </xf>
    <xf numFmtId="0" fontId="30" fillId="54" borderId="1" xfId="0" applyFont="1" applyFill="1" applyBorder="1"/>
    <xf numFmtId="164" fontId="16" fillId="54" borderId="1" xfId="0" applyNumberFormat="1" applyFont="1" applyFill="1" applyBorder="1" applyAlignment="1">
      <alignment horizontal="center" vertical="center"/>
    </xf>
    <xf numFmtId="0" fontId="16" fillId="54" borderId="1" xfId="0" applyFont="1" applyFill="1" applyBorder="1"/>
    <xf numFmtId="2" fontId="13" fillId="0" borderId="0" xfId="0" applyNumberFormat="1" applyFont="1" applyAlignment="1">
      <alignment horizontal="left"/>
    </xf>
    <xf numFmtId="2" fontId="16" fillId="0" borderId="0" xfId="0" applyNumberFormat="1" applyFont="1" applyAlignment="1">
      <alignment horizontal="center" vertical="center"/>
    </xf>
    <xf numFmtId="1" fontId="13" fillId="0" borderId="1" xfId="0" applyNumberFormat="1" applyFont="1" applyBorder="1" applyAlignment="1">
      <alignment horizontal="left" vertical="center"/>
    </xf>
    <xf numFmtId="2" fontId="30" fillId="0" borderId="0" xfId="0" applyNumberFormat="1" applyFont="1" applyAlignment="1">
      <alignment horizontal="left" vertical="center"/>
    </xf>
    <xf numFmtId="9" fontId="30" fillId="0" borderId="0" xfId="0" applyNumberFormat="1" applyFont="1" applyAlignment="1">
      <alignment horizontal="left" vertical="center"/>
    </xf>
    <xf numFmtId="1" fontId="111" fillId="0" borderId="0" xfId="0" applyNumberFormat="1" applyFont="1" applyAlignment="1">
      <alignment horizontal="left" vertical="center"/>
    </xf>
    <xf numFmtId="1" fontId="13" fillId="0" borderId="0" xfId="22" applyNumberFormat="1" applyFont="1" applyFill="1" applyBorder="1" applyAlignment="1">
      <alignment horizontal="left" vertical="center"/>
    </xf>
    <xf numFmtId="1" fontId="119" fillId="0" borderId="0" xfId="0" applyNumberFormat="1" applyFont="1" applyAlignment="1">
      <alignment horizontal="left" vertical="center"/>
    </xf>
    <xf numFmtId="2" fontId="111" fillId="0" borderId="0" xfId="0" applyNumberFormat="1" applyFont="1" applyAlignment="1">
      <alignment horizontal="left" vertical="center"/>
    </xf>
    <xf numFmtId="164" fontId="111" fillId="0" borderId="0" xfId="0" applyNumberFormat="1" applyFont="1" applyAlignment="1">
      <alignment horizontal="left" vertical="center"/>
    </xf>
    <xf numFmtId="0" fontId="13" fillId="0" borderId="1" xfId="0" applyFont="1" applyBorder="1" applyAlignment="1">
      <alignment horizontal="center" vertical="center" wrapText="1"/>
    </xf>
    <xf numFmtId="1" fontId="13" fillId="0" borderId="1" xfId="0" applyNumberFormat="1" applyFont="1" applyBorder="1" applyAlignment="1">
      <alignment vertical="center"/>
    </xf>
    <xf numFmtId="0" fontId="121" fillId="0" borderId="0" xfId="0" applyFont="1" applyAlignment="1">
      <alignment horizontal="left" vertical="center"/>
    </xf>
    <xf numFmtId="166" fontId="13" fillId="0" borderId="0" xfId="0" applyNumberFormat="1" applyFont="1" applyAlignment="1">
      <alignment horizontal="left" vertical="center"/>
    </xf>
    <xf numFmtId="167" fontId="30" fillId="0" borderId="0" xfId="0" applyNumberFormat="1" applyFont="1" applyAlignment="1">
      <alignment horizontal="left" vertical="center"/>
    </xf>
    <xf numFmtId="166" fontId="30" fillId="0" borderId="0" xfId="0" applyNumberFormat="1" applyFont="1" applyAlignment="1">
      <alignment horizontal="left" vertical="center"/>
    </xf>
    <xf numFmtId="165" fontId="30" fillId="0" borderId="0" xfId="0" applyNumberFormat="1" applyFont="1" applyAlignment="1">
      <alignment horizontal="left" vertical="center"/>
    </xf>
    <xf numFmtId="0" fontId="111" fillId="0" borderId="0" xfId="7" applyFont="1" applyAlignment="1">
      <alignment horizontal="left" vertical="center"/>
    </xf>
    <xf numFmtId="10" fontId="30" fillId="0" borderId="0" xfId="22" applyNumberFormat="1" applyFont="1" applyFill="1" applyBorder="1" applyAlignment="1">
      <alignment horizontal="left" vertical="center"/>
    </xf>
    <xf numFmtId="165" fontId="13" fillId="0" borderId="1" xfId="0" applyNumberFormat="1" applyFont="1" applyBorder="1" applyAlignment="1">
      <alignment horizontal="left"/>
    </xf>
    <xf numFmtId="0" fontId="30" fillId="0" borderId="1" xfId="0" applyFont="1" applyBorder="1" applyAlignment="1">
      <alignment horizontal="center"/>
    </xf>
    <xf numFmtId="0" fontId="13" fillId="0" borderId="0" xfId="0" quotePrefix="1" applyFont="1"/>
    <xf numFmtId="164" fontId="30" fillId="54" borderId="2" xfId="0" applyNumberFormat="1" applyFont="1" applyFill="1" applyBorder="1" applyAlignment="1">
      <alignment horizontal="center" vertical="center"/>
    </xf>
    <xf numFmtId="2" fontId="55" fillId="0" borderId="0" xfId="0" applyNumberFormat="1" applyFont="1" applyAlignment="1">
      <alignment horizontal="left" vertical="center"/>
    </xf>
    <xf numFmtId="1" fontId="31" fillId="0" borderId="0" xfId="0" applyNumberFormat="1" applyFont="1" applyAlignment="1">
      <alignment horizontal="left"/>
    </xf>
    <xf numFmtId="1" fontId="0" fillId="0" borderId="0" xfId="0" applyNumberFormat="1" applyAlignment="1">
      <alignment horizontal="left"/>
    </xf>
    <xf numFmtId="1" fontId="4" fillId="0" borderId="0" xfId="0" applyNumberFormat="1" applyFont="1" applyAlignment="1">
      <alignment horizontal="left"/>
    </xf>
    <xf numFmtId="9" fontId="0" fillId="0" borderId="0" xfId="0" applyNumberFormat="1" applyAlignment="1">
      <alignment horizontal="left"/>
    </xf>
    <xf numFmtId="164" fontId="5" fillId="0" borderId="0" xfId="0" applyNumberFormat="1" applyFont="1" applyAlignment="1">
      <alignment horizontal="left"/>
    </xf>
    <xf numFmtId="9" fontId="13" fillId="0" borderId="0" xfId="0" applyNumberFormat="1" applyFont="1" applyAlignment="1">
      <alignment horizontal="left"/>
    </xf>
    <xf numFmtId="2" fontId="4" fillId="0" borderId="0" xfId="0" applyNumberFormat="1" applyFont="1" applyAlignment="1">
      <alignment horizontal="left"/>
    </xf>
    <xf numFmtId="0" fontId="120" fillId="0" borderId="0" xfId="0" applyFont="1" applyAlignment="1">
      <alignment horizontal="left"/>
    </xf>
    <xf numFmtId="166" fontId="0" fillId="0" borderId="0" xfId="0" applyNumberFormat="1" applyAlignment="1">
      <alignment horizontal="left"/>
    </xf>
    <xf numFmtId="2" fontId="31" fillId="0" borderId="0" xfId="0" applyNumberFormat="1" applyFont="1" applyAlignment="1">
      <alignment horizontal="left"/>
    </xf>
    <xf numFmtId="2" fontId="5" fillId="0" borderId="0" xfId="0" applyNumberFormat="1" applyFont="1" applyAlignment="1">
      <alignment horizontal="left"/>
    </xf>
    <xf numFmtId="165" fontId="0" fillId="0" borderId="0" xfId="0" applyNumberFormat="1" applyAlignment="1">
      <alignment horizontal="left"/>
    </xf>
    <xf numFmtId="164" fontId="0" fillId="0" borderId="0" xfId="0" applyNumberFormat="1" applyAlignment="1">
      <alignment horizontal="left"/>
    </xf>
    <xf numFmtId="165" fontId="31" fillId="0" borderId="0" xfId="0" applyNumberFormat="1" applyFont="1" applyAlignment="1">
      <alignment horizontal="left"/>
    </xf>
    <xf numFmtId="0" fontId="27" fillId="0" borderId="0" xfId="7" applyFont="1" applyAlignment="1">
      <alignment horizontal="left"/>
    </xf>
    <xf numFmtId="16" fontId="13" fillId="0" borderId="0" xfId="0" applyNumberFormat="1" applyFont="1" applyAlignment="1">
      <alignment horizontal="left"/>
    </xf>
    <xf numFmtId="1" fontId="5" fillId="0" borderId="0" xfId="0" applyNumberFormat="1" applyFont="1" applyAlignment="1">
      <alignment horizontal="left"/>
    </xf>
    <xf numFmtId="164" fontId="30" fillId="54" borderId="1" xfId="0" applyNumberFormat="1" applyFont="1" applyFill="1" applyBorder="1" applyAlignment="1">
      <alignment horizontal="center" vertical="center"/>
    </xf>
    <xf numFmtId="1" fontId="30" fillId="0" borderId="1" xfId="22" applyNumberFormat="1" applyFont="1" applyFill="1" applyBorder="1" applyAlignment="1">
      <alignment horizontal="left" vertical="center"/>
    </xf>
    <xf numFmtId="1" fontId="13" fillId="0" borderId="1" xfId="22" applyNumberFormat="1" applyFont="1" applyFill="1" applyBorder="1" applyAlignment="1">
      <alignment horizontal="left" vertical="center"/>
    </xf>
    <xf numFmtId="0" fontId="0" fillId="16" borderId="0" xfId="0" applyFill="1" applyAlignment="1">
      <alignment horizontal="center"/>
    </xf>
    <xf numFmtId="1" fontId="5" fillId="0" borderId="0" xfId="0" applyNumberFormat="1" applyFont="1" applyAlignment="1">
      <alignment horizontal="center"/>
    </xf>
    <xf numFmtId="165" fontId="4" fillId="0" borderId="0" xfId="0" applyNumberFormat="1" applyFont="1" applyAlignment="1">
      <alignment horizontal="left" vertical="center"/>
    </xf>
    <xf numFmtId="0" fontId="118" fillId="0" borderId="0" xfId="0" applyFont="1" applyAlignment="1">
      <alignment horizontal="left" vertical="center"/>
    </xf>
    <xf numFmtId="0" fontId="127" fillId="0" borderId="0" xfId="0" applyFont="1" applyAlignment="1">
      <alignment horizontal="left" vertical="center"/>
    </xf>
    <xf numFmtId="0" fontId="128" fillId="0" borderId="0" xfId="0" applyFont="1" applyAlignment="1">
      <alignment horizontal="left" vertical="center"/>
    </xf>
    <xf numFmtId="0" fontId="122" fillId="0" borderId="0" xfId="0" applyFont="1" applyAlignment="1">
      <alignment horizontal="left" vertical="center"/>
    </xf>
    <xf numFmtId="164" fontId="0" fillId="0" borderId="1" xfId="0" applyNumberFormat="1" applyBorder="1" applyAlignment="1">
      <alignment vertical="center"/>
    </xf>
    <xf numFmtId="0" fontId="13" fillId="0" borderId="0" xfId="0" applyFont="1" applyAlignment="1">
      <alignment vertical="center"/>
    </xf>
    <xf numFmtId="0" fontId="5" fillId="0" borderId="0" xfId="0" quotePrefix="1" applyFont="1"/>
    <xf numFmtId="0" fontId="30" fillId="82" borderId="1" xfId="0" applyFont="1" applyFill="1" applyBorder="1"/>
    <xf numFmtId="0" fontId="13" fillId="82" borderId="1" xfId="0" applyFont="1" applyFill="1" applyBorder="1"/>
    <xf numFmtId="2" fontId="13" fillId="82" borderId="1" xfId="0" applyNumberFormat="1" applyFont="1" applyFill="1" applyBorder="1" applyAlignment="1">
      <alignment horizontal="right" vertical="center"/>
    </xf>
    <xf numFmtId="1" fontId="0" fillId="0" borderId="0" xfId="22" applyNumberFormat="1" applyFont="1" applyFill="1" applyBorder="1" applyAlignment="1">
      <alignment horizontal="left" vertical="center"/>
    </xf>
    <xf numFmtId="0" fontId="4" fillId="0" borderId="0" xfId="22" applyNumberFormat="1" applyFont="1" applyFill="1" applyBorder="1" applyAlignment="1">
      <alignment horizontal="left" vertical="center"/>
    </xf>
    <xf numFmtId="166" fontId="5" fillId="0" borderId="0" xfId="0" applyNumberFormat="1" applyFont="1" applyAlignment="1">
      <alignment horizontal="left" vertical="center"/>
    </xf>
    <xf numFmtId="164" fontId="31" fillId="0" borderId="0" xfId="0" applyNumberFormat="1" applyFont="1" applyAlignment="1">
      <alignment horizontal="left" vertical="center"/>
    </xf>
    <xf numFmtId="9" fontId="31" fillId="0" borderId="0" xfId="22" applyFont="1" applyFill="1" applyBorder="1" applyAlignment="1">
      <alignment horizontal="left" vertical="center"/>
    </xf>
    <xf numFmtId="9" fontId="0" fillId="0" borderId="0" xfId="22" applyFont="1" applyFill="1" applyBorder="1" applyAlignment="1">
      <alignment horizontal="left" vertical="center"/>
    </xf>
    <xf numFmtId="165" fontId="5" fillId="0" borderId="0" xfId="0" applyNumberFormat="1" applyFont="1" applyAlignment="1">
      <alignment horizontal="left" vertical="center"/>
    </xf>
    <xf numFmtId="0" fontId="41" fillId="0" borderId="0" xfId="0" applyFont="1" applyAlignment="1">
      <alignment horizontal="left" vertical="center"/>
    </xf>
    <xf numFmtId="0" fontId="3" fillId="0" borderId="0" xfId="3" applyFill="1" applyBorder="1" applyAlignment="1">
      <alignment horizontal="left" vertical="center"/>
    </xf>
    <xf numFmtId="171" fontId="0" fillId="0" borderId="0" xfId="46" applyNumberFormat="1" applyFont="1" applyFill="1" applyBorder="1" applyAlignment="1">
      <alignment horizontal="left" vertical="center"/>
    </xf>
    <xf numFmtId="10" fontId="4" fillId="0" borderId="0" xfId="0" applyNumberFormat="1" applyFont="1" applyAlignment="1">
      <alignment horizontal="left" vertical="center"/>
    </xf>
    <xf numFmtId="1" fontId="13" fillId="0" borderId="2" xfId="0" applyNumberFormat="1" applyFont="1" applyBorder="1"/>
    <xf numFmtId="1" fontId="13" fillId="0" borderId="2" xfId="0" applyNumberFormat="1" applyFont="1" applyBorder="1" applyAlignment="1">
      <alignment horizontal="left"/>
    </xf>
    <xf numFmtId="164" fontId="0" fillId="82" borderId="1" xfId="0" applyNumberFormat="1" applyFill="1" applyBorder="1" applyAlignment="1">
      <alignment horizontal="left" vertical="center"/>
    </xf>
    <xf numFmtId="164" fontId="0" fillId="0" borderId="1" xfId="0" applyNumberFormat="1" applyBorder="1" applyAlignment="1">
      <alignment horizontal="left" vertical="center"/>
    </xf>
    <xf numFmtId="176" fontId="0" fillId="0" borderId="0" xfId="47" applyNumberFormat="1" applyFont="1"/>
    <xf numFmtId="169" fontId="0" fillId="0" borderId="0" xfId="47" applyNumberFormat="1" applyFont="1"/>
    <xf numFmtId="169" fontId="0" fillId="0" borderId="0" xfId="47" applyNumberFormat="1" applyFont="1" applyFill="1"/>
    <xf numFmtId="0" fontId="5" fillId="0" borderId="47" xfId="0" applyFont="1" applyBorder="1" applyAlignment="1">
      <alignment horizontal="center"/>
    </xf>
    <xf numFmtId="0" fontId="46" fillId="0" borderId="10" xfId="0" applyFont="1" applyBorder="1"/>
    <xf numFmtId="9" fontId="0" fillId="0" borderId="0" xfId="22" applyFont="1" applyAlignment="1">
      <alignment horizontal="right"/>
    </xf>
    <xf numFmtId="173" fontId="0" fillId="0" borderId="0" xfId="0" applyNumberFormat="1"/>
    <xf numFmtId="0" fontId="13" fillId="0" borderId="49" xfId="0" applyFont="1" applyBorder="1" applyAlignment="1">
      <alignment horizontal="center"/>
    </xf>
    <xf numFmtId="0" fontId="5" fillId="0" borderId="49" xfId="0" applyFont="1" applyBorder="1" applyAlignment="1">
      <alignment horizontal="center"/>
    </xf>
    <xf numFmtId="0" fontId="0" fillId="0" borderId="49" xfId="0" applyBorder="1" applyAlignment="1">
      <alignment horizontal="center"/>
    </xf>
    <xf numFmtId="0" fontId="6" fillId="0" borderId="49" xfId="0" applyFont="1" applyBorder="1" applyAlignment="1">
      <alignment horizontal="center"/>
    </xf>
    <xf numFmtId="0" fontId="0" fillId="0" borderId="49" xfId="0" applyBorder="1" applyAlignment="1">
      <alignment horizontal="left"/>
    </xf>
    <xf numFmtId="1" fontId="13" fillId="48" borderId="1" xfId="0" applyNumberFormat="1" applyFont="1" applyFill="1" applyBorder="1" applyAlignment="1">
      <alignment horizontal="right"/>
    </xf>
    <xf numFmtId="0" fontId="13" fillId="2" borderId="53" xfId="0" applyFont="1" applyFill="1" applyBorder="1"/>
    <xf numFmtId="0" fontId="13" fillId="0" borderId="47" xfId="0" applyFont="1" applyBorder="1" applyAlignment="1">
      <alignment horizontal="center"/>
    </xf>
    <xf numFmtId="0" fontId="13" fillId="0" borderId="44" xfId="0" applyFont="1" applyBorder="1" applyAlignment="1">
      <alignment horizontal="center"/>
    </xf>
    <xf numFmtId="0" fontId="8" fillId="2" borderId="0" xfId="0" applyFont="1" applyFill="1" applyAlignment="1">
      <alignment vertical="center" wrapText="1"/>
    </xf>
    <xf numFmtId="0" fontId="0" fillId="2" borderId="11" xfId="0" applyFill="1" applyBorder="1"/>
    <xf numFmtId="0" fontId="54" fillId="2" borderId="11" xfId="0" applyFont="1" applyFill="1" applyBorder="1" applyAlignment="1">
      <alignment vertical="center" wrapText="1"/>
    </xf>
    <xf numFmtId="0" fontId="8" fillId="2" borderId="11" xfId="0" applyFont="1" applyFill="1" applyBorder="1" applyAlignment="1">
      <alignment vertical="center" wrapText="1"/>
    </xf>
    <xf numFmtId="0" fontId="8" fillId="2" borderId="0" xfId="0" applyFont="1" applyFill="1" applyAlignment="1">
      <alignment wrapText="1"/>
    </xf>
    <xf numFmtId="0" fontId="46" fillId="2" borderId="0" xfId="0" applyFont="1" applyFill="1" applyAlignment="1">
      <alignment vertical="center"/>
    </xf>
    <xf numFmtId="0" fontId="78" fillId="2" borderId="0" xfId="0" quotePrefix="1" applyFont="1" applyFill="1" applyAlignment="1">
      <alignment vertical="center"/>
    </xf>
    <xf numFmtId="0" fontId="78" fillId="2" borderId="0" xfId="0" quotePrefix="1" applyFont="1" applyFill="1"/>
    <xf numFmtId="0" fontId="47" fillId="2" borderId="0" xfId="0" applyFont="1" applyFill="1"/>
    <xf numFmtId="0" fontId="4" fillId="2" borderId="0" xfId="0" applyFont="1" applyFill="1"/>
    <xf numFmtId="0" fontId="46" fillId="16" borderId="0" xfId="0" applyFont="1" applyFill="1"/>
    <xf numFmtId="43" fontId="0" fillId="0" borderId="0" xfId="46" applyFont="1" applyBorder="1" applyAlignment="1">
      <alignment horizontal="center"/>
    </xf>
    <xf numFmtId="0" fontId="0" fillId="0" borderId="14" xfId="0" applyBorder="1" applyAlignment="1">
      <alignment horizontal="center"/>
    </xf>
    <xf numFmtId="0" fontId="6" fillId="0" borderId="14" xfId="0" applyFont="1" applyBorder="1" applyAlignment="1">
      <alignment horizontal="center"/>
    </xf>
    <xf numFmtId="0" fontId="0" fillId="0" borderId="106" xfId="0" applyBorder="1"/>
    <xf numFmtId="0" fontId="13" fillId="0" borderId="2" xfId="0" applyFont="1" applyBorder="1" applyAlignment="1">
      <alignment horizontal="left" vertical="center"/>
    </xf>
    <xf numFmtId="0" fontId="13" fillId="0" borderId="2" xfId="0" applyFont="1" applyBorder="1" applyAlignment="1">
      <alignment horizontal="center" vertical="center"/>
    </xf>
    <xf numFmtId="1" fontId="13" fillId="0" borderId="2" xfId="0" applyNumberFormat="1" applyFont="1" applyBorder="1" applyAlignment="1">
      <alignment horizontal="right" vertical="center"/>
    </xf>
    <xf numFmtId="0" fontId="13" fillId="0" borderId="106" xfId="0" applyFont="1" applyBorder="1" applyAlignment="1">
      <alignment horizontal="center"/>
    </xf>
    <xf numFmtId="0" fontId="5" fillId="0" borderId="106" xfId="0" applyFont="1" applyBorder="1" applyAlignment="1">
      <alignment horizontal="center"/>
    </xf>
    <xf numFmtId="0" fontId="0" fillId="0" borderId="106" xfId="0" applyBorder="1" applyAlignment="1">
      <alignment horizontal="center"/>
    </xf>
    <xf numFmtId="0" fontId="6" fillId="0" borderId="106" xfId="0" applyFont="1" applyBorder="1" applyAlignment="1">
      <alignment horizontal="center"/>
    </xf>
    <xf numFmtId="171" fontId="0" fillId="0" borderId="0" xfId="46" applyNumberFormat="1" applyFont="1" applyAlignment="1">
      <alignment horizontal="center"/>
    </xf>
    <xf numFmtId="171" fontId="0" fillId="31" borderId="0" xfId="47" applyNumberFormat="1" applyFont="1" applyFill="1" applyBorder="1"/>
    <xf numFmtId="2" fontId="0" fillId="3" borderId="1" xfId="0" applyNumberFormat="1" applyFill="1" applyBorder="1" applyAlignment="1">
      <alignment horizontal="right"/>
    </xf>
    <xf numFmtId="171" fontId="0" fillId="0" borderId="1" xfId="0" applyNumberFormat="1" applyBorder="1"/>
    <xf numFmtId="171" fontId="0" fillId="3" borderId="1" xfId="0" applyNumberFormat="1" applyFill="1" applyBorder="1"/>
    <xf numFmtId="171" fontId="0" fillId="0" borderId="0" xfId="46" applyNumberFormat="1" applyFont="1" applyBorder="1" applyAlignment="1">
      <alignment horizontal="center"/>
    </xf>
    <xf numFmtId="0" fontId="5" fillId="0" borderId="14" xfId="0" applyFont="1" applyBorder="1" applyAlignment="1">
      <alignment horizontal="center"/>
    </xf>
    <xf numFmtId="0" fontId="4" fillId="0" borderId="0" xfId="0" applyFont="1" applyAlignment="1">
      <alignment vertical="top"/>
    </xf>
    <xf numFmtId="0" fontId="0" fillId="64" borderId="1" xfId="0" applyFill="1" applyBorder="1"/>
    <xf numFmtId="0" fontId="13" fillId="0" borderId="47" xfId="0" applyFont="1" applyBorder="1" applyAlignment="1">
      <alignment horizontal="left"/>
    </xf>
    <xf numFmtId="1" fontId="13" fillId="0" borderId="44" xfId="0" applyNumberFormat="1" applyFont="1" applyBorder="1" applyAlignment="1">
      <alignment horizontal="right"/>
    </xf>
    <xf numFmtId="0" fontId="0" fillId="0" borderId="2" xfId="0" applyBorder="1" applyAlignment="1">
      <alignment horizontal="left"/>
    </xf>
    <xf numFmtId="168" fontId="0" fillId="66" borderId="0" xfId="0" applyNumberFormat="1" applyFill="1"/>
    <xf numFmtId="168" fontId="0" fillId="3" borderId="0" xfId="0" applyNumberFormat="1" applyFill="1"/>
    <xf numFmtId="1" fontId="44" fillId="21" borderId="0" xfId="0" applyNumberFormat="1" applyFont="1" applyFill="1"/>
    <xf numFmtId="0" fontId="30" fillId="0" borderId="12" xfId="0" applyFont="1" applyBorder="1" applyAlignment="1">
      <alignment wrapText="1"/>
    </xf>
    <xf numFmtId="9" fontId="13" fillId="0" borderId="0" xfId="22" applyFont="1" applyBorder="1"/>
    <xf numFmtId="173" fontId="13" fillId="0" borderId="0" xfId="22" applyNumberFormat="1" applyFont="1" applyBorder="1" applyAlignment="1">
      <alignment horizontal="right"/>
    </xf>
    <xf numFmtId="173" fontId="13" fillId="0" borderId="0" xfId="22" applyNumberFormat="1" applyFont="1" applyBorder="1"/>
    <xf numFmtId="9" fontId="13" fillId="0" borderId="0" xfId="22" applyFont="1" applyFill="1" applyBorder="1"/>
    <xf numFmtId="0" fontId="30" fillId="26" borderId="10" xfId="0" applyFont="1" applyFill="1" applyBorder="1"/>
    <xf numFmtId="172" fontId="13" fillId="0" borderId="47" xfId="47" applyNumberFormat="1" applyFont="1" applyBorder="1"/>
    <xf numFmtId="172" fontId="13" fillId="31" borderId="47" xfId="0" applyNumberFormat="1" applyFont="1" applyFill="1" applyBorder="1"/>
    <xf numFmtId="171" fontId="0" fillId="31" borderId="0" xfId="47" applyNumberFormat="1" applyFont="1" applyFill="1"/>
    <xf numFmtId="1" fontId="59" fillId="54" borderId="2" xfId="0" applyNumberFormat="1" applyFont="1" applyFill="1" applyBorder="1" applyAlignment="1">
      <alignment horizontal="left"/>
    </xf>
    <xf numFmtId="0" fontId="13" fillId="91" borderId="6" xfId="0" applyFont="1" applyFill="1" applyBorder="1"/>
    <xf numFmtId="6" fontId="13" fillId="4" borderId="47" xfId="47" applyNumberFormat="1" applyFont="1" applyFill="1" applyBorder="1" applyAlignment="1"/>
    <xf numFmtId="6" fontId="13" fillId="4" borderId="12" xfId="47" applyNumberFormat="1" applyFont="1" applyFill="1" applyBorder="1" applyAlignment="1"/>
    <xf numFmtId="184" fontId="13" fillId="4" borderId="47" xfId="47" applyNumberFormat="1" applyFont="1" applyFill="1" applyBorder="1" applyAlignment="1"/>
    <xf numFmtId="184" fontId="13" fillId="4" borderId="0" xfId="47" applyNumberFormat="1" applyFont="1" applyFill="1" applyBorder="1" applyAlignment="1"/>
    <xf numFmtId="171" fontId="0" fillId="0" borderId="47" xfId="46" applyNumberFormat="1" applyFont="1" applyFill="1" applyBorder="1" applyAlignment="1"/>
    <xf numFmtId="171" fontId="0" fillId="0" borderId="48" xfId="46" applyNumberFormat="1" applyFont="1" applyFill="1" applyBorder="1" applyAlignment="1"/>
    <xf numFmtId="171" fontId="129" fillId="4" borderId="47" xfId="46" applyNumberFormat="1" applyFont="1" applyFill="1" applyBorder="1" applyAlignment="1"/>
    <xf numFmtId="2" fontId="0" fillId="0" borderId="12" xfId="0" applyNumberFormat="1" applyBorder="1" applyAlignment="1">
      <alignment horizontal="center"/>
    </xf>
    <xf numFmtId="2" fontId="0" fillId="0" borderId="47" xfId="0" applyNumberFormat="1" applyBorder="1" applyAlignment="1">
      <alignment horizontal="center"/>
    </xf>
    <xf numFmtId="2" fontId="0" fillId="0" borderId="86" xfId="0" applyNumberFormat="1" applyBorder="1" applyAlignment="1">
      <alignment horizontal="center"/>
    </xf>
    <xf numFmtId="2" fontId="0" fillId="0" borderId="15" xfId="0" applyNumberFormat="1" applyBorder="1" applyAlignment="1">
      <alignment horizontal="center"/>
    </xf>
    <xf numFmtId="3" fontId="0" fillId="0" borderId="3" xfId="0" applyNumberFormat="1" applyBorder="1" applyAlignment="1">
      <alignment horizontal="center"/>
    </xf>
    <xf numFmtId="3" fontId="0" fillId="8" borderId="11" xfId="0" applyNumberFormat="1" applyFill="1" applyBorder="1" applyAlignment="1">
      <alignment horizontal="center"/>
    </xf>
    <xf numFmtId="3" fontId="0" fillId="8" borderId="0" xfId="0" applyNumberFormat="1" applyFill="1" applyAlignment="1">
      <alignment horizontal="center"/>
    </xf>
    <xf numFmtId="171" fontId="0" fillId="8" borderId="14" xfId="0" applyNumberFormat="1" applyFill="1" applyBorder="1" applyAlignment="1">
      <alignment horizontal="center"/>
    </xf>
    <xf numFmtId="3" fontId="0" fillId="0" borderId="10" xfId="0" applyNumberFormat="1" applyBorder="1" applyAlignment="1">
      <alignment horizontal="center"/>
    </xf>
    <xf numFmtId="3" fontId="0" fillId="0" borderId="44" xfId="0" applyNumberFormat="1" applyBorder="1" applyAlignment="1">
      <alignment horizontal="center"/>
    </xf>
    <xf numFmtId="3" fontId="0" fillId="0" borderId="2" xfId="0" applyNumberFormat="1" applyBorder="1" applyAlignment="1">
      <alignment horizontal="center"/>
    </xf>
    <xf numFmtId="2" fontId="0" fillId="0" borderId="85" xfId="0" applyNumberFormat="1" applyBorder="1" applyAlignment="1">
      <alignment horizontal="center"/>
    </xf>
    <xf numFmtId="0" fontId="4" fillId="8" borderId="10" xfId="0" applyFont="1" applyFill="1" applyBorder="1"/>
    <xf numFmtId="0" fontId="4" fillId="8" borderId="11" xfId="0" applyFont="1" applyFill="1" applyBorder="1"/>
    <xf numFmtId="3" fontId="13" fillId="8" borderId="48" xfId="46" applyNumberFormat="1" applyFont="1" applyFill="1" applyBorder="1" applyAlignment="1">
      <alignment horizontal="center"/>
    </xf>
    <xf numFmtId="0" fontId="0" fillId="8" borderId="2" xfId="0" applyFill="1" applyBorder="1" applyAlignment="1">
      <alignment horizontal="center"/>
    </xf>
    <xf numFmtId="0" fontId="0" fillId="8" borderId="48" xfId="0" applyFill="1" applyBorder="1" applyAlignment="1">
      <alignment horizontal="center"/>
    </xf>
    <xf numFmtId="0" fontId="4" fillId="8" borderId="44" xfId="0" applyFont="1" applyFill="1" applyBorder="1"/>
    <xf numFmtId="0" fontId="4" fillId="8" borderId="0" xfId="0" applyFont="1" applyFill="1"/>
    <xf numFmtId="171" fontId="0" fillId="8" borderId="48" xfId="0" applyNumberFormat="1" applyFill="1" applyBorder="1" applyAlignment="1">
      <alignment horizontal="center"/>
    </xf>
    <xf numFmtId="171" fontId="0" fillId="8" borderId="47" xfId="0" applyNumberFormat="1" applyFill="1" applyBorder="1" applyAlignment="1">
      <alignment horizontal="center"/>
    </xf>
    <xf numFmtId="171" fontId="13" fillId="8" borderId="48" xfId="46" applyNumberFormat="1" applyFont="1" applyFill="1" applyBorder="1" applyAlignment="1">
      <alignment horizontal="center"/>
    </xf>
    <xf numFmtId="0" fontId="4" fillId="8" borderId="13" xfId="0" applyFont="1" applyFill="1" applyBorder="1"/>
    <xf numFmtId="0" fontId="4" fillId="8" borderId="14" xfId="0" applyFont="1" applyFill="1" applyBorder="1"/>
    <xf numFmtId="0" fontId="0" fillId="8" borderId="4" xfId="0" applyFill="1" applyBorder="1" applyAlignment="1">
      <alignment horizontal="center"/>
    </xf>
    <xf numFmtId="171" fontId="0" fillId="0" borderId="48" xfId="46" applyNumberFormat="1" applyFont="1" applyFill="1" applyBorder="1" applyAlignment="1">
      <alignment horizontal="center"/>
    </xf>
    <xf numFmtId="172" fontId="0" fillId="0" borderId="48" xfId="47" applyNumberFormat="1" applyFont="1" applyFill="1" applyBorder="1" applyAlignment="1">
      <alignment horizontal="center"/>
    </xf>
    <xf numFmtId="171" fontId="5" fillId="4" borderId="0" xfId="46" applyNumberFormat="1" applyFont="1" applyFill="1" applyBorder="1"/>
    <xf numFmtId="3" fontId="0" fillId="0" borderId="47" xfId="46" quotePrefix="1" applyNumberFormat="1" applyFont="1" applyFill="1" applyBorder="1" applyAlignment="1">
      <alignment horizontal="center"/>
    </xf>
    <xf numFmtId="172" fontId="0" fillId="0" borderId="47" xfId="47" quotePrefix="1" applyNumberFormat="1" applyFont="1" applyFill="1" applyBorder="1" applyAlignment="1">
      <alignment horizontal="center"/>
    </xf>
    <xf numFmtId="172" fontId="0" fillId="0" borderId="15" xfId="47" quotePrefix="1" applyNumberFormat="1" applyFont="1" applyFill="1" applyBorder="1" applyAlignment="1">
      <alignment horizontal="center"/>
    </xf>
    <xf numFmtId="1" fontId="59" fillId="40" borderId="1" xfId="0" applyNumberFormat="1" applyFont="1" applyFill="1" applyBorder="1" applyAlignment="1">
      <alignment horizontal="right"/>
    </xf>
    <xf numFmtId="1" fontId="4" fillId="40" borderId="1" xfId="0" applyNumberFormat="1" applyFont="1" applyFill="1" applyBorder="1" applyAlignment="1">
      <alignment horizontal="left"/>
    </xf>
    <xf numFmtId="1" fontId="30" fillId="40" borderId="1" xfId="0" applyNumberFormat="1" applyFont="1" applyFill="1" applyBorder="1" applyAlignment="1">
      <alignment horizontal="left"/>
    </xf>
    <xf numFmtId="1" fontId="4" fillId="40" borderId="1" xfId="0" applyNumberFormat="1" applyFont="1" applyFill="1" applyBorder="1" applyAlignment="1">
      <alignment horizontal="right"/>
    </xf>
    <xf numFmtId="1" fontId="30" fillId="40" borderId="1" xfId="0" applyNumberFormat="1" applyFont="1" applyFill="1" applyBorder="1" applyAlignment="1">
      <alignment horizontal="right"/>
    </xf>
    <xf numFmtId="1" fontId="7" fillId="40" borderId="1" xfId="0" applyNumberFormat="1" applyFont="1" applyFill="1" applyBorder="1"/>
    <xf numFmtId="1" fontId="13" fillId="40" borderId="1" xfId="0" applyNumberFormat="1" applyFont="1" applyFill="1" applyBorder="1" applyAlignment="1">
      <alignment horizontal="left"/>
    </xf>
    <xf numFmtId="0" fontId="131" fillId="0" borderId="107" xfId="0" applyFont="1" applyBorder="1" applyAlignment="1">
      <alignment vertical="top"/>
    </xf>
    <xf numFmtId="0" fontId="131" fillId="0" borderId="108" xfId="0" applyFont="1" applyBorder="1" applyAlignment="1">
      <alignment vertical="top" wrapText="1"/>
    </xf>
    <xf numFmtId="0" fontId="131" fillId="0" borderId="0" xfId="0" applyFont="1" applyAlignment="1">
      <alignment horizontal="left" vertical="top"/>
    </xf>
    <xf numFmtId="0" fontId="88" fillId="0" borderId="109" xfId="0" applyFont="1" applyBorder="1" applyAlignment="1">
      <alignment vertical="center" wrapText="1"/>
    </xf>
    <xf numFmtId="0" fontId="88" fillId="0" borderId="110" xfId="0" applyFont="1" applyBorder="1" applyAlignment="1">
      <alignment vertical="center" wrapText="1"/>
    </xf>
    <xf numFmtId="0" fontId="88" fillId="0" borderId="107" xfId="0" applyFont="1" applyBorder="1" applyAlignment="1">
      <alignment vertical="top"/>
    </xf>
    <xf numFmtId="0" fontId="88" fillId="0" borderId="108" xfId="0" applyFont="1" applyBorder="1" applyAlignment="1">
      <alignment vertical="top" wrapText="1"/>
    </xf>
    <xf numFmtId="0" fontId="88" fillId="0" borderId="111" xfId="0" applyFont="1" applyBorder="1" applyAlignment="1">
      <alignment vertical="top" wrapText="1"/>
    </xf>
    <xf numFmtId="0" fontId="88" fillId="0" borderId="112" xfId="0" applyFont="1" applyBorder="1" applyAlignment="1">
      <alignment vertical="center" wrapText="1"/>
    </xf>
    <xf numFmtId="0" fontId="88" fillId="0" borderId="113" xfId="0" applyFont="1" applyBorder="1" applyAlignment="1">
      <alignment vertical="center" wrapText="1"/>
    </xf>
    <xf numFmtId="0" fontId="88" fillId="0" borderId="107" xfId="0" applyFont="1" applyBorder="1" applyAlignment="1">
      <alignment horizontal="center" vertical="top"/>
    </xf>
    <xf numFmtId="0" fontId="88" fillId="0" borderId="107" xfId="0" applyFont="1" applyBorder="1" applyAlignment="1">
      <alignment horizontal="center" vertical="top" wrapText="1"/>
    </xf>
    <xf numFmtId="0" fontId="88" fillId="0" borderId="114" xfId="0" applyFont="1" applyBorder="1" applyAlignment="1">
      <alignment horizontal="center" vertical="top" wrapText="1"/>
    </xf>
    <xf numFmtId="0" fontId="88" fillId="0" borderId="115" xfId="0" applyFont="1" applyBorder="1" applyAlignment="1">
      <alignment vertical="center" wrapText="1"/>
    </xf>
    <xf numFmtId="0" fontId="88" fillId="0" borderId="116" xfId="0" applyFont="1" applyBorder="1" applyAlignment="1">
      <alignment vertical="center" wrapText="1"/>
    </xf>
    <xf numFmtId="0" fontId="88" fillId="0" borderId="117" xfId="0" applyFont="1" applyBorder="1" applyAlignment="1">
      <alignment horizontal="center" vertical="top"/>
    </xf>
    <xf numFmtId="0" fontId="88" fillId="0" borderId="114" xfId="0" applyFont="1" applyBorder="1" applyAlignment="1">
      <alignment horizontal="center" vertical="top"/>
    </xf>
    <xf numFmtId="0" fontId="131" fillId="0" borderId="0" xfId="0" applyFont="1" applyAlignment="1">
      <alignment horizontal="left" vertical="center" wrapText="1"/>
    </xf>
    <xf numFmtId="0" fontId="42" fillId="0" borderId="107" xfId="0" applyFont="1" applyBorder="1" applyAlignment="1">
      <alignment vertical="top"/>
    </xf>
    <xf numFmtId="0" fontId="42" fillId="0" borderId="118" xfId="0" applyFont="1" applyBorder="1" applyAlignment="1">
      <alignment vertical="top" wrapText="1"/>
    </xf>
    <xf numFmtId="9" fontId="131" fillId="0" borderId="117" xfId="0" applyNumberFormat="1" applyFont="1" applyBorder="1" applyAlignment="1">
      <alignment horizontal="center" vertical="top" shrinkToFit="1"/>
    </xf>
    <xf numFmtId="9" fontId="131" fillId="0" borderId="114" xfId="0" applyNumberFormat="1" applyFont="1" applyBorder="1" applyAlignment="1">
      <alignment horizontal="center" vertical="top" shrinkToFit="1"/>
    </xf>
    <xf numFmtId="0" fontId="42" fillId="0" borderId="119" xfId="0" applyFont="1" applyBorder="1" applyAlignment="1">
      <alignment vertical="center" wrapText="1"/>
    </xf>
    <xf numFmtId="0" fontId="42" fillId="0" borderId="117" xfId="0" applyFont="1" applyBorder="1" applyAlignment="1">
      <alignment horizontal="left" vertical="top" indent="1"/>
    </xf>
    <xf numFmtId="0" fontId="42" fillId="0" borderId="117" xfId="0" applyFont="1" applyBorder="1" applyAlignment="1">
      <alignment horizontal="left" vertical="top" wrapText="1" indent="1"/>
    </xf>
    <xf numFmtId="0" fontId="42" fillId="0" borderId="119" xfId="0" applyFont="1" applyBorder="1" applyAlignment="1">
      <alignment vertical="top" wrapText="1"/>
    </xf>
    <xf numFmtId="10" fontId="131" fillId="0" borderId="107" xfId="0" applyNumberFormat="1" applyFont="1" applyBorder="1" applyAlignment="1">
      <alignment horizontal="center" vertical="top" shrinkToFit="1"/>
    </xf>
    <xf numFmtId="9" fontId="131" fillId="0" borderId="107" xfId="0" applyNumberFormat="1" applyFont="1" applyBorder="1" applyAlignment="1">
      <alignment horizontal="center" vertical="top" shrinkToFit="1"/>
    </xf>
    <xf numFmtId="0" fontId="42" fillId="0" borderId="107" xfId="0" applyFont="1" applyBorder="1" applyAlignment="1">
      <alignment vertical="top" wrapText="1"/>
    </xf>
    <xf numFmtId="10" fontId="131" fillId="0" borderId="114" xfId="0" applyNumberFormat="1" applyFont="1" applyBorder="1" applyAlignment="1">
      <alignment horizontal="center" vertical="top" shrinkToFit="1"/>
    </xf>
    <xf numFmtId="173" fontId="131" fillId="0" borderId="107" xfId="0" applyNumberFormat="1" applyFont="1" applyBorder="1" applyAlignment="1">
      <alignment horizontal="center" vertical="top" shrinkToFit="1"/>
    </xf>
    <xf numFmtId="173" fontId="131" fillId="0" borderId="114" xfId="0" applyNumberFormat="1" applyFont="1" applyBorder="1" applyAlignment="1">
      <alignment horizontal="center" vertical="top" shrinkToFit="1"/>
    </xf>
    <xf numFmtId="10" fontId="131" fillId="0" borderId="107" xfId="0" applyNumberFormat="1" applyFont="1" applyBorder="1" applyAlignment="1">
      <alignment horizontal="center" vertical="center" shrinkToFit="1"/>
    </xf>
    <xf numFmtId="10" fontId="131" fillId="0" borderId="114" xfId="0" applyNumberFormat="1" applyFont="1" applyBorder="1" applyAlignment="1">
      <alignment horizontal="center" vertical="center" shrinkToFit="1"/>
    </xf>
    <xf numFmtId="0" fontId="131" fillId="0" borderId="0" xfId="0" applyFont="1" applyAlignment="1">
      <alignment horizontal="left" vertical="top" wrapText="1"/>
    </xf>
    <xf numFmtId="0" fontId="42" fillId="0" borderId="120" xfId="0" applyFont="1" applyBorder="1" applyAlignment="1">
      <alignment vertical="top"/>
    </xf>
    <xf numFmtId="0" fontId="131" fillId="0" borderId="0" xfId="0" applyFont="1" applyAlignment="1">
      <alignment vertical="top"/>
    </xf>
    <xf numFmtId="0" fontId="131" fillId="0" borderId="121" xfId="0" applyFont="1" applyBorder="1" applyAlignment="1">
      <alignment vertical="top" wrapText="1"/>
    </xf>
    <xf numFmtId="0" fontId="131" fillId="0" borderId="0" xfId="0" applyFont="1" applyAlignment="1">
      <alignment vertical="center" wrapText="1"/>
    </xf>
    <xf numFmtId="0" fontId="131" fillId="0" borderId="0" xfId="0" applyFont="1" applyAlignment="1">
      <alignment wrapText="1"/>
    </xf>
    <xf numFmtId="10" fontId="131" fillId="0" borderId="117" xfId="0" applyNumberFormat="1" applyFont="1" applyBorder="1" applyAlignment="1">
      <alignment horizontal="center" vertical="top" shrinkToFit="1"/>
    </xf>
    <xf numFmtId="3" fontId="0" fillId="22" borderId="47" xfId="46" applyNumberFormat="1" applyFont="1" applyFill="1" applyBorder="1" applyAlignment="1">
      <alignment horizontal="center"/>
    </xf>
    <xf numFmtId="0" fontId="4" fillId="0" borderId="0" xfId="0" applyFont="1" applyAlignment="1">
      <alignment horizontal="center" vertical="top"/>
    </xf>
    <xf numFmtId="0" fontId="13" fillId="96" borderId="0" xfId="0" applyFont="1" applyFill="1"/>
    <xf numFmtId="0" fontId="0" fillId="97" borderId="0" xfId="0" applyFill="1"/>
    <xf numFmtId="0" fontId="0" fillId="98" borderId="0" xfId="0" applyFill="1"/>
    <xf numFmtId="0" fontId="0" fillId="99" borderId="0" xfId="0" applyFill="1"/>
    <xf numFmtId="0" fontId="0" fillId="100" borderId="0" xfId="0" applyFill="1"/>
    <xf numFmtId="0" fontId="0" fillId="101" borderId="0" xfId="0" applyFill="1"/>
    <xf numFmtId="0" fontId="0" fillId="102" borderId="0" xfId="0" applyFill="1"/>
    <xf numFmtId="1" fontId="13" fillId="0" borderId="0" xfId="0" applyNumberFormat="1" applyFont="1" applyAlignment="1">
      <alignment horizontal="right"/>
    </xf>
    <xf numFmtId="0" fontId="59" fillId="0" borderId="0" xfId="0" applyFont="1" applyAlignment="1">
      <alignment horizontal="right"/>
    </xf>
    <xf numFmtId="0" fontId="59" fillId="0" borderId="0" xfId="0" applyFont="1"/>
    <xf numFmtId="0" fontId="131" fillId="0" borderId="1" xfId="0" applyFont="1" applyBorder="1" applyAlignment="1">
      <alignment horizontal="left" vertical="top"/>
    </xf>
    <xf numFmtId="0" fontId="131" fillId="86" borderId="1" xfId="0" applyFont="1" applyFill="1" applyBorder="1" applyAlignment="1">
      <alignment horizontal="right" vertical="top"/>
    </xf>
    <xf numFmtId="0" fontId="131" fillId="0" borderId="1" xfId="0" applyFont="1" applyBorder="1" applyAlignment="1">
      <alignment horizontal="right" vertical="top"/>
    </xf>
    <xf numFmtId="0" fontId="131" fillId="0" borderId="108" xfId="0" applyFont="1" applyBorder="1" applyAlignment="1">
      <alignment vertical="top"/>
    </xf>
    <xf numFmtId="0" fontId="13" fillId="0" borderId="0" xfId="0" applyFont="1" applyAlignment="1">
      <alignment horizontal="right" vertical="center"/>
    </xf>
    <xf numFmtId="165" fontId="13" fillId="0" borderId="1" xfId="0" applyNumberFormat="1" applyFont="1" applyBorder="1" applyAlignment="1">
      <alignment horizontal="right" vertical="center"/>
    </xf>
    <xf numFmtId="2" fontId="13" fillId="28" borderId="1" xfId="0" applyNumberFormat="1" applyFont="1" applyFill="1" applyBorder="1" applyAlignment="1">
      <alignment horizontal="right"/>
    </xf>
    <xf numFmtId="2" fontId="0" fillId="82" borderId="1" xfId="0" applyNumberFormat="1" applyFill="1" applyBorder="1" applyAlignment="1">
      <alignment horizontal="right" vertical="center"/>
    </xf>
    <xf numFmtId="0" fontId="31" fillId="0" borderId="0" xfId="0" applyFont="1" applyAlignment="1">
      <alignment vertical="center"/>
    </xf>
    <xf numFmtId="0" fontId="0" fillId="94" borderId="0" xfId="0" applyFill="1"/>
    <xf numFmtId="166" fontId="111" fillId="0" borderId="1" xfId="0" applyNumberFormat="1" applyFont="1" applyBorder="1" applyAlignment="1">
      <alignment horizontal="right" vertical="center" wrapText="1"/>
    </xf>
    <xf numFmtId="2" fontId="0" fillId="4" borderId="0" xfId="0" applyNumberFormat="1" applyFill="1"/>
    <xf numFmtId="164" fontId="0" fillId="4" borderId="0" xfId="0" applyNumberFormat="1" applyFill="1"/>
    <xf numFmtId="1" fontId="0" fillId="4" borderId="0" xfId="0" applyNumberFormat="1" applyFill="1"/>
    <xf numFmtId="165" fontId="0" fillId="4" borderId="0" xfId="0" applyNumberFormat="1" applyFill="1"/>
    <xf numFmtId="2" fontId="5" fillId="4" borderId="0" xfId="0" applyNumberFormat="1" applyFont="1" applyFill="1"/>
    <xf numFmtId="166" fontId="13" fillId="0" borderId="1" xfId="0" applyNumberFormat="1" applyFont="1" applyBorder="1" applyAlignment="1">
      <alignment vertical="center"/>
    </xf>
    <xf numFmtId="166" fontId="13" fillId="0" borderId="1" xfId="0" applyNumberFormat="1" applyFont="1" applyBorder="1"/>
    <xf numFmtId="165" fontId="0" fillId="0" borderId="1" xfId="0" applyNumberFormat="1" applyBorder="1" applyAlignment="1">
      <alignment horizontal="right" vertical="center"/>
    </xf>
    <xf numFmtId="166" fontId="4" fillId="35" borderId="1" xfId="0" applyNumberFormat="1" applyFont="1" applyFill="1" applyBorder="1" applyAlignment="1">
      <alignment horizontal="center"/>
    </xf>
    <xf numFmtId="166" fontId="4" fillId="14" borderId="1" xfId="0" applyNumberFormat="1" applyFont="1" applyFill="1" applyBorder="1" applyAlignment="1">
      <alignment horizontal="center"/>
    </xf>
    <xf numFmtId="166" fontId="4" fillId="48" borderId="16" xfId="0" applyNumberFormat="1" applyFont="1" applyFill="1" applyBorder="1" applyAlignment="1">
      <alignment horizontal="center"/>
    </xf>
    <xf numFmtId="0" fontId="0" fillId="21" borderId="13" xfId="0" applyFill="1" applyBorder="1"/>
    <xf numFmtId="172" fontId="13" fillId="0" borderId="14" xfId="47" applyNumberFormat="1" applyFont="1" applyBorder="1" applyAlignment="1">
      <alignment horizontal="center"/>
    </xf>
    <xf numFmtId="171" fontId="0" fillId="0" borderId="1" xfId="46" applyNumberFormat="1" applyFont="1" applyBorder="1" applyAlignment="1">
      <alignment vertical="center"/>
    </xf>
    <xf numFmtId="171" fontId="0" fillId="0" borderId="1" xfId="46" applyNumberFormat="1" applyFont="1" applyBorder="1" applyAlignment="1">
      <alignment horizontal="right" vertical="center"/>
    </xf>
    <xf numFmtId="171" fontId="0" fillId="0" borderId="1" xfId="46" applyNumberFormat="1" applyFont="1" applyBorder="1"/>
    <xf numFmtId="0" fontId="4" fillId="8" borderId="15" xfId="0" applyFont="1" applyFill="1" applyBorder="1"/>
    <xf numFmtId="2" fontId="0" fillId="8" borderId="15" xfId="0" applyNumberFormat="1" applyFill="1" applyBorder="1" applyAlignment="1">
      <alignment horizontal="center"/>
    </xf>
    <xf numFmtId="3" fontId="0" fillId="8" borderId="4" xfId="0" applyNumberFormat="1" applyFill="1" applyBorder="1" applyAlignment="1">
      <alignment horizontal="center"/>
    </xf>
    <xf numFmtId="3" fontId="0" fillId="8" borderId="13" xfId="0" applyNumberFormat="1" applyFill="1" applyBorder="1" applyAlignment="1">
      <alignment horizontal="center"/>
    </xf>
    <xf numFmtId="3" fontId="0" fillId="8" borderId="15" xfId="0" applyNumberFormat="1" applyFill="1" applyBorder="1" applyAlignment="1">
      <alignment horizontal="center"/>
    </xf>
    <xf numFmtId="3" fontId="0" fillId="8" borderId="1" xfId="0" applyNumberFormat="1" applyFill="1" applyBorder="1" applyAlignment="1">
      <alignment horizontal="center"/>
    </xf>
    <xf numFmtId="165" fontId="0" fillId="27" borderId="0" xfId="0" applyNumberFormat="1" applyFill="1"/>
    <xf numFmtId="165" fontId="0" fillId="3" borderId="0" xfId="0" applyNumberFormat="1" applyFill="1"/>
    <xf numFmtId="0" fontId="4" fillId="40" borderId="1" xfId="0" applyFont="1" applyFill="1" applyBorder="1" applyAlignment="1">
      <alignment horizontal="left" vertical="center"/>
    </xf>
    <xf numFmtId="0" fontId="13" fillId="40" borderId="1" xfId="0" applyFont="1" applyFill="1" applyBorder="1" applyAlignment="1">
      <alignment horizontal="left" vertical="center"/>
    </xf>
    <xf numFmtId="166" fontId="13" fillId="0" borderId="1" xfId="0" applyNumberFormat="1" applyFont="1" applyBorder="1" applyAlignment="1">
      <alignment horizontal="left" vertical="center" wrapText="1"/>
    </xf>
    <xf numFmtId="0" fontId="13" fillId="40" borderId="1" xfId="0" applyFont="1" applyFill="1" applyBorder="1" applyAlignment="1">
      <alignment horizontal="right" vertical="center"/>
    </xf>
    <xf numFmtId="0" fontId="0" fillId="90" borderId="1" xfId="0" applyFill="1" applyBorder="1" applyAlignment="1">
      <alignment horizontal="left" vertical="center"/>
    </xf>
    <xf numFmtId="2" fontId="13" fillId="35" borderId="1" xfId="0" applyNumberFormat="1" applyFont="1" applyFill="1" applyBorder="1" applyAlignment="1">
      <alignment horizontal="right" vertical="center"/>
    </xf>
    <xf numFmtId="0" fontId="0" fillId="40" borderId="1" xfId="0" applyFill="1" applyBorder="1" applyAlignment="1">
      <alignment horizontal="left" vertical="center"/>
    </xf>
    <xf numFmtId="166" fontId="13" fillId="86" borderId="1" xfId="0" applyNumberFormat="1" applyFont="1" applyFill="1" applyBorder="1" applyAlignment="1">
      <alignment horizontal="right" vertical="center"/>
    </xf>
    <xf numFmtId="165" fontId="13" fillId="0" borderId="1" xfId="0" applyNumberFormat="1" applyFont="1" applyBorder="1" applyAlignment="1">
      <alignment horizontal="left" vertical="center" wrapText="1"/>
    </xf>
    <xf numFmtId="166" fontId="13" fillId="2" borderId="1" xfId="0" applyNumberFormat="1" applyFont="1" applyFill="1" applyBorder="1" applyAlignment="1">
      <alignment horizontal="left" vertical="center" wrapText="1"/>
    </xf>
    <xf numFmtId="1" fontId="13" fillId="2" borderId="1" xfId="0" applyNumberFormat="1" applyFont="1" applyFill="1" applyBorder="1" applyAlignment="1">
      <alignment horizontal="left" vertical="center" wrapText="1"/>
    </xf>
    <xf numFmtId="0" fontId="59" fillId="89" borderId="1" xfId="0" applyFont="1" applyFill="1" applyBorder="1" applyAlignment="1">
      <alignment horizontal="right" vertical="center"/>
    </xf>
    <xf numFmtId="1" fontId="7" fillId="0" borderId="1" xfId="0" applyNumberFormat="1" applyFont="1" applyBorder="1" applyAlignment="1">
      <alignment vertical="center"/>
    </xf>
    <xf numFmtId="1" fontId="15" fillId="0" borderId="1" xfId="0" applyNumberFormat="1" applyFont="1" applyBorder="1" applyAlignment="1">
      <alignment vertical="center"/>
    </xf>
    <xf numFmtId="2" fontId="15" fillId="86" borderId="1" xfId="0" applyNumberFormat="1" applyFont="1" applyFill="1" applyBorder="1" applyAlignment="1">
      <alignment horizontal="right" vertical="center"/>
    </xf>
    <xf numFmtId="2" fontId="13" fillId="35" borderId="0" xfId="0" applyNumberFormat="1" applyFont="1" applyFill="1" applyAlignment="1">
      <alignment horizontal="right"/>
    </xf>
    <xf numFmtId="1" fontId="13" fillId="103" borderId="1" xfId="47" applyNumberFormat="1" applyFont="1" applyFill="1" applyBorder="1" applyAlignment="1">
      <alignment horizontal="center"/>
    </xf>
    <xf numFmtId="2" fontId="13" fillId="103" borderId="1" xfId="47" applyNumberFormat="1" applyFont="1" applyFill="1" applyBorder="1" applyAlignment="1">
      <alignment horizontal="center"/>
    </xf>
    <xf numFmtId="2" fontId="13" fillId="104" borderId="1" xfId="47" applyNumberFormat="1" applyFont="1" applyFill="1" applyBorder="1" applyAlignment="1">
      <alignment horizontal="center"/>
    </xf>
    <xf numFmtId="2" fontId="0" fillId="105" borderId="1" xfId="0" applyNumberFormat="1" applyFill="1" applyBorder="1" applyAlignment="1">
      <alignment horizontal="center"/>
    </xf>
    <xf numFmtId="1" fontId="0" fillId="105" borderId="1" xfId="0" applyNumberFormat="1" applyFill="1" applyBorder="1" applyAlignment="1">
      <alignment horizontal="center"/>
    </xf>
    <xf numFmtId="1" fontId="0" fillId="105" borderId="6" xfId="0" applyNumberFormat="1" applyFill="1" applyBorder="1" applyAlignment="1">
      <alignment horizontal="center"/>
    </xf>
    <xf numFmtId="0" fontId="13" fillId="0" borderId="1" xfId="0" applyFont="1" applyBorder="1" applyAlignment="1">
      <alignment horizontal="left" wrapText="1"/>
    </xf>
    <xf numFmtId="2" fontId="13" fillId="0" borderId="1" xfId="0" applyNumberFormat="1" applyFont="1" applyBorder="1" applyAlignment="1">
      <alignment horizontal="center" wrapText="1"/>
    </xf>
    <xf numFmtId="2" fontId="13" fillId="0" borderId="1" xfId="0" applyNumberFormat="1" applyFont="1" applyBorder="1" applyAlignment="1">
      <alignment horizontal="center"/>
    </xf>
    <xf numFmtId="2" fontId="13" fillId="4" borderId="1" xfId="0" applyNumberFormat="1" applyFont="1" applyFill="1" applyBorder="1" applyAlignment="1">
      <alignment horizontal="center"/>
    </xf>
    <xf numFmtId="2" fontId="13" fillId="0" borderId="3" xfId="0" applyNumberFormat="1" applyFont="1" applyBorder="1" applyAlignment="1">
      <alignment horizontal="center" wrapText="1"/>
    </xf>
    <xf numFmtId="164" fontId="13" fillId="28" borderId="1" xfId="0" applyNumberFormat="1" applyFont="1" applyFill="1" applyBorder="1" applyAlignment="1">
      <alignment horizontal="right"/>
    </xf>
    <xf numFmtId="2" fontId="78" fillId="2" borderId="0" xfId="0" applyNumberFormat="1" applyFont="1" applyFill="1" applyAlignment="1">
      <alignment horizontal="center"/>
    </xf>
    <xf numFmtId="165" fontId="13" fillId="86" borderId="1" xfId="0" applyNumberFormat="1" applyFont="1" applyFill="1" applyBorder="1" applyAlignment="1">
      <alignment horizontal="right" vertical="center"/>
    </xf>
    <xf numFmtId="1" fontId="0" fillId="0" borderId="2" xfId="0" applyNumberFormat="1" applyBorder="1"/>
    <xf numFmtId="2" fontId="13" fillId="4" borderId="1" xfId="0" applyNumberFormat="1" applyFont="1" applyFill="1" applyBorder="1" applyAlignment="1">
      <alignment horizontal="right"/>
    </xf>
    <xf numFmtId="1" fontId="0" fillId="0" borderId="0" xfId="47" applyNumberFormat="1" applyFont="1"/>
    <xf numFmtId="0" fontId="0" fillId="0" borderId="0" xfId="0" applyAlignment="1">
      <alignment vertical="center" wrapText="1"/>
    </xf>
    <xf numFmtId="0" fontId="13" fillId="60" borderId="13" xfId="0" applyFont="1" applyFill="1" applyBorder="1" applyAlignment="1">
      <alignment horizontal="center" wrapText="1"/>
    </xf>
    <xf numFmtId="0" fontId="30" fillId="60" borderId="6" xfId="0" applyFont="1" applyFill="1" applyBorder="1" applyAlignment="1">
      <alignment horizontal="center" vertical="center" wrapText="1"/>
    </xf>
    <xf numFmtId="0" fontId="13" fillId="0" borderId="0" xfId="0" applyFont="1" applyAlignment="1">
      <alignment horizontal="center" wrapText="1"/>
    </xf>
    <xf numFmtId="0" fontId="12" fillId="2" borderId="0" xfId="0" applyFont="1" applyFill="1"/>
    <xf numFmtId="1" fontId="30" fillId="0" borderId="1" xfId="0" applyNumberFormat="1" applyFont="1" applyBorder="1" applyAlignment="1">
      <alignment horizontal="left"/>
    </xf>
    <xf numFmtId="164" fontId="0" fillId="4" borderId="1" xfId="0" applyNumberFormat="1" applyFill="1" applyBorder="1" applyAlignment="1">
      <alignment horizontal="center"/>
    </xf>
    <xf numFmtId="2" fontId="0" fillId="4" borderId="1" xfId="0" applyNumberFormat="1" applyFill="1" applyBorder="1" applyAlignment="1">
      <alignment horizontal="center"/>
    </xf>
    <xf numFmtId="2" fontId="13" fillId="0" borderId="1" xfId="0" applyNumberFormat="1" applyFont="1" applyBorder="1"/>
    <xf numFmtId="2" fontId="0" fillId="0" borderId="1" xfId="0" applyNumberFormat="1" applyBorder="1" applyAlignment="1">
      <alignment horizontal="left" vertical="center"/>
    </xf>
    <xf numFmtId="2" fontId="5" fillId="14" borderId="1" xfId="0" applyNumberFormat="1" applyFont="1" applyFill="1" applyBorder="1" applyAlignment="1">
      <alignment horizontal="center"/>
    </xf>
    <xf numFmtId="2" fontId="0" fillId="14" borderId="1" xfId="0" applyNumberFormat="1" applyFill="1" applyBorder="1" applyAlignment="1">
      <alignment horizontal="center"/>
    </xf>
    <xf numFmtId="2" fontId="0" fillId="35" borderId="25" xfId="0" applyNumberFormat="1" applyFill="1" applyBorder="1" applyAlignment="1">
      <alignment horizontal="center"/>
    </xf>
    <xf numFmtId="0" fontId="111" fillId="0" borderId="48" xfId="0" applyFont="1" applyBorder="1" applyAlignment="1">
      <alignment horizontal="left" vertical="center"/>
    </xf>
    <xf numFmtId="0" fontId="4" fillId="0" borderId="23" xfId="0" applyFont="1" applyBorder="1" applyAlignment="1">
      <alignment horizontal="center"/>
    </xf>
    <xf numFmtId="0" fontId="0" fillId="0" borderId="16" xfId="0" applyBorder="1" applyAlignment="1">
      <alignment horizontal="center" wrapText="1"/>
    </xf>
    <xf numFmtId="1" fontId="13" fillId="88" borderId="1" xfId="0" applyNumberFormat="1" applyFont="1" applyFill="1" applyBorder="1" applyAlignment="1">
      <alignment horizontal="right"/>
    </xf>
    <xf numFmtId="164" fontId="0" fillId="88" borderId="1" xfId="22" applyNumberFormat="1" applyFont="1" applyFill="1" applyBorder="1" applyAlignment="1">
      <alignment horizontal="right"/>
    </xf>
    <xf numFmtId="164" fontId="0" fillId="0" borderId="1" xfId="22" applyNumberFormat="1" applyFont="1" applyFill="1" applyBorder="1" applyAlignment="1">
      <alignment horizontal="right"/>
    </xf>
    <xf numFmtId="165" fontId="0" fillId="0" borderId="1" xfId="0" applyNumberFormat="1" applyBorder="1" applyAlignment="1">
      <alignment horizontal="left" vertical="center"/>
    </xf>
    <xf numFmtId="9" fontId="0" fillId="0" borderId="1" xfId="22" applyFont="1" applyFill="1" applyBorder="1" applyAlignment="1">
      <alignment horizontal="center"/>
    </xf>
    <xf numFmtId="0" fontId="0" fillId="0" borderId="4" xfId="0" applyBorder="1" applyAlignment="1">
      <alignment horizontal="left"/>
    </xf>
    <xf numFmtId="1" fontId="59" fillId="0" borderId="0" xfId="0" applyNumberFormat="1" applyFont="1" applyAlignment="1">
      <alignment horizontal="left"/>
    </xf>
    <xf numFmtId="1" fontId="58" fillId="54" borderId="6" xfId="0" applyNumberFormat="1" applyFont="1" applyFill="1" applyBorder="1" applyAlignment="1">
      <alignment horizontal="left"/>
    </xf>
    <xf numFmtId="1" fontId="13" fillId="0" borderId="4" xfId="0" applyNumberFormat="1" applyFont="1" applyBorder="1" applyAlignment="1">
      <alignment horizontal="right" vertical="center"/>
    </xf>
    <xf numFmtId="0" fontId="78" fillId="2" borderId="0" xfId="0" quotePrefix="1" applyFont="1" applyFill="1" applyAlignment="1">
      <alignment wrapText="1"/>
    </xf>
    <xf numFmtId="0" fontId="78" fillId="2" borderId="0" xfId="0" applyFont="1" applyFill="1" applyAlignment="1">
      <alignment wrapText="1"/>
    </xf>
    <xf numFmtId="0" fontId="78" fillId="0" borderId="0" xfId="0" quotePrefix="1" applyFont="1" applyAlignment="1">
      <alignment wrapText="1"/>
    </xf>
    <xf numFmtId="0" fontId="78" fillId="0" borderId="0" xfId="0" applyFont="1" applyAlignment="1">
      <alignment wrapText="1"/>
    </xf>
    <xf numFmtId="0" fontId="88" fillId="63" borderId="53" xfId="4" applyFont="1" applyFill="1" applyBorder="1" applyAlignment="1" applyProtection="1">
      <alignment horizontal="center" vertical="center" wrapText="1"/>
    </xf>
    <xf numFmtId="0" fontId="88" fillId="63" borderId="87" xfId="4" applyFont="1" applyFill="1" applyBorder="1" applyAlignment="1" applyProtection="1">
      <alignment horizontal="center" vertical="center" wrapText="1"/>
    </xf>
    <xf numFmtId="0" fontId="88" fillId="63" borderId="88" xfId="4" applyFont="1" applyFill="1" applyBorder="1" applyAlignment="1" applyProtection="1">
      <alignment horizontal="center" vertical="center" wrapText="1"/>
    </xf>
    <xf numFmtId="0" fontId="88" fillId="63" borderId="89" xfId="4" applyFont="1" applyFill="1" applyBorder="1" applyAlignment="1" applyProtection="1">
      <alignment horizontal="center" vertical="center" wrapText="1"/>
    </xf>
    <xf numFmtId="0" fontId="88" fillId="63" borderId="90" xfId="4" applyFont="1" applyFill="1" applyBorder="1" applyAlignment="1" applyProtection="1">
      <alignment horizontal="center" vertical="center" wrapText="1"/>
    </xf>
    <xf numFmtId="0" fontId="88" fillId="63" borderId="91" xfId="4" applyFont="1" applyFill="1" applyBorder="1" applyAlignment="1" applyProtection="1">
      <alignment horizontal="center" vertical="center" wrapText="1"/>
    </xf>
    <xf numFmtId="0" fontId="88" fillId="63" borderId="56" xfId="4" applyFont="1" applyFill="1" applyBorder="1" applyAlignment="1" applyProtection="1">
      <alignment horizontal="center" vertical="center" wrapText="1"/>
    </xf>
    <xf numFmtId="0" fontId="88" fillId="63" borderId="28" xfId="4" applyFont="1" applyFill="1" applyBorder="1" applyAlignment="1" applyProtection="1">
      <alignment horizontal="center" vertical="center" wrapText="1"/>
    </xf>
    <xf numFmtId="0" fontId="88" fillId="63" borderId="41" xfId="4" applyFont="1" applyFill="1" applyBorder="1" applyAlignment="1" applyProtection="1">
      <alignment horizontal="center" vertical="center" wrapText="1"/>
    </xf>
    <xf numFmtId="0" fontId="88" fillId="63" borderId="54" xfId="4" applyFont="1" applyFill="1" applyBorder="1" applyAlignment="1" applyProtection="1">
      <alignment horizontal="center" vertical="center" wrapText="1"/>
    </xf>
    <xf numFmtId="0" fontId="88" fillId="63" borderId="42" xfId="4" applyFont="1" applyFill="1" applyBorder="1" applyAlignment="1" applyProtection="1">
      <alignment horizontal="center" vertical="center" wrapText="1"/>
    </xf>
    <xf numFmtId="0" fontId="88" fillId="64" borderId="53" xfId="4" applyFont="1" applyFill="1" applyBorder="1" applyAlignment="1" applyProtection="1">
      <alignment horizontal="center" vertical="center" wrapText="1"/>
    </xf>
    <xf numFmtId="0" fontId="88" fillId="64" borderId="92" xfId="4" applyFont="1" applyFill="1" applyBorder="1" applyAlignment="1" applyProtection="1">
      <alignment horizontal="center" vertical="center" wrapText="1"/>
    </xf>
    <xf numFmtId="0" fontId="88" fillId="64" borderId="93" xfId="4" applyFont="1" applyFill="1" applyBorder="1" applyAlignment="1" applyProtection="1">
      <alignment horizontal="center" vertical="center" wrapText="1"/>
    </xf>
    <xf numFmtId="0" fontId="88" fillId="64" borderId="94" xfId="4" applyFont="1" applyFill="1" applyBorder="1" applyAlignment="1" applyProtection="1">
      <alignment horizontal="center" vertical="center" wrapText="1"/>
    </xf>
    <xf numFmtId="0" fontId="88" fillId="64" borderId="95" xfId="4" applyFont="1" applyFill="1" applyBorder="1" applyAlignment="1" applyProtection="1">
      <alignment horizontal="center" vertical="center" wrapText="1"/>
    </xf>
    <xf numFmtId="0" fontId="88" fillId="64" borderId="96" xfId="4" applyFont="1" applyFill="1" applyBorder="1" applyAlignment="1" applyProtection="1">
      <alignment horizontal="center" vertical="center" wrapText="1"/>
    </xf>
    <xf numFmtId="0" fontId="88" fillId="37" borderId="53" xfId="4" applyFont="1" applyFill="1" applyBorder="1" applyAlignment="1" applyProtection="1">
      <alignment horizontal="center" vertical="center" wrapText="1"/>
    </xf>
    <xf numFmtId="0" fontId="88" fillId="37" borderId="87" xfId="4" applyFont="1" applyFill="1" applyBorder="1" applyAlignment="1" applyProtection="1">
      <alignment horizontal="center" vertical="center" wrapText="1"/>
    </xf>
    <xf numFmtId="0" fontId="88" fillId="37" borderId="88" xfId="4" applyFont="1" applyFill="1" applyBorder="1" applyAlignment="1" applyProtection="1">
      <alignment horizontal="center" vertical="center" wrapText="1"/>
    </xf>
    <xf numFmtId="0" fontId="88" fillId="37" borderId="89" xfId="4" applyFont="1" applyFill="1" applyBorder="1" applyAlignment="1" applyProtection="1">
      <alignment horizontal="center" vertical="center" wrapText="1"/>
    </xf>
    <xf numFmtId="0" fontId="88" fillId="37" borderId="90" xfId="4" applyFont="1" applyFill="1" applyBorder="1" applyAlignment="1" applyProtection="1">
      <alignment horizontal="center" vertical="center" wrapText="1"/>
    </xf>
    <xf numFmtId="0" fontId="88" fillId="37" borderId="91" xfId="4" applyFont="1" applyFill="1" applyBorder="1" applyAlignment="1" applyProtection="1">
      <alignment horizontal="center" vertical="center" wrapText="1"/>
    </xf>
    <xf numFmtId="0" fontId="88" fillId="64" borderId="53" xfId="3" applyFont="1" applyFill="1" applyBorder="1" applyAlignment="1" applyProtection="1">
      <alignment horizontal="center" vertical="center" wrapText="1"/>
    </xf>
    <xf numFmtId="0" fontId="88" fillId="64" borderId="92" xfId="3" applyFont="1" applyFill="1" applyBorder="1" applyAlignment="1" applyProtection="1">
      <alignment horizontal="center" vertical="center" wrapText="1"/>
    </xf>
    <xf numFmtId="0" fontId="88" fillId="64" borderId="93" xfId="3" applyFont="1" applyFill="1" applyBorder="1" applyAlignment="1" applyProtection="1">
      <alignment horizontal="center" vertical="center" wrapText="1"/>
    </xf>
    <xf numFmtId="0" fontId="88" fillId="64" borderId="94" xfId="3" applyFont="1" applyFill="1" applyBorder="1" applyAlignment="1" applyProtection="1">
      <alignment horizontal="center" vertical="center" wrapText="1"/>
    </xf>
    <xf numFmtId="0" fontId="88" fillId="64" borderId="95" xfId="3" applyFont="1" applyFill="1" applyBorder="1" applyAlignment="1" applyProtection="1">
      <alignment horizontal="center" vertical="center" wrapText="1"/>
    </xf>
    <xf numFmtId="0" fontId="88" fillId="64" borderId="96" xfId="3" applyFont="1" applyFill="1" applyBorder="1" applyAlignment="1" applyProtection="1">
      <alignment horizontal="center" vertical="center" wrapText="1"/>
    </xf>
    <xf numFmtId="0" fontId="115" fillId="65" borderId="0" xfId="0" applyFont="1" applyFill="1" applyAlignment="1">
      <alignment horizontal="center" vertical="center" wrapText="1"/>
    </xf>
    <xf numFmtId="0" fontId="8" fillId="2" borderId="0" xfId="0" applyFont="1" applyFill="1" applyAlignment="1">
      <alignment horizontal="left" vertical="center" wrapText="1"/>
    </xf>
    <xf numFmtId="0" fontId="54" fillId="66" borderId="67" xfId="0" applyFont="1" applyFill="1" applyBorder="1" applyAlignment="1">
      <alignment horizontal="center" vertical="center" wrapText="1"/>
    </xf>
    <xf numFmtId="0" fontId="54" fillId="66" borderId="68" xfId="0" applyFont="1" applyFill="1" applyBorder="1" applyAlignment="1">
      <alignment horizontal="center" vertical="center" wrapText="1"/>
    </xf>
    <xf numFmtId="0" fontId="54" fillId="66" borderId="69" xfId="0" applyFont="1" applyFill="1" applyBorder="1" applyAlignment="1">
      <alignment horizontal="center" vertical="center" wrapText="1"/>
    </xf>
    <xf numFmtId="0" fontId="54" fillId="66" borderId="70" xfId="0" applyFont="1" applyFill="1" applyBorder="1" applyAlignment="1">
      <alignment horizontal="center" vertical="center" wrapText="1"/>
    </xf>
    <xf numFmtId="0" fontId="54" fillId="66" borderId="0" xfId="0" applyFont="1" applyFill="1" applyAlignment="1">
      <alignment horizontal="center" vertical="center" wrapText="1"/>
    </xf>
    <xf numFmtId="0" fontId="54" fillId="66" borderId="71" xfId="0" applyFont="1" applyFill="1" applyBorder="1" applyAlignment="1">
      <alignment horizontal="center" vertical="center" wrapText="1"/>
    </xf>
    <xf numFmtId="0" fontId="54" fillId="66" borderId="72" xfId="0" applyFont="1" applyFill="1" applyBorder="1" applyAlignment="1">
      <alignment horizontal="center" vertical="center" wrapText="1"/>
    </xf>
    <xf numFmtId="0" fontId="54" fillId="66" borderId="73" xfId="0" applyFont="1" applyFill="1" applyBorder="1" applyAlignment="1">
      <alignment horizontal="center" vertical="center" wrapText="1"/>
    </xf>
    <xf numFmtId="0" fontId="54" fillId="66" borderId="74" xfId="0" applyFont="1" applyFill="1" applyBorder="1" applyAlignment="1">
      <alignment horizontal="center" vertical="center" wrapText="1"/>
    </xf>
    <xf numFmtId="0" fontId="96" fillId="70" borderId="1" xfId="0" applyFont="1" applyFill="1" applyBorder="1" applyAlignment="1">
      <alignment horizontal="center" vertical="center" wrapText="1"/>
    </xf>
    <xf numFmtId="0" fontId="96" fillId="70" borderId="1" xfId="0" applyFont="1" applyFill="1" applyBorder="1" applyAlignment="1">
      <alignment horizontal="center" wrapText="1"/>
    </xf>
    <xf numFmtId="0" fontId="96" fillId="68" borderId="1" xfId="0" applyFont="1" applyFill="1" applyBorder="1" applyAlignment="1">
      <alignment horizontal="center" vertical="center" wrapText="1"/>
    </xf>
    <xf numFmtId="1" fontId="96" fillId="68" borderId="1" xfId="47" applyNumberFormat="1" applyFont="1" applyFill="1" applyBorder="1" applyAlignment="1">
      <alignment horizontal="center" vertical="center" wrapText="1"/>
    </xf>
    <xf numFmtId="0" fontId="80" fillId="50" borderId="11" xfId="0" applyFont="1" applyFill="1" applyBorder="1" applyAlignment="1">
      <alignment horizontal="center" vertical="center" wrapText="1"/>
    </xf>
    <xf numFmtId="0" fontId="80" fillId="50" borderId="12" xfId="0" applyFont="1" applyFill="1" applyBorder="1" applyAlignment="1">
      <alignment horizontal="center" vertical="center" wrapText="1"/>
    </xf>
    <xf numFmtId="0" fontId="80" fillId="50" borderId="0" xfId="0" applyFont="1" applyFill="1" applyAlignment="1">
      <alignment horizontal="center" vertical="center" wrapText="1"/>
    </xf>
    <xf numFmtId="0" fontId="80" fillId="50" borderId="47" xfId="0" applyFont="1" applyFill="1" applyBorder="1" applyAlignment="1">
      <alignment horizontal="center" vertical="center" wrapText="1"/>
    </xf>
    <xf numFmtId="0" fontId="80" fillId="50" borderId="14" xfId="0" applyFont="1" applyFill="1" applyBorder="1" applyAlignment="1">
      <alignment horizontal="center" vertical="center" wrapText="1"/>
    </xf>
    <xf numFmtId="0" fontId="80" fillId="50" borderId="15" xfId="0" applyFont="1" applyFill="1" applyBorder="1" applyAlignment="1">
      <alignment horizontal="center" vertical="center" wrapText="1"/>
    </xf>
    <xf numFmtId="0" fontId="96" fillId="68" borderId="1" xfId="0" applyFont="1" applyFill="1" applyBorder="1" applyAlignment="1">
      <alignment horizontal="center" wrapText="1"/>
    </xf>
    <xf numFmtId="1" fontId="96" fillId="70" borderId="1" xfId="47" applyNumberFormat="1" applyFont="1" applyFill="1" applyBorder="1" applyAlignment="1">
      <alignment horizontal="center" vertical="center" wrapText="1"/>
    </xf>
    <xf numFmtId="0" fontId="54" fillId="55" borderId="1" xfId="0" applyFont="1" applyFill="1" applyBorder="1" applyAlignment="1">
      <alignment horizontal="center" vertical="center"/>
    </xf>
    <xf numFmtId="0" fontId="98" fillId="68" borderId="1" xfId="0" applyFont="1" applyFill="1" applyBorder="1" applyAlignment="1">
      <alignment horizontal="center" vertical="center" wrapText="1"/>
    </xf>
    <xf numFmtId="0" fontId="79" fillId="67" borderId="1" xfId="3" applyFont="1" applyFill="1" applyBorder="1" applyAlignment="1">
      <alignment horizontal="center" vertical="center" wrapText="1"/>
    </xf>
    <xf numFmtId="0" fontId="65" fillId="68" borderId="1" xfId="0" applyFont="1" applyFill="1" applyBorder="1" applyAlignment="1">
      <alignment horizontal="center" vertical="center" wrapText="1"/>
    </xf>
    <xf numFmtId="0" fontId="105" fillId="65" borderId="0" xfId="0" applyFont="1" applyFill="1" applyAlignment="1">
      <alignment horizontal="center" vertical="center" wrapText="1"/>
    </xf>
    <xf numFmtId="0" fontId="79" fillId="67" borderId="1" xfId="0" applyFont="1" applyFill="1" applyBorder="1" applyAlignment="1">
      <alignment horizontal="center" vertical="center" wrapText="1"/>
    </xf>
    <xf numFmtId="0" fontId="95" fillId="55" borderId="1" xfId="0" applyFont="1" applyFill="1" applyBorder="1" applyAlignment="1">
      <alignment horizontal="center" vertical="center" wrapText="1"/>
    </xf>
    <xf numFmtId="0" fontId="82" fillId="65" borderId="0" xfId="0" applyFont="1" applyFill="1" applyAlignment="1">
      <alignment horizontal="center" vertical="center" wrapText="1"/>
    </xf>
    <xf numFmtId="0" fontId="124" fillId="50" borderId="1" xfId="0" applyFont="1" applyFill="1" applyBorder="1" applyAlignment="1">
      <alignment horizontal="center" vertical="center" wrapText="1"/>
    </xf>
    <xf numFmtId="0" fontId="46" fillId="55" borderId="1" xfId="0" applyFont="1" applyFill="1" applyBorder="1" applyAlignment="1">
      <alignment horizontal="center" vertical="center"/>
    </xf>
    <xf numFmtId="1" fontId="98" fillId="68" borderId="1" xfId="47" applyNumberFormat="1" applyFont="1" applyFill="1" applyBorder="1" applyAlignment="1">
      <alignment horizontal="center" vertical="center" wrapText="1"/>
    </xf>
    <xf numFmtId="2" fontId="98" fillId="68" borderId="1" xfId="47" applyNumberFormat="1" applyFont="1" applyFill="1" applyBorder="1" applyAlignment="1">
      <alignment horizontal="center" vertical="center" wrapText="1"/>
    </xf>
    <xf numFmtId="0" fontId="117" fillId="68" borderId="1" xfId="0" applyFont="1" applyFill="1" applyBorder="1" applyAlignment="1">
      <alignment horizontal="center" vertical="center" wrapText="1"/>
    </xf>
    <xf numFmtId="0" fontId="73" fillId="68" borderId="1" xfId="0" applyFont="1" applyFill="1" applyBorder="1" applyAlignment="1">
      <alignment horizontal="center" vertical="center" wrapText="1"/>
    </xf>
    <xf numFmtId="0" fontId="123" fillId="50" borderId="10" xfId="0" applyFont="1" applyFill="1" applyBorder="1" applyAlignment="1">
      <alignment horizontal="center" vertical="center" wrapText="1"/>
    </xf>
    <xf numFmtId="0" fontId="123" fillId="50" borderId="12" xfId="0" applyFont="1" applyFill="1" applyBorder="1" applyAlignment="1">
      <alignment horizontal="center" vertical="center" wrapText="1"/>
    </xf>
    <xf numFmtId="0" fontId="123" fillId="50" borderId="44" xfId="0" applyFont="1" applyFill="1" applyBorder="1" applyAlignment="1">
      <alignment horizontal="center" vertical="center" wrapText="1"/>
    </xf>
    <xf numFmtId="0" fontId="123" fillId="50" borderId="47" xfId="0" applyFont="1" applyFill="1" applyBorder="1" applyAlignment="1">
      <alignment horizontal="center" vertical="center" wrapText="1"/>
    </xf>
    <xf numFmtId="0" fontId="123" fillId="50" borderId="13" xfId="0" applyFont="1" applyFill="1" applyBorder="1" applyAlignment="1">
      <alignment horizontal="center" vertical="center" wrapText="1"/>
    </xf>
    <xf numFmtId="0" fontId="123" fillId="50" borderId="15" xfId="0" applyFont="1" applyFill="1" applyBorder="1" applyAlignment="1">
      <alignment horizontal="center" vertical="center" wrapText="1"/>
    </xf>
    <xf numFmtId="1" fontId="98" fillId="68" borderId="1" xfId="0" applyNumberFormat="1" applyFont="1" applyFill="1" applyBorder="1" applyAlignment="1">
      <alignment horizontal="center" vertical="center" wrapText="1"/>
    </xf>
    <xf numFmtId="0" fontId="82" fillId="65" borderId="0" xfId="9" applyFont="1" applyFill="1" applyBorder="1" applyAlignment="1" applyProtection="1">
      <alignment horizontal="center" vertical="center" wrapText="1"/>
    </xf>
    <xf numFmtId="0" fontId="94" fillId="66" borderId="53" xfId="0" applyFont="1" applyFill="1" applyBorder="1" applyAlignment="1">
      <alignment horizontal="center" vertical="center" wrapText="1"/>
    </xf>
    <xf numFmtId="0" fontId="94" fillId="66" borderId="55" xfId="0" applyFont="1" applyFill="1" applyBorder="1" applyAlignment="1">
      <alignment horizontal="center" vertical="center" wrapText="1"/>
    </xf>
    <xf numFmtId="0" fontId="94" fillId="66" borderId="56" xfId="0" applyFont="1" applyFill="1" applyBorder="1" applyAlignment="1">
      <alignment horizontal="center" vertical="center" wrapText="1"/>
    </xf>
    <xf numFmtId="0" fontId="94" fillId="66" borderId="28" xfId="0" applyFont="1" applyFill="1" applyBorder="1" applyAlignment="1">
      <alignment horizontal="center" vertical="center" wrapText="1"/>
    </xf>
    <xf numFmtId="0" fontId="94" fillId="66" borderId="0" xfId="0" applyFont="1" applyFill="1" applyAlignment="1">
      <alignment horizontal="center" vertical="center" wrapText="1"/>
    </xf>
    <xf numFmtId="0" fontId="94" fillId="66" borderId="41" xfId="0" applyFont="1" applyFill="1" applyBorder="1" applyAlignment="1">
      <alignment horizontal="center" vertical="center" wrapText="1"/>
    </xf>
    <xf numFmtId="0" fontId="94" fillId="66" borderId="54" xfId="0" applyFont="1" applyFill="1" applyBorder="1" applyAlignment="1">
      <alignment horizontal="center" vertical="center" wrapText="1"/>
    </xf>
    <xf numFmtId="0" fontId="94" fillId="66" borderId="61" xfId="0" applyFont="1" applyFill="1" applyBorder="1" applyAlignment="1">
      <alignment horizontal="center" vertical="center" wrapText="1"/>
    </xf>
    <xf numFmtId="0" fontId="94" fillId="66" borderId="42" xfId="0" applyFont="1" applyFill="1" applyBorder="1" applyAlignment="1">
      <alignment horizontal="center" vertical="center" wrapText="1"/>
    </xf>
    <xf numFmtId="0" fontId="94" fillId="55" borderId="1" xfId="0" applyFont="1" applyFill="1" applyBorder="1" applyAlignment="1">
      <alignment horizontal="center" vertical="center" wrapText="1"/>
    </xf>
    <xf numFmtId="0" fontId="123" fillId="50" borderId="11" xfId="0" applyFont="1" applyFill="1" applyBorder="1" applyAlignment="1">
      <alignment horizontal="center" vertical="center" wrapText="1"/>
    </xf>
    <xf numFmtId="0" fontId="123" fillId="50" borderId="0" xfId="0" applyFont="1" applyFill="1" applyAlignment="1">
      <alignment horizontal="center" vertical="center" wrapText="1"/>
    </xf>
    <xf numFmtId="0" fontId="123" fillId="50" borderId="14" xfId="0" applyFont="1" applyFill="1" applyBorder="1" applyAlignment="1">
      <alignment horizontal="center" vertical="center" wrapText="1"/>
    </xf>
    <xf numFmtId="0" fontId="79" fillId="67" borderId="10" xfId="3" applyFont="1" applyFill="1" applyBorder="1" applyAlignment="1">
      <alignment horizontal="center" vertical="center" wrapText="1"/>
    </xf>
    <xf numFmtId="0" fontId="79" fillId="67" borderId="11" xfId="3" applyFont="1" applyFill="1" applyBorder="1" applyAlignment="1">
      <alignment horizontal="center" vertical="center" wrapText="1"/>
    </xf>
    <xf numFmtId="0" fontId="79" fillId="67" borderId="12" xfId="3" applyFont="1" applyFill="1" applyBorder="1" applyAlignment="1">
      <alignment horizontal="center" vertical="center" wrapText="1"/>
    </xf>
    <xf numFmtId="0" fontId="79" fillId="67" borderId="44" xfId="3" applyFont="1" applyFill="1" applyBorder="1" applyAlignment="1">
      <alignment horizontal="center" vertical="center" wrapText="1"/>
    </xf>
    <xf numFmtId="0" fontId="79" fillId="67" borderId="0" xfId="3" applyFont="1" applyFill="1" applyBorder="1" applyAlignment="1">
      <alignment horizontal="center" vertical="center" wrapText="1"/>
    </xf>
    <xf numFmtId="0" fontId="79" fillId="67" borderId="47" xfId="3" applyFont="1" applyFill="1" applyBorder="1" applyAlignment="1">
      <alignment horizontal="center" vertical="center" wrapText="1"/>
    </xf>
    <xf numFmtId="0" fontId="79" fillId="67" borderId="13" xfId="3" applyFont="1" applyFill="1" applyBorder="1" applyAlignment="1">
      <alignment horizontal="center" vertical="center" wrapText="1"/>
    </xf>
    <xf numFmtId="0" fontId="79" fillId="67" borderId="14" xfId="3" applyFont="1" applyFill="1" applyBorder="1" applyAlignment="1">
      <alignment horizontal="center" vertical="center" wrapText="1"/>
    </xf>
    <xf numFmtId="0" fontId="79" fillId="67" borderId="15" xfId="3" applyFont="1" applyFill="1" applyBorder="1" applyAlignment="1">
      <alignment horizontal="center" vertical="center" wrapText="1"/>
    </xf>
    <xf numFmtId="0" fontId="54" fillId="66" borderId="53" xfId="0" applyFont="1" applyFill="1" applyBorder="1" applyAlignment="1">
      <alignment horizontal="center" vertical="center" wrapText="1"/>
    </xf>
    <xf numFmtId="0" fontId="54" fillId="66" borderId="55" xfId="0" applyFont="1" applyFill="1" applyBorder="1" applyAlignment="1">
      <alignment horizontal="center" vertical="center" wrapText="1"/>
    </xf>
    <xf numFmtId="0" fontId="54" fillId="66" borderId="56" xfId="0" applyFont="1" applyFill="1" applyBorder="1" applyAlignment="1">
      <alignment horizontal="center" vertical="center" wrapText="1"/>
    </xf>
    <xf numFmtId="0" fontId="54" fillId="66" borderId="28" xfId="0" applyFont="1" applyFill="1" applyBorder="1" applyAlignment="1">
      <alignment horizontal="center" vertical="center" wrapText="1"/>
    </xf>
    <xf numFmtId="0" fontId="54" fillId="66" borderId="41" xfId="0" applyFont="1" applyFill="1" applyBorder="1" applyAlignment="1">
      <alignment horizontal="center" vertical="center" wrapText="1"/>
    </xf>
    <xf numFmtId="0" fontId="54" fillId="66" borderId="54" xfId="0" applyFont="1" applyFill="1" applyBorder="1" applyAlignment="1">
      <alignment horizontal="center" vertical="center" wrapText="1"/>
    </xf>
    <xf numFmtId="0" fontId="54" fillId="66" borderId="61" xfId="0" applyFont="1" applyFill="1" applyBorder="1" applyAlignment="1">
      <alignment horizontal="center" vertical="center" wrapText="1"/>
    </xf>
    <xf numFmtId="0" fontId="54" fillId="66" borderId="42" xfId="0" applyFont="1" applyFill="1" applyBorder="1" applyAlignment="1">
      <alignment horizontal="center" vertical="center" wrapText="1"/>
    </xf>
    <xf numFmtId="0" fontId="65" fillId="68" borderId="10" xfId="0" applyFont="1" applyFill="1" applyBorder="1" applyAlignment="1">
      <alignment horizontal="center" vertical="center" wrapText="1"/>
    </xf>
    <xf numFmtId="0" fontId="65" fillId="68" borderId="11" xfId="0" applyFont="1" applyFill="1" applyBorder="1" applyAlignment="1">
      <alignment horizontal="center" vertical="center" wrapText="1"/>
    </xf>
    <xf numFmtId="0" fontId="65" fillId="68" borderId="12" xfId="0" applyFont="1" applyFill="1" applyBorder="1" applyAlignment="1">
      <alignment horizontal="center" vertical="center" wrapText="1"/>
    </xf>
    <xf numFmtId="0" fontId="65" fillId="68" borderId="44" xfId="0" applyFont="1" applyFill="1" applyBorder="1" applyAlignment="1">
      <alignment horizontal="center" vertical="center" wrapText="1"/>
    </xf>
    <xf numFmtId="0" fontId="65" fillId="68" borderId="0" xfId="0" applyFont="1" applyFill="1" applyAlignment="1">
      <alignment horizontal="center" vertical="center" wrapText="1"/>
    </xf>
    <xf numFmtId="0" fontId="65" fillId="68" borderId="47" xfId="0" applyFont="1" applyFill="1" applyBorder="1" applyAlignment="1">
      <alignment horizontal="center" vertical="center" wrapText="1"/>
    </xf>
    <xf numFmtId="0" fontId="65" fillId="68" borderId="13" xfId="0" applyFont="1" applyFill="1" applyBorder="1" applyAlignment="1">
      <alignment horizontal="center" vertical="center" wrapText="1"/>
    </xf>
    <xf numFmtId="0" fontId="65" fillId="68" borderId="14" xfId="0" applyFont="1" applyFill="1" applyBorder="1" applyAlignment="1">
      <alignment horizontal="center" vertical="center" wrapText="1"/>
    </xf>
    <xf numFmtId="0" fontId="65" fillId="68" borderId="15" xfId="0" applyFont="1" applyFill="1" applyBorder="1" applyAlignment="1">
      <alignment horizontal="center" vertical="center" wrapText="1"/>
    </xf>
    <xf numFmtId="0" fontId="106" fillId="50" borderId="1" xfId="0" applyFont="1" applyFill="1" applyBorder="1" applyAlignment="1">
      <alignment horizontal="center" vertical="center" wrapText="1"/>
    </xf>
    <xf numFmtId="0" fontId="8" fillId="68" borderId="1" xfId="0" applyFont="1" applyFill="1" applyBorder="1" applyAlignment="1">
      <alignment horizontal="center" vertical="center" wrapText="1"/>
    </xf>
    <xf numFmtId="0" fontId="130" fillId="50" borderId="1" xfId="0" applyFont="1" applyFill="1" applyBorder="1" applyAlignment="1">
      <alignment horizontal="center" vertical="center" wrapText="1"/>
    </xf>
    <xf numFmtId="0" fontId="84" fillId="65" borderId="53" xfId="0" applyFont="1" applyFill="1" applyBorder="1" applyAlignment="1">
      <alignment horizontal="center" vertical="center"/>
    </xf>
    <xf numFmtId="0" fontId="84" fillId="65" borderId="55" xfId="0" applyFont="1" applyFill="1" applyBorder="1" applyAlignment="1">
      <alignment horizontal="center" vertical="center"/>
    </xf>
    <xf numFmtId="0" fontId="84" fillId="65" borderId="56" xfId="0" applyFont="1" applyFill="1" applyBorder="1" applyAlignment="1">
      <alignment horizontal="center" vertical="center"/>
    </xf>
    <xf numFmtId="0" fontId="84" fillId="65" borderId="28" xfId="0" applyFont="1" applyFill="1" applyBorder="1" applyAlignment="1">
      <alignment horizontal="center" vertical="center"/>
    </xf>
    <xf numFmtId="0" fontId="84" fillId="65" borderId="0" xfId="0" applyFont="1" applyFill="1" applyAlignment="1">
      <alignment horizontal="center" vertical="center"/>
    </xf>
    <xf numFmtId="0" fontId="84" fillId="65" borderId="41" xfId="0" applyFont="1" applyFill="1" applyBorder="1" applyAlignment="1">
      <alignment horizontal="center" vertical="center"/>
    </xf>
    <xf numFmtId="0" fontId="84" fillId="65" borderId="54" xfId="0" applyFont="1" applyFill="1" applyBorder="1" applyAlignment="1">
      <alignment horizontal="center" vertical="center"/>
    </xf>
    <xf numFmtId="0" fontId="84" fillId="65" borderId="61" xfId="0" applyFont="1" applyFill="1" applyBorder="1" applyAlignment="1">
      <alignment horizontal="center" vertical="center"/>
    </xf>
    <xf numFmtId="0" fontId="84" fillId="65" borderId="42" xfId="0" applyFont="1" applyFill="1" applyBorder="1" applyAlignment="1">
      <alignment horizontal="center" vertical="center"/>
    </xf>
    <xf numFmtId="0" fontId="67" fillId="66" borderId="53" xfId="0" applyFont="1" applyFill="1" applyBorder="1" applyAlignment="1">
      <alignment horizontal="center" vertical="center" wrapText="1"/>
    </xf>
    <xf numFmtId="0" fontId="67" fillId="66" borderId="55" xfId="0" applyFont="1" applyFill="1" applyBorder="1" applyAlignment="1">
      <alignment horizontal="center" vertical="center" wrapText="1"/>
    </xf>
    <xf numFmtId="0" fontId="67" fillId="66" borderId="56" xfId="0" applyFont="1" applyFill="1" applyBorder="1" applyAlignment="1">
      <alignment horizontal="center" vertical="center" wrapText="1"/>
    </xf>
    <xf numFmtId="0" fontId="67" fillId="66" borderId="28" xfId="0" applyFont="1" applyFill="1" applyBorder="1" applyAlignment="1">
      <alignment horizontal="center" vertical="center" wrapText="1"/>
    </xf>
    <xf numFmtId="0" fontId="67" fillId="66" borderId="0" xfId="0" applyFont="1" applyFill="1" applyAlignment="1">
      <alignment horizontal="center" vertical="center" wrapText="1"/>
    </xf>
    <xf numFmtId="0" fontId="67" fillId="66" borderId="41" xfId="0" applyFont="1" applyFill="1" applyBorder="1" applyAlignment="1">
      <alignment horizontal="center" vertical="center" wrapText="1"/>
    </xf>
    <xf numFmtId="0" fontId="67" fillId="66" borderId="54" xfId="0" applyFont="1" applyFill="1" applyBorder="1" applyAlignment="1">
      <alignment horizontal="center" vertical="center" wrapText="1"/>
    </xf>
    <xf numFmtId="0" fontId="67" fillId="66" borderId="61" xfId="0" applyFont="1" applyFill="1" applyBorder="1" applyAlignment="1">
      <alignment horizontal="center" vertical="center" wrapText="1"/>
    </xf>
    <xf numFmtId="0" fontId="67" fillId="66" borderId="42" xfId="0" applyFont="1" applyFill="1" applyBorder="1" applyAlignment="1">
      <alignment horizontal="center" vertical="center" wrapText="1"/>
    </xf>
    <xf numFmtId="0" fontId="88" fillId="64" borderId="97" xfId="4" applyFont="1" applyFill="1" applyBorder="1" applyAlignment="1" applyProtection="1">
      <alignment horizontal="center" vertical="center" wrapText="1"/>
    </xf>
    <xf numFmtId="0" fontId="88" fillId="64" borderId="76" xfId="4" applyFont="1" applyFill="1" applyBorder="1" applyAlignment="1" applyProtection="1">
      <alignment horizontal="center" vertical="center" wrapText="1"/>
    </xf>
    <xf numFmtId="0" fontId="88" fillId="64" borderId="98" xfId="4" applyFont="1" applyFill="1" applyBorder="1" applyAlignment="1" applyProtection="1">
      <alignment horizontal="center" vertical="center" wrapText="1"/>
    </xf>
    <xf numFmtId="0" fontId="84" fillId="65" borderId="53" xfId="3" applyFont="1" applyFill="1" applyBorder="1" applyAlignment="1">
      <alignment horizontal="center" vertical="center" wrapText="1"/>
    </xf>
    <xf numFmtId="0" fontId="84" fillId="65" borderId="55" xfId="3" applyFont="1" applyFill="1" applyBorder="1" applyAlignment="1">
      <alignment horizontal="center" vertical="center" wrapText="1"/>
    </xf>
    <xf numFmtId="0" fontId="84" fillId="65" borderId="56" xfId="3" applyFont="1" applyFill="1" applyBorder="1" applyAlignment="1">
      <alignment horizontal="center" vertical="center" wrapText="1"/>
    </xf>
    <xf numFmtId="0" fontId="84" fillId="65" borderId="28" xfId="3" applyFont="1" applyFill="1" applyBorder="1" applyAlignment="1">
      <alignment horizontal="center" vertical="center" wrapText="1"/>
    </xf>
    <xf numFmtId="0" fontId="84" fillId="65" borderId="0" xfId="3" applyFont="1" applyFill="1" applyBorder="1" applyAlignment="1">
      <alignment horizontal="center" vertical="center" wrapText="1"/>
    </xf>
    <xf numFmtId="0" fontId="84" fillId="65" borderId="41" xfId="3" applyFont="1" applyFill="1" applyBorder="1" applyAlignment="1">
      <alignment horizontal="center" vertical="center" wrapText="1"/>
    </xf>
    <xf numFmtId="0" fontId="84" fillId="65" borderId="54" xfId="3" applyFont="1" applyFill="1" applyBorder="1" applyAlignment="1">
      <alignment horizontal="center" vertical="center" wrapText="1"/>
    </xf>
    <xf numFmtId="0" fontId="84" fillId="65" borderId="61" xfId="3" applyFont="1" applyFill="1" applyBorder="1" applyAlignment="1">
      <alignment horizontal="center" vertical="center" wrapText="1"/>
    </xf>
    <xf numFmtId="0" fontId="84" fillId="65" borderId="42" xfId="3" applyFont="1" applyFill="1" applyBorder="1" applyAlignment="1">
      <alignment horizontal="center" vertical="center" wrapText="1"/>
    </xf>
    <xf numFmtId="0" fontId="82" fillId="65" borderId="53" xfId="0" applyFont="1" applyFill="1" applyBorder="1" applyAlignment="1">
      <alignment horizontal="center" vertical="center"/>
    </xf>
    <xf numFmtId="0" fontId="82" fillId="65" borderId="55" xfId="0" applyFont="1" applyFill="1" applyBorder="1" applyAlignment="1">
      <alignment horizontal="center" vertical="center"/>
    </xf>
    <xf numFmtId="0" fontId="82" fillId="65" borderId="56" xfId="0" applyFont="1" applyFill="1" applyBorder="1" applyAlignment="1">
      <alignment horizontal="center" vertical="center"/>
    </xf>
    <xf numFmtId="0" fontId="82" fillId="65" borderId="28" xfId="0" applyFont="1" applyFill="1" applyBorder="1" applyAlignment="1">
      <alignment horizontal="center" vertical="center"/>
    </xf>
    <xf numFmtId="0" fontId="82" fillId="65" borderId="0" xfId="0" applyFont="1" applyFill="1" applyAlignment="1">
      <alignment horizontal="center" vertical="center"/>
    </xf>
    <xf numFmtId="0" fontId="82" fillId="65" borderId="41" xfId="0" applyFont="1" applyFill="1" applyBorder="1" applyAlignment="1">
      <alignment horizontal="center" vertical="center"/>
    </xf>
    <xf numFmtId="0" fontId="82" fillId="65" borderId="54" xfId="0" applyFont="1" applyFill="1" applyBorder="1" applyAlignment="1">
      <alignment horizontal="center" vertical="center"/>
    </xf>
    <xf numFmtId="0" fontId="82" fillId="65" borderId="61" xfId="0" applyFont="1" applyFill="1" applyBorder="1" applyAlignment="1">
      <alignment horizontal="center" vertical="center"/>
    </xf>
    <xf numFmtId="0" fontId="82" fillId="65" borderId="42" xfId="0" applyFont="1" applyFill="1" applyBorder="1" applyAlignment="1">
      <alignment horizontal="center" vertical="center"/>
    </xf>
    <xf numFmtId="0" fontId="73" fillId="68" borderId="31" xfId="0" applyFont="1" applyFill="1" applyBorder="1" applyAlignment="1">
      <alignment horizontal="center" vertical="center" wrapText="1"/>
    </xf>
    <xf numFmtId="0" fontId="73" fillId="68" borderId="37" xfId="0" applyFont="1" applyFill="1" applyBorder="1" applyAlignment="1">
      <alignment horizontal="center" vertical="center" wrapText="1"/>
    </xf>
    <xf numFmtId="0" fontId="73" fillId="68" borderId="16" xfId="0" applyFont="1" applyFill="1" applyBorder="1" applyAlignment="1">
      <alignment horizontal="center" vertical="center" wrapText="1"/>
    </xf>
    <xf numFmtId="2" fontId="98" fillId="68" borderId="1" xfId="0" applyNumberFormat="1" applyFont="1" applyFill="1" applyBorder="1" applyAlignment="1">
      <alignment horizontal="center" vertical="center" wrapText="1"/>
    </xf>
    <xf numFmtId="2" fontId="98" fillId="68" borderId="2" xfId="0" applyNumberFormat="1" applyFont="1" applyFill="1" applyBorder="1" applyAlignment="1">
      <alignment horizontal="center" vertical="center" wrapText="1"/>
    </xf>
    <xf numFmtId="2" fontId="98" fillId="68" borderId="16" xfId="0" applyNumberFormat="1" applyFont="1" applyFill="1" applyBorder="1" applyAlignment="1">
      <alignment horizontal="center" vertical="center" wrapText="1"/>
    </xf>
    <xf numFmtId="0" fontId="125" fillId="50" borderId="1" xfId="0" applyFont="1" applyFill="1" applyBorder="1" applyAlignment="1">
      <alignment horizontal="center" vertical="center"/>
    </xf>
    <xf numFmtId="0" fontId="125" fillId="50" borderId="2" xfId="0" applyFont="1" applyFill="1" applyBorder="1" applyAlignment="1">
      <alignment horizontal="center" vertical="center"/>
    </xf>
    <xf numFmtId="0" fontId="125" fillId="50" borderId="16" xfId="0" applyFont="1" applyFill="1" applyBorder="1" applyAlignment="1">
      <alignment horizontal="center" vertical="center"/>
    </xf>
    <xf numFmtId="0" fontId="98" fillId="68" borderId="2" xfId="0" applyFont="1" applyFill="1" applyBorder="1" applyAlignment="1">
      <alignment horizontal="center" vertical="center" wrapText="1"/>
    </xf>
    <xf numFmtId="0" fontId="98" fillId="68" borderId="16" xfId="0" applyFont="1" applyFill="1" applyBorder="1" applyAlignment="1">
      <alignment horizontal="center" vertical="center" wrapText="1"/>
    </xf>
    <xf numFmtId="0" fontId="98" fillId="68" borderId="25" xfId="0" applyFont="1" applyFill="1" applyBorder="1" applyAlignment="1">
      <alignment horizontal="center" vertical="center" wrapText="1"/>
    </xf>
    <xf numFmtId="0" fontId="98" fillId="68" borderId="33" xfId="0" applyFont="1" applyFill="1" applyBorder="1" applyAlignment="1">
      <alignment horizontal="center" vertical="center" wrapText="1"/>
    </xf>
    <xf numFmtId="0" fontId="98" fillId="68" borderId="27" xfId="0" applyFont="1" applyFill="1" applyBorder="1" applyAlignment="1">
      <alignment horizontal="center" vertical="center" wrapText="1"/>
    </xf>
    <xf numFmtId="2" fontId="98" fillId="68" borderId="23" xfId="0" applyNumberFormat="1" applyFont="1" applyFill="1" applyBorder="1" applyAlignment="1">
      <alignment horizontal="center" vertical="center" wrapText="1"/>
    </xf>
    <xf numFmtId="0" fontId="98" fillId="68" borderId="23" xfId="0" applyFont="1" applyFill="1" applyBorder="1" applyAlignment="1">
      <alignment horizontal="center" vertical="center" wrapText="1"/>
    </xf>
    <xf numFmtId="0" fontId="98" fillId="68" borderId="24" xfId="0" applyFont="1" applyFill="1" applyBorder="1" applyAlignment="1">
      <alignment horizontal="center" vertical="center" wrapText="1"/>
    </xf>
    <xf numFmtId="0" fontId="73" fillId="68" borderId="30" xfId="0" applyFont="1" applyFill="1" applyBorder="1" applyAlignment="1">
      <alignment horizontal="center" vertical="center" wrapText="1"/>
    </xf>
    <xf numFmtId="0" fontId="73" fillId="68" borderId="23" xfId="0" applyFont="1" applyFill="1" applyBorder="1" applyAlignment="1">
      <alignment horizontal="center" vertical="center" wrapText="1"/>
    </xf>
    <xf numFmtId="0" fontId="125" fillId="50" borderId="23" xfId="0" applyFont="1" applyFill="1" applyBorder="1" applyAlignment="1">
      <alignment horizontal="center" vertical="center"/>
    </xf>
    <xf numFmtId="0" fontId="79" fillId="67" borderId="53" xfId="0" applyFont="1" applyFill="1" applyBorder="1" applyAlignment="1">
      <alignment horizontal="center" vertical="center"/>
    </xf>
    <xf numFmtId="0" fontId="79" fillId="67" borderId="55" xfId="0" applyFont="1" applyFill="1" applyBorder="1" applyAlignment="1">
      <alignment horizontal="center" vertical="center"/>
    </xf>
    <xf numFmtId="0" fontId="79" fillId="67" borderId="56" xfId="0" applyFont="1" applyFill="1" applyBorder="1" applyAlignment="1">
      <alignment horizontal="center" vertical="center"/>
    </xf>
    <xf numFmtId="0" fontId="79" fillId="67" borderId="28" xfId="0" applyFont="1" applyFill="1" applyBorder="1" applyAlignment="1">
      <alignment horizontal="center" vertical="center"/>
    </xf>
    <xf numFmtId="0" fontId="79" fillId="67" borderId="0" xfId="0" applyFont="1" applyFill="1" applyAlignment="1">
      <alignment horizontal="center" vertical="center"/>
    </xf>
    <xf numFmtId="0" fontId="79" fillId="67" borderId="41" xfId="0" applyFont="1" applyFill="1" applyBorder="1" applyAlignment="1">
      <alignment horizontal="center" vertical="center"/>
    </xf>
    <xf numFmtId="0" fontId="79" fillId="67" borderId="54" xfId="0" applyFont="1" applyFill="1" applyBorder="1" applyAlignment="1">
      <alignment horizontal="center" vertical="center"/>
    </xf>
    <xf numFmtId="0" fontId="79" fillId="67" borderId="61" xfId="0" applyFont="1" applyFill="1" applyBorder="1" applyAlignment="1">
      <alignment horizontal="center" vertical="center"/>
    </xf>
    <xf numFmtId="0" fontId="79" fillId="67" borderId="42" xfId="0" applyFont="1" applyFill="1" applyBorder="1" applyAlignment="1">
      <alignment horizontal="center" vertical="center"/>
    </xf>
    <xf numFmtId="0" fontId="94" fillId="55" borderId="35" xfId="0" applyFont="1" applyFill="1" applyBorder="1" applyAlignment="1">
      <alignment horizontal="center" vertical="center"/>
    </xf>
    <xf numFmtId="0" fontId="94" fillId="55" borderId="45" xfId="0" applyFont="1" applyFill="1" applyBorder="1" applyAlignment="1">
      <alignment horizontal="center" vertical="center"/>
    </xf>
    <xf numFmtId="0" fontId="54" fillId="55" borderId="45" xfId="0" applyFont="1" applyFill="1" applyBorder="1" applyAlignment="1">
      <alignment horizontal="center" vertical="center"/>
    </xf>
    <xf numFmtId="0" fontId="54" fillId="55" borderId="46" xfId="0" applyFont="1" applyFill="1" applyBorder="1" applyAlignment="1">
      <alignment horizontal="center" vertical="center"/>
    </xf>
    <xf numFmtId="3" fontId="98" fillId="68" borderId="1" xfId="46" applyNumberFormat="1" applyFont="1" applyFill="1" applyBorder="1" applyAlignment="1">
      <alignment horizontal="center" vertical="center" wrapText="1"/>
    </xf>
    <xf numFmtId="3" fontId="100" fillId="50" borderId="1" xfId="0" applyNumberFormat="1" applyFont="1" applyFill="1" applyBorder="1" applyAlignment="1">
      <alignment horizontal="center" vertical="center" wrapText="1"/>
    </xf>
    <xf numFmtId="9" fontId="98" fillId="68" borderId="1" xfId="22" applyFont="1" applyFill="1" applyBorder="1" applyAlignment="1">
      <alignment horizontal="center" vertical="center" wrapText="1"/>
    </xf>
    <xf numFmtId="9" fontId="123" fillId="50" borderId="10" xfId="22" applyFont="1" applyFill="1" applyBorder="1" applyAlignment="1">
      <alignment horizontal="center" vertical="center" wrapText="1"/>
    </xf>
    <xf numFmtId="9" fontId="123" fillId="50" borderId="12" xfId="22" applyFont="1" applyFill="1" applyBorder="1" applyAlignment="1">
      <alignment horizontal="center" vertical="center" wrapText="1"/>
    </xf>
    <xf numFmtId="9" fontId="123" fillId="50" borderId="44" xfId="22" applyFont="1" applyFill="1" applyBorder="1" applyAlignment="1">
      <alignment horizontal="center" vertical="center" wrapText="1"/>
    </xf>
    <xf numFmtId="9" fontId="123" fillId="50" borderId="47" xfId="22" applyFont="1" applyFill="1" applyBorder="1" applyAlignment="1">
      <alignment horizontal="center" vertical="center" wrapText="1"/>
    </xf>
    <xf numFmtId="9" fontId="123" fillId="50" borderId="13" xfId="22" applyFont="1" applyFill="1" applyBorder="1" applyAlignment="1">
      <alignment horizontal="center" vertical="center" wrapText="1"/>
    </xf>
    <xf numFmtId="9" fontId="123" fillId="50" borderId="15" xfId="22" applyFont="1" applyFill="1" applyBorder="1" applyAlignment="1">
      <alignment horizontal="center" vertical="center" wrapText="1"/>
    </xf>
    <xf numFmtId="2" fontId="98" fillId="68" borderId="1" xfId="22" applyNumberFormat="1" applyFont="1" applyFill="1" applyBorder="1" applyAlignment="1">
      <alignment horizontal="center" vertical="center" wrapText="1"/>
    </xf>
    <xf numFmtId="2" fontId="123" fillId="50" borderId="11" xfId="22" applyNumberFormat="1" applyFont="1" applyFill="1" applyBorder="1" applyAlignment="1">
      <alignment horizontal="center" vertical="center" wrapText="1"/>
    </xf>
    <xf numFmtId="2" fontId="123" fillId="50" borderId="12" xfId="22" applyNumberFormat="1" applyFont="1" applyFill="1" applyBorder="1" applyAlignment="1">
      <alignment horizontal="center" vertical="center" wrapText="1"/>
    </xf>
    <xf numFmtId="2" fontId="123" fillId="50" borderId="0" xfId="22" applyNumberFormat="1" applyFont="1" applyFill="1" applyBorder="1" applyAlignment="1">
      <alignment horizontal="center" vertical="center" wrapText="1"/>
    </xf>
    <xf numFmtId="2" fontId="123" fillId="50" borderId="47" xfId="22" applyNumberFormat="1" applyFont="1" applyFill="1" applyBorder="1" applyAlignment="1">
      <alignment horizontal="center" vertical="center" wrapText="1"/>
    </xf>
    <xf numFmtId="2" fontId="123" fillId="50" borderId="14" xfId="22" applyNumberFormat="1" applyFont="1" applyFill="1" applyBorder="1" applyAlignment="1">
      <alignment horizontal="center" vertical="center" wrapText="1"/>
    </xf>
    <xf numFmtId="2" fontId="123" fillId="50" borderId="15" xfId="22" applyNumberFormat="1" applyFont="1" applyFill="1" applyBorder="1" applyAlignment="1">
      <alignment horizontal="center" vertical="center" wrapText="1"/>
    </xf>
    <xf numFmtId="0" fontId="0" fillId="26" borderId="0" xfId="0" applyFill="1" applyAlignment="1">
      <alignment horizontal="center"/>
    </xf>
    <xf numFmtId="0" fontId="0" fillId="3" borderId="0" xfId="0" applyFill="1" applyAlignment="1">
      <alignment horizontal="center"/>
    </xf>
    <xf numFmtId="0" fontId="73" fillId="68" borderId="105" xfId="0" applyFont="1" applyFill="1" applyBorder="1" applyAlignment="1">
      <alignment horizontal="center" vertical="center" wrapText="1"/>
    </xf>
    <xf numFmtId="0" fontId="73" fillId="68" borderId="2" xfId="0" applyFont="1" applyFill="1" applyBorder="1" applyAlignment="1">
      <alignment horizontal="center" vertical="center" wrapText="1"/>
    </xf>
    <xf numFmtId="169" fontId="98" fillId="68" borderId="1" xfId="47" applyNumberFormat="1" applyFont="1" applyFill="1" applyBorder="1" applyAlignment="1">
      <alignment horizontal="center" vertical="center"/>
    </xf>
    <xf numFmtId="169" fontId="98" fillId="68" borderId="2" xfId="47" applyNumberFormat="1" applyFont="1" applyFill="1" applyBorder="1" applyAlignment="1">
      <alignment horizontal="center" vertical="center"/>
    </xf>
    <xf numFmtId="169" fontId="98" fillId="68" borderId="16" xfId="47" applyNumberFormat="1" applyFont="1" applyFill="1" applyBorder="1" applyAlignment="1">
      <alignment horizontal="center" vertical="center"/>
    </xf>
    <xf numFmtId="169" fontId="130" fillId="50" borderId="1" xfId="0" applyNumberFormat="1" applyFont="1" applyFill="1" applyBorder="1" applyAlignment="1">
      <alignment horizontal="center" vertical="center"/>
    </xf>
    <xf numFmtId="169" fontId="130" fillId="50" borderId="2" xfId="0" applyNumberFormat="1" applyFont="1" applyFill="1" applyBorder="1" applyAlignment="1">
      <alignment horizontal="center" vertical="center"/>
    </xf>
    <xf numFmtId="169" fontId="130" fillId="50" borderId="16" xfId="0" applyNumberFormat="1" applyFont="1" applyFill="1" applyBorder="1" applyAlignment="1">
      <alignment horizontal="center" vertical="center"/>
    </xf>
    <xf numFmtId="0" fontId="14" fillId="68" borderId="1" xfId="0" applyFont="1" applyFill="1" applyBorder="1" applyAlignment="1">
      <alignment horizontal="center" vertical="center" wrapText="1"/>
    </xf>
    <xf numFmtId="0" fontId="14" fillId="68" borderId="2" xfId="0" applyFont="1" applyFill="1" applyBorder="1" applyAlignment="1">
      <alignment horizontal="center" vertical="center" wrapText="1"/>
    </xf>
    <xf numFmtId="0" fontId="14" fillId="68" borderId="16" xfId="0" applyFont="1" applyFill="1" applyBorder="1" applyAlignment="1">
      <alignment horizontal="center" vertical="center" wrapText="1"/>
    </xf>
    <xf numFmtId="0" fontId="79" fillId="67" borderId="53" xfId="0" applyFont="1" applyFill="1" applyBorder="1" applyAlignment="1">
      <alignment horizontal="center" vertical="center" wrapText="1"/>
    </xf>
    <xf numFmtId="0" fontId="79" fillId="67" borderId="55" xfId="0" applyFont="1" applyFill="1" applyBorder="1" applyAlignment="1">
      <alignment horizontal="center" vertical="center" wrapText="1"/>
    </xf>
    <xf numFmtId="0" fontId="79" fillId="67" borderId="56" xfId="0" applyFont="1" applyFill="1" applyBorder="1" applyAlignment="1">
      <alignment horizontal="center" vertical="center" wrapText="1"/>
    </xf>
    <xf numFmtId="0" fontId="79" fillId="67" borderId="28" xfId="0" applyFont="1" applyFill="1" applyBorder="1" applyAlignment="1">
      <alignment horizontal="center" vertical="center" wrapText="1"/>
    </xf>
    <xf numFmtId="0" fontId="79" fillId="67" borderId="0" xfId="0" applyFont="1" applyFill="1" applyAlignment="1">
      <alignment horizontal="center" vertical="center" wrapText="1"/>
    </xf>
    <xf numFmtId="0" fontId="79" fillId="67" borderId="41" xfId="0" applyFont="1" applyFill="1" applyBorder="1" applyAlignment="1">
      <alignment horizontal="center" vertical="center" wrapText="1"/>
    </xf>
    <xf numFmtId="0" fontId="79" fillId="67" borderId="54" xfId="0" applyFont="1" applyFill="1" applyBorder="1" applyAlignment="1">
      <alignment horizontal="center" vertical="center" wrapText="1"/>
    </xf>
    <xf numFmtId="0" fontId="79" fillId="67" borderId="61" xfId="0" applyFont="1" applyFill="1" applyBorder="1" applyAlignment="1">
      <alignment horizontal="center" vertical="center" wrapText="1"/>
    </xf>
    <xf numFmtId="0" fontId="79" fillId="67" borderId="42" xfId="0" applyFont="1" applyFill="1" applyBorder="1" applyAlignment="1">
      <alignment horizontal="center" vertical="center" wrapText="1"/>
    </xf>
    <xf numFmtId="0" fontId="54" fillId="55" borderId="52" xfId="0" applyFont="1" applyFill="1" applyBorder="1" applyAlignment="1">
      <alignment horizontal="center" vertical="center"/>
    </xf>
    <xf numFmtId="0" fontId="54" fillId="55" borderId="4" xfId="0" applyFont="1" applyFill="1" applyBorder="1" applyAlignment="1">
      <alignment horizontal="center" vertical="center"/>
    </xf>
    <xf numFmtId="0" fontId="54" fillId="55" borderId="29" xfId="0" applyFont="1" applyFill="1" applyBorder="1" applyAlignment="1">
      <alignment horizontal="center" vertical="center"/>
    </xf>
    <xf numFmtId="0" fontId="80" fillId="2" borderId="0" xfId="0" applyFont="1" applyFill="1" applyAlignment="1">
      <alignment horizontal="right" vertical="center" wrapText="1" indent="7"/>
    </xf>
    <xf numFmtId="0" fontId="81" fillId="2" borderId="0" xfId="0" applyFont="1" applyFill="1" applyAlignment="1">
      <alignment horizontal="left" vertical="center" wrapText="1"/>
    </xf>
    <xf numFmtId="169" fontId="130" fillId="50" borderId="1" xfId="0" quotePrefix="1" applyNumberFormat="1" applyFont="1" applyFill="1" applyBorder="1" applyAlignment="1">
      <alignment horizontal="center" vertical="center"/>
    </xf>
    <xf numFmtId="0" fontId="73" fillId="68" borderId="31" xfId="3" applyFont="1" applyFill="1" applyBorder="1" applyAlignment="1">
      <alignment horizontal="center" vertical="center" wrapText="1"/>
    </xf>
    <xf numFmtId="0" fontId="73" fillId="68" borderId="1" xfId="3" applyFont="1" applyFill="1" applyBorder="1" applyAlignment="1">
      <alignment horizontal="center" vertical="center" wrapText="1"/>
    </xf>
    <xf numFmtId="0" fontId="73" fillId="68" borderId="105" xfId="3" applyFont="1" applyFill="1" applyBorder="1" applyAlignment="1">
      <alignment horizontal="center" vertical="center" wrapText="1"/>
    </xf>
    <xf numFmtId="0" fontId="73" fillId="68" borderId="2" xfId="3" applyFont="1" applyFill="1" applyBorder="1" applyAlignment="1">
      <alignment horizontal="center" vertical="center" wrapText="1"/>
    </xf>
    <xf numFmtId="0" fontId="73" fillId="68" borderId="37" xfId="3" applyFont="1" applyFill="1" applyBorder="1" applyAlignment="1">
      <alignment horizontal="center" vertical="center" wrapText="1"/>
    </xf>
    <xf numFmtId="0" fontId="73" fillId="68" borderId="16" xfId="3" applyFont="1" applyFill="1" applyBorder="1" applyAlignment="1">
      <alignment horizontal="center" vertical="center" wrapText="1"/>
    </xf>
    <xf numFmtId="0" fontId="14" fillId="68" borderId="1" xfId="0" applyFont="1" applyFill="1" applyBorder="1" applyAlignment="1">
      <alignment horizontal="center" vertical="center"/>
    </xf>
    <xf numFmtId="0" fontId="14" fillId="68" borderId="2" xfId="0" applyFont="1" applyFill="1" applyBorder="1" applyAlignment="1">
      <alignment horizontal="center" vertical="center"/>
    </xf>
    <xf numFmtId="0" fontId="14" fillId="68" borderId="16" xfId="0" applyFont="1" applyFill="1" applyBorder="1" applyAlignment="1">
      <alignment horizontal="center" vertical="center"/>
    </xf>
    <xf numFmtId="9" fontId="130" fillId="50" borderId="1" xfId="22" applyFont="1" applyFill="1" applyBorder="1" applyAlignment="1">
      <alignment horizontal="center" vertical="center"/>
    </xf>
    <xf numFmtId="9" fontId="130" fillId="50" borderId="2" xfId="22" applyFont="1" applyFill="1" applyBorder="1" applyAlignment="1">
      <alignment horizontal="center" vertical="center"/>
    </xf>
    <xf numFmtId="9" fontId="130" fillId="50" borderId="16" xfId="22" applyFont="1" applyFill="1" applyBorder="1" applyAlignment="1">
      <alignment horizontal="center" vertical="center"/>
    </xf>
    <xf numFmtId="9" fontId="98" fillId="68" borderId="2" xfId="22" applyFont="1" applyFill="1" applyBorder="1" applyAlignment="1">
      <alignment horizontal="center" vertical="center" wrapText="1"/>
    </xf>
    <xf numFmtId="9" fontId="98" fillId="68" borderId="16" xfId="22" applyFont="1" applyFill="1" applyBorder="1" applyAlignment="1">
      <alignment horizontal="center" vertical="center" wrapText="1"/>
    </xf>
    <xf numFmtId="9" fontId="42" fillId="68" borderId="1" xfId="22" applyFont="1" applyFill="1" applyBorder="1" applyAlignment="1">
      <alignment horizontal="center" vertical="center" wrapText="1"/>
    </xf>
    <xf numFmtId="9" fontId="42" fillId="68" borderId="25" xfId="22" applyFont="1" applyFill="1" applyBorder="1" applyAlignment="1">
      <alignment horizontal="center" vertical="center" wrapText="1"/>
    </xf>
    <xf numFmtId="9" fontId="42" fillId="68" borderId="2" xfId="22" applyFont="1" applyFill="1" applyBorder="1" applyAlignment="1">
      <alignment horizontal="center" vertical="center" wrapText="1"/>
    </xf>
    <xf numFmtId="9" fontId="42" fillId="68" borderId="33" xfId="22" applyFont="1" applyFill="1" applyBorder="1" applyAlignment="1">
      <alignment horizontal="center" vertical="center" wrapText="1"/>
    </xf>
    <xf numFmtId="9" fontId="42" fillId="68" borderId="16" xfId="22" applyFont="1" applyFill="1" applyBorder="1" applyAlignment="1">
      <alignment horizontal="center" vertical="center" wrapText="1"/>
    </xf>
    <xf numFmtId="9" fontId="42" fillId="68" borderId="27" xfId="22" applyFont="1" applyFill="1" applyBorder="1" applyAlignment="1">
      <alignment horizontal="center" vertical="center" wrapText="1"/>
    </xf>
    <xf numFmtId="0" fontId="82" fillId="65" borderId="53" xfId="3" applyFont="1" applyFill="1" applyBorder="1" applyAlignment="1">
      <alignment horizontal="center" vertical="center" wrapText="1"/>
    </xf>
    <xf numFmtId="0" fontId="82" fillId="65" borderId="55" xfId="3" applyFont="1" applyFill="1" applyBorder="1" applyAlignment="1">
      <alignment horizontal="center" vertical="center" wrapText="1"/>
    </xf>
    <xf numFmtId="0" fontId="82" fillId="65" borderId="56" xfId="3" applyFont="1" applyFill="1" applyBorder="1" applyAlignment="1">
      <alignment horizontal="center" vertical="center" wrapText="1"/>
    </xf>
    <xf numFmtId="0" fontId="82" fillId="65" borderId="28" xfId="3" applyFont="1" applyFill="1" applyBorder="1" applyAlignment="1">
      <alignment horizontal="center" vertical="center" wrapText="1"/>
    </xf>
    <xf numFmtId="0" fontId="82" fillId="65" borderId="0" xfId="3" applyFont="1" applyFill="1" applyBorder="1" applyAlignment="1">
      <alignment horizontal="center" vertical="center" wrapText="1"/>
    </xf>
    <xf numFmtId="0" fontId="82" fillId="65" borderId="41" xfId="3" applyFont="1" applyFill="1" applyBorder="1" applyAlignment="1">
      <alignment horizontal="center" vertical="center" wrapText="1"/>
    </xf>
    <xf numFmtId="0" fontId="82" fillId="65" borderId="54" xfId="3" applyFont="1" applyFill="1" applyBorder="1" applyAlignment="1">
      <alignment horizontal="center" vertical="center" wrapText="1"/>
    </xf>
    <xf numFmtId="0" fontId="82" fillId="65" borderId="61" xfId="3" applyFont="1" applyFill="1" applyBorder="1" applyAlignment="1">
      <alignment horizontal="center" vertical="center" wrapText="1"/>
    </xf>
    <xf numFmtId="0" fontId="82" fillId="65" borderId="42" xfId="3" applyFont="1" applyFill="1" applyBorder="1" applyAlignment="1">
      <alignment horizontal="center" vertical="center" wrapText="1"/>
    </xf>
    <xf numFmtId="0" fontId="54" fillId="37" borderId="30" xfId="0" applyFont="1" applyFill="1" applyBorder="1" applyAlignment="1">
      <alignment horizontal="center" vertical="center" wrapText="1"/>
    </xf>
    <xf numFmtId="0" fontId="54" fillId="37" borderId="23" xfId="0" applyFont="1" applyFill="1" applyBorder="1" applyAlignment="1">
      <alignment horizontal="center" vertical="center" wrapText="1"/>
    </xf>
    <xf numFmtId="0" fontId="54" fillId="37" borderId="24" xfId="0" applyFont="1" applyFill="1" applyBorder="1" applyAlignment="1">
      <alignment horizontal="center" vertical="center" wrapText="1"/>
    </xf>
    <xf numFmtId="0" fontId="54" fillId="37" borderId="31" xfId="0" applyFont="1" applyFill="1" applyBorder="1" applyAlignment="1">
      <alignment horizontal="center" vertical="center" wrapText="1"/>
    </xf>
    <xf numFmtId="0" fontId="54" fillId="37" borderId="1" xfId="0" applyFont="1" applyFill="1" applyBorder="1" applyAlignment="1">
      <alignment horizontal="center" vertical="center" wrapText="1"/>
    </xf>
    <xf numFmtId="0" fontId="54" fillId="37" borderId="25" xfId="0" applyFont="1" applyFill="1" applyBorder="1" applyAlignment="1">
      <alignment horizontal="center" vertical="center" wrapText="1"/>
    </xf>
    <xf numFmtId="0" fontId="54" fillId="37" borderId="37" xfId="0" applyFont="1" applyFill="1" applyBorder="1" applyAlignment="1">
      <alignment horizontal="center" vertical="center" wrapText="1"/>
    </xf>
    <xf numFmtId="0" fontId="54" fillId="37" borderId="16" xfId="0" applyFont="1" applyFill="1" applyBorder="1" applyAlignment="1">
      <alignment horizontal="center" vertical="center" wrapText="1"/>
    </xf>
    <xf numFmtId="0" fontId="54" fillId="37" borderId="27" xfId="0" applyFont="1" applyFill="1" applyBorder="1" applyAlignment="1">
      <alignment horizontal="center" vertical="center" wrapText="1"/>
    </xf>
    <xf numFmtId="0" fontId="88" fillId="68" borderId="31" xfId="3" applyFont="1" applyFill="1" applyBorder="1" applyAlignment="1">
      <alignment horizontal="center" vertical="center" wrapText="1"/>
    </xf>
    <xf numFmtId="0" fontId="88" fillId="68" borderId="1" xfId="3" applyFont="1" applyFill="1" applyBorder="1" applyAlignment="1">
      <alignment horizontal="center" vertical="center" wrapText="1"/>
    </xf>
    <xf numFmtId="0" fontId="88" fillId="68" borderId="37" xfId="3" applyFont="1" applyFill="1" applyBorder="1" applyAlignment="1">
      <alignment horizontal="center" vertical="center" wrapText="1"/>
    </xf>
    <xf numFmtId="0" fontId="88" fillId="68" borderId="16" xfId="3" applyFont="1" applyFill="1" applyBorder="1" applyAlignment="1">
      <alignment horizontal="center" vertical="center" wrapText="1"/>
    </xf>
    <xf numFmtId="0" fontId="98" fillId="68" borderId="1" xfId="3" applyNumberFormat="1" applyFont="1" applyFill="1" applyBorder="1" applyAlignment="1">
      <alignment horizontal="center" vertical="center"/>
    </xf>
    <xf numFmtId="0" fontId="98" fillId="68" borderId="16" xfId="3" applyNumberFormat="1" applyFont="1" applyFill="1" applyBorder="1" applyAlignment="1">
      <alignment horizontal="center" vertical="center"/>
    </xf>
    <xf numFmtId="0" fontId="130" fillId="50" borderId="1" xfId="0" applyFont="1" applyFill="1" applyBorder="1" applyAlignment="1">
      <alignment horizontal="center" vertical="center"/>
    </xf>
    <xf numFmtId="0" fontId="130" fillId="50" borderId="16" xfId="0" applyFont="1" applyFill="1" applyBorder="1" applyAlignment="1">
      <alignment horizontal="center" vertical="center"/>
    </xf>
    <xf numFmtId="0" fontId="88" fillId="68" borderId="57" xfId="3" applyFont="1" applyFill="1" applyBorder="1" applyAlignment="1">
      <alignment horizontal="center" vertical="center" wrapText="1"/>
    </xf>
    <xf numFmtId="0" fontId="88" fillId="68" borderId="11" xfId="3" applyFont="1" applyFill="1" applyBorder="1" applyAlignment="1">
      <alignment horizontal="center" vertical="center" wrapText="1"/>
    </xf>
    <xf numFmtId="0" fontId="88" fillId="68" borderId="12" xfId="3" applyFont="1" applyFill="1" applyBorder="1" applyAlignment="1">
      <alignment horizontal="center" vertical="center" wrapText="1"/>
    </xf>
    <xf numFmtId="0" fontId="88" fillId="68" borderId="28" xfId="3" applyFont="1" applyFill="1" applyBorder="1" applyAlignment="1">
      <alignment horizontal="center" vertical="center" wrapText="1"/>
    </xf>
    <xf numFmtId="0" fontId="88" fillId="68" borderId="0" xfId="3" applyFont="1" applyFill="1" applyBorder="1" applyAlignment="1">
      <alignment horizontal="center" vertical="center" wrapText="1"/>
    </xf>
    <xf numFmtId="0" fontId="88" fillId="68" borderId="47" xfId="3" applyFont="1" applyFill="1" applyBorder="1" applyAlignment="1">
      <alignment horizontal="center" vertical="center" wrapText="1"/>
    </xf>
    <xf numFmtId="0" fontId="88" fillId="68" borderId="59" xfId="3" applyFont="1" applyFill="1" applyBorder="1" applyAlignment="1">
      <alignment horizontal="center" vertical="center" wrapText="1"/>
    </xf>
    <xf numFmtId="0" fontId="88" fillId="68" borderId="14" xfId="3" applyFont="1" applyFill="1" applyBorder="1" applyAlignment="1">
      <alignment horizontal="center" vertical="center" wrapText="1"/>
    </xf>
    <xf numFmtId="0" fontId="88" fillId="68" borderId="15" xfId="3" applyFont="1" applyFill="1" applyBorder="1" applyAlignment="1">
      <alignment horizontal="center" vertical="center" wrapText="1"/>
    </xf>
    <xf numFmtId="0" fontId="4" fillId="0" borderId="0" xfId="0" applyFont="1" applyAlignment="1">
      <alignment horizontal="center"/>
    </xf>
    <xf numFmtId="0" fontId="117" fillId="68" borderId="25" xfId="0" applyFont="1" applyFill="1" applyBorder="1" applyAlignment="1">
      <alignment horizontal="center" vertical="center" wrapText="1"/>
    </xf>
    <xf numFmtId="2" fontId="98" fillId="68" borderId="16" xfId="22" applyNumberFormat="1" applyFont="1" applyFill="1" applyBorder="1" applyAlignment="1">
      <alignment horizontal="center" vertical="center" wrapText="1"/>
    </xf>
    <xf numFmtId="2" fontId="123" fillId="50" borderId="61" xfId="22" applyNumberFormat="1" applyFont="1" applyFill="1" applyBorder="1" applyAlignment="1">
      <alignment horizontal="center" vertical="center" wrapText="1"/>
    </xf>
    <xf numFmtId="2" fontId="123" fillId="50" borderId="65" xfId="22" applyNumberFormat="1" applyFont="1" applyFill="1" applyBorder="1" applyAlignment="1">
      <alignment horizontal="center" vertical="center" wrapText="1"/>
    </xf>
    <xf numFmtId="0" fontId="117" fillId="68" borderId="16" xfId="0" applyFont="1" applyFill="1" applyBorder="1" applyAlignment="1">
      <alignment horizontal="center" vertical="center" wrapText="1"/>
    </xf>
    <xf numFmtId="0" fontId="117" fillId="68" borderId="27" xfId="0" applyFont="1" applyFill="1" applyBorder="1" applyAlignment="1">
      <alignment horizontal="center" vertical="center" wrapText="1"/>
    </xf>
    <xf numFmtId="0" fontId="79" fillId="67" borderId="30" xfId="0" applyFont="1" applyFill="1" applyBorder="1" applyAlignment="1">
      <alignment horizontal="center" vertical="center" wrapText="1"/>
    </xf>
    <xf numFmtId="0" fontId="79" fillId="67" borderId="23" xfId="0" applyFont="1" applyFill="1" applyBorder="1" applyAlignment="1">
      <alignment horizontal="center" vertical="center" wrapText="1"/>
    </xf>
    <xf numFmtId="0" fontId="79" fillId="67" borderId="24" xfId="0" applyFont="1" applyFill="1" applyBorder="1" applyAlignment="1">
      <alignment horizontal="center" vertical="center" wrapText="1"/>
    </xf>
    <xf numFmtId="0" fontId="79" fillId="67" borderId="31" xfId="0" applyFont="1" applyFill="1" applyBorder="1" applyAlignment="1">
      <alignment horizontal="center" vertical="center" wrapText="1"/>
    </xf>
    <xf numFmtId="0" fontId="79" fillId="67" borderId="25" xfId="0" applyFont="1" applyFill="1" applyBorder="1" applyAlignment="1">
      <alignment horizontal="center" vertical="center" wrapText="1"/>
    </xf>
    <xf numFmtId="0" fontId="79" fillId="67" borderId="105" xfId="0" applyFont="1" applyFill="1" applyBorder="1" applyAlignment="1">
      <alignment horizontal="center" vertical="center" wrapText="1"/>
    </xf>
    <xf numFmtId="0" fontId="79" fillId="67" borderId="2" xfId="0" applyFont="1" applyFill="1" applyBorder="1" applyAlignment="1">
      <alignment horizontal="center" vertical="center" wrapText="1"/>
    </xf>
    <xf numFmtId="0" fontId="79" fillId="67" borderId="33" xfId="0" applyFont="1" applyFill="1" applyBorder="1" applyAlignment="1">
      <alignment horizontal="center" vertical="center" wrapText="1"/>
    </xf>
    <xf numFmtId="0" fontId="54" fillId="55" borderId="35" xfId="0" applyFont="1" applyFill="1" applyBorder="1" applyAlignment="1">
      <alignment horizontal="center" vertical="center"/>
    </xf>
    <xf numFmtId="0" fontId="54" fillId="55" borderId="80" xfId="0" applyFont="1" applyFill="1" applyBorder="1" applyAlignment="1">
      <alignment horizontal="center" vertical="center"/>
    </xf>
    <xf numFmtId="0" fontId="54" fillId="55" borderId="38" xfId="0" applyFont="1" applyFill="1" applyBorder="1" applyAlignment="1">
      <alignment horizontal="center" vertical="center"/>
    </xf>
    <xf numFmtId="0" fontId="54" fillId="55" borderId="34" xfId="0" applyFont="1" applyFill="1" applyBorder="1" applyAlignment="1">
      <alignment horizontal="center" vertical="center"/>
    </xf>
    <xf numFmtId="0" fontId="54" fillId="55" borderId="39" xfId="0" applyFont="1" applyFill="1" applyBorder="1" applyAlignment="1">
      <alignment horizontal="center" vertical="center"/>
    </xf>
    <xf numFmtId="176" fontId="96" fillId="68" borderId="10" xfId="47" applyNumberFormat="1" applyFont="1" applyFill="1" applyBorder="1" applyAlignment="1">
      <alignment horizontal="center" vertical="center"/>
    </xf>
    <xf numFmtId="176" fontId="96" fillId="68" borderId="11" xfId="47" applyNumberFormat="1" applyFont="1" applyFill="1" applyBorder="1" applyAlignment="1">
      <alignment horizontal="center" vertical="center"/>
    </xf>
    <xf numFmtId="176" fontId="96" fillId="68" borderId="12" xfId="47" applyNumberFormat="1" applyFont="1" applyFill="1" applyBorder="1" applyAlignment="1">
      <alignment horizontal="center" vertical="center"/>
    </xf>
    <xf numFmtId="176" fontId="96" fillId="68" borderId="44" xfId="47" applyNumberFormat="1" applyFont="1" applyFill="1" applyBorder="1" applyAlignment="1">
      <alignment horizontal="center" vertical="center"/>
    </xf>
    <xf numFmtId="176" fontId="96" fillId="68" borderId="0" xfId="47" applyNumberFormat="1" applyFont="1" applyFill="1" applyBorder="1" applyAlignment="1">
      <alignment horizontal="center" vertical="center"/>
    </xf>
    <xf numFmtId="176" fontId="96" fillId="68" borderId="47" xfId="47" applyNumberFormat="1" applyFont="1" applyFill="1" applyBorder="1" applyAlignment="1">
      <alignment horizontal="center" vertical="center"/>
    </xf>
    <xf numFmtId="176" fontId="96" fillId="68" borderId="13" xfId="47" applyNumberFormat="1" applyFont="1" applyFill="1" applyBorder="1" applyAlignment="1">
      <alignment horizontal="center" vertical="center"/>
    </xf>
    <xf numFmtId="176" fontId="96" fillId="68" borderId="14" xfId="47" applyNumberFormat="1" applyFont="1" applyFill="1" applyBorder="1" applyAlignment="1">
      <alignment horizontal="center" vertical="center"/>
    </xf>
    <xf numFmtId="176" fontId="96" fillId="68" borderId="15" xfId="47" applyNumberFormat="1" applyFont="1" applyFill="1" applyBorder="1" applyAlignment="1">
      <alignment horizontal="center" vertical="center"/>
    </xf>
    <xf numFmtId="176" fontId="96" fillId="68" borderId="58" xfId="47" applyNumberFormat="1" applyFont="1" applyFill="1" applyBorder="1" applyAlignment="1">
      <alignment horizontal="center" vertical="center"/>
    </xf>
    <xf numFmtId="176" fontId="96" fillId="68" borderId="41" xfId="47" applyNumberFormat="1" applyFont="1" applyFill="1" applyBorder="1" applyAlignment="1">
      <alignment horizontal="center" vertical="center"/>
    </xf>
    <xf numFmtId="176" fontId="96" fillId="68" borderId="60" xfId="47" applyNumberFormat="1" applyFont="1" applyFill="1" applyBorder="1" applyAlignment="1">
      <alignment horizontal="center" vertical="center"/>
    </xf>
    <xf numFmtId="0" fontId="79" fillId="67" borderId="53" xfId="3" applyFont="1" applyFill="1" applyBorder="1" applyAlignment="1">
      <alignment horizontal="center" vertical="center" wrapText="1"/>
    </xf>
    <xf numFmtId="0" fontId="79" fillId="67" borderId="55" xfId="3" applyFont="1" applyFill="1" applyBorder="1" applyAlignment="1">
      <alignment horizontal="center" vertical="center" wrapText="1"/>
    </xf>
    <xf numFmtId="0" fontId="79" fillId="67" borderId="56" xfId="3" applyFont="1" applyFill="1" applyBorder="1" applyAlignment="1">
      <alignment horizontal="center" vertical="center" wrapText="1"/>
    </xf>
    <xf numFmtId="0" fontId="79" fillId="67" borderId="28" xfId="3" applyFont="1" applyFill="1" applyBorder="1" applyAlignment="1">
      <alignment horizontal="center" vertical="center" wrapText="1"/>
    </xf>
    <xf numFmtId="0" fontId="79" fillId="67" borderId="41" xfId="3" applyFont="1" applyFill="1" applyBorder="1" applyAlignment="1">
      <alignment horizontal="center" vertical="center" wrapText="1"/>
    </xf>
    <xf numFmtId="0" fontId="79" fillId="67" borderId="54" xfId="3" applyFont="1" applyFill="1" applyBorder="1" applyAlignment="1">
      <alignment horizontal="center" vertical="center" wrapText="1"/>
    </xf>
    <xf numFmtId="0" fontId="79" fillId="67" borderId="61" xfId="3" applyFont="1" applyFill="1" applyBorder="1" applyAlignment="1">
      <alignment horizontal="center" vertical="center" wrapText="1"/>
    </xf>
    <xf numFmtId="0" fontId="79" fillId="67" borderId="42" xfId="3" applyFont="1" applyFill="1" applyBorder="1" applyAlignment="1">
      <alignment horizontal="center" vertical="center" wrapText="1"/>
    </xf>
    <xf numFmtId="176" fontId="96" fillId="68" borderId="62" xfId="47" applyNumberFormat="1" applyFont="1" applyFill="1" applyBorder="1" applyAlignment="1">
      <alignment horizontal="center" vertical="center"/>
    </xf>
    <xf numFmtId="176" fontId="96" fillId="68" borderId="61" xfId="47" applyNumberFormat="1" applyFont="1" applyFill="1" applyBorder="1" applyAlignment="1">
      <alignment horizontal="center" vertical="center"/>
    </xf>
    <xf numFmtId="176" fontId="96" fillId="68" borderId="65" xfId="47" applyNumberFormat="1" applyFont="1" applyFill="1" applyBorder="1" applyAlignment="1">
      <alignment horizontal="center" vertical="center"/>
    </xf>
    <xf numFmtId="176" fontId="96" fillId="68" borderId="42" xfId="47" applyNumberFormat="1" applyFont="1" applyFill="1" applyBorder="1" applyAlignment="1">
      <alignment horizontal="center" vertical="center"/>
    </xf>
    <xf numFmtId="169" fontId="98" fillId="68" borderId="1" xfId="3" applyNumberFormat="1" applyFont="1" applyFill="1" applyBorder="1" applyAlignment="1">
      <alignment horizontal="center" vertical="center"/>
    </xf>
    <xf numFmtId="169" fontId="125" fillId="50" borderId="1" xfId="0" applyNumberFormat="1" applyFont="1" applyFill="1" applyBorder="1" applyAlignment="1">
      <alignment horizontal="center" vertical="center"/>
    </xf>
    <xf numFmtId="187" fontId="98" fillId="68" borderId="1" xfId="3" applyNumberFormat="1" applyFont="1" applyFill="1" applyBorder="1" applyAlignment="1">
      <alignment horizontal="center" vertical="center"/>
    </xf>
    <xf numFmtId="0" fontId="98" fillId="68" borderId="1" xfId="0" applyFont="1" applyFill="1" applyBorder="1" applyAlignment="1">
      <alignment horizontal="center" vertical="center"/>
    </xf>
    <xf numFmtId="0" fontId="94" fillId="68" borderId="1" xfId="3" applyFont="1" applyFill="1" applyBorder="1" applyAlignment="1">
      <alignment horizontal="center" vertical="center" wrapText="1"/>
    </xf>
    <xf numFmtId="0" fontId="79" fillId="67" borderId="14" xfId="0" applyFont="1" applyFill="1" applyBorder="1" applyAlignment="1">
      <alignment horizontal="center" vertical="center" wrapText="1"/>
    </xf>
    <xf numFmtId="0" fontId="116" fillId="65" borderId="8" xfId="0" applyFont="1" applyFill="1" applyBorder="1" applyAlignment="1">
      <alignment horizontal="center" vertical="center"/>
    </xf>
    <xf numFmtId="0" fontId="116" fillId="65" borderId="5" xfId="0" applyFont="1" applyFill="1" applyBorder="1" applyAlignment="1">
      <alignment horizontal="center" vertical="center"/>
    </xf>
    <xf numFmtId="0" fontId="116" fillId="65" borderId="9" xfId="0" applyFont="1" applyFill="1" applyBorder="1" applyAlignment="1">
      <alignment horizontal="center" vertical="center"/>
    </xf>
    <xf numFmtId="0" fontId="8" fillId="42" borderId="81" xfId="22" applyNumberFormat="1" applyFont="1" applyFill="1" applyBorder="1" applyAlignment="1">
      <alignment horizontal="center" vertical="center"/>
    </xf>
    <xf numFmtId="0" fontId="8" fillId="42" borderId="82" xfId="22" applyNumberFormat="1" applyFont="1" applyFill="1" applyBorder="1" applyAlignment="1">
      <alignment horizontal="center" vertical="center"/>
    </xf>
    <xf numFmtId="0" fontId="42" fillId="42" borderId="52" xfId="3" applyFont="1" applyFill="1" applyBorder="1" applyAlignment="1">
      <alignment horizontal="center" vertical="center" wrapText="1"/>
    </xf>
    <xf numFmtId="0" fontId="42" fillId="42" borderId="4" xfId="3" applyFont="1" applyFill="1" applyBorder="1" applyAlignment="1">
      <alignment horizontal="center" vertical="center" wrapText="1"/>
    </xf>
    <xf numFmtId="0" fontId="42" fillId="42" borderId="29" xfId="3" applyFont="1" applyFill="1" applyBorder="1" applyAlignment="1">
      <alignment horizontal="center" vertical="center" wrapText="1"/>
    </xf>
    <xf numFmtId="0" fontId="42" fillId="42" borderId="31" xfId="3" applyFont="1" applyFill="1" applyBorder="1" applyAlignment="1">
      <alignment horizontal="center" vertical="center" wrapText="1"/>
    </xf>
    <xf numFmtId="0" fontId="42" fillId="42" borderId="1" xfId="3" applyFont="1" applyFill="1" applyBorder="1" applyAlignment="1">
      <alignment horizontal="center" vertical="center" wrapText="1"/>
    </xf>
    <xf numFmtId="0" fontId="42" fillId="42" borderId="25" xfId="3" applyFont="1" applyFill="1" applyBorder="1" applyAlignment="1">
      <alignment horizontal="center" vertical="center" wrapText="1"/>
    </xf>
    <xf numFmtId="0" fontId="8" fillId="42" borderId="83" xfId="22" applyNumberFormat="1" applyFont="1" applyFill="1" applyBorder="1" applyAlignment="1">
      <alignment horizontal="center" vertical="center"/>
    </xf>
    <xf numFmtId="0" fontId="42" fillId="42" borderId="37" xfId="3" applyFont="1" applyFill="1" applyBorder="1" applyAlignment="1">
      <alignment horizontal="center" vertical="center" wrapText="1"/>
    </xf>
    <xf numFmtId="0" fontId="42" fillId="42" borderId="16" xfId="3" applyFont="1" applyFill="1" applyBorder="1" applyAlignment="1">
      <alignment horizontal="center" vertical="center" wrapText="1"/>
    </xf>
    <xf numFmtId="0" fontId="42" fillId="42" borderId="27" xfId="3" applyFont="1" applyFill="1" applyBorder="1" applyAlignment="1">
      <alignment horizontal="center" vertical="center" wrapText="1"/>
    </xf>
    <xf numFmtId="0" fontId="123" fillId="50" borderId="58" xfId="0" applyFont="1" applyFill="1" applyBorder="1" applyAlignment="1">
      <alignment horizontal="center" vertical="center" wrapText="1"/>
    </xf>
    <xf numFmtId="0" fontId="123" fillId="50" borderId="41" xfId="0" applyFont="1" applyFill="1" applyBorder="1" applyAlignment="1">
      <alignment horizontal="center" vertical="center" wrapText="1"/>
    </xf>
    <xf numFmtId="0" fontId="123" fillId="50" borderId="61" xfId="0" applyFont="1" applyFill="1" applyBorder="1" applyAlignment="1">
      <alignment horizontal="center" vertical="center" wrapText="1"/>
    </xf>
    <xf numFmtId="0" fontId="123" fillId="50" borderId="42" xfId="0" applyFont="1" applyFill="1" applyBorder="1" applyAlignment="1">
      <alignment horizontal="center" vertical="center" wrapText="1"/>
    </xf>
    <xf numFmtId="0" fontId="83" fillId="67" borderId="53" xfId="3" applyFont="1" applyFill="1" applyBorder="1" applyAlignment="1">
      <alignment horizontal="center" vertical="center" wrapText="1"/>
    </xf>
    <xf numFmtId="0" fontId="83" fillId="67" borderId="55" xfId="3" applyFont="1" applyFill="1" applyBorder="1" applyAlignment="1">
      <alignment horizontal="center" vertical="center" wrapText="1"/>
    </xf>
    <xf numFmtId="0" fontId="83" fillId="67" borderId="56" xfId="3" applyFont="1" applyFill="1" applyBorder="1" applyAlignment="1">
      <alignment horizontal="center" vertical="center" wrapText="1"/>
    </xf>
    <xf numFmtId="0" fontId="83" fillId="67" borderId="28" xfId="3" applyFont="1" applyFill="1" applyBorder="1" applyAlignment="1">
      <alignment horizontal="center" vertical="center" wrapText="1"/>
    </xf>
    <xf numFmtId="0" fontId="83" fillId="67" borderId="0" xfId="3" applyFont="1" applyFill="1" applyBorder="1" applyAlignment="1">
      <alignment horizontal="center" vertical="center" wrapText="1"/>
    </xf>
    <xf numFmtId="0" fontId="83" fillId="67" borderId="41" xfId="3" applyFont="1" applyFill="1" applyBorder="1" applyAlignment="1">
      <alignment horizontal="center" vertical="center" wrapText="1"/>
    </xf>
    <xf numFmtId="0" fontId="83" fillId="67" borderId="54" xfId="3" applyFont="1" applyFill="1" applyBorder="1" applyAlignment="1">
      <alignment horizontal="center" vertical="center" wrapText="1"/>
    </xf>
    <xf numFmtId="0" fontId="83" fillId="67" borderId="61" xfId="3" applyFont="1" applyFill="1" applyBorder="1" applyAlignment="1">
      <alignment horizontal="center" vertical="center" wrapText="1"/>
    </xf>
    <xf numFmtId="0" fontId="83" fillId="67" borderId="42" xfId="3" applyFont="1" applyFill="1" applyBorder="1" applyAlignment="1">
      <alignment horizontal="center" vertical="center" wrapText="1"/>
    </xf>
    <xf numFmtId="0" fontId="94" fillId="55" borderId="52" xfId="0" applyFont="1" applyFill="1" applyBorder="1" applyAlignment="1">
      <alignment horizontal="center" vertical="center" wrapText="1"/>
    </xf>
    <xf numFmtId="0" fontId="94" fillId="55" borderId="4" xfId="0" applyFont="1" applyFill="1" applyBorder="1" applyAlignment="1">
      <alignment horizontal="center" vertical="center" wrapText="1"/>
    </xf>
    <xf numFmtId="0" fontId="94" fillId="55" borderId="29" xfId="0" applyFont="1" applyFill="1" applyBorder="1" applyAlignment="1">
      <alignment horizontal="center" vertical="center" wrapText="1"/>
    </xf>
    <xf numFmtId="0" fontId="65" fillId="68" borderId="31" xfId="0" applyFont="1" applyFill="1" applyBorder="1" applyAlignment="1">
      <alignment horizontal="center" vertical="center" wrapText="1"/>
    </xf>
    <xf numFmtId="0" fontId="65" fillId="68" borderId="37" xfId="0" applyFont="1" applyFill="1" applyBorder="1" applyAlignment="1">
      <alignment horizontal="center" vertical="center" wrapText="1"/>
    </xf>
    <xf numFmtId="0" fontId="65" fillId="68" borderId="16" xfId="0" applyFont="1" applyFill="1" applyBorder="1" applyAlignment="1">
      <alignment horizontal="center" vertical="center" wrapText="1"/>
    </xf>
    <xf numFmtId="0" fontId="59" fillId="2" borderId="0" xfId="0" applyFont="1" applyFill="1" applyAlignment="1">
      <alignment horizontal="center" vertical="center" wrapText="1"/>
    </xf>
    <xf numFmtId="173" fontId="98" fillId="68" borderId="1" xfId="0" applyNumberFormat="1" applyFont="1" applyFill="1" applyBorder="1" applyAlignment="1">
      <alignment horizontal="center" vertical="center"/>
    </xf>
    <xf numFmtId="0" fontId="53" fillId="66" borderId="1" xfId="0" applyFont="1" applyFill="1" applyBorder="1" applyAlignment="1">
      <alignment horizontal="center" vertical="center" wrapText="1"/>
    </xf>
    <xf numFmtId="0" fontId="88" fillId="64" borderId="53" xfId="3" applyFont="1" applyFill="1" applyBorder="1" applyAlignment="1">
      <alignment horizontal="center" vertical="center" wrapText="1"/>
    </xf>
    <xf numFmtId="0" fontId="88" fillId="64" borderId="56" xfId="3" applyFont="1" applyFill="1" applyBorder="1" applyAlignment="1">
      <alignment horizontal="center" vertical="center" wrapText="1"/>
    </xf>
    <xf numFmtId="0" fontId="88" fillId="64" borderId="28" xfId="3" applyFont="1" applyFill="1" applyBorder="1" applyAlignment="1">
      <alignment horizontal="center" vertical="center" wrapText="1"/>
    </xf>
    <xf numFmtId="0" fontId="88" fillId="64" borderId="41" xfId="3" applyFont="1" applyFill="1" applyBorder="1" applyAlignment="1">
      <alignment horizontal="center" vertical="center" wrapText="1"/>
    </xf>
    <xf numFmtId="0" fontId="88" fillId="64" borderId="54" xfId="3" applyFont="1" applyFill="1" applyBorder="1" applyAlignment="1">
      <alignment horizontal="center" vertical="center" wrapText="1"/>
    </xf>
    <xf numFmtId="0" fontId="88" fillId="64" borderId="42" xfId="3" applyFont="1" applyFill="1" applyBorder="1" applyAlignment="1">
      <alignment horizontal="center" vertical="center" wrapText="1"/>
    </xf>
    <xf numFmtId="0" fontId="94" fillId="55" borderId="8" xfId="0" applyFont="1" applyFill="1" applyBorder="1" applyAlignment="1">
      <alignment horizontal="center" vertical="center"/>
    </xf>
    <xf numFmtId="0" fontId="94" fillId="55" borderId="5" xfId="0" applyFont="1" applyFill="1" applyBorder="1" applyAlignment="1">
      <alignment horizontal="center" vertical="center"/>
    </xf>
    <xf numFmtId="0" fontId="94" fillId="55" borderId="9" xfId="0" applyFont="1" applyFill="1" applyBorder="1" applyAlignment="1">
      <alignment horizontal="center" vertical="center"/>
    </xf>
    <xf numFmtId="0" fontId="92" fillId="67" borderId="53" xfId="0" applyFont="1" applyFill="1" applyBorder="1" applyAlignment="1">
      <alignment horizontal="center" vertical="center" wrapText="1"/>
    </xf>
    <xf numFmtId="0" fontId="92" fillId="67" borderId="55" xfId="0" applyFont="1" applyFill="1" applyBorder="1" applyAlignment="1">
      <alignment horizontal="center" vertical="center" wrapText="1"/>
    </xf>
    <xf numFmtId="0" fontId="92" fillId="67" borderId="56" xfId="0" applyFont="1" applyFill="1" applyBorder="1" applyAlignment="1">
      <alignment horizontal="center" vertical="center" wrapText="1"/>
    </xf>
    <xf numFmtId="0" fontId="92" fillId="67" borderId="28" xfId="0" applyFont="1" applyFill="1" applyBorder="1" applyAlignment="1">
      <alignment horizontal="center" vertical="center" wrapText="1"/>
    </xf>
    <xf numFmtId="0" fontId="92" fillId="67" borderId="0" xfId="0" applyFont="1" applyFill="1" applyAlignment="1">
      <alignment horizontal="center" vertical="center" wrapText="1"/>
    </xf>
    <xf numFmtId="0" fontId="92" fillId="67" borderId="41" xfId="0" applyFont="1" applyFill="1" applyBorder="1" applyAlignment="1">
      <alignment horizontal="center" vertical="center" wrapText="1"/>
    </xf>
    <xf numFmtId="0" fontId="92" fillId="67" borderId="54" xfId="0" applyFont="1" applyFill="1" applyBorder="1" applyAlignment="1">
      <alignment horizontal="center" vertical="center" wrapText="1"/>
    </xf>
    <xf numFmtId="0" fontId="92" fillId="67" borderId="61" xfId="0" applyFont="1" applyFill="1" applyBorder="1" applyAlignment="1">
      <alignment horizontal="center" vertical="center" wrapText="1"/>
    </xf>
    <xf numFmtId="0" fontId="92" fillId="67" borderId="42" xfId="0" applyFont="1" applyFill="1" applyBorder="1" applyAlignment="1">
      <alignment horizontal="center" vertical="center" wrapText="1"/>
    </xf>
    <xf numFmtId="0" fontId="94" fillId="55" borderId="28" xfId="0" applyFont="1" applyFill="1" applyBorder="1" applyAlignment="1">
      <alignment horizontal="center" vertical="center" wrapText="1"/>
    </xf>
    <xf numFmtId="0" fontId="94" fillId="55" borderId="0" xfId="0" applyFont="1" applyFill="1" applyAlignment="1">
      <alignment horizontal="center" vertical="center" wrapText="1"/>
    </xf>
    <xf numFmtId="0" fontId="94" fillId="55" borderId="41" xfId="0" applyFont="1" applyFill="1" applyBorder="1" applyAlignment="1">
      <alignment horizontal="center" vertical="center" wrapText="1"/>
    </xf>
    <xf numFmtId="0" fontId="64" fillId="71" borderId="30" xfId="0" applyFont="1" applyFill="1" applyBorder="1" applyAlignment="1">
      <alignment horizontal="center" vertical="center" wrapText="1"/>
    </xf>
    <xf numFmtId="0" fontId="64" fillId="71" borderId="23" xfId="0" applyFont="1" applyFill="1" applyBorder="1" applyAlignment="1">
      <alignment horizontal="center" vertical="center" wrapText="1"/>
    </xf>
    <xf numFmtId="0" fontId="64" fillId="71" borderId="31" xfId="0" applyFont="1" applyFill="1" applyBorder="1" applyAlignment="1">
      <alignment horizontal="center" vertical="center" wrapText="1"/>
    </xf>
    <xf numFmtId="0" fontId="64" fillId="71" borderId="1" xfId="0" applyFont="1" applyFill="1" applyBorder="1" applyAlignment="1">
      <alignment horizontal="center" vertical="center" wrapText="1"/>
    </xf>
    <xf numFmtId="0" fontId="30" fillId="71" borderId="99" xfId="0" applyFont="1" applyFill="1" applyBorder="1" applyAlignment="1">
      <alignment horizontal="center" vertical="center" wrapText="1"/>
    </xf>
    <xf numFmtId="0" fontId="30" fillId="71" borderId="55" xfId="0" applyFont="1" applyFill="1" applyBorder="1" applyAlignment="1">
      <alignment horizontal="center" vertical="center" wrapText="1"/>
    </xf>
    <xf numFmtId="0" fontId="30" fillId="71" borderId="56" xfId="0" applyFont="1" applyFill="1" applyBorder="1" applyAlignment="1">
      <alignment horizontal="center" vertical="center" wrapText="1"/>
    </xf>
    <xf numFmtId="0" fontId="30" fillId="71" borderId="44" xfId="0" applyFont="1" applyFill="1" applyBorder="1" applyAlignment="1">
      <alignment horizontal="center" vertical="center" wrapText="1"/>
    </xf>
    <xf numFmtId="0" fontId="30" fillId="71" borderId="0" xfId="0" applyFont="1" applyFill="1" applyAlignment="1">
      <alignment horizontal="center" vertical="center" wrapText="1"/>
    </xf>
    <xf numFmtId="0" fontId="30" fillId="71" borderId="41" xfId="0" applyFont="1" applyFill="1" applyBorder="1" applyAlignment="1">
      <alignment horizontal="center" vertical="center" wrapText="1"/>
    </xf>
    <xf numFmtId="0" fontId="30" fillId="71" borderId="13" xfId="0" applyFont="1" applyFill="1" applyBorder="1" applyAlignment="1">
      <alignment horizontal="center" vertical="center" wrapText="1"/>
    </xf>
    <xf numFmtId="0" fontId="30" fillId="71" borderId="14" xfId="0" applyFont="1" applyFill="1" applyBorder="1" applyAlignment="1">
      <alignment horizontal="center" vertical="center" wrapText="1"/>
    </xf>
    <xf numFmtId="0" fontId="30" fillId="71" borderId="60" xfId="0" applyFont="1" applyFill="1" applyBorder="1" applyAlignment="1">
      <alignment horizontal="center" vertical="center" wrapText="1"/>
    </xf>
    <xf numFmtId="0" fontId="58" fillId="2" borderId="0" xfId="0" applyFont="1" applyFill="1" applyAlignment="1">
      <alignment horizontal="center"/>
    </xf>
    <xf numFmtId="0" fontId="67" fillId="42" borderId="31" xfId="0" applyFont="1" applyFill="1" applyBorder="1" applyAlignment="1">
      <alignment horizontal="center" vertical="center" wrapText="1"/>
    </xf>
    <xf numFmtId="0" fontId="67" fillId="42" borderId="1" xfId="0" applyFont="1" applyFill="1" applyBorder="1" applyAlignment="1">
      <alignment horizontal="center" vertical="center" wrapText="1"/>
    </xf>
    <xf numFmtId="0" fontId="0" fillId="71" borderId="10" xfId="0" applyFill="1" applyBorder="1" applyAlignment="1">
      <alignment horizontal="center" vertical="center" wrapText="1"/>
    </xf>
    <xf numFmtId="0" fontId="0" fillId="71" borderId="11" xfId="0" applyFill="1" applyBorder="1" applyAlignment="1">
      <alignment horizontal="center" vertical="center" wrapText="1"/>
    </xf>
    <xf numFmtId="0" fontId="0" fillId="71" borderId="58" xfId="0" applyFill="1" applyBorder="1" applyAlignment="1">
      <alignment horizontal="center" vertical="center" wrapText="1"/>
    </xf>
    <xf numFmtId="0" fontId="0" fillId="71" borderId="44" xfId="0" applyFill="1" applyBorder="1" applyAlignment="1">
      <alignment horizontal="center" vertical="center" wrapText="1"/>
    </xf>
    <xf numFmtId="0" fontId="0" fillId="71" borderId="0" xfId="0" applyFill="1" applyAlignment="1">
      <alignment horizontal="center" vertical="center" wrapText="1"/>
    </xf>
    <xf numFmtId="0" fontId="0" fillId="71" borderId="41" xfId="0" applyFill="1" applyBorder="1" applyAlignment="1">
      <alignment horizontal="center" vertical="center" wrapText="1"/>
    </xf>
    <xf numFmtId="0" fontId="0" fillId="71" borderId="13" xfId="0" applyFill="1" applyBorder="1" applyAlignment="1">
      <alignment horizontal="center" vertical="center" wrapText="1"/>
    </xf>
    <xf numFmtId="0" fontId="0" fillId="71" borderId="14" xfId="0" applyFill="1" applyBorder="1" applyAlignment="1">
      <alignment horizontal="center" vertical="center" wrapText="1"/>
    </xf>
    <xf numFmtId="0" fontId="0" fillId="71" borderId="60" xfId="0" applyFill="1" applyBorder="1" applyAlignment="1">
      <alignment horizontal="center" vertical="center" wrapText="1"/>
    </xf>
    <xf numFmtId="0" fontId="67" fillId="42" borderId="37" xfId="0" applyFont="1" applyFill="1" applyBorder="1" applyAlignment="1">
      <alignment horizontal="center" vertical="center" wrapText="1"/>
    </xf>
    <xf numFmtId="0" fontId="67" fillId="42" borderId="16" xfId="0" applyFont="1" applyFill="1" applyBorder="1" applyAlignment="1">
      <alignment horizontal="center" vertical="center" wrapText="1"/>
    </xf>
    <xf numFmtId="0" fontId="0" fillId="71" borderId="62" xfId="0" applyFill="1" applyBorder="1" applyAlignment="1">
      <alignment horizontal="center" vertical="center" wrapText="1"/>
    </xf>
    <xf numFmtId="0" fontId="0" fillId="71" borderId="61" xfId="0" applyFill="1" applyBorder="1" applyAlignment="1">
      <alignment horizontal="center" vertical="center" wrapText="1"/>
    </xf>
    <xf numFmtId="0" fontId="0" fillId="71" borderId="42" xfId="0" applyFill="1" applyBorder="1" applyAlignment="1">
      <alignment horizontal="center" vertical="center" wrapText="1"/>
    </xf>
    <xf numFmtId="0" fontId="78" fillId="2" borderId="1" xfId="0" applyFont="1" applyFill="1" applyBorder="1" applyAlignment="1">
      <alignment horizontal="center" vertical="center" wrapText="1"/>
    </xf>
    <xf numFmtId="0" fontId="46" fillId="2" borderId="1" xfId="3" applyNumberFormat="1" applyFont="1" applyFill="1" applyBorder="1" applyAlignment="1">
      <alignment horizontal="center" vertical="center" wrapText="1"/>
    </xf>
    <xf numFmtId="2" fontId="46" fillId="2" borderId="1" xfId="3" applyNumberFormat="1" applyFont="1" applyFill="1" applyBorder="1" applyAlignment="1">
      <alignment horizontal="center" vertical="center" wrapText="1"/>
    </xf>
    <xf numFmtId="1" fontId="46" fillId="2" borderId="1" xfId="3" applyNumberFormat="1" applyFont="1" applyFill="1" applyBorder="1" applyAlignment="1">
      <alignment horizontal="center" vertical="center" wrapText="1"/>
    </xf>
    <xf numFmtId="0" fontId="88" fillId="64" borderId="56" xfId="4" applyFont="1" applyFill="1" applyBorder="1" applyAlignment="1" applyProtection="1">
      <alignment horizontal="center" vertical="center" wrapText="1"/>
    </xf>
    <xf numFmtId="0" fontId="88" fillId="64" borderId="28" xfId="4" applyFont="1" applyFill="1" applyBorder="1" applyAlignment="1" applyProtection="1">
      <alignment horizontal="center" vertical="center" wrapText="1"/>
    </xf>
    <xf numFmtId="0" fontId="88" fillId="64" borderId="41" xfId="4" applyFont="1" applyFill="1" applyBorder="1" applyAlignment="1" applyProtection="1">
      <alignment horizontal="center" vertical="center" wrapText="1"/>
    </xf>
    <xf numFmtId="0" fontId="88" fillId="64" borderId="54" xfId="4" applyFont="1" applyFill="1" applyBorder="1" applyAlignment="1" applyProtection="1">
      <alignment horizontal="center" vertical="center" wrapText="1"/>
    </xf>
    <xf numFmtId="0" fontId="88" fillId="64" borderId="42" xfId="4" applyFont="1" applyFill="1" applyBorder="1" applyAlignment="1" applyProtection="1">
      <alignment horizontal="center" vertical="center" wrapText="1"/>
    </xf>
    <xf numFmtId="173" fontId="78" fillId="2" borderId="1" xfId="22" applyNumberFormat="1" applyFont="1" applyFill="1" applyBorder="1" applyAlignment="1">
      <alignment horizontal="center" vertical="center" wrapText="1"/>
    </xf>
    <xf numFmtId="0" fontId="54" fillId="21" borderId="67" xfId="0" applyFont="1" applyFill="1" applyBorder="1" applyAlignment="1">
      <alignment horizontal="center" vertical="center" wrapText="1"/>
    </xf>
    <xf numFmtId="0" fontId="54" fillId="21" borderId="68" xfId="0" applyFont="1" applyFill="1" applyBorder="1" applyAlignment="1">
      <alignment horizontal="center" vertical="center" wrapText="1"/>
    </xf>
    <xf numFmtId="0" fontId="54" fillId="21" borderId="69" xfId="0" applyFont="1" applyFill="1" applyBorder="1" applyAlignment="1">
      <alignment horizontal="center" vertical="center" wrapText="1"/>
    </xf>
    <xf numFmtId="0" fontId="54" fillId="21" borderId="70" xfId="0" applyFont="1" applyFill="1" applyBorder="1" applyAlignment="1">
      <alignment horizontal="center" vertical="center" wrapText="1"/>
    </xf>
    <xf numFmtId="0" fontId="54" fillId="21" borderId="0" xfId="0" applyFont="1" applyFill="1" applyAlignment="1">
      <alignment horizontal="center" vertical="center" wrapText="1"/>
    </xf>
    <xf numFmtId="0" fontId="54" fillId="21" borderId="71" xfId="0" applyFont="1" applyFill="1" applyBorder="1" applyAlignment="1">
      <alignment horizontal="center" vertical="center" wrapText="1"/>
    </xf>
    <xf numFmtId="0" fontId="54" fillId="21" borderId="72" xfId="0" applyFont="1" applyFill="1" applyBorder="1" applyAlignment="1">
      <alignment horizontal="center" vertical="center" wrapText="1"/>
    </xf>
    <xf numFmtId="0" fontId="54" fillId="21" borderId="73" xfId="0" applyFont="1" applyFill="1" applyBorder="1" applyAlignment="1">
      <alignment horizontal="center" vertical="center" wrapText="1"/>
    </xf>
    <xf numFmtId="0" fontId="54" fillId="21" borderId="74" xfId="0" applyFont="1" applyFill="1" applyBorder="1" applyAlignment="1">
      <alignment horizontal="center" vertical="center" wrapText="1"/>
    </xf>
    <xf numFmtId="0" fontId="78" fillId="2" borderId="10" xfId="0" applyFont="1" applyFill="1" applyBorder="1" applyAlignment="1">
      <alignment horizontal="center" vertical="center" wrapText="1"/>
    </xf>
    <xf numFmtId="0" fontId="78" fillId="2" borderId="12"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5" xfId="0" applyFont="1" applyFill="1" applyBorder="1" applyAlignment="1">
      <alignment horizontal="center" vertical="center" wrapText="1"/>
    </xf>
    <xf numFmtId="173" fontId="78" fillId="2" borderId="10" xfId="22" applyNumberFormat="1" applyFont="1" applyFill="1" applyBorder="1" applyAlignment="1">
      <alignment horizontal="center" vertical="center" wrapText="1"/>
    </xf>
    <xf numFmtId="173" fontId="78" fillId="2" borderId="12" xfId="22" applyNumberFormat="1" applyFont="1" applyFill="1" applyBorder="1" applyAlignment="1">
      <alignment horizontal="center" vertical="center" wrapText="1"/>
    </xf>
    <xf numFmtId="173" fontId="78" fillId="2" borderId="13" xfId="22" applyNumberFormat="1" applyFont="1" applyFill="1" applyBorder="1" applyAlignment="1">
      <alignment horizontal="center" vertical="center" wrapText="1"/>
    </xf>
    <xf numFmtId="173" fontId="78" fillId="2" borderId="15" xfId="22" applyNumberFormat="1" applyFont="1" applyFill="1" applyBorder="1" applyAlignment="1">
      <alignment horizontal="center" vertical="center" wrapText="1"/>
    </xf>
    <xf numFmtId="0" fontId="46" fillId="2" borderId="10" xfId="3" applyNumberFormat="1" applyFont="1" applyFill="1" applyBorder="1" applyAlignment="1">
      <alignment horizontal="center" vertical="center" wrapText="1"/>
    </xf>
    <xf numFmtId="0" fontId="46" fillId="2" borderId="11" xfId="3" applyNumberFormat="1" applyFont="1" applyFill="1" applyBorder="1" applyAlignment="1">
      <alignment horizontal="center" vertical="center" wrapText="1"/>
    </xf>
    <xf numFmtId="0" fontId="46" fillId="2" borderId="12" xfId="3" applyNumberFormat="1" applyFont="1" applyFill="1" applyBorder="1" applyAlignment="1">
      <alignment horizontal="center" vertical="center" wrapText="1"/>
    </xf>
    <xf numFmtId="0" fontId="46" fillId="2" borderId="13" xfId="3" applyNumberFormat="1" applyFont="1" applyFill="1" applyBorder="1" applyAlignment="1">
      <alignment horizontal="center" vertical="center" wrapText="1"/>
    </xf>
    <xf numFmtId="0" fontId="46" fillId="2" borderId="14" xfId="3" applyNumberFormat="1" applyFont="1" applyFill="1" applyBorder="1" applyAlignment="1">
      <alignment horizontal="center" vertical="center" wrapText="1"/>
    </xf>
    <xf numFmtId="0" fontId="46" fillId="2" borderId="15" xfId="3" applyNumberFormat="1" applyFont="1" applyFill="1" applyBorder="1" applyAlignment="1">
      <alignment horizontal="center" vertical="center" wrapText="1"/>
    </xf>
    <xf numFmtId="164" fontId="46" fillId="2" borderId="1" xfId="3" applyNumberFormat="1" applyFont="1" applyFill="1" applyBorder="1" applyAlignment="1">
      <alignment horizontal="center" vertical="center" wrapText="1"/>
    </xf>
    <xf numFmtId="0" fontId="54" fillId="55" borderId="6" xfId="0" applyFont="1" applyFill="1" applyBorder="1" applyAlignment="1">
      <alignment horizontal="center" vertical="center"/>
    </xf>
    <xf numFmtId="0" fontId="54" fillId="55" borderId="7" xfId="0" applyFont="1" applyFill="1" applyBorder="1" applyAlignment="1">
      <alignment horizontal="center" vertical="center"/>
    </xf>
    <xf numFmtId="0" fontId="54" fillId="55" borderId="3" xfId="0" applyFont="1" applyFill="1" applyBorder="1" applyAlignment="1">
      <alignment horizontal="center" vertical="center"/>
    </xf>
    <xf numFmtId="0" fontId="99" fillId="71" borderId="53" xfId="0" applyFont="1" applyFill="1" applyBorder="1" applyAlignment="1">
      <alignment horizontal="center" vertical="center" wrapText="1"/>
    </xf>
    <xf numFmtId="0" fontId="99" fillId="71" borderId="55" xfId="0" applyFont="1" applyFill="1" applyBorder="1" applyAlignment="1">
      <alignment horizontal="center" vertical="center" wrapText="1"/>
    </xf>
    <xf numFmtId="0" fontId="99" fillId="71" borderId="56" xfId="0" applyFont="1" applyFill="1" applyBorder="1" applyAlignment="1">
      <alignment horizontal="center" vertical="center" wrapText="1"/>
    </xf>
    <xf numFmtId="0" fontId="99" fillId="71" borderId="28" xfId="0" applyFont="1" applyFill="1" applyBorder="1" applyAlignment="1">
      <alignment horizontal="center" vertical="center" wrapText="1"/>
    </xf>
    <xf numFmtId="0" fontId="99" fillId="71" borderId="0" xfId="0" applyFont="1" applyFill="1" applyAlignment="1">
      <alignment horizontal="center" vertical="center" wrapText="1"/>
    </xf>
    <xf numFmtId="0" fontId="99" fillId="71" borderId="41" xfId="0" applyFont="1" applyFill="1" applyBorder="1" applyAlignment="1">
      <alignment horizontal="center" vertical="center" wrapText="1"/>
    </xf>
    <xf numFmtId="0" fontId="99" fillId="71" borderId="54" xfId="0" applyFont="1" applyFill="1" applyBorder="1" applyAlignment="1">
      <alignment horizontal="center" vertical="center" wrapText="1"/>
    </xf>
    <xf numFmtId="0" fontId="99" fillId="71" borderId="61" xfId="0" applyFont="1" applyFill="1" applyBorder="1" applyAlignment="1">
      <alignment horizontal="center" vertical="center" wrapText="1"/>
    </xf>
    <xf numFmtId="0" fontId="99" fillId="71" borderId="42" xfId="0" applyFont="1" applyFill="1" applyBorder="1" applyAlignment="1">
      <alignment horizontal="center" vertical="center" wrapText="1"/>
    </xf>
    <xf numFmtId="0" fontId="54" fillId="72" borderId="67" xfId="0" applyFont="1" applyFill="1" applyBorder="1" applyAlignment="1">
      <alignment horizontal="center" vertical="center" wrapText="1"/>
    </xf>
    <xf numFmtId="0" fontId="54" fillId="72" borderId="68" xfId="0" applyFont="1" applyFill="1" applyBorder="1" applyAlignment="1">
      <alignment horizontal="center" vertical="center" wrapText="1"/>
    </xf>
    <xf numFmtId="0" fontId="54" fillId="72" borderId="69" xfId="0" applyFont="1" applyFill="1" applyBorder="1" applyAlignment="1">
      <alignment horizontal="center" vertical="center" wrapText="1"/>
    </xf>
    <xf numFmtId="0" fontId="54" fillId="72" borderId="70" xfId="0" applyFont="1" applyFill="1" applyBorder="1" applyAlignment="1">
      <alignment horizontal="center" vertical="center" wrapText="1"/>
    </xf>
    <xf numFmtId="0" fontId="54" fillId="72" borderId="0" xfId="0" applyFont="1" applyFill="1" applyAlignment="1">
      <alignment horizontal="center" vertical="center" wrapText="1"/>
    </xf>
    <xf numFmtId="0" fontId="54" fillId="72" borderId="71" xfId="0" applyFont="1" applyFill="1" applyBorder="1" applyAlignment="1">
      <alignment horizontal="center" vertical="center" wrapText="1"/>
    </xf>
    <xf numFmtId="0" fontId="54" fillId="72" borderId="72" xfId="0" applyFont="1" applyFill="1" applyBorder="1" applyAlignment="1">
      <alignment horizontal="center" vertical="center" wrapText="1"/>
    </xf>
    <xf numFmtId="0" fontId="54" fillId="72" borderId="73" xfId="0" applyFont="1" applyFill="1" applyBorder="1" applyAlignment="1">
      <alignment horizontal="center" vertical="center" wrapText="1"/>
    </xf>
    <xf numFmtId="0" fontId="54" fillId="72" borderId="74" xfId="0" applyFont="1" applyFill="1" applyBorder="1" applyAlignment="1">
      <alignment horizontal="center" vertical="center" wrapText="1"/>
    </xf>
    <xf numFmtId="0" fontId="54" fillId="21" borderId="53" xfId="0" applyFont="1" applyFill="1" applyBorder="1" applyAlignment="1">
      <alignment horizontal="center" vertical="center" wrapText="1"/>
    </xf>
    <xf numFmtId="0" fontId="54" fillId="21" borderId="55" xfId="0" applyFont="1" applyFill="1" applyBorder="1" applyAlignment="1">
      <alignment horizontal="center" vertical="center" wrapText="1"/>
    </xf>
    <xf numFmtId="0" fontId="54" fillId="21" borderId="56" xfId="0" applyFont="1" applyFill="1" applyBorder="1" applyAlignment="1">
      <alignment horizontal="center" vertical="center" wrapText="1"/>
    </xf>
    <xf numFmtId="0" fontId="54" fillId="21" borderId="28" xfId="0" applyFont="1" applyFill="1" applyBorder="1" applyAlignment="1">
      <alignment horizontal="center" vertical="center" wrapText="1"/>
    </xf>
    <xf numFmtId="0" fontId="54" fillId="21" borderId="41" xfId="0" applyFont="1" applyFill="1" applyBorder="1" applyAlignment="1">
      <alignment horizontal="center" vertical="center" wrapText="1"/>
    </xf>
    <xf numFmtId="0" fontId="54" fillId="21" borderId="54" xfId="0" applyFont="1" applyFill="1" applyBorder="1" applyAlignment="1">
      <alignment horizontal="center" vertical="center" wrapText="1"/>
    </xf>
    <xf numFmtId="0" fontId="54" fillId="21" borderId="61" xfId="0" applyFont="1" applyFill="1" applyBorder="1" applyAlignment="1">
      <alignment horizontal="center" vertical="center" wrapText="1"/>
    </xf>
    <xf numFmtId="0" fontId="54" fillId="21" borderId="42" xfId="0" applyFont="1" applyFill="1" applyBorder="1" applyAlignment="1">
      <alignment horizontal="center" vertical="center" wrapText="1"/>
    </xf>
    <xf numFmtId="0" fontId="88" fillId="37" borderId="56" xfId="4" applyFont="1" applyFill="1" applyBorder="1" applyAlignment="1" applyProtection="1">
      <alignment horizontal="center" vertical="center" wrapText="1"/>
    </xf>
    <xf numFmtId="0" fontId="88" fillId="37" borderId="28" xfId="4" applyFont="1" applyFill="1" applyBorder="1" applyAlignment="1" applyProtection="1">
      <alignment horizontal="center" vertical="center" wrapText="1"/>
    </xf>
    <xf numFmtId="0" fontId="88" fillId="37" borderId="41" xfId="4" applyFont="1" applyFill="1" applyBorder="1" applyAlignment="1" applyProtection="1">
      <alignment horizontal="center" vertical="center" wrapText="1"/>
    </xf>
    <xf numFmtId="0" fontId="88" fillId="37" borderId="54" xfId="4" applyFont="1" applyFill="1" applyBorder="1" applyAlignment="1" applyProtection="1">
      <alignment horizontal="center" vertical="center" wrapText="1"/>
    </xf>
    <xf numFmtId="0" fontId="88" fillId="37" borderId="42" xfId="4" applyFont="1" applyFill="1" applyBorder="1" applyAlignment="1" applyProtection="1">
      <alignment horizontal="center" vertical="center" wrapText="1"/>
    </xf>
    <xf numFmtId="2" fontId="0" fillId="2" borderId="31" xfId="0" applyNumberFormat="1" applyFill="1" applyBorder="1" applyAlignment="1">
      <alignment horizontal="left"/>
    </xf>
    <xf numFmtId="0" fontId="0" fillId="2" borderId="1" xfId="0" applyFill="1" applyBorder="1" applyAlignment="1">
      <alignment horizontal="left"/>
    </xf>
    <xf numFmtId="176" fontId="78" fillId="2" borderId="1" xfId="46" applyNumberFormat="1" applyFont="1" applyFill="1" applyBorder="1" applyAlignment="1">
      <alignment horizontal="center" vertical="center"/>
    </xf>
    <xf numFmtId="2" fontId="0" fillId="95" borderId="31" xfId="0" applyNumberFormat="1" applyFill="1" applyBorder="1" applyAlignment="1">
      <alignment horizontal="left"/>
    </xf>
    <xf numFmtId="0" fontId="0" fillId="95" borderId="1" xfId="0" applyFill="1" applyBorder="1" applyAlignment="1">
      <alignment horizontal="left"/>
    </xf>
    <xf numFmtId="176" fontId="78" fillId="95" borderId="1" xfId="46" applyNumberFormat="1" applyFont="1" applyFill="1" applyBorder="1" applyAlignment="1">
      <alignment horizontal="center" vertical="center"/>
    </xf>
    <xf numFmtId="4" fontId="78" fillId="95" borderId="1" xfId="46" applyNumberFormat="1" applyFont="1" applyFill="1" applyBorder="1" applyAlignment="1">
      <alignment horizontal="center" vertical="center"/>
    </xf>
    <xf numFmtId="2" fontId="0" fillId="95" borderId="37" xfId="0" applyNumberFormat="1" applyFill="1" applyBorder="1" applyAlignment="1">
      <alignment horizontal="left"/>
    </xf>
    <xf numFmtId="0" fontId="0" fillId="95" borderId="16" xfId="0" applyFill="1" applyBorder="1" applyAlignment="1">
      <alignment horizontal="left"/>
    </xf>
    <xf numFmtId="4" fontId="78" fillId="95" borderId="16" xfId="46" applyNumberFormat="1" applyFont="1" applyFill="1" applyBorder="1" applyAlignment="1">
      <alignment horizontal="center" vertical="center"/>
    </xf>
    <xf numFmtId="0" fontId="102" fillId="2" borderId="55" xfId="0" applyFont="1" applyFill="1" applyBorder="1" applyAlignment="1">
      <alignment horizontal="center"/>
    </xf>
    <xf numFmtId="0" fontId="102" fillId="2" borderId="0" xfId="0" applyFont="1" applyFill="1" applyAlignment="1">
      <alignment horizontal="center"/>
    </xf>
    <xf numFmtId="0" fontId="88" fillId="55" borderId="35" xfId="0" applyFont="1" applyFill="1" applyBorder="1" applyAlignment="1">
      <alignment horizontal="center"/>
    </xf>
    <xf numFmtId="0" fontId="88" fillId="55" borderId="45" xfId="0" applyFont="1" applyFill="1" applyBorder="1" applyAlignment="1">
      <alignment horizontal="center"/>
    </xf>
    <xf numFmtId="0" fontId="88" fillId="55" borderId="46" xfId="0" applyFont="1" applyFill="1" applyBorder="1" applyAlignment="1">
      <alignment horizontal="center"/>
    </xf>
    <xf numFmtId="0" fontId="4" fillId="72" borderId="30" xfId="0" applyFont="1" applyFill="1" applyBorder="1" applyAlignment="1">
      <alignment horizontal="center"/>
    </xf>
    <xf numFmtId="0" fontId="4" fillId="72" borderId="23" xfId="0" applyFont="1" applyFill="1" applyBorder="1" applyAlignment="1">
      <alignment horizontal="center"/>
    </xf>
    <xf numFmtId="0" fontId="88" fillId="72" borderId="23" xfId="0" applyFont="1" applyFill="1" applyBorder="1" applyAlignment="1">
      <alignment horizontal="center"/>
    </xf>
    <xf numFmtId="0" fontId="88" fillId="72" borderId="24" xfId="0" applyFont="1" applyFill="1" applyBorder="1" applyAlignment="1">
      <alignment horizontal="center"/>
    </xf>
    <xf numFmtId="0" fontId="88" fillId="72" borderId="6" xfId="0" applyFont="1" applyFill="1" applyBorder="1" applyAlignment="1">
      <alignment horizontal="center"/>
    </xf>
    <xf numFmtId="0" fontId="88" fillId="72" borderId="3" xfId="0" applyFont="1" applyFill="1" applyBorder="1" applyAlignment="1">
      <alignment horizontal="center"/>
    </xf>
    <xf numFmtId="176" fontId="78" fillId="2" borderId="25" xfId="46" applyNumberFormat="1" applyFont="1" applyFill="1" applyBorder="1" applyAlignment="1">
      <alignment horizontal="center" vertical="center"/>
    </xf>
    <xf numFmtId="176" fontId="78" fillId="95" borderId="25" xfId="46" applyNumberFormat="1" applyFont="1" applyFill="1" applyBorder="1" applyAlignment="1">
      <alignment horizontal="center" vertical="center"/>
    </xf>
    <xf numFmtId="0" fontId="88" fillId="72" borderId="104" xfId="0" applyFont="1" applyFill="1" applyBorder="1" applyAlignment="1">
      <alignment horizontal="center"/>
    </xf>
    <xf numFmtId="0" fontId="88" fillId="72" borderId="57" xfId="0" applyFont="1" applyFill="1" applyBorder="1" applyAlignment="1">
      <alignment horizontal="center" vertical="center" wrapText="1"/>
    </xf>
    <xf numFmtId="0" fontId="88" fillId="72" borderId="11" xfId="0" applyFont="1" applyFill="1" applyBorder="1" applyAlignment="1">
      <alignment horizontal="center" vertical="center" wrapText="1"/>
    </xf>
    <xf numFmtId="0" fontId="88" fillId="72" borderId="12" xfId="0" applyFont="1" applyFill="1" applyBorder="1" applyAlignment="1">
      <alignment horizontal="center" vertical="center" wrapText="1"/>
    </xf>
    <xf numFmtId="0" fontId="88" fillId="72" borderId="28" xfId="0" applyFont="1" applyFill="1" applyBorder="1" applyAlignment="1">
      <alignment horizontal="center" vertical="center" wrapText="1"/>
    </xf>
    <xf numFmtId="0" fontId="88" fillId="72" borderId="0" xfId="0" applyFont="1" applyFill="1" applyAlignment="1">
      <alignment horizontal="center" vertical="center" wrapText="1"/>
    </xf>
    <xf numFmtId="0" fontId="88" fillId="72" borderId="47" xfId="0" applyFont="1" applyFill="1" applyBorder="1" applyAlignment="1">
      <alignment horizontal="center" vertical="center" wrapText="1"/>
    </xf>
    <xf numFmtId="0" fontId="88" fillId="72" borderId="59" xfId="0" applyFont="1" applyFill="1" applyBorder="1" applyAlignment="1">
      <alignment horizontal="center" vertical="center" wrapText="1"/>
    </xf>
    <xf numFmtId="0" fontId="88" fillId="72" borderId="14" xfId="0" applyFont="1" applyFill="1" applyBorder="1" applyAlignment="1">
      <alignment horizontal="center" vertical="center" wrapText="1"/>
    </xf>
    <xf numFmtId="0" fontId="88" fillId="72" borderId="15" xfId="0" applyFont="1" applyFill="1" applyBorder="1" applyAlignment="1">
      <alignment horizontal="center" vertical="center" wrapText="1"/>
    </xf>
    <xf numFmtId="0" fontId="88" fillId="72" borderId="1" xfId="0" applyFont="1" applyFill="1" applyBorder="1" applyAlignment="1">
      <alignment horizontal="center" vertical="center" wrapText="1"/>
    </xf>
    <xf numFmtId="0" fontId="88" fillId="72" borderId="25" xfId="0" applyFont="1" applyFill="1" applyBorder="1" applyAlignment="1">
      <alignment horizontal="center" vertical="center" wrapText="1"/>
    </xf>
    <xf numFmtId="0" fontId="4" fillId="72" borderId="31" xfId="0" applyFont="1" applyFill="1" applyBorder="1" applyAlignment="1">
      <alignment horizontal="center"/>
    </xf>
    <xf numFmtId="0" fontId="4" fillId="72" borderId="1" xfId="0" applyFont="1" applyFill="1" applyBorder="1" applyAlignment="1">
      <alignment horizontal="center"/>
    </xf>
    <xf numFmtId="0" fontId="88" fillId="72" borderId="30" xfId="0" applyFont="1" applyFill="1" applyBorder="1" applyAlignment="1">
      <alignment horizontal="center" vertical="center" wrapText="1"/>
    </xf>
    <xf numFmtId="0" fontId="88" fillId="72" borderId="23" xfId="0" applyFont="1" applyFill="1" applyBorder="1" applyAlignment="1">
      <alignment horizontal="center" vertical="center" wrapText="1"/>
    </xf>
    <xf numFmtId="0" fontId="88" fillId="72" borderId="31" xfId="0" applyFont="1" applyFill="1" applyBorder="1" applyAlignment="1">
      <alignment horizontal="center" vertical="center" wrapText="1"/>
    </xf>
    <xf numFmtId="0" fontId="88" fillId="72" borderId="23" xfId="0" applyFont="1" applyFill="1" applyBorder="1" applyAlignment="1">
      <alignment horizontal="center" vertical="center"/>
    </xf>
    <xf numFmtId="0" fontId="88" fillId="72" borderId="1" xfId="0" applyFont="1" applyFill="1" applyBorder="1" applyAlignment="1">
      <alignment horizontal="center" vertical="center"/>
    </xf>
    <xf numFmtId="0" fontId="88" fillId="72" borderId="24" xfId="0" applyFont="1" applyFill="1" applyBorder="1" applyAlignment="1">
      <alignment horizontal="center" vertical="center"/>
    </xf>
    <xf numFmtId="0" fontId="88" fillId="72" borderId="25" xfId="0" applyFont="1" applyFill="1" applyBorder="1" applyAlignment="1">
      <alignment horizontal="center" vertical="center"/>
    </xf>
    <xf numFmtId="6" fontId="78" fillId="95" borderId="16" xfId="46" applyNumberFormat="1" applyFont="1" applyFill="1" applyBorder="1" applyAlignment="1">
      <alignment horizontal="center" vertical="center"/>
    </xf>
    <xf numFmtId="6" fontId="78" fillId="95" borderId="27" xfId="46" applyNumberFormat="1" applyFont="1" applyFill="1" applyBorder="1" applyAlignment="1">
      <alignment horizontal="center" vertical="center"/>
    </xf>
    <xf numFmtId="4" fontId="78" fillId="95" borderId="25" xfId="46" applyNumberFormat="1" applyFont="1" applyFill="1" applyBorder="1" applyAlignment="1">
      <alignment horizontal="center" vertical="center"/>
    </xf>
    <xf numFmtId="4" fontId="78" fillId="2" borderId="1" xfId="46" applyNumberFormat="1" applyFont="1" applyFill="1" applyBorder="1" applyAlignment="1">
      <alignment horizontal="center" vertical="center"/>
    </xf>
    <xf numFmtId="189" fontId="78" fillId="2" borderId="1" xfId="46" applyNumberFormat="1" applyFont="1" applyFill="1" applyBorder="1" applyAlignment="1">
      <alignment horizontal="center" vertical="center"/>
    </xf>
    <xf numFmtId="4" fontId="78" fillId="2" borderId="25" xfId="46" applyNumberFormat="1" applyFont="1" applyFill="1" applyBorder="1" applyAlignment="1">
      <alignment horizontal="center" vertical="center"/>
    </xf>
    <xf numFmtId="4" fontId="78" fillId="95" borderId="27" xfId="46" applyNumberFormat="1" applyFont="1" applyFill="1" applyBorder="1" applyAlignment="1">
      <alignment horizontal="center" vertical="center"/>
    </xf>
    <xf numFmtId="188" fontId="78" fillId="95" borderId="1" xfId="46" applyNumberFormat="1" applyFont="1" applyFill="1" applyBorder="1" applyAlignment="1">
      <alignment horizontal="center" vertical="center"/>
    </xf>
    <xf numFmtId="188" fontId="78" fillId="95" borderId="25" xfId="46" applyNumberFormat="1" applyFont="1" applyFill="1" applyBorder="1" applyAlignment="1">
      <alignment horizontal="center" vertical="center"/>
    </xf>
    <xf numFmtId="188" fontId="78" fillId="2" borderId="1" xfId="46" applyNumberFormat="1" applyFont="1" applyFill="1" applyBorder="1" applyAlignment="1">
      <alignment horizontal="center" vertical="center"/>
    </xf>
    <xf numFmtId="188" fontId="78" fillId="2" borderId="25" xfId="46" applyNumberFormat="1" applyFont="1" applyFill="1" applyBorder="1" applyAlignment="1">
      <alignment horizontal="center" vertical="center"/>
    </xf>
    <xf numFmtId="3" fontId="78" fillId="95" borderId="1" xfId="46" applyNumberFormat="1" applyFont="1" applyFill="1" applyBorder="1" applyAlignment="1">
      <alignment horizontal="center" vertical="center"/>
    </xf>
    <xf numFmtId="3" fontId="78" fillId="95" borderId="25" xfId="46" applyNumberFormat="1" applyFont="1" applyFill="1" applyBorder="1" applyAlignment="1">
      <alignment horizontal="center" vertical="center"/>
    </xf>
    <xf numFmtId="188" fontId="78" fillId="95" borderId="16" xfId="46" applyNumberFormat="1" applyFont="1" applyFill="1" applyBorder="1" applyAlignment="1">
      <alignment horizontal="center" vertical="center"/>
    </xf>
    <xf numFmtId="188" fontId="78" fillId="95" borderId="27" xfId="46" applyNumberFormat="1"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73" fillId="2" borderId="3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104" fillId="2" borderId="16"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27" xfId="0" applyFont="1" applyFill="1" applyBorder="1" applyAlignment="1">
      <alignment horizontal="center" vertical="center" wrapText="1"/>
    </xf>
    <xf numFmtId="0" fontId="88" fillId="55" borderId="30" xfId="0" applyFont="1" applyFill="1" applyBorder="1" applyAlignment="1">
      <alignment horizontal="center" wrapText="1"/>
    </xf>
    <xf numFmtId="0" fontId="88" fillId="55" borderId="23" xfId="0" applyFont="1" applyFill="1" applyBorder="1" applyAlignment="1">
      <alignment horizontal="center" wrapText="1"/>
    </xf>
    <xf numFmtId="0" fontId="54" fillId="37" borderId="53" xfId="0" applyFont="1" applyFill="1" applyBorder="1" applyAlignment="1">
      <alignment horizontal="center" vertical="center" wrapText="1"/>
    </xf>
    <xf numFmtId="0" fontId="54" fillId="37" borderId="55" xfId="0" applyFont="1" applyFill="1" applyBorder="1" applyAlignment="1">
      <alignment horizontal="center" vertical="center" wrapText="1"/>
    </xf>
    <xf numFmtId="0" fontId="54" fillId="37" borderId="56" xfId="0" applyFont="1" applyFill="1" applyBorder="1" applyAlignment="1">
      <alignment horizontal="center" vertical="center" wrapText="1"/>
    </xf>
    <xf numFmtId="0" fontId="54" fillId="37" borderId="28" xfId="0" applyFont="1" applyFill="1" applyBorder="1" applyAlignment="1">
      <alignment horizontal="center" vertical="center" wrapText="1"/>
    </xf>
    <xf numFmtId="0" fontId="54" fillId="37" borderId="0" xfId="0" applyFont="1" applyFill="1" applyAlignment="1">
      <alignment horizontal="center" vertical="center" wrapText="1"/>
    </xf>
    <xf numFmtId="0" fontId="54" fillId="37" borderId="41" xfId="0" applyFont="1" applyFill="1" applyBorder="1" applyAlignment="1">
      <alignment horizontal="center" vertical="center" wrapText="1"/>
    </xf>
    <xf numFmtId="0" fontId="54" fillId="37" borderId="54" xfId="0" applyFont="1" applyFill="1" applyBorder="1" applyAlignment="1">
      <alignment horizontal="center" vertical="center" wrapText="1"/>
    </xf>
    <xf numFmtId="0" fontId="54" fillId="37" borderId="61" xfId="0" applyFont="1" applyFill="1" applyBorder="1" applyAlignment="1">
      <alignment horizontal="center" vertical="center" wrapText="1"/>
    </xf>
    <xf numFmtId="0" fontId="54" fillId="37" borderId="42" xfId="0" applyFont="1" applyFill="1" applyBorder="1" applyAlignment="1">
      <alignment horizontal="center" vertical="center" wrapText="1"/>
    </xf>
    <xf numFmtId="0" fontId="88" fillId="55" borderId="23" xfId="0" applyFont="1" applyFill="1" applyBorder="1" applyAlignment="1">
      <alignment horizontal="center"/>
    </xf>
    <xf numFmtId="0" fontId="88" fillId="55" borderId="24" xfId="0" applyFont="1" applyFill="1" applyBorder="1" applyAlignment="1">
      <alignment horizontal="center"/>
    </xf>
    <xf numFmtId="6" fontId="4" fillId="2" borderId="16" xfId="0" applyNumberFormat="1" applyFont="1" applyFill="1" applyBorder="1" applyAlignment="1">
      <alignment horizontal="center" vertical="center"/>
    </xf>
    <xf numFmtId="6" fontId="4" fillId="2" borderId="27" xfId="0" applyNumberFormat="1" applyFont="1" applyFill="1" applyBorder="1" applyAlignment="1">
      <alignment horizontal="center" vertical="center"/>
    </xf>
    <xf numFmtId="176" fontId="0" fillId="16" borderId="1" xfId="0" applyNumberFormat="1" applyFill="1" applyBorder="1" applyAlignment="1">
      <alignment horizontal="center" vertical="center"/>
    </xf>
    <xf numFmtId="176" fontId="0" fillId="16" borderId="25" xfId="0" applyNumberFormat="1" applyFill="1" applyBorder="1" applyAlignment="1">
      <alignment horizontal="center" vertical="center"/>
    </xf>
    <xf numFmtId="6" fontId="0" fillId="16" borderId="1" xfId="0" applyNumberFormat="1" applyFill="1" applyBorder="1" applyAlignment="1">
      <alignment horizontal="center" vertical="center"/>
    </xf>
    <xf numFmtId="0" fontId="30" fillId="72" borderId="1" xfId="0" applyFont="1" applyFill="1" applyBorder="1" applyAlignment="1">
      <alignment horizontal="center"/>
    </xf>
    <xf numFmtId="0" fontId="30" fillId="72" borderId="1" xfId="0" applyFont="1" applyFill="1" applyBorder="1" applyAlignment="1">
      <alignment horizontal="center" vertical="center" wrapText="1"/>
    </xf>
    <xf numFmtId="6" fontId="0" fillId="16" borderId="25" xfId="0" applyNumberFormat="1" applyFill="1" applyBorder="1" applyAlignment="1">
      <alignment horizontal="center" vertical="center"/>
    </xf>
    <xf numFmtId="0" fontId="30" fillId="72" borderId="25" xfId="0" applyFont="1" applyFill="1" applyBorder="1" applyAlignment="1">
      <alignment horizontal="center" vertical="center" wrapText="1"/>
    </xf>
    <xf numFmtId="0" fontId="30" fillId="72" borderId="31" xfId="0" applyFont="1" applyFill="1" applyBorder="1" applyAlignment="1">
      <alignment horizontal="center" vertical="center"/>
    </xf>
    <xf numFmtId="0" fontId="30" fillId="72" borderId="1" xfId="0" applyFont="1" applyFill="1" applyBorder="1" applyAlignment="1">
      <alignment horizontal="center" vertical="center"/>
    </xf>
    <xf numFmtId="0" fontId="0" fillId="16" borderId="31" xfId="0" applyFill="1" applyBorder="1" applyAlignment="1">
      <alignment horizontal="center"/>
    </xf>
    <xf numFmtId="0" fontId="0" fillId="16" borderId="1" xfId="0" applyFill="1" applyBorder="1" applyAlignment="1">
      <alignment horizontal="center"/>
    </xf>
    <xf numFmtId="0" fontId="0" fillId="2" borderId="37" xfId="0" applyFill="1" applyBorder="1" applyAlignment="1">
      <alignment horizontal="center"/>
    </xf>
    <xf numFmtId="0" fontId="0" fillId="2" borderId="16" xfId="0" applyFill="1" applyBorder="1" applyAlignment="1">
      <alignment horizontal="center"/>
    </xf>
    <xf numFmtId="0" fontId="30" fillId="72" borderId="25" xfId="0" applyFont="1" applyFill="1" applyBorder="1" applyAlignment="1">
      <alignment horizontal="center"/>
    </xf>
    <xf numFmtId="0" fontId="0" fillId="2" borderId="31" xfId="0" applyFill="1" applyBorder="1" applyAlignment="1">
      <alignment horizontal="center"/>
    </xf>
    <xf numFmtId="0" fontId="0" fillId="2" borderId="1" xfId="0" applyFill="1" applyBorder="1" applyAlignment="1">
      <alignment horizontal="center"/>
    </xf>
    <xf numFmtId="2" fontId="78" fillId="2" borderId="1" xfId="0" applyNumberFormat="1" applyFont="1" applyFill="1" applyBorder="1" applyAlignment="1">
      <alignment horizontal="center"/>
    </xf>
    <xf numFmtId="2" fontId="78" fillId="2" borderId="25" xfId="0" applyNumberFormat="1" applyFont="1" applyFill="1" applyBorder="1" applyAlignment="1">
      <alignment horizontal="center"/>
    </xf>
    <xf numFmtId="2" fontId="78" fillId="2" borderId="16" xfId="0" applyNumberFormat="1" applyFont="1" applyFill="1" applyBorder="1" applyAlignment="1">
      <alignment horizontal="center"/>
    </xf>
    <xf numFmtId="2" fontId="78" fillId="2" borderId="27" xfId="0" applyNumberFormat="1" applyFont="1" applyFill="1" applyBorder="1" applyAlignment="1">
      <alignment horizontal="center"/>
    </xf>
    <xf numFmtId="0" fontId="78" fillId="2" borderId="0" xfId="0" applyFont="1" applyFill="1" applyAlignment="1">
      <alignment horizontal="center"/>
    </xf>
    <xf numFmtId="0" fontId="88" fillId="55" borderId="30" xfId="0" applyFont="1" applyFill="1" applyBorder="1" applyAlignment="1">
      <alignment horizontal="center"/>
    </xf>
    <xf numFmtId="0" fontId="88" fillId="72" borderId="1" xfId="0" applyFont="1" applyFill="1" applyBorder="1" applyAlignment="1">
      <alignment horizontal="center"/>
    </xf>
    <xf numFmtId="0" fontId="88" fillId="72" borderId="25" xfId="0" applyFont="1" applyFill="1" applyBorder="1" applyAlignment="1">
      <alignment horizontal="center"/>
    </xf>
    <xf numFmtId="2" fontId="0" fillId="2" borderId="31" xfId="0" applyNumberFormat="1" applyFill="1" applyBorder="1" applyAlignment="1">
      <alignment horizontal="center"/>
    </xf>
    <xf numFmtId="2" fontId="0" fillId="2" borderId="1" xfId="0" applyNumberFormat="1" applyFill="1" applyBorder="1" applyAlignment="1">
      <alignment horizontal="center"/>
    </xf>
    <xf numFmtId="2" fontId="78" fillId="2" borderId="2" xfId="0" applyNumberFormat="1" applyFont="1" applyFill="1" applyBorder="1" applyAlignment="1">
      <alignment horizontal="center"/>
    </xf>
    <xf numFmtId="2" fontId="0" fillId="2" borderId="37" xfId="0" applyNumberFormat="1" applyFill="1" applyBorder="1" applyAlignment="1">
      <alignment horizontal="center"/>
    </xf>
    <xf numFmtId="2" fontId="0" fillId="2" borderId="16" xfId="0" applyNumberFormat="1" applyFill="1" applyBorder="1" applyAlignment="1">
      <alignment horizontal="center"/>
    </xf>
    <xf numFmtId="2" fontId="78" fillId="2" borderId="43" xfId="0" applyNumberFormat="1" applyFont="1" applyFill="1" applyBorder="1" applyAlignment="1">
      <alignment horizontal="center"/>
    </xf>
    <xf numFmtId="2" fontId="78" fillId="2" borderId="122" xfId="0" applyNumberFormat="1" applyFont="1" applyFill="1" applyBorder="1" applyAlignment="1">
      <alignment horizontal="center"/>
    </xf>
    <xf numFmtId="166" fontId="78" fillId="2" borderId="1" xfId="0" applyNumberFormat="1" applyFont="1" applyFill="1" applyBorder="1" applyAlignment="1">
      <alignment horizontal="center"/>
    </xf>
    <xf numFmtId="0" fontId="0" fillId="2" borderId="37"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1" xfId="0" applyFill="1" applyBorder="1" applyAlignment="1">
      <alignment horizontal="center" vertical="center" wrapText="1"/>
    </xf>
    <xf numFmtId="0" fontId="88" fillId="72" borderId="40" xfId="0" applyFont="1" applyFill="1" applyBorder="1" applyAlignment="1">
      <alignment horizontal="center" vertical="center" wrapText="1"/>
    </xf>
    <xf numFmtId="0" fontId="88" fillId="72" borderId="38" xfId="0" applyFont="1" applyFill="1" applyBorder="1" applyAlignment="1">
      <alignment horizontal="center" vertical="center" wrapText="1"/>
    </xf>
    <xf numFmtId="0" fontId="88" fillId="72" borderId="34" xfId="0" applyFont="1" applyFill="1" applyBorder="1" applyAlignment="1">
      <alignment horizontal="center" vertical="center" wrapText="1"/>
    </xf>
    <xf numFmtId="0" fontId="88" fillId="72" borderId="51" xfId="0" applyFont="1" applyFill="1" applyBorder="1" applyAlignment="1">
      <alignment horizontal="center" vertical="center" wrapText="1"/>
    </xf>
    <xf numFmtId="0" fontId="88" fillId="72" borderId="7" xfId="0" applyFont="1" applyFill="1" applyBorder="1" applyAlignment="1">
      <alignment horizontal="center" vertical="center" wrapText="1"/>
    </xf>
    <xf numFmtId="0" fontId="88" fillId="72" borderId="3" xfId="0" applyFont="1" applyFill="1" applyBorder="1" applyAlignment="1">
      <alignment horizontal="center" vertical="center" wrapText="1"/>
    </xf>
    <xf numFmtId="190" fontId="78" fillId="2" borderId="1" xfId="46" applyNumberFormat="1" applyFont="1" applyFill="1" applyBorder="1" applyAlignment="1">
      <alignment horizontal="center" vertical="center"/>
    </xf>
    <xf numFmtId="0" fontId="5" fillId="2" borderId="53"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6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101" fillId="2" borderId="0" xfId="0" applyFont="1" applyFill="1" applyAlignment="1">
      <alignment horizontal="center" vertical="center"/>
    </xf>
    <xf numFmtId="164" fontId="78" fillId="2" borderId="16" xfId="46" applyNumberFormat="1" applyFont="1" applyFill="1" applyBorder="1" applyAlignment="1">
      <alignment horizontal="center" vertical="center"/>
    </xf>
    <xf numFmtId="164" fontId="78" fillId="2" borderId="1" xfId="46" applyNumberFormat="1" applyFont="1" applyFill="1" applyBorder="1" applyAlignment="1">
      <alignment horizontal="center" vertical="center"/>
    </xf>
    <xf numFmtId="190" fontId="78" fillId="2" borderId="25" xfId="46" applyNumberFormat="1" applyFont="1" applyFill="1" applyBorder="1" applyAlignment="1">
      <alignment horizontal="center" vertical="center"/>
    </xf>
    <xf numFmtId="164" fontId="78" fillId="2" borderId="25" xfId="46" applyNumberFormat="1" applyFont="1" applyFill="1" applyBorder="1" applyAlignment="1">
      <alignment horizontal="center" vertical="center"/>
    </xf>
    <xf numFmtId="164" fontId="78" fillId="2" borderId="27" xfId="46" applyNumberFormat="1" applyFont="1" applyFill="1" applyBorder="1" applyAlignment="1">
      <alignment horizontal="center" vertical="center"/>
    </xf>
    <xf numFmtId="0" fontId="0" fillId="72" borderId="31" xfId="0" applyFill="1" applyBorder="1" applyAlignment="1">
      <alignment horizontal="center"/>
    </xf>
    <xf numFmtId="0" fontId="0" fillId="72" borderId="1" xfId="0" applyFill="1" applyBorder="1" applyAlignment="1">
      <alignment horizontal="center"/>
    </xf>
    <xf numFmtId="2" fontId="78" fillId="72" borderId="1" xfId="46" applyNumberFormat="1" applyFont="1" applyFill="1" applyBorder="1" applyAlignment="1">
      <alignment horizontal="center" vertical="center"/>
    </xf>
    <xf numFmtId="2" fontId="78" fillId="2" borderId="1" xfId="46" applyNumberFormat="1" applyFont="1" applyFill="1" applyBorder="1" applyAlignment="1">
      <alignment horizontal="center" vertical="center"/>
    </xf>
    <xf numFmtId="0" fontId="102" fillId="2" borderId="53" xfId="0" applyFont="1" applyFill="1" applyBorder="1" applyAlignment="1">
      <alignment horizontal="center"/>
    </xf>
    <xf numFmtId="0" fontId="102" fillId="2" borderId="28" xfId="0" applyFont="1" applyFill="1" applyBorder="1" applyAlignment="1">
      <alignment horizontal="center"/>
    </xf>
    <xf numFmtId="2" fontId="78" fillId="2" borderId="25" xfId="46" applyNumberFormat="1" applyFont="1" applyFill="1" applyBorder="1" applyAlignment="1">
      <alignment horizontal="center" vertical="center"/>
    </xf>
    <xf numFmtId="2" fontId="78" fillId="72" borderId="25" xfId="46" applyNumberFormat="1" applyFont="1" applyFill="1" applyBorder="1" applyAlignment="1">
      <alignment horizontal="center" vertical="center"/>
    </xf>
    <xf numFmtId="0" fontId="0" fillId="72" borderId="37" xfId="0" applyFill="1" applyBorder="1" applyAlignment="1">
      <alignment horizontal="center"/>
    </xf>
    <xf numFmtId="0" fontId="0" fillId="72" borderId="16" xfId="0" applyFill="1" applyBorder="1" applyAlignment="1">
      <alignment horizontal="center"/>
    </xf>
    <xf numFmtId="2" fontId="78" fillId="72" borderId="16" xfId="46" applyNumberFormat="1" applyFont="1" applyFill="1" applyBorder="1" applyAlignment="1">
      <alignment horizontal="center" vertical="center"/>
    </xf>
    <xf numFmtId="2" fontId="78" fillId="72" borderId="27" xfId="46" applyNumberFormat="1" applyFont="1" applyFill="1" applyBorder="1" applyAlignment="1">
      <alignment horizontal="center" vertical="center"/>
    </xf>
    <xf numFmtId="0" fontId="4" fillId="0" borderId="18" xfId="0" applyFont="1" applyBorder="1" applyAlignment="1">
      <alignment horizontal="center"/>
    </xf>
    <xf numFmtId="0" fontId="4" fillId="0" borderId="17" xfId="0" applyFont="1" applyBorder="1" applyAlignment="1">
      <alignment horizontal="center"/>
    </xf>
    <xf numFmtId="0" fontId="4" fillId="0" borderId="19" xfId="0" applyFont="1" applyBorder="1" applyAlignment="1">
      <alignment horizontal="center"/>
    </xf>
    <xf numFmtId="0" fontId="0" fillId="0" borderId="30" xfId="0" applyBorder="1" applyAlignment="1">
      <alignment horizontal="center"/>
    </xf>
    <xf numFmtId="0" fontId="0" fillId="0" borderId="23" xfId="0" applyBorder="1" applyAlignment="1">
      <alignment horizontal="center"/>
    </xf>
    <xf numFmtId="0" fontId="31" fillId="4" borderId="6" xfId="0" applyFont="1" applyFill="1" applyBorder="1" applyAlignment="1">
      <alignment horizontal="center"/>
    </xf>
    <xf numFmtId="0" fontId="31" fillId="4" borderId="7" xfId="0" applyFont="1" applyFill="1" applyBorder="1" applyAlignment="1">
      <alignment horizontal="center"/>
    </xf>
    <xf numFmtId="0" fontId="31" fillId="4" borderId="3" xfId="0" applyFont="1" applyFill="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3" xfId="0" applyFont="1" applyBorder="1" applyAlignment="1">
      <alignment horizontal="center"/>
    </xf>
    <xf numFmtId="0" fontId="31" fillId="4" borderId="1" xfId="0" applyFont="1" applyFill="1" applyBorder="1" applyAlignment="1">
      <alignment horizontal="center"/>
    </xf>
    <xf numFmtId="0" fontId="4" fillId="0" borderId="8" xfId="0" applyFont="1" applyBorder="1" applyAlignment="1">
      <alignment horizontal="center"/>
    </xf>
    <xf numFmtId="0" fontId="4" fillId="0" borderId="5" xfId="0" applyFont="1" applyBorder="1" applyAlignment="1">
      <alignment horizontal="center"/>
    </xf>
    <xf numFmtId="0" fontId="4" fillId="0" borderId="75" xfId="0" applyFont="1" applyBorder="1" applyAlignment="1">
      <alignment horizontal="center"/>
    </xf>
    <xf numFmtId="0" fontId="4" fillId="0" borderId="77" xfId="0" applyFont="1" applyBorder="1" applyAlignment="1">
      <alignment horizontal="center"/>
    </xf>
    <xf numFmtId="0" fontId="4" fillId="0" borderId="78" xfId="0" applyFont="1" applyBorder="1" applyAlignment="1">
      <alignment horizontal="center"/>
    </xf>
    <xf numFmtId="0" fontId="4" fillId="0" borderId="1" xfId="0" applyFont="1" applyBorder="1" applyAlignment="1">
      <alignment horizontal="center"/>
    </xf>
    <xf numFmtId="0" fontId="0" fillId="11" borderId="1" xfId="0" applyFill="1" applyBorder="1" applyAlignment="1">
      <alignment horizontal="center" vertical="center"/>
    </xf>
    <xf numFmtId="0" fontId="0" fillId="11" borderId="2" xfId="0" applyFill="1" applyBorder="1" applyAlignment="1">
      <alignment horizontal="center" vertical="center"/>
    </xf>
    <xf numFmtId="0" fontId="4" fillId="0" borderId="1" xfId="0" applyFont="1" applyBorder="1" applyAlignment="1">
      <alignment horizontal="center" wrapText="1"/>
    </xf>
    <xf numFmtId="0" fontId="4" fillId="34" borderId="1" xfId="0" applyFont="1" applyFill="1" applyBorder="1" applyAlignment="1">
      <alignment horizontal="center"/>
    </xf>
    <xf numFmtId="0" fontId="53" fillId="0" borderId="0" xfId="0" applyFont="1" applyAlignment="1">
      <alignment horizontal="center" vertical="center"/>
    </xf>
    <xf numFmtId="0" fontId="4" fillId="11" borderId="1" xfId="0" applyFont="1" applyFill="1" applyBorder="1" applyAlignment="1">
      <alignment horizontal="center" vertical="center"/>
    </xf>
    <xf numFmtId="0" fontId="4" fillId="11" borderId="2" xfId="0" applyFont="1" applyFill="1" applyBorder="1" applyAlignment="1">
      <alignment horizontal="center" vertical="center"/>
    </xf>
    <xf numFmtId="0" fontId="0" fillId="4" borderId="6" xfId="0" applyFill="1" applyBorder="1" applyAlignment="1">
      <alignment horizontal="center"/>
    </xf>
    <xf numFmtId="0" fontId="0" fillId="4" borderId="7" xfId="0" applyFill="1" applyBorder="1" applyAlignment="1">
      <alignment horizontal="center"/>
    </xf>
    <xf numFmtId="0" fontId="0" fillId="4" borderId="3" xfId="0" applyFill="1" applyBorder="1" applyAlignment="1">
      <alignment horizontal="center"/>
    </xf>
    <xf numFmtId="0" fontId="0" fillId="11" borderId="6" xfId="0" applyFill="1" applyBorder="1" applyAlignment="1">
      <alignment horizontal="center" vertical="center"/>
    </xf>
    <xf numFmtId="0" fontId="0" fillId="11" borderId="7" xfId="0" applyFill="1" applyBorder="1" applyAlignment="1">
      <alignment horizontal="center" vertical="center"/>
    </xf>
    <xf numFmtId="0" fontId="0" fillId="11" borderId="3" xfId="0" applyFill="1" applyBorder="1" applyAlignment="1">
      <alignment horizontal="center" vertical="center"/>
    </xf>
    <xf numFmtId="0" fontId="4" fillId="18" borderId="10" xfId="0" applyFont="1" applyFill="1" applyBorder="1" applyAlignment="1">
      <alignment horizontal="center"/>
    </xf>
    <xf numFmtId="0" fontId="4" fillId="18" borderId="11" xfId="0" applyFont="1" applyFill="1" applyBorder="1" applyAlignment="1">
      <alignment horizontal="center"/>
    </xf>
    <xf numFmtId="0" fontId="4" fillId="18" borderId="12" xfId="0" applyFont="1" applyFill="1" applyBorder="1" applyAlignment="1">
      <alignment horizontal="center"/>
    </xf>
    <xf numFmtId="0" fontId="4" fillId="11" borderId="10" xfId="0" applyFont="1" applyFill="1" applyBorder="1" applyAlignment="1">
      <alignment horizontal="center"/>
    </xf>
    <xf numFmtId="0" fontId="4" fillId="11" borderId="11" xfId="0" applyFont="1" applyFill="1" applyBorder="1" applyAlignment="1">
      <alignment horizontal="center"/>
    </xf>
    <xf numFmtId="0" fontId="4" fillId="11" borderId="12" xfId="0" applyFont="1" applyFill="1" applyBorder="1" applyAlignment="1">
      <alignment horizontal="center"/>
    </xf>
    <xf numFmtId="0" fontId="54" fillId="53" borderId="0" xfId="0" applyFont="1" applyFill="1"/>
    <xf numFmtId="0" fontId="91" fillId="54" borderId="10" xfId="0" applyFont="1" applyFill="1" applyBorder="1" applyAlignment="1">
      <alignment horizontal="center"/>
    </xf>
    <xf numFmtId="0" fontId="91" fillId="54" borderId="11" xfId="0" applyFont="1" applyFill="1" applyBorder="1" applyAlignment="1">
      <alignment horizontal="center"/>
    </xf>
    <xf numFmtId="0" fontId="91" fillId="54" borderId="44" xfId="0" applyFont="1" applyFill="1" applyBorder="1" applyAlignment="1">
      <alignment horizontal="center"/>
    </xf>
    <xf numFmtId="0" fontId="91" fillId="54" borderId="0" xfId="0" applyFont="1" applyFill="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91" fillId="54" borderId="10" xfId="0" applyFont="1" applyFill="1" applyBorder="1"/>
    <xf numFmtId="0" fontId="91" fillId="54" borderId="11" xfId="0" applyFont="1" applyFill="1" applyBorder="1"/>
    <xf numFmtId="0" fontId="91" fillId="54" borderId="44" xfId="0" applyFont="1" applyFill="1" applyBorder="1"/>
    <xf numFmtId="0" fontId="91" fillId="54" borderId="0" xfId="0" applyFont="1" applyFill="1"/>
    <xf numFmtId="0" fontId="0" fillId="14" borderId="1" xfId="0" applyFill="1" applyBorder="1" applyAlignment="1">
      <alignment horizontal="center"/>
    </xf>
    <xf numFmtId="0" fontId="4" fillId="3" borderId="2" xfId="0" applyFont="1" applyFill="1" applyBorder="1" applyAlignment="1">
      <alignment horizontal="center" vertical="center"/>
    </xf>
    <xf numFmtId="0" fontId="4" fillId="3" borderId="48" xfId="0" applyFont="1" applyFill="1" applyBorder="1" applyAlignment="1">
      <alignment horizontal="center" vertical="center"/>
    </xf>
    <xf numFmtId="0" fontId="4" fillId="3" borderId="4" xfId="0" applyFont="1" applyFill="1" applyBorder="1" applyAlignment="1">
      <alignment horizontal="center" vertical="center"/>
    </xf>
    <xf numFmtId="0" fontId="31" fillId="2" borderId="23"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16" xfId="0" applyFont="1" applyFill="1" applyBorder="1" applyAlignment="1">
      <alignment horizontal="center" vertical="center" wrapText="1"/>
    </xf>
    <xf numFmtId="0" fontId="4" fillId="20" borderId="4" xfId="0" applyFont="1" applyFill="1" applyBorder="1" applyAlignment="1">
      <alignment horizontal="center"/>
    </xf>
    <xf numFmtId="0" fontId="4" fillId="20" borderId="29" xfId="0" applyFont="1" applyFill="1" applyBorder="1" applyAlignment="1">
      <alignment horizontal="center"/>
    </xf>
    <xf numFmtId="0" fontId="0" fillId="0" borderId="0" xfId="0" applyAlignment="1">
      <alignment horizontal="left"/>
    </xf>
    <xf numFmtId="0" fontId="0" fillId="25" borderId="0" xfId="0" applyFill="1" applyAlignment="1">
      <alignment horizontal="center"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4" fillId="3" borderId="32" xfId="0" applyFont="1" applyFill="1" applyBorder="1" applyAlignment="1">
      <alignment horizontal="center" vertical="center"/>
    </xf>
    <xf numFmtId="0" fontId="0" fillId="14" borderId="23" xfId="0" applyFill="1" applyBorder="1" applyAlignment="1">
      <alignment horizontal="center"/>
    </xf>
    <xf numFmtId="0" fontId="0" fillId="14" borderId="24" xfId="0" applyFill="1" applyBorder="1" applyAlignment="1">
      <alignment horizontal="center"/>
    </xf>
    <xf numFmtId="0" fontId="31" fillId="2" borderId="35"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31" fillId="2" borderId="32" xfId="0" applyFont="1" applyFill="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10" xfId="0" applyFont="1" applyBorder="1" applyAlignment="1">
      <alignment horizontal="center"/>
    </xf>
  </cellXfs>
  <cellStyles count="49">
    <cellStyle name="Comma" xfId="46" builtinId="3"/>
    <cellStyle name="Comma 2" xfId="1" xr:uid="{00000000-0005-0000-0000-000000000000}"/>
    <cellStyle name="Comma 3" xfId="2" xr:uid="{00000000-0005-0000-0000-000001000000}"/>
    <cellStyle name="Comma 4" xfId="8" xr:uid="{00000000-0005-0000-0000-000002000000}"/>
    <cellStyle name="Comma 4 2" xfId="15" xr:uid="{00000000-0005-0000-0000-000003000000}"/>
    <cellStyle name="Comma 4 2 2" xfId="28" xr:uid="{00000000-0005-0000-0000-000004000000}"/>
    <cellStyle name="Comma 4 2 3" xfId="23" xr:uid="{00000000-0005-0000-0000-000005000000}"/>
    <cellStyle name="Comma 4 3" xfId="34" xr:uid="{00000000-0005-0000-0000-000006000000}"/>
    <cellStyle name="Comma 4 3 2" xfId="39" xr:uid="{00000000-0005-0000-0000-000007000000}"/>
    <cellStyle name="Comma 5" xfId="21" xr:uid="{00000000-0005-0000-0000-000008000000}"/>
    <cellStyle name="Currency" xfId="47" builtinId="4"/>
    <cellStyle name="Currency 2" xfId="12" xr:uid="{00000000-0005-0000-0000-000009000000}"/>
    <cellStyle name="Heading 2" xfId="48" builtinId="17"/>
    <cellStyle name="Hyperlink" xfId="3" builtinId="8"/>
    <cellStyle name="Hyperlink 2" xfId="4" xr:uid="{00000000-0005-0000-0000-00000B000000}"/>
    <cellStyle name="Hyperlink 3" xfId="9" xr:uid="{00000000-0005-0000-0000-00000C000000}"/>
    <cellStyle name="Hyperlink 3 2" xfId="16" xr:uid="{00000000-0005-0000-0000-00000D000000}"/>
    <cellStyle name="Hyperlink 3 2 2" xfId="29" xr:uid="{00000000-0005-0000-0000-00000E000000}"/>
    <cellStyle name="Hyperlink 3 2 3" xfId="24" xr:uid="{00000000-0005-0000-0000-00000F000000}"/>
    <cellStyle name="Hyperlink 3 3" xfId="35" xr:uid="{00000000-0005-0000-0000-000010000000}"/>
    <cellStyle name="Hyperlink 3 3 2" xfId="40" xr:uid="{00000000-0005-0000-0000-000011000000}"/>
    <cellStyle name="Hyperlink 4" xfId="14" xr:uid="{00000000-0005-0000-0000-000012000000}"/>
    <cellStyle name="Hyperlink 5" xfId="43" xr:uid="{00000000-0005-0000-0000-000013000000}"/>
    <cellStyle name="Normal" xfId="0" builtinId="0"/>
    <cellStyle name="Normal 2" xfId="7" xr:uid="{00000000-0005-0000-0000-000015000000}"/>
    <cellStyle name="Normal 2 2" xfId="17" xr:uid="{00000000-0005-0000-0000-000016000000}"/>
    <cellStyle name="Normal 2 2 2" xfId="30" xr:uid="{00000000-0005-0000-0000-000017000000}"/>
    <cellStyle name="Normal 2 2 3" xfId="25" xr:uid="{00000000-0005-0000-0000-000018000000}"/>
    <cellStyle name="Normal 2 3" xfId="33" xr:uid="{00000000-0005-0000-0000-000019000000}"/>
    <cellStyle name="Normal 2 3 2" xfId="38" xr:uid="{00000000-0005-0000-0000-00001A000000}"/>
    <cellStyle name="Normal 2 4" xfId="44" xr:uid="{00000000-0005-0000-0000-00001B000000}"/>
    <cellStyle name="Normal 3" xfId="11" xr:uid="{00000000-0005-0000-0000-00001C000000}"/>
    <cellStyle name="Normal 4" xfId="18" xr:uid="{00000000-0005-0000-0000-00001D000000}"/>
    <cellStyle name="Normal 4 2" xfId="20" xr:uid="{00000000-0005-0000-0000-00001E000000}"/>
    <cellStyle name="Normal 4 2 2" xfId="32" xr:uid="{00000000-0005-0000-0000-00001F000000}"/>
    <cellStyle name="Normal 4 2 3" xfId="27" xr:uid="{00000000-0005-0000-0000-000020000000}"/>
    <cellStyle name="Normal 4 3" xfId="37" xr:uid="{00000000-0005-0000-0000-000021000000}"/>
    <cellStyle name="Normal 4 3 2" xfId="42" xr:uid="{00000000-0005-0000-0000-000022000000}"/>
    <cellStyle name="Normal 5" xfId="45" xr:uid="{074D1553-C135-41A8-8FB9-2CC3120713BB}"/>
    <cellStyle name="Percent" xfId="22" builtinId="5"/>
    <cellStyle name="Percent 2" xfId="5" xr:uid="{00000000-0005-0000-0000-000024000000}"/>
    <cellStyle name="Percent 3" xfId="6" xr:uid="{00000000-0005-0000-0000-000025000000}"/>
    <cellStyle name="Percent 4" xfId="10" xr:uid="{00000000-0005-0000-0000-000026000000}"/>
    <cellStyle name="Percent 4 2" xfId="19" xr:uid="{00000000-0005-0000-0000-000027000000}"/>
    <cellStyle name="Percent 4 2 2" xfId="31" xr:uid="{00000000-0005-0000-0000-000028000000}"/>
    <cellStyle name="Percent 4 2 3" xfId="26" xr:uid="{00000000-0005-0000-0000-000029000000}"/>
    <cellStyle name="Percent 4 3" xfId="36" xr:uid="{00000000-0005-0000-0000-00002A000000}"/>
    <cellStyle name="Percent 4 3 2" xfId="41" xr:uid="{00000000-0005-0000-0000-00002B000000}"/>
    <cellStyle name="Percent 5" xfId="13" xr:uid="{00000000-0005-0000-0000-00002C000000}"/>
  </cellStyles>
  <dxfs count="16">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
      <fill>
        <patternFill>
          <bgColor rgb="FFF77F00"/>
        </patternFill>
      </fill>
    </dxf>
  </dxfs>
  <tableStyles count="0" defaultTableStyle="TableStyleMedium2" defaultPivotStyle="PivotStyleLight16"/>
  <colors>
    <mruColors>
      <color rgb="FF00FF00"/>
      <color rgb="FFFFF9E7"/>
      <color rgb="FFEAF3FA"/>
      <color rgb="FFEAF4E4"/>
      <color rgb="FFFFBF00"/>
      <color rgb="FFF77F00"/>
      <color rgb="FF08369B"/>
      <color rgb="FFB8FFDF"/>
      <color rgb="FFCF4EFF"/>
      <color rgb="FFDB8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haredStrings" Target="sharedStrings.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microsoft.com/office/2017/06/relationships/rdRichValueTypes" Target="richData/rdRichValueTyp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17/06/relationships/rdRichValue" Target="richData/rdrichvalue.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Priorities</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w="12700">
              <a:solidFill>
                <a:schemeClr val="tx1"/>
              </a:solidFill>
            </a:ln>
          </c:spPr>
          <c:dPt>
            <c:idx val="0"/>
            <c:bubble3D val="0"/>
            <c:spPr>
              <a:solidFill>
                <a:srgbClr val="FFBF00"/>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9A9-4A26-8A73-8B94789527FE}"/>
              </c:ext>
            </c:extLst>
          </c:dPt>
          <c:dPt>
            <c:idx val="1"/>
            <c:bubble3D val="0"/>
            <c:spPr>
              <a:solidFill>
                <a:srgbClr val="FFC518"/>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9A9-4A26-8A73-8B94789527FE}"/>
              </c:ext>
            </c:extLst>
          </c:dPt>
          <c:dPt>
            <c:idx val="2"/>
            <c:bubble3D val="0"/>
            <c:spPr>
              <a:solidFill>
                <a:srgbClr val="FFCA2E"/>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9A9-4A26-8A73-8B94789527FE}"/>
              </c:ext>
            </c:extLst>
          </c:dPt>
          <c:dPt>
            <c:idx val="3"/>
            <c:bubble3D val="0"/>
            <c:spPr>
              <a:solidFill>
                <a:srgbClr val="FFD049"/>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9A9-4A26-8A73-8B94789527FE}"/>
              </c:ext>
            </c:extLst>
          </c:dPt>
          <c:dPt>
            <c:idx val="4"/>
            <c:bubble3D val="0"/>
            <c:spPr>
              <a:solidFill>
                <a:srgbClr val="FFD96D"/>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C9A9-4A26-8A73-8B94789527FE}"/>
              </c:ext>
            </c:extLst>
          </c:dPt>
          <c:dPt>
            <c:idx val="5"/>
            <c:bubble3D val="0"/>
            <c:spPr>
              <a:solidFill>
                <a:srgbClr val="FFE18F"/>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C9A9-4A26-8A73-8B94789527FE}"/>
              </c:ext>
            </c:extLst>
          </c:dPt>
          <c:dPt>
            <c:idx val="6"/>
            <c:bubble3D val="0"/>
            <c:spPr>
              <a:solidFill>
                <a:srgbClr val="007A37"/>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C9A9-4A26-8A73-8B94789527FE}"/>
              </c:ext>
            </c:extLst>
          </c:dPt>
          <c:dPt>
            <c:idx val="7"/>
            <c:bubble3D val="0"/>
            <c:spPr>
              <a:solidFill>
                <a:srgbClr val="009644"/>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C9A9-4A26-8A73-8B94789527FE}"/>
              </c:ext>
            </c:extLst>
          </c:dPt>
          <c:dPt>
            <c:idx val="8"/>
            <c:bubble3D val="0"/>
            <c:spPr>
              <a:solidFill>
                <a:srgbClr val="00B451"/>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C9A9-4A26-8A73-8B94789527FE}"/>
              </c:ext>
            </c:extLst>
          </c:dPt>
          <c:dPt>
            <c:idx val="9"/>
            <c:bubble3D val="0"/>
            <c:spPr>
              <a:solidFill>
                <a:srgbClr val="00D661"/>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C9A9-4A26-8A73-8B94789527FE}"/>
              </c:ext>
            </c:extLst>
          </c:dPt>
          <c:dPt>
            <c:idx val="10"/>
            <c:bubble3D val="0"/>
            <c:spPr>
              <a:solidFill>
                <a:srgbClr val="00F66F"/>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C9A9-4A26-8A73-8B94789527FE}"/>
              </c:ext>
            </c:extLst>
          </c:dPt>
          <c:dPt>
            <c:idx val="11"/>
            <c:bubble3D val="0"/>
            <c:spPr>
              <a:solidFill>
                <a:srgbClr val="37FF91"/>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C9A9-4A26-8A73-8B94789527FE}"/>
              </c:ext>
            </c:extLst>
          </c:dPt>
          <c:dPt>
            <c:idx val="12"/>
            <c:bubble3D val="0"/>
            <c:spPr>
              <a:solidFill>
                <a:srgbClr val="203864"/>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C9A9-4A26-8A73-8B94789527FE}"/>
              </c:ext>
            </c:extLst>
          </c:dPt>
          <c:dPt>
            <c:idx val="13"/>
            <c:bubble3D val="0"/>
            <c:spPr>
              <a:solidFill>
                <a:srgbClr val="2F5597"/>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C9A9-4A26-8A73-8B94789527FE}"/>
              </c:ext>
            </c:extLst>
          </c:dPt>
          <c:dPt>
            <c:idx val="14"/>
            <c:bubble3D val="0"/>
            <c:spPr>
              <a:solidFill>
                <a:srgbClr val="3B6ABF"/>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0A0F-4B39-95BD-2D73A04063CC}"/>
              </c:ext>
            </c:extLst>
          </c:dPt>
          <c:dPt>
            <c:idx val="15"/>
            <c:bubble3D val="0"/>
            <c:spPr>
              <a:solidFill>
                <a:srgbClr val="557FCB"/>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D095-4BA5-8FC7-3EB677D066C2}"/>
              </c:ext>
            </c:extLst>
          </c:dPt>
          <c:dPt>
            <c:idx val="16"/>
            <c:bubble3D val="0"/>
            <c:spPr>
              <a:solidFill>
                <a:srgbClr val="8FABDD"/>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D095-4BA5-8FC7-3EB677D066C2}"/>
              </c:ext>
            </c:extLst>
          </c:dPt>
          <c:dPt>
            <c:idx val="17"/>
            <c:bubble3D val="0"/>
            <c:spPr>
              <a:solidFill>
                <a:srgbClr val="ACC1E6"/>
              </a:solidFill>
              <a:ln w="12700">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D095-4BA5-8FC7-3EB677D066C2}"/>
              </c:ext>
            </c:extLst>
          </c:dPt>
          <c:dLbls>
            <c:numFmt formatCode="0.0%" sourceLinked="0"/>
            <c:spPr>
              <a:solidFill>
                <a:schemeClr val="tx1">
                  <a:lumMod val="65000"/>
                  <a:lumOff val="3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UI.Priorities!$BE$187:$BE$204</c:f>
              <c:strCache>
                <c:ptCount val="18"/>
                <c:pt idx="0">
                  <c:v>Capital</c:v>
                </c:pt>
                <c:pt idx="1">
                  <c:v>Opex</c:v>
                </c:pt>
                <c:pt idx="2">
                  <c:v>Net</c:v>
                </c:pt>
                <c:pt idx="3">
                  <c:v>Fertilizer</c:v>
                </c:pt>
                <c:pt idx="4">
                  <c:v>Savings</c:v>
                </c:pt>
                <c:pt idx="5">
                  <c:v>Revenue</c:v>
                </c:pt>
                <c:pt idx="6">
                  <c:v>Carbon</c:v>
                </c:pt>
                <c:pt idx="7">
                  <c:v>Energy</c:v>
                </c:pt>
                <c:pt idx="8">
                  <c:v>Land</c:v>
                </c:pt>
                <c:pt idx="9">
                  <c:v>Water</c:v>
                </c:pt>
                <c:pt idx="10">
                  <c:v>Nitrogen</c:v>
                </c:pt>
                <c:pt idx="11">
                  <c:v>Phosphorus</c:v>
                </c:pt>
                <c:pt idx="12">
                  <c:v>Adoption</c:v>
                </c:pt>
                <c:pt idx="13">
                  <c:v>Reliability</c:v>
                </c:pt>
                <c:pt idx="14">
                  <c:v>Resilience</c:v>
                </c:pt>
                <c:pt idx="15">
                  <c:v>Labor</c:v>
                </c:pt>
                <c:pt idx="16">
                  <c:v>Application</c:v>
                </c:pt>
                <c:pt idx="17">
                  <c:v>Export</c:v>
                </c:pt>
              </c:strCache>
            </c:strRef>
          </c:cat>
          <c:val>
            <c:numRef>
              <c:f>UI.Priorities!$BG$187:$BG$204</c:f>
              <c:numCache>
                <c:formatCode>0.0%</c:formatCode>
                <c:ptCount val="18"/>
                <c:pt idx="0">
                  <c:v>0.20512820512820512</c:v>
                </c:pt>
                <c:pt idx="1">
                  <c:v>0.20512820512820512</c:v>
                </c:pt>
                <c:pt idx="2">
                  <c:v>0.20512820512820512</c:v>
                </c:pt>
                <c:pt idx="3">
                  <c:v>2.564102564102564E-2</c:v>
                </c:pt>
                <c:pt idx="4">
                  <c:v>2.564102564102564E-2</c:v>
                </c:pt>
                <c:pt idx="5">
                  <c:v>2.564102564102564E-2</c:v>
                </c:pt>
                <c:pt idx="6">
                  <c:v>2.564102564102564E-2</c:v>
                </c:pt>
                <c:pt idx="7">
                  <c:v>2.564102564102564E-2</c:v>
                </c:pt>
                <c:pt idx="8">
                  <c:v>2.564102564102564E-2</c:v>
                </c:pt>
                <c:pt idx="9">
                  <c:v>2.564102564102564E-2</c:v>
                </c:pt>
                <c:pt idx="10">
                  <c:v>2.564102564102564E-2</c:v>
                </c:pt>
                <c:pt idx="11">
                  <c:v>2.564102564102564E-2</c:v>
                </c:pt>
                <c:pt idx="12">
                  <c:v>2.564102564102564E-2</c:v>
                </c:pt>
                <c:pt idx="13">
                  <c:v>2.564102564102564E-2</c:v>
                </c:pt>
                <c:pt idx="14">
                  <c:v>2.564102564102564E-2</c:v>
                </c:pt>
                <c:pt idx="15">
                  <c:v>2.564102564102564E-2</c:v>
                </c:pt>
                <c:pt idx="16">
                  <c:v>2.564102564102564E-2</c:v>
                </c:pt>
                <c:pt idx="17">
                  <c:v>2.564102564102564E-2</c:v>
                </c:pt>
              </c:numCache>
            </c:numRef>
          </c:val>
          <c:extLst>
            <c:ext xmlns:c16="http://schemas.microsoft.com/office/drawing/2014/chart" uri="{C3380CC4-5D6E-409C-BE32-E72D297353CC}">
              <c16:uniqueId val="{0000001C-C9A9-4A26-8A73-8B94789527FE}"/>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Labor Hours Required for Land Application (hours/year)</a:t>
            </a:r>
          </a:p>
        </c:rich>
      </c:tx>
      <c:layout>
        <c:manualLayout>
          <c:xMode val="edge"/>
          <c:yMode val="edge"/>
          <c:x val="0.2156619907213940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Plot.Tables!$B$67</c:f>
              <c:strCache>
                <c:ptCount val="1"/>
                <c:pt idx="0">
                  <c:v>Non-Sludge Year</c:v>
                </c:pt>
              </c:strCache>
            </c:strRef>
          </c:tx>
          <c:spPr>
            <a:solidFill>
              <a:schemeClr val="accent3"/>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Plot.Tables!$D$67:$H$67</c:f>
              <c:numCache>
                <c:formatCode>General</c:formatCode>
                <c:ptCount val="5"/>
                <c:pt idx="0">
                  <c:v>22.003886560796118</c:v>
                </c:pt>
                <c:pt idx="1">
                  <c:v>22.003886560796118</c:v>
                </c:pt>
                <c:pt idx="2">
                  <c:v>19.782318372229117</c:v>
                </c:pt>
                <c:pt idx="3">
                  <c:v>16.100315177561104</c:v>
                </c:pt>
                <c:pt idx="4">
                  <c:v>9.6547189954749015</c:v>
                </c:pt>
              </c:numCache>
            </c:numRef>
          </c:val>
          <c:extLst>
            <c:ext xmlns:c16="http://schemas.microsoft.com/office/drawing/2014/chart" uri="{C3380CC4-5D6E-409C-BE32-E72D297353CC}">
              <c16:uniqueId val="{00000000-5DC5-4C92-95BF-79AB946DD887}"/>
            </c:ext>
          </c:extLst>
        </c:ser>
        <c:ser>
          <c:idx val="0"/>
          <c:order val="1"/>
          <c:tx>
            <c:strRef>
              <c:f>Plot.Tables!$B$68</c:f>
              <c:strCache>
                <c:ptCount val="1"/>
                <c:pt idx="0">
                  <c:v>Sludge Year</c:v>
                </c:pt>
              </c:strCache>
            </c:strRef>
          </c:tx>
          <c:spPr>
            <a:solidFill>
              <a:schemeClr val="accent1"/>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Plot.Tables!$D$68:$H$68</c:f>
              <c:numCache>
                <c:formatCode>General</c:formatCode>
                <c:ptCount val="5"/>
                <c:pt idx="0">
                  <c:v>22.003886560796118</c:v>
                </c:pt>
                <c:pt idx="1">
                  <c:v>22.003886560796118</c:v>
                </c:pt>
                <c:pt idx="2">
                  <c:v>19.782318372229117</c:v>
                </c:pt>
                <c:pt idx="3">
                  <c:v>16.100315177561104</c:v>
                </c:pt>
                <c:pt idx="4">
                  <c:v>9.6547189954749015</c:v>
                </c:pt>
              </c:numCache>
            </c:numRef>
          </c:val>
          <c:extLst>
            <c:ext xmlns:c16="http://schemas.microsoft.com/office/drawing/2014/chart" uri="{C3380CC4-5D6E-409C-BE32-E72D297353CC}">
              <c16:uniqueId val="{00000001-5DC5-4C92-95BF-79AB946DD887}"/>
            </c:ext>
          </c:extLst>
        </c:ser>
        <c:ser>
          <c:idx val="2"/>
          <c:order val="2"/>
          <c:tx>
            <c:strRef>
              <c:f>Plot.Tables!$B$69</c:f>
              <c:strCache>
                <c:ptCount val="1"/>
                <c:pt idx="0">
                  <c:v>Average Year</c:v>
                </c:pt>
              </c:strCache>
            </c:strRef>
          </c:tx>
          <c:spPr>
            <a:solidFill>
              <a:schemeClr val="accent5"/>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Plot.Tables!$D$69:$H$69</c:f>
              <c:numCache>
                <c:formatCode>General</c:formatCode>
                <c:ptCount val="5"/>
                <c:pt idx="0">
                  <c:v>22.003886560796118</c:v>
                </c:pt>
                <c:pt idx="1">
                  <c:v>22.003886560796118</c:v>
                </c:pt>
                <c:pt idx="2">
                  <c:v>19.782318372229117</c:v>
                </c:pt>
                <c:pt idx="3">
                  <c:v>16.100315177561104</c:v>
                </c:pt>
                <c:pt idx="4">
                  <c:v>9.6547189954749015</c:v>
                </c:pt>
              </c:numCache>
            </c:numRef>
          </c:val>
          <c:extLst>
            <c:ext xmlns:c16="http://schemas.microsoft.com/office/drawing/2014/chart" uri="{C3380CC4-5D6E-409C-BE32-E72D297353CC}">
              <c16:uniqueId val="{00000002-5DC5-4C92-95BF-79AB946DD887}"/>
            </c:ext>
          </c:extLst>
        </c:ser>
        <c:dLbls>
          <c:showLegendKey val="0"/>
          <c:showVal val="0"/>
          <c:showCatName val="0"/>
          <c:showSerName val="0"/>
          <c:showPercent val="0"/>
          <c:showBubbleSize val="0"/>
        </c:dLbls>
        <c:gapWidth val="55"/>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legend>
      <c:legendPos val="t"/>
      <c:layout>
        <c:manualLayout>
          <c:xMode val="edge"/>
          <c:yMode val="edge"/>
          <c:x val="0.19538240622307929"/>
          <c:y val="0.14207505518763797"/>
          <c:w val="0.68640499454922643"/>
          <c:h val="7.4503832716274712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Plot.Tables!$A$71</c:f>
          <c:strCache>
            <c:ptCount val="1"/>
            <c:pt idx="0">
              <c:v>Additional Land Required for Application (acre/year)</c:v>
            </c:pt>
          </c:strCache>
        </c:strRef>
      </c:tx>
      <c:layout>
        <c:manualLayout>
          <c:xMode val="edge"/>
          <c:yMode val="edge"/>
          <c:x val="0.2156619907213940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Plot.Tables!$B$67</c:f>
              <c:strCache>
                <c:ptCount val="1"/>
                <c:pt idx="0">
                  <c:v>Non-Sludge Year</c:v>
                </c:pt>
              </c:strCache>
            </c:strRef>
          </c:tx>
          <c:spPr>
            <a:solidFill>
              <a:schemeClr val="accent3"/>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Plot.Tables!$D$71:$H$71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530-4456-AA53-0726E046DFFC}"/>
            </c:ext>
          </c:extLst>
        </c:ser>
        <c:ser>
          <c:idx val="0"/>
          <c:order val="1"/>
          <c:tx>
            <c:strRef>
              <c:f>Plot.Tables!$B$68</c:f>
              <c:strCache>
                <c:ptCount val="1"/>
                <c:pt idx="0">
                  <c:v>Sludge Year</c:v>
                </c:pt>
              </c:strCache>
            </c:strRef>
          </c:tx>
          <c:spPr>
            <a:solidFill>
              <a:schemeClr val="accent1"/>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Plot.Tables!$D$72:$H$72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530-4456-AA53-0726E046DFFC}"/>
            </c:ext>
          </c:extLst>
        </c:ser>
        <c:ser>
          <c:idx val="2"/>
          <c:order val="2"/>
          <c:tx>
            <c:strRef>
              <c:f>Plot.Tables!$B$69</c:f>
              <c:strCache>
                <c:ptCount val="1"/>
                <c:pt idx="0">
                  <c:v>Average Year</c:v>
                </c:pt>
              </c:strCache>
            </c:strRef>
          </c:tx>
          <c:spPr>
            <a:solidFill>
              <a:schemeClr val="accent5"/>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Plot.Tables!$D$73:$H$73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1530-4456-AA53-0726E046DFFC}"/>
            </c:ext>
          </c:extLst>
        </c:ser>
        <c:dLbls>
          <c:showLegendKey val="0"/>
          <c:showVal val="0"/>
          <c:showCatName val="0"/>
          <c:showSerName val="0"/>
          <c:showPercent val="0"/>
          <c:showBubbleSize val="0"/>
        </c:dLbls>
        <c:gapWidth val="55"/>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legend>
      <c:legendPos val="t"/>
      <c:layout>
        <c:manualLayout>
          <c:xMode val="edge"/>
          <c:yMode val="edge"/>
          <c:x val="0.19538240622307929"/>
          <c:y val="0.14207505518763797"/>
          <c:w val="0.68640499454922643"/>
          <c:h val="7.4503832716274712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Plot.Tables!$A$75</c:f>
          <c:strCache>
            <c:ptCount val="1"/>
            <c:pt idx="0">
              <c:v>Manure Exported (ton (2000 lb)/year)</c:v>
            </c:pt>
          </c:strCache>
        </c:strRef>
      </c:tx>
      <c:layout>
        <c:manualLayout>
          <c:xMode val="edge"/>
          <c:yMode val="edge"/>
          <c:x val="0.1244613097268481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Plot.Tables!$B$67</c:f>
              <c:strCache>
                <c:ptCount val="1"/>
                <c:pt idx="0">
                  <c:v>Non-Sludge Year</c:v>
                </c:pt>
              </c:strCache>
            </c:strRef>
          </c:tx>
          <c:spPr>
            <a:solidFill>
              <a:schemeClr val="accent3"/>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Plot.Tables!$D$75:$H$75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774-4E9D-A890-FEA3B1182BE8}"/>
            </c:ext>
          </c:extLst>
        </c:ser>
        <c:ser>
          <c:idx val="0"/>
          <c:order val="1"/>
          <c:tx>
            <c:strRef>
              <c:f>Plot.Tables!$B$68</c:f>
              <c:strCache>
                <c:ptCount val="1"/>
                <c:pt idx="0">
                  <c:v>Sludge Year</c:v>
                </c:pt>
              </c:strCache>
            </c:strRef>
          </c:tx>
          <c:spPr>
            <a:solidFill>
              <a:schemeClr val="accent1"/>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Plot.Tables!$D$76:$H$76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4774-4E9D-A890-FEA3B1182BE8}"/>
            </c:ext>
          </c:extLst>
        </c:ser>
        <c:ser>
          <c:idx val="2"/>
          <c:order val="2"/>
          <c:tx>
            <c:strRef>
              <c:f>Plot.Tables!$B$69</c:f>
              <c:strCache>
                <c:ptCount val="1"/>
                <c:pt idx="0">
                  <c:v>Average Year</c:v>
                </c:pt>
              </c:strCache>
            </c:strRef>
          </c:tx>
          <c:spPr>
            <a:solidFill>
              <a:schemeClr val="accent5"/>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Plot.Tables!$D$77:$H$77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4774-4E9D-A890-FEA3B1182BE8}"/>
            </c:ext>
          </c:extLst>
        </c:ser>
        <c:dLbls>
          <c:showLegendKey val="0"/>
          <c:showVal val="0"/>
          <c:showCatName val="0"/>
          <c:showSerName val="0"/>
          <c:showPercent val="0"/>
          <c:showBubbleSize val="0"/>
        </c:dLbls>
        <c:gapWidth val="55"/>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legend>
      <c:legendPos val="t"/>
      <c:layout>
        <c:manualLayout>
          <c:xMode val="edge"/>
          <c:yMode val="edge"/>
          <c:x val="0.18836696922349885"/>
          <c:y val="6.2604856512141274E-2"/>
          <c:w val="0.68640499454922643"/>
          <c:h val="7.4503832716274712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Operational reliability (smaller downtime % is better)</a:t>
            </a:r>
          </a:p>
        </c:rich>
      </c:tx>
      <c:layout>
        <c:manualLayout>
          <c:xMode val="edge"/>
          <c:yMode val="edge"/>
          <c:x val="0.2144221577565962"/>
          <c:y val="1.5432098765432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Plot.Tables!$A$60</c:f>
              <c:strCache>
                <c:ptCount val="1"/>
                <c:pt idx="0">
                  <c:v>Operational Reliability</c:v>
                </c:pt>
              </c:strCache>
            </c:strRef>
          </c:tx>
          <c:spPr>
            <a:solidFill>
              <a:srgbClr val="808080"/>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Plot.Tables!$D$60:$H$60</c:f>
              <c:numCache>
                <c:formatCode>0.00</c:formatCode>
                <c:ptCount val="5"/>
                <c:pt idx="0">
                  <c:v>5.9854100206416794E-3</c:v>
                </c:pt>
                <c:pt idx="1">
                  <c:v>5.9854100206416794E-3</c:v>
                </c:pt>
                <c:pt idx="2">
                  <c:v>2.0509824120796716E-2</c:v>
                </c:pt>
                <c:pt idx="3">
                  <c:v>4.6181272283730701E-3</c:v>
                </c:pt>
                <c:pt idx="4">
                  <c:v>1.9162519889876273E-2</c:v>
                </c:pt>
              </c:numCache>
            </c:numRef>
          </c:val>
          <c:extLst>
            <c:ext xmlns:c16="http://schemas.microsoft.com/office/drawing/2014/chart" uri="{C3380CC4-5D6E-409C-BE32-E72D297353CC}">
              <c16:uniqueId val="{00000000-1DEB-4672-96D7-BA3C13BDFF0A}"/>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Operational resilience (larger value is better)</a:t>
            </a:r>
          </a:p>
        </c:rich>
      </c:tx>
      <c:layout>
        <c:manualLayout>
          <c:xMode val="edge"/>
          <c:yMode val="edge"/>
          <c:x val="0.15828178694158079"/>
          <c:y val="1.5432098765432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Plot.Tables!$A$61</c:f>
              <c:strCache>
                <c:ptCount val="1"/>
                <c:pt idx="0">
                  <c:v>Operational Resilience</c:v>
                </c:pt>
              </c:strCache>
            </c:strRef>
          </c:tx>
          <c:spPr>
            <a:solidFill>
              <a:srgbClr val="64D562"/>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Plot.Tables!$D$61:$H$61</c:f>
              <c:numCache>
                <c:formatCode>0.00</c:formatCode>
                <c:ptCount val="5"/>
                <c:pt idx="0">
                  <c:v>2.75</c:v>
                </c:pt>
                <c:pt idx="1">
                  <c:v>2.75</c:v>
                </c:pt>
                <c:pt idx="2">
                  <c:v>2.75</c:v>
                </c:pt>
                <c:pt idx="3">
                  <c:v>2.75</c:v>
                </c:pt>
                <c:pt idx="4">
                  <c:v>2.75</c:v>
                </c:pt>
              </c:numCache>
            </c:numRef>
          </c:val>
          <c:extLst>
            <c:ext xmlns:c16="http://schemas.microsoft.com/office/drawing/2014/chart" uri="{C3380CC4-5D6E-409C-BE32-E72D297353CC}">
              <c16:uniqueId val="{00000000-713A-4B06-A636-407DE3818675}"/>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Plot.Tables!$C$80</c:f>
          <c:strCache>
            <c:ptCount val="1"/>
            <c:pt idx="0">
              <c:v>Electricity Required for Operations (kWh/year)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Plot.Tables!$C$80</c:f>
              <c:strCache>
                <c:ptCount val="1"/>
                <c:pt idx="0">
                  <c:v>Electricity Required for Operations (kWh/year)</c:v>
                </c:pt>
              </c:strCache>
            </c:strRef>
          </c:tx>
          <c:spPr>
            <a:solidFill>
              <a:srgbClr val="FFD966"/>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Plot.Tables!$D$80:$H$80</c:f>
              <c:numCache>
                <c:formatCode>0.00</c:formatCode>
                <c:ptCount val="5"/>
                <c:pt idx="0">
                  <c:v>0</c:v>
                </c:pt>
                <c:pt idx="1">
                  <c:v>0</c:v>
                </c:pt>
                <c:pt idx="2">
                  <c:v>17419.548963200003</c:v>
                </c:pt>
                <c:pt idx="3">
                  <c:v>0</c:v>
                </c:pt>
                <c:pt idx="4">
                  <c:v>17419.548963200003</c:v>
                </c:pt>
              </c:numCache>
            </c:numRef>
          </c:val>
          <c:extLst>
            <c:ext xmlns:c16="http://schemas.microsoft.com/office/drawing/2014/chart" uri="{C3380CC4-5D6E-409C-BE32-E72D297353CC}">
              <c16:uniqueId val="{00000000-D4F0-4A52-9ED2-7A5760ABE8CE}"/>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Plot.Tables!$C$81</c:f>
          <c:strCache>
            <c:ptCount val="1"/>
            <c:pt idx="0">
              <c:v>Fresh Water Used on Farm (gal/year)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Plot.Tables!$C$81</c:f>
              <c:strCache>
                <c:ptCount val="1"/>
                <c:pt idx="0">
                  <c:v>Fresh Water Used on Farm (gal/year)</c:v>
                </c:pt>
              </c:strCache>
            </c:strRef>
          </c:tx>
          <c:spPr>
            <a:solidFill>
              <a:srgbClr val="4472C4"/>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Plot.Tables!$D$81:$H$81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11F-46F7-A3AC-A67069A64782}"/>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Plot.Tables!$C$82</c:f>
          <c:strCache>
            <c:ptCount val="1"/>
            <c:pt idx="0">
              <c:v>Diesel Used on Farm (gal/year)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Plot.Tables!$C$82</c:f>
              <c:strCache>
                <c:ptCount val="1"/>
                <c:pt idx="0">
                  <c:v>Diesel Used on Farm (gal/year)</c:v>
                </c:pt>
              </c:strCache>
            </c:strRef>
          </c:tx>
          <c:spPr>
            <a:solidFill>
              <a:schemeClr val="accent6">
                <a:lumMod val="75000"/>
              </a:schemeClr>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Plot.Tables!$D$82:$H$82</c:f>
              <c:numCache>
                <c:formatCode>0.00</c:formatCode>
                <c:ptCount val="5"/>
                <c:pt idx="0">
                  <c:v>370.31185144590069</c:v>
                </c:pt>
                <c:pt idx="1">
                  <c:v>370.31185144590069</c:v>
                </c:pt>
                <c:pt idx="2">
                  <c:v>213.91345097078369</c:v>
                </c:pt>
                <c:pt idx="3">
                  <c:v>497.5154927196885</c:v>
                </c:pt>
                <c:pt idx="4">
                  <c:v>275.66773391698035</c:v>
                </c:pt>
              </c:numCache>
            </c:numRef>
          </c:val>
          <c:extLst>
            <c:ext xmlns:c16="http://schemas.microsoft.com/office/drawing/2014/chart" uri="{C3380CC4-5D6E-409C-BE32-E72D297353CC}">
              <c16:uniqueId val="{00000000-C667-4BAE-8A39-A7AFA4141247}"/>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Plot.Tables!$C$83</c:f>
          <c:strCache>
            <c:ptCount val="1"/>
            <c:pt idx="0">
              <c:v>N in treated manure (non sludge) (ton (2000 lb)/year)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Plot.Tables!$C$83</c:f>
              <c:strCache>
                <c:ptCount val="1"/>
                <c:pt idx="0">
                  <c:v>N in treated manure (non sludge) (ton (2000 lb)/year)</c:v>
                </c:pt>
              </c:strCache>
            </c:strRef>
          </c:tx>
          <c:spPr>
            <a:solidFill>
              <a:srgbClr val="6E85FA"/>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Plot.Tables!$D$83:$H$83</c:f>
              <c:numCache>
                <c:formatCode>0.00</c:formatCode>
                <c:ptCount val="5"/>
                <c:pt idx="0">
                  <c:v>14.223165509791722</c:v>
                </c:pt>
                <c:pt idx="1">
                  <c:v>14.223165509791722</c:v>
                </c:pt>
                <c:pt idx="2">
                  <c:v>8.5290669597917201</c:v>
                </c:pt>
                <c:pt idx="3">
                  <c:v>14.223165509791722</c:v>
                </c:pt>
                <c:pt idx="4">
                  <c:v>8.5290669597917201</c:v>
                </c:pt>
              </c:numCache>
            </c:numRef>
          </c:val>
          <c:extLst>
            <c:ext xmlns:c16="http://schemas.microsoft.com/office/drawing/2014/chart" uri="{C3380CC4-5D6E-409C-BE32-E72D297353CC}">
              <c16:uniqueId val="{00000000-E609-4B6C-8B2F-4333016596BF}"/>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Plot.Tables!$C$84</c:f>
          <c:strCache>
            <c:ptCount val="1"/>
            <c:pt idx="0">
              <c:v>N in treated manure (sludge + solids) (ton (2000 lb)/year)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Plot.Tables!$C$84</c:f>
              <c:strCache>
                <c:ptCount val="1"/>
                <c:pt idx="0">
                  <c:v>N in treated manure (sludge + solids) (ton (2000 lb)/year)</c:v>
                </c:pt>
              </c:strCache>
            </c:strRef>
          </c:tx>
          <c:spPr>
            <a:solidFill>
              <a:srgbClr val="3050F8"/>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Plot.Tables!$D$84:$H$84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323-4702-B982-CC6A31E1807A}"/>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Economic Results</a:t>
            </a:r>
            <a:r>
              <a:rPr lang="en-US" baseline="0"/>
              <a:t> ($/animal/y)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594191966920233E-2"/>
          <c:y val="0.22277386513837022"/>
          <c:w val="0.92725664852342693"/>
          <c:h val="0.74185921637338959"/>
        </c:manualLayout>
      </c:layout>
      <c:barChart>
        <c:barDir val="col"/>
        <c:grouping val="clustered"/>
        <c:varyColors val="0"/>
        <c:ser>
          <c:idx val="0"/>
          <c:order val="0"/>
          <c:tx>
            <c:strRef>
              <c:f>'Results.Econ'!$J$14</c:f>
              <c:strCache>
                <c:ptCount val="1"/>
                <c:pt idx="0">
                  <c:v>1</c:v>
                </c:pt>
              </c:strCache>
            </c:strRef>
          </c:tx>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5-CFDA-4D92-9698-776A755DEBEA}"/>
              </c:ext>
            </c:extLst>
          </c:dPt>
          <c:dPt>
            <c:idx val="1"/>
            <c:invertIfNegative val="0"/>
            <c:bubble3D val="0"/>
            <c:spPr>
              <a:solidFill>
                <a:srgbClr val="EC7352"/>
              </a:solidFill>
              <a:ln>
                <a:noFill/>
              </a:ln>
              <a:effectLst/>
            </c:spPr>
            <c:extLst>
              <c:ext xmlns:c16="http://schemas.microsoft.com/office/drawing/2014/chart" uri="{C3380CC4-5D6E-409C-BE32-E72D297353CC}">
                <c16:uniqueId val="{00000006-CFDA-4D92-9698-776A755DEBEA}"/>
              </c:ext>
            </c:extLst>
          </c:dPt>
          <c:dPt>
            <c:idx val="2"/>
            <c:invertIfNegative val="0"/>
            <c:bubble3D val="0"/>
            <c:spPr>
              <a:solidFill>
                <a:srgbClr val="548235"/>
              </a:solidFill>
              <a:ln>
                <a:noFill/>
              </a:ln>
              <a:effectLst/>
            </c:spPr>
            <c:extLst>
              <c:ext xmlns:c16="http://schemas.microsoft.com/office/drawing/2014/chart" uri="{C3380CC4-5D6E-409C-BE32-E72D297353CC}">
                <c16:uniqueId val="{00000007-CFDA-4D92-9698-776A755DEBEA}"/>
              </c:ext>
            </c:extLst>
          </c:dPt>
          <c:dPt>
            <c:idx val="3"/>
            <c:invertIfNegative val="0"/>
            <c:bubble3D val="0"/>
            <c:spPr>
              <a:solidFill>
                <a:srgbClr val="A9D18E"/>
              </a:solidFill>
              <a:ln>
                <a:noFill/>
              </a:ln>
              <a:effectLst/>
            </c:spPr>
            <c:extLst>
              <c:ext xmlns:c16="http://schemas.microsoft.com/office/drawing/2014/chart" uri="{C3380CC4-5D6E-409C-BE32-E72D297353CC}">
                <c16:uniqueId val="{00000008-CFDA-4D92-9698-776A755DEBEA}"/>
              </c:ext>
            </c:extLst>
          </c:dPt>
          <c:dPt>
            <c:idx val="4"/>
            <c:invertIfNegative val="0"/>
            <c:bubble3D val="0"/>
            <c:spPr>
              <a:solidFill>
                <a:srgbClr val="C5E0B4"/>
              </a:solidFill>
              <a:ln>
                <a:noFill/>
              </a:ln>
              <a:effectLst/>
            </c:spPr>
            <c:extLst>
              <c:ext xmlns:c16="http://schemas.microsoft.com/office/drawing/2014/chart" uri="{C3380CC4-5D6E-409C-BE32-E72D297353CC}">
                <c16:uniqueId val="{00000009-CFDA-4D92-9698-776A755DEBEA}"/>
              </c:ext>
            </c:extLst>
          </c:dPt>
          <c:dPt>
            <c:idx val="5"/>
            <c:invertIfNegative val="0"/>
            <c:bubble3D val="0"/>
            <c:spPr>
              <a:solidFill>
                <a:srgbClr val="BF9000"/>
              </a:solidFill>
              <a:ln>
                <a:noFill/>
              </a:ln>
              <a:effectLst/>
            </c:spPr>
            <c:extLst>
              <c:ext xmlns:c16="http://schemas.microsoft.com/office/drawing/2014/chart" uri="{C3380CC4-5D6E-409C-BE32-E72D297353CC}">
                <c16:uniqueId val="{0000000A-CFDA-4D92-9698-776A755DEBEA}"/>
              </c:ext>
            </c:extLst>
          </c:dPt>
          <c:dLbls>
            <c:dLbl>
              <c:idx val="0"/>
              <c:tx>
                <c:rich>
                  <a:bodyPr/>
                  <a:lstStyle/>
                  <a:p>
                    <a:fld id="{893F3104-D6E8-4762-B3CA-1EB15B8BEB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FDA-4D92-9698-776A755DEBEA}"/>
                </c:ext>
              </c:extLst>
            </c:dLbl>
            <c:dLbl>
              <c:idx val="1"/>
              <c:tx>
                <c:rich>
                  <a:bodyPr/>
                  <a:lstStyle/>
                  <a:p>
                    <a:fld id="{BF3253A9-7B05-4465-BF97-031005413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DA-4D92-9698-776A755DEBEA}"/>
                </c:ext>
              </c:extLst>
            </c:dLbl>
            <c:dLbl>
              <c:idx val="2"/>
              <c:tx>
                <c:rich>
                  <a:bodyPr/>
                  <a:lstStyle/>
                  <a:p>
                    <a:fld id="{07149267-7E7D-46B2-94D4-8118873B0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DA-4D92-9698-776A755DEBEA}"/>
                </c:ext>
              </c:extLst>
            </c:dLbl>
            <c:dLbl>
              <c:idx val="3"/>
              <c:tx>
                <c:rich>
                  <a:bodyPr/>
                  <a:lstStyle/>
                  <a:p>
                    <a:fld id="{7175A06D-359F-4ACE-BBD3-2EB91076FD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DA-4D92-9698-776A755DEBEA}"/>
                </c:ext>
              </c:extLst>
            </c:dLbl>
            <c:dLbl>
              <c:idx val="4"/>
              <c:tx>
                <c:rich>
                  <a:bodyPr/>
                  <a:lstStyle/>
                  <a:p>
                    <a:fld id="{84136B43-1444-4078-AA7D-9F42C2760A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DA-4D92-9698-776A755DEBEA}"/>
                </c:ext>
              </c:extLst>
            </c:dLbl>
            <c:dLbl>
              <c:idx val="5"/>
              <c:tx>
                <c:rich>
                  <a:bodyPr/>
                  <a:lstStyle/>
                  <a:p>
                    <a:fld id="{F37BE0ED-D932-4E6D-B6C2-0A6B0ACC92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DA-4D92-9698-776A755DE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CAPEX</c:v>
              </c:pt>
              <c:pt idx="1">
                <c:v>OPEX</c:v>
              </c:pt>
              <c:pt idx="2">
                <c:v>Fertilizer Value</c:v>
              </c:pt>
              <c:pt idx="3">
                <c:v>Cost savings</c:v>
              </c:pt>
              <c:pt idx="4">
                <c:v>Revenues</c:v>
              </c:pt>
              <c:pt idx="5">
                <c:v>(Net costs) or net benefits</c:v>
              </c:pt>
            </c:strLit>
          </c:cat>
          <c:val>
            <c:numRef>
              <c:f>('Results.Econ'!$J$19:$J$20,'Results.Econ'!$J$21:$J$24)</c:f>
              <c:numCache>
                <c:formatCode>"$"#,##0_);[Red]\("$"#,##0\)</c:formatCode>
                <c:ptCount val="6"/>
                <c:pt idx="0">
                  <c:v>80.019532027672795</c:v>
                </c:pt>
                <c:pt idx="1">
                  <c:v>29.124523338619547</c:v>
                </c:pt>
                <c:pt idx="2" formatCode="&quot;$&quot;#,##0">
                  <c:v>26.428080656756883</c:v>
                </c:pt>
                <c:pt idx="3" formatCode="&quot;$&quot;#,##0">
                  <c:v>0</c:v>
                </c:pt>
                <c:pt idx="4" formatCode="&quot;$&quot;#,##0">
                  <c:v>0</c:v>
                </c:pt>
                <c:pt idx="5">
                  <c:v>-82.715974709535459</c:v>
                </c:pt>
              </c:numCache>
            </c:numRef>
          </c:val>
          <c:extLst>
            <c:ext xmlns:c15="http://schemas.microsoft.com/office/drawing/2012/chart" uri="{02D57815-91ED-43cb-92C2-25804820EDAC}">
              <c15:datalabelsRange>
                <c15:f>(Plot.Tables!$A$28,Plot.Tables!$A$28,Plot.Tables!$A$28,Plot.Tables!$A$28,Plot.Tables!$A$28,Plot.Tables!$A$28)</c15:f>
                <c15:dlblRangeCache>
                  <c:ptCount val="6"/>
                  <c:pt idx="0">
                    <c:v>B</c:v>
                  </c:pt>
                  <c:pt idx="1">
                    <c:v>B</c:v>
                  </c:pt>
                  <c:pt idx="2">
                    <c:v>B</c:v>
                  </c:pt>
                  <c:pt idx="3">
                    <c:v>B</c:v>
                  </c:pt>
                  <c:pt idx="4">
                    <c:v>B</c:v>
                  </c:pt>
                  <c:pt idx="5">
                    <c:v>B</c:v>
                  </c:pt>
                </c15:dlblRangeCache>
              </c15:datalabelsRange>
            </c:ext>
            <c:ext xmlns:c16="http://schemas.microsoft.com/office/drawing/2014/chart" uri="{C3380CC4-5D6E-409C-BE32-E72D297353CC}">
              <c16:uniqueId val="{00000000-CFDA-4D92-9698-776A755DEBEA}"/>
            </c:ext>
          </c:extLst>
        </c:ser>
        <c:ser>
          <c:idx val="1"/>
          <c:order val="1"/>
          <c:tx>
            <c:strRef>
              <c:f>'Results.Econ'!$K$14:$K$15</c:f>
              <c:strCache>
                <c:ptCount val="2"/>
                <c:pt idx="0">
                  <c:v>1</c:v>
                </c:pt>
                <c:pt idx="1">
                  <c:v>Deep pit, tanker</c:v>
                </c:pt>
              </c:strCache>
            </c:strRef>
          </c:tx>
          <c:spPr>
            <a:solidFill>
              <a:schemeClr val="accent2"/>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B-CFDA-4D92-9698-776A755DEBEA}"/>
              </c:ext>
            </c:extLst>
          </c:dPt>
          <c:dPt>
            <c:idx val="1"/>
            <c:invertIfNegative val="0"/>
            <c:bubble3D val="0"/>
            <c:spPr>
              <a:solidFill>
                <a:srgbClr val="EC7352"/>
              </a:solidFill>
              <a:ln>
                <a:noFill/>
              </a:ln>
              <a:effectLst/>
            </c:spPr>
            <c:extLst>
              <c:ext xmlns:c16="http://schemas.microsoft.com/office/drawing/2014/chart" uri="{C3380CC4-5D6E-409C-BE32-E72D297353CC}">
                <c16:uniqueId val="{0000000C-CFDA-4D92-9698-776A755DEBEA}"/>
              </c:ext>
            </c:extLst>
          </c:dPt>
          <c:dPt>
            <c:idx val="2"/>
            <c:invertIfNegative val="0"/>
            <c:bubble3D val="0"/>
            <c:spPr>
              <a:solidFill>
                <a:srgbClr val="548235"/>
              </a:solidFill>
              <a:ln>
                <a:noFill/>
              </a:ln>
              <a:effectLst/>
            </c:spPr>
            <c:extLst>
              <c:ext xmlns:c16="http://schemas.microsoft.com/office/drawing/2014/chart" uri="{C3380CC4-5D6E-409C-BE32-E72D297353CC}">
                <c16:uniqueId val="{0000000D-CFDA-4D92-9698-776A755DEBEA}"/>
              </c:ext>
            </c:extLst>
          </c:dPt>
          <c:dPt>
            <c:idx val="3"/>
            <c:invertIfNegative val="0"/>
            <c:bubble3D val="0"/>
            <c:spPr>
              <a:solidFill>
                <a:srgbClr val="A9D18E"/>
              </a:solidFill>
              <a:ln>
                <a:noFill/>
              </a:ln>
              <a:effectLst/>
            </c:spPr>
            <c:extLst>
              <c:ext xmlns:c16="http://schemas.microsoft.com/office/drawing/2014/chart" uri="{C3380CC4-5D6E-409C-BE32-E72D297353CC}">
                <c16:uniqueId val="{0000000E-CFDA-4D92-9698-776A755DEBEA}"/>
              </c:ext>
            </c:extLst>
          </c:dPt>
          <c:dPt>
            <c:idx val="4"/>
            <c:invertIfNegative val="0"/>
            <c:bubble3D val="0"/>
            <c:spPr>
              <a:solidFill>
                <a:srgbClr val="C5E0B4"/>
              </a:solidFill>
              <a:ln>
                <a:noFill/>
              </a:ln>
              <a:effectLst/>
            </c:spPr>
            <c:extLst>
              <c:ext xmlns:c16="http://schemas.microsoft.com/office/drawing/2014/chart" uri="{C3380CC4-5D6E-409C-BE32-E72D297353CC}">
                <c16:uniqueId val="{0000000F-CFDA-4D92-9698-776A755DEBEA}"/>
              </c:ext>
            </c:extLst>
          </c:dPt>
          <c:dPt>
            <c:idx val="5"/>
            <c:invertIfNegative val="0"/>
            <c:bubble3D val="0"/>
            <c:spPr>
              <a:solidFill>
                <a:srgbClr val="BF9000"/>
              </a:solidFill>
              <a:ln>
                <a:noFill/>
              </a:ln>
              <a:effectLst/>
            </c:spPr>
            <c:extLst>
              <c:ext xmlns:c16="http://schemas.microsoft.com/office/drawing/2014/chart" uri="{C3380CC4-5D6E-409C-BE32-E72D297353CC}">
                <c16:uniqueId val="{00000010-CFDA-4D92-9698-776A755DEBEA}"/>
              </c:ext>
            </c:extLst>
          </c:dPt>
          <c:dLbls>
            <c:dLbl>
              <c:idx val="0"/>
              <c:tx>
                <c:rich>
                  <a:bodyPr/>
                  <a:lstStyle/>
                  <a:p>
                    <a:fld id="{ECB14284-2874-47E6-92A9-5CDC7438A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FDA-4D92-9698-776A755DEBEA}"/>
                </c:ext>
              </c:extLst>
            </c:dLbl>
            <c:dLbl>
              <c:idx val="1"/>
              <c:tx>
                <c:rich>
                  <a:bodyPr/>
                  <a:lstStyle/>
                  <a:p>
                    <a:fld id="{884DFC3D-C2BB-4494-B9EC-E06A328C83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DA-4D92-9698-776A755DEBEA}"/>
                </c:ext>
              </c:extLst>
            </c:dLbl>
            <c:dLbl>
              <c:idx val="2"/>
              <c:tx>
                <c:rich>
                  <a:bodyPr/>
                  <a:lstStyle/>
                  <a:p>
                    <a:fld id="{AC6A6E2B-E77E-4EC1-A40B-4C08F085C2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DA-4D92-9698-776A755DEBEA}"/>
                </c:ext>
              </c:extLst>
            </c:dLbl>
            <c:dLbl>
              <c:idx val="3"/>
              <c:tx>
                <c:rich>
                  <a:bodyPr/>
                  <a:lstStyle/>
                  <a:p>
                    <a:fld id="{3EDA6EE8-7C05-411B-B30D-8094996DA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DA-4D92-9698-776A755DEBEA}"/>
                </c:ext>
              </c:extLst>
            </c:dLbl>
            <c:dLbl>
              <c:idx val="4"/>
              <c:tx>
                <c:rich>
                  <a:bodyPr/>
                  <a:lstStyle/>
                  <a:p>
                    <a:fld id="{983EF565-5804-4667-AABE-502D68FF1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DA-4D92-9698-776A755DEBEA}"/>
                </c:ext>
              </c:extLst>
            </c:dLbl>
            <c:dLbl>
              <c:idx val="5"/>
              <c:tx>
                <c:rich>
                  <a:bodyPr/>
                  <a:lstStyle/>
                  <a:p>
                    <a:fld id="{A8D95173-1C3C-470B-BB57-370648A122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DA-4D92-9698-776A755DE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CAPEX</c:v>
              </c:pt>
              <c:pt idx="1">
                <c:v>OPEX</c:v>
              </c:pt>
              <c:pt idx="2">
                <c:v>Fertilizer Value</c:v>
              </c:pt>
              <c:pt idx="3">
                <c:v>Cost savings</c:v>
              </c:pt>
              <c:pt idx="4">
                <c:v>Revenues</c:v>
              </c:pt>
              <c:pt idx="5">
                <c:v>(Net costs) or net benefits</c:v>
              </c:pt>
            </c:strLit>
          </c:cat>
          <c:val>
            <c:numRef>
              <c:f>('Results.Econ'!$L$19:$L$20,'Results.Econ'!$L$21:$L$24)</c:f>
              <c:numCache>
                <c:formatCode>"$"#,##0_);[Red]\("$"#,##0\)</c:formatCode>
                <c:ptCount val="6"/>
                <c:pt idx="0">
                  <c:v>80.019532027672795</c:v>
                </c:pt>
                <c:pt idx="1">
                  <c:v>29.124523338619547</c:v>
                </c:pt>
                <c:pt idx="2" formatCode="&quot;$&quot;#,##0">
                  <c:v>26.428080656756883</c:v>
                </c:pt>
                <c:pt idx="3" formatCode="&quot;$&quot;#,##0">
                  <c:v>0</c:v>
                </c:pt>
                <c:pt idx="4" formatCode="&quot;$&quot;#,##0">
                  <c:v>0</c:v>
                </c:pt>
                <c:pt idx="5">
                  <c:v>-82.715974709535459</c:v>
                </c:pt>
              </c:numCache>
            </c:numRef>
          </c:val>
          <c:extLst>
            <c:ext xmlns:c15="http://schemas.microsoft.com/office/drawing/2012/chart" uri="{02D57815-91ED-43cb-92C2-25804820EDAC}">
              <c15:datalabelsRange>
                <c15:f>(Plot.Tables!$A$29,Plot.Tables!$A$29,Plot.Tables!$A$29,Plot.Tables!$A$29,Plot.Tables!$A$29,Plot.Tables!$A$29,Plot.Tables!$A$29)</c15:f>
                <c15:dlblRangeCache>
                  <c:ptCount val="7"/>
                  <c:pt idx="0">
                    <c:v>A1</c:v>
                  </c:pt>
                  <c:pt idx="1">
                    <c:v>A1</c:v>
                  </c:pt>
                  <c:pt idx="2">
                    <c:v>A1</c:v>
                  </c:pt>
                  <c:pt idx="3">
                    <c:v>A1</c:v>
                  </c:pt>
                  <c:pt idx="4">
                    <c:v>A1</c:v>
                  </c:pt>
                  <c:pt idx="5">
                    <c:v>A1</c:v>
                  </c:pt>
                  <c:pt idx="6">
                    <c:v>A1</c:v>
                  </c:pt>
                </c15:dlblRangeCache>
              </c15:datalabelsRange>
            </c:ext>
            <c:ext xmlns:c16="http://schemas.microsoft.com/office/drawing/2014/chart" uri="{C3380CC4-5D6E-409C-BE32-E72D297353CC}">
              <c16:uniqueId val="{00000001-CFDA-4D92-9698-776A755DEBEA}"/>
            </c:ext>
          </c:extLst>
        </c:ser>
        <c:ser>
          <c:idx val="2"/>
          <c:order val="2"/>
          <c:tx>
            <c:strRef>
              <c:f>'Results.Econ'!$L$14:$L$15</c:f>
              <c:strCache>
                <c:ptCount val="2"/>
                <c:pt idx="0">
                  <c:v>1</c:v>
                </c:pt>
                <c:pt idx="1">
                  <c:v>Deep pit, tanker</c:v>
                </c:pt>
              </c:strCache>
            </c:strRef>
          </c:tx>
          <c:spPr>
            <a:solidFill>
              <a:schemeClr val="accent3"/>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11-CFDA-4D92-9698-776A755DEBEA}"/>
              </c:ext>
            </c:extLst>
          </c:dPt>
          <c:dPt>
            <c:idx val="1"/>
            <c:invertIfNegative val="0"/>
            <c:bubble3D val="0"/>
            <c:spPr>
              <a:solidFill>
                <a:srgbClr val="EC7352"/>
              </a:solidFill>
              <a:ln>
                <a:noFill/>
              </a:ln>
              <a:effectLst/>
            </c:spPr>
            <c:extLst>
              <c:ext xmlns:c16="http://schemas.microsoft.com/office/drawing/2014/chart" uri="{C3380CC4-5D6E-409C-BE32-E72D297353CC}">
                <c16:uniqueId val="{00000012-CFDA-4D92-9698-776A755DEBEA}"/>
              </c:ext>
            </c:extLst>
          </c:dPt>
          <c:dPt>
            <c:idx val="2"/>
            <c:invertIfNegative val="0"/>
            <c:bubble3D val="0"/>
            <c:spPr>
              <a:solidFill>
                <a:srgbClr val="548235"/>
              </a:solidFill>
              <a:ln>
                <a:noFill/>
              </a:ln>
              <a:effectLst/>
            </c:spPr>
            <c:extLst>
              <c:ext xmlns:c16="http://schemas.microsoft.com/office/drawing/2014/chart" uri="{C3380CC4-5D6E-409C-BE32-E72D297353CC}">
                <c16:uniqueId val="{00000013-CFDA-4D92-9698-776A755DEBEA}"/>
              </c:ext>
            </c:extLst>
          </c:dPt>
          <c:dPt>
            <c:idx val="3"/>
            <c:invertIfNegative val="0"/>
            <c:bubble3D val="0"/>
            <c:spPr>
              <a:solidFill>
                <a:srgbClr val="A9D18E"/>
              </a:solidFill>
              <a:ln>
                <a:noFill/>
              </a:ln>
              <a:effectLst/>
            </c:spPr>
            <c:extLst>
              <c:ext xmlns:c16="http://schemas.microsoft.com/office/drawing/2014/chart" uri="{C3380CC4-5D6E-409C-BE32-E72D297353CC}">
                <c16:uniqueId val="{00000014-CFDA-4D92-9698-776A755DEBEA}"/>
              </c:ext>
            </c:extLst>
          </c:dPt>
          <c:dPt>
            <c:idx val="4"/>
            <c:invertIfNegative val="0"/>
            <c:bubble3D val="0"/>
            <c:spPr>
              <a:solidFill>
                <a:srgbClr val="C5E0B4"/>
              </a:solidFill>
              <a:ln>
                <a:noFill/>
              </a:ln>
              <a:effectLst/>
            </c:spPr>
            <c:extLst>
              <c:ext xmlns:c16="http://schemas.microsoft.com/office/drawing/2014/chart" uri="{C3380CC4-5D6E-409C-BE32-E72D297353CC}">
                <c16:uniqueId val="{00000015-CFDA-4D92-9698-776A755DEBEA}"/>
              </c:ext>
            </c:extLst>
          </c:dPt>
          <c:dPt>
            <c:idx val="5"/>
            <c:invertIfNegative val="0"/>
            <c:bubble3D val="0"/>
            <c:spPr>
              <a:solidFill>
                <a:srgbClr val="BF9000"/>
              </a:solidFill>
              <a:ln>
                <a:noFill/>
              </a:ln>
              <a:effectLst/>
            </c:spPr>
            <c:extLst>
              <c:ext xmlns:c16="http://schemas.microsoft.com/office/drawing/2014/chart" uri="{C3380CC4-5D6E-409C-BE32-E72D297353CC}">
                <c16:uniqueId val="{00000016-CFDA-4D92-9698-776A755DEBEA}"/>
              </c:ext>
            </c:extLst>
          </c:dPt>
          <c:dLbls>
            <c:dLbl>
              <c:idx val="0"/>
              <c:tx>
                <c:rich>
                  <a:bodyPr/>
                  <a:lstStyle/>
                  <a:p>
                    <a:fld id="{AA292F12-9015-4A38-915D-A438070FD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FDA-4D92-9698-776A755DEBEA}"/>
                </c:ext>
              </c:extLst>
            </c:dLbl>
            <c:dLbl>
              <c:idx val="1"/>
              <c:tx>
                <c:rich>
                  <a:bodyPr/>
                  <a:lstStyle/>
                  <a:p>
                    <a:fld id="{465477CE-A484-43B7-9C60-ED4E752818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DA-4D92-9698-776A755DEBEA}"/>
                </c:ext>
              </c:extLst>
            </c:dLbl>
            <c:dLbl>
              <c:idx val="2"/>
              <c:tx>
                <c:rich>
                  <a:bodyPr/>
                  <a:lstStyle/>
                  <a:p>
                    <a:fld id="{0097F372-3C66-481E-A1FF-EEF25393A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DA-4D92-9698-776A755DEBEA}"/>
                </c:ext>
              </c:extLst>
            </c:dLbl>
            <c:dLbl>
              <c:idx val="3"/>
              <c:tx>
                <c:rich>
                  <a:bodyPr/>
                  <a:lstStyle/>
                  <a:p>
                    <a:fld id="{47C42F3E-3D8C-470B-ADF8-5E936AC138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DA-4D92-9698-776A755DEBEA}"/>
                </c:ext>
              </c:extLst>
            </c:dLbl>
            <c:dLbl>
              <c:idx val="4"/>
              <c:tx>
                <c:rich>
                  <a:bodyPr/>
                  <a:lstStyle/>
                  <a:p>
                    <a:fld id="{23666F26-FECE-4FBF-93AE-F2809D56F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DA-4D92-9698-776A755DEBEA}"/>
                </c:ext>
              </c:extLst>
            </c:dLbl>
            <c:dLbl>
              <c:idx val="5"/>
              <c:tx>
                <c:rich>
                  <a:bodyPr/>
                  <a:lstStyle/>
                  <a:p>
                    <a:fld id="{829CA69B-A1DD-4E7F-8A64-DC71982657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DA-4D92-9698-776A755DE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CAPEX</c:v>
              </c:pt>
              <c:pt idx="1">
                <c:v>OPEX</c:v>
              </c:pt>
              <c:pt idx="2">
                <c:v>Fertilizer Value</c:v>
              </c:pt>
              <c:pt idx="3">
                <c:v>Cost savings</c:v>
              </c:pt>
              <c:pt idx="4">
                <c:v>Revenues</c:v>
              </c:pt>
              <c:pt idx="5">
                <c:v>(Net costs) or net benefits</c:v>
              </c:pt>
            </c:strLit>
          </c:cat>
          <c:val>
            <c:numRef>
              <c:f>('Results.Econ'!$N$19:$N$20,'Results.Econ'!$N$21:$N$24)</c:f>
              <c:numCache>
                <c:formatCode>"$"#,##0_);[Red]\("$"#,##0\)</c:formatCode>
                <c:ptCount val="6"/>
                <c:pt idx="0">
                  <c:v>75.941569540956351</c:v>
                </c:pt>
                <c:pt idx="1">
                  <c:v>27.847553470780319</c:v>
                </c:pt>
                <c:pt idx="2" formatCode="&quot;$&quot;#,##0">
                  <c:v>15.847869406081076</c:v>
                </c:pt>
                <c:pt idx="3" formatCode="&quot;$&quot;#,##0">
                  <c:v>0</c:v>
                </c:pt>
                <c:pt idx="4" formatCode="&quot;$&quot;#,##0">
                  <c:v>0</c:v>
                </c:pt>
                <c:pt idx="5">
                  <c:v>-87.941253605655589</c:v>
                </c:pt>
              </c:numCache>
            </c:numRef>
          </c:val>
          <c:extLst>
            <c:ext xmlns:c15="http://schemas.microsoft.com/office/drawing/2012/chart" uri="{02D57815-91ED-43cb-92C2-25804820EDAC}">
              <c15:datalabelsRange>
                <c15:f>(Plot.Tables!$A$30,Plot.Tables!$A$30,Plot.Tables!$A$30,Plot.Tables!$A$30,Plot.Tables!$A$30,Plot.Tables!$A$30)</c15:f>
                <c15:dlblRangeCache>
                  <c:ptCount val="6"/>
                  <c:pt idx="0">
                    <c:v>A2</c:v>
                  </c:pt>
                  <c:pt idx="1">
                    <c:v>A2</c:v>
                  </c:pt>
                  <c:pt idx="2">
                    <c:v>A2</c:v>
                  </c:pt>
                  <c:pt idx="3">
                    <c:v>A2</c:v>
                  </c:pt>
                  <c:pt idx="4">
                    <c:v>A2</c:v>
                  </c:pt>
                  <c:pt idx="5">
                    <c:v>A2</c:v>
                  </c:pt>
                </c15:dlblRangeCache>
              </c15:datalabelsRange>
            </c:ext>
            <c:ext xmlns:c16="http://schemas.microsoft.com/office/drawing/2014/chart" uri="{C3380CC4-5D6E-409C-BE32-E72D297353CC}">
              <c16:uniqueId val="{00000002-CFDA-4D92-9698-776A755DEBEA}"/>
            </c:ext>
          </c:extLst>
        </c:ser>
        <c:ser>
          <c:idx val="3"/>
          <c:order val="3"/>
          <c:tx>
            <c:strRef>
              <c:f>'Results.Econ'!$M$14:$M$15</c:f>
              <c:strCache>
                <c:ptCount val="2"/>
                <c:pt idx="0">
                  <c:v>1</c:v>
                </c:pt>
                <c:pt idx="1">
                  <c:v>Deep pit, tanker</c:v>
                </c:pt>
              </c:strCache>
            </c:strRef>
          </c:tx>
          <c:spPr>
            <a:solidFill>
              <a:schemeClr val="accent4"/>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17-CFDA-4D92-9698-776A755DEBEA}"/>
              </c:ext>
            </c:extLst>
          </c:dPt>
          <c:dPt>
            <c:idx val="1"/>
            <c:invertIfNegative val="0"/>
            <c:bubble3D val="0"/>
            <c:spPr>
              <a:solidFill>
                <a:srgbClr val="EC7352"/>
              </a:solidFill>
              <a:ln>
                <a:noFill/>
              </a:ln>
              <a:effectLst/>
            </c:spPr>
            <c:extLst>
              <c:ext xmlns:c16="http://schemas.microsoft.com/office/drawing/2014/chart" uri="{C3380CC4-5D6E-409C-BE32-E72D297353CC}">
                <c16:uniqueId val="{00000018-CFDA-4D92-9698-776A755DEBEA}"/>
              </c:ext>
            </c:extLst>
          </c:dPt>
          <c:dPt>
            <c:idx val="2"/>
            <c:invertIfNegative val="0"/>
            <c:bubble3D val="0"/>
            <c:spPr>
              <a:solidFill>
                <a:srgbClr val="548235"/>
              </a:solidFill>
              <a:ln>
                <a:noFill/>
              </a:ln>
              <a:effectLst/>
            </c:spPr>
            <c:extLst>
              <c:ext xmlns:c16="http://schemas.microsoft.com/office/drawing/2014/chart" uri="{C3380CC4-5D6E-409C-BE32-E72D297353CC}">
                <c16:uniqueId val="{00000019-CFDA-4D92-9698-776A755DEBEA}"/>
              </c:ext>
            </c:extLst>
          </c:dPt>
          <c:dPt>
            <c:idx val="3"/>
            <c:invertIfNegative val="0"/>
            <c:bubble3D val="0"/>
            <c:spPr>
              <a:solidFill>
                <a:srgbClr val="A9D18E"/>
              </a:solidFill>
              <a:ln>
                <a:noFill/>
              </a:ln>
              <a:effectLst/>
            </c:spPr>
            <c:extLst>
              <c:ext xmlns:c16="http://schemas.microsoft.com/office/drawing/2014/chart" uri="{C3380CC4-5D6E-409C-BE32-E72D297353CC}">
                <c16:uniqueId val="{0000001A-CFDA-4D92-9698-776A755DEBEA}"/>
              </c:ext>
            </c:extLst>
          </c:dPt>
          <c:dPt>
            <c:idx val="4"/>
            <c:invertIfNegative val="0"/>
            <c:bubble3D val="0"/>
            <c:spPr>
              <a:solidFill>
                <a:srgbClr val="C5E0B4"/>
              </a:solidFill>
              <a:ln>
                <a:noFill/>
              </a:ln>
              <a:effectLst/>
            </c:spPr>
            <c:extLst>
              <c:ext xmlns:c16="http://schemas.microsoft.com/office/drawing/2014/chart" uri="{C3380CC4-5D6E-409C-BE32-E72D297353CC}">
                <c16:uniqueId val="{0000001B-CFDA-4D92-9698-776A755DEBEA}"/>
              </c:ext>
            </c:extLst>
          </c:dPt>
          <c:dPt>
            <c:idx val="5"/>
            <c:invertIfNegative val="0"/>
            <c:bubble3D val="0"/>
            <c:spPr>
              <a:solidFill>
                <a:srgbClr val="BF9000"/>
              </a:solidFill>
              <a:ln>
                <a:noFill/>
              </a:ln>
              <a:effectLst/>
            </c:spPr>
            <c:extLst>
              <c:ext xmlns:c16="http://schemas.microsoft.com/office/drawing/2014/chart" uri="{C3380CC4-5D6E-409C-BE32-E72D297353CC}">
                <c16:uniqueId val="{0000001C-CFDA-4D92-9698-776A755DEBEA}"/>
              </c:ext>
            </c:extLst>
          </c:dPt>
          <c:dLbls>
            <c:dLbl>
              <c:idx val="0"/>
              <c:tx>
                <c:rich>
                  <a:bodyPr/>
                  <a:lstStyle/>
                  <a:p>
                    <a:fld id="{223EB030-EABD-4716-8138-C06BAC0F0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FDA-4D92-9698-776A755DEBEA}"/>
                </c:ext>
              </c:extLst>
            </c:dLbl>
            <c:dLbl>
              <c:idx val="1"/>
              <c:tx>
                <c:rich>
                  <a:bodyPr/>
                  <a:lstStyle/>
                  <a:p>
                    <a:fld id="{45855D44-60B9-4D10-A930-A9CE3F8F88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DA-4D92-9698-776A755DEBEA}"/>
                </c:ext>
              </c:extLst>
            </c:dLbl>
            <c:dLbl>
              <c:idx val="2"/>
              <c:tx>
                <c:rich>
                  <a:bodyPr/>
                  <a:lstStyle/>
                  <a:p>
                    <a:fld id="{A58C94E1-84D8-41A6-90F5-3BB3C2A081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DA-4D92-9698-776A755DEBEA}"/>
                </c:ext>
              </c:extLst>
            </c:dLbl>
            <c:dLbl>
              <c:idx val="3"/>
              <c:tx>
                <c:rich>
                  <a:bodyPr/>
                  <a:lstStyle/>
                  <a:p>
                    <a:fld id="{E5023FF8-DE81-4AC5-A268-6FFC2EAF32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DA-4D92-9698-776A755DEBEA}"/>
                </c:ext>
              </c:extLst>
            </c:dLbl>
            <c:dLbl>
              <c:idx val="4"/>
              <c:tx>
                <c:rich>
                  <a:bodyPr/>
                  <a:lstStyle/>
                  <a:p>
                    <a:fld id="{79368B98-7BE7-434C-B14C-813EDB4CDF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DA-4D92-9698-776A755DEBEA}"/>
                </c:ext>
              </c:extLst>
            </c:dLbl>
            <c:dLbl>
              <c:idx val="5"/>
              <c:tx>
                <c:rich>
                  <a:bodyPr/>
                  <a:lstStyle/>
                  <a:p>
                    <a:fld id="{320F3310-C8AF-4500-A3D6-A6DE27142E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DA-4D92-9698-776A755DE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CAPEX</c:v>
              </c:pt>
              <c:pt idx="1">
                <c:v>OPEX</c:v>
              </c:pt>
              <c:pt idx="2">
                <c:v>Fertilizer Value</c:v>
              </c:pt>
              <c:pt idx="3">
                <c:v>Cost savings</c:v>
              </c:pt>
              <c:pt idx="4">
                <c:v>Revenues</c:v>
              </c:pt>
              <c:pt idx="5">
                <c:v>(Net costs) or net benefits</c:v>
              </c:pt>
            </c:strLit>
          </c:cat>
          <c:val>
            <c:numRef>
              <c:f>('Results.Econ'!$P$19:$P$20,'Results.Econ'!$P$21:$P$24)</c:f>
              <c:numCache>
                <c:formatCode>"$"#,##0_);[Red]\("$"#,##0\)</c:formatCode>
                <c:ptCount val="6"/>
                <c:pt idx="0">
                  <c:v>187.39420738076305</c:v>
                </c:pt>
                <c:pt idx="1">
                  <c:v>65.065295958790145</c:v>
                </c:pt>
                <c:pt idx="2" formatCode="&quot;$&quot;#,##0">
                  <c:v>26.428080656756883</c:v>
                </c:pt>
                <c:pt idx="3" formatCode="&quot;$&quot;#,##0">
                  <c:v>0</c:v>
                </c:pt>
                <c:pt idx="4" formatCode="&quot;$&quot;#,##0">
                  <c:v>0</c:v>
                </c:pt>
                <c:pt idx="5">
                  <c:v>-226.03142268279629</c:v>
                </c:pt>
              </c:numCache>
            </c:numRef>
          </c:val>
          <c:extLst>
            <c:ext xmlns:c15="http://schemas.microsoft.com/office/drawing/2012/chart" uri="{02D57815-91ED-43cb-92C2-25804820EDAC}">
              <c15:datalabelsRange>
                <c15:f>(Plot.Tables!$A$31,Plot.Tables!$A$31,Plot.Tables!$A$31,Plot.Tables!$A$31,Plot.Tables!$A$31,Plot.Tables!$A$31)</c15:f>
                <c15:dlblRangeCache>
                  <c:ptCount val="6"/>
                  <c:pt idx="0">
                    <c:v>A3</c:v>
                  </c:pt>
                  <c:pt idx="1">
                    <c:v>A3</c:v>
                  </c:pt>
                  <c:pt idx="2">
                    <c:v>A3</c:v>
                  </c:pt>
                  <c:pt idx="3">
                    <c:v>A3</c:v>
                  </c:pt>
                  <c:pt idx="4">
                    <c:v>A3</c:v>
                  </c:pt>
                  <c:pt idx="5">
                    <c:v>A3</c:v>
                  </c:pt>
                </c15:dlblRangeCache>
              </c15:datalabelsRange>
            </c:ext>
            <c:ext xmlns:c16="http://schemas.microsoft.com/office/drawing/2014/chart" uri="{C3380CC4-5D6E-409C-BE32-E72D297353CC}">
              <c16:uniqueId val="{00000003-CFDA-4D92-9698-776A755DEBEA}"/>
            </c:ext>
          </c:extLst>
        </c:ser>
        <c:ser>
          <c:idx val="4"/>
          <c:order val="4"/>
          <c:tx>
            <c:strRef>
              <c:f>'Results.Econ'!#REF!</c:f>
              <c:strCache>
                <c:ptCount val="1"/>
                <c:pt idx="0">
                  <c:v>#REF!</c:v>
                </c:pt>
              </c:strCache>
            </c:strRef>
          </c:tx>
          <c:spPr>
            <a:solidFill>
              <a:schemeClr val="accent5"/>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1D-CFDA-4D92-9698-776A755DEBEA}"/>
              </c:ext>
            </c:extLst>
          </c:dPt>
          <c:dPt>
            <c:idx val="1"/>
            <c:invertIfNegative val="0"/>
            <c:bubble3D val="0"/>
            <c:spPr>
              <a:solidFill>
                <a:srgbClr val="EC7352"/>
              </a:solidFill>
              <a:ln>
                <a:noFill/>
              </a:ln>
              <a:effectLst/>
            </c:spPr>
            <c:extLst>
              <c:ext xmlns:c16="http://schemas.microsoft.com/office/drawing/2014/chart" uri="{C3380CC4-5D6E-409C-BE32-E72D297353CC}">
                <c16:uniqueId val="{0000001E-CFDA-4D92-9698-776A755DEBEA}"/>
              </c:ext>
            </c:extLst>
          </c:dPt>
          <c:dPt>
            <c:idx val="2"/>
            <c:invertIfNegative val="0"/>
            <c:bubble3D val="0"/>
            <c:spPr>
              <a:solidFill>
                <a:srgbClr val="548235"/>
              </a:solidFill>
              <a:ln>
                <a:noFill/>
              </a:ln>
              <a:effectLst/>
            </c:spPr>
            <c:extLst>
              <c:ext xmlns:c16="http://schemas.microsoft.com/office/drawing/2014/chart" uri="{C3380CC4-5D6E-409C-BE32-E72D297353CC}">
                <c16:uniqueId val="{0000001F-CFDA-4D92-9698-776A755DEBEA}"/>
              </c:ext>
            </c:extLst>
          </c:dPt>
          <c:dPt>
            <c:idx val="3"/>
            <c:invertIfNegative val="0"/>
            <c:bubble3D val="0"/>
            <c:spPr>
              <a:solidFill>
                <a:srgbClr val="A9D18E"/>
              </a:solidFill>
              <a:ln>
                <a:noFill/>
              </a:ln>
              <a:effectLst/>
            </c:spPr>
            <c:extLst>
              <c:ext xmlns:c16="http://schemas.microsoft.com/office/drawing/2014/chart" uri="{C3380CC4-5D6E-409C-BE32-E72D297353CC}">
                <c16:uniqueId val="{00000020-CFDA-4D92-9698-776A755DEBEA}"/>
              </c:ext>
            </c:extLst>
          </c:dPt>
          <c:dPt>
            <c:idx val="4"/>
            <c:invertIfNegative val="0"/>
            <c:bubble3D val="0"/>
            <c:spPr>
              <a:solidFill>
                <a:srgbClr val="C5E0B4"/>
              </a:solidFill>
              <a:ln>
                <a:noFill/>
              </a:ln>
              <a:effectLst/>
            </c:spPr>
            <c:extLst>
              <c:ext xmlns:c16="http://schemas.microsoft.com/office/drawing/2014/chart" uri="{C3380CC4-5D6E-409C-BE32-E72D297353CC}">
                <c16:uniqueId val="{00000021-CFDA-4D92-9698-776A755DEBEA}"/>
              </c:ext>
            </c:extLst>
          </c:dPt>
          <c:dPt>
            <c:idx val="5"/>
            <c:invertIfNegative val="0"/>
            <c:bubble3D val="0"/>
            <c:spPr>
              <a:solidFill>
                <a:srgbClr val="BF9000"/>
              </a:solidFill>
              <a:ln>
                <a:noFill/>
              </a:ln>
              <a:effectLst/>
            </c:spPr>
            <c:extLst>
              <c:ext xmlns:c16="http://schemas.microsoft.com/office/drawing/2014/chart" uri="{C3380CC4-5D6E-409C-BE32-E72D297353CC}">
                <c16:uniqueId val="{00000022-CFDA-4D92-9698-776A755DEBEA}"/>
              </c:ext>
            </c:extLst>
          </c:dPt>
          <c:dLbls>
            <c:dLbl>
              <c:idx val="0"/>
              <c:tx>
                <c:rich>
                  <a:bodyPr/>
                  <a:lstStyle/>
                  <a:p>
                    <a:fld id="{63BCEB0D-3B53-4F49-90E7-CE2D83051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FDA-4D92-9698-776A755DEBEA}"/>
                </c:ext>
              </c:extLst>
            </c:dLbl>
            <c:dLbl>
              <c:idx val="1"/>
              <c:tx>
                <c:rich>
                  <a:bodyPr/>
                  <a:lstStyle/>
                  <a:p>
                    <a:fld id="{FBE2E122-11E5-4224-9C37-C0EC40F5CD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DA-4D92-9698-776A755DEBEA}"/>
                </c:ext>
              </c:extLst>
            </c:dLbl>
            <c:dLbl>
              <c:idx val="2"/>
              <c:tx>
                <c:rich>
                  <a:bodyPr/>
                  <a:lstStyle/>
                  <a:p>
                    <a:fld id="{63D84E42-B401-4034-A761-1DEDA4DFFA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DA-4D92-9698-776A755DEBEA}"/>
                </c:ext>
              </c:extLst>
            </c:dLbl>
            <c:dLbl>
              <c:idx val="3"/>
              <c:tx>
                <c:rich>
                  <a:bodyPr/>
                  <a:lstStyle/>
                  <a:p>
                    <a:fld id="{77D5B901-2237-426A-A495-371B1DF00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DA-4D92-9698-776A755DEBEA}"/>
                </c:ext>
              </c:extLst>
            </c:dLbl>
            <c:dLbl>
              <c:idx val="4"/>
              <c:tx>
                <c:rich>
                  <a:bodyPr/>
                  <a:lstStyle/>
                  <a:p>
                    <a:fld id="{88F53C94-03A7-4093-8ABE-ED68244967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DA-4D92-9698-776A755DEBEA}"/>
                </c:ext>
              </c:extLst>
            </c:dLbl>
            <c:dLbl>
              <c:idx val="5"/>
              <c:tx>
                <c:rich>
                  <a:bodyPr/>
                  <a:lstStyle/>
                  <a:p>
                    <a:fld id="{B7085E50-2665-4127-8EC6-66D6294B6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DA-4D92-9698-776A755DE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6"/>
              <c:pt idx="0">
                <c:v>CAPEX</c:v>
              </c:pt>
              <c:pt idx="1">
                <c:v>OPEX</c:v>
              </c:pt>
              <c:pt idx="2">
                <c:v>Fertilizer Value</c:v>
              </c:pt>
              <c:pt idx="3">
                <c:v>Cost savings</c:v>
              </c:pt>
              <c:pt idx="4">
                <c:v>Revenues</c:v>
              </c:pt>
              <c:pt idx="5">
                <c:v>(Net costs) or net benefits</c:v>
              </c:pt>
            </c:strLit>
          </c:cat>
          <c:val>
            <c:numRef>
              <c:f>('Results.Econ'!$R$19:$R$20,'Results.Econ'!$R$21:$R$24)</c:f>
              <c:numCache>
                <c:formatCode>"$"#,##0_);[Red]\("$"#,##0\)</c:formatCode>
                <c:ptCount val="6"/>
                <c:pt idx="0">
                  <c:v>161.4622436895265</c:v>
                </c:pt>
                <c:pt idx="1">
                  <c:v>57.258864061153815</c:v>
                </c:pt>
                <c:pt idx="2" formatCode="&quot;$&quot;#,##0">
                  <c:v>15.847869406081076</c:v>
                </c:pt>
                <c:pt idx="3" formatCode="&quot;$&quot;#,##0">
                  <c:v>0</c:v>
                </c:pt>
                <c:pt idx="4" formatCode="&quot;$&quot;#,##0">
                  <c:v>0</c:v>
                </c:pt>
                <c:pt idx="5">
                  <c:v>-202.87323834459923</c:v>
                </c:pt>
              </c:numCache>
            </c:numRef>
          </c:val>
          <c:extLst>
            <c:ext xmlns:c15="http://schemas.microsoft.com/office/drawing/2012/chart" uri="{02D57815-91ED-43cb-92C2-25804820EDAC}">
              <c15:datalabelsRange>
                <c15:f>(Plot.Tables!$A$32,Plot.Tables!$A$32,Plot.Tables!$A$32,Plot.Tables!$A$32,Plot.Tables!$A$32,Plot.Tables!$A$32)</c15:f>
                <c15:dlblRangeCache>
                  <c:ptCount val="6"/>
                  <c:pt idx="0">
                    <c:v>A4</c:v>
                  </c:pt>
                  <c:pt idx="1">
                    <c:v>A4</c:v>
                  </c:pt>
                  <c:pt idx="2">
                    <c:v>A4</c:v>
                  </c:pt>
                  <c:pt idx="3">
                    <c:v>A4</c:v>
                  </c:pt>
                  <c:pt idx="4">
                    <c:v>A4</c:v>
                  </c:pt>
                  <c:pt idx="5">
                    <c:v>A4</c:v>
                  </c:pt>
                </c15:dlblRangeCache>
              </c15:datalabelsRange>
            </c:ext>
            <c:ext xmlns:c16="http://schemas.microsoft.com/office/drawing/2014/chart" uri="{C3380CC4-5D6E-409C-BE32-E72D297353CC}">
              <c16:uniqueId val="{00000004-CFDA-4D92-9698-776A755DEBEA}"/>
            </c:ext>
          </c:extLst>
        </c:ser>
        <c:dLbls>
          <c:showLegendKey val="0"/>
          <c:showVal val="0"/>
          <c:showCatName val="0"/>
          <c:showSerName val="0"/>
          <c:showPercent val="0"/>
          <c:showBubbleSize val="0"/>
        </c:dLbls>
        <c:gapWidth val="219"/>
        <c:overlap val="-27"/>
        <c:axId val="645974312"/>
        <c:axId val="645974640"/>
      </c:barChart>
      <c:catAx>
        <c:axId val="645974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974640"/>
        <c:crosses val="autoZero"/>
        <c:auto val="1"/>
        <c:lblAlgn val="ctr"/>
        <c:lblOffset val="100"/>
        <c:noMultiLvlLbl val="0"/>
      </c:catAx>
      <c:valAx>
        <c:axId val="6459746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9743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Plot.Tables!$C$85</c:f>
          <c:strCache>
            <c:ptCount val="1"/>
            <c:pt idx="0">
              <c:v>P2O5 in treated manure (non sludge) (ton (2000 lb)/year)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Plot.Tables!$C$85</c:f>
              <c:strCache>
                <c:ptCount val="1"/>
                <c:pt idx="0">
                  <c:v>P2O5 in treated manure (non sludge) (ton (2000 lb)/year)</c:v>
                </c:pt>
              </c:strCache>
            </c:strRef>
          </c:tx>
          <c:spPr>
            <a:solidFill>
              <a:srgbClr val="FF9B37"/>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Plot.Tables!$D$85:$H$85</c:f>
              <c:numCache>
                <c:formatCode>0.00</c:formatCode>
                <c:ptCount val="5"/>
                <c:pt idx="0">
                  <c:v>6.6431094999999996</c:v>
                </c:pt>
                <c:pt idx="1">
                  <c:v>6.6431094999999996</c:v>
                </c:pt>
                <c:pt idx="2">
                  <c:v>6.6431094999999996</c:v>
                </c:pt>
                <c:pt idx="3">
                  <c:v>6.6431094999999996</c:v>
                </c:pt>
                <c:pt idx="4">
                  <c:v>6.6431094999999996</c:v>
                </c:pt>
              </c:numCache>
            </c:numRef>
          </c:val>
          <c:extLst>
            <c:ext xmlns:c16="http://schemas.microsoft.com/office/drawing/2014/chart" uri="{C3380CC4-5D6E-409C-BE32-E72D297353CC}">
              <c16:uniqueId val="{00000000-0C9D-4753-9E6B-79C44426535A}"/>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Plot.Tables!$C$86</c:f>
          <c:strCache>
            <c:ptCount val="1"/>
            <c:pt idx="0">
              <c:v>P2O5 in treated manure (sludge + solids) (ton (2000 lb)/year)</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Plot.Tables!$C$86</c:f>
              <c:strCache>
                <c:ptCount val="1"/>
                <c:pt idx="0">
                  <c:v>P2O5 in treated manure (sludge + solids) (ton (2000 lb)/year)</c:v>
                </c:pt>
              </c:strCache>
            </c:strRef>
          </c:tx>
          <c:spPr>
            <a:solidFill>
              <a:srgbClr val="FF8000"/>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Plot.Tables!$D$86:$H$86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A76-4D5E-A332-AED6439C4BEA}"/>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Plot.Tables!$C$87</c:f>
          <c:strCache>
            <c:ptCount val="1"/>
            <c:pt idx="0">
              <c:v>Land for treatment facilities (acre)</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Plot.Tables!$C$87</c:f>
              <c:strCache>
                <c:ptCount val="1"/>
                <c:pt idx="0">
                  <c:v>Land for treatment facilities (acre)</c:v>
                </c:pt>
              </c:strCache>
            </c:strRef>
          </c:tx>
          <c:spPr>
            <a:solidFill>
              <a:srgbClr val="A9D18E"/>
            </a:solidFill>
            <a:ln w="19050">
              <a:solidFill>
                <a:sysClr val="windowText" lastClr="000000"/>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Plot.Tables!$D$87:$H$87</c:f>
              <c:numCache>
                <c:formatCode>0.00</c:formatCode>
                <c:ptCount val="5"/>
                <c:pt idx="0">
                  <c:v>7.13103647531107E-2</c:v>
                </c:pt>
                <c:pt idx="1">
                  <c:v>7.13103647531107E-2</c:v>
                </c:pt>
                <c:pt idx="2">
                  <c:v>7.13103647531107E-2</c:v>
                </c:pt>
                <c:pt idx="3">
                  <c:v>7.13103647531107E-2</c:v>
                </c:pt>
                <c:pt idx="4">
                  <c:v>7.13103647531107E-2</c:v>
                </c:pt>
              </c:numCache>
            </c:numRef>
          </c:val>
          <c:extLst>
            <c:ext xmlns:c16="http://schemas.microsoft.com/office/drawing/2014/chart" uri="{C3380CC4-5D6E-409C-BE32-E72D297353CC}">
              <c16:uniqueId val="{00000000-A7FE-4538-AA5D-5ABE34242EC4}"/>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Plot.Tables!$C$92</c:f>
          <c:strCache>
            <c:ptCount val="1"/>
            <c:pt idx="0">
              <c:v>Nitrogen in slurry liquids (lb/1000 gal)</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Plot.Tables!$C$92</c:f>
              <c:strCache>
                <c:ptCount val="1"/>
                <c:pt idx="0">
                  <c:v>Nitrogen in slurry liquids (lb/1000 gal)</c:v>
                </c:pt>
              </c:strCache>
            </c:strRef>
          </c:tx>
          <c:spPr>
            <a:solidFill>
              <a:srgbClr val="3050F8"/>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Plot.Tables!$D$92:$H$92</c:f>
              <c:numCache>
                <c:formatCode>0.00</c:formatCode>
                <c:ptCount val="5"/>
                <c:pt idx="0">
                  <c:v>56.190399750413853</c:v>
                </c:pt>
                <c:pt idx="1">
                  <c:v>56.190399750413853</c:v>
                </c:pt>
                <c:pt idx="2">
                  <c:v>33.695149060791721</c:v>
                </c:pt>
                <c:pt idx="3">
                  <c:v>56.190399750413853</c:v>
                </c:pt>
                <c:pt idx="4">
                  <c:v>33.695149060791721</c:v>
                </c:pt>
              </c:numCache>
            </c:numRef>
          </c:val>
          <c:extLst>
            <c:ext xmlns:c16="http://schemas.microsoft.com/office/drawing/2014/chart" uri="{C3380CC4-5D6E-409C-BE32-E72D297353CC}">
              <c16:uniqueId val="{00000000-285B-4AB5-BAC8-F6FD6ECF2CE8}"/>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Plot.Tables!$C$93</c:f>
          <c:strCache>
            <c:ptCount val="1"/>
            <c:pt idx="0">
              <c:v>P2O5 in slurry liquids (lb/1000 gal)</c:v>
            </c:pt>
          </c:strCache>
        </c:strRef>
      </c:tx>
      <c:layout>
        <c:manualLayout>
          <c:xMode val="edge"/>
          <c:yMode val="edge"/>
          <c:x val="0.1341928443155132"/>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Plot.Tables!$C$93</c:f>
              <c:strCache>
                <c:ptCount val="1"/>
                <c:pt idx="0">
                  <c:v>P2O5 in slurry liquids (lb/1000 gal)</c:v>
                </c:pt>
              </c:strCache>
            </c:strRef>
          </c:tx>
          <c:spPr>
            <a:solidFill>
              <a:srgbClr val="FF8000"/>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Plot.Tables!$D$93:$H$93</c:f>
              <c:numCache>
                <c:formatCode>0.00</c:formatCode>
                <c:ptCount val="5"/>
                <c:pt idx="0">
                  <c:v>26.244437508218098</c:v>
                </c:pt>
                <c:pt idx="1">
                  <c:v>26.244437508218098</c:v>
                </c:pt>
                <c:pt idx="2">
                  <c:v>26.244437508218098</c:v>
                </c:pt>
                <c:pt idx="3">
                  <c:v>26.244437508218098</c:v>
                </c:pt>
                <c:pt idx="4">
                  <c:v>26.244437508218098</c:v>
                </c:pt>
              </c:numCache>
            </c:numRef>
          </c:val>
          <c:extLst>
            <c:ext xmlns:c16="http://schemas.microsoft.com/office/drawing/2014/chart" uri="{C3380CC4-5D6E-409C-BE32-E72D297353CC}">
              <c16:uniqueId val="{00000000-81BE-4728-A90B-34E5A1507138}"/>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Plot.Tables!$C$94</c:f>
          <c:strCache>
            <c:ptCount val="1"/>
            <c:pt idx="0">
              <c:v>K2O in slurry liquids (lb/1000 gal)</c:v>
            </c:pt>
          </c:strCache>
        </c:strRef>
      </c:tx>
      <c:layout>
        <c:manualLayout>
          <c:xMode val="edge"/>
          <c:yMode val="edge"/>
          <c:x val="0.16226301975410967"/>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Plot.Tables!$C$94</c:f>
              <c:strCache>
                <c:ptCount val="1"/>
                <c:pt idx="0">
                  <c:v>K2O in slurry liquids (lb/1000 gal)</c:v>
                </c:pt>
              </c:strCache>
            </c:strRef>
          </c:tx>
          <c:spPr>
            <a:solidFill>
              <a:srgbClr val="8F40D4"/>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Plot.Tables!$D$94:$H$94</c:f>
              <c:numCache>
                <c:formatCode>0.00</c:formatCode>
                <c:ptCount val="5"/>
                <c:pt idx="0">
                  <c:v>33.743013022370931</c:v>
                </c:pt>
                <c:pt idx="1">
                  <c:v>33.743013022370931</c:v>
                </c:pt>
                <c:pt idx="2">
                  <c:v>33.743013022370931</c:v>
                </c:pt>
                <c:pt idx="3">
                  <c:v>33.743013022370931</c:v>
                </c:pt>
                <c:pt idx="4">
                  <c:v>33.743013022370931</c:v>
                </c:pt>
              </c:numCache>
            </c:numRef>
          </c:val>
          <c:extLst>
            <c:ext xmlns:c16="http://schemas.microsoft.com/office/drawing/2014/chart" uri="{C3380CC4-5D6E-409C-BE32-E72D297353CC}">
              <c16:uniqueId val="{00000000-B5B9-4776-BFEE-B3D422875001}"/>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Plot.Tables!$C$95</c:f>
          <c:strCache>
            <c:ptCount val="1"/>
            <c:pt idx="0">
              <c:v>Nitrogen in sludge (lb/1000 gal)</c:v>
            </c:pt>
          </c:strCache>
        </c:strRef>
      </c:tx>
      <c:layout>
        <c:manualLayout>
          <c:xMode val="edge"/>
          <c:yMode val="edge"/>
          <c:x val="0.16577179168393424"/>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Plot.Tables!$C$95</c:f>
              <c:strCache>
                <c:ptCount val="1"/>
                <c:pt idx="0">
                  <c:v>Nitrogen in sludge (lb/1000 gal)</c:v>
                </c:pt>
              </c:strCache>
            </c:strRef>
          </c:tx>
          <c:spPr>
            <a:solidFill>
              <a:srgbClr val="3050F8"/>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Plot.Tables!$D$95:$H$95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6B93-470F-AE55-90FF7446E685}"/>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Plot.Tables!$C$96</c:f>
          <c:strCache>
            <c:ptCount val="1"/>
            <c:pt idx="0">
              <c:v>P2O5 in sludge (lb/1000 gal)</c:v>
            </c:pt>
          </c:strCache>
        </c:strRef>
      </c:tx>
      <c:layout>
        <c:manualLayout>
          <c:xMode val="edge"/>
          <c:yMode val="edge"/>
          <c:x val="0.21138582677165355"/>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Plot.Tables!$C$96</c:f>
              <c:strCache>
                <c:ptCount val="1"/>
                <c:pt idx="0">
                  <c:v>P2O5 in sludge (lb/1000 gal)</c:v>
                </c:pt>
              </c:strCache>
            </c:strRef>
          </c:tx>
          <c:spPr>
            <a:solidFill>
              <a:srgbClr val="FF8000"/>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Plot.Tables!$D$96:$H$96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6897-435C-8A3B-25A087D39709}"/>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Plot.Tables!$C$97</c:f>
          <c:strCache>
            <c:ptCount val="1"/>
            <c:pt idx="0">
              <c:v>K2O in sludge (lb/1000 gal)</c:v>
            </c:pt>
          </c:strCache>
        </c:strRef>
      </c:tx>
      <c:layout>
        <c:manualLayout>
          <c:xMode val="edge"/>
          <c:yMode val="edge"/>
          <c:x val="0.24296477414007456"/>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Plot.Tables!$C$97</c:f>
              <c:strCache>
                <c:ptCount val="1"/>
                <c:pt idx="0">
                  <c:v>K2O in sludge (lb/1000 gal)</c:v>
                </c:pt>
              </c:strCache>
            </c:strRef>
          </c:tx>
          <c:spPr>
            <a:solidFill>
              <a:srgbClr val="8F40D4"/>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Plot.Tables!$D$97:$H$97</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7429-45F0-857A-BC78BB2BAAFE}"/>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Plot.Tables!$C$98</c:f>
          <c:strCache>
            <c:ptCount val="1"/>
            <c:pt idx="0">
              <c:v>Nitrogen in separated solids (lb/ton (2000 lb))</c:v>
            </c:pt>
          </c:strCache>
        </c:strRef>
      </c:tx>
      <c:layout>
        <c:manualLayout>
          <c:xMode val="edge"/>
          <c:yMode val="edge"/>
          <c:x val="0.16577179168393424"/>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Plot.Tables!$C$98</c:f>
              <c:strCache>
                <c:ptCount val="1"/>
                <c:pt idx="0">
                  <c:v>Nitrogen in separated solids (lb/ton (2000 lb))</c:v>
                </c:pt>
              </c:strCache>
            </c:strRef>
          </c:tx>
          <c:spPr>
            <a:solidFill>
              <a:srgbClr val="3050F8"/>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Plot.Tables!$D$98:$H$98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C3C9-40FB-B851-6F997C96A692}"/>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Plot.Tables!$C$36</c:f>
          <c:strCache>
            <c:ptCount val="1"/>
            <c:pt idx="0">
              <c:v>Carbon footprint (ton (2000 lb) CO2E/head/year)</c:v>
            </c:pt>
          </c:strCache>
        </c:strRef>
      </c:tx>
      <c:layout>
        <c:manualLayout>
          <c:xMode val="edge"/>
          <c:yMode val="edge"/>
          <c:x val="0.15383533637242713"/>
          <c:y val="6.613756613756613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Plot.Tables!$D$36:$H$36</c:f>
              <c:numCache>
                <c:formatCode>General</c:formatCode>
                <c:ptCount val="5"/>
                <c:pt idx="0">
                  <c:v>0.57113546821359251</c:v>
                </c:pt>
                <c:pt idx="1">
                  <c:v>0.57113546821359251</c:v>
                </c:pt>
                <c:pt idx="2">
                  <c:v>0.34101792796293395</c:v>
                </c:pt>
                <c:pt idx="3">
                  <c:v>0.57399030694705988</c:v>
                </c:pt>
                <c:pt idx="4">
                  <c:v>0.34240388293361629</c:v>
                </c:pt>
              </c:numCache>
            </c:numRef>
          </c:val>
          <c:extLst>
            <c:ext xmlns:c16="http://schemas.microsoft.com/office/drawing/2014/chart" uri="{C3380CC4-5D6E-409C-BE32-E72D297353CC}">
              <c16:uniqueId val="{00000000-8AE4-4B40-B0F7-2961635EE084}"/>
            </c:ext>
          </c:extLst>
        </c:ser>
        <c:ser>
          <c:idx val="2"/>
          <c:order val="1"/>
          <c:tx>
            <c:strRef>
              <c:f>Plot.Tables!$B$42</c:f>
              <c:strCache>
                <c:ptCount val="1"/>
                <c:pt idx="0">
                  <c:v>Net Impact</c:v>
                </c:pt>
              </c:strCache>
            </c:strRef>
          </c:tx>
          <c:spPr>
            <a:solidFill>
              <a:srgbClr val="5B9BD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Plot.Tables!$D$43:$H$43</c:f>
              <c:numCache>
                <c:formatCode>General</c:formatCode>
                <c:ptCount val="5"/>
                <c:pt idx="0">
                  <c:v>0.55673769776474924</c:v>
                </c:pt>
                <c:pt idx="1">
                  <c:v>0.55673769776474924</c:v>
                </c:pt>
                <c:pt idx="2">
                  <c:v>0.34591961235783547</c:v>
                </c:pt>
                <c:pt idx="3">
                  <c:v>0.56142162438341248</c:v>
                </c:pt>
                <c:pt idx="4">
                  <c:v>0.34819354513846679</c:v>
                </c:pt>
              </c:numCache>
            </c:numRef>
          </c:val>
          <c:extLst>
            <c:ext xmlns:c16="http://schemas.microsoft.com/office/drawing/2014/chart" uri="{C3380CC4-5D6E-409C-BE32-E72D297353CC}">
              <c16:uniqueId val="{00000001-8AE4-4B40-B0F7-2961635EE084}"/>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legend>
      <c:legendPos val="t"/>
      <c:layout>
        <c:manualLayout>
          <c:xMode val="edge"/>
          <c:yMode val="edge"/>
          <c:x val="7.1881751623152371E-2"/>
          <c:y val="0.16569109416878447"/>
          <c:w val="0.9"/>
          <c:h val="6.97643263342082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Plot.Tables!$C$99</c:f>
          <c:strCache>
            <c:ptCount val="1"/>
            <c:pt idx="0">
              <c:v>P2O5 in separated solids (lb/ton (2000 lb))</c:v>
            </c:pt>
          </c:strCache>
        </c:strRef>
      </c:tx>
      <c:layout>
        <c:manualLayout>
          <c:xMode val="edge"/>
          <c:yMode val="edge"/>
          <c:x val="0.11314021273656583"/>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Plot.Tables!$C$99</c:f>
              <c:strCache>
                <c:ptCount val="1"/>
                <c:pt idx="0">
                  <c:v>P2O5 in separated solids (lb/ton (2000 lb))</c:v>
                </c:pt>
              </c:strCache>
            </c:strRef>
          </c:tx>
          <c:spPr>
            <a:solidFill>
              <a:srgbClr val="FF8000"/>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Plot.Tables!$D$99:$H$99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E754-44DF-89A8-5AFC557CF50F}"/>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Plot.Tables!$C$100</c:f>
          <c:strCache>
            <c:ptCount val="1"/>
            <c:pt idx="0">
              <c:v>K2O in separated solids (lb/ton (2000 lb))</c:v>
            </c:pt>
          </c:strCache>
        </c:strRef>
      </c:tx>
      <c:layout>
        <c:manualLayout>
          <c:xMode val="edge"/>
          <c:yMode val="edge"/>
          <c:x val="0.12692996270203066"/>
          <c:y val="6.613756613756613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Plot.Tables!$C$100</c:f>
              <c:strCache>
                <c:ptCount val="1"/>
                <c:pt idx="0">
                  <c:v>K2O in separated solids (lb/ton (2000 lb))</c:v>
                </c:pt>
              </c:strCache>
            </c:strRef>
          </c:tx>
          <c:spPr>
            <a:solidFill>
              <a:srgbClr val="8F40D4"/>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Plot.Tables!$D$100:$H$100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7C9-4C9B-B028-12C3A72CA65E}"/>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Plot.Tables!$C$101</c:f>
          <c:strCache>
            <c:ptCount val="1"/>
            <c:pt idx="0">
              <c:v>Nitrogen in partially composted material (lb/ton (2000 lb))</c:v>
            </c:pt>
          </c:strCache>
        </c:strRef>
      </c:tx>
      <c:layout>
        <c:manualLayout>
          <c:xMode val="edge"/>
          <c:yMode val="edge"/>
          <c:x val="0.16577179168393424"/>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Plot.Tables!$C$101</c:f>
              <c:strCache>
                <c:ptCount val="1"/>
                <c:pt idx="0">
                  <c:v>Nitrogen in partially composted material (lb/ton (2000 lb))</c:v>
                </c:pt>
              </c:strCache>
            </c:strRef>
          </c:tx>
          <c:spPr>
            <a:solidFill>
              <a:srgbClr val="3050F8"/>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Plot.Tables!$D$101:$H$101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62F1-4E39-8BC8-2708C130683D}"/>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Plot.Tables!$C$102</c:f>
          <c:strCache>
            <c:ptCount val="1"/>
            <c:pt idx="0">
              <c:v>P2O5 in partially composted material (lb/ton (2000 lb))</c:v>
            </c:pt>
          </c:strCache>
        </c:strRef>
      </c:tx>
      <c:layout>
        <c:manualLayout>
          <c:xMode val="edge"/>
          <c:yMode val="edge"/>
          <c:x val="0.11314021273656583"/>
          <c:y val="1.10229276895943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Plot.Tables!$C$102</c:f>
              <c:strCache>
                <c:ptCount val="1"/>
                <c:pt idx="0">
                  <c:v>P2O5 in partially composted material (lb/ton (2000 lb))</c:v>
                </c:pt>
              </c:strCache>
            </c:strRef>
          </c:tx>
          <c:spPr>
            <a:solidFill>
              <a:srgbClr val="FF8000"/>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Plot.Tables!$D$102:$H$102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BE4-4C6A-99D0-9BED3FE67534}"/>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Plot.Tables!$C$103</c:f>
          <c:strCache>
            <c:ptCount val="1"/>
            <c:pt idx="0">
              <c:v>K2O in partially composted material (lb/ton (2000 lb))</c:v>
            </c:pt>
          </c:strCache>
        </c:strRef>
      </c:tx>
      <c:layout>
        <c:manualLayout>
          <c:xMode val="edge"/>
          <c:yMode val="edge"/>
          <c:x val="0.12692996270203066"/>
          <c:y val="6.613756613756613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Plot.Tables!$C$103</c:f>
              <c:strCache>
                <c:ptCount val="1"/>
                <c:pt idx="0">
                  <c:v>K2O in partially composted material (lb/ton (2000 lb))</c:v>
                </c:pt>
              </c:strCache>
            </c:strRef>
          </c:tx>
          <c:spPr>
            <a:solidFill>
              <a:srgbClr val="8F40D4"/>
            </a:solidFill>
            <a:ln w="19050">
              <a:solidFill>
                <a:schemeClr val="tx1"/>
              </a:solidFill>
            </a:ln>
            <a:effectLst/>
          </c:spPr>
          <c:invertIfNegative val="0"/>
          <c:cat>
            <c:strRef>
              <c:f>Plot.Tables!$D$58:$H$58</c:f>
              <c:strCache>
                <c:ptCount val="5"/>
                <c:pt idx="0">
                  <c:v>Baseline</c:v>
                </c:pt>
                <c:pt idx="1">
                  <c:v>Alt 1</c:v>
                </c:pt>
                <c:pt idx="2">
                  <c:v>Alt 2</c:v>
                </c:pt>
                <c:pt idx="3">
                  <c:v>Alt 3</c:v>
                </c:pt>
                <c:pt idx="4">
                  <c:v>Alt 4</c:v>
                </c:pt>
              </c:strCache>
            </c:strRef>
          </c:cat>
          <c:val>
            <c:numRef>
              <c:f>Plot.Tables!$D$103:$H$103</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7DCB-4C72-A110-3834495193D1}"/>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Plot.Tables!$C$39</c:f>
          <c:strCache>
            <c:ptCount val="1"/>
            <c:pt idx="0">
              <c:v>Water consumption (gal/head/year)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Plot.Tables!$D$39:$H$39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535-419E-AE45-17948BD6F0E0}"/>
            </c:ext>
          </c:extLst>
        </c:ser>
        <c:ser>
          <c:idx val="2"/>
          <c:order val="1"/>
          <c:tx>
            <c:strRef>
              <c:f>Plot.Tables!$B$42</c:f>
              <c:strCache>
                <c:ptCount val="1"/>
                <c:pt idx="0">
                  <c:v>Net Impact</c:v>
                </c:pt>
              </c:strCache>
            </c:strRef>
          </c:tx>
          <c:spPr>
            <a:solidFill>
              <a:schemeClr val="accent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Plot.Tables!$D$46:$H$46</c:f>
              <c:numCache>
                <c:formatCode>General</c:formatCode>
                <c:ptCount val="5"/>
                <c:pt idx="0">
                  <c:v>0.78467102406457045</c:v>
                </c:pt>
                <c:pt idx="1">
                  <c:v>0.78467102406457045</c:v>
                </c:pt>
                <c:pt idx="2">
                  <c:v>14.903654095344963</c:v>
                </c:pt>
                <c:pt idx="3">
                  <c:v>5.1681314895837227</c:v>
                </c:pt>
                <c:pt idx="4">
                  <c:v>17.031717845410885</c:v>
                </c:pt>
              </c:numCache>
            </c:numRef>
          </c:val>
          <c:extLst>
            <c:ext xmlns:c16="http://schemas.microsoft.com/office/drawing/2014/chart" uri="{C3380CC4-5D6E-409C-BE32-E72D297353CC}">
              <c16:uniqueId val="{00000001-7535-419E-AE45-17948BD6F0E0}"/>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Plot.Tables!$C$38</c:f>
          <c:strCache>
            <c:ptCount val="1"/>
            <c:pt idx="0">
              <c:v>Energy footprint (kWhr/head/year)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Plot.Tables!$D$38:$H$38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226-4E1D-88F4-73B27CA375ED}"/>
            </c:ext>
          </c:extLst>
        </c:ser>
        <c:ser>
          <c:idx val="2"/>
          <c:order val="1"/>
          <c:tx>
            <c:strRef>
              <c:f>Plot.Tables!$B$42</c:f>
              <c:strCache>
                <c:ptCount val="1"/>
                <c:pt idx="0">
                  <c:v>Net Impact</c:v>
                </c:pt>
              </c:strCache>
            </c:strRef>
          </c:tx>
          <c:spPr>
            <a:solidFill>
              <a:schemeClr val="accent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Plot.Tables!$D$45:$H$45</c:f>
              <c:numCache>
                <c:formatCode>General</c:formatCode>
                <c:ptCount val="5"/>
                <c:pt idx="0">
                  <c:v>-175.84678841120939</c:v>
                </c:pt>
                <c:pt idx="1">
                  <c:v>-175.84678841120939</c:v>
                </c:pt>
                <c:pt idx="2">
                  <c:v>-88.665354960517263</c:v>
                </c:pt>
                <c:pt idx="3">
                  <c:v>-159.24980133021793</c:v>
                </c:pt>
                <c:pt idx="4">
                  <c:v>-80.607920236240062</c:v>
                </c:pt>
              </c:numCache>
            </c:numRef>
          </c:val>
          <c:extLst>
            <c:ext xmlns:c16="http://schemas.microsoft.com/office/drawing/2014/chart" uri="{C3380CC4-5D6E-409C-BE32-E72D297353CC}">
              <c16:uniqueId val="{00000001-6226-4E1D-88F4-73B27CA375ED}"/>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Plot.Tables!$C$37</c:f>
          <c:strCache>
            <c:ptCount val="1"/>
            <c:pt idx="0">
              <c:v>Land footprint (acre/head/year)</c:v>
            </c:pt>
          </c:strCache>
        </c:strRef>
      </c:tx>
      <c:layout>
        <c:manualLayout>
          <c:xMode val="edge"/>
          <c:yMode val="edge"/>
          <c:x val="0.15383533637242713"/>
          <c:y val="6.613756613756613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Plot.Tables!$D$37:$H$37</c:f>
              <c:numCache>
                <c:formatCode>General</c:formatCode>
                <c:ptCount val="5"/>
                <c:pt idx="0">
                  <c:v>0.15290585659551295</c:v>
                </c:pt>
                <c:pt idx="1">
                  <c:v>0.15290585659551295</c:v>
                </c:pt>
                <c:pt idx="2">
                  <c:v>9.1748660576578017E-2</c:v>
                </c:pt>
                <c:pt idx="3">
                  <c:v>0.15290585659551295</c:v>
                </c:pt>
                <c:pt idx="4">
                  <c:v>9.1748660576578017E-2</c:v>
                </c:pt>
              </c:numCache>
            </c:numRef>
          </c:val>
          <c:extLst>
            <c:ext xmlns:c16="http://schemas.microsoft.com/office/drawing/2014/chart" uri="{C3380CC4-5D6E-409C-BE32-E72D297353CC}">
              <c16:uniqueId val="{00000000-1CC7-46D4-B779-BE86EB882418}"/>
            </c:ext>
          </c:extLst>
        </c:ser>
        <c:ser>
          <c:idx val="2"/>
          <c:order val="1"/>
          <c:tx>
            <c:strRef>
              <c:f>Plot.Tables!$B$42</c:f>
              <c:strCache>
                <c:ptCount val="1"/>
                <c:pt idx="0">
                  <c:v>Net Impact</c:v>
                </c:pt>
              </c:strCache>
            </c:strRef>
          </c:tx>
          <c:spPr>
            <a:solidFill>
              <a:schemeClr val="accent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Plot.Tables!$D$44:$H$44</c:f>
              <c:numCache>
                <c:formatCode>General</c:formatCode>
                <c:ptCount val="5"/>
                <c:pt idx="0">
                  <c:v>0.15290585659551295</c:v>
                </c:pt>
                <c:pt idx="1">
                  <c:v>0.15290585659551295</c:v>
                </c:pt>
                <c:pt idx="2">
                  <c:v>9.1748660576578017E-2</c:v>
                </c:pt>
                <c:pt idx="3">
                  <c:v>0.15290585659551295</c:v>
                </c:pt>
                <c:pt idx="4">
                  <c:v>9.1748660576578017E-2</c:v>
                </c:pt>
              </c:numCache>
            </c:numRef>
          </c:val>
          <c:extLst>
            <c:ext xmlns:c16="http://schemas.microsoft.com/office/drawing/2014/chart" uri="{C3380CC4-5D6E-409C-BE32-E72D297353CC}">
              <c16:uniqueId val="{00000001-1CC7-46D4-B779-BE86EB882418}"/>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legend>
      <c:legendPos val="t"/>
      <c:layout>
        <c:manualLayout>
          <c:xMode val="edge"/>
          <c:yMode val="edge"/>
          <c:x val="7.1881751623152371E-2"/>
          <c:y val="9.0735185879542851E-2"/>
          <c:w val="0.9"/>
          <c:h val="6.97643263342082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Plot.Tables!$C$47</c:f>
          <c:strCache>
            <c:ptCount val="1"/>
            <c:pt idx="0">
              <c:v>Nitrogen footprint (lb/head/year)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Plot.Tables!$D$40:$H$40</c:f>
              <c:numCache>
                <c:formatCode>General</c:formatCode>
                <c:ptCount val="5"/>
                <c:pt idx="0">
                  <c:v>8.8806076154703533</c:v>
                </c:pt>
                <c:pt idx="1">
                  <c:v>8.8806076154703533</c:v>
                </c:pt>
                <c:pt idx="2">
                  <c:v>19.493877938087866</c:v>
                </c:pt>
                <c:pt idx="3">
                  <c:v>8.8806076154703533</c:v>
                </c:pt>
                <c:pt idx="4">
                  <c:v>19.493877938087866</c:v>
                </c:pt>
              </c:numCache>
            </c:numRef>
          </c:val>
          <c:extLst>
            <c:ext xmlns:c16="http://schemas.microsoft.com/office/drawing/2014/chart" uri="{C3380CC4-5D6E-409C-BE32-E72D297353CC}">
              <c16:uniqueId val="{00000000-DEA2-459C-8769-2A9434FFD587}"/>
            </c:ext>
          </c:extLst>
        </c:ser>
        <c:ser>
          <c:idx val="2"/>
          <c:order val="1"/>
          <c:tx>
            <c:strRef>
              <c:f>Plot.Tables!$B$42</c:f>
              <c:strCache>
                <c:ptCount val="1"/>
                <c:pt idx="0">
                  <c:v>Net Impact</c:v>
                </c:pt>
              </c:strCache>
            </c:strRef>
          </c:tx>
          <c:spPr>
            <a:solidFill>
              <a:schemeClr val="accent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Plot.Tables!$D$47:$H$47</c:f>
              <c:numCache>
                <c:formatCode>General</c:formatCode>
                <c:ptCount val="5"/>
                <c:pt idx="0">
                  <c:v>8.8806076154703533</c:v>
                </c:pt>
                <c:pt idx="1">
                  <c:v>8.8806076154703533</c:v>
                </c:pt>
                <c:pt idx="2">
                  <c:v>19.493877938087866</c:v>
                </c:pt>
                <c:pt idx="3">
                  <c:v>8.8806076154703533</c:v>
                </c:pt>
                <c:pt idx="4">
                  <c:v>19.493877938087866</c:v>
                </c:pt>
              </c:numCache>
            </c:numRef>
          </c:val>
          <c:extLst>
            <c:ext xmlns:c16="http://schemas.microsoft.com/office/drawing/2014/chart" uri="{C3380CC4-5D6E-409C-BE32-E72D297353CC}">
              <c16:uniqueId val="{00000001-DEA2-459C-8769-2A9434FFD587}"/>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Plot.Tables!$C$41</c:f>
          <c:strCache>
            <c:ptCount val="1"/>
            <c:pt idx="0">
              <c:v>Phosphorous excess (lb/head/year)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Plot.Tables!$B$35</c:f>
              <c:strCache>
                <c:ptCount val="1"/>
                <c:pt idx="0">
                  <c:v>Farm Emissions</c:v>
                </c:pt>
              </c:strCache>
            </c:strRef>
          </c:tx>
          <c:spPr>
            <a:solidFill>
              <a:srgbClr val="FFBF00"/>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Plot.Tables!$D$41:$H$41</c:f>
              <c:numCache>
                <c:formatCode>General</c:formatCode>
                <c:ptCount val="5"/>
                <c:pt idx="0">
                  <c:v>5.5112746043841678</c:v>
                </c:pt>
                <c:pt idx="1">
                  <c:v>5.5112746043841678</c:v>
                </c:pt>
                <c:pt idx="2">
                  <c:v>8.8749215826293248</c:v>
                </c:pt>
                <c:pt idx="3">
                  <c:v>5.5112746043841678</c:v>
                </c:pt>
                <c:pt idx="4">
                  <c:v>8.8749215826293248</c:v>
                </c:pt>
              </c:numCache>
            </c:numRef>
          </c:val>
          <c:extLst>
            <c:ext xmlns:c16="http://schemas.microsoft.com/office/drawing/2014/chart" uri="{C3380CC4-5D6E-409C-BE32-E72D297353CC}">
              <c16:uniqueId val="{00000000-8C86-4FCA-B795-30092B822C2F}"/>
            </c:ext>
          </c:extLst>
        </c:ser>
        <c:ser>
          <c:idx val="2"/>
          <c:order val="1"/>
          <c:tx>
            <c:strRef>
              <c:f>Plot.Tables!$B$42</c:f>
              <c:strCache>
                <c:ptCount val="1"/>
                <c:pt idx="0">
                  <c:v>Net Impact</c:v>
                </c:pt>
              </c:strCache>
            </c:strRef>
          </c:tx>
          <c:spPr>
            <a:solidFill>
              <a:schemeClr val="accent5"/>
            </a:solidFill>
            <a:ln w="19050">
              <a:solidFill>
                <a:sysClr val="windowText" lastClr="000000"/>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Plot.Tables!$D$48:$H$48</c:f>
              <c:numCache>
                <c:formatCode>General</c:formatCode>
                <c:ptCount val="5"/>
                <c:pt idx="0">
                  <c:v>5.5112746043841678</c:v>
                </c:pt>
                <c:pt idx="1">
                  <c:v>5.5112746043841678</c:v>
                </c:pt>
                <c:pt idx="2">
                  <c:v>8.8749215826293248</c:v>
                </c:pt>
                <c:pt idx="3">
                  <c:v>5.5112746043841678</c:v>
                </c:pt>
                <c:pt idx="4">
                  <c:v>8.8749215826293248</c:v>
                </c:pt>
              </c:numCache>
            </c:numRef>
          </c:val>
          <c:extLst>
            <c:ext xmlns:c16="http://schemas.microsoft.com/office/drawing/2014/chart" uri="{C3380CC4-5D6E-409C-BE32-E72D297353CC}">
              <c16:uniqueId val="{00000001-8C86-4FCA-B795-30092B822C2F}"/>
            </c:ext>
          </c:extLst>
        </c:ser>
        <c:dLbls>
          <c:showLegendKey val="0"/>
          <c:showVal val="0"/>
          <c:showCatName val="0"/>
          <c:showSerName val="0"/>
          <c:showPercent val="0"/>
          <c:showBubbleSize val="0"/>
        </c:dLbls>
        <c:gapWidth val="15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Adoption rate (larger value means the system is more common)</a:t>
            </a:r>
          </a:p>
        </c:rich>
      </c:tx>
      <c:layout>
        <c:manualLayout>
          <c:xMode val="edge"/>
          <c:yMode val="edge"/>
          <c:x val="0.15828178694158079"/>
          <c:y val="1.5432098765432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4164114902304"/>
          <c:y val="0.2356868585871211"/>
          <c:w val="0.78831413434431807"/>
          <c:h val="0.67481391214987008"/>
        </c:manualLayout>
      </c:layout>
      <c:barChart>
        <c:barDir val="col"/>
        <c:grouping val="stacked"/>
        <c:varyColors val="0"/>
        <c:ser>
          <c:idx val="0"/>
          <c:order val="0"/>
          <c:tx>
            <c:strRef>
              <c:f>Plot.Tables!$A$59</c:f>
              <c:strCache>
                <c:ptCount val="1"/>
                <c:pt idx="0">
                  <c:v>Adoption Rate</c:v>
                </c:pt>
              </c:strCache>
            </c:strRef>
          </c:tx>
          <c:spPr>
            <a:solidFill>
              <a:srgbClr val="19222B"/>
            </a:solidFill>
            <a:ln w="19050">
              <a:solidFill>
                <a:schemeClr val="tx1"/>
              </a:solidFill>
            </a:ln>
            <a:effectLst/>
          </c:spPr>
          <c:invertIfNegative val="0"/>
          <c:cat>
            <c:strRef>
              <c:f>Plot.Tables!$D$35:$H$35</c:f>
              <c:strCache>
                <c:ptCount val="5"/>
                <c:pt idx="0">
                  <c:v>Baseline</c:v>
                </c:pt>
                <c:pt idx="1">
                  <c:v>Alt 1</c:v>
                </c:pt>
                <c:pt idx="2">
                  <c:v>Alt 2</c:v>
                </c:pt>
                <c:pt idx="3">
                  <c:v>Alt 3</c:v>
                </c:pt>
                <c:pt idx="4">
                  <c:v>Alt 4</c:v>
                </c:pt>
              </c:strCache>
            </c:strRef>
          </c:cat>
          <c:val>
            <c:numRef>
              <c:f>Plot.Tables!$D$59:$H$59</c:f>
              <c:numCache>
                <c:formatCode>0.00</c:formatCode>
                <c:ptCount val="5"/>
                <c:pt idx="0">
                  <c:v>4.25</c:v>
                </c:pt>
                <c:pt idx="1">
                  <c:v>4.25</c:v>
                </c:pt>
                <c:pt idx="2">
                  <c:v>3.5</c:v>
                </c:pt>
                <c:pt idx="3">
                  <c:v>4.5</c:v>
                </c:pt>
                <c:pt idx="4">
                  <c:v>3.6666666666666665</c:v>
                </c:pt>
              </c:numCache>
            </c:numRef>
          </c:val>
          <c:extLst>
            <c:ext xmlns:c16="http://schemas.microsoft.com/office/drawing/2014/chart" uri="{C3380CC4-5D6E-409C-BE32-E72D297353CC}">
              <c16:uniqueId val="{00000000-6179-484A-817F-1F3BDAEF951B}"/>
            </c:ext>
          </c:extLst>
        </c:ser>
        <c:dLbls>
          <c:showLegendKey val="0"/>
          <c:showVal val="0"/>
          <c:showCatName val="0"/>
          <c:showSerName val="0"/>
          <c:showPercent val="0"/>
          <c:showBubbleSize val="0"/>
        </c:dLbls>
        <c:gapWidth val="55"/>
        <c:overlap val="100"/>
        <c:axId val="813190384"/>
        <c:axId val="813191024"/>
      </c:barChart>
      <c:catAx>
        <c:axId val="81319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13191024"/>
        <c:crosses val="autoZero"/>
        <c:auto val="1"/>
        <c:lblAlgn val="ctr"/>
        <c:lblOffset val="100"/>
        <c:noMultiLvlLbl val="0"/>
      </c:catAx>
      <c:valAx>
        <c:axId val="813191024"/>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190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2</xdr:col>
      <xdr:colOff>533876</xdr:colOff>
      <xdr:row>18</xdr:row>
      <xdr:rowOff>117157</xdr:rowOff>
    </xdr:from>
    <xdr:to>
      <xdr:col>7</xdr:col>
      <xdr:colOff>407670</xdr:colOff>
      <xdr:row>24</xdr:row>
      <xdr:rowOff>42448</xdr:rowOff>
    </xdr:to>
    <xdr:pic>
      <xdr:nvPicPr>
        <xdr:cNvPr id="2" name="Picture 1" descr="A picture containing object&#10;&#10;Description automatically generated">
          <a:extLst>
            <a:ext uri="{FF2B5EF4-FFF2-40B4-BE49-F238E27FC236}">
              <a16:creationId xmlns:a16="http://schemas.microsoft.com/office/drawing/2014/main" id="{7D783A7B-FE37-42E5-B0D2-0555B33111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595" y="3546157"/>
          <a:ext cx="3028950" cy="1068291"/>
        </a:xfrm>
        <a:prstGeom prst="rect">
          <a:avLst/>
        </a:prstGeom>
      </xdr:spPr>
    </xdr:pic>
    <xdr:clientData/>
  </xdr:twoCellAnchor>
  <xdr:twoCellAnchor editAs="oneCell">
    <xdr:from>
      <xdr:col>9</xdr:col>
      <xdr:colOff>457197</xdr:colOff>
      <xdr:row>18</xdr:row>
      <xdr:rowOff>154781</xdr:rowOff>
    </xdr:from>
    <xdr:to>
      <xdr:col>13</xdr:col>
      <xdr:colOff>375758</xdr:colOff>
      <xdr:row>21</xdr:row>
      <xdr:rowOff>169648</xdr:rowOff>
    </xdr:to>
    <xdr:pic>
      <xdr:nvPicPr>
        <xdr:cNvPr id="3" name="Picture 2">
          <a:extLst>
            <a:ext uri="{FF2B5EF4-FFF2-40B4-BE49-F238E27FC236}">
              <a16:creationId xmlns:a16="http://schemas.microsoft.com/office/drawing/2014/main" id="{45203D77-785B-447F-BD31-6658A720F5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72135" y="3583781"/>
          <a:ext cx="2442686" cy="5863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9</xdr:col>
      <xdr:colOff>-1</xdr:colOff>
      <xdr:row>23</xdr:row>
      <xdr:rowOff>40006</xdr:rowOff>
    </xdr:from>
    <xdr:to>
      <xdr:col>12</xdr:col>
      <xdr:colOff>30479</xdr:colOff>
      <xdr:row>26</xdr:row>
      <xdr:rowOff>22036</xdr:rowOff>
    </xdr:to>
    <xdr:pic>
      <xdr:nvPicPr>
        <xdr:cNvPr id="4" name="Picture 3" descr="Shape&#10;&#10;Description automatically generated with medium confidence">
          <a:extLst>
            <a:ext uri="{FF2B5EF4-FFF2-40B4-BE49-F238E27FC236}">
              <a16:creationId xmlns:a16="http://schemas.microsoft.com/office/drawing/2014/main" id="{2F264120-4534-4242-A6B9-65835A168E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4937" y="4421506"/>
          <a:ext cx="1923573" cy="553530"/>
        </a:xfrm>
        <a:prstGeom prst="rect">
          <a:avLst/>
        </a:prstGeom>
      </xdr:spPr>
    </xdr:pic>
    <xdr:clientData/>
  </xdr:twoCellAnchor>
  <xdr:twoCellAnchor editAs="oneCell">
    <xdr:from>
      <xdr:col>12</xdr:col>
      <xdr:colOff>459873</xdr:colOff>
      <xdr:row>22</xdr:row>
      <xdr:rowOff>158629</xdr:rowOff>
    </xdr:from>
    <xdr:to>
      <xdr:col>14</xdr:col>
      <xdr:colOff>284751</xdr:colOff>
      <xdr:row>26</xdr:row>
      <xdr:rowOff>109061</xdr:rowOff>
    </xdr:to>
    <xdr:pic>
      <xdr:nvPicPr>
        <xdr:cNvPr id="5" name="Picture 4" descr="A red and white sign&#10;&#10;Description automatically generated with low confidence">
          <a:extLst>
            <a:ext uri="{FF2B5EF4-FFF2-40B4-BE49-F238E27FC236}">
              <a16:creationId xmlns:a16="http://schemas.microsoft.com/office/drawing/2014/main" id="{0C6624D3-217A-41F9-B766-A7FDE64575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67904" y="4349629"/>
          <a:ext cx="1086941" cy="712432"/>
        </a:xfrm>
        <a:prstGeom prst="rect">
          <a:avLst/>
        </a:prstGeom>
      </xdr:spPr>
    </xdr:pic>
    <xdr:clientData/>
  </xdr:twoCellAnchor>
  <xdr:twoCellAnchor editAs="oneCell">
    <xdr:from>
      <xdr:col>16</xdr:col>
      <xdr:colOff>28347</xdr:colOff>
      <xdr:row>19</xdr:row>
      <xdr:rowOff>69163</xdr:rowOff>
    </xdr:from>
    <xdr:to>
      <xdr:col>18</xdr:col>
      <xdr:colOff>423381</xdr:colOff>
      <xdr:row>24</xdr:row>
      <xdr:rowOff>104196</xdr:rowOff>
    </xdr:to>
    <xdr:pic>
      <xdr:nvPicPr>
        <xdr:cNvPr id="8" name="Picture 7" descr="Logo, company name&#10;&#10;Description automatically generated">
          <a:extLst>
            <a:ext uri="{FF2B5EF4-FFF2-40B4-BE49-F238E27FC236}">
              <a16:creationId xmlns:a16="http://schemas.microsoft.com/office/drawing/2014/main" id="{0C03ABCD-9587-4416-A5D7-839875CEAD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660503" y="3688663"/>
          <a:ext cx="1657097" cy="987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54609</xdr:colOff>
      <xdr:row>54</xdr:row>
      <xdr:rowOff>1359</xdr:rowOff>
    </xdr:from>
    <xdr:to>
      <xdr:col>21</xdr:col>
      <xdr:colOff>542925</xdr:colOff>
      <xdr:row>125</xdr:row>
      <xdr:rowOff>9524</xdr:rowOff>
    </xdr:to>
    <xdr:graphicFrame macro="">
      <xdr:nvGraphicFramePr>
        <xdr:cNvPr id="2" name="Chart 45">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436244</xdr:colOff>
      <xdr:row>29</xdr:row>
      <xdr:rowOff>67625</xdr:rowOff>
    </xdr:from>
    <xdr:to>
      <xdr:col>18</xdr:col>
      <xdr:colOff>371475</xdr:colOff>
      <xdr:row>54</xdr:row>
      <xdr:rowOff>180975</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171450</xdr:colOff>
      <xdr:row>46</xdr:row>
      <xdr:rowOff>76200</xdr:rowOff>
    </xdr:from>
    <xdr:to>
      <xdr:col>7</xdr:col>
      <xdr:colOff>552450</xdr:colOff>
      <xdr:row>61</xdr:row>
      <xdr:rowOff>99060</xdr:rowOff>
    </xdr:to>
    <xdr:graphicFrame macro="">
      <xdr:nvGraphicFramePr>
        <xdr:cNvPr id="8" name="Chart 45">
          <a:extLst>
            <a:ext uri="{FF2B5EF4-FFF2-40B4-BE49-F238E27FC236}">
              <a16:creationId xmlns:a16="http://schemas.microsoft.com/office/drawing/2014/main" id="{8216E1D0-5E0F-49C1-B379-644DA64DE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62</xdr:row>
      <xdr:rowOff>9525</xdr:rowOff>
    </xdr:from>
    <xdr:to>
      <xdr:col>7</xdr:col>
      <xdr:colOff>561975</xdr:colOff>
      <xdr:row>77</xdr:row>
      <xdr:rowOff>32385</xdr:rowOff>
    </xdr:to>
    <xdr:graphicFrame macro="">
      <xdr:nvGraphicFramePr>
        <xdr:cNvPr id="10" name="Chart 45">
          <a:extLst>
            <a:ext uri="{FF2B5EF4-FFF2-40B4-BE49-F238E27FC236}">
              <a16:creationId xmlns:a16="http://schemas.microsoft.com/office/drawing/2014/main" id="{4629AEFF-783F-4AA1-818F-5C7F6E54F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66675</xdr:colOff>
      <xdr:row>46</xdr:row>
      <xdr:rowOff>95250</xdr:rowOff>
    </xdr:from>
    <xdr:to>
      <xdr:col>19</xdr:col>
      <xdr:colOff>447675</xdr:colOff>
      <xdr:row>61</xdr:row>
      <xdr:rowOff>118110</xdr:rowOff>
    </xdr:to>
    <xdr:graphicFrame macro="">
      <xdr:nvGraphicFramePr>
        <xdr:cNvPr id="11" name="Chart 45">
          <a:extLst>
            <a:ext uri="{FF2B5EF4-FFF2-40B4-BE49-F238E27FC236}">
              <a16:creationId xmlns:a16="http://schemas.microsoft.com/office/drawing/2014/main" id="{F9BEBA06-F0BC-4DFB-91FB-735601BEF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133350</xdr:colOff>
      <xdr:row>46</xdr:row>
      <xdr:rowOff>85725</xdr:rowOff>
    </xdr:from>
    <xdr:to>
      <xdr:col>13</xdr:col>
      <xdr:colOff>514350</xdr:colOff>
      <xdr:row>61</xdr:row>
      <xdr:rowOff>108585</xdr:rowOff>
    </xdr:to>
    <xdr:graphicFrame macro="">
      <xdr:nvGraphicFramePr>
        <xdr:cNvPr id="12" name="Chart 45">
          <a:extLst>
            <a:ext uri="{FF2B5EF4-FFF2-40B4-BE49-F238E27FC236}">
              <a16:creationId xmlns:a16="http://schemas.microsoft.com/office/drawing/2014/main" id="{C7AA8148-C12A-45E9-B039-030B7CD3B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142875</xdr:colOff>
      <xdr:row>62</xdr:row>
      <xdr:rowOff>28575</xdr:rowOff>
    </xdr:from>
    <xdr:to>
      <xdr:col>13</xdr:col>
      <xdr:colOff>523875</xdr:colOff>
      <xdr:row>77</xdr:row>
      <xdr:rowOff>51435</xdr:rowOff>
    </xdr:to>
    <xdr:graphicFrame macro="">
      <xdr:nvGraphicFramePr>
        <xdr:cNvPr id="14" name="Chart 45">
          <a:extLst>
            <a:ext uri="{FF2B5EF4-FFF2-40B4-BE49-F238E27FC236}">
              <a16:creationId xmlns:a16="http://schemas.microsoft.com/office/drawing/2014/main" id="{8D9FFBDC-3E82-4AFA-A05C-E6E54D611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66675</xdr:colOff>
      <xdr:row>62</xdr:row>
      <xdr:rowOff>38100</xdr:rowOff>
    </xdr:from>
    <xdr:to>
      <xdr:col>19</xdr:col>
      <xdr:colOff>447675</xdr:colOff>
      <xdr:row>77</xdr:row>
      <xdr:rowOff>60960</xdr:rowOff>
    </xdr:to>
    <xdr:graphicFrame macro="">
      <xdr:nvGraphicFramePr>
        <xdr:cNvPr id="16" name="Chart 45">
          <a:extLst>
            <a:ext uri="{FF2B5EF4-FFF2-40B4-BE49-F238E27FC236}">
              <a16:creationId xmlns:a16="http://schemas.microsoft.com/office/drawing/2014/main" id="{CD0EA9DA-0808-441F-A521-1011FBA53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228600</xdr:colOff>
      <xdr:row>29</xdr:row>
      <xdr:rowOff>142875</xdr:rowOff>
    </xdr:from>
    <xdr:to>
      <xdr:col>7</xdr:col>
      <xdr:colOff>609600</xdr:colOff>
      <xdr:row>44</xdr:row>
      <xdr:rowOff>165735</xdr:rowOff>
    </xdr:to>
    <xdr:graphicFrame macro="">
      <xdr:nvGraphicFramePr>
        <xdr:cNvPr id="2" name="Chart 45">
          <a:extLst>
            <a:ext uri="{FF2B5EF4-FFF2-40B4-BE49-F238E27FC236}">
              <a16:creationId xmlns:a16="http://schemas.microsoft.com/office/drawing/2014/main" id="{C27F5AE3-5B56-4C32-8198-E09209844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45</xdr:row>
      <xdr:rowOff>161925</xdr:rowOff>
    </xdr:from>
    <xdr:to>
      <xdr:col>7</xdr:col>
      <xdr:colOff>610687</xdr:colOff>
      <xdr:row>60</xdr:row>
      <xdr:rowOff>180975</xdr:rowOff>
    </xdr:to>
    <xdr:graphicFrame macro="">
      <xdr:nvGraphicFramePr>
        <xdr:cNvPr id="8" name="Chart 45">
          <a:extLst>
            <a:ext uri="{FF2B5EF4-FFF2-40B4-BE49-F238E27FC236}">
              <a16:creationId xmlns:a16="http://schemas.microsoft.com/office/drawing/2014/main" id="{A0E367E3-EF95-4520-83AC-00009F3E5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114300</xdr:colOff>
      <xdr:row>45</xdr:row>
      <xdr:rowOff>161925</xdr:rowOff>
    </xdr:from>
    <xdr:to>
      <xdr:col>13</xdr:col>
      <xdr:colOff>496387</xdr:colOff>
      <xdr:row>60</xdr:row>
      <xdr:rowOff>180975</xdr:rowOff>
    </xdr:to>
    <xdr:graphicFrame macro="">
      <xdr:nvGraphicFramePr>
        <xdr:cNvPr id="12" name="Chart 45">
          <a:extLst>
            <a:ext uri="{FF2B5EF4-FFF2-40B4-BE49-F238E27FC236}">
              <a16:creationId xmlns:a16="http://schemas.microsoft.com/office/drawing/2014/main" id="{52C009A3-9512-4A21-8AA6-9321BE207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619125</xdr:colOff>
      <xdr:row>45</xdr:row>
      <xdr:rowOff>161925</xdr:rowOff>
    </xdr:from>
    <xdr:to>
      <xdr:col>19</xdr:col>
      <xdr:colOff>353512</xdr:colOff>
      <xdr:row>60</xdr:row>
      <xdr:rowOff>180975</xdr:rowOff>
    </xdr:to>
    <xdr:graphicFrame macro="">
      <xdr:nvGraphicFramePr>
        <xdr:cNvPr id="13" name="Chart 45">
          <a:extLst>
            <a:ext uri="{FF2B5EF4-FFF2-40B4-BE49-F238E27FC236}">
              <a16:creationId xmlns:a16="http://schemas.microsoft.com/office/drawing/2014/main" id="{F85897A3-42DC-4F4B-91B7-E3163E759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104775</xdr:colOff>
      <xdr:row>29</xdr:row>
      <xdr:rowOff>142875</xdr:rowOff>
    </xdr:from>
    <xdr:to>
      <xdr:col>13</xdr:col>
      <xdr:colOff>485775</xdr:colOff>
      <xdr:row>44</xdr:row>
      <xdr:rowOff>165735</xdr:rowOff>
    </xdr:to>
    <xdr:graphicFrame macro="">
      <xdr:nvGraphicFramePr>
        <xdr:cNvPr id="14" name="Chart 45">
          <a:extLst>
            <a:ext uri="{FF2B5EF4-FFF2-40B4-BE49-F238E27FC236}">
              <a16:creationId xmlns:a16="http://schemas.microsoft.com/office/drawing/2014/main" id="{EDDFB930-5554-44AC-9934-53A9E3F7B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628650</xdr:colOff>
      <xdr:row>29</xdr:row>
      <xdr:rowOff>142875</xdr:rowOff>
    </xdr:from>
    <xdr:to>
      <xdr:col>19</xdr:col>
      <xdr:colOff>361950</xdr:colOff>
      <xdr:row>44</xdr:row>
      <xdr:rowOff>165735</xdr:rowOff>
    </xdr:to>
    <xdr:graphicFrame macro="">
      <xdr:nvGraphicFramePr>
        <xdr:cNvPr id="17" name="Chart 45">
          <a:extLst>
            <a:ext uri="{FF2B5EF4-FFF2-40B4-BE49-F238E27FC236}">
              <a16:creationId xmlns:a16="http://schemas.microsoft.com/office/drawing/2014/main" id="{4B69E177-FE13-4131-AB4F-67DC17571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142875</xdr:colOff>
      <xdr:row>33</xdr:row>
      <xdr:rowOff>104775</xdr:rowOff>
    </xdr:from>
    <xdr:to>
      <xdr:col>7</xdr:col>
      <xdr:colOff>523875</xdr:colOff>
      <xdr:row>48</xdr:row>
      <xdr:rowOff>127635</xdr:rowOff>
    </xdr:to>
    <xdr:graphicFrame macro="">
      <xdr:nvGraphicFramePr>
        <xdr:cNvPr id="2" name="Chart 45">
          <a:extLst>
            <a:ext uri="{FF2B5EF4-FFF2-40B4-BE49-F238E27FC236}">
              <a16:creationId xmlns:a16="http://schemas.microsoft.com/office/drawing/2014/main" id="{CFD3C099-25D5-47A4-9411-771BE862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161925</xdr:colOff>
      <xdr:row>33</xdr:row>
      <xdr:rowOff>104775</xdr:rowOff>
    </xdr:from>
    <xdr:to>
      <xdr:col>13</xdr:col>
      <xdr:colOff>542925</xdr:colOff>
      <xdr:row>48</xdr:row>
      <xdr:rowOff>127635</xdr:rowOff>
    </xdr:to>
    <xdr:graphicFrame macro="">
      <xdr:nvGraphicFramePr>
        <xdr:cNvPr id="3" name="Chart 45">
          <a:extLst>
            <a:ext uri="{FF2B5EF4-FFF2-40B4-BE49-F238E27FC236}">
              <a16:creationId xmlns:a16="http://schemas.microsoft.com/office/drawing/2014/main" id="{FC6DC39B-4CEA-4156-864B-74D969669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123825</xdr:colOff>
      <xdr:row>33</xdr:row>
      <xdr:rowOff>104775</xdr:rowOff>
    </xdr:from>
    <xdr:to>
      <xdr:col>19</xdr:col>
      <xdr:colOff>504825</xdr:colOff>
      <xdr:row>48</xdr:row>
      <xdr:rowOff>127635</xdr:rowOff>
    </xdr:to>
    <xdr:graphicFrame macro="">
      <xdr:nvGraphicFramePr>
        <xdr:cNvPr id="4" name="Chart 45">
          <a:extLst>
            <a:ext uri="{FF2B5EF4-FFF2-40B4-BE49-F238E27FC236}">
              <a16:creationId xmlns:a16="http://schemas.microsoft.com/office/drawing/2014/main" id="{7D8858EE-19DF-4C2D-906D-CDAF2419F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133350</xdr:colOff>
      <xdr:row>49</xdr:row>
      <xdr:rowOff>19050</xdr:rowOff>
    </xdr:from>
    <xdr:to>
      <xdr:col>7</xdr:col>
      <xdr:colOff>514350</xdr:colOff>
      <xdr:row>64</xdr:row>
      <xdr:rowOff>41910</xdr:rowOff>
    </xdr:to>
    <xdr:graphicFrame macro="">
      <xdr:nvGraphicFramePr>
        <xdr:cNvPr id="5" name="Chart 45">
          <a:extLst>
            <a:ext uri="{FF2B5EF4-FFF2-40B4-BE49-F238E27FC236}">
              <a16:creationId xmlns:a16="http://schemas.microsoft.com/office/drawing/2014/main" id="{9BFACD34-64A0-47B5-9E8A-DBC2B7D06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49</xdr:row>
      <xdr:rowOff>38100</xdr:rowOff>
    </xdr:from>
    <xdr:to>
      <xdr:col>13</xdr:col>
      <xdr:colOff>533400</xdr:colOff>
      <xdr:row>64</xdr:row>
      <xdr:rowOff>60960</xdr:rowOff>
    </xdr:to>
    <xdr:graphicFrame macro="">
      <xdr:nvGraphicFramePr>
        <xdr:cNvPr id="6" name="Chart 45">
          <a:extLst>
            <a:ext uri="{FF2B5EF4-FFF2-40B4-BE49-F238E27FC236}">
              <a16:creationId xmlns:a16="http://schemas.microsoft.com/office/drawing/2014/main" id="{48471EC6-4B4A-4C79-B357-914968A11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64</xdr:row>
      <xdr:rowOff>123825</xdr:rowOff>
    </xdr:from>
    <xdr:to>
      <xdr:col>7</xdr:col>
      <xdr:colOff>504825</xdr:colOff>
      <xdr:row>79</xdr:row>
      <xdr:rowOff>146685</xdr:rowOff>
    </xdr:to>
    <xdr:graphicFrame macro="">
      <xdr:nvGraphicFramePr>
        <xdr:cNvPr id="7" name="Chart 45">
          <a:extLst>
            <a:ext uri="{FF2B5EF4-FFF2-40B4-BE49-F238E27FC236}">
              <a16:creationId xmlns:a16="http://schemas.microsoft.com/office/drawing/2014/main" id="{27148A40-DE60-4CFD-B0A1-1CB3D51FF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142875</xdr:colOff>
      <xdr:row>64</xdr:row>
      <xdr:rowOff>142875</xdr:rowOff>
    </xdr:from>
    <xdr:to>
      <xdr:col>13</xdr:col>
      <xdr:colOff>523875</xdr:colOff>
      <xdr:row>79</xdr:row>
      <xdr:rowOff>165735</xdr:rowOff>
    </xdr:to>
    <xdr:graphicFrame macro="">
      <xdr:nvGraphicFramePr>
        <xdr:cNvPr id="8" name="Chart 45">
          <a:extLst>
            <a:ext uri="{FF2B5EF4-FFF2-40B4-BE49-F238E27FC236}">
              <a16:creationId xmlns:a16="http://schemas.microsoft.com/office/drawing/2014/main" id="{A6DEA9E1-95DF-48C9-AB4F-61CDEB049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95250</xdr:colOff>
      <xdr:row>56</xdr:row>
      <xdr:rowOff>95250</xdr:rowOff>
    </xdr:from>
    <xdr:to>
      <xdr:col>19</xdr:col>
      <xdr:colOff>476250</xdr:colOff>
      <xdr:row>71</xdr:row>
      <xdr:rowOff>118110</xdr:rowOff>
    </xdr:to>
    <xdr:graphicFrame macro="">
      <xdr:nvGraphicFramePr>
        <xdr:cNvPr id="9" name="Chart 45">
          <a:extLst>
            <a:ext uri="{FF2B5EF4-FFF2-40B4-BE49-F238E27FC236}">
              <a16:creationId xmlns:a16="http://schemas.microsoft.com/office/drawing/2014/main" id="{3EBA17D4-A75A-4A9C-A5CE-0C0BC90EA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133350</xdr:colOff>
      <xdr:row>34</xdr:row>
      <xdr:rowOff>66675</xdr:rowOff>
    </xdr:from>
    <xdr:to>
      <xdr:col>7</xdr:col>
      <xdr:colOff>514350</xdr:colOff>
      <xdr:row>49</xdr:row>
      <xdr:rowOff>89535</xdr:rowOff>
    </xdr:to>
    <xdr:graphicFrame macro="">
      <xdr:nvGraphicFramePr>
        <xdr:cNvPr id="2" name="Chart 45">
          <a:extLst>
            <a:ext uri="{FF2B5EF4-FFF2-40B4-BE49-F238E27FC236}">
              <a16:creationId xmlns:a16="http://schemas.microsoft.com/office/drawing/2014/main" id="{E1AF9A70-925C-4F37-811B-8FFDBAA56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123825</xdr:colOff>
      <xdr:row>34</xdr:row>
      <xdr:rowOff>66675</xdr:rowOff>
    </xdr:from>
    <xdr:to>
      <xdr:col>13</xdr:col>
      <xdr:colOff>504825</xdr:colOff>
      <xdr:row>49</xdr:row>
      <xdr:rowOff>89535</xdr:rowOff>
    </xdr:to>
    <xdr:graphicFrame macro="">
      <xdr:nvGraphicFramePr>
        <xdr:cNvPr id="4" name="Chart 45">
          <a:extLst>
            <a:ext uri="{FF2B5EF4-FFF2-40B4-BE49-F238E27FC236}">
              <a16:creationId xmlns:a16="http://schemas.microsoft.com/office/drawing/2014/main" id="{4A7094AD-822B-4E94-A3CF-8E1D2FDDC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619125</xdr:colOff>
      <xdr:row>34</xdr:row>
      <xdr:rowOff>66675</xdr:rowOff>
    </xdr:from>
    <xdr:to>
      <xdr:col>19</xdr:col>
      <xdr:colOff>352425</xdr:colOff>
      <xdr:row>49</xdr:row>
      <xdr:rowOff>89535</xdr:rowOff>
    </xdr:to>
    <xdr:graphicFrame macro="">
      <xdr:nvGraphicFramePr>
        <xdr:cNvPr id="5" name="Chart 45">
          <a:extLst>
            <a:ext uri="{FF2B5EF4-FFF2-40B4-BE49-F238E27FC236}">
              <a16:creationId xmlns:a16="http://schemas.microsoft.com/office/drawing/2014/main" id="{9B57A807-D82B-486E-9027-6D4A36007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123825</xdr:colOff>
      <xdr:row>49</xdr:row>
      <xdr:rowOff>133350</xdr:rowOff>
    </xdr:from>
    <xdr:to>
      <xdr:col>7</xdr:col>
      <xdr:colOff>504825</xdr:colOff>
      <xdr:row>64</xdr:row>
      <xdr:rowOff>156210</xdr:rowOff>
    </xdr:to>
    <xdr:graphicFrame macro="">
      <xdr:nvGraphicFramePr>
        <xdr:cNvPr id="6" name="Chart 45">
          <a:extLst>
            <a:ext uri="{FF2B5EF4-FFF2-40B4-BE49-F238E27FC236}">
              <a16:creationId xmlns:a16="http://schemas.microsoft.com/office/drawing/2014/main" id="{D44859D4-770D-419B-B879-4FC5D1C13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123825</xdr:colOff>
      <xdr:row>49</xdr:row>
      <xdr:rowOff>133350</xdr:rowOff>
    </xdr:from>
    <xdr:to>
      <xdr:col>13</xdr:col>
      <xdr:colOff>504825</xdr:colOff>
      <xdr:row>64</xdr:row>
      <xdr:rowOff>156210</xdr:rowOff>
    </xdr:to>
    <xdr:graphicFrame macro="">
      <xdr:nvGraphicFramePr>
        <xdr:cNvPr id="7" name="Chart 45">
          <a:extLst>
            <a:ext uri="{FF2B5EF4-FFF2-40B4-BE49-F238E27FC236}">
              <a16:creationId xmlns:a16="http://schemas.microsoft.com/office/drawing/2014/main" id="{14B3602C-BACB-4399-8E5E-01BE882E4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619125</xdr:colOff>
      <xdr:row>49</xdr:row>
      <xdr:rowOff>133350</xdr:rowOff>
    </xdr:from>
    <xdr:to>
      <xdr:col>19</xdr:col>
      <xdr:colOff>352425</xdr:colOff>
      <xdr:row>64</xdr:row>
      <xdr:rowOff>156210</xdr:rowOff>
    </xdr:to>
    <xdr:graphicFrame macro="">
      <xdr:nvGraphicFramePr>
        <xdr:cNvPr id="8" name="Chart 45">
          <a:extLst>
            <a:ext uri="{FF2B5EF4-FFF2-40B4-BE49-F238E27FC236}">
              <a16:creationId xmlns:a16="http://schemas.microsoft.com/office/drawing/2014/main" id="{6DB2C523-E661-464F-9736-96AF56DC1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123825</xdr:colOff>
      <xdr:row>65</xdr:row>
      <xdr:rowOff>9525</xdr:rowOff>
    </xdr:from>
    <xdr:to>
      <xdr:col>7</xdr:col>
      <xdr:colOff>504825</xdr:colOff>
      <xdr:row>80</xdr:row>
      <xdr:rowOff>32385</xdr:rowOff>
    </xdr:to>
    <xdr:graphicFrame macro="">
      <xdr:nvGraphicFramePr>
        <xdr:cNvPr id="9" name="Chart 45">
          <a:extLst>
            <a:ext uri="{FF2B5EF4-FFF2-40B4-BE49-F238E27FC236}">
              <a16:creationId xmlns:a16="http://schemas.microsoft.com/office/drawing/2014/main" id="{83EE2457-F5E6-4946-A622-9AD5BE7DA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123825</xdr:colOff>
      <xdr:row>65</xdr:row>
      <xdr:rowOff>9525</xdr:rowOff>
    </xdr:from>
    <xdr:to>
      <xdr:col>13</xdr:col>
      <xdr:colOff>504825</xdr:colOff>
      <xdr:row>80</xdr:row>
      <xdr:rowOff>32385</xdr:rowOff>
    </xdr:to>
    <xdr:graphicFrame macro="">
      <xdr:nvGraphicFramePr>
        <xdr:cNvPr id="10" name="Chart 45">
          <a:extLst>
            <a:ext uri="{FF2B5EF4-FFF2-40B4-BE49-F238E27FC236}">
              <a16:creationId xmlns:a16="http://schemas.microsoft.com/office/drawing/2014/main" id="{07F19CB0-9A0F-4111-A162-AF2F244EC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619125</xdr:colOff>
      <xdr:row>65</xdr:row>
      <xdr:rowOff>9525</xdr:rowOff>
    </xdr:from>
    <xdr:to>
      <xdr:col>19</xdr:col>
      <xdr:colOff>352425</xdr:colOff>
      <xdr:row>80</xdr:row>
      <xdr:rowOff>32385</xdr:rowOff>
    </xdr:to>
    <xdr:graphicFrame macro="">
      <xdr:nvGraphicFramePr>
        <xdr:cNvPr id="11" name="Chart 45">
          <a:extLst>
            <a:ext uri="{FF2B5EF4-FFF2-40B4-BE49-F238E27FC236}">
              <a16:creationId xmlns:a16="http://schemas.microsoft.com/office/drawing/2014/main" id="{E6DBE351-6E98-4C0A-892A-019AAC862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104775</xdr:colOff>
      <xdr:row>80</xdr:row>
      <xdr:rowOff>85725</xdr:rowOff>
    </xdr:from>
    <xdr:to>
      <xdr:col>7</xdr:col>
      <xdr:colOff>485775</xdr:colOff>
      <xdr:row>95</xdr:row>
      <xdr:rowOff>108585</xdr:rowOff>
    </xdr:to>
    <xdr:graphicFrame macro="">
      <xdr:nvGraphicFramePr>
        <xdr:cNvPr id="12" name="Chart 45">
          <a:extLst>
            <a:ext uri="{FF2B5EF4-FFF2-40B4-BE49-F238E27FC236}">
              <a16:creationId xmlns:a16="http://schemas.microsoft.com/office/drawing/2014/main" id="{BA30E150-C9AF-43FA-90C1-F182E862C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123825</xdr:colOff>
      <xdr:row>80</xdr:row>
      <xdr:rowOff>85725</xdr:rowOff>
    </xdr:from>
    <xdr:to>
      <xdr:col>13</xdr:col>
      <xdr:colOff>504825</xdr:colOff>
      <xdr:row>95</xdr:row>
      <xdr:rowOff>108585</xdr:rowOff>
    </xdr:to>
    <xdr:graphicFrame macro="">
      <xdr:nvGraphicFramePr>
        <xdr:cNvPr id="13" name="Chart 45">
          <a:extLst>
            <a:ext uri="{FF2B5EF4-FFF2-40B4-BE49-F238E27FC236}">
              <a16:creationId xmlns:a16="http://schemas.microsoft.com/office/drawing/2014/main" id="{4565BC20-6438-415C-B45F-AF4DC2BDB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619125</xdr:colOff>
      <xdr:row>80</xdr:row>
      <xdr:rowOff>95250</xdr:rowOff>
    </xdr:from>
    <xdr:to>
      <xdr:col>19</xdr:col>
      <xdr:colOff>352425</xdr:colOff>
      <xdr:row>95</xdr:row>
      <xdr:rowOff>118110</xdr:rowOff>
    </xdr:to>
    <xdr:graphicFrame macro="">
      <xdr:nvGraphicFramePr>
        <xdr:cNvPr id="14" name="Chart 45">
          <a:extLst>
            <a:ext uri="{FF2B5EF4-FFF2-40B4-BE49-F238E27FC236}">
              <a16:creationId xmlns:a16="http://schemas.microsoft.com/office/drawing/2014/main" id="{1A3815A4-4DF8-4F44-AAFB-2686BDB54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OWW AR" id="{D0A4B38A-EA4E-44FF-98FB-B7BF5247C1E1}" userId="OWW AR" providerId="None"/>
  <person displayName="Erin Scott" id="{220E8AEE-083A-48A5-93B8-0EFE17BAA40B}" userId="erins@uark.edu" providerId="PeoplePicker"/>
  <person displayName="Sudharsan Varma Vempalli" id="{0ACE9DCE-56E4-480D-BF47-8FD610166F5E}" userId="svvempal@uark.edu" providerId="PeoplePicker"/>
  <person displayName="Sudharsan Varma Vempalli" id="{2F6AFCD3-D132-4B1E-BD2D-D22C6147744B}" userId="Sudharsan Varma Vempalli" providerId="None"/>
  <person displayName="Erin Scott" id="{6DFCF6B1-0EDB-463D-A7EA-E2458A2E2DF2}" userId="S::erins@uark.edu::b2474ebb-58a5-4814-988a-98b7d7bd5199" providerId="AD"/>
  <person displayName="Jacob Allen Hickman" id="{C21DE2D1-5503-4C74-90D9-917C5FB33EF9}" userId="S::jah028@uark.edu::5494074f-ead9-4b16-98de-45580aba1ade" providerId="AD"/>
  <person displayName="Sudharsan Vempalli" id="{204964C6-9AE9-45F2-BE24-C9CCEEE94A23}" userId="S::svvempal@uark.edu::7796f34f-ff11-4ec5-8c34-39b037f02e40"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8</v>
    <v>2</v>
    <v>1</v>
  </rv>
  <rv s="0">
    <v>0</v>
    <v>8</v>
    <v>3</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Z98" personId="{D0A4B38A-EA4E-44FF-98FB-B7BF5247C1E1}" id="{A6595AA7-BE78-43BC-A1EA-46AE9A971861}">
    <text>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ext>
  </threadedComment>
  <threadedComment ref="AZ100" personId="{D0A4B38A-EA4E-44FF-98FB-B7BF5247C1E1}" id="{4792F912-96A0-4F5C-A160-981931227189}">
    <text>DST:
Capital costs are annualized as $/animal/year. 
They include costs of construction and equipment needed for all unit processes in the given MMS scenario. 
These costs are calculated from the initial purchase price, expected lifetime, annual usage, salvage value, and interest.</text>
  </threadedComment>
  <threadedComment ref="AZ101" personId="{D0A4B38A-EA4E-44FF-98FB-B7BF5247C1E1}" id="{2D3F5DB9-EEDD-4422-970B-C284499AB8FB}">
    <text>DST:
Operational costs are reported in annual $/animal/year. 
These costs include insurance, repair and maintenance, electricity, fuel, lube, and labor for the MMS in the given scenario.</text>
  </threadedComment>
  <threadedComment ref="AZ103" personId="{D0A4B38A-EA4E-44FF-98FB-B7BF5247C1E1}" id="{E0440D7E-F296-4DA8-8B47-7FA064A08FF6}">
    <text>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ext>
  </threadedComment>
  <threadedComment ref="AZ104" personId="{D0A4B38A-EA4E-44FF-98FB-B7BF5247C1E1}" id="{5E66A81A-2661-400E-BAD3-226B3D19B613}">
    <text>DST:
Cost savings are reported in $/animal/year. 
These include cost savings from avoided resource use, such as recycled water and bedding.</text>
  </threadedComment>
  <threadedComment ref="AZ105" personId="{D0A4B38A-EA4E-44FF-98FB-B7BF5247C1E1}" id="{F5622972-9244-4AC0-96BD-235D2BE87C19}">
    <text>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ext>
  </threadedComment>
  <threadedComment ref="AZ106" personId="{D0A4B38A-EA4E-44FF-98FB-B7BF5247C1E1}" id="{5D989AC7-38A4-4E05-AF8F-6F448FAF571C}">
    <text>DST:
Negative values (and bars in graph) indicate that costs exceed benefits by the given amount; positive values (and bars in graph) indicate that benefits exceed costs by the given amount.</text>
  </threadedComment>
</ThreadedComments>
</file>

<file path=xl/threadedComments/threadedComment10.xml><?xml version="1.0" encoding="utf-8"?>
<ThreadedComments xmlns="http://schemas.microsoft.com/office/spreadsheetml/2018/threadedcomments" xmlns:x="http://schemas.openxmlformats.org/spreadsheetml/2006/main">
  <threadedComment ref="N341" personId="{D0A4B38A-EA4E-44FF-98FB-B7BF5247C1E1}" id="{CD61A0FD-E5FE-4EB3-ABEC-FC91409F5D96}">
    <text>CRV accounts for PP, salvage, depreciation, discount rate</text>
  </threadedComment>
  <threadedComment ref="O341" personId="{D0A4B38A-EA4E-44FF-98FB-B7BF5247C1E1}" id="{6A00705B-9AD8-41EC-B00C-D362D8CB85CE}">
    <text>CRV accounts for PP, salvage, depreciation, discount rate</text>
  </threadedComment>
  <threadedComment ref="N498" personId="{D0A4B38A-EA4E-44FF-98FB-B7BF5247C1E1}" id="{26E77BA5-AB1F-4F5F-A0E7-5B35F8DAE36C}">
    <text>CRV accounts for PP, salvage, depreciation, discount rate</text>
  </threadedComment>
</ThreadedComments>
</file>

<file path=xl/threadedComments/threadedComment11.xml><?xml version="1.0" encoding="utf-8"?>
<ThreadedComments xmlns="http://schemas.microsoft.com/office/spreadsheetml/2018/threadedcomments" xmlns:x="http://schemas.openxmlformats.org/spreadsheetml/2006/main">
  <threadedComment ref="B353" personId="{D0A4B38A-EA4E-44FF-98FB-B7BF5247C1E1}" id="{0D05FC37-12F1-4DA3-9DEC-342F7BA05F76}">
    <text>Here I assume the liner area is equal to surface area</text>
  </threadedComment>
</ThreadedComments>
</file>

<file path=xl/threadedComments/threadedComment12.xml><?xml version="1.0" encoding="utf-8"?>
<ThreadedComments xmlns="http://schemas.microsoft.com/office/spreadsheetml/2018/threadedcomments" xmlns:x="http://schemas.openxmlformats.org/spreadsheetml/2006/main">
  <threadedComment ref="B386" personId="{D0A4B38A-EA4E-44FF-98FB-B7BF5247C1E1}" id="{B2E17018-6C37-416E-BD42-E06DA2552867}">
    <text>Here I assume the liner area is equal to surface area</text>
  </threadedComment>
</ThreadedComments>
</file>

<file path=xl/threadedComments/threadedComment13.xml><?xml version="1.0" encoding="utf-8"?>
<ThreadedComments xmlns="http://schemas.microsoft.com/office/spreadsheetml/2018/threadedcomments" xmlns:x="http://schemas.openxmlformats.org/spreadsheetml/2006/main">
  <threadedComment ref="B353" personId="{D0A4B38A-EA4E-44FF-98FB-B7BF5247C1E1}" id="{BDB0F4C0-01D7-4AD3-805D-ACC453AC9F97}">
    <text>Here I assume the liner area is equal to surface area</text>
  </threadedComment>
</ThreadedComments>
</file>

<file path=xl/threadedComments/threadedComment14.xml><?xml version="1.0" encoding="utf-8"?>
<ThreadedComments xmlns="http://schemas.microsoft.com/office/spreadsheetml/2018/threadedcomments" xmlns:x="http://schemas.openxmlformats.org/spreadsheetml/2006/main">
  <threadedComment ref="B452" personId="{D0A4B38A-EA4E-44FF-98FB-B7BF5247C1E1}" id="{B084FD37-5850-44F1-9E62-59658A8047D9}">
    <text>Here I assume the liner area is equal to surface area</text>
  </threadedComment>
</ThreadedComments>
</file>

<file path=xl/threadedComments/threadedComment15.xml><?xml version="1.0" encoding="utf-8"?>
<ThreadedComments xmlns="http://schemas.microsoft.com/office/spreadsheetml/2018/threadedcomments" xmlns:x="http://schemas.openxmlformats.org/spreadsheetml/2006/main">
  <threadedComment ref="B486" personId="{D0A4B38A-EA4E-44FF-98FB-B7BF5247C1E1}" id="{6206E44F-700B-40B3-828F-E43A13E3DF7A}">
    <text>Here I assume the liner area is equal to surface area</text>
  </threadedComment>
</ThreadedComments>
</file>

<file path=xl/threadedComments/threadedComment16.xml><?xml version="1.0" encoding="utf-8"?>
<ThreadedComments xmlns="http://schemas.microsoft.com/office/spreadsheetml/2018/threadedcomments" xmlns:x="http://schemas.openxmlformats.org/spreadsheetml/2006/main">
  <threadedComment ref="B452" personId="{D0A4B38A-EA4E-44FF-98FB-B7BF5247C1E1}" id="{AA3686A0-5E40-4BF4-95E1-5C781EBD8861}">
    <text>Here I assume the liner area is equal to surface area</text>
  </threadedComment>
</ThreadedComments>
</file>

<file path=xl/threadedComments/threadedComment17.xml><?xml version="1.0" encoding="utf-8"?>
<ThreadedComments xmlns="http://schemas.microsoft.com/office/spreadsheetml/2018/threadedcomments" xmlns:x="http://schemas.openxmlformats.org/spreadsheetml/2006/main">
  <threadedComment ref="N401" personId="{D0A4B38A-EA4E-44FF-98FB-B7BF5247C1E1}" id="{8A31C49A-6DDB-47B4-AF2D-C3299FB5368D}">
    <text>CRV accounts for PP, salvage, depreciation, discount rate</text>
  </threadedComment>
  <threadedComment ref="B403" personId="{D0A4B38A-EA4E-44FF-98FB-B7BF5247C1E1}" id="{3D011255-600F-49C1-99C5-13D19E009C42}">
    <text>Here I assume the liner area is equal to surface area</text>
  </threadedComment>
  <threadedComment ref="B454" personId="{D0A4B38A-EA4E-44FF-98FB-B7BF5247C1E1}" id="{6A0FCBC2-BE2B-4059-9597-F7AB8F4A3422}">
    <text>Here I assume the liner area is equal to surface area</text>
  </threadedComment>
</ThreadedComments>
</file>

<file path=xl/threadedComments/threadedComment18.xml><?xml version="1.0" encoding="utf-8"?>
<ThreadedComments xmlns="http://schemas.microsoft.com/office/spreadsheetml/2018/threadedcomments" xmlns:x="http://schemas.openxmlformats.org/spreadsheetml/2006/main">
  <threadedComment ref="N434" personId="{D0A4B38A-EA4E-44FF-98FB-B7BF5247C1E1}" id="{925598C0-A370-4B04-8FF2-237761F08625}">
    <text>CRV accounts for PP, salvage, depreciation, discount rate</text>
  </threadedComment>
  <threadedComment ref="B436" personId="{D0A4B38A-EA4E-44FF-98FB-B7BF5247C1E1}" id="{1DCE39B6-60DE-414D-AFA3-4B2F4BF0ABD4}">
    <text>Here I assume the liner area is equal to surface area</text>
  </threadedComment>
  <threadedComment ref="F443" personId="{D0A4B38A-EA4E-44FF-98FB-B7BF5247C1E1}" id="{B52AC329-AB8D-4067-9B3D-F0D1C4E24BE9}">
    <text>this could be calculated using EPA ag star equation, or equation created from NRCS data for cost of lagoon plus cost of lagoon cover</text>
  </threadedComment>
  <threadedComment ref="B487" personId="{D0A4B38A-EA4E-44FF-98FB-B7BF5247C1E1}" id="{2E63B876-2E65-4FCB-AF37-2AB15E964318}">
    <text>Here I assume the liner area is equal to surface area</text>
  </threadedComment>
</ThreadedComments>
</file>

<file path=xl/threadedComments/threadedComment19.xml><?xml version="1.0" encoding="utf-8"?>
<ThreadedComments xmlns="http://schemas.microsoft.com/office/spreadsheetml/2018/threadedcomments" xmlns:x="http://schemas.openxmlformats.org/spreadsheetml/2006/main">
  <threadedComment ref="N400" personId="{D0A4B38A-EA4E-44FF-98FB-B7BF5247C1E1}" id="{8E4CA411-914D-42CE-B0C5-A7D262845373}">
    <text>CRV accounts for PP, salvage, depreciation, discount rate</text>
  </threadedComment>
  <threadedComment ref="B402" personId="{D0A4B38A-EA4E-44FF-98FB-B7BF5247C1E1}" id="{AE60F49A-828F-4834-9A26-7B7DD5E5012D}">
    <text>Here I assume the liner area is equal to surface area</text>
  </threadedComment>
  <threadedComment ref="F409" personId="{D0A4B38A-EA4E-44FF-98FB-B7BF5247C1E1}" id="{9E174F8A-592D-421E-817A-9CC03E92B593}">
    <text>this could be calculated using EPA ag star equation, or equation created from NRCS data for cost of lagoon plus cost of lagoon cover</text>
  </threadedComment>
  <threadedComment ref="B453" personId="{D0A4B38A-EA4E-44FF-98FB-B7BF5247C1E1}" id="{ADC99375-A02D-4559-B386-59B09BA5F5AE}">
    <text>Here I assume the liner area is equal to surface area</text>
  </threadedComment>
</ThreadedComments>
</file>

<file path=xl/threadedComments/threadedComment2.xml><?xml version="1.0" encoding="utf-8"?>
<ThreadedComments xmlns="http://schemas.microsoft.com/office/spreadsheetml/2018/threadedcomments" xmlns:x="http://schemas.openxmlformats.org/spreadsheetml/2006/main">
  <threadedComment ref="D19" personId="{D0A4B38A-EA4E-44FF-98FB-B7BF5247C1E1}" id="{F2F7849C-2416-4077-B149-C2D0E2D9CA81}">
    <text>DST:
Capital costs are annualized as $/animal/year. 
They include costs of construction and equipment needed for all unit processes in the given MMS scenario. 
These costs are calculated from the initial purchase price, expected lifetime, annual usage, salvage value, and interest.</text>
  </threadedComment>
  <threadedComment ref="D20" personId="{D0A4B38A-EA4E-44FF-98FB-B7BF5247C1E1}" id="{5F94CB22-CA28-4D2C-907B-9601EBE405E8}">
    <text>DST:
Operational costs are reported in annual $/animal/year. 
These costs include insurance, repair and maintenance, electricity, fuel, lube, and labor for the MMS in the given scenario.</text>
  </threadedComment>
  <threadedComment ref="D21" personId="{D0A4B38A-EA4E-44FF-98FB-B7BF5247C1E1}" id="{C3B25A34-8FDE-44A3-BE5E-5CA44D351524}">
    <text>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ext>
  </threadedComment>
  <threadedComment ref="D22" personId="{D0A4B38A-EA4E-44FF-98FB-B7BF5247C1E1}" id="{0A6FC94C-0527-42D4-B76F-12581BCA5D20}">
    <text>DST:
Cost savings are reported in $/animal/year. 
These include cost savings from avoided resource use, such as recycled water and bedding.</text>
  </threadedComment>
  <threadedComment ref="D23" personId="{D0A4B38A-EA4E-44FF-98FB-B7BF5247C1E1}" id="{00C99F13-54AB-404E-8486-3B6BE5A5EFB2}">
    <text>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ext>
  </threadedComment>
  <threadedComment ref="D24" personId="{D0A4B38A-EA4E-44FF-98FB-B7BF5247C1E1}" id="{138D0C50-4CF9-4258-B0F7-D0CB21CA5073}">
    <text>DST:
Negative values (and bars in graph) indicate that costs exceed benefits by the given amount; positive values (and bars in graph) indicate that benefits exceed costs by the given amount.</text>
  </threadedComment>
  <threadedComment ref="AZ101" personId="{D0A4B38A-EA4E-44FF-98FB-B7BF5247C1E1}" id="{1981C9DE-E8E9-42EF-B493-EF1D72070587}">
    <text>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ext>
  </threadedComment>
  <threadedComment ref="AZ103" personId="{D0A4B38A-EA4E-44FF-98FB-B7BF5247C1E1}" id="{50B62E81-80A7-48C3-8C26-11AA054BCF9A}">
    <text>DST:
Capital costs are annualized as $/animal/year. 
They include costs of construction and equipment needed for all unit processes in the given MMS scenario. 
These costs are calculated from the initial purchase price, expected lifetime, annual usage, salvage value, and interest.</text>
  </threadedComment>
  <threadedComment ref="AZ104" personId="{D0A4B38A-EA4E-44FF-98FB-B7BF5247C1E1}" id="{5CEB85C6-E045-4E76-88DD-6B02B2E4DE14}">
    <text>DST:
Operational costs are reported in annual $/animal/year. 
These costs include insurance, repair and maintenance, electricity, fuel, lube, and labor for the MMS in the given scenario.</text>
  </threadedComment>
  <threadedComment ref="AZ106" personId="{D0A4B38A-EA4E-44FF-98FB-B7BF5247C1E1}" id="{BB6DE31D-7185-42FA-A56E-46A4746346DB}">
    <text>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ext>
  </threadedComment>
  <threadedComment ref="AZ107" personId="{D0A4B38A-EA4E-44FF-98FB-B7BF5247C1E1}" id="{A2C06F64-864E-472A-90BB-399CD32CD276}">
    <text>DST:
Cost savings are reported in $/animal/year. 
These include cost savings from avoided resource use, such as recycled water and bedding.</text>
  </threadedComment>
  <threadedComment ref="AZ108" personId="{D0A4B38A-EA4E-44FF-98FB-B7BF5247C1E1}" id="{F4786EFD-0094-4229-A762-B42CE30DD579}">
    <text>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ext>
  </threadedComment>
  <threadedComment ref="AZ109" personId="{D0A4B38A-EA4E-44FF-98FB-B7BF5247C1E1}" id="{58F3EBA4-33EF-40F2-92BF-8220F3327B1A}">
    <text>DST:
Negative values (and bars in graph) indicate that costs exceed benefits by the given amount; positive values (and bars in graph) indicate that benefits exceed costs by the given amount.</text>
  </threadedComment>
</ThreadedComments>
</file>

<file path=xl/threadedComments/threadedComment20.xml><?xml version="1.0" encoding="utf-8"?>
<ThreadedComments xmlns="http://schemas.microsoft.com/office/spreadsheetml/2018/threadedcomments" xmlns:x="http://schemas.openxmlformats.org/spreadsheetml/2006/main">
  <threadedComment ref="N427" personId="{D0A4B38A-EA4E-44FF-98FB-B7BF5247C1E1}" id="{AC382ED1-E07E-470C-BE9B-DA39948E19FD}">
    <text>CRV accounts for PP, salvage, depreciation, discount rate</text>
  </threadedComment>
  <threadedComment ref="N585" personId="{D0A4B38A-EA4E-44FF-98FB-B7BF5247C1E1}" id="{3FC9F05A-CA1E-48D4-8256-316323B59AFE}">
    <text>CRV accounts for PP, salvage, depreciation, discount rate</text>
  </threadedComment>
</ThreadedComments>
</file>

<file path=xl/threadedComments/threadedComment21.xml><?xml version="1.0" encoding="utf-8"?>
<ThreadedComments xmlns="http://schemas.microsoft.com/office/spreadsheetml/2018/threadedcomments" xmlns:x="http://schemas.openxmlformats.org/spreadsheetml/2006/main">
  <threadedComment ref="N442" personId="{D0A4B38A-EA4E-44FF-98FB-B7BF5247C1E1}" id="{97D81F0C-AB86-46C2-BF51-55279FEC2559}">
    <text>CRV accounts for PP, salvage, depreciation, discount rate</text>
  </threadedComment>
  <threadedComment ref="O442" personId="{D0A4B38A-EA4E-44FF-98FB-B7BF5247C1E1}" id="{FACD5AA7-2450-47CE-832E-389943676B43}">
    <text>CRV accounts for PP, salvage, depreciation, discount rate</text>
  </threadedComment>
  <threadedComment ref="E471" personId="{D0A4B38A-EA4E-44FF-98FB-B7BF5247C1E1}" id="{7BF18413-630A-4234-9946-AD82A4EFBBA6}">
    <text>link to tractor usage tables</text>
  </threadedComment>
  <threadedComment ref="E472" personId="{D0A4B38A-EA4E-44FF-98FB-B7BF5247C1E1}" id="{666B3AFF-1DCE-4000-AC76-31902B4BB7E4}">
    <text>link to tractor usage table</text>
  </threadedComment>
  <threadedComment ref="E475" personId="{D0A4B38A-EA4E-44FF-98FB-B7BF5247C1E1}" id="{3D71964E-9C1F-4B5C-B0D6-9DE04B5B2F9F}">
    <text>link to tractor usage tables</text>
  </threadedComment>
  <threadedComment ref="E476" personId="{D0A4B38A-EA4E-44FF-98FB-B7BF5247C1E1}" id="{B7A6838E-EEF0-4D7A-AF0D-71344D04A138}">
    <text>link to tractor usage tables</text>
  </threadedComment>
</ThreadedComments>
</file>

<file path=xl/threadedComments/threadedComment22.xml><?xml version="1.0" encoding="utf-8"?>
<ThreadedComments xmlns="http://schemas.microsoft.com/office/spreadsheetml/2018/threadedcomments" xmlns:x="http://schemas.openxmlformats.org/spreadsheetml/2006/main">
  <threadedComment ref="B475" personId="{D0A4B38A-EA4E-44FF-98FB-B7BF5247C1E1}" id="{26681BB4-D637-4784-BC4E-DFB8083D86AC}">
    <text>Here I assume the liner area is equal to surface area</text>
  </threadedComment>
  <threadedComment ref="E493" personId="{D0A4B38A-EA4E-44FF-98FB-B7BF5247C1E1}" id="{9679787E-5C1F-4D21-86D0-1246D9825C50}">
    <text>link to tractor usage tables</text>
  </threadedComment>
  <threadedComment ref="E494" personId="{D0A4B38A-EA4E-44FF-98FB-B7BF5247C1E1}" id="{9D4D6094-3CAD-4ED2-A59A-80C1AC8D8A53}">
    <text>link to tractor usage table</text>
  </threadedComment>
  <threadedComment ref="E497" personId="{D0A4B38A-EA4E-44FF-98FB-B7BF5247C1E1}" id="{2F562844-7AF6-4AB7-BD24-551B42AA47A8}">
    <text>link to tractor usage tables</text>
  </threadedComment>
  <threadedComment ref="E498" personId="{D0A4B38A-EA4E-44FF-98FB-B7BF5247C1E1}" id="{07B38E62-4A67-46C8-A831-DD041B277A07}">
    <text>link to tractor usage tables</text>
  </threadedComment>
  <threadedComment ref="H535" personId="{D0A4B38A-EA4E-44FF-98FB-B7BF5247C1E1}" id="{D743BC6E-C5F5-422C-B93B-418EFCE85538}">
    <text>for transfering solids to box spreader</text>
  </threadedComment>
  <threadedComment ref="E536" personId="{D0A4B38A-EA4E-44FF-98FB-B7BF5247C1E1}" id="{EB39364E-9012-4116-89AD-804DCC21A99F}">
    <text>link to tractor usage table</text>
  </threadedComment>
  <threadedComment ref="E539" personId="{D0A4B38A-EA4E-44FF-98FB-B7BF5247C1E1}" id="{4728B079-93F3-455C-AA42-FDABCDD91BC6}">
    <text>link to tractor usage table</text>
  </threadedComment>
  <threadedComment ref="E543" personId="{D0A4B38A-EA4E-44FF-98FB-B7BF5247C1E1}" id="{8F952C8B-8EDE-428E-9178-5CB6B6888658}">
    <text>link to tractor usage table</text>
  </threadedComment>
  <threadedComment ref="H674" personId="{D0A4B38A-EA4E-44FF-98FB-B7BF5247C1E1}" id="{C895105B-340C-41AC-A2DB-89E3E2D3A8AE}">
    <text>for transfering solids to box spreader</text>
  </threadedComment>
  <threadedComment ref="E678" personId="{D0A4B38A-EA4E-44FF-98FB-B7BF5247C1E1}" id="{EB5E2D17-1E2D-4F53-9A99-4CE21F873801}">
    <text>link to tractor usage table</text>
  </threadedComment>
  <threadedComment ref="E679" personId="{D0A4B38A-EA4E-44FF-98FB-B7BF5247C1E1}" id="{9E1AA03D-DEBE-4BE9-AE63-FA03DB6CD5C4}">
    <text>link to tractor usage table</text>
  </threadedComment>
  <threadedComment ref="F745" personId="{D0A4B38A-EA4E-44FF-98FB-B7BF5247C1E1}" id="{C7417F51-46C1-47EE-93F1-A4528F45E3AF}">
    <text>link to tractor usage table</text>
  </threadedComment>
  <threadedComment ref="F749" personId="{D0A4B38A-EA4E-44FF-98FB-B7BF5247C1E1}" id="{D0408E0B-7B55-4736-A004-99A36CAF1E5E}">
    <text>link to tractor usage table</text>
  </threadedComment>
</ThreadedComments>
</file>

<file path=xl/threadedComments/threadedComment3.xml><?xml version="1.0" encoding="utf-8"?>
<ThreadedComments xmlns="http://schemas.microsoft.com/office/spreadsheetml/2018/threadedcomments" xmlns:x="http://schemas.openxmlformats.org/spreadsheetml/2006/main">
  <threadedComment ref="AZ122" personId="{D0A4B38A-EA4E-44FF-98FB-B7BF5247C1E1}" id="{A1436B12-BB35-4259-8CDA-F70661223E9F}">
    <text>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ext>
  </threadedComment>
  <threadedComment ref="AZ124" personId="{D0A4B38A-EA4E-44FF-98FB-B7BF5247C1E1}" id="{AB4C43C9-EC7F-42D1-ADA0-F7268F3BF558}">
    <text>DST:
Capital costs are annualized as $/animal/year. 
They include costs of construction and equipment needed for all unit processes in the given MMS scenario. 
These costs are calculated from the initial purchase price, expected lifetime, annual usage, salvage value, and interest.</text>
  </threadedComment>
  <threadedComment ref="AZ125" personId="{D0A4B38A-EA4E-44FF-98FB-B7BF5247C1E1}" id="{6B9ECC72-A014-4F56-92D8-443FBC6A58A6}">
    <text>DST:
Operational costs are reported in annual $/animal/year. 
These costs include insurance, repair and maintenance, electricity, fuel, lube, and labor for the MMS in the given scenario.</text>
  </threadedComment>
  <threadedComment ref="AZ127" personId="{D0A4B38A-EA4E-44FF-98FB-B7BF5247C1E1}" id="{39CAD85D-7CD2-4173-9EA1-F9B52A1694A8}">
    <text>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ext>
  </threadedComment>
  <threadedComment ref="AZ128" personId="{D0A4B38A-EA4E-44FF-98FB-B7BF5247C1E1}" id="{DE6CA30F-AEAD-41C6-AAA8-ECC935736490}">
    <text>DST:
Cost savings are reported in $/animal/year. 
These include cost savings from avoided resource use, such as recycled water and bedding.</text>
  </threadedComment>
  <threadedComment ref="AZ129" personId="{D0A4B38A-EA4E-44FF-98FB-B7BF5247C1E1}" id="{7ECDC75A-7A1C-43E6-BE8D-CE3D5B4A1D4B}">
    <text>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ext>
  </threadedComment>
  <threadedComment ref="AZ130" personId="{D0A4B38A-EA4E-44FF-98FB-B7BF5247C1E1}" id="{DBFF7FB8-DA17-4666-B050-196E3B1734BA}">
    <text>DST:
Negative values (and bars in graph) indicate that costs exceed benefits by the given amount; positive values (and bars in graph) indicate that benefits exceed costs by the given amount.</text>
  </threadedComment>
</ThreadedComments>
</file>

<file path=xl/threadedComments/threadedComment4.xml><?xml version="1.0" encoding="utf-8"?>
<ThreadedComments xmlns="http://schemas.microsoft.com/office/spreadsheetml/2018/threadedcomments" xmlns:x="http://schemas.openxmlformats.org/spreadsheetml/2006/main">
  <threadedComment ref="AZ137" personId="{D0A4B38A-EA4E-44FF-98FB-B7BF5247C1E1}" id="{78DA5F0E-AE98-44BD-8E7D-05688D449432}">
    <text>DST:
Capital outlay (total $) represents the initial investment (total capital) costs for all components of the scenario. 
This assumes all equipment and machinery are purchased new. For example, if a tractor is needed, the total cost of purchase will be included in this value, regardless of the time split between MMS and other on-farm activities.</text>
  </threadedComment>
  <threadedComment ref="AZ139" personId="{D0A4B38A-EA4E-44FF-98FB-B7BF5247C1E1}" id="{D5066020-D7D6-4043-A3A9-97FB45657654}">
    <text>DST:
Capital costs are annualized as $/animal/year. 
They include costs of construction and equipment needed for all unit processes in the given MMS scenario. 
These costs are calculated from the initial purchase price, expected lifetime, annual usage, salvage value, and interest.</text>
  </threadedComment>
  <threadedComment ref="AZ140" personId="{D0A4B38A-EA4E-44FF-98FB-B7BF5247C1E1}" id="{BD2FD09C-7FDB-42BA-AE6C-F1FC647C907E}">
    <text>DST:
Operational costs are reported in annual $/animal/year. 
These costs include insurance, repair and maintenance, electricity, fuel, lube, and labor for the MMS in the given scenario.</text>
  </threadedComment>
  <threadedComment ref="AZ142" personId="{D0A4B38A-EA4E-44FF-98FB-B7BF5247C1E1}" id="{0F3BCE9E-A4D4-4B24-B379-56BC897A778A}">
    <text>DST:
Fertilizer value is reported in $/animal/year. 
This is the value of manure nutrients that can be land applied, given the manure nutrient content, fertilizer nutrient needs, nutrient to apply for (N or P), and the acres available for land application. 
For MMS scenarios where a storage is emptied less than every year, the annual average value over the storage time period is used. 
When available land is not adequate for complete application of manure nutrients, the excess manure nutrient value is NOT counted towards fertilizer value; rather, it may be included in revenues if it can be sold, costs if it must be paid to haul away, or excluded from costs or benefits if it is given away.</text>
  </threadedComment>
  <threadedComment ref="AZ143" personId="{D0A4B38A-EA4E-44FF-98FB-B7BF5247C1E1}" id="{2936D0A4-00B0-40D2-B058-E5B30F417564}">
    <text>DST:
Cost savings are reported in $/animal/year. 
These include cost savings from avoided resource use, such as recycled water and bedding.</text>
  </threadedComment>
  <threadedComment ref="AZ144" personId="{D0A4B38A-EA4E-44FF-98FB-B7BF5247C1E1}" id="{86D78672-21CA-4D44-913B-D8270EDC54EB}">
    <text>DST:
Revenues are reported in $/animal/year. 
These include revenues from resources generated on-farm which can be sold, such as manure end products, bedding, and energy from anaerobic digestion. 
For MMS scenarios where a storage is emptied less than every year, the annual average value over the storage time period is used.</text>
  </threadedComment>
  <threadedComment ref="AZ145" personId="{D0A4B38A-EA4E-44FF-98FB-B7BF5247C1E1}" id="{AA96D5A6-E0A8-463B-AD03-4F1A9CDC450D}">
    <text>DST:
Negative values (and bars in graph) indicate that costs exceed benefits by the given amount; positive values (and bars in graph) indicate that benefits exceed costs by the given amount.</text>
  </threadedComment>
</ThreadedComments>
</file>

<file path=xl/threadedComments/threadedComment5.xml><?xml version="1.0" encoding="utf-8"?>
<ThreadedComments xmlns="http://schemas.microsoft.com/office/spreadsheetml/2018/threadedcomments" xmlns:x="http://schemas.openxmlformats.org/spreadsheetml/2006/main">
  <threadedComment ref="H226" personId="{D0A4B38A-EA4E-44FF-98FB-B7BF5247C1E1}" id="{1D57CA9C-4D62-4698-A40A-2508E34A5D47}">
    <text>NEED TO CHANGE THIS TO LINK TO USER INPUT</text>
  </threadedComment>
  <threadedComment ref="B454" dT="2024-03-28T05:06:25.97" personId="{C21DE2D1-5503-4C74-90D9-917C5FB33EF9}" id="{13DB2E4D-C53B-4D51-B827-FA028F40006B}">
    <text>Resume units here</text>
  </threadedComment>
</ThreadedComments>
</file>

<file path=xl/threadedComments/threadedComment6.xml><?xml version="1.0" encoding="utf-8"?>
<ThreadedComments xmlns="http://schemas.microsoft.com/office/spreadsheetml/2018/threadedcomments" xmlns:x="http://schemas.openxmlformats.org/spreadsheetml/2006/main">
  <threadedComment ref="B23" personId="{D0A4B38A-EA4E-44FF-98FB-B7BF5247C1E1}" id="{95F11506-14EC-4491-8DFE-BD1C88FB2309}">
    <text>I am no longer using this reference, because I'm assuming that separator housing will cost $70,000 (see associated reference)</text>
  </threadedComment>
</ThreadedComments>
</file>

<file path=xl/threadedComments/threadedComment7.xml><?xml version="1.0" encoding="utf-8"?>
<ThreadedComments xmlns="http://schemas.microsoft.com/office/spreadsheetml/2018/threadedcomments" xmlns:x="http://schemas.openxmlformats.org/spreadsheetml/2006/main">
  <threadedComment ref="AF3" personId="{2F6AFCD3-D132-4B1E-BD2D-D22C6147744B}" id="{DCB7B53E-80B1-40F2-828F-FF5A127D0452}">
    <text>Emissions/animal/year - Includes emissions related to the manure management activities from manure generation to land application and the raw materials consumed.</text>
  </threadedComment>
  <threadedComment ref="AO3" personId="{2F6AFCD3-D132-4B1E-BD2D-D22C6147744B}" id="{063944FE-BCDF-49CD-BD4C-57D53829D2B1}">
    <text>Emissions/animal/year - Includes emissions related to the commercial fertilizer substitution by Manure land application.</text>
  </threadedComment>
  <threadedComment ref="AX3" personId="{2F6AFCD3-D132-4B1E-BD2D-D22C6147744B}" id="{9E66CE42-DC1B-4836-B4E2-7D064975DC28}">
    <text>Emissions/animal/year - Includes emissions related to the commercial fertilizer substitution by Manure land application.</text>
  </threadedComment>
  <threadedComment ref="A8" dT="2022-09-20T17:24:33.03" personId="{6DFCF6B1-0EDB-463D-A7EA-E2458A2E2DF2}" id="{E40723F9-89F4-4D78-A46E-D73E6A41AB7C}">
    <text>@Sudharsan Varma Vempalli: hey varma, should these scenarios be labeled like in the green column? Basically, each tab is a scenario, with the a and b within each tab?</text>
    <mentions>
      <mention mentionpersonId="{0ACE9DCE-56E4-480D-BF47-8FD610166F5E}" mentionId="{FF7BC240-0658-4277-B0D0-5B0387A94BA7}" startIndex="0" length="25"/>
    </mentions>
  </threadedComment>
  <threadedComment ref="A8" dT="2022-09-20T17:57:12.08" personId="{204964C6-9AE9-45F2-BE24-C9CCEEE94A23}" id="{A4D97C03-6BEB-40C4-BAF8-6E702D40C201}" parentId="{E40723F9-89F4-4D78-A46E-D73E6A41AB7C}">
    <text>@Erin Scott Yes Erin, that makes sense.</text>
    <mentions>
      <mention mentionpersonId="{220E8AEE-083A-48A5-93B8-0EFE17BAA40B}" mentionId="{6EE40BB9-AEF4-4E6E-B055-A291D4C8AA2C}" startIndex="0" length="11"/>
    </mentions>
  </threadedComment>
  <threadedComment ref="A8" dT="2022-09-20T17:59:40.39" personId="{204964C6-9AE9-45F2-BE24-C9CCEEE94A23}" id="{3401F5AC-E9C1-4D06-8B16-408AC8C96EB7}" parentId="{E40723F9-89F4-4D78-A46E-D73E6A41AB7C}">
    <text>I updated it, once the table starting from G is filled out, I can check for errors. I guess it should work well.</text>
  </threadedComment>
</ThreadedComments>
</file>

<file path=xl/threadedComments/threadedComment8.xml><?xml version="1.0" encoding="utf-8"?>
<ThreadedComments xmlns="http://schemas.microsoft.com/office/spreadsheetml/2018/threadedcomments" xmlns:x="http://schemas.openxmlformats.org/spreadsheetml/2006/main">
  <threadedComment ref="B37" dT="2023-10-25T22:10:45.31" personId="{C21DE2D1-5503-4C74-90D9-917C5FB33EF9}" id="{F306DE0E-234A-47F9-8469-E252EFE672EE}">
    <text xml:space="preserve">@Erin Scott 
For Erin -- Conversion factors for liquids to tons goes in B23:B25
	- Should we make these variables in UD? That way super users can change these if tech or conditions change?
All other calculations are already setup, so AHP results will update automatically when the conversion factors change
</text>
    <mentions>
      <mention mentionpersonId="{220E8AEE-083A-48A5-93B8-0EFE17BAA40B}" mentionId="{4CB09E1F-FD07-4AEB-A4F2-22F08871953C}" startIndex="0" length="11"/>
    </mentions>
  </threadedComment>
</ThreadedComments>
</file>

<file path=xl/threadedComments/threadedComment9.xml><?xml version="1.0" encoding="utf-8"?>
<ThreadedComments xmlns="http://schemas.microsoft.com/office/spreadsheetml/2018/threadedcomments" xmlns:x="http://schemas.openxmlformats.org/spreadsheetml/2006/main">
  <threadedComment ref="N466" personId="{D0A4B38A-EA4E-44FF-98FB-B7BF5247C1E1}" id="{9F758521-8AF0-436A-9E0D-6000A5FA39F0}">
    <text>CRV accounts for PP, salvage, depreciation, discount rate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9.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ipcc-nggip.iges.or.jp/public/2019rf/pdf/4_Volume4/19R_V4_Ch10_Livestock.pdf" TargetMode="External"/><Relationship Id="rId1" Type="http://schemas.openxmlformats.org/officeDocument/2006/relationships/hyperlink" Target="https://extension.missouri.edu/publications/g3402" TargetMode="External"/><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file:///C:\Users\svvempal\AppData\Roaming\Microsoft\Excel\References\Vehicles-and-accessories\Machdata-Lazarus-April2020.xlsm" TargetMode="External"/><Relationship Id="rId1" Type="http://schemas.openxmlformats.org/officeDocument/2006/relationships/hyperlink" Target="https://www.epa.gov/sites/production/files/2018-11/documents/belt-filter-press-factsheet.pdf" TargetMode="External"/><Relationship Id="rId6" Type="http://schemas.microsoft.com/office/2017/10/relationships/threadedComment" Target="../threadedComments/threadedComment6.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sl.noaa.gov/data/usclimdivs/data/map.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4.bin"/><Relationship Id="rId4" Type="http://schemas.microsoft.com/office/2017/10/relationships/threadedComment" Target="../threadedComments/threadedComment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8.bin"/><Relationship Id="rId4" Type="http://schemas.microsoft.com/office/2017/10/relationships/threadedComment" Target="../threadedComments/threadedComment9.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9.bin"/><Relationship Id="rId4" Type="http://schemas.microsoft.com/office/2017/10/relationships/threadedComment" Target="../threadedComments/threadedComment1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0.bin"/><Relationship Id="rId4" Type="http://schemas.microsoft.com/office/2017/10/relationships/threadedComment" Target="../threadedComments/threadedComment1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1.bin"/><Relationship Id="rId4" Type="http://schemas.microsoft.com/office/2017/10/relationships/threadedComment" Target="../threadedComments/threadedComment12.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2.bin"/><Relationship Id="rId4" Type="http://schemas.microsoft.com/office/2017/10/relationships/threadedComment" Target="../threadedComments/threadedComment13.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3.bin"/><Relationship Id="rId4" Type="http://schemas.microsoft.com/office/2017/10/relationships/threadedComment" Target="../threadedComments/threadedComment14.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4.bin"/><Relationship Id="rId4" Type="http://schemas.microsoft.com/office/2017/10/relationships/threadedComment" Target="../threadedComments/threadedComment15.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5.bin"/><Relationship Id="rId4" Type="http://schemas.microsoft.com/office/2017/10/relationships/threadedComment" Target="../threadedComments/threadedComment16.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6.bin"/><Relationship Id="rId4" Type="http://schemas.microsoft.com/office/2017/10/relationships/threadedComment" Target="../threadedComments/threadedComment17.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7.bin"/><Relationship Id="rId4" Type="http://schemas.microsoft.com/office/2017/10/relationships/threadedComment" Target="../threadedComments/threadedComment18.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8.bin"/><Relationship Id="rId4" Type="http://schemas.microsoft.com/office/2017/10/relationships/threadedComment" Target="../threadedComments/threadedComment19.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9.bin"/><Relationship Id="rId4" Type="http://schemas.microsoft.com/office/2017/10/relationships/threadedComment" Target="../threadedComments/threadedComment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0.bin"/><Relationship Id="rId4" Type="http://schemas.microsoft.com/office/2017/10/relationships/threadedComment" Target="../threadedComments/threadedComment21.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1.bin"/><Relationship Id="rId4" Type="http://schemas.microsoft.com/office/2017/10/relationships/threadedComment" Target="../threadedComments/threadedComment2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03A-A4E7-4E97-A407-7D7B9E0D5B76}">
  <sheetPr codeName="Sheet4">
    <tabColor rgb="FF00B0F0"/>
  </sheetPr>
  <dimension ref="A1:AF81"/>
  <sheetViews>
    <sheetView tabSelected="1" workbookViewId="0"/>
  </sheetViews>
  <sheetFormatPr defaultColWidth="9.44140625" defaultRowHeight="14.4" x14ac:dyDescent="0.3"/>
  <cols>
    <col min="2" max="2" width="2.5546875" customWidth="1"/>
    <col min="21" max="21" width="2.5546875" customWidth="1"/>
  </cols>
  <sheetData>
    <row r="1" spans="1:32"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row>
    <row r="2" spans="1:32" ht="15" customHeight="1" thickBot="1" x14ac:dyDescent="0.35">
      <c r="A2" s="926"/>
      <c r="B2" s="926"/>
      <c r="C2" s="923"/>
      <c r="D2" s="923"/>
      <c r="E2" s="923"/>
      <c r="F2" s="2362" t="s">
        <v>0</v>
      </c>
      <c r="G2" s="2363"/>
      <c r="H2" s="2345" t="s">
        <v>1</v>
      </c>
      <c r="I2" s="2346"/>
      <c r="J2" s="2345" t="s">
        <v>2</v>
      </c>
      <c r="K2" s="2346"/>
      <c r="L2" s="2345" t="s">
        <v>3</v>
      </c>
      <c r="M2" s="2346"/>
      <c r="N2" s="2345" t="s">
        <v>4</v>
      </c>
      <c r="O2" s="2346"/>
      <c r="P2" s="2345" t="s">
        <v>5</v>
      </c>
      <c r="Q2" s="2346"/>
      <c r="R2" s="1739"/>
      <c r="S2" s="926"/>
      <c r="T2" s="926"/>
      <c r="U2" s="926"/>
      <c r="V2" s="926"/>
      <c r="W2" s="926"/>
      <c r="X2" s="926"/>
      <c r="Y2" s="926"/>
      <c r="Z2" s="926"/>
      <c r="AA2" s="926"/>
      <c r="AB2" s="926"/>
      <c r="AC2" s="926"/>
      <c r="AD2" s="926"/>
      <c r="AE2" s="926"/>
      <c r="AF2" s="926"/>
    </row>
    <row r="3" spans="1:32" ht="15" customHeight="1" thickTop="1" thickBot="1" x14ac:dyDescent="0.35">
      <c r="A3" s="926"/>
      <c r="B3" s="926"/>
      <c r="C3" s="923"/>
      <c r="D3" s="923"/>
      <c r="E3" s="923"/>
      <c r="F3" s="2364"/>
      <c r="G3" s="2365"/>
      <c r="H3" s="2347"/>
      <c r="I3" s="2348"/>
      <c r="J3" s="2347"/>
      <c r="K3" s="2348"/>
      <c r="L3" s="2347"/>
      <c r="M3" s="2348"/>
      <c r="N3" s="2347"/>
      <c r="O3" s="2348"/>
      <c r="P3" s="2347"/>
      <c r="Q3" s="2348"/>
      <c r="R3" s="1739"/>
      <c r="S3" s="926"/>
      <c r="T3" s="926"/>
      <c r="U3" s="926"/>
      <c r="V3" s="926"/>
      <c r="W3" s="926"/>
      <c r="X3" s="926"/>
      <c r="Y3" s="926"/>
      <c r="Z3" s="926"/>
      <c r="AA3" s="926"/>
      <c r="AB3" s="926"/>
      <c r="AC3" s="926"/>
      <c r="AD3" s="926"/>
      <c r="AE3" s="926"/>
      <c r="AF3" s="926"/>
    </row>
    <row r="4" spans="1:32" ht="15" customHeight="1" thickTop="1" thickBot="1" x14ac:dyDescent="0.35">
      <c r="A4" s="926"/>
      <c r="B4" s="926"/>
      <c r="C4" s="2345" t="s">
        <v>6</v>
      </c>
      <c r="D4" s="2351"/>
      <c r="E4" s="923"/>
      <c r="F4" s="2366"/>
      <c r="G4" s="2367"/>
      <c r="H4" s="2349"/>
      <c r="I4" s="2350"/>
      <c r="J4" s="2349"/>
      <c r="K4" s="2350"/>
      <c r="L4" s="2349"/>
      <c r="M4" s="2350"/>
      <c r="N4" s="2349"/>
      <c r="O4" s="2350"/>
      <c r="P4" s="2349"/>
      <c r="Q4" s="2350"/>
      <c r="R4" s="926"/>
      <c r="S4" s="2356" t="s">
        <v>7</v>
      </c>
      <c r="T4" s="2357"/>
      <c r="U4" s="926"/>
      <c r="V4" s="926"/>
      <c r="W4" s="926"/>
      <c r="X4" s="926"/>
      <c r="Y4" s="926"/>
      <c r="Z4" s="926"/>
      <c r="AA4" s="926"/>
      <c r="AB4" s="926"/>
      <c r="AC4" s="926"/>
      <c r="AD4" s="926"/>
      <c r="AE4" s="926"/>
      <c r="AF4" s="926"/>
    </row>
    <row r="5" spans="1:32"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row>
    <row r="6" spans="1:32"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row>
    <row r="7" spans="1:32"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row>
    <row r="8" spans="1:32" ht="15" customHeight="1" x14ac:dyDescent="0.3">
      <c r="A8" s="926"/>
      <c r="B8" s="926"/>
      <c r="C8" s="924"/>
      <c r="D8" s="924"/>
      <c r="E8" s="924"/>
      <c r="F8" s="924"/>
      <c r="G8" s="924"/>
      <c r="H8" s="924"/>
      <c r="I8" s="924"/>
      <c r="J8" s="924"/>
      <c r="K8" s="924"/>
      <c r="L8" s="924"/>
      <c r="M8" s="924"/>
      <c r="N8" s="924"/>
      <c r="O8" s="924"/>
      <c r="P8" s="924"/>
      <c r="Q8" s="924"/>
      <c r="R8" s="924"/>
      <c r="S8" s="924"/>
      <c r="T8" s="924"/>
      <c r="U8" s="926"/>
      <c r="V8" s="926"/>
      <c r="W8" s="926"/>
      <c r="X8" s="926"/>
      <c r="Y8" s="926"/>
      <c r="Z8" s="926"/>
      <c r="AA8" s="926"/>
      <c r="AB8" s="926"/>
      <c r="AC8" s="926"/>
      <c r="AD8" s="926"/>
      <c r="AE8" s="926"/>
      <c r="AF8" s="926"/>
    </row>
    <row r="9" spans="1:32"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row>
    <row r="10" spans="1:32" ht="15" customHeight="1" x14ac:dyDescent="0.3">
      <c r="A10" s="926"/>
      <c r="B10" s="609"/>
      <c r="C10" s="977"/>
      <c r="D10" s="960"/>
      <c r="E10" s="960"/>
      <c r="F10" s="960"/>
      <c r="G10" s="960"/>
      <c r="H10" s="960"/>
      <c r="I10" s="960"/>
      <c r="J10" s="960"/>
      <c r="K10" s="960"/>
      <c r="L10" s="960"/>
      <c r="M10" s="960"/>
      <c r="N10" s="960"/>
      <c r="O10" s="960"/>
      <c r="P10" s="960"/>
      <c r="Q10" s="960"/>
      <c r="R10" s="960"/>
      <c r="S10" s="960"/>
      <c r="T10" s="978"/>
      <c r="U10" s="609"/>
      <c r="V10" s="926"/>
      <c r="W10" s="926"/>
      <c r="X10" s="926"/>
      <c r="Y10" s="926"/>
      <c r="Z10" s="926"/>
      <c r="AA10" s="926"/>
      <c r="AB10" s="926"/>
      <c r="AC10" s="926"/>
      <c r="AD10" s="926"/>
      <c r="AE10" s="926"/>
      <c r="AF10" s="926"/>
    </row>
    <row r="11" spans="1:32" ht="15" customHeight="1" x14ac:dyDescent="0.3">
      <c r="A11" s="926"/>
      <c r="B11" s="609"/>
      <c r="C11" s="979"/>
      <c r="D11" s="2374" t="s">
        <v>13</v>
      </c>
      <c r="E11" s="2374"/>
      <c r="F11" s="2374"/>
      <c r="G11" s="2374"/>
      <c r="H11" s="2374"/>
      <c r="I11" s="2374"/>
      <c r="J11" s="2374"/>
      <c r="K11" s="2374"/>
      <c r="L11" s="2374"/>
      <c r="M11" s="2374"/>
      <c r="N11" s="2374"/>
      <c r="O11" s="2374"/>
      <c r="P11" s="2374"/>
      <c r="Q11" s="2374"/>
      <c r="R11" s="2374"/>
      <c r="S11" s="2374"/>
      <c r="T11" s="980"/>
      <c r="U11" s="609"/>
      <c r="V11" s="926"/>
      <c r="W11" s="926"/>
      <c r="X11" s="926"/>
      <c r="Y11" s="926"/>
      <c r="Z11" s="926"/>
      <c r="AA11" s="926"/>
      <c r="AB11" s="926"/>
      <c r="AC11" s="926"/>
      <c r="AD11" s="926"/>
      <c r="AE11" s="926"/>
      <c r="AF11" s="926"/>
    </row>
    <row r="12" spans="1:32" ht="15" customHeight="1" x14ac:dyDescent="0.3">
      <c r="A12" s="926"/>
      <c r="B12" s="609"/>
      <c r="C12" s="979"/>
      <c r="D12" s="2374"/>
      <c r="E12" s="2374"/>
      <c r="F12" s="2374"/>
      <c r="G12" s="2374"/>
      <c r="H12" s="2374"/>
      <c r="I12" s="2374"/>
      <c r="J12" s="2374"/>
      <c r="K12" s="2374"/>
      <c r="L12" s="2374"/>
      <c r="M12" s="2374"/>
      <c r="N12" s="2374"/>
      <c r="O12" s="2374"/>
      <c r="P12" s="2374"/>
      <c r="Q12" s="2374"/>
      <c r="R12" s="2374"/>
      <c r="S12" s="2374"/>
      <c r="T12" s="980"/>
      <c r="U12" s="609"/>
      <c r="V12" s="926"/>
      <c r="W12" s="926"/>
      <c r="X12" s="926"/>
      <c r="Y12" s="926"/>
      <c r="Z12" s="926"/>
      <c r="AA12" s="926"/>
      <c r="AB12" s="926"/>
      <c r="AC12" s="926"/>
      <c r="AD12" s="926"/>
      <c r="AE12" s="926"/>
      <c r="AF12" s="926"/>
    </row>
    <row r="13" spans="1:32" ht="15" customHeight="1" x14ac:dyDescent="0.3">
      <c r="A13" s="926"/>
      <c r="B13" s="609"/>
      <c r="C13" s="979"/>
      <c r="D13" s="2374"/>
      <c r="E13" s="2374"/>
      <c r="F13" s="2374"/>
      <c r="G13" s="2374"/>
      <c r="H13" s="2374"/>
      <c r="I13" s="2374"/>
      <c r="J13" s="2374"/>
      <c r="K13" s="2374"/>
      <c r="L13" s="2374"/>
      <c r="M13" s="2374"/>
      <c r="N13" s="2374"/>
      <c r="O13" s="2374"/>
      <c r="P13" s="2374"/>
      <c r="Q13" s="2374"/>
      <c r="R13" s="2374"/>
      <c r="S13" s="2374"/>
      <c r="T13" s="980"/>
      <c r="U13" s="609"/>
      <c r="V13" s="926"/>
      <c r="W13" s="926"/>
      <c r="X13" s="926"/>
      <c r="Y13" s="926"/>
      <c r="Z13" s="926"/>
      <c r="AA13" s="926"/>
      <c r="AB13" s="926"/>
      <c r="AC13" s="926"/>
      <c r="AD13" s="926"/>
      <c r="AE13" s="926"/>
      <c r="AF13" s="926"/>
    </row>
    <row r="14" spans="1:32" ht="15" customHeight="1" x14ac:dyDescent="0.3">
      <c r="A14" s="926"/>
      <c r="B14" s="609"/>
      <c r="C14" s="979"/>
      <c r="D14" s="2374"/>
      <c r="E14" s="2374"/>
      <c r="F14" s="2374"/>
      <c r="G14" s="2374"/>
      <c r="H14" s="2374"/>
      <c r="I14" s="2374"/>
      <c r="J14" s="2374"/>
      <c r="K14" s="2374"/>
      <c r="L14" s="2374"/>
      <c r="M14" s="2374"/>
      <c r="N14" s="2374"/>
      <c r="O14" s="2374"/>
      <c r="P14" s="2374"/>
      <c r="Q14" s="2374"/>
      <c r="R14" s="2374"/>
      <c r="S14" s="2374"/>
      <c r="T14" s="980"/>
      <c r="U14" s="609"/>
      <c r="V14" s="926"/>
      <c r="W14" s="926"/>
      <c r="X14" s="926"/>
      <c r="Y14" s="926"/>
      <c r="Z14" s="926"/>
      <c r="AA14" s="926"/>
      <c r="AB14" s="926"/>
      <c r="AC14" s="926"/>
      <c r="AD14" s="926"/>
      <c r="AE14" s="926"/>
      <c r="AF14" s="926"/>
    </row>
    <row r="15" spans="1:32" ht="15" customHeight="1" x14ac:dyDescent="0.3">
      <c r="A15" s="926"/>
      <c r="B15" s="609"/>
      <c r="C15" s="979"/>
      <c r="D15" s="2374"/>
      <c r="E15" s="2374"/>
      <c r="F15" s="2374"/>
      <c r="G15" s="2374"/>
      <c r="H15" s="2374"/>
      <c r="I15" s="2374"/>
      <c r="J15" s="2374"/>
      <c r="K15" s="2374"/>
      <c r="L15" s="2374"/>
      <c r="M15" s="2374"/>
      <c r="N15" s="2374"/>
      <c r="O15" s="2374"/>
      <c r="P15" s="2374"/>
      <c r="Q15" s="2374"/>
      <c r="R15" s="2374"/>
      <c r="S15" s="2374"/>
      <c r="T15" s="980"/>
      <c r="U15" s="609"/>
      <c r="V15" s="926"/>
      <c r="W15" s="926"/>
      <c r="X15" s="926"/>
      <c r="Y15" s="926"/>
      <c r="Z15" s="926"/>
      <c r="AA15" s="926"/>
      <c r="AB15" s="926"/>
      <c r="AC15" s="926"/>
      <c r="AD15" s="926"/>
      <c r="AE15" s="926"/>
      <c r="AF15" s="926"/>
    </row>
    <row r="16" spans="1:32" ht="15" customHeight="1" x14ac:dyDescent="0.3">
      <c r="A16" s="926"/>
      <c r="B16" s="609"/>
      <c r="C16" s="979"/>
      <c r="D16" s="2374"/>
      <c r="E16" s="2374"/>
      <c r="F16" s="2374"/>
      <c r="G16" s="2374"/>
      <c r="H16" s="2374"/>
      <c r="I16" s="2374"/>
      <c r="J16" s="2374"/>
      <c r="K16" s="2374"/>
      <c r="L16" s="2374"/>
      <c r="M16" s="2374"/>
      <c r="N16" s="2374"/>
      <c r="O16" s="2374"/>
      <c r="P16" s="2374"/>
      <c r="Q16" s="2374"/>
      <c r="R16" s="2374"/>
      <c r="S16" s="2374"/>
      <c r="T16" s="980"/>
      <c r="U16" s="609"/>
      <c r="V16" s="926"/>
      <c r="W16" s="926"/>
      <c r="X16" s="926"/>
      <c r="Y16" s="926"/>
      <c r="Z16" s="926"/>
      <c r="AA16" s="926"/>
      <c r="AB16" s="926"/>
      <c r="AC16" s="926"/>
      <c r="AD16" s="926"/>
      <c r="AE16" s="926"/>
      <c r="AF16" s="926"/>
    </row>
    <row r="17" spans="1:32" ht="15" customHeight="1" x14ac:dyDescent="0.3">
      <c r="A17" s="926"/>
      <c r="B17" s="609"/>
      <c r="C17" s="979"/>
      <c r="D17" s="40"/>
      <c r="E17" s="40"/>
      <c r="F17" s="40"/>
      <c r="G17" s="40"/>
      <c r="H17" s="40"/>
      <c r="I17" s="40"/>
      <c r="J17" s="40"/>
      <c r="K17" s="40"/>
      <c r="L17" s="40"/>
      <c r="M17" s="40"/>
      <c r="N17" s="40"/>
      <c r="O17" s="40"/>
      <c r="P17" s="40"/>
      <c r="Q17" s="40"/>
      <c r="R17" s="40"/>
      <c r="S17" s="40"/>
      <c r="T17" s="980"/>
      <c r="U17" s="609"/>
      <c r="V17" s="926"/>
      <c r="W17" s="926"/>
      <c r="X17" s="926"/>
      <c r="Y17" s="926"/>
      <c r="Z17" s="926"/>
      <c r="AA17" s="926"/>
      <c r="AB17" s="926"/>
      <c r="AC17" s="926"/>
      <c r="AD17" s="926"/>
      <c r="AE17" s="926"/>
      <c r="AF17" s="926"/>
    </row>
    <row r="18" spans="1:32" ht="15" customHeight="1" x14ac:dyDescent="0.3">
      <c r="A18" s="926"/>
      <c r="B18" s="609"/>
      <c r="C18" s="979"/>
      <c r="D18" s="40"/>
      <c r="E18" s="40"/>
      <c r="F18" s="40"/>
      <c r="G18" s="981"/>
      <c r="H18" s="981"/>
      <c r="I18" s="981"/>
      <c r="J18" s="981"/>
      <c r="K18" s="981"/>
      <c r="L18" s="981"/>
      <c r="M18" s="981"/>
      <c r="N18" s="981"/>
      <c r="O18" s="981"/>
      <c r="P18" s="981"/>
      <c r="Q18" s="40"/>
      <c r="R18" s="40"/>
      <c r="S18" s="40"/>
      <c r="T18" s="980"/>
      <c r="U18" s="609"/>
      <c r="V18" s="926"/>
      <c r="W18" s="926"/>
      <c r="X18" s="926"/>
      <c r="Y18" s="926"/>
      <c r="Z18" s="926"/>
      <c r="AA18" s="926"/>
      <c r="AB18" s="926"/>
      <c r="AC18" s="926"/>
      <c r="AD18" s="926"/>
      <c r="AE18" s="926"/>
      <c r="AF18" s="926"/>
    </row>
    <row r="19" spans="1:32" ht="15" customHeight="1" x14ac:dyDescent="0.3">
      <c r="A19" s="926"/>
      <c r="B19" s="609"/>
      <c r="C19" s="979"/>
      <c r="D19" s="40"/>
      <c r="E19" s="40"/>
      <c r="F19" s="40"/>
      <c r="G19" s="981"/>
      <c r="H19" s="981"/>
      <c r="I19" s="981"/>
      <c r="J19" s="981"/>
      <c r="K19" s="981"/>
      <c r="L19" s="981"/>
      <c r="M19" s="981"/>
      <c r="N19" s="981"/>
      <c r="O19" s="981"/>
      <c r="P19" s="981"/>
      <c r="Q19" s="40"/>
      <c r="R19" s="40"/>
      <c r="S19" s="40"/>
      <c r="T19" s="980"/>
      <c r="U19" s="609"/>
      <c r="V19" s="926"/>
      <c r="W19" s="926"/>
      <c r="X19" s="926"/>
      <c r="Y19" s="926"/>
      <c r="Z19" s="926"/>
      <c r="AA19" s="926"/>
      <c r="AB19" s="926"/>
      <c r="AC19" s="926"/>
      <c r="AD19" s="926"/>
      <c r="AE19" s="926"/>
      <c r="AF19" s="926"/>
    </row>
    <row r="20" spans="1:32" ht="15" customHeight="1" x14ac:dyDescent="0.3">
      <c r="A20" s="926"/>
      <c r="B20" s="609"/>
      <c r="C20" s="979"/>
      <c r="D20" s="40"/>
      <c r="E20" s="40"/>
      <c r="F20" s="40"/>
      <c r="G20" s="981"/>
      <c r="H20" s="981"/>
      <c r="I20" s="981"/>
      <c r="J20" s="981"/>
      <c r="K20" s="981"/>
      <c r="L20" s="981"/>
      <c r="M20" s="981"/>
      <c r="N20" s="981"/>
      <c r="O20" s="981"/>
      <c r="P20" s="981"/>
      <c r="Q20" s="40"/>
      <c r="R20" s="40"/>
      <c r="S20" s="40"/>
      <c r="T20" s="980"/>
      <c r="U20" s="609"/>
      <c r="V20" s="926"/>
      <c r="W20" s="926"/>
      <c r="X20" s="926"/>
      <c r="Y20" s="926"/>
      <c r="Z20" s="926"/>
      <c r="AA20" s="926"/>
      <c r="AB20" s="926"/>
      <c r="AC20" s="926"/>
      <c r="AD20" s="926"/>
      <c r="AE20" s="926"/>
      <c r="AF20" s="926"/>
    </row>
    <row r="21" spans="1:32" ht="15" customHeight="1" x14ac:dyDescent="0.3">
      <c r="A21" s="926"/>
      <c r="B21" s="609"/>
      <c r="C21" s="979"/>
      <c r="D21" s="40"/>
      <c r="E21" s="40"/>
      <c r="F21" s="40"/>
      <c r="G21" s="981"/>
      <c r="H21" s="981"/>
      <c r="I21" s="981"/>
      <c r="J21" s="981"/>
      <c r="K21" s="981"/>
      <c r="L21" s="981"/>
      <c r="M21" s="981"/>
      <c r="N21" s="981"/>
      <c r="O21" s="981"/>
      <c r="P21" s="981"/>
      <c r="Q21" s="40"/>
      <c r="R21" s="40"/>
      <c r="S21" s="40"/>
      <c r="T21" s="980"/>
      <c r="U21" s="609"/>
      <c r="V21" s="926"/>
      <c r="W21" s="926"/>
      <c r="X21" s="926"/>
      <c r="Y21" s="926"/>
      <c r="Z21" s="926"/>
      <c r="AA21" s="926"/>
      <c r="AB21" s="926"/>
      <c r="AC21" s="926"/>
      <c r="AD21" s="926"/>
      <c r="AE21" s="926"/>
      <c r="AF21" s="926"/>
    </row>
    <row r="22" spans="1:32" ht="15" customHeight="1" x14ac:dyDescent="0.3">
      <c r="A22" s="926"/>
      <c r="B22" s="609"/>
      <c r="C22" s="979"/>
      <c r="D22" s="40"/>
      <c r="E22" s="40"/>
      <c r="F22" s="40"/>
      <c r="G22" s="981"/>
      <c r="H22" s="981"/>
      <c r="I22" s="981"/>
      <c r="J22" s="981"/>
      <c r="K22" s="981"/>
      <c r="L22" s="981"/>
      <c r="M22" s="981"/>
      <c r="N22" s="981"/>
      <c r="O22" s="981"/>
      <c r="P22" s="981"/>
      <c r="Q22" s="40"/>
      <c r="R22" s="40"/>
      <c r="S22" s="40"/>
      <c r="T22" s="980"/>
      <c r="U22" s="609"/>
      <c r="V22" s="926"/>
      <c r="W22" s="926"/>
      <c r="X22" s="926"/>
      <c r="Y22" s="926"/>
      <c r="Z22" s="926"/>
      <c r="AA22" s="926"/>
      <c r="AB22" s="926"/>
      <c r="AC22" s="926"/>
      <c r="AD22" s="926"/>
      <c r="AE22" s="926"/>
      <c r="AF22" s="926"/>
    </row>
    <row r="23" spans="1:32" ht="15" customHeight="1" x14ac:dyDescent="0.3">
      <c r="A23" s="926"/>
      <c r="B23" s="609"/>
      <c r="C23" s="979"/>
      <c r="D23" s="40"/>
      <c r="E23" s="2058"/>
      <c r="F23" s="40"/>
      <c r="G23" s="981"/>
      <c r="H23" s="981"/>
      <c r="I23" s="981"/>
      <c r="J23" s="981"/>
      <c r="K23" s="981"/>
      <c r="L23" s="981"/>
      <c r="M23" s="981"/>
      <c r="N23" s="981"/>
      <c r="O23" s="981"/>
      <c r="P23" s="981"/>
      <c r="Q23" s="40"/>
      <c r="R23" s="1160"/>
      <c r="S23" s="40"/>
      <c r="T23" s="980"/>
      <c r="U23" s="609"/>
      <c r="V23" s="926"/>
      <c r="W23" s="926"/>
      <c r="X23" s="926"/>
      <c r="Y23" s="926"/>
      <c r="Z23" s="926"/>
      <c r="AA23" s="926"/>
      <c r="AB23" s="926"/>
      <c r="AC23" s="926"/>
      <c r="AD23" s="926"/>
      <c r="AE23" s="926"/>
      <c r="AF23" s="926"/>
    </row>
    <row r="24" spans="1:32" ht="15" customHeight="1" x14ac:dyDescent="0.3">
      <c r="A24" s="926"/>
      <c r="B24" s="609"/>
      <c r="C24" s="979"/>
      <c r="D24" s="40"/>
      <c r="E24" s="40"/>
      <c r="F24" s="40"/>
      <c r="G24" s="981"/>
      <c r="H24" s="981"/>
      <c r="I24" s="981"/>
      <c r="J24" s="981"/>
      <c r="K24" s="981"/>
      <c r="L24" s="981"/>
      <c r="M24" s="981"/>
      <c r="N24" s="981"/>
      <c r="O24" s="981"/>
      <c r="P24" s="981"/>
      <c r="Q24" s="40"/>
      <c r="R24" s="40"/>
      <c r="S24" s="40"/>
      <c r="T24" s="980"/>
      <c r="U24" s="609"/>
      <c r="V24" s="926"/>
      <c r="W24" s="926"/>
      <c r="X24" s="926"/>
      <c r="Y24" s="926"/>
      <c r="Z24" s="926"/>
      <c r="AA24" s="926"/>
      <c r="AB24" s="926"/>
      <c r="AC24" s="926"/>
      <c r="AD24" s="926"/>
      <c r="AE24" s="926"/>
      <c r="AF24" s="926"/>
    </row>
    <row r="25" spans="1:32" ht="15" customHeight="1" x14ac:dyDescent="0.3">
      <c r="A25" s="926"/>
      <c r="B25" s="609"/>
      <c r="C25" s="979"/>
      <c r="D25" s="40"/>
      <c r="E25" s="40"/>
      <c r="F25" s="40"/>
      <c r="G25" s="981"/>
      <c r="H25" s="981"/>
      <c r="I25" s="981"/>
      <c r="J25" s="981"/>
      <c r="K25" s="981"/>
      <c r="L25" s="981"/>
      <c r="M25" s="981"/>
      <c r="N25" s="981"/>
      <c r="O25" s="981"/>
      <c r="P25" s="981"/>
      <c r="Q25" s="40"/>
      <c r="R25" s="40"/>
      <c r="S25" s="40"/>
      <c r="T25" s="980"/>
      <c r="U25" s="609"/>
      <c r="V25" s="926"/>
      <c r="W25" s="926"/>
      <c r="X25" s="926"/>
      <c r="Y25" s="926"/>
      <c r="Z25" s="926"/>
      <c r="AA25" s="926"/>
      <c r="AB25" s="926"/>
      <c r="AC25" s="926"/>
      <c r="AD25" s="926"/>
      <c r="AE25" s="926"/>
      <c r="AF25" s="926"/>
    </row>
    <row r="26" spans="1:32" ht="15" customHeight="1" x14ac:dyDescent="0.3">
      <c r="A26" s="926"/>
      <c r="B26" s="609"/>
      <c r="C26" s="979"/>
      <c r="D26" s="40"/>
      <c r="E26" s="40"/>
      <c r="F26" s="40"/>
      <c r="G26" s="981"/>
      <c r="H26" s="981"/>
      <c r="I26" s="981"/>
      <c r="J26" s="981"/>
      <c r="K26" s="981"/>
      <c r="L26" s="981"/>
      <c r="M26" s="981"/>
      <c r="N26" s="981"/>
      <c r="O26" s="981"/>
      <c r="P26" s="981"/>
      <c r="Q26" s="40"/>
      <c r="R26" s="40"/>
      <c r="S26" s="40"/>
      <c r="T26" s="980"/>
      <c r="U26" s="609"/>
      <c r="V26" s="926"/>
      <c r="W26" s="926"/>
      <c r="X26" s="926"/>
      <c r="Y26" s="926"/>
      <c r="Z26" s="926"/>
      <c r="AA26" s="926"/>
      <c r="AB26" s="926"/>
      <c r="AC26" s="926"/>
      <c r="AD26" s="926"/>
      <c r="AE26" s="926"/>
      <c r="AF26" s="926"/>
    </row>
    <row r="27" spans="1:32" ht="15" customHeight="1" x14ac:dyDescent="0.3">
      <c r="A27" s="926"/>
      <c r="B27" s="609"/>
      <c r="C27" s="979"/>
      <c r="D27" s="40"/>
      <c r="E27" s="40"/>
      <c r="F27" s="40"/>
      <c r="G27" s="981"/>
      <c r="H27" s="981"/>
      <c r="I27" s="981"/>
      <c r="J27" s="981"/>
      <c r="K27" s="981"/>
      <c r="L27" s="981"/>
      <c r="M27" s="981"/>
      <c r="N27" s="981"/>
      <c r="O27" s="981"/>
      <c r="P27" s="981"/>
      <c r="Q27" s="40"/>
      <c r="R27" s="40"/>
      <c r="S27" s="40"/>
      <c r="T27" s="980"/>
      <c r="U27" s="609"/>
      <c r="V27" s="926"/>
      <c r="W27" s="926"/>
      <c r="X27" s="926"/>
      <c r="Y27" s="926"/>
      <c r="Z27" s="926"/>
      <c r="AA27" s="926"/>
      <c r="AB27" s="926"/>
      <c r="AC27" s="926"/>
      <c r="AD27" s="926"/>
      <c r="AE27" s="926"/>
      <c r="AF27" s="926"/>
    </row>
    <row r="28" spans="1:32" ht="15" customHeight="1" x14ac:dyDescent="0.3">
      <c r="A28" s="926"/>
      <c r="B28" s="609"/>
      <c r="C28" s="979"/>
      <c r="D28" s="40"/>
      <c r="E28" s="40"/>
      <c r="F28" s="40"/>
      <c r="G28" s="981"/>
      <c r="H28" s="981"/>
      <c r="I28" s="981"/>
      <c r="J28" s="981"/>
      <c r="K28" s="981"/>
      <c r="L28" s="981"/>
      <c r="M28" s="981"/>
      <c r="N28" s="981"/>
      <c r="O28" s="981"/>
      <c r="P28" s="981"/>
      <c r="Q28" s="40"/>
      <c r="R28" s="40"/>
      <c r="S28" s="40"/>
      <c r="T28" s="980"/>
      <c r="U28" s="609"/>
      <c r="V28" s="926"/>
      <c r="W28" s="926"/>
      <c r="X28" s="926"/>
      <c r="Y28" s="926"/>
      <c r="Z28" s="926"/>
      <c r="AA28" s="926"/>
      <c r="AB28" s="926"/>
      <c r="AC28" s="926"/>
      <c r="AD28" s="926"/>
      <c r="AE28" s="926"/>
      <c r="AF28" s="926"/>
    </row>
    <row r="29" spans="1:32" ht="15" customHeight="1" x14ac:dyDescent="0.3">
      <c r="A29" s="926"/>
      <c r="B29" s="609"/>
      <c r="C29" s="979"/>
      <c r="D29" s="2103"/>
      <c r="E29" s="2103"/>
      <c r="F29" s="2103"/>
      <c r="G29" s="2104"/>
      <c r="H29" s="2104"/>
      <c r="I29" s="2104"/>
      <c r="J29" s="2104"/>
      <c r="K29" s="2103"/>
      <c r="L29" s="2105"/>
      <c r="M29" s="2104"/>
      <c r="N29" s="2104"/>
      <c r="O29" s="2104"/>
      <c r="P29" s="2104"/>
      <c r="Q29" s="2103"/>
      <c r="R29" s="2103"/>
      <c r="S29" s="2103"/>
      <c r="T29" s="980"/>
      <c r="U29" s="609"/>
      <c r="V29" s="926"/>
      <c r="W29" s="926"/>
      <c r="X29" s="926"/>
      <c r="Y29" s="926"/>
      <c r="Z29" s="926"/>
      <c r="AA29" s="926"/>
      <c r="AB29" s="926"/>
      <c r="AC29" s="926"/>
      <c r="AD29" s="926"/>
      <c r="AE29" s="926"/>
      <c r="AF29" s="926"/>
    </row>
    <row r="30" spans="1:32" ht="15" customHeight="1" x14ac:dyDescent="0.3">
      <c r="A30" s="926"/>
      <c r="B30" s="609"/>
      <c r="C30" s="979"/>
      <c r="D30" s="2375" t="s">
        <v>7471</v>
      </c>
      <c r="E30" s="2375"/>
      <c r="F30" s="2375"/>
      <c r="G30" s="2375"/>
      <c r="H30" s="2375"/>
      <c r="I30" s="2375"/>
      <c r="J30" s="2375"/>
      <c r="K30" s="2375"/>
      <c r="L30" s="2375"/>
      <c r="M30" s="2375"/>
      <c r="N30" s="2375"/>
      <c r="O30" s="2375"/>
      <c r="P30" s="2375"/>
      <c r="Q30" s="2375"/>
      <c r="R30" s="2375"/>
      <c r="S30" s="2375"/>
      <c r="T30" s="980"/>
      <c r="U30" s="609"/>
      <c r="V30" s="926"/>
      <c r="W30" s="926"/>
      <c r="X30" s="926"/>
      <c r="Y30" s="926"/>
      <c r="Z30" s="926"/>
      <c r="AA30" s="926"/>
      <c r="AB30" s="926"/>
      <c r="AC30" s="926"/>
      <c r="AD30" s="926"/>
      <c r="AE30" s="926"/>
      <c r="AF30" s="926"/>
    </row>
    <row r="31" spans="1:32" ht="15" customHeight="1" x14ac:dyDescent="0.3">
      <c r="A31" s="926"/>
      <c r="B31" s="609"/>
      <c r="C31" s="979"/>
      <c r="D31" s="2375"/>
      <c r="E31" s="2375"/>
      <c r="F31" s="2375"/>
      <c r="G31" s="2375"/>
      <c r="H31" s="2375"/>
      <c r="I31" s="2375"/>
      <c r="J31" s="2375"/>
      <c r="K31" s="2375"/>
      <c r="L31" s="2375"/>
      <c r="M31" s="2375"/>
      <c r="N31" s="2375"/>
      <c r="O31" s="2375"/>
      <c r="P31" s="2375"/>
      <c r="Q31" s="2375"/>
      <c r="R31" s="2375"/>
      <c r="S31" s="2375"/>
      <c r="T31" s="980"/>
      <c r="U31" s="609"/>
      <c r="V31" s="926"/>
      <c r="W31" s="926"/>
      <c r="X31" s="926"/>
      <c r="Y31" s="926"/>
      <c r="Z31" s="926"/>
      <c r="AA31" s="926"/>
      <c r="AB31" s="926"/>
      <c r="AC31" s="926"/>
      <c r="AD31" s="926"/>
      <c r="AE31" s="926"/>
      <c r="AF31" s="926"/>
    </row>
    <row r="32" spans="1:32" ht="15" customHeight="1" x14ac:dyDescent="0.3">
      <c r="A32" s="926"/>
      <c r="B32" s="609"/>
      <c r="C32" s="979"/>
      <c r="D32" s="2375"/>
      <c r="E32" s="2375"/>
      <c r="F32" s="2375"/>
      <c r="G32" s="2375"/>
      <c r="H32" s="2375"/>
      <c r="I32" s="2375"/>
      <c r="J32" s="2375"/>
      <c r="K32" s="2375"/>
      <c r="L32" s="2375"/>
      <c r="M32" s="2375"/>
      <c r="N32" s="2375"/>
      <c r="O32" s="2375"/>
      <c r="P32" s="2375"/>
      <c r="Q32" s="2375"/>
      <c r="R32" s="2375"/>
      <c r="S32" s="2375"/>
      <c r="T32" s="980"/>
      <c r="U32" s="609"/>
      <c r="V32" s="926"/>
      <c r="W32" s="926"/>
      <c r="X32" s="926"/>
      <c r="Y32" s="926"/>
      <c r="Z32" s="926"/>
      <c r="AA32" s="926"/>
      <c r="AB32" s="926"/>
      <c r="AC32" s="926"/>
      <c r="AD32" s="926"/>
      <c r="AE32" s="926"/>
      <c r="AF32" s="926"/>
    </row>
    <row r="33" spans="1:32" ht="15" customHeight="1" x14ac:dyDescent="0.35">
      <c r="A33" s="926"/>
      <c r="B33" s="609"/>
      <c r="C33" s="979"/>
      <c r="D33" s="40"/>
      <c r="E33" s="40"/>
      <c r="F33" s="40"/>
      <c r="G33" s="981"/>
      <c r="H33" s="981"/>
      <c r="I33" s="981"/>
      <c r="J33" s="981"/>
      <c r="K33" s="2106"/>
      <c r="L33" s="2106"/>
      <c r="M33" s="2106"/>
      <c r="N33" s="2106"/>
      <c r="O33" s="2106"/>
      <c r="P33" s="2106"/>
      <c r="Q33" s="2106"/>
      <c r="R33" s="2106"/>
      <c r="S33" s="2106"/>
      <c r="T33" s="980"/>
      <c r="U33" s="609"/>
      <c r="V33" s="926"/>
      <c r="W33" s="926"/>
      <c r="X33" s="926"/>
      <c r="Y33" s="926"/>
      <c r="Z33" s="926"/>
      <c r="AA33" s="926"/>
      <c r="AB33" s="926"/>
      <c r="AC33" s="926"/>
      <c r="AD33" s="926"/>
      <c r="AE33" s="926"/>
      <c r="AF33" s="926"/>
    </row>
    <row r="34" spans="1:32" ht="15" customHeight="1" x14ac:dyDescent="0.35">
      <c r="A34" s="926"/>
      <c r="B34" s="609"/>
      <c r="C34" s="979"/>
      <c r="D34" s="2107" t="s">
        <v>14</v>
      </c>
      <c r="E34" s="40"/>
      <c r="F34" s="40"/>
      <c r="G34" s="981"/>
      <c r="H34" s="981"/>
      <c r="I34" s="981"/>
      <c r="J34" s="981"/>
      <c r="K34" s="2106"/>
      <c r="L34" s="2106"/>
      <c r="M34" s="2106"/>
      <c r="N34" s="2106"/>
      <c r="O34" s="2106"/>
      <c r="P34" s="2106"/>
      <c r="Q34" s="2106"/>
      <c r="R34" s="2106"/>
      <c r="S34" s="2106"/>
      <c r="T34" s="980"/>
      <c r="U34" s="609"/>
      <c r="V34" s="926"/>
      <c r="W34" s="926"/>
      <c r="X34" s="926"/>
      <c r="Y34" s="926"/>
      <c r="Z34" s="926"/>
      <c r="AA34" s="926"/>
      <c r="AB34" s="926"/>
      <c r="AC34" s="926"/>
      <c r="AD34" s="926"/>
      <c r="AE34" s="926"/>
      <c r="AF34" s="926"/>
    </row>
    <row r="35" spans="1:32" ht="15" customHeight="1" x14ac:dyDescent="0.35">
      <c r="A35" s="926"/>
      <c r="B35" s="609"/>
      <c r="C35" s="979"/>
      <c r="D35" s="2108" t="s">
        <v>15</v>
      </c>
      <c r="E35" s="40"/>
      <c r="F35" s="40"/>
      <c r="G35" s="981"/>
      <c r="H35" s="981"/>
      <c r="I35" s="981"/>
      <c r="J35" s="981"/>
      <c r="K35" s="2106"/>
      <c r="L35" s="2106"/>
      <c r="M35" s="2106"/>
      <c r="N35" s="2106"/>
      <c r="O35" s="2106"/>
      <c r="P35" s="2106"/>
      <c r="Q35" s="2106"/>
      <c r="R35" s="2106"/>
      <c r="S35" s="2106"/>
      <c r="T35" s="980"/>
      <c r="U35" s="609"/>
      <c r="V35" s="926"/>
      <c r="W35" s="926"/>
      <c r="X35" s="926"/>
      <c r="Y35" s="926"/>
      <c r="Z35" s="926"/>
      <c r="AA35" s="926"/>
      <c r="AB35" s="926"/>
      <c r="AC35" s="926"/>
      <c r="AD35" s="926"/>
      <c r="AE35" s="926"/>
      <c r="AF35" s="926"/>
    </row>
    <row r="36" spans="1:32" ht="15" customHeight="1" x14ac:dyDescent="0.3">
      <c r="A36" s="926"/>
      <c r="B36" s="609"/>
      <c r="C36" s="979"/>
      <c r="D36" s="2108" t="s">
        <v>16</v>
      </c>
      <c r="E36" s="40"/>
      <c r="F36" s="40"/>
      <c r="G36" s="981"/>
      <c r="H36" s="981"/>
      <c r="I36" s="981"/>
      <c r="J36" s="981"/>
      <c r="K36" s="40"/>
      <c r="L36" s="2102"/>
      <c r="M36" s="981"/>
      <c r="N36" s="981"/>
      <c r="O36" s="981"/>
      <c r="P36" s="981"/>
      <c r="Q36" s="40"/>
      <c r="R36" s="40"/>
      <c r="S36" s="40"/>
      <c r="T36" s="980"/>
      <c r="U36" s="609"/>
      <c r="V36" s="926"/>
      <c r="W36" s="926"/>
      <c r="X36" s="926"/>
      <c r="Y36" s="926"/>
      <c r="Z36" s="926"/>
      <c r="AA36" s="926"/>
      <c r="AB36" s="926"/>
      <c r="AC36" s="926"/>
      <c r="AD36" s="926"/>
      <c r="AE36" s="926"/>
      <c r="AF36" s="926"/>
    </row>
    <row r="37" spans="1:32" ht="15" customHeight="1" x14ac:dyDescent="0.3">
      <c r="A37" s="926"/>
      <c r="B37" s="609"/>
      <c r="C37" s="979"/>
      <c r="D37" s="2109" t="s">
        <v>17</v>
      </c>
      <c r="E37" s="40"/>
      <c r="F37" s="40"/>
      <c r="G37" s="981"/>
      <c r="H37" s="981"/>
      <c r="I37" s="981"/>
      <c r="J37" s="981"/>
      <c r="K37" s="40"/>
      <c r="L37" s="2102"/>
      <c r="M37" s="981"/>
      <c r="N37" s="981"/>
      <c r="O37" s="981"/>
      <c r="P37" s="981"/>
      <c r="Q37" s="40"/>
      <c r="R37" s="40"/>
      <c r="S37" s="40"/>
      <c r="T37" s="980"/>
      <c r="U37" s="609"/>
      <c r="V37" s="926"/>
      <c r="W37" s="926"/>
      <c r="X37" s="926"/>
      <c r="Y37" s="926"/>
      <c r="Z37" s="926"/>
      <c r="AA37" s="926"/>
      <c r="AB37" s="926"/>
      <c r="AC37" s="926"/>
      <c r="AD37" s="926"/>
      <c r="AE37" s="926"/>
      <c r="AF37" s="926"/>
    </row>
    <row r="38" spans="1:32" ht="15" customHeight="1" x14ac:dyDescent="0.3">
      <c r="A38" s="926"/>
      <c r="B38" s="609"/>
      <c r="C38" s="979"/>
      <c r="D38" s="2341" t="s">
        <v>18</v>
      </c>
      <c r="E38" s="2342"/>
      <c r="F38" s="2342"/>
      <c r="G38" s="2342"/>
      <c r="H38" s="2342"/>
      <c r="I38" s="2342"/>
      <c r="J38" s="2342"/>
      <c r="K38" s="2342"/>
      <c r="L38" s="2342"/>
      <c r="M38" s="2342"/>
      <c r="N38" s="2342"/>
      <c r="O38" s="2342"/>
      <c r="P38" s="2342"/>
      <c r="Q38" s="2342"/>
      <c r="R38" s="2342"/>
      <c r="S38" s="2342"/>
      <c r="T38" s="980"/>
      <c r="U38" s="609"/>
      <c r="V38" s="926"/>
      <c r="W38" s="926"/>
      <c r="X38" s="926"/>
      <c r="Y38" s="926"/>
      <c r="Z38" s="926"/>
      <c r="AA38" s="926"/>
      <c r="AB38" s="926"/>
      <c r="AC38" s="926"/>
      <c r="AD38" s="926"/>
      <c r="AE38" s="926"/>
      <c r="AF38" s="926"/>
    </row>
    <row r="39" spans="1:32" ht="15" customHeight="1" x14ac:dyDescent="0.3">
      <c r="A39" s="926"/>
      <c r="B39" s="609"/>
      <c r="C39" s="979"/>
      <c r="D39" s="2342"/>
      <c r="E39" s="2342"/>
      <c r="F39" s="2342"/>
      <c r="G39" s="2342"/>
      <c r="H39" s="2342"/>
      <c r="I39" s="2342"/>
      <c r="J39" s="2342"/>
      <c r="K39" s="2342"/>
      <c r="L39" s="2342"/>
      <c r="M39" s="2342"/>
      <c r="N39" s="2342"/>
      <c r="O39" s="2342"/>
      <c r="P39" s="2342"/>
      <c r="Q39" s="2342"/>
      <c r="R39" s="2342"/>
      <c r="S39" s="2342"/>
      <c r="T39" s="980"/>
      <c r="U39" s="609"/>
      <c r="V39" s="926"/>
      <c r="W39" s="926"/>
      <c r="X39" s="926"/>
      <c r="Y39" s="926"/>
      <c r="Z39" s="926"/>
      <c r="AA39" s="926"/>
      <c r="AB39" s="926"/>
      <c r="AC39" s="926"/>
      <c r="AD39" s="926"/>
      <c r="AE39" s="926"/>
      <c r="AF39" s="926"/>
    </row>
    <row r="40" spans="1:32" ht="15" customHeight="1" x14ac:dyDescent="0.3">
      <c r="A40" s="926"/>
      <c r="B40" s="609"/>
      <c r="C40" s="979"/>
      <c r="D40" s="2343" t="s">
        <v>19</v>
      </c>
      <c r="E40" s="2344"/>
      <c r="F40" s="2344"/>
      <c r="G40" s="2344"/>
      <c r="H40" s="2344"/>
      <c r="I40" s="2344"/>
      <c r="J40" s="2344"/>
      <c r="K40" s="2344"/>
      <c r="L40" s="2344"/>
      <c r="M40" s="2344"/>
      <c r="N40" s="2344"/>
      <c r="O40" s="2344"/>
      <c r="P40" s="2344"/>
      <c r="Q40" s="2344"/>
      <c r="R40" s="2344"/>
      <c r="S40" s="2344"/>
      <c r="T40" s="980"/>
      <c r="U40" s="609"/>
      <c r="V40" s="926"/>
      <c r="W40" s="926"/>
      <c r="X40" s="926"/>
      <c r="Y40" s="926"/>
      <c r="Z40" s="926"/>
      <c r="AA40" s="926"/>
      <c r="AB40" s="926"/>
      <c r="AC40" s="926"/>
      <c r="AD40" s="926"/>
      <c r="AE40" s="926"/>
      <c r="AF40" s="926"/>
    </row>
    <row r="41" spans="1:32" ht="15" customHeight="1" x14ac:dyDescent="0.3">
      <c r="A41" s="926"/>
      <c r="B41" s="609"/>
      <c r="C41" s="979"/>
      <c r="D41" s="2344"/>
      <c r="E41" s="2344"/>
      <c r="F41" s="2344"/>
      <c r="G41" s="2344"/>
      <c r="H41" s="2344"/>
      <c r="I41" s="2344"/>
      <c r="J41" s="2344"/>
      <c r="K41" s="2344"/>
      <c r="L41" s="2344"/>
      <c r="M41" s="2344"/>
      <c r="N41" s="2344"/>
      <c r="O41" s="2344"/>
      <c r="P41" s="2344"/>
      <c r="Q41" s="2344"/>
      <c r="R41" s="2344"/>
      <c r="S41" s="2344"/>
      <c r="T41" s="980"/>
      <c r="U41" s="609"/>
      <c r="V41" s="926"/>
      <c r="W41" s="926"/>
      <c r="X41" s="926"/>
      <c r="Y41" s="926"/>
      <c r="Z41" s="926"/>
      <c r="AA41" s="926"/>
      <c r="AB41" s="926"/>
      <c r="AC41" s="926"/>
      <c r="AD41" s="926"/>
      <c r="AE41" s="926"/>
      <c r="AF41" s="926"/>
    </row>
    <row r="42" spans="1:32" ht="15" customHeight="1" x14ac:dyDescent="0.3">
      <c r="A42" s="926"/>
      <c r="B42" s="609"/>
      <c r="C42" s="1774"/>
      <c r="D42" s="2341" t="s">
        <v>20</v>
      </c>
      <c r="E42" s="2342"/>
      <c r="F42" s="2342"/>
      <c r="G42" s="2342"/>
      <c r="H42" s="2342"/>
      <c r="I42" s="2342"/>
      <c r="J42" s="2342"/>
      <c r="K42" s="2342"/>
      <c r="L42" s="2342"/>
      <c r="M42" s="2342"/>
      <c r="N42" s="2342"/>
      <c r="O42" s="2342"/>
      <c r="P42" s="2342"/>
      <c r="Q42" s="2342"/>
      <c r="R42" s="2342"/>
      <c r="S42" s="2342"/>
      <c r="T42" s="980"/>
      <c r="U42" s="609"/>
      <c r="V42" s="926"/>
      <c r="W42" s="926"/>
      <c r="X42" s="926"/>
      <c r="Y42" s="926"/>
      <c r="Z42" s="926"/>
      <c r="AA42" s="926"/>
      <c r="AB42" s="926"/>
      <c r="AC42" s="926"/>
      <c r="AD42" s="926"/>
      <c r="AE42" s="926"/>
      <c r="AF42" s="926"/>
    </row>
    <row r="43" spans="1:32" ht="15" customHeight="1" x14ac:dyDescent="0.3">
      <c r="A43" s="926"/>
      <c r="B43" s="609"/>
      <c r="C43" s="979"/>
      <c r="D43" s="2342"/>
      <c r="E43" s="2342"/>
      <c r="F43" s="2342"/>
      <c r="G43" s="2342"/>
      <c r="H43" s="2342"/>
      <c r="I43" s="2342"/>
      <c r="J43" s="2342"/>
      <c r="K43" s="2342"/>
      <c r="L43" s="2342"/>
      <c r="M43" s="2342"/>
      <c r="N43" s="2342"/>
      <c r="O43" s="2342"/>
      <c r="P43" s="2342"/>
      <c r="Q43" s="2342"/>
      <c r="R43" s="2342"/>
      <c r="S43" s="2342"/>
      <c r="T43" s="980"/>
      <c r="U43" s="609"/>
      <c r="V43" s="926"/>
      <c r="W43" s="926"/>
      <c r="X43" s="926"/>
      <c r="Y43" s="926"/>
      <c r="Z43" s="926"/>
      <c r="AA43" s="926"/>
      <c r="AB43" s="926"/>
      <c r="AC43" s="926"/>
      <c r="AD43" s="926"/>
      <c r="AE43" s="926"/>
      <c r="AF43" s="926"/>
    </row>
    <row r="44" spans="1:32" ht="15" customHeight="1" x14ac:dyDescent="0.3">
      <c r="A44" s="926"/>
      <c r="B44" s="609"/>
      <c r="C44" s="1774"/>
      <c r="D44" s="2110"/>
      <c r="E44" s="2111"/>
      <c r="F44" s="40"/>
      <c r="G44" s="981"/>
      <c r="H44" s="981"/>
      <c r="I44" s="981"/>
      <c r="J44" s="981"/>
      <c r="K44" s="981"/>
      <c r="L44" s="981"/>
      <c r="M44" s="981"/>
      <c r="N44" s="40"/>
      <c r="O44" s="981"/>
      <c r="P44" s="981"/>
      <c r="Q44" s="40"/>
      <c r="R44" s="40"/>
      <c r="S44" s="40"/>
      <c r="T44" s="980"/>
      <c r="U44" s="609"/>
      <c r="V44" s="926"/>
      <c r="W44" s="926"/>
      <c r="X44" s="926"/>
      <c r="Y44" s="926"/>
      <c r="Z44" s="926"/>
      <c r="AA44" s="926"/>
      <c r="AB44" s="926"/>
      <c r="AC44" s="926"/>
      <c r="AD44" s="926"/>
      <c r="AE44" s="926"/>
      <c r="AF44" s="926"/>
    </row>
    <row r="45" spans="1:32" ht="15" customHeight="1" x14ac:dyDescent="0.3">
      <c r="A45" s="926"/>
      <c r="B45" s="609"/>
      <c r="C45" s="1774"/>
      <c r="D45" s="2112" t="s">
        <v>21</v>
      </c>
      <c r="E45" s="40"/>
      <c r="F45" s="40"/>
      <c r="G45" s="981"/>
      <c r="H45" s="981"/>
      <c r="I45" s="981"/>
      <c r="J45" s="981"/>
      <c r="K45" s="981"/>
      <c r="L45" s="981"/>
      <c r="M45" s="981"/>
      <c r="N45" s="981"/>
      <c r="O45" s="981"/>
      <c r="P45" s="981"/>
      <c r="Q45" s="40"/>
      <c r="R45" s="40"/>
      <c r="S45" s="40"/>
      <c r="T45" s="980"/>
      <c r="U45" s="609"/>
      <c r="V45" s="926"/>
      <c r="W45" s="926"/>
      <c r="X45" s="926"/>
      <c r="Y45" s="926"/>
      <c r="Z45" s="926"/>
      <c r="AA45" s="926"/>
      <c r="AB45" s="926"/>
      <c r="AC45" s="926"/>
      <c r="AD45" s="926"/>
      <c r="AE45" s="926"/>
      <c r="AF45" s="926"/>
    </row>
    <row r="46" spans="1:32" ht="15" customHeight="1" x14ac:dyDescent="0.3">
      <c r="A46" s="926"/>
      <c r="B46" s="609"/>
      <c r="C46" s="1775"/>
      <c r="D46" s="1983" t="s">
        <v>22</v>
      </c>
      <c r="E46" s="40"/>
      <c r="F46" s="40"/>
      <c r="G46" s="981"/>
      <c r="H46" s="981"/>
      <c r="I46" s="981"/>
      <c r="J46" s="981"/>
      <c r="K46" s="981"/>
      <c r="L46" s="981"/>
      <c r="M46" s="981"/>
      <c r="N46" s="981"/>
      <c r="O46" s="981"/>
      <c r="P46" s="981"/>
      <c r="Q46" s="40"/>
      <c r="R46" s="40"/>
      <c r="S46" s="40"/>
      <c r="T46" s="980"/>
      <c r="U46" s="609"/>
      <c r="V46" s="926"/>
      <c r="W46" s="926"/>
      <c r="X46" s="926"/>
      <c r="Y46" s="926"/>
      <c r="Z46" s="926"/>
      <c r="AA46" s="926"/>
      <c r="AB46" s="926"/>
      <c r="AC46" s="926"/>
      <c r="AD46" s="926"/>
      <c r="AE46" s="926"/>
      <c r="AF46" s="926"/>
    </row>
    <row r="47" spans="1:32" ht="15" customHeight="1" thickBot="1" x14ac:dyDescent="0.35">
      <c r="A47" s="926"/>
      <c r="B47" s="609"/>
      <c r="C47" s="1775"/>
      <c r="D47" s="1983" t="s">
        <v>23</v>
      </c>
      <c r="E47" s="40"/>
      <c r="F47" s="40"/>
      <c r="G47" s="981"/>
      <c r="H47" s="981"/>
      <c r="I47" s="981"/>
      <c r="J47" s="981"/>
      <c r="K47" s="981"/>
      <c r="L47" s="981"/>
      <c r="M47" s="981"/>
      <c r="N47" s="981"/>
      <c r="O47" s="981"/>
      <c r="P47" s="981"/>
      <c r="Q47" s="40"/>
      <c r="R47" s="40"/>
      <c r="S47" s="40"/>
      <c r="T47" s="980"/>
      <c r="U47" s="609"/>
      <c r="V47" s="926"/>
      <c r="W47" s="926"/>
      <c r="X47" s="926"/>
      <c r="Y47" s="926"/>
      <c r="Z47" s="926"/>
      <c r="AA47" s="926"/>
      <c r="AB47" s="926"/>
      <c r="AC47" s="926"/>
      <c r="AD47" s="926"/>
      <c r="AE47" s="926"/>
      <c r="AF47" s="926"/>
    </row>
    <row r="48" spans="1:32" ht="15" customHeight="1" thickBot="1" x14ac:dyDescent="0.35">
      <c r="A48" s="926"/>
      <c r="B48" s="609"/>
      <c r="C48" s="979"/>
      <c r="D48" s="40"/>
      <c r="E48" s="40"/>
      <c r="F48" s="40"/>
      <c r="G48" s="40"/>
      <c r="H48" s="40"/>
      <c r="I48" s="40"/>
      <c r="J48" s="40"/>
      <c r="K48" s="2368" t="s">
        <v>24</v>
      </c>
      <c r="L48" s="2369"/>
      <c r="M48" s="40"/>
      <c r="N48" s="40"/>
      <c r="O48" s="40"/>
      <c r="P48" s="40"/>
      <c r="Q48" s="40"/>
      <c r="R48" s="40"/>
      <c r="S48" s="40"/>
      <c r="T48" s="980"/>
      <c r="U48" s="609"/>
      <c r="V48" s="926"/>
      <c r="W48" s="926"/>
      <c r="X48" s="926"/>
      <c r="Y48" s="926"/>
      <c r="Z48" s="926"/>
      <c r="AA48" s="926"/>
      <c r="AB48" s="926"/>
      <c r="AC48" s="926"/>
      <c r="AD48" s="926"/>
      <c r="AE48" s="926"/>
      <c r="AF48" s="926"/>
    </row>
    <row r="49" spans="1:32" ht="15" customHeight="1" thickTop="1" thickBot="1" x14ac:dyDescent="0.35">
      <c r="A49" s="926"/>
      <c r="B49" s="609"/>
      <c r="C49" s="979"/>
      <c r="D49" s="40"/>
      <c r="E49" s="40"/>
      <c r="F49" s="40"/>
      <c r="G49" s="40"/>
      <c r="H49" s="40"/>
      <c r="I49" s="40"/>
      <c r="J49" s="40"/>
      <c r="K49" s="2370"/>
      <c r="L49" s="2371"/>
      <c r="M49" s="40"/>
      <c r="N49" s="40"/>
      <c r="O49" s="40"/>
      <c r="P49" s="40"/>
      <c r="Q49" s="40"/>
      <c r="R49" s="40"/>
      <c r="S49" s="40"/>
      <c r="T49" s="980"/>
      <c r="U49" s="609"/>
      <c r="V49" s="926"/>
      <c r="W49" s="926"/>
      <c r="X49" s="926"/>
      <c r="Y49" s="926"/>
      <c r="Z49" s="926"/>
      <c r="AA49" s="926"/>
      <c r="AB49" s="926"/>
      <c r="AC49" s="926"/>
      <c r="AD49" s="926"/>
      <c r="AE49" s="926"/>
      <c r="AF49" s="926"/>
    </row>
    <row r="50" spans="1:32" ht="15" customHeight="1" thickTop="1" thickBot="1" x14ac:dyDescent="0.35">
      <c r="A50" s="926"/>
      <c r="B50" s="609"/>
      <c r="C50" s="979"/>
      <c r="D50" s="40"/>
      <c r="E50" s="40"/>
      <c r="F50" s="40"/>
      <c r="G50" s="40"/>
      <c r="H50" s="40"/>
      <c r="I50" s="40"/>
      <c r="J50" s="40"/>
      <c r="K50" s="2372"/>
      <c r="L50" s="2373"/>
      <c r="M50" s="40"/>
      <c r="N50" s="40"/>
      <c r="O50" s="40"/>
      <c r="P50" s="40"/>
      <c r="Q50" s="40"/>
      <c r="R50" s="40"/>
      <c r="S50" s="40"/>
      <c r="T50" s="980"/>
      <c r="U50" s="609"/>
      <c r="V50" s="926"/>
      <c r="W50" s="926"/>
      <c r="X50" s="926"/>
      <c r="Y50" s="926"/>
      <c r="Z50" s="926"/>
      <c r="AA50" s="926"/>
      <c r="AB50" s="926"/>
      <c r="AC50" s="926"/>
      <c r="AD50" s="926"/>
      <c r="AE50" s="926"/>
      <c r="AF50" s="926"/>
    </row>
    <row r="51" spans="1:32" ht="15" thickBot="1" x14ac:dyDescent="0.35">
      <c r="A51" s="926"/>
      <c r="B51" s="609"/>
      <c r="C51" s="982" t="s">
        <v>7478</v>
      </c>
      <c r="D51" s="965"/>
      <c r="E51" s="965"/>
      <c r="F51" s="965"/>
      <c r="G51" s="965"/>
      <c r="H51" s="965"/>
      <c r="I51" s="965"/>
      <c r="J51" s="965"/>
      <c r="K51" s="965"/>
      <c r="L51" s="965"/>
      <c r="M51" s="965"/>
      <c r="N51" s="965"/>
      <c r="O51" s="965"/>
      <c r="P51" s="965"/>
      <c r="Q51" s="965"/>
      <c r="R51" s="965"/>
      <c r="S51" s="965"/>
      <c r="T51" s="983"/>
      <c r="U51" s="609"/>
      <c r="V51" s="926"/>
      <c r="W51" s="926"/>
      <c r="X51" s="926"/>
      <c r="Y51" s="926"/>
      <c r="Z51" s="926"/>
      <c r="AA51" s="926"/>
      <c r="AB51" s="926"/>
      <c r="AC51" s="926"/>
      <c r="AD51" s="926"/>
      <c r="AE51" s="926"/>
      <c r="AF51" s="926"/>
    </row>
    <row r="52" spans="1:32" x14ac:dyDescent="0.3">
      <c r="A52" s="926"/>
      <c r="B52" s="609"/>
      <c r="C52" s="609"/>
      <c r="D52" s="609"/>
      <c r="E52" s="609"/>
      <c r="F52" s="609"/>
      <c r="G52" s="609"/>
      <c r="H52" s="609"/>
      <c r="I52" s="609"/>
      <c r="J52" s="609"/>
      <c r="K52" s="609"/>
      <c r="L52" s="609"/>
      <c r="M52" s="609"/>
      <c r="N52" s="609"/>
      <c r="O52" s="609"/>
      <c r="P52" s="609"/>
      <c r="Q52" s="609"/>
      <c r="R52" s="609"/>
      <c r="S52" s="609"/>
      <c r="T52" s="609"/>
      <c r="U52" s="609"/>
      <c r="V52" s="926"/>
      <c r="W52" s="926"/>
      <c r="X52" s="926"/>
      <c r="Y52" s="926"/>
      <c r="Z52" s="926"/>
      <c r="AA52" s="926"/>
      <c r="AB52" s="926"/>
      <c r="AC52" s="926"/>
      <c r="AD52" s="926"/>
      <c r="AE52" s="926"/>
      <c r="AF52" s="926"/>
    </row>
    <row r="53" spans="1:32" ht="16.2" thickBot="1" x14ac:dyDescent="0.35">
      <c r="A53" s="926"/>
      <c r="B53" s="926"/>
      <c r="C53" s="923"/>
      <c r="D53" s="923"/>
      <c r="E53" s="923"/>
      <c r="F53" s="923"/>
      <c r="G53" s="923"/>
      <c r="H53" s="923"/>
      <c r="I53" s="923"/>
      <c r="J53" s="923"/>
      <c r="K53" s="923"/>
      <c r="L53" s="923"/>
      <c r="M53" s="923"/>
      <c r="N53" s="923"/>
      <c r="O53" s="923"/>
      <c r="P53" s="923"/>
      <c r="Q53" s="923"/>
      <c r="R53" s="923"/>
      <c r="S53" s="923"/>
      <c r="T53" s="923"/>
      <c r="U53" s="926"/>
      <c r="V53" s="926"/>
      <c r="W53" s="926"/>
      <c r="X53" s="926"/>
      <c r="Y53" s="926"/>
      <c r="Z53" s="926"/>
      <c r="AA53" s="926"/>
      <c r="AB53" s="926"/>
      <c r="AC53" s="926"/>
      <c r="AD53" s="926"/>
      <c r="AE53" s="926"/>
      <c r="AF53" s="926"/>
    </row>
    <row r="54" spans="1:32" ht="15.75" customHeight="1" thickBot="1" x14ac:dyDescent="0.35">
      <c r="A54" s="926"/>
      <c r="B54" s="926"/>
      <c r="C54" s="923"/>
      <c r="D54" s="923"/>
      <c r="E54" s="923"/>
      <c r="F54" s="2362" t="s">
        <v>0</v>
      </c>
      <c r="G54" s="2363"/>
      <c r="H54" s="2345" t="s">
        <v>1</v>
      </c>
      <c r="I54" s="2346"/>
      <c r="J54" s="2345" t="s">
        <v>2</v>
      </c>
      <c r="K54" s="2346"/>
      <c r="L54" s="2345" t="s">
        <v>3</v>
      </c>
      <c r="M54" s="2346"/>
      <c r="N54" s="2345" t="s">
        <v>4</v>
      </c>
      <c r="O54" s="2346"/>
      <c r="P54" s="2345" t="s">
        <v>5</v>
      </c>
      <c r="Q54" s="2346"/>
      <c r="R54" s="1739"/>
      <c r="S54" s="926"/>
      <c r="T54" s="926"/>
      <c r="U54" s="926"/>
      <c r="V54" s="926"/>
      <c r="W54" s="926"/>
      <c r="X54" s="926"/>
      <c r="Y54" s="926"/>
      <c r="Z54" s="926"/>
      <c r="AA54" s="926"/>
      <c r="AB54" s="926"/>
      <c r="AC54" s="926"/>
      <c r="AD54" s="926"/>
      <c r="AE54" s="926"/>
      <c r="AF54" s="926"/>
    </row>
    <row r="55" spans="1:32" ht="16.8" thickTop="1" thickBot="1" x14ac:dyDescent="0.35">
      <c r="A55" s="926"/>
      <c r="B55" s="926"/>
      <c r="C55" s="923"/>
      <c r="D55" s="923"/>
      <c r="E55" s="923"/>
      <c r="F55" s="2364"/>
      <c r="G55" s="2365"/>
      <c r="H55" s="2347"/>
      <c r="I55" s="2348"/>
      <c r="J55" s="2347"/>
      <c r="K55" s="2348"/>
      <c r="L55" s="2347"/>
      <c r="M55" s="2348"/>
      <c r="N55" s="2347"/>
      <c r="O55" s="2348"/>
      <c r="P55" s="2347"/>
      <c r="Q55" s="2348"/>
      <c r="R55" s="1739"/>
      <c r="S55" s="926"/>
      <c r="T55" s="926"/>
      <c r="U55" s="926"/>
      <c r="V55" s="926"/>
      <c r="W55" s="926"/>
      <c r="X55" s="926"/>
      <c r="Y55" s="926"/>
      <c r="Z55" s="926"/>
      <c r="AA55" s="926"/>
      <c r="AB55" s="926"/>
      <c r="AC55" s="926"/>
      <c r="AD55" s="926"/>
      <c r="AE55" s="926"/>
      <c r="AF55" s="926"/>
    </row>
    <row r="56" spans="1:32" ht="17.25" customHeight="1" thickTop="1" thickBot="1" x14ac:dyDescent="0.35">
      <c r="A56" s="926"/>
      <c r="B56" s="926"/>
      <c r="C56" s="2345" t="s">
        <v>6</v>
      </c>
      <c r="D56" s="2351"/>
      <c r="E56" s="923"/>
      <c r="F56" s="2366"/>
      <c r="G56" s="2367"/>
      <c r="H56" s="2349"/>
      <c r="I56" s="2350"/>
      <c r="J56" s="2349"/>
      <c r="K56" s="2350"/>
      <c r="L56" s="2349"/>
      <c r="M56" s="2350"/>
      <c r="N56" s="2349"/>
      <c r="O56" s="2350"/>
      <c r="P56" s="2349"/>
      <c r="Q56" s="2350"/>
      <c r="R56" s="926"/>
      <c r="S56" s="2356" t="s">
        <v>7</v>
      </c>
      <c r="T56" s="2357"/>
      <c r="U56" s="926"/>
      <c r="V56" s="926"/>
      <c r="W56" s="926"/>
      <c r="X56" s="926"/>
      <c r="Y56" s="926"/>
      <c r="Z56" s="926"/>
      <c r="AA56" s="926"/>
      <c r="AB56" s="926"/>
      <c r="AC56" s="926"/>
      <c r="AD56" s="926"/>
      <c r="AE56" s="926"/>
      <c r="AF56" s="926"/>
    </row>
    <row r="57" spans="1:32" ht="15.75" customHeight="1" thickTop="1" thickBot="1" x14ac:dyDescent="0.35">
      <c r="A57" s="926"/>
      <c r="B57" s="926"/>
      <c r="C57" s="2352"/>
      <c r="D57" s="2353"/>
      <c r="E57" s="923"/>
      <c r="F57" s="926"/>
      <c r="G57" s="2345" t="s">
        <v>8</v>
      </c>
      <c r="H57" s="2346"/>
      <c r="I57" s="2345" t="s">
        <v>9</v>
      </c>
      <c r="J57" s="2346"/>
      <c r="K57" s="2345" t="s">
        <v>10</v>
      </c>
      <c r="L57" s="2346"/>
      <c r="M57" s="2345" t="s">
        <v>11</v>
      </c>
      <c r="N57" s="2346"/>
      <c r="O57" s="2345" t="s">
        <v>12</v>
      </c>
      <c r="P57" s="2346"/>
      <c r="Q57" s="926"/>
      <c r="R57" s="926"/>
      <c r="S57" s="2358"/>
      <c r="T57" s="2359"/>
      <c r="U57" s="926"/>
      <c r="V57" s="926"/>
      <c r="W57" s="926"/>
      <c r="X57" s="926"/>
      <c r="Y57" s="926"/>
      <c r="Z57" s="926"/>
      <c r="AA57" s="926"/>
      <c r="AB57" s="926"/>
      <c r="AC57" s="926"/>
      <c r="AD57" s="926"/>
      <c r="AE57" s="926"/>
      <c r="AF57" s="926"/>
    </row>
    <row r="58" spans="1:32" ht="16.8" thickTop="1" thickBot="1" x14ac:dyDescent="0.35">
      <c r="A58" s="926"/>
      <c r="B58" s="926"/>
      <c r="C58" s="2354"/>
      <c r="D58" s="2355"/>
      <c r="E58" s="923"/>
      <c r="F58" s="926"/>
      <c r="G58" s="2347"/>
      <c r="H58" s="2348"/>
      <c r="I58" s="2347"/>
      <c r="J58" s="2348"/>
      <c r="K58" s="2347"/>
      <c r="L58" s="2348"/>
      <c r="M58" s="2347"/>
      <c r="N58" s="2348"/>
      <c r="O58" s="2347"/>
      <c r="P58" s="2348"/>
      <c r="Q58" s="926"/>
      <c r="R58" s="926"/>
      <c r="S58" s="2360"/>
      <c r="T58" s="2361"/>
      <c r="U58" s="926"/>
      <c r="V58" s="926"/>
      <c r="W58" s="926"/>
      <c r="X58" s="926"/>
      <c r="Y58" s="926"/>
      <c r="Z58" s="926"/>
      <c r="AA58" s="926"/>
      <c r="AB58" s="926"/>
      <c r="AC58" s="926"/>
      <c r="AD58" s="926"/>
      <c r="AE58" s="926"/>
      <c r="AF58" s="926"/>
    </row>
    <row r="59" spans="1:32" ht="16.8" thickTop="1" thickBot="1" x14ac:dyDescent="0.35">
      <c r="A59" s="926"/>
      <c r="B59" s="926"/>
      <c r="C59" s="923"/>
      <c r="D59" s="923"/>
      <c r="E59" s="923"/>
      <c r="F59" s="926"/>
      <c r="G59" s="2349"/>
      <c r="H59" s="2350"/>
      <c r="I59" s="2349"/>
      <c r="J59" s="2350"/>
      <c r="K59" s="2349"/>
      <c r="L59" s="2350"/>
      <c r="M59" s="2349"/>
      <c r="N59" s="2350"/>
      <c r="O59" s="2349"/>
      <c r="P59" s="2350"/>
      <c r="Q59" s="923"/>
      <c r="R59" s="923"/>
      <c r="S59" s="926"/>
      <c r="T59" s="926"/>
      <c r="U59" s="926"/>
      <c r="V59" s="926"/>
      <c r="W59" s="926"/>
      <c r="X59" s="926"/>
      <c r="Y59" s="926"/>
      <c r="Z59" s="926"/>
      <c r="AA59" s="926"/>
      <c r="AB59" s="926"/>
      <c r="AC59" s="926"/>
      <c r="AD59" s="926"/>
      <c r="AE59" s="926"/>
      <c r="AF59" s="926"/>
    </row>
    <row r="60" spans="1:32" x14ac:dyDescent="0.3">
      <c r="A60" s="926"/>
      <c r="B60" s="926"/>
      <c r="C60" s="926"/>
      <c r="D60" s="926"/>
      <c r="E60" s="926"/>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row>
    <row r="61" spans="1:32" x14ac:dyDescent="0.3">
      <c r="A61" s="926"/>
      <c r="B61" s="926"/>
      <c r="C61" s="926"/>
      <c r="D61" s="926"/>
      <c r="E61" s="926"/>
      <c r="F61" s="926"/>
      <c r="G61" s="926"/>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row>
    <row r="62" spans="1:32" x14ac:dyDescent="0.3">
      <c r="A62" s="926"/>
      <c r="B62" s="926"/>
      <c r="C62" s="926"/>
      <c r="D62" s="926"/>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row>
    <row r="63" spans="1:32" x14ac:dyDescent="0.3">
      <c r="A63" s="926"/>
      <c r="B63" s="926"/>
      <c r="C63" s="926"/>
      <c r="D63" s="926"/>
      <c r="E63" s="926"/>
      <c r="F63" s="926"/>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row>
    <row r="64" spans="1:32" x14ac:dyDescent="0.3">
      <c r="A64" s="926"/>
      <c r="B64" s="926"/>
      <c r="C64" s="926"/>
      <c r="D64" s="926"/>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row>
    <row r="65" spans="1:32" x14ac:dyDescent="0.3">
      <c r="A65" s="926"/>
      <c r="B65" s="926"/>
      <c r="C65" s="926"/>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row>
    <row r="66" spans="1:32" x14ac:dyDescent="0.3">
      <c r="A66" s="926"/>
      <c r="B66" s="926"/>
      <c r="C66" s="926"/>
      <c r="D66" s="926"/>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row>
    <row r="67" spans="1:32" x14ac:dyDescent="0.3">
      <c r="A67" s="926"/>
      <c r="B67" s="926"/>
      <c r="C67" s="926"/>
      <c r="D67" s="926"/>
      <c r="E67" s="926"/>
      <c r="F67" s="926"/>
      <c r="G67" s="926"/>
      <c r="H67" s="926"/>
      <c r="I67" s="926"/>
      <c r="J67" s="926"/>
      <c r="K67" s="926"/>
      <c r="L67" s="926"/>
      <c r="M67" s="926"/>
      <c r="N67" s="926"/>
      <c r="O67" s="926"/>
      <c r="P67" s="926"/>
      <c r="Q67" s="926"/>
      <c r="R67" s="926"/>
      <c r="S67" s="926"/>
      <c r="T67" s="926"/>
      <c r="U67" s="926"/>
      <c r="V67" s="926"/>
      <c r="W67" s="926"/>
      <c r="X67" s="926"/>
      <c r="Y67" s="926"/>
      <c r="Z67" s="926"/>
      <c r="AA67" s="926"/>
      <c r="AB67" s="926"/>
      <c r="AC67" s="926"/>
      <c r="AD67" s="926"/>
      <c r="AE67" s="926"/>
      <c r="AF67" s="926"/>
    </row>
    <row r="68" spans="1:32" x14ac:dyDescent="0.3">
      <c r="A68" s="926"/>
      <c r="B68" s="926"/>
      <c r="C68" s="926"/>
      <c r="D68" s="926"/>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6"/>
      <c r="AC68" s="926"/>
      <c r="AD68" s="926"/>
      <c r="AE68" s="926"/>
      <c r="AF68" s="926"/>
    </row>
    <row r="69" spans="1:32" x14ac:dyDescent="0.3">
      <c r="A69" s="926"/>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row>
    <row r="70" spans="1:32" x14ac:dyDescent="0.3">
      <c r="A70" s="926"/>
      <c r="B70" s="926"/>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row>
    <row r="71" spans="1:32" x14ac:dyDescent="0.3">
      <c r="A71" s="926"/>
      <c r="B71" s="926"/>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row>
    <row r="72" spans="1:32" x14ac:dyDescent="0.3">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row>
    <row r="73" spans="1:32" x14ac:dyDescent="0.3">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row>
    <row r="74" spans="1:32"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row>
    <row r="75" spans="1:32"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row>
    <row r="76" spans="1:32"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row>
    <row r="77" spans="1:32"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row>
    <row r="78" spans="1:32"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row>
    <row r="79" spans="1:32"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row>
    <row r="80" spans="1:32"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row>
    <row r="81" spans="1:32"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row>
  </sheetData>
  <mergeCells count="32">
    <mergeCell ref="C4:D6"/>
    <mergeCell ref="F2:G4"/>
    <mergeCell ref="H2:I4"/>
    <mergeCell ref="K48:L50"/>
    <mergeCell ref="D11:S16"/>
    <mergeCell ref="G5:H7"/>
    <mergeCell ref="I5:J7"/>
    <mergeCell ref="K5:L7"/>
    <mergeCell ref="M5:N7"/>
    <mergeCell ref="O5:P7"/>
    <mergeCell ref="S4:T6"/>
    <mergeCell ref="J2:K4"/>
    <mergeCell ref="L2:M4"/>
    <mergeCell ref="N2:O4"/>
    <mergeCell ref="P2:Q4"/>
    <mergeCell ref="D30:S32"/>
    <mergeCell ref="D38:S39"/>
    <mergeCell ref="D40:S41"/>
    <mergeCell ref="D42:S43"/>
    <mergeCell ref="N54:O56"/>
    <mergeCell ref="P54:Q56"/>
    <mergeCell ref="C56:D58"/>
    <mergeCell ref="S56:T58"/>
    <mergeCell ref="G57:H59"/>
    <mergeCell ref="I57:J59"/>
    <mergeCell ref="K57:L59"/>
    <mergeCell ref="M57:N59"/>
    <mergeCell ref="O57:P59"/>
    <mergeCell ref="F54:G56"/>
    <mergeCell ref="H54:I56"/>
    <mergeCell ref="J54:K56"/>
    <mergeCell ref="L54:M56"/>
  </mergeCells>
  <hyperlinks>
    <hyperlink ref="K48:L50" location="UI.Example!A1" tooltip="Click to go to example page" display="Welcome Page" xr:uid="{325923C8-6DB4-487C-B8C3-2E6D777D0E56}"/>
    <hyperlink ref="H2:I4" location="UI.Farm!A1" tooltip="Click to go to farm inputs page" display="Farm Info" xr:uid="{0EEC9FA4-53F2-4171-B31A-2BCEF52ABC41}"/>
    <hyperlink ref="I5:J7" location="UI.OpExpenses!A1" tooltip="Click to go to operational expenses page" display="Operational Expenses" xr:uid="{5255A4D0-A256-4E9F-8F7C-B45938C667E1}"/>
    <hyperlink ref="K5:L7" location="UI.Priorities!A1" tooltip="Click to go to priorities page" display="Priorities" xr:uid="{67DB33E0-149D-423A-BB83-CC329AC741A9}"/>
    <hyperlink ref="J2:K4" location="UI.Animals!A1" tooltip="Click to go to animals input page" display="Animals" xr:uid="{A4A7AC17-A945-43B8-BDFB-242174A9CF58}"/>
    <hyperlink ref="P2:Q4" location="UI.Tractor!A1" tooltip="Click to go to tractor properties" display="Tractor Properties" xr:uid="{D6CF76E6-A93D-4EC9-A193-3D90AB1CF160}"/>
    <hyperlink ref="N2:O4" location="UI.Streams!A1" tooltip="Click to go to the excess manure page" display="Excess Manure Streams" xr:uid="{D65E14A3-8864-4A82-8551-5290C9D3ACC9}"/>
    <hyperlink ref="G5:H7" location="UI.Cap!A1" tooltip="Click to go to capital expenses page" display="Capital Expenses" xr:uid="{3DD46D94-76E4-4765-8237-9D2832204E14}"/>
    <hyperlink ref="L2:M4" location="UI.Manure!A1" tooltip="Click to go to the manure characteristics page" display="Manure Characteristics" xr:uid="{B6F43886-B505-4F15-A21D-DBEFA2EFF081}"/>
    <hyperlink ref="O5:P7" location="UI.Inputs!A1" tooltip="Click to go to input results summary" display="Inputs Summary" xr:uid="{DA9F69CB-3546-483B-B201-AAFD78C0403A}"/>
    <hyperlink ref="C4:C6" location="Results.Summary!A1" tooltip="Click to go to results summary page" display="Results Summary" xr:uid="{7BEF809B-58FC-4675-AE5F-01E1FDD8C6F7}"/>
    <hyperlink ref="F2:G4" location="UI.Welcome!A1" tooltip="Click to go to welcome page" display="Welcome Page" xr:uid="{DAA65F72-5D99-4FC4-BD29-549BF9F12ED1}"/>
    <hyperlink ref="S4:T6" location="UI.Farm!A1" tooltip="Click to go to farm inputs page" display="Farm Info" xr:uid="{1AE9F1F6-83B1-4EBB-8A35-DA4FCC7B3A40}"/>
    <hyperlink ref="M5:N7" location="UI.Choice!A1" tooltip="Click to go to scenario choice page" display="Scenario Choices" xr:uid="{0D17C04E-F1F9-4CEC-AC56-B1D43E0CFD2C}"/>
    <hyperlink ref="H54:I56" location="UI.Farm!A1" tooltip="Click to go to farm inputs page" display="Farm Info" xr:uid="{A2FB9D71-0BB8-4CF6-9E3E-2AB0285A17E2}"/>
    <hyperlink ref="I57:J59" location="UI.OpExpenses!A1" tooltip="Click to go to operational expenses page" display="Operational Expenses" xr:uid="{74D624AC-5E60-42E6-98E6-B9955C424064}"/>
    <hyperlink ref="K57:L59" location="UI.Priorities!A1" tooltip="Click to go to priorities page" display="Priorities" xr:uid="{DEE0AB31-05CE-484A-9234-A718DE1B2B20}"/>
    <hyperlink ref="J54:K56" location="UI.Animals!A1" tooltip="Click to go to animals input page" display="Animals" xr:uid="{8BB73407-AC0A-4A2D-9D7B-69298106A296}"/>
    <hyperlink ref="P54:Q56" location="UI.Tractor!A1" tooltip="Click to go to tractor properties" display="Tractor Properties" xr:uid="{67587CEC-8C03-4DE5-959E-4546C6D6A0CB}"/>
    <hyperlink ref="N54:O56" location="UI.Streams!A1" tooltip="Click to go to the excess manure page" display="Excess Manure Streams" xr:uid="{9AEF6A35-AA07-4EF8-B197-C2C6E52F6FAE}"/>
    <hyperlink ref="G57:H59" location="UI.Cap!A1" tooltip="Click to go to capital expenses page" display="Capital Expenses" xr:uid="{5EC9D381-3582-44EB-921D-70E020EC186D}"/>
    <hyperlink ref="L54:M56" location="UI.Manure!A1" tooltip="Click to go to the manure characteristics page" display="Manure Characteristics" xr:uid="{1F2EA77A-DF18-4D47-BF08-96C0C6DE76A6}"/>
    <hyperlink ref="O57:P59" location="UI.Inputs!A1" tooltip="Click to go to input results summary" display="Inputs Summary" xr:uid="{A8EBE9E9-B3E4-41BD-81FF-CF42623560A3}"/>
    <hyperlink ref="C56:C58" location="Results.Summary!A1" tooltip="Click to go to results summary page" display="Results Summary" xr:uid="{849F8B80-5A3E-43E7-9E67-6A9E035C30BD}"/>
    <hyperlink ref="F54:G56" location="UI.Welcome!A1" tooltip="Click to go to welcome page" display="Welcome Page" xr:uid="{E65B91E4-D0ED-4149-BA0D-B6EC81D8BED0}"/>
    <hyperlink ref="S56:T58" location="UI.Farm!A1" tooltip="Click to go to farm inputs page" display="Farm Info" xr:uid="{E4CA9814-B57F-4F91-8FDD-7B4217273CAA}"/>
    <hyperlink ref="M57:N59" location="UI.Choice!A1" tooltip="Click to go to scenario choice page" display="Scenario Choices" xr:uid="{7CD0099A-0848-45E0-962D-79B4F8C1251D}"/>
  </hyperlinks>
  <printOptions horizontalCentered="1" verticalCentered="1"/>
  <pageMargins left="0.7" right="0.7" top="0.75" bottom="0.75" header="0.3" footer="0.3"/>
  <pageSetup scale="4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13FE-E62A-4D72-B375-0AC28C2B0FC1}">
  <sheetPr codeName="Sheet1">
    <tabColor rgb="FF00B0F0"/>
  </sheetPr>
  <dimension ref="A1:BT246"/>
  <sheetViews>
    <sheetView workbookViewId="0">
      <selection activeCell="M5" sqref="M5:N7"/>
    </sheetView>
  </sheetViews>
  <sheetFormatPr defaultColWidth="9.109375" defaultRowHeight="14.4" x14ac:dyDescent="0.3"/>
  <cols>
    <col min="1" max="1" width="9.44140625" customWidth="1"/>
    <col min="2" max="2" width="2.5546875" customWidth="1"/>
    <col min="3" max="22" width="9.44140625" customWidth="1"/>
    <col min="23" max="23" width="2.5546875" customWidth="1"/>
    <col min="24" max="54" width="9.44140625" customWidth="1"/>
    <col min="55" max="55" width="20.44140625" customWidth="1"/>
    <col min="59" max="59" width="12" bestFit="1" customWidth="1"/>
    <col min="60" max="60" width="10" bestFit="1" customWidth="1"/>
    <col min="64" max="64" width="12.109375" customWidth="1"/>
    <col min="65" max="65" width="10.88671875" bestFit="1" customWidth="1"/>
    <col min="66" max="66" width="20.109375" bestFit="1" customWidth="1"/>
    <col min="67" max="67" width="26.44140625" customWidth="1"/>
    <col min="68" max="68" width="13.109375" bestFit="1" customWidth="1"/>
    <col min="70" max="70" width="47.44140625" bestFit="1"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45" t="s">
        <v>5</v>
      </c>
      <c r="Q2" s="2346"/>
      <c r="R2" s="1739"/>
      <c r="S2" s="926"/>
      <c r="T2" s="926"/>
      <c r="U2" s="927"/>
      <c r="V2" s="927"/>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47"/>
      <c r="Q3" s="2348"/>
      <c r="R3" s="1739"/>
      <c r="S3" s="926"/>
      <c r="T3" s="926"/>
      <c r="U3" s="927"/>
      <c r="V3" s="927"/>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49"/>
      <c r="Q4" s="2350"/>
      <c r="R4" s="926"/>
      <c r="S4" s="2356" t="s">
        <v>7</v>
      </c>
      <c r="T4" s="2357"/>
      <c r="U4" s="927"/>
      <c r="V4" s="927"/>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45" t="s">
        <v>9</v>
      </c>
      <c r="J5" s="2346"/>
      <c r="K5" s="2362" t="s">
        <v>10</v>
      </c>
      <c r="L5" s="2363"/>
      <c r="M5" s="2345" t="s">
        <v>11</v>
      </c>
      <c r="N5" s="2346"/>
      <c r="O5" s="2345" t="s">
        <v>12</v>
      </c>
      <c r="P5" s="2346"/>
      <c r="Q5" s="926"/>
      <c r="R5" s="926"/>
      <c r="S5" s="2358"/>
      <c r="T5" s="2359"/>
      <c r="U5" s="927"/>
      <c r="V5" s="927"/>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64"/>
      <c r="L6" s="2365"/>
      <c r="M6" s="2347"/>
      <c r="N6" s="2348"/>
      <c r="O6" s="2347"/>
      <c r="P6" s="2348"/>
      <c r="Q6" s="926"/>
      <c r="R6" s="926"/>
      <c r="S6" s="2360"/>
      <c r="T6" s="2361"/>
      <c r="U6" s="927"/>
      <c r="V6" s="927"/>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66"/>
      <c r="L7" s="2367"/>
      <c r="M7" s="2349"/>
      <c r="N7" s="2350"/>
      <c r="O7" s="2349"/>
      <c r="P7" s="2350"/>
      <c r="Q7" s="923"/>
      <c r="R7" s="923"/>
      <c r="S7" s="926"/>
      <c r="T7" s="926"/>
      <c r="U7" s="927"/>
      <c r="V7" s="927"/>
      <c r="W7" s="926"/>
      <c r="X7" s="926"/>
      <c r="Y7" s="926"/>
      <c r="Z7" s="926"/>
      <c r="AA7" s="926"/>
      <c r="AB7" s="926"/>
      <c r="AC7" s="926"/>
      <c r="AD7" s="926"/>
      <c r="AE7" s="926"/>
      <c r="AF7" s="926"/>
      <c r="AG7" s="926"/>
      <c r="AH7" s="926"/>
      <c r="AI7" s="926"/>
      <c r="AJ7" s="926"/>
    </row>
    <row r="8" spans="1:36" ht="15" customHeight="1" x14ac:dyDescent="0.3">
      <c r="A8" s="926"/>
      <c r="B8" s="926"/>
      <c r="C8" s="927"/>
      <c r="D8" s="924"/>
      <c r="E8" s="924"/>
      <c r="F8" s="924"/>
      <c r="G8" s="924"/>
      <c r="H8" s="924"/>
      <c r="I8" s="924"/>
      <c r="J8" s="924"/>
      <c r="K8" s="924"/>
      <c r="L8" s="924"/>
      <c r="M8" s="924"/>
      <c r="N8" s="924"/>
      <c r="O8" s="924"/>
      <c r="P8" s="924"/>
      <c r="Q8" s="924"/>
      <c r="R8" s="924"/>
      <c r="S8" s="924"/>
      <c r="T8" s="927"/>
      <c r="U8" s="927"/>
      <c r="V8" s="927"/>
      <c r="W8" s="926"/>
      <c r="X8" s="926"/>
      <c r="Y8" s="926"/>
      <c r="Z8" s="926"/>
      <c r="AA8" s="926"/>
      <c r="AB8" s="926"/>
      <c r="AC8" s="926"/>
      <c r="AD8" s="926"/>
      <c r="AE8" s="926"/>
      <c r="AF8" s="926"/>
      <c r="AG8" s="926"/>
      <c r="AH8" s="926"/>
      <c r="AI8" s="926"/>
      <c r="AJ8" s="926"/>
    </row>
    <row r="9" spans="1:36" ht="15.75" customHeight="1" thickBot="1" x14ac:dyDescent="0.35">
      <c r="A9" s="926"/>
      <c r="B9" s="609"/>
      <c r="C9" s="609"/>
      <c r="D9" s="609"/>
      <c r="E9" s="610"/>
      <c r="F9" s="609"/>
      <c r="G9" s="609"/>
      <c r="H9" s="609"/>
      <c r="I9" s="609"/>
      <c r="J9" s="609"/>
      <c r="K9" s="609"/>
      <c r="L9" s="609"/>
      <c r="M9" s="609"/>
      <c r="N9" s="609"/>
      <c r="O9" s="609"/>
      <c r="P9" s="609"/>
      <c r="Q9" s="609"/>
      <c r="R9" s="609"/>
      <c r="S9" s="609"/>
      <c r="T9" s="609"/>
      <c r="U9" s="609"/>
      <c r="V9" s="609"/>
      <c r="W9" s="609"/>
      <c r="X9" s="926"/>
      <c r="Y9" s="926"/>
      <c r="Z9" s="926"/>
      <c r="AA9" s="926"/>
      <c r="AB9" s="926"/>
      <c r="AC9" s="926"/>
      <c r="AD9" s="926"/>
      <c r="AE9" s="926"/>
      <c r="AF9" s="926"/>
      <c r="AG9" s="926"/>
      <c r="AH9" s="926"/>
      <c r="AI9" s="926"/>
      <c r="AJ9" s="926"/>
    </row>
    <row r="10" spans="1:36" ht="15" customHeight="1" thickBot="1" x14ac:dyDescent="0.35">
      <c r="A10" s="926"/>
      <c r="B10" s="609"/>
      <c r="C10" s="1742"/>
      <c r="D10" s="968"/>
      <c r="E10" s="968"/>
      <c r="F10" s="968"/>
      <c r="G10" s="968"/>
      <c r="H10" s="960"/>
      <c r="I10" s="960"/>
      <c r="J10" s="960"/>
      <c r="K10" s="960"/>
      <c r="L10" s="960"/>
      <c r="M10" s="960"/>
      <c r="N10" s="960"/>
      <c r="O10" s="960"/>
      <c r="P10" s="960"/>
      <c r="Q10" s="960"/>
      <c r="R10" s="960"/>
      <c r="S10" s="960"/>
      <c r="T10" s="960"/>
      <c r="U10" s="960"/>
      <c r="V10" s="961"/>
      <c r="W10" s="609"/>
      <c r="X10" s="926"/>
      <c r="Y10" s="926"/>
      <c r="Z10" s="926"/>
      <c r="AA10" s="926"/>
      <c r="AB10" s="926"/>
      <c r="AC10" s="926"/>
      <c r="AD10" s="926"/>
      <c r="AE10" s="926"/>
      <c r="AF10" s="926"/>
      <c r="AG10" s="926"/>
      <c r="AH10" s="926"/>
      <c r="AI10" s="926"/>
      <c r="AJ10" s="926"/>
    </row>
    <row r="11" spans="1:36" ht="15" customHeight="1" x14ac:dyDescent="0.3">
      <c r="A11" s="926"/>
      <c r="B11" s="609"/>
      <c r="C11" s="969"/>
      <c r="D11" s="2491" t="s">
        <v>10</v>
      </c>
      <c r="E11" s="2492"/>
      <c r="F11" s="2492"/>
      <c r="G11" s="2492"/>
      <c r="H11" s="2492"/>
      <c r="I11" s="2492"/>
      <c r="J11" s="2492"/>
      <c r="K11" s="2492"/>
      <c r="L11" s="2492"/>
      <c r="M11" s="2492"/>
      <c r="N11" s="2492"/>
      <c r="O11" s="2492"/>
      <c r="P11" s="2492"/>
      <c r="Q11" s="2492"/>
      <c r="R11" s="2492"/>
      <c r="S11" s="2493"/>
      <c r="T11" s="40"/>
      <c r="U11" s="40"/>
      <c r="V11" s="963"/>
      <c r="W11" s="609"/>
      <c r="X11" s="926"/>
      <c r="Y11" s="926"/>
      <c r="Z11" s="926"/>
      <c r="AA11" s="926"/>
      <c r="AB11" s="926"/>
      <c r="AC11" s="926"/>
      <c r="AD11" s="926"/>
      <c r="AE11" s="926"/>
      <c r="AF11" s="926"/>
      <c r="AG11" s="926"/>
      <c r="AH11" s="926"/>
      <c r="AI11" s="926"/>
      <c r="AJ11" s="926"/>
    </row>
    <row r="12" spans="1:36" ht="15" customHeight="1" x14ac:dyDescent="0.3">
      <c r="A12" s="926"/>
      <c r="B12" s="609"/>
      <c r="C12" s="969"/>
      <c r="D12" s="2494"/>
      <c r="E12" s="2495"/>
      <c r="F12" s="2495"/>
      <c r="G12" s="2495"/>
      <c r="H12" s="2495"/>
      <c r="I12" s="2495"/>
      <c r="J12" s="2495"/>
      <c r="K12" s="2495"/>
      <c r="L12" s="2495"/>
      <c r="M12" s="2495"/>
      <c r="N12" s="2495"/>
      <c r="O12" s="2495"/>
      <c r="P12" s="2495"/>
      <c r="Q12" s="2495"/>
      <c r="R12" s="2495"/>
      <c r="S12" s="2496"/>
      <c r="T12" s="40"/>
      <c r="U12" s="40"/>
      <c r="V12" s="963"/>
      <c r="W12" s="609"/>
      <c r="X12" s="926"/>
      <c r="Y12" s="926"/>
      <c r="Z12" s="926"/>
      <c r="AA12" s="926"/>
      <c r="AB12" s="926"/>
      <c r="AC12" s="926"/>
      <c r="AD12" s="926"/>
      <c r="AE12" s="926"/>
      <c r="AF12" s="926"/>
      <c r="AG12" s="926"/>
      <c r="AH12" s="926"/>
      <c r="AI12" s="926"/>
      <c r="AJ12" s="926"/>
    </row>
    <row r="13" spans="1:36" ht="15" customHeight="1" x14ac:dyDescent="0.3">
      <c r="A13" s="926"/>
      <c r="B13" s="609"/>
      <c r="C13" s="969"/>
      <c r="D13" s="2494"/>
      <c r="E13" s="2495"/>
      <c r="F13" s="2495"/>
      <c r="G13" s="2495"/>
      <c r="H13" s="2495"/>
      <c r="I13" s="2495"/>
      <c r="J13" s="2495"/>
      <c r="K13" s="2495"/>
      <c r="L13" s="2495"/>
      <c r="M13" s="2495"/>
      <c r="N13" s="2495"/>
      <c r="O13" s="2495"/>
      <c r="P13" s="2495"/>
      <c r="Q13" s="2495"/>
      <c r="R13" s="2495"/>
      <c r="S13" s="2496"/>
      <c r="T13" s="40"/>
      <c r="U13" s="40"/>
      <c r="V13" s="963"/>
      <c r="W13" s="609"/>
      <c r="X13" s="926"/>
      <c r="Y13" s="926"/>
      <c r="Z13" s="926"/>
      <c r="AA13" s="926"/>
      <c r="AB13" s="926"/>
      <c r="AC13" s="926"/>
      <c r="AD13" s="926"/>
      <c r="AE13" s="926"/>
      <c r="AF13" s="926"/>
      <c r="AG13" s="926"/>
      <c r="AH13" s="926"/>
      <c r="AI13" s="926"/>
      <c r="AJ13" s="926"/>
    </row>
    <row r="14" spans="1:36" ht="15" customHeight="1" x14ac:dyDescent="0.3">
      <c r="A14" s="926"/>
      <c r="B14" s="609"/>
      <c r="C14" s="969"/>
      <c r="D14" s="2494"/>
      <c r="E14" s="2495"/>
      <c r="F14" s="2495"/>
      <c r="G14" s="2495"/>
      <c r="H14" s="2495"/>
      <c r="I14" s="2495"/>
      <c r="J14" s="2495"/>
      <c r="K14" s="2495"/>
      <c r="L14" s="2495"/>
      <c r="M14" s="2495"/>
      <c r="N14" s="2495"/>
      <c r="O14" s="2495"/>
      <c r="P14" s="2495"/>
      <c r="Q14" s="2495"/>
      <c r="R14" s="2495"/>
      <c r="S14" s="2496"/>
      <c r="T14" s="40"/>
      <c r="U14" s="40"/>
      <c r="V14" s="963"/>
      <c r="W14" s="609"/>
      <c r="X14" s="926"/>
      <c r="Y14" s="926"/>
      <c r="Z14" s="926"/>
      <c r="AA14" s="926"/>
      <c r="AB14" s="926"/>
      <c r="AC14" s="926"/>
      <c r="AD14" s="926"/>
      <c r="AE14" s="926"/>
      <c r="AF14" s="926"/>
      <c r="AG14" s="926"/>
      <c r="AH14" s="926"/>
      <c r="AI14" s="926"/>
      <c r="AJ14" s="926"/>
    </row>
    <row r="15" spans="1:36" ht="15" customHeight="1" x14ac:dyDescent="0.3">
      <c r="A15" s="926"/>
      <c r="B15" s="609"/>
      <c r="C15" s="969"/>
      <c r="D15" s="2494"/>
      <c r="E15" s="2495"/>
      <c r="F15" s="2495"/>
      <c r="G15" s="2495"/>
      <c r="H15" s="2495"/>
      <c r="I15" s="2495"/>
      <c r="J15" s="2495"/>
      <c r="K15" s="2495"/>
      <c r="L15" s="2495"/>
      <c r="M15" s="2495"/>
      <c r="N15" s="2495"/>
      <c r="O15" s="2495"/>
      <c r="P15" s="2495"/>
      <c r="Q15" s="2495"/>
      <c r="R15" s="2495"/>
      <c r="S15" s="2496"/>
      <c r="T15" s="40"/>
      <c r="U15" s="40"/>
      <c r="V15" s="963"/>
      <c r="W15" s="609"/>
      <c r="X15" s="926"/>
      <c r="Y15" s="926"/>
      <c r="Z15" s="926"/>
      <c r="AA15" s="926"/>
      <c r="AB15" s="926"/>
      <c r="AC15" s="926"/>
      <c r="AD15" s="926"/>
      <c r="AE15" s="926"/>
      <c r="AF15" s="926"/>
      <c r="AG15" s="926"/>
      <c r="AH15" s="926"/>
      <c r="AI15" s="926"/>
      <c r="AJ15" s="926"/>
    </row>
    <row r="16" spans="1:36" ht="15" customHeight="1" thickBot="1" x14ac:dyDescent="0.35">
      <c r="A16" s="926"/>
      <c r="B16" s="609"/>
      <c r="C16" s="969"/>
      <c r="D16" s="2497"/>
      <c r="E16" s="2498"/>
      <c r="F16" s="2498"/>
      <c r="G16" s="2498"/>
      <c r="H16" s="2498"/>
      <c r="I16" s="2498"/>
      <c r="J16" s="2498"/>
      <c r="K16" s="2498"/>
      <c r="L16" s="2498"/>
      <c r="M16" s="2498"/>
      <c r="N16" s="2498"/>
      <c r="O16" s="2498"/>
      <c r="P16" s="2498"/>
      <c r="Q16" s="2498"/>
      <c r="R16" s="2498"/>
      <c r="S16" s="2499"/>
      <c r="T16" s="40"/>
      <c r="U16" s="40"/>
      <c r="V16" s="963"/>
      <c r="W16" s="609"/>
      <c r="X16" s="926"/>
      <c r="Y16" s="926"/>
      <c r="Z16" s="926"/>
      <c r="AA16" s="926"/>
      <c r="AB16" s="926"/>
      <c r="AC16" s="926"/>
      <c r="AD16" s="926"/>
      <c r="AE16" s="926"/>
      <c r="AF16" s="926"/>
      <c r="AG16" s="926"/>
      <c r="AH16" s="926"/>
      <c r="AI16" s="926"/>
      <c r="AJ16" s="926"/>
    </row>
    <row r="17" spans="1:36" ht="15" customHeight="1" thickBot="1" x14ac:dyDescent="0.35">
      <c r="A17" s="926"/>
      <c r="B17" s="609"/>
      <c r="C17" s="969"/>
      <c r="D17" s="1971"/>
      <c r="E17" s="1971"/>
      <c r="F17" s="1971"/>
      <c r="G17" s="1971"/>
      <c r="H17" s="40"/>
      <c r="I17" s="40"/>
      <c r="J17" s="40"/>
      <c r="K17" s="40"/>
      <c r="L17" s="40"/>
      <c r="M17" s="40"/>
      <c r="N17" s="40"/>
      <c r="O17" s="40"/>
      <c r="P17" s="40"/>
      <c r="Q17" s="40"/>
      <c r="R17" s="40"/>
      <c r="S17" s="40"/>
      <c r="T17" s="40"/>
      <c r="U17" s="40"/>
      <c r="V17" s="963"/>
      <c r="W17" s="609"/>
      <c r="X17" s="926"/>
      <c r="Y17" s="926"/>
      <c r="Z17" s="926"/>
      <c r="AA17" s="926"/>
      <c r="AB17" s="926"/>
      <c r="AC17" s="926"/>
      <c r="AD17" s="926"/>
      <c r="AE17" s="926"/>
      <c r="AF17" s="926"/>
      <c r="AG17" s="926"/>
      <c r="AH17" s="926"/>
      <c r="AI17" s="926"/>
      <c r="AJ17" s="926"/>
    </row>
    <row r="18" spans="1:36" ht="15" customHeight="1" x14ac:dyDescent="0.3">
      <c r="A18" s="926"/>
      <c r="B18" s="609"/>
      <c r="C18" s="969"/>
      <c r="D18" s="1971"/>
      <c r="E18" s="2441" t="s">
        <v>425</v>
      </c>
      <c r="F18" s="2442"/>
      <c r="G18" s="2442"/>
      <c r="H18" s="2442"/>
      <c r="I18" s="2442"/>
      <c r="J18" s="2442"/>
      <c r="K18" s="2442"/>
      <c r="L18" s="2442"/>
      <c r="M18" s="2442"/>
      <c r="N18" s="2442"/>
      <c r="O18" s="2442"/>
      <c r="P18" s="2442"/>
      <c r="Q18" s="2442"/>
      <c r="R18" s="2443"/>
      <c r="S18" s="40"/>
      <c r="T18" s="40"/>
      <c r="U18" s="40"/>
      <c r="V18" s="963"/>
      <c r="W18" s="609"/>
      <c r="X18" s="926"/>
      <c r="Y18" s="926"/>
      <c r="Z18" s="926"/>
      <c r="AA18" s="926"/>
      <c r="AB18" s="926"/>
      <c r="AC18" s="926"/>
      <c r="AD18" s="926"/>
      <c r="AE18" s="926"/>
      <c r="AF18" s="926"/>
      <c r="AG18" s="926"/>
      <c r="AH18" s="926"/>
      <c r="AI18" s="926"/>
      <c r="AJ18" s="926"/>
    </row>
    <row r="19" spans="1:36" ht="15" customHeight="1" x14ac:dyDescent="0.3">
      <c r="A19" s="926"/>
      <c r="B19" s="609"/>
      <c r="C19" s="969"/>
      <c r="D19" s="1971"/>
      <c r="E19" s="2444"/>
      <c r="F19" s="2380"/>
      <c r="G19" s="2380"/>
      <c r="H19" s="2380"/>
      <c r="I19" s="2380"/>
      <c r="J19" s="2380"/>
      <c r="K19" s="2380"/>
      <c r="L19" s="2380"/>
      <c r="M19" s="2380"/>
      <c r="N19" s="2380"/>
      <c r="O19" s="2380"/>
      <c r="P19" s="2380"/>
      <c r="Q19" s="2380"/>
      <c r="R19" s="2445"/>
      <c r="S19" s="40"/>
      <c r="T19" s="40"/>
      <c r="U19" s="40"/>
      <c r="V19" s="963"/>
      <c r="W19" s="609"/>
      <c r="X19" s="926"/>
      <c r="Y19" s="926"/>
      <c r="Z19" s="926"/>
      <c r="AA19" s="926"/>
      <c r="AB19" s="926"/>
      <c r="AC19" s="926"/>
      <c r="AD19" s="926"/>
      <c r="AE19" s="926"/>
      <c r="AF19" s="926"/>
      <c r="AG19" s="926"/>
      <c r="AH19" s="926"/>
      <c r="AI19" s="926"/>
      <c r="AJ19" s="926"/>
    </row>
    <row r="20" spans="1:36" ht="15" customHeight="1" x14ac:dyDescent="0.3">
      <c r="A20" s="926"/>
      <c r="B20" s="609"/>
      <c r="C20" s="969"/>
      <c r="D20" s="1971"/>
      <c r="E20" s="2444"/>
      <c r="F20" s="2380"/>
      <c r="G20" s="2380"/>
      <c r="H20" s="2380"/>
      <c r="I20" s="2380"/>
      <c r="J20" s="2380"/>
      <c r="K20" s="2380"/>
      <c r="L20" s="2380"/>
      <c r="M20" s="2380"/>
      <c r="N20" s="2380"/>
      <c r="O20" s="2380"/>
      <c r="P20" s="2380"/>
      <c r="Q20" s="2380"/>
      <c r="R20" s="2445"/>
      <c r="S20" s="40"/>
      <c r="T20" s="40"/>
      <c r="U20" s="40"/>
      <c r="V20" s="963"/>
      <c r="W20" s="609"/>
      <c r="X20" s="926"/>
      <c r="Y20" s="926"/>
      <c r="Z20" s="926"/>
      <c r="AA20" s="926"/>
      <c r="AB20" s="926"/>
      <c r="AC20" s="926"/>
      <c r="AD20" s="926"/>
      <c r="AE20" s="926"/>
      <c r="AF20" s="926"/>
      <c r="AG20" s="926"/>
      <c r="AH20" s="926"/>
      <c r="AI20" s="926"/>
      <c r="AJ20" s="926"/>
    </row>
    <row r="21" spans="1:36" ht="15" customHeight="1" x14ac:dyDescent="0.3">
      <c r="A21" s="926"/>
      <c r="B21" s="609"/>
      <c r="C21" s="969"/>
      <c r="D21" s="1971"/>
      <c r="E21" s="2444"/>
      <c r="F21" s="2380"/>
      <c r="G21" s="2380"/>
      <c r="H21" s="2380"/>
      <c r="I21" s="2380"/>
      <c r="J21" s="2380"/>
      <c r="K21" s="2380"/>
      <c r="L21" s="2380"/>
      <c r="M21" s="2380"/>
      <c r="N21" s="2380"/>
      <c r="O21" s="2380"/>
      <c r="P21" s="2380"/>
      <c r="Q21" s="2380"/>
      <c r="R21" s="2445"/>
      <c r="S21" s="40"/>
      <c r="T21" s="40"/>
      <c r="U21" s="40"/>
      <c r="V21" s="963"/>
      <c r="W21" s="609"/>
      <c r="X21" s="926"/>
      <c r="Y21" s="926"/>
      <c r="Z21" s="926"/>
      <c r="AA21" s="926"/>
      <c r="AB21" s="926"/>
      <c r="AC21" s="926"/>
      <c r="AD21" s="926"/>
      <c r="AE21" s="926"/>
      <c r="AF21" s="926"/>
      <c r="AG21" s="926"/>
      <c r="AH21" s="926"/>
      <c r="AI21" s="926"/>
      <c r="AJ21" s="926"/>
    </row>
    <row r="22" spans="1:36" ht="15" customHeight="1" x14ac:dyDescent="0.3">
      <c r="A22" s="926"/>
      <c r="B22" s="609"/>
      <c r="C22" s="969"/>
      <c r="D22" s="1971"/>
      <c r="E22" s="2444"/>
      <c r="F22" s="2380"/>
      <c r="G22" s="2380"/>
      <c r="H22" s="2380"/>
      <c r="I22" s="2380"/>
      <c r="J22" s="2380"/>
      <c r="K22" s="2380"/>
      <c r="L22" s="2380"/>
      <c r="M22" s="2380"/>
      <c r="N22" s="2380"/>
      <c r="O22" s="2380"/>
      <c r="P22" s="2380"/>
      <c r="Q22" s="2380"/>
      <c r="R22" s="2445"/>
      <c r="S22" s="40"/>
      <c r="T22" s="40"/>
      <c r="U22" s="40"/>
      <c r="V22" s="963"/>
      <c r="W22" s="609"/>
      <c r="X22" s="926"/>
      <c r="Y22" s="926"/>
      <c r="Z22" s="926"/>
      <c r="AA22" s="926"/>
      <c r="AB22" s="926"/>
      <c r="AC22" s="926"/>
      <c r="AD22" s="926"/>
      <c r="AE22" s="926"/>
      <c r="AF22" s="926"/>
      <c r="AG22" s="926"/>
      <c r="AH22" s="926"/>
      <c r="AI22" s="926"/>
      <c r="AJ22" s="926"/>
    </row>
    <row r="23" spans="1:36" ht="15" customHeight="1" x14ac:dyDescent="0.3">
      <c r="A23" s="926"/>
      <c r="B23" s="609"/>
      <c r="C23" s="969"/>
      <c r="D23" s="1971"/>
      <c r="E23" s="2444"/>
      <c r="F23" s="2380"/>
      <c r="G23" s="2380"/>
      <c r="H23" s="2380"/>
      <c r="I23" s="2380"/>
      <c r="J23" s="2380"/>
      <c r="K23" s="2380"/>
      <c r="L23" s="2380"/>
      <c r="M23" s="2380"/>
      <c r="N23" s="2380"/>
      <c r="O23" s="2380"/>
      <c r="P23" s="2380"/>
      <c r="Q23" s="2380"/>
      <c r="R23" s="2445"/>
      <c r="S23" s="40"/>
      <c r="T23" s="40"/>
      <c r="U23" s="40"/>
      <c r="V23" s="963"/>
      <c r="W23" s="609"/>
      <c r="X23" s="926"/>
      <c r="Y23" s="926"/>
      <c r="Z23" s="926"/>
      <c r="AA23" s="926"/>
      <c r="AB23" s="926"/>
      <c r="AC23" s="926"/>
      <c r="AD23" s="926"/>
      <c r="AE23" s="926"/>
      <c r="AF23" s="926"/>
      <c r="AG23" s="926"/>
      <c r="AH23" s="926"/>
      <c r="AI23" s="926"/>
      <c r="AJ23" s="926"/>
    </row>
    <row r="24" spans="1:36" ht="15" customHeight="1" thickBot="1" x14ac:dyDescent="0.35">
      <c r="A24" s="926"/>
      <c r="B24" s="609"/>
      <c r="C24" s="969"/>
      <c r="D24" s="1971"/>
      <c r="E24" s="2446"/>
      <c r="F24" s="2447"/>
      <c r="G24" s="2447"/>
      <c r="H24" s="2447"/>
      <c r="I24" s="2447"/>
      <c r="J24" s="2447"/>
      <c r="K24" s="2447"/>
      <c r="L24" s="2447"/>
      <c r="M24" s="2447"/>
      <c r="N24" s="2447"/>
      <c r="O24" s="2447"/>
      <c r="P24" s="2447"/>
      <c r="Q24" s="2447"/>
      <c r="R24" s="2448"/>
      <c r="S24" s="40"/>
      <c r="T24" s="40"/>
      <c r="U24" s="40"/>
      <c r="V24" s="963"/>
      <c r="W24" s="609"/>
      <c r="X24" s="926"/>
      <c r="Y24" s="926"/>
      <c r="Z24" s="926"/>
      <c r="AA24" s="926"/>
      <c r="AB24" s="926"/>
      <c r="AC24" s="926"/>
      <c r="AD24" s="926"/>
      <c r="AE24" s="926"/>
      <c r="AF24" s="926"/>
      <c r="AG24" s="926"/>
      <c r="AH24" s="926"/>
      <c r="AI24" s="926"/>
      <c r="AJ24" s="926"/>
    </row>
    <row r="25" spans="1:36" ht="15" customHeight="1" thickBot="1" x14ac:dyDescent="0.35">
      <c r="A25" s="926"/>
      <c r="B25" s="609"/>
      <c r="C25" s="969"/>
      <c r="D25" s="1971"/>
      <c r="E25" s="1971"/>
      <c r="F25" s="1971"/>
      <c r="G25" s="1971"/>
      <c r="H25" s="40"/>
      <c r="I25" s="40"/>
      <c r="J25" s="40"/>
      <c r="K25" s="40"/>
      <c r="L25" s="40"/>
      <c r="M25" s="40"/>
      <c r="N25" s="40"/>
      <c r="O25" s="40"/>
      <c r="P25" s="40"/>
      <c r="Q25" s="40"/>
      <c r="R25" s="40"/>
      <c r="S25" s="40"/>
      <c r="T25" s="40"/>
      <c r="U25" s="40"/>
      <c r="V25" s="963"/>
      <c r="W25" s="609"/>
      <c r="X25" s="926"/>
      <c r="Y25" s="926"/>
      <c r="Z25" s="926"/>
      <c r="AA25" s="926"/>
      <c r="AB25" s="926"/>
      <c r="AC25" s="926"/>
      <c r="AD25" s="926"/>
      <c r="AE25" s="926"/>
      <c r="AF25" s="926"/>
      <c r="AG25" s="926"/>
      <c r="AH25" s="926"/>
      <c r="AI25" s="926"/>
      <c r="AJ25" s="926"/>
    </row>
    <row r="26" spans="1:36" ht="15" customHeight="1" x14ac:dyDescent="0.3">
      <c r="A26" s="926"/>
      <c r="B26" s="609"/>
      <c r="C26" s="969"/>
      <c r="D26" s="1971"/>
      <c r="E26" s="2701" t="s">
        <v>426</v>
      </c>
      <c r="F26" s="2702"/>
      <c r="G26" s="2702"/>
      <c r="H26" s="2702"/>
      <c r="I26" s="2702"/>
      <c r="J26" s="2702"/>
      <c r="K26" s="2702"/>
      <c r="L26" s="2702"/>
      <c r="M26" s="2702"/>
      <c r="N26" s="2702"/>
      <c r="O26" s="2702"/>
      <c r="P26" s="2702"/>
      <c r="Q26" s="2702"/>
      <c r="R26" s="2703"/>
      <c r="S26" s="40"/>
      <c r="T26" s="40"/>
      <c r="U26" s="40"/>
      <c r="V26" s="963"/>
      <c r="W26" s="609"/>
      <c r="X26" s="926"/>
      <c r="Y26" s="926"/>
      <c r="Z26" s="926"/>
      <c r="AA26" s="926"/>
      <c r="AB26" s="926"/>
      <c r="AC26" s="926"/>
      <c r="AD26" s="926"/>
      <c r="AE26" s="926"/>
      <c r="AF26" s="926"/>
      <c r="AG26" s="926"/>
      <c r="AH26" s="926"/>
      <c r="AI26" s="926"/>
      <c r="AJ26" s="926"/>
    </row>
    <row r="27" spans="1:36" ht="15" customHeight="1" x14ac:dyDescent="0.3">
      <c r="A27" s="926"/>
      <c r="B27" s="609"/>
      <c r="C27" s="969"/>
      <c r="D27" s="1971"/>
      <c r="E27" s="2704"/>
      <c r="F27" s="2705"/>
      <c r="G27" s="2705"/>
      <c r="H27" s="2705"/>
      <c r="I27" s="2705"/>
      <c r="J27" s="2705"/>
      <c r="K27" s="2705"/>
      <c r="L27" s="2705"/>
      <c r="M27" s="2705"/>
      <c r="N27" s="2705"/>
      <c r="O27" s="2705"/>
      <c r="P27" s="2705"/>
      <c r="Q27" s="2705"/>
      <c r="R27" s="2706"/>
      <c r="S27" s="40"/>
      <c r="T27" s="40"/>
      <c r="U27" s="40"/>
      <c r="V27" s="963"/>
      <c r="W27" s="609"/>
      <c r="X27" s="926"/>
      <c r="Y27" s="926"/>
      <c r="Z27" s="926"/>
      <c r="AA27" s="926"/>
      <c r="AB27" s="926"/>
      <c r="AC27" s="926"/>
      <c r="AD27" s="926"/>
      <c r="AE27" s="926"/>
      <c r="AF27" s="926"/>
      <c r="AG27" s="926"/>
      <c r="AH27" s="926"/>
      <c r="AI27" s="926"/>
      <c r="AJ27" s="926"/>
    </row>
    <row r="28" spans="1:36" ht="15" customHeight="1" x14ac:dyDescent="0.3">
      <c r="A28" s="926"/>
      <c r="B28" s="609"/>
      <c r="C28" s="969"/>
      <c r="D28" s="1971"/>
      <c r="E28" s="2704"/>
      <c r="F28" s="2705"/>
      <c r="G28" s="2705"/>
      <c r="H28" s="2705"/>
      <c r="I28" s="2705"/>
      <c r="J28" s="2705"/>
      <c r="K28" s="2705"/>
      <c r="L28" s="2705"/>
      <c r="M28" s="2705"/>
      <c r="N28" s="2705"/>
      <c r="O28" s="2705"/>
      <c r="P28" s="2705"/>
      <c r="Q28" s="2705"/>
      <c r="R28" s="2706"/>
      <c r="S28" s="40"/>
      <c r="T28" s="40"/>
      <c r="U28" s="40"/>
      <c r="V28" s="963"/>
      <c r="W28" s="609"/>
      <c r="X28" s="926"/>
      <c r="Y28" s="926"/>
      <c r="Z28" s="926"/>
      <c r="AA28" s="926"/>
      <c r="AB28" s="926"/>
      <c r="AC28" s="926"/>
      <c r="AD28" s="926"/>
      <c r="AE28" s="926"/>
      <c r="AF28" s="926"/>
      <c r="AG28" s="926"/>
      <c r="AH28" s="926"/>
      <c r="AI28" s="926"/>
      <c r="AJ28" s="926"/>
    </row>
    <row r="29" spans="1:36" ht="15" customHeight="1" thickBot="1" x14ac:dyDescent="0.35">
      <c r="A29" s="926"/>
      <c r="B29" s="609"/>
      <c r="C29" s="969"/>
      <c r="D29" s="1971"/>
      <c r="E29" s="2707"/>
      <c r="F29" s="2708"/>
      <c r="G29" s="2708"/>
      <c r="H29" s="2708"/>
      <c r="I29" s="2708"/>
      <c r="J29" s="2708"/>
      <c r="K29" s="2708"/>
      <c r="L29" s="2708"/>
      <c r="M29" s="2708"/>
      <c r="N29" s="2708"/>
      <c r="O29" s="2708"/>
      <c r="P29" s="2708"/>
      <c r="Q29" s="2708"/>
      <c r="R29" s="2709"/>
      <c r="S29" s="40"/>
      <c r="T29" s="40"/>
      <c r="U29" s="40"/>
      <c r="V29" s="963"/>
      <c r="W29" s="609"/>
      <c r="X29" s="926"/>
      <c r="Y29" s="926"/>
      <c r="Z29" s="926"/>
      <c r="AA29" s="926"/>
      <c r="AB29" s="926"/>
      <c r="AC29" s="926"/>
      <c r="AD29" s="926"/>
      <c r="AE29" s="926"/>
      <c r="AF29" s="926"/>
      <c r="AG29" s="926"/>
      <c r="AH29" s="926"/>
      <c r="AI29" s="926"/>
      <c r="AJ29" s="926"/>
    </row>
    <row r="30" spans="1:36" ht="15" customHeight="1" x14ac:dyDescent="0.3">
      <c r="A30" s="926"/>
      <c r="B30" s="609"/>
      <c r="C30" s="969"/>
      <c r="D30" s="1971"/>
      <c r="E30" s="2710" t="s">
        <v>31</v>
      </c>
      <c r="F30" s="2711"/>
      <c r="G30" s="2711"/>
      <c r="H30" s="2711"/>
      <c r="I30" s="2711"/>
      <c r="J30" s="2711"/>
      <c r="K30" s="2711" t="s">
        <v>40</v>
      </c>
      <c r="L30" s="2711"/>
      <c r="M30" s="2711"/>
      <c r="N30" s="2711"/>
      <c r="O30" s="2711"/>
      <c r="P30" s="2711"/>
      <c r="Q30" s="2711"/>
      <c r="R30" s="2712"/>
      <c r="S30" s="40"/>
      <c r="T30" s="40"/>
      <c r="U30" s="40"/>
      <c r="V30" s="963"/>
      <c r="W30" s="609"/>
      <c r="X30" s="926"/>
      <c r="Y30" s="926"/>
      <c r="Z30" s="926"/>
      <c r="AA30" s="926"/>
      <c r="AB30" s="926"/>
      <c r="AC30" s="926"/>
      <c r="AD30" s="926"/>
      <c r="AE30" s="926"/>
      <c r="AF30" s="926"/>
      <c r="AG30" s="926"/>
      <c r="AH30" s="926"/>
      <c r="AI30" s="926"/>
      <c r="AJ30" s="926"/>
    </row>
    <row r="31" spans="1:36" ht="15" customHeight="1" x14ac:dyDescent="0.3">
      <c r="A31" s="926"/>
      <c r="B31" s="609"/>
      <c r="C31" s="969"/>
      <c r="D31" s="1971"/>
      <c r="E31" s="2713" t="s">
        <v>427</v>
      </c>
      <c r="F31" s="2400"/>
      <c r="G31" s="2400"/>
      <c r="H31" s="2400"/>
      <c r="I31" s="2400"/>
      <c r="J31" s="2400"/>
      <c r="K31" s="2429" t="s">
        <v>428</v>
      </c>
      <c r="L31" s="2429"/>
      <c r="M31" s="2429"/>
      <c r="N31" s="2429"/>
      <c r="O31" s="2429"/>
      <c r="P31" s="2429"/>
      <c r="Q31" s="2429"/>
      <c r="R31" s="2697"/>
      <c r="S31" s="40"/>
      <c r="T31" s="40"/>
      <c r="U31" s="40"/>
      <c r="V31" s="963"/>
      <c r="W31" s="609"/>
      <c r="X31" s="926"/>
      <c r="Y31" s="926"/>
      <c r="Z31" s="926"/>
      <c r="AA31" s="926"/>
      <c r="AB31" s="926"/>
      <c r="AC31" s="926"/>
      <c r="AD31" s="926"/>
      <c r="AE31" s="926"/>
      <c r="AF31" s="926"/>
      <c r="AG31" s="926"/>
      <c r="AH31" s="926"/>
      <c r="AI31" s="926"/>
      <c r="AJ31" s="926"/>
    </row>
    <row r="32" spans="1:36" ht="15" customHeight="1" x14ac:dyDescent="0.3">
      <c r="A32" s="926"/>
      <c r="B32" s="609"/>
      <c r="C32" s="969"/>
      <c r="D32" s="1971"/>
      <c r="E32" s="2713"/>
      <c r="F32" s="2400"/>
      <c r="G32" s="2400"/>
      <c r="H32" s="2400"/>
      <c r="I32" s="2400"/>
      <c r="J32" s="2400"/>
      <c r="K32" s="2430"/>
      <c r="L32" s="2430"/>
      <c r="M32" s="2430"/>
      <c r="N32" s="2430"/>
      <c r="O32" s="2430"/>
      <c r="P32" s="2430"/>
      <c r="Q32" s="2430"/>
      <c r="R32" s="2698"/>
      <c r="S32" s="40"/>
      <c r="T32" s="40"/>
      <c r="U32" s="40"/>
      <c r="V32" s="963"/>
      <c r="W32" s="609"/>
      <c r="X32" s="926"/>
      <c r="Y32" s="926"/>
      <c r="Z32" s="926"/>
      <c r="AA32" s="926"/>
      <c r="AB32" s="926"/>
      <c r="AC32" s="926"/>
      <c r="AD32" s="926"/>
      <c r="AE32" s="926"/>
      <c r="AF32" s="926"/>
      <c r="AG32" s="926"/>
      <c r="AH32" s="926"/>
      <c r="AI32" s="926"/>
      <c r="AJ32" s="926"/>
    </row>
    <row r="33" spans="1:36" ht="15" customHeight="1" x14ac:dyDescent="0.3">
      <c r="A33" s="926"/>
      <c r="B33" s="609"/>
      <c r="C33" s="969"/>
      <c r="D33" s="1971"/>
      <c r="E33" s="2713"/>
      <c r="F33" s="2400"/>
      <c r="G33" s="2400"/>
      <c r="H33" s="2400"/>
      <c r="I33" s="2400"/>
      <c r="J33" s="2400"/>
      <c r="K33" s="2430"/>
      <c r="L33" s="2430"/>
      <c r="M33" s="2430"/>
      <c r="N33" s="2430"/>
      <c r="O33" s="2430"/>
      <c r="P33" s="2430"/>
      <c r="Q33" s="2430"/>
      <c r="R33" s="2698"/>
      <c r="S33" s="40"/>
      <c r="T33" s="40"/>
      <c r="U33" s="40"/>
      <c r="V33" s="963"/>
      <c r="W33" s="609"/>
      <c r="X33" s="926"/>
      <c r="Y33" s="926"/>
      <c r="Z33" s="926"/>
      <c r="AA33" s="926"/>
      <c r="AB33" s="926"/>
      <c r="AC33" s="926"/>
      <c r="AD33" s="926"/>
      <c r="AE33" s="926"/>
      <c r="AF33" s="926"/>
      <c r="AG33" s="926"/>
      <c r="AH33" s="926"/>
      <c r="AI33" s="926"/>
      <c r="AJ33" s="926"/>
    </row>
    <row r="34" spans="1:36" ht="15" customHeight="1" thickBot="1" x14ac:dyDescent="0.35">
      <c r="A34" s="926"/>
      <c r="B34" s="609"/>
      <c r="C34" s="969"/>
      <c r="D34" s="1971"/>
      <c r="E34" s="2714"/>
      <c r="F34" s="2715"/>
      <c r="G34" s="2715"/>
      <c r="H34" s="2715"/>
      <c r="I34" s="2715"/>
      <c r="J34" s="2715"/>
      <c r="K34" s="2699"/>
      <c r="L34" s="2699"/>
      <c r="M34" s="2699"/>
      <c r="N34" s="2699"/>
      <c r="O34" s="2699"/>
      <c r="P34" s="2699"/>
      <c r="Q34" s="2699"/>
      <c r="R34" s="2700"/>
      <c r="S34" s="40"/>
      <c r="T34" s="40"/>
      <c r="U34" s="40"/>
      <c r="V34" s="963"/>
      <c r="W34" s="609"/>
      <c r="X34" s="926"/>
      <c r="Y34" s="926"/>
      <c r="Z34" s="926"/>
      <c r="AA34" s="926"/>
      <c r="AB34" s="926"/>
      <c r="AC34" s="926"/>
      <c r="AD34" s="926"/>
      <c r="AE34" s="926"/>
      <c r="AF34" s="926"/>
      <c r="AG34" s="926"/>
      <c r="AH34" s="926"/>
      <c r="AI34" s="926"/>
      <c r="AJ34" s="926"/>
    </row>
    <row r="35" spans="1:36" ht="15" customHeight="1" x14ac:dyDescent="0.3">
      <c r="A35" s="926"/>
      <c r="B35" s="609"/>
      <c r="C35" s="969"/>
      <c r="D35" s="1971"/>
      <c r="E35" s="1045"/>
      <c r="F35" s="1045"/>
      <c r="G35" s="1045"/>
      <c r="H35" s="1045"/>
      <c r="I35" s="1045"/>
      <c r="J35" s="1045"/>
      <c r="K35" s="40"/>
      <c r="L35" s="2716"/>
      <c r="M35" s="2716"/>
      <c r="N35" s="2716"/>
      <c r="O35" s="2716"/>
      <c r="P35" s="2716"/>
      <c r="Q35" s="2716"/>
      <c r="R35" s="2716"/>
      <c r="S35" s="40"/>
      <c r="T35" s="40"/>
      <c r="U35" s="40"/>
      <c r="V35" s="963"/>
      <c r="W35" s="609"/>
      <c r="X35" s="926"/>
      <c r="Y35" s="926"/>
      <c r="Z35" s="926"/>
      <c r="AA35" s="926"/>
      <c r="AB35" s="926"/>
      <c r="AC35" s="926"/>
      <c r="AD35" s="926"/>
      <c r="AE35" s="926"/>
      <c r="AF35" s="926"/>
      <c r="AG35" s="926"/>
      <c r="AH35" s="926"/>
      <c r="AI35" s="926"/>
      <c r="AJ35" s="926"/>
    </row>
    <row r="36" spans="1:36" ht="15" customHeight="1" thickBot="1" x14ac:dyDescent="0.35">
      <c r="A36" s="926"/>
      <c r="B36" s="609"/>
      <c r="C36" s="969"/>
      <c r="D36" s="1971"/>
      <c r="E36" s="1045"/>
      <c r="F36" s="1045"/>
      <c r="G36" s="1045"/>
      <c r="H36" s="1045"/>
      <c r="I36" s="1045"/>
      <c r="J36" s="1045"/>
      <c r="K36" s="40"/>
      <c r="L36" s="1972"/>
      <c r="M36" s="1972"/>
      <c r="N36" s="1972"/>
      <c r="O36" s="1972"/>
      <c r="P36" s="1972"/>
      <c r="Q36" s="1972"/>
      <c r="R36" s="1972"/>
      <c r="S36" s="40"/>
      <c r="T36" s="40"/>
      <c r="U36" s="40"/>
      <c r="V36" s="963"/>
      <c r="W36" s="609"/>
      <c r="X36" s="926"/>
      <c r="Y36" s="926"/>
      <c r="Z36" s="926"/>
      <c r="AA36" s="926"/>
      <c r="AB36" s="926"/>
      <c r="AC36" s="926"/>
      <c r="AD36" s="926"/>
      <c r="AE36" s="926"/>
      <c r="AF36" s="926"/>
      <c r="AG36" s="926"/>
      <c r="AH36" s="926"/>
      <c r="AI36" s="926"/>
      <c r="AJ36" s="926"/>
    </row>
    <row r="37" spans="1:36" ht="15" customHeight="1" x14ac:dyDescent="0.3">
      <c r="A37" s="926"/>
      <c r="B37" s="609"/>
      <c r="C37" s="969"/>
      <c r="D37" s="1971"/>
      <c r="E37" s="2701" t="s">
        <v>429</v>
      </c>
      <c r="F37" s="2702"/>
      <c r="G37" s="2702"/>
      <c r="H37" s="2702"/>
      <c r="I37" s="2702"/>
      <c r="J37" s="2702"/>
      <c r="K37" s="2702"/>
      <c r="L37" s="2702"/>
      <c r="M37" s="2702"/>
      <c r="N37" s="2702"/>
      <c r="O37" s="2702"/>
      <c r="P37" s="2702"/>
      <c r="Q37" s="2702"/>
      <c r="R37" s="2703"/>
      <c r="S37" s="40"/>
      <c r="T37" s="40"/>
      <c r="U37" s="40"/>
      <c r="V37" s="963"/>
      <c r="W37" s="609"/>
      <c r="X37" s="926"/>
      <c r="Y37" s="926"/>
      <c r="Z37" s="926"/>
      <c r="AA37" s="926"/>
      <c r="AB37" s="926"/>
      <c r="AC37" s="926"/>
      <c r="AD37" s="926"/>
      <c r="AE37" s="926"/>
      <c r="AF37" s="926"/>
      <c r="AG37" s="926"/>
      <c r="AH37" s="926"/>
      <c r="AI37" s="926"/>
      <c r="AJ37" s="926"/>
    </row>
    <row r="38" spans="1:36" ht="15" customHeight="1" x14ac:dyDescent="0.3">
      <c r="A38" s="926"/>
      <c r="B38" s="609"/>
      <c r="C38" s="969"/>
      <c r="D38" s="1971"/>
      <c r="E38" s="2704"/>
      <c r="F38" s="2705"/>
      <c r="G38" s="2705"/>
      <c r="H38" s="2705"/>
      <c r="I38" s="2705"/>
      <c r="J38" s="2705"/>
      <c r="K38" s="2705"/>
      <c r="L38" s="2705"/>
      <c r="M38" s="2705"/>
      <c r="N38" s="2705"/>
      <c r="O38" s="2705"/>
      <c r="P38" s="2705"/>
      <c r="Q38" s="2705"/>
      <c r="R38" s="2706"/>
      <c r="S38" s="40"/>
      <c r="T38" s="40"/>
      <c r="U38" s="40"/>
      <c r="V38" s="963"/>
      <c r="W38" s="609"/>
      <c r="X38" s="926"/>
      <c r="Y38" s="926"/>
      <c r="Z38" s="926"/>
      <c r="AA38" s="926"/>
      <c r="AB38" s="926"/>
      <c r="AC38" s="926"/>
      <c r="AD38" s="926"/>
      <c r="AE38" s="926"/>
      <c r="AF38" s="926"/>
      <c r="AG38" s="926"/>
      <c r="AH38" s="926"/>
      <c r="AI38" s="926"/>
      <c r="AJ38" s="926"/>
    </row>
    <row r="39" spans="1:36" ht="15" customHeight="1" x14ac:dyDescent="0.3">
      <c r="A39" s="926"/>
      <c r="B39" s="609"/>
      <c r="C39" s="969"/>
      <c r="D39" s="1971"/>
      <c r="E39" s="2704"/>
      <c r="F39" s="2705"/>
      <c r="G39" s="2705"/>
      <c r="H39" s="2705"/>
      <c r="I39" s="2705"/>
      <c r="J39" s="2705"/>
      <c r="K39" s="2705"/>
      <c r="L39" s="2705"/>
      <c r="M39" s="2705"/>
      <c r="N39" s="2705"/>
      <c r="O39" s="2705"/>
      <c r="P39" s="2705"/>
      <c r="Q39" s="2705"/>
      <c r="R39" s="2706"/>
      <c r="S39" s="40"/>
      <c r="T39" s="40"/>
      <c r="U39" s="40"/>
      <c r="V39" s="963"/>
      <c r="W39" s="609"/>
      <c r="X39" s="926"/>
      <c r="Y39" s="926"/>
      <c r="Z39" s="926"/>
      <c r="AA39" s="926"/>
      <c r="AB39" s="926"/>
      <c r="AC39" s="926"/>
      <c r="AD39" s="926"/>
      <c r="AE39" s="926"/>
      <c r="AF39" s="926"/>
      <c r="AG39" s="926"/>
      <c r="AH39" s="926"/>
      <c r="AI39" s="926"/>
      <c r="AJ39" s="926"/>
    </row>
    <row r="40" spans="1:36" ht="15" customHeight="1" thickBot="1" x14ac:dyDescent="0.35">
      <c r="A40" s="926"/>
      <c r="B40" s="609"/>
      <c r="C40" s="969"/>
      <c r="D40" s="1971"/>
      <c r="E40" s="2707"/>
      <c r="F40" s="2708"/>
      <c r="G40" s="2708"/>
      <c r="H40" s="2708"/>
      <c r="I40" s="2708"/>
      <c r="J40" s="2708"/>
      <c r="K40" s="2708"/>
      <c r="L40" s="2708"/>
      <c r="M40" s="2708"/>
      <c r="N40" s="2708"/>
      <c r="O40" s="2708"/>
      <c r="P40" s="2708"/>
      <c r="Q40" s="2708"/>
      <c r="R40" s="2709"/>
      <c r="S40" s="40"/>
      <c r="T40" s="40"/>
      <c r="U40" s="40"/>
      <c r="V40" s="963"/>
      <c r="W40" s="609"/>
      <c r="X40" s="926"/>
      <c r="Y40" s="926"/>
      <c r="Z40" s="926"/>
      <c r="AA40" s="926"/>
      <c r="AB40" s="926"/>
      <c r="AC40" s="926"/>
      <c r="AD40" s="926"/>
      <c r="AE40" s="926"/>
      <c r="AF40" s="926"/>
      <c r="AG40" s="926"/>
      <c r="AH40" s="926"/>
      <c r="AI40" s="926"/>
      <c r="AJ40" s="926"/>
    </row>
    <row r="41" spans="1:36" ht="15" customHeight="1" x14ac:dyDescent="0.3">
      <c r="A41" s="926"/>
      <c r="B41" s="609"/>
      <c r="C41" s="969"/>
      <c r="D41" s="1971"/>
      <c r="E41" s="2710" t="s">
        <v>31</v>
      </c>
      <c r="F41" s="2711"/>
      <c r="G41" s="2711"/>
      <c r="H41" s="2711"/>
      <c r="I41" s="2711"/>
      <c r="J41" s="2711"/>
      <c r="K41" s="2711" t="s">
        <v>40</v>
      </c>
      <c r="L41" s="2711"/>
      <c r="M41" s="2711"/>
      <c r="N41" s="2711"/>
      <c r="O41" s="2711"/>
      <c r="P41" s="2711"/>
      <c r="Q41" s="2711"/>
      <c r="R41" s="2712"/>
      <c r="S41" s="40"/>
      <c r="T41" s="40"/>
      <c r="U41" s="40"/>
      <c r="V41" s="963"/>
      <c r="W41" s="609"/>
      <c r="X41" s="926"/>
      <c r="Y41" s="926"/>
      <c r="Z41" s="926"/>
      <c r="AA41" s="926"/>
      <c r="AB41" s="926"/>
      <c r="AC41" s="926"/>
      <c r="AD41" s="926"/>
      <c r="AE41" s="926"/>
      <c r="AF41" s="926"/>
      <c r="AG41" s="926"/>
      <c r="AH41" s="926"/>
      <c r="AI41" s="926"/>
      <c r="AJ41" s="926"/>
    </row>
    <row r="42" spans="1:36" ht="15" customHeight="1" x14ac:dyDescent="0.3">
      <c r="A42" s="926"/>
      <c r="B42" s="609"/>
      <c r="C42" s="969"/>
      <c r="D42" s="1971"/>
      <c r="E42" s="2713" t="s">
        <v>430</v>
      </c>
      <c r="F42" s="2400"/>
      <c r="G42" s="2400"/>
      <c r="H42" s="2400"/>
      <c r="I42" s="2400"/>
      <c r="J42" s="2400"/>
      <c r="K42" s="2429" t="s">
        <v>431</v>
      </c>
      <c r="L42" s="2429"/>
      <c r="M42" s="2429"/>
      <c r="N42" s="2429"/>
      <c r="O42" s="2429"/>
      <c r="P42" s="2429"/>
      <c r="Q42" s="2429"/>
      <c r="R42" s="2697"/>
      <c r="S42" s="40"/>
      <c r="T42" s="40"/>
      <c r="U42" s="40"/>
      <c r="V42" s="963"/>
      <c r="W42" s="609"/>
      <c r="X42" s="926"/>
      <c r="Y42" s="926"/>
      <c r="Z42" s="926"/>
      <c r="AA42" s="926"/>
      <c r="AB42" s="926"/>
      <c r="AC42" s="926"/>
      <c r="AD42" s="926"/>
      <c r="AE42" s="926"/>
      <c r="AF42" s="926"/>
      <c r="AG42" s="926"/>
      <c r="AH42" s="926"/>
      <c r="AI42" s="926"/>
      <c r="AJ42" s="926"/>
    </row>
    <row r="43" spans="1:36" ht="15" customHeight="1" x14ac:dyDescent="0.3">
      <c r="A43" s="926"/>
      <c r="B43" s="609"/>
      <c r="C43" s="969"/>
      <c r="D43" s="1971"/>
      <c r="E43" s="2713"/>
      <c r="F43" s="2400"/>
      <c r="G43" s="2400"/>
      <c r="H43" s="2400"/>
      <c r="I43" s="2400"/>
      <c r="J43" s="2400"/>
      <c r="K43" s="2430"/>
      <c r="L43" s="2430"/>
      <c r="M43" s="2430"/>
      <c r="N43" s="2430"/>
      <c r="O43" s="2430"/>
      <c r="P43" s="2430"/>
      <c r="Q43" s="2430"/>
      <c r="R43" s="2698"/>
      <c r="S43" s="40"/>
      <c r="T43" s="40"/>
      <c r="U43" s="40"/>
      <c r="V43" s="963"/>
      <c r="W43" s="609"/>
      <c r="X43" s="926"/>
      <c r="Y43" s="926"/>
      <c r="Z43" s="926"/>
      <c r="AA43" s="926"/>
      <c r="AB43" s="926"/>
      <c r="AC43" s="926"/>
      <c r="AD43" s="926"/>
      <c r="AE43" s="926"/>
      <c r="AF43" s="926"/>
      <c r="AG43" s="926"/>
      <c r="AH43" s="926"/>
      <c r="AI43" s="926"/>
      <c r="AJ43" s="926"/>
    </row>
    <row r="44" spans="1:36" ht="15" customHeight="1" x14ac:dyDescent="0.3">
      <c r="A44" s="926"/>
      <c r="B44" s="609"/>
      <c r="C44" s="969"/>
      <c r="D44" s="1971"/>
      <c r="E44" s="2713"/>
      <c r="F44" s="2400"/>
      <c r="G44" s="2400"/>
      <c r="H44" s="2400"/>
      <c r="I44" s="2400"/>
      <c r="J44" s="2400"/>
      <c r="K44" s="2430"/>
      <c r="L44" s="2430"/>
      <c r="M44" s="2430"/>
      <c r="N44" s="2430"/>
      <c r="O44" s="2430"/>
      <c r="P44" s="2430"/>
      <c r="Q44" s="2430"/>
      <c r="R44" s="2698"/>
      <c r="S44" s="40"/>
      <c r="T44" s="40"/>
      <c r="U44" s="40"/>
      <c r="V44" s="963"/>
      <c r="W44" s="609"/>
      <c r="X44" s="926"/>
      <c r="Y44" s="926"/>
      <c r="Z44" s="926"/>
      <c r="AA44" s="926"/>
      <c r="AB44" s="926"/>
      <c r="AC44" s="926"/>
      <c r="AD44" s="926"/>
      <c r="AE44" s="926"/>
      <c r="AF44" s="926"/>
      <c r="AG44" s="926"/>
      <c r="AH44" s="926"/>
      <c r="AI44" s="926"/>
      <c r="AJ44" s="926"/>
    </row>
    <row r="45" spans="1:36" ht="15" customHeight="1" thickBot="1" x14ac:dyDescent="0.35">
      <c r="A45" s="926"/>
      <c r="B45" s="609"/>
      <c r="C45" s="969"/>
      <c r="D45" s="1971"/>
      <c r="E45" s="2714"/>
      <c r="F45" s="2715"/>
      <c r="G45" s="2715"/>
      <c r="H45" s="2715"/>
      <c r="I45" s="2715"/>
      <c r="J45" s="2715"/>
      <c r="K45" s="2699"/>
      <c r="L45" s="2699"/>
      <c r="M45" s="2699"/>
      <c r="N45" s="2699"/>
      <c r="O45" s="2699"/>
      <c r="P45" s="2699"/>
      <c r="Q45" s="2699"/>
      <c r="R45" s="2700"/>
      <c r="S45" s="40"/>
      <c r="T45" s="40"/>
      <c r="U45" s="40"/>
      <c r="V45" s="963"/>
      <c r="W45" s="609"/>
      <c r="X45" s="926"/>
      <c r="Y45" s="926"/>
      <c r="Z45" s="926"/>
      <c r="AA45" s="926"/>
      <c r="AB45" s="926"/>
      <c r="AC45" s="926"/>
      <c r="AD45" s="926"/>
      <c r="AE45" s="926"/>
      <c r="AF45" s="926"/>
      <c r="AG45" s="926"/>
      <c r="AH45" s="926"/>
      <c r="AI45" s="926"/>
      <c r="AJ45" s="926"/>
    </row>
    <row r="46" spans="1:36" ht="15" customHeight="1" thickBot="1" x14ac:dyDescent="0.35">
      <c r="A46" s="926"/>
      <c r="B46" s="609"/>
      <c r="C46" s="969"/>
      <c r="D46" s="1971"/>
      <c r="E46" s="1971"/>
      <c r="F46" s="1971"/>
      <c r="G46" s="1971"/>
      <c r="H46" s="40"/>
      <c r="I46" s="40"/>
      <c r="J46" s="40"/>
      <c r="K46" s="40"/>
      <c r="L46" s="40"/>
      <c r="M46" s="40"/>
      <c r="N46" s="40"/>
      <c r="O46" s="40"/>
      <c r="P46" s="40"/>
      <c r="Q46" s="40"/>
      <c r="R46" s="40"/>
      <c r="S46" s="40"/>
      <c r="T46" s="40"/>
      <c r="U46" s="40"/>
      <c r="V46" s="963"/>
      <c r="W46" s="609"/>
      <c r="X46" s="926"/>
      <c r="Y46" s="926"/>
      <c r="Z46" s="926"/>
      <c r="AA46" s="926"/>
      <c r="AB46" s="926"/>
      <c r="AC46" s="926"/>
      <c r="AD46" s="926"/>
      <c r="AE46" s="926"/>
      <c r="AF46" s="926"/>
      <c r="AG46" s="926"/>
      <c r="AH46" s="926"/>
      <c r="AI46" s="926"/>
      <c r="AJ46" s="926"/>
    </row>
    <row r="47" spans="1:36" ht="15" customHeight="1" x14ac:dyDescent="0.3">
      <c r="A47" s="926"/>
      <c r="B47" s="609"/>
      <c r="C47" s="969"/>
      <c r="D47" s="1971"/>
      <c r="E47" s="2441" t="s">
        <v>432</v>
      </c>
      <c r="F47" s="2442"/>
      <c r="G47" s="2442"/>
      <c r="H47" s="2442"/>
      <c r="I47" s="2442"/>
      <c r="J47" s="2442"/>
      <c r="K47" s="2442"/>
      <c r="L47" s="2442"/>
      <c r="M47" s="2442"/>
      <c r="N47" s="2442"/>
      <c r="O47" s="2442"/>
      <c r="P47" s="2442"/>
      <c r="Q47" s="2442"/>
      <c r="R47" s="2443"/>
      <c r="S47" s="40"/>
      <c r="T47" s="40"/>
      <c r="U47" s="40"/>
      <c r="V47" s="963"/>
      <c r="W47" s="609"/>
      <c r="X47" s="926"/>
      <c r="Y47" s="926"/>
      <c r="Z47" s="926"/>
      <c r="AA47" s="926"/>
      <c r="AB47" s="926"/>
      <c r="AC47" s="926"/>
      <c r="AD47" s="926"/>
      <c r="AE47" s="926"/>
      <c r="AF47" s="926"/>
      <c r="AG47" s="926"/>
      <c r="AH47" s="926"/>
      <c r="AI47" s="926"/>
      <c r="AJ47" s="926"/>
    </row>
    <row r="48" spans="1:36" ht="15" customHeight="1" x14ac:dyDescent="0.3">
      <c r="A48" s="926"/>
      <c r="B48" s="609"/>
      <c r="C48" s="969"/>
      <c r="D48" s="1971"/>
      <c r="E48" s="2444"/>
      <c r="F48" s="2380"/>
      <c r="G48" s="2380"/>
      <c r="H48" s="2380"/>
      <c r="I48" s="2380"/>
      <c r="J48" s="2380"/>
      <c r="K48" s="2380"/>
      <c r="L48" s="2380"/>
      <c r="M48" s="2380"/>
      <c r="N48" s="2380"/>
      <c r="O48" s="2380"/>
      <c r="P48" s="2380"/>
      <c r="Q48" s="2380"/>
      <c r="R48" s="2445"/>
      <c r="S48" s="40"/>
      <c r="T48" s="40"/>
      <c r="U48" s="40"/>
      <c r="V48" s="963"/>
      <c r="W48" s="609"/>
      <c r="X48" s="926"/>
      <c r="Y48" s="926"/>
      <c r="Z48" s="926"/>
      <c r="AA48" s="926"/>
      <c r="AB48" s="926"/>
      <c r="AC48" s="926"/>
      <c r="AD48" s="926"/>
      <c r="AE48" s="926"/>
      <c r="AF48" s="926"/>
      <c r="AG48" s="926"/>
      <c r="AH48" s="926"/>
      <c r="AI48" s="926"/>
      <c r="AJ48" s="926"/>
    </row>
    <row r="49" spans="1:36" ht="15" customHeight="1" x14ac:dyDescent="0.3">
      <c r="A49" s="926"/>
      <c r="B49" s="609"/>
      <c r="C49" s="969"/>
      <c r="D49" s="1971"/>
      <c r="E49" s="2444"/>
      <c r="F49" s="2380"/>
      <c r="G49" s="2380"/>
      <c r="H49" s="2380"/>
      <c r="I49" s="2380"/>
      <c r="J49" s="2380"/>
      <c r="K49" s="2380"/>
      <c r="L49" s="2380"/>
      <c r="M49" s="2380"/>
      <c r="N49" s="2380"/>
      <c r="O49" s="2380"/>
      <c r="P49" s="2380"/>
      <c r="Q49" s="2380"/>
      <c r="R49" s="2445"/>
      <c r="S49" s="40"/>
      <c r="T49" s="40"/>
      <c r="U49" s="40"/>
      <c r="V49" s="963"/>
      <c r="W49" s="609"/>
      <c r="X49" s="926"/>
      <c r="Y49" s="926"/>
      <c r="Z49" s="926"/>
      <c r="AA49" s="926"/>
      <c r="AB49" s="926"/>
      <c r="AC49" s="926"/>
      <c r="AD49" s="926"/>
      <c r="AE49" s="926"/>
      <c r="AF49" s="926"/>
      <c r="AG49" s="926"/>
      <c r="AH49" s="926"/>
      <c r="AI49" s="926"/>
      <c r="AJ49" s="926"/>
    </row>
    <row r="50" spans="1:36" ht="15" customHeight="1" x14ac:dyDescent="0.3">
      <c r="A50" s="926"/>
      <c r="B50" s="609"/>
      <c r="C50" s="969"/>
      <c r="D50" s="1971"/>
      <c r="E50" s="2444"/>
      <c r="F50" s="2380"/>
      <c r="G50" s="2380"/>
      <c r="H50" s="2380"/>
      <c r="I50" s="2380"/>
      <c r="J50" s="2380"/>
      <c r="K50" s="2380"/>
      <c r="L50" s="2380"/>
      <c r="M50" s="2380"/>
      <c r="N50" s="2380"/>
      <c r="O50" s="2380"/>
      <c r="P50" s="2380"/>
      <c r="Q50" s="2380"/>
      <c r="R50" s="2445"/>
      <c r="S50" s="40"/>
      <c r="T50" s="40"/>
      <c r="U50" s="40"/>
      <c r="V50" s="963"/>
      <c r="W50" s="609"/>
      <c r="X50" s="926"/>
      <c r="Y50" s="926"/>
      <c r="Z50" s="926"/>
      <c r="AA50" s="926"/>
      <c r="AB50" s="926"/>
      <c r="AC50" s="926"/>
      <c r="AD50" s="926"/>
      <c r="AE50" s="926"/>
      <c r="AF50" s="926"/>
      <c r="AG50" s="926"/>
      <c r="AH50" s="926"/>
      <c r="AI50" s="926"/>
      <c r="AJ50" s="926"/>
    </row>
    <row r="51" spans="1:36" ht="15" customHeight="1" x14ac:dyDescent="0.3">
      <c r="A51" s="926"/>
      <c r="B51" s="609"/>
      <c r="C51" s="969"/>
      <c r="D51" s="1971"/>
      <c r="E51" s="2444"/>
      <c r="F51" s="2380"/>
      <c r="G51" s="2380"/>
      <c r="H51" s="2380"/>
      <c r="I51" s="2380"/>
      <c r="J51" s="2380"/>
      <c r="K51" s="2380"/>
      <c r="L51" s="2380"/>
      <c r="M51" s="2380"/>
      <c r="N51" s="2380"/>
      <c r="O51" s="2380"/>
      <c r="P51" s="2380"/>
      <c r="Q51" s="2380"/>
      <c r="R51" s="2445"/>
      <c r="S51" s="40"/>
      <c r="T51" s="40"/>
      <c r="U51" s="40"/>
      <c r="V51" s="963"/>
      <c r="W51" s="609"/>
      <c r="X51" s="926"/>
      <c r="Y51" s="926"/>
      <c r="Z51" s="926"/>
      <c r="AA51" s="926"/>
      <c r="AB51" s="926"/>
      <c r="AC51" s="926"/>
      <c r="AD51" s="926"/>
      <c r="AE51" s="926"/>
      <c r="AF51" s="926"/>
      <c r="AG51" s="926"/>
      <c r="AH51" s="926"/>
      <c r="AI51" s="926"/>
      <c r="AJ51" s="926"/>
    </row>
    <row r="52" spans="1:36" ht="15" customHeight="1" x14ac:dyDescent="0.3">
      <c r="A52" s="926"/>
      <c r="B52" s="609"/>
      <c r="C52" s="969"/>
      <c r="D52" s="1971"/>
      <c r="E52" s="2444"/>
      <c r="F52" s="2380"/>
      <c r="G52" s="2380"/>
      <c r="H52" s="2380"/>
      <c r="I52" s="2380"/>
      <c r="J52" s="2380"/>
      <c r="K52" s="2380"/>
      <c r="L52" s="2380"/>
      <c r="M52" s="2380"/>
      <c r="N52" s="2380"/>
      <c r="O52" s="2380"/>
      <c r="P52" s="2380"/>
      <c r="Q52" s="2380"/>
      <c r="R52" s="2445"/>
      <c r="S52" s="40"/>
      <c r="T52" s="40"/>
      <c r="U52" s="40"/>
      <c r="V52" s="963"/>
      <c r="W52" s="609"/>
      <c r="X52" s="926"/>
      <c r="Y52" s="926"/>
      <c r="Z52" s="926"/>
      <c r="AA52" s="926"/>
      <c r="AB52" s="926"/>
      <c r="AC52" s="926"/>
      <c r="AD52" s="926"/>
      <c r="AE52" s="926"/>
      <c r="AF52" s="926"/>
      <c r="AG52" s="926"/>
      <c r="AH52" s="926"/>
      <c r="AI52" s="926"/>
      <c r="AJ52" s="926"/>
    </row>
    <row r="53" spans="1:36" ht="15" customHeight="1" thickBot="1" x14ac:dyDescent="0.35">
      <c r="A53" s="926"/>
      <c r="B53" s="609"/>
      <c r="C53" s="969"/>
      <c r="D53" s="1971"/>
      <c r="E53" s="2446"/>
      <c r="F53" s="2447"/>
      <c r="G53" s="2447"/>
      <c r="H53" s="2447"/>
      <c r="I53" s="2447"/>
      <c r="J53" s="2447"/>
      <c r="K53" s="2447"/>
      <c r="L53" s="2447"/>
      <c r="M53" s="2447"/>
      <c r="N53" s="2447"/>
      <c r="O53" s="2447"/>
      <c r="P53" s="2447"/>
      <c r="Q53" s="2447"/>
      <c r="R53" s="2448"/>
      <c r="S53" s="40"/>
      <c r="T53" s="40"/>
      <c r="U53" s="40"/>
      <c r="V53" s="963"/>
      <c r="W53" s="609"/>
      <c r="X53" s="926"/>
      <c r="Y53" s="926"/>
      <c r="Z53" s="926"/>
      <c r="AA53" s="926"/>
      <c r="AB53" s="926"/>
      <c r="AC53" s="926"/>
      <c r="AD53" s="926"/>
      <c r="AE53" s="926"/>
      <c r="AF53" s="926"/>
      <c r="AG53" s="926"/>
      <c r="AH53" s="926"/>
      <c r="AI53" s="926"/>
      <c r="AJ53" s="926"/>
    </row>
    <row r="54" spans="1:36" ht="15" customHeight="1" x14ac:dyDescent="0.3">
      <c r="A54" s="926"/>
      <c r="B54" s="609"/>
      <c r="C54" s="969"/>
      <c r="D54" s="1971"/>
      <c r="E54" s="1971"/>
      <c r="F54" s="1973"/>
      <c r="G54" s="1973"/>
      <c r="H54" s="1973"/>
      <c r="I54" s="1973"/>
      <c r="J54" s="1973"/>
      <c r="K54" s="1973"/>
      <c r="L54" s="1973"/>
      <c r="M54" s="1973"/>
      <c r="N54" s="1973"/>
      <c r="O54" s="1973"/>
      <c r="P54" s="1973"/>
      <c r="Q54" s="1973"/>
      <c r="R54" s="1973"/>
      <c r="S54" s="40"/>
      <c r="T54" s="40"/>
      <c r="U54" s="40"/>
      <c r="V54" s="963"/>
      <c r="W54" s="609"/>
      <c r="X54" s="926"/>
      <c r="Y54" s="926"/>
      <c r="Z54" s="926"/>
      <c r="AA54" s="926"/>
      <c r="AB54" s="926"/>
      <c r="AC54" s="926"/>
      <c r="AD54" s="926"/>
      <c r="AE54" s="926"/>
      <c r="AF54" s="926"/>
      <c r="AG54" s="926"/>
      <c r="AH54" s="926"/>
      <c r="AI54" s="926"/>
      <c r="AJ54" s="926"/>
    </row>
    <row r="55" spans="1:36" ht="15" customHeight="1" x14ac:dyDescent="0.3">
      <c r="A55" s="926"/>
      <c r="B55" s="609"/>
      <c r="C55" s="969"/>
      <c r="D55" s="2402" t="s">
        <v>433</v>
      </c>
      <c r="E55" s="2402"/>
      <c r="F55" s="2402"/>
      <c r="G55" s="2402"/>
      <c r="H55" s="2402"/>
      <c r="I55" s="2402"/>
      <c r="J55" s="2402"/>
      <c r="K55" s="2402"/>
      <c r="L55" s="1973"/>
      <c r="M55" s="1973"/>
      <c r="N55" s="1973"/>
      <c r="O55" s="1973"/>
      <c r="P55" s="1973"/>
      <c r="Q55" s="1973"/>
      <c r="R55" s="1973"/>
      <c r="S55" s="40"/>
      <c r="T55" s="40"/>
      <c r="U55" s="40"/>
      <c r="V55" s="963"/>
      <c r="W55" s="609"/>
      <c r="X55" s="926"/>
      <c r="Y55" s="926"/>
      <c r="Z55" s="926"/>
      <c r="AA55" s="926"/>
      <c r="AB55" s="926"/>
      <c r="AC55" s="926"/>
      <c r="AD55" s="926"/>
      <c r="AE55" s="926"/>
      <c r="AF55" s="926"/>
      <c r="AG55" s="926"/>
      <c r="AH55" s="926"/>
      <c r="AI55" s="926"/>
      <c r="AJ55" s="926"/>
    </row>
    <row r="56" spans="1:36" ht="15" customHeight="1" x14ac:dyDescent="0.3">
      <c r="A56" s="926"/>
      <c r="B56" s="609"/>
      <c r="C56" s="969"/>
      <c r="D56" s="2402"/>
      <c r="E56" s="2402"/>
      <c r="F56" s="2402"/>
      <c r="G56" s="2402"/>
      <c r="H56" s="2402"/>
      <c r="I56" s="2402"/>
      <c r="J56" s="2402"/>
      <c r="K56" s="2402"/>
      <c r="L56" s="1973"/>
      <c r="M56" s="1973"/>
      <c r="N56" s="1973"/>
      <c r="O56" s="1973"/>
      <c r="P56" s="1973"/>
      <c r="Q56" s="1973"/>
      <c r="R56" s="1973"/>
      <c r="S56" s="40"/>
      <c r="T56" s="40"/>
      <c r="U56" s="40"/>
      <c r="V56" s="963"/>
      <c r="W56" s="609"/>
      <c r="X56" s="926"/>
      <c r="Y56" s="926"/>
      <c r="Z56" s="926"/>
      <c r="AA56" s="926"/>
      <c r="AB56" s="926"/>
      <c r="AC56" s="926"/>
      <c r="AD56" s="926"/>
      <c r="AE56" s="926"/>
      <c r="AF56" s="926"/>
      <c r="AG56" s="926"/>
      <c r="AH56" s="926"/>
      <c r="AI56" s="926"/>
      <c r="AJ56" s="926"/>
    </row>
    <row r="57" spans="1:36" ht="15" customHeight="1" x14ac:dyDescent="0.3">
      <c r="A57" s="926"/>
      <c r="B57" s="609"/>
      <c r="C57" s="969"/>
      <c r="D57" s="2402"/>
      <c r="E57" s="2402"/>
      <c r="F57" s="2402"/>
      <c r="G57" s="2402"/>
      <c r="H57" s="2402"/>
      <c r="I57" s="2402"/>
      <c r="J57" s="2402"/>
      <c r="K57" s="2402"/>
      <c r="L57" s="1973"/>
      <c r="M57" s="1973"/>
      <c r="N57" s="1973"/>
      <c r="O57" s="1973"/>
      <c r="P57" s="1973"/>
      <c r="Q57" s="1973"/>
      <c r="R57" s="1973"/>
      <c r="S57" s="40"/>
      <c r="T57" s="40"/>
      <c r="U57" s="40"/>
      <c r="V57" s="963"/>
      <c r="W57" s="609"/>
      <c r="X57" s="926"/>
      <c r="Y57" s="926"/>
      <c r="Z57" s="926"/>
      <c r="AA57" s="926"/>
      <c r="AB57" s="926"/>
      <c r="AC57" s="926"/>
      <c r="AD57" s="926"/>
      <c r="AE57" s="926"/>
      <c r="AF57" s="926"/>
      <c r="AG57" s="926"/>
      <c r="AH57" s="926"/>
      <c r="AI57" s="926"/>
      <c r="AJ57" s="926"/>
    </row>
    <row r="58" spans="1:36" ht="15" customHeight="1" x14ac:dyDescent="0.3">
      <c r="A58" s="926"/>
      <c r="B58" s="609"/>
      <c r="C58" s="969"/>
      <c r="D58" s="2402"/>
      <c r="E58" s="2402"/>
      <c r="F58" s="2402"/>
      <c r="G58" s="2402"/>
      <c r="H58" s="2402"/>
      <c r="I58" s="2402"/>
      <c r="J58" s="2402"/>
      <c r="K58" s="2402"/>
      <c r="L58" s="1973"/>
      <c r="M58" s="1973"/>
      <c r="N58" s="1973"/>
      <c r="O58" s="1973"/>
      <c r="P58" s="1973"/>
      <c r="Q58" s="1973"/>
      <c r="R58" s="1973"/>
      <c r="S58" s="40"/>
      <c r="T58" s="40"/>
      <c r="U58" s="40"/>
      <c r="V58" s="963"/>
      <c r="W58" s="609"/>
      <c r="X58" s="926"/>
      <c r="Y58" s="926"/>
      <c r="Z58" s="926"/>
      <c r="AA58" s="926"/>
      <c r="AB58" s="926"/>
      <c r="AC58" s="926"/>
      <c r="AD58" s="926"/>
      <c r="AE58" s="926"/>
      <c r="AF58" s="926"/>
      <c r="AG58" s="926"/>
      <c r="AH58" s="926"/>
      <c r="AI58" s="926"/>
      <c r="AJ58" s="926"/>
    </row>
    <row r="59" spans="1:36" ht="15" customHeight="1" x14ac:dyDescent="0.3">
      <c r="A59" s="926"/>
      <c r="B59" s="609"/>
      <c r="C59" s="969"/>
      <c r="D59" s="2397" t="s">
        <v>434</v>
      </c>
      <c r="E59" s="2397"/>
      <c r="F59" s="2397" t="s">
        <v>435</v>
      </c>
      <c r="G59" s="2397"/>
      <c r="H59" s="2406" t="s">
        <v>436</v>
      </c>
      <c r="I59" s="2406"/>
      <c r="J59" s="2397" t="s">
        <v>43</v>
      </c>
      <c r="K59" s="2397"/>
      <c r="L59" s="1973"/>
      <c r="M59" s="1973"/>
      <c r="N59" s="1973"/>
      <c r="O59" s="1973"/>
      <c r="P59" s="1973"/>
      <c r="Q59" s="1973"/>
      <c r="R59" s="1973"/>
      <c r="S59" s="40"/>
      <c r="T59" s="40"/>
      <c r="U59" s="40"/>
      <c r="V59" s="963"/>
      <c r="W59" s="609"/>
      <c r="X59" s="926"/>
      <c r="Y59" s="926"/>
      <c r="Z59" s="926"/>
      <c r="AA59" s="926"/>
      <c r="AB59" s="926"/>
      <c r="AC59" s="926"/>
      <c r="AD59" s="926"/>
      <c r="AE59" s="926"/>
      <c r="AF59" s="926"/>
      <c r="AG59" s="926"/>
      <c r="AH59" s="926"/>
      <c r="AI59" s="926"/>
      <c r="AJ59" s="926"/>
    </row>
    <row r="60" spans="1:36" ht="15" customHeight="1" x14ac:dyDescent="0.3">
      <c r="A60" s="926"/>
      <c r="B60" s="609"/>
      <c r="C60" s="969"/>
      <c r="D60" s="2578" t="s">
        <v>437</v>
      </c>
      <c r="E60" s="2578"/>
      <c r="F60" s="2506">
        <v>80</v>
      </c>
      <c r="G60" s="2506"/>
      <c r="H60" s="2717">
        <f>BG187</f>
        <v>0.20512820512820512</v>
      </c>
      <c r="I60" s="2679"/>
      <c r="J60" s="2398" t="str">
        <f>BS187</f>
        <v>Input accepted</v>
      </c>
      <c r="K60" s="2398"/>
      <c r="L60" s="1973"/>
      <c r="M60" s="1973"/>
      <c r="N60" s="1973"/>
      <c r="O60" s="1973"/>
      <c r="P60" s="1973"/>
      <c r="Q60" s="1973"/>
      <c r="R60" s="1973"/>
      <c r="S60" s="40"/>
      <c r="T60" s="40"/>
      <c r="U60" s="40"/>
      <c r="V60" s="963"/>
      <c r="W60" s="609"/>
      <c r="X60" s="926"/>
      <c r="Y60" s="926"/>
      <c r="Z60" s="926"/>
      <c r="AA60" s="926"/>
      <c r="AB60" s="926"/>
      <c r="AC60" s="926"/>
      <c r="AD60" s="926"/>
      <c r="AE60" s="926"/>
      <c r="AF60" s="926"/>
      <c r="AG60" s="926"/>
      <c r="AH60" s="926"/>
      <c r="AI60" s="926"/>
      <c r="AJ60" s="926"/>
    </row>
    <row r="61" spans="1:36" ht="15" customHeight="1" x14ac:dyDescent="0.3">
      <c r="A61" s="926"/>
      <c r="B61" s="609"/>
      <c r="C61" s="969"/>
      <c r="D61" s="2578"/>
      <c r="E61" s="2578"/>
      <c r="F61" s="2506"/>
      <c r="G61" s="2506"/>
      <c r="H61" s="2717"/>
      <c r="I61" s="2679"/>
      <c r="J61" s="2398"/>
      <c r="K61" s="2398"/>
      <c r="L61" s="1973"/>
      <c r="M61" s="1973"/>
      <c r="N61" s="1973"/>
      <c r="O61" s="1973"/>
      <c r="P61" s="1973"/>
      <c r="Q61" s="1973"/>
      <c r="R61" s="1973"/>
      <c r="S61" s="40"/>
      <c r="T61" s="40"/>
      <c r="U61" s="40"/>
      <c r="V61" s="963"/>
      <c r="W61" s="609"/>
      <c r="X61" s="926"/>
      <c r="Y61" s="926"/>
      <c r="Z61" s="926"/>
      <c r="AA61" s="926"/>
      <c r="AB61" s="926"/>
      <c r="AC61" s="926"/>
      <c r="AD61" s="926"/>
      <c r="AE61" s="926"/>
      <c r="AF61" s="926"/>
      <c r="AG61" s="926"/>
      <c r="AH61" s="926"/>
      <c r="AI61" s="926"/>
      <c r="AJ61" s="926"/>
    </row>
    <row r="62" spans="1:36" ht="15" customHeight="1" x14ac:dyDescent="0.3">
      <c r="A62" s="926"/>
      <c r="B62" s="609"/>
      <c r="C62" s="969"/>
      <c r="D62" s="2578"/>
      <c r="E62" s="2578"/>
      <c r="F62" s="2506"/>
      <c r="G62" s="2506"/>
      <c r="H62" s="2679"/>
      <c r="I62" s="2679"/>
      <c r="J62" s="2398"/>
      <c r="K62" s="2398"/>
      <c r="L62" s="1973"/>
      <c r="M62" s="1973"/>
      <c r="N62" s="1973"/>
      <c r="O62" s="1973"/>
      <c r="P62" s="1973"/>
      <c r="Q62" s="1973"/>
      <c r="R62" s="1973"/>
      <c r="S62" s="40"/>
      <c r="T62" s="40"/>
      <c r="U62" s="40"/>
      <c r="V62" s="963"/>
      <c r="W62" s="609"/>
      <c r="X62" s="926"/>
      <c r="Y62" s="926"/>
      <c r="Z62" s="926"/>
      <c r="AA62" s="926"/>
      <c r="AB62" s="926"/>
      <c r="AC62" s="926"/>
      <c r="AD62" s="926"/>
      <c r="AE62" s="926"/>
      <c r="AF62" s="926"/>
      <c r="AG62" s="926"/>
      <c r="AH62" s="926"/>
      <c r="AI62" s="926"/>
      <c r="AJ62" s="926"/>
    </row>
    <row r="63" spans="1:36" ht="15" customHeight="1" x14ac:dyDescent="0.3">
      <c r="A63" s="926"/>
      <c r="B63" s="609"/>
      <c r="C63" s="969"/>
      <c r="D63" s="2578" t="s">
        <v>438</v>
      </c>
      <c r="E63" s="2578"/>
      <c r="F63" s="2506">
        <v>80</v>
      </c>
      <c r="G63" s="2506"/>
      <c r="H63" s="2717">
        <f>BG188</f>
        <v>0.20512820512820512</v>
      </c>
      <c r="I63" s="2679"/>
      <c r="J63" s="2398" t="str">
        <f>BS188</f>
        <v>Input accepted</v>
      </c>
      <c r="K63" s="2398"/>
      <c r="L63" s="1973"/>
      <c r="M63" s="1973"/>
      <c r="N63" s="1973"/>
      <c r="O63" s="1973"/>
      <c r="P63" s="1973"/>
      <c r="Q63" s="1973"/>
      <c r="R63" s="1973"/>
      <c r="S63" s="40"/>
      <c r="T63" s="40"/>
      <c r="U63" s="40"/>
      <c r="V63" s="963"/>
      <c r="W63" s="609"/>
      <c r="X63" s="926"/>
      <c r="Y63" s="926"/>
      <c r="Z63" s="926"/>
      <c r="AA63" s="926"/>
      <c r="AB63" s="926"/>
      <c r="AC63" s="926"/>
      <c r="AD63" s="926"/>
      <c r="AE63" s="926"/>
      <c r="AF63" s="926"/>
      <c r="AG63" s="926"/>
      <c r="AH63" s="926"/>
      <c r="AI63" s="926"/>
      <c r="AJ63" s="926"/>
    </row>
    <row r="64" spans="1:36" ht="15" customHeight="1" x14ac:dyDescent="0.3">
      <c r="A64" s="926"/>
      <c r="B64" s="609"/>
      <c r="C64" s="969"/>
      <c r="D64" s="2578"/>
      <c r="E64" s="2578"/>
      <c r="F64" s="2506"/>
      <c r="G64" s="2506"/>
      <c r="H64" s="2717"/>
      <c r="I64" s="2679"/>
      <c r="J64" s="2398"/>
      <c r="K64" s="2398"/>
      <c r="L64" s="1973"/>
      <c r="M64" s="1973"/>
      <c r="N64" s="1973"/>
      <c r="O64" s="1973"/>
      <c r="P64" s="1973"/>
      <c r="Q64" s="1973"/>
      <c r="R64" s="1973"/>
      <c r="S64" s="40"/>
      <c r="T64" s="40"/>
      <c r="U64" s="40"/>
      <c r="V64" s="963"/>
      <c r="W64" s="609"/>
      <c r="X64" s="926"/>
      <c r="Y64" s="926"/>
      <c r="Z64" s="926"/>
      <c r="AA64" s="926"/>
      <c r="AB64" s="926"/>
      <c r="AC64" s="926"/>
      <c r="AD64" s="926"/>
      <c r="AE64" s="926"/>
      <c r="AF64" s="926"/>
      <c r="AG64" s="926"/>
      <c r="AH64" s="926"/>
      <c r="AI64" s="926"/>
      <c r="AJ64" s="926"/>
    </row>
    <row r="65" spans="1:36" ht="15" customHeight="1" x14ac:dyDescent="0.3">
      <c r="A65" s="926"/>
      <c r="B65" s="609"/>
      <c r="C65" s="969"/>
      <c r="D65" s="2578"/>
      <c r="E65" s="2578"/>
      <c r="F65" s="2506"/>
      <c r="G65" s="2506"/>
      <c r="H65" s="2679"/>
      <c r="I65" s="2679"/>
      <c r="J65" s="2398"/>
      <c r="K65" s="2398"/>
      <c r="L65" s="1973"/>
      <c r="M65" s="1973"/>
      <c r="N65" s="1973"/>
      <c r="O65" s="1973"/>
      <c r="P65" s="1973"/>
      <c r="Q65" s="1973"/>
      <c r="R65" s="1973"/>
      <c r="S65" s="40"/>
      <c r="T65" s="40"/>
      <c r="U65" s="40"/>
      <c r="V65" s="963"/>
      <c r="W65" s="609"/>
      <c r="X65" s="926"/>
      <c r="Y65" s="926"/>
      <c r="Z65" s="926"/>
      <c r="AA65" s="926"/>
      <c r="AB65" s="926"/>
      <c r="AC65" s="926"/>
      <c r="AD65" s="926"/>
      <c r="AE65" s="926"/>
      <c r="AF65" s="926"/>
      <c r="AG65" s="926"/>
      <c r="AH65" s="926"/>
      <c r="AI65" s="926"/>
      <c r="AJ65" s="926"/>
    </row>
    <row r="66" spans="1:36" ht="15" customHeight="1" x14ac:dyDescent="0.3">
      <c r="A66" s="926"/>
      <c r="B66" s="609"/>
      <c r="C66" s="969"/>
      <c r="D66" s="2578" t="s">
        <v>439</v>
      </c>
      <c r="E66" s="2578"/>
      <c r="F66" s="2506">
        <v>80</v>
      </c>
      <c r="G66" s="2506"/>
      <c r="H66" s="2717">
        <f>BG189</f>
        <v>0.20512820512820512</v>
      </c>
      <c r="I66" s="2679"/>
      <c r="J66" s="2398" t="str">
        <f>BS189</f>
        <v>Input accepted</v>
      </c>
      <c r="K66" s="2398"/>
      <c r="L66" s="1973"/>
      <c r="M66" s="1973"/>
      <c r="N66" s="1973"/>
      <c r="O66" s="1973"/>
      <c r="P66" s="1973"/>
      <c r="Q66" s="1973"/>
      <c r="R66" s="1973"/>
      <c r="S66" s="40"/>
      <c r="T66" s="40"/>
      <c r="U66" s="40"/>
      <c r="V66" s="963"/>
      <c r="W66" s="609"/>
      <c r="X66" s="926"/>
      <c r="Y66" s="926"/>
      <c r="Z66" s="926"/>
      <c r="AA66" s="926"/>
      <c r="AB66" s="926"/>
      <c r="AC66" s="926"/>
      <c r="AD66" s="926"/>
      <c r="AE66" s="926"/>
      <c r="AF66" s="926"/>
      <c r="AG66" s="926"/>
      <c r="AH66" s="926"/>
      <c r="AI66" s="926"/>
      <c r="AJ66" s="926"/>
    </row>
    <row r="67" spans="1:36" ht="15" customHeight="1" x14ac:dyDescent="0.3">
      <c r="A67" s="926"/>
      <c r="B67" s="609"/>
      <c r="C67" s="969"/>
      <c r="D67" s="2578"/>
      <c r="E67" s="2578"/>
      <c r="F67" s="2506"/>
      <c r="G67" s="2506"/>
      <c r="H67" s="2717"/>
      <c r="I67" s="2679"/>
      <c r="J67" s="2398"/>
      <c r="K67" s="2398"/>
      <c r="L67" s="1973"/>
      <c r="M67" s="1973"/>
      <c r="N67" s="1973"/>
      <c r="O67" s="1973"/>
      <c r="P67" s="1973"/>
      <c r="Q67" s="1973"/>
      <c r="R67" s="1973"/>
      <c r="S67" s="40"/>
      <c r="T67" s="40"/>
      <c r="U67" s="40"/>
      <c r="V67" s="963"/>
      <c r="W67" s="609"/>
      <c r="X67" s="926"/>
      <c r="Y67" s="926"/>
      <c r="Z67" s="926"/>
      <c r="AA67" s="926"/>
      <c r="AB67" s="926"/>
      <c r="AC67" s="926"/>
      <c r="AD67" s="926"/>
      <c r="AE67" s="926"/>
      <c r="AF67" s="926"/>
      <c r="AG67" s="926"/>
      <c r="AH67" s="926"/>
      <c r="AI67" s="926"/>
      <c r="AJ67" s="926"/>
    </row>
    <row r="68" spans="1:36" ht="15" customHeight="1" x14ac:dyDescent="0.3">
      <c r="A68" s="926"/>
      <c r="B68" s="609"/>
      <c r="C68" s="969"/>
      <c r="D68" s="2578"/>
      <c r="E68" s="2578"/>
      <c r="F68" s="2506"/>
      <c r="G68" s="2506"/>
      <c r="H68" s="2679"/>
      <c r="I68" s="2679"/>
      <c r="J68" s="2398"/>
      <c r="K68" s="2398"/>
      <c r="L68" s="1973"/>
      <c r="M68" s="1973"/>
      <c r="N68" s="1973"/>
      <c r="O68" s="1973"/>
      <c r="P68" s="1973"/>
      <c r="Q68" s="1973"/>
      <c r="R68" s="1973"/>
      <c r="S68" s="40"/>
      <c r="T68" s="40"/>
      <c r="U68" s="40"/>
      <c r="V68" s="963"/>
      <c r="W68" s="609"/>
      <c r="X68" s="926"/>
      <c r="Y68" s="926"/>
      <c r="Z68" s="926"/>
      <c r="AA68" s="926"/>
      <c r="AB68" s="926"/>
      <c r="AC68" s="926"/>
      <c r="AD68" s="926"/>
      <c r="AE68" s="926"/>
      <c r="AF68" s="926"/>
      <c r="AG68" s="926"/>
      <c r="AH68" s="926"/>
      <c r="AI68" s="926"/>
      <c r="AJ68" s="926"/>
    </row>
    <row r="69" spans="1:36" ht="15" customHeight="1" x14ac:dyDescent="0.3">
      <c r="A69" s="926"/>
      <c r="B69" s="609"/>
      <c r="C69" s="969"/>
      <c r="D69" s="2578" t="s">
        <v>440</v>
      </c>
      <c r="E69" s="2578"/>
      <c r="F69" s="2506">
        <v>10</v>
      </c>
      <c r="G69" s="2506"/>
      <c r="H69" s="2717">
        <f>BG190</f>
        <v>2.564102564102564E-2</v>
      </c>
      <c r="I69" s="2679"/>
      <c r="J69" s="2398" t="str">
        <f>BS190</f>
        <v>Input accepted</v>
      </c>
      <c r="K69" s="2398"/>
      <c r="L69" s="1973"/>
      <c r="M69" s="1973"/>
      <c r="N69" s="1973"/>
      <c r="O69" s="1973"/>
      <c r="P69" s="1973"/>
      <c r="Q69" s="1973"/>
      <c r="R69" s="1973"/>
      <c r="S69" s="40"/>
      <c r="T69" s="40"/>
      <c r="U69" s="40"/>
      <c r="V69" s="963"/>
      <c r="W69" s="609"/>
      <c r="X69" s="926"/>
      <c r="Y69" s="926"/>
      <c r="Z69" s="926"/>
      <c r="AA69" s="926"/>
      <c r="AB69" s="926"/>
      <c r="AC69" s="926"/>
      <c r="AD69" s="926"/>
      <c r="AE69" s="926"/>
      <c r="AF69" s="926"/>
      <c r="AG69" s="926"/>
      <c r="AH69" s="926"/>
      <c r="AI69" s="926"/>
      <c r="AJ69" s="926"/>
    </row>
    <row r="70" spans="1:36" ht="15" customHeight="1" x14ac:dyDescent="0.3">
      <c r="A70" s="926"/>
      <c r="B70" s="609"/>
      <c r="C70" s="969"/>
      <c r="D70" s="2578"/>
      <c r="E70" s="2578"/>
      <c r="F70" s="2506"/>
      <c r="G70" s="2506"/>
      <c r="H70" s="2717"/>
      <c r="I70" s="2679"/>
      <c r="J70" s="2398"/>
      <c r="K70" s="2398"/>
      <c r="L70" s="1973"/>
      <c r="M70" s="1973"/>
      <c r="N70" s="1973"/>
      <c r="O70" s="1973"/>
      <c r="P70" s="1973"/>
      <c r="Q70" s="1973"/>
      <c r="R70" s="1973"/>
      <c r="S70" s="40"/>
      <c r="T70" s="40"/>
      <c r="U70" s="40"/>
      <c r="V70" s="963"/>
      <c r="W70" s="609"/>
      <c r="X70" s="926"/>
      <c r="Y70" s="926"/>
      <c r="Z70" s="926"/>
      <c r="AA70" s="926"/>
      <c r="AB70" s="926"/>
      <c r="AC70" s="926"/>
      <c r="AD70" s="926"/>
      <c r="AE70" s="926"/>
      <c r="AF70" s="926"/>
      <c r="AG70" s="926"/>
      <c r="AH70" s="926"/>
      <c r="AI70" s="926"/>
      <c r="AJ70" s="926"/>
    </row>
    <row r="71" spans="1:36" ht="15" customHeight="1" x14ac:dyDescent="0.3">
      <c r="A71" s="926"/>
      <c r="B71" s="609"/>
      <c r="C71" s="969"/>
      <c r="D71" s="2578"/>
      <c r="E71" s="2578"/>
      <c r="F71" s="2506"/>
      <c r="G71" s="2506"/>
      <c r="H71" s="2679"/>
      <c r="I71" s="2679"/>
      <c r="J71" s="2398"/>
      <c r="K71" s="2398"/>
      <c r="L71" s="1973"/>
      <c r="M71" s="1973"/>
      <c r="N71" s="1973"/>
      <c r="O71" s="1973"/>
      <c r="P71" s="1973"/>
      <c r="Q71" s="1973"/>
      <c r="R71" s="1973"/>
      <c r="S71" s="40"/>
      <c r="T71" s="40"/>
      <c r="U71" s="40"/>
      <c r="V71" s="963"/>
      <c r="W71" s="609"/>
      <c r="X71" s="926"/>
      <c r="Y71" s="926"/>
      <c r="Z71" s="926"/>
      <c r="AA71" s="926"/>
      <c r="AB71" s="926"/>
      <c r="AC71" s="926"/>
      <c r="AD71" s="926"/>
      <c r="AE71" s="926"/>
      <c r="AF71" s="926"/>
      <c r="AG71" s="926"/>
      <c r="AH71" s="926"/>
      <c r="AI71" s="926"/>
      <c r="AJ71" s="926"/>
    </row>
    <row r="72" spans="1:36" ht="15" customHeight="1" x14ac:dyDescent="0.3">
      <c r="A72" s="926"/>
      <c r="B72" s="609"/>
      <c r="C72" s="969"/>
      <c r="D72" s="2578" t="s">
        <v>441</v>
      </c>
      <c r="E72" s="2578"/>
      <c r="F72" s="2506">
        <v>10</v>
      </c>
      <c r="G72" s="2506"/>
      <c r="H72" s="2717">
        <f>BG191</f>
        <v>2.564102564102564E-2</v>
      </c>
      <c r="I72" s="2679"/>
      <c r="J72" s="2398" t="str">
        <f>BS191</f>
        <v>Input accepted</v>
      </c>
      <c r="K72" s="2398"/>
      <c r="L72" s="1973"/>
      <c r="M72" s="1973"/>
      <c r="N72" s="1973"/>
      <c r="O72" s="1973"/>
      <c r="P72" s="1973"/>
      <c r="Q72" s="1973"/>
      <c r="R72" s="1973"/>
      <c r="S72" s="40"/>
      <c r="T72" s="40"/>
      <c r="U72" s="40"/>
      <c r="V72" s="963"/>
      <c r="W72" s="609"/>
      <c r="X72" s="926"/>
      <c r="Y72" s="926"/>
      <c r="Z72" s="926"/>
      <c r="AA72" s="926"/>
      <c r="AB72" s="926"/>
      <c r="AC72" s="926"/>
      <c r="AD72" s="926"/>
      <c r="AE72" s="926"/>
      <c r="AF72" s="926"/>
      <c r="AG72" s="926"/>
      <c r="AH72" s="926"/>
      <c r="AI72" s="926"/>
      <c r="AJ72" s="926"/>
    </row>
    <row r="73" spans="1:36" ht="15" customHeight="1" x14ac:dyDescent="0.3">
      <c r="A73" s="926"/>
      <c r="B73" s="609"/>
      <c r="C73" s="969"/>
      <c r="D73" s="2578"/>
      <c r="E73" s="2578"/>
      <c r="F73" s="2506"/>
      <c r="G73" s="2506"/>
      <c r="H73" s="2717"/>
      <c r="I73" s="2679"/>
      <c r="J73" s="2398"/>
      <c r="K73" s="2398"/>
      <c r="L73" s="1973"/>
      <c r="M73" s="1973"/>
      <c r="N73" s="1973"/>
      <c r="O73" s="1973"/>
      <c r="P73" s="1973"/>
      <c r="Q73" s="1973"/>
      <c r="R73" s="1973"/>
      <c r="S73" s="40"/>
      <c r="T73" s="40"/>
      <c r="U73" s="40"/>
      <c r="V73" s="963"/>
      <c r="W73" s="609"/>
      <c r="X73" s="926"/>
      <c r="Y73" s="926"/>
      <c r="Z73" s="926"/>
      <c r="AA73" s="926"/>
      <c r="AB73" s="926"/>
      <c r="AC73" s="926"/>
      <c r="AD73" s="926"/>
      <c r="AE73" s="926"/>
      <c r="AF73" s="926"/>
      <c r="AG73" s="926"/>
      <c r="AH73" s="926"/>
      <c r="AI73" s="926"/>
      <c r="AJ73" s="926"/>
    </row>
    <row r="74" spans="1:36" ht="15" customHeight="1" x14ac:dyDescent="0.3">
      <c r="A74" s="926"/>
      <c r="B74" s="609"/>
      <c r="C74" s="969"/>
      <c r="D74" s="2578"/>
      <c r="E74" s="2578"/>
      <c r="F74" s="2506"/>
      <c r="G74" s="2506"/>
      <c r="H74" s="2679"/>
      <c r="I74" s="2679"/>
      <c r="J74" s="2398"/>
      <c r="K74" s="2398"/>
      <c r="L74" s="1973"/>
      <c r="M74" s="1973"/>
      <c r="N74" s="1973"/>
      <c r="O74" s="1973"/>
      <c r="P74" s="1973"/>
      <c r="Q74" s="1973"/>
      <c r="R74" s="1973"/>
      <c r="S74" s="40"/>
      <c r="T74" s="40"/>
      <c r="U74" s="40"/>
      <c r="V74" s="963"/>
      <c r="W74" s="609"/>
      <c r="X74" s="926"/>
      <c r="Y74" s="926"/>
      <c r="Z74" s="926"/>
      <c r="AA74" s="926"/>
      <c r="AB74" s="926"/>
      <c r="AC74" s="926"/>
      <c r="AD74" s="926"/>
      <c r="AE74" s="926"/>
      <c r="AF74" s="926"/>
      <c r="AG74" s="926"/>
      <c r="AH74" s="926"/>
      <c r="AI74" s="926"/>
      <c r="AJ74" s="926"/>
    </row>
    <row r="75" spans="1:36" ht="15" customHeight="1" x14ac:dyDescent="0.3">
      <c r="A75" s="926"/>
      <c r="B75" s="609"/>
      <c r="C75" s="969"/>
      <c r="D75" s="2578" t="s">
        <v>442</v>
      </c>
      <c r="E75" s="2578"/>
      <c r="F75" s="2506">
        <v>10</v>
      </c>
      <c r="G75" s="2506"/>
      <c r="H75" s="2717">
        <f>BG192</f>
        <v>2.564102564102564E-2</v>
      </c>
      <c r="I75" s="2679"/>
      <c r="J75" s="2398" t="str">
        <f>BS192</f>
        <v>Input accepted</v>
      </c>
      <c r="K75" s="2398"/>
      <c r="L75" s="1973"/>
      <c r="M75" s="1973"/>
      <c r="N75" s="1973"/>
      <c r="O75" s="1973"/>
      <c r="P75" s="1973"/>
      <c r="Q75" s="1973"/>
      <c r="R75" s="1973"/>
      <c r="S75" s="40"/>
      <c r="T75" s="40"/>
      <c r="U75" s="40"/>
      <c r="V75" s="963"/>
      <c r="W75" s="609"/>
      <c r="X75" s="926"/>
      <c r="Y75" s="926"/>
      <c r="Z75" s="926"/>
      <c r="AA75" s="926"/>
      <c r="AB75" s="926"/>
      <c r="AC75" s="926"/>
      <c r="AD75" s="926"/>
      <c r="AE75" s="926"/>
      <c r="AF75" s="926"/>
      <c r="AG75" s="926"/>
      <c r="AH75" s="926"/>
      <c r="AI75" s="926"/>
      <c r="AJ75" s="926"/>
    </row>
    <row r="76" spans="1:36" ht="15" customHeight="1" x14ac:dyDescent="0.3">
      <c r="A76" s="926"/>
      <c r="B76" s="609"/>
      <c r="C76" s="969"/>
      <c r="D76" s="2578"/>
      <c r="E76" s="2578"/>
      <c r="F76" s="2506"/>
      <c r="G76" s="2506"/>
      <c r="H76" s="2717"/>
      <c r="I76" s="2679"/>
      <c r="J76" s="2398"/>
      <c r="K76" s="2398"/>
      <c r="L76" s="1973"/>
      <c r="M76" s="1973"/>
      <c r="N76" s="1973"/>
      <c r="O76" s="1973"/>
      <c r="P76" s="1973"/>
      <c r="Q76" s="1973"/>
      <c r="R76" s="1973"/>
      <c r="S76" s="40"/>
      <c r="T76" s="40"/>
      <c r="U76" s="40"/>
      <c r="V76" s="963"/>
      <c r="W76" s="609"/>
      <c r="X76" s="926"/>
      <c r="Y76" s="926"/>
      <c r="Z76" s="926"/>
      <c r="AA76" s="926"/>
      <c r="AB76" s="926"/>
      <c r="AC76" s="926"/>
      <c r="AD76" s="926"/>
      <c r="AE76" s="926"/>
      <c r="AF76" s="926"/>
      <c r="AG76" s="926"/>
      <c r="AH76" s="926"/>
      <c r="AI76" s="926"/>
      <c r="AJ76" s="926"/>
    </row>
    <row r="77" spans="1:36" ht="15" customHeight="1" x14ac:dyDescent="0.3">
      <c r="A77" s="926"/>
      <c r="B77" s="609"/>
      <c r="C77" s="969"/>
      <c r="D77" s="2578"/>
      <c r="E77" s="2578"/>
      <c r="F77" s="2506"/>
      <c r="G77" s="2506"/>
      <c r="H77" s="2679"/>
      <c r="I77" s="2679"/>
      <c r="J77" s="2398"/>
      <c r="K77" s="2398"/>
      <c r="L77" s="1973"/>
      <c r="M77" s="1973"/>
      <c r="N77" s="1973"/>
      <c r="O77" s="1973"/>
      <c r="P77" s="1973"/>
      <c r="Q77" s="1973"/>
      <c r="R77" s="1973"/>
      <c r="S77" s="40"/>
      <c r="T77" s="40"/>
      <c r="U77" s="40"/>
      <c r="V77" s="963"/>
      <c r="W77" s="609"/>
      <c r="X77" s="926"/>
      <c r="Y77" s="926"/>
      <c r="Z77" s="926"/>
      <c r="AA77" s="926"/>
      <c r="AB77" s="926"/>
      <c r="AC77" s="926"/>
      <c r="AD77" s="926"/>
      <c r="AE77" s="926"/>
      <c r="AF77" s="926"/>
      <c r="AG77" s="926"/>
      <c r="AH77" s="926"/>
      <c r="AI77" s="926"/>
      <c r="AJ77" s="926"/>
    </row>
    <row r="78" spans="1:36" ht="15" customHeight="1" x14ac:dyDescent="0.3">
      <c r="A78" s="926"/>
      <c r="B78" s="609"/>
      <c r="C78" s="969"/>
      <c r="D78" s="40"/>
      <c r="E78" s="40"/>
      <c r="F78" s="40"/>
      <c r="G78" s="1974"/>
      <c r="H78" s="40"/>
      <c r="I78" s="40"/>
      <c r="J78" s="40"/>
      <c r="K78" s="1974"/>
      <c r="L78" s="1973"/>
      <c r="M78" s="1973"/>
      <c r="N78" s="1973"/>
      <c r="O78" s="1973"/>
      <c r="P78" s="1973"/>
      <c r="Q78" s="1973"/>
      <c r="R78" s="1973"/>
      <c r="S78" s="40"/>
      <c r="T78" s="40"/>
      <c r="U78" s="40"/>
      <c r="V78" s="963"/>
      <c r="W78" s="609"/>
      <c r="X78" s="926"/>
      <c r="Y78" s="926"/>
      <c r="Z78" s="926"/>
      <c r="AA78" s="926"/>
      <c r="AB78" s="926"/>
      <c r="AC78" s="926"/>
      <c r="AD78" s="926"/>
      <c r="AE78" s="926"/>
      <c r="AF78" s="926"/>
      <c r="AG78" s="926"/>
      <c r="AH78" s="926"/>
      <c r="AI78" s="926"/>
      <c r="AJ78" s="926"/>
    </row>
    <row r="79" spans="1:36" ht="15" customHeight="1" x14ac:dyDescent="0.3">
      <c r="A79" s="926"/>
      <c r="B79" s="609"/>
      <c r="C79" s="969"/>
      <c r="D79" s="2402" t="s">
        <v>443</v>
      </c>
      <c r="E79" s="2402"/>
      <c r="F79" s="2402"/>
      <c r="G79" s="2402"/>
      <c r="H79" s="2402"/>
      <c r="I79" s="2402"/>
      <c r="J79" s="2402"/>
      <c r="K79" s="2402"/>
      <c r="L79" s="1973"/>
      <c r="M79" s="1973"/>
      <c r="N79" s="1973"/>
      <c r="O79" s="1973"/>
      <c r="P79" s="1973"/>
      <c r="Q79" s="1973"/>
      <c r="R79" s="1973"/>
      <c r="S79" s="40"/>
      <c r="T79" s="40"/>
      <c r="U79" s="40"/>
      <c r="V79" s="963"/>
      <c r="W79" s="609"/>
      <c r="X79" s="926"/>
      <c r="Y79" s="926"/>
      <c r="Z79" s="926"/>
      <c r="AA79" s="926"/>
      <c r="AB79" s="926"/>
      <c r="AC79" s="926"/>
      <c r="AD79" s="926"/>
      <c r="AE79" s="926"/>
      <c r="AF79" s="926"/>
      <c r="AG79" s="926"/>
      <c r="AH79" s="926"/>
      <c r="AI79" s="926"/>
      <c r="AJ79" s="926"/>
    </row>
    <row r="80" spans="1:36" ht="15" customHeight="1" x14ac:dyDescent="0.3">
      <c r="A80" s="926"/>
      <c r="B80" s="609"/>
      <c r="C80" s="969"/>
      <c r="D80" s="2402"/>
      <c r="E80" s="2402"/>
      <c r="F80" s="2402"/>
      <c r="G80" s="2402"/>
      <c r="H80" s="2402"/>
      <c r="I80" s="2402"/>
      <c r="J80" s="2402"/>
      <c r="K80" s="2402"/>
      <c r="L80" s="1973"/>
      <c r="M80" s="1973"/>
      <c r="N80" s="1973"/>
      <c r="O80" s="1973"/>
      <c r="P80" s="1973"/>
      <c r="Q80" s="1973"/>
      <c r="R80" s="1973"/>
      <c r="S80" s="40"/>
      <c r="T80" s="40"/>
      <c r="U80" s="40"/>
      <c r="V80" s="963"/>
      <c r="W80" s="609"/>
      <c r="X80" s="926"/>
      <c r="Y80" s="926"/>
      <c r="Z80" s="926"/>
      <c r="AA80" s="926"/>
      <c r="AB80" s="926"/>
      <c r="AC80" s="926"/>
      <c r="AD80" s="926"/>
      <c r="AE80" s="926"/>
      <c r="AF80" s="926"/>
      <c r="AG80" s="926"/>
      <c r="AH80" s="926"/>
      <c r="AI80" s="926"/>
      <c r="AJ80" s="926"/>
    </row>
    <row r="81" spans="1:36" ht="15" customHeight="1" x14ac:dyDescent="0.3">
      <c r="A81" s="926"/>
      <c r="B81" s="609"/>
      <c r="C81" s="969"/>
      <c r="D81" s="2402"/>
      <c r="E81" s="2402"/>
      <c r="F81" s="2402"/>
      <c r="G81" s="2402"/>
      <c r="H81" s="2402"/>
      <c r="I81" s="2402"/>
      <c r="J81" s="2402"/>
      <c r="K81" s="2402"/>
      <c r="L81" s="1973"/>
      <c r="M81" s="1973"/>
      <c r="N81" s="1973"/>
      <c r="O81" s="1973"/>
      <c r="P81" s="1973"/>
      <c r="Q81" s="1973"/>
      <c r="R81" s="1973"/>
      <c r="S81" s="40"/>
      <c r="T81" s="40"/>
      <c r="U81" s="40"/>
      <c r="V81" s="963"/>
      <c r="W81" s="609"/>
      <c r="X81" s="926"/>
      <c r="Y81" s="926"/>
      <c r="Z81" s="926"/>
      <c r="AA81" s="926"/>
      <c r="AB81" s="926"/>
      <c r="AC81" s="926"/>
      <c r="AD81" s="926"/>
      <c r="AE81" s="926"/>
      <c r="AF81" s="926"/>
      <c r="AG81" s="926"/>
      <c r="AH81" s="926"/>
      <c r="AI81" s="926"/>
      <c r="AJ81" s="926"/>
    </row>
    <row r="82" spans="1:36" ht="15" customHeight="1" x14ac:dyDescent="0.3">
      <c r="A82" s="926"/>
      <c r="B82" s="609"/>
      <c r="C82" s="969"/>
      <c r="D82" s="2402"/>
      <c r="E82" s="2402"/>
      <c r="F82" s="2402"/>
      <c r="G82" s="2402"/>
      <c r="H82" s="2402"/>
      <c r="I82" s="2402"/>
      <c r="J82" s="2402"/>
      <c r="K82" s="2402"/>
      <c r="L82" s="1973"/>
      <c r="M82" s="1973"/>
      <c r="N82" s="1973"/>
      <c r="O82" s="1973"/>
      <c r="P82" s="1973"/>
      <c r="Q82" s="1973"/>
      <c r="R82" s="1973"/>
      <c r="S82" s="40"/>
      <c r="T82" s="40"/>
      <c r="U82" s="40"/>
      <c r="V82" s="963"/>
      <c r="W82" s="609"/>
      <c r="X82" s="926"/>
      <c r="Y82" s="926"/>
      <c r="Z82" s="926"/>
      <c r="AA82" s="926"/>
      <c r="AB82" s="926"/>
      <c r="AC82" s="926"/>
      <c r="AD82" s="926"/>
      <c r="AE82" s="926"/>
      <c r="AF82" s="926"/>
      <c r="AG82" s="926"/>
      <c r="AH82" s="926"/>
      <c r="AI82" s="926"/>
      <c r="AJ82" s="926"/>
    </row>
    <row r="83" spans="1:36" ht="15" customHeight="1" x14ac:dyDescent="0.3">
      <c r="A83" s="926"/>
      <c r="B83" s="609"/>
      <c r="C83" s="969"/>
      <c r="D83" s="2397" t="s">
        <v>444</v>
      </c>
      <c r="E83" s="2397"/>
      <c r="F83" s="2397" t="s">
        <v>435</v>
      </c>
      <c r="G83" s="2397"/>
      <c r="H83" s="2406" t="s">
        <v>436</v>
      </c>
      <c r="I83" s="2406"/>
      <c r="J83" s="2397" t="s">
        <v>43</v>
      </c>
      <c r="K83" s="2397"/>
      <c r="L83" s="1973"/>
      <c r="M83" s="1973"/>
      <c r="N83" s="1973"/>
      <c r="O83" s="1973"/>
      <c r="P83" s="1973"/>
      <c r="Q83" s="1973"/>
      <c r="R83" s="1973"/>
      <c r="S83" s="40"/>
      <c r="T83" s="40"/>
      <c r="U83" s="40"/>
      <c r="V83" s="963"/>
      <c r="W83" s="609"/>
      <c r="X83" s="926"/>
      <c r="Y83" s="926"/>
      <c r="Z83" s="926"/>
      <c r="AA83" s="926"/>
      <c r="AB83" s="926"/>
      <c r="AC83" s="926"/>
      <c r="AD83" s="926"/>
      <c r="AE83" s="926"/>
      <c r="AF83" s="926"/>
      <c r="AG83" s="926"/>
      <c r="AH83" s="926"/>
      <c r="AI83" s="926"/>
      <c r="AJ83" s="926"/>
    </row>
    <row r="84" spans="1:36" ht="15" customHeight="1" x14ac:dyDescent="0.3">
      <c r="A84" s="926"/>
      <c r="B84" s="609"/>
      <c r="C84" s="969"/>
      <c r="D84" s="2578" t="s">
        <v>445</v>
      </c>
      <c r="E84" s="2578"/>
      <c r="F84" s="2506">
        <v>10</v>
      </c>
      <c r="G84" s="2506"/>
      <c r="H84" s="2717">
        <f>BG193</f>
        <v>2.564102564102564E-2</v>
      </c>
      <c r="I84" s="2679"/>
      <c r="J84" s="2398" t="str">
        <f>BS193</f>
        <v>Input accepted</v>
      </c>
      <c r="K84" s="2398"/>
      <c r="L84" s="1973"/>
      <c r="M84" s="1973"/>
      <c r="N84" s="1973"/>
      <c r="O84" s="1973"/>
      <c r="P84" s="1973"/>
      <c r="Q84" s="1973"/>
      <c r="R84" s="1973"/>
      <c r="S84" s="40"/>
      <c r="T84" s="40"/>
      <c r="U84" s="40"/>
      <c r="V84" s="963"/>
      <c r="W84" s="609"/>
      <c r="X84" s="926"/>
      <c r="Y84" s="926"/>
      <c r="Z84" s="926"/>
      <c r="AA84" s="926"/>
      <c r="AB84" s="926"/>
      <c r="AC84" s="926"/>
      <c r="AD84" s="926"/>
      <c r="AE84" s="926"/>
      <c r="AF84" s="926"/>
      <c r="AG84" s="926"/>
      <c r="AH84" s="926"/>
      <c r="AI84" s="926"/>
      <c r="AJ84" s="926"/>
    </row>
    <row r="85" spans="1:36" ht="15" customHeight="1" x14ac:dyDescent="0.3">
      <c r="A85" s="926"/>
      <c r="B85" s="609"/>
      <c r="C85" s="969"/>
      <c r="D85" s="2578"/>
      <c r="E85" s="2578"/>
      <c r="F85" s="2506"/>
      <c r="G85" s="2506"/>
      <c r="H85" s="2717"/>
      <c r="I85" s="2679"/>
      <c r="J85" s="2398"/>
      <c r="K85" s="2398"/>
      <c r="L85" s="1973"/>
      <c r="M85" s="1973"/>
      <c r="N85" s="1973"/>
      <c r="O85" s="1973"/>
      <c r="P85" s="1973"/>
      <c r="Q85" s="1973"/>
      <c r="R85" s="1973"/>
      <c r="S85" s="40"/>
      <c r="T85" s="40"/>
      <c r="U85" s="40"/>
      <c r="V85" s="963"/>
      <c r="W85" s="609"/>
      <c r="X85" s="926"/>
      <c r="Y85" s="926"/>
      <c r="Z85" s="926"/>
      <c r="AA85" s="926"/>
      <c r="AB85" s="926"/>
      <c r="AC85" s="926"/>
      <c r="AD85" s="926"/>
      <c r="AE85" s="926"/>
      <c r="AF85" s="926"/>
      <c r="AG85" s="926"/>
      <c r="AH85" s="926"/>
      <c r="AI85" s="926"/>
      <c r="AJ85" s="926"/>
    </row>
    <row r="86" spans="1:36" ht="15" customHeight="1" x14ac:dyDescent="0.3">
      <c r="A86" s="926"/>
      <c r="B86" s="609"/>
      <c r="C86" s="969"/>
      <c r="D86" s="2578"/>
      <c r="E86" s="2578"/>
      <c r="F86" s="2506"/>
      <c r="G86" s="2506"/>
      <c r="H86" s="2679"/>
      <c r="I86" s="2679"/>
      <c r="J86" s="2398"/>
      <c r="K86" s="2398"/>
      <c r="L86" s="1973"/>
      <c r="M86" s="1973"/>
      <c r="N86" s="1973"/>
      <c r="O86" s="1973"/>
      <c r="P86" s="1973"/>
      <c r="Q86" s="1973"/>
      <c r="R86" s="1973"/>
      <c r="S86" s="40"/>
      <c r="T86" s="40"/>
      <c r="U86" s="40"/>
      <c r="V86" s="963"/>
      <c r="W86" s="609"/>
      <c r="X86" s="926"/>
      <c r="Y86" s="926"/>
      <c r="Z86" s="926"/>
      <c r="AA86" s="926"/>
      <c r="AB86" s="926"/>
      <c r="AC86" s="926"/>
      <c r="AD86" s="926"/>
      <c r="AE86" s="926"/>
      <c r="AF86" s="926"/>
      <c r="AG86" s="926"/>
      <c r="AH86" s="926"/>
      <c r="AI86" s="926"/>
      <c r="AJ86" s="926"/>
    </row>
    <row r="87" spans="1:36" ht="15" customHeight="1" x14ac:dyDescent="0.3">
      <c r="A87" s="926"/>
      <c r="B87" s="609"/>
      <c r="C87" s="969"/>
      <c r="D87" s="2578" t="s">
        <v>446</v>
      </c>
      <c r="E87" s="2578"/>
      <c r="F87" s="2506">
        <v>10</v>
      </c>
      <c r="G87" s="2506"/>
      <c r="H87" s="2717">
        <f>BG194</f>
        <v>2.564102564102564E-2</v>
      </c>
      <c r="I87" s="2679"/>
      <c r="J87" s="2398" t="str">
        <f>BS194</f>
        <v>Input accepted</v>
      </c>
      <c r="K87" s="2398"/>
      <c r="L87" s="1973"/>
      <c r="M87" s="1973"/>
      <c r="N87" s="1973"/>
      <c r="O87" s="1973"/>
      <c r="P87" s="1973"/>
      <c r="Q87" s="1973"/>
      <c r="R87" s="1973"/>
      <c r="S87" s="40"/>
      <c r="T87" s="40"/>
      <c r="U87" s="40"/>
      <c r="V87" s="963"/>
      <c r="W87" s="609"/>
      <c r="X87" s="926"/>
      <c r="Y87" s="926"/>
      <c r="Z87" s="926"/>
      <c r="AA87" s="926"/>
      <c r="AB87" s="926"/>
      <c r="AC87" s="926"/>
      <c r="AD87" s="926"/>
      <c r="AE87" s="926"/>
      <c r="AF87" s="926"/>
      <c r="AG87" s="926"/>
      <c r="AH87" s="926"/>
      <c r="AI87" s="926"/>
      <c r="AJ87" s="926"/>
    </row>
    <row r="88" spans="1:36" ht="15" customHeight="1" x14ac:dyDescent="0.3">
      <c r="A88" s="926"/>
      <c r="B88" s="609"/>
      <c r="C88" s="969"/>
      <c r="D88" s="2578"/>
      <c r="E88" s="2578"/>
      <c r="F88" s="2506"/>
      <c r="G88" s="2506"/>
      <c r="H88" s="2717"/>
      <c r="I88" s="2679"/>
      <c r="J88" s="2398"/>
      <c r="K88" s="2398"/>
      <c r="L88" s="1973"/>
      <c r="M88" s="1973"/>
      <c r="N88" s="1973"/>
      <c r="O88" s="1973"/>
      <c r="P88" s="1973"/>
      <c r="Q88" s="1973"/>
      <c r="R88" s="1973"/>
      <c r="S88" s="40"/>
      <c r="T88" s="40"/>
      <c r="U88" s="40"/>
      <c r="V88" s="963"/>
      <c r="W88" s="609"/>
      <c r="X88" s="926"/>
      <c r="Y88" s="926"/>
      <c r="Z88" s="926"/>
      <c r="AA88" s="926"/>
      <c r="AB88" s="926"/>
      <c r="AC88" s="926"/>
      <c r="AD88" s="926"/>
      <c r="AE88" s="926"/>
      <c r="AF88" s="926"/>
      <c r="AG88" s="926"/>
      <c r="AH88" s="926"/>
      <c r="AI88" s="926"/>
      <c r="AJ88" s="926"/>
    </row>
    <row r="89" spans="1:36" ht="15" customHeight="1" x14ac:dyDescent="0.3">
      <c r="A89" s="926"/>
      <c r="B89" s="609"/>
      <c r="C89" s="969"/>
      <c r="D89" s="2578"/>
      <c r="E89" s="2578"/>
      <c r="F89" s="2506"/>
      <c r="G89" s="2506"/>
      <c r="H89" s="2679"/>
      <c r="I89" s="2679"/>
      <c r="J89" s="2398"/>
      <c r="K89" s="2398"/>
      <c r="L89" s="1973"/>
      <c r="M89" s="1973"/>
      <c r="N89" s="1973"/>
      <c r="O89" s="1973"/>
      <c r="P89" s="1973"/>
      <c r="Q89" s="1973"/>
      <c r="R89" s="1973"/>
      <c r="S89" s="40"/>
      <c r="T89" s="40"/>
      <c r="U89" s="40"/>
      <c r="V89" s="963"/>
      <c r="W89" s="609"/>
      <c r="X89" s="926"/>
      <c r="Y89" s="926"/>
      <c r="Z89" s="926"/>
      <c r="AA89" s="926"/>
      <c r="AB89" s="926"/>
      <c r="AC89" s="926"/>
      <c r="AD89" s="926"/>
      <c r="AE89" s="926"/>
      <c r="AF89" s="926"/>
      <c r="AG89" s="926"/>
      <c r="AH89" s="926"/>
      <c r="AI89" s="926"/>
      <c r="AJ89" s="926"/>
    </row>
    <row r="90" spans="1:36" ht="15" customHeight="1" x14ac:dyDescent="0.3">
      <c r="A90" s="926"/>
      <c r="B90" s="609"/>
      <c r="C90" s="969"/>
      <c r="D90" s="2578" t="s">
        <v>447</v>
      </c>
      <c r="E90" s="2578"/>
      <c r="F90" s="2506">
        <v>10</v>
      </c>
      <c r="G90" s="2506"/>
      <c r="H90" s="2717">
        <f>BG195</f>
        <v>2.564102564102564E-2</v>
      </c>
      <c r="I90" s="2679"/>
      <c r="J90" s="2398" t="str">
        <f>BS195</f>
        <v>Input accepted</v>
      </c>
      <c r="K90" s="2398"/>
      <c r="L90" s="1973"/>
      <c r="M90" s="1973"/>
      <c r="N90" s="1973"/>
      <c r="O90" s="1973"/>
      <c r="P90" s="1973"/>
      <c r="Q90" s="1973"/>
      <c r="R90" s="1973"/>
      <c r="S90" s="40"/>
      <c r="T90" s="40"/>
      <c r="U90" s="40"/>
      <c r="V90" s="963"/>
      <c r="W90" s="609"/>
      <c r="X90" s="926"/>
      <c r="Y90" s="926"/>
      <c r="Z90" s="926"/>
      <c r="AA90" s="926"/>
      <c r="AB90" s="926"/>
      <c r="AC90" s="926"/>
      <c r="AD90" s="926"/>
      <c r="AE90" s="926"/>
      <c r="AF90" s="926"/>
      <c r="AG90" s="926"/>
      <c r="AH90" s="926"/>
      <c r="AI90" s="926"/>
      <c r="AJ90" s="926"/>
    </row>
    <row r="91" spans="1:36" ht="15" customHeight="1" x14ac:dyDescent="0.3">
      <c r="A91" s="926"/>
      <c r="B91" s="609"/>
      <c r="C91" s="969"/>
      <c r="D91" s="2578"/>
      <c r="E91" s="2578"/>
      <c r="F91" s="2506"/>
      <c r="G91" s="2506"/>
      <c r="H91" s="2717"/>
      <c r="I91" s="2679"/>
      <c r="J91" s="2398"/>
      <c r="K91" s="2398"/>
      <c r="L91" s="1973"/>
      <c r="M91" s="1973"/>
      <c r="N91" s="1973"/>
      <c r="O91" s="1973"/>
      <c r="P91" s="1973"/>
      <c r="Q91" s="1973"/>
      <c r="R91" s="1973"/>
      <c r="S91" s="40"/>
      <c r="T91" s="40"/>
      <c r="U91" s="40"/>
      <c r="V91" s="963"/>
      <c r="W91" s="609"/>
      <c r="X91" s="926"/>
      <c r="Y91" s="926"/>
      <c r="Z91" s="926"/>
      <c r="AA91" s="926"/>
      <c r="AB91" s="926"/>
      <c r="AC91" s="926"/>
      <c r="AD91" s="926"/>
      <c r="AE91" s="926"/>
      <c r="AF91" s="926"/>
      <c r="AG91" s="926"/>
      <c r="AH91" s="926"/>
      <c r="AI91" s="926"/>
      <c r="AJ91" s="926"/>
    </row>
    <row r="92" spans="1:36" ht="15" customHeight="1" x14ac:dyDescent="0.3">
      <c r="A92" s="926"/>
      <c r="B92" s="609"/>
      <c r="C92" s="969"/>
      <c r="D92" s="2578"/>
      <c r="E92" s="2578"/>
      <c r="F92" s="2506"/>
      <c r="G92" s="2506"/>
      <c r="H92" s="2679"/>
      <c r="I92" s="2679"/>
      <c r="J92" s="2398"/>
      <c r="K92" s="2398"/>
      <c r="L92" s="1973"/>
      <c r="M92" s="1973"/>
      <c r="N92" s="1973"/>
      <c r="O92" s="1973"/>
      <c r="P92" s="1973"/>
      <c r="Q92" s="1973"/>
      <c r="R92" s="1973"/>
      <c r="S92" s="40"/>
      <c r="T92" s="40"/>
      <c r="U92" s="40"/>
      <c r="V92" s="963"/>
      <c r="W92" s="609"/>
      <c r="X92" s="926"/>
      <c r="Y92" s="926"/>
      <c r="Z92" s="926"/>
      <c r="AA92" s="926"/>
      <c r="AB92" s="926"/>
      <c r="AC92" s="926"/>
      <c r="AD92" s="926"/>
      <c r="AE92" s="926"/>
      <c r="AF92" s="926"/>
      <c r="AG92" s="926"/>
      <c r="AH92" s="926"/>
      <c r="AI92" s="926"/>
      <c r="AJ92" s="926"/>
    </row>
    <row r="93" spans="1:36" ht="15" customHeight="1" x14ac:dyDescent="0.3">
      <c r="A93" s="926"/>
      <c r="B93" s="609"/>
      <c r="C93" s="969"/>
      <c r="D93" s="2578" t="s">
        <v>448</v>
      </c>
      <c r="E93" s="2578"/>
      <c r="F93" s="2506">
        <v>10</v>
      </c>
      <c r="G93" s="2506"/>
      <c r="H93" s="2717">
        <f>BG196</f>
        <v>2.564102564102564E-2</v>
      </c>
      <c r="I93" s="2679"/>
      <c r="J93" s="2398" t="str">
        <f>BS196</f>
        <v>Input accepted</v>
      </c>
      <c r="K93" s="2398"/>
      <c r="L93" s="1973"/>
      <c r="M93" s="1973"/>
      <c r="N93" s="1973"/>
      <c r="O93" s="1973"/>
      <c r="P93" s="1973"/>
      <c r="Q93" s="1973"/>
      <c r="R93" s="1973"/>
      <c r="S93" s="40"/>
      <c r="T93" s="40"/>
      <c r="U93" s="40"/>
      <c r="V93" s="963"/>
      <c r="W93" s="609"/>
      <c r="X93" s="926"/>
      <c r="Y93" s="926"/>
      <c r="Z93" s="926"/>
      <c r="AA93" s="926"/>
      <c r="AB93" s="926"/>
      <c r="AC93" s="926"/>
      <c r="AD93" s="926"/>
      <c r="AE93" s="926"/>
      <c r="AF93" s="926"/>
      <c r="AG93" s="926"/>
      <c r="AH93" s="926"/>
      <c r="AI93" s="926"/>
      <c r="AJ93" s="926"/>
    </row>
    <row r="94" spans="1:36" ht="15" customHeight="1" x14ac:dyDescent="0.3">
      <c r="A94" s="926"/>
      <c r="B94" s="609"/>
      <c r="C94" s="969"/>
      <c r="D94" s="2578"/>
      <c r="E94" s="2578"/>
      <c r="F94" s="2506"/>
      <c r="G94" s="2506"/>
      <c r="H94" s="2717"/>
      <c r="I94" s="2679"/>
      <c r="J94" s="2398"/>
      <c r="K94" s="2398"/>
      <c r="L94" s="1973"/>
      <c r="M94" s="1973"/>
      <c r="N94" s="1973"/>
      <c r="O94" s="1973"/>
      <c r="P94" s="1973"/>
      <c r="Q94" s="1973"/>
      <c r="R94" s="1973"/>
      <c r="S94" s="40"/>
      <c r="T94" s="40"/>
      <c r="U94" s="40"/>
      <c r="V94" s="963"/>
      <c r="W94" s="609"/>
      <c r="X94" s="926"/>
      <c r="Y94" s="926"/>
      <c r="Z94" s="926"/>
      <c r="AA94" s="926"/>
      <c r="AB94" s="926"/>
      <c r="AC94" s="926"/>
      <c r="AD94" s="926"/>
      <c r="AE94" s="926"/>
      <c r="AF94" s="926"/>
      <c r="AG94" s="926"/>
      <c r="AH94" s="926"/>
      <c r="AI94" s="926"/>
      <c r="AJ94" s="926"/>
    </row>
    <row r="95" spans="1:36" ht="15" customHeight="1" x14ac:dyDescent="0.3">
      <c r="A95" s="926"/>
      <c r="B95" s="609"/>
      <c r="C95" s="969"/>
      <c r="D95" s="2578"/>
      <c r="E95" s="2578"/>
      <c r="F95" s="2506"/>
      <c r="G95" s="2506"/>
      <c r="H95" s="2679"/>
      <c r="I95" s="2679"/>
      <c r="J95" s="2398"/>
      <c r="K95" s="2398"/>
      <c r="L95" s="1973"/>
      <c r="M95" s="1973"/>
      <c r="N95" s="1973"/>
      <c r="O95" s="1973"/>
      <c r="P95" s="1973"/>
      <c r="Q95" s="1973"/>
      <c r="R95" s="1973"/>
      <c r="S95" s="40"/>
      <c r="T95" s="40"/>
      <c r="U95" s="40"/>
      <c r="V95" s="963"/>
      <c r="W95" s="609"/>
      <c r="X95" s="926"/>
      <c r="Y95" s="926"/>
      <c r="Z95" s="926"/>
      <c r="AA95" s="926"/>
      <c r="AB95" s="926"/>
      <c r="AC95" s="926"/>
      <c r="AD95" s="926"/>
      <c r="AE95" s="926"/>
      <c r="AF95" s="926"/>
      <c r="AG95" s="926"/>
      <c r="AH95" s="926"/>
      <c r="AI95" s="926"/>
      <c r="AJ95" s="926"/>
    </row>
    <row r="96" spans="1:36" ht="15" customHeight="1" x14ac:dyDescent="0.3">
      <c r="A96" s="926"/>
      <c r="B96" s="609"/>
      <c r="C96" s="969"/>
      <c r="D96" s="2578" t="s">
        <v>449</v>
      </c>
      <c r="E96" s="2578"/>
      <c r="F96" s="2506">
        <v>10</v>
      </c>
      <c r="G96" s="2506"/>
      <c r="H96" s="2717">
        <f>BG197</f>
        <v>2.564102564102564E-2</v>
      </c>
      <c r="I96" s="2679"/>
      <c r="J96" s="2398" t="str">
        <f>BS197</f>
        <v>Input accepted</v>
      </c>
      <c r="K96" s="2398"/>
      <c r="L96" s="1973"/>
      <c r="M96" s="1973"/>
      <c r="N96" s="1973"/>
      <c r="O96" s="1973"/>
      <c r="P96" s="1973"/>
      <c r="Q96" s="1973"/>
      <c r="R96" s="1973"/>
      <c r="S96" s="40"/>
      <c r="T96" s="40"/>
      <c r="U96" s="40"/>
      <c r="V96" s="963"/>
      <c r="W96" s="609"/>
      <c r="X96" s="926"/>
      <c r="Y96" s="926"/>
      <c r="Z96" s="926"/>
      <c r="AA96" s="926"/>
      <c r="AB96" s="926"/>
      <c r="AC96" s="926"/>
      <c r="AD96" s="926"/>
      <c r="AE96" s="926"/>
      <c r="AF96" s="926"/>
      <c r="AG96" s="926"/>
      <c r="AH96" s="926"/>
      <c r="AI96" s="926"/>
      <c r="AJ96" s="926"/>
    </row>
    <row r="97" spans="1:36" ht="15" customHeight="1" x14ac:dyDescent="0.3">
      <c r="A97" s="926"/>
      <c r="B97" s="609"/>
      <c r="C97" s="969"/>
      <c r="D97" s="2578"/>
      <c r="E97" s="2578"/>
      <c r="F97" s="2506"/>
      <c r="G97" s="2506"/>
      <c r="H97" s="2717"/>
      <c r="I97" s="2679"/>
      <c r="J97" s="2398"/>
      <c r="K97" s="2398"/>
      <c r="L97" s="1973"/>
      <c r="M97" s="1973"/>
      <c r="N97" s="1973"/>
      <c r="O97" s="1973"/>
      <c r="P97" s="1973"/>
      <c r="Q97" s="1973"/>
      <c r="R97" s="1973"/>
      <c r="S97" s="40"/>
      <c r="T97" s="40"/>
      <c r="U97" s="40"/>
      <c r="V97" s="963"/>
      <c r="W97" s="609"/>
      <c r="X97" s="926"/>
      <c r="Y97" s="926"/>
      <c r="Z97" s="926"/>
      <c r="AA97" s="926"/>
      <c r="AB97" s="926"/>
      <c r="AC97" s="926"/>
      <c r="AD97" s="926"/>
      <c r="AE97" s="926"/>
      <c r="AF97" s="926"/>
      <c r="AG97" s="926"/>
      <c r="AH97" s="926"/>
      <c r="AI97" s="926"/>
      <c r="AJ97" s="926"/>
    </row>
    <row r="98" spans="1:36" ht="15" customHeight="1" x14ac:dyDescent="0.3">
      <c r="A98" s="926"/>
      <c r="B98" s="609"/>
      <c r="C98" s="969"/>
      <c r="D98" s="2578"/>
      <c r="E98" s="2578"/>
      <c r="F98" s="2506"/>
      <c r="G98" s="2506"/>
      <c r="H98" s="2679"/>
      <c r="I98" s="2679"/>
      <c r="J98" s="2398"/>
      <c r="K98" s="2398"/>
      <c r="L98" s="1973"/>
      <c r="M98" s="1973"/>
      <c r="N98" s="1973"/>
      <c r="O98" s="1973"/>
      <c r="P98" s="1973"/>
      <c r="Q98" s="1973"/>
      <c r="R98" s="1973"/>
      <c r="S98" s="40"/>
      <c r="T98" s="40"/>
      <c r="U98" s="40"/>
      <c r="V98" s="963"/>
      <c r="W98" s="609"/>
      <c r="X98" s="926"/>
      <c r="Y98" s="926"/>
      <c r="Z98" s="926"/>
      <c r="AA98" s="926"/>
      <c r="AB98" s="926"/>
      <c r="AC98" s="926"/>
      <c r="AD98" s="926"/>
      <c r="AE98" s="926"/>
      <c r="AF98" s="926"/>
      <c r="AG98" s="926"/>
      <c r="AH98" s="926"/>
      <c r="AI98" s="926"/>
      <c r="AJ98" s="926"/>
    </row>
    <row r="99" spans="1:36" ht="15" customHeight="1" x14ac:dyDescent="0.3">
      <c r="A99" s="926"/>
      <c r="B99" s="609"/>
      <c r="C99" s="969"/>
      <c r="D99" s="2578" t="s">
        <v>450</v>
      </c>
      <c r="E99" s="2578"/>
      <c r="F99" s="2506">
        <v>10</v>
      </c>
      <c r="G99" s="2506"/>
      <c r="H99" s="2717">
        <f>BG198</f>
        <v>2.564102564102564E-2</v>
      </c>
      <c r="I99" s="2679"/>
      <c r="J99" s="2398" t="str">
        <f>BS198</f>
        <v>Input accepted</v>
      </c>
      <c r="K99" s="2398"/>
      <c r="L99" s="1973"/>
      <c r="M99" s="1973"/>
      <c r="N99" s="1973"/>
      <c r="O99" s="1973"/>
      <c r="P99" s="1973"/>
      <c r="Q99" s="1973"/>
      <c r="R99" s="1973"/>
      <c r="S99" s="40"/>
      <c r="T99" s="40"/>
      <c r="U99" s="40"/>
      <c r="V99" s="963"/>
      <c r="W99" s="609"/>
      <c r="X99" s="926"/>
      <c r="Y99" s="926"/>
      <c r="Z99" s="926"/>
      <c r="AA99" s="926"/>
      <c r="AB99" s="926"/>
      <c r="AC99" s="926"/>
      <c r="AD99" s="926"/>
      <c r="AE99" s="926"/>
      <c r="AF99" s="926"/>
      <c r="AG99" s="926"/>
      <c r="AH99" s="926"/>
      <c r="AI99" s="926"/>
      <c r="AJ99" s="926"/>
    </row>
    <row r="100" spans="1:36" ht="15" customHeight="1" x14ac:dyDescent="0.3">
      <c r="A100" s="926"/>
      <c r="B100" s="609"/>
      <c r="C100" s="969"/>
      <c r="D100" s="2578"/>
      <c r="E100" s="2578"/>
      <c r="F100" s="2506"/>
      <c r="G100" s="2506"/>
      <c r="H100" s="2717"/>
      <c r="I100" s="2679"/>
      <c r="J100" s="2398"/>
      <c r="K100" s="2398"/>
      <c r="L100" s="1973"/>
      <c r="M100" s="1973"/>
      <c r="N100" s="1973"/>
      <c r="O100" s="1973"/>
      <c r="P100" s="1973"/>
      <c r="Q100" s="1973"/>
      <c r="R100" s="1973"/>
      <c r="S100" s="40"/>
      <c r="T100" s="40"/>
      <c r="U100" s="40"/>
      <c r="V100" s="963"/>
      <c r="W100" s="609"/>
      <c r="X100" s="926"/>
      <c r="Y100" s="926"/>
      <c r="Z100" s="926"/>
      <c r="AA100" s="926"/>
      <c r="AB100" s="926"/>
      <c r="AC100" s="926"/>
      <c r="AD100" s="926"/>
      <c r="AE100" s="926"/>
      <c r="AF100" s="926"/>
      <c r="AG100" s="926"/>
      <c r="AH100" s="926"/>
      <c r="AI100" s="926"/>
      <c r="AJ100" s="926"/>
    </row>
    <row r="101" spans="1:36" ht="15" customHeight="1" x14ac:dyDescent="0.3">
      <c r="A101" s="926"/>
      <c r="B101" s="609"/>
      <c r="C101" s="969"/>
      <c r="D101" s="2578"/>
      <c r="E101" s="2578"/>
      <c r="F101" s="2506"/>
      <c r="G101" s="2506"/>
      <c r="H101" s="2679"/>
      <c r="I101" s="2679"/>
      <c r="J101" s="2398"/>
      <c r="K101" s="2398"/>
      <c r="L101" s="1973"/>
      <c r="M101" s="1973"/>
      <c r="N101" s="1973"/>
      <c r="O101" s="1973"/>
      <c r="P101" s="1973"/>
      <c r="Q101" s="1973"/>
      <c r="R101" s="1973"/>
      <c r="S101" s="40"/>
      <c r="T101" s="40"/>
      <c r="U101" s="40"/>
      <c r="V101" s="963"/>
      <c r="W101" s="609"/>
      <c r="X101" s="926"/>
      <c r="Y101" s="926"/>
      <c r="Z101" s="926"/>
      <c r="AA101" s="926"/>
      <c r="AB101" s="926"/>
      <c r="AC101" s="926"/>
      <c r="AD101" s="926"/>
      <c r="AE101" s="926"/>
      <c r="AF101" s="926"/>
      <c r="AG101" s="926"/>
      <c r="AH101" s="926"/>
      <c r="AI101" s="926"/>
      <c r="AJ101" s="926"/>
    </row>
    <row r="102" spans="1:36" ht="15" customHeight="1" x14ac:dyDescent="0.3">
      <c r="A102" s="926"/>
      <c r="B102" s="609"/>
      <c r="C102" s="969"/>
      <c r="D102" s="40"/>
      <c r="E102" s="40"/>
      <c r="F102" s="40"/>
      <c r="G102" s="1974"/>
      <c r="H102" s="40"/>
      <c r="I102" s="40"/>
      <c r="J102" s="40"/>
      <c r="K102" s="1974"/>
      <c r="L102" s="1973"/>
      <c r="M102" s="1973"/>
      <c r="N102" s="1973"/>
      <c r="O102" s="1973"/>
      <c r="P102" s="1973"/>
      <c r="Q102" s="1973"/>
      <c r="R102" s="1973"/>
      <c r="S102" s="40"/>
      <c r="T102" s="40"/>
      <c r="U102" s="40"/>
      <c r="V102" s="963"/>
      <c r="W102" s="609"/>
      <c r="X102" s="926"/>
      <c r="Y102" s="926"/>
      <c r="Z102" s="926"/>
      <c r="AA102" s="926"/>
      <c r="AB102" s="926"/>
      <c r="AC102" s="926"/>
      <c r="AD102" s="926"/>
      <c r="AE102" s="926"/>
      <c r="AF102" s="926"/>
      <c r="AG102" s="926"/>
      <c r="AH102" s="926"/>
      <c r="AI102" s="926"/>
      <c r="AJ102" s="926"/>
    </row>
    <row r="103" spans="1:36" ht="15" customHeight="1" x14ac:dyDescent="0.3">
      <c r="A103" s="926"/>
      <c r="B103" s="609"/>
      <c r="C103" s="969"/>
      <c r="D103" s="2402" t="s">
        <v>451</v>
      </c>
      <c r="E103" s="2402"/>
      <c r="F103" s="2402"/>
      <c r="G103" s="2402"/>
      <c r="H103" s="2402"/>
      <c r="I103" s="2402"/>
      <c r="J103" s="2402"/>
      <c r="K103" s="2402"/>
      <c r="L103" s="1973"/>
      <c r="M103" s="1973"/>
      <c r="N103" s="1973"/>
      <c r="O103" s="1973"/>
      <c r="P103" s="1973"/>
      <c r="Q103" s="1973"/>
      <c r="R103" s="1973"/>
      <c r="S103" s="40"/>
      <c r="T103" s="40"/>
      <c r="U103" s="40"/>
      <c r="V103" s="963"/>
      <c r="W103" s="609"/>
      <c r="X103" s="926"/>
      <c r="Y103" s="926"/>
      <c r="Z103" s="926"/>
      <c r="AA103" s="926"/>
      <c r="AB103" s="926"/>
      <c r="AC103" s="926"/>
      <c r="AD103" s="926"/>
      <c r="AE103" s="926"/>
      <c r="AF103" s="926"/>
      <c r="AG103" s="926"/>
      <c r="AH103" s="926"/>
      <c r="AI103" s="926"/>
      <c r="AJ103" s="926"/>
    </row>
    <row r="104" spans="1:36" ht="15" customHeight="1" x14ac:dyDescent="0.3">
      <c r="A104" s="926"/>
      <c r="B104" s="609"/>
      <c r="C104" s="969"/>
      <c r="D104" s="2402"/>
      <c r="E104" s="2402"/>
      <c r="F104" s="2402"/>
      <c r="G104" s="2402"/>
      <c r="H104" s="2402"/>
      <c r="I104" s="2402"/>
      <c r="J104" s="2402"/>
      <c r="K104" s="2402"/>
      <c r="L104" s="1973"/>
      <c r="M104" s="1973"/>
      <c r="N104" s="1973"/>
      <c r="O104" s="1973"/>
      <c r="P104" s="1973"/>
      <c r="Q104" s="1973"/>
      <c r="R104" s="1973"/>
      <c r="S104" s="40"/>
      <c r="T104" s="40"/>
      <c r="U104" s="40"/>
      <c r="V104" s="963"/>
      <c r="W104" s="609"/>
      <c r="X104" s="926"/>
      <c r="Y104" s="926"/>
      <c r="Z104" s="926"/>
      <c r="AA104" s="926"/>
      <c r="AB104" s="926"/>
      <c r="AC104" s="926"/>
      <c r="AD104" s="926"/>
      <c r="AE104" s="926"/>
      <c r="AF104" s="926"/>
      <c r="AG104" s="926"/>
      <c r="AH104" s="926"/>
      <c r="AI104" s="926"/>
      <c r="AJ104" s="926"/>
    </row>
    <row r="105" spans="1:36" ht="15" customHeight="1" x14ac:dyDescent="0.3">
      <c r="A105" s="926"/>
      <c r="B105" s="609"/>
      <c r="C105" s="969"/>
      <c r="D105" s="2402"/>
      <c r="E105" s="2402"/>
      <c r="F105" s="2402"/>
      <c r="G105" s="2402"/>
      <c r="H105" s="2402"/>
      <c r="I105" s="2402"/>
      <c r="J105" s="2402"/>
      <c r="K105" s="2402"/>
      <c r="L105" s="1973"/>
      <c r="M105" s="1973"/>
      <c r="N105" s="1973"/>
      <c r="O105" s="1973"/>
      <c r="P105" s="1973"/>
      <c r="Q105" s="1973"/>
      <c r="R105" s="1973"/>
      <c r="S105" s="40"/>
      <c r="T105" s="40"/>
      <c r="U105" s="40"/>
      <c r="V105" s="963"/>
      <c r="W105" s="609"/>
      <c r="X105" s="926"/>
      <c r="Y105" s="926"/>
      <c r="Z105" s="926"/>
      <c r="AA105" s="926"/>
      <c r="AB105" s="926"/>
      <c r="AC105" s="926"/>
      <c r="AD105" s="926"/>
      <c r="AE105" s="926"/>
      <c r="AF105" s="926"/>
      <c r="AG105" s="926"/>
      <c r="AH105" s="926"/>
      <c r="AI105" s="926"/>
      <c r="AJ105" s="926"/>
    </row>
    <row r="106" spans="1:36" ht="15" customHeight="1" x14ac:dyDescent="0.3">
      <c r="A106" s="926"/>
      <c r="B106" s="609"/>
      <c r="C106" s="969"/>
      <c r="D106" s="2402"/>
      <c r="E106" s="2402"/>
      <c r="F106" s="2402"/>
      <c r="G106" s="2402"/>
      <c r="H106" s="2402"/>
      <c r="I106" s="2402"/>
      <c r="J106" s="2402"/>
      <c r="K106" s="2402"/>
      <c r="L106" s="1973"/>
      <c r="M106" s="1973"/>
      <c r="N106" s="1973"/>
      <c r="O106" s="1973"/>
      <c r="P106" s="1973"/>
      <c r="Q106" s="1973"/>
      <c r="R106" s="1973"/>
      <c r="S106" s="40"/>
      <c r="T106" s="40"/>
      <c r="U106" s="40"/>
      <c r="V106" s="963"/>
      <c r="W106" s="609"/>
      <c r="X106" s="926"/>
      <c r="Y106" s="926"/>
      <c r="Z106" s="926"/>
      <c r="AA106" s="926"/>
      <c r="AB106" s="926"/>
      <c r="AC106" s="926"/>
      <c r="AD106" s="926"/>
      <c r="AE106" s="926"/>
      <c r="AF106" s="926"/>
      <c r="AG106" s="926"/>
      <c r="AH106" s="926"/>
      <c r="AI106" s="926"/>
      <c r="AJ106" s="926"/>
    </row>
    <row r="107" spans="1:36" ht="15" customHeight="1" x14ac:dyDescent="0.3">
      <c r="A107" s="926"/>
      <c r="B107" s="609"/>
      <c r="C107" s="969"/>
      <c r="D107" s="2397" t="s">
        <v>452</v>
      </c>
      <c r="E107" s="2397"/>
      <c r="F107" s="2397" t="s">
        <v>435</v>
      </c>
      <c r="G107" s="2397"/>
      <c r="H107" s="2397" t="s">
        <v>436</v>
      </c>
      <c r="I107" s="2397"/>
      <c r="J107" s="2397" t="s">
        <v>43</v>
      </c>
      <c r="K107" s="2397"/>
      <c r="L107" s="1973"/>
      <c r="M107" s="1973"/>
      <c r="N107" s="1973"/>
      <c r="O107" s="1973"/>
      <c r="P107" s="1973"/>
      <c r="Q107" s="1973"/>
      <c r="R107" s="1973"/>
      <c r="S107" s="40"/>
      <c r="T107" s="40"/>
      <c r="U107" s="40"/>
      <c r="V107" s="963"/>
      <c r="W107" s="609"/>
      <c r="X107" s="926"/>
      <c r="Y107" s="926"/>
      <c r="Z107" s="926"/>
      <c r="AA107" s="926"/>
      <c r="AB107" s="926"/>
      <c r="AC107" s="926"/>
      <c r="AD107" s="926"/>
      <c r="AE107" s="926"/>
      <c r="AF107" s="926"/>
      <c r="AG107" s="926"/>
      <c r="AH107" s="926"/>
      <c r="AI107" s="926"/>
      <c r="AJ107" s="926"/>
    </row>
    <row r="108" spans="1:36" ht="15" customHeight="1" x14ac:dyDescent="0.3">
      <c r="A108" s="926"/>
      <c r="B108" s="609"/>
      <c r="C108" s="969"/>
      <c r="D108" s="2578" t="s">
        <v>453</v>
      </c>
      <c r="E108" s="2578"/>
      <c r="F108" s="2506">
        <v>10</v>
      </c>
      <c r="G108" s="2506"/>
      <c r="H108" s="2717">
        <f>BG199</f>
        <v>2.564102564102564E-2</v>
      </c>
      <c r="I108" s="2717"/>
      <c r="J108" s="2398" t="str">
        <f>BS199</f>
        <v>Input accepted</v>
      </c>
      <c r="K108" s="2398"/>
      <c r="L108" s="1973"/>
      <c r="M108" s="1973"/>
      <c r="N108" s="1973"/>
      <c r="O108" s="1973"/>
      <c r="P108" s="1973"/>
      <c r="Q108" s="1973"/>
      <c r="R108" s="1973"/>
      <c r="S108" s="40"/>
      <c r="T108" s="40"/>
      <c r="U108" s="40"/>
      <c r="V108" s="963"/>
      <c r="W108" s="609"/>
      <c r="X108" s="926"/>
      <c r="Y108" s="926"/>
      <c r="Z108" s="926"/>
      <c r="AA108" s="926"/>
      <c r="AB108" s="926"/>
      <c r="AC108" s="926"/>
      <c r="AD108" s="926"/>
      <c r="AE108" s="926"/>
      <c r="AF108" s="926"/>
      <c r="AG108" s="926"/>
      <c r="AH108" s="926"/>
      <c r="AI108" s="926"/>
      <c r="AJ108" s="926"/>
    </row>
    <row r="109" spans="1:36" ht="15" customHeight="1" x14ac:dyDescent="0.3">
      <c r="A109" s="926"/>
      <c r="B109" s="609"/>
      <c r="C109" s="969"/>
      <c r="D109" s="2578"/>
      <c r="E109" s="2578"/>
      <c r="F109" s="2506"/>
      <c r="G109" s="2506"/>
      <c r="H109" s="2717"/>
      <c r="I109" s="2717"/>
      <c r="J109" s="2398"/>
      <c r="K109" s="2398"/>
      <c r="L109" s="1973"/>
      <c r="M109" s="1973"/>
      <c r="N109" s="1973"/>
      <c r="O109" s="1973"/>
      <c r="P109" s="1973"/>
      <c r="Q109" s="1973"/>
      <c r="R109" s="1973"/>
      <c r="S109" s="40"/>
      <c r="T109" s="40"/>
      <c r="U109" s="40"/>
      <c r="V109" s="963"/>
      <c r="W109" s="609"/>
      <c r="X109" s="926"/>
      <c r="Y109" s="926"/>
      <c r="Z109" s="926"/>
      <c r="AA109" s="926"/>
      <c r="AB109" s="926"/>
      <c r="AC109" s="926"/>
      <c r="AD109" s="926"/>
      <c r="AE109" s="926"/>
      <c r="AF109" s="926"/>
      <c r="AG109" s="926"/>
      <c r="AH109" s="926"/>
      <c r="AI109" s="926"/>
      <c r="AJ109" s="926"/>
    </row>
    <row r="110" spans="1:36" ht="15" customHeight="1" x14ac:dyDescent="0.3">
      <c r="A110" s="926"/>
      <c r="B110" s="609"/>
      <c r="C110" s="969"/>
      <c r="D110" s="2578"/>
      <c r="E110" s="2578"/>
      <c r="F110" s="2506"/>
      <c r="G110" s="2506"/>
      <c r="H110" s="2717"/>
      <c r="I110" s="2717"/>
      <c r="J110" s="2398"/>
      <c r="K110" s="2398"/>
      <c r="L110" s="1973"/>
      <c r="M110" s="1973"/>
      <c r="N110" s="1973"/>
      <c r="O110" s="1973"/>
      <c r="P110" s="1973"/>
      <c r="Q110" s="1973"/>
      <c r="R110" s="1973"/>
      <c r="S110" s="40"/>
      <c r="T110" s="40"/>
      <c r="U110" s="40"/>
      <c r="V110" s="963"/>
      <c r="W110" s="609"/>
      <c r="X110" s="926"/>
      <c r="Y110" s="926"/>
      <c r="Z110" s="926"/>
      <c r="AA110" s="926"/>
      <c r="AB110" s="926"/>
      <c r="AC110" s="926"/>
      <c r="AD110" s="926"/>
      <c r="AE110" s="926"/>
      <c r="AF110" s="926"/>
      <c r="AG110" s="926"/>
      <c r="AH110" s="926"/>
      <c r="AI110" s="926"/>
      <c r="AJ110" s="926"/>
    </row>
    <row r="111" spans="1:36" ht="15" customHeight="1" x14ac:dyDescent="0.3">
      <c r="A111" s="926"/>
      <c r="B111" s="609"/>
      <c r="C111" s="969"/>
      <c r="D111" s="2578" t="s">
        <v>454</v>
      </c>
      <c r="E111" s="2578"/>
      <c r="F111" s="2506">
        <v>10</v>
      </c>
      <c r="G111" s="2506"/>
      <c r="H111" s="2717">
        <f>BG200</f>
        <v>2.564102564102564E-2</v>
      </c>
      <c r="I111" s="2679"/>
      <c r="J111" s="2398" t="str">
        <f>BS200</f>
        <v>Input accepted</v>
      </c>
      <c r="K111" s="2398"/>
      <c r="L111" s="1973"/>
      <c r="M111" s="1973"/>
      <c r="N111" s="1973"/>
      <c r="O111" s="1973"/>
      <c r="P111" s="1973"/>
      <c r="Q111" s="1973"/>
      <c r="R111" s="1973"/>
      <c r="S111" s="40"/>
      <c r="T111" s="40"/>
      <c r="U111" s="40"/>
      <c r="V111" s="963"/>
      <c r="W111" s="609"/>
      <c r="X111" s="926"/>
      <c r="Y111" s="926"/>
      <c r="Z111" s="926"/>
      <c r="AA111" s="926"/>
      <c r="AB111" s="926"/>
      <c r="AC111" s="926"/>
      <c r="AD111" s="926"/>
      <c r="AE111" s="926"/>
      <c r="AF111" s="926"/>
      <c r="AG111" s="926"/>
      <c r="AH111" s="926"/>
      <c r="AI111" s="926"/>
      <c r="AJ111" s="926"/>
    </row>
    <row r="112" spans="1:36" ht="15" customHeight="1" x14ac:dyDescent="0.3">
      <c r="A112" s="926"/>
      <c r="B112" s="609"/>
      <c r="C112" s="969"/>
      <c r="D112" s="2578"/>
      <c r="E112" s="2578"/>
      <c r="F112" s="2506"/>
      <c r="G112" s="2506"/>
      <c r="H112" s="2717"/>
      <c r="I112" s="2679"/>
      <c r="J112" s="2398"/>
      <c r="K112" s="2398"/>
      <c r="L112" s="1973"/>
      <c r="M112" s="1973"/>
      <c r="N112" s="1973"/>
      <c r="O112" s="1973"/>
      <c r="P112" s="1973"/>
      <c r="Q112" s="1973"/>
      <c r="R112" s="1973"/>
      <c r="S112" s="40"/>
      <c r="T112" s="40"/>
      <c r="U112" s="40"/>
      <c r="V112" s="963"/>
      <c r="W112" s="609"/>
      <c r="X112" s="926"/>
      <c r="Y112" s="926"/>
      <c r="Z112" s="926"/>
      <c r="AA112" s="926"/>
      <c r="AB112" s="926"/>
      <c r="AC112" s="926"/>
      <c r="AD112" s="926"/>
      <c r="AE112" s="926"/>
      <c r="AF112" s="926"/>
      <c r="AG112" s="926"/>
      <c r="AH112" s="926"/>
      <c r="AI112" s="926"/>
      <c r="AJ112" s="926"/>
    </row>
    <row r="113" spans="1:36" ht="15" customHeight="1" x14ac:dyDescent="0.3">
      <c r="A113" s="926"/>
      <c r="B113" s="609"/>
      <c r="C113" s="969"/>
      <c r="D113" s="2578"/>
      <c r="E113" s="2578"/>
      <c r="F113" s="2506"/>
      <c r="G113" s="2506"/>
      <c r="H113" s="2679"/>
      <c r="I113" s="2679"/>
      <c r="J113" s="2398"/>
      <c r="K113" s="2398"/>
      <c r="L113" s="1973"/>
      <c r="M113" s="1973"/>
      <c r="N113" s="1973"/>
      <c r="O113" s="1973"/>
      <c r="P113" s="1973"/>
      <c r="Q113" s="1973"/>
      <c r="R113" s="1973"/>
      <c r="S113" s="40"/>
      <c r="T113" s="40"/>
      <c r="U113" s="40"/>
      <c r="V113" s="963"/>
      <c r="W113" s="609"/>
      <c r="X113" s="926"/>
      <c r="Y113" s="926"/>
      <c r="Z113" s="926"/>
      <c r="AA113" s="926"/>
      <c r="AB113" s="926"/>
      <c r="AC113" s="926"/>
      <c r="AD113" s="926"/>
      <c r="AE113" s="926"/>
      <c r="AF113" s="926"/>
      <c r="AG113" s="926"/>
      <c r="AH113" s="926"/>
      <c r="AI113" s="926"/>
      <c r="AJ113" s="926"/>
    </row>
    <row r="114" spans="1:36" ht="15" customHeight="1" x14ac:dyDescent="0.3">
      <c r="A114" s="926"/>
      <c r="B114" s="609"/>
      <c r="C114" s="969"/>
      <c r="D114" s="2578" t="s">
        <v>455</v>
      </c>
      <c r="E114" s="2578"/>
      <c r="F114" s="2506">
        <v>10</v>
      </c>
      <c r="G114" s="2506"/>
      <c r="H114" s="2717">
        <f>BG201</f>
        <v>2.564102564102564E-2</v>
      </c>
      <c r="I114" s="2679"/>
      <c r="J114" s="2398" t="str">
        <f>BS201</f>
        <v>Input accepted</v>
      </c>
      <c r="K114" s="2398"/>
      <c r="L114" s="1973"/>
      <c r="M114" s="1973"/>
      <c r="N114" s="1973"/>
      <c r="O114" s="1973"/>
      <c r="P114" s="1973"/>
      <c r="Q114" s="1973"/>
      <c r="R114" s="1973"/>
      <c r="S114" s="40"/>
      <c r="T114" s="40"/>
      <c r="U114" s="40"/>
      <c r="V114" s="963"/>
      <c r="W114" s="609"/>
      <c r="X114" s="926"/>
      <c r="Y114" s="926"/>
      <c r="Z114" s="926"/>
      <c r="AA114" s="926"/>
      <c r="AB114" s="926"/>
      <c r="AC114" s="926"/>
      <c r="AD114" s="926"/>
      <c r="AE114" s="926"/>
      <c r="AF114" s="926"/>
      <c r="AG114" s="926"/>
      <c r="AH114" s="926"/>
      <c r="AI114" s="926"/>
      <c r="AJ114" s="926"/>
    </row>
    <row r="115" spans="1:36" ht="15" customHeight="1" x14ac:dyDescent="0.3">
      <c r="A115" s="926"/>
      <c r="B115" s="609"/>
      <c r="C115" s="969"/>
      <c r="D115" s="2578"/>
      <c r="E115" s="2578"/>
      <c r="F115" s="2506"/>
      <c r="G115" s="2506"/>
      <c r="H115" s="2717"/>
      <c r="I115" s="2679"/>
      <c r="J115" s="2398"/>
      <c r="K115" s="2398"/>
      <c r="L115" s="1973"/>
      <c r="M115" s="1973"/>
      <c r="N115" s="1973"/>
      <c r="O115" s="1973"/>
      <c r="P115" s="1973"/>
      <c r="Q115" s="1973"/>
      <c r="R115" s="1973"/>
      <c r="S115" s="40"/>
      <c r="T115" s="40"/>
      <c r="U115" s="40"/>
      <c r="V115" s="963"/>
      <c r="W115" s="609"/>
      <c r="X115" s="926"/>
      <c r="Y115" s="926"/>
      <c r="Z115" s="926"/>
      <c r="AA115" s="926"/>
      <c r="AB115" s="926"/>
      <c r="AC115" s="926"/>
      <c r="AD115" s="926"/>
      <c r="AE115" s="926"/>
      <c r="AF115" s="926"/>
      <c r="AG115" s="926"/>
      <c r="AH115" s="926"/>
      <c r="AI115" s="926"/>
      <c r="AJ115" s="926"/>
    </row>
    <row r="116" spans="1:36" ht="15" customHeight="1" x14ac:dyDescent="0.3">
      <c r="A116" s="926"/>
      <c r="B116" s="609"/>
      <c r="C116" s="969"/>
      <c r="D116" s="2578"/>
      <c r="E116" s="2578"/>
      <c r="F116" s="2506"/>
      <c r="G116" s="2506"/>
      <c r="H116" s="2679"/>
      <c r="I116" s="2679"/>
      <c r="J116" s="2398"/>
      <c r="K116" s="2398"/>
      <c r="L116" s="1973"/>
      <c r="M116" s="1973"/>
      <c r="N116" s="1973"/>
      <c r="O116" s="1973"/>
      <c r="P116" s="1973"/>
      <c r="Q116" s="1973"/>
      <c r="R116" s="1973"/>
      <c r="S116" s="40"/>
      <c r="T116" s="40"/>
      <c r="U116" s="40"/>
      <c r="V116" s="963"/>
      <c r="W116" s="609"/>
      <c r="X116" s="926"/>
      <c r="Y116" s="926"/>
      <c r="Z116" s="926"/>
      <c r="AA116" s="926"/>
      <c r="AB116" s="926"/>
      <c r="AC116" s="926"/>
      <c r="AD116" s="926"/>
      <c r="AE116" s="926"/>
      <c r="AF116" s="926"/>
      <c r="AG116" s="926"/>
      <c r="AH116" s="926"/>
      <c r="AI116" s="926"/>
      <c r="AJ116" s="926"/>
    </row>
    <row r="117" spans="1:36" ht="15" customHeight="1" x14ac:dyDescent="0.3">
      <c r="A117" s="926"/>
      <c r="B117" s="609"/>
      <c r="C117" s="969"/>
      <c r="D117" s="2680" t="s">
        <v>456</v>
      </c>
      <c r="E117" s="2680"/>
      <c r="F117" s="2506">
        <v>10</v>
      </c>
      <c r="G117" s="2506"/>
      <c r="H117" s="2717">
        <f>BG202</f>
        <v>2.564102564102564E-2</v>
      </c>
      <c r="I117" s="2679"/>
      <c r="J117" s="2398" t="str">
        <f>BS202</f>
        <v>Input accepted</v>
      </c>
      <c r="K117" s="2398"/>
      <c r="L117" s="1973"/>
      <c r="M117" s="1973"/>
      <c r="N117" s="1973"/>
      <c r="O117" s="1973"/>
      <c r="P117" s="1973"/>
      <c r="Q117" s="1973"/>
      <c r="R117" s="1973"/>
      <c r="S117" s="40"/>
      <c r="T117" s="40"/>
      <c r="U117" s="40"/>
      <c r="V117" s="963"/>
      <c r="W117" s="609"/>
      <c r="X117" s="926"/>
      <c r="Y117" s="926"/>
      <c r="Z117" s="926"/>
      <c r="AA117" s="926"/>
      <c r="AB117" s="926"/>
      <c r="AC117" s="926"/>
      <c r="AD117" s="926"/>
      <c r="AE117" s="926"/>
      <c r="AF117" s="926"/>
      <c r="AG117" s="926"/>
      <c r="AH117" s="926"/>
      <c r="AI117" s="926"/>
      <c r="AJ117" s="926"/>
    </row>
    <row r="118" spans="1:36" ht="15" customHeight="1" x14ac:dyDescent="0.3">
      <c r="A118" s="926"/>
      <c r="B118" s="609"/>
      <c r="C118" s="969"/>
      <c r="D118" s="2680"/>
      <c r="E118" s="2680"/>
      <c r="F118" s="2506"/>
      <c r="G118" s="2506"/>
      <c r="H118" s="2717"/>
      <c r="I118" s="2679"/>
      <c r="J118" s="2398"/>
      <c r="K118" s="2398"/>
      <c r="L118" s="1973"/>
      <c r="M118" s="1973"/>
      <c r="N118" s="1973"/>
      <c r="O118" s="1973"/>
      <c r="P118" s="1973"/>
      <c r="Q118" s="1973"/>
      <c r="R118" s="1973"/>
      <c r="S118" s="40"/>
      <c r="T118" s="40"/>
      <c r="U118" s="40"/>
      <c r="V118" s="963"/>
      <c r="W118" s="609"/>
      <c r="X118" s="926"/>
      <c r="Y118" s="926"/>
      <c r="Z118" s="926"/>
      <c r="AA118" s="926"/>
      <c r="AB118" s="926"/>
      <c r="AC118" s="926"/>
      <c r="AD118" s="926"/>
      <c r="AE118" s="926"/>
      <c r="AF118" s="926"/>
      <c r="AG118" s="926"/>
      <c r="AH118" s="926"/>
      <c r="AI118" s="926"/>
      <c r="AJ118" s="926"/>
    </row>
    <row r="119" spans="1:36" ht="15" customHeight="1" x14ac:dyDescent="0.3">
      <c r="A119" s="926"/>
      <c r="B119" s="609"/>
      <c r="C119" s="969"/>
      <c r="D119" s="2680"/>
      <c r="E119" s="2680"/>
      <c r="F119" s="2506"/>
      <c r="G119" s="2506"/>
      <c r="H119" s="2679"/>
      <c r="I119" s="2679"/>
      <c r="J119" s="2398"/>
      <c r="K119" s="2398"/>
      <c r="L119" s="1973"/>
      <c r="M119" s="1973"/>
      <c r="N119" s="1973"/>
      <c r="O119" s="1973"/>
      <c r="P119" s="1973"/>
      <c r="Q119" s="1973"/>
      <c r="R119" s="1973"/>
      <c r="S119" s="40"/>
      <c r="T119" s="40"/>
      <c r="U119" s="40"/>
      <c r="V119" s="963"/>
      <c r="W119" s="609"/>
      <c r="X119" s="926"/>
      <c r="Y119" s="926"/>
      <c r="Z119" s="926"/>
      <c r="AA119" s="926"/>
      <c r="AB119" s="926"/>
      <c r="AC119" s="926"/>
      <c r="AD119" s="926"/>
      <c r="AE119" s="926"/>
      <c r="AF119" s="926"/>
      <c r="AG119" s="926"/>
      <c r="AH119" s="926"/>
      <c r="AI119" s="926"/>
      <c r="AJ119" s="926"/>
    </row>
    <row r="120" spans="1:36" ht="15" customHeight="1" x14ac:dyDescent="0.3">
      <c r="A120" s="926"/>
      <c r="B120" s="609"/>
      <c r="C120" s="969"/>
      <c r="D120" s="2616" t="s">
        <v>457</v>
      </c>
      <c r="E120" s="2616"/>
      <c r="F120" s="2506">
        <v>10</v>
      </c>
      <c r="G120" s="2506"/>
      <c r="H120" s="2717">
        <f>BG203</f>
        <v>2.564102564102564E-2</v>
      </c>
      <c r="I120" s="2679"/>
      <c r="J120" s="2398" t="str">
        <f>BS203</f>
        <v>Input accepted</v>
      </c>
      <c r="K120" s="2398"/>
      <c r="L120" s="1973"/>
      <c r="M120" s="1973"/>
      <c r="N120" s="1973"/>
      <c r="O120" s="1973"/>
      <c r="P120" s="1973"/>
      <c r="Q120" s="1973"/>
      <c r="R120" s="1973"/>
      <c r="S120" s="40"/>
      <c r="T120" s="40"/>
      <c r="U120" s="40"/>
      <c r="V120" s="963"/>
      <c r="W120" s="609"/>
      <c r="X120" s="926"/>
      <c r="Y120" s="926"/>
      <c r="Z120" s="926"/>
      <c r="AA120" s="926"/>
      <c r="AB120" s="926"/>
      <c r="AC120" s="926"/>
      <c r="AD120" s="926"/>
      <c r="AE120" s="926"/>
      <c r="AF120" s="926"/>
      <c r="AG120" s="926"/>
      <c r="AH120" s="926"/>
      <c r="AI120" s="926"/>
      <c r="AJ120" s="926"/>
    </row>
    <row r="121" spans="1:36" ht="15" customHeight="1" x14ac:dyDescent="0.3">
      <c r="A121" s="926"/>
      <c r="B121" s="609"/>
      <c r="C121" s="969"/>
      <c r="D121" s="2616"/>
      <c r="E121" s="2616"/>
      <c r="F121" s="2506"/>
      <c r="G121" s="2506"/>
      <c r="H121" s="2717"/>
      <c r="I121" s="2679"/>
      <c r="J121" s="2398"/>
      <c r="K121" s="2398"/>
      <c r="L121" s="1973"/>
      <c r="M121" s="1973"/>
      <c r="N121" s="1973"/>
      <c r="O121" s="1973"/>
      <c r="P121" s="1973"/>
      <c r="Q121" s="1973"/>
      <c r="R121" s="1973"/>
      <c r="S121" s="40"/>
      <c r="T121" s="40"/>
      <c r="U121" s="40"/>
      <c r="V121" s="963"/>
      <c r="W121" s="609"/>
      <c r="X121" s="926"/>
      <c r="Y121" s="926"/>
      <c r="Z121" s="926"/>
      <c r="AA121" s="926"/>
      <c r="AB121" s="926"/>
      <c r="AC121" s="926"/>
      <c r="AD121" s="926"/>
      <c r="AE121" s="926"/>
      <c r="AF121" s="926"/>
      <c r="AG121" s="926"/>
      <c r="AH121" s="926"/>
      <c r="AI121" s="926"/>
      <c r="AJ121" s="926"/>
    </row>
    <row r="122" spans="1:36" ht="15" customHeight="1" x14ac:dyDescent="0.3">
      <c r="A122" s="926"/>
      <c r="B122" s="609"/>
      <c r="C122" s="969"/>
      <c r="D122" s="2616"/>
      <c r="E122" s="2616"/>
      <c r="F122" s="2506"/>
      <c r="G122" s="2506"/>
      <c r="H122" s="2679"/>
      <c r="I122" s="2679"/>
      <c r="J122" s="2398"/>
      <c r="K122" s="2398"/>
      <c r="L122" s="1973"/>
      <c r="M122" s="1973"/>
      <c r="N122" s="1973"/>
      <c r="O122" s="1973"/>
      <c r="P122" s="1973"/>
      <c r="Q122" s="1973"/>
      <c r="R122" s="1973"/>
      <c r="S122" s="40"/>
      <c r="T122" s="40"/>
      <c r="U122" s="40"/>
      <c r="V122" s="963"/>
      <c r="W122" s="609"/>
      <c r="X122" s="926"/>
      <c r="Y122" s="926"/>
      <c r="Z122" s="926"/>
      <c r="AA122" s="926"/>
      <c r="AB122" s="926"/>
      <c r="AC122" s="926"/>
      <c r="AD122" s="926"/>
      <c r="AE122" s="926"/>
      <c r="AF122" s="926"/>
      <c r="AG122" s="926"/>
      <c r="AH122" s="926"/>
      <c r="AI122" s="926"/>
      <c r="AJ122" s="926"/>
    </row>
    <row r="123" spans="1:36" ht="15" customHeight="1" x14ac:dyDescent="0.3">
      <c r="A123" s="926"/>
      <c r="B123" s="609"/>
      <c r="C123" s="969"/>
      <c r="D123" s="2616" t="s">
        <v>458</v>
      </c>
      <c r="E123" s="2616"/>
      <c r="F123" s="2506">
        <v>10</v>
      </c>
      <c r="G123" s="2506"/>
      <c r="H123" s="2717">
        <f>BG204</f>
        <v>2.564102564102564E-2</v>
      </c>
      <c r="I123" s="2679"/>
      <c r="J123" s="2398" t="str">
        <f>BS204</f>
        <v>Input accepted</v>
      </c>
      <c r="K123" s="2398"/>
      <c r="L123" s="1973"/>
      <c r="M123" s="1973"/>
      <c r="N123" s="1973"/>
      <c r="O123" s="1973"/>
      <c r="P123" s="1973"/>
      <c r="Q123" s="1973"/>
      <c r="R123" s="1973"/>
      <c r="S123" s="40"/>
      <c r="T123" s="40"/>
      <c r="U123" s="40"/>
      <c r="V123" s="963"/>
      <c r="W123" s="609"/>
      <c r="X123" s="926"/>
      <c r="Y123" s="926"/>
      <c r="Z123" s="926"/>
      <c r="AA123" s="926"/>
      <c r="AB123" s="926"/>
      <c r="AC123" s="926"/>
      <c r="AD123" s="926"/>
      <c r="AE123" s="926"/>
      <c r="AF123" s="926"/>
      <c r="AG123" s="926"/>
      <c r="AH123" s="926"/>
      <c r="AI123" s="926"/>
      <c r="AJ123" s="926"/>
    </row>
    <row r="124" spans="1:36" ht="15" customHeight="1" x14ac:dyDescent="0.3">
      <c r="A124" s="926"/>
      <c r="B124" s="609"/>
      <c r="C124" s="969"/>
      <c r="D124" s="2616"/>
      <c r="E124" s="2616"/>
      <c r="F124" s="2506"/>
      <c r="G124" s="2506"/>
      <c r="H124" s="2717"/>
      <c r="I124" s="2679"/>
      <c r="J124" s="2398"/>
      <c r="K124" s="2398"/>
      <c r="L124" s="1973"/>
      <c r="M124" s="1973"/>
      <c r="N124" s="1973"/>
      <c r="O124" s="1973"/>
      <c r="P124" s="1973"/>
      <c r="Q124" s="1973"/>
      <c r="R124" s="1973"/>
      <c r="S124" s="40"/>
      <c r="T124" s="40"/>
      <c r="U124" s="40"/>
      <c r="V124" s="963"/>
      <c r="W124" s="609"/>
      <c r="X124" s="926"/>
      <c r="Y124" s="926"/>
      <c r="Z124" s="926"/>
      <c r="AA124" s="926"/>
      <c r="AB124" s="926"/>
      <c r="AC124" s="926"/>
      <c r="AD124" s="926"/>
      <c r="AE124" s="926"/>
      <c r="AF124" s="926"/>
      <c r="AG124" s="926"/>
      <c r="AH124" s="926"/>
      <c r="AI124" s="926"/>
      <c r="AJ124" s="926"/>
    </row>
    <row r="125" spans="1:36" ht="15" customHeight="1" x14ac:dyDescent="0.3">
      <c r="A125" s="926"/>
      <c r="B125" s="609"/>
      <c r="C125" s="969"/>
      <c r="D125" s="2616"/>
      <c r="E125" s="2616"/>
      <c r="F125" s="2506"/>
      <c r="G125" s="2506"/>
      <c r="H125" s="2679"/>
      <c r="I125" s="2679"/>
      <c r="J125" s="2398"/>
      <c r="K125" s="2398"/>
      <c r="L125" s="1973"/>
      <c r="M125" s="1973"/>
      <c r="N125" s="1973"/>
      <c r="O125" s="1973"/>
      <c r="P125" s="1973"/>
      <c r="Q125" s="1973"/>
      <c r="R125" s="1973"/>
      <c r="S125" s="40"/>
      <c r="T125" s="40"/>
      <c r="U125" s="40"/>
      <c r="V125" s="963"/>
      <c r="W125" s="609"/>
      <c r="X125" s="926"/>
      <c r="Y125" s="926"/>
      <c r="Z125" s="926"/>
      <c r="AA125" s="926"/>
      <c r="AB125" s="926"/>
      <c r="AC125" s="926"/>
      <c r="AD125" s="926"/>
      <c r="AE125" s="926"/>
      <c r="AF125" s="926"/>
      <c r="AG125" s="926"/>
      <c r="AH125" s="926"/>
      <c r="AI125" s="926"/>
      <c r="AJ125" s="926"/>
    </row>
    <row r="126" spans="1:36" ht="15" customHeight="1" thickBot="1" x14ac:dyDescent="0.35">
      <c r="A126" s="926"/>
      <c r="B126" s="609"/>
      <c r="C126" s="969"/>
      <c r="D126" s="40"/>
      <c r="E126" s="40"/>
      <c r="F126" s="40"/>
      <c r="G126" s="40"/>
      <c r="H126" s="40"/>
      <c r="I126" s="40"/>
      <c r="J126" s="40"/>
      <c r="K126" s="40"/>
      <c r="L126" s="1973"/>
      <c r="M126" s="1973"/>
      <c r="N126" s="1973"/>
      <c r="O126" s="1973"/>
      <c r="P126" s="1973"/>
      <c r="Q126" s="1973"/>
      <c r="R126" s="1973"/>
      <c r="S126" s="40"/>
      <c r="T126" s="40"/>
      <c r="U126" s="40"/>
      <c r="V126" s="963"/>
      <c r="W126" s="609"/>
      <c r="X126" s="926"/>
      <c r="Y126" s="926"/>
      <c r="Z126" s="926"/>
      <c r="AA126" s="926"/>
      <c r="AB126" s="926"/>
      <c r="AC126" s="926"/>
      <c r="AD126" s="926"/>
      <c r="AE126" s="926"/>
      <c r="AF126" s="926"/>
      <c r="AG126" s="926"/>
      <c r="AH126" s="926"/>
      <c r="AI126" s="926"/>
      <c r="AJ126" s="926"/>
    </row>
    <row r="127" spans="1:36" ht="15" customHeight="1" thickBot="1" x14ac:dyDescent="0.35">
      <c r="A127" s="926"/>
      <c r="B127" s="609"/>
      <c r="C127" s="969"/>
      <c r="D127" s="40"/>
      <c r="E127" s="40"/>
      <c r="F127" s="40"/>
      <c r="G127" s="40"/>
      <c r="H127" s="40"/>
      <c r="I127" s="40"/>
      <c r="J127" s="40"/>
      <c r="K127" s="40"/>
      <c r="L127" s="1973"/>
      <c r="M127" s="1776" t="s">
        <v>459</v>
      </c>
      <c r="N127" s="2682" t="s">
        <v>460</v>
      </c>
      <c r="O127" s="2683"/>
      <c r="P127" s="2683"/>
      <c r="Q127" s="2683"/>
      <c r="R127" s="2683"/>
      <c r="S127" s="2683"/>
      <c r="T127" s="2684"/>
      <c r="U127" s="1975"/>
      <c r="V127" s="963"/>
      <c r="W127" s="609"/>
      <c r="X127" s="926"/>
      <c r="Y127" s="926"/>
      <c r="Z127" s="926"/>
      <c r="AA127" s="926"/>
      <c r="AB127" s="926"/>
      <c r="AC127" s="926"/>
      <c r="AD127" s="926"/>
      <c r="AE127" s="926"/>
      <c r="AF127" s="926"/>
      <c r="AG127" s="926"/>
      <c r="AH127" s="926"/>
      <c r="AI127" s="926"/>
      <c r="AJ127" s="926"/>
    </row>
    <row r="128" spans="1:36" ht="15" customHeight="1" x14ac:dyDescent="0.3">
      <c r="A128" s="926"/>
      <c r="B128" s="609"/>
      <c r="C128" s="969"/>
      <c r="D128" s="40"/>
      <c r="E128" s="40"/>
      <c r="F128" s="40"/>
      <c r="G128" s="40"/>
      <c r="H128" s="40"/>
      <c r="I128" s="40"/>
      <c r="J128" s="40"/>
      <c r="K128" s="40"/>
      <c r="L128" s="1973"/>
      <c r="M128" s="2685">
        <v>1</v>
      </c>
      <c r="N128" s="2687" t="str">
        <f ca="1">INDEX(SC.Table.True_ID,MATCH(M128,SC.Table.Rank,0))</f>
        <v>Deep pit, tanker</v>
      </c>
      <c r="O128" s="2688"/>
      <c r="P128" s="2688"/>
      <c r="Q128" s="2688"/>
      <c r="R128" s="2688"/>
      <c r="S128" s="2688"/>
      <c r="T128" s="2689"/>
      <c r="U128" s="1773"/>
      <c r="V128" s="963"/>
      <c r="W128" s="609"/>
      <c r="X128" s="926"/>
      <c r="Y128" s="926"/>
      <c r="Z128" s="926"/>
      <c r="AA128" s="926"/>
      <c r="AB128" s="926"/>
      <c r="AC128" s="926"/>
      <c r="AD128" s="926"/>
      <c r="AE128" s="926"/>
      <c r="AF128" s="926"/>
      <c r="AG128" s="926"/>
      <c r="AH128" s="926"/>
      <c r="AI128" s="926"/>
      <c r="AJ128" s="926"/>
    </row>
    <row r="129" spans="1:36" ht="15" customHeight="1" x14ac:dyDescent="0.3">
      <c r="A129" s="926"/>
      <c r="B129" s="609"/>
      <c r="C129" s="969"/>
      <c r="D129" s="40"/>
      <c r="E129" s="40"/>
      <c r="F129" s="40"/>
      <c r="G129" s="40"/>
      <c r="H129" s="40"/>
      <c r="I129" s="40"/>
      <c r="J129" s="40"/>
      <c r="K129" s="40"/>
      <c r="L129" s="1973"/>
      <c r="M129" s="2686"/>
      <c r="N129" s="2690"/>
      <c r="O129" s="2691"/>
      <c r="P129" s="2691"/>
      <c r="Q129" s="2691"/>
      <c r="R129" s="2691"/>
      <c r="S129" s="2691"/>
      <c r="T129" s="2692"/>
      <c r="U129" s="1773"/>
      <c r="V129" s="963"/>
      <c r="W129" s="609"/>
      <c r="X129" s="926"/>
      <c r="Y129" s="926"/>
      <c r="Z129" s="926"/>
      <c r="AA129" s="926"/>
      <c r="AB129" s="926"/>
      <c r="AC129" s="926"/>
      <c r="AD129" s="926"/>
      <c r="AE129" s="926"/>
      <c r="AF129" s="926"/>
      <c r="AG129" s="926"/>
      <c r="AH129" s="926"/>
      <c r="AI129" s="926"/>
      <c r="AJ129" s="926"/>
    </row>
    <row r="130" spans="1:36" ht="15" customHeight="1" x14ac:dyDescent="0.3">
      <c r="A130" s="926"/>
      <c r="B130" s="609"/>
      <c r="C130" s="969"/>
      <c r="D130" s="2718" t="s">
        <v>461</v>
      </c>
      <c r="E130" s="2718"/>
      <c r="F130" s="2718"/>
      <c r="G130" s="2718"/>
      <c r="H130" s="2718"/>
      <c r="I130" s="2718"/>
      <c r="J130" s="2718"/>
      <c r="K130" s="2718"/>
      <c r="L130" s="1973"/>
      <c r="M130" s="2686">
        <v>2</v>
      </c>
      <c r="N130" s="2687" t="str">
        <f ca="1">INDEX(SC.Table.True_ID,MATCH(M130,SC.Table.Rank,0))</f>
        <v>Deep pit, aeration, tanker</v>
      </c>
      <c r="O130" s="2688"/>
      <c r="P130" s="2688"/>
      <c r="Q130" s="2688"/>
      <c r="R130" s="2688"/>
      <c r="S130" s="2688"/>
      <c r="T130" s="2689"/>
      <c r="U130" s="1773"/>
      <c r="V130" s="963"/>
      <c r="W130" s="609"/>
      <c r="X130" s="926"/>
      <c r="Y130" s="926"/>
      <c r="Z130" s="926"/>
      <c r="AA130" s="926"/>
      <c r="AB130" s="926"/>
      <c r="AC130" s="926"/>
      <c r="AD130" s="926"/>
      <c r="AE130" s="926"/>
      <c r="AF130" s="926"/>
      <c r="AG130" s="926"/>
      <c r="AH130" s="926"/>
      <c r="AI130" s="926"/>
      <c r="AJ130" s="926"/>
    </row>
    <row r="131" spans="1:36" ht="15" customHeight="1" x14ac:dyDescent="0.3">
      <c r="A131" s="926"/>
      <c r="B131" s="609"/>
      <c r="C131" s="969"/>
      <c r="D131" s="2718"/>
      <c r="E131" s="2718"/>
      <c r="F131" s="2718"/>
      <c r="G131" s="2718"/>
      <c r="H131" s="2718"/>
      <c r="I131" s="2718"/>
      <c r="J131" s="2718"/>
      <c r="K131" s="2718"/>
      <c r="L131" s="1973"/>
      <c r="M131" s="2686"/>
      <c r="N131" s="2690"/>
      <c r="O131" s="2691"/>
      <c r="P131" s="2691"/>
      <c r="Q131" s="2691"/>
      <c r="R131" s="2691"/>
      <c r="S131" s="2691"/>
      <c r="T131" s="2692"/>
      <c r="U131" s="1773"/>
      <c r="V131" s="963"/>
      <c r="W131" s="609"/>
      <c r="X131" s="926"/>
      <c r="Y131" s="926"/>
      <c r="Z131" s="926"/>
      <c r="AA131" s="926"/>
      <c r="AB131" s="926"/>
      <c r="AC131" s="926"/>
      <c r="AD131" s="926"/>
      <c r="AE131" s="926"/>
      <c r="AF131" s="926"/>
      <c r="AG131" s="926"/>
      <c r="AH131" s="926"/>
      <c r="AI131" s="926"/>
      <c r="AJ131" s="926"/>
    </row>
    <row r="132" spans="1:36" ht="15" customHeight="1" x14ac:dyDescent="0.3">
      <c r="A132" s="926"/>
      <c r="B132" s="609"/>
      <c r="C132" s="969"/>
      <c r="D132" s="2718"/>
      <c r="E132" s="2718"/>
      <c r="F132" s="2718"/>
      <c r="G132" s="2718"/>
      <c r="H132" s="2718"/>
      <c r="I132" s="2718"/>
      <c r="J132" s="2718"/>
      <c r="K132" s="2718"/>
      <c r="L132" s="1973"/>
      <c r="M132" s="2686">
        <v>3</v>
      </c>
      <c r="N132" s="2687" t="str">
        <f ca="1">INDEX(SC.Table.True_ID,MATCH(M132,SC.Table.Rank,0))</f>
        <v>Deep pit, drag hose</v>
      </c>
      <c r="O132" s="2688"/>
      <c r="P132" s="2688"/>
      <c r="Q132" s="2688"/>
      <c r="R132" s="2688"/>
      <c r="S132" s="2688"/>
      <c r="T132" s="2689"/>
      <c r="U132" s="1773"/>
      <c r="V132" s="963"/>
      <c r="W132" s="609"/>
      <c r="X132" s="926"/>
      <c r="Y132" s="926"/>
      <c r="Z132" s="926"/>
      <c r="AA132" s="926"/>
      <c r="AB132" s="926"/>
      <c r="AC132" s="926"/>
      <c r="AD132" s="926"/>
      <c r="AE132" s="926"/>
      <c r="AF132" s="926"/>
      <c r="AG132" s="926"/>
      <c r="AH132" s="926"/>
      <c r="AI132" s="926"/>
      <c r="AJ132" s="926"/>
    </row>
    <row r="133" spans="1:36" ht="15" customHeight="1" x14ac:dyDescent="0.3">
      <c r="A133" s="926"/>
      <c r="B133" s="609"/>
      <c r="C133" s="969"/>
      <c r="D133" s="2718"/>
      <c r="E133" s="2718"/>
      <c r="F133" s="2718"/>
      <c r="G133" s="2718"/>
      <c r="H133" s="2718"/>
      <c r="I133" s="2718"/>
      <c r="J133" s="2718"/>
      <c r="K133" s="2718"/>
      <c r="L133" s="1973"/>
      <c r="M133" s="2686"/>
      <c r="N133" s="2690"/>
      <c r="O133" s="2691"/>
      <c r="P133" s="2691"/>
      <c r="Q133" s="2691"/>
      <c r="R133" s="2691"/>
      <c r="S133" s="2691"/>
      <c r="T133" s="2692"/>
      <c r="U133" s="1773"/>
      <c r="V133" s="963"/>
      <c r="W133" s="609"/>
      <c r="X133" s="926"/>
      <c r="Y133" s="926"/>
      <c r="Z133" s="926"/>
      <c r="AA133" s="926"/>
      <c r="AB133" s="926"/>
      <c r="AC133" s="926"/>
      <c r="AD133" s="926"/>
      <c r="AE133" s="926"/>
      <c r="AF133" s="926"/>
      <c r="AG133" s="926"/>
      <c r="AH133" s="926"/>
      <c r="AI133" s="926"/>
      <c r="AJ133" s="926"/>
    </row>
    <row r="134" spans="1:36" ht="15" customHeight="1" x14ac:dyDescent="0.3">
      <c r="A134" s="926"/>
      <c r="B134" s="609"/>
      <c r="C134" s="969"/>
      <c r="D134" s="2718"/>
      <c r="E134" s="2718"/>
      <c r="F134" s="2718"/>
      <c r="G134" s="2718"/>
      <c r="H134" s="2718"/>
      <c r="I134" s="2718"/>
      <c r="J134" s="2718"/>
      <c r="K134" s="2718"/>
      <c r="L134" s="1973"/>
      <c r="M134" s="2686">
        <v>4</v>
      </c>
      <c r="N134" s="2687" t="str">
        <f ca="1">INDEX(SC.Table.True_ID,MATCH(M134,SC.Table.Rank,0))</f>
        <v>Deep pit, aeration, drag hose</v>
      </c>
      <c r="O134" s="2688"/>
      <c r="P134" s="2688"/>
      <c r="Q134" s="2688"/>
      <c r="R134" s="2688"/>
      <c r="S134" s="2688"/>
      <c r="T134" s="2689"/>
      <c r="U134" s="1773"/>
      <c r="V134" s="963"/>
      <c r="W134" s="609"/>
      <c r="X134" s="926"/>
      <c r="Y134" s="926"/>
      <c r="Z134" s="926"/>
      <c r="AA134" s="926"/>
      <c r="AB134" s="926"/>
      <c r="AC134" s="926"/>
      <c r="AD134" s="926"/>
      <c r="AE134" s="926"/>
      <c r="AF134" s="926"/>
      <c r="AG134" s="926"/>
      <c r="AH134" s="926"/>
      <c r="AI134" s="926"/>
      <c r="AJ134" s="926"/>
    </row>
    <row r="135" spans="1:36" ht="15" customHeight="1" x14ac:dyDescent="0.3">
      <c r="A135" s="926"/>
      <c r="B135" s="609"/>
      <c r="C135" s="969"/>
      <c r="D135" s="2718"/>
      <c r="E135" s="2718"/>
      <c r="F135" s="2718"/>
      <c r="G135" s="2718"/>
      <c r="H135" s="2718"/>
      <c r="I135" s="2718"/>
      <c r="J135" s="2718"/>
      <c r="K135" s="2718"/>
      <c r="L135" s="1973"/>
      <c r="M135" s="2686"/>
      <c r="N135" s="2690"/>
      <c r="O135" s="2691"/>
      <c r="P135" s="2691"/>
      <c r="Q135" s="2691"/>
      <c r="R135" s="2691"/>
      <c r="S135" s="2691"/>
      <c r="T135" s="2692"/>
      <c r="U135" s="1773"/>
      <c r="V135" s="963"/>
      <c r="W135" s="609"/>
      <c r="X135" s="926"/>
      <c r="Y135" s="926"/>
      <c r="Z135" s="926"/>
      <c r="AA135" s="926"/>
      <c r="AB135" s="926"/>
      <c r="AC135" s="926"/>
      <c r="AD135" s="926"/>
      <c r="AE135" s="926"/>
      <c r="AF135" s="926"/>
      <c r="AG135" s="926"/>
      <c r="AH135" s="926"/>
      <c r="AI135" s="926"/>
      <c r="AJ135" s="926"/>
    </row>
    <row r="136" spans="1:36" ht="15" customHeight="1" x14ac:dyDescent="0.3">
      <c r="A136" s="926"/>
      <c r="B136" s="609"/>
      <c r="C136" s="969"/>
      <c r="D136" s="2718"/>
      <c r="E136" s="2718"/>
      <c r="F136" s="2718"/>
      <c r="G136" s="2718"/>
      <c r="H136" s="2718"/>
      <c r="I136" s="2718"/>
      <c r="J136" s="2718"/>
      <c r="K136" s="2718"/>
      <c r="L136" s="1973"/>
      <c r="M136" s="2686">
        <v>5</v>
      </c>
      <c r="N136" s="2687" t="str">
        <f ca="1">INDEX(SC.Table.True_ID,MATCH(M136,SC.Table.Rank,0))</f>
        <v>Shallow pit, scrape auto, lagoon, irrigation + tanker</v>
      </c>
      <c r="O136" s="2688"/>
      <c r="P136" s="2688"/>
      <c r="Q136" s="2688"/>
      <c r="R136" s="2688"/>
      <c r="S136" s="2688"/>
      <c r="T136" s="2689"/>
      <c r="U136" s="1773"/>
      <c r="V136" s="963"/>
      <c r="W136" s="609"/>
      <c r="X136" s="926"/>
      <c r="Y136" s="926"/>
      <c r="Z136" s="926"/>
      <c r="AA136" s="926"/>
      <c r="AB136" s="926"/>
      <c r="AC136" s="926"/>
      <c r="AD136" s="926"/>
      <c r="AE136" s="926"/>
      <c r="AF136" s="926"/>
      <c r="AG136" s="926"/>
      <c r="AH136" s="926"/>
      <c r="AI136" s="926"/>
      <c r="AJ136" s="926"/>
    </row>
    <row r="137" spans="1:36" ht="15" customHeight="1" x14ac:dyDescent="0.3">
      <c r="A137" s="926"/>
      <c r="B137" s="609"/>
      <c r="C137" s="969"/>
      <c r="D137" s="2718"/>
      <c r="E137" s="2718"/>
      <c r="F137" s="2718"/>
      <c r="G137" s="2718"/>
      <c r="H137" s="2718"/>
      <c r="I137" s="2718"/>
      <c r="J137" s="2718"/>
      <c r="K137" s="2718"/>
      <c r="L137" s="1973"/>
      <c r="M137" s="2686"/>
      <c r="N137" s="2690"/>
      <c r="O137" s="2691"/>
      <c r="P137" s="2691"/>
      <c r="Q137" s="2691"/>
      <c r="R137" s="2691"/>
      <c r="S137" s="2691"/>
      <c r="T137" s="2692"/>
      <c r="U137" s="1773"/>
      <c r="V137" s="963"/>
      <c r="W137" s="609"/>
      <c r="X137" s="926"/>
      <c r="Y137" s="926"/>
      <c r="Z137" s="926"/>
      <c r="AA137" s="926"/>
      <c r="AB137" s="926"/>
      <c r="AC137" s="926"/>
      <c r="AD137" s="926"/>
      <c r="AE137" s="926"/>
      <c r="AF137" s="926"/>
      <c r="AG137" s="926"/>
      <c r="AH137" s="926"/>
      <c r="AI137" s="926"/>
      <c r="AJ137" s="926"/>
    </row>
    <row r="138" spans="1:36" ht="15" customHeight="1" x14ac:dyDescent="0.3">
      <c r="A138" s="926"/>
      <c r="B138" s="609"/>
      <c r="C138" s="969"/>
      <c r="D138" s="1976"/>
      <c r="E138" s="1976"/>
      <c r="F138" s="1976"/>
      <c r="G138" s="1976"/>
      <c r="H138" s="1976"/>
      <c r="I138" s="1976"/>
      <c r="J138" s="1976"/>
      <c r="K138" s="1976"/>
      <c r="L138" s="1973"/>
      <c r="M138" s="2686">
        <v>6</v>
      </c>
      <c r="N138" s="2687" t="str">
        <f ca="1">INDEX(SC.Table.True_ID,MATCH(M138,SC.Table.Rank,0))</f>
        <v>Shallow pit, flush, lagoon, irrigation + tanker</v>
      </c>
      <c r="O138" s="2688"/>
      <c r="P138" s="2688"/>
      <c r="Q138" s="2688"/>
      <c r="R138" s="2688"/>
      <c r="S138" s="2688"/>
      <c r="T138" s="2689"/>
      <c r="U138" s="1773"/>
      <c r="V138" s="963"/>
      <c r="W138" s="609"/>
      <c r="X138" s="926"/>
      <c r="Y138" s="926"/>
      <c r="Z138" s="926"/>
      <c r="AA138" s="926"/>
      <c r="AB138" s="926"/>
      <c r="AC138" s="926"/>
      <c r="AD138" s="926"/>
      <c r="AE138" s="926"/>
      <c r="AF138" s="926"/>
      <c r="AG138" s="926"/>
      <c r="AH138" s="926"/>
      <c r="AI138" s="926"/>
      <c r="AJ138" s="926"/>
    </row>
    <row r="139" spans="1:36" ht="15" customHeight="1" x14ac:dyDescent="0.3">
      <c r="A139" s="926"/>
      <c r="B139" s="609"/>
      <c r="C139" s="969"/>
      <c r="D139" s="2718" t="str">
        <f>BQ211</f>
        <v>You have answered all of the questions for this page. Press the "Next Page" button to move to the scenario choices page, where you can choose specific scenarios to display in the results.</v>
      </c>
      <c r="E139" s="2718"/>
      <c r="F139" s="2718"/>
      <c r="G139" s="2718"/>
      <c r="H139" s="2718"/>
      <c r="I139" s="2718"/>
      <c r="J139" s="2718"/>
      <c r="K139" s="2718"/>
      <c r="L139" s="1973"/>
      <c r="M139" s="2686"/>
      <c r="N139" s="2690"/>
      <c r="O139" s="2691"/>
      <c r="P139" s="2691"/>
      <c r="Q139" s="2691"/>
      <c r="R139" s="2691"/>
      <c r="S139" s="2691"/>
      <c r="T139" s="2692"/>
      <c r="U139" s="1773"/>
      <c r="V139" s="963"/>
      <c r="W139" s="609"/>
      <c r="X139" s="926"/>
      <c r="Y139" s="926"/>
      <c r="Z139" s="926"/>
      <c r="AA139" s="926"/>
      <c r="AB139" s="926"/>
      <c r="AC139" s="926"/>
      <c r="AD139" s="926"/>
      <c r="AE139" s="926"/>
      <c r="AF139" s="926"/>
      <c r="AG139" s="926"/>
      <c r="AH139" s="926"/>
      <c r="AI139" s="926"/>
      <c r="AJ139" s="926"/>
    </row>
    <row r="140" spans="1:36" ht="15" customHeight="1" x14ac:dyDescent="0.3">
      <c r="A140" s="926"/>
      <c r="B140" s="609"/>
      <c r="C140" s="969"/>
      <c r="D140" s="2718"/>
      <c r="E140" s="2718"/>
      <c r="F140" s="2718"/>
      <c r="G140" s="2718"/>
      <c r="H140" s="2718"/>
      <c r="I140" s="2718"/>
      <c r="J140" s="2718"/>
      <c r="K140" s="2718"/>
      <c r="L140" s="1973"/>
      <c r="M140" s="2686">
        <v>7</v>
      </c>
      <c r="N140" s="2687" t="str">
        <f ca="1">INDEX(SC.Table.True_ID,MATCH(M140,SC.Table.Rank,0))</f>
        <v>Shallow pit, scrape auto, above ground storage tank, tanker</v>
      </c>
      <c r="O140" s="2688"/>
      <c r="P140" s="2688"/>
      <c r="Q140" s="2688"/>
      <c r="R140" s="2688"/>
      <c r="S140" s="2688"/>
      <c r="T140" s="2689"/>
      <c r="U140" s="1773"/>
      <c r="V140" s="963"/>
      <c r="W140" s="609"/>
      <c r="X140" s="926"/>
      <c r="Y140" s="926"/>
      <c r="Z140" s="926"/>
      <c r="AA140" s="926"/>
      <c r="AB140" s="926"/>
      <c r="AC140" s="926"/>
      <c r="AD140" s="926"/>
      <c r="AE140" s="926"/>
      <c r="AF140" s="926"/>
      <c r="AG140" s="926"/>
      <c r="AH140" s="926"/>
      <c r="AI140" s="926"/>
      <c r="AJ140" s="926"/>
    </row>
    <row r="141" spans="1:36" ht="15" customHeight="1" x14ac:dyDescent="0.3">
      <c r="A141" s="926"/>
      <c r="B141" s="609"/>
      <c r="C141" s="969"/>
      <c r="D141" s="2718"/>
      <c r="E141" s="2718"/>
      <c r="F141" s="2718"/>
      <c r="G141" s="2718"/>
      <c r="H141" s="2718"/>
      <c r="I141" s="2718"/>
      <c r="J141" s="2718"/>
      <c r="K141" s="2718"/>
      <c r="L141" s="1973"/>
      <c r="M141" s="2686"/>
      <c r="N141" s="2690"/>
      <c r="O141" s="2691"/>
      <c r="P141" s="2691"/>
      <c r="Q141" s="2691"/>
      <c r="R141" s="2691"/>
      <c r="S141" s="2691"/>
      <c r="T141" s="2692"/>
      <c r="U141" s="1773"/>
      <c r="V141" s="963"/>
      <c r="W141" s="609"/>
      <c r="X141" s="926"/>
      <c r="Y141" s="926"/>
      <c r="Z141" s="926"/>
      <c r="AA141" s="926"/>
      <c r="AB141" s="926"/>
      <c r="AC141" s="926"/>
      <c r="AD141" s="926"/>
      <c r="AE141" s="926"/>
      <c r="AF141" s="926"/>
      <c r="AG141" s="926"/>
      <c r="AH141" s="926"/>
      <c r="AI141" s="926"/>
      <c r="AJ141" s="926"/>
    </row>
    <row r="142" spans="1:36" ht="15" customHeight="1" x14ac:dyDescent="0.3">
      <c r="A142" s="926"/>
      <c r="B142" s="609"/>
      <c r="C142" s="969"/>
      <c r="D142" s="2718"/>
      <c r="E142" s="2718"/>
      <c r="F142" s="2718"/>
      <c r="G142" s="2718"/>
      <c r="H142" s="2718"/>
      <c r="I142" s="2718"/>
      <c r="J142" s="2718"/>
      <c r="K142" s="2718"/>
      <c r="L142" s="1973"/>
      <c r="M142" s="2686">
        <v>8</v>
      </c>
      <c r="N142" s="2687" t="str">
        <f ca="1">INDEX(SC.Table.True_ID,MATCH(M142,SC.Table.Rank,0))</f>
        <v>Shallow pit, scrape auto, slope screen, lagoon, irrigation + tanker</v>
      </c>
      <c r="O142" s="2688"/>
      <c r="P142" s="2688"/>
      <c r="Q142" s="2688"/>
      <c r="R142" s="2688"/>
      <c r="S142" s="2688"/>
      <c r="T142" s="2689"/>
      <c r="U142" s="1773"/>
      <c r="V142" s="963"/>
      <c r="W142" s="609"/>
      <c r="X142" s="926"/>
      <c r="Y142" s="926"/>
      <c r="Z142" s="926"/>
      <c r="AA142" s="926"/>
      <c r="AB142" s="926"/>
      <c r="AC142" s="926"/>
      <c r="AD142" s="926"/>
      <c r="AE142" s="926"/>
      <c r="AF142" s="926"/>
      <c r="AG142" s="926"/>
      <c r="AH142" s="926"/>
      <c r="AI142" s="926"/>
      <c r="AJ142" s="926"/>
    </row>
    <row r="143" spans="1:36" ht="15" customHeight="1" x14ac:dyDescent="0.3">
      <c r="A143" s="926"/>
      <c r="B143" s="609"/>
      <c r="C143" s="969"/>
      <c r="D143" s="2718"/>
      <c r="E143" s="2718"/>
      <c r="F143" s="2718"/>
      <c r="G143" s="2718"/>
      <c r="H143" s="2718"/>
      <c r="I143" s="2718"/>
      <c r="J143" s="2718"/>
      <c r="K143" s="2718"/>
      <c r="L143" s="1973"/>
      <c r="M143" s="2686"/>
      <c r="N143" s="2690"/>
      <c r="O143" s="2691"/>
      <c r="P143" s="2691"/>
      <c r="Q143" s="2691"/>
      <c r="R143" s="2691"/>
      <c r="S143" s="2691"/>
      <c r="T143" s="2692"/>
      <c r="U143" s="1773"/>
      <c r="V143" s="963"/>
      <c r="W143" s="609"/>
      <c r="X143" s="926"/>
      <c r="Y143" s="926"/>
      <c r="Z143" s="926"/>
      <c r="AA143" s="926"/>
      <c r="AB143" s="926"/>
      <c r="AC143" s="926"/>
      <c r="AD143" s="926"/>
      <c r="AE143" s="926"/>
      <c r="AF143" s="926"/>
      <c r="AG143" s="926"/>
      <c r="AH143" s="926"/>
      <c r="AI143" s="926"/>
      <c r="AJ143" s="926"/>
    </row>
    <row r="144" spans="1:36" ht="15" customHeight="1" x14ac:dyDescent="0.3">
      <c r="A144" s="926"/>
      <c r="B144" s="609"/>
      <c r="C144" s="962"/>
      <c r="D144" s="2718"/>
      <c r="E144" s="2718"/>
      <c r="F144" s="2718"/>
      <c r="G144" s="2718"/>
      <c r="H144" s="2718"/>
      <c r="I144" s="2718"/>
      <c r="J144" s="2718"/>
      <c r="K144" s="2718"/>
      <c r="L144" s="1973"/>
      <c r="M144" s="2686">
        <v>9</v>
      </c>
      <c r="N144" s="2687" t="str">
        <f ca="1">INDEX(SC.Table.True_ID,MATCH(M144,SC.Table.Rank,0))</f>
        <v>Shallow pit, flush, covered digestion basin, lagoon, irrigation + tanker</v>
      </c>
      <c r="O144" s="2688"/>
      <c r="P144" s="2688"/>
      <c r="Q144" s="2688"/>
      <c r="R144" s="2688"/>
      <c r="S144" s="2688"/>
      <c r="T144" s="2689"/>
      <c r="U144" s="1773"/>
      <c r="V144" s="963"/>
      <c r="W144" s="609"/>
      <c r="X144" s="926"/>
      <c r="Y144" s="926"/>
      <c r="Z144" s="926"/>
      <c r="AA144" s="926"/>
      <c r="AB144" s="926"/>
      <c r="AC144" s="926"/>
      <c r="AD144" s="926"/>
      <c r="AE144" s="926"/>
      <c r="AF144" s="926"/>
      <c r="AG144" s="926"/>
      <c r="AH144" s="926"/>
      <c r="AI144" s="926"/>
      <c r="AJ144" s="926"/>
    </row>
    <row r="145" spans="1:36" ht="15" customHeight="1" x14ac:dyDescent="0.3">
      <c r="A145" s="926"/>
      <c r="B145" s="609"/>
      <c r="C145" s="962"/>
      <c r="D145" s="2718"/>
      <c r="E145" s="2718"/>
      <c r="F145" s="2718"/>
      <c r="G145" s="2718"/>
      <c r="H145" s="2718"/>
      <c r="I145" s="2718"/>
      <c r="J145" s="2718"/>
      <c r="K145" s="2718"/>
      <c r="L145" s="1974"/>
      <c r="M145" s="2686"/>
      <c r="N145" s="2690"/>
      <c r="O145" s="2691"/>
      <c r="P145" s="2691"/>
      <c r="Q145" s="2691"/>
      <c r="R145" s="2691"/>
      <c r="S145" s="2691"/>
      <c r="T145" s="2692"/>
      <c r="U145" s="1773"/>
      <c r="V145" s="963"/>
      <c r="W145" s="609"/>
      <c r="X145" s="926"/>
      <c r="Y145" s="926"/>
      <c r="Z145" s="926"/>
      <c r="AA145" s="926"/>
      <c r="AB145" s="926"/>
      <c r="AC145" s="926"/>
      <c r="AD145" s="926"/>
      <c r="AE145" s="926"/>
      <c r="AF145" s="926"/>
      <c r="AG145" s="926"/>
      <c r="AH145" s="926"/>
      <c r="AI145" s="926"/>
      <c r="AJ145" s="926"/>
    </row>
    <row r="146" spans="1:36" ht="15" customHeight="1" x14ac:dyDescent="0.3">
      <c r="A146" s="926"/>
      <c r="B146" s="609"/>
      <c r="C146" s="962"/>
      <c r="D146" s="2718"/>
      <c r="E146" s="2718"/>
      <c r="F146" s="2718"/>
      <c r="G146" s="2718"/>
      <c r="H146" s="2718"/>
      <c r="I146" s="2718"/>
      <c r="J146" s="2718"/>
      <c r="K146" s="2718"/>
      <c r="L146" s="40"/>
      <c r="M146" s="2686">
        <v>10</v>
      </c>
      <c r="N146" s="2687" t="str">
        <f ca="1">INDEX(SC.Table.True_ID,MATCH(M146,SC.Table.Rank,0))</f>
        <v>Shallow pit, pull plug, covered digestion basin, lagoon, irrigation + tanker</v>
      </c>
      <c r="O146" s="2688"/>
      <c r="P146" s="2688"/>
      <c r="Q146" s="2688"/>
      <c r="R146" s="2688"/>
      <c r="S146" s="2688"/>
      <c r="T146" s="2689"/>
      <c r="U146" s="1773"/>
      <c r="V146" s="963"/>
      <c r="W146" s="609"/>
      <c r="X146" s="926"/>
      <c r="Y146" s="926"/>
      <c r="Z146" s="926"/>
      <c r="AA146" s="926"/>
      <c r="AB146" s="926"/>
      <c r="AC146" s="926"/>
      <c r="AD146" s="926"/>
      <c r="AE146" s="926"/>
      <c r="AF146" s="926"/>
      <c r="AG146" s="926"/>
      <c r="AH146" s="926"/>
      <c r="AI146" s="926"/>
      <c r="AJ146" s="926"/>
    </row>
    <row r="147" spans="1:36" ht="15" customHeight="1" thickBot="1" x14ac:dyDescent="0.35">
      <c r="A147" s="926"/>
      <c r="B147" s="609"/>
      <c r="C147" s="962"/>
      <c r="D147" s="1977"/>
      <c r="E147" s="1977"/>
      <c r="F147" s="1977"/>
      <c r="G147" s="1977"/>
      <c r="H147" s="40"/>
      <c r="I147" s="40"/>
      <c r="J147" s="40"/>
      <c r="K147" s="40"/>
      <c r="L147" s="40"/>
      <c r="M147" s="2693"/>
      <c r="N147" s="2694"/>
      <c r="O147" s="2695"/>
      <c r="P147" s="2695"/>
      <c r="Q147" s="2695"/>
      <c r="R147" s="2695"/>
      <c r="S147" s="2695"/>
      <c r="T147" s="2696"/>
      <c r="U147" s="1773"/>
      <c r="V147" s="963"/>
      <c r="W147" s="609"/>
      <c r="X147" s="926"/>
      <c r="Y147" s="926"/>
      <c r="Z147" s="926"/>
      <c r="AA147" s="926"/>
      <c r="AB147" s="926"/>
      <c r="AC147" s="926"/>
      <c r="AD147" s="926"/>
      <c r="AE147" s="926"/>
      <c r="AF147" s="926"/>
      <c r="AG147" s="926"/>
      <c r="AH147" s="926"/>
      <c r="AI147" s="926"/>
      <c r="AJ147" s="926"/>
    </row>
    <row r="148" spans="1:36" ht="15" customHeight="1" x14ac:dyDescent="0.3">
      <c r="A148" s="926"/>
      <c r="B148" s="609"/>
      <c r="C148" s="962"/>
      <c r="D148" s="40"/>
      <c r="E148" s="40"/>
      <c r="F148" s="40"/>
      <c r="G148" s="40"/>
      <c r="H148" s="40"/>
      <c r="I148" s="40"/>
      <c r="J148" s="40"/>
      <c r="K148" s="40"/>
      <c r="L148" s="40"/>
      <c r="M148" s="40"/>
      <c r="N148" s="40"/>
      <c r="O148" s="40"/>
      <c r="P148" s="40"/>
      <c r="Q148" s="40"/>
      <c r="R148" s="40"/>
      <c r="S148" s="40"/>
      <c r="T148" s="40"/>
      <c r="U148" s="40"/>
      <c r="V148" s="963"/>
      <c r="W148" s="609"/>
      <c r="X148" s="926"/>
      <c r="Y148" s="926"/>
      <c r="Z148" s="926"/>
      <c r="AA148" s="926"/>
      <c r="AB148" s="926"/>
      <c r="AC148" s="926"/>
      <c r="AD148" s="926"/>
      <c r="AE148" s="926"/>
      <c r="AF148" s="926"/>
      <c r="AG148" s="926"/>
      <c r="AH148" s="926"/>
      <c r="AI148" s="926"/>
      <c r="AJ148" s="926"/>
    </row>
    <row r="149" spans="1:36" ht="15" customHeight="1" x14ac:dyDescent="0.3">
      <c r="A149" s="926"/>
      <c r="B149" s="609"/>
      <c r="C149" s="962"/>
      <c r="D149" s="40"/>
      <c r="E149" s="1978"/>
      <c r="F149" s="1978"/>
      <c r="G149" s="1978"/>
      <c r="H149" s="1978"/>
      <c r="I149" s="1978"/>
      <c r="J149" s="1978"/>
      <c r="K149" s="1978"/>
      <c r="L149" s="40"/>
      <c r="M149" s="40"/>
      <c r="N149" s="40"/>
      <c r="O149" s="40"/>
      <c r="P149" s="40"/>
      <c r="Q149" s="40"/>
      <c r="R149" s="40"/>
      <c r="S149" s="40"/>
      <c r="T149" s="40"/>
      <c r="U149" s="40"/>
      <c r="V149" s="963"/>
      <c r="W149" s="609"/>
      <c r="X149" s="926"/>
      <c r="Y149" s="926"/>
      <c r="Z149" s="926"/>
      <c r="AA149" s="926"/>
      <c r="AB149" s="926"/>
      <c r="AC149" s="926"/>
      <c r="AD149" s="926"/>
      <c r="AE149" s="926"/>
      <c r="AF149" s="926"/>
      <c r="AG149" s="926"/>
      <c r="AH149" s="926"/>
      <c r="AI149" s="926"/>
      <c r="AJ149" s="926"/>
    </row>
    <row r="150" spans="1:36" ht="15" customHeight="1" thickBot="1" x14ac:dyDescent="0.35">
      <c r="A150" s="926"/>
      <c r="B150" s="609"/>
      <c r="C150" s="964"/>
      <c r="D150" s="965"/>
      <c r="E150" s="965"/>
      <c r="F150" s="965"/>
      <c r="G150" s="965"/>
      <c r="H150" s="965"/>
      <c r="I150" s="965"/>
      <c r="J150" s="965"/>
      <c r="K150" s="965"/>
      <c r="L150" s="965"/>
      <c r="M150" s="965"/>
      <c r="N150" s="965"/>
      <c r="O150" s="965"/>
      <c r="P150" s="965"/>
      <c r="Q150" s="965"/>
      <c r="R150" s="965"/>
      <c r="S150" s="965"/>
      <c r="T150" s="965"/>
      <c r="U150" s="965"/>
      <c r="V150" s="966"/>
      <c r="W150" s="609"/>
      <c r="X150" s="926"/>
      <c r="Y150" s="926"/>
      <c r="Z150" s="926"/>
      <c r="AA150" s="926"/>
      <c r="AB150" s="926"/>
      <c r="AC150" s="926"/>
      <c r="AD150" s="926"/>
      <c r="AE150" s="926"/>
      <c r="AF150" s="926"/>
      <c r="AG150" s="926"/>
      <c r="AH150" s="926"/>
      <c r="AI150" s="926"/>
      <c r="AJ150" s="926"/>
    </row>
    <row r="151" spans="1:36" ht="15" customHeight="1" x14ac:dyDescent="0.3">
      <c r="A151" s="926"/>
      <c r="B151" s="609"/>
      <c r="C151" s="609"/>
      <c r="D151" s="609"/>
      <c r="E151" s="609"/>
      <c r="F151" s="609"/>
      <c r="G151" s="609"/>
      <c r="H151" s="609"/>
      <c r="I151" s="609"/>
      <c r="J151" s="609"/>
      <c r="K151" s="609"/>
      <c r="L151" s="609"/>
      <c r="M151" s="609"/>
      <c r="N151" s="609"/>
      <c r="O151" s="609"/>
      <c r="P151" s="609"/>
      <c r="Q151" s="609"/>
      <c r="R151" s="609"/>
      <c r="S151" s="609"/>
      <c r="T151" s="609"/>
      <c r="U151" s="609"/>
      <c r="V151" s="609"/>
      <c r="W151" s="609"/>
      <c r="X151" s="926"/>
      <c r="Y151" s="926"/>
      <c r="Z151" s="926"/>
      <c r="AA151" s="926"/>
      <c r="AB151" s="926"/>
      <c r="AC151" s="926"/>
      <c r="AD151" s="926"/>
      <c r="AE151" s="926"/>
      <c r="AF151" s="926"/>
      <c r="AG151" s="926"/>
      <c r="AH151" s="926"/>
      <c r="AI151" s="926"/>
      <c r="AJ151" s="926"/>
    </row>
    <row r="152" spans="1:36" ht="15.75" customHeight="1" thickBot="1" x14ac:dyDescent="0.35">
      <c r="A152" s="926"/>
      <c r="B152" s="926"/>
      <c r="C152" s="926"/>
      <c r="D152" s="923"/>
      <c r="E152" s="923"/>
      <c r="F152" s="923"/>
      <c r="G152" s="923"/>
      <c r="H152" s="923"/>
      <c r="I152" s="923"/>
      <c r="J152" s="923"/>
      <c r="K152" s="923"/>
      <c r="L152" s="923"/>
      <c r="M152" s="923"/>
      <c r="N152" s="923"/>
      <c r="O152" s="923"/>
      <c r="P152" s="923"/>
      <c r="Q152" s="923"/>
      <c r="R152" s="923"/>
      <c r="S152" s="923"/>
      <c r="T152" s="926"/>
      <c r="U152" s="926"/>
      <c r="V152" s="926"/>
      <c r="W152" s="926"/>
      <c r="X152" s="926"/>
      <c r="Y152" s="926"/>
      <c r="Z152" s="926"/>
      <c r="AA152" s="926"/>
      <c r="AB152" s="926"/>
      <c r="AC152" s="926"/>
      <c r="AD152" s="926"/>
      <c r="AE152" s="926"/>
      <c r="AF152" s="926"/>
      <c r="AG152" s="926"/>
      <c r="AH152" s="926"/>
      <c r="AI152" s="926"/>
      <c r="AJ152" s="926"/>
    </row>
    <row r="153" spans="1:36" ht="16.5" customHeight="1" thickBot="1" x14ac:dyDescent="0.35">
      <c r="A153" s="926"/>
      <c r="B153" s="926"/>
      <c r="C153" s="923"/>
      <c r="D153" s="923"/>
      <c r="E153" s="923"/>
      <c r="F153" s="2345" t="s">
        <v>0</v>
      </c>
      <c r="G153" s="2346"/>
      <c r="H153" s="2345" t="s">
        <v>1</v>
      </c>
      <c r="I153" s="2346"/>
      <c r="J153" s="2345" t="s">
        <v>2</v>
      </c>
      <c r="K153" s="2346"/>
      <c r="L153" s="2345" t="s">
        <v>3</v>
      </c>
      <c r="M153" s="2346"/>
      <c r="N153" s="2345" t="s">
        <v>4</v>
      </c>
      <c r="O153" s="2346"/>
      <c r="P153" s="2345" t="s">
        <v>5</v>
      </c>
      <c r="Q153" s="2346"/>
      <c r="R153" s="1739"/>
      <c r="S153" s="926"/>
      <c r="T153" s="926"/>
      <c r="U153" s="926"/>
      <c r="V153" s="926"/>
      <c r="W153" s="926"/>
      <c r="X153" s="926"/>
      <c r="Y153" s="926"/>
      <c r="Z153" s="926"/>
      <c r="AA153" s="926"/>
      <c r="AB153" s="926"/>
      <c r="AC153" s="926"/>
      <c r="AD153" s="926"/>
      <c r="AE153" s="926"/>
      <c r="AF153" s="926"/>
      <c r="AG153" s="926"/>
      <c r="AH153" s="926"/>
      <c r="AI153" s="926"/>
      <c r="AJ153" s="926"/>
    </row>
    <row r="154" spans="1:36" ht="16.8" thickTop="1" thickBot="1" x14ac:dyDescent="0.35">
      <c r="A154" s="926"/>
      <c r="B154" s="926"/>
      <c r="C154" s="923"/>
      <c r="D154" s="923"/>
      <c r="E154" s="923"/>
      <c r="F154" s="2347"/>
      <c r="G154" s="2348"/>
      <c r="H154" s="2347"/>
      <c r="I154" s="2348"/>
      <c r="J154" s="2347"/>
      <c r="K154" s="2348"/>
      <c r="L154" s="2347"/>
      <c r="M154" s="2348"/>
      <c r="N154" s="2347"/>
      <c r="O154" s="2348"/>
      <c r="P154" s="2347"/>
      <c r="Q154" s="2348"/>
      <c r="R154" s="1739"/>
      <c r="S154" s="926"/>
      <c r="T154" s="926"/>
      <c r="U154" s="926"/>
      <c r="V154" s="926"/>
      <c r="W154" s="926"/>
      <c r="X154" s="926"/>
      <c r="Y154" s="926"/>
      <c r="Z154" s="926"/>
      <c r="AA154" s="926"/>
      <c r="AB154" s="926"/>
      <c r="AC154" s="926"/>
      <c r="AD154" s="926"/>
      <c r="AE154" s="926"/>
      <c r="AF154" s="926"/>
      <c r="AG154" s="926"/>
      <c r="AH154" s="926"/>
      <c r="AI154" s="926"/>
      <c r="AJ154" s="926"/>
    </row>
    <row r="155" spans="1:36" ht="17.25" customHeight="1" thickTop="1" thickBot="1" x14ac:dyDescent="0.35">
      <c r="A155" s="926"/>
      <c r="B155" s="926"/>
      <c r="C155" s="2345" t="s">
        <v>6</v>
      </c>
      <c r="D155" s="2351"/>
      <c r="E155" s="923"/>
      <c r="F155" s="2349"/>
      <c r="G155" s="2350"/>
      <c r="H155" s="2349"/>
      <c r="I155" s="2350"/>
      <c r="J155" s="2349"/>
      <c r="K155" s="2350"/>
      <c r="L155" s="2349"/>
      <c r="M155" s="2350"/>
      <c r="N155" s="2349"/>
      <c r="O155" s="2350"/>
      <c r="P155" s="2349"/>
      <c r="Q155" s="2350"/>
      <c r="R155" s="926"/>
      <c r="S155" s="2356" t="s">
        <v>7</v>
      </c>
      <c r="T155" s="2357"/>
      <c r="U155" s="926"/>
      <c r="V155" s="926"/>
      <c r="W155" s="926"/>
      <c r="X155" s="926"/>
      <c r="Y155" s="926"/>
      <c r="Z155" s="926"/>
      <c r="AA155" s="926"/>
      <c r="AB155" s="926"/>
      <c r="AC155" s="926"/>
      <c r="AD155" s="926"/>
      <c r="AE155" s="926"/>
      <c r="AF155" s="926"/>
      <c r="AG155" s="926"/>
      <c r="AH155" s="926"/>
      <c r="AI155" s="926"/>
      <c r="AJ155" s="926"/>
    </row>
    <row r="156" spans="1:36" ht="15.75" customHeight="1" thickTop="1" thickBot="1" x14ac:dyDescent="0.35">
      <c r="A156" s="926"/>
      <c r="B156" s="926"/>
      <c r="C156" s="2352"/>
      <c r="D156" s="2353"/>
      <c r="E156" s="923"/>
      <c r="F156" s="926"/>
      <c r="G156" s="2345" t="s">
        <v>8</v>
      </c>
      <c r="H156" s="2346"/>
      <c r="I156" s="2345" t="s">
        <v>9</v>
      </c>
      <c r="J156" s="2346"/>
      <c r="K156" s="2362" t="s">
        <v>10</v>
      </c>
      <c r="L156" s="2363"/>
      <c r="M156" s="2345" t="s">
        <v>11</v>
      </c>
      <c r="N156" s="2346"/>
      <c r="O156" s="2345" t="s">
        <v>12</v>
      </c>
      <c r="P156" s="2346"/>
      <c r="Q156" s="926"/>
      <c r="R156" s="926"/>
      <c r="S156" s="2358"/>
      <c r="T156" s="2359"/>
      <c r="U156" s="926"/>
      <c r="V156" s="926"/>
      <c r="W156" s="926"/>
      <c r="X156" s="926"/>
      <c r="Y156" s="926"/>
      <c r="Z156" s="926"/>
      <c r="AA156" s="926"/>
      <c r="AB156" s="926"/>
      <c r="AC156" s="926"/>
      <c r="AD156" s="926"/>
      <c r="AE156" s="926"/>
      <c r="AF156" s="926"/>
      <c r="AG156" s="926"/>
      <c r="AH156" s="926"/>
      <c r="AI156" s="926"/>
      <c r="AJ156" s="926"/>
    </row>
    <row r="157" spans="1:36" ht="16.8" thickTop="1" thickBot="1" x14ac:dyDescent="0.35">
      <c r="A157" s="926"/>
      <c r="B157" s="926"/>
      <c r="C157" s="2354"/>
      <c r="D157" s="2355"/>
      <c r="E157" s="923"/>
      <c r="F157" s="926"/>
      <c r="G157" s="2347"/>
      <c r="H157" s="2348"/>
      <c r="I157" s="2347"/>
      <c r="J157" s="2348"/>
      <c r="K157" s="2364"/>
      <c r="L157" s="2365"/>
      <c r="M157" s="2347"/>
      <c r="N157" s="2348"/>
      <c r="O157" s="2347"/>
      <c r="P157" s="2348"/>
      <c r="Q157" s="926"/>
      <c r="R157" s="926"/>
      <c r="S157" s="2360"/>
      <c r="T157" s="2361"/>
      <c r="U157" s="926"/>
      <c r="V157" s="926"/>
      <c r="W157" s="926"/>
      <c r="X157" s="926"/>
      <c r="Y157" s="926"/>
      <c r="Z157" s="926"/>
      <c r="AA157" s="926"/>
      <c r="AB157" s="926"/>
      <c r="AC157" s="926"/>
      <c r="AD157" s="926"/>
      <c r="AE157" s="926"/>
      <c r="AF157" s="926"/>
      <c r="AG157" s="926"/>
      <c r="AH157" s="926"/>
      <c r="AI157" s="926"/>
      <c r="AJ157" s="926"/>
    </row>
    <row r="158" spans="1:36" ht="16.8" thickTop="1" thickBot="1" x14ac:dyDescent="0.35">
      <c r="A158" s="926"/>
      <c r="B158" s="926"/>
      <c r="C158" s="923"/>
      <c r="D158" s="923"/>
      <c r="E158" s="923"/>
      <c r="F158" s="926"/>
      <c r="G158" s="2349"/>
      <c r="H158" s="2350"/>
      <c r="I158" s="2349"/>
      <c r="J158" s="2350"/>
      <c r="K158" s="2366"/>
      <c r="L158" s="2367"/>
      <c r="M158" s="2349"/>
      <c r="N158" s="2350"/>
      <c r="O158" s="2349"/>
      <c r="P158" s="2350"/>
      <c r="Q158" s="923"/>
      <c r="R158" s="923"/>
      <c r="S158" s="926"/>
      <c r="T158" s="926"/>
      <c r="U158" s="926"/>
      <c r="V158" s="926"/>
      <c r="W158" s="926"/>
      <c r="X158" s="926"/>
      <c r="Y158" s="926"/>
      <c r="Z158" s="926"/>
      <c r="AA158" s="926"/>
      <c r="AB158" s="926"/>
      <c r="AC158" s="926"/>
      <c r="AD158" s="926"/>
      <c r="AE158" s="926"/>
      <c r="AF158" s="926"/>
      <c r="AG158" s="926"/>
      <c r="AH158" s="926"/>
      <c r="AI158" s="926"/>
      <c r="AJ158" s="926"/>
    </row>
    <row r="159" spans="1:36" x14ac:dyDescent="0.3">
      <c r="A159" s="926"/>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row>
    <row r="160" spans="1:36" x14ac:dyDescent="0.3">
      <c r="A160" s="926"/>
      <c r="B160" s="926"/>
      <c r="C160" s="926"/>
      <c r="D160" s="926"/>
      <c r="E160" s="926"/>
      <c r="F160" s="926"/>
      <c r="G160" s="926"/>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row>
    <row r="161" spans="1:36" x14ac:dyDescent="0.3">
      <c r="A161" s="926"/>
      <c r="B161" s="926"/>
      <c r="C161" s="926"/>
      <c r="D161" s="926"/>
      <c r="E161" s="926"/>
      <c r="F161" s="926"/>
      <c r="G161" s="926"/>
      <c r="H161" s="926"/>
      <c r="I161" s="926"/>
      <c r="J161" s="926"/>
      <c r="K161" s="926"/>
      <c r="L161" s="926"/>
      <c r="M161" s="926"/>
      <c r="N161" s="926"/>
      <c r="O161" s="926"/>
      <c r="P161" s="926"/>
      <c r="Q161" s="926"/>
      <c r="R161" s="926"/>
      <c r="S161" s="926"/>
      <c r="T161" s="926"/>
      <c r="U161" s="926"/>
      <c r="V161" s="926"/>
      <c r="W161" s="926"/>
      <c r="X161" s="926"/>
      <c r="Y161" s="926"/>
      <c r="Z161" s="926"/>
      <c r="AA161" s="926"/>
      <c r="AB161" s="926"/>
      <c r="AC161" s="926"/>
      <c r="AD161" s="926"/>
      <c r="AE161" s="926"/>
      <c r="AF161" s="926"/>
      <c r="AG161" s="926"/>
      <c r="AH161" s="926"/>
      <c r="AI161" s="926"/>
      <c r="AJ161" s="926"/>
    </row>
    <row r="162" spans="1:36" x14ac:dyDescent="0.3">
      <c r="A162" s="926"/>
      <c r="B162" s="926"/>
      <c r="C162" s="926"/>
      <c r="D162" s="926"/>
      <c r="E162" s="926"/>
      <c r="F162" s="926"/>
      <c r="G162" s="926"/>
      <c r="H162" s="926"/>
      <c r="I162" s="926"/>
      <c r="J162" s="926"/>
      <c r="K162" s="926"/>
      <c r="L162" s="926"/>
      <c r="M162" s="926"/>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row>
    <row r="163" spans="1:36" x14ac:dyDescent="0.3">
      <c r="A163" s="926"/>
      <c r="B163" s="926"/>
      <c r="C163" s="926"/>
      <c r="D163" s="926"/>
      <c r="E163" s="926"/>
      <c r="F163" s="926"/>
      <c r="G163" s="926"/>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row>
    <row r="164" spans="1:36" x14ac:dyDescent="0.3">
      <c r="A164" s="926"/>
      <c r="B164" s="926"/>
      <c r="C164" s="926"/>
      <c r="D164" s="926"/>
      <c r="E164" s="926"/>
      <c r="F164" s="926"/>
      <c r="G164" s="926"/>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row>
    <row r="165" spans="1:36" x14ac:dyDescent="0.3">
      <c r="A165" s="926"/>
      <c r="B165" s="926"/>
      <c r="C165" s="926"/>
      <c r="D165" s="926"/>
      <c r="E165" s="926"/>
      <c r="F165" s="926"/>
      <c r="G165" s="926"/>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row>
    <row r="166" spans="1:36" x14ac:dyDescent="0.3">
      <c r="A166" s="926"/>
      <c r="B166" s="926"/>
      <c r="C166" s="926"/>
      <c r="D166" s="926"/>
      <c r="E166" s="926"/>
      <c r="F166" s="926"/>
      <c r="G166" s="926"/>
      <c r="H166" s="926"/>
      <c r="I166" s="926"/>
      <c r="J166" s="926"/>
      <c r="K166" s="926"/>
      <c r="L166" s="926"/>
      <c r="M166" s="926"/>
      <c r="N166" s="926"/>
      <c r="O166" s="926"/>
      <c r="P166" s="926"/>
      <c r="Q166" s="926"/>
      <c r="R166" s="926"/>
      <c r="S166" s="926"/>
      <c r="T166" s="926"/>
      <c r="U166" s="926"/>
      <c r="V166" s="926"/>
      <c r="W166" s="926"/>
      <c r="X166" s="926"/>
      <c r="Y166" s="926"/>
      <c r="Z166" s="926"/>
      <c r="AA166" s="926"/>
      <c r="AB166" s="926"/>
      <c r="AC166" s="926"/>
      <c r="AD166" s="926"/>
      <c r="AE166" s="926"/>
      <c r="AF166" s="926"/>
      <c r="AG166" s="926"/>
      <c r="AH166" s="926"/>
      <c r="AI166" s="926"/>
      <c r="AJ166" s="926"/>
    </row>
    <row r="167" spans="1:36" x14ac:dyDescent="0.3">
      <c r="A167" s="926"/>
      <c r="B167" s="926"/>
      <c r="C167" s="926"/>
      <c r="D167" s="926"/>
      <c r="E167" s="926"/>
      <c r="F167" s="926"/>
      <c r="G167" s="926"/>
      <c r="H167" s="926"/>
      <c r="I167" s="926"/>
      <c r="J167" s="926"/>
      <c r="K167" s="926"/>
      <c r="L167" s="926"/>
      <c r="M167" s="926"/>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row>
    <row r="168" spans="1:36" x14ac:dyDescent="0.3">
      <c r="A168" s="926"/>
      <c r="B168" s="926"/>
      <c r="C168" s="926"/>
      <c r="D168" s="926"/>
      <c r="E168" s="926"/>
      <c r="F168" s="926"/>
      <c r="G168" s="926"/>
      <c r="H168" s="926"/>
      <c r="I168" s="926"/>
      <c r="J168" s="926"/>
      <c r="K168" s="926"/>
      <c r="L168" s="926"/>
      <c r="M168" s="926"/>
      <c r="N168" s="926"/>
      <c r="O168" s="926"/>
      <c r="P168" s="926"/>
      <c r="Q168" s="926"/>
      <c r="R168" s="926"/>
      <c r="S168" s="926"/>
      <c r="T168" s="926"/>
      <c r="U168" s="926"/>
      <c r="V168" s="926"/>
      <c r="W168" s="926"/>
      <c r="X168" s="926"/>
      <c r="Y168" s="926"/>
      <c r="Z168" s="926"/>
      <c r="AA168" s="926"/>
      <c r="AB168" s="926"/>
      <c r="AC168" s="926"/>
      <c r="AD168" s="926"/>
      <c r="AE168" s="926"/>
      <c r="AF168" s="926"/>
      <c r="AG168" s="926"/>
      <c r="AH168" s="926"/>
      <c r="AI168" s="926"/>
      <c r="AJ168" s="926"/>
    </row>
    <row r="169" spans="1:36" x14ac:dyDescent="0.3">
      <c r="A169" s="926"/>
      <c r="B169" s="926"/>
      <c r="C169" s="926"/>
      <c r="D169" s="926"/>
      <c r="E169" s="926"/>
      <c r="F169" s="926"/>
      <c r="G169" s="926"/>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row>
    <row r="170" spans="1:36" x14ac:dyDescent="0.3">
      <c r="A170" s="926"/>
      <c r="B170" s="926"/>
      <c r="C170" s="926"/>
      <c r="D170" s="926"/>
      <c r="E170" s="926"/>
      <c r="F170" s="926"/>
      <c r="G170" s="926"/>
      <c r="H170" s="926"/>
      <c r="I170" s="926"/>
      <c r="J170" s="926"/>
      <c r="K170" s="926"/>
      <c r="L170" s="926"/>
      <c r="M170" s="926"/>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6"/>
    </row>
    <row r="171" spans="1:36" x14ac:dyDescent="0.3">
      <c r="A171" s="926"/>
      <c r="B171" s="926"/>
      <c r="C171" s="926"/>
      <c r="D171" s="926"/>
      <c r="E171" s="926"/>
      <c r="F171" s="926"/>
      <c r="G171" s="926"/>
      <c r="H171" s="926"/>
      <c r="I171" s="926"/>
      <c r="J171" s="926"/>
      <c r="K171" s="926"/>
      <c r="L171" s="926"/>
      <c r="M171" s="926"/>
      <c r="N171" s="926"/>
      <c r="O171" s="926"/>
      <c r="P171" s="926"/>
      <c r="Q171" s="926"/>
      <c r="R171" s="926"/>
      <c r="S171" s="926"/>
      <c r="T171" s="926"/>
      <c r="U171" s="926"/>
      <c r="V171" s="926"/>
      <c r="W171" s="926"/>
      <c r="X171" s="926"/>
      <c r="Y171" s="926"/>
      <c r="Z171" s="926"/>
      <c r="AA171" s="926"/>
      <c r="AB171" s="926"/>
      <c r="AC171" s="926"/>
      <c r="AD171" s="926"/>
      <c r="AE171" s="926"/>
      <c r="AF171" s="926"/>
      <c r="AG171" s="926"/>
      <c r="AH171" s="926"/>
      <c r="AI171" s="926"/>
      <c r="AJ171" s="926"/>
    </row>
    <row r="172" spans="1:36" x14ac:dyDescent="0.3">
      <c r="A172" s="926"/>
      <c r="B172" s="926"/>
      <c r="C172" s="926"/>
      <c r="D172" s="926"/>
      <c r="E172" s="926"/>
      <c r="F172" s="926"/>
      <c r="G172" s="926"/>
      <c r="H172" s="926"/>
      <c r="I172" s="926"/>
      <c r="J172" s="926"/>
      <c r="K172" s="926"/>
      <c r="L172" s="926"/>
      <c r="M172" s="926"/>
      <c r="N172" s="926"/>
      <c r="O172" s="926"/>
      <c r="P172" s="926"/>
      <c r="Q172" s="926"/>
      <c r="R172" s="926"/>
      <c r="S172" s="926"/>
      <c r="T172" s="926"/>
      <c r="U172" s="926"/>
      <c r="V172" s="926"/>
      <c r="W172" s="926"/>
      <c r="X172" s="926"/>
      <c r="Y172" s="926"/>
      <c r="Z172" s="926"/>
      <c r="AA172" s="926"/>
      <c r="AB172" s="926"/>
      <c r="AC172" s="926"/>
      <c r="AD172" s="926"/>
      <c r="AE172" s="926"/>
      <c r="AF172" s="926"/>
      <c r="AG172" s="926"/>
      <c r="AH172" s="926"/>
      <c r="AI172" s="926"/>
      <c r="AJ172" s="926"/>
    </row>
    <row r="173" spans="1:36" x14ac:dyDescent="0.3">
      <c r="A173" s="926"/>
      <c r="B173" s="926"/>
      <c r="C173" s="926"/>
      <c r="D173" s="926"/>
      <c r="E173" s="926"/>
      <c r="F173" s="926"/>
      <c r="G173" s="926"/>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row>
    <row r="174" spans="1:36" x14ac:dyDescent="0.3">
      <c r="A174" s="926"/>
      <c r="B174" s="926"/>
      <c r="C174" s="926"/>
      <c r="D174" s="926"/>
      <c r="E174" s="926"/>
      <c r="F174" s="926"/>
      <c r="G174" s="926"/>
      <c r="H174" s="926"/>
      <c r="I174" s="926"/>
      <c r="J174" s="926"/>
      <c r="K174" s="926"/>
      <c r="L174" s="926"/>
      <c r="M174" s="926"/>
      <c r="N174" s="926"/>
      <c r="O174" s="926"/>
      <c r="P174" s="926"/>
      <c r="Q174" s="926"/>
      <c r="R174" s="926"/>
      <c r="S174" s="926"/>
      <c r="T174" s="926"/>
      <c r="U174" s="926"/>
      <c r="V174" s="926"/>
      <c r="W174" s="926"/>
      <c r="X174" s="926"/>
      <c r="Y174" s="926"/>
      <c r="Z174" s="926"/>
      <c r="AA174" s="926"/>
      <c r="AB174" s="926"/>
      <c r="AC174" s="926"/>
      <c r="AD174" s="926"/>
      <c r="AE174" s="926"/>
      <c r="AF174" s="926"/>
      <c r="AG174" s="926"/>
      <c r="AH174" s="926"/>
      <c r="AI174" s="926"/>
      <c r="AJ174" s="926"/>
    </row>
    <row r="175" spans="1:36" x14ac:dyDescent="0.3">
      <c r="A175" s="926"/>
      <c r="B175" s="926"/>
      <c r="C175" s="926"/>
      <c r="D175" s="926"/>
      <c r="E175" s="926"/>
      <c r="F175" s="926"/>
      <c r="G175" s="926"/>
      <c r="H175" s="926"/>
      <c r="I175" s="926"/>
      <c r="J175" s="926"/>
      <c r="K175" s="926"/>
      <c r="L175" s="926"/>
      <c r="M175" s="926"/>
      <c r="N175" s="926"/>
      <c r="O175" s="926"/>
      <c r="P175" s="926"/>
      <c r="Q175" s="926"/>
      <c r="R175" s="926"/>
      <c r="S175" s="926"/>
      <c r="T175" s="926"/>
      <c r="U175" s="926"/>
      <c r="V175" s="926"/>
      <c r="W175" s="926"/>
      <c r="X175" s="926"/>
      <c r="Y175" s="926"/>
      <c r="Z175" s="926"/>
      <c r="AA175" s="926"/>
      <c r="AB175" s="926"/>
      <c r="AC175" s="926"/>
      <c r="AD175" s="926"/>
      <c r="AE175" s="926"/>
      <c r="AF175" s="926"/>
      <c r="AG175" s="926"/>
      <c r="AH175" s="926"/>
      <c r="AI175" s="926"/>
      <c r="AJ175" s="926"/>
    </row>
    <row r="176" spans="1:36" x14ac:dyDescent="0.3">
      <c r="A176" s="926"/>
      <c r="B176" s="926"/>
      <c r="C176" s="926"/>
      <c r="D176" s="926"/>
      <c r="E176" s="926"/>
      <c r="F176" s="926"/>
      <c r="G176" s="926"/>
      <c r="H176" s="926"/>
      <c r="I176" s="926"/>
      <c r="J176" s="926"/>
      <c r="K176" s="926"/>
      <c r="L176" s="926"/>
      <c r="M176" s="926"/>
      <c r="N176" s="926"/>
      <c r="O176" s="926"/>
      <c r="P176" s="926"/>
      <c r="Q176" s="926"/>
      <c r="R176" s="926"/>
      <c r="S176" s="926"/>
      <c r="T176" s="926"/>
      <c r="U176" s="926"/>
      <c r="V176" s="926"/>
      <c r="W176" s="926"/>
      <c r="X176" s="926"/>
      <c r="Y176" s="926"/>
      <c r="Z176" s="926"/>
      <c r="AA176" s="926"/>
      <c r="AB176" s="926"/>
      <c r="AC176" s="926"/>
      <c r="AD176" s="926"/>
      <c r="AE176" s="926"/>
      <c r="AF176" s="926"/>
      <c r="AG176" s="926"/>
      <c r="AH176" s="926"/>
      <c r="AI176" s="926"/>
      <c r="AJ176" s="926"/>
    </row>
    <row r="177" spans="1:72" x14ac:dyDescent="0.3">
      <c r="A177" s="926"/>
      <c r="B177" s="926"/>
      <c r="C177" s="926"/>
      <c r="D177" s="926"/>
      <c r="E177" s="926"/>
      <c r="F177" s="926"/>
      <c r="G177" s="926"/>
      <c r="H177" s="926"/>
      <c r="I177" s="926"/>
      <c r="J177" s="926"/>
      <c r="K177" s="926"/>
      <c r="L177" s="926"/>
      <c r="M177" s="926"/>
      <c r="N177" s="926"/>
      <c r="O177" s="926"/>
      <c r="P177" s="926"/>
      <c r="Q177" s="926"/>
      <c r="R177" s="926"/>
      <c r="S177" s="926"/>
      <c r="T177" s="926"/>
      <c r="U177" s="926"/>
      <c r="V177" s="926"/>
      <c r="W177" s="926"/>
      <c r="X177" s="926"/>
      <c r="Y177" s="926"/>
      <c r="Z177" s="926"/>
      <c r="AA177" s="926"/>
      <c r="AB177" s="926"/>
      <c r="AC177" s="926"/>
      <c r="AD177" s="926"/>
      <c r="AE177" s="926"/>
      <c r="AF177" s="926"/>
      <c r="AG177" s="926"/>
      <c r="AH177" s="926"/>
      <c r="AI177" s="926"/>
      <c r="AJ177" s="926"/>
    </row>
    <row r="178" spans="1:72" x14ac:dyDescent="0.3">
      <c r="A178" s="926"/>
      <c r="B178" s="926"/>
      <c r="C178" s="926"/>
      <c r="D178" s="926"/>
      <c r="E178" s="926"/>
      <c r="F178" s="926"/>
      <c r="G178" s="926"/>
      <c r="H178" s="926"/>
      <c r="I178" s="926"/>
      <c r="J178" s="926"/>
      <c r="K178" s="926"/>
      <c r="L178" s="926"/>
      <c r="M178" s="926"/>
      <c r="N178" s="926"/>
      <c r="O178" s="926"/>
      <c r="P178" s="926"/>
      <c r="Q178" s="926"/>
      <c r="R178" s="926"/>
      <c r="S178" s="926"/>
      <c r="T178" s="926"/>
      <c r="U178" s="926"/>
      <c r="V178" s="926"/>
      <c r="W178" s="926"/>
      <c r="X178" s="926"/>
      <c r="Y178" s="926"/>
      <c r="Z178" s="926"/>
      <c r="AA178" s="926"/>
      <c r="AB178" s="926"/>
      <c r="AC178" s="926"/>
      <c r="AD178" s="926"/>
      <c r="AE178" s="926"/>
      <c r="AF178" s="926"/>
      <c r="AG178" s="926"/>
      <c r="AH178" s="926"/>
      <c r="AI178" s="926"/>
      <c r="AJ178" s="926"/>
    </row>
    <row r="179" spans="1:72" x14ac:dyDescent="0.3">
      <c r="A179" s="926"/>
      <c r="B179" s="926"/>
      <c r="C179" s="926"/>
      <c r="D179" s="926"/>
      <c r="E179" s="926"/>
      <c r="F179" s="926"/>
      <c r="G179" s="926"/>
      <c r="H179" s="926"/>
      <c r="I179" s="926"/>
      <c r="J179" s="926"/>
      <c r="K179" s="926"/>
      <c r="L179" s="926"/>
      <c r="M179" s="926"/>
      <c r="N179" s="926"/>
      <c r="O179" s="926"/>
      <c r="P179" s="926"/>
      <c r="Q179" s="926"/>
      <c r="R179" s="926"/>
      <c r="S179" s="926"/>
      <c r="T179" s="926"/>
      <c r="U179" s="926"/>
      <c r="V179" s="926"/>
      <c r="W179" s="926"/>
      <c r="X179" s="926"/>
      <c r="Y179" s="926"/>
      <c r="Z179" s="926"/>
      <c r="AA179" s="926"/>
      <c r="AB179" s="926"/>
      <c r="AC179" s="926"/>
      <c r="AD179" s="926"/>
      <c r="AE179" s="926"/>
      <c r="AF179" s="926"/>
      <c r="AG179" s="926"/>
      <c r="AH179" s="926"/>
      <c r="AI179" s="926"/>
      <c r="AJ179" s="926"/>
      <c r="BC179" s="82" t="s">
        <v>99</v>
      </c>
      <c r="BD179" s="82" t="s">
        <v>100</v>
      </c>
      <c r="BE179" s="82" t="s">
        <v>208</v>
      </c>
      <c r="BF179" s="82" t="s">
        <v>39</v>
      </c>
      <c r="BG179" s="82" t="s">
        <v>104</v>
      </c>
      <c r="BH179" s="82" t="s">
        <v>105</v>
      </c>
      <c r="BI179" s="82" t="s">
        <v>41</v>
      </c>
      <c r="BJ179" s="82" t="s">
        <v>42</v>
      </c>
      <c r="BK179" s="82" t="s">
        <v>108</v>
      </c>
      <c r="BL179" s="82" t="s">
        <v>109</v>
      </c>
      <c r="BM179" s="82" t="s">
        <v>210</v>
      </c>
      <c r="BN179" s="82" t="s">
        <v>462</v>
      </c>
    </row>
    <row r="180" spans="1:72" x14ac:dyDescent="0.3">
      <c r="BC180" t="s">
        <v>463</v>
      </c>
      <c r="BD180" s="944" t="str">
        <f>IF(OR(BE180="",BK180=0),BF180,BE180)</f>
        <v>Non-Sludge Year</v>
      </c>
      <c r="BE180" t="str">
        <f>K31</f>
        <v>Non-Sludge Year</v>
      </c>
      <c r="BF180" t="str">
        <f>INDEX(UDD,MATCH($BC180,UDN,0))</f>
        <v>Non-Sludge Year</v>
      </c>
      <c r="BG180" t="str">
        <f>INDEX(UDUnit,MATCH($BC180,UDN,0))</f>
        <v>None</v>
      </c>
      <c r="BH180" t="str">
        <f>INDEX(UDF_Unit,MATCH($BC180,UDN,0))</f>
        <v>None</v>
      </c>
      <c r="BI180">
        <f>INDEX(UDMin,MATCH($BC180,UDN,0))</f>
        <v>0</v>
      </c>
      <c r="BJ180">
        <f>INDEX(UDMax,MATCH($BC180,UDN,0))</f>
        <v>0</v>
      </c>
      <c r="BK180">
        <f>IF(COUNTIF(DROPS.econ_manure.export_concern,BE180)&gt;0,1,0)</f>
        <v>1</v>
      </c>
      <c r="BL180" t="str">
        <f>INDEX(UD_Desc,MATCH($BC180,UDN,0))</f>
        <v>The most concerning export requirement for a user between sludge and non-sludge year amounts. Can also choose both for hybrid weighting</v>
      </c>
      <c r="BM180" t="str">
        <f>IF(BE180=BF180,"Yes", "No")</f>
        <v>Yes</v>
      </c>
    </row>
    <row r="181" spans="1:72" x14ac:dyDescent="0.3">
      <c r="BC181" t="s">
        <v>464</v>
      </c>
      <c r="BD181" s="944" t="str">
        <f>IF(OR(BE181="",BK181=0),BF181,BE181)</f>
        <v>Farm</v>
      </c>
      <c r="BE181" t="str">
        <f>K42</f>
        <v>Farm</v>
      </c>
      <c r="BF181" t="str">
        <f>INDEX(UDD,MATCH($BC181,UDN,0))</f>
        <v>Farm</v>
      </c>
      <c r="BG181" t="str">
        <f>INDEX(UDUnit,MATCH($BC181,UDN,0))</f>
        <v>type</v>
      </c>
      <c r="BH181" t="str">
        <f>INDEX(UDF_Unit,MATCH($BC181,UDN,0))</f>
        <v>type</v>
      </c>
      <c r="BI181">
        <f>INDEX(UDMin,MATCH($BC181,UDN,0))</f>
        <v>0</v>
      </c>
      <c r="BJ181">
        <f>INDEX(UDMax,MATCH($BC181,UDN,0))</f>
        <v>0</v>
      </c>
      <c r="BK181">
        <f>IF(COUNTIF(DROPS.u.env_results_type,BE181)&gt;0,1,0)</f>
        <v>1</v>
      </c>
      <c r="BL181" t="str">
        <f>INDEX(UD_Desc,MATCH($BC181,UDN,0))</f>
        <v>The type of environmental results to use for rankings. Can be "Farm", "Net", or "Off Farm". Only Farm and Net will appear to standard users in Results.Choice.</v>
      </c>
      <c r="BM181" t="str">
        <f>IF(BE181=BF181,"Yes", "No")</f>
        <v>Yes</v>
      </c>
    </row>
    <row r="186" spans="1:72" x14ac:dyDescent="0.3">
      <c r="BD186" s="611" t="s">
        <v>465</v>
      </c>
      <c r="BE186" s="611" t="s">
        <v>196</v>
      </c>
      <c r="BF186" s="611" t="s">
        <v>466</v>
      </c>
      <c r="BG186" s="1741" t="s">
        <v>467</v>
      </c>
      <c r="BH186" s="611" t="s">
        <v>468</v>
      </c>
      <c r="BI186" s="611" t="s">
        <v>469</v>
      </c>
      <c r="BJ186" s="611" t="s">
        <v>470</v>
      </c>
      <c r="BK186" s="611" t="s">
        <v>471</v>
      </c>
      <c r="BL186" s="611" t="s">
        <v>472</v>
      </c>
      <c r="BM186" s="611" t="s">
        <v>473</v>
      </c>
      <c r="BN186" s="611" t="s">
        <v>474</v>
      </c>
      <c r="BO186" s="612" t="s">
        <v>39</v>
      </c>
      <c r="BP186" s="612" t="s">
        <v>103</v>
      </c>
      <c r="BQ186" s="612" t="s">
        <v>475</v>
      </c>
      <c r="BR186" s="612" t="s">
        <v>109</v>
      </c>
      <c r="BS186" s="612" t="s">
        <v>476</v>
      </c>
      <c r="BT186" s="612" t="s">
        <v>110</v>
      </c>
    </row>
    <row r="187" spans="1:72" x14ac:dyDescent="0.3">
      <c r="BC187" t="s">
        <v>477</v>
      </c>
      <c r="BD187" s="611" t="s">
        <v>478</v>
      </c>
      <c r="BE187" s="611" t="s">
        <v>479</v>
      </c>
      <c r="BF187" s="614">
        <f t="shared" ref="BF187:BF192" si="0">BH187/$BH$208</f>
        <v>0.29629629629629628</v>
      </c>
      <c r="BG187" s="614">
        <f>BH187/$BH$211</f>
        <v>0.20512820512820512</v>
      </c>
      <c r="BH187">
        <f t="shared" ref="BH187:BH204" si="1">IF(BI187=0,BO187,BK187)</f>
        <v>80</v>
      </c>
      <c r="BI187">
        <f>BJ187*BL187*BM187</f>
        <v>1</v>
      </c>
      <c r="BJ187">
        <f>IF(OR(BN187&gt;100, BN187&lt;0),0,1)</f>
        <v>1</v>
      </c>
      <c r="BK187">
        <f>IF(BN187&lt;&gt;0,BN187,0.01)</f>
        <v>80</v>
      </c>
      <c r="BL187">
        <f>IF(ISNUMBER(BN187),1,0)</f>
        <v>1</v>
      </c>
      <c r="BM187">
        <f>IF(ISBLANK(F60),0,1)</f>
        <v>1</v>
      </c>
      <c r="BN187">
        <f>F60</f>
        <v>80</v>
      </c>
      <c r="BO187">
        <v>50</v>
      </c>
      <c r="BP187" t="b">
        <f>ISBLANK(F119)</f>
        <v>1</v>
      </c>
      <c r="BQ187" t="s">
        <v>480</v>
      </c>
      <c r="BR187" t="str">
        <f t="shared" ref="BR187:BR201" si="2">INDEX(UD_Desc, MATCH(BC187,UDN,0))</f>
        <v>Weighting for capital costs</v>
      </c>
      <c r="BS187" t="str">
        <f t="shared" ref="BS187:BS204" si="3">IF(BJ187=0,"Input invalid, using default", IF(BL187=0,"Input invalid, using default", IF(BM187=0, "Using default", "Input accepted")))</f>
        <v>Input accepted</v>
      </c>
      <c r="BT187" t="str">
        <f>IF(BS187="Value accepted","No","Yes")</f>
        <v>Yes</v>
      </c>
    </row>
    <row r="188" spans="1:72" x14ac:dyDescent="0.3">
      <c r="BC188" t="s">
        <v>481</v>
      </c>
      <c r="BD188" s="611" t="s">
        <v>478</v>
      </c>
      <c r="BE188" s="611" t="s">
        <v>482</v>
      </c>
      <c r="BF188" s="614">
        <f t="shared" si="0"/>
        <v>0.29629629629629628</v>
      </c>
      <c r="BG188" s="614">
        <f t="shared" ref="BG188:BG204" si="4">BH188/$BH$211</f>
        <v>0.20512820512820512</v>
      </c>
      <c r="BH188">
        <f t="shared" si="1"/>
        <v>80</v>
      </c>
      <c r="BI188">
        <f t="shared" ref="BI188:BI204" si="5">BJ188*BL188*BM188</f>
        <v>1</v>
      </c>
      <c r="BJ188">
        <f t="shared" ref="BJ188:BJ204" si="6">IF(OR(BN188&gt;100, BN188&lt;0),0,1)</f>
        <v>1</v>
      </c>
      <c r="BK188">
        <f t="shared" ref="BK188:BK204" si="7">IF(BN188&lt;&gt;0,BN188,0.01)</f>
        <v>80</v>
      </c>
      <c r="BL188">
        <f t="shared" ref="BL188:BL204" si="8">IF(ISNUMBER(BN188),1,0)</f>
        <v>1</v>
      </c>
      <c r="BM188">
        <f>IF(ISBLANK(F63),0,1)</f>
        <v>1</v>
      </c>
      <c r="BN188">
        <f>F63</f>
        <v>80</v>
      </c>
      <c r="BO188">
        <v>50</v>
      </c>
      <c r="BP188" t="b">
        <f>ISBLANK(F122)</f>
        <v>1</v>
      </c>
      <c r="BQ188" t="s">
        <v>483</v>
      </c>
      <c r="BR188" t="str">
        <f t="shared" si="2"/>
        <v>Weighting for operating costs</v>
      </c>
      <c r="BS188" t="str">
        <f t="shared" si="3"/>
        <v>Input accepted</v>
      </c>
      <c r="BT188" t="str">
        <f t="shared" ref="BT188:BT204" si="9">IF(BS188="Value accepted","No","Yes")</f>
        <v>Yes</v>
      </c>
    </row>
    <row r="189" spans="1:72" x14ac:dyDescent="0.3">
      <c r="BC189" t="s">
        <v>484</v>
      </c>
      <c r="BD189" s="611" t="s">
        <v>478</v>
      </c>
      <c r="BE189" s="611" t="s">
        <v>485</v>
      </c>
      <c r="BF189" s="614">
        <f t="shared" si="0"/>
        <v>0.29629629629629628</v>
      </c>
      <c r="BG189" s="614">
        <f t="shared" si="4"/>
        <v>0.20512820512820512</v>
      </c>
      <c r="BH189">
        <f t="shared" si="1"/>
        <v>80</v>
      </c>
      <c r="BI189">
        <f t="shared" si="5"/>
        <v>1</v>
      </c>
      <c r="BJ189">
        <f t="shared" si="6"/>
        <v>1</v>
      </c>
      <c r="BK189">
        <f t="shared" si="7"/>
        <v>80</v>
      </c>
      <c r="BL189">
        <f t="shared" si="8"/>
        <v>1</v>
      </c>
      <c r="BM189">
        <f>IF(ISBLANK(F66),0,1)</f>
        <v>1</v>
      </c>
      <c r="BN189">
        <f>F66</f>
        <v>80</v>
      </c>
      <c r="BO189">
        <v>50</v>
      </c>
      <c r="BP189" t="b">
        <f>ISBLANK(F125)</f>
        <v>1</v>
      </c>
      <c r="BQ189" t="s">
        <v>486</v>
      </c>
      <c r="BR189" t="str">
        <f t="shared" si="2"/>
        <v>Weighting for net benefits</v>
      </c>
      <c r="BS189" t="str">
        <f t="shared" si="3"/>
        <v>Input accepted</v>
      </c>
      <c r="BT189" t="str">
        <f t="shared" si="9"/>
        <v>Yes</v>
      </c>
    </row>
    <row r="190" spans="1:72" x14ac:dyDescent="0.3">
      <c r="BC190" t="s">
        <v>487</v>
      </c>
      <c r="BD190" s="611" t="s">
        <v>478</v>
      </c>
      <c r="BE190" s="611" t="s">
        <v>488</v>
      </c>
      <c r="BF190" s="614">
        <f t="shared" si="0"/>
        <v>3.7037037037037035E-2</v>
      </c>
      <c r="BG190" s="614">
        <f t="shared" si="4"/>
        <v>2.564102564102564E-2</v>
      </c>
      <c r="BH190">
        <f t="shared" si="1"/>
        <v>10</v>
      </c>
      <c r="BI190">
        <f t="shared" si="5"/>
        <v>1</v>
      </c>
      <c r="BJ190">
        <f t="shared" si="6"/>
        <v>1</v>
      </c>
      <c r="BK190">
        <f t="shared" si="7"/>
        <v>10</v>
      </c>
      <c r="BL190">
        <f t="shared" si="8"/>
        <v>1</v>
      </c>
      <c r="BM190">
        <f>IF(ISBLANK(F69),0,1)</f>
        <v>1</v>
      </c>
      <c r="BN190">
        <f>F69</f>
        <v>10</v>
      </c>
      <c r="BO190">
        <v>50</v>
      </c>
      <c r="BP190" t="b">
        <f>ISBLANK(F127)</f>
        <v>1</v>
      </c>
      <c r="BQ190" t="s">
        <v>489</v>
      </c>
      <c r="BR190" t="str">
        <f t="shared" si="2"/>
        <v>Weighting for fertilizer costs</v>
      </c>
      <c r="BS190" t="str">
        <f t="shared" si="3"/>
        <v>Input accepted</v>
      </c>
      <c r="BT190" t="str">
        <f t="shared" si="9"/>
        <v>Yes</v>
      </c>
    </row>
    <row r="191" spans="1:72" x14ac:dyDescent="0.3">
      <c r="BC191" t="s">
        <v>490</v>
      </c>
      <c r="BD191" s="611" t="s">
        <v>478</v>
      </c>
      <c r="BE191" s="611" t="s">
        <v>491</v>
      </c>
      <c r="BF191" s="614">
        <f t="shared" si="0"/>
        <v>3.7037037037037035E-2</v>
      </c>
      <c r="BG191" s="614">
        <f t="shared" si="4"/>
        <v>2.564102564102564E-2</v>
      </c>
      <c r="BH191">
        <f t="shared" si="1"/>
        <v>10</v>
      </c>
      <c r="BI191">
        <f t="shared" si="5"/>
        <v>1</v>
      </c>
      <c r="BJ191">
        <f t="shared" si="6"/>
        <v>1</v>
      </c>
      <c r="BK191">
        <f t="shared" si="7"/>
        <v>10</v>
      </c>
      <c r="BL191">
        <f t="shared" si="8"/>
        <v>1</v>
      </c>
      <c r="BM191">
        <f>IF(ISBLANK(F72),0,1)</f>
        <v>1</v>
      </c>
      <c r="BN191">
        <f>F72</f>
        <v>10</v>
      </c>
      <c r="BO191">
        <v>50</v>
      </c>
      <c r="BP191" t="b">
        <f>ISBLANK(F129)</f>
        <v>1</v>
      </c>
      <c r="BQ191" t="s">
        <v>492</v>
      </c>
      <c r="BR191" t="str">
        <f t="shared" si="2"/>
        <v>Weighting for cost savings</v>
      </c>
      <c r="BS191" t="str">
        <f t="shared" si="3"/>
        <v>Input accepted</v>
      </c>
      <c r="BT191" t="str">
        <f t="shared" si="9"/>
        <v>Yes</v>
      </c>
    </row>
    <row r="192" spans="1:72" x14ac:dyDescent="0.3">
      <c r="BC192" t="s">
        <v>493</v>
      </c>
      <c r="BD192" s="611" t="s">
        <v>478</v>
      </c>
      <c r="BE192" s="611" t="s">
        <v>494</v>
      </c>
      <c r="BF192" s="614">
        <f t="shared" si="0"/>
        <v>3.7037037037037035E-2</v>
      </c>
      <c r="BG192" s="614">
        <f t="shared" si="4"/>
        <v>2.564102564102564E-2</v>
      </c>
      <c r="BH192">
        <f t="shared" si="1"/>
        <v>10</v>
      </c>
      <c r="BI192">
        <f t="shared" si="5"/>
        <v>1</v>
      </c>
      <c r="BJ192">
        <f t="shared" si="6"/>
        <v>1</v>
      </c>
      <c r="BK192">
        <f t="shared" si="7"/>
        <v>10</v>
      </c>
      <c r="BL192">
        <f t="shared" si="8"/>
        <v>1</v>
      </c>
      <c r="BM192">
        <f>IF(ISBLANK(F75),0,1)</f>
        <v>1</v>
      </c>
      <c r="BN192">
        <f>F75</f>
        <v>10</v>
      </c>
      <c r="BO192">
        <v>50</v>
      </c>
      <c r="BP192" t="b">
        <f>ISBLANK(F131)</f>
        <v>1</v>
      </c>
      <c r="BQ192" t="s">
        <v>495</v>
      </c>
      <c r="BR192" t="str">
        <f t="shared" si="2"/>
        <v>Weighting for revenues</v>
      </c>
      <c r="BS192" t="str">
        <f t="shared" si="3"/>
        <v>Input accepted</v>
      </c>
      <c r="BT192" t="str">
        <f t="shared" si="9"/>
        <v>Yes</v>
      </c>
    </row>
    <row r="193" spans="55:72" x14ac:dyDescent="0.3">
      <c r="BC193" t="s">
        <v>496</v>
      </c>
      <c r="BD193" s="611" t="s">
        <v>497</v>
      </c>
      <c r="BE193" s="611" t="s">
        <v>498</v>
      </c>
      <c r="BF193" s="614">
        <f t="shared" ref="BF193:BF198" si="10">BH193/$BH$209</f>
        <v>0.16666666666666666</v>
      </c>
      <c r="BG193" s="614">
        <f t="shared" si="4"/>
        <v>2.564102564102564E-2</v>
      </c>
      <c r="BH193">
        <f t="shared" si="1"/>
        <v>10</v>
      </c>
      <c r="BI193">
        <f t="shared" si="5"/>
        <v>1</v>
      </c>
      <c r="BJ193">
        <f t="shared" si="6"/>
        <v>1</v>
      </c>
      <c r="BK193">
        <f t="shared" si="7"/>
        <v>10</v>
      </c>
      <c r="BL193">
        <f t="shared" si="8"/>
        <v>1</v>
      </c>
      <c r="BM193">
        <f>IF(ISBLANK(F84),0,1)</f>
        <v>1</v>
      </c>
      <c r="BN193">
        <f>F84</f>
        <v>10</v>
      </c>
      <c r="BO193">
        <v>50</v>
      </c>
      <c r="BP193" t="b">
        <f>ISBLANK(F139)</f>
        <v>1</v>
      </c>
      <c r="BQ193" t="s">
        <v>499</v>
      </c>
      <c r="BR193" t="str">
        <f t="shared" si="2"/>
        <v>Weighting for carbon footprint</v>
      </c>
      <c r="BS193" t="str">
        <f t="shared" si="3"/>
        <v>Input accepted</v>
      </c>
      <c r="BT193" t="str">
        <f t="shared" si="9"/>
        <v>Yes</v>
      </c>
    </row>
    <row r="194" spans="55:72" x14ac:dyDescent="0.3">
      <c r="BC194" t="s">
        <v>500</v>
      </c>
      <c r="BD194" s="611" t="s">
        <v>497</v>
      </c>
      <c r="BE194" s="611" t="s">
        <v>501</v>
      </c>
      <c r="BF194" s="614">
        <f t="shared" si="10"/>
        <v>0.16666666666666666</v>
      </c>
      <c r="BG194" s="614">
        <f t="shared" si="4"/>
        <v>2.564102564102564E-2</v>
      </c>
      <c r="BH194">
        <f t="shared" si="1"/>
        <v>10</v>
      </c>
      <c r="BI194">
        <f t="shared" si="5"/>
        <v>1</v>
      </c>
      <c r="BJ194">
        <f t="shared" si="6"/>
        <v>1</v>
      </c>
      <c r="BK194">
        <f t="shared" si="7"/>
        <v>10</v>
      </c>
      <c r="BL194">
        <f t="shared" si="8"/>
        <v>1</v>
      </c>
      <c r="BM194">
        <f>IF(ISBLANK(F87),0,1)</f>
        <v>1</v>
      </c>
      <c r="BN194">
        <f>F87</f>
        <v>10</v>
      </c>
      <c r="BO194">
        <v>50</v>
      </c>
      <c r="BP194" t="b">
        <f>ISBLANK(F141)</f>
        <v>1</v>
      </c>
      <c r="BQ194" t="s">
        <v>502</v>
      </c>
      <c r="BR194" t="str">
        <f t="shared" si="2"/>
        <v>Weighting for energy footprint</v>
      </c>
      <c r="BS194" t="str">
        <f t="shared" si="3"/>
        <v>Input accepted</v>
      </c>
      <c r="BT194" t="str">
        <f t="shared" si="9"/>
        <v>Yes</v>
      </c>
    </row>
    <row r="195" spans="55:72" x14ac:dyDescent="0.3">
      <c r="BC195" t="s">
        <v>503</v>
      </c>
      <c r="BD195" s="611" t="s">
        <v>497</v>
      </c>
      <c r="BE195" s="611" t="s">
        <v>504</v>
      </c>
      <c r="BF195" s="614">
        <f t="shared" si="10"/>
        <v>0.16666666666666666</v>
      </c>
      <c r="BG195" s="614">
        <f t="shared" si="4"/>
        <v>2.564102564102564E-2</v>
      </c>
      <c r="BH195">
        <f t="shared" si="1"/>
        <v>10</v>
      </c>
      <c r="BI195">
        <f t="shared" si="5"/>
        <v>1</v>
      </c>
      <c r="BJ195">
        <f t="shared" si="6"/>
        <v>1</v>
      </c>
      <c r="BK195">
        <f t="shared" si="7"/>
        <v>10</v>
      </c>
      <c r="BL195">
        <f t="shared" si="8"/>
        <v>1</v>
      </c>
      <c r="BM195">
        <f>IF(ISBLANK(F90),0,1)</f>
        <v>1</v>
      </c>
      <c r="BN195">
        <f>F90</f>
        <v>10</v>
      </c>
      <c r="BO195">
        <v>50</v>
      </c>
      <c r="BP195" t="b">
        <f>ISBLANK(F143)</f>
        <v>1</v>
      </c>
      <c r="BQ195" t="s">
        <v>505</v>
      </c>
      <c r="BR195" t="str">
        <f t="shared" si="2"/>
        <v>Weighting for land footprint</v>
      </c>
      <c r="BS195" t="str">
        <f t="shared" si="3"/>
        <v>Input accepted</v>
      </c>
      <c r="BT195" t="str">
        <f t="shared" si="9"/>
        <v>Yes</v>
      </c>
    </row>
    <row r="196" spans="55:72" x14ac:dyDescent="0.3">
      <c r="BC196" t="s">
        <v>506</v>
      </c>
      <c r="BD196" s="611" t="s">
        <v>497</v>
      </c>
      <c r="BE196" s="611" t="s">
        <v>507</v>
      </c>
      <c r="BF196" s="614">
        <f t="shared" si="10"/>
        <v>0.16666666666666666</v>
      </c>
      <c r="BG196" s="614">
        <f t="shared" si="4"/>
        <v>2.564102564102564E-2</v>
      </c>
      <c r="BH196">
        <f t="shared" si="1"/>
        <v>10</v>
      </c>
      <c r="BI196">
        <f t="shared" si="5"/>
        <v>1</v>
      </c>
      <c r="BJ196">
        <f t="shared" si="6"/>
        <v>1</v>
      </c>
      <c r="BK196">
        <f t="shared" si="7"/>
        <v>10</v>
      </c>
      <c r="BL196">
        <f t="shared" si="8"/>
        <v>1</v>
      </c>
      <c r="BM196">
        <f>IF(ISBLANK(F93),0,1)</f>
        <v>1</v>
      </c>
      <c r="BN196">
        <f>F93</f>
        <v>10</v>
      </c>
      <c r="BO196">
        <v>50</v>
      </c>
      <c r="BP196" t="b">
        <f>ISBLANK(F145)</f>
        <v>1</v>
      </c>
      <c r="BQ196" t="s">
        <v>508</v>
      </c>
      <c r="BR196" t="str">
        <f t="shared" si="2"/>
        <v>Weighting for water consumption</v>
      </c>
      <c r="BS196" t="str">
        <f t="shared" si="3"/>
        <v>Input accepted</v>
      </c>
      <c r="BT196" t="str">
        <f t="shared" si="9"/>
        <v>Yes</v>
      </c>
    </row>
    <row r="197" spans="55:72" x14ac:dyDescent="0.3">
      <c r="BC197" t="s">
        <v>509</v>
      </c>
      <c r="BD197" s="611" t="s">
        <v>497</v>
      </c>
      <c r="BE197" s="611" t="s">
        <v>201</v>
      </c>
      <c r="BF197" s="614">
        <f t="shared" si="10"/>
        <v>0.16666666666666666</v>
      </c>
      <c r="BG197" s="614">
        <f t="shared" si="4"/>
        <v>2.564102564102564E-2</v>
      </c>
      <c r="BH197">
        <f t="shared" si="1"/>
        <v>10</v>
      </c>
      <c r="BI197">
        <f t="shared" si="5"/>
        <v>1</v>
      </c>
      <c r="BJ197">
        <f t="shared" si="6"/>
        <v>1</v>
      </c>
      <c r="BK197">
        <f t="shared" si="7"/>
        <v>10</v>
      </c>
      <c r="BL197">
        <f t="shared" si="8"/>
        <v>1</v>
      </c>
      <c r="BM197">
        <f>IF(ISBLANK(F96),0,1)</f>
        <v>1</v>
      </c>
      <c r="BN197">
        <f>F96</f>
        <v>10</v>
      </c>
      <c r="BO197">
        <v>50</v>
      </c>
      <c r="BP197" t="b">
        <f>ISBLANK(F147)</f>
        <v>1</v>
      </c>
      <c r="BQ197" t="s">
        <v>510</v>
      </c>
      <c r="BR197" t="str">
        <f t="shared" si="2"/>
        <v>Weighting for nitrogen footprint</v>
      </c>
      <c r="BS197" t="str">
        <f t="shared" si="3"/>
        <v>Input accepted</v>
      </c>
      <c r="BT197" t="str">
        <f t="shared" si="9"/>
        <v>Yes</v>
      </c>
    </row>
    <row r="198" spans="55:72" x14ac:dyDescent="0.3">
      <c r="BC198" t="s">
        <v>511</v>
      </c>
      <c r="BD198" s="611" t="s">
        <v>497</v>
      </c>
      <c r="BE198" s="611" t="s">
        <v>512</v>
      </c>
      <c r="BF198" s="614">
        <f t="shared" si="10"/>
        <v>0.16666666666666666</v>
      </c>
      <c r="BG198" s="614">
        <f t="shared" si="4"/>
        <v>2.564102564102564E-2</v>
      </c>
      <c r="BH198">
        <f t="shared" si="1"/>
        <v>10</v>
      </c>
      <c r="BI198">
        <f t="shared" si="5"/>
        <v>1</v>
      </c>
      <c r="BJ198">
        <f t="shared" si="6"/>
        <v>1</v>
      </c>
      <c r="BK198">
        <f t="shared" si="7"/>
        <v>10</v>
      </c>
      <c r="BL198">
        <f t="shared" si="8"/>
        <v>1</v>
      </c>
      <c r="BM198">
        <f>IF(ISBLANK(F99),0,1)</f>
        <v>1</v>
      </c>
      <c r="BN198">
        <f>F99</f>
        <v>10</v>
      </c>
      <c r="BO198">
        <v>50</v>
      </c>
      <c r="BP198" t="b">
        <f>ISBLANK(#REF!)</f>
        <v>0</v>
      </c>
      <c r="BQ198" t="s">
        <v>513</v>
      </c>
      <c r="BR198" t="str">
        <f t="shared" si="2"/>
        <v>Weighting for phosporus footprint</v>
      </c>
      <c r="BS198" t="str">
        <f t="shared" si="3"/>
        <v>Input accepted</v>
      </c>
      <c r="BT198" t="str">
        <f t="shared" si="9"/>
        <v>Yes</v>
      </c>
    </row>
    <row r="199" spans="55:72" x14ac:dyDescent="0.3">
      <c r="BC199" t="s">
        <v>514</v>
      </c>
      <c r="BD199" s="611" t="s">
        <v>515</v>
      </c>
      <c r="BE199" s="611" t="s">
        <v>516</v>
      </c>
      <c r="BF199" s="614">
        <f>BH199/$BH$210</f>
        <v>0.16666666666666666</v>
      </c>
      <c r="BG199" s="614">
        <f t="shared" si="4"/>
        <v>2.564102564102564E-2</v>
      </c>
      <c r="BH199">
        <f t="shared" si="1"/>
        <v>10</v>
      </c>
      <c r="BI199">
        <f t="shared" si="5"/>
        <v>1</v>
      </c>
      <c r="BJ199">
        <f t="shared" si="6"/>
        <v>1</v>
      </c>
      <c r="BK199">
        <f t="shared" si="7"/>
        <v>10</v>
      </c>
      <c r="BL199">
        <f t="shared" si="8"/>
        <v>1</v>
      </c>
      <c r="BM199">
        <f>IF(ISBLANK(F108),0,1)</f>
        <v>1</v>
      </c>
      <c r="BN199">
        <f>F108</f>
        <v>10</v>
      </c>
      <c r="BO199">
        <v>50</v>
      </c>
      <c r="BP199" t="b">
        <f>ISBLANK(#REF!)</f>
        <v>0</v>
      </c>
      <c r="BQ199" t="s">
        <v>517</v>
      </c>
      <c r="BR199" t="str">
        <f t="shared" si="2"/>
        <v>Weighting for adoption rate</v>
      </c>
      <c r="BS199" t="str">
        <f t="shared" si="3"/>
        <v>Input accepted</v>
      </c>
      <c r="BT199" t="str">
        <f t="shared" si="9"/>
        <v>Yes</v>
      </c>
    </row>
    <row r="200" spans="55:72" x14ac:dyDescent="0.3">
      <c r="BC200" t="s">
        <v>518</v>
      </c>
      <c r="BD200" s="611" t="s">
        <v>515</v>
      </c>
      <c r="BE200" s="611" t="s">
        <v>519</v>
      </c>
      <c r="BF200" s="614">
        <f t="shared" ref="BF200:BF204" si="11">BH200/$BH$210</f>
        <v>0.16666666666666666</v>
      </c>
      <c r="BG200" s="614">
        <f t="shared" si="4"/>
        <v>2.564102564102564E-2</v>
      </c>
      <c r="BH200">
        <f t="shared" si="1"/>
        <v>10</v>
      </c>
      <c r="BI200">
        <f t="shared" si="5"/>
        <v>1</v>
      </c>
      <c r="BJ200">
        <f t="shared" si="6"/>
        <v>1</v>
      </c>
      <c r="BK200">
        <f t="shared" si="7"/>
        <v>10</v>
      </c>
      <c r="BL200">
        <f t="shared" si="8"/>
        <v>1</v>
      </c>
      <c r="BM200">
        <f>IF(ISBLANK(F111),0,1)</f>
        <v>1</v>
      </c>
      <c r="BN200">
        <f>F111</f>
        <v>10</v>
      </c>
      <c r="BO200">
        <v>50</v>
      </c>
      <c r="BP200" t="b">
        <f>ISBLANK(#REF!)</f>
        <v>0</v>
      </c>
      <c r="BQ200" t="s">
        <v>520</v>
      </c>
      <c r="BR200" t="str">
        <f t="shared" si="2"/>
        <v>Weighting for operational reliability</v>
      </c>
      <c r="BS200" t="str">
        <f t="shared" si="3"/>
        <v>Input accepted</v>
      </c>
      <c r="BT200" t="str">
        <f t="shared" si="9"/>
        <v>Yes</v>
      </c>
    </row>
    <row r="201" spans="55:72" x14ac:dyDescent="0.3">
      <c r="BC201" t="s">
        <v>521</v>
      </c>
      <c r="BD201" s="611" t="s">
        <v>515</v>
      </c>
      <c r="BE201" s="611" t="s">
        <v>522</v>
      </c>
      <c r="BF201" s="614">
        <f t="shared" si="11"/>
        <v>0.16666666666666666</v>
      </c>
      <c r="BG201" s="614">
        <f t="shared" si="4"/>
        <v>2.564102564102564E-2</v>
      </c>
      <c r="BH201">
        <f t="shared" si="1"/>
        <v>10</v>
      </c>
      <c r="BI201">
        <f t="shared" si="5"/>
        <v>1</v>
      </c>
      <c r="BJ201">
        <f t="shared" si="6"/>
        <v>1</v>
      </c>
      <c r="BK201">
        <f t="shared" si="7"/>
        <v>10</v>
      </c>
      <c r="BL201">
        <f t="shared" si="8"/>
        <v>1</v>
      </c>
      <c r="BM201">
        <f>IF(ISBLANK(F114),0,1)</f>
        <v>1</v>
      </c>
      <c r="BN201">
        <f>F114</f>
        <v>10</v>
      </c>
      <c r="BO201">
        <v>50</v>
      </c>
      <c r="BP201" t="b">
        <f>ISBLANK(#REF!)</f>
        <v>0</v>
      </c>
      <c r="BQ201" t="s">
        <v>523</v>
      </c>
      <c r="BR201" t="str">
        <f t="shared" si="2"/>
        <v>Weighting for operational integrity</v>
      </c>
      <c r="BS201" t="str">
        <f t="shared" si="3"/>
        <v>Input accepted</v>
      </c>
      <c r="BT201" t="str">
        <f t="shared" si="9"/>
        <v>Yes</v>
      </c>
    </row>
    <row r="202" spans="55:72" x14ac:dyDescent="0.3">
      <c r="BC202" t="s">
        <v>524</v>
      </c>
      <c r="BD202" s="611" t="s">
        <v>515</v>
      </c>
      <c r="BE202" s="611" t="s">
        <v>525</v>
      </c>
      <c r="BF202" s="614">
        <f t="shared" si="11"/>
        <v>0.16666666666666666</v>
      </c>
      <c r="BG202" s="614">
        <f t="shared" si="4"/>
        <v>2.564102564102564E-2</v>
      </c>
      <c r="BH202">
        <f t="shared" si="1"/>
        <v>10</v>
      </c>
      <c r="BI202">
        <f t="shared" si="5"/>
        <v>1</v>
      </c>
      <c r="BJ202">
        <f t="shared" si="6"/>
        <v>1</v>
      </c>
      <c r="BK202">
        <f t="shared" si="7"/>
        <v>10</v>
      </c>
      <c r="BL202">
        <f t="shared" si="8"/>
        <v>1</v>
      </c>
      <c r="BM202">
        <f>IF(ISBLANK(F117),0,1)</f>
        <v>1</v>
      </c>
      <c r="BN202">
        <f>F117</f>
        <v>10</v>
      </c>
      <c r="BO202">
        <v>50</v>
      </c>
      <c r="BP202" t="b">
        <f>ISBLANK(#REF!)</f>
        <v>0</v>
      </c>
      <c r="BQ202" t="s">
        <v>526</v>
      </c>
      <c r="BR202" t="str">
        <f t="shared" ref="BR202:BR203" si="12">INDEX(UD_Desc, MATCH(BC202,UDN,0))</f>
        <v>Weighting for labor hours requirement</v>
      </c>
      <c r="BS202" t="str">
        <f t="shared" si="3"/>
        <v>Input accepted</v>
      </c>
      <c r="BT202" t="str">
        <f t="shared" si="9"/>
        <v>Yes</v>
      </c>
    </row>
    <row r="203" spans="55:72" x14ac:dyDescent="0.3">
      <c r="BC203" t="s">
        <v>527</v>
      </c>
      <c r="BD203" s="611" t="s">
        <v>515</v>
      </c>
      <c r="BE203" s="611" t="s">
        <v>528</v>
      </c>
      <c r="BF203" s="614">
        <f t="shared" si="11"/>
        <v>0.16666666666666666</v>
      </c>
      <c r="BG203" s="614">
        <f t="shared" si="4"/>
        <v>2.564102564102564E-2</v>
      </c>
      <c r="BH203">
        <f t="shared" si="1"/>
        <v>10</v>
      </c>
      <c r="BI203">
        <f t="shared" si="5"/>
        <v>1</v>
      </c>
      <c r="BJ203">
        <f t="shared" si="6"/>
        <v>1</v>
      </c>
      <c r="BK203">
        <f t="shared" si="7"/>
        <v>10</v>
      </c>
      <c r="BL203">
        <f t="shared" si="8"/>
        <v>1</v>
      </c>
      <c r="BM203">
        <f>IF(ISBLANK(F120),0,1)</f>
        <v>1</v>
      </c>
      <c r="BN203">
        <f>F120</f>
        <v>10</v>
      </c>
      <c r="BO203">
        <v>50</v>
      </c>
      <c r="BP203" t="b">
        <f>ISBLANK(#REF!)</f>
        <v>0</v>
      </c>
      <c r="BQ203" t="s">
        <v>529</v>
      </c>
      <c r="BR203" t="str">
        <f t="shared" si="12"/>
        <v>Weighting for land required for manure application</v>
      </c>
      <c r="BS203" t="str">
        <f t="shared" si="3"/>
        <v>Input accepted</v>
      </c>
      <c r="BT203" t="str">
        <f t="shared" si="9"/>
        <v>Yes</v>
      </c>
    </row>
    <row r="204" spans="55:72" x14ac:dyDescent="0.3">
      <c r="BC204" t="s">
        <v>530</v>
      </c>
      <c r="BD204" s="612" t="s">
        <v>515</v>
      </c>
      <c r="BE204" s="612" t="s">
        <v>531</v>
      </c>
      <c r="BF204" s="614">
        <f t="shared" si="11"/>
        <v>0.16666666666666666</v>
      </c>
      <c r="BG204" s="614">
        <f t="shared" si="4"/>
        <v>2.564102564102564E-2</v>
      </c>
      <c r="BH204">
        <f t="shared" si="1"/>
        <v>10</v>
      </c>
      <c r="BI204">
        <f t="shared" si="5"/>
        <v>1</v>
      </c>
      <c r="BJ204">
        <f t="shared" si="6"/>
        <v>1</v>
      </c>
      <c r="BK204">
        <f t="shared" si="7"/>
        <v>10</v>
      </c>
      <c r="BL204">
        <f t="shared" si="8"/>
        <v>1</v>
      </c>
      <c r="BM204">
        <f>IF(ISBLANK(F123),0,1)</f>
        <v>1</v>
      </c>
      <c r="BN204">
        <f>F123</f>
        <v>10</v>
      </c>
      <c r="BO204">
        <v>50</v>
      </c>
      <c r="BP204" t="b">
        <f>ISBLANK(#REF!)</f>
        <v>0</v>
      </c>
      <c r="BQ204" t="s">
        <v>532</v>
      </c>
      <c r="BR204" t="str">
        <f t="shared" ref="BR204" si="13">INDEX(UD_Desc, MATCH(BC204,UDN,0))</f>
        <v>Weighting for transportability of manure</v>
      </c>
      <c r="BS204" t="str">
        <f t="shared" si="3"/>
        <v>Input accepted</v>
      </c>
      <c r="BT204" t="str">
        <f t="shared" si="9"/>
        <v>Yes</v>
      </c>
    </row>
    <row r="206" spans="55:72" x14ac:dyDescent="0.3">
      <c r="BD206" s="613"/>
      <c r="BE206" s="613"/>
      <c r="BF206" s="613"/>
      <c r="BG206" s="613"/>
      <c r="BH206" s="613"/>
    </row>
    <row r="207" spans="55:72" x14ac:dyDescent="0.3">
      <c r="BD207" s="613"/>
      <c r="BE207" s="613"/>
      <c r="BF207" s="613"/>
      <c r="BG207" s="613"/>
      <c r="BH207" s="613"/>
      <c r="BQ207" s="82" t="s">
        <v>127</v>
      </c>
      <c r="BS207">
        <f>COUNTIF(BS187:BS204,"Input invalid, using default")</f>
        <v>0</v>
      </c>
    </row>
    <row r="208" spans="55:72" x14ac:dyDescent="0.3">
      <c r="BD208" s="613" t="s">
        <v>478</v>
      </c>
      <c r="BE208" s="613" t="s">
        <v>533</v>
      </c>
      <c r="BF208" s="613"/>
      <c r="BG208" s="613"/>
      <c r="BH208" s="613">
        <f>SUM(BH187:BH192)</f>
        <v>270</v>
      </c>
      <c r="BQ208" t="s">
        <v>534</v>
      </c>
    </row>
    <row r="209" spans="56:69" x14ac:dyDescent="0.3">
      <c r="BD209" s="613" t="s">
        <v>497</v>
      </c>
      <c r="BE209" s="613" t="s">
        <v>533</v>
      </c>
      <c r="BF209" s="613"/>
      <c r="BG209" s="613"/>
      <c r="BH209" s="613">
        <f>SUM(BH193:BH198)</f>
        <v>60</v>
      </c>
      <c r="BQ209" t="s">
        <v>131</v>
      </c>
    </row>
    <row r="210" spans="56:69" x14ac:dyDescent="0.3">
      <c r="BD210" s="613" t="s">
        <v>515</v>
      </c>
      <c r="BE210" s="613" t="s">
        <v>533</v>
      </c>
      <c r="BF210" s="613"/>
      <c r="BG210" s="613"/>
      <c r="BH210" s="613">
        <f>SUM(BH199:BH204)</f>
        <v>60</v>
      </c>
    </row>
    <row r="211" spans="56:69" x14ac:dyDescent="0.3">
      <c r="BD211" s="613" t="s">
        <v>315</v>
      </c>
      <c r="BE211" s="613" t="s">
        <v>533</v>
      </c>
      <c r="BF211" s="613"/>
      <c r="BG211" s="613"/>
      <c r="BH211" s="613">
        <f>SUM(BH208:BH210)</f>
        <v>390</v>
      </c>
      <c r="BQ211" t="str">
        <f>IF(BS207&gt;0,BQ209,BQ208)</f>
        <v>You have answered all of the questions for this page. Press the "Next Page" button to move to the scenario choices page, where you can choose specific scenarios to display in the results.</v>
      </c>
    </row>
    <row r="232" spans="58:59" x14ac:dyDescent="0.3">
      <c r="BF232" t="s">
        <v>535</v>
      </c>
    </row>
    <row r="233" spans="58:59" x14ac:dyDescent="0.3">
      <c r="BF233" s="613" t="s">
        <v>536</v>
      </c>
      <c r="BG233" s="613" t="s">
        <v>536</v>
      </c>
    </row>
    <row r="234" spans="58:59" x14ac:dyDescent="0.3">
      <c r="BF234" s="613" t="s">
        <v>537</v>
      </c>
      <c r="BG234" s="613" t="s">
        <v>537</v>
      </c>
    </row>
    <row r="235" spans="58:59" x14ac:dyDescent="0.3">
      <c r="BF235" s="613" t="s">
        <v>538</v>
      </c>
      <c r="BG235" s="613" t="s">
        <v>538</v>
      </c>
    </row>
    <row r="236" spans="58:59" x14ac:dyDescent="0.3">
      <c r="BF236" s="613" t="s">
        <v>539</v>
      </c>
      <c r="BG236" s="613" t="s">
        <v>539</v>
      </c>
    </row>
    <row r="237" spans="58:59" x14ac:dyDescent="0.3">
      <c r="BF237" s="613" t="s">
        <v>540</v>
      </c>
      <c r="BG237" s="613" t="s">
        <v>540</v>
      </c>
    </row>
    <row r="238" spans="58:59" x14ac:dyDescent="0.3">
      <c r="BF238" s="613" t="s">
        <v>541</v>
      </c>
      <c r="BG238" s="613" t="s">
        <v>541</v>
      </c>
    </row>
    <row r="239" spans="58:59" x14ac:dyDescent="0.3">
      <c r="BF239" s="613" t="s">
        <v>542</v>
      </c>
      <c r="BG239" s="613" t="s">
        <v>542</v>
      </c>
    </row>
    <row r="240" spans="58:59" x14ac:dyDescent="0.3">
      <c r="BF240" s="613" t="s">
        <v>543</v>
      </c>
      <c r="BG240" s="613" t="s">
        <v>543</v>
      </c>
    </row>
    <row r="241" spans="58:59" x14ac:dyDescent="0.3">
      <c r="BF241" s="613" t="s">
        <v>544</v>
      </c>
      <c r="BG241" s="613" t="s">
        <v>544</v>
      </c>
    </row>
    <row r="242" spans="58:59" x14ac:dyDescent="0.3">
      <c r="BF242" s="613" t="s">
        <v>545</v>
      </c>
      <c r="BG242" s="613" t="s">
        <v>545</v>
      </c>
    </row>
    <row r="243" spans="58:59" x14ac:dyDescent="0.3">
      <c r="BF243" s="613" t="s">
        <v>546</v>
      </c>
      <c r="BG243" s="613" t="s">
        <v>546</v>
      </c>
    </row>
    <row r="244" spans="58:59" x14ac:dyDescent="0.3">
      <c r="BF244" s="613" t="s">
        <v>547</v>
      </c>
      <c r="BG244" s="613" t="s">
        <v>547</v>
      </c>
    </row>
    <row r="245" spans="58:59" x14ac:dyDescent="0.3">
      <c r="BF245" s="613">
        <v>203864</v>
      </c>
      <c r="BG245" s="613">
        <v>203864</v>
      </c>
    </row>
    <row r="246" spans="58:59" x14ac:dyDescent="0.3">
      <c r="BF246" s="613" t="s">
        <v>548</v>
      </c>
      <c r="BG246" s="613" t="s">
        <v>548</v>
      </c>
    </row>
  </sheetData>
  <mergeCells count="152">
    <mergeCell ref="D130:K137"/>
    <mergeCell ref="D139:K146"/>
    <mergeCell ref="D120:E122"/>
    <mergeCell ref="F120:G122"/>
    <mergeCell ref="H120:I122"/>
    <mergeCell ref="J120:K122"/>
    <mergeCell ref="D123:E125"/>
    <mergeCell ref="F123:G125"/>
    <mergeCell ref="H123:I125"/>
    <mergeCell ref="J123:K125"/>
    <mergeCell ref="D114:E116"/>
    <mergeCell ref="F114:G116"/>
    <mergeCell ref="H114:I116"/>
    <mergeCell ref="J114:K116"/>
    <mergeCell ref="D117:E119"/>
    <mergeCell ref="F117:G119"/>
    <mergeCell ref="H117:I119"/>
    <mergeCell ref="J117:K119"/>
    <mergeCell ref="D108:E110"/>
    <mergeCell ref="F108:G110"/>
    <mergeCell ref="H108:I110"/>
    <mergeCell ref="J108:K110"/>
    <mergeCell ref="D111:E113"/>
    <mergeCell ref="F111:G113"/>
    <mergeCell ref="H111:I113"/>
    <mergeCell ref="J111:K113"/>
    <mergeCell ref="D103:K106"/>
    <mergeCell ref="D107:E107"/>
    <mergeCell ref="F107:G107"/>
    <mergeCell ref="H107:I107"/>
    <mergeCell ref="J107:K107"/>
    <mergeCell ref="D96:E98"/>
    <mergeCell ref="F96:G98"/>
    <mergeCell ref="H96:I98"/>
    <mergeCell ref="J96:K98"/>
    <mergeCell ref="D99:E101"/>
    <mergeCell ref="F99:G101"/>
    <mergeCell ref="H99:I101"/>
    <mergeCell ref="J99:K101"/>
    <mergeCell ref="D90:E92"/>
    <mergeCell ref="F90:G92"/>
    <mergeCell ref="H90:I92"/>
    <mergeCell ref="J90:K92"/>
    <mergeCell ref="D93:E95"/>
    <mergeCell ref="F93:G95"/>
    <mergeCell ref="H93:I95"/>
    <mergeCell ref="J93:K95"/>
    <mergeCell ref="D84:E86"/>
    <mergeCell ref="F84:G86"/>
    <mergeCell ref="H84:I86"/>
    <mergeCell ref="J84:K86"/>
    <mergeCell ref="D87:E89"/>
    <mergeCell ref="F87:G89"/>
    <mergeCell ref="H87:I89"/>
    <mergeCell ref="J87:K89"/>
    <mergeCell ref="D79:K82"/>
    <mergeCell ref="D83:E83"/>
    <mergeCell ref="F83:G83"/>
    <mergeCell ref="H83:I83"/>
    <mergeCell ref="J83:K83"/>
    <mergeCell ref="D72:E74"/>
    <mergeCell ref="F72:G74"/>
    <mergeCell ref="H72:I74"/>
    <mergeCell ref="J72:K74"/>
    <mergeCell ref="D75:E77"/>
    <mergeCell ref="F75:G77"/>
    <mergeCell ref="H75:I77"/>
    <mergeCell ref="J75:K77"/>
    <mergeCell ref="D66:E68"/>
    <mergeCell ref="F66:G68"/>
    <mergeCell ref="H66:I68"/>
    <mergeCell ref="J66:K68"/>
    <mergeCell ref="D69:E71"/>
    <mergeCell ref="F69:G71"/>
    <mergeCell ref="H69:I71"/>
    <mergeCell ref="J69:K71"/>
    <mergeCell ref="D60:E62"/>
    <mergeCell ref="F60:G62"/>
    <mergeCell ref="H60:I62"/>
    <mergeCell ref="J60:K62"/>
    <mergeCell ref="D63:E65"/>
    <mergeCell ref="F63:G65"/>
    <mergeCell ref="H63:I65"/>
    <mergeCell ref="J63:K65"/>
    <mergeCell ref="K42:R45"/>
    <mergeCell ref="E47:R53"/>
    <mergeCell ref="D55:K58"/>
    <mergeCell ref="D59:E59"/>
    <mergeCell ref="F59:G59"/>
    <mergeCell ref="H59:I59"/>
    <mergeCell ref="J59:K59"/>
    <mergeCell ref="E18:R24"/>
    <mergeCell ref="E26:R29"/>
    <mergeCell ref="E30:J30"/>
    <mergeCell ref="K30:R30"/>
    <mergeCell ref="E31:J34"/>
    <mergeCell ref="K31:R34"/>
    <mergeCell ref="L35:M35"/>
    <mergeCell ref="N35:P35"/>
    <mergeCell ref="Q35:R35"/>
    <mergeCell ref="E37:R40"/>
    <mergeCell ref="E41:J41"/>
    <mergeCell ref="K41:R41"/>
    <mergeCell ref="E42:J45"/>
    <mergeCell ref="D11:S16"/>
    <mergeCell ref="M5:N7"/>
    <mergeCell ref="I5:J7"/>
    <mergeCell ref="O5:P7"/>
    <mergeCell ref="K5:L7"/>
    <mergeCell ref="G5:H7"/>
    <mergeCell ref="F2:G4"/>
    <mergeCell ref="H2:I4"/>
    <mergeCell ref="J2:K4"/>
    <mergeCell ref="L2:M4"/>
    <mergeCell ref="N2:O4"/>
    <mergeCell ref="P2:Q4"/>
    <mergeCell ref="C4:D6"/>
    <mergeCell ref="S4:T6"/>
    <mergeCell ref="M142:M143"/>
    <mergeCell ref="N142:T143"/>
    <mergeCell ref="M132:M133"/>
    <mergeCell ref="N132:T133"/>
    <mergeCell ref="M134:M135"/>
    <mergeCell ref="N134:T135"/>
    <mergeCell ref="M136:M137"/>
    <mergeCell ref="N136:T137"/>
    <mergeCell ref="M144:M145"/>
    <mergeCell ref="N144:T145"/>
    <mergeCell ref="F153:G155"/>
    <mergeCell ref="H153:I155"/>
    <mergeCell ref="J153:K155"/>
    <mergeCell ref="L153:M155"/>
    <mergeCell ref="N153:O155"/>
    <mergeCell ref="P153:Q155"/>
    <mergeCell ref="C155:D157"/>
    <mergeCell ref="S155:T157"/>
    <mergeCell ref="N127:T127"/>
    <mergeCell ref="M128:M129"/>
    <mergeCell ref="N128:T129"/>
    <mergeCell ref="M130:M131"/>
    <mergeCell ref="N130:T131"/>
    <mergeCell ref="G156:H158"/>
    <mergeCell ref="I156:J158"/>
    <mergeCell ref="K156:L158"/>
    <mergeCell ref="M156:N158"/>
    <mergeCell ref="O156:P158"/>
    <mergeCell ref="M146:M147"/>
    <mergeCell ref="N146:T147"/>
    <mergeCell ref="M138:M139"/>
    <mergeCell ref="N138:T139"/>
    <mergeCell ref="M140:M141"/>
    <mergeCell ref="N140:T141"/>
  </mergeCells>
  <conditionalFormatting sqref="D60:E77 H60:K77 D84:E101 H84:K101 D108:E125 H108:K125">
    <cfRule type="expression" dxfId="0" priority="1">
      <formula>$J60="Input invalid, using default"</formula>
    </cfRule>
  </conditionalFormatting>
  <dataValidations count="2">
    <dataValidation type="list" allowBlank="1" showInputMessage="1" showErrorMessage="1" sqref="K42" xr:uid="{5547E416-5BA8-4BA6-A114-3185CE642EAC}">
      <formula1>DROPS.u.env_results_type</formula1>
    </dataValidation>
    <dataValidation type="list" allowBlank="1" showInputMessage="1" showErrorMessage="1" sqref="K31:R34" xr:uid="{1D3CEA02-1CEE-4B94-BF03-C6BDFB67FE1B}">
      <formula1>DROPS.econ_manure.export_concern</formula1>
    </dataValidation>
  </dataValidations>
  <hyperlinks>
    <hyperlink ref="F2:G4" location="UI.Welcome!A1" tooltip="Click to go to welcome page" display="Welcome Page" xr:uid="{7DCA68E6-5D08-4FB6-9FD2-5078CD3040DC}"/>
    <hyperlink ref="H2:I4" location="UI.Farm!A1" tooltip="Click to go to farm inputs page" display="Farm Info" xr:uid="{29362438-4327-44C7-89E5-35841CB171F9}"/>
    <hyperlink ref="I5:J7" location="UI.OpExpenses!A1" tooltip="Click to go to operational expenses page" display="Operational Expenses" xr:uid="{ED518EE6-0905-4295-8515-2AD57A5F8656}"/>
    <hyperlink ref="J2:K4" location="UI.Animals!A1" tooltip="Click to go to animals input page" display="Animals" xr:uid="{7B29B393-B13C-4A84-9F7C-8FCDDE29252F}"/>
    <hyperlink ref="P2:Q4" location="UI.Tractor!A1" tooltip="Click to go to tractor properties" display="Tractor Properties" xr:uid="{970093CA-CF35-4735-8AA9-C18EEA1942D1}"/>
    <hyperlink ref="N2:O4" location="UI.Streams!A1" tooltip="Click to go to the excess manure page" display="Excess Manure Streams" xr:uid="{1297C40A-C81F-488F-9D19-38C755C48133}"/>
    <hyperlink ref="G5:H7" location="UI.Cap!A1" tooltip="Click to go to capital expenses page" display="Capital Expenses" xr:uid="{20B178CC-FD34-4EB7-9763-3A334A432C0C}"/>
    <hyperlink ref="L2:M4" location="UI.Manure!A1" tooltip="Click to go to the manure characteristics page" display="Manure Characteristics" xr:uid="{E68BDF0A-21B6-47F2-9A7C-A288E95518E2}"/>
    <hyperlink ref="O5:P7" location="UI.Inputs!A1" tooltip="Click to go to input results summary" display="Inputs Summary" xr:uid="{F6CF5DA3-3CA3-49CC-8A7D-A751A4ED360F}"/>
    <hyperlink ref="C4:D6" location="Results.Summary!A1" tooltip="Click to go to results summary page" display="Results Summary" xr:uid="{E3B95D5C-965A-48FB-A330-A8B3FE405B3E}"/>
    <hyperlink ref="K5:L7" location="UI.Priorities!A1" tooltip="Click to go to priorities page" display="Priorities" xr:uid="{6ACC4C47-85CD-4630-AD17-4BFFB652C9BC}"/>
    <hyperlink ref="M5:N7" location="UI.Choice!A1" tooltip="Click to go to scenario choice page" display="Scenario Choices" xr:uid="{AEAD2B40-D2B6-4C93-A45C-3B2669B9A943}"/>
    <hyperlink ref="S4:T6" location="UI.Choice!A1" tooltip="Click to go to scenario choice page" display="Scenario Choices" xr:uid="{32A3B22B-A61A-4CD3-9B80-C09DD4E8FCFC}"/>
    <hyperlink ref="F153:G155" location="UI.Welcome!A1" tooltip="Click to go to welcome page" display="Welcome Page" xr:uid="{E96ED6A3-1140-4AB2-97E3-F65E3C5A8890}"/>
    <hyperlink ref="H153:I155" location="UI.Farm!A1" tooltip="Click to go to farm inputs page" display="Farm Info" xr:uid="{B83F6BA5-21B2-4705-85E6-3ABD3250C9F9}"/>
    <hyperlink ref="I156:J158" location="UI.OpExpenses!A1" tooltip="Click to go to operational expenses page" display="Operational Expenses" xr:uid="{60A9CB40-B2E8-4BB8-A651-C1D77FE0B6EE}"/>
    <hyperlink ref="J153:K155" location="UI.Animals!A1" tooltip="Click to go to animals input page" display="Animals" xr:uid="{7DDA0DCB-6D92-41BF-BAEE-4E1F96989AA1}"/>
    <hyperlink ref="P153:Q155" location="UI.Tractor!A1" tooltip="Click to go to tractor properties" display="Tractor Properties" xr:uid="{76CBA292-F2EB-4259-AB8D-EE5090B469EE}"/>
    <hyperlink ref="N153:O155" location="UI.Streams!A1" tooltip="Click to go to the excess manure page" display="Excess Manure Streams" xr:uid="{AC0A7A90-2F73-4EF1-927B-88C28A80709F}"/>
    <hyperlink ref="G156:H158" location="UI.Cap!A1" tooltip="Click to go to capital expenses page" display="Capital Expenses" xr:uid="{E9F9197A-543F-4BE0-8E21-1E9B5813B3DA}"/>
    <hyperlink ref="L153:M155" location="UI.Manure!A1" tooltip="Click to go to the manure characteristics page" display="Manure Characteristics" xr:uid="{6E9CFDDC-BAC3-4BF7-8466-D7159B223E12}"/>
    <hyperlink ref="O156:P158" location="UI.Inputs!A1" tooltip="Click to go to input results summary" display="Inputs Summary" xr:uid="{78D979A4-7947-4A31-B160-D578B2E94205}"/>
    <hyperlink ref="C155:D157" location="Results.Summary!A1" tooltip="Click to go to results summary page" display="Results Summary" xr:uid="{0A76D640-C96B-4356-989A-B2C5FF0BAE61}"/>
    <hyperlink ref="K156:L158" location="UI.Priorities!A1" tooltip="Click to go to priorities page" display="Priorities" xr:uid="{FC737B8A-5C84-4EA2-B49D-54F9970B1FAB}"/>
    <hyperlink ref="M156:N158" location="UI.Choice!A1" tooltip="Click to go to scenario choice page" display="Scenario Choices" xr:uid="{DECFEBA9-D8EF-4F3F-A3B9-2C1DA470F410}"/>
    <hyperlink ref="S155:T157" location="UI.Choice!A1" tooltip="Click to go to scenario choice page" display="Scenario Choices" xr:uid="{78CEAE8A-7C28-4B3A-ABA8-D9FB1E64A647}"/>
  </hyperlinks>
  <printOptions horizontalCentered="1" verticalCentered="1"/>
  <pageMargins left="0.7" right="0.7" top="0.75" bottom="0.75" header="0.3" footer="0.3"/>
  <pageSetup scale="45" orientation="portrait" r:id="rId1"/>
  <rowBreaks count="1" manualBreakCount="1">
    <brk id="53" min="2"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3953-FA4E-450B-BBB0-1414673D68F8}">
  <sheetPr codeName="Sheet16">
    <tabColor rgb="FF00B0F0"/>
  </sheetPr>
  <dimension ref="A1:BL107"/>
  <sheetViews>
    <sheetView workbookViewId="0">
      <selection activeCell="O5" sqref="O5:P7"/>
    </sheetView>
  </sheetViews>
  <sheetFormatPr defaultColWidth="9.44140625" defaultRowHeight="15" customHeight="1" x14ac:dyDescent="0.3"/>
  <cols>
    <col min="1" max="2" width="2.5546875" customWidth="1"/>
    <col min="3" max="22" width="9.44140625" customWidth="1"/>
    <col min="23" max="24" width="2.5546875" customWidth="1"/>
    <col min="25" max="52" width="9.44140625" customWidth="1"/>
    <col min="54" max="54" width="39.44140625" customWidth="1"/>
    <col min="55" max="55" width="75.6640625" bestFit="1" customWidth="1"/>
    <col min="56" max="56" width="38.33203125" customWidth="1"/>
    <col min="58" max="58" width="17.5546875" customWidth="1"/>
    <col min="59" max="59" width="14.88671875" customWidth="1"/>
    <col min="60" max="60" width="13.6640625" customWidth="1"/>
    <col min="61" max="61" width="10.5546875" customWidth="1"/>
    <col min="62" max="62" width="18.44140625" bestFit="1" customWidth="1"/>
    <col min="63" max="63" width="11.109375" bestFit="1" customWidth="1"/>
    <col min="64" max="64" width="14.109375" bestFit="1" customWidth="1"/>
  </cols>
  <sheetData>
    <row r="1" spans="1:36" ht="15" customHeight="1"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45" t="s">
        <v>5</v>
      </c>
      <c r="Q2" s="2346"/>
      <c r="R2" s="1739"/>
      <c r="S2" s="926"/>
      <c r="T2" s="926"/>
      <c r="U2" s="925"/>
      <c r="V2" s="925"/>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47"/>
      <c r="Q3" s="2348"/>
      <c r="R3" s="1739"/>
      <c r="S3" s="926"/>
      <c r="T3" s="926"/>
      <c r="U3" s="925"/>
      <c r="V3" s="925"/>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49"/>
      <c r="Q4" s="2350"/>
      <c r="R4" s="926"/>
      <c r="S4" s="2719" t="s">
        <v>7</v>
      </c>
      <c r="T4" s="2720"/>
      <c r="U4" s="925"/>
      <c r="V4" s="925"/>
      <c r="W4" s="926"/>
      <c r="X4" s="926"/>
      <c r="Y4" s="926"/>
      <c r="Z4" s="926"/>
      <c r="AA4" s="926"/>
      <c r="AB4" s="926"/>
      <c r="AC4" s="926"/>
      <c r="AD4" s="926"/>
      <c r="AE4" s="926"/>
      <c r="AF4" s="926"/>
      <c r="AG4" s="926"/>
      <c r="AH4" s="926"/>
      <c r="AI4" s="926"/>
      <c r="AJ4" s="926"/>
    </row>
    <row r="5" spans="1:36" ht="15" customHeight="1" thickBot="1" x14ac:dyDescent="0.35">
      <c r="A5" s="926"/>
      <c r="B5" s="926"/>
      <c r="C5" s="2352"/>
      <c r="D5" s="2353"/>
      <c r="E5" s="923"/>
      <c r="F5" s="926"/>
      <c r="G5" s="2345" t="s">
        <v>8</v>
      </c>
      <c r="H5" s="2346"/>
      <c r="I5" s="2345" t="s">
        <v>9</v>
      </c>
      <c r="J5" s="2346"/>
      <c r="K5" s="2345" t="s">
        <v>10</v>
      </c>
      <c r="L5" s="2346"/>
      <c r="M5" s="2362" t="s">
        <v>11</v>
      </c>
      <c r="N5" s="2363"/>
      <c r="O5" s="2345" t="s">
        <v>12</v>
      </c>
      <c r="P5" s="2346"/>
      <c r="Q5" s="926"/>
      <c r="R5" s="926"/>
      <c r="S5" s="2721"/>
      <c r="T5" s="2722"/>
      <c r="U5" s="984"/>
      <c r="V5" s="984"/>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64"/>
      <c r="N6" s="2365"/>
      <c r="O6" s="2347"/>
      <c r="P6" s="2348"/>
      <c r="Q6" s="926"/>
      <c r="R6" s="926"/>
      <c r="S6" s="2723"/>
      <c r="T6" s="2724"/>
      <c r="U6" s="984"/>
      <c r="V6" s="984"/>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66"/>
      <c r="N7" s="2367"/>
      <c r="O7" s="2349"/>
      <c r="P7" s="2350"/>
      <c r="Q7" s="923"/>
      <c r="R7" s="923"/>
      <c r="S7" s="926"/>
      <c r="T7" s="926"/>
      <c r="U7" s="984"/>
      <c r="V7" s="984"/>
      <c r="W7" s="926"/>
      <c r="X7" s="926"/>
      <c r="Y7" s="926"/>
      <c r="Z7" s="926"/>
      <c r="AA7" s="926"/>
      <c r="AB7" s="926"/>
      <c r="AC7" s="926"/>
      <c r="AD7" s="926"/>
      <c r="AE7" s="926"/>
      <c r="AF7" s="926"/>
      <c r="AG7" s="926"/>
      <c r="AH7" s="926"/>
      <c r="AI7" s="926"/>
      <c r="AJ7" s="926"/>
    </row>
    <row r="8" spans="1:36" ht="15" customHeight="1" x14ac:dyDescent="0.3">
      <c r="A8" s="926"/>
      <c r="B8" s="926"/>
      <c r="C8" s="984"/>
      <c r="D8" s="984"/>
      <c r="E8" s="984"/>
      <c r="F8" s="984"/>
      <c r="G8" s="984"/>
      <c r="H8" s="984"/>
      <c r="I8" s="984"/>
      <c r="J8" s="984"/>
      <c r="K8" s="984"/>
      <c r="L8" s="984"/>
      <c r="M8" s="984"/>
      <c r="N8" s="984"/>
      <c r="O8" s="984"/>
      <c r="P8" s="984"/>
      <c r="Q8" s="984"/>
      <c r="R8" s="984"/>
      <c r="S8" s="984"/>
      <c r="T8" s="984"/>
      <c r="U8" s="984"/>
      <c r="V8" s="984"/>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609"/>
      <c r="W9" s="609"/>
      <c r="X9" s="926"/>
      <c r="Y9" s="926"/>
      <c r="Z9" s="926"/>
      <c r="AA9" s="926"/>
      <c r="AB9" s="926"/>
      <c r="AC9" s="926"/>
      <c r="AD9" s="926"/>
      <c r="AE9" s="926"/>
      <c r="AF9" s="926"/>
      <c r="AG9" s="926"/>
      <c r="AH9" s="926"/>
      <c r="AI9" s="926"/>
      <c r="AJ9" s="926"/>
    </row>
    <row r="10" spans="1:36" ht="15" customHeight="1" x14ac:dyDescent="0.6">
      <c r="A10" s="926"/>
      <c r="B10" s="609"/>
      <c r="C10" s="959"/>
      <c r="D10" s="1000"/>
      <c r="E10" s="1000"/>
      <c r="F10" s="1000"/>
      <c r="G10" s="1000"/>
      <c r="H10" s="1000"/>
      <c r="I10" s="1000"/>
      <c r="J10" s="1000"/>
      <c r="K10" s="1000"/>
      <c r="L10" s="1000"/>
      <c r="M10" s="1000"/>
      <c r="N10" s="960"/>
      <c r="O10" s="960"/>
      <c r="P10" s="960"/>
      <c r="Q10" s="960"/>
      <c r="R10" s="960"/>
      <c r="S10" s="960"/>
      <c r="T10" s="960"/>
      <c r="U10" s="960"/>
      <c r="V10" s="961"/>
      <c r="W10" s="609"/>
      <c r="X10" s="926"/>
      <c r="Y10" s="926"/>
      <c r="Z10" s="926"/>
      <c r="AA10" s="926"/>
      <c r="AB10" s="926"/>
      <c r="AC10" s="926"/>
      <c r="AD10" s="926"/>
      <c r="AE10" s="926"/>
      <c r="AF10" s="926"/>
      <c r="AG10" s="926"/>
      <c r="AH10" s="926"/>
      <c r="AI10" s="926"/>
      <c r="AJ10" s="926"/>
    </row>
    <row r="11" spans="1:36" ht="15" customHeight="1" x14ac:dyDescent="0.6">
      <c r="A11" s="926"/>
      <c r="B11" s="609"/>
      <c r="C11" s="962"/>
      <c r="D11" s="1042"/>
      <c r="E11" s="2495" t="s">
        <v>11</v>
      </c>
      <c r="F11" s="2495"/>
      <c r="G11" s="2495"/>
      <c r="H11" s="2495"/>
      <c r="I11" s="2495"/>
      <c r="J11" s="2495"/>
      <c r="K11" s="2495"/>
      <c r="L11" s="2495"/>
      <c r="M11" s="2495"/>
      <c r="N11" s="2495"/>
      <c r="O11" s="2495"/>
      <c r="P11" s="2495"/>
      <c r="Q11" s="2495"/>
      <c r="R11" s="2495"/>
      <c r="S11" s="2495"/>
      <c r="T11" s="2495"/>
      <c r="U11" s="40"/>
      <c r="V11" s="963"/>
      <c r="W11" s="609"/>
      <c r="X11" s="926"/>
      <c r="Y11" s="926"/>
      <c r="Z11" s="926"/>
      <c r="AA11" s="926"/>
      <c r="AB11" s="926"/>
      <c r="AC11" s="926"/>
      <c r="AD11" s="926"/>
      <c r="AE11" s="926"/>
      <c r="AF11" s="926"/>
      <c r="AG11" s="926"/>
      <c r="AH11" s="926"/>
      <c r="AI11" s="926"/>
      <c r="AJ11" s="926"/>
    </row>
    <row r="12" spans="1:36" ht="15" customHeight="1" x14ac:dyDescent="0.6">
      <c r="A12" s="926"/>
      <c r="B12" s="609"/>
      <c r="C12" s="962"/>
      <c r="D12" s="1042"/>
      <c r="E12" s="2495"/>
      <c r="F12" s="2495"/>
      <c r="G12" s="2495"/>
      <c r="H12" s="2495"/>
      <c r="I12" s="2495"/>
      <c r="J12" s="2495"/>
      <c r="K12" s="2495"/>
      <c r="L12" s="2495"/>
      <c r="M12" s="2495"/>
      <c r="N12" s="2495"/>
      <c r="O12" s="2495"/>
      <c r="P12" s="2495"/>
      <c r="Q12" s="2495"/>
      <c r="R12" s="2495"/>
      <c r="S12" s="2495"/>
      <c r="T12" s="2495"/>
      <c r="U12" s="40"/>
      <c r="V12" s="963"/>
      <c r="W12" s="609"/>
      <c r="X12" s="926"/>
      <c r="Y12" s="926"/>
      <c r="Z12" s="926"/>
      <c r="AA12" s="926"/>
      <c r="AB12" s="926"/>
      <c r="AC12" s="926"/>
      <c r="AD12" s="926"/>
      <c r="AE12" s="926"/>
      <c r="AF12" s="926"/>
      <c r="AG12" s="926"/>
      <c r="AH12" s="926"/>
      <c r="AI12" s="926"/>
      <c r="AJ12" s="926"/>
    </row>
    <row r="13" spans="1:36" ht="15" customHeight="1" x14ac:dyDescent="0.6">
      <c r="A13" s="926"/>
      <c r="B13" s="609"/>
      <c r="C13" s="962"/>
      <c r="D13" s="1042"/>
      <c r="E13" s="2495"/>
      <c r="F13" s="2495"/>
      <c r="G13" s="2495"/>
      <c r="H13" s="2495"/>
      <c r="I13" s="2495"/>
      <c r="J13" s="2495"/>
      <c r="K13" s="2495"/>
      <c r="L13" s="2495"/>
      <c r="M13" s="2495"/>
      <c r="N13" s="2495"/>
      <c r="O13" s="2495"/>
      <c r="P13" s="2495"/>
      <c r="Q13" s="2495"/>
      <c r="R13" s="2495"/>
      <c r="S13" s="2495"/>
      <c r="T13" s="2495"/>
      <c r="U13" s="40"/>
      <c r="V13" s="963"/>
      <c r="W13" s="609"/>
      <c r="X13" s="926"/>
      <c r="Y13" s="926"/>
      <c r="Z13" s="926"/>
      <c r="AA13" s="926"/>
      <c r="AB13" s="926"/>
      <c r="AC13" s="926"/>
      <c r="AD13" s="926"/>
      <c r="AE13" s="926"/>
      <c r="AF13" s="926"/>
      <c r="AG13" s="926"/>
      <c r="AH13" s="926"/>
      <c r="AI13" s="926"/>
      <c r="AJ13" s="926"/>
    </row>
    <row r="14" spans="1:36" ht="15" customHeight="1" x14ac:dyDescent="0.6">
      <c r="A14" s="926"/>
      <c r="B14" s="609"/>
      <c r="C14" s="962"/>
      <c r="D14" s="1042"/>
      <c r="E14" s="2495"/>
      <c r="F14" s="2495"/>
      <c r="G14" s="2495"/>
      <c r="H14" s="2495"/>
      <c r="I14" s="2495"/>
      <c r="J14" s="2495"/>
      <c r="K14" s="2495"/>
      <c r="L14" s="2495"/>
      <c r="M14" s="2495"/>
      <c r="N14" s="2495"/>
      <c r="O14" s="2495"/>
      <c r="P14" s="2495"/>
      <c r="Q14" s="2495"/>
      <c r="R14" s="2495"/>
      <c r="S14" s="2495"/>
      <c r="T14" s="2495"/>
      <c r="U14" s="40"/>
      <c r="V14" s="963"/>
      <c r="W14" s="609"/>
      <c r="X14" s="926"/>
      <c r="Y14" s="926"/>
      <c r="Z14" s="926"/>
      <c r="AA14" s="926"/>
      <c r="AB14" s="926"/>
      <c r="AC14" s="926"/>
      <c r="AD14" s="926"/>
      <c r="AE14" s="926"/>
      <c r="AF14" s="926"/>
      <c r="AG14" s="926"/>
      <c r="AH14" s="926"/>
      <c r="AI14" s="926"/>
      <c r="AJ14" s="926"/>
    </row>
    <row r="15" spans="1:36" ht="15" customHeight="1" x14ac:dyDescent="0.6">
      <c r="A15" s="926"/>
      <c r="B15" s="609"/>
      <c r="C15" s="962"/>
      <c r="D15" s="1042"/>
      <c r="E15" s="2495"/>
      <c r="F15" s="2495"/>
      <c r="G15" s="2495"/>
      <c r="H15" s="2495"/>
      <c r="I15" s="2495"/>
      <c r="J15" s="2495"/>
      <c r="K15" s="2495"/>
      <c r="L15" s="2495"/>
      <c r="M15" s="2495"/>
      <c r="N15" s="2495"/>
      <c r="O15" s="2495"/>
      <c r="P15" s="2495"/>
      <c r="Q15" s="2495"/>
      <c r="R15" s="2495"/>
      <c r="S15" s="2495"/>
      <c r="T15" s="2495"/>
      <c r="U15" s="40"/>
      <c r="V15" s="963"/>
      <c r="W15" s="609"/>
      <c r="X15" s="926"/>
      <c r="Y15" s="926"/>
      <c r="Z15" s="926"/>
      <c r="AA15" s="926"/>
      <c r="AB15" s="926"/>
      <c r="AC15" s="926"/>
      <c r="AD15" s="926"/>
      <c r="AE15" s="926"/>
      <c r="AF15" s="926"/>
      <c r="AG15" s="926"/>
      <c r="AH15" s="926"/>
      <c r="AI15" s="926"/>
      <c r="AJ15" s="926"/>
    </row>
    <row r="16" spans="1:36" ht="15" customHeight="1" x14ac:dyDescent="0.6">
      <c r="A16" s="926"/>
      <c r="B16" s="609"/>
      <c r="C16" s="962"/>
      <c r="D16" s="1042"/>
      <c r="E16" s="2495"/>
      <c r="F16" s="2495"/>
      <c r="G16" s="2495"/>
      <c r="H16" s="2495"/>
      <c r="I16" s="2495"/>
      <c r="J16" s="2495"/>
      <c r="K16" s="2495"/>
      <c r="L16" s="2495"/>
      <c r="M16" s="2495"/>
      <c r="N16" s="2495"/>
      <c r="O16" s="2495"/>
      <c r="P16" s="2495"/>
      <c r="Q16" s="2495"/>
      <c r="R16" s="2495"/>
      <c r="S16" s="2495"/>
      <c r="T16" s="2495"/>
      <c r="U16" s="40"/>
      <c r="V16" s="963"/>
      <c r="W16" s="609"/>
      <c r="X16" s="926"/>
      <c r="Y16" s="926"/>
      <c r="Z16" s="926"/>
      <c r="AA16" s="926"/>
      <c r="AB16" s="926"/>
      <c r="AC16" s="926"/>
      <c r="AD16" s="926"/>
      <c r="AE16" s="926"/>
      <c r="AF16" s="926"/>
      <c r="AG16" s="926"/>
      <c r="AH16" s="926"/>
      <c r="AI16" s="926"/>
      <c r="AJ16" s="926"/>
    </row>
    <row r="17" spans="1:36" ht="15" customHeight="1" x14ac:dyDescent="0.6">
      <c r="A17" s="926"/>
      <c r="B17" s="609"/>
      <c r="C17" s="962"/>
      <c r="D17" s="1042"/>
      <c r="E17" s="1042"/>
      <c r="F17" s="1042"/>
      <c r="G17" s="1042"/>
      <c r="H17" s="1042"/>
      <c r="I17" s="1042"/>
      <c r="J17" s="1042"/>
      <c r="K17" s="1042"/>
      <c r="L17" s="1042"/>
      <c r="M17" s="1042"/>
      <c r="N17" s="40"/>
      <c r="O17" s="40"/>
      <c r="P17" s="40"/>
      <c r="Q17" s="40"/>
      <c r="R17" s="40"/>
      <c r="S17" s="40"/>
      <c r="T17" s="40"/>
      <c r="U17" s="40"/>
      <c r="V17" s="963"/>
      <c r="W17" s="609"/>
      <c r="X17" s="926"/>
      <c r="Y17" s="926"/>
      <c r="Z17" s="926"/>
      <c r="AA17" s="926"/>
      <c r="AB17" s="926"/>
      <c r="AC17" s="926"/>
      <c r="AD17" s="926"/>
      <c r="AE17" s="926"/>
      <c r="AF17" s="926"/>
      <c r="AG17" s="926"/>
      <c r="AH17" s="926"/>
      <c r="AI17" s="926"/>
      <c r="AJ17" s="926"/>
    </row>
    <row r="18" spans="1:36" ht="15" customHeight="1" thickBot="1" x14ac:dyDescent="0.65">
      <c r="A18" s="926"/>
      <c r="B18" s="609"/>
      <c r="C18" s="962"/>
      <c r="D18" s="1042"/>
      <c r="E18" s="1042"/>
      <c r="F18" s="1042"/>
      <c r="G18" s="1042"/>
      <c r="H18" s="1042"/>
      <c r="I18" s="1042"/>
      <c r="J18" s="1042"/>
      <c r="K18" s="1042"/>
      <c r="L18" s="1042"/>
      <c r="M18" s="1042"/>
      <c r="N18" s="40"/>
      <c r="O18" s="40"/>
      <c r="P18" s="40"/>
      <c r="Q18" s="40"/>
      <c r="R18" s="40"/>
      <c r="S18" s="40"/>
      <c r="T18" s="40"/>
      <c r="U18" s="40"/>
      <c r="V18" s="963"/>
      <c r="W18" s="609"/>
      <c r="X18" s="926"/>
      <c r="Y18" s="926"/>
      <c r="Z18" s="926"/>
      <c r="AA18" s="926"/>
      <c r="AB18" s="926"/>
      <c r="AC18" s="926"/>
      <c r="AD18" s="926"/>
      <c r="AE18" s="926"/>
      <c r="AF18" s="926"/>
      <c r="AG18" s="926"/>
      <c r="AH18" s="926"/>
      <c r="AI18" s="926"/>
      <c r="AJ18" s="926"/>
    </row>
    <row r="19" spans="1:36" ht="15" customHeight="1" x14ac:dyDescent="0.3">
      <c r="A19" s="926"/>
      <c r="B19" s="609"/>
      <c r="C19" s="962"/>
      <c r="D19" s="2728" t="s">
        <v>549</v>
      </c>
      <c r="E19" s="2729"/>
      <c r="F19" s="2729"/>
      <c r="G19" s="2729"/>
      <c r="H19" s="2729"/>
      <c r="I19" s="2729"/>
      <c r="J19" s="2729"/>
      <c r="K19" s="2729"/>
      <c r="L19" s="2729"/>
      <c r="M19" s="2729"/>
      <c r="N19" s="2729"/>
      <c r="O19" s="2729"/>
      <c r="P19" s="2729"/>
      <c r="Q19" s="2729"/>
      <c r="R19" s="2729"/>
      <c r="S19" s="2729"/>
      <c r="T19" s="2729"/>
      <c r="U19" s="2730"/>
      <c r="V19" s="1159"/>
      <c r="W19" s="609"/>
      <c r="X19" s="926"/>
      <c r="Y19" s="926"/>
      <c r="Z19" s="926"/>
      <c r="AA19" s="926"/>
      <c r="AB19" s="926"/>
      <c r="AC19" s="926"/>
      <c r="AD19" s="926"/>
      <c r="AE19" s="926"/>
      <c r="AF19" s="926"/>
      <c r="AG19" s="926"/>
      <c r="AH19" s="926"/>
      <c r="AI19" s="926"/>
      <c r="AJ19" s="926"/>
    </row>
    <row r="20" spans="1:36" ht="15" customHeight="1" x14ac:dyDescent="0.3">
      <c r="A20" s="926"/>
      <c r="B20" s="609"/>
      <c r="C20" s="962"/>
      <c r="D20" s="2731"/>
      <c r="E20" s="2732"/>
      <c r="F20" s="2732"/>
      <c r="G20" s="2732"/>
      <c r="H20" s="2732"/>
      <c r="I20" s="2732"/>
      <c r="J20" s="2732"/>
      <c r="K20" s="2732"/>
      <c r="L20" s="2732"/>
      <c r="M20" s="2732"/>
      <c r="N20" s="2732"/>
      <c r="O20" s="2732"/>
      <c r="P20" s="2732"/>
      <c r="Q20" s="2732"/>
      <c r="R20" s="2732"/>
      <c r="S20" s="2732"/>
      <c r="T20" s="2732"/>
      <c r="U20" s="2733"/>
      <c r="V20" s="1159"/>
      <c r="W20" s="609"/>
      <c r="X20" s="926"/>
      <c r="Y20" s="926"/>
      <c r="Z20" s="926"/>
      <c r="AA20" s="926"/>
      <c r="AB20" s="926"/>
      <c r="AC20" s="926"/>
      <c r="AD20" s="926"/>
      <c r="AE20" s="926"/>
      <c r="AF20" s="926"/>
      <c r="AG20" s="926"/>
      <c r="AH20" s="926"/>
      <c r="AI20" s="926"/>
      <c r="AJ20" s="926"/>
    </row>
    <row r="21" spans="1:36" ht="15" customHeight="1" x14ac:dyDescent="0.3">
      <c r="A21" s="926"/>
      <c r="B21" s="609"/>
      <c r="C21" s="962"/>
      <c r="D21" s="2731"/>
      <c r="E21" s="2732"/>
      <c r="F21" s="2732"/>
      <c r="G21" s="2732"/>
      <c r="H21" s="2732"/>
      <c r="I21" s="2732"/>
      <c r="J21" s="2732"/>
      <c r="K21" s="2732"/>
      <c r="L21" s="2732"/>
      <c r="M21" s="2732"/>
      <c r="N21" s="2732"/>
      <c r="O21" s="2732"/>
      <c r="P21" s="2732"/>
      <c r="Q21" s="2732"/>
      <c r="R21" s="2732"/>
      <c r="S21" s="2732"/>
      <c r="T21" s="2732"/>
      <c r="U21" s="2733"/>
      <c r="V21" s="1159"/>
      <c r="W21" s="609"/>
      <c r="X21" s="926"/>
      <c r="Y21" s="926"/>
      <c r="Z21" s="926"/>
      <c r="AA21" s="926"/>
      <c r="AB21" s="926"/>
      <c r="AC21" s="926"/>
      <c r="AD21" s="926"/>
      <c r="AE21" s="926"/>
      <c r="AF21" s="926"/>
      <c r="AG21" s="926"/>
      <c r="AH21" s="926"/>
      <c r="AI21" s="926"/>
      <c r="AJ21" s="926"/>
    </row>
    <row r="22" spans="1:36" ht="15" customHeight="1" x14ac:dyDescent="0.3">
      <c r="A22" s="926"/>
      <c r="B22" s="609"/>
      <c r="C22" s="962"/>
      <c r="D22" s="2731"/>
      <c r="E22" s="2732"/>
      <c r="F22" s="2732"/>
      <c r="G22" s="2732"/>
      <c r="H22" s="2732"/>
      <c r="I22" s="2732"/>
      <c r="J22" s="2732"/>
      <c r="K22" s="2732"/>
      <c r="L22" s="2732"/>
      <c r="M22" s="2732"/>
      <c r="N22" s="2732"/>
      <c r="O22" s="2732"/>
      <c r="P22" s="2732"/>
      <c r="Q22" s="2732"/>
      <c r="R22" s="2732"/>
      <c r="S22" s="2732"/>
      <c r="T22" s="2732"/>
      <c r="U22" s="2733"/>
      <c r="V22" s="1159"/>
      <c r="W22" s="609"/>
      <c r="X22" s="926"/>
      <c r="Y22" s="926"/>
      <c r="Z22" s="926"/>
      <c r="AA22" s="926"/>
      <c r="AB22" s="926"/>
      <c r="AC22" s="926"/>
      <c r="AD22" s="926"/>
      <c r="AE22" s="926"/>
      <c r="AF22" s="926"/>
      <c r="AG22" s="926"/>
      <c r="AH22" s="926"/>
      <c r="AI22" s="926"/>
      <c r="AJ22" s="926"/>
    </row>
    <row r="23" spans="1:36" ht="15" customHeight="1" x14ac:dyDescent="0.3">
      <c r="A23" s="926"/>
      <c r="B23" s="609"/>
      <c r="C23" s="962"/>
      <c r="D23" s="2731"/>
      <c r="E23" s="2732"/>
      <c r="F23" s="2732"/>
      <c r="G23" s="2732"/>
      <c r="H23" s="2732"/>
      <c r="I23" s="2732"/>
      <c r="J23" s="2732"/>
      <c r="K23" s="2732"/>
      <c r="L23" s="2732"/>
      <c r="M23" s="2732"/>
      <c r="N23" s="2732"/>
      <c r="O23" s="2732"/>
      <c r="P23" s="2732"/>
      <c r="Q23" s="2732"/>
      <c r="R23" s="2732"/>
      <c r="S23" s="2732"/>
      <c r="T23" s="2732"/>
      <c r="U23" s="2733"/>
      <c r="V23" s="1159"/>
      <c r="W23" s="609"/>
      <c r="X23" s="926"/>
      <c r="Y23" s="926"/>
      <c r="Z23" s="926"/>
      <c r="AA23" s="926"/>
      <c r="AB23" s="926"/>
      <c r="AC23" s="926"/>
      <c r="AD23" s="926"/>
      <c r="AE23" s="926"/>
      <c r="AF23" s="926"/>
      <c r="AG23" s="926"/>
      <c r="AH23" s="926"/>
      <c r="AI23" s="926"/>
      <c r="AJ23" s="926"/>
    </row>
    <row r="24" spans="1:36" ht="15" customHeight="1" thickBot="1" x14ac:dyDescent="0.35">
      <c r="A24" s="926"/>
      <c r="B24" s="609"/>
      <c r="C24" s="962"/>
      <c r="D24" s="2734"/>
      <c r="E24" s="2735"/>
      <c r="F24" s="2735"/>
      <c r="G24" s="2735"/>
      <c r="H24" s="2735"/>
      <c r="I24" s="2735"/>
      <c r="J24" s="2735"/>
      <c r="K24" s="2735"/>
      <c r="L24" s="2735"/>
      <c r="M24" s="2735"/>
      <c r="N24" s="2735"/>
      <c r="O24" s="2735"/>
      <c r="P24" s="2735"/>
      <c r="Q24" s="2735"/>
      <c r="R24" s="2735"/>
      <c r="S24" s="2735"/>
      <c r="T24" s="2735"/>
      <c r="U24" s="2736"/>
      <c r="V24" s="1159"/>
      <c r="W24" s="609"/>
      <c r="X24" s="926"/>
      <c r="Y24" s="926"/>
      <c r="Z24" s="926"/>
      <c r="AA24" s="926"/>
      <c r="AB24" s="926"/>
      <c r="AC24" s="926"/>
      <c r="AD24" s="926"/>
      <c r="AE24" s="926"/>
      <c r="AF24" s="926"/>
      <c r="AG24" s="926"/>
      <c r="AH24" s="926"/>
      <c r="AI24" s="926"/>
      <c r="AJ24" s="926"/>
    </row>
    <row r="25" spans="1:36" ht="15" customHeight="1" thickBot="1" x14ac:dyDescent="0.35">
      <c r="A25" s="926"/>
      <c r="B25" s="609"/>
      <c r="C25" s="962"/>
      <c r="D25" s="2737" t="s">
        <v>550</v>
      </c>
      <c r="E25" s="2738"/>
      <c r="F25" s="2738"/>
      <c r="G25" s="2738"/>
      <c r="H25" s="2739"/>
      <c r="I25" s="2725" t="s">
        <v>109</v>
      </c>
      <c r="J25" s="2726"/>
      <c r="K25" s="2726"/>
      <c r="L25" s="2726"/>
      <c r="M25" s="2726"/>
      <c r="N25" s="2726"/>
      <c r="O25" s="2726"/>
      <c r="P25" s="2726"/>
      <c r="Q25" s="2726"/>
      <c r="R25" s="2726"/>
      <c r="S25" s="2726"/>
      <c r="T25" s="2726"/>
      <c r="U25" s="2727"/>
      <c r="V25" s="1156"/>
      <c r="W25" s="609"/>
      <c r="X25" s="926"/>
      <c r="Y25" s="926"/>
      <c r="Z25" s="926"/>
      <c r="AA25" s="926"/>
      <c r="AB25" s="926"/>
      <c r="AC25" s="926"/>
      <c r="AD25" s="926"/>
      <c r="AE25" s="926"/>
      <c r="AF25" s="926"/>
      <c r="AG25" s="926"/>
      <c r="AH25" s="926"/>
      <c r="AI25" s="926"/>
      <c r="AJ25" s="926"/>
    </row>
    <row r="26" spans="1:36" ht="15" customHeight="1" x14ac:dyDescent="0.3">
      <c r="A26" s="926"/>
      <c r="B26" s="609"/>
      <c r="C26" s="962"/>
      <c r="D26" s="2740" t="s">
        <v>551</v>
      </c>
      <c r="E26" s="2741"/>
      <c r="F26" s="2741"/>
      <c r="G26" s="2741"/>
      <c r="H26" s="2741"/>
      <c r="I26" s="2744" t="str">
        <f>INDEX(SC.Table.Scenario_Desc,MATCH(UDV.u.farm_baseline,SC.Table.Scenario_Properties,0))</f>
        <v>The farm uses a deep pit slurry storage system, where the manure and wash water is stored for a period of time before being emptied. The accumulated slurry is agitated and land-applied using tractor-pulled tanker method.</v>
      </c>
      <c r="J26" s="2745"/>
      <c r="K26" s="2745"/>
      <c r="L26" s="2745"/>
      <c r="M26" s="2745"/>
      <c r="N26" s="2745"/>
      <c r="O26" s="2745"/>
      <c r="P26" s="2745"/>
      <c r="Q26" s="2745"/>
      <c r="R26" s="2745"/>
      <c r="S26" s="2745"/>
      <c r="T26" s="2745"/>
      <c r="U26" s="2746"/>
      <c r="V26" s="1157"/>
      <c r="W26" s="609"/>
      <c r="X26" s="926"/>
      <c r="Y26" s="926"/>
      <c r="Z26" s="926"/>
      <c r="AA26" s="926"/>
      <c r="AB26" s="926"/>
      <c r="AC26" s="926"/>
      <c r="AD26" s="926"/>
      <c r="AE26" s="926"/>
      <c r="AF26" s="926"/>
      <c r="AG26" s="926"/>
      <c r="AH26" s="926"/>
      <c r="AI26" s="926"/>
      <c r="AJ26" s="926"/>
    </row>
    <row r="27" spans="1:36" ht="15" customHeight="1" x14ac:dyDescent="0.3">
      <c r="A27" s="926"/>
      <c r="B27" s="609"/>
      <c r="C27" s="962"/>
      <c r="D27" s="2742"/>
      <c r="E27" s="2743"/>
      <c r="F27" s="2743"/>
      <c r="G27" s="2743"/>
      <c r="H27" s="2743"/>
      <c r="I27" s="2747"/>
      <c r="J27" s="2748"/>
      <c r="K27" s="2748"/>
      <c r="L27" s="2748"/>
      <c r="M27" s="2748"/>
      <c r="N27" s="2748"/>
      <c r="O27" s="2748"/>
      <c r="P27" s="2748"/>
      <c r="Q27" s="2748"/>
      <c r="R27" s="2748"/>
      <c r="S27" s="2748"/>
      <c r="T27" s="2748"/>
      <c r="U27" s="2749"/>
      <c r="V27" s="1157"/>
      <c r="W27" s="609"/>
      <c r="X27" s="926"/>
      <c r="Y27" s="926"/>
      <c r="Z27" s="926"/>
      <c r="AA27" s="926"/>
      <c r="AB27" s="926"/>
      <c r="AC27" s="926"/>
      <c r="AD27" s="926"/>
      <c r="AE27" s="926"/>
      <c r="AF27" s="926"/>
      <c r="AG27" s="926"/>
      <c r="AH27" s="926"/>
      <c r="AI27" s="926"/>
      <c r="AJ27" s="926"/>
    </row>
    <row r="28" spans="1:36" ht="15" customHeight="1" x14ac:dyDescent="0.3">
      <c r="A28" s="926"/>
      <c r="B28" s="609"/>
      <c r="C28" s="962"/>
      <c r="D28" s="2742"/>
      <c r="E28" s="2743"/>
      <c r="F28" s="2743"/>
      <c r="G28" s="2743"/>
      <c r="H28" s="2743"/>
      <c r="I28" s="2747"/>
      <c r="J28" s="2748"/>
      <c r="K28" s="2748"/>
      <c r="L28" s="2748"/>
      <c r="M28" s="2748"/>
      <c r="N28" s="2748"/>
      <c r="O28" s="2748"/>
      <c r="P28" s="2748"/>
      <c r="Q28" s="2748"/>
      <c r="R28" s="2748"/>
      <c r="S28" s="2748"/>
      <c r="T28" s="2748"/>
      <c r="U28" s="2749"/>
      <c r="V28" s="1157"/>
      <c r="W28" s="609"/>
      <c r="X28" s="926"/>
      <c r="Y28" s="926"/>
      <c r="Z28" s="926"/>
      <c r="AA28" s="926"/>
      <c r="AB28" s="926"/>
      <c r="AC28" s="926"/>
      <c r="AD28" s="926"/>
      <c r="AE28" s="926"/>
      <c r="AF28" s="926"/>
      <c r="AG28" s="926"/>
      <c r="AH28" s="926"/>
      <c r="AI28" s="926"/>
      <c r="AJ28" s="926"/>
    </row>
    <row r="29" spans="1:36" ht="15" customHeight="1" x14ac:dyDescent="0.3">
      <c r="A29" s="926"/>
      <c r="B29" s="609"/>
      <c r="C29" s="962"/>
      <c r="D29" s="2742"/>
      <c r="E29" s="2743"/>
      <c r="F29" s="2743"/>
      <c r="G29" s="2743"/>
      <c r="H29" s="2743"/>
      <c r="I29" s="2747"/>
      <c r="J29" s="2748"/>
      <c r="K29" s="2748"/>
      <c r="L29" s="2748"/>
      <c r="M29" s="2748"/>
      <c r="N29" s="2748"/>
      <c r="O29" s="2748"/>
      <c r="P29" s="2748"/>
      <c r="Q29" s="2748"/>
      <c r="R29" s="2748"/>
      <c r="S29" s="2748"/>
      <c r="T29" s="2748"/>
      <c r="U29" s="2749"/>
      <c r="V29" s="1157"/>
      <c r="W29" s="609"/>
      <c r="X29" s="926"/>
      <c r="Y29" s="926"/>
      <c r="Z29" s="926"/>
      <c r="AA29" s="926"/>
      <c r="AB29" s="926"/>
      <c r="AC29" s="926"/>
      <c r="AD29" s="926"/>
      <c r="AE29" s="926"/>
      <c r="AF29" s="926"/>
      <c r="AG29" s="926"/>
      <c r="AH29" s="926"/>
      <c r="AI29" s="926"/>
      <c r="AJ29" s="926"/>
    </row>
    <row r="30" spans="1:36" ht="15" customHeight="1" x14ac:dyDescent="0.3">
      <c r="A30" s="926"/>
      <c r="B30" s="609"/>
      <c r="C30" s="962"/>
      <c r="D30" s="2742"/>
      <c r="E30" s="2743"/>
      <c r="F30" s="2743"/>
      <c r="G30" s="2743"/>
      <c r="H30" s="2743"/>
      <c r="I30" s="2747"/>
      <c r="J30" s="2748"/>
      <c r="K30" s="2748"/>
      <c r="L30" s="2748"/>
      <c r="M30" s="2748"/>
      <c r="N30" s="2748"/>
      <c r="O30" s="2748"/>
      <c r="P30" s="2748"/>
      <c r="Q30" s="2748"/>
      <c r="R30" s="2748"/>
      <c r="S30" s="2748"/>
      <c r="T30" s="2748"/>
      <c r="U30" s="2749"/>
      <c r="V30" s="1157"/>
      <c r="W30" s="609"/>
      <c r="X30" s="926"/>
      <c r="Y30" s="926"/>
      <c r="Z30" s="926"/>
      <c r="AA30" s="926"/>
      <c r="AB30" s="926"/>
      <c r="AC30" s="926"/>
      <c r="AD30" s="926"/>
      <c r="AE30" s="926"/>
      <c r="AF30" s="926"/>
      <c r="AG30" s="926"/>
      <c r="AH30" s="926"/>
      <c r="AI30" s="926"/>
      <c r="AJ30" s="926"/>
    </row>
    <row r="31" spans="1:36" ht="15" customHeight="1" x14ac:dyDescent="0.3">
      <c r="A31" s="926"/>
      <c r="B31" s="609"/>
      <c r="C31" s="962"/>
      <c r="D31" s="2742"/>
      <c r="E31" s="2743"/>
      <c r="F31" s="2743"/>
      <c r="G31" s="2743"/>
      <c r="H31" s="2743"/>
      <c r="I31" s="2747"/>
      <c r="J31" s="2748"/>
      <c r="K31" s="2748"/>
      <c r="L31" s="2748"/>
      <c r="M31" s="2748"/>
      <c r="N31" s="2748"/>
      <c r="O31" s="2748"/>
      <c r="P31" s="2748"/>
      <c r="Q31" s="2748"/>
      <c r="R31" s="2748"/>
      <c r="S31" s="2748"/>
      <c r="T31" s="2748"/>
      <c r="U31" s="2749"/>
      <c r="V31" s="1157"/>
      <c r="W31" s="609"/>
      <c r="X31" s="926"/>
      <c r="Y31" s="926"/>
      <c r="Z31" s="926"/>
      <c r="AA31" s="926"/>
      <c r="AB31" s="926"/>
      <c r="AC31" s="926"/>
      <c r="AD31" s="926"/>
      <c r="AE31" s="926"/>
      <c r="AF31" s="926"/>
      <c r="AG31" s="926"/>
      <c r="AH31" s="926"/>
      <c r="AI31" s="926"/>
      <c r="AJ31" s="926"/>
    </row>
    <row r="32" spans="1:36" ht="15" customHeight="1" x14ac:dyDescent="0.3">
      <c r="A32" s="926"/>
      <c r="B32" s="609"/>
      <c r="C32" s="962"/>
      <c r="D32" s="2742"/>
      <c r="E32" s="2743"/>
      <c r="F32" s="2743"/>
      <c r="G32" s="2743"/>
      <c r="H32" s="2743"/>
      <c r="I32" s="2750"/>
      <c r="J32" s="2751"/>
      <c r="K32" s="2751"/>
      <c r="L32" s="2751"/>
      <c r="M32" s="2751"/>
      <c r="N32" s="2751"/>
      <c r="O32" s="2751"/>
      <c r="P32" s="2751"/>
      <c r="Q32" s="2751"/>
      <c r="R32" s="2751"/>
      <c r="S32" s="2751"/>
      <c r="T32" s="2751"/>
      <c r="U32" s="2752"/>
      <c r="V32" s="1157"/>
      <c r="W32" s="609"/>
      <c r="X32" s="926"/>
      <c r="Y32" s="926"/>
      <c r="Z32" s="926"/>
      <c r="AA32" s="926"/>
      <c r="AB32" s="926"/>
      <c r="AC32" s="926"/>
      <c r="AD32" s="926"/>
      <c r="AE32" s="926"/>
      <c r="AF32" s="926"/>
      <c r="AG32" s="926"/>
      <c r="AH32" s="926"/>
      <c r="AI32" s="926"/>
      <c r="AJ32" s="926"/>
    </row>
    <row r="33" spans="1:36" ht="15" customHeight="1" x14ac:dyDescent="0.3">
      <c r="A33" s="926"/>
      <c r="B33" s="609"/>
      <c r="C33" s="962"/>
      <c r="D33" s="2754" t="s">
        <v>552</v>
      </c>
      <c r="E33" s="2755"/>
      <c r="F33" s="2755"/>
      <c r="G33" s="2755"/>
      <c r="H33" s="2755"/>
      <c r="I33" s="2756" t="str">
        <f ca="1">INDEX(SC.Table.Scenario_Desc,MATCH(D33,SC.Table.Scenario_Properties,0))</f>
        <v>The farm uses a deep pit slurry storage system, where the manure and wash water is stored for a period of time before being emptied. The accumulated slurry is agitated and land-applied using tractor-pulled tanker method.</v>
      </c>
      <c r="J33" s="2757"/>
      <c r="K33" s="2757"/>
      <c r="L33" s="2757"/>
      <c r="M33" s="2757"/>
      <c r="N33" s="2757"/>
      <c r="O33" s="2757"/>
      <c r="P33" s="2757"/>
      <c r="Q33" s="2757"/>
      <c r="R33" s="2757"/>
      <c r="S33" s="2757"/>
      <c r="T33" s="2757"/>
      <c r="U33" s="2758"/>
      <c r="V33" s="1158"/>
      <c r="W33" s="609"/>
      <c r="X33" s="926"/>
      <c r="Y33" s="926"/>
      <c r="Z33" s="926"/>
      <c r="AA33" s="926"/>
      <c r="AB33" s="926"/>
      <c r="AC33" s="926"/>
      <c r="AD33" s="926"/>
      <c r="AE33" s="926"/>
      <c r="AF33" s="926"/>
      <c r="AG33" s="926"/>
      <c r="AH33" s="926"/>
      <c r="AI33" s="926"/>
      <c r="AJ33" s="926"/>
    </row>
    <row r="34" spans="1:36" ht="15" customHeight="1" x14ac:dyDescent="0.3">
      <c r="A34" s="926"/>
      <c r="B34" s="609"/>
      <c r="C34" s="962"/>
      <c r="D34" s="2754"/>
      <c r="E34" s="2755"/>
      <c r="F34" s="2755"/>
      <c r="G34" s="2755"/>
      <c r="H34" s="2755"/>
      <c r="I34" s="2759"/>
      <c r="J34" s="2760"/>
      <c r="K34" s="2760"/>
      <c r="L34" s="2760"/>
      <c r="M34" s="2760"/>
      <c r="N34" s="2760"/>
      <c r="O34" s="2760"/>
      <c r="P34" s="2760"/>
      <c r="Q34" s="2760"/>
      <c r="R34" s="2760"/>
      <c r="S34" s="2760"/>
      <c r="T34" s="2760"/>
      <c r="U34" s="2761"/>
      <c r="V34" s="1158"/>
      <c r="W34" s="609"/>
      <c r="X34" s="926"/>
      <c r="Y34" s="926"/>
      <c r="Z34" s="926"/>
      <c r="AA34" s="926"/>
      <c r="AB34" s="926"/>
      <c r="AC34" s="926"/>
      <c r="AD34" s="926"/>
      <c r="AE34" s="926"/>
      <c r="AF34" s="926"/>
      <c r="AG34" s="926"/>
      <c r="AH34" s="926"/>
      <c r="AI34" s="926"/>
      <c r="AJ34" s="926"/>
    </row>
    <row r="35" spans="1:36" ht="15" customHeight="1" x14ac:dyDescent="0.3">
      <c r="A35" s="926"/>
      <c r="B35" s="609"/>
      <c r="C35" s="962"/>
      <c r="D35" s="2754"/>
      <c r="E35" s="2755"/>
      <c r="F35" s="2755"/>
      <c r="G35" s="2755"/>
      <c r="H35" s="2755"/>
      <c r="I35" s="2759"/>
      <c r="J35" s="2760"/>
      <c r="K35" s="2760"/>
      <c r="L35" s="2760"/>
      <c r="M35" s="2760"/>
      <c r="N35" s="2760"/>
      <c r="O35" s="2760"/>
      <c r="P35" s="2760"/>
      <c r="Q35" s="2760"/>
      <c r="R35" s="2760"/>
      <c r="S35" s="2760"/>
      <c r="T35" s="2760"/>
      <c r="U35" s="2761"/>
      <c r="V35" s="1158"/>
      <c r="W35" s="609"/>
      <c r="X35" s="926"/>
      <c r="Y35" s="926"/>
      <c r="Z35" s="926"/>
      <c r="AA35" s="926"/>
      <c r="AB35" s="926"/>
      <c r="AC35" s="926"/>
      <c r="AD35" s="926"/>
      <c r="AE35" s="926"/>
      <c r="AF35" s="926"/>
      <c r="AG35" s="926"/>
      <c r="AH35" s="926"/>
      <c r="AI35" s="926"/>
      <c r="AJ35" s="926"/>
    </row>
    <row r="36" spans="1:36" ht="15" customHeight="1" x14ac:dyDescent="0.3">
      <c r="A36" s="926"/>
      <c r="B36" s="609"/>
      <c r="C36" s="962"/>
      <c r="D36" s="2754"/>
      <c r="E36" s="2755"/>
      <c r="F36" s="2755"/>
      <c r="G36" s="2755"/>
      <c r="H36" s="2755"/>
      <c r="I36" s="2759"/>
      <c r="J36" s="2760"/>
      <c r="K36" s="2760"/>
      <c r="L36" s="2760"/>
      <c r="M36" s="2760"/>
      <c r="N36" s="2760"/>
      <c r="O36" s="2760"/>
      <c r="P36" s="2760"/>
      <c r="Q36" s="2760"/>
      <c r="R36" s="2760"/>
      <c r="S36" s="2760"/>
      <c r="T36" s="2760"/>
      <c r="U36" s="2761"/>
      <c r="V36" s="1158"/>
      <c r="W36" s="609"/>
      <c r="X36" s="926"/>
      <c r="Y36" s="926"/>
      <c r="Z36" s="926"/>
      <c r="AA36" s="926"/>
      <c r="AB36" s="926"/>
      <c r="AC36" s="926"/>
      <c r="AD36" s="926"/>
      <c r="AE36" s="926"/>
      <c r="AF36" s="926"/>
      <c r="AG36" s="926"/>
      <c r="AH36" s="926"/>
      <c r="AI36" s="926"/>
      <c r="AJ36" s="926"/>
    </row>
    <row r="37" spans="1:36" ht="15" customHeight="1" x14ac:dyDescent="0.3">
      <c r="A37" s="926"/>
      <c r="B37" s="609"/>
      <c r="C37" s="962"/>
      <c r="D37" s="2754"/>
      <c r="E37" s="2755"/>
      <c r="F37" s="2755"/>
      <c r="G37" s="2755"/>
      <c r="H37" s="2755"/>
      <c r="I37" s="2759"/>
      <c r="J37" s="2760"/>
      <c r="K37" s="2760"/>
      <c r="L37" s="2760"/>
      <c r="M37" s="2760"/>
      <c r="N37" s="2760"/>
      <c r="O37" s="2760"/>
      <c r="P37" s="2760"/>
      <c r="Q37" s="2760"/>
      <c r="R37" s="2760"/>
      <c r="S37" s="2760"/>
      <c r="T37" s="2760"/>
      <c r="U37" s="2761"/>
      <c r="V37" s="1158"/>
      <c r="W37" s="609"/>
      <c r="X37" s="926"/>
      <c r="Y37" s="926"/>
      <c r="Z37" s="926"/>
      <c r="AA37" s="926"/>
      <c r="AB37" s="926"/>
      <c r="AC37" s="926"/>
      <c r="AD37" s="926"/>
      <c r="AE37" s="926"/>
      <c r="AF37" s="926"/>
      <c r="AG37" s="926"/>
      <c r="AH37" s="926"/>
      <c r="AI37" s="926"/>
      <c r="AJ37" s="926"/>
    </row>
    <row r="38" spans="1:36" ht="15" customHeight="1" x14ac:dyDescent="0.3">
      <c r="A38" s="926"/>
      <c r="B38" s="609"/>
      <c r="C38" s="962"/>
      <c r="D38" s="2754"/>
      <c r="E38" s="2755"/>
      <c r="F38" s="2755"/>
      <c r="G38" s="2755"/>
      <c r="H38" s="2755"/>
      <c r="I38" s="2759"/>
      <c r="J38" s="2760"/>
      <c r="K38" s="2760"/>
      <c r="L38" s="2760"/>
      <c r="M38" s="2760"/>
      <c r="N38" s="2760"/>
      <c r="O38" s="2760"/>
      <c r="P38" s="2760"/>
      <c r="Q38" s="2760"/>
      <c r="R38" s="2760"/>
      <c r="S38" s="2760"/>
      <c r="T38" s="2760"/>
      <c r="U38" s="2761"/>
      <c r="V38" s="1158"/>
      <c r="W38" s="609"/>
      <c r="X38" s="926"/>
      <c r="Y38" s="926"/>
      <c r="Z38" s="926"/>
      <c r="AA38" s="926"/>
      <c r="AB38" s="926"/>
      <c r="AC38" s="926"/>
      <c r="AD38" s="926"/>
      <c r="AE38" s="926"/>
      <c r="AF38" s="926"/>
      <c r="AG38" s="926"/>
      <c r="AH38" s="926"/>
      <c r="AI38" s="926"/>
      <c r="AJ38" s="926"/>
    </row>
    <row r="39" spans="1:36" ht="15" customHeight="1" x14ac:dyDescent="0.3">
      <c r="A39" s="926"/>
      <c r="B39" s="609"/>
      <c r="C39" s="962"/>
      <c r="D39" s="2754"/>
      <c r="E39" s="2755"/>
      <c r="F39" s="2755"/>
      <c r="G39" s="2755"/>
      <c r="H39" s="2755"/>
      <c r="I39" s="2762"/>
      <c r="J39" s="2763"/>
      <c r="K39" s="2763"/>
      <c r="L39" s="2763"/>
      <c r="M39" s="2763"/>
      <c r="N39" s="2763"/>
      <c r="O39" s="2763"/>
      <c r="P39" s="2763"/>
      <c r="Q39" s="2763"/>
      <c r="R39" s="2763"/>
      <c r="S39" s="2763"/>
      <c r="T39" s="2763"/>
      <c r="U39" s="2764"/>
      <c r="V39" s="1158"/>
      <c r="W39" s="609"/>
      <c r="X39" s="926"/>
      <c r="Y39" s="926"/>
      <c r="Z39" s="926"/>
      <c r="AA39" s="926"/>
      <c r="AB39" s="926"/>
      <c r="AC39" s="926"/>
      <c r="AD39" s="926"/>
      <c r="AE39" s="926"/>
      <c r="AF39" s="926"/>
      <c r="AG39" s="926"/>
      <c r="AH39" s="926"/>
      <c r="AI39" s="926"/>
      <c r="AJ39" s="926"/>
    </row>
    <row r="40" spans="1:36" ht="15" customHeight="1" x14ac:dyDescent="0.3">
      <c r="A40" s="926"/>
      <c r="B40" s="609"/>
      <c r="C40" s="962"/>
      <c r="D40" s="2754" t="s">
        <v>553</v>
      </c>
      <c r="E40" s="2755"/>
      <c r="F40" s="2755"/>
      <c r="G40" s="2755"/>
      <c r="H40" s="2755"/>
      <c r="I40" s="2756" t="str">
        <f ca="1">INDEX(SC.Table.Scenario_Desc,MATCH(D40,SC.Table.Scenario_Properties,0))</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tractor-pulled tanker method.</v>
      </c>
      <c r="J40" s="2757"/>
      <c r="K40" s="2757"/>
      <c r="L40" s="2757"/>
      <c r="M40" s="2757"/>
      <c r="N40" s="2757"/>
      <c r="O40" s="2757"/>
      <c r="P40" s="2757"/>
      <c r="Q40" s="2757"/>
      <c r="R40" s="2757"/>
      <c r="S40" s="2757"/>
      <c r="T40" s="2757"/>
      <c r="U40" s="2758"/>
      <c r="V40" s="1158"/>
      <c r="W40" s="609"/>
      <c r="X40" s="926"/>
      <c r="Y40" s="926"/>
      <c r="Z40" s="926"/>
      <c r="AA40" s="926"/>
      <c r="AB40" s="926"/>
      <c r="AC40" s="926"/>
      <c r="AD40" s="926"/>
      <c r="AE40" s="926"/>
      <c r="AF40" s="926"/>
      <c r="AG40" s="926"/>
      <c r="AH40" s="926"/>
      <c r="AI40" s="926"/>
      <c r="AJ40" s="926"/>
    </row>
    <row r="41" spans="1:36" ht="15" customHeight="1" x14ac:dyDescent="0.3">
      <c r="A41" s="926"/>
      <c r="B41" s="609"/>
      <c r="C41" s="962"/>
      <c r="D41" s="2754"/>
      <c r="E41" s="2755"/>
      <c r="F41" s="2755"/>
      <c r="G41" s="2755"/>
      <c r="H41" s="2755"/>
      <c r="I41" s="2759"/>
      <c r="J41" s="2760"/>
      <c r="K41" s="2760"/>
      <c r="L41" s="2760"/>
      <c r="M41" s="2760"/>
      <c r="N41" s="2760"/>
      <c r="O41" s="2760"/>
      <c r="P41" s="2760"/>
      <c r="Q41" s="2760"/>
      <c r="R41" s="2760"/>
      <c r="S41" s="2760"/>
      <c r="T41" s="2760"/>
      <c r="U41" s="2761"/>
      <c r="V41" s="1158"/>
      <c r="W41" s="609"/>
      <c r="X41" s="926"/>
      <c r="Y41" s="926"/>
      <c r="Z41" s="926"/>
      <c r="AA41" s="926"/>
      <c r="AB41" s="926"/>
      <c r="AC41" s="926"/>
      <c r="AD41" s="926"/>
      <c r="AE41" s="926"/>
      <c r="AF41" s="926"/>
      <c r="AG41" s="926"/>
      <c r="AH41" s="926"/>
      <c r="AI41" s="926"/>
      <c r="AJ41" s="926"/>
    </row>
    <row r="42" spans="1:36" ht="15" customHeight="1" x14ac:dyDescent="0.3">
      <c r="A42" s="926"/>
      <c r="B42" s="609"/>
      <c r="C42" s="962"/>
      <c r="D42" s="2754"/>
      <c r="E42" s="2755"/>
      <c r="F42" s="2755"/>
      <c r="G42" s="2755"/>
      <c r="H42" s="2755"/>
      <c r="I42" s="2759"/>
      <c r="J42" s="2760"/>
      <c r="K42" s="2760"/>
      <c r="L42" s="2760"/>
      <c r="M42" s="2760"/>
      <c r="N42" s="2760"/>
      <c r="O42" s="2760"/>
      <c r="P42" s="2760"/>
      <c r="Q42" s="2760"/>
      <c r="R42" s="2760"/>
      <c r="S42" s="2760"/>
      <c r="T42" s="2760"/>
      <c r="U42" s="2761"/>
      <c r="V42" s="1158"/>
      <c r="W42" s="609"/>
      <c r="X42" s="926"/>
      <c r="Y42" s="926"/>
      <c r="Z42" s="926"/>
      <c r="AA42" s="926"/>
      <c r="AB42" s="926"/>
      <c r="AC42" s="926"/>
      <c r="AD42" s="926"/>
      <c r="AE42" s="926"/>
      <c r="AF42" s="926"/>
      <c r="AG42" s="926"/>
      <c r="AH42" s="926"/>
      <c r="AI42" s="926"/>
      <c r="AJ42" s="926"/>
    </row>
    <row r="43" spans="1:36" ht="15" customHeight="1" x14ac:dyDescent="0.3">
      <c r="A43" s="926"/>
      <c r="B43" s="609"/>
      <c r="C43" s="962"/>
      <c r="D43" s="2754"/>
      <c r="E43" s="2755"/>
      <c r="F43" s="2755"/>
      <c r="G43" s="2755"/>
      <c r="H43" s="2755"/>
      <c r="I43" s="2759"/>
      <c r="J43" s="2760"/>
      <c r="K43" s="2760"/>
      <c r="L43" s="2760"/>
      <c r="M43" s="2760"/>
      <c r="N43" s="2760"/>
      <c r="O43" s="2760"/>
      <c r="P43" s="2760"/>
      <c r="Q43" s="2760"/>
      <c r="R43" s="2760"/>
      <c r="S43" s="2760"/>
      <c r="T43" s="2760"/>
      <c r="U43" s="2761"/>
      <c r="V43" s="1158"/>
      <c r="W43" s="609"/>
      <c r="X43" s="926"/>
      <c r="Y43" s="926"/>
      <c r="Z43" s="926"/>
      <c r="AA43" s="926"/>
      <c r="AB43" s="926"/>
      <c r="AC43" s="926"/>
      <c r="AD43" s="926"/>
      <c r="AE43" s="926"/>
      <c r="AF43" s="926"/>
      <c r="AG43" s="926"/>
      <c r="AH43" s="926"/>
      <c r="AI43" s="926"/>
      <c r="AJ43" s="926"/>
    </row>
    <row r="44" spans="1:36" ht="15" customHeight="1" x14ac:dyDescent="0.3">
      <c r="A44" s="926"/>
      <c r="B44" s="609"/>
      <c r="C44" s="962"/>
      <c r="D44" s="2754"/>
      <c r="E44" s="2755"/>
      <c r="F44" s="2755"/>
      <c r="G44" s="2755"/>
      <c r="H44" s="2755"/>
      <c r="I44" s="2759"/>
      <c r="J44" s="2760"/>
      <c r="K44" s="2760"/>
      <c r="L44" s="2760"/>
      <c r="M44" s="2760"/>
      <c r="N44" s="2760"/>
      <c r="O44" s="2760"/>
      <c r="P44" s="2760"/>
      <c r="Q44" s="2760"/>
      <c r="R44" s="2760"/>
      <c r="S44" s="2760"/>
      <c r="T44" s="2760"/>
      <c r="U44" s="2761"/>
      <c r="V44" s="1158"/>
      <c r="W44" s="609"/>
      <c r="X44" s="926"/>
      <c r="Y44" s="926"/>
      <c r="Z44" s="926"/>
      <c r="AA44" s="926"/>
      <c r="AB44" s="926"/>
      <c r="AC44" s="926"/>
      <c r="AD44" s="926"/>
      <c r="AE44" s="926"/>
      <c r="AF44" s="926"/>
      <c r="AG44" s="926"/>
      <c r="AH44" s="926"/>
      <c r="AI44" s="926"/>
      <c r="AJ44" s="926"/>
    </row>
    <row r="45" spans="1:36" ht="15" customHeight="1" x14ac:dyDescent="0.3">
      <c r="A45" s="926"/>
      <c r="B45" s="609"/>
      <c r="C45" s="962"/>
      <c r="D45" s="2754"/>
      <c r="E45" s="2755"/>
      <c r="F45" s="2755"/>
      <c r="G45" s="2755"/>
      <c r="H45" s="2755"/>
      <c r="I45" s="2759"/>
      <c r="J45" s="2760"/>
      <c r="K45" s="2760"/>
      <c r="L45" s="2760"/>
      <c r="M45" s="2760"/>
      <c r="N45" s="2760"/>
      <c r="O45" s="2760"/>
      <c r="P45" s="2760"/>
      <c r="Q45" s="2760"/>
      <c r="R45" s="2760"/>
      <c r="S45" s="2760"/>
      <c r="T45" s="2760"/>
      <c r="U45" s="2761"/>
      <c r="V45" s="1158"/>
      <c r="W45" s="609"/>
      <c r="X45" s="926"/>
      <c r="Y45" s="926"/>
      <c r="Z45" s="926"/>
      <c r="AA45" s="926"/>
      <c r="AB45" s="926"/>
      <c r="AC45" s="926"/>
      <c r="AD45" s="926"/>
      <c r="AE45" s="926"/>
      <c r="AF45" s="926"/>
      <c r="AG45" s="926"/>
      <c r="AH45" s="926"/>
      <c r="AI45" s="926"/>
      <c r="AJ45" s="926"/>
    </row>
    <row r="46" spans="1:36" ht="15" customHeight="1" x14ac:dyDescent="0.3">
      <c r="A46" s="926"/>
      <c r="B46" s="609"/>
      <c r="C46" s="962"/>
      <c r="D46" s="2754"/>
      <c r="E46" s="2755"/>
      <c r="F46" s="2755"/>
      <c r="G46" s="2755"/>
      <c r="H46" s="2755"/>
      <c r="I46" s="2762"/>
      <c r="J46" s="2763"/>
      <c r="K46" s="2763"/>
      <c r="L46" s="2763"/>
      <c r="M46" s="2763"/>
      <c r="N46" s="2763"/>
      <c r="O46" s="2763"/>
      <c r="P46" s="2763"/>
      <c r="Q46" s="2763"/>
      <c r="R46" s="2763"/>
      <c r="S46" s="2763"/>
      <c r="T46" s="2763"/>
      <c r="U46" s="2764"/>
      <c r="V46" s="1158"/>
      <c r="W46" s="609"/>
      <c r="X46" s="926"/>
      <c r="Y46" s="926"/>
      <c r="Z46" s="926"/>
      <c r="AA46" s="926"/>
      <c r="AB46" s="926"/>
      <c r="AC46" s="926"/>
      <c r="AD46" s="926"/>
      <c r="AE46" s="926"/>
      <c r="AF46" s="926"/>
      <c r="AG46" s="926"/>
      <c r="AH46" s="926"/>
      <c r="AI46" s="926"/>
      <c r="AJ46" s="926"/>
    </row>
    <row r="47" spans="1:36" ht="15" customHeight="1" x14ac:dyDescent="0.3">
      <c r="A47" s="926"/>
      <c r="B47" s="609"/>
      <c r="C47" s="962"/>
      <c r="D47" s="2754" t="s">
        <v>554</v>
      </c>
      <c r="E47" s="2755"/>
      <c r="F47" s="2755"/>
      <c r="G47" s="2755"/>
      <c r="H47" s="2755"/>
      <c r="I47" s="2756" t="str">
        <f ca="1">INDEX(SC.Table.Scenario_Desc,MATCH(D47,SC.Table.Scenario_Properties,0))</f>
        <v>The farm uses a deep pit slurry storage system, where the manure and wash water is stored for a period of time before being emptied. The accumulated slurry is agitated and land-applied using tractor-pulled drag hose method.</v>
      </c>
      <c r="J47" s="2757"/>
      <c r="K47" s="2757"/>
      <c r="L47" s="2757"/>
      <c r="M47" s="2757"/>
      <c r="N47" s="2757"/>
      <c r="O47" s="2757"/>
      <c r="P47" s="2757"/>
      <c r="Q47" s="2757"/>
      <c r="R47" s="2757"/>
      <c r="S47" s="2757"/>
      <c r="T47" s="2757"/>
      <c r="U47" s="2758"/>
      <c r="V47" s="1158"/>
      <c r="W47" s="609"/>
      <c r="X47" s="926"/>
      <c r="Y47" s="926"/>
      <c r="Z47" s="926"/>
      <c r="AA47" s="926"/>
      <c r="AB47" s="926"/>
      <c r="AC47" s="926"/>
      <c r="AD47" s="926"/>
      <c r="AE47" s="926"/>
      <c r="AF47" s="926"/>
      <c r="AG47" s="926"/>
      <c r="AH47" s="926"/>
      <c r="AI47" s="926"/>
      <c r="AJ47" s="926"/>
    </row>
    <row r="48" spans="1:36" ht="15" customHeight="1" x14ac:dyDescent="0.3">
      <c r="A48" s="926"/>
      <c r="B48" s="609"/>
      <c r="C48" s="962"/>
      <c r="D48" s="2754"/>
      <c r="E48" s="2755"/>
      <c r="F48" s="2755"/>
      <c r="G48" s="2755"/>
      <c r="H48" s="2755"/>
      <c r="I48" s="2759"/>
      <c r="J48" s="2760"/>
      <c r="K48" s="2760"/>
      <c r="L48" s="2760"/>
      <c r="M48" s="2760"/>
      <c r="N48" s="2760"/>
      <c r="O48" s="2760"/>
      <c r="P48" s="2760"/>
      <c r="Q48" s="2760"/>
      <c r="R48" s="2760"/>
      <c r="S48" s="2760"/>
      <c r="T48" s="2760"/>
      <c r="U48" s="2761"/>
      <c r="V48" s="1158"/>
      <c r="W48" s="609"/>
      <c r="X48" s="926"/>
      <c r="Y48" s="926"/>
      <c r="Z48" s="926"/>
      <c r="AA48" s="926"/>
      <c r="AB48" s="926"/>
      <c r="AC48" s="926"/>
      <c r="AD48" s="926"/>
      <c r="AE48" s="926"/>
      <c r="AF48" s="926"/>
      <c r="AG48" s="926"/>
      <c r="AH48" s="926"/>
      <c r="AI48" s="926"/>
      <c r="AJ48" s="926"/>
    </row>
    <row r="49" spans="1:36" ht="15" customHeight="1" x14ac:dyDescent="0.3">
      <c r="A49" s="926"/>
      <c r="B49" s="609"/>
      <c r="C49" s="962"/>
      <c r="D49" s="2754"/>
      <c r="E49" s="2755"/>
      <c r="F49" s="2755"/>
      <c r="G49" s="2755"/>
      <c r="H49" s="2755"/>
      <c r="I49" s="2759"/>
      <c r="J49" s="2760"/>
      <c r="K49" s="2760"/>
      <c r="L49" s="2760"/>
      <c r="M49" s="2760"/>
      <c r="N49" s="2760"/>
      <c r="O49" s="2760"/>
      <c r="P49" s="2760"/>
      <c r="Q49" s="2760"/>
      <c r="R49" s="2760"/>
      <c r="S49" s="2760"/>
      <c r="T49" s="2760"/>
      <c r="U49" s="2761"/>
      <c r="V49" s="1158"/>
      <c r="W49" s="609"/>
      <c r="X49" s="926"/>
      <c r="Y49" s="926"/>
      <c r="Z49" s="926"/>
      <c r="AA49" s="926"/>
      <c r="AB49" s="926"/>
      <c r="AC49" s="926"/>
      <c r="AD49" s="926"/>
      <c r="AE49" s="926"/>
      <c r="AF49" s="926"/>
      <c r="AG49" s="926"/>
      <c r="AH49" s="926"/>
      <c r="AI49" s="926"/>
      <c r="AJ49" s="926"/>
    </row>
    <row r="50" spans="1:36" ht="15" customHeight="1" x14ac:dyDescent="0.3">
      <c r="A50" s="926"/>
      <c r="B50" s="609"/>
      <c r="C50" s="962"/>
      <c r="D50" s="2754"/>
      <c r="E50" s="2755"/>
      <c r="F50" s="2755"/>
      <c r="G50" s="2755"/>
      <c r="H50" s="2755"/>
      <c r="I50" s="2759"/>
      <c r="J50" s="2760"/>
      <c r="K50" s="2760"/>
      <c r="L50" s="2760"/>
      <c r="M50" s="2760"/>
      <c r="N50" s="2760"/>
      <c r="O50" s="2760"/>
      <c r="P50" s="2760"/>
      <c r="Q50" s="2760"/>
      <c r="R50" s="2760"/>
      <c r="S50" s="2760"/>
      <c r="T50" s="2760"/>
      <c r="U50" s="2761"/>
      <c r="V50" s="1158"/>
      <c r="W50" s="609"/>
      <c r="X50" s="926"/>
      <c r="Y50" s="926"/>
      <c r="Z50" s="926"/>
      <c r="AA50" s="926"/>
      <c r="AB50" s="926"/>
      <c r="AC50" s="926"/>
      <c r="AD50" s="926"/>
      <c r="AE50" s="926"/>
      <c r="AF50" s="926"/>
      <c r="AG50" s="926"/>
      <c r="AH50" s="926"/>
      <c r="AI50" s="926"/>
      <c r="AJ50" s="926"/>
    </row>
    <row r="51" spans="1:36" ht="15" customHeight="1" x14ac:dyDescent="0.3">
      <c r="A51" s="926"/>
      <c r="B51" s="609"/>
      <c r="C51" s="962"/>
      <c r="D51" s="2754"/>
      <c r="E51" s="2755"/>
      <c r="F51" s="2755"/>
      <c r="G51" s="2755"/>
      <c r="H51" s="2755"/>
      <c r="I51" s="2759"/>
      <c r="J51" s="2760"/>
      <c r="K51" s="2760"/>
      <c r="L51" s="2760"/>
      <c r="M51" s="2760"/>
      <c r="N51" s="2760"/>
      <c r="O51" s="2760"/>
      <c r="P51" s="2760"/>
      <c r="Q51" s="2760"/>
      <c r="R51" s="2760"/>
      <c r="S51" s="2760"/>
      <c r="T51" s="2760"/>
      <c r="U51" s="2761"/>
      <c r="V51" s="1158"/>
      <c r="W51" s="609"/>
      <c r="X51" s="926"/>
      <c r="Y51" s="926"/>
      <c r="Z51" s="926"/>
      <c r="AA51" s="926"/>
      <c r="AB51" s="926"/>
      <c r="AC51" s="926"/>
      <c r="AD51" s="926"/>
      <c r="AE51" s="926"/>
      <c r="AF51" s="926"/>
      <c r="AG51" s="926"/>
      <c r="AH51" s="926"/>
      <c r="AI51" s="926"/>
      <c r="AJ51" s="926"/>
    </row>
    <row r="52" spans="1:36" ht="15" customHeight="1" x14ac:dyDescent="0.3">
      <c r="A52" s="926"/>
      <c r="B52" s="609"/>
      <c r="C52" s="962"/>
      <c r="D52" s="2754"/>
      <c r="E52" s="2755"/>
      <c r="F52" s="2755"/>
      <c r="G52" s="2755"/>
      <c r="H52" s="2755"/>
      <c r="I52" s="2759"/>
      <c r="J52" s="2760"/>
      <c r="K52" s="2760"/>
      <c r="L52" s="2760"/>
      <c r="M52" s="2760"/>
      <c r="N52" s="2760"/>
      <c r="O52" s="2760"/>
      <c r="P52" s="2760"/>
      <c r="Q52" s="2760"/>
      <c r="R52" s="2760"/>
      <c r="S52" s="2760"/>
      <c r="T52" s="2760"/>
      <c r="U52" s="2761"/>
      <c r="V52" s="1158"/>
      <c r="W52" s="609"/>
      <c r="X52" s="926"/>
      <c r="Y52" s="926"/>
      <c r="Z52" s="926"/>
      <c r="AA52" s="926"/>
      <c r="AB52" s="926"/>
      <c r="AC52" s="926"/>
      <c r="AD52" s="926"/>
      <c r="AE52" s="926"/>
      <c r="AF52" s="926"/>
      <c r="AG52" s="926"/>
      <c r="AH52" s="926"/>
      <c r="AI52" s="926"/>
      <c r="AJ52" s="926"/>
    </row>
    <row r="53" spans="1:36" ht="15" customHeight="1" x14ac:dyDescent="0.3">
      <c r="A53" s="926"/>
      <c r="B53" s="609"/>
      <c r="C53" s="962"/>
      <c r="D53" s="2754"/>
      <c r="E53" s="2755"/>
      <c r="F53" s="2755"/>
      <c r="G53" s="2755"/>
      <c r="H53" s="2755"/>
      <c r="I53" s="2762"/>
      <c r="J53" s="2763"/>
      <c r="K53" s="2763"/>
      <c r="L53" s="2763"/>
      <c r="M53" s="2763"/>
      <c r="N53" s="2763"/>
      <c r="O53" s="2763"/>
      <c r="P53" s="2763"/>
      <c r="Q53" s="2763"/>
      <c r="R53" s="2763"/>
      <c r="S53" s="2763"/>
      <c r="T53" s="2763"/>
      <c r="U53" s="2764"/>
      <c r="V53" s="1158"/>
      <c r="W53" s="609"/>
      <c r="X53" s="926"/>
      <c r="Y53" s="926"/>
      <c r="Z53" s="926"/>
      <c r="AA53" s="926"/>
      <c r="AB53" s="926"/>
      <c r="AC53" s="926"/>
      <c r="AD53" s="926"/>
      <c r="AE53" s="926"/>
      <c r="AF53" s="926"/>
      <c r="AG53" s="926"/>
      <c r="AH53" s="926"/>
      <c r="AI53" s="926"/>
      <c r="AJ53" s="926"/>
    </row>
    <row r="54" spans="1:36" ht="15" customHeight="1" x14ac:dyDescent="0.3">
      <c r="A54" s="926"/>
      <c r="B54" s="609"/>
      <c r="C54" s="962"/>
      <c r="D54" s="2754" t="s">
        <v>555</v>
      </c>
      <c r="E54" s="2755"/>
      <c r="F54" s="2755"/>
      <c r="G54" s="2755"/>
      <c r="H54" s="2755"/>
      <c r="I54" s="2756" t="str">
        <f ca="1">INDEX(SC.Table.Scenario_Desc,MATCH(D54,SC.Table.Scenario_Properties,0))</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the tractor-pulled drag hose method.</v>
      </c>
      <c r="J54" s="2757"/>
      <c r="K54" s="2757"/>
      <c r="L54" s="2757"/>
      <c r="M54" s="2757"/>
      <c r="N54" s="2757"/>
      <c r="O54" s="2757"/>
      <c r="P54" s="2757"/>
      <c r="Q54" s="2757"/>
      <c r="R54" s="2757"/>
      <c r="S54" s="2757"/>
      <c r="T54" s="2757"/>
      <c r="U54" s="2758"/>
      <c r="V54" s="1158"/>
      <c r="W54" s="609"/>
      <c r="X54" s="926"/>
      <c r="Y54" s="926"/>
      <c r="Z54" s="926"/>
      <c r="AA54" s="926"/>
      <c r="AB54" s="926"/>
      <c r="AC54" s="926"/>
      <c r="AD54" s="926"/>
      <c r="AE54" s="926"/>
      <c r="AF54" s="926"/>
      <c r="AG54" s="926"/>
      <c r="AH54" s="926"/>
      <c r="AI54" s="926"/>
      <c r="AJ54" s="926"/>
    </row>
    <row r="55" spans="1:36" ht="15" customHeight="1" x14ac:dyDescent="0.3">
      <c r="A55" s="926"/>
      <c r="B55" s="609"/>
      <c r="C55" s="962"/>
      <c r="D55" s="2754"/>
      <c r="E55" s="2755"/>
      <c r="F55" s="2755"/>
      <c r="G55" s="2755"/>
      <c r="H55" s="2755"/>
      <c r="I55" s="2759"/>
      <c r="J55" s="2760"/>
      <c r="K55" s="2760"/>
      <c r="L55" s="2760"/>
      <c r="M55" s="2760"/>
      <c r="N55" s="2760"/>
      <c r="O55" s="2760"/>
      <c r="P55" s="2760"/>
      <c r="Q55" s="2760"/>
      <c r="R55" s="2760"/>
      <c r="S55" s="2760"/>
      <c r="T55" s="2760"/>
      <c r="U55" s="2761"/>
      <c r="V55" s="1158"/>
      <c r="W55" s="609"/>
      <c r="X55" s="926"/>
      <c r="Y55" s="926"/>
      <c r="Z55" s="926"/>
      <c r="AA55" s="926"/>
      <c r="AB55" s="926"/>
      <c r="AC55" s="926"/>
      <c r="AD55" s="926"/>
      <c r="AE55" s="926"/>
      <c r="AF55" s="926"/>
      <c r="AG55" s="926"/>
      <c r="AH55" s="926"/>
      <c r="AI55" s="926"/>
      <c r="AJ55" s="926"/>
    </row>
    <row r="56" spans="1:36" ht="15" customHeight="1" x14ac:dyDescent="0.3">
      <c r="A56" s="926"/>
      <c r="B56" s="609"/>
      <c r="C56" s="962"/>
      <c r="D56" s="2754"/>
      <c r="E56" s="2755"/>
      <c r="F56" s="2755"/>
      <c r="G56" s="2755"/>
      <c r="H56" s="2755"/>
      <c r="I56" s="2759"/>
      <c r="J56" s="2760"/>
      <c r="K56" s="2760"/>
      <c r="L56" s="2760"/>
      <c r="M56" s="2760"/>
      <c r="N56" s="2760"/>
      <c r="O56" s="2760"/>
      <c r="P56" s="2760"/>
      <c r="Q56" s="2760"/>
      <c r="R56" s="2760"/>
      <c r="S56" s="2760"/>
      <c r="T56" s="2760"/>
      <c r="U56" s="2761"/>
      <c r="V56" s="1158"/>
      <c r="W56" s="609"/>
      <c r="X56" s="926"/>
      <c r="Y56" s="926"/>
      <c r="Z56" s="926"/>
      <c r="AA56" s="926"/>
      <c r="AB56" s="926"/>
      <c r="AC56" s="926"/>
      <c r="AD56" s="926"/>
      <c r="AE56" s="926"/>
      <c r="AF56" s="926"/>
      <c r="AG56" s="926"/>
      <c r="AH56" s="926"/>
      <c r="AI56" s="926"/>
      <c r="AJ56" s="926"/>
    </row>
    <row r="57" spans="1:36" ht="15" customHeight="1" x14ac:dyDescent="0.3">
      <c r="A57" s="926"/>
      <c r="B57" s="609"/>
      <c r="C57" s="962"/>
      <c r="D57" s="2754"/>
      <c r="E57" s="2755"/>
      <c r="F57" s="2755"/>
      <c r="G57" s="2755"/>
      <c r="H57" s="2755"/>
      <c r="I57" s="2759"/>
      <c r="J57" s="2760"/>
      <c r="K57" s="2760"/>
      <c r="L57" s="2760"/>
      <c r="M57" s="2760"/>
      <c r="N57" s="2760"/>
      <c r="O57" s="2760"/>
      <c r="P57" s="2760"/>
      <c r="Q57" s="2760"/>
      <c r="R57" s="2760"/>
      <c r="S57" s="2760"/>
      <c r="T57" s="2760"/>
      <c r="U57" s="2761"/>
      <c r="V57" s="1158"/>
      <c r="W57" s="609"/>
      <c r="X57" s="926"/>
      <c r="Y57" s="926"/>
      <c r="Z57" s="926"/>
      <c r="AA57" s="926"/>
      <c r="AB57" s="926"/>
      <c r="AC57" s="926"/>
      <c r="AD57" s="926"/>
      <c r="AE57" s="926"/>
      <c r="AF57" s="926"/>
      <c r="AG57" s="926"/>
      <c r="AH57" s="926"/>
      <c r="AI57" s="926"/>
      <c r="AJ57" s="926"/>
    </row>
    <row r="58" spans="1:36" ht="15" customHeight="1" x14ac:dyDescent="0.3">
      <c r="A58" s="926"/>
      <c r="B58" s="609"/>
      <c r="C58" s="962"/>
      <c r="D58" s="2754"/>
      <c r="E58" s="2755"/>
      <c r="F58" s="2755"/>
      <c r="G58" s="2755"/>
      <c r="H58" s="2755"/>
      <c r="I58" s="2759"/>
      <c r="J58" s="2760"/>
      <c r="K58" s="2760"/>
      <c r="L58" s="2760"/>
      <c r="M58" s="2760"/>
      <c r="N58" s="2760"/>
      <c r="O58" s="2760"/>
      <c r="P58" s="2760"/>
      <c r="Q58" s="2760"/>
      <c r="R58" s="2760"/>
      <c r="S58" s="2760"/>
      <c r="T58" s="2760"/>
      <c r="U58" s="2761"/>
      <c r="V58" s="1158"/>
      <c r="W58" s="609"/>
      <c r="X58" s="926"/>
      <c r="Y58" s="926"/>
      <c r="Z58" s="926"/>
      <c r="AA58" s="926"/>
      <c r="AB58" s="926"/>
      <c r="AC58" s="926"/>
      <c r="AD58" s="926"/>
      <c r="AE58" s="926"/>
      <c r="AF58" s="926"/>
      <c r="AG58" s="926"/>
      <c r="AH58" s="926"/>
      <c r="AI58" s="926"/>
      <c r="AJ58" s="926"/>
    </row>
    <row r="59" spans="1:36" ht="15" customHeight="1" x14ac:dyDescent="0.3">
      <c r="A59" s="926"/>
      <c r="B59" s="609"/>
      <c r="C59" s="962"/>
      <c r="D59" s="2754"/>
      <c r="E59" s="2755"/>
      <c r="F59" s="2755"/>
      <c r="G59" s="2755"/>
      <c r="H59" s="2755"/>
      <c r="I59" s="2759"/>
      <c r="J59" s="2760"/>
      <c r="K59" s="2760"/>
      <c r="L59" s="2760"/>
      <c r="M59" s="2760"/>
      <c r="N59" s="2760"/>
      <c r="O59" s="2760"/>
      <c r="P59" s="2760"/>
      <c r="Q59" s="2760"/>
      <c r="R59" s="2760"/>
      <c r="S59" s="2760"/>
      <c r="T59" s="2760"/>
      <c r="U59" s="2761"/>
      <c r="V59" s="1158"/>
      <c r="W59" s="609"/>
      <c r="X59" s="926"/>
      <c r="Y59" s="926"/>
      <c r="Z59" s="926"/>
      <c r="AA59" s="926"/>
      <c r="AB59" s="926"/>
      <c r="AC59" s="926"/>
      <c r="AD59" s="926"/>
      <c r="AE59" s="926"/>
      <c r="AF59" s="926"/>
      <c r="AG59" s="926"/>
      <c r="AH59" s="926"/>
      <c r="AI59" s="926"/>
      <c r="AJ59" s="926"/>
    </row>
    <row r="60" spans="1:36" ht="15" customHeight="1" thickBot="1" x14ac:dyDescent="0.35">
      <c r="A60" s="926"/>
      <c r="B60" s="609"/>
      <c r="C60" s="962"/>
      <c r="D60" s="2765"/>
      <c r="E60" s="2766"/>
      <c r="F60" s="2766"/>
      <c r="G60" s="2766"/>
      <c r="H60" s="2766"/>
      <c r="I60" s="2767"/>
      <c r="J60" s="2768"/>
      <c r="K60" s="2768"/>
      <c r="L60" s="2768"/>
      <c r="M60" s="2768"/>
      <c r="N60" s="2768"/>
      <c r="O60" s="2768"/>
      <c r="P60" s="2768"/>
      <c r="Q60" s="2768"/>
      <c r="R60" s="2768"/>
      <c r="S60" s="2768"/>
      <c r="T60" s="2768"/>
      <c r="U60" s="2769"/>
      <c r="V60" s="1158"/>
      <c r="W60" s="609"/>
      <c r="X60" s="926"/>
      <c r="Y60" s="926"/>
      <c r="Z60" s="926"/>
      <c r="AA60" s="926"/>
      <c r="AB60" s="926"/>
      <c r="AC60" s="926"/>
      <c r="AD60" s="926"/>
      <c r="AE60" s="926"/>
      <c r="AF60" s="926"/>
      <c r="AG60" s="926"/>
      <c r="AH60" s="926"/>
      <c r="AI60" s="926"/>
      <c r="AJ60" s="926"/>
    </row>
    <row r="61" spans="1:36" ht="15" customHeight="1" x14ac:dyDescent="0.3">
      <c r="A61" s="926"/>
      <c r="B61" s="609"/>
      <c r="C61" s="962"/>
      <c r="D61" s="1979"/>
      <c r="E61" s="40"/>
      <c r="F61" s="40"/>
      <c r="G61" s="40"/>
      <c r="H61" s="40"/>
      <c r="I61" s="40"/>
      <c r="J61" s="40"/>
      <c r="K61" s="40"/>
      <c r="L61" s="40"/>
      <c r="M61" s="40"/>
      <c r="N61" s="40"/>
      <c r="O61" s="40"/>
      <c r="P61" s="40"/>
      <c r="Q61" s="40"/>
      <c r="R61" s="40"/>
      <c r="S61" s="40"/>
      <c r="T61" s="40"/>
      <c r="U61" s="40"/>
      <c r="V61" s="963"/>
      <c r="W61" s="609"/>
      <c r="X61" s="926"/>
      <c r="Y61" s="926"/>
      <c r="Z61" s="926"/>
      <c r="AA61" s="926"/>
      <c r="AB61" s="926"/>
      <c r="AC61" s="926"/>
      <c r="AD61" s="926"/>
      <c r="AE61" s="926"/>
      <c r="AF61" s="926"/>
      <c r="AG61" s="926"/>
      <c r="AH61" s="926"/>
      <c r="AI61" s="926"/>
      <c r="AJ61" s="926"/>
    </row>
    <row r="62" spans="1:36" ht="15" customHeight="1" thickBot="1" x14ac:dyDescent="0.35">
      <c r="A62" s="926"/>
      <c r="B62" s="609"/>
      <c r="C62" s="962"/>
      <c r="D62" s="1979"/>
      <c r="E62" s="40"/>
      <c r="F62" s="40"/>
      <c r="G62" s="40"/>
      <c r="H62" s="40"/>
      <c r="I62" s="40"/>
      <c r="J62" s="40"/>
      <c r="K62" s="40"/>
      <c r="L62" s="40"/>
      <c r="M62" s="40"/>
      <c r="N62" s="40"/>
      <c r="O62" s="40"/>
      <c r="P62" s="40"/>
      <c r="Q62" s="40"/>
      <c r="R62" s="40"/>
      <c r="S62" s="40"/>
      <c r="T62" s="40"/>
      <c r="U62" s="40"/>
      <c r="V62" s="963"/>
      <c r="W62" s="609"/>
      <c r="X62" s="926"/>
      <c r="Y62" s="926"/>
      <c r="Z62" s="926"/>
      <c r="AA62" s="926"/>
      <c r="AB62" s="926"/>
      <c r="AC62" s="926"/>
      <c r="AD62" s="926"/>
      <c r="AE62" s="926"/>
      <c r="AF62" s="926"/>
      <c r="AG62" s="926"/>
      <c r="AH62" s="926"/>
      <c r="AI62" s="926"/>
      <c r="AJ62" s="926"/>
    </row>
    <row r="63" spans="1:36" ht="15" customHeight="1" x14ac:dyDescent="0.3">
      <c r="A63" s="926"/>
      <c r="B63" s="609"/>
      <c r="C63" s="962"/>
      <c r="D63" s="1979"/>
      <c r="E63" s="40"/>
      <c r="F63" s="40"/>
      <c r="G63" s="40"/>
      <c r="H63" s="2441" t="s">
        <v>556</v>
      </c>
      <c r="I63" s="2442"/>
      <c r="J63" s="2442"/>
      <c r="K63" s="2442"/>
      <c r="L63" s="2442"/>
      <c r="M63" s="2442"/>
      <c r="N63" s="2442"/>
      <c r="O63" s="2442"/>
      <c r="P63" s="2442"/>
      <c r="Q63" s="2443"/>
      <c r="R63" s="40"/>
      <c r="S63" s="40"/>
      <c r="T63" s="40"/>
      <c r="U63" s="1160"/>
      <c r="V63" s="963"/>
      <c r="W63" s="609"/>
      <c r="X63" s="926"/>
      <c r="Y63" s="926"/>
      <c r="Z63" s="926"/>
      <c r="AA63" s="926"/>
      <c r="AB63" s="926"/>
      <c r="AC63" s="926"/>
      <c r="AD63" s="926"/>
      <c r="AE63" s="926"/>
      <c r="AF63" s="926"/>
      <c r="AG63" s="926"/>
      <c r="AH63" s="926"/>
      <c r="AI63" s="926"/>
      <c r="AJ63" s="926"/>
    </row>
    <row r="64" spans="1:36" ht="15" customHeight="1" x14ac:dyDescent="0.3">
      <c r="A64" s="926"/>
      <c r="B64" s="609"/>
      <c r="C64" s="962"/>
      <c r="D64" s="1979"/>
      <c r="E64" s="40"/>
      <c r="F64" s="40"/>
      <c r="G64" s="40"/>
      <c r="H64" s="2444"/>
      <c r="I64" s="2380"/>
      <c r="J64" s="2380"/>
      <c r="K64" s="2380"/>
      <c r="L64" s="2380"/>
      <c r="M64" s="2380"/>
      <c r="N64" s="2380"/>
      <c r="O64" s="2380"/>
      <c r="P64" s="2380"/>
      <c r="Q64" s="2445"/>
      <c r="R64" s="40"/>
      <c r="S64" s="40"/>
      <c r="T64" s="40"/>
      <c r="U64" s="40"/>
      <c r="V64" s="963"/>
      <c r="W64" s="609"/>
      <c r="X64" s="926"/>
      <c r="Y64" s="926"/>
      <c r="Z64" s="926"/>
      <c r="AA64" s="926"/>
      <c r="AB64" s="926"/>
      <c r="AC64" s="926"/>
      <c r="AD64" s="926"/>
      <c r="AE64" s="926"/>
      <c r="AF64" s="926"/>
      <c r="AG64" s="926"/>
      <c r="AH64" s="926"/>
      <c r="AI64" s="926"/>
      <c r="AJ64" s="926"/>
    </row>
    <row r="65" spans="1:36" ht="15" customHeight="1" x14ac:dyDescent="0.3">
      <c r="A65" s="926"/>
      <c r="B65" s="609"/>
      <c r="C65" s="962"/>
      <c r="D65" s="1979"/>
      <c r="E65" s="40"/>
      <c r="F65" s="40"/>
      <c r="G65" s="40"/>
      <c r="H65" s="2444"/>
      <c r="I65" s="2380"/>
      <c r="J65" s="2380"/>
      <c r="K65" s="2380"/>
      <c r="L65" s="2380"/>
      <c r="M65" s="2380"/>
      <c r="N65" s="2380"/>
      <c r="O65" s="2380"/>
      <c r="P65" s="2380"/>
      <c r="Q65" s="2445"/>
      <c r="R65" s="40"/>
      <c r="S65" s="40"/>
      <c r="T65" s="40"/>
      <c r="U65" s="40"/>
      <c r="V65" s="963"/>
      <c r="W65" s="609"/>
      <c r="X65" s="926"/>
      <c r="Y65" s="926"/>
      <c r="Z65" s="926"/>
      <c r="AA65" s="926"/>
      <c r="AB65" s="926"/>
      <c r="AC65" s="926"/>
      <c r="AD65" s="926"/>
      <c r="AE65" s="926"/>
      <c r="AF65" s="926"/>
      <c r="AG65" s="926"/>
      <c r="AH65" s="926"/>
      <c r="AI65" s="926"/>
      <c r="AJ65" s="926"/>
    </row>
    <row r="66" spans="1:36" ht="15" customHeight="1" thickBot="1" x14ac:dyDescent="0.35">
      <c r="A66" s="926"/>
      <c r="B66" s="609"/>
      <c r="C66" s="962"/>
      <c r="D66" s="1979"/>
      <c r="E66" s="40"/>
      <c r="F66" s="40"/>
      <c r="G66" s="40"/>
      <c r="H66" s="2446"/>
      <c r="I66" s="2447"/>
      <c r="J66" s="2447"/>
      <c r="K66" s="2447"/>
      <c r="L66" s="2447"/>
      <c r="M66" s="2447"/>
      <c r="N66" s="2447"/>
      <c r="O66" s="2447"/>
      <c r="P66" s="2447"/>
      <c r="Q66" s="2448"/>
      <c r="R66" s="40"/>
      <c r="S66" s="40"/>
      <c r="T66" s="40"/>
      <c r="U66" s="40"/>
      <c r="V66" s="963"/>
      <c r="W66" s="609"/>
      <c r="X66" s="926"/>
      <c r="Y66" s="926"/>
      <c r="Z66" s="926"/>
      <c r="AA66" s="926"/>
      <c r="AB66" s="926"/>
      <c r="AC66" s="926"/>
      <c r="AD66" s="926"/>
      <c r="AE66" s="926"/>
      <c r="AF66" s="926"/>
      <c r="AG66" s="926"/>
      <c r="AH66" s="926"/>
      <c r="AI66" s="926"/>
      <c r="AJ66" s="926"/>
    </row>
    <row r="67" spans="1:36" ht="15" customHeight="1" x14ac:dyDescent="0.3">
      <c r="A67" s="926"/>
      <c r="B67" s="609"/>
      <c r="C67" s="962"/>
      <c r="D67" s="1979"/>
      <c r="E67" s="40"/>
      <c r="F67" s="40"/>
      <c r="G67" s="40"/>
      <c r="H67" s="40"/>
      <c r="I67" s="40"/>
      <c r="J67" s="40"/>
      <c r="K67" s="40"/>
      <c r="L67" s="40"/>
      <c r="M67" s="40"/>
      <c r="N67" s="40"/>
      <c r="O67" s="40"/>
      <c r="P67" s="40"/>
      <c r="Q67" s="40"/>
      <c r="R67" s="40"/>
      <c r="S67" s="40"/>
      <c r="T67" s="40"/>
      <c r="U67" s="40"/>
      <c r="V67" s="963"/>
      <c r="W67" s="609"/>
      <c r="X67" s="926"/>
      <c r="Y67" s="926"/>
      <c r="Z67" s="926"/>
      <c r="AA67" s="926"/>
      <c r="AB67" s="926"/>
      <c r="AC67" s="926"/>
      <c r="AD67" s="926"/>
      <c r="AE67" s="926"/>
      <c r="AF67" s="926"/>
      <c r="AG67" s="926"/>
      <c r="AH67" s="926"/>
      <c r="AI67" s="926"/>
      <c r="AJ67" s="926"/>
    </row>
    <row r="68" spans="1:36" ht="15" customHeight="1" x14ac:dyDescent="0.3">
      <c r="A68" s="926"/>
      <c r="B68" s="609"/>
      <c r="C68" s="962"/>
      <c r="D68" s="2753"/>
      <c r="E68" s="2753"/>
      <c r="F68" s="2753"/>
      <c r="G68" s="40"/>
      <c r="H68" s="40"/>
      <c r="I68" s="40"/>
      <c r="J68" s="40"/>
      <c r="K68" s="40"/>
      <c r="L68" s="40"/>
      <c r="M68" s="967"/>
      <c r="N68" s="967"/>
      <c r="O68" s="967"/>
      <c r="P68" s="40"/>
      <c r="Q68" s="40"/>
      <c r="R68" s="40"/>
      <c r="S68" s="40"/>
      <c r="T68" s="40"/>
      <c r="U68" s="40"/>
      <c r="V68" s="963"/>
      <c r="W68" s="609"/>
      <c r="X68" s="926"/>
      <c r="Y68" s="926"/>
      <c r="Z68" s="926"/>
      <c r="AA68" s="926"/>
      <c r="AB68" s="926"/>
      <c r="AC68" s="926"/>
      <c r="AD68" s="926"/>
      <c r="AE68" s="926"/>
      <c r="AF68" s="926"/>
      <c r="AG68" s="926"/>
      <c r="AH68" s="926"/>
      <c r="AI68" s="926"/>
      <c r="AJ68" s="926"/>
    </row>
    <row r="69" spans="1:36" ht="15" customHeight="1" thickBot="1" x14ac:dyDescent="0.35">
      <c r="A69" s="926"/>
      <c r="B69" s="609"/>
      <c r="C69" s="964"/>
      <c r="D69" s="965"/>
      <c r="E69" s="965"/>
      <c r="F69" s="965"/>
      <c r="G69" s="965"/>
      <c r="H69" s="965"/>
      <c r="I69" s="965"/>
      <c r="J69" s="965"/>
      <c r="K69" s="965"/>
      <c r="L69" s="965"/>
      <c r="M69" s="965"/>
      <c r="N69" s="965"/>
      <c r="O69" s="965"/>
      <c r="P69" s="965"/>
      <c r="Q69" s="965"/>
      <c r="R69" s="965"/>
      <c r="S69" s="965"/>
      <c r="T69" s="965"/>
      <c r="U69" s="965"/>
      <c r="V69" s="966"/>
      <c r="W69" s="609"/>
      <c r="X69" s="926"/>
      <c r="Y69" s="926"/>
      <c r="Z69" s="926"/>
      <c r="AA69" s="926"/>
      <c r="AB69" s="926"/>
      <c r="AC69" s="926"/>
      <c r="AD69" s="926"/>
      <c r="AE69" s="926"/>
      <c r="AF69" s="926"/>
      <c r="AG69" s="926"/>
      <c r="AH69" s="926"/>
      <c r="AI69" s="926"/>
      <c r="AJ69" s="926"/>
    </row>
    <row r="70" spans="1:36" ht="15" customHeight="1" x14ac:dyDescent="0.3">
      <c r="A70" s="926"/>
      <c r="B70" s="609"/>
      <c r="C70" s="609"/>
      <c r="D70" s="609"/>
      <c r="E70" s="609"/>
      <c r="F70" s="609"/>
      <c r="G70" s="609"/>
      <c r="H70" s="609"/>
      <c r="I70" s="609"/>
      <c r="J70" s="609"/>
      <c r="K70" s="609"/>
      <c r="L70" s="609"/>
      <c r="M70" s="609"/>
      <c r="N70" s="609"/>
      <c r="O70" s="609"/>
      <c r="P70" s="609"/>
      <c r="Q70" s="609"/>
      <c r="R70" s="609"/>
      <c r="S70" s="609"/>
      <c r="T70" s="609"/>
      <c r="U70" s="609"/>
      <c r="V70" s="609"/>
      <c r="W70" s="609"/>
      <c r="X70" s="926"/>
      <c r="Y70" s="926"/>
      <c r="Z70" s="926"/>
      <c r="AA70" s="926"/>
      <c r="AB70" s="926"/>
      <c r="AC70" s="926"/>
      <c r="AD70" s="926"/>
      <c r="AE70" s="926"/>
      <c r="AF70" s="926"/>
      <c r="AG70" s="926"/>
      <c r="AH70" s="926"/>
      <c r="AI70" s="926"/>
      <c r="AJ70" s="926"/>
    </row>
    <row r="71" spans="1:36" ht="15" customHeight="1" thickBot="1" x14ac:dyDescent="0.35">
      <c r="A71" s="926"/>
      <c r="B71" s="926"/>
      <c r="C71" s="923"/>
      <c r="D71" s="923"/>
      <c r="E71" s="923"/>
      <c r="F71" s="923"/>
      <c r="G71" s="923"/>
      <c r="H71" s="923"/>
      <c r="I71" s="923"/>
      <c r="J71" s="923"/>
      <c r="K71" s="923"/>
      <c r="L71" s="923"/>
      <c r="M71" s="923"/>
      <c r="N71" s="923"/>
      <c r="O71" s="923"/>
      <c r="P71" s="923"/>
      <c r="Q71" s="923"/>
      <c r="R71" s="923"/>
      <c r="S71" s="923"/>
      <c r="T71" s="923"/>
      <c r="U71" s="923"/>
      <c r="V71" s="923"/>
      <c r="W71" s="926"/>
      <c r="X71" s="926"/>
      <c r="Y71" s="926"/>
      <c r="Z71" s="926"/>
      <c r="AA71" s="926"/>
      <c r="AB71" s="926"/>
      <c r="AC71" s="926"/>
      <c r="AD71" s="926"/>
      <c r="AE71" s="926"/>
      <c r="AF71" s="926"/>
      <c r="AG71" s="926"/>
      <c r="AH71" s="926"/>
      <c r="AI71" s="926"/>
      <c r="AJ71" s="926"/>
    </row>
    <row r="72" spans="1:36" ht="15" customHeight="1" thickBot="1" x14ac:dyDescent="0.35">
      <c r="A72" s="926"/>
      <c r="B72" s="926"/>
      <c r="C72" s="923"/>
      <c r="D72" s="923"/>
      <c r="E72" s="923"/>
      <c r="F72" s="2345" t="s">
        <v>0</v>
      </c>
      <c r="G72" s="2346"/>
      <c r="H72" s="2345" t="s">
        <v>1</v>
      </c>
      <c r="I72" s="2346"/>
      <c r="J72" s="2345" t="s">
        <v>2</v>
      </c>
      <c r="K72" s="2346"/>
      <c r="L72" s="2345" t="s">
        <v>3</v>
      </c>
      <c r="M72" s="2346"/>
      <c r="N72" s="2345" t="s">
        <v>4</v>
      </c>
      <c r="O72" s="2346"/>
      <c r="P72" s="2345" t="s">
        <v>5</v>
      </c>
      <c r="Q72" s="2346"/>
      <c r="R72" s="1739"/>
      <c r="S72" s="926"/>
      <c r="T72" s="926"/>
      <c r="U72" s="923"/>
      <c r="V72" s="923"/>
      <c r="W72" s="926"/>
      <c r="X72" s="926"/>
      <c r="Y72" s="926"/>
      <c r="Z72" s="926"/>
      <c r="AA72" s="926"/>
      <c r="AB72" s="926"/>
      <c r="AC72" s="926"/>
      <c r="AD72" s="926"/>
      <c r="AE72" s="926"/>
      <c r="AF72" s="926"/>
      <c r="AG72" s="926"/>
      <c r="AH72" s="926"/>
      <c r="AI72" s="926"/>
      <c r="AJ72" s="926"/>
    </row>
    <row r="73" spans="1:36" ht="15" customHeight="1" thickTop="1" thickBot="1" x14ac:dyDescent="0.35">
      <c r="A73" s="926"/>
      <c r="B73" s="926"/>
      <c r="C73" s="923"/>
      <c r="D73" s="923"/>
      <c r="E73" s="923"/>
      <c r="F73" s="2347"/>
      <c r="G73" s="2348"/>
      <c r="H73" s="2347"/>
      <c r="I73" s="2348"/>
      <c r="J73" s="2347"/>
      <c r="K73" s="2348"/>
      <c r="L73" s="2347"/>
      <c r="M73" s="2348"/>
      <c r="N73" s="2347"/>
      <c r="O73" s="2348"/>
      <c r="P73" s="2347"/>
      <c r="Q73" s="2348"/>
      <c r="R73" s="1739"/>
      <c r="S73" s="926"/>
      <c r="T73" s="926"/>
      <c r="U73" s="923"/>
      <c r="V73" s="923"/>
      <c r="W73" s="926"/>
      <c r="X73" s="926"/>
      <c r="Y73" s="926"/>
      <c r="Z73" s="926"/>
      <c r="AA73" s="926"/>
      <c r="AB73" s="926"/>
      <c r="AC73" s="926"/>
      <c r="AD73" s="926"/>
      <c r="AE73" s="926"/>
      <c r="AF73" s="926"/>
      <c r="AG73" s="926"/>
      <c r="AH73" s="926"/>
      <c r="AI73" s="926"/>
      <c r="AJ73" s="926"/>
    </row>
    <row r="74" spans="1:36" ht="15" customHeight="1" thickTop="1" thickBot="1" x14ac:dyDescent="0.35">
      <c r="A74" s="926"/>
      <c r="B74" s="926"/>
      <c r="C74" s="2345" t="s">
        <v>6</v>
      </c>
      <c r="D74" s="2351"/>
      <c r="E74" s="923"/>
      <c r="F74" s="2349"/>
      <c r="G74" s="2350"/>
      <c r="H74" s="2349"/>
      <c r="I74" s="2350"/>
      <c r="J74" s="2349"/>
      <c r="K74" s="2350"/>
      <c r="L74" s="2349"/>
      <c r="M74" s="2350"/>
      <c r="N74" s="2349"/>
      <c r="O74" s="2350"/>
      <c r="P74" s="2349"/>
      <c r="Q74" s="2350"/>
      <c r="R74" s="926"/>
      <c r="S74" s="2719" t="s">
        <v>7</v>
      </c>
      <c r="T74" s="2720"/>
      <c r="U74" s="926"/>
      <c r="V74" s="926"/>
      <c r="W74" s="926"/>
      <c r="X74" s="926"/>
      <c r="Y74" s="926"/>
      <c r="Z74" s="926"/>
      <c r="AA74" s="926"/>
      <c r="AB74" s="926"/>
      <c r="AC74" s="926"/>
      <c r="AD74" s="926"/>
      <c r="AE74" s="926"/>
      <c r="AF74" s="926"/>
      <c r="AG74" s="926"/>
      <c r="AH74" s="926"/>
      <c r="AI74" s="926"/>
      <c r="AJ74" s="926"/>
    </row>
    <row r="75" spans="1:36" ht="15" customHeight="1" thickBot="1" x14ac:dyDescent="0.35">
      <c r="A75" s="926"/>
      <c r="B75" s="926"/>
      <c r="C75" s="2352"/>
      <c r="D75" s="2353"/>
      <c r="E75" s="923"/>
      <c r="F75" s="926"/>
      <c r="G75" s="2345" t="s">
        <v>8</v>
      </c>
      <c r="H75" s="2346"/>
      <c r="I75" s="2345" t="s">
        <v>9</v>
      </c>
      <c r="J75" s="2346"/>
      <c r="K75" s="2345" t="s">
        <v>10</v>
      </c>
      <c r="L75" s="2346"/>
      <c r="M75" s="2362" t="s">
        <v>11</v>
      </c>
      <c r="N75" s="2363"/>
      <c r="O75" s="2345" t="s">
        <v>12</v>
      </c>
      <c r="P75" s="2346"/>
      <c r="Q75" s="926"/>
      <c r="R75" s="926"/>
      <c r="S75" s="2721"/>
      <c r="T75" s="2722"/>
      <c r="U75" s="926"/>
      <c r="V75" s="926"/>
      <c r="W75" s="926"/>
      <c r="X75" s="926"/>
      <c r="Y75" s="926"/>
      <c r="Z75" s="926"/>
      <c r="AA75" s="926"/>
      <c r="AB75" s="926"/>
      <c r="AC75" s="926"/>
      <c r="AD75" s="926"/>
      <c r="AE75" s="926"/>
      <c r="AF75" s="926"/>
      <c r="AG75" s="926"/>
      <c r="AH75" s="926"/>
      <c r="AI75" s="926"/>
      <c r="AJ75" s="926"/>
    </row>
    <row r="76" spans="1:36" ht="15" customHeight="1" thickTop="1" thickBot="1" x14ac:dyDescent="0.35">
      <c r="A76" s="926"/>
      <c r="B76" s="926"/>
      <c r="C76" s="2354"/>
      <c r="D76" s="2355"/>
      <c r="E76" s="923"/>
      <c r="F76" s="926"/>
      <c r="G76" s="2347"/>
      <c r="H76" s="2348"/>
      <c r="I76" s="2347"/>
      <c r="J76" s="2348"/>
      <c r="K76" s="2347"/>
      <c r="L76" s="2348"/>
      <c r="M76" s="2364"/>
      <c r="N76" s="2365"/>
      <c r="O76" s="2347"/>
      <c r="P76" s="2348"/>
      <c r="Q76" s="926"/>
      <c r="R76" s="926"/>
      <c r="S76" s="2723"/>
      <c r="T76" s="2724"/>
      <c r="U76" s="926"/>
      <c r="V76" s="926"/>
      <c r="W76" s="926"/>
      <c r="X76" s="926"/>
      <c r="Y76" s="926"/>
      <c r="Z76" s="926"/>
      <c r="AA76" s="926"/>
      <c r="AB76" s="926"/>
      <c r="AC76" s="926"/>
      <c r="AD76" s="926"/>
      <c r="AE76" s="926"/>
      <c r="AF76" s="926"/>
      <c r="AG76" s="926"/>
      <c r="AH76" s="926"/>
      <c r="AI76" s="926"/>
      <c r="AJ76" s="926"/>
    </row>
    <row r="77" spans="1:36" ht="15" customHeight="1" thickTop="1" thickBot="1" x14ac:dyDescent="0.35">
      <c r="A77" s="926"/>
      <c r="B77" s="926"/>
      <c r="C77" s="923"/>
      <c r="D77" s="923"/>
      <c r="E77" s="923"/>
      <c r="F77" s="926"/>
      <c r="G77" s="2349"/>
      <c r="H77" s="2350"/>
      <c r="I77" s="2349"/>
      <c r="J77" s="2350"/>
      <c r="K77" s="2349"/>
      <c r="L77" s="2350"/>
      <c r="M77" s="2366"/>
      <c r="N77" s="2367"/>
      <c r="O77" s="2349"/>
      <c r="P77" s="2350"/>
      <c r="Q77" s="923"/>
      <c r="R77" s="923"/>
      <c r="S77" s="926"/>
      <c r="T77" s="926"/>
      <c r="U77" s="926"/>
      <c r="V77" s="926"/>
      <c r="W77" s="926"/>
      <c r="X77" s="926"/>
      <c r="Y77" s="926"/>
      <c r="Z77" s="926"/>
      <c r="AA77" s="926"/>
      <c r="AB77" s="926"/>
      <c r="AC77" s="926"/>
      <c r="AD77" s="926"/>
      <c r="AE77" s="926"/>
      <c r="AF77" s="926"/>
      <c r="AG77" s="926"/>
      <c r="AH77" s="926"/>
      <c r="AI77" s="926"/>
      <c r="AJ77" s="926"/>
    </row>
    <row r="78" spans="1:36" ht="15" customHeight="1"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ht="15" customHeight="1"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ht="15" customHeight="1"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36" ht="15" customHeight="1"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ht="15" customHeight="1"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36" ht="15" customHeight="1"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36" ht="15" customHeight="1" x14ac:dyDescent="0.3">
      <c r="A84" s="926"/>
      <c r="B84" s="926"/>
      <c r="C84" s="926"/>
      <c r="D84" s="926"/>
      <c r="E84" s="926"/>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row>
    <row r="85" spans="1:36" ht="15" customHeight="1" x14ac:dyDescent="0.3">
      <c r="A85" s="926"/>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row>
    <row r="86" spans="1:36" ht="15" customHeight="1" x14ac:dyDescent="0.3">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row>
    <row r="87" spans="1:36" ht="15" customHeight="1" x14ac:dyDescent="0.3">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row>
    <row r="88" spans="1:36" ht="15" customHeight="1"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ht="15" customHeight="1"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ht="15" customHeight="1"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ht="15" customHeight="1"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ht="15" customHeight="1"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row r="93" spans="1:36" ht="15" customHeight="1" x14ac:dyDescent="0.3">
      <c r="A93" s="926"/>
      <c r="B93" s="926"/>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row>
    <row r="94" spans="1:36" ht="15" customHeight="1" x14ac:dyDescent="0.3">
      <c r="A94" s="926"/>
      <c r="B94" s="926"/>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row>
    <row r="95" spans="1:36" ht="15" customHeight="1" x14ac:dyDescent="0.3">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row>
    <row r="96" spans="1:36" ht="15" customHeight="1" x14ac:dyDescent="0.3">
      <c r="A96" s="926"/>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row>
    <row r="97" spans="1:64" ht="15" customHeight="1" x14ac:dyDescent="0.3">
      <c r="A97" s="926"/>
      <c r="B97" s="926"/>
      <c r="C97" s="926"/>
      <c r="D97" s="926"/>
      <c r="E97" s="926"/>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row>
    <row r="98" spans="1:64" ht="15" customHeight="1" x14ac:dyDescent="0.3">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row>
    <row r="99" spans="1:64" ht="15" customHeight="1" x14ac:dyDescent="0.3">
      <c r="A99" s="926"/>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row>
    <row r="100" spans="1:64" ht="15" customHeight="1" x14ac:dyDescent="0.3">
      <c r="A100" s="926"/>
      <c r="B100" s="926"/>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row>
    <row r="103" spans="1:64" ht="14.4" x14ac:dyDescent="0.3">
      <c r="BB103" s="82" t="s">
        <v>99</v>
      </c>
      <c r="BC103" s="82" t="s">
        <v>100</v>
      </c>
      <c r="BD103" s="82" t="s">
        <v>208</v>
      </c>
      <c r="BE103" s="82" t="s">
        <v>39</v>
      </c>
      <c r="BF103" s="82" t="s">
        <v>104</v>
      </c>
      <c r="BG103" s="82" t="s">
        <v>105</v>
      </c>
      <c r="BH103" s="82" t="s">
        <v>41</v>
      </c>
      <c r="BI103" s="82" t="s">
        <v>42</v>
      </c>
      <c r="BJ103" s="82" t="s">
        <v>108</v>
      </c>
      <c r="BK103" s="82" t="s">
        <v>109</v>
      </c>
      <c r="BL103" s="82" t="s">
        <v>210</v>
      </c>
    </row>
    <row r="104" spans="1:64" ht="14.4" x14ac:dyDescent="0.3">
      <c r="BB104" t="s">
        <v>557</v>
      </c>
      <c r="BC104" s="608" t="str">
        <f ca="1">INDEX(SC.Table.True_Scenario_Properties, MATCH(BD104,SC.Table.Scenario_Properties,0))</f>
        <v>Deep pit, tanker</v>
      </c>
      <c r="BD104" t="str">
        <f>D33</f>
        <v>Top ranked scenario</v>
      </c>
      <c r="BJ104">
        <f>IF(BD104=BE104,1,0)</f>
        <v>0</v>
      </c>
      <c r="BK104" t="str">
        <f>INDEX(UD_Desc,MATCH($BB104,UDN,0))</f>
        <v>Alternative management system 1 to your baseline scenario</v>
      </c>
      <c r="BL104" t="str">
        <f>IF(BJ104=1,"Yes", "No")</f>
        <v>No</v>
      </c>
    </row>
    <row r="105" spans="1:64" ht="14.4" x14ac:dyDescent="0.3">
      <c r="BB105" t="s">
        <v>558</v>
      </c>
      <c r="BC105" s="608" t="str">
        <f ca="1">INDEX(SC.Table.True_Scenario_Properties, MATCH(BD105,SC.Table.Scenario_Properties,0))</f>
        <v>Deep pit, aeration, tanker</v>
      </c>
      <c r="BD105" t="str">
        <f>D40</f>
        <v>Second ranked scenario</v>
      </c>
      <c r="BJ105">
        <f t="shared" ref="BJ105:BJ107" si="0">IF(BD105=BE105,1,0)</f>
        <v>0</v>
      </c>
      <c r="BK105" t="str">
        <f>INDEX(UD_Desc,MATCH($BB105,UDN,0))</f>
        <v>Alternative management system 2 to your baseline scenario</v>
      </c>
      <c r="BL105" t="str">
        <f t="shared" ref="BL105:BL107" si="1">IF(BJ105=1,"Yes", "No")</f>
        <v>No</v>
      </c>
    </row>
    <row r="106" spans="1:64" ht="14.4" x14ac:dyDescent="0.3">
      <c r="BB106" t="s">
        <v>559</v>
      </c>
      <c r="BC106" s="608" t="str">
        <f ca="1">INDEX(SC.Table.True_Scenario_Properties, MATCH(BD106,SC.Table.Scenario_Properties,0))</f>
        <v>Deep pit, drag hose</v>
      </c>
      <c r="BD106" t="str">
        <f>D47</f>
        <v>Third ranked scenario</v>
      </c>
      <c r="BJ106">
        <f t="shared" si="0"/>
        <v>0</v>
      </c>
      <c r="BK106" t="str">
        <f>INDEX(UD_Desc,MATCH($BB106,UDN,0))</f>
        <v>Alternative management system 3 to your baseline scenario</v>
      </c>
      <c r="BL106" t="str">
        <f t="shared" si="1"/>
        <v>No</v>
      </c>
    </row>
    <row r="107" spans="1:64" ht="14.4" x14ac:dyDescent="0.3">
      <c r="BB107" t="s">
        <v>560</v>
      </c>
      <c r="BC107" s="608" t="str">
        <f ca="1">INDEX(SC.Table.True_Scenario_Properties, MATCH(BD107,SC.Table.Scenario_Properties,0))</f>
        <v>Deep pit, aeration, drag hose</v>
      </c>
      <c r="BD107" t="str">
        <f>D54</f>
        <v>Fourth ranked scenario</v>
      </c>
      <c r="BJ107">
        <f t="shared" si="0"/>
        <v>0</v>
      </c>
      <c r="BK107" t="str">
        <f>INDEX(UD_Desc,MATCH($BB107,UDN,0))</f>
        <v>Alternative management system 4 to your baseline scenario</v>
      </c>
      <c r="BL107" t="str">
        <f t="shared" si="1"/>
        <v>No</v>
      </c>
    </row>
  </sheetData>
  <mergeCells count="42">
    <mergeCell ref="D68:F68"/>
    <mergeCell ref="D33:H39"/>
    <mergeCell ref="D40:H46"/>
    <mergeCell ref="I40:U46"/>
    <mergeCell ref="I33:U39"/>
    <mergeCell ref="H63:Q66"/>
    <mergeCell ref="D47:H53"/>
    <mergeCell ref="D54:H60"/>
    <mergeCell ref="I54:U60"/>
    <mergeCell ref="I47:U53"/>
    <mergeCell ref="E11:T16"/>
    <mergeCell ref="I5:J7"/>
    <mergeCell ref="K5:L7"/>
    <mergeCell ref="M5:N7"/>
    <mergeCell ref="C4:D6"/>
    <mergeCell ref="S4:T6"/>
    <mergeCell ref="G5:H7"/>
    <mergeCell ref="O5:P7"/>
    <mergeCell ref="F2:G4"/>
    <mergeCell ref="H2:I4"/>
    <mergeCell ref="J2:K4"/>
    <mergeCell ref="L2:M4"/>
    <mergeCell ref="P2:Q4"/>
    <mergeCell ref="N2:O4"/>
    <mergeCell ref="I25:U25"/>
    <mergeCell ref="D19:U24"/>
    <mergeCell ref="D25:H25"/>
    <mergeCell ref="D26:H32"/>
    <mergeCell ref="I26:U32"/>
    <mergeCell ref="P72:Q74"/>
    <mergeCell ref="C74:D76"/>
    <mergeCell ref="S74:T76"/>
    <mergeCell ref="G75:H77"/>
    <mergeCell ref="I75:J77"/>
    <mergeCell ref="K75:L77"/>
    <mergeCell ref="M75:N77"/>
    <mergeCell ref="O75:P77"/>
    <mergeCell ref="F72:G74"/>
    <mergeCell ref="H72:I74"/>
    <mergeCell ref="J72:K74"/>
    <mergeCell ref="L72:M74"/>
    <mergeCell ref="N72:O74"/>
  </mergeCells>
  <dataValidations count="1">
    <dataValidation type="list" allowBlank="1" showInputMessage="1" showErrorMessage="1" sqref="D33:H60" xr:uid="{59E036F5-DA28-4B83-9EEA-7CDC3FFAA515}">
      <formula1>SC.Table.Scenario_Properties</formula1>
    </dataValidation>
  </dataValidations>
  <hyperlinks>
    <hyperlink ref="F2:G4" location="UI.Welcome!A1" tooltip="Click to go to welcome page" display="Welcome Page" xr:uid="{484D88BB-6D18-420D-B50C-938CB7444652}"/>
    <hyperlink ref="H2:I4" location="UI.Farm!A1" tooltip="Click to go to farm inputs page" display="Farm Info" xr:uid="{ABE93D1C-5686-4A40-B79C-9F081A79AF01}"/>
    <hyperlink ref="I5:J7" location="UI.OpExpenses!A1" tooltip="Click to go to operational expenses page" display="Operational Expenses" xr:uid="{A2FBFF65-46A7-464C-9D27-BB3452D358A0}"/>
    <hyperlink ref="K5:L7" location="UI.Priorities!A1" tooltip="Click to go to priorities page" display="Priorities" xr:uid="{62E407DE-32EC-4A84-BF3B-34A94898E35C}"/>
    <hyperlink ref="J2:K4" location="UI.Animals!A1" tooltip="Click to go to animals input page" display="Animals" xr:uid="{C6D39F50-B97D-46EE-A8B7-34EF4D1F77E7}"/>
    <hyperlink ref="P2:Q4" location="UI.Tractor!A1" tooltip="Click to go to tractor properties" display="Tractor Properties" xr:uid="{7F4B2E07-13C6-4CFC-982B-66831306028E}"/>
    <hyperlink ref="N2:O4" location="UI.Streams!A1" tooltip="Click to go to the excess manure page" display="Excess Manure Streams" xr:uid="{05B22EF7-F6ED-4C82-AEA0-4270C6FE16C3}"/>
    <hyperlink ref="G5:H7" location="UI.Cap!A1" tooltip="Click to go to capital expenses page" display="Capital Expenses" xr:uid="{FD34FB2A-6A22-4B33-BBCA-8805C7EB5343}"/>
    <hyperlink ref="L2:M4" location="UI.Manure!A1" tooltip="Click to go to the manure characteristics page" display="Manure Characteristics" xr:uid="{89C3CF0C-8E52-4C15-9FFE-02C076586127}"/>
    <hyperlink ref="O5:P7" location="UI.Inputs!A1" tooltip="Click to go to input results summary" display="Inputs Summary" xr:uid="{374AAA9E-A96F-4549-8534-F91DC02D7FDB}"/>
    <hyperlink ref="C4:D6" location="Results.Summary!A1" tooltip="Click to go to results summary page" display="Results Summary" xr:uid="{575D5654-E777-4937-8F48-4A91D7C30885}"/>
    <hyperlink ref="S4:T6" location="UI.Inputs!A1" tooltip="Click to go to input results summary" display="Inputs Summary" xr:uid="{0CF7E7FB-64CD-4520-BFD4-5BF014AE415B}"/>
    <hyperlink ref="M5:N7" location="UI.Choice!A1" tooltip="Click to go to scenario choice page" display="Scenario Choices" xr:uid="{2BFBD4CF-8B85-4452-A052-7A2D748F31AD}"/>
    <hyperlink ref="F72:G74" location="UI.Welcome!A1" tooltip="Click to go to welcome page" display="Welcome Page" xr:uid="{D5736AB2-A015-4197-A5F5-C373FE844E39}"/>
    <hyperlink ref="H72:I74" location="UI.Farm!A1" tooltip="Click to go to farm inputs page" display="Farm Info" xr:uid="{EAD76769-3D35-4FC4-A1F1-4D7D92BBDC83}"/>
    <hyperlink ref="I75:J77" location="UI.OpExpenses!A1" tooltip="Click to go to operational expenses page" display="Operational Expenses" xr:uid="{D8884EEF-6883-431A-8BC0-21E7A167E55F}"/>
    <hyperlink ref="K75:L77" location="UI.Priorities!A1" tooltip="Click to go to priorities page" display="Priorities" xr:uid="{BFAD1113-3265-4676-A9D0-EDF0A8703E10}"/>
    <hyperlink ref="J72:K74" location="UI.Animals!A1" tooltip="Click to go to animals input page" display="Animals" xr:uid="{082A9063-7764-482E-AD3E-D146EBCC86F9}"/>
    <hyperlink ref="P72:Q74" location="UI.Tractor!A1" tooltip="Click to go to tractor properties" display="Tractor Properties" xr:uid="{9F28D1AF-6D64-4084-9E7F-854E6D1395B6}"/>
    <hyperlink ref="N72:O74" location="UI.Streams!A1" tooltip="Click to go to the excess manure page" display="Excess Manure Streams" xr:uid="{F9D7BBBF-A361-4CF4-B584-6AA71FEDA413}"/>
    <hyperlink ref="G75:H77" location="UI.Cap!A1" tooltip="Click to go to capital expenses page" display="Capital Expenses" xr:uid="{3543C4A6-3F8C-4168-BF10-C08C1BD5D741}"/>
    <hyperlink ref="L72:M74" location="UI.Manure!A1" tooltip="Click to go to the manure characteristics page" display="Manure Characteristics" xr:uid="{FFDD2AA8-FDB2-4680-8D12-3DD25157BC31}"/>
    <hyperlink ref="O75:P77" location="UI.Inputs!A1" tooltip="Click to go to input results summary" display="Inputs Summary" xr:uid="{385E5B4B-1402-4DA1-9D50-BB209D756915}"/>
    <hyperlink ref="C74:D76" location="Results.Summary!A1" tooltip="Click to go to results summary page" display="Results Summary" xr:uid="{41BFB5E4-7D9C-469B-B7AD-A06BB052BA35}"/>
    <hyperlink ref="S74:T76" location="UI.Inputs!A1" tooltip="Click to go to input results summary" display="Inputs Summary" xr:uid="{E6F76A56-5ED7-4869-AC5B-41FE82DA70D1}"/>
    <hyperlink ref="M75:N77" location="UI.Choice!A1" tooltip="Click to go to scenario choice page" display="Scenario Choices" xr:uid="{D6CC5691-B6A1-4DBE-9461-099CE7478EAC}"/>
  </hyperlinks>
  <printOptions horizontalCentered="1" verticalCentered="1"/>
  <pageMargins left="0.7" right="0.7" top="0.75" bottom="0.75" header="0.3" footer="0.3"/>
  <pageSetup scale="4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63C20-0DEB-4E99-AAEA-DC401E2B889C}">
  <sheetPr codeName="Sheet41">
    <tabColor theme="0"/>
  </sheetPr>
  <dimension ref="A1:AJ363"/>
  <sheetViews>
    <sheetView workbookViewId="0">
      <selection activeCell="F2" sqref="F2:G4"/>
    </sheetView>
  </sheetViews>
  <sheetFormatPr defaultColWidth="9.44140625" defaultRowHeight="14.4" x14ac:dyDescent="0.3"/>
  <cols>
    <col min="1" max="1" width="9.44140625" customWidth="1"/>
    <col min="2" max="2" width="2.5546875" customWidth="1"/>
    <col min="3" max="20" width="9.44140625" customWidth="1"/>
    <col min="21" max="21" width="2.5546875" customWidth="1"/>
    <col min="22" max="53" width="9.44140625" customWidth="1"/>
    <col min="54" max="54" width="27.44140625" bestFit="1" customWidth="1"/>
    <col min="55" max="55" width="12" bestFit="1" customWidth="1"/>
    <col min="56" max="56" width="13.33203125" bestFit="1"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49"/>
      <c r="Q4" s="2350"/>
      <c r="R4" s="926"/>
      <c r="S4" s="2356" t="s">
        <v>561</v>
      </c>
      <c r="T4" s="2774"/>
      <c r="U4" s="926"/>
      <c r="V4" s="926"/>
      <c r="W4" s="926"/>
      <c r="X4" s="926"/>
      <c r="Y4" s="926"/>
      <c r="Z4" s="926"/>
      <c r="AA4" s="926"/>
      <c r="AB4" s="926"/>
      <c r="AC4" s="926"/>
      <c r="AD4" s="926"/>
      <c r="AE4" s="926"/>
      <c r="AF4" s="926"/>
      <c r="AG4" s="926"/>
      <c r="AH4" s="926"/>
      <c r="AI4" s="926"/>
      <c r="AJ4" s="926"/>
    </row>
    <row r="5" spans="1:36" ht="15" customHeight="1" thickBot="1" x14ac:dyDescent="0.35">
      <c r="A5" s="926"/>
      <c r="B5" s="926"/>
      <c r="C5" s="2352"/>
      <c r="D5" s="2353"/>
      <c r="E5" s="923"/>
      <c r="F5" s="926"/>
      <c r="G5" s="2345" t="s">
        <v>8</v>
      </c>
      <c r="H5" s="2346"/>
      <c r="I5" s="2345" t="s">
        <v>9</v>
      </c>
      <c r="J5" s="2346"/>
      <c r="K5" s="2345" t="s">
        <v>10</v>
      </c>
      <c r="L5" s="2346"/>
      <c r="M5" s="2345" t="s">
        <v>11</v>
      </c>
      <c r="N5" s="2346"/>
      <c r="O5" s="2362" t="s">
        <v>12</v>
      </c>
      <c r="P5" s="2363"/>
      <c r="Q5" s="926"/>
      <c r="R5" s="926"/>
      <c r="S5" s="2775"/>
      <c r="T5" s="2776"/>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47"/>
      <c r="N6" s="2348"/>
      <c r="O6" s="2364"/>
      <c r="P6" s="2365"/>
      <c r="Q6" s="926"/>
      <c r="R6" s="926"/>
      <c r="S6" s="2777"/>
      <c r="T6" s="2778"/>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49"/>
      <c r="N7" s="2350"/>
      <c r="O7" s="2366"/>
      <c r="P7" s="2367"/>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84"/>
      <c r="D8" s="984"/>
      <c r="E8" s="984"/>
      <c r="F8" s="984"/>
      <c r="G8" s="984"/>
      <c r="H8" s="984"/>
      <c r="I8" s="984"/>
      <c r="J8" s="984"/>
      <c r="K8" s="984"/>
      <c r="L8" s="984"/>
      <c r="M8" s="984"/>
      <c r="N8" s="984"/>
      <c r="O8" s="984"/>
      <c r="P8" s="984"/>
      <c r="Q8" s="984"/>
      <c r="R8" s="924"/>
      <c r="S8" s="923"/>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807" t="s">
        <v>562</v>
      </c>
      <c r="E11" s="2808"/>
      <c r="F11" s="2808"/>
      <c r="G11" s="2808"/>
      <c r="H11" s="2808"/>
      <c r="I11" s="2808"/>
      <c r="J11" s="2808"/>
      <c r="K11" s="2808"/>
      <c r="L11" s="2808"/>
      <c r="M11" s="2808"/>
      <c r="N11" s="2808"/>
      <c r="O11" s="2808"/>
      <c r="P11" s="2808"/>
      <c r="Q11" s="2808"/>
      <c r="R11" s="2808"/>
      <c r="S11" s="2809"/>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810"/>
      <c r="E12" s="2811"/>
      <c r="F12" s="2811"/>
      <c r="G12" s="2811"/>
      <c r="H12" s="2811"/>
      <c r="I12" s="2811"/>
      <c r="J12" s="2811"/>
      <c r="K12" s="2811"/>
      <c r="L12" s="2811"/>
      <c r="M12" s="2811"/>
      <c r="N12" s="2811"/>
      <c r="O12" s="2811"/>
      <c r="P12" s="2811"/>
      <c r="Q12" s="2811"/>
      <c r="R12" s="2811"/>
      <c r="S12" s="2812"/>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810"/>
      <c r="E13" s="2811"/>
      <c r="F13" s="2811"/>
      <c r="G13" s="2811"/>
      <c r="H13" s="2811"/>
      <c r="I13" s="2811"/>
      <c r="J13" s="2811"/>
      <c r="K13" s="2811"/>
      <c r="L13" s="2811"/>
      <c r="M13" s="2811"/>
      <c r="N13" s="2811"/>
      <c r="O13" s="2811"/>
      <c r="P13" s="2811"/>
      <c r="Q13" s="2811"/>
      <c r="R13" s="2811"/>
      <c r="S13" s="281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810"/>
      <c r="E14" s="2811"/>
      <c r="F14" s="2811"/>
      <c r="G14" s="2811"/>
      <c r="H14" s="2811"/>
      <c r="I14" s="2811"/>
      <c r="J14" s="2811"/>
      <c r="K14" s="2811"/>
      <c r="L14" s="2811"/>
      <c r="M14" s="2811"/>
      <c r="N14" s="2811"/>
      <c r="O14" s="2811"/>
      <c r="P14" s="2811"/>
      <c r="Q14" s="2811"/>
      <c r="R14" s="2811"/>
      <c r="S14" s="2812"/>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810"/>
      <c r="E15" s="2811"/>
      <c r="F15" s="2811"/>
      <c r="G15" s="2811"/>
      <c r="H15" s="2811"/>
      <c r="I15" s="2811"/>
      <c r="J15" s="2811"/>
      <c r="K15" s="2811"/>
      <c r="L15" s="2811"/>
      <c r="M15" s="2811"/>
      <c r="N15" s="2811"/>
      <c r="O15" s="2811"/>
      <c r="P15" s="2811"/>
      <c r="Q15" s="2811"/>
      <c r="R15" s="2811"/>
      <c r="S15" s="2812"/>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813"/>
      <c r="E16" s="2814"/>
      <c r="F16" s="2814"/>
      <c r="G16" s="2814"/>
      <c r="H16" s="2814"/>
      <c r="I16" s="2814"/>
      <c r="J16" s="2814"/>
      <c r="K16" s="2814"/>
      <c r="L16" s="2814"/>
      <c r="M16" s="2814"/>
      <c r="N16" s="2814"/>
      <c r="O16" s="2814"/>
      <c r="P16" s="2814"/>
      <c r="Q16" s="2814"/>
      <c r="R16" s="2814"/>
      <c r="S16" s="2815"/>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thickTop="1" x14ac:dyDescent="0.3">
      <c r="A18" s="926"/>
      <c r="B18" s="609"/>
      <c r="C18" s="962"/>
      <c r="D18" s="40"/>
      <c r="E18" s="40"/>
      <c r="F18" s="40"/>
      <c r="G18" s="2816" t="s">
        <v>563</v>
      </c>
      <c r="H18" s="2817"/>
      <c r="I18" s="2817"/>
      <c r="J18" s="2817"/>
      <c r="K18" s="2817"/>
      <c r="L18" s="2817"/>
      <c r="M18" s="2817"/>
      <c r="N18" s="2817"/>
      <c r="O18" s="2817"/>
      <c r="P18" s="2818"/>
      <c r="Q18" s="40"/>
      <c r="R18" s="40"/>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40"/>
      <c r="F19" s="40"/>
      <c r="G19" s="2819"/>
      <c r="H19" s="2820"/>
      <c r="I19" s="2820"/>
      <c r="J19" s="2820"/>
      <c r="K19" s="2820"/>
      <c r="L19" s="2820"/>
      <c r="M19" s="2820"/>
      <c r="N19" s="2820"/>
      <c r="O19" s="2820"/>
      <c r="P19" s="2821"/>
      <c r="Q19" s="40"/>
      <c r="R19" s="40"/>
      <c r="S19" s="40"/>
      <c r="T19" s="963"/>
      <c r="U19" s="609"/>
      <c r="V19" s="926"/>
      <c r="W19" s="926"/>
      <c r="X19" s="926"/>
      <c r="Y19" s="926"/>
      <c r="Z19" s="926"/>
      <c r="AA19" s="926"/>
      <c r="AB19" s="926"/>
      <c r="AC19" s="926"/>
      <c r="AD19" s="926"/>
      <c r="AE19" s="926"/>
      <c r="AF19" s="926"/>
      <c r="AG19" s="926"/>
      <c r="AH19" s="926"/>
      <c r="AI19" s="926"/>
      <c r="AJ19" s="926"/>
    </row>
    <row r="20" spans="1:36" ht="15" customHeight="1" thickBot="1" x14ac:dyDescent="0.35">
      <c r="A20" s="926"/>
      <c r="B20" s="609"/>
      <c r="C20" s="962"/>
      <c r="D20" s="40"/>
      <c r="E20" s="40"/>
      <c r="F20" s="40"/>
      <c r="G20" s="2822"/>
      <c r="H20" s="2823"/>
      <c r="I20" s="2823"/>
      <c r="J20" s="2823"/>
      <c r="K20" s="2823"/>
      <c r="L20" s="2823"/>
      <c r="M20" s="2823"/>
      <c r="N20" s="2823"/>
      <c r="O20" s="2823"/>
      <c r="P20" s="2824"/>
      <c r="Q20" s="40"/>
      <c r="R20" s="40"/>
      <c r="S20" s="40"/>
      <c r="T20" s="963"/>
      <c r="U20" s="609"/>
      <c r="V20" s="926"/>
      <c r="W20" s="926"/>
      <c r="X20" s="926"/>
      <c r="Y20" s="926"/>
      <c r="Z20" s="926"/>
      <c r="AA20" s="926"/>
      <c r="AB20" s="926"/>
      <c r="AC20" s="926"/>
      <c r="AD20" s="926"/>
      <c r="AE20" s="926"/>
      <c r="AF20" s="926"/>
      <c r="AG20" s="926"/>
      <c r="AH20" s="926"/>
      <c r="AI20" s="926"/>
      <c r="AJ20" s="926"/>
    </row>
    <row r="21" spans="1:36" ht="15" customHeight="1" thickTop="1" x14ac:dyDescent="0.3">
      <c r="A21" s="926"/>
      <c r="B21" s="609"/>
      <c r="C21" s="962"/>
      <c r="D21" s="40"/>
      <c r="E21" s="40"/>
      <c r="F21" s="40"/>
      <c r="G21" s="40"/>
      <c r="H21" s="40"/>
      <c r="I21" s="40"/>
      <c r="J21" s="40"/>
      <c r="K21" s="40"/>
      <c r="L21" s="40"/>
      <c r="M21" s="40"/>
      <c r="N21" s="40"/>
      <c r="O21" s="40"/>
      <c r="P21" s="40"/>
      <c r="Q21" s="40"/>
      <c r="R21" s="40"/>
      <c r="S21" s="4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397" t="s">
        <v>564</v>
      </c>
      <c r="E22" s="2397"/>
      <c r="F22" s="2397" t="s">
        <v>564</v>
      </c>
      <c r="G22" s="2397"/>
      <c r="H22" s="2397"/>
      <c r="I22" s="2397"/>
      <c r="J22" s="2397"/>
      <c r="K22" s="2397"/>
      <c r="L22" s="2397"/>
      <c r="M22" s="2397" t="s">
        <v>565</v>
      </c>
      <c r="N22" s="2397" t="s">
        <v>565</v>
      </c>
      <c r="O22" s="2397"/>
      <c r="P22" s="2397" t="s">
        <v>38</v>
      </c>
      <c r="Q22" s="2397"/>
      <c r="R22" s="2397" t="s">
        <v>566</v>
      </c>
      <c r="S22" s="2397"/>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771" t="str">
        <f>UI.Farm!BL214</f>
        <v>The name of your farm</v>
      </c>
      <c r="E23" s="2771"/>
      <c r="F23" s="2771"/>
      <c r="G23" s="2771"/>
      <c r="H23" s="2771"/>
      <c r="I23" s="2771"/>
      <c r="J23" s="2771"/>
      <c r="K23" s="2771"/>
      <c r="L23" s="2771"/>
      <c r="M23" s="2771" t="str">
        <f>UI.Farm!BC214</f>
        <v>Wean to Finish Test Farm</v>
      </c>
      <c r="N23" s="2771" t="str">
        <f>UI.Farm!BC214</f>
        <v>Wean to Finish Test Farm</v>
      </c>
      <c r="O23" s="2771"/>
      <c r="P23" s="2770" t="str">
        <f>UI.Farm!BG214</f>
        <v>name</v>
      </c>
      <c r="Q23" s="2770"/>
      <c r="R23" s="2770" t="str">
        <f>UI.Farm!BM214</f>
        <v>No</v>
      </c>
      <c r="S23" s="2770"/>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771"/>
      <c r="E24" s="2771"/>
      <c r="F24" s="2771"/>
      <c r="G24" s="2771"/>
      <c r="H24" s="2771"/>
      <c r="I24" s="2771"/>
      <c r="J24" s="2771"/>
      <c r="K24" s="2771"/>
      <c r="L24" s="2771"/>
      <c r="M24" s="2771"/>
      <c r="N24" s="2771"/>
      <c r="O24" s="2771"/>
      <c r="P24" s="2770"/>
      <c r="Q24" s="2770"/>
      <c r="R24" s="2770"/>
      <c r="S24" s="2770"/>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771" t="str">
        <f>UI.Farm!BL215</f>
        <v>The baseline manure handling system for your farm</v>
      </c>
      <c r="E25" s="2771"/>
      <c r="F25" s="2771"/>
      <c r="G25" s="2771"/>
      <c r="H25" s="2771"/>
      <c r="I25" s="2771"/>
      <c r="J25" s="2771"/>
      <c r="K25" s="2771"/>
      <c r="L25" s="2771"/>
      <c r="M25" s="2797" t="str">
        <f>UI.Farm!BC215</f>
        <v>Deep pit, tanker</v>
      </c>
      <c r="N25" s="2798" t="str">
        <f>UI.Farm!BD215</f>
        <v>Deep pit, tanker</v>
      </c>
      <c r="O25" s="2798"/>
      <c r="P25" s="2798"/>
      <c r="Q25" s="2798"/>
      <c r="R25" s="2798"/>
      <c r="S25" s="2799"/>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771"/>
      <c r="E26" s="2771"/>
      <c r="F26" s="2771"/>
      <c r="G26" s="2771"/>
      <c r="H26" s="2771"/>
      <c r="I26" s="2771"/>
      <c r="J26" s="2771"/>
      <c r="K26" s="2771"/>
      <c r="L26" s="2771"/>
      <c r="M26" s="2800"/>
      <c r="N26" s="2801"/>
      <c r="O26" s="2801"/>
      <c r="P26" s="2801"/>
      <c r="Q26" s="2801"/>
      <c r="R26" s="2801"/>
      <c r="S26" s="2802"/>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771" t="str">
        <f>UI.Farm!BL216</f>
        <v>The region of your state that your farm resides in</v>
      </c>
      <c r="E27" s="2771"/>
      <c r="F27" s="2771"/>
      <c r="G27" s="2771"/>
      <c r="H27" s="2771"/>
      <c r="I27" s="2771"/>
      <c r="J27" s="2771"/>
      <c r="K27" s="2771"/>
      <c r="L27" s="2771"/>
      <c r="M27" s="2771" t="str">
        <f>UI.Farm!BC216</f>
        <v>Iowa (Northwest)</v>
      </c>
      <c r="N27" s="2771" t="str">
        <f>UI.Farm!BC216</f>
        <v>Iowa (Northwest)</v>
      </c>
      <c r="O27" s="2771"/>
      <c r="P27" s="2770" t="str">
        <f>UI.Farm!BG216</f>
        <v>state index</v>
      </c>
      <c r="Q27" s="2770"/>
      <c r="R27" s="2770" t="str">
        <f>UI.Farm!BM216</f>
        <v>No</v>
      </c>
      <c r="S27" s="2770"/>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771"/>
      <c r="E28" s="2771"/>
      <c r="F28" s="2771"/>
      <c r="G28" s="2771"/>
      <c r="H28" s="2771"/>
      <c r="I28" s="2771"/>
      <c r="J28" s="2771"/>
      <c r="K28" s="2771"/>
      <c r="L28" s="2771"/>
      <c r="M28" s="2771"/>
      <c r="N28" s="2771"/>
      <c r="O28" s="2771"/>
      <c r="P28" s="2770"/>
      <c r="Q28" s="2770"/>
      <c r="R28" s="2770"/>
      <c r="S28" s="2770"/>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2771" t="str">
        <f>UI.Farm!BL217</f>
        <v>Are sprinklers used on your farm?</v>
      </c>
      <c r="E29" s="2771"/>
      <c r="F29" s="2771"/>
      <c r="G29" s="2771"/>
      <c r="H29" s="2771"/>
      <c r="I29" s="2771"/>
      <c r="J29" s="2771"/>
      <c r="K29" s="2771"/>
      <c r="L29" s="2771"/>
      <c r="M29" s="2771" t="str">
        <f>UI.Farm!BC217</f>
        <v>Yes</v>
      </c>
      <c r="N29" s="2771"/>
      <c r="O29" s="2771"/>
      <c r="P29" s="2770" t="str">
        <f>UI.Farm!BG217</f>
        <v>Yes or No</v>
      </c>
      <c r="Q29" s="2770"/>
      <c r="R29" s="2770" t="str">
        <f>UI.Farm!BM217</f>
        <v>No</v>
      </c>
      <c r="S29" s="277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2771"/>
      <c r="E30" s="2771"/>
      <c r="F30" s="2771"/>
      <c r="G30" s="2771"/>
      <c r="H30" s="2771"/>
      <c r="I30" s="2771"/>
      <c r="J30" s="2771"/>
      <c r="K30" s="2771"/>
      <c r="L30" s="2771"/>
      <c r="M30" s="2771"/>
      <c r="N30" s="2771"/>
      <c r="O30" s="2771"/>
      <c r="P30" s="2770"/>
      <c r="Q30" s="2770"/>
      <c r="R30" s="2770"/>
      <c r="S30" s="277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771" t="str">
        <f>UI.Farm!BL218</f>
        <v>The length of time that sprinklers spray water per cycle</v>
      </c>
      <c r="E31" s="2771"/>
      <c r="F31" s="2771"/>
      <c r="G31" s="2771"/>
      <c r="H31" s="2771"/>
      <c r="I31" s="2771"/>
      <c r="J31" s="2771"/>
      <c r="K31" s="2771"/>
      <c r="L31" s="2771"/>
      <c r="M31" s="2771">
        <f>UI.Farm!BC218</f>
        <v>3</v>
      </c>
      <c r="N31" s="2771">
        <f>UI.Farm!BC218</f>
        <v>3</v>
      </c>
      <c r="O31" s="2771"/>
      <c r="P31" s="2770" t="str">
        <f>UI.Farm!BG218</f>
        <v>min/cycle</v>
      </c>
      <c r="Q31" s="2770"/>
      <c r="R31" s="2770" t="str">
        <f>UI.Farm!BM218</f>
        <v>Yes</v>
      </c>
      <c r="S31" s="277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771"/>
      <c r="E32" s="2771"/>
      <c r="F32" s="2771"/>
      <c r="G32" s="2771"/>
      <c r="H32" s="2771"/>
      <c r="I32" s="2771"/>
      <c r="J32" s="2771"/>
      <c r="K32" s="2771"/>
      <c r="L32" s="2771"/>
      <c r="M32" s="2771"/>
      <c r="N32" s="2771"/>
      <c r="O32" s="2771"/>
      <c r="P32" s="2770"/>
      <c r="Q32" s="2770"/>
      <c r="R32" s="2770"/>
      <c r="S32" s="277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771" t="str">
        <f>UI.Farm!BL219</f>
        <v>The number of cycles that the sprinkler system goes through in a day</v>
      </c>
      <c r="E33" s="2771"/>
      <c r="F33" s="2771"/>
      <c r="G33" s="2771"/>
      <c r="H33" s="2771"/>
      <c r="I33" s="2771"/>
      <c r="J33" s="2771"/>
      <c r="K33" s="2771"/>
      <c r="L33" s="2771"/>
      <c r="M33" s="2771">
        <f>UI.Farm!BC219</f>
        <v>6</v>
      </c>
      <c r="N33" s="2771">
        <f>UI.Farm!BC219</f>
        <v>6</v>
      </c>
      <c r="O33" s="2771"/>
      <c r="P33" s="2770" t="str">
        <f>UI.Farm!BG219</f>
        <v>cycle/day</v>
      </c>
      <c r="Q33" s="2770"/>
      <c r="R33" s="2770" t="str">
        <f>UI.Farm!BM219</f>
        <v>Yes</v>
      </c>
      <c r="S33" s="277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2771"/>
      <c r="E34" s="2771"/>
      <c r="F34" s="2771"/>
      <c r="G34" s="2771"/>
      <c r="H34" s="2771"/>
      <c r="I34" s="2771"/>
      <c r="J34" s="2771"/>
      <c r="K34" s="2771"/>
      <c r="L34" s="2771"/>
      <c r="M34" s="2771"/>
      <c r="N34" s="2771"/>
      <c r="O34" s="2771"/>
      <c r="P34" s="2770"/>
      <c r="Q34" s="2770"/>
      <c r="R34" s="2770"/>
      <c r="S34" s="277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2771" t="str">
        <f>UI.Farm!BL220</f>
        <v>The flow rate of the sprinkler system</v>
      </c>
      <c r="E35" s="2771"/>
      <c r="F35" s="2771"/>
      <c r="G35" s="2771"/>
      <c r="H35" s="2771"/>
      <c r="I35" s="2771"/>
      <c r="J35" s="2771"/>
      <c r="K35" s="2771"/>
      <c r="L35" s="2771"/>
      <c r="M35" s="2771">
        <f>UI.Farm!BC220</f>
        <v>0.1</v>
      </c>
      <c r="N35" s="2771">
        <f>UI.Farm!BC220</f>
        <v>0.1</v>
      </c>
      <c r="O35" s="2771"/>
      <c r="P35" s="2770" t="str">
        <f>UI.Farm!BG220</f>
        <v>gal/head/min</v>
      </c>
      <c r="Q35" s="2770"/>
      <c r="R35" s="2770" t="str">
        <f>UI.Farm!BM220</f>
        <v>Yes</v>
      </c>
      <c r="S35" s="277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2771"/>
      <c r="E36" s="2771"/>
      <c r="F36" s="2771"/>
      <c r="G36" s="2771"/>
      <c r="H36" s="2771"/>
      <c r="I36" s="2771"/>
      <c r="J36" s="2771"/>
      <c r="K36" s="2771"/>
      <c r="L36" s="2771"/>
      <c r="M36" s="2771"/>
      <c r="N36" s="2771"/>
      <c r="O36" s="2771"/>
      <c r="P36" s="2770"/>
      <c r="Q36" s="2770"/>
      <c r="R36" s="2770"/>
      <c r="S36" s="277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2797" t="str">
        <f>UI.Farm!BL221</f>
        <v>The amount of land available for manure application each year</v>
      </c>
      <c r="E37" s="2798"/>
      <c r="F37" s="2798"/>
      <c r="G37" s="2798"/>
      <c r="H37" s="2798"/>
      <c r="I37" s="2798"/>
      <c r="J37" s="2798"/>
      <c r="K37" s="2798"/>
      <c r="L37" s="2799"/>
      <c r="M37" s="2797">
        <f>UI.Farm!BC221</f>
        <v>100</v>
      </c>
      <c r="N37" s="2798">
        <f>UI.Farm!BC221</f>
        <v>100</v>
      </c>
      <c r="O37" s="2799"/>
      <c r="P37" s="2789" t="str">
        <f>UI.Farm!BG221</f>
        <v>acre</v>
      </c>
      <c r="Q37" s="2790"/>
      <c r="R37" s="2789" t="str">
        <f>UI.Farm!BM221</f>
        <v>Yes</v>
      </c>
      <c r="S37" s="279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2800"/>
      <c r="E38" s="2801"/>
      <c r="F38" s="2801"/>
      <c r="G38" s="2801"/>
      <c r="H38" s="2801"/>
      <c r="I38" s="2801"/>
      <c r="J38" s="2801"/>
      <c r="K38" s="2801"/>
      <c r="L38" s="2802"/>
      <c r="M38" s="2800"/>
      <c r="N38" s="2801"/>
      <c r="O38" s="2802"/>
      <c r="P38" s="2791"/>
      <c r="Q38" s="2792"/>
      <c r="R38" s="2791"/>
      <c r="S38" s="2792"/>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2771" t="str">
        <f>UI.Farm!BL222</f>
        <v>The primary nutrient for which to apply manure</v>
      </c>
      <c r="E39" s="2771"/>
      <c r="F39" s="2771"/>
      <c r="G39" s="2771"/>
      <c r="H39" s="2771"/>
      <c r="I39" s="2771"/>
      <c r="J39" s="2771"/>
      <c r="K39" s="2771"/>
      <c r="L39" s="2771"/>
      <c r="M39" s="2771" t="str">
        <f>UI.Farm!BC222</f>
        <v>N</v>
      </c>
      <c r="N39" s="2771" t="str">
        <f>UI.Farm!BC222</f>
        <v>N</v>
      </c>
      <c r="O39" s="2771"/>
      <c r="P39" s="2770" t="str">
        <f>UI.Farm!BG222</f>
        <v>None</v>
      </c>
      <c r="Q39" s="2770"/>
      <c r="R39" s="2770" t="str">
        <f>UI.Farm!BM222</f>
        <v>No</v>
      </c>
      <c r="S39" s="277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2771"/>
      <c r="E40" s="2771"/>
      <c r="F40" s="2771"/>
      <c r="G40" s="2771"/>
      <c r="H40" s="2771"/>
      <c r="I40" s="2771"/>
      <c r="J40" s="2771"/>
      <c r="K40" s="2771"/>
      <c r="L40" s="2771"/>
      <c r="M40" s="2771"/>
      <c r="N40" s="2771"/>
      <c r="O40" s="2771"/>
      <c r="P40" s="2770"/>
      <c r="Q40" s="2770"/>
      <c r="R40" s="2770"/>
      <c r="S40" s="277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2771" t="str">
        <f>UI.Farm!BL223</f>
        <v>The method by which manure is applied</v>
      </c>
      <c r="E41" s="2771"/>
      <c r="F41" s="2771"/>
      <c r="G41" s="2771"/>
      <c r="H41" s="2771"/>
      <c r="I41" s="2771"/>
      <c r="J41" s="2771"/>
      <c r="K41" s="2771"/>
      <c r="L41" s="2771"/>
      <c r="M41" s="2771" t="str">
        <f>UI.Farm!BC223</f>
        <v>Injection</v>
      </c>
      <c r="N41" s="2771" t="str">
        <f>UI.Farm!BC223</f>
        <v>Injection</v>
      </c>
      <c r="O41" s="2771"/>
      <c r="P41" s="2770" t="str">
        <f>UI.Farm!BG223</f>
        <v>None</v>
      </c>
      <c r="Q41" s="2770"/>
      <c r="R41" s="2770" t="str">
        <f>UI.Farm!BM223</f>
        <v>No</v>
      </c>
      <c r="S41" s="277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2771"/>
      <c r="E42" s="2771"/>
      <c r="F42" s="2771"/>
      <c r="G42" s="2771"/>
      <c r="H42" s="2771"/>
      <c r="I42" s="2771"/>
      <c r="J42" s="2771"/>
      <c r="K42" s="2771"/>
      <c r="L42" s="2771"/>
      <c r="M42" s="2771"/>
      <c r="N42" s="2771"/>
      <c r="O42" s="2771"/>
      <c r="P42" s="2770"/>
      <c r="Q42" s="2770"/>
      <c r="R42" s="2770"/>
      <c r="S42" s="277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2771" t="str">
        <f>UI.Farm!BL224</f>
        <v>The quantity of N applied on the land area</v>
      </c>
      <c r="E43" s="2771"/>
      <c r="F43" s="2771"/>
      <c r="G43" s="2771"/>
      <c r="H43" s="2771"/>
      <c r="I43" s="2771"/>
      <c r="J43" s="2771"/>
      <c r="K43" s="2771"/>
      <c r="L43" s="2771"/>
      <c r="M43" s="2771">
        <f>UI.Farm!BC224</f>
        <v>195</v>
      </c>
      <c r="N43" s="2771">
        <f>UI.Farm!BC224</f>
        <v>195</v>
      </c>
      <c r="O43" s="2771"/>
      <c r="P43" s="2770" t="str">
        <f>UI.Farm!BG224</f>
        <v>lb N/acre</v>
      </c>
      <c r="Q43" s="2770"/>
      <c r="R43" s="2770" t="str">
        <f>UI.Farm!BM224</f>
        <v>Yes</v>
      </c>
      <c r="S43" s="277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2771"/>
      <c r="E44" s="2771"/>
      <c r="F44" s="2771"/>
      <c r="G44" s="2771"/>
      <c r="H44" s="2771"/>
      <c r="I44" s="2771"/>
      <c r="J44" s="2771"/>
      <c r="K44" s="2771"/>
      <c r="L44" s="2771"/>
      <c r="M44" s="2771"/>
      <c r="N44" s="2771"/>
      <c r="O44" s="2771"/>
      <c r="P44" s="2770"/>
      <c r="Q44" s="2770"/>
      <c r="R44" s="2770"/>
      <c r="S44" s="277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2771" t="str">
        <f>UI.Farm!BL225</f>
        <v>The quantity of P2O5 applied on the land area</v>
      </c>
      <c r="E45" s="2771"/>
      <c r="F45" s="2771"/>
      <c r="G45" s="2771"/>
      <c r="H45" s="2771"/>
      <c r="I45" s="2771"/>
      <c r="J45" s="2771"/>
      <c r="K45" s="2771"/>
      <c r="L45" s="2771"/>
      <c r="M45" s="2771">
        <f>UI.Farm!BC225</f>
        <v>55</v>
      </c>
      <c r="N45" s="2771">
        <f>UI.Farm!BC225</f>
        <v>55</v>
      </c>
      <c r="O45" s="2771"/>
      <c r="P45" s="2770" t="str">
        <f>UI.Farm!BG225</f>
        <v>lb P2O5/acre</v>
      </c>
      <c r="Q45" s="2770"/>
      <c r="R45" s="2770" t="str">
        <f>UI.Farm!BM225</f>
        <v>Yes</v>
      </c>
      <c r="S45" s="277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2771"/>
      <c r="E46" s="2771"/>
      <c r="F46" s="2771"/>
      <c r="G46" s="2771"/>
      <c r="H46" s="2771"/>
      <c r="I46" s="2771"/>
      <c r="J46" s="2771"/>
      <c r="K46" s="2771"/>
      <c r="L46" s="2771"/>
      <c r="M46" s="2771"/>
      <c r="N46" s="2771"/>
      <c r="O46" s="2771"/>
      <c r="P46" s="2770"/>
      <c r="Q46" s="2770"/>
      <c r="R46" s="2770"/>
      <c r="S46" s="277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2771" t="str">
        <f>UI.Farm!BL226</f>
        <v>The quantity of K2O5 applied on the land area</v>
      </c>
      <c r="E47" s="2771"/>
      <c r="F47" s="2771"/>
      <c r="G47" s="2771"/>
      <c r="H47" s="2771"/>
      <c r="I47" s="2771"/>
      <c r="J47" s="2771"/>
      <c r="K47" s="2771"/>
      <c r="L47" s="2771"/>
      <c r="M47" s="2771">
        <f>UI.Farm!BC226</f>
        <v>90</v>
      </c>
      <c r="N47" s="2771">
        <f>UI.Farm!BC226</f>
        <v>90</v>
      </c>
      <c r="O47" s="2771"/>
      <c r="P47" s="2770" t="str">
        <f>UI.Farm!BG226</f>
        <v>lb K2O/acre</v>
      </c>
      <c r="Q47" s="2770"/>
      <c r="R47" s="2770" t="str">
        <f>UI.Farm!BM226</f>
        <v>Yes</v>
      </c>
      <c r="S47" s="277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2771"/>
      <c r="E48" s="2771"/>
      <c r="F48" s="2771"/>
      <c r="G48" s="2771"/>
      <c r="H48" s="2771"/>
      <c r="I48" s="2771"/>
      <c r="J48" s="2771"/>
      <c r="K48" s="2771"/>
      <c r="L48" s="2771"/>
      <c r="M48" s="2771"/>
      <c r="N48" s="2771"/>
      <c r="O48" s="2771"/>
      <c r="P48" s="2770"/>
      <c r="Q48" s="2770"/>
      <c r="R48" s="2770"/>
      <c r="S48" s="277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2771" t="str">
        <f>UI.Farm!BL227</f>
        <v>Timeframe to land apply on a typical year (constraint on liquids, slurry)</v>
      </c>
      <c r="E49" s="2771"/>
      <c r="F49" s="2771"/>
      <c r="G49" s="2771"/>
      <c r="H49" s="2771"/>
      <c r="I49" s="2771"/>
      <c r="J49" s="2771"/>
      <c r="K49" s="2771"/>
      <c r="L49" s="2771"/>
      <c r="M49" s="2771">
        <f>UI.Farm!BC227</f>
        <v>50</v>
      </c>
      <c r="N49" s="2771">
        <f>UI.Farm!BC227</f>
        <v>50</v>
      </c>
      <c r="O49" s="2771"/>
      <c r="P49" s="2770" t="str">
        <f>UI.Farm!BG227</f>
        <v>day/year</v>
      </c>
      <c r="Q49" s="2770"/>
      <c r="R49" s="2770" t="str">
        <f>UI.Farm!BM227</f>
        <v>Yes</v>
      </c>
      <c r="S49" s="277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2771"/>
      <c r="E50" s="2771"/>
      <c r="F50" s="2771"/>
      <c r="G50" s="2771"/>
      <c r="H50" s="2771"/>
      <c r="I50" s="2771"/>
      <c r="J50" s="2771"/>
      <c r="K50" s="2771"/>
      <c r="L50" s="2771"/>
      <c r="M50" s="2771"/>
      <c r="N50" s="2771"/>
      <c r="O50" s="2771"/>
      <c r="P50" s="2770"/>
      <c r="Q50" s="2770"/>
      <c r="R50" s="2770"/>
      <c r="S50" s="277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2771" t="str">
        <f>UI.Farm!BL228</f>
        <v>Value of carbon offset credits</v>
      </c>
      <c r="E51" s="2771"/>
      <c r="F51" s="2771"/>
      <c r="G51" s="2771"/>
      <c r="H51" s="2771"/>
      <c r="I51" s="2771"/>
      <c r="J51" s="2771"/>
      <c r="K51" s="2771"/>
      <c r="L51" s="2771"/>
      <c r="M51" s="2771">
        <f>UI.Farm!BC228</f>
        <v>0</v>
      </c>
      <c r="N51" s="2771"/>
      <c r="O51" s="2771"/>
      <c r="P51" s="2770" t="str">
        <f>UI.Farm!BG228</f>
        <v>$/credit</v>
      </c>
      <c r="Q51" s="2770"/>
      <c r="R51" s="2770" t="str">
        <f>UI.Farm!BM228</f>
        <v>Yes</v>
      </c>
      <c r="S51" s="277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2771"/>
      <c r="E52" s="2771"/>
      <c r="F52" s="2771"/>
      <c r="G52" s="2771"/>
      <c r="H52" s="2771"/>
      <c r="I52" s="2771"/>
      <c r="J52" s="2771"/>
      <c r="K52" s="2771"/>
      <c r="L52" s="2771"/>
      <c r="M52" s="2771"/>
      <c r="N52" s="2771"/>
      <c r="O52" s="2771"/>
      <c r="P52" s="2770"/>
      <c r="Q52" s="2770"/>
      <c r="R52" s="2770"/>
      <c r="S52" s="2770"/>
      <c r="T52" s="963"/>
      <c r="U52" s="609"/>
      <c r="V52" s="926"/>
      <c r="W52" s="926"/>
      <c r="X52" s="926"/>
      <c r="Y52" s="926"/>
      <c r="Z52" s="926"/>
      <c r="AA52" s="926"/>
      <c r="AB52" s="926"/>
      <c r="AC52" s="926"/>
      <c r="AD52" s="926"/>
      <c r="AE52" s="926"/>
      <c r="AF52" s="926"/>
      <c r="AG52" s="926"/>
      <c r="AH52" s="926"/>
      <c r="AI52" s="926"/>
      <c r="AJ52" s="926"/>
    </row>
    <row r="53" spans="1:36" ht="15" customHeight="1" thickBot="1" x14ac:dyDescent="0.35">
      <c r="A53" s="926"/>
      <c r="B53" s="609"/>
      <c r="C53" s="962"/>
      <c r="D53" s="40"/>
      <c r="E53" s="40"/>
      <c r="F53" s="1046"/>
      <c r="G53" s="1046"/>
      <c r="H53" s="1046"/>
      <c r="I53" s="1046"/>
      <c r="J53" s="1046"/>
      <c r="K53" s="1046"/>
      <c r="L53" s="1047"/>
      <c r="M53" s="1047"/>
      <c r="N53" s="1980"/>
      <c r="O53" s="1980"/>
      <c r="P53" s="1980"/>
      <c r="Q53" s="1980"/>
      <c r="R53" s="40"/>
      <c r="S53" s="40"/>
      <c r="T53" s="963"/>
      <c r="U53" s="609"/>
      <c r="V53" s="926"/>
      <c r="W53" s="926"/>
      <c r="X53" s="926"/>
      <c r="Y53" s="926"/>
      <c r="Z53" s="926"/>
      <c r="AA53" s="926"/>
      <c r="AB53" s="926"/>
      <c r="AC53" s="926"/>
      <c r="AD53" s="926"/>
      <c r="AE53" s="926"/>
      <c r="AF53" s="926"/>
      <c r="AG53" s="926"/>
      <c r="AH53" s="926"/>
      <c r="AI53" s="926"/>
      <c r="AJ53" s="926"/>
    </row>
    <row r="54" spans="1:36" ht="15" customHeight="1" thickTop="1" x14ac:dyDescent="0.3">
      <c r="A54" s="926"/>
      <c r="B54" s="609"/>
      <c r="C54" s="962"/>
      <c r="D54" s="40"/>
      <c r="E54" s="40"/>
      <c r="F54" s="40"/>
      <c r="G54" s="2780" t="s">
        <v>567</v>
      </c>
      <c r="H54" s="2781"/>
      <c r="I54" s="2781"/>
      <c r="J54" s="2781"/>
      <c r="K54" s="2781"/>
      <c r="L54" s="2781"/>
      <c r="M54" s="2781"/>
      <c r="N54" s="2781"/>
      <c r="O54" s="2781"/>
      <c r="P54" s="2782"/>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2783"/>
      <c r="H55" s="2784"/>
      <c r="I55" s="2784"/>
      <c r="J55" s="2784"/>
      <c r="K55" s="2784"/>
      <c r="L55" s="2784"/>
      <c r="M55" s="2784"/>
      <c r="N55" s="2784"/>
      <c r="O55" s="2784"/>
      <c r="P55" s="2785"/>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thickBot="1" x14ac:dyDescent="0.35">
      <c r="A56" s="926"/>
      <c r="B56" s="609"/>
      <c r="C56" s="962"/>
      <c r="D56" s="40"/>
      <c r="E56" s="40"/>
      <c r="F56" s="40"/>
      <c r="G56" s="2786"/>
      <c r="H56" s="2787"/>
      <c r="I56" s="2787"/>
      <c r="J56" s="2787"/>
      <c r="K56" s="2787"/>
      <c r="L56" s="2787"/>
      <c r="M56" s="2787"/>
      <c r="N56" s="2787"/>
      <c r="O56" s="2787"/>
      <c r="P56" s="2788"/>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thickTop="1" x14ac:dyDescent="0.3">
      <c r="A57" s="926"/>
      <c r="B57" s="609"/>
      <c r="C57" s="962"/>
      <c r="D57" s="40"/>
      <c r="E57" s="40"/>
      <c r="F57" s="40"/>
      <c r="G57" s="40"/>
      <c r="H57" s="40"/>
      <c r="I57" s="40"/>
      <c r="J57" s="40"/>
      <c r="K57" s="40"/>
      <c r="L57" s="40"/>
      <c r="M57" s="40"/>
      <c r="N57" s="40"/>
      <c r="O57" s="40"/>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2397" t="s">
        <v>568</v>
      </c>
      <c r="E58" s="2397"/>
      <c r="F58" s="2397"/>
      <c r="G58" s="2397"/>
      <c r="H58" s="2397"/>
      <c r="I58" s="2397"/>
      <c r="J58" s="2397"/>
      <c r="K58" s="2397"/>
      <c r="L58" s="2397"/>
      <c r="M58" s="2397" t="s">
        <v>565</v>
      </c>
      <c r="N58" s="2397"/>
      <c r="O58" s="2397"/>
      <c r="P58" s="2397" t="s">
        <v>38</v>
      </c>
      <c r="Q58" s="2397"/>
      <c r="R58" s="2397" t="s">
        <v>566</v>
      </c>
      <c r="S58" s="2397"/>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2771" t="str">
        <f>UI.Animals!BL258</f>
        <v>Is manure from nursery swine treated?</v>
      </c>
      <c r="E59" s="2771"/>
      <c r="F59" s="2771"/>
      <c r="G59" s="2771"/>
      <c r="H59" s="2771"/>
      <c r="I59" s="2771"/>
      <c r="J59" s="2771"/>
      <c r="K59" s="2771"/>
      <c r="L59" s="2771"/>
      <c r="M59" s="2771" t="str">
        <f>UI.Animals!BC258</f>
        <v>No</v>
      </c>
      <c r="N59" s="2771"/>
      <c r="O59" s="2771"/>
      <c r="P59" s="2770" t="str">
        <f>UI.Animals!BG258</f>
        <v>Yes or No</v>
      </c>
      <c r="Q59" s="2770"/>
      <c r="R59" s="2770" t="str">
        <f>UI.Animals!BM258</f>
        <v>No</v>
      </c>
      <c r="S59" s="277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2771"/>
      <c r="E60" s="2771"/>
      <c r="F60" s="2771"/>
      <c r="G60" s="2771"/>
      <c r="H60" s="2771"/>
      <c r="I60" s="2771"/>
      <c r="J60" s="2771"/>
      <c r="K60" s="2771"/>
      <c r="L60" s="2771"/>
      <c r="M60" s="2771"/>
      <c r="N60" s="2771"/>
      <c r="O60" s="2771"/>
      <c r="P60" s="2770"/>
      <c r="Q60" s="2770"/>
      <c r="R60" s="2770"/>
      <c r="S60" s="277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2771" t="str">
        <f>UI.Animals!BL259</f>
        <v>Number of nursery swine</v>
      </c>
      <c r="E61" s="2771"/>
      <c r="F61" s="2771"/>
      <c r="G61" s="2771"/>
      <c r="H61" s="2771"/>
      <c r="I61" s="2771"/>
      <c r="J61" s="2771"/>
      <c r="K61" s="2771"/>
      <c r="L61" s="2771"/>
      <c r="M61" s="2771">
        <f>UI.Animals!BC259</f>
        <v>0</v>
      </c>
      <c r="N61" s="2771"/>
      <c r="O61" s="2771"/>
      <c r="P61" s="2770" t="str">
        <f>UI.Animals!BG259</f>
        <v>head</v>
      </c>
      <c r="Q61" s="2770"/>
      <c r="R61" s="2770" t="str">
        <f>UI.Animals!BM259</f>
        <v>Yes</v>
      </c>
      <c r="S61" s="277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2771"/>
      <c r="E62" s="2771"/>
      <c r="F62" s="2771"/>
      <c r="G62" s="2771"/>
      <c r="H62" s="2771"/>
      <c r="I62" s="2771"/>
      <c r="J62" s="2771"/>
      <c r="K62" s="2771"/>
      <c r="L62" s="2771"/>
      <c r="M62" s="2771"/>
      <c r="N62" s="2771"/>
      <c r="O62" s="2771"/>
      <c r="P62" s="2770"/>
      <c r="Q62" s="2770"/>
      <c r="R62" s="2770"/>
      <c r="S62" s="277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2771" t="str">
        <f>UI.Animals!BL260</f>
        <v>Average weight of nursery swine</v>
      </c>
      <c r="E63" s="2771"/>
      <c r="F63" s="2771"/>
      <c r="G63" s="2771"/>
      <c r="H63" s="2771"/>
      <c r="I63" s="2771"/>
      <c r="J63" s="2771"/>
      <c r="K63" s="2771"/>
      <c r="L63" s="2771"/>
      <c r="M63" s="2771">
        <f>UI.Animals!BC260</f>
        <v>40</v>
      </c>
      <c r="N63" s="2771"/>
      <c r="O63" s="2771"/>
      <c r="P63" s="2770" t="str">
        <f>UI.Animals!BG260</f>
        <v>lb/head</v>
      </c>
      <c r="Q63" s="2770"/>
      <c r="R63" s="2770" t="str">
        <f>UI.Animals!BM260</f>
        <v>Yes</v>
      </c>
      <c r="S63" s="277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2771"/>
      <c r="E64" s="2771"/>
      <c r="F64" s="2771"/>
      <c r="G64" s="2771"/>
      <c r="H64" s="2771"/>
      <c r="I64" s="2771"/>
      <c r="J64" s="2771"/>
      <c r="K64" s="2771"/>
      <c r="L64" s="2771"/>
      <c r="M64" s="2771"/>
      <c r="N64" s="2771"/>
      <c r="O64" s="2771"/>
      <c r="P64" s="2770"/>
      <c r="Q64" s="2770"/>
      <c r="R64" s="2770"/>
      <c r="S64" s="277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2771" t="str">
        <f>UI.Animals!BL261</f>
        <v>Is manure from wean to finish swine treated?</v>
      </c>
      <c r="E65" s="2771"/>
      <c r="F65" s="2771"/>
      <c r="G65" s="2771"/>
      <c r="H65" s="2771"/>
      <c r="I65" s="2771"/>
      <c r="J65" s="2771"/>
      <c r="K65" s="2771"/>
      <c r="L65" s="2771"/>
      <c r="M65" s="2771" t="str">
        <f>UI.Animals!BC261</f>
        <v>Yes</v>
      </c>
      <c r="N65" s="2771"/>
      <c r="O65" s="2771"/>
      <c r="P65" s="2770" t="str">
        <f>UI.Animals!BG261</f>
        <v>Yes or No</v>
      </c>
      <c r="Q65" s="2770"/>
      <c r="R65" s="2770" t="str">
        <f>UI.Animals!BM261</f>
        <v>No</v>
      </c>
      <c r="S65" s="277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2771"/>
      <c r="E66" s="2771"/>
      <c r="F66" s="2771"/>
      <c r="G66" s="2771"/>
      <c r="H66" s="2771"/>
      <c r="I66" s="2771"/>
      <c r="J66" s="2771"/>
      <c r="K66" s="2771"/>
      <c r="L66" s="2771"/>
      <c r="M66" s="2771"/>
      <c r="N66" s="2771"/>
      <c r="O66" s="2771"/>
      <c r="P66" s="2770"/>
      <c r="Q66" s="2770"/>
      <c r="R66" s="2770"/>
      <c r="S66" s="277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962"/>
      <c r="D67" s="2797" t="str">
        <f>UI.Animals!BL262</f>
        <v>Number of wean to finish swine</v>
      </c>
      <c r="E67" s="2798"/>
      <c r="F67" s="2798"/>
      <c r="G67" s="2798"/>
      <c r="H67" s="2798"/>
      <c r="I67" s="2798"/>
      <c r="J67" s="2798"/>
      <c r="K67" s="2798"/>
      <c r="L67" s="2799"/>
      <c r="M67" s="2797">
        <f>UI.Animals!BC262</f>
        <v>500</v>
      </c>
      <c r="N67" s="2798"/>
      <c r="O67" s="2799"/>
      <c r="P67" s="2789" t="str">
        <f>UI.Animals!BG262</f>
        <v>head</v>
      </c>
      <c r="Q67" s="2790"/>
      <c r="R67" s="2789" t="str">
        <f>UI.Animals!BM262</f>
        <v>Yes</v>
      </c>
      <c r="S67" s="279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962"/>
      <c r="D68" s="2800"/>
      <c r="E68" s="2801"/>
      <c r="F68" s="2801"/>
      <c r="G68" s="2801"/>
      <c r="H68" s="2801"/>
      <c r="I68" s="2801"/>
      <c r="J68" s="2801"/>
      <c r="K68" s="2801"/>
      <c r="L68" s="2802"/>
      <c r="M68" s="2800"/>
      <c r="N68" s="2801"/>
      <c r="O68" s="2802"/>
      <c r="P68" s="2791"/>
      <c r="Q68" s="2792"/>
      <c r="R68" s="2791"/>
      <c r="S68" s="2792"/>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2771" t="str">
        <f>UI.Animals!BL263</f>
        <v>Average weight of wean to finish swine</v>
      </c>
      <c r="E69" s="2771"/>
      <c r="F69" s="2771"/>
      <c r="G69" s="2771"/>
      <c r="H69" s="2771"/>
      <c r="I69" s="2771"/>
      <c r="J69" s="2771"/>
      <c r="K69" s="2771"/>
      <c r="L69" s="2771"/>
      <c r="M69" s="2771">
        <f>UI.Animals!BC263</f>
        <v>260</v>
      </c>
      <c r="N69" s="2771"/>
      <c r="O69" s="2771"/>
      <c r="P69" s="2770" t="str">
        <f>UI.Animals!BG263</f>
        <v>lb/head</v>
      </c>
      <c r="Q69" s="2770"/>
      <c r="R69" s="2770" t="str">
        <f>UI.Animals!BM263</f>
        <v>Yes</v>
      </c>
      <c r="S69" s="277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962"/>
      <c r="D70" s="2771"/>
      <c r="E70" s="2771"/>
      <c r="F70" s="2771"/>
      <c r="G70" s="2771"/>
      <c r="H70" s="2771"/>
      <c r="I70" s="2771"/>
      <c r="J70" s="2771"/>
      <c r="K70" s="2771"/>
      <c r="L70" s="2771"/>
      <c r="M70" s="2771"/>
      <c r="N70" s="2771"/>
      <c r="O70" s="2771"/>
      <c r="P70" s="2770"/>
      <c r="Q70" s="2770"/>
      <c r="R70" s="2770"/>
      <c r="S70" s="277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962"/>
      <c r="D71" s="2771" t="str">
        <f>UI.Animals!BL264</f>
        <v>Is manure from grow to finish swine treated?</v>
      </c>
      <c r="E71" s="2771"/>
      <c r="F71" s="2771"/>
      <c r="G71" s="2771"/>
      <c r="H71" s="2771"/>
      <c r="I71" s="2771"/>
      <c r="J71" s="2771"/>
      <c r="K71" s="2771"/>
      <c r="L71" s="2771"/>
      <c r="M71" s="2771" t="str">
        <f>UI.Animals!BC264</f>
        <v>No</v>
      </c>
      <c r="N71" s="2771"/>
      <c r="O71" s="2771"/>
      <c r="P71" s="2770" t="str">
        <f>UI.Animals!BG264</f>
        <v>Yes or No</v>
      </c>
      <c r="Q71" s="2770"/>
      <c r="R71" s="2770" t="str">
        <f>UI.Animals!BM264</f>
        <v>No</v>
      </c>
      <c r="S71" s="2770"/>
      <c r="T71" s="963"/>
      <c r="U71" s="609"/>
      <c r="V71" s="926"/>
      <c r="W71" s="926"/>
      <c r="X71" s="926"/>
      <c r="Y71" s="926"/>
      <c r="Z71" s="926"/>
      <c r="AA71" s="926"/>
      <c r="AB71" s="926"/>
      <c r="AC71" s="926"/>
      <c r="AD71" s="926"/>
      <c r="AE71" s="926"/>
      <c r="AF71" s="926"/>
      <c r="AG71" s="926"/>
      <c r="AH71" s="926"/>
      <c r="AI71" s="926"/>
      <c r="AJ71" s="926"/>
    </row>
    <row r="72" spans="1:36" ht="15" customHeight="1" x14ac:dyDescent="0.3">
      <c r="A72" s="926"/>
      <c r="B72" s="609"/>
      <c r="C72" s="962"/>
      <c r="D72" s="2771"/>
      <c r="E72" s="2771"/>
      <c r="F72" s="2771"/>
      <c r="G72" s="2771"/>
      <c r="H72" s="2771"/>
      <c r="I72" s="2771"/>
      <c r="J72" s="2771"/>
      <c r="K72" s="2771"/>
      <c r="L72" s="2771"/>
      <c r="M72" s="2771"/>
      <c r="N72" s="2771"/>
      <c r="O72" s="2771"/>
      <c r="P72" s="2770"/>
      <c r="Q72" s="2770"/>
      <c r="R72" s="2770"/>
      <c r="S72" s="2770"/>
      <c r="T72" s="963"/>
      <c r="U72" s="609"/>
      <c r="V72" s="926"/>
      <c r="W72" s="926"/>
      <c r="X72" s="926"/>
      <c r="Y72" s="926"/>
      <c r="Z72" s="926"/>
      <c r="AA72" s="926"/>
      <c r="AB72" s="926"/>
      <c r="AC72" s="926"/>
      <c r="AD72" s="926"/>
      <c r="AE72" s="926"/>
      <c r="AF72" s="926"/>
      <c r="AG72" s="926"/>
      <c r="AH72" s="926"/>
      <c r="AI72" s="926"/>
      <c r="AJ72" s="926"/>
    </row>
    <row r="73" spans="1:36" ht="15" customHeight="1" x14ac:dyDescent="0.3">
      <c r="A73" s="926"/>
      <c r="B73" s="609"/>
      <c r="C73" s="962"/>
      <c r="D73" s="2771" t="str">
        <f>UI.Animals!BL265</f>
        <v>Number of grow to finish swine</v>
      </c>
      <c r="E73" s="2771"/>
      <c r="F73" s="2771"/>
      <c r="G73" s="2771"/>
      <c r="H73" s="2771"/>
      <c r="I73" s="2771"/>
      <c r="J73" s="2771"/>
      <c r="K73" s="2771"/>
      <c r="L73" s="2771"/>
      <c r="M73" s="2771">
        <f>UI.Animals!BC265</f>
        <v>0</v>
      </c>
      <c r="N73" s="2771"/>
      <c r="O73" s="2771"/>
      <c r="P73" s="2770" t="str">
        <f>UI.Animals!BG265</f>
        <v>head</v>
      </c>
      <c r="Q73" s="2770"/>
      <c r="R73" s="2770" t="str">
        <f>UI.Animals!BM265</f>
        <v>Yes</v>
      </c>
      <c r="S73" s="277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2771"/>
      <c r="E74" s="2771"/>
      <c r="F74" s="2771"/>
      <c r="G74" s="2771"/>
      <c r="H74" s="2771"/>
      <c r="I74" s="2771"/>
      <c r="J74" s="2771"/>
      <c r="K74" s="2771"/>
      <c r="L74" s="2771"/>
      <c r="M74" s="2771"/>
      <c r="N74" s="2771"/>
      <c r="O74" s="2771"/>
      <c r="P74" s="2770"/>
      <c r="Q74" s="2770"/>
      <c r="R74" s="2770"/>
      <c r="S74" s="277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962"/>
      <c r="D75" s="2771" t="str">
        <f>UI.Animals!BL266</f>
        <v>Average weight of grow to finish swine</v>
      </c>
      <c r="E75" s="2771"/>
      <c r="F75" s="2771"/>
      <c r="G75" s="2771"/>
      <c r="H75" s="2771"/>
      <c r="I75" s="2771"/>
      <c r="J75" s="2771"/>
      <c r="K75" s="2771"/>
      <c r="L75" s="2771"/>
      <c r="M75" s="2771">
        <f>UI.Animals!BC266</f>
        <v>280</v>
      </c>
      <c r="N75" s="2771"/>
      <c r="O75" s="2771"/>
      <c r="P75" s="2770" t="str">
        <f>UI.Animals!BG266</f>
        <v>lb/head</v>
      </c>
      <c r="Q75" s="2770"/>
      <c r="R75" s="2770" t="str">
        <f>UI.Animals!BM266</f>
        <v>Yes</v>
      </c>
      <c r="S75" s="277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2771"/>
      <c r="E76" s="2771"/>
      <c r="F76" s="2771"/>
      <c r="G76" s="2771"/>
      <c r="H76" s="2771"/>
      <c r="I76" s="2771"/>
      <c r="J76" s="2771"/>
      <c r="K76" s="2771"/>
      <c r="L76" s="2771"/>
      <c r="M76" s="2771"/>
      <c r="N76" s="2771"/>
      <c r="O76" s="2771"/>
      <c r="P76" s="2770"/>
      <c r="Q76" s="2770"/>
      <c r="R76" s="2770"/>
      <c r="S76" s="2770"/>
      <c r="T76" s="963"/>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962"/>
      <c r="D77" s="2771" t="str">
        <f>UI.Animals!BL267</f>
        <v>Is manure from animal gestating sows treated?</v>
      </c>
      <c r="E77" s="2771"/>
      <c r="F77" s="2771"/>
      <c r="G77" s="2771"/>
      <c r="H77" s="2771"/>
      <c r="I77" s="2771"/>
      <c r="J77" s="2771"/>
      <c r="K77" s="2771"/>
      <c r="L77" s="2771"/>
      <c r="M77" s="2771" t="str">
        <f>UI.Animals!BC267</f>
        <v>No</v>
      </c>
      <c r="N77" s="2771"/>
      <c r="O77" s="2771"/>
      <c r="P77" s="2770" t="str">
        <f>UI.Animals!BG267</f>
        <v>Yes or No</v>
      </c>
      <c r="Q77" s="2770"/>
      <c r="R77" s="2770" t="str">
        <f>UI.Animals!BM267</f>
        <v>No</v>
      </c>
      <c r="S77" s="2770"/>
      <c r="T77" s="963"/>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962"/>
      <c r="D78" s="2771"/>
      <c r="E78" s="2771"/>
      <c r="F78" s="2771"/>
      <c r="G78" s="2771"/>
      <c r="H78" s="2771"/>
      <c r="I78" s="2771"/>
      <c r="J78" s="2771"/>
      <c r="K78" s="2771"/>
      <c r="L78" s="2771"/>
      <c r="M78" s="2771"/>
      <c r="N78" s="2771"/>
      <c r="O78" s="2771"/>
      <c r="P78" s="2770"/>
      <c r="Q78" s="2770"/>
      <c r="R78" s="2770"/>
      <c r="S78" s="2770"/>
      <c r="T78" s="963"/>
      <c r="U78" s="609"/>
      <c r="V78" s="926"/>
      <c r="W78" s="926"/>
      <c r="X78" s="926"/>
      <c r="Y78" s="926"/>
      <c r="Z78" s="926"/>
      <c r="AA78" s="926"/>
      <c r="AB78" s="926"/>
      <c r="AC78" s="926"/>
      <c r="AD78" s="926"/>
      <c r="AE78" s="926"/>
      <c r="AF78" s="926"/>
      <c r="AG78" s="926"/>
      <c r="AH78" s="926"/>
      <c r="AI78" s="926"/>
      <c r="AJ78" s="926"/>
    </row>
    <row r="79" spans="1:36" ht="15" customHeight="1" x14ac:dyDescent="0.3">
      <c r="A79" s="926"/>
      <c r="B79" s="609"/>
      <c r="C79" s="962"/>
      <c r="D79" s="2771" t="str">
        <f>UI.Animals!BL268</f>
        <v>Number of gestating sows</v>
      </c>
      <c r="E79" s="2771"/>
      <c r="F79" s="2771"/>
      <c r="G79" s="2771"/>
      <c r="H79" s="2771"/>
      <c r="I79" s="2771"/>
      <c r="J79" s="2771"/>
      <c r="K79" s="2771"/>
      <c r="L79" s="2771"/>
      <c r="M79" s="2771">
        <f>UI.Animals!BC268</f>
        <v>0</v>
      </c>
      <c r="N79" s="2771"/>
      <c r="O79" s="2771"/>
      <c r="P79" s="2770" t="str">
        <f>UI.Animals!BG268</f>
        <v>head</v>
      </c>
      <c r="Q79" s="2770"/>
      <c r="R79" s="2770" t="str">
        <f>UI.Animals!BM268</f>
        <v>Yes</v>
      </c>
      <c r="S79" s="2770"/>
      <c r="T79" s="963"/>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962"/>
      <c r="D80" s="2771"/>
      <c r="E80" s="2771"/>
      <c r="F80" s="2771"/>
      <c r="G80" s="2771"/>
      <c r="H80" s="2771"/>
      <c r="I80" s="2771"/>
      <c r="J80" s="2771"/>
      <c r="K80" s="2771"/>
      <c r="L80" s="2771"/>
      <c r="M80" s="2771"/>
      <c r="N80" s="2771"/>
      <c r="O80" s="2771"/>
      <c r="P80" s="2770"/>
      <c r="Q80" s="2770"/>
      <c r="R80" s="2770"/>
      <c r="S80" s="2770"/>
      <c r="T80" s="963"/>
      <c r="U80" s="609"/>
      <c r="V80" s="926"/>
      <c r="W80" s="926"/>
      <c r="X80" s="926"/>
      <c r="Y80" s="926"/>
      <c r="Z80" s="926"/>
      <c r="AA80" s="926"/>
      <c r="AB80" s="926"/>
      <c r="AC80" s="926"/>
      <c r="AD80" s="926"/>
      <c r="AE80" s="926"/>
      <c r="AF80" s="926"/>
      <c r="AG80" s="926"/>
      <c r="AH80" s="926"/>
      <c r="AI80" s="926"/>
      <c r="AJ80" s="926"/>
    </row>
    <row r="81" spans="1:36" ht="15" customHeight="1" x14ac:dyDescent="0.3">
      <c r="A81" s="926"/>
      <c r="B81" s="609"/>
      <c r="C81" s="962"/>
      <c r="D81" s="2771" t="str">
        <f>UI.Animals!BL269</f>
        <v>Average weight of gestating sows</v>
      </c>
      <c r="E81" s="2771"/>
      <c r="F81" s="2771"/>
      <c r="G81" s="2771"/>
      <c r="H81" s="2771"/>
      <c r="I81" s="2771"/>
      <c r="J81" s="2771"/>
      <c r="K81" s="2771"/>
      <c r="L81" s="2771"/>
      <c r="M81" s="2771">
        <f>UI.Animals!BC269</f>
        <v>400</v>
      </c>
      <c r="N81" s="2771"/>
      <c r="O81" s="2771"/>
      <c r="P81" s="2770" t="str">
        <f>UI.Animals!BG269</f>
        <v>lb/head</v>
      </c>
      <c r="Q81" s="2770"/>
      <c r="R81" s="2770" t="str">
        <f>UI.Animals!BM269</f>
        <v>Yes</v>
      </c>
      <c r="S81" s="2770"/>
      <c r="T81" s="963"/>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962"/>
      <c r="D82" s="2771"/>
      <c r="E82" s="2771"/>
      <c r="F82" s="2771"/>
      <c r="G82" s="2771"/>
      <c r="H82" s="2771"/>
      <c r="I82" s="2771"/>
      <c r="J82" s="2771"/>
      <c r="K82" s="2771"/>
      <c r="L82" s="2771"/>
      <c r="M82" s="2771"/>
      <c r="N82" s="2771"/>
      <c r="O82" s="2771"/>
      <c r="P82" s="2770"/>
      <c r="Q82" s="2770"/>
      <c r="R82" s="2770"/>
      <c r="S82" s="2770"/>
      <c r="T82" s="963"/>
      <c r="U82" s="609"/>
      <c r="V82" s="926"/>
      <c r="W82" s="926"/>
      <c r="X82" s="926"/>
      <c r="Y82" s="926"/>
      <c r="Z82" s="926"/>
      <c r="AA82" s="926"/>
      <c r="AB82" s="926"/>
      <c r="AC82" s="926"/>
      <c r="AD82" s="926"/>
      <c r="AE82" s="926"/>
      <c r="AF82" s="926"/>
      <c r="AG82" s="926"/>
      <c r="AH82" s="926"/>
      <c r="AI82" s="926"/>
      <c r="AJ82" s="926"/>
    </row>
    <row r="83" spans="1:36" ht="15" customHeight="1" x14ac:dyDescent="0.3">
      <c r="A83" s="926"/>
      <c r="B83" s="609"/>
      <c r="C83" s="962"/>
      <c r="D83" s="2797" t="str">
        <f>UI.Animals!BL270</f>
        <v>Is manure from farrowing sows treated?</v>
      </c>
      <c r="E83" s="2798"/>
      <c r="F83" s="2798"/>
      <c r="G83" s="2798"/>
      <c r="H83" s="2798"/>
      <c r="I83" s="2798"/>
      <c r="J83" s="2798"/>
      <c r="K83" s="2798"/>
      <c r="L83" s="2799"/>
      <c r="M83" s="2797" t="str">
        <f>UI.Animals!BC270</f>
        <v>No</v>
      </c>
      <c r="N83" s="2798"/>
      <c r="O83" s="2799"/>
      <c r="P83" s="2789" t="str">
        <f>UI.Animals!BG270</f>
        <v>Yes or No</v>
      </c>
      <c r="Q83" s="2790"/>
      <c r="R83" s="2789" t="str">
        <f>UI.Animals!BM270</f>
        <v>No</v>
      </c>
      <c r="S83" s="2790"/>
      <c r="T83" s="963"/>
      <c r="U83" s="609"/>
      <c r="V83" s="926"/>
      <c r="W83" s="926"/>
      <c r="X83" s="926"/>
      <c r="Y83" s="926"/>
      <c r="Z83" s="926"/>
      <c r="AA83" s="926"/>
      <c r="AB83" s="926"/>
      <c r="AC83" s="926"/>
      <c r="AD83" s="926"/>
      <c r="AE83" s="926"/>
      <c r="AF83" s="926"/>
      <c r="AG83" s="926"/>
      <c r="AH83" s="926"/>
      <c r="AI83" s="926"/>
      <c r="AJ83" s="926"/>
    </row>
    <row r="84" spans="1:36" ht="15" customHeight="1" x14ac:dyDescent="0.3">
      <c r="A84" s="926"/>
      <c r="B84" s="609"/>
      <c r="C84" s="962"/>
      <c r="D84" s="2800"/>
      <c r="E84" s="2801"/>
      <c r="F84" s="2801"/>
      <c r="G84" s="2801"/>
      <c r="H84" s="2801"/>
      <c r="I84" s="2801"/>
      <c r="J84" s="2801"/>
      <c r="K84" s="2801"/>
      <c r="L84" s="2802"/>
      <c r="M84" s="2800"/>
      <c r="N84" s="2801"/>
      <c r="O84" s="2802"/>
      <c r="P84" s="2791"/>
      <c r="Q84" s="2792"/>
      <c r="R84" s="2791"/>
      <c r="S84" s="2792"/>
      <c r="T84" s="963"/>
      <c r="U84" s="609"/>
      <c r="V84" s="926"/>
      <c r="W84" s="926"/>
      <c r="X84" s="926"/>
      <c r="Y84" s="926"/>
      <c r="Z84" s="926"/>
      <c r="AA84" s="926"/>
      <c r="AB84" s="926"/>
      <c r="AC84" s="926"/>
      <c r="AD84" s="926"/>
      <c r="AE84" s="926"/>
      <c r="AF84" s="926"/>
      <c r="AG84" s="926"/>
      <c r="AH84" s="926"/>
      <c r="AI84" s="926"/>
      <c r="AJ84" s="926"/>
    </row>
    <row r="85" spans="1:36" ht="15" customHeight="1" x14ac:dyDescent="0.3">
      <c r="A85" s="926"/>
      <c r="B85" s="609"/>
      <c r="C85" s="962"/>
      <c r="D85" s="2771" t="str">
        <f>UI.Animals!BL271</f>
        <v>Number of farrowing sows</v>
      </c>
      <c r="E85" s="2771"/>
      <c r="F85" s="2771"/>
      <c r="G85" s="2771"/>
      <c r="H85" s="2771"/>
      <c r="I85" s="2771"/>
      <c r="J85" s="2771"/>
      <c r="K85" s="2771"/>
      <c r="L85" s="2771"/>
      <c r="M85" s="2771">
        <f>UI.Animals!BC271</f>
        <v>0</v>
      </c>
      <c r="N85" s="2771"/>
      <c r="O85" s="2771"/>
      <c r="P85" s="2770" t="str">
        <f>UI.Animals!BG271</f>
        <v>head</v>
      </c>
      <c r="Q85" s="2770"/>
      <c r="R85" s="2770" t="str">
        <f>UI.Animals!BM271</f>
        <v>Yes</v>
      </c>
      <c r="S85" s="2770"/>
      <c r="T85" s="963"/>
      <c r="U85" s="609"/>
      <c r="V85" s="926"/>
      <c r="W85" s="926"/>
      <c r="X85" s="926"/>
      <c r="Y85" s="926"/>
      <c r="Z85" s="926"/>
      <c r="AA85" s="926"/>
      <c r="AB85" s="926"/>
      <c r="AC85" s="926"/>
      <c r="AD85" s="926"/>
      <c r="AE85" s="926"/>
      <c r="AF85" s="926"/>
      <c r="AG85" s="926"/>
      <c r="AH85" s="926"/>
      <c r="AI85" s="926"/>
      <c r="AJ85" s="926"/>
    </row>
    <row r="86" spans="1:36" ht="15" customHeight="1" x14ac:dyDescent="0.3">
      <c r="A86" s="926"/>
      <c r="B86" s="609"/>
      <c r="C86" s="962"/>
      <c r="D86" s="2771"/>
      <c r="E86" s="2771"/>
      <c r="F86" s="2771"/>
      <c r="G86" s="2771"/>
      <c r="H86" s="2771"/>
      <c r="I86" s="2771"/>
      <c r="J86" s="2771"/>
      <c r="K86" s="2771"/>
      <c r="L86" s="2771"/>
      <c r="M86" s="2771"/>
      <c r="N86" s="2771"/>
      <c r="O86" s="2771"/>
      <c r="P86" s="2770"/>
      <c r="Q86" s="2770"/>
      <c r="R86" s="2770"/>
      <c r="S86" s="2770"/>
      <c r="T86" s="963"/>
      <c r="U86" s="609"/>
      <c r="V86" s="926"/>
      <c r="W86" s="926"/>
      <c r="X86" s="926"/>
      <c r="Y86" s="926"/>
      <c r="Z86" s="926"/>
      <c r="AA86" s="926"/>
      <c r="AB86" s="926"/>
      <c r="AC86" s="926"/>
      <c r="AD86" s="926"/>
      <c r="AE86" s="926"/>
      <c r="AF86" s="926"/>
      <c r="AG86" s="926"/>
      <c r="AH86" s="926"/>
      <c r="AI86" s="926"/>
      <c r="AJ86" s="926"/>
    </row>
    <row r="87" spans="1:36" ht="15" customHeight="1" x14ac:dyDescent="0.3">
      <c r="A87" s="926"/>
      <c r="B87" s="609"/>
      <c r="C87" s="962"/>
      <c r="D87" s="2771" t="str">
        <f>UI.Animals!BL272</f>
        <v>Average weight of farrowing sows</v>
      </c>
      <c r="E87" s="2771"/>
      <c r="F87" s="2771"/>
      <c r="G87" s="2771"/>
      <c r="H87" s="2771"/>
      <c r="I87" s="2771"/>
      <c r="J87" s="2771"/>
      <c r="K87" s="2771"/>
      <c r="L87" s="2771"/>
      <c r="M87" s="2771">
        <f>UI.Animals!BC272</f>
        <v>423</v>
      </c>
      <c r="N87" s="2771"/>
      <c r="O87" s="2771"/>
      <c r="P87" s="2770" t="str">
        <f>UI.Animals!BG272</f>
        <v>lb/head</v>
      </c>
      <c r="Q87" s="2770"/>
      <c r="R87" s="2770" t="str">
        <f>UI.Animals!BM272</f>
        <v>Yes</v>
      </c>
      <c r="S87" s="2770"/>
      <c r="T87" s="963"/>
      <c r="U87" s="609"/>
      <c r="V87" s="926"/>
      <c r="W87" s="926"/>
      <c r="X87" s="926"/>
      <c r="Y87" s="926"/>
      <c r="Z87" s="926"/>
      <c r="AA87" s="926"/>
      <c r="AB87" s="926"/>
      <c r="AC87" s="926"/>
      <c r="AD87" s="926"/>
      <c r="AE87" s="926"/>
      <c r="AF87" s="926"/>
      <c r="AG87" s="926"/>
      <c r="AH87" s="926"/>
      <c r="AI87" s="926"/>
      <c r="AJ87" s="926"/>
    </row>
    <row r="88" spans="1:36" ht="15" customHeight="1" x14ac:dyDescent="0.3">
      <c r="A88" s="926"/>
      <c r="B88" s="609"/>
      <c r="C88" s="962"/>
      <c r="D88" s="2771"/>
      <c r="E88" s="2771"/>
      <c r="F88" s="2771"/>
      <c r="G88" s="2771"/>
      <c r="H88" s="2771"/>
      <c r="I88" s="2771"/>
      <c r="J88" s="2771"/>
      <c r="K88" s="2771"/>
      <c r="L88" s="2771"/>
      <c r="M88" s="2771"/>
      <c r="N88" s="2771"/>
      <c r="O88" s="2771"/>
      <c r="P88" s="2770"/>
      <c r="Q88" s="2770"/>
      <c r="R88" s="2770"/>
      <c r="S88" s="2770"/>
      <c r="T88" s="963"/>
      <c r="U88" s="609"/>
      <c r="V88" s="926"/>
      <c r="W88" s="926"/>
      <c r="X88" s="926"/>
      <c r="Y88" s="926"/>
      <c r="Z88" s="926"/>
      <c r="AA88" s="926"/>
      <c r="AB88" s="926"/>
      <c r="AC88" s="926"/>
      <c r="AD88" s="926"/>
      <c r="AE88" s="926"/>
      <c r="AF88" s="926"/>
      <c r="AG88" s="926"/>
      <c r="AH88" s="926"/>
      <c r="AI88" s="926"/>
      <c r="AJ88" s="926"/>
    </row>
    <row r="89" spans="1:36" ht="15" customHeight="1" thickBot="1" x14ac:dyDescent="0.35">
      <c r="A89" s="926"/>
      <c r="B89" s="609"/>
      <c r="C89" s="962"/>
      <c r="D89" s="40"/>
      <c r="E89" s="40"/>
      <c r="F89" s="40"/>
      <c r="G89" s="40"/>
      <c r="H89" s="40"/>
      <c r="I89" s="40"/>
      <c r="J89" s="40"/>
      <c r="K89" s="40"/>
      <c r="L89" s="40"/>
      <c r="M89" s="40"/>
      <c r="N89" s="40"/>
      <c r="O89" s="40"/>
      <c r="P89" s="40"/>
      <c r="Q89" s="40"/>
      <c r="R89" s="40"/>
      <c r="S89" s="40"/>
      <c r="T89" s="963"/>
      <c r="U89" s="609"/>
      <c r="V89" s="926"/>
      <c r="W89" s="926"/>
      <c r="X89" s="926"/>
      <c r="Y89" s="926"/>
      <c r="Z89" s="926"/>
      <c r="AA89" s="926"/>
      <c r="AB89" s="926"/>
      <c r="AC89" s="926"/>
      <c r="AD89" s="926"/>
      <c r="AE89" s="926"/>
      <c r="AF89" s="926"/>
      <c r="AG89" s="926"/>
      <c r="AH89" s="926"/>
      <c r="AI89" s="926"/>
      <c r="AJ89" s="926"/>
    </row>
    <row r="90" spans="1:36" ht="15" customHeight="1" thickTop="1" x14ac:dyDescent="0.3">
      <c r="A90" s="926"/>
      <c r="B90" s="609"/>
      <c r="C90" s="962"/>
      <c r="D90" s="40"/>
      <c r="E90" s="40"/>
      <c r="F90" s="40"/>
      <c r="G90" s="2780" t="s">
        <v>569</v>
      </c>
      <c r="H90" s="2781"/>
      <c r="I90" s="2781"/>
      <c r="J90" s="2781"/>
      <c r="K90" s="2781"/>
      <c r="L90" s="2781"/>
      <c r="M90" s="2781"/>
      <c r="N90" s="2781"/>
      <c r="O90" s="2781"/>
      <c r="P90" s="2782"/>
      <c r="Q90" s="40"/>
      <c r="R90" s="40"/>
      <c r="S90" s="40"/>
      <c r="T90" s="963"/>
      <c r="U90" s="609"/>
      <c r="V90" s="926"/>
      <c r="W90" s="926"/>
      <c r="X90" s="926"/>
      <c r="Y90" s="926"/>
      <c r="Z90" s="926"/>
      <c r="AA90" s="926"/>
      <c r="AB90" s="926"/>
      <c r="AC90" s="926"/>
      <c r="AD90" s="926"/>
      <c r="AE90" s="926"/>
      <c r="AF90" s="926"/>
      <c r="AG90" s="926"/>
      <c r="AH90" s="926"/>
      <c r="AI90" s="926"/>
      <c r="AJ90" s="926"/>
    </row>
    <row r="91" spans="1:36" ht="15" customHeight="1" x14ac:dyDescent="0.3">
      <c r="A91" s="926"/>
      <c r="B91" s="609"/>
      <c r="C91" s="962"/>
      <c r="D91" s="40"/>
      <c r="E91" s="40"/>
      <c r="F91" s="40"/>
      <c r="G91" s="2783"/>
      <c r="H91" s="2784"/>
      <c r="I91" s="2784"/>
      <c r="J91" s="2784"/>
      <c r="K91" s="2784"/>
      <c r="L91" s="2784"/>
      <c r="M91" s="2784"/>
      <c r="N91" s="2784"/>
      <c r="O91" s="2784"/>
      <c r="P91" s="2785"/>
      <c r="Q91" s="40"/>
      <c r="R91" s="40"/>
      <c r="S91" s="40"/>
      <c r="T91" s="963"/>
      <c r="U91" s="609"/>
      <c r="V91" s="926"/>
      <c r="W91" s="926"/>
      <c r="X91" s="926"/>
      <c r="Y91" s="926"/>
      <c r="Z91" s="926"/>
      <c r="AA91" s="926"/>
      <c r="AB91" s="926"/>
      <c r="AC91" s="926"/>
      <c r="AD91" s="926"/>
      <c r="AE91" s="926"/>
      <c r="AF91" s="926"/>
      <c r="AG91" s="926"/>
      <c r="AH91" s="926"/>
      <c r="AI91" s="926"/>
      <c r="AJ91" s="926"/>
    </row>
    <row r="92" spans="1:36" ht="15" customHeight="1" thickBot="1" x14ac:dyDescent="0.35">
      <c r="A92" s="926"/>
      <c r="B92" s="609"/>
      <c r="C92" s="962"/>
      <c r="D92" s="40"/>
      <c r="E92" s="40"/>
      <c r="F92" s="40"/>
      <c r="G92" s="2786"/>
      <c r="H92" s="2787"/>
      <c r="I92" s="2787"/>
      <c r="J92" s="2787"/>
      <c r="K92" s="2787"/>
      <c r="L92" s="2787"/>
      <c r="M92" s="2787"/>
      <c r="N92" s="2787"/>
      <c r="O92" s="2787"/>
      <c r="P92" s="2788"/>
      <c r="Q92" s="40"/>
      <c r="R92" s="40"/>
      <c r="S92" s="40"/>
      <c r="T92" s="963"/>
      <c r="U92" s="609"/>
      <c r="V92" s="926"/>
      <c r="W92" s="926"/>
      <c r="X92" s="926"/>
      <c r="Y92" s="926"/>
      <c r="Z92" s="926"/>
      <c r="AA92" s="926"/>
      <c r="AB92" s="926"/>
      <c r="AC92" s="926"/>
      <c r="AD92" s="926"/>
      <c r="AE92" s="926"/>
      <c r="AF92" s="926"/>
      <c r="AG92" s="926"/>
      <c r="AH92" s="926"/>
      <c r="AI92" s="926"/>
      <c r="AJ92" s="926"/>
    </row>
    <row r="93" spans="1:36" ht="15" customHeight="1" thickTop="1" x14ac:dyDescent="0.3">
      <c r="A93" s="926"/>
      <c r="B93" s="609"/>
      <c r="C93" s="962"/>
      <c r="D93" s="40"/>
      <c r="E93" s="40"/>
      <c r="F93" s="40"/>
      <c r="G93" s="40"/>
      <c r="H93" s="40"/>
      <c r="I93" s="40"/>
      <c r="J93" s="40"/>
      <c r="K93" s="40"/>
      <c r="L93" s="40"/>
      <c r="M93" s="40"/>
      <c r="N93" s="40"/>
      <c r="O93" s="40"/>
      <c r="P93" s="40"/>
      <c r="Q93" s="40"/>
      <c r="R93" s="40"/>
      <c r="S93" s="40"/>
      <c r="T93" s="963"/>
      <c r="U93" s="609"/>
      <c r="V93" s="926"/>
      <c r="W93" s="926"/>
      <c r="X93" s="926"/>
      <c r="Y93" s="926"/>
      <c r="Z93" s="926"/>
      <c r="AA93" s="926"/>
      <c r="AB93" s="926"/>
      <c r="AC93" s="926"/>
      <c r="AD93" s="926"/>
      <c r="AE93" s="926"/>
      <c r="AF93" s="926"/>
      <c r="AG93" s="926"/>
      <c r="AH93" s="926"/>
      <c r="AI93" s="926"/>
      <c r="AJ93" s="926"/>
    </row>
    <row r="94" spans="1:36" ht="15" customHeight="1" x14ac:dyDescent="0.3">
      <c r="A94" s="926"/>
      <c r="B94" s="609"/>
      <c r="C94" s="962"/>
      <c r="D94" s="2397" t="s">
        <v>570</v>
      </c>
      <c r="E94" s="2397"/>
      <c r="F94" s="2397"/>
      <c r="G94" s="2397"/>
      <c r="H94" s="2397"/>
      <c r="I94" s="2397"/>
      <c r="J94" s="2397"/>
      <c r="K94" s="2397"/>
      <c r="L94" s="2397"/>
      <c r="M94" s="2397" t="s">
        <v>565</v>
      </c>
      <c r="N94" s="2397"/>
      <c r="O94" s="2397"/>
      <c r="P94" s="2397" t="s">
        <v>38</v>
      </c>
      <c r="Q94" s="2397"/>
      <c r="R94" s="2397" t="s">
        <v>566</v>
      </c>
      <c r="S94" s="2397"/>
      <c r="T94" s="963"/>
      <c r="U94" s="609"/>
      <c r="V94" s="926"/>
      <c r="W94" s="926"/>
      <c r="X94" s="926"/>
      <c r="Y94" s="926"/>
      <c r="Z94" s="926"/>
      <c r="AA94" s="926"/>
      <c r="AB94" s="926"/>
      <c r="AC94" s="926"/>
      <c r="AD94" s="926"/>
      <c r="AE94" s="926"/>
      <c r="AF94" s="926"/>
      <c r="AG94" s="926"/>
      <c r="AH94" s="926"/>
      <c r="AI94" s="926"/>
      <c r="AJ94" s="926"/>
    </row>
    <row r="95" spans="1:36" ht="15" customHeight="1" x14ac:dyDescent="0.3">
      <c r="A95" s="926"/>
      <c r="B95" s="609"/>
      <c r="C95" s="962"/>
      <c r="D95" s="2771" t="str">
        <f>UI.Manure!BM236</f>
        <v>Maximum depth of a dug in storage facility, such as a pond or lagoon or reception pit, that can be built when considering local geography and equipment limitations.</v>
      </c>
      <c r="E95" s="2771"/>
      <c r="F95" s="2771"/>
      <c r="G95" s="2771"/>
      <c r="H95" s="2771"/>
      <c r="I95" s="2771"/>
      <c r="J95" s="2771"/>
      <c r="K95" s="2771"/>
      <c r="L95" s="2771"/>
      <c r="M95" s="2772">
        <f>UI.Manure!BC236</f>
        <v>25</v>
      </c>
      <c r="N95" s="2772"/>
      <c r="O95" s="2772"/>
      <c r="P95" s="2770" t="str">
        <f>UI.Manure!BH236</f>
        <v>ft</v>
      </c>
      <c r="Q95" s="2770"/>
      <c r="R95" s="2770" t="str">
        <f>UI.Manure!BN236</f>
        <v>Yes</v>
      </c>
      <c r="S95" s="2770"/>
      <c r="T95" s="963"/>
      <c r="U95" s="609"/>
      <c r="V95" s="926"/>
      <c r="W95" s="926"/>
      <c r="X95" s="926"/>
      <c r="Y95" s="926"/>
      <c r="Z95" s="926"/>
      <c r="AA95" s="926"/>
      <c r="AB95" s="926"/>
      <c r="AC95" s="926"/>
      <c r="AD95" s="926"/>
      <c r="AE95" s="926"/>
      <c r="AF95" s="926"/>
      <c r="AG95" s="926"/>
      <c r="AH95" s="926"/>
      <c r="AI95" s="926"/>
      <c r="AJ95" s="926"/>
    </row>
    <row r="96" spans="1:36" ht="15" customHeight="1" x14ac:dyDescent="0.3">
      <c r="A96" s="926"/>
      <c r="B96" s="609"/>
      <c r="C96" s="962"/>
      <c r="D96" s="2771"/>
      <c r="E96" s="2771"/>
      <c r="F96" s="2771"/>
      <c r="G96" s="2771"/>
      <c r="H96" s="2771"/>
      <c r="I96" s="2771"/>
      <c r="J96" s="2771"/>
      <c r="K96" s="2771"/>
      <c r="L96" s="2771"/>
      <c r="M96" s="2772"/>
      <c r="N96" s="2772"/>
      <c r="O96" s="2772"/>
      <c r="P96" s="2770"/>
      <c r="Q96" s="2770"/>
      <c r="R96" s="2770"/>
      <c r="S96" s="2770"/>
      <c r="T96" s="963"/>
      <c r="U96" s="609"/>
      <c r="V96" s="926"/>
      <c r="W96" s="926"/>
      <c r="X96" s="926"/>
      <c r="Y96" s="926"/>
      <c r="Z96" s="926"/>
      <c r="AA96" s="926"/>
      <c r="AB96" s="926"/>
      <c r="AC96" s="926"/>
      <c r="AD96" s="926"/>
      <c r="AE96" s="926"/>
      <c r="AF96" s="926"/>
      <c r="AG96" s="926"/>
      <c r="AH96" s="926"/>
      <c r="AI96" s="926"/>
      <c r="AJ96" s="926"/>
    </row>
    <row r="97" spans="1:36" ht="15" customHeight="1" x14ac:dyDescent="0.3">
      <c r="A97" s="926"/>
      <c r="B97" s="609"/>
      <c r="C97" s="962"/>
      <c r="D97" s="2771" t="str">
        <f>UI.Manure!BM237</f>
        <v>Fraction of flush water recycled (RFW)</v>
      </c>
      <c r="E97" s="2771"/>
      <c r="F97" s="2771"/>
      <c r="G97" s="2771"/>
      <c r="H97" s="2771"/>
      <c r="I97" s="2771"/>
      <c r="J97" s="2771"/>
      <c r="K97" s="2771"/>
      <c r="L97" s="2771"/>
      <c r="M97" s="2772">
        <f>UI.Manure!BC237</f>
        <v>1</v>
      </c>
      <c r="N97" s="2772"/>
      <c r="O97" s="2772"/>
      <c r="P97" s="2770" t="str">
        <f>UI.Manure!BH237</f>
        <v>fraction</v>
      </c>
      <c r="Q97" s="2770"/>
      <c r="R97" s="2770" t="str">
        <f>UI.Manure!BN237</f>
        <v>Yes</v>
      </c>
      <c r="S97" s="2770"/>
      <c r="T97" s="963"/>
      <c r="U97" s="609"/>
      <c r="V97" s="926"/>
      <c r="W97" s="926"/>
      <c r="X97" s="926"/>
      <c r="Y97" s="926"/>
      <c r="Z97" s="926"/>
      <c r="AA97" s="926"/>
      <c r="AB97" s="926"/>
      <c r="AC97" s="926"/>
      <c r="AD97" s="926"/>
      <c r="AE97" s="926"/>
      <c r="AF97" s="926"/>
      <c r="AG97" s="926"/>
      <c r="AH97" s="926"/>
      <c r="AI97" s="926"/>
      <c r="AJ97" s="926"/>
    </row>
    <row r="98" spans="1:36" ht="15" customHeight="1" x14ac:dyDescent="0.3">
      <c r="A98" s="926"/>
      <c r="B98" s="609"/>
      <c r="C98" s="962"/>
      <c r="D98" s="2771"/>
      <c r="E98" s="2771"/>
      <c r="F98" s="2771"/>
      <c r="G98" s="2771"/>
      <c r="H98" s="2771"/>
      <c r="I98" s="2771"/>
      <c r="J98" s="2771"/>
      <c r="K98" s="2771"/>
      <c r="L98" s="2771"/>
      <c r="M98" s="2772"/>
      <c r="N98" s="2772"/>
      <c r="O98" s="2772"/>
      <c r="P98" s="2770"/>
      <c r="Q98" s="2770"/>
      <c r="R98" s="2770"/>
      <c r="S98" s="2770"/>
      <c r="T98" s="963"/>
      <c r="U98" s="609"/>
      <c r="V98" s="926"/>
      <c r="W98" s="926"/>
      <c r="X98" s="926"/>
      <c r="Y98" s="926"/>
      <c r="Z98" s="926"/>
      <c r="AA98" s="926"/>
      <c r="AB98" s="926"/>
      <c r="AC98" s="926"/>
      <c r="AD98" s="926"/>
      <c r="AE98" s="926"/>
      <c r="AF98" s="926"/>
      <c r="AG98" s="926"/>
      <c r="AH98" s="926"/>
      <c r="AI98" s="926"/>
      <c r="AJ98" s="926"/>
    </row>
    <row r="99" spans="1:36" ht="15" customHeight="1" x14ac:dyDescent="0.3">
      <c r="A99" s="926"/>
      <c r="B99" s="609"/>
      <c r="C99" s="962"/>
      <c r="D99" s="2771" t="str">
        <f>UI.Manure!BM238</f>
        <v>Total flush system water usage for treated animals</v>
      </c>
      <c r="E99" s="2771"/>
      <c r="F99" s="2771"/>
      <c r="G99" s="2771"/>
      <c r="H99" s="2771"/>
      <c r="I99" s="2771"/>
      <c r="J99" s="2771"/>
      <c r="K99" s="2771"/>
      <c r="L99" s="2771"/>
      <c r="M99" s="2772">
        <f>UI.Manure!BC238</f>
        <v>7499.8444995</v>
      </c>
      <c r="N99" s="2772"/>
      <c r="O99" s="2772"/>
      <c r="P99" s="2770" t="str">
        <f>UI.Manure!BH238</f>
        <v>gal/day</v>
      </c>
      <c r="Q99" s="2770"/>
      <c r="R99" s="2770" t="str">
        <f>UI.Manure!BN238</f>
        <v>Yes</v>
      </c>
      <c r="S99" s="2770"/>
      <c r="T99" s="963"/>
      <c r="U99" s="609"/>
      <c r="V99" s="926"/>
      <c r="W99" s="926"/>
      <c r="X99" s="926"/>
      <c r="Y99" s="926"/>
      <c r="Z99" s="926"/>
      <c r="AA99" s="926"/>
      <c r="AB99" s="926"/>
      <c r="AC99" s="926"/>
      <c r="AD99" s="926"/>
      <c r="AE99" s="926"/>
      <c r="AF99" s="926"/>
      <c r="AG99" s="926"/>
      <c r="AH99" s="926"/>
      <c r="AI99" s="926"/>
      <c r="AJ99" s="926"/>
    </row>
    <row r="100" spans="1:36" ht="15" customHeight="1" x14ac:dyDescent="0.3">
      <c r="A100" s="926"/>
      <c r="B100" s="609"/>
      <c r="C100" s="962"/>
      <c r="D100" s="2771"/>
      <c r="E100" s="2771"/>
      <c r="F100" s="2771"/>
      <c r="G100" s="2771"/>
      <c r="H100" s="2771"/>
      <c r="I100" s="2771"/>
      <c r="J100" s="2771"/>
      <c r="K100" s="2771"/>
      <c r="L100" s="2771"/>
      <c r="M100" s="2772"/>
      <c r="N100" s="2772"/>
      <c r="O100" s="2772"/>
      <c r="P100" s="2770"/>
      <c r="Q100" s="2770"/>
      <c r="R100" s="2770"/>
      <c r="S100" s="2770"/>
      <c r="T100" s="963"/>
      <c r="U100" s="609"/>
      <c r="V100" s="926"/>
      <c r="W100" s="926"/>
      <c r="X100" s="926"/>
      <c r="Y100" s="926"/>
      <c r="Z100" s="926"/>
      <c r="AA100" s="926"/>
      <c r="AB100" s="926"/>
      <c r="AC100" s="926"/>
      <c r="AD100" s="926"/>
      <c r="AE100" s="926"/>
      <c r="AF100" s="926"/>
      <c r="AG100" s="926"/>
      <c r="AH100" s="926"/>
      <c r="AI100" s="926"/>
      <c r="AJ100" s="926"/>
    </row>
    <row r="101" spans="1:36" ht="15" customHeight="1" x14ac:dyDescent="0.3">
      <c r="A101" s="926"/>
      <c r="B101" s="609"/>
      <c r="C101" s="962"/>
      <c r="D101" s="2771" t="str">
        <f>UI.Manure!BM239</f>
        <v>Total scraping system water usage for treated animals</v>
      </c>
      <c r="E101" s="2771"/>
      <c r="F101" s="2771"/>
      <c r="G101" s="2771"/>
      <c r="H101" s="2771"/>
      <c r="I101" s="2771"/>
      <c r="J101" s="2771"/>
      <c r="K101" s="2771"/>
      <c r="L101" s="2771"/>
      <c r="M101" s="2772">
        <f>UI.Manure!BC239</f>
        <v>0</v>
      </c>
      <c r="N101" s="2772"/>
      <c r="O101" s="2772"/>
      <c r="P101" s="2770" t="str">
        <f>UI.Manure!BH239</f>
        <v>gal/day</v>
      </c>
      <c r="Q101" s="2770"/>
      <c r="R101" s="2770" t="str">
        <f>UI.Manure!BN239</f>
        <v>Yes</v>
      </c>
      <c r="S101" s="2770"/>
      <c r="T101" s="963"/>
      <c r="U101" s="609"/>
      <c r="V101" s="926"/>
      <c r="W101" s="926"/>
      <c r="X101" s="926"/>
      <c r="Y101" s="926"/>
      <c r="Z101" s="926"/>
      <c r="AA101" s="926"/>
      <c r="AB101" s="926"/>
      <c r="AC101" s="926"/>
      <c r="AD101" s="926"/>
      <c r="AE101" s="926"/>
      <c r="AF101" s="926"/>
      <c r="AG101" s="926"/>
      <c r="AH101" s="926"/>
      <c r="AI101" s="926"/>
      <c r="AJ101" s="926"/>
    </row>
    <row r="102" spans="1:36" ht="15" customHeight="1" x14ac:dyDescent="0.3">
      <c r="A102" s="926"/>
      <c r="B102" s="609"/>
      <c r="C102" s="962"/>
      <c r="D102" s="2771"/>
      <c r="E102" s="2771"/>
      <c r="F102" s="2771"/>
      <c r="G102" s="2771"/>
      <c r="H102" s="2771"/>
      <c r="I102" s="2771"/>
      <c r="J102" s="2771"/>
      <c r="K102" s="2771"/>
      <c r="L102" s="2771"/>
      <c r="M102" s="2772"/>
      <c r="N102" s="2772"/>
      <c r="O102" s="2772"/>
      <c r="P102" s="2770"/>
      <c r="Q102" s="2770"/>
      <c r="R102" s="2770"/>
      <c r="S102" s="2770"/>
      <c r="T102" s="963"/>
      <c r="U102" s="609"/>
      <c r="V102" s="926"/>
      <c r="W102" s="926"/>
      <c r="X102" s="926"/>
      <c r="Y102" s="926"/>
      <c r="Z102" s="926"/>
      <c r="AA102" s="926"/>
      <c r="AB102" s="926"/>
      <c r="AC102" s="926"/>
      <c r="AD102" s="926"/>
      <c r="AE102" s="926"/>
      <c r="AF102" s="926"/>
      <c r="AG102" s="926"/>
      <c r="AH102" s="926"/>
      <c r="AI102" s="926"/>
      <c r="AJ102" s="926"/>
    </row>
    <row r="103" spans="1:36" ht="15" customHeight="1" x14ac:dyDescent="0.3">
      <c r="A103" s="926"/>
      <c r="B103" s="609"/>
      <c r="C103" s="962"/>
      <c r="D103" s="2771" t="str">
        <f>UI.Manure!BM240</f>
        <v>Total pullplug water usage for all treated animal types</v>
      </c>
      <c r="E103" s="2771"/>
      <c r="F103" s="2771"/>
      <c r="G103" s="2771"/>
      <c r="H103" s="2771"/>
      <c r="I103" s="2771"/>
      <c r="J103" s="2771"/>
      <c r="K103" s="2771"/>
      <c r="L103" s="2771"/>
      <c r="M103" s="2772">
        <f>UI.Manure!BC240</f>
        <v>4279.5872099999997</v>
      </c>
      <c r="N103" s="2772"/>
      <c r="O103" s="2772"/>
      <c r="P103" s="2770" t="str">
        <f>UI.Manure!BH240</f>
        <v>gal/event</v>
      </c>
      <c r="Q103" s="2770"/>
      <c r="R103" s="2770" t="str">
        <f>UI.Manure!BN240</f>
        <v>Yes</v>
      </c>
      <c r="S103" s="2770"/>
      <c r="T103" s="963"/>
      <c r="U103" s="609"/>
      <c r="V103" s="926"/>
      <c r="W103" s="926"/>
      <c r="X103" s="926"/>
      <c r="Y103" s="926"/>
      <c r="Z103" s="926"/>
      <c r="AA103" s="926"/>
      <c r="AB103" s="926"/>
      <c r="AC103" s="926"/>
      <c r="AD103" s="926"/>
      <c r="AE103" s="926"/>
      <c r="AF103" s="926"/>
      <c r="AG103" s="926"/>
      <c r="AH103" s="926"/>
      <c r="AI103" s="926"/>
      <c r="AJ103" s="926"/>
    </row>
    <row r="104" spans="1:36" ht="15" customHeight="1" x14ac:dyDescent="0.3">
      <c r="A104" s="926"/>
      <c r="B104" s="609"/>
      <c r="C104" s="962"/>
      <c r="D104" s="2771"/>
      <c r="E104" s="2771"/>
      <c r="F104" s="2771"/>
      <c r="G104" s="2771"/>
      <c r="H104" s="2771"/>
      <c r="I104" s="2771"/>
      <c r="J104" s="2771"/>
      <c r="K104" s="2771"/>
      <c r="L104" s="2771"/>
      <c r="M104" s="2772"/>
      <c r="N104" s="2772"/>
      <c r="O104" s="2772"/>
      <c r="P104" s="2770"/>
      <c r="Q104" s="2770"/>
      <c r="R104" s="2770"/>
      <c r="S104" s="2770"/>
      <c r="T104" s="963"/>
      <c r="U104" s="609"/>
      <c r="V104" s="926"/>
      <c r="W104" s="926"/>
      <c r="X104" s="926"/>
      <c r="Y104" s="926"/>
      <c r="Z104" s="926"/>
      <c r="AA104" s="926"/>
      <c r="AB104" s="926"/>
      <c r="AC104" s="926"/>
      <c r="AD104" s="926"/>
      <c r="AE104" s="926"/>
      <c r="AF104" s="926"/>
      <c r="AG104" s="926"/>
      <c r="AH104" s="926"/>
      <c r="AI104" s="926"/>
      <c r="AJ104" s="926"/>
    </row>
    <row r="105" spans="1:36" ht="15" customHeight="1" x14ac:dyDescent="0.3">
      <c r="A105" s="926"/>
      <c r="B105" s="609"/>
      <c r="C105" s="962"/>
      <c r="D105" s="2771" t="str">
        <f>UI.Manure!BM241</f>
        <v>Total deep pit water usage for all treated animal types</v>
      </c>
      <c r="E105" s="2771"/>
      <c r="F105" s="2771"/>
      <c r="G105" s="2771"/>
      <c r="H105" s="2771"/>
      <c r="I105" s="2771"/>
      <c r="J105" s="2771"/>
      <c r="K105" s="2771"/>
      <c r="L105" s="2771"/>
      <c r="M105" s="2772">
        <f>UI.Manure!BC241</f>
        <v>0</v>
      </c>
      <c r="N105" s="2772"/>
      <c r="O105" s="2772"/>
      <c r="P105" s="2770" t="str">
        <f>UI.Manure!BH241</f>
        <v>gal/day</v>
      </c>
      <c r="Q105" s="2770"/>
      <c r="R105" s="2770" t="str">
        <f>UI.Manure!BN241</f>
        <v>Yes</v>
      </c>
      <c r="S105" s="2770"/>
      <c r="T105" s="963"/>
      <c r="U105" s="609"/>
      <c r="V105" s="926"/>
      <c r="W105" s="926"/>
      <c r="X105" s="926"/>
      <c r="Y105" s="926"/>
      <c r="Z105" s="926"/>
      <c r="AA105" s="926"/>
      <c r="AB105" s="926"/>
      <c r="AC105" s="926"/>
      <c r="AD105" s="926"/>
      <c r="AE105" s="926"/>
      <c r="AF105" s="926"/>
      <c r="AG105" s="926"/>
      <c r="AH105" s="926"/>
      <c r="AI105" s="926"/>
      <c r="AJ105" s="926"/>
    </row>
    <row r="106" spans="1:36" ht="15" customHeight="1" x14ac:dyDescent="0.3">
      <c r="A106" s="926"/>
      <c r="B106" s="609"/>
      <c r="C106" s="962"/>
      <c r="D106" s="2771"/>
      <c r="E106" s="2771"/>
      <c r="F106" s="2771"/>
      <c r="G106" s="2771"/>
      <c r="H106" s="2771"/>
      <c r="I106" s="2771"/>
      <c r="J106" s="2771"/>
      <c r="K106" s="2771"/>
      <c r="L106" s="2771"/>
      <c r="M106" s="2772"/>
      <c r="N106" s="2772"/>
      <c r="O106" s="2772"/>
      <c r="P106" s="2770"/>
      <c r="Q106" s="2770"/>
      <c r="R106" s="2770"/>
      <c r="S106" s="2770"/>
      <c r="T106" s="963"/>
      <c r="U106" s="609"/>
      <c r="V106" s="926"/>
      <c r="W106" s="926"/>
      <c r="X106" s="926"/>
      <c r="Y106" s="926"/>
      <c r="Z106" s="926"/>
      <c r="AA106" s="926"/>
      <c r="AB106" s="926"/>
      <c r="AC106" s="926"/>
      <c r="AD106" s="926"/>
      <c r="AE106" s="926"/>
      <c r="AF106" s="926"/>
      <c r="AG106" s="926"/>
      <c r="AH106" s="926"/>
      <c r="AI106" s="926"/>
      <c r="AJ106" s="926"/>
    </row>
    <row r="107" spans="1:36" ht="15" customHeight="1" x14ac:dyDescent="0.3">
      <c r="A107" s="926"/>
      <c r="B107" s="609"/>
      <c r="C107" s="962"/>
      <c r="D107" s="2771" t="str">
        <f>UI.Manure!BM242</f>
        <v>Total manure produced by nursery swine</v>
      </c>
      <c r="E107" s="2771"/>
      <c r="F107" s="2771"/>
      <c r="G107" s="2771"/>
      <c r="H107" s="2771"/>
      <c r="I107" s="2771"/>
      <c r="J107" s="2771"/>
      <c r="K107" s="2771"/>
      <c r="L107" s="2771"/>
      <c r="M107" s="2772">
        <f>UI.Manure!BC242</f>
        <v>3.0031369329639999</v>
      </c>
      <c r="N107" s="2772"/>
      <c r="O107" s="2772"/>
      <c r="P107" s="2770" t="str">
        <f>UI.Manure!BH242</f>
        <v>lb/head/day</v>
      </c>
      <c r="Q107" s="2770"/>
      <c r="R107" s="2770" t="str">
        <f>UI.Manure!BN242</f>
        <v>Yes</v>
      </c>
      <c r="S107" s="2770"/>
      <c r="T107" s="963"/>
      <c r="U107" s="609"/>
      <c r="V107" s="926"/>
      <c r="W107" s="926"/>
      <c r="X107" s="926"/>
      <c r="Y107" s="926"/>
      <c r="Z107" s="926"/>
      <c r="AA107" s="926"/>
      <c r="AB107" s="926"/>
      <c r="AC107" s="926"/>
      <c r="AD107" s="926"/>
      <c r="AE107" s="926"/>
      <c r="AF107" s="926"/>
      <c r="AG107" s="926"/>
      <c r="AH107" s="926"/>
      <c r="AI107" s="926"/>
      <c r="AJ107" s="926"/>
    </row>
    <row r="108" spans="1:36" ht="15" customHeight="1" x14ac:dyDescent="0.3">
      <c r="A108" s="926"/>
      <c r="B108" s="609"/>
      <c r="C108" s="962"/>
      <c r="D108" s="2771"/>
      <c r="E108" s="2771"/>
      <c r="F108" s="2771"/>
      <c r="G108" s="2771"/>
      <c r="H108" s="2771"/>
      <c r="I108" s="2771"/>
      <c r="J108" s="2771"/>
      <c r="K108" s="2771"/>
      <c r="L108" s="2771"/>
      <c r="M108" s="2772"/>
      <c r="N108" s="2772"/>
      <c r="O108" s="2772"/>
      <c r="P108" s="2770"/>
      <c r="Q108" s="2770"/>
      <c r="R108" s="2770"/>
      <c r="S108" s="2770"/>
      <c r="T108" s="963"/>
      <c r="U108" s="609"/>
      <c r="V108" s="926"/>
      <c r="W108" s="926"/>
      <c r="X108" s="926"/>
      <c r="Y108" s="926"/>
      <c r="Z108" s="926"/>
      <c r="AA108" s="926"/>
      <c r="AB108" s="926"/>
      <c r="AC108" s="926"/>
      <c r="AD108" s="926"/>
      <c r="AE108" s="926"/>
      <c r="AF108" s="926"/>
      <c r="AG108" s="926"/>
      <c r="AH108" s="926"/>
      <c r="AI108" s="926"/>
      <c r="AJ108" s="926"/>
    </row>
    <row r="109" spans="1:36" ht="15" customHeight="1" x14ac:dyDescent="0.3">
      <c r="A109" s="926"/>
      <c r="B109" s="609"/>
      <c r="C109" s="962"/>
      <c r="D109" s="2771" t="str">
        <f>UI.Manure!BM243</f>
        <v>TS in nursery manure</v>
      </c>
      <c r="E109" s="2771"/>
      <c r="F109" s="2771"/>
      <c r="G109" s="2771"/>
      <c r="H109" s="2771"/>
      <c r="I109" s="2771"/>
      <c r="J109" s="2771"/>
      <c r="K109" s="2771"/>
      <c r="L109" s="2771"/>
      <c r="M109" s="2772">
        <f>UI.Manure!BC243</f>
        <v>0.32738645906999997</v>
      </c>
      <c r="N109" s="2772"/>
      <c r="O109" s="2772"/>
      <c r="P109" s="2770" t="str">
        <f>$P$107</f>
        <v>lb/head/day</v>
      </c>
      <c r="Q109" s="2770"/>
      <c r="R109" s="2770" t="str">
        <f>UI.Manure!BN243</f>
        <v>Yes</v>
      </c>
      <c r="S109" s="2770"/>
      <c r="T109" s="963"/>
      <c r="U109" s="609"/>
      <c r="V109" s="926"/>
      <c r="W109" s="926"/>
      <c r="X109" s="926"/>
      <c r="Y109" s="926"/>
      <c r="Z109" s="926"/>
      <c r="AA109" s="926"/>
      <c r="AB109" s="926"/>
      <c r="AC109" s="926"/>
      <c r="AD109" s="926"/>
      <c r="AE109" s="926"/>
      <c r="AF109" s="926"/>
      <c r="AG109" s="926"/>
      <c r="AH109" s="926"/>
      <c r="AI109" s="926"/>
      <c r="AJ109" s="926"/>
    </row>
    <row r="110" spans="1:36" ht="15" customHeight="1" x14ac:dyDescent="0.3">
      <c r="A110" s="926"/>
      <c r="B110" s="609"/>
      <c r="C110" s="962"/>
      <c r="D110" s="2771"/>
      <c r="E110" s="2771"/>
      <c r="F110" s="2771"/>
      <c r="G110" s="2771"/>
      <c r="H110" s="2771"/>
      <c r="I110" s="2771"/>
      <c r="J110" s="2771"/>
      <c r="K110" s="2771"/>
      <c r="L110" s="2771"/>
      <c r="M110" s="2772"/>
      <c r="N110" s="2772"/>
      <c r="O110" s="2772"/>
      <c r="P110" s="2770"/>
      <c r="Q110" s="2770"/>
      <c r="R110" s="2770"/>
      <c r="S110" s="2770"/>
      <c r="T110" s="963"/>
      <c r="U110" s="609"/>
      <c r="V110" s="926"/>
      <c r="W110" s="926"/>
      <c r="X110" s="926"/>
      <c r="Y110" s="926"/>
      <c r="Z110" s="926"/>
      <c r="AA110" s="926"/>
      <c r="AB110" s="926"/>
      <c r="AC110" s="926"/>
      <c r="AD110" s="926"/>
      <c r="AE110" s="926"/>
      <c r="AF110" s="926"/>
      <c r="AG110" s="926"/>
      <c r="AH110" s="926"/>
      <c r="AI110" s="926"/>
      <c r="AJ110" s="926"/>
    </row>
    <row r="111" spans="1:36" ht="15" customHeight="1" x14ac:dyDescent="0.3">
      <c r="A111" s="926"/>
      <c r="B111" s="609"/>
      <c r="C111" s="962"/>
      <c r="D111" s="2771" t="str">
        <f>UI.Manure!BM244</f>
        <v>VS in nursery manure</v>
      </c>
      <c r="E111" s="2771"/>
      <c r="F111" s="2771"/>
      <c r="G111" s="2771"/>
      <c r="H111" s="2771"/>
      <c r="I111" s="2771"/>
      <c r="J111" s="2771"/>
      <c r="K111" s="2771"/>
      <c r="L111" s="2771"/>
      <c r="M111" s="2772">
        <f>UI.Manure!BC244</f>
        <v>0.26786164832999998</v>
      </c>
      <c r="N111" s="2772"/>
      <c r="O111" s="2772"/>
      <c r="P111" s="2770" t="str">
        <f>$P$107</f>
        <v>lb/head/day</v>
      </c>
      <c r="Q111" s="2770"/>
      <c r="R111" s="2770" t="str">
        <f>UI.Manure!BN244</f>
        <v>Yes</v>
      </c>
      <c r="S111" s="2770"/>
      <c r="T111" s="963"/>
      <c r="U111" s="609"/>
      <c r="V111" s="926"/>
      <c r="W111" s="926"/>
      <c r="X111" s="926"/>
      <c r="Y111" s="926"/>
      <c r="Z111" s="926"/>
      <c r="AA111" s="926"/>
      <c r="AB111" s="926"/>
      <c r="AC111" s="926"/>
      <c r="AD111" s="926"/>
      <c r="AE111" s="926"/>
      <c r="AF111" s="926"/>
      <c r="AG111" s="926"/>
      <c r="AH111" s="926"/>
      <c r="AI111" s="926"/>
      <c r="AJ111" s="926"/>
    </row>
    <row r="112" spans="1:36" ht="15" customHeight="1" x14ac:dyDescent="0.3">
      <c r="A112" s="926"/>
      <c r="B112" s="609"/>
      <c r="C112" s="962"/>
      <c r="D112" s="2771"/>
      <c r="E112" s="2771"/>
      <c r="F112" s="2771"/>
      <c r="G112" s="2771"/>
      <c r="H112" s="2771"/>
      <c r="I112" s="2771"/>
      <c r="J112" s="2771"/>
      <c r="K112" s="2771"/>
      <c r="L112" s="2771"/>
      <c r="M112" s="2772"/>
      <c r="N112" s="2772"/>
      <c r="O112" s="2772"/>
      <c r="P112" s="2770"/>
      <c r="Q112" s="2770"/>
      <c r="R112" s="2770"/>
      <c r="S112" s="2770"/>
      <c r="T112" s="963"/>
      <c r="U112" s="609"/>
      <c r="V112" s="926"/>
      <c r="W112" s="926"/>
      <c r="X112" s="926"/>
      <c r="Y112" s="926"/>
      <c r="Z112" s="926"/>
      <c r="AA112" s="926"/>
      <c r="AB112" s="926"/>
      <c r="AC112" s="926"/>
      <c r="AD112" s="926"/>
      <c r="AE112" s="926"/>
      <c r="AF112" s="926"/>
      <c r="AG112" s="926"/>
      <c r="AH112" s="926"/>
      <c r="AI112" s="926"/>
      <c r="AJ112" s="926"/>
    </row>
    <row r="113" spans="1:36" ht="15" customHeight="1" x14ac:dyDescent="0.3">
      <c r="A113" s="926"/>
      <c r="B113" s="609"/>
      <c r="C113" s="962"/>
      <c r="D113" s="2771" t="str">
        <f>UI.Manure!BM245</f>
        <v>Nitrogen in nursery manure</v>
      </c>
      <c r="E113" s="2771"/>
      <c r="F113" s="2771"/>
      <c r="G113" s="2771"/>
      <c r="H113" s="2771"/>
      <c r="I113" s="2771"/>
      <c r="J113" s="2771"/>
      <c r="K113" s="2771"/>
      <c r="L113" s="2771"/>
      <c r="M113" s="2772">
        <f>UI.Manure!BC245</f>
        <v>0.30291514798800001</v>
      </c>
      <c r="N113" s="2772"/>
      <c r="O113" s="2772"/>
      <c r="P113" s="2770" t="str">
        <f>$P$107</f>
        <v>lb/head/day</v>
      </c>
      <c r="Q113" s="2770"/>
      <c r="R113" s="2770" t="str">
        <f>UI.Manure!BN245</f>
        <v>Yes</v>
      </c>
      <c r="S113" s="2770"/>
      <c r="T113" s="963"/>
      <c r="U113" s="609"/>
      <c r="V113" s="926"/>
      <c r="W113" s="926"/>
      <c r="X113" s="926"/>
      <c r="Y113" s="926"/>
      <c r="Z113" s="926"/>
      <c r="AA113" s="926"/>
      <c r="AB113" s="926"/>
      <c r="AC113" s="926"/>
      <c r="AD113" s="926"/>
      <c r="AE113" s="926"/>
      <c r="AF113" s="926"/>
      <c r="AG113" s="926"/>
      <c r="AH113" s="926"/>
      <c r="AI113" s="926"/>
      <c r="AJ113" s="926"/>
    </row>
    <row r="114" spans="1:36" ht="15" customHeight="1" x14ac:dyDescent="0.3">
      <c r="A114" s="926"/>
      <c r="B114" s="609"/>
      <c r="C114" s="962"/>
      <c r="D114" s="2771"/>
      <c r="E114" s="2771"/>
      <c r="F114" s="2771"/>
      <c r="G114" s="2771"/>
      <c r="H114" s="2771"/>
      <c r="I114" s="2771"/>
      <c r="J114" s="2771"/>
      <c r="K114" s="2771"/>
      <c r="L114" s="2771"/>
      <c r="M114" s="2772"/>
      <c r="N114" s="2772"/>
      <c r="O114" s="2772"/>
      <c r="P114" s="2770"/>
      <c r="Q114" s="2770"/>
      <c r="R114" s="2770"/>
      <c r="S114" s="2770"/>
      <c r="T114" s="963"/>
      <c r="U114" s="609"/>
      <c r="V114" s="926"/>
      <c r="W114" s="926"/>
      <c r="X114" s="926"/>
      <c r="Y114" s="926"/>
      <c r="Z114" s="926"/>
      <c r="AA114" s="926"/>
      <c r="AB114" s="926"/>
      <c r="AC114" s="926"/>
      <c r="AD114" s="926"/>
      <c r="AE114" s="926"/>
      <c r="AF114" s="926"/>
      <c r="AG114" s="926"/>
      <c r="AH114" s="926"/>
      <c r="AI114" s="926"/>
      <c r="AJ114" s="926"/>
    </row>
    <row r="115" spans="1:36" ht="15" customHeight="1" x14ac:dyDescent="0.3">
      <c r="A115" s="926"/>
      <c r="B115" s="609"/>
      <c r="C115" s="962"/>
      <c r="D115" s="2771" t="str">
        <f>UI.Manure!BM246</f>
        <v>P2O5 in nursery manure</v>
      </c>
      <c r="E115" s="2771"/>
      <c r="F115" s="2771"/>
      <c r="G115" s="2771"/>
      <c r="H115" s="2771"/>
      <c r="I115" s="2771"/>
      <c r="J115" s="2771"/>
      <c r="K115" s="2771"/>
      <c r="L115" s="2771"/>
      <c r="M115" s="2772">
        <f>UI.Manure!BC246</f>
        <v>9.9208017899999543E-3</v>
      </c>
      <c r="N115" s="2772"/>
      <c r="O115" s="2772"/>
      <c r="P115" s="2770" t="str">
        <f>$P$107</f>
        <v>lb/head/day</v>
      </c>
      <c r="Q115" s="2770"/>
      <c r="R115" s="2770" t="str">
        <f>UI.Manure!BN246</f>
        <v>Yes</v>
      </c>
      <c r="S115" s="2770"/>
      <c r="T115" s="963"/>
      <c r="U115" s="609"/>
      <c r="V115" s="926"/>
      <c r="W115" s="926"/>
      <c r="X115" s="926"/>
      <c r="Y115" s="926"/>
      <c r="Z115" s="926"/>
      <c r="AA115" s="926"/>
      <c r="AB115" s="926"/>
      <c r="AC115" s="926"/>
      <c r="AD115" s="926"/>
      <c r="AE115" s="926"/>
      <c r="AF115" s="926"/>
      <c r="AG115" s="926"/>
      <c r="AH115" s="926"/>
      <c r="AI115" s="926"/>
      <c r="AJ115" s="926"/>
    </row>
    <row r="116" spans="1:36" ht="15" customHeight="1" x14ac:dyDescent="0.3">
      <c r="A116" s="926"/>
      <c r="B116" s="609"/>
      <c r="C116" s="962"/>
      <c r="D116" s="2771"/>
      <c r="E116" s="2771"/>
      <c r="F116" s="2771"/>
      <c r="G116" s="2771"/>
      <c r="H116" s="2771"/>
      <c r="I116" s="2771"/>
      <c r="J116" s="2771"/>
      <c r="K116" s="2771"/>
      <c r="L116" s="2771"/>
      <c r="M116" s="2772"/>
      <c r="N116" s="2772"/>
      <c r="O116" s="2772"/>
      <c r="P116" s="2770"/>
      <c r="Q116" s="2770"/>
      <c r="R116" s="2770"/>
      <c r="S116" s="2770"/>
      <c r="T116" s="963"/>
      <c r="U116" s="609"/>
      <c r="V116" s="926"/>
      <c r="W116" s="926"/>
      <c r="X116" s="926"/>
      <c r="Y116" s="926"/>
      <c r="Z116" s="926"/>
      <c r="AA116" s="926"/>
      <c r="AB116" s="926"/>
      <c r="AC116" s="926"/>
      <c r="AD116" s="926"/>
      <c r="AE116" s="926"/>
      <c r="AF116" s="926"/>
      <c r="AG116" s="926"/>
      <c r="AH116" s="926"/>
      <c r="AI116" s="926"/>
      <c r="AJ116" s="926"/>
    </row>
    <row r="117" spans="1:36" ht="15" customHeight="1" x14ac:dyDescent="0.3">
      <c r="A117" s="926"/>
      <c r="B117" s="609"/>
      <c r="C117" s="962"/>
      <c r="D117" s="2771" t="str">
        <f>UI.Manure!BM247</f>
        <v>K2O in nursery manure</v>
      </c>
      <c r="E117" s="2771"/>
      <c r="F117" s="2771"/>
      <c r="G117" s="2771"/>
      <c r="H117" s="2771"/>
      <c r="I117" s="2771"/>
      <c r="J117" s="2771"/>
      <c r="K117" s="2771"/>
      <c r="L117" s="2771"/>
      <c r="M117" s="2772">
        <f>UI.Manure!BC247</f>
        <v>1.9841603579999992E-2</v>
      </c>
      <c r="N117" s="2772"/>
      <c r="O117" s="2772"/>
      <c r="P117" s="2770" t="str">
        <f>$P$107</f>
        <v>lb/head/day</v>
      </c>
      <c r="Q117" s="2770"/>
      <c r="R117" s="2770" t="str">
        <f>UI.Manure!BN247</f>
        <v>Yes</v>
      </c>
      <c r="S117" s="2770"/>
      <c r="T117" s="963"/>
      <c r="U117" s="609"/>
      <c r="V117" s="926"/>
      <c r="W117" s="926"/>
      <c r="X117" s="926"/>
      <c r="Y117" s="926"/>
      <c r="Z117" s="926"/>
      <c r="AA117" s="926"/>
      <c r="AB117" s="926"/>
      <c r="AC117" s="926"/>
      <c r="AD117" s="926"/>
      <c r="AE117" s="926"/>
      <c r="AF117" s="926"/>
      <c r="AG117" s="926"/>
      <c r="AH117" s="926"/>
      <c r="AI117" s="926"/>
      <c r="AJ117" s="926"/>
    </row>
    <row r="118" spans="1:36" ht="15" customHeight="1" x14ac:dyDescent="0.3">
      <c r="A118" s="926"/>
      <c r="B118" s="609"/>
      <c r="C118" s="962"/>
      <c r="D118" s="2771"/>
      <c r="E118" s="2771"/>
      <c r="F118" s="2771"/>
      <c r="G118" s="2771"/>
      <c r="H118" s="2771"/>
      <c r="I118" s="2771"/>
      <c r="J118" s="2771"/>
      <c r="K118" s="2771"/>
      <c r="L118" s="2771"/>
      <c r="M118" s="2772"/>
      <c r="N118" s="2772"/>
      <c r="O118" s="2772"/>
      <c r="P118" s="2770"/>
      <c r="Q118" s="2770"/>
      <c r="R118" s="2770"/>
      <c r="S118" s="2770"/>
      <c r="T118" s="963"/>
      <c r="U118" s="609"/>
      <c r="V118" s="926"/>
      <c r="W118" s="926"/>
      <c r="X118" s="926"/>
      <c r="Y118" s="926"/>
      <c r="Z118" s="926"/>
      <c r="AA118" s="926"/>
      <c r="AB118" s="926"/>
      <c r="AC118" s="926"/>
      <c r="AD118" s="926"/>
      <c r="AE118" s="926"/>
      <c r="AF118" s="926"/>
      <c r="AG118" s="926"/>
      <c r="AH118" s="926"/>
      <c r="AI118" s="926"/>
      <c r="AJ118" s="926"/>
    </row>
    <row r="119" spans="1:36" ht="15" customHeight="1" x14ac:dyDescent="0.3">
      <c r="A119" s="926"/>
      <c r="B119" s="609"/>
      <c r="C119" s="962"/>
      <c r="D119" s="2771" t="str">
        <f>UI.Manure!BM254</f>
        <v>Total manure produced by grow to finish swine</v>
      </c>
      <c r="E119" s="2771"/>
      <c r="F119" s="2771"/>
      <c r="G119" s="2771"/>
      <c r="H119" s="2771"/>
      <c r="I119" s="2771"/>
      <c r="J119" s="2771"/>
      <c r="K119" s="2771"/>
      <c r="L119" s="2771"/>
      <c r="M119" s="2772">
        <f>UI.Manure!BC254</f>
        <v>13.803583148343998</v>
      </c>
      <c r="N119" s="2772"/>
      <c r="O119" s="2772"/>
      <c r="P119" s="2770" t="str">
        <f>$P$107</f>
        <v>lb/head/day</v>
      </c>
      <c r="Q119" s="2770"/>
      <c r="R119" s="2770" t="str">
        <f>UI.Manure!BN254</f>
        <v>Yes</v>
      </c>
      <c r="S119" s="2770"/>
      <c r="T119" s="963"/>
      <c r="U119" s="609"/>
      <c r="V119" s="926"/>
      <c r="W119" s="926"/>
      <c r="X119" s="926"/>
      <c r="Y119" s="926"/>
      <c r="Z119" s="926"/>
      <c r="AA119" s="926"/>
      <c r="AB119" s="926"/>
      <c r="AC119" s="926"/>
      <c r="AD119" s="926"/>
      <c r="AE119" s="926"/>
      <c r="AF119" s="926"/>
      <c r="AG119" s="926"/>
      <c r="AH119" s="926"/>
      <c r="AI119" s="926"/>
      <c r="AJ119" s="926"/>
    </row>
    <row r="120" spans="1:36" ht="15" customHeight="1" x14ac:dyDescent="0.3">
      <c r="A120" s="926"/>
      <c r="B120" s="609"/>
      <c r="C120" s="962"/>
      <c r="D120" s="2771"/>
      <c r="E120" s="2771"/>
      <c r="F120" s="2771"/>
      <c r="G120" s="2771"/>
      <c r="H120" s="2771"/>
      <c r="I120" s="2771"/>
      <c r="J120" s="2771"/>
      <c r="K120" s="2771"/>
      <c r="L120" s="2771"/>
      <c r="M120" s="2772"/>
      <c r="N120" s="2772"/>
      <c r="O120" s="2772"/>
      <c r="P120" s="2770"/>
      <c r="Q120" s="2770"/>
      <c r="R120" s="2770"/>
      <c r="S120" s="2770"/>
      <c r="T120" s="963"/>
      <c r="U120" s="609"/>
      <c r="V120" s="926"/>
      <c r="W120" s="926"/>
      <c r="X120" s="926"/>
      <c r="Y120" s="926"/>
      <c r="Z120" s="926"/>
      <c r="AA120" s="926"/>
      <c r="AB120" s="926"/>
      <c r="AC120" s="926"/>
      <c r="AD120" s="926"/>
      <c r="AE120" s="926"/>
      <c r="AF120" s="926"/>
      <c r="AG120" s="926"/>
      <c r="AH120" s="926"/>
      <c r="AI120" s="926"/>
      <c r="AJ120" s="926"/>
    </row>
    <row r="121" spans="1:36" ht="15" customHeight="1" x14ac:dyDescent="0.3">
      <c r="A121" s="926"/>
      <c r="B121" s="609"/>
      <c r="C121" s="962"/>
      <c r="D121" s="2771" t="str">
        <f>UI.Manure!BM255</f>
        <v>TS in grow to finish manure</v>
      </c>
      <c r="E121" s="2771"/>
      <c r="F121" s="2771"/>
      <c r="G121" s="2771"/>
      <c r="H121" s="2771"/>
      <c r="I121" s="2771"/>
      <c r="J121" s="2771"/>
      <c r="K121" s="2771"/>
      <c r="L121" s="2771"/>
      <c r="M121" s="2772">
        <f>UI.Manure!BC255</f>
        <v>1.4918681269539997</v>
      </c>
      <c r="N121" s="2772"/>
      <c r="O121" s="2772"/>
      <c r="P121" s="2770" t="str">
        <f>$P$107</f>
        <v>lb/head/day</v>
      </c>
      <c r="Q121" s="2770"/>
      <c r="R121" s="2770" t="str">
        <f>UI.Manure!BN255</f>
        <v>Yes</v>
      </c>
      <c r="S121" s="2770"/>
      <c r="T121" s="963"/>
      <c r="U121" s="609"/>
      <c r="V121" s="926"/>
      <c r="W121" s="926"/>
      <c r="X121" s="926"/>
      <c r="Y121" s="926"/>
      <c r="Z121" s="926"/>
      <c r="AA121" s="926"/>
      <c r="AB121" s="926"/>
      <c r="AC121" s="926"/>
      <c r="AD121" s="926"/>
      <c r="AE121" s="926"/>
      <c r="AF121" s="926"/>
      <c r="AG121" s="926"/>
      <c r="AH121" s="926"/>
      <c r="AI121" s="926"/>
      <c r="AJ121" s="926"/>
    </row>
    <row r="122" spans="1:36" ht="15" customHeight="1" x14ac:dyDescent="0.3">
      <c r="A122" s="926"/>
      <c r="B122" s="609"/>
      <c r="C122" s="962"/>
      <c r="D122" s="2771"/>
      <c r="E122" s="2771"/>
      <c r="F122" s="2771"/>
      <c r="G122" s="2771"/>
      <c r="H122" s="2771"/>
      <c r="I122" s="2771"/>
      <c r="J122" s="2771"/>
      <c r="K122" s="2771"/>
      <c r="L122" s="2771"/>
      <c r="M122" s="2772"/>
      <c r="N122" s="2772"/>
      <c r="O122" s="2772"/>
      <c r="P122" s="2770"/>
      <c r="Q122" s="2770"/>
      <c r="R122" s="2770"/>
      <c r="S122" s="2770"/>
      <c r="T122" s="963"/>
      <c r="U122" s="609"/>
      <c r="V122" s="926"/>
      <c r="W122" s="926"/>
      <c r="X122" s="926"/>
      <c r="Y122" s="926"/>
      <c r="Z122" s="926"/>
      <c r="AA122" s="926"/>
      <c r="AB122" s="926"/>
      <c r="AC122" s="926"/>
      <c r="AD122" s="926"/>
      <c r="AE122" s="926"/>
      <c r="AF122" s="926"/>
      <c r="AG122" s="926"/>
      <c r="AH122" s="926"/>
      <c r="AI122" s="926"/>
      <c r="AJ122" s="926"/>
    </row>
    <row r="123" spans="1:36" ht="15" customHeight="1" x14ac:dyDescent="0.3">
      <c r="A123" s="926"/>
      <c r="B123" s="609"/>
      <c r="C123" s="962"/>
      <c r="D123" s="2771" t="str">
        <f>UI.Manure!BM256</f>
        <v>VS in grow to finish manure</v>
      </c>
      <c r="E123" s="2771"/>
      <c r="F123" s="2771"/>
      <c r="G123" s="2771"/>
      <c r="H123" s="2771"/>
      <c r="I123" s="2771"/>
      <c r="J123" s="2771"/>
      <c r="K123" s="2771"/>
      <c r="L123" s="2771"/>
      <c r="M123" s="2772">
        <f>UI.Manure!BC256</f>
        <v>1.2348091294620001</v>
      </c>
      <c r="N123" s="2772"/>
      <c r="O123" s="2772"/>
      <c r="P123" s="2770" t="str">
        <f>$P$107</f>
        <v>lb/head/day</v>
      </c>
      <c r="Q123" s="2770"/>
      <c r="R123" s="2770" t="str">
        <f>UI.Manure!BN256</f>
        <v>Yes</v>
      </c>
      <c r="S123" s="2770"/>
      <c r="T123" s="963"/>
      <c r="U123" s="609"/>
      <c r="V123" s="926"/>
      <c r="W123" s="926"/>
      <c r="X123" s="926"/>
      <c r="Y123" s="926"/>
      <c r="Z123" s="926"/>
      <c r="AA123" s="926"/>
      <c r="AB123" s="926"/>
      <c r="AC123" s="926"/>
      <c r="AD123" s="926"/>
      <c r="AE123" s="926"/>
      <c r="AF123" s="926"/>
      <c r="AG123" s="926"/>
      <c r="AH123" s="926"/>
      <c r="AI123" s="926"/>
      <c r="AJ123" s="926"/>
    </row>
    <row r="124" spans="1:36" ht="15" customHeight="1" x14ac:dyDescent="0.3">
      <c r="A124" s="926"/>
      <c r="B124" s="609"/>
      <c r="C124" s="962"/>
      <c r="D124" s="2771"/>
      <c r="E124" s="2771"/>
      <c r="F124" s="2771"/>
      <c r="G124" s="2771"/>
      <c r="H124" s="2771"/>
      <c r="I124" s="2771"/>
      <c r="J124" s="2771"/>
      <c r="K124" s="2771"/>
      <c r="L124" s="2771"/>
      <c r="M124" s="2772"/>
      <c r="N124" s="2772"/>
      <c r="O124" s="2772"/>
      <c r="P124" s="2770"/>
      <c r="Q124" s="2770"/>
      <c r="R124" s="2770"/>
      <c r="S124" s="2770"/>
      <c r="T124" s="963"/>
      <c r="U124" s="609"/>
      <c r="V124" s="926"/>
      <c r="W124" s="926"/>
      <c r="X124" s="926"/>
      <c r="Y124" s="926"/>
      <c r="Z124" s="926"/>
      <c r="AA124" s="926"/>
      <c r="AB124" s="926"/>
      <c r="AC124" s="926"/>
      <c r="AD124" s="926"/>
      <c r="AE124" s="926"/>
      <c r="AF124" s="926"/>
      <c r="AG124" s="926"/>
      <c r="AH124" s="926"/>
      <c r="AI124" s="926"/>
      <c r="AJ124" s="926"/>
    </row>
    <row r="125" spans="1:36" ht="15" customHeight="1" x14ac:dyDescent="0.3">
      <c r="A125" s="926"/>
      <c r="B125" s="609"/>
      <c r="C125" s="962"/>
      <c r="D125" s="2771" t="str">
        <f>UI.Manure!BM257</f>
        <v>Nitrogen in grow to finish manure</v>
      </c>
      <c r="E125" s="2771"/>
      <c r="F125" s="2771"/>
      <c r="G125" s="2771"/>
      <c r="H125" s="2771"/>
      <c r="I125" s="2771"/>
      <c r="J125" s="2771"/>
      <c r="K125" s="2771"/>
      <c r="L125" s="2771"/>
      <c r="M125" s="2772">
        <f>UI.Manure!BC257</f>
        <v>0.19025893210599995</v>
      </c>
      <c r="N125" s="2772"/>
      <c r="O125" s="2772"/>
      <c r="P125" s="2770" t="str">
        <f>$P$107</f>
        <v>lb/head/day</v>
      </c>
      <c r="Q125" s="2770"/>
      <c r="R125" s="2770" t="str">
        <f>UI.Manure!BN257</f>
        <v>Yes</v>
      </c>
      <c r="S125" s="2770"/>
      <c r="T125" s="963"/>
      <c r="U125" s="609"/>
      <c r="V125" s="926"/>
      <c r="W125" s="926"/>
      <c r="X125" s="926"/>
      <c r="Y125" s="926"/>
      <c r="Z125" s="926"/>
      <c r="AA125" s="926"/>
      <c r="AB125" s="926"/>
      <c r="AC125" s="926"/>
      <c r="AD125" s="926"/>
      <c r="AE125" s="926"/>
      <c r="AF125" s="926"/>
      <c r="AG125" s="926"/>
      <c r="AH125" s="926"/>
      <c r="AI125" s="926"/>
      <c r="AJ125" s="926"/>
    </row>
    <row r="126" spans="1:36" ht="15" customHeight="1" x14ac:dyDescent="0.3">
      <c r="A126" s="926"/>
      <c r="B126" s="609"/>
      <c r="C126" s="962"/>
      <c r="D126" s="2771"/>
      <c r="E126" s="2771"/>
      <c r="F126" s="2771"/>
      <c r="G126" s="2771"/>
      <c r="H126" s="2771"/>
      <c r="I126" s="2771"/>
      <c r="J126" s="2771"/>
      <c r="K126" s="2771"/>
      <c r="L126" s="2771"/>
      <c r="M126" s="2772"/>
      <c r="N126" s="2772"/>
      <c r="O126" s="2772"/>
      <c r="P126" s="2770"/>
      <c r="Q126" s="2770"/>
      <c r="R126" s="2770"/>
      <c r="S126" s="2770"/>
      <c r="T126" s="963"/>
      <c r="U126" s="609"/>
      <c r="V126" s="926"/>
      <c r="W126" s="926"/>
      <c r="X126" s="926"/>
      <c r="Y126" s="926"/>
      <c r="Z126" s="926"/>
      <c r="AA126" s="926"/>
      <c r="AB126" s="926"/>
      <c r="AC126" s="926"/>
      <c r="AD126" s="926"/>
      <c r="AE126" s="926"/>
      <c r="AF126" s="926"/>
      <c r="AG126" s="926"/>
      <c r="AH126" s="926"/>
      <c r="AI126" s="926"/>
      <c r="AJ126" s="926"/>
    </row>
    <row r="127" spans="1:36" ht="15" customHeight="1" x14ac:dyDescent="0.3">
      <c r="A127" s="926"/>
      <c r="B127" s="609"/>
      <c r="C127" s="962"/>
      <c r="D127" s="2771" t="str">
        <f>UI.Manure!BM258</f>
        <v>P2O5 in grow to finish manure</v>
      </c>
      <c r="E127" s="2771"/>
      <c r="F127" s="2771"/>
      <c r="G127" s="2771"/>
      <c r="H127" s="2771"/>
      <c r="I127" s="2771"/>
      <c r="J127" s="2771"/>
      <c r="K127" s="2771"/>
      <c r="L127" s="2771"/>
      <c r="M127" s="2772">
        <f>UI.Manure!BC258</f>
        <v>5.4895103238000002E-2</v>
      </c>
      <c r="N127" s="2772"/>
      <c r="O127" s="2772"/>
      <c r="P127" s="2770" t="str">
        <f>$P$107</f>
        <v>lb/head/day</v>
      </c>
      <c r="Q127" s="2770"/>
      <c r="R127" s="2770" t="str">
        <f>UI.Manure!BN258</f>
        <v>Yes</v>
      </c>
      <c r="S127" s="2770"/>
      <c r="T127" s="963"/>
      <c r="U127" s="609"/>
      <c r="V127" s="926"/>
      <c r="W127" s="926"/>
      <c r="X127" s="926"/>
      <c r="Y127" s="926"/>
      <c r="Z127" s="926"/>
      <c r="AA127" s="926"/>
      <c r="AB127" s="926"/>
      <c r="AC127" s="926"/>
      <c r="AD127" s="926"/>
      <c r="AE127" s="926"/>
      <c r="AF127" s="926"/>
      <c r="AG127" s="926"/>
      <c r="AH127" s="926"/>
      <c r="AI127" s="926"/>
      <c r="AJ127" s="926"/>
    </row>
    <row r="128" spans="1:36" ht="15" customHeight="1" x14ac:dyDescent="0.3">
      <c r="A128" s="926"/>
      <c r="B128" s="609"/>
      <c r="C128" s="962"/>
      <c r="D128" s="2771"/>
      <c r="E128" s="2771"/>
      <c r="F128" s="2771"/>
      <c r="G128" s="2771"/>
      <c r="H128" s="2771"/>
      <c r="I128" s="2771"/>
      <c r="J128" s="2771"/>
      <c r="K128" s="2771"/>
      <c r="L128" s="2771"/>
      <c r="M128" s="2772"/>
      <c r="N128" s="2772"/>
      <c r="O128" s="2772"/>
      <c r="P128" s="2770"/>
      <c r="Q128" s="2770"/>
      <c r="R128" s="2770"/>
      <c r="S128" s="2770"/>
      <c r="T128" s="963"/>
      <c r="U128" s="609"/>
      <c r="V128" s="926"/>
      <c r="W128" s="926"/>
      <c r="X128" s="926"/>
      <c r="Y128" s="926"/>
      <c r="Z128" s="926"/>
      <c r="AA128" s="926"/>
      <c r="AB128" s="926"/>
      <c r="AC128" s="926"/>
      <c r="AD128" s="926"/>
      <c r="AE128" s="926"/>
      <c r="AF128" s="926"/>
      <c r="AG128" s="926"/>
      <c r="AH128" s="926"/>
      <c r="AI128" s="926"/>
      <c r="AJ128" s="926"/>
    </row>
    <row r="129" spans="1:36" ht="15" customHeight="1" x14ac:dyDescent="0.3">
      <c r="A129" s="926"/>
      <c r="B129" s="609"/>
      <c r="C129" s="962"/>
      <c r="D129" s="2771" t="str">
        <f>UI.Manure!BM259</f>
        <v>K2O in grow to finish manure</v>
      </c>
      <c r="E129" s="2771"/>
      <c r="F129" s="2771"/>
      <c r="G129" s="2771"/>
      <c r="H129" s="2771"/>
      <c r="I129" s="2771"/>
      <c r="J129" s="2771"/>
      <c r="K129" s="2771"/>
      <c r="L129" s="2771"/>
      <c r="M129" s="2772">
        <f>UI.Manure!BC259</f>
        <v>0.11133344231</v>
      </c>
      <c r="N129" s="2772"/>
      <c r="O129" s="2772"/>
      <c r="P129" s="2770" t="str">
        <f>$P$107</f>
        <v>lb/head/day</v>
      </c>
      <c r="Q129" s="2770"/>
      <c r="R129" s="2770" t="str">
        <f>UI.Manure!BN259</f>
        <v>Yes</v>
      </c>
      <c r="S129" s="2770"/>
      <c r="T129" s="963"/>
      <c r="U129" s="609"/>
      <c r="V129" s="926"/>
      <c r="W129" s="926"/>
      <c r="X129" s="926"/>
      <c r="Y129" s="926"/>
      <c r="Z129" s="926"/>
      <c r="AA129" s="926"/>
      <c r="AB129" s="926"/>
      <c r="AC129" s="926"/>
      <c r="AD129" s="926"/>
      <c r="AE129" s="926"/>
      <c r="AF129" s="926"/>
      <c r="AG129" s="926"/>
      <c r="AH129" s="926"/>
      <c r="AI129" s="926"/>
      <c r="AJ129" s="926"/>
    </row>
    <row r="130" spans="1:36" ht="15" customHeight="1" x14ac:dyDescent="0.3">
      <c r="A130" s="926"/>
      <c r="B130" s="609"/>
      <c r="C130" s="962"/>
      <c r="D130" s="2771"/>
      <c r="E130" s="2771"/>
      <c r="F130" s="2771"/>
      <c r="G130" s="2771"/>
      <c r="H130" s="2771"/>
      <c r="I130" s="2771"/>
      <c r="J130" s="2771"/>
      <c r="K130" s="2771"/>
      <c r="L130" s="2771"/>
      <c r="M130" s="2772"/>
      <c r="N130" s="2772"/>
      <c r="O130" s="2772"/>
      <c r="P130" s="2770"/>
      <c r="Q130" s="2770"/>
      <c r="R130" s="2770"/>
      <c r="S130" s="2770"/>
      <c r="T130" s="963"/>
      <c r="U130" s="609"/>
      <c r="V130" s="926"/>
      <c r="W130" s="926"/>
      <c r="X130" s="926"/>
      <c r="Y130" s="926"/>
      <c r="Z130" s="926"/>
      <c r="AA130" s="926"/>
      <c r="AB130" s="926"/>
      <c r="AC130" s="926"/>
      <c r="AD130" s="926"/>
      <c r="AE130" s="926"/>
      <c r="AF130" s="926"/>
      <c r="AG130" s="926"/>
      <c r="AH130" s="926"/>
      <c r="AI130" s="926"/>
      <c r="AJ130" s="926"/>
    </row>
    <row r="131" spans="1:36" ht="15" customHeight="1" x14ac:dyDescent="0.3">
      <c r="A131" s="926"/>
      <c r="B131" s="609"/>
      <c r="C131" s="962"/>
      <c r="D131" s="2771" t="str">
        <f>UI.Manure!BM260</f>
        <v>Total manure produced by gestating sows</v>
      </c>
      <c r="E131" s="2771"/>
      <c r="F131" s="2771"/>
      <c r="G131" s="2771"/>
      <c r="H131" s="2771"/>
      <c r="I131" s="2771"/>
      <c r="J131" s="2771"/>
      <c r="K131" s="2771"/>
      <c r="L131" s="2771"/>
      <c r="M131" s="2772">
        <f>UI.Manure!BC260</f>
        <v>9.0711402322520005</v>
      </c>
      <c r="N131" s="2772"/>
      <c r="O131" s="2772"/>
      <c r="P131" s="2770" t="str">
        <f>$P$107</f>
        <v>lb/head/day</v>
      </c>
      <c r="Q131" s="2770"/>
      <c r="R131" s="2770" t="str">
        <f>UI.Manure!BN260</f>
        <v>Yes</v>
      </c>
      <c r="S131" s="2770"/>
      <c r="T131" s="963"/>
      <c r="U131" s="609"/>
      <c r="V131" s="926"/>
      <c r="W131" s="926"/>
      <c r="X131" s="926"/>
      <c r="Y131" s="926"/>
      <c r="Z131" s="926"/>
      <c r="AA131" s="926"/>
      <c r="AB131" s="926"/>
      <c r="AC131" s="926"/>
      <c r="AD131" s="926"/>
      <c r="AE131" s="926"/>
      <c r="AF131" s="926"/>
      <c r="AG131" s="926"/>
      <c r="AH131" s="926"/>
      <c r="AI131" s="926"/>
      <c r="AJ131" s="926"/>
    </row>
    <row r="132" spans="1:36" ht="15" customHeight="1" x14ac:dyDescent="0.3">
      <c r="A132" s="926"/>
      <c r="B132" s="609"/>
      <c r="C132" s="962"/>
      <c r="D132" s="2771"/>
      <c r="E132" s="2771"/>
      <c r="F132" s="2771"/>
      <c r="G132" s="2771"/>
      <c r="H132" s="2771"/>
      <c r="I132" s="2771"/>
      <c r="J132" s="2771"/>
      <c r="K132" s="2771"/>
      <c r="L132" s="2771"/>
      <c r="M132" s="2772"/>
      <c r="N132" s="2772"/>
      <c r="O132" s="2772"/>
      <c r="P132" s="2770"/>
      <c r="Q132" s="2770"/>
      <c r="R132" s="2770"/>
      <c r="S132" s="2770"/>
      <c r="T132" s="963"/>
      <c r="U132" s="609"/>
      <c r="V132" s="926"/>
      <c r="W132" s="926"/>
      <c r="X132" s="926"/>
      <c r="Y132" s="926"/>
      <c r="Z132" s="926"/>
      <c r="AA132" s="926"/>
      <c r="AB132" s="926"/>
      <c r="AC132" s="926"/>
      <c r="AD132" s="926"/>
      <c r="AE132" s="926"/>
      <c r="AF132" s="926"/>
      <c r="AG132" s="926"/>
      <c r="AH132" s="926"/>
      <c r="AI132" s="926"/>
      <c r="AJ132" s="926"/>
    </row>
    <row r="133" spans="1:36" ht="15" customHeight="1" x14ac:dyDescent="0.3">
      <c r="A133" s="926"/>
      <c r="B133" s="609"/>
      <c r="C133" s="962"/>
      <c r="D133" s="2771" t="str">
        <f>UI.Manure!BM261</f>
        <v>TS in gestating manure</v>
      </c>
      <c r="E133" s="2771"/>
      <c r="F133" s="2771"/>
      <c r="G133" s="2771"/>
      <c r="H133" s="2771"/>
      <c r="I133" s="2771"/>
      <c r="J133" s="2771"/>
      <c r="K133" s="2771"/>
      <c r="L133" s="2771"/>
      <c r="M133" s="2772">
        <f>UI.Manure!BC261</f>
        <v>0.79035720926999997</v>
      </c>
      <c r="N133" s="2772"/>
      <c r="O133" s="2772"/>
      <c r="P133" s="2770" t="str">
        <f>$P$107</f>
        <v>lb/head/day</v>
      </c>
      <c r="Q133" s="2770"/>
      <c r="R133" s="2770" t="str">
        <f>UI.Manure!BN261</f>
        <v>Yes</v>
      </c>
      <c r="S133" s="2770"/>
      <c r="T133" s="963"/>
      <c r="U133" s="609"/>
      <c r="V133" s="926"/>
      <c r="W133" s="926"/>
      <c r="X133" s="926"/>
      <c r="Y133" s="926"/>
      <c r="Z133" s="926"/>
      <c r="AA133" s="926"/>
      <c r="AB133" s="926"/>
      <c r="AC133" s="926"/>
      <c r="AD133" s="926"/>
      <c r="AE133" s="926"/>
      <c r="AF133" s="926"/>
      <c r="AG133" s="926"/>
      <c r="AH133" s="926"/>
      <c r="AI133" s="926"/>
      <c r="AJ133" s="926"/>
    </row>
    <row r="134" spans="1:36" ht="15" customHeight="1" x14ac:dyDescent="0.3">
      <c r="A134" s="926"/>
      <c r="B134" s="609"/>
      <c r="C134" s="962"/>
      <c r="D134" s="2771"/>
      <c r="E134" s="2771"/>
      <c r="F134" s="2771"/>
      <c r="G134" s="2771"/>
      <c r="H134" s="2771"/>
      <c r="I134" s="2771"/>
      <c r="J134" s="2771"/>
      <c r="K134" s="2771"/>
      <c r="L134" s="2771"/>
      <c r="M134" s="2772"/>
      <c r="N134" s="2772"/>
      <c r="O134" s="2772"/>
      <c r="P134" s="2770"/>
      <c r="Q134" s="2770"/>
      <c r="R134" s="2770"/>
      <c r="S134" s="2770"/>
      <c r="T134" s="963"/>
      <c r="U134" s="609"/>
      <c r="V134" s="926"/>
      <c r="W134" s="926"/>
      <c r="X134" s="926"/>
      <c r="Y134" s="926"/>
      <c r="Z134" s="926"/>
      <c r="AA134" s="926"/>
      <c r="AB134" s="926"/>
      <c r="AC134" s="926"/>
      <c r="AD134" s="926"/>
      <c r="AE134" s="926"/>
      <c r="AF134" s="926"/>
      <c r="AG134" s="926"/>
      <c r="AH134" s="926"/>
      <c r="AI134" s="926"/>
      <c r="AJ134" s="926"/>
    </row>
    <row r="135" spans="1:36" ht="15" customHeight="1" x14ac:dyDescent="0.3">
      <c r="A135" s="926"/>
      <c r="B135" s="609"/>
      <c r="C135" s="962"/>
      <c r="D135" s="2771" t="str">
        <f>UI.Manure!BM262</f>
        <v>VS in gestating manure</v>
      </c>
      <c r="E135" s="2771"/>
      <c r="F135" s="2771"/>
      <c r="G135" s="2771"/>
      <c r="H135" s="2771"/>
      <c r="I135" s="2771"/>
      <c r="J135" s="2771"/>
      <c r="K135" s="2771"/>
      <c r="L135" s="2771"/>
      <c r="M135" s="2772">
        <f>UI.Manure!BC262</f>
        <v>0.70217230447000001</v>
      </c>
      <c r="N135" s="2772"/>
      <c r="O135" s="2772"/>
      <c r="P135" s="2770" t="str">
        <f>$P$107</f>
        <v>lb/head/day</v>
      </c>
      <c r="Q135" s="2770"/>
      <c r="R135" s="2770" t="str">
        <f>UI.Manure!BN262</f>
        <v>Yes</v>
      </c>
      <c r="S135" s="2770"/>
      <c r="T135" s="963"/>
      <c r="U135" s="609"/>
      <c r="V135" s="926"/>
      <c r="W135" s="926"/>
      <c r="X135" s="926"/>
      <c r="Y135" s="926"/>
      <c r="Z135" s="926"/>
      <c r="AA135" s="926"/>
      <c r="AB135" s="926"/>
      <c r="AC135" s="926"/>
      <c r="AD135" s="926"/>
      <c r="AE135" s="926"/>
      <c r="AF135" s="926"/>
      <c r="AG135" s="926"/>
      <c r="AH135" s="926"/>
      <c r="AI135" s="926"/>
      <c r="AJ135" s="926"/>
    </row>
    <row r="136" spans="1:36" ht="15" customHeight="1" x14ac:dyDescent="0.3">
      <c r="A136" s="926"/>
      <c r="B136" s="609"/>
      <c r="C136" s="962"/>
      <c r="D136" s="2771"/>
      <c r="E136" s="2771"/>
      <c r="F136" s="2771"/>
      <c r="G136" s="2771"/>
      <c r="H136" s="2771"/>
      <c r="I136" s="2771"/>
      <c r="J136" s="2771"/>
      <c r="K136" s="2771"/>
      <c r="L136" s="2771"/>
      <c r="M136" s="2772"/>
      <c r="N136" s="2772"/>
      <c r="O136" s="2772"/>
      <c r="P136" s="2770"/>
      <c r="Q136" s="2770"/>
      <c r="R136" s="2770"/>
      <c r="S136" s="2770"/>
      <c r="T136" s="963"/>
      <c r="U136" s="609"/>
      <c r="V136" s="926"/>
      <c r="W136" s="926"/>
      <c r="X136" s="926"/>
      <c r="Y136" s="926"/>
      <c r="Z136" s="926"/>
      <c r="AA136" s="926"/>
      <c r="AB136" s="926"/>
      <c r="AC136" s="926"/>
      <c r="AD136" s="926"/>
      <c r="AE136" s="926"/>
      <c r="AF136" s="926"/>
      <c r="AG136" s="926"/>
      <c r="AH136" s="926"/>
      <c r="AI136" s="926"/>
      <c r="AJ136" s="926"/>
    </row>
    <row r="137" spans="1:36" ht="15" customHeight="1" x14ac:dyDescent="0.3">
      <c r="A137" s="926"/>
      <c r="B137" s="609"/>
      <c r="C137" s="962"/>
      <c r="D137" s="2771" t="str">
        <f>UI.Manure!BM263</f>
        <v>Nitrogen in gestating manure</v>
      </c>
      <c r="E137" s="2771"/>
      <c r="F137" s="2771"/>
      <c r="G137" s="2771"/>
      <c r="H137" s="2771"/>
      <c r="I137" s="2771"/>
      <c r="J137" s="2771"/>
      <c r="K137" s="2771"/>
      <c r="L137" s="2771"/>
      <c r="M137" s="2772">
        <f>UI.Manure!BC263</f>
        <v>6.5036367289999994E-2</v>
      </c>
      <c r="N137" s="2772"/>
      <c r="O137" s="2772"/>
      <c r="P137" s="2770" t="str">
        <f>$P$107</f>
        <v>lb/head/day</v>
      </c>
      <c r="Q137" s="2770"/>
      <c r="R137" s="2770" t="str">
        <f>UI.Manure!BN263</f>
        <v>Yes</v>
      </c>
      <c r="S137" s="2770"/>
      <c r="T137" s="963"/>
      <c r="U137" s="609"/>
      <c r="V137" s="926"/>
      <c r="W137" s="926"/>
      <c r="X137" s="926"/>
      <c r="Y137" s="926"/>
      <c r="Z137" s="926"/>
      <c r="AA137" s="926"/>
      <c r="AB137" s="926"/>
      <c r="AC137" s="926"/>
      <c r="AD137" s="926"/>
      <c r="AE137" s="926"/>
      <c r="AF137" s="926"/>
      <c r="AG137" s="926"/>
      <c r="AH137" s="926"/>
      <c r="AI137" s="926"/>
      <c r="AJ137" s="926"/>
    </row>
    <row r="138" spans="1:36" ht="15" customHeight="1" x14ac:dyDescent="0.3">
      <c r="A138" s="926"/>
      <c r="B138" s="609"/>
      <c r="C138" s="962"/>
      <c r="D138" s="2771"/>
      <c r="E138" s="2771"/>
      <c r="F138" s="2771"/>
      <c r="G138" s="2771"/>
      <c r="H138" s="2771"/>
      <c r="I138" s="2771"/>
      <c r="J138" s="2771"/>
      <c r="K138" s="2771"/>
      <c r="L138" s="2771"/>
      <c r="M138" s="2772"/>
      <c r="N138" s="2772"/>
      <c r="O138" s="2772"/>
      <c r="P138" s="2770"/>
      <c r="Q138" s="2770"/>
      <c r="R138" s="2770"/>
      <c r="S138" s="2770"/>
      <c r="T138" s="963"/>
      <c r="U138" s="609"/>
      <c r="V138" s="926"/>
      <c r="W138" s="926"/>
      <c r="X138" s="926"/>
      <c r="Y138" s="926"/>
      <c r="Z138" s="926"/>
      <c r="AA138" s="926"/>
      <c r="AB138" s="926"/>
      <c r="AC138" s="926"/>
      <c r="AD138" s="926"/>
      <c r="AE138" s="926"/>
      <c r="AF138" s="926"/>
      <c r="AG138" s="926"/>
      <c r="AH138" s="926"/>
      <c r="AI138" s="926"/>
      <c r="AJ138" s="926"/>
    </row>
    <row r="139" spans="1:36" ht="15" customHeight="1" x14ac:dyDescent="0.3">
      <c r="A139" s="926"/>
      <c r="B139" s="609"/>
      <c r="C139" s="962"/>
      <c r="D139" s="2771" t="str">
        <f>UI.Manure!BM264</f>
        <v>P2O5 in gestating manure</v>
      </c>
      <c r="E139" s="2771"/>
      <c r="F139" s="2771"/>
      <c r="G139" s="2771"/>
      <c r="H139" s="2771"/>
      <c r="I139" s="2771"/>
      <c r="J139" s="2771"/>
      <c r="K139" s="2771"/>
      <c r="L139" s="2771"/>
      <c r="M139" s="2772">
        <f>UI.Manure!BC264</f>
        <v>4.4092452399999996E-2</v>
      </c>
      <c r="N139" s="2772"/>
      <c r="O139" s="2772"/>
      <c r="P139" s="2770" t="str">
        <f>$P$107</f>
        <v>lb/head/day</v>
      </c>
      <c r="Q139" s="2770"/>
      <c r="R139" s="2770" t="str">
        <f>UI.Manure!BN264</f>
        <v>Yes</v>
      </c>
      <c r="S139" s="2770"/>
      <c r="T139" s="963"/>
      <c r="U139" s="609"/>
      <c r="V139" s="926"/>
      <c r="W139" s="926"/>
      <c r="X139" s="926"/>
      <c r="Y139" s="926"/>
      <c r="Z139" s="926"/>
      <c r="AA139" s="926"/>
      <c r="AB139" s="926"/>
      <c r="AC139" s="926"/>
      <c r="AD139" s="926"/>
      <c r="AE139" s="926"/>
      <c r="AF139" s="926"/>
      <c r="AG139" s="926"/>
      <c r="AH139" s="926"/>
      <c r="AI139" s="926"/>
      <c r="AJ139" s="926"/>
    </row>
    <row r="140" spans="1:36" ht="15" customHeight="1" x14ac:dyDescent="0.3">
      <c r="A140" s="926"/>
      <c r="B140" s="609"/>
      <c r="C140" s="962"/>
      <c r="D140" s="2771"/>
      <c r="E140" s="2771"/>
      <c r="F140" s="2771"/>
      <c r="G140" s="2771"/>
      <c r="H140" s="2771"/>
      <c r="I140" s="2771"/>
      <c r="J140" s="2771"/>
      <c r="K140" s="2771"/>
      <c r="L140" s="2771"/>
      <c r="M140" s="2772"/>
      <c r="N140" s="2772"/>
      <c r="O140" s="2772"/>
      <c r="P140" s="2770"/>
      <c r="Q140" s="2770"/>
      <c r="R140" s="2770"/>
      <c r="S140" s="2770"/>
      <c r="T140" s="963"/>
      <c r="U140" s="609"/>
      <c r="V140" s="926"/>
      <c r="W140" s="926"/>
      <c r="X140" s="926"/>
      <c r="Y140" s="926"/>
      <c r="Z140" s="926"/>
      <c r="AA140" s="926"/>
      <c r="AB140" s="926"/>
      <c r="AC140" s="926"/>
      <c r="AD140" s="926"/>
      <c r="AE140" s="926"/>
      <c r="AF140" s="926"/>
      <c r="AG140" s="926"/>
      <c r="AH140" s="926"/>
      <c r="AI140" s="926"/>
      <c r="AJ140" s="926"/>
    </row>
    <row r="141" spans="1:36" ht="15" customHeight="1" x14ac:dyDescent="0.3">
      <c r="A141" s="926"/>
      <c r="B141" s="609"/>
      <c r="C141" s="962"/>
      <c r="D141" s="2771" t="str">
        <f>UI.Manure!BM265</f>
        <v>K2O in gestating manure</v>
      </c>
      <c r="E141" s="2771"/>
      <c r="F141" s="2771"/>
      <c r="G141" s="2771"/>
      <c r="H141" s="2771"/>
      <c r="I141" s="2771"/>
      <c r="J141" s="2771"/>
      <c r="K141" s="2771"/>
      <c r="L141" s="2771"/>
      <c r="M141" s="2772">
        <f>UI.Manure!BC265</f>
        <v>5.4013254189999999E-2</v>
      </c>
      <c r="N141" s="2772"/>
      <c r="O141" s="2772"/>
      <c r="P141" s="2770" t="str">
        <f>$P$107</f>
        <v>lb/head/day</v>
      </c>
      <c r="Q141" s="2770"/>
      <c r="R141" s="2770" t="str">
        <f>UI.Manure!BN265</f>
        <v>Yes</v>
      </c>
      <c r="S141" s="2770"/>
      <c r="T141" s="963"/>
      <c r="U141" s="609"/>
      <c r="V141" s="926"/>
      <c r="W141" s="926"/>
      <c r="X141" s="926"/>
      <c r="Y141" s="926"/>
      <c r="Z141" s="926"/>
      <c r="AA141" s="926"/>
      <c r="AB141" s="926"/>
      <c r="AC141" s="926"/>
      <c r="AD141" s="926"/>
      <c r="AE141" s="926"/>
      <c r="AF141" s="926"/>
      <c r="AG141" s="926"/>
      <c r="AH141" s="926"/>
      <c r="AI141" s="926"/>
      <c r="AJ141" s="926"/>
    </row>
    <row r="142" spans="1:36" ht="15" customHeight="1" x14ac:dyDescent="0.3">
      <c r="A142" s="926"/>
      <c r="B142" s="609"/>
      <c r="C142" s="962"/>
      <c r="D142" s="2771"/>
      <c r="E142" s="2771"/>
      <c r="F142" s="2771"/>
      <c r="G142" s="2771"/>
      <c r="H142" s="2771"/>
      <c r="I142" s="2771"/>
      <c r="J142" s="2771"/>
      <c r="K142" s="2771"/>
      <c r="L142" s="2771"/>
      <c r="M142" s="2772"/>
      <c r="N142" s="2772"/>
      <c r="O142" s="2772"/>
      <c r="P142" s="2770"/>
      <c r="Q142" s="2770"/>
      <c r="R142" s="2770"/>
      <c r="S142" s="2770"/>
      <c r="T142" s="963"/>
      <c r="U142" s="609"/>
      <c r="V142" s="926"/>
      <c r="W142" s="926"/>
      <c r="X142" s="926"/>
      <c r="Y142" s="926"/>
      <c r="Z142" s="926"/>
      <c r="AA142" s="926"/>
      <c r="AB142" s="926"/>
      <c r="AC142" s="926"/>
      <c r="AD142" s="926"/>
      <c r="AE142" s="926"/>
      <c r="AF142" s="926"/>
      <c r="AG142" s="926"/>
      <c r="AH142" s="926"/>
      <c r="AI142" s="926"/>
      <c r="AJ142" s="926"/>
    </row>
    <row r="143" spans="1:36" ht="15" customHeight="1" x14ac:dyDescent="0.3">
      <c r="A143" s="926"/>
      <c r="B143" s="609"/>
      <c r="C143" s="962"/>
      <c r="D143" s="2771" t="str">
        <f>UI.Manure!BM266</f>
        <v>Total manure produced by farrowing sows</v>
      </c>
      <c r="E143" s="2771"/>
      <c r="F143" s="2771"/>
      <c r="G143" s="2771"/>
      <c r="H143" s="2771"/>
      <c r="I143" s="2771"/>
      <c r="J143" s="2771"/>
      <c r="K143" s="2771"/>
      <c r="L143" s="2771"/>
      <c r="M143" s="2772">
        <f>UI.Manure!BC266</f>
        <v>19.791999571049995</v>
      </c>
      <c r="N143" s="2772"/>
      <c r="O143" s="2772"/>
      <c r="P143" s="2770" t="str">
        <f>$P$107</f>
        <v>lb/head/day</v>
      </c>
      <c r="Q143" s="2770"/>
      <c r="R143" s="2770" t="str">
        <f>UI.Manure!BN266</f>
        <v>Yes</v>
      </c>
      <c r="S143" s="2770"/>
      <c r="T143" s="963"/>
      <c r="U143" s="609"/>
      <c r="V143" s="926"/>
      <c r="W143" s="926"/>
      <c r="X143" s="926"/>
      <c r="Y143" s="926"/>
      <c r="Z143" s="926"/>
      <c r="AA143" s="926"/>
      <c r="AB143" s="926"/>
      <c r="AC143" s="926"/>
      <c r="AD143" s="926"/>
      <c r="AE143" s="926"/>
      <c r="AF143" s="926"/>
      <c r="AG143" s="926"/>
      <c r="AH143" s="926"/>
      <c r="AI143" s="926"/>
      <c r="AJ143" s="926"/>
    </row>
    <row r="144" spans="1:36" ht="15" customHeight="1" x14ac:dyDescent="0.3">
      <c r="A144" s="926"/>
      <c r="B144" s="609"/>
      <c r="C144" s="962"/>
      <c r="D144" s="2771"/>
      <c r="E144" s="2771"/>
      <c r="F144" s="2771"/>
      <c r="G144" s="2771"/>
      <c r="H144" s="2771"/>
      <c r="I144" s="2771"/>
      <c r="J144" s="2771"/>
      <c r="K144" s="2771"/>
      <c r="L144" s="2771"/>
      <c r="M144" s="2772"/>
      <c r="N144" s="2772"/>
      <c r="O144" s="2772"/>
      <c r="P144" s="2770"/>
      <c r="Q144" s="2770"/>
      <c r="R144" s="2770"/>
      <c r="S144" s="2770"/>
      <c r="T144" s="963"/>
      <c r="U144" s="609"/>
      <c r="V144" s="926"/>
      <c r="W144" s="926"/>
      <c r="X144" s="926"/>
      <c r="Y144" s="926"/>
      <c r="Z144" s="926"/>
      <c r="AA144" s="926"/>
      <c r="AB144" s="926"/>
      <c r="AC144" s="926"/>
      <c r="AD144" s="926"/>
      <c r="AE144" s="926"/>
      <c r="AF144" s="926"/>
      <c r="AG144" s="926"/>
      <c r="AH144" s="926"/>
      <c r="AI144" s="926"/>
      <c r="AJ144" s="926"/>
    </row>
    <row r="145" spans="1:36" ht="15" customHeight="1" x14ac:dyDescent="0.3">
      <c r="A145" s="926"/>
      <c r="B145" s="609"/>
      <c r="C145" s="962"/>
      <c r="D145" s="2771" t="str">
        <f>UI.Manure!BM267</f>
        <v>TS in farrowing manure</v>
      </c>
      <c r="E145" s="2771"/>
      <c r="F145" s="2771"/>
      <c r="G145" s="2771"/>
      <c r="H145" s="2771"/>
      <c r="I145" s="2771"/>
      <c r="J145" s="2771"/>
      <c r="K145" s="2771"/>
      <c r="L145" s="2771"/>
      <c r="M145" s="2772">
        <f>UI.Manure!BC267</f>
        <v>1.9418316036959999</v>
      </c>
      <c r="N145" s="2772"/>
      <c r="O145" s="2772"/>
      <c r="P145" s="2770" t="str">
        <f>$P$107</f>
        <v>lb/head/day</v>
      </c>
      <c r="Q145" s="2770"/>
      <c r="R145" s="2770" t="str">
        <f>UI.Manure!BN267</f>
        <v>Yes</v>
      </c>
      <c r="S145" s="2770"/>
      <c r="T145" s="963"/>
      <c r="U145" s="609"/>
      <c r="V145" s="926"/>
      <c r="W145" s="926"/>
      <c r="X145" s="926"/>
      <c r="Y145" s="926"/>
      <c r="Z145" s="926"/>
      <c r="AA145" s="926"/>
      <c r="AB145" s="926"/>
      <c r="AC145" s="926"/>
      <c r="AD145" s="926"/>
      <c r="AE145" s="926"/>
      <c r="AF145" s="926"/>
      <c r="AG145" s="926"/>
      <c r="AH145" s="926"/>
      <c r="AI145" s="926"/>
      <c r="AJ145" s="926"/>
    </row>
    <row r="146" spans="1:36" ht="15" customHeight="1" x14ac:dyDescent="0.3">
      <c r="A146" s="926"/>
      <c r="B146" s="609"/>
      <c r="C146" s="962"/>
      <c r="D146" s="2771"/>
      <c r="E146" s="2771"/>
      <c r="F146" s="2771"/>
      <c r="G146" s="2771"/>
      <c r="H146" s="2771"/>
      <c r="I146" s="2771"/>
      <c r="J146" s="2771"/>
      <c r="K146" s="2771"/>
      <c r="L146" s="2771"/>
      <c r="M146" s="2772"/>
      <c r="N146" s="2772"/>
      <c r="O146" s="2772"/>
      <c r="P146" s="2770"/>
      <c r="Q146" s="2770"/>
      <c r="R146" s="2770"/>
      <c r="S146" s="2770"/>
      <c r="T146" s="963"/>
      <c r="U146" s="609"/>
      <c r="V146" s="926"/>
      <c r="W146" s="926"/>
      <c r="X146" s="926"/>
      <c r="Y146" s="926"/>
      <c r="Z146" s="926"/>
      <c r="AA146" s="926"/>
      <c r="AB146" s="926"/>
      <c r="AC146" s="926"/>
      <c r="AD146" s="926"/>
      <c r="AE146" s="926"/>
      <c r="AF146" s="926"/>
      <c r="AG146" s="926"/>
      <c r="AH146" s="926"/>
      <c r="AI146" s="926"/>
      <c r="AJ146" s="926"/>
    </row>
    <row r="147" spans="1:36" ht="15" customHeight="1" x14ac:dyDescent="0.3">
      <c r="A147" s="926"/>
      <c r="B147" s="609"/>
      <c r="C147" s="962"/>
      <c r="D147" s="2771" t="str">
        <f>UI.Manure!BM268</f>
        <v>VS in farrowing manure</v>
      </c>
      <c r="E147" s="2771"/>
      <c r="F147" s="2771"/>
      <c r="G147" s="2771"/>
      <c r="H147" s="2771"/>
      <c r="I147" s="2771"/>
      <c r="J147" s="2771"/>
      <c r="K147" s="2771"/>
      <c r="L147" s="2771"/>
      <c r="M147" s="2772">
        <f>UI.Manure!BC268</f>
        <v>1.7689891902879999</v>
      </c>
      <c r="N147" s="2772"/>
      <c r="O147" s="2772"/>
      <c r="P147" s="2770" t="str">
        <f>$P$107</f>
        <v>lb/head/day</v>
      </c>
      <c r="Q147" s="2770"/>
      <c r="R147" s="2770" t="str">
        <f>UI.Manure!BN268</f>
        <v>Yes</v>
      </c>
      <c r="S147" s="2770"/>
      <c r="T147" s="963"/>
      <c r="U147" s="609"/>
      <c r="V147" s="926"/>
      <c r="W147" s="926"/>
      <c r="X147" s="926"/>
      <c r="Y147" s="926"/>
      <c r="Z147" s="926"/>
      <c r="AA147" s="926"/>
      <c r="AB147" s="926"/>
      <c r="AC147" s="926"/>
      <c r="AD147" s="926"/>
      <c r="AE147" s="926"/>
      <c r="AF147" s="926"/>
      <c r="AG147" s="926"/>
      <c r="AH147" s="926"/>
      <c r="AI147" s="926"/>
      <c r="AJ147" s="926"/>
    </row>
    <row r="148" spans="1:36" ht="15" customHeight="1" x14ac:dyDescent="0.3">
      <c r="A148" s="926"/>
      <c r="B148" s="609"/>
      <c r="C148" s="962"/>
      <c r="D148" s="2771"/>
      <c r="E148" s="2771"/>
      <c r="F148" s="2771"/>
      <c r="G148" s="2771"/>
      <c r="H148" s="2771"/>
      <c r="I148" s="2771"/>
      <c r="J148" s="2771"/>
      <c r="K148" s="2771"/>
      <c r="L148" s="2771"/>
      <c r="M148" s="2772"/>
      <c r="N148" s="2772"/>
      <c r="O148" s="2772"/>
      <c r="P148" s="2770"/>
      <c r="Q148" s="2770"/>
      <c r="R148" s="2770"/>
      <c r="S148" s="2770"/>
      <c r="T148" s="963"/>
      <c r="U148" s="609"/>
      <c r="V148" s="926"/>
      <c r="W148" s="926"/>
      <c r="X148" s="926"/>
      <c r="Y148" s="926"/>
      <c r="Z148" s="926"/>
      <c r="AA148" s="926"/>
      <c r="AB148" s="926"/>
      <c r="AC148" s="926"/>
      <c r="AD148" s="926"/>
      <c r="AE148" s="926"/>
      <c r="AF148" s="926"/>
      <c r="AG148" s="926"/>
      <c r="AH148" s="926"/>
      <c r="AI148" s="926"/>
      <c r="AJ148" s="926"/>
    </row>
    <row r="149" spans="1:36" ht="15" customHeight="1" x14ac:dyDescent="0.3">
      <c r="A149" s="926"/>
      <c r="B149" s="609"/>
      <c r="C149" s="962"/>
      <c r="D149" s="2771" t="str">
        <f>UI.Manure!BM269</f>
        <v>Nitrogen in farrowing manure</v>
      </c>
      <c r="E149" s="2771"/>
      <c r="F149" s="2771"/>
      <c r="G149" s="2771"/>
      <c r="H149" s="2771"/>
      <c r="I149" s="2771"/>
      <c r="J149" s="2771"/>
      <c r="K149" s="2771"/>
      <c r="L149" s="2771"/>
      <c r="M149" s="2772">
        <f>UI.Manure!BC269</f>
        <v>0.188936158534</v>
      </c>
      <c r="N149" s="2772"/>
      <c r="O149" s="2772"/>
      <c r="P149" s="2770" t="str">
        <f>$P$107</f>
        <v>lb/head/day</v>
      </c>
      <c r="Q149" s="2770"/>
      <c r="R149" s="2770" t="str">
        <f>UI.Manure!BN269</f>
        <v>Yes</v>
      </c>
      <c r="S149" s="2770"/>
      <c r="T149" s="963"/>
      <c r="U149" s="609"/>
      <c r="V149" s="926"/>
      <c r="W149" s="926"/>
      <c r="X149" s="926"/>
      <c r="Y149" s="926"/>
      <c r="Z149" s="926"/>
      <c r="AA149" s="926"/>
      <c r="AB149" s="926"/>
      <c r="AC149" s="926"/>
      <c r="AD149" s="926"/>
      <c r="AE149" s="926"/>
      <c r="AF149" s="926"/>
      <c r="AG149" s="926"/>
      <c r="AH149" s="926"/>
      <c r="AI149" s="926"/>
      <c r="AJ149" s="926"/>
    </row>
    <row r="150" spans="1:36" ht="15" customHeight="1" x14ac:dyDescent="0.3">
      <c r="A150" s="926"/>
      <c r="B150" s="609"/>
      <c r="C150" s="962"/>
      <c r="D150" s="2771"/>
      <c r="E150" s="2771"/>
      <c r="F150" s="2771"/>
      <c r="G150" s="2771"/>
      <c r="H150" s="2771"/>
      <c r="I150" s="2771"/>
      <c r="J150" s="2771"/>
      <c r="K150" s="2771"/>
      <c r="L150" s="2771"/>
      <c r="M150" s="2772"/>
      <c r="N150" s="2772"/>
      <c r="O150" s="2772"/>
      <c r="P150" s="2770"/>
      <c r="Q150" s="2770"/>
      <c r="R150" s="2770"/>
      <c r="S150" s="2770"/>
      <c r="T150" s="963"/>
      <c r="U150" s="609"/>
      <c r="V150" s="926"/>
      <c r="W150" s="926"/>
      <c r="X150" s="926"/>
      <c r="Y150" s="926"/>
      <c r="Z150" s="926"/>
      <c r="AA150" s="926"/>
      <c r="AB150" s="926"/>
      <c r="AC150" s="926"/>
      <c r="AD150" s="926"/>
      <c r="AE150" s="926"/>
      <c r="AF150" s="926"/>
      <c r="AG150" s="926"/>
      <c r="AH150" s="926"/>
      <c r="AI150" s="926"/>
      <c r="AJ150" s="926"/>
    </row>
    <row r="151" spans="1:36" ht="15" customHeight="1" x14ac:dyDescent="0.3">
      <c r="A151" s="926"/>
      <c r="B151" s="609"/>
      <c r="C151" s="962"/>
      <c r="D151" s="2771" t="str">
        <f>UI.Manure!BM270</f>
        <v>P2O5 in farrowing manure</v>
      </c>
      <c r="E151" s="2771"/>
      <c r="F151" s="2771"/>
      <c r="G151" s="2771"/>
      <c r="H151" s="2771"/>
      <c r="I151" s="2771"/>
      <c r="J151" s="2771"/>
      <c r="K151" s="2771"/>
      <c r="L151" s="2771"/>
      <c r="M151" s="2772">
        <f>UI.Manure!BC270</f>
        <v>8.6862131228000003E-2</v>
      </c>
      <c r="N151" s="2772"/>
      <c r="O151" s="2772"/>
      <c r="P151" s="2770" t="str">
        <f>$P$107</f>
        <v>lb/head/day</v>
      </c>
      <c r="Q151" s="2770"/>
      <c r="R151" s="2770" t="str">
        <f>UI.Manure!BN270</f>
        <v>Yes</v>
      </c>
      <c r="S151" s="2770"/>
      <c r="T151" s="963"/>
      <c r="U151" s="609"/>
      <c r="V151" s="926"/>
      <c r="W151" s="926"/>
      <c r="X151" s="926"/>
      <c r="Y151" s="926"/>
      <c r="Z151" s="926"/>
      <c r="AA151" s="926"/>
      <c r="AB151" s="926"/>
      <c r="AC151" s="926"/>
      <c r="AD151" s="926"/>
      <c r="AE151" s="926"/>
      <c r="AF151" s="926"/>
      <c r="AG151" s="926"/>
      <c r="AH151" s="926"/>
      <c r="AI151" s="926"/>
      <c r="AJ151" s="926"/>
    </row>
    <row r="152" spans="1:36" ht="15" customHeight="1" x14ac:dyDescent="0.3">
      <c r="A152" s="926"/>
      <c r="B152" s="609"/>
      <c r="C152" s="962"/>
      <c r="D152" s="2771"/>
      <c r="E152" s="2771"/>
      <c r="F152" s="2771"/>
      <c r="G152" s="2771"/>
      <c r="H152" s="2771"/>
      <c r="I152" s="2771"/>
      <c r="J152" s="2771"/>
      <c r="K152" s="2771"/>
      <c r="L152" s="2771"/>
      <c r="M152" s="2772"/>
      <c r="N152" s="2772"/>
      <c r="O152" s="2772"/>
      <c r="P152" s="2770"/>
      <c r="Q152" s="2770"/>
      <c r="R152" s="2770"/>
      <c r="S152" s="2770"/>
      <c r="T152" s="963"/>
      <c r="U152" s="609"/>
      <c r="V152" s="926"/>
      <c r="W152" s="926"/>
      <c r="X152" s="926"/>
      <c r="Y152" s="926"/>
      <c r="Z152" s="926"/>
      <c r="AA152" s="926"/>
      <c r="AB152" s="926"/>
      <c r="AC152" s="926"/>
      <c r="AD152" s="926"/>
      <c r="AE152" s="926"/>
      <c r="AF152" s="926"/>
      <c r="AG152" s="926"/>
      <c r="AH152" s="926"/>
      <c r="AI152" s="926"/>
      <c r="AJ152" s="926"/>
    </row>
    <row r="153" spans="1:36" ht="15" customHeight="1" x14ac:dyDescent="0.3">
      <c r="A153" s="926"/>
      <c r="B153" s="609"/>
      <c r="C153" s="962"/>
      <c r="D153" s="2771" t="str">
        <f>UI.Manure!BM271</f>
        <v>K2O in farrowing manure</v>
      </c>
      <c r="E153" s="2771"/>
      <c r="F153" s="2771"/>
      <c r="G153" s="2771"/>
      <c r="H153" s="2771"/>
      <c r="I153" s="2771"/>
      <c r="J153" s="2771"/>
      <c r="K153" s="2771"/>
      <c r="L153" s="2771"/>
      <c r="M153" s="2772">
        <f>UI.Manure!BC271</f>
        <v>0.18408598876999999</v>
      </c>
      <c r="N153" s="2772"/>
      <c r="O153" s="2772"/>
      <c r="P153" s="2770" t="str">
        <f>$P$107</f>
        <v>lb/head/day</v>
      </c>
      <c r="Q153" s="2770"/>
      <c r="R153" s="2770" t="str">
        <f>UI.Manure!BN271</f>
        <v>Yes</v>
      </c>
      <c r="S153" s="2770"/>
      <c r="T153" s="963"/>
      <c r="U153" s="609"/>
      <c r="V153" s="926"/>
      <c r="W153" s="926"/>
      <c r="X153" s="926"/>
      <c r="Y153" s="926"/>
      <c r="Z153" s="926"/>
      <c r="AA153" s="926"/>
      <c r="AB153" s="926"/>
      <c r="AC153" s="926"/>
      <c r="AD153" s="926"/>
      <c r="AE153" s="926"/>
      <c r="AF153" s="926"/>
      <c r="AG153" s="926"/>
      <c r="AH153" s="926"/>
      <c r="AI153" s="926"/>
      <c r="AJ153" s="926"/>
    </row>
    <row r="154" spans="1:36" ht="15" customHeight="1" x14ac:dyDescent="0.3">
      <c r="A154" s="926"/>
      <c r="B154" s="609"/>
      <c r="C154" s="962"/>
      <c r="D154" s="2771"/>
      <c r="E154" s="2771"/>
      <c r="F154" s="2771"/>
      <c r="G154" s="2771"/>
      <c r="H154" s="2771"/>
      <c r="I154" s="2771"/>
      <c r="J154" s="2771"/>
      <c r="K154" s="2771"/>
      <c r="L154" s="2771"/>
      <c r="M154" s="2772"/>
      <c r="N154" s="2772"/>
      <c r="O154" s="2772"/>
      <c r="P154" s="2770"/>
      <c r="Q154" s="2770"/>
      <c r="R154" s="2770"/>
      <c r="S154" s="2770"/>
      <c r="T154" s="963"/>
      <c r="U154" s="609"/>
      <c r="V154" s="926"/>
      <c r="W154" s="926"/>
      <c r="X154" s="926"/>
      <c r="Y154" s="926"/>
      <c r="Z154" s="926"/>
      <c r="AA154" s="926"/>
      <c r="AB154" s="926"/>
      <c r="AC154" s="926"/>
      <c r="AD154" s="926"/>
      <c r="AE154" s="926"/>
      <c r="AF154" s="926"/>
      <c r="AG154" s="926"/>
      <c r="AH154" s="926"/>
      <c r="AI154" s="926"/>
      <c r="AJ154" s="926"/>
    </row>
    <row r="155" spans="1:36" ht="15" customHeight="1" x14ac:dyDescent="0.3">
      <c r="A155" s="926"/>
      <c r="B155" s="609"/>
      <c r="C155" s="962"/>
      <c r="D155" s="2771" t="str">
        <f>UI.Manure!BM248</f>
        <v>Total manure produced by wean to finish swine</v>
      </c>
      <c r="E155" s="2771"/>
      <c r="F155" s="2771"/>
      <c r="G155" s="2771"/>
      <c r="H155" s="2771"/>
      <c r="I155" s="2771"/>
      <c r="J155" s="2771"/>
      <c r="K155" s="2771"/>
      <c r="L155" s="2771"/>
      <c r="M155" s="2772">
        <f>UI.Manure!BC248</f>
        <v>12.323862492026198</v>
      </c>
      <c r="N155" s="2772"/>
      <c r="O155" s="2772"/>
      <c r="P155" s="2770" t="str">
        <f>$P$107</f>
        <v>lb/head/day</v>
      </c>
      <c r="Q155" s="2770"/>
      <c r="R155" s="2770" t="str">
        <f>UI.Manure!BN248</f>
        <v>Yes</v>
      </c>
      <c r="S155" s="2770"/>
      <c r="T155" s="963"/>
      <c r="U155" s="609"/>
      <c r="V155" s="926"/>
      <c r="W155" s="926"/>
      <c r="X155" s="926"/>
      <c r="Y155" s="926"/>
      <c r="Z155" s="926"/>
      <c r="AA155" s="926"/>
      <c r="AB155" s="926"/>
      <c r="AC155" s="926"/>
      <c r="AD155" s="926"/>
      <c r="AE155" s="926"/>
      <c r="AF155" s="926"/>
      <c r="AG155" s="926"/>
      <c r="AH155" s="926"/>
      <c r="AI155" s="926"/>
      <c r="AJ155" s="926"/>
    </row>
    <row r="156" spans="1:36" ht="15" customHeight="1" x14ac:dyDescent="0.3">
      <c r="A156" s="926"/>
      <c r="B156" s="609"/>
      <c r="C156" s="962"/>
      <c r="D156" s="2771"/>
      <c r="E156" s="2771"/>
      <c r="F156" s="2771"/>
      <c r="G156" s="2771"/>
      <c r="H156" s="2771"/>
      <c r="I156" s="2771"/>
      <c r="J156" s="2771"/>
      <c r="K156" s="2771"/>
      <c r="L156" s="2771"/>
      <c r="M156" s="2772"/>
      <c r="N156" s="2772"/>
      <c r="O156" s="2772"/>
      <c r="P156" s="2770"/>
      <c r="Q156" s="2770"/>
      <c r="R156" s="2770"/>
      <c r="S156" s="2770"/>
      <c r="T156" s="963"/>
      <c r="U156" s="609"/>
      <c r="V156" s="926"/>
      <c r="W156" s="926"/>
      <c r="X156" s="926"/>
      <c r="Y156" s="926"/>
      <c r="Z156" s="926"/>
      <c r="AA156" s="926"/>
      <c r="AB156" s="926"/>
      <c r="AC156" s="926"/>
      <c r="AD156" s="926"/>
      <c r="AE156" s="926"/>
      <c r="AF156" s="926"/>
      <c r="AG156" s="926"/>
      <c r="AH156" s="926"/>
      <c r="AI156" s="926"/>
      <c r="AJ156" s="926"/>
    </row>
    <row r="157" spans="1:36" ht="15" customHeight="1" x14ac:dyDescent="0.3">
      <c r="A157" s="926"/>
      <c r="B157" s="609"/>
      <c r="C157" s="962"/>
      <c r="D157" s="2771" t="str">
        <f>UI.Manure!BM249</f>
        <v>TS in wean to finish manure</v>
      </c>
      <c r="E157" s="2771"/>
      <c r="F157" s="2771"/>
      <c r="G157" s="2771"/>
      <c r="H157" s="2771"/>
      <c r="I157" s="2771"/>
      <c r="J157" s="2771"/>
      <c r="K157" s="2771"/>
      <c r="L157" s="2771"/>
      <c r="M157" s="2772">
        <f>UI.Manure!BC249</f>
        <v>1.2037459967461996</v>
      </c>
      <c r="N157" s="2772"/>
      <c r="O157" s="2772"/>
      <c r="P157" s="2770" t="str">
        <f>$P$107</f>
        <v>lb/head/day</v>
      </c>
      <c r="Q157" s="2770"/>
      <c r="R157" s="2770" t="str">
        <f>UI.Manure!BN249</f>
        <v>Yes</v>
      </c>
      <c r="S157" s="2770"/>
      <c r="T157" s="963"/>
      <c r="U157" s="609"/>
      <c r="V157" s="926"/>
      <c r="W157" s="926"/>
      <c r="X157" s="926"/>
      <c r="Y157" s="926"/>
      <c r="Z157" s="926"/>
      <c r="AA157" s="926"/>
      <c r="AB157" s="926"/>
      <c r="AC157" s="926"/>
      <c r="AD157" s="926"/>
      <c r="AE157" s="926"/>
      <c r="AF157" s="926"/>
      <c r="AG157" s="926"/>
      <c r="AH157" s="926"/>
      <c r="AI157" s="926"/>
      <c r="AJ157" s="926"/>
    </row>
    <row r="158" spans="1:36" ht="15" customHeight="1" x14ac:dyDescent="0.3">
      <c r="A158" s="926"/>
      <c r="B158" s="609"/>
      <c r="C158" s="962"/>
      <c r="D158" s="2771"/>
      <c r="E158" s="2771"/>
      <c r="F158" s="2771"/>
      <c r="G158" s="2771"/>
      <c r="H158" s="2771"/>
      <c r="I158" s="2771"/>
      <c r="J158" s="2771"/>
      <c r="K158" s="2771"/>
      <c r="L158" s="2771"/>
      <c r="M158" s="2772"/>
      <c r="N158" s="2772"/>
      <c r="O158" s="2772"/>
      <c r="P158" s="2770"/>
      <c r="Q158" s="2770"/>
      <c r="R158" s="2770"/>
      <c r="S158" s="2770"/>
      <c r="T158" s="963"/>
      <c r="U158" s="609"/>
      <c r="V158" s="926"/>
      <c r="W158" s="926"/>
      <c r="X158" s="926"/>
      <c r="Y158" s="926"/>
      <c r="Z158" s="926"/>
      <c r="AA158" s="926"/>
      <c r="AB158" s="926"/>
      <c r="AC158" s="926"/>
      <c r="AD158" s="926"/>
      <c r="AE158" s="926"/>
      <c r="AF158" s="926"/>
      <c r="AG158" s="926"/>
      <c r="AH158" s="926"/>
      <c r="AI158" s="926"/>
      <c r="AJ158" s="926"/>
    </row>
    <row r="159" spans="1:36" ht="15" customHeight="1" x14ac:dyDescent="0.3">
      <c r="A159" s="926"/>
      <c r="B159" s="609"/>
      <c r="C159" s="962"/>
      <c r="D159" s="2771" t="str">
        <f>UI.Manure!BM250</f>
        <v>VS in wean to finish manure</v>
      </c>
      <c r="E159" s="2771"/>
      <c r="F159" s="2771"/>
      <c r="G159" s="2771"/>
      <c r="H159" s="2771"/>
      <c r="I159" s="2771"/>
      <c r="J159" s="2771"/>
      <c r="K159" s="2771"/>
      <c r="L159" s="2771"/>
      <c r="M159" s="2772">
        <f>UI.Manure!BC250</f>
        <v>0.97446303964357983</v>
      </c>
      <c r="N159" s="2772"/>
      <c r="O159" s="2772"/>
      <c r="P159" s="2770" t="str">
        <f>$P$107</f>
        <v>lb/head/day</v>
      </c>
      <c r="Q159" s="2770"/>
      <c r="R159" s="2770" t="str">
        <f>UI.Manure!BN250</f>
        <v>Yes</v>
      </c>
      <c r="S159" s="2770"/>
      <c r="T159" s="963"/>
      <c r="U159" s="609"/>
      <c r="V159" s="926"/>
      <c r="W159" s="926"/>
      <c r="X159" s="926"/>
      <c r="Y159" s="926"/>
      <c r="Z159" s="926"/>
      <c r="AA159" s="926"/>
      <c r="AB159" s="926"/>
      <c r="AC159" s="926"/>
      <c r="AD159" s="926"/>
      <c r="AE159" s="926"/>
      <c r="AF159" s="926"/>
      <c r="AG159" s="926"/>
      <c r="AH159" s="926"/>
      <c r="AI159" s="926"/>
      <c r="AJ159" s="926"/>
    </row>
    <row r="160" spans="1:36" ht="15" customHeight="1" x14ac:dyDescent="0.3">
      <c r="A160" s="926"/>
      <c r="B160" s="609"/>
      <c r="C160" s="962"/>
      <c r="D160" s="2771"/>
      <c r="E160" s="2771"/>
      <c r="F160" s="2771"/>
      <c r="G160" s="2771"/>
      <c r="H160" s="2771"/>
      <c r="I160" s="2771"/>
      <c r="J160" s="2771"/>
      <c r="K160" s="2771"/>
      <c r="L160" s="2771"/>
      <c r="M160" s="2772"/>
      <c r="N160" s="2772"/>
      <c r="O160" s="2772"/>
      <c r="P160" s="2770"/>
      <c r="Q160" s="2770"/>
      <c r="R160" s="2770"/>
      <c r="S160" s="2770"/>
      <c r="T160" s="963"/>
      <c r="U160" s="609"/>
      <c r="V160" s="926"/>
      <c r="W160" s="926"/>
      <c r="X160" s="926"/>
      <c r="Y160" s="926"/>
      <c r="Z160" s="926"/>
      <c r="AA160" s="926"/>
      <c r="AB160" s="926"/>
      <c r="AC160" s="926"/>
      <c r="AD160" s="926"/>
      <c r="AE160" s="926"/>
      <c r="AF160" s="926"/>
      <c r="AG160" s="926"/>
      <c r="AH160" s="926"/>
      <c r="AI160" s="926"/>
      <c r="AJ160" s="926"/>
    </row>
    <row r="161" spans="1:36" ht="15" customHeight="1" x14ac:dyDescent="0.3">
      <c r="A161" s="926"/>
      <c r="B161" s="609"/>
      <c r="C161" s="962"/>
      <c r="D161" s="2771" t="str">
        <f>UI.Manure!BM251</f>
        <v>Nitrogen in wean to finish manure</v>
      </c>
      <c r="E161" s="2771"/>
      <c r="F161" s="2771"/>
      <c r="G161" s="2771"/>
      <c r="H161" s="2771"/>
      <c r="I161" s="2771"/>
      <c r="J161" s="2771"/>
      <c r="K161" s="2771"/>
      <c r="L161" s="2771"/>
      <c r="M161" s="2772">
        <f>UI.Manure!BC251</f>
        <v>0.114642360400358</v>
      </c>
      <c r="N161" s="2772"/>
      <c r="O161" s="2772"/>
      <c r="P161" s="2770" t="str">
        <f>$P$107</f>
        <v>lb/head/day</v>
      </c>
      <c r="Q161" s="2770"/>
      <c r="R161" s="2770" t="str">
        <f>UI.Manure!BN251</f>
        <v>Yes</v>
      </c>
      <c r="S161" s="2770"/>
      <c r="T161" s="963"/>
      <c r="U161" s="609"/>
      <c r="V161" s="926"/>
      <c r="W161" s="926"/>
      <c r="X161" s="926"/>
      <c r="Y161" s="926"/>
      <c r="Z161" s="926"/>
      <c r="AA161" s="926"/>
      <c r="AB161" s="926"/>
      <c r="AC161" s="926"/>
      <c r="AD161" s="926"/>
      <c r="AE161" s="926"/>
      <c r="AF161" s="926"/>
      <c r="AG161" s="926"/>
      <c r="AH161" s="926"/>
      <c r="AI161" s="926"/>
      <c r="AJ161" s="926"/>
    </row>
    <row r="162" spans="1:36" ht="15" customHeight="1" x14ac:dyDescent="0.3">
      <c r="A162" s="926"/>
      <c r="B162" s="609"/>
      <c r="C162" s="962"/>
      <c r="D162" s="2771"/>
      <c r="E162" s="2771"/>
      <c r="F162" s="2771"/>
      <c r="G162" s="2771"/>
      <c r="H162" s="2771"/>
      <c r="I162" s="2771"/>
      <c r="J162" s="2771"/>
      <c r="K162" s="2771"/>
      <c r="L162" s="2771"/>
      <c r="M162" s="2772"/>
      <c r="N162" s="2772"/>
      <c r="O162" s="2772"/>
      <c r="P162" s="2770"/>
      <c r="Q162" s="2770"/>
      <c r="R162" s="2770"/>
      <c r="S162" s="2770"/>
      <c r="T162" s="963"/>
      <c r="U162" s="609"/>
      <c r="V162" s="926"/>
      <c r="W162" s="926"/>
      <c r="X162" s="926"/>
      <c r="Y162" s="926"/>
      <c r="Z162" s="926"/>
      <c r="AA162" s="926"/>
      <c r="AB162" s="926"/>
      <c r="AC162" s="926"/>
      <c r="AD162" s="926"/>
      <c r="AE162" s="926"/>
      <c r="AF162" s="926"/>
      <c r="AG162" s="926"/>
      <c r="AH162" s="926"/>
      <c r="AI162" s="926"/>
      <c r="AJ162" s="926"/>
    </row>
    <row r="163" spans="1:36" ht="15" customHeight="1" x14ac:dyDescent="0.3">
      <c r="A163" s="926"/>
      <c r="B163" s="609"/>
      <c r="C163" s="962"/>
      <c r="D163" s="2771" t="str">
        <f>UI.Manure!BM252</f>
        <v>P2O5 in wean to finish manure</v>
      </c>
      <c r="E163" s="2771"/>
      <c r="F163" s="2771"/>
      <c r="G163" s="2771"/>
      <c r="H163" s="2771"/>
      <c r="I163" s="2771"/>
      <c r="J163" s="2771"/>
      <c r="K163" s="2771"/>
      <c r="L163" s="2771"/>
      <c r="M163" s="2772">
        <f>UI.Manure!BC252</f>
        <v>4.0124793070785994E-2</v>
      </c>
      <c r="N163" s="2772"/>
      <c r="O163" s="2772"/>
      <c r="P163" s="2770" t="str">
        <f>$P$107</f>
        <v>lb/head/day</v>
      </c>
      <c r="Q163" s="2770"/>
      <c r="R163" s="2770" t="str">
        <f>UI.Manure!BN252</f>
        <v>Yes</v>
      </c>
      <c r="S163" s="2770"/>
      <c r="T163" s="963"/>
      <c r="U163" s="609"/>
      <c r="V163" s="926"/>
      <c r="W163" s="926"/>
      <c r="X163" s="926"/>
      <c r="Y163" s="926"/>
      <c r="Z163" s="926"/>
      <c r="AA163" s="926"/>
      <c r="AB163" s="926"/>
      <c r="AC163" s="926"/>
      <c r="AD163" s="926"/>
      <c r="AE163" s="926"/>
      <c r="AF163" s="926"/>
      <c r="AG163" s="926"/>
      <c r="AH163" s="926"/>
      <c r="AI163" s="926"/>
      <c r="AJ163" s="926"/>
    </row>
    <row r="164" spans="1:36" ht="15" customHeight="1" x14ac:dyDescent="0.3">
      <c r="A164" s="926"/>
      <c r="B164" s="609"/>
      <c r="C164" s="962"/>
      <c r="D164" s="2771"/>
      <c r="E164" s="2771"/>
      <c r="F164" s="2771"/>
      <c r="G164" s="2771"/>
      <c r="H164" s="2771"/>
      <c r="I164" s="2771"/>
      <c r="J164" s="2771"/>
      <c r="K164" s="2771"/>
      <c r="L164" s="2771"/>
      <c r="M164" s="2772"/>
      <c r="N164" s="2772"/>
      <c r="O164" s="2772"/>
      <c r="P164" s="2770"/>
      <c r="Q164" s="2770"/>
      <c r="R164" s="2770"/>
      <c r="S164" s="2770"/>
      <c r="T164" s="963"/>
      <c r="U164" s="609"/>
      <c r="V164" s="926"/>
      <c r="W164" s="926"/>
      <c r="X164" s="926"/>
      <c r="Y164" s="926"/>
      <c r="Z164" s="926"/>
      <c r="AA164" s="926"/>
      <c r="AB164" s="926"/>
      <c r="AC164" s="926"/>
      <c r="AD164" s="926"/>
      <c r="AE164" s="926"/>
      <c r="AF164" s="926"/>
      <c r="AG164" s="926"/>
      <c r="AH164" s="926"/>
      <c r="AI164" s="926"/>
      <c r="AJ164" s="926"/>
    </row>
    <row r="165" spans="1:36" ht="15" customHeight="1" x14ac:dyDescent="0.3">
      <c r="A165" s="926"/>
      <c r="B165" s="609"/>
      <c r="C165" s="962"/>
      <c r="D165" s="2771" t="str">
        <f>UI.Manure!BM253</f>
        <v>K2O in wean to finish manure</v>
      </c>
      <c r="E165" s="2771"/>
      <c r="F165" s="2771"/>
      <c r="G165" s="2771"/>
      <c r="H165" s="2771"/>
      <c r="I165" s="2771"/>
      <c r="J165" s="2771"/>
      <c r="K165" s="2771"/>
      <c r="L165" s="2771"/>
      <c r="M165" s="2772">
        <f>UI.Manure!BC253</f>
        <v>5.1589271619309998E-2</v>
      </c>
      <c r="N165" s="2772"/>
      <c r="O165" s="2772"/>
      <c r="P165" s="2770" t="str">
        <f>$P$107</f>
        <v>lb/head/day</v>
      </c>
      <c r="Q165" s="2770"/>
      <c r="R165" s="2770" t="str">
        <f>UI.Manure!BN253</f>
        <v>Yes</v>
      </c>
      <c r="S165" s="2770"/>
      <c r="T165" s="963"/>
      <c r="U165" s="609"/>
      <c r="V165" s="926"/>
      <c r="W165" s="926"/>
      <c r="X165" s="926"/>
      <c r="Y165" s="926"/>
      <c r="Z165" s="926"/>
      <c r="AA165" s="926"/>
      <c r="AB165" s="926"/>
      <c r="AC165" s="926"/>
      <c r="AD165" s="926"/>
      <c r="AE165" s="926"/>
      <c r="AF165" s="926"/>
      <c r="AG165" s="926"/>
      <c r="AH165" s="926"/>
      <c r="AI165" s="926"/>
      <c r="AJ165" s="926"/>
    </row>
    <row r="166" spans="1:36" ht="15" customHeight="1" x14ac:dyDescent="0.3">
      <c r="A166" s="926"/>
      <c r="B166" s="609"/>
      <c r="C166" s="962"/>
      <c r="D166" s="2771"/>
      <c r="E166" s="2771"/>
      <c r="F166" s="2771"/>
      <c r="G166" s="2771"/>
      <c r="H166" s="2771"/>
      <c r="I166" s="2771"/>
      <c r="J166" s="2771"/>
      <c r="K166" s="2771"/>
      <c r="L166" s="2771"/>
      <c r="M166" s="2772"/>
      <c r="N166" s="2772"/>
      <c r="O166" s="2772"/>
      <c r="P166" s="2770"/>
      <c r="Q166" s="2770"/>
      <c r="R166" s="2770"/>
      <c r="S166" s="2770"/>
      <c r="T166" s="963"/>
      <c r="U166" s="609"/>
      <c r="V166" s="926"/>
      <c r="W166" s="926"/>
      <c r="X166" s="926"/>
      <c r="Y166" s="926"/>
      <c r="Z166" s="926"/>
      <c r="AA166" s="926"/>
      <c r="AB166" s="926"/>
      <c r="AC166" s="926"/>
      <c r="AD166" s="926"/>
      <c r="AE166" s="926"/>
      <c r="AF166" s="926"/>
      <c r="AG166" s="926"/>
      <c r="AH166" s="926"/>
      <c r="AI166" s="926"/>
      <c r="AJ166" s="926"/>
    </row>
    <row r="167" spans="1:36" ht="15" customHeight="1" thickBot="1" x14ac:dyDescent="0.35">
      <c r="A167" s="926"/>
      <c r="B167" s="609"/>
      <c r="C167" s="962"/>
      <c r="D167" s="40"/>
      <c r="E167" s="40"/>
      <c r="F167" s="1046"/>
      <c r="G167" s="1046"/>
      <c r="H167" s="1046"/>
      <c r="I167" s="1046"/>
      <c r="J167" s="1046"/>
      <c r="K167" s="1046"/>
      <c r="L167" s="1047"/>
      <c r="M167" s="1047"/>
      <c r="N167" s="1980"/>
      <c r="O167" s="1980"/>
      <c r="P167" s="1980"/>
      <c r="Q167" s="1980"/>
      <c r="R167" s="40"/>
      <c r="S167" s="40"/>
      <c r="T167" s="963"/>
      <c r="U167" s="609"/>
      <c r="V167" s="926"/>
      <c r="W167" s="926"/>
      <c r="X167" s="926"/>
      <c r="Y167" s="926"/>
      <c r="Z167" s="926"/>
      <c r="AA167" s="926"/>
      <c r="AB167" s="926"/>
      <c r="AC167" s="926"/>
      <c r="AD167" s="926"/>
      <c r="AE167" s="926"/>
      <c r="AF167" s="926"/>
      <c r="AG167" s="926"/>
      <c r="AH167" s="926"/>
      <c r="AI167" s="926"/>
      <c r="AJ167" s="926"/>
    </row>
    <row r="168" spans="1:36" ht="15" customHeight="1" thickTop="1" x14ac:dyDescent="0.3">
      <c r="A168" s="926"/>
      <c r="B168" s="609"/>
      <c r="C168" s="962"/>
      <c r="D168" s="40"/>
      <c r="E168" s="40"/>
      <c r="F168" s="40"/>
      <c r="G168" s="2780" t="s">
        <v>571</v>
      </c>
      <c r="H168" s="2781"/>
      <c r="I168" s="2781"/>
      <c r="J168" s="2781"/>
      <c r="K168" s="2781"/>
      <c r="L168" s="2781"/>
      <c r="M168" s="2781"/>
      <c r="N168" s="2781"/>
      <c r="O168" s="2781"/>
      <c r="P168" s="2782"/>
      <c r="Q168" s="40"/>
      <c r="R168" s="40"/>
      <c r="S168" s="40"/>
      <c r="T168" s="963"/>
      <c r="U168" s="609"/>
      <c r="V168" s="926"/>
      <c r="W168" s="926"/>
      <c r="X168" s="926"/>
      <c r="Y168" s="926"/>
      <c r="Z168" s="926"/>
      <c r="AA168" s="926"/>
      <c r="AB168" s="926"/>
      <c r="AC168" s="926"/>
      <c r="AD168" s="926"/>
      <c r="AE168" s="926"/>
      <c r="AF168" s="926"/>
      <c r="AG168" s="926"/>
      <c r="AH168" s="926"/>
      <c r="AI168" s="926"/>
      <c r="AJ168" s="926"/>
    </row>
    <row r="169" spans="1:36" ht="15" customHeight="1" x14ac:dyDescent="0.3">
      <c r="A169" s="926"/>
      <c r="B169" s="609"/>
      <c r="C169" s="962"/>
      <c r="D169" s="40"/>
      <c r="E169" s="40"/>
      <c r="F169" s="40"/>
      <c r="G169" s="2783"/>
      <c r="H169" s="2784"/>
      <c r="I169" s="2784"/>
      <c r="J169" s="2784"/>
      <c r="K169" s="2784"/>
      <c r="L169" s="2784"/>
      <c r="M169" s="2784"/>
      <c r="N169" s="2784"/>
      <c r="O169" s="2784"/>
      <c r="P169" s="2785"/>
      <c r="Q169" s="40"/>
      <c r="R169" s="40"/>
      <c r="S169" s="40"/>
      <c r="T169" s="963"/>
      <c r="U169" s="609"/>
      <c r="V169" s="926"/>
      <c r="W169" s="926"/>
      <c r="X169" s="926"/>
      <c r="Y169" s="926"/>
      <c r="Z169" s="926"/>
      <c r="AA169" s="926"/>
      <c r="AB169" s="926"/>
      <c r="AC169" s="926"/>
      <c r="AD169" s="926"/>
      <c r="AE169" s="926"/>
      <c r="AF169" s="926"/>
      <c r="AG169" s="926"/>
      <c r="AH169" s="926"/>
      <c r="AI169" s="926"/>
      <c r="AJ169" s="926"/>
    </row>
    <row r="170" spans="1:36" ht="15" customHeight="1" thickBot="1" x14ac:dyDescent="0.35">
      <c r="A170" s="926"/>
      <c r="B170" s="609"/>
      <c r="C170" s="962"/>
      <c r="D170" s="40"/>
      <c r="E170" s="40"/>
      <c r="F170" s="40"/>
      <c r="G170" s="2786"/>
      <c r="H170" s="2787"/>
      <c r="I170" s="2787"/>
      <c r="J170" s="2787"/>
      <c r="K170" s="2787"/>
      <c r="L170" s="2787"/>
      <c r="M170" s="2787"/>
      <c r="N170" s="2787"/>
      <c r="O170" s="2787"/>
      <c r="P170" s="2788"/>
      <c r="Q170" s="40"/>
      <c r="R170" s="40"/>
      <c r="S170" s="40"/>
      <c r="T170" s="963"/>
      <c r="U170" s="609"/>
      <c r="V170" s="926"/>
      <c r="W170" s="926"/>
      <c r="X170" s="926"/>
      <c r="Y170" s="926"/>
      <c r="Z170" s="926"/>
      <c r="AA170" s="926"/>
      <c r="AB170" s="926"/>
      <c r="AC170" s="926"/>
      <c r="AD170" s="926"/>
      <c r="AE170" s="926"/>
      <c r="AF170" s="926"/>
      <c r="AG170" s="926"/>
      <c r="AH170" s="926"/>
      <c r="AI170" s="926"/>
      <c r="AJ170" s="926"/>
    </row>
    <row r="171" spans="1:36" ht="15" customHeight="1" thickTop="1" x14ac:dyDescent="0.3">
      <c r="A171" s="926"/>
      <c r="B171" s="609"/>
      <c r="C171" s="962"/>
      <c r="D171" s="40"/>
      <c r="E171" s="40"/>
      <c r="F171" s="40"/>
      <c r="G171" s="40"/>
      <c r="H171" s="40"/>
      <c r="I171" s="40"/>
      <c r="J171" s="40"/>
      <c r="K171" s="40"/>
      <c r="L171" s="40"/>
      <c r="M171" s="40"/>
      <c r="N171" s="40"/>
      <c r="O171" s="40"/>
      <c r="P171" s="40"/>
      <c r="Q171" s="40"/>
      <c r="R171" s="40"/>
      <c r="S171" s="40"/>
      <c r="T171" s="963"/>
      <c r="U171" s="609"/>
      <c r="V171" s="926"/>
      <c r="W171" s="926"/>
      <c r="X171" s="926"/>
      <c r="Y171" s="926"/>
      <c r="Z171" s="926"/>
      <c r="AA171" s="926"/>
      <c r="AB171" s="926"/>
      <c r="AC171" s="926"/>
      <c r="AD171" s="926"/>
      <c r="AE171" s="926"/>
      <c r="AF171" s="926"/>
      <c r="AG171" s="926"/>
      <c r="AH171" s="926"/>
      <c r="AI171" s="926"/>
      <c r="AJ171" s="926"/>
    </row>
    <row r="172" spans="1:36" ht="15" customHeight="1" x14ac:dyDescent="0.3">
      <c r="A172" s="926"/>
      <c r="B172" s="609"/>
      <c r="C172" s="962"/>
      <c r="D172" s="2397" t="s">
        <v>572</v>
      </c>
      <c r="E172" s="2397"/>
      <c r="F172" s="2397"/>
      <c r="G172" s="2397"/>
      <c r="H172" s="2397"/>
      <c r="I172" s="2397"/>
      <c r="J172" s="2397"/>
      <c r="K172" s="2397"/>
      <c r="L172" s="2397"/>
      <c r="M172" s="2397" t="s">
        <v>565</v>
      </c>
      <c r="N172" s="2397"/>
      <c r="O172" s="2397"/>
      <c r="P172" s="2397" t="s">
        <v>38</v>
      </c>
      <c r="Q172" s="2397"/>
      <c r="R172" s="2397" t="s">
        <v>566</v>
      </c>
      <c r="S172" s="2397"/>
      <c r="T172" s="963"/>
      <c r="U172" s="609"/>
      <c r="V172" s="926"/>
      <c r="W172" s="926"/>
      <c r="X172" s="926"/>
      <c r="Y172" s="926"/>
      <c r="Z172" s="926"/>
      <c r="AA172" s="926"/>
      <c r="AB172" s="926"/>
      <c r="AC172" s="926"/>
      <c r="AD172" s="926"/>
      <c r="AE172" s="926"/>
      <c r="AF172" s="926"/>
      <c r="AG172" s="926"/>
      <c r="AH172" s="926"/>
      <c r="AI172" s="926"/>
      <c r="AJ172" s="926"/>
    </row>
    <row r="173" spans="1:36" ht="15" customHeight="1" x14ac:dyDescent="0.3">
      <c r="A173" s="926"/>
      <c r="B173" s="609"/>
      <c r="C173" s="962"/>
      <c r="D173" s="2771" t="str">
        <f>UI.Streams!BL141</f>
        <v>Liquid manure, percentage to export at cost</v>
      </c>
      <c r="E173" s="2771"/>
      <c r="F173" s="2771"/>
      <c r="G173" s="2771"/>
      <c r="H173" s="2771"/>
      <c r="I173" s="2771"/>
      <c r="J173" s="2771"/>
      <c r="K173" s="2771"/>
      <c r="L173" s="2771"/>
      <c r="M173" s="2772">
        <f>UI.Streams!BC141</f>
        <v>0</v>
      </c>
      <c r="N173" s="2772"/>
      <c r="O173" s="2772"/>
      <c r="P173" s="2770" t="str">
        <f>UI.Streams!BG141</f>
        <v>% of excess</v>
      </c>
      <c r="Q173" s="2770"/>
      <c r="R173" s="2770" t="str">
        <f>UI.Streams!BM141</f>
        <v>Yes</v>
      </c>
      <c r="S173" s="2770"/>
      <c r="T173" s="963"/>
      <c r="U173" s="609"/>
      <c r="V173" s="926"/>
      <c r="W173" s="926"/>
      <c r="X173" s="926"/>
      <c r="Y173" s="926"/>
      <c r="Z173" s="926"/>
      <c r="AA173" s="926"/>
      <c r="AB173" s="926"/>
      <c r="AC173" s="926"/>
      <c r="AD173" s="926"/>
      <c r="AE173" s="926"/>
      <c r="AF173" s="926"/>
      <c r="AG173" s="926"/>
      <c r="AH173" s="926"/>
      <c r="AI173" s="926"/>
      <c r="AJ173" s="926"/>
    </row>
    <row r="174" spans="1:36" ht="15" customHeight="1" x14ac:dyDescent="0.3">
      <c r="A174" s="926"/>
      <c r="B174" s="609"/>
      <c r="C174" s="962"/>
      <c r="D174" s="2771"/>
      <c r="E174" s="2771"/>
      <c r="F174" s="2771"/>
      <c r="G174" s="2771"/>
      <c r="H174" s="2771"/>
      <c r="I174" s="2771"/>
      <c r="J174" s="2771"/>
      <c r="K174" s="2771"/>
      <c r="L174" s="2771"/>
      <c r="M174" s="2772"/>
      <c r="N174" s="2772"/>
      <c r="O174" s="2772"/>
      <c r="P174" s="2770"/>
      <c r="Q174" s="2770"/>
      <c r="R174" s="2770"/>
      <c r="S174" s="2770"/>
      <c r="T174" s="963"/>
      <c r="U174" s="609"/>
      <c r="V174" s="926"/>
      <c r="W174" s="926"/>
      <c r="X174" s="926"/>
      <c r="Y174" s="926"/>
      <c r="Z174" s="926"/>
      <c r="AA174" s="926"/>
      <c r="AB174" s="926"/>
      <c r="AC174" s="926"/>
      <c r="AD174" s="926"/>
      <c r="AE174" s="926"/>
      <c r="AF174" s="926"/>
      <c r="AG174" s="926"/>
      <c r="AH174" s="926"/>
      <c r="AI174" s="926"/>
      <c r="AJ174" s="926"/>
    </row>
    <row r="175" spans="1:36" ht="15" customHeight="1" x14ac:dyDescent="0.3">
      <c r="A175" s="926"/>
      <c r="B175" s="609"/>
      <c r="C175" s="962"/>
      <c r="D175" s="2771" t="str">
        <f>UI.Streams!BL142</f>
        <v>Slurry manure, percentage to export at cost</v>
      </c>
      <c r="E175" s="2771"/>
      <c r="F175" s="2771"/>
      <c r="G175" s="2771"/>
      <c r="H175" s="2771"/>
      <c r="I175" s="2771"/>
      <c r="J175" s="2771"/>
      <c r="K175" s="2771"/>
      <c r="L175" s="2771"/>
      <c r="M175" s="2772">
        <f>UI.Streams!BC142</f>
        <v>0</v>
      </c>
      <c r="N175" s="2772"/>
      <c r="O175" s="2772"/>
      <c r="P175" s="2770" t="str">
        <f>$P$173</f>
        <v>% of excess</v>
      </c>
      <c r="Q175" s="2770"/>
      <c r="R175" s="2770" t="str">
        <f>UI.Streams!BM142</f>
        <v>Yes</v>
      </c>
      <c r="S175" s="2770"/>
      <c r="T175" s="963"/>
      <c r="U175" s="609"/>
      <c r="V175" s="926"/>
      <c r="W175" s="926"/>
      <c r="X175" s="926"/>
      <c r="Y175" s="926"/>
      <c r="Z175" s="926"/>
      <c r="AA175" s="926"/>
      <c r="AB175" s="926"/>
      <c r="AC175" s="926"/>
      <c r="AD175" s="926"/>
      <c r="AE175" s="926"/>
      <c r="AF175" s="926"/>
      <c r="AG175" s="926"/>
      <c r="AH175" s="926"/>
      <c r="AI175" s="926"/>
      <c r="AJ175" s="926"/>
    </row>
    <row r="176" spans="1:36" ht="15" customHeight="1" x14ac:dyDescent="0.3">
      <c r="A176" s="926"/>
      <c r="B176" s="609"/>
      <c r="C176" s="962"/>
      <c r="D176" s="2771"/>
      <c r="E176" s="2771"/>
      <c r="F176" s="2771"/>
      <c r="G176" s="2771"/>
      <c r="H176" s="2771"/>
      <c r="I176" s="2771"/>
      <c r="J176" s="2771"/>
      <c r="K176" s="2771"/>
      <c r="L176" s="2771"/>
      <c r="M176" s="2772"/>
      <c r="N176" s="2772"/>
      <c r="O176" s="2772"/>
      <c r="P176" s="2770"/>
      <c r="Q176" s="2770"/>
      <c r="R176" s="2770"/>
      <c r="S176" s="2770"/>
      <c r="T176" s="963"/>
      <c r="U176" s="609"/>
      <c r="V176" s="926"/>
      <c r="W176" s="926"/>
      <c r="X176" s="926"/>
      <c r="Y176" s="926"/>
      <c r="Z176" s="926"/>
      <c r="AA176" s="926"/>
      <c r="AB176" s="926"/>
      <c r="AC176" s="926"/>
      <c r="AD176" s="926"/>
      <c r="AE176" s="926"/>
      <c r="AF176" s="926"/>
      <c r="AG176" s="926"/>
      <c r="AH176" s="926"/>
      <c r="AI176" s="926"/>
      <c r="AJ176" s="926"/>
    </row>
    <row r="177" spans="1:36" ht="15" customHeight="1" x14ac:dyDescent="0.3">
      <c r="A177" s="926"/>
      <c r="B177" s="609"/>
      <c r="C177" s="962"/>
      <c r="D177" s="2771" t="str">
        <f>UI.Streams!BL143</f>
        <v>Sludge manure, percentage to export at cost</v>
      </c>
      <c r="E177" s="2771"/>
      <c r="F177" s="2771"/>
      <c r="G177" s="2771"/>
      <c r="H177" s="2771"/>
      <c r="I177" s="2771"/>
      <c r="J177" s="2771"/>
      <c r="K177" s="2771"/>
      <c r="L177" s="2771"/>
      <c r="M177" s="2772">
        <f>UI.Streams!BC143</f>
        <v>0</v>
      </c>
      <c r="N177" s="2772"/>
      <c r="O177" s="2772"/>
      <c r="P177" s="2770" t="str">
        <f>$P$173</f>
        <v>% of excess</v>
      </c>
      <c r="Q177" s="2770"/>
      <c r="R177" s="2770" t="str">
        <f>UI.Streams!BM143</f>
        <v>Yes</v>
      </c>
      <c r="S177" s="2770"/>
      <c r="T177" s="963"/>
      <c r="U177" s="609"/>
      <c r="V177" s="926"/>
      <c r="W177" s="926"/>
      <c r="X177" s="926"/>
      <c r="Y177" s="926"/>
      <c r="Z177" s="926"/>
      <c r="AA177" s="926"/>
      <c r="AB177" s="926"/>
      <c r="AC177" s="926"/>
      <c r="AD177" s="926"/>
      <c r="AE177" s="926"/>
      <c r="AF177" s="926"/>
      <c r="AG177" s="926"/>
      <c r="AH177" s="926"/>
      <c r="AI177" s="926"/>
      <c r="AJ177" s="926"/>
    </row>
    <row r="178" spans="1:36" ht="15" customHeight="1" x14ac:dyDescent="0.3">
      <c r="A178" s="926"/>
      <c r="B178" s="609"/>
      <c r="C178" s="962"/>
      <c r="D178" s="2771"/>
      <c r="E178" s="2771"/>
      <c r="F178" s="2771"/>
      <c r="G178" s="2771"/>
      <c r="H178" s="2771"/>
      <c r="I178" s="2771"/>
      <c r="J178" s="2771"/>
      <c r="K178" s="2771"/>
      <c r="L178" s="2771"/>
      <c r="M178" s="2772"/>
      <c r="N178" s="2772"/>
      <c r="O178" s="2772"/>
      <c r="P178" s="2770"/>
      <c r="Q178" s="2770"/>
      <c r="R178" s="2770"/>
      <c r="S178" s="2770"/>
      <c r="T178" s="963"/>
      <c r="U178" s="609"/>
      <c r="V178" s="926"/>
      <c r="W178" s="926"/>
      <c r="X178" s="926"/>
      <c r="Y178" s="926"/>
      <c r="Z178" s="926"/>
      <c r="AA178" s="926"/>
      <c r="AB178" s="926"/>
      <c r="AC178" s="926"/>
      <c r="AD178" s="926"/>
      <c r="AE178" s="926"/>
      <c r="AF178" s="926"/>
      <c r="AG178" s="926"/>
      <c r="AH178" s="926"/>
      <c r="AI178" s="926"/>
      <c r="AJ178" s="926"/>
    </row>
    <row r="179" spans="1:36" ht="15" customHeight="1" x14ac:dyDescent="0.3">
      <c r="A179" s="926"/>
      <c r="B179" s="609"/>
      <c r="C179" s="962"/>
      <c r="D179" s="2771" t="str">
        <f>UI.Streams!BL144</f>
        <v>Separated solids manure, percentage to export at cost</v>
      </c>
      <c r="E179" s="2771"/>
      <c r="F179" s="2771"/>
      <c r="G179" s="2771"/>
      <c r="H179" s="2771"/>
      <c r="I179" s="2771"/>
      <c r="J179" s="2771"/>
      <c r="K179" s="2771"/>
      <c r="L179" s="2771"/>
      <c r="M179" s="2772">
        <f>UI.Streams!BC144</f>
        <v>0</v>
      </c>
      <c r="N179" s="2772"/>
      <c r="O179" s="2772"/>
      <c r="P179" s="2770" t="str">
        <f>$P$173</f>
        <v>% of excess</v>
      </c>
      <c r="Q179" s="2770"/>
      <c r="R179" s="2770" t="str">
        <f>UI.Streams!BM144</f>
        <v>Yes</v>
      </c>
      <c r="S179" s="2770"/>
      <c r="T179" s="963"/>
      <c r="U179" s="609"/>
      <c r="V179" s="926"/>
      <c r="W179" s="926"/>
      <c r="X179" s="926"/>
      <c r="Y179" s="926"/>
      <c r="Z179" s="926"/>
      <c r="AA179" s="926"/>
      <c r="AB179" s="926"/>
      <c r="AC179" s="926"/>
      <c r="AD179" s="926"/>
      <c r="AE179" s="926"/>
      <c r="AF179" s="926"/>
      <c r="AG179" s="926"/>
      <c r="AH179" s="926"/>
      <c r="AI179" s="926"/>
      <c r="AJ179" s="926"/>
    </row>
    <row r="180" spans="1:36" ht="15" customHeight="1" x14ac:dyDescent="0.3">
      <c r="A180" s="926"/>
      <c r="B180" s="609"/>
      <c r="C180" s="962"/>
      <c r="D180" s="2771"/>
      <c r="E180" s="2771"/>
      <c r="F180" s="2771"/>
      <c r="G180" s="2771"/>
      <c r="H180" s="2771"/>
      <c r="I180" s="2771"/>
      <c r="J180" s="2771"/>
      <c r="K180" s="2771"/>
      <c r="L180" s="2771"/>
      <c r="M180" s="2772"/>
      <c r="N180" s="2772"/>
      <c r="O180" s="2772"/>
      <c r="P180" s="2770"/>
      <c r="Q180" s="2770"/>
      <c r="R180" s="2770"/>
      <c r="S180" s="2770"/>
      <c r="T180" s="963"/>
      <c r="U180" s="609"/>
      <c r="V180" s="926"/>
      <c r="W180" s="926"/>
      <c r="X180" s="926"/>
      <c r="Y180" s="926"/>
      <c r="Z180" s="926"/>
      <c r="AA180" s="926"/>
      <c r="AB180" s="926"/>
      <c r="AC180" s="926"/>
      <c r="AD180" s="926"/>
      <c r="AE180" s="926"/>
      <c r="AF180" s="926"/>
      <c r="AG180" s="926"/>
      <c r="AH180" s="926"/>
      <c r="AI180" s="926"/>
      <c r="AJ180" s="926"/>
    </row>
    <row r="181" spans="1:36" ht="15" customHeight="1" x14ac:dyDescent="0.3">
      <c r="A181" s="926"/>
      <c r="B181" s="609"/>
      <c r="C181" s="962"/>
      <c r="D181" s="2771" t="str">
        <f>UI.Streams!BL145</f>
        <v>Compost manure, percentage to export at cost</v>
      </c>
      <c r="E181" s="2771"/>
      <c r="F181" s="2771"/>
      <c r="G181" s="2771"/>
      <c r="H181" s="2771"/>
      <c r="I181" s="2771"/>
      <c r="J181" s="2771"/>
      <c r="K181" s="2771"/>
      <c r="L181" s="2771"/>
      <c r="M181" s="2772">
        <f>UI.Streams!BC145</f>
        <v>0</v>
      </c>
      <c r="N181" s="2772"/>
      <c r="O181" s="2772"/>
      <c r="P181" s="2770" t="str">
        <f>$P$173</f>
        <v>% of excess</v>
      </c>
      <c r="Q181" s="2770"/>
      <c r="R181" s="2770" t="str">
        <f>UI.Streams!BM145</f>
        <v>Yes</v>
      </c>
      <c r="S181" s="2770"/>
      <c r="T181" s="963"/>
      <c r="U181" s="609"/>
      <c r="V181" s="926"/>
      <c r="W181" s="926"/>
      <c r="X181" s="926"/>
      <c r="Y181" s="926"/>
      <c r="Z181" s="926"/>
      <c r="AA181" s="926"/>
      <c r="AB181" s="926"/>
      <c r="AC181" s="926"/>
      <c r="AD181" s="926"/>
      <c r="AE181" s="926"/>
      <c r="AF181" s="926"/>
      <c r="AG181" s="926"/>
      <c r="AH181" s="926"/>
      <c r="AI181" s="926"/>
      <c r="AJ181" s="926"/>
    </row>
    <row r="182" spans="1:36" ht="15" customHeight="1" x14ac:dyDescent="0.3">
      <c r="A182" s="926"/>
      <c r="B182" s="609"/>
      <c r="C182" s="962"/>
      <c r="D182" s="2771"/>
      <c r="E182" s="2771"/>
      <c r="F182" s="2771"/>
      <c r="G182" s="2771"/>
      <c r="H182" s="2771"/>
      <c r="I182" s="2771"/>
      <c r="J182" s="2771"/>
      <c r="K182" s="2771"/>
      <c r="L182" s="2771"/>
      <c r="M182" s="2772"/>
      <c r="N182" s="2772"/>
      <c r="O182" s="2772"/>
      <c r="P182" s="2770"/>
      <c r="Q182" s="2770"/>
      <c r="R182" s="2770"/>
      <c r="S182" s="2770"/>
      <c r="T182" s="963"/>
      <c r="U182" s="609"/>
      <c r="V182" s="926"/>
      <c r="W182" s="926"/>
      <c r="X182" s="926"/>
      <c r="Y182" s="926"/>
      <c r="Z182" s="926"/>
      <c r="AA182" s="926"/>
      <c r="AB182" s="926"/>
      <c r="AC182" s="926"/>
      <c r="AD182" s="926"/>
      <c r="AE182" s="926"/>
      <c r="AF182" s="926"/>
      <c r="AG182" s="926"/>
      <c r="AH182" s="926"/>
      <c r="AI182" s="926"/>
      <c r="AJ182" s="926"/>
    </row>
    <row r="183" spans="1:36" ht="15" customHeight="1" x14ac:dyDescent="0.3">
      <c r="A183" s="926"/>
      <c r="B183" s="609"/>
      <c r="C183" s="962"/>
      <c r="D183" s="2771" t="str">
        <f>UI.Streams!BL146</f>
        <v>Liquid manure, percentage to give away</v>
      </c>
      <c r="E183" s="2771"/>
      <c r="F183" s="2771"/>
      <c r="G183" s="2771"/>
      <c r="H183" s="2771"/>
      <c r="I183" s="2771"/>
      <c r="J183" s="2771"/>
      <c r="K183" s="2771"/>
      <c r="L183" s="2771"/>
      <c r="M183" s="2772">
        <f>UI.Streams!BC146</f>
        <v>1</v>
      </c>
      <c r="N183" s="2772"/>
      <c r="O183" s="2772"/>
      <c r="P183" s="2770" t="str">
        <f>$P$173</f>
        <v>% of excess</v>
      </c>
      <c r="Q183" s="2770"/>
      <c r="R183" s="2770" t="str">
        <f>UI.Streams!BM146</f>
        <v>Yes</v>
      </c>
      <c r="S183" s="2770"/>
      <c r="T183" s="963"/>
      <c r="U183" s="609"/>
      <c r="V183" s="926"/>
      <c r="W183" s="926"/>
      <c r="X183" s="926"/>
      <c r="Y183" s="926"/>
      <c r="Z183" s="926"/>
      <c r="AA183" s="926"/>
      <c r="AB183" s="926"/>
      <c r="AC183" s="926"/>
      <c r="AD183" s="926"/>
      <c r="AE183" s="926"/>
      <c r="AF183" s="926"/>
      <c r="AG183" s="926"/>
      <c r="AH183" s="926"/>
      <c r="AI183" s="926"/>
      <c r="AJ183" s="926"/>
    </row>
    <row r="184" spans="1:36" ht="15" customHeight="1" x14ac:dyDescent="0.3">
      <c r="A184" s="926"/>
      <c r="B184" s="609"/>
      <c r="C184" s="962"/>
      <c r="D184" s="2771"/>
      <c r="E184" s="2771"/>
      <c r="F184" s="2771"/>
      <c r="G184" s="2771"/>
      <c r="H184" s="2771"/>
      <c r="I184" s="2771"/>
      <c r="J184" s="2771"/>
      <c r="K184" s="2771"/>
      <c r="L184" s="2771"/>
      <c r="M184" s="2772"/>
      <c r="N184" s="2772"/>
      <c r="O184" s="2772"/>
      <c r="P184" s="2770"/>
      <c r="Q184" s="2770"/>
      <c r="R184" s="2770"/>
      <c r="S184" s="2770"/>
      <c r="T184" s="963"/>
      <c r="U184" s="609"/>
      <c r="V184" s="926"/>
      <c r="W184" s="926"/>
      <c r="X184" s="926"/>
      <c r="Y184" s="926"/>
      <c r="Z184" s="926"/>
      <c r="AA184" s="926"/>
      <c r="AB184" s="926"/>
      <c r="AC184" s="926"/>
      <c r="AD184" s="926"/>
      <c r="AE184" s="926"/>
      <c r="AF184" s="926"/>
      <c r="AG184" s="926"/>
      <c r="AH184" s="926"/>
      <c r="AI184" s="926"/>
      <c r="AJ184" s="926"/>
    </row>
    <row r="185" spans="1:36" ht="15" customHeight="1" x14ac:dyDescent="0.3">
      <c r="A185" s="926"/>
      <c r="B185" s="609"/>
      <c r="C185" s="962"/>
      <c r="D185" s="2771" t="str">
        <f>UI.Streams!BL147</f>
        <v>Slurry manure, percentage to give away</v>
      </c>
      <c r="E185" s="2771"/>
      <c r="F185" s="2771"/>
      <c r="G185" s="2771"/>
      <c r="H185" s="2771"/>
      <c r="I185" s="2771"/>
      <c r="J185" s="2771"/>
      <c r="K185" s="2771"/>
      <c r="L185" s="2771"/>
      <c r="M185" s="2772">
        <f>UI.Streams!BC147</f>
        <v>1</v>
      </c>
      <c r="N185" s="2772"/>
      <c r="O185" s="2772"/>
      <c r="P185" s="2770" t="str">
        <f>$P$173</f>
        <v>% of excess</v>
      </c>
      <c r="Q185" s="2770"/>
      <c r="R185" s="2770" t="str">
        <f>UI.Streams!BM147</f>
        <v>Yes</v>
      </c>
      <c r="S185" s="2770"/>
      <c r="T185" s="963"/>
      <c r="U185" s="609"/>
      <c r="V185" s="926"/>
      <c r="W185" s="926"/>
      <c r="X185" s="926"/>
      <c r="Y185" s="926"/>
      <c r="Z185" s="926"/>
      <c r="AA185" s="926"/>
      <c r="AB185" s="926"/>
      <c r="AC185" s="926"/>
      <c r="AD185" s="926"/>
      <c r="AE185" s="926"/>
      <c r="AF185" s="926"/>
      <c r="AG185" s="926"/>
      <c r="AH185" s="926"/>
      <c r="AI185" s="926"/>
      <c r="AJ185" s="926"/>
    </row>
    <row r="186" spans="1:36" ht="15" customHeight="1" x14ac:dyDescent="0.3">
      <c r="A186" s="926"/>
      <c r="B186" s="609"/>
      <c r="C186" s="962"/>
      <c r="D186" s="2771"/>
      <c r="E186" s="2771"/>
      <c r="F186" s="2771"/>
      <c r="G186" s="2771"/>
      <c r="H186" s="2771"/>
      <c r="I186" s="2771"/>
      <c r="J186" s="2771"/>
      <c r="K186" s="2771"/>
      <c r="L186" s="2771"/>
      <c r="M186" s="2772"/>
      <c r="N186" s="2772"/>
      <c r="O186" s="2772"/>
      <c r="P186" s="2770"/>
      <c r="Q186" s="2770"/>
      <c r="R186" s="2770"/>
      <c r="S186" s="2770"/>
      <c r="T186" s="963"/>
      <c r="U186" s="609"/>
      <c r="V186" s="926"/>
      <c r="W186" s="926"/>
      <c r="X186" s="926"/>
      <c r="Y186" s="926"/>
      <c r="Z186" s="926"/>
      <c r="AA186" s="926"/>
      <c r="AB186" s="926"/>
      <c r="AC186" s="926"/>
      <c r="AD186" s="926"/>
      <c r="AE186" s="926"/>
      <c r="AF186" s="926"/>
      <c r="AG186" s="926"/>
      <c r="AH186" s="926"/>
      <c r="AI186" s="926"/>
      <c r="AJ186" s="926"/>
    </row>
    <row r="187" spans="1:36" ht="15" customHeight="1" x14ac:dyDescent="0.3">
      <c r="A187" s="926"/>
      <c r="B187" s="609"/>
      <c r="C187" s="962"/>
      <c r="D187" s="2771" t="str">
        <f>UI.Streams!BL148</f>
        <v>Sludge manure, percentage to give away</v>
      </c>
      <c r="E187" s="2771"/>
      <c r="F187" s="2771"/>
      <c r="G187" s="2771"/>
      <c r="H187" s="2771"/>
      <c r="I187" s="2771"/>
      <c r="J187" s="2771"/>
      <c r="K187" s="2771"/>
      <c r="L187" s="2771"/>
      <c r="M187" s="2772">
        <f>UI.Streams!BC148</f>
        <v>1</v>
      </c>
      <c r="N187" s="2772"/>
      <c r="O187" s="2772"/>
      <c r="P187" s="2770" t="str">
        <f>$P$173</f>
        <v>% of excess</v>
      </c>
      <c r="Q187" s="2770"/>
      <c r="R187" s="2770" t="str">
        <f>UI.Streams!BM148</f>
        <v>Yes</v>
      </c>
      <c r="S187" s="2770"/>
      <c r="T187" s="963"/>
      <c r="U187" s="609"/>
      <c r="V187" s="926"/>
      <c r="W187" s="926"/>
      <c r="X187" s="926"/>
      <c r="Y187" s="926"/>
      <c r="Z187" s="926"/>
      <c r="AA187" s="926"/>
      <c r="AB187" s="926"/>
      <c r="AC187" s="926"/>
      <c r="AD187" s="926"/>
      <c r="AE187" s="926"/>
      <c r="AF187" s="926"/>
      <c r="AG187" s="926"/>
      <c r="AH187" s="926"/>
      <c r="AI187" s="926"/>
      <c r="AJ187" s="926"/>
    </row>
    <row r="188" spans="1:36" ht="15" customHeight="1" x14ac:dyDescent="0.3">
      <c r="A188" s="926"/>
      <c r="B188" s="609"/>
      <c r="C188" s="962"/>
      <c r="D188" s="2771"/>
      <c r="E188" s="2771"/>
      <c r="F188" s="2771"/>
      <c r="G188" s="2771"/>
      <c r="H188" s="2771"/>
      <c r="I188" s="2771"/>
      <c r="J188" s="2771"/>
      <c r="K188" s="2771"/>
      <c r="L188" s="2771"/>
      <c r="M188" s="2772"/>
      <c r="N188" s="2772"/>
      <c r="O188" s="2772"/>
      <c r="P188" s="2770"/>
      <c r="Q188" s="2770"/>
      <c r="R188" s="2770"/>
      <c r="S188" s="2770"/>
      <c r="T188" s="963"/>
      <c r="U188" s="609"/>
      <c r="V188" s="926"/>
      <c r="W188" s="926"/>
      <c r="X188" s="926"/>
      <c r="Y188" s="926"/>
      <c r="Z188" s="926"/>
      <c r="AA188" s="926"/>
      <c r="AB188" s="926"/>
      <c r="AC188" s="926"/>
      <c r="AD188" s="926"/>
      <c r="AE188" s="926"/>
      <c r="AF188" s="926"/>
      <c r="AG188" s="926"/>
      <c r="AH188" s="926"/>
      <c r="AI188" s="926"/>
      <c r="AJ188" s="926"/>
    </row>
    <row r="189" spans="1:36" ht="15" customHeight="1" x14ac:dyDescent="0.3">
      <c r="A189" s="926"/>
      <c r="B189" s="609"/>
      <c r="C189" s="962"/>
      <c r="D189" s="2771" t="str">
        <f>UI.Streams!BL149</f>
        <v>Separated solids manure, percentage to give away</v>
      </c>
      <c r="E189" s="2771"/>
      <c r="F189" s="2771"/>
      <c r="G189" s="2771"/>
      <c r="H189" s="2771"/>
      <c r="I189" s="2771"/>
      <c r="J189" s="2771"/>
      <c r="K189" s="2771"/>
      <c r="L189" s="2771"/>
      <c r="M189" s="2772">
        <f>UI.Streams!BC149</f>
        <v>0</v>
      </c>
      <c r="N189" s="2772"/>
      <c r="O189" s="2772"/>
      <c r="P189" s="2770" t="str">
        <f>$P$173</f>
        <v>% of excess</v>
      </c>
      <c r="Q189" s="2770"/>
      <c r="R189" s="2770" t="str">
        <f>UI.Streams!BM149</f>
        <v>Yes</v>
      </c>
      <c r="S189" s="2770"/>
      <c r="T189" s="963"/>
      <c r="U189" s="609"/>
      <c r="V189" s="926"/>
      <c r="W189" s="926"/>
      <c r="X189" s="926"/>
      <c r="Y189" s="926"/>
      <c r="Z189" s="926"/>
      <c r="AA189" s="926"/>
      <c r="AB189" s="926"/>
      <c r="AC189" s="926"/>
      <c r="AD189" s="926"/>
      <c r="AE189" s="926"/>
      <c r="AF189" s="926"/>
      <c r="AG189" s="926"/>
      <c r="AH189" s="926"/>
      <c r="AI189" s="926"/>
      <c r="AJ189" s="926"/>
    </row>
    <row r="190" spans="1:36" ht="15" customHeight="1" x14ac:dyDescent="0.3">
      <c r="A190" s="926"/>
      <c r="B190" s="609"/>
      <c r="C190" s="962"/>
      <c r="D190" s="2771"/>
      <c r="E190" s="2771"/>
      <c r="F190" s="2771"/>
      <c r="G190" s="2771"/>
      <c r="H190" s="2771"/>
      <c r="I190" s="2771"/>
      <c r="J190" s="2771"/>
      <c r="K190" s="2771"/>
      <c r="L190" s="2771"/>
      <c r="M190" s="2772"/>
      <c r="N190" s="2772"/>
      <c r="O190" s="2772"/>
      <c r="P190" s="2770"/>
      <c r="Q190" s="2770"/>
      <c r="R190" s="2770"/>
      <c r="S190" s="2770"/>
      <c r="T190" s="963"/>
      <c r="U190" s="609"/>
      <c r="V190" s="926"/>
      <c r="W190" s="926"/>
      <c r="X190" s="926"/>
      <c r="Y190" s="926"/>
      <c r="Z190" s="926"/>
      <c r="AA190" s="926"/>
      <c r="AB190" s="926"/>
      <c r="AC190" s="926"/>
      <c r="AD190" s="926"/>
      <c r="AE190" s="926"/>
      <c r="AF190" s="926"/>
      <c r="AG190" s="926"/>
      <c r="AH190" s="926"/>
      <c r="AI190" s="926"/>
      <c r="AJ190" s="926"/>
    </row>
    <row r="191" spans="1:36" ht="15" customHeight="1" x14ac:dyDescent="0.3">
      <c r="A191" s="926"/>
      <c r="B191" s="609"/>
      <c r="C191" s="962"/>
      <c r="D191" s="2771" t="str">
        <f>UI.Streams!BL150</f>
        <v>Compost manure, percentage to give away</v>
      </c>
      <c r="E191" s="2771"/>
      <c r="F191" s="2771"/>
      <c r="G191" s="2771"/>
      <c r="H191" s="2771"/>
      <c r="I191" s="2771"/>
      <c r="J191" s="2771"/>
      <c r="K191" s="2771"/>
      <c r="L191" s="2771"/>
      <c r="M191" s="2772">
        <f>UI.Streams!BC150</f>
        <v>0</v>
      </c>
      <c r="N191" s="2772"/>
      <c r="O191" s="2772"/>
      <c r="P191" s="2770" t="str">
        <f>$P$173</f>
        <v>% of excess</v>
      </c>
      <c r="Q191" s="2770"/>
      <c r="R191" s="2770" t="str">
        <f>UI.Streams!BM150</f>
        <v>Yes</v>
      </c>
      <c r="S191" s="2770"/>
      <c r="T191" s="963"/>
      <c r="U191" s="609"/>
      <c r="V191" s="926"/>
      <c r="W191" s="926"/>
      <c r="X191" s="926"/>
      <c r="Y191" s="926"/>
      <c r="Z191" s="926"/>
      <c r="AA191" s="926"/>
      <c r="AB191" s="926"/>
      <c r="AC191" s="926"/>
      <c r="AD191" s="926"/>
      <c r="AE191" s="926"/>
      <c r="AF191" s="926"/>
      <c r="AG191" s="926"/>
      <c r="AH191" s="926"/>
      <c r="AI191" s="926"/>
      <c r="AJ191" s="926"/>
    </row>
    <row r="192" spans="1:36" ht="15" customHeight="1" x14ac:dyDescent="0.3">
      <c r="A192" s="926"/>
      <c r="B192" s="609"/>
      <c r="C192" s="962"/>
      <c r="D192" s="2771"/>
      <c r="E192" s="2771"/>
      <c r="F192" s="2771"/>
      <c r="G192" s="2771"/>
      <c r="H192" s="2771"/>
      <c r="I192" s="2771"/>
      <c r="J192" s="2771"/>
      <c r="K192" s="2771"/>
      <c r="L192" s="2771"/>
      <c r="M192" s="2772"/>
      <c r="N192" s="2772"/>
      <c r="O192" s="2772"/>
      <c r="P192" s="2770"/>
      <c r="Q192" s="2770"/>
      <c r="R192" s="2770"/>
      <c r="S192" s="2770"/>
      <c r="T192" s="963"/>
      <c r="U192" s="609"/>
      <c r="V192" s="926"/>
      <c r="W192" s="926"/>
      <c r="X192" s="926"/>
      <c r="Y192" s="926"/>
      <c r="Z192" s="926"/>
      <c r="AA192" s="926"/>
      <c r="AB192" s="926"/>
      <c r="AC192" s="926"/>
      <c r="AD192" s="926"/>
      <c r="AE192" s="926"/>
      <c r="AF192" s="926"/>
      <c r="AG192" s="926"/>
      <c r="AH192" s="926"/>
      <c r="AI192" s="926"/>
      <c r="AJ192" s="926"/>
    </row>
    <row r="193" spans="1:36" ht="15" customHeight="1" x14ac:dyDescent="0.3">
      <c r="A193" s="926"/>
      <c r="B193" s="609"/>
      <c r="C193" s="962"/>
      <c r="D193" s="2771" t="str">
        <f>UI.Streams!BL151</f>
        <v>Liquid manure, percentage to sell</v>
      </c>
      <c r="E193" s="2771"/>
      <c r="F193" s="2771"/>
      <c r="G193" s="2771"/>
      <c r="H193" s="2771"/>
      <c r="I193" s="2771"/>
      <c r="J193" s="2771"/>
      <c r="K193" s="2771"/>
      <c r="L193" s="2771"/>
      <c r="M193" s="2772">
        <f>UI.Streams!BC151</f>
        <v>0</v>
      </c>
      <c r="N193" s="2772"/>
      <c r="O193" s="2772"/>
      <c r="P193" s="2770" t="str">
        <f>$P$173</f>
        <v>% of excess</v>
      </c>
      <c r="Q193" s="2770"/>
      <c r="R193" s="2770" t="str">
        <f>UI.Streams!BM151</f>
        <v>Yes</v>
      </c>
      <c r="S193" s="2770"/>
      <c r="T193" s="963"/>
      <c r="U193" s="609"/>
      <c r="V193" s="926"/>
      <c r="W193" s="926"/>
      <c r="X193" s="926"/>
      <c r="Y193" s="926"/>
      <c r="Z193" s="926"/>
      <c r="AA193" s="926"/>
      <c r="AB193" s="926"/>
      <c r="AC193" s="926"/>
      <c r="AD193" s="926"/>
      <c r="AE193" s="926"/>
      <c r="AF193" s="926"/>
      <c r="AG193" s="926"/>
      <c r="AH193" s="926"/>
      <c r="AI193" s="926"/>
      <c r="AJ193" s="926"/>
    </row>
    <row r="194" spans="1:36" ht="15" customHeight="1" x14ac:dyDescent="0.3">
      <c r="A194" s="926"/>
      <c r="B194" s="609"/>
      <c r="C194" s="962"/>
      <c r="D194" s="2771"/>
      <c r="E194" s="2771"/>
      <c r="F194" s="2771"/>
      <c r="G194" s="2771"/>
      <c r="H194" s="2771"/>
      <c r="I194" s="2771"/>
      <c r="J194" s="2771"/>
      <c r="K194" s="2771"/>
      <c r="L194" s="2771"/>
      <c r="M194" s="2772"/>
      <c r="N194" s="2772"/>
      <c r="O194" s="2772"/>
      <c r="P194" s="2770"/>
      <c r="Q194" s="2770"/>
      <c r="R194" s="2770"/>
      <c r="S194" s="2770"/>
      <c r="T194" s="963"/>
      <c r="U194" s="609"/>
      <c r="V194" s="926"/>
      <c r="W194" s="926"/>
      <c r="X194" s="926"/>
      <c r="Y194" s="926"/>
      <c r="Z194" s="926"/>
      <c r="AA194" s="926"/>
      <c r="AB194" s="926"/>
      <c r="AC194" s="926"/>
      <c r="AD194" s="926"/>
      <c r="AE194" s="926"/>
      <c r="AF194" s="926"/>
      <c r="AG194" s="926"/>
      <c r="AH194" s="926"/>
      <c r="AI194" s="926"/>
      <c r="AJ194" s="926"/>
    </row>
    <row r="195" spans="1:36" ht="15" customHeight="1" x14ac:dyDescent="0.3">
      <c r="A195" s="926"/>
      <c r="B195" s="609"/>
      <c r="C195" s="962"/>
      <c r="D195" s="2771" t="str">
        <f>UI.Streams!BL152</f>
        <v>Slurry manure, percentage to sell</v>
      </c>
      <c r="E195" s="2771"/>
      <c r="F195" s="2771"/>
      <c r="G195" s="2771"/>
      <c r="H195" s="2771"/>
      <c r="I195" s="2771"/>
      <c r="J195" s="2771"/>
      <c r="K195" s="2771"/>
      <c r="L195" s="2771"/>
      <c r="M195" s="2772">
        <f>UI.Streams!BC152</f>
        <v>0</v>
      </c>
      <c r="N195" s="2772"/>
      <c r="O195" s="2772"/>
      <c r="P195" s="2770" t="str">
        <f>$P$173</f>
        <v>% of excess</v>
      </c>
      <c r="Q195" s="2770"/>
      <c r="R195" s="2770" t="str">
        <f>UI.Streams!BM152</f>
        <v>Yes</v>
      </c>
      <c r="S195" s="2770"/>
      <c r="T195" s="963"/>
      <c r="U195" s="609"/>
      <c r="V195" s="926"/>
      <c r="W195" s="926"/>
      <c r="X195" s="926"/>
      <c r="Y195" s="926"/>
      <c r="Z195" s="926"/>
      <c r="AA195" s="926"/>
      <c r="AB195" s="926"/>
      <c r="AC195" s="926"/>
      <c r="AD195" s="926"/>
      <c r="AE195" s="926"/>
      <c r="AF195" s="926"/>
      <c r="AG195" s="926"/>
      <c r="AH195" s="926"/>
      <c r="AI195" s="926"/>
      <c r="AJ195" s="926"/>
    </row>
    <row r="196" spans="1:36" ht="15" customHeight="1" x14ac:dyDescent="0.3">
      <c r="A196" s="926"/>
      <c r="B196" s="609"/>
      <c r="C196" s="962"/>
      <c r="D196" s="2771"/>
      <c r="E196" s="2771"/>
      <c r="F196" s="2771"/>
      <c r="G196" s="2771"/>
      <c r="H196" s="2771"/>
      <c r="I196" s="2771"/>
      <c r="J196" s="2771"/>
      <c r="K196" s="2771"/>
      <c r="L196" s="2771"/>
      <c r="M196" s="2772"/>
      <c r="N196" s="2772"/>
      <c r="O196" s="2772"/>
      <c r="P196" s="2770"/>
      <c r="Q196" s="2770"/>
      <c r="R196" s="2770"/>
      <c r="S196" s="2770"/>
      <c r="T196" s="963"/>
      <c r="U196" s="609"/>
      <c r="V196" s="926"/>
      <c r="W196" s="926"/>
      <c r="X196" s="926"/>
      <c r="Y196" s="926"/>
      <c r="Z196" s="926"/>
      <c r="AA196" s="926"/>
      <c r="AB196" s="926"/>
      <c r="AC196" s="926"/>
      <c r="AD196" s="926"/>
      <c r="AE196" s="926"/>
      <c r="AF196" s="926"/>
      <c r="AG196" s="926"/>
      <c r="AH196" s="926"/>
      <c r="AI196" s="926"/>
      <c r="AJ196" s="926"/>
    </row>
    <row r="197" spans="1:36" ht="15" customHeight="1" x14ac:dyDescent="0.3">
      <c r="A197" s="926"/>
      <c r="B197" s="609"/>
      <c r="C197" s="962"/>
      <c r="D197" s="2771" t="str">
        <f>UI.Streams!BL153</f>
        <v>Sludge manure, percentage to sell</v>
      </c>
      <c r="E197" s="2771"/>
      <c r="F197" s="2771"/>
      <c r="G197" s="2771"/>
      <c r="H197" s="2771"/>
      <c r="I197" s="2771"/>
      <c r="J197" s="2771"/>
      <c r="K197" s="2771"/>
      <c r="L197" s="2771"/>
      <c r="M197" s="2772">
        <f>UI.Streams!BC153</f>
        <v>0</v>
      </c>
      <c r="N197" s="2772"/>
      <c r="O197" s="2772"/>
      <c r="P197" s="2770" t="str">
        <f>$P$173</f>
        <v>% of excess</v>
      </c>
      <c r="Q197" s="2770"/>
      <c r="R197" s="2770" t="str">
        <f>UI.Streams!BM153</f>
        <v>Yes</v>
      </c>
      <c r="S197" s="2770"/>
      <c r="T197" s="963"/>
      <c r="U197" s="609"/>
      <c r="V197" s="926"/>
      <c r="W197" s="926"/>
      <c r="X197" s="926"/>
      <c r="Y197" s="926"/>
      <c r="Z197" s="926"/>
      <c r="AA197" s="926"/>
      <c r="AB197" s="926"/>
      <c r="AC197" s="926"/>
      <c r="AD197" s="926"/>
      <c r="AE197" s="926"/>
      <c r="AF197" s="926"/>
      <c r="AG197" s="926"/>
      <c r="AH197" s="926"/>
      <c r="AI197" s="926"/>
      <c r="AJ197" s="926"/>
    </row>
    <row r="198" spans="1:36" ht="15" customHeight="1" x14ac:dyDescent="0.3">
      <c r="A198" s="926"/>
      <c r="B198" s="609"/>
      <c r="C198" s="962"/>
      <c r="D198" s="2771"/>
      <c r="E198" s="2771"/>
      <c r="F198" s="2771"/>
      <c r="G198" s="2771"/>
      <c r="H198" s="2771"/>
      <c r="I198" s="2771"/>
      <c r="J198" s="2771"/>
      <c r="K198" s="2771"/>
      <c r="L198" s="2771"/>
      <c r="M198" s="2772"/>
      <c r="N198" s="2772"/>
      <c r="O198" s="2772"/>
      <c r="P198" s="2770"/>
      <c r="Q198" s="2770"/>
      <c r="R198" s="2770"/>
      <c r="S198" s="2770"/>
      <c r="T198" s="963"/>
      <c r="U198" s="609"/>
      <c r="V198" s="926"/>
      <c r="W198" s="926"/>
      <c r="X198" s="926"/>
      <c r="Y198" s="926"/>
      <c r="Z198" s="926"/>
      <c r="AA198" s="926"/>
      <c r="AB198" s="926"/>
      <c r="AC198" s="926"/>
      <c r="AD198" s="926"/>
      <c r="AE198" s="926"/>
      <c r="AF198" s="926"/>
      <c r="AG198" s="926"/>
      <c r="AH198" s="926"/>
      <c r="AI198" s="926"/>
      <c r="AJ198" s="926"/>
    </row>
    <row r="199" spans="1:36" ht="15" customHeight="1" x14ac:dyDescent="0.3">
      <c r="A199" s="926"/>
      <c r="B199" s="609"/>
      <c r="C199" s="962"/>
      <c r="D199" s="2771" t="str">
        <f>UI.Streams!BL154</f>
        <v>Separated solids manure, percentage to sell</v>
      </c>
      <c r="E199" s="2771"/>
      <c r="F199" s="2771"/>
      <c r="G199" s="2771"/>
      <c r="H199" s="2771"/>
      <c r="I199" s="2771"/>
      <c r="J199" s="2771"/>
      <c r="K199" s="2771"/>
      <c r="L199" s="2771"/>
      <c r="M199" s="2772">
        <f>UI.Streams!BC154</f>
        <v>1</v>
      </c>
      <c r="N199" s="2772"/>
      <c r="O199" s="2772"/>
      <c r="P199" s="2770" t="str">
        <f>$P$173</f>
        <v>% of excess</v>
      </c>
      <c r="Q199" s="2770"/>
      <c r="R199" s="2770" t="str">
        <f>UI.Streams!BM154</f>
        <v>Yes</v>
      </c>
      <c r="S199" s="2770"/>
      <c r="T199" s="963"/>
      <c r="U199" s="609"/>
      <c r="V199" s="926"/>
      <c r="W199" s="926"/>
      <c r="X199" s="926"/>
      <c r="Y199" s="926"/>
      <c r="Z199" s="926"/>
      <c r="AA199" s="926"/>
      <c r="AB199" s="926"/>
      <c r="AC199" s="926"/>
      <c r="AD199" s="926"/>
      <c r="AE199" s="926"/>
      <c r="AF199" s="926"/>
      <c r="AG199" s="926"/>
      <c r="AH199" s="926"/>
      <c r="AI199" s="926"/>
      <c r="AJ199" s="926"/>
    </row>
    <row r="200" spans="1:36" ht="15" customHeight="1" x14ac:dyDescent="0.3">
      <c r="A200" s="926"/>
      <c r="B200" s="609"/>
      <c r="C200" s="962"/>
      <c r="D200" s="2771"/>
      <c r="E200" s="2771"/>
      <c r="F200" s="2771"/>
      <c r="G200" s="2771"/>
      <c r="H200" s="2771"/>
      <c r="I200" s="2771"/>
      <c r="J200" s="2771"/>
      <c r="K200" s="2771"/>
      <c r="L200" s="2771"/>
      <c r="M200" s="2772"/>
      <c r="N200" s="2772"/>
      <c r="O200" s="2772"/>
      <c r="P200" s="2770"/>
      <c r="Q200" s="2770"/>
      <c r="R200" s="2770"/>
      <c r="S200" s="2770"/>
      <c r="T200" s="963"/>
      <c r="U200" s="609"/>
      <c r="V200" s="926"/>
      <c r="W200" s="926"/>
      <c r="X200" s="926"/>
      <c r="Y200" s="926"/>
      <c r="Z200" s="926"/>
      <c r="AA200" s="926"/>
      <c r="AB200" s="926"/>
      <c r="AC200" s="926"/>
      <c r="AD200" s="926"/>
      <c r="AE200" s="926"/>
      <c r="AF200" s="926"/>
      <c r="AG200" s="926"/>
      <c r="AH200" s="926"/>
      <c r="AI200" s="926"/>
      <c r="AJ200" s="926"/>
    </row>
    <row r="201" spans="1:36" ht="15" customHeight="1" x14ac:dyDescent="0.3">
      <c r="A201" s="926"/>
      <c r="B201" s="609"/>
      <c r="C201" s="962"/>
      <c r="D201" s="2771" t="str">
        <f>UI.Streams!BL155</f>
        <v>Compost manure, percentage to sell</v>
      </c>
      <c r="E201" s="2771"/>
      <c r="F201" s="2771"/>
      <c r="G201" s="2771"/>
      <c r="H201" s="2771"/>
      <c r="I201" s="2771"/>
      <c r="J201" s="2771"/>
      <c r="K201" s="2771"/>
      <c r="L201" s="2771"/>
      <c r="M201" s="2772">
        <f>UI.Streams!BC155</f>
        <v>1</v>
      </c>
      <c r="N201" s="2772"/>
      <c r="O201" s="2772"/>
      <c r="P201" s="2770" t="str">
        <f>$P$173</f>
        <v>% of excess</v>
      </c>
      <c r="Q201" s="2770"/>
      <c r="R201" s="2770" t="str">
        <f>UI.Streams!BM155</f>
        <v>Yes</v>
      </c>
      <c r="S201" s="2770"/>
      <c r="T201" s="963"/>
      <c r="U201" s="609"/>
      <c r="V201" s="926"/>
      <c r="W201" s="926"/>
      <c r="X201" s="926"/>
      <c r="Y201" s="926"/>
      <c r="Z201" s="926"/>
      <c r="AA201" s="926"/>
      <c r="AB201" s="926"/>
      <c r="AC201" s="926"/>
      <c r="AD201" s="926"/>
      <c r="AE201" s="926"/>
      <c r="AF201" s="926"/>
      <c r="AG201" s="926"/>
      <c r="AH201" s="926"/>
      <c r="AI201" s="926"/>
      <c r="AJ201" s="926"/>
    </row>
    <row r="202" spans="1:36" ht="15" customHeight="1" x14ac:dyDescent="0.3">
      <c r="A202" s="926"/>
      <c r="B202" s="609"/>
      <c r="C202" s="962"/>
      <c r="D202" s="2771"/>
      <c r="E202" s="2771"/>
      <c r="F202" s="2771"/>
      <c r="G202" s="2771"/>
      <c r="H202" s="2771"/>
      <c r="I202" s="2771"/>
      <c r="J202" s="2771"/>
      <c r="K202" s="2771"/>
      <c r="L202" s="2771"/>
      <c r="M202" s="2772"/>
      <c r="N202" s="2772"/>
      <c r="O202" s="2772"/>
      <c r="P202" s="2770"/>
      <c r="Q202" s="2770"/>
      <c r="R202" s="2770"/>
      <c r="S202" s="2770"/>
      <c r="T202" s="963"/>
      <c r="U202" s="609"/>
      <c r="V202" s="926"/>
      <c r="W202" s="926"/>
      <c r="X202" s="926"/>
      <c r="Y202" s="926"/>
      <c r="Z202" s="926"/>
      <c r="AA202" s="926"/>
      <c r="AB202" s="926"/>
      <c r="AC202" s="926"/>
      <c r="AD202" s="926"/>
      <c r="AE202" s="926"/>
      <c r="AF202" s="926"/>
      <c r="AG202" s="926"/>
      <c r="AH202" s="926"/>
      <c r="AI202" s="926"/>
      <c r="AJ202" s="926"/>
    </row>
    <row r="203" spans="1:36" ht="15" customHeight="1" x14ac:dyDescent="0.3">
      <c r="A203" s="926"/>
      <c r="B203" s="609"/>
      <c r="C203" s="962"/>
      <c r="D203" s="2771" t="str">
        <f>UI.Streams!BL156</f>
        <v>Liquid manure, cost to export</v>
      </c>
      <c r="E203" s="2771"/>
      <c r="F203" s="2771"/>
      <c r="G203" s="2771"/>
      <c r="H203" s="2771"/>
      <c r="I203" s="2771"/>
      <c r="J203" s="2771"/>
      <c r="K203" s="2771"/>
      <c r="L203" s="2771"/>
      <c r="M203" s="2772">
        <f>UI.Streams!BC156</f>
        <v>16.7</v>
      </c>
      <c r="N203" s="2772"/>
      <c r="O203" s="2772"/>
      <c r="P203" s="2770" t="str">
        <f>UI.Streams!BG156</f>
        <v>$/1000 gal</v>
      </c>
      <c r="Q203" s="2770"/>
      <c r="R203" s="2770" t="str">
        <f>UI.Streams!BM156</f>
        <v>Yes</v>
      </c>
      <c r="S203" s="2770"/>
      <c r="T203" s="963"/>
      <c r="U203" s="609"/>
      <c r="V203" s="926"/>
      <c r="W203" s="926"/>
      <c r="X203" s="926"/>
      <c r="Y203" s="926"/>
      <c r="Z203" s="926"/>
      <c r="AA203" s="926"/>
      <c r="AB203" s="926"/>
      <c r="AC203" s="926"/>
      <c r="AD203" s="926"/>
      <c r="AE203" s="926"/>
      <c r="AF203" s="926"/>
      <c r="AG203" s="926"/>
      <c r="AH203" s="926"/>
      <c r="AI203" s="926"/>
      <c r="AJ203" s="926"/>
    </row>
    <row r="204" spans="1:36" ht="15" customHeight="1" x14ac:dyDescent="0.3">
      <c r="A204" s="926"/>
      <c r="B204" s="609"/>
      <c r="C204" s="962"/>
      <c r="D204" s="2771"/>
      <c r="E204" s="2771"/>
      <c r="F204" s="2771"/>
      <c r="G204" s="2771"/>
      <c r="H204" s="2771"/>
      <c r="I204" s="2771"/>
      <c r="J204" s="2771"/>
      <c r="K204" s="2771"/>
      <c r="L204" s="2771"/>
      <c r="M204" s="2772"/>
      <c r="N204" s="2772"/>
      <c r="O204" s="2772"/>
      <c r="P204" s="2770"/>
      <c r="Q204" s="2770"/>
      <c r="R204" s="2770"/>
      <c r="S204" s="2770"/>
      <c r="T204" s="963"/>
      <c r="U204" s="609"/>
      <c r="V204" s="926"/>
      <c r="W204" s="926"/>
      <c r="X204" s="926"/>
      <c r="Y204" s="926"/>
      <c r="Z204" s="926"/>
      <c r="AA204" s="926"/>
      <c r="AB204" s="926"/>
      <c r="AC204" s="926"/>
      <c r="AD204" s="926"/>
      <c r="AE204" s="926"/>
      <c r="AF204" s="926"/>
      <c r="AG204" s="926"/>
      <c r="AH204" s="926"/>
      <c r="AI204" s="926"/>
      <c r="AJ204" s="926"/>
    </row>
    <row r="205" spans="1:36" ht="15" customHeight="1" x14ac:dyDescent="0.3">
      <c r="A205" s="926"/>
      <c r="B205" s="609"/>
      <c r="C205" s="962"/>
      <c r="D205" s="2771" t="str">
        <f>UI.Streams!BL157</f>
        <v>Slurry manure, cost to export</v>
      </c>
      <c r="E205" s="2771"/>
      <c r="F205" s="2771"/>
      <c r="G205" s="2771"/>
      <c r="H205" s="2771"/>
      <c r="I205" s="2771"/>
      <c r="J205" s="2771"/>
      <c r="K205" s="2771"/>
      <c r="L205" s="2771"/>
      <c r="M205" s="2772">
        <f>UI.Streams!BC157</f>
        <v>16.7</v>
      </c>
      <c r="N205" s="2772"/>
      <c r="O205" s="2772"/>
      <c r="P205" s="2770" t="str">
        <f>UI.Streams!BG157</f>
        <v>$/1000 gal</v>
      </c>
      <c r="Q205" s="2770"/>
      <c r="R205" s="2770" t="str">
        <f>UI.Streams!BM157</f>
        <v>Yes</v>
      </c>
      <c r="S205" s="2770"/>
      <c r="T205" s="963"/>
      <c r="U205" s="609"/>
      <c r="V205" s="926"/>
      <c r="W205" s="926"/>
      <c r="X205" s="926"/>
      <c r="Y205" s="926"/>
      <c r="Z205" s="926"/>
      <c r="AA205" s="926"/>
      <c r="AB205" s="926"/>
      <c r="AC205" s="926"/>
      <c r="AD205" s="926"/>
      <c r="AE205" s="926"/>
      <c r="AF205" s="926"/>
      <c r="AG205" s="926"/>
      <c r="AH205" s="926"/>
      <c r="AI205" s="926"/>
      <c r="AJ205" s="926"/>
    </row>
    <row r="206" spans="1:36" ht="15" customHeight="1" x14ac:dyDescent="0.3">
      <c r="A206" s="926"/>
      <c r="B206" s="609"/>
      <c r="C206" s="962"/>
      <c r="D206" s="2771"/>
      <c r="E206" s="2771"/>
      <c r="F206" s="2771"/>
      <c r="G206" s="2771"/>
      <c r="H206" s="2771"/>
      <c r="I206" s="2771"/>
      <c r="J206" s="2771"/>
      <c r="K206" s="2771"/>
      <c r="L206" s="2771"/>
      <c r="M206" s="2772"/>
      <c r="N206" s="2772"/>
      <c r="O206" s="2772"/>
      <c r="P206" s="2770"/>
      <c r="Q206" s="2770"/>
      <c r="R206" s="2770"/>
      <c r="S206" s="2770"/>
      <c r="T206" s="963"/>
      <c r="U206" s="609"/>
      <c r="V206" s="926"/>
      <c r="W206" s="926"/>
      <c r="X206" s="926"/>
      <c r="Y206" s="926"/>
      <c r="Z206" s="926"/>
      <c r="AA206" s="926"/>
      <c r="AB206" s="926"/>
      <c r="AC206" s="926"/>
      <c r="AD206" s="926"/>
      <c r="AE206" s="926"/>
      <c r="AF206" s="926"/>
      <c r="AG206" s="926"/>
      <c r="AH206" s="926"/>
      <c r="AI206" s="926"/>
      <c r="AJ206" s="926"/>
    </row>
    <row r="207" spans="1:36" ht="15" customHeight="1" x14ac:dyDescent="0.3">
      <c r="A207" s="926"/>
      <c r="B207" s="609"/>
      <c r="C207" s="962"/>
      <c r="D207" s="2771" t="str">
        <f>UI.Streams!BL158</f>
        <v>Sludge manure, cost to export</v>
      </c>
      <c r="E207" s="2771"/>
      <c r="F207" s="2771"/>
      <c r="G207" s="2771"/>
      <c r="H207" s="2771"/>
      <c r="I207" s="2771"/>
      <c r="J207" s="2771"/>
      <c r="K207" s="2771"/>
      <c r="L207" s="2771"/>
      <c r="M207" s="2772">
        <f>UI.Streams!BC158</f>
        <v>16.7</v>
      </c>
      <c r="N207" s="2772"/>
      <c r="O207" s="2772"/>
      <c r="P207" s="2770" t="str">
        <f>UI.Streams!BG158</f>
        <v>$/1000 gal</v>
      </c>
      <c r="Q207" s="2770"/>
      <c r="R207" s="2770" t="str">
        <f>UI.Streams!BM158</f>
        <v>Yes</v>
      </c>
      <c r="S207" s="2770"/>
      <c r="T207" s="963"/>
      <c r="U207" s="609"/>
      <c r="V207" s="926"/>
      <c r="W207" s="926"/>
      <c r="X207" s="926"/>
      <c r="Y207" s="926"/>
      <c r="Z207" s="926"/>
      <c r="AA207" s="926"/>
      <c r="AB207" s="926"/>
      <c r="AC207" s="926"/>
      <c r="AD207" s="926"/>
      <c r="AE207" s="926"/>
      <c r="AF207" s="926"/>
      <c r="AG207" s="926"/>
      <c r="AH207" s="926"/>
      <c r="AI207" s="926"/>
      <c r="AJ207" s="926"/>
    </row>
    <row r="208" spans="1:36" ht="15" customHeight="1" x14ac:dyDescent="0.3">
      <c r="A208" s="926"/>
      <c r="B208" s="609"/>
      <c r="C208" s="962"/>
      <c r="D208" s="2771"/>
      <c r="E208" s="2771"/>
      <c r="F208" s="2771"/>
      <c r="G208" s="2771"/>
      <c r="H208" s="2771"/>
      <c r="I208" s="2771"/>
      <c r="J208" s="2771"/>
      <c r="K208" s="2771"/>
      <c r="L208" s="2771"/>
      <c r="M208" s="2772"/>
      <c r="N208" s="2772"/>
      <c r="O208" s="2772"/>
      <c r="P208" s="2770"/>
      <c r="Q208" s="2770"/>
      <c r="R208" s="2770"/>
      <c r="S208" s="2770"/>
      <c r="T208" s="963"/>
      <c r="U208" s="609"/>
      <c r="V208" s="926"/>
      <c r="W208" s="926"/>
      <c r="X208" s="926"/>
      <c r="Y208" s="926"/>
      <c r="Z208" s="926"/>
      <c r="AA208" s="926"/>
      <c r="AB208" s="926"/>
      <c r="AC208" s="926"/>
      <c r="AD208" s="926"/>
      <c r="AE208" s="926"/>
      <c r="AF208" s="926"/>
      <c r="AG208" s="926"/>
      <c r="AH208" s="926"/>
      <c r="AI208" s="926"/>
      <c r="AJ208" s="926"/>
    </row>
    <row r="209" spans="1:36" ht="15" customHeight="1" x14ac:dyDescent="0.3">
      <c r="A209" s="926"/>
      <c r="B209" s="609"/>
      <c r="C209" s="962"/>
      <c r="D209" s="2771" t="str">
        <f>UI.Streams!BL159</f>
        <v>Separated solids manure, cost to export</v>
      </c>
      <c r="E209" s="2771"/>
      <c r="F209" s="2771"/>
      <c r="G209" s="2771"/>
      <c r="H209" s="2771"/>
      <c r="I209" s="2771"/>
      <c r="J209" s="2771"/>
      <c r="K209" s="2771"/>
      <c r="L209" s="2771"/>
      <c r="M209" s="2772">
        <f>UI.Streams!BC159</f>
        <v>41.5</v>
      </c>
      <c r="N209" s="2772"/>
      <c r="O209" s="2772"/>
      <c r="P209" s="2770" t="str">
        <f>UI.Streams!BG159</f>
        <v>$/ton (2000 lb)</v>
      </c>
      <c r="Q209" s="2770"/>
      <c r="R209" s="2770" t="str">
        <f>UI.Streams!BM159</f>
        <v>Yes</v>
      </c>
      <c r="S209" s="2770"/>
      <c r="T209" s="963"/>
      <c r="U209" s="609"/>
      <c r="V209" s="926"/>
      <c r="W209" s="926"/>
      <c r="X209" s="926"/>
      <c r="Y209" s="926"/>
      <c r="Z209" s="926"/>
      <c r="AA209" s="926"/>
      <c r="AB209" s="926"/>
      <c r="AC209" s="926"/>
      <c r="AD209" s="926"/>
      <c r="AE209" s="926"/>
      <c r="AF209" s="926"/>
      <c r="AG209" s="926"/>
      <c r="AH209" s="926"/>
      <c r="AI209" s="926"/>
      <c r="AJ209" s="926"/>
    </row>
    <row r="210" spans="1:36" ht="15" customHeight="1" x14ac:dyDescent="0.3">
      <c r="A210" s="926"/>
      <c r="B210" s="609"/>
      <c r="C210" s="962"/>
      <c r="D210" s="2771"/>
      <c r="E210" s="2771"/>
      <c r="F210" s="2771"/>
      <c r="G210" s="2771"/>
      <c r="H210" s="2771"/>
      <c r="I210" s="2771"/>
      <c r="J210" s="2771"/>
      <c r="K210" s="2771"/>
      <c r="L210" s="2771"/>
      <c r="M210" s="2772"/>
      <c r="N210" s="2772"/>
      <c r="O210" s="2772"/>
      <c r="P210" s="2770"/>
      <c r="Q210" s="2770"/>
      <c r="R210" s="2770"/>
      <c r="S210" s="2770"/>
      <c r="T210" s="963"/>
      <c r="U210" s="609"/>
      <c r="V210" s="926"/>
      <c r="W210" s="926"/>
      <c r="X210" s="926"/>
      <c r="Y210" s="926"/>
      <c r="Z210" s="926"/>
      <c r="AA210" s="926"/>
      <c r="AB210" s="926"/>
      <c r="AC210" s="926"/>
      <c r="AD210" s="926"/>
      <c r="AE210" s="926"/>
      <c r="AF210" s="926"/>
      <c r="AG210" s="926"/>
      <c r="AH210" s="926"/>
      <c r="AI210" s="926"/>
      <c r="AJ210" s="926"/>
    </row>
    <row r="211" spans="1:36" ht="15" customHeight="1" x14ac:dyDescent="0.3">
      <c r="A211" s="926"/>
      <c r="B211" s="609"/>
      <c r="C211" s="962"/>
      <c r="D211" s="2771" t="str">
        <f>UI.Streams!BL160</f>
        <v>Compost manure, cost to export</v>
      </c>
      <c r="E211" s="2771"/>
      <c r="F211" s="2771"/>
      <c r="G211" s="2771"/>
      <c r="H211" s="2771"/>
      <c r="I211" s="2771"/>
      <c r="J211" s="2771"/>
      <c r="K211" s="2771"/>
      <c r="L211" s="2771"/>
      <c r="M211" s="2772">
        <f>UI.Streams!BC160</f>
        <v>41.5</v>
      </c>
      <c r="N211" s="2772"/>
      <c r="O211" s="2772"/>
      <c r="P211" s="2770" t="str">
        <f>UI.Streams!BG160</f>
        <v>$/ton (2000 lb)</v>
      </c>
      <c r="Q211" s="2770"/>
      <c r="R211" s="2770" t="str">
        <f>UI.Streams!BM160</f>
        <v>Yes</v>
      </c>
      <c r="S211" s="2770"/>
      <c r="T211" s="963"/>
      <c r="U211" s="609"/>
      <c r="V211" s="926"/>
      <c r="W211" s="926"/>
      <c r="X211" s="926"/>
      <c r="Y211" s="926"/>
      <c r="Z211" s="926"/>
      <c r="AA211" s="926"/>
      <c r="AB211" s="926"/>
      <c r="AC211" s="926"/>
      <c r="AD211" s="926"/>
      <c r="AE211" s="926"/>
      <c r="AF211" s="926"/>
      <c r="AG211" s="926"/>
      <c r="AH211" s="926"/>
      <c r="AI211" s="926"/>
      <c r="AJ211" s="926"/>
    </row>
    <row r="212" spans="1:36" ht="15" customHeight="1" x14ac:dyDescent="0.3">
      <c r="A212" s="926"/>
      <c r="B212" s="609"/>
      <c r="C212" s="962"/>
      <c r="D212" s="2771"/>
      <c r="E212" s="2771"/>
      <c r="F212" s="2771"/>
      <c r="G212" s="2771"/>
      <c r="H212" s="2771"/>
      <c r="I212" s="2771"/>
      <c r="J212" s="2771"/>
      <c r="K212" s="2771"/>
      <c r="L212" s="2771"/>
      <c r="M212" s="2772"/>
      <c r="N212" s="2772"/>
      <c r="O212" s="2772"/>
      <c r="P212" s="2770"/>
      <c r="Q212" s="2770"/>
      <c r="R212" s="2770"/>
      <c r="S212" s="2770"/>
      <c r="T212" s="963"/>
      <c r="U212" s="609"/>
      <c r="V212" s="926"/>
      <c r="W212" s="926"/>
      <c r="X212" s="926"/>
      <c r="Y212" s="926"/>
      <c r="Z212" s="926"/>
      <c r="AA212" s="926"/>
      <c r="AB212" s="926"/>
      <c r="AC212" s="926"/>
      <c r="AD212" s="926"/>
      <c r="AE212" s="926"/>
      <c r="AF212" s="926"/>
      <c r="AG212" s="926"/>
      <c r="AH212" s="926"/>
      <c r="AI212" s="926"/>
      <c r="AJ212" s="926"/>
    </row>
    <row r="213" spans="1:36" ht="15" customHeight="1" x14ac:dyDescent="0.3">
      <c r="A213" s="926"/>
      <c r="B213" s="609"/>
      <c r="C213" s="962"/>
      <c r="D213" s="2771" t="str">
        <f>UI.Streams!BL161</f>
        <v>Liquid manure, price to sell</v>
      </c>
      <c r="E213" s="2771"/>
      <c r="F213" s="2771"/>
      <c r="G213" s="2771"/>
      <c r="H213" s="2771"/>
      <c r="I213" s="2771"/>
      <c r="J213" s="2771"/>
      <c r="K213" s="2771"/>
      <c r="L213" s="2771"/>
      <c r="M213" s="2772">
        <f>UI.Streams!BC161</f>
        <v>3.5</v>
      </c>
      <c r="N213" s="2772"/>
      <c r="O213" s="2772"/>
      <c r="P213" s="2770" t="str">
        <f>UI.Streams!BG161</f>
        <v>$/1000 gal</v>
      </c>
      <c r="Q213" s="2770"/>
      <c r="R213" s="2770" t="str">
        <f>UI.Streams!BM161</f>
        <v>Yes</v>
      </c>
      <c r="S213" s="2770"/>
      <c r="T213" s="963"/>
      <c r="U213" s="609"/>
      <c r="V213" s="926"/>
      <c r="W213" s="926"/>
      <c r="X213" s="926"/>
      <c r="Y213" s="926"/>
      <c r="Z213" s="926"/>
      <c r="AA213" s="926"/>
      <c r="AB213" s="926"/>
      <c r="AC213" s="926"/>
      <c r="AD213" s="926"/>
      <c r="AE213" s="926"/>
      <c r="AF213" s="926"/>
      <c r="AG213" s="926"/>
      <c r="AH213" s="926"/>
      <c r="AI213" s="926"/>
      <c r="AJ213" s="926"/>
    </row>
    <row r="214" spans="1:36" ht="15" customHeight="1" x14ac:dyDescent="0.3">
      <c r="A214" s="926"/>
      <c r="B214" s="609"/>
      <c r="C214" s="962"/>
      <c r="D214" s="2771"/>
      <c r="E214" s="2771"/>
      <c r="F214" s="2771"/>
      <c r="G214" s="2771"/>
      <c r="H214" s="2771"/>
      <c r="I214" s="2771"/>
      <c r="J214" s="2771"/>
      <c r="K214" s="2771"/>
      <c r="L214" s="2771"/>
      <c r="M214" s="2772"/>
      <c r="N214" s="2772"/>
      <c r="O214" s="2772"/>
      <c r="P214" s="2770"/>
      <c r="Q214" s="2770"/>
      <c r="R214" s="2770"/>
      <c r="S214" s="2770"/>
      <c r="T214" s="963"/>
      <c r="U214" s="609"/>
      <c r="V214" s="926"/>
      <c r="W214" s="926"/>
      <c r="X214" s="926"/>
      <c r="Y214" s="926"/>
      <c r="Z214" s="926"/>
      <c r="AA214" s="926"/>
      <c r="AB214" s="926"/>
      <c r="AC214" s="926"/>
      <c r="AD214" s="926"/>
      <c r="AE214" s="926"/>
      <c r="AF214" s="926"/>
      <c r="AG214" s="926"/>
      <c r="AH214" s="926"/>
      <c r="AI214" s="926"/>
      <c r="AJ214" s="926"/>
    </row>
    <row r="215" spans="1:36" ht="15" customHeight="1" x14ac:dyDescent="0.3">
      <c r="A215" s="926"/>
      <c r="B215" s="609"/>
      <c r="C215" s="962"/>
      <c r="D215" s="2771" t="str">
        <f>UI.Streams!BL162</f>
        <v>Slurry manure, price to sell</v>
      </c>
      <c r="E215" s="2771"/>
      <c r="F215" s="2771"/>
      <c r="G215" s="2771"/>
      <c r="H215" s="2771"/>
      <c r="I215" s="2771"/>
      <c r="J215" s="2771"/>
      <c r="K215" s="2771"/>
      <c r="L215" s="2771"/>
      <c r="M215" s="2772">
        <f>UI.Streams!BC162</f>
        <v>6</v>
      </c>
      <c r="N215" s="2772"/>
      <c r="O215" s="2772"/>
      <c r="P215" s="2770" t="str">
        <f>UI.Streams!BG162</f>
        <v>$/1000 gal</v>
      </c>
      <c r="Q215" s="2770"/>
      <c r="R215" s="2770" t="str">
        <f>UI.Streams!BM162</f>
        <v>Yes</v>
      </c>
      <c r="S215" s="2770"/>
      <c r="T215" s="963"/>
      <c r="U215" s="609"/>
      <c r="V215" s="926"/>
      <c r="W215" s="926"/>
      <c r="X215" s="926"/>
      <c r="Y215" s="926"/>
      <c r="Z215" s="926"/>
      <c r="AA215" s="926"/>
      <c r="AB215" s="926"/>
      <c r="AC215" s="926"/>
      <c r="AD215" s="926"/>
      <c r="AE215" s="926"/>
      <c r="AF215" s="926"/>
      <c r="AG215" s="926"/>
      <c r="AH215" s="926"/>
      <c r="AI215" s="926"/>
      <c r="AJ215" s="926"/>
    </row>
    <row r="216" spans="1:36" ht="15" customHeight="1" x14ac:dyDescent="0.3">
      <c r="A216" s="926"/>
      <c r="B216" s="609"/>
      <c r="C216" s="962"/>
      <c r="D216" s="2771"/>
      <c r="E216" s="2771"/>
      <c r="F216" s="2771"/>
      <c r="G216" s="2771"/>
      <c r="H216" s="2771"/>
      <c r="I216" s="2771"/>
      <c r="J216" s="2771"/>
      <c r="K216" s="2771"/>
      <c r="L216" s="2771"/>
      <c r="M216" s="2772"/>
      <c r="N216" s="2772"/>
      <c r="O216" s="2772"/>
      <c r="P216" s="2770"/>
      <c r="Q216" s="2770"/>
      <c r="R216" s="2770"/>
      <c r="S216" s="2770"/>
      <c r="T216" s="963"/>
      <c r="U216" s="609"/>
      <c r="V216" s="926"/>
      <c r="W216" s="926"/>
      <c r="X216" s="926"/>
      <c r="Y216" s="926"/>
      <c r="Z216" s="926"/>
      <c r="AA216" s="926"/>
      <c r="AB216" s="926"/>
      <c r="AC216" s="926"/>
      <c r="AD216" s="926"/>
      <c r="AE216" s="926"/>
      <c r="AF216" s="926"/>
      <c r="AG216" s="926"/>
      <c r="AH216" s="926"/>
      <c r="AI216" s="926"/>
      <c r="AJ216" s="926"/>
    </row>
    <row r="217" spans="1:36" ht="15" customHeight="1" x14ac:dyDescent="0.3">
      <c r="A217" s="926"/>
      <c r="B217" s="609"/>
      <c r="C217" s="962"/>
      <c r="D217" s="2771" t="str">
        <f>UI.Streams!BL163</f>
        <v>Sludge manure, price to sell</v>
      </c>
      <c r="E217" s="2771"/>
      <c r="F217" s="2771"/>
      <c r="G217" s="2771"/>
      <c r="H217" s="2771"/>
      <c r="I217" s="2771"/>
      <c r="J217" s="2771"/>
      <c r="K217" s="2771"/>
      <c r="L217" s="2771"/>
      <c r="M217" s="2772">
        <f>UI.Streams!BC163</f>
        <v>40</v>
      </c>
      <c r="N217" s="2772"/>
      <c r="O217" s="2772"/>
      <c r="P217" s="2770" t="str">
        <f>UI.Streams!BG163</f>
        <v>$/1000 gal</v>
      </c>
      <c r="Q217" s="2770"/>
      <c r="R217" s="2770" t="str">
        <f>UI.Streams!BM163</f>
        <v>Yes</v>
      </c>
      <c r="S217" s="2770"/>
      <c r="T217" s="963"/>
      <c r="U217" s="609"/>
      <c r="V217" s="926"/>
      <c r="W217" s="926"/>
      <c r="X217" s="926"/>
      <c r="Y217" s="926"/>
      <c r="Z217" s="926"/>
      <c r="AA217" s="926"/>
      <c r="AB217" s="926"/>
      <c r="AC217" s="926"/>
      <c r="AD217" s="926"/>
      <c r="AE217" s="926"/>
      <c r="AF217" s="926"/>
      <c r="AG217" s="926"/>
      <c r="AH217" s="926"/>
      <c r="AI217" s="926"/>
      <c r="AJ217" s="926"/>
    </row>
    <row r="218" spans="1:36" ht="15" customHeight="1" x14ac:dyDescent="0.3">
      <c r="A218" s="926"/>
      <c r="B218" s="609"/>
      <c r="C218" s="962"/>
      <c r="D218" s="2771"/>
      <c r="E218" s="2771"/>
      <c r="F218" s="2771"/>
      <c r="G218" s="2771"/>
      <c r="H218" s="2771"/>
      <c r="I218" s="2771"/>
      <c r="J218" s="2771"/>
      <c r="K218" s="2771"/>
      <c r="L218" s="2771"/>
      <c r="M218" s="2772"/>
      <c r="N218" s="2772"/>
      <c r="O218" s="2772"/>
      <c r="P218" s="2770"/>
      <c r="Q218" s="2770"/>
      <c r="R218" s="2770"/>
      <c r="S218" s="2770"/>
      <c r="T218" s="963"/>
      <c r="U218" s="609"/>
      <c r="V218" s="926"/>
      <c r="W218" s="926"/>
      <c r="X218" s="926"/>
      <c r="Y218" s="926"/>
      <c r="Z218" s="926"/>
      <c r="AA218" s="926"/>
      <c r="AB218" s="926"/>
      <c r="AC218" s="926"/>
      <c r="AD218" s="926"/>
      <c r="AE218" s="926"/>
      <c r="AF218" s="926"/>
      <c r="AG218" s="926"/>
      <c r="AH218" s="926"/>
      <c r="AI218" s="926"/>
      <c r="AJ218" s="926"/>
    </row>
    <row r="219" spans="1:36" ht="15" customHeight="1" x14ac:dyDescent="0.3">
      <c r="A219" s="926"/>
      <c r="B219" s="609"/>
      <c r="C219" s="962"/>
      <c r="D219" s="2771" t="str">
        <f>UI.Streams!BL164</f>
        <v>Separated solids manure, price to sell</v>
      </c>
      <c r="E219" s="2771"/>
      <c r="F219" s="2771"/>
      <c r="G219" s="2771"/>
      <c r="H219" s="2771"/>
      <c r="I219" s="2771"/>
      <c r="J219" s="2771"/>
      <c r="K219" s="2771"/>
      <c r="L219" s="2771"/>
      <c r="M219" s="2772">
        <f>UI.Streams!BC164</f>
        <v>26.5</v>
      </c>
      <c r="N219" s="2772"/>
      <c r="O219" s="2772"/>
      <c r="P219" s="2770" t="str">
        <f>UI.Streams!BG164</f>
        <v>$/ton (2000 lb)</v>
      </c>
      <c r="Q219" s="2770"/>
      <c r="R219" s="2770" t="str">
        <f>UI.Streams!BM164</f>
        <v>Yes</v>
      </c>
      <c r="S219" s="2770"/>
      <c r="T219" s="963"/>
      <c r="U219" s="609"/>
      <c r="V219" s="926"/>
      <c r="W219" s="926"/>
      <c r="X219" s="926"/>
      <c r="Y219" s="926"/>
      <c r="Z219" s="926"/>
      <c r="AA219" s="926"/>
      <c r="AB219" s="926"/>
      <c r="AC219" s="926"/>
      <c r="AD219" s="926"/>
      <c r="AE219" s="926"/>
      <c r="AF219" s="926"/>
      <c r="AG219" s="926"/>
      <c r="AH219" s="926"/>
      <c r="AI219" s="926"/>
      <c r="AJ219" s="926"/>
    </row>
    <row r="220" spans="1:36" ht="15" customHeight="1" x14ac:dyDescent="0.3">
      <c r="A220" s="926"/>
      <c r="B220" s="609"/>
      <c r="C220" s="962"/>
      <c r="D220" s="2771"/>
      <c r="E220" s="2771"/>
      <c r="F220" s="2771"/>
      <c r="G220" s="2771"/>
      <c r="H220" s="2771"/>
      <c r="I220" s="2771"/>
      <c r="J220" s="2771"/>
      <c r="K220" s="2771"/>
      <c r="L220" s="2771"/>
      <c r="M220" s="2772"/>
      <c r="N220" s="2772"/>
      <c r="O220" s="2772"/>
      <c r="P220" s="2770"/>
      <c r="Q220" s="2770"/>
      <c r="R220" s="2770"/>
      <c r="S220" s="2770"/>
      <c r="T220" s="963"/>
      <c r="U220" s="609"/>
      <c r="V220" s="926"/>
      <c r="W220" s="926"/>
      <c r="X220" s="926"/>
      <c r="Y220" s="926"/>
      <c r="Z220" s="926"/>
      <c r="AA220" s="926"/>
      <c r="AB220" s="926"/>
      <c r="AC220" s="926"/>
      <c r="AD220" s="926"/>
      <c r="AE220" s="926"/>
      <c r="AF220" s="926"/>
      <c r="AG220" s="926"/>
      <c r="AH220" s="926"/>
      <c r="AI220" s="926"/>
      <c r="AJ220" s="926"/>
    </row>
    <row r="221" spans="1:36" ht="15" customHeight="1" x14ac:dyDescent="0.3">
      <c r="A221" s="926"/>
      <c r="B221" s="609"/>
      <c r="C221" s="962"/>
      <c r="D221" s="2771" t="str">
        <f>UI.Streams!BL165</f>
        <v>Compost manure, price to sell</v>
      </c>
      <c r="E221" s="2771"/>
      <c r="F221" s="2771"/>
      <c r="G221" s="2771"/>
      <c r="H221" s="2771"/>
      <c r="I221" s="2771"/>
      <c r="J221" s="2771"/>
      <c r="K221" s="2771"/>
      <c r="L221" s="2771"/>
      <c r="M221" s="2772">
        <f>UI.Streams!BC165</f>
        <v>45</v>
      </c>
      <c r="N221" s="2772"/>
      <c r="O221" s="2772"/>
      <c r="P221" s="2770" t="str">
        <f>UI.Streams!BG165</f>
        <v>$/ton (2000 lb)</v>
      </c>
      <c r="Q221" s="2770"/>
      <c r="R221" s="2770" t="str">
        <f>UI.Streams!BM165</f>
        <v>Yes</v>
      </c>
      <c r="S221" s="2770"/>
      <c r="T221" s="963"/>
      <c r="U221" s="609"/>
      <c r="V221" s="926"/>
      <c r="W221" s="926"/>
      <c r="X221" s="926"/>
      <c r="Y221" s="926"/>
      <c r="Z221" s="926"/>
      <c r="AA221" s="926"/>
      <c r="AB221" s="926"/>
      <c r="AC221" s="926"/>
      <c r="AD221" s="926"/>
      <c r="AE221" s="926"/>
      <c r="AF221" s="926"/>
      <c r="AG221" s="926"/>
      <c r="AH221" s="926"/>
      <c r="AI221" s="926"/>
      <c r="AJ221" s="926"/>
    </row>
    <row r="222" spans="1:36" ht="15" customHeight="1" x14ac:dyDescent="0.3">
      <c r="A222" s="926"/>
      <c r="B222" s="609"/>
      <c r="C222" s="962"/>
      <c r="D222" s="2771"/>
      <c r="E222" s="2771"/>
      <c r="F222" s="2771"/>
      <c r="G222" s="2771"/>
      <c r="H222" s="2771"/>
      <c r="I222" s="2771"/>
      <c r="J222" s="2771"/>
      <c r="K222" s="2771"/>
      <c r="L222" s="2771"/>
      <c r="M222" s="2772"/>
      <c r="N222" s="2772"/>
      <c r="O222" s="2772"/>
      <c r="P222" s="2770"/>
      <c r="Q222" s="2770"/>
      <c r="R222" s="2770"/>
      <c r="S222" s="2770"/>
      <c r="T222" s="963"/>
      <c r="U222" s="609"/>
      <c r="V222" s="926"/>
      <c r="W222" s="926"/>
      <c r="X222" s="926"/>
      <c r="Y222" s="926"/>
      <c r="Z222" s="926"/>
      <c r="AA222" s="926"/>
      <c r="AB222" s="926"/>
      <c r="AC222" s="926"/>
      <c r="AD222" s="926"/>
      <c r="AE222" s="926"/>
      <c r="AF222" s="926"/>
      <c r="AG222" s="926"/>
      <c r="AH222" s="926"/>
      <c r="AI222" s="926"/>
      <c r="AJ222" s="926"/>
    </row>
    <row r="223" spans="1:36" ht="15" customHeight="1" thickBot="1" x14ac:dyDescent="0.35">
      <c r="A223" s="926"/>
      <c r="B223" s="609"/>
      <c r="C223" s="962"/>
      <c r="D223" s="40"/>
      <c r="E223" s="40"/>
      <c r="F223" s="1046"/>
      <c r="G223" s="1046"/>
      <c r="H223" s="1046"/>
      <c r="I223" s="1046"/>
      <c r="J223" s="1046"/>
      <c r="K223" s="1046"/>
      <c r="L223" s="1050"/>
      <c r="M223" s="1050"/>
      <c r="N223" s="1980"/>
      <c r="O223" s="1980"/>
      <c r="P223" s="1980"/>
      <c r="Q223" s="1980"/>
      <c r="R223" s="40"/>
      <c r="S223" s="40"/>
      <c r="T223" s="963"/>
      <c r="U223" s="609"/>
      <c r="V223" s="926"/>
      <c r="W223" s="926"/>
      <c r="X223" s="926"/>
      <c r="Y223" s="926"/>
      <c r="Z223" s="926"/>
      <c r="AA223" s="926"/>
      <c r="AB223" s="926"/>
      <c r="AC223" s="926"/>
      <c r="AD223" s="926"/>
      <c r="AE223" s="926"/>
      <c r="AF223" s="926"/>
      <c r="AG223" s="926"/>
      <c r="AH223" s="926"/>
      <c r="AI223" s="926"/>
      <c r="AJ223" s="926"/>
    </row>
    <row r="224" spans="1:36" ht="15" customHeight="1" thickTop="1" x14ac:dyDescent="0.3">
      <c r="A224" s="926"/>
      <c r="B224" s="609"/>
      <c r="C224" s="962"/>
      <c r="D224" s="40"/>
      <c r="E224" s="40"/>
      <c r="F224" s="40"/>
      <c r="G224" s="2780" t="s">
        <v>573</v>
      </c>
      <c r="H224" s="2781"/>
      <c r="I224" s="2781"/>
      <c r="J224" s="2781"/>
      <c r="K224" s="2781"/>
      <c r="L224" s="2781"/>
      <c r="M224" s="2781"/>
      <c r="N224" s="2781"/>
      <c r="O224" s="2781"/>
      <c r="P224" s="2782"/>
      <c r="Q224" s="40"/>
      <c r="R224" s="40"/>
      <c r="S224" s="40"/>
      <c r="T224" s="963"/>
      <c r="U224" s="609"/>
      <c r="V224" s="926"/>
      <c r="W224" s="926"/>
      <c r="X224" s="926"/>
      <c r="Y224" s="926"/>
      <c r="Z224" s="926"/>
      <c r="AA224" s="926"/>
      <c r="AB224" s="926"/>
      <c r="AC224" s="926"/>
      <c r="AD224" s="926"/>
      <c r="AE224" s="926"/>
      <c r="AF224" s="926"/>
      <c r="AG224" s="926"/>
      <c r="AH224" s="926"/>
      <c r="AI224" s="926"/>
      <c r="AJ224" s="926"/>
    </row>
    <row r="225" spans="1:36" ht="15" customHeight="1" x14ac:dyDescent="0.3">
      <c r="A225" s="926"/>
      <c r="B225" s="609"/>
      <c r="C225" s="962"/>
      <c r="D225" s="40"/>
      <c r="E225" s="40"/>
      <c r="F225" s="40"/>
      <c r="G225" s="2783"/>
      <c r="H225" s="2784"/>
      <c r="I225" s="2784"/>
      <c r="J225" s="2784"/>
      <c r="K225" s="2784"/>
      <c r="L225" s="2784"/>
      <c r="M225" s="2784"/>
      <c r="N225" s="2784"/>
      <c r="O225" s="2784"/>
      <c r="P225" s="2785"/>
      <c r="Q225" s="40"/>
      <c r="R225" s="40"/>
      <c r="S225" s="40"/>
      <c r="T225" s="963"/>
      <c r="U225" s="609"/>
      <c r="V225" s="926"/>
      <c r="W225" s="926"/>
      <c r="X225" s="926"/>
      <c r="Y225" s="926"/>
      <c r="Z225" s="926"/>
      <c r="AA225" s="926"/>
      <c r="AB225" s="926"/>
      <c r="AC225" s="926"/>
      <c r="AD225" s="926"/>
      <c r="AE225" s="926"/>
      <c r="AF225" s="926"/>
      <c r="AG225" s="926"/>
      <c r="AH225" s="926"/>
      <c r="AI225" s="926"/>
      <c r="AJ225" s="926"/>
    </row>
    <row r="226" spans="1:36" ht="15" customHeight="1" thickBot="1" x14ac:dyDescent="0.35">
      <c r="A226" s="926"/>
      <c r="B226" s="609"/>
      <c r="C226" s="962"/>
      <c r="D226" s="40"/>
      <c r="E226" s="40"/>
      <c r="F226" s="40"/>
      <c r="G226" s="2786"/>
      <c r="H226" s="2787"/>
      <c r="I226" s="2787"/>
      <c r="J226" s="2787"/>
      <c r="K226" s="2787"/>
      <c r="L226" s="2787"/>
      <c r="M226" s="2787"/>
      <c r="N226" s="2787"/>
      <c r="O226" s="2787"/>
      <c r="P226" s="2788"/>
      <c r="Q226" s="40"/>
      <c r="R226" s="40"/>
      <c r="S226" s="40"/>
      <c r="T226" s="963"/>
      <c r="U226" s="609"/>
      <c r="V226" s="926"/>
      <c r="W226" s="926"/>
      <c r="X226" s="926"/>
      <c r="Y226" s="926"/>
      <c r="Z226" s="926"/>
      <c r="AA226" s="926"/>
      <c r="AB226" s="926"/>
      <c r="AC226" s="926"/>
      <c r="AD226" s="926"/>
      <c r="AE226" s="926"/>
      <c r="AF226" s="926"/>
      <c r="AG226" s="926"/>
      <c r="AH226" s="926"/>
      <c r="AI226" s="926"/>
      <c r="AJ226" s="926"/>
    </row>
    <row r="227" spans="1:36" ht="15" customHeight="1" thickTop="1" x14ac:dyDescent="0.3">
      <c r="A227" s="926"/>
      <c r="B227" s="609"/>
      <c r="C227" s="962"/>
      <c r="D227" s="40"/>
      <c r="E227" s="40"/>
      <c r="F227" s="40"/>
      <c r="G227" s="40"/>
      <c r="H227" s="40"/>
      <c r="I227" s="40"/>
      <c r="J227" s="40"/>
      <c r="K227" s="40"/>
      <c r="L227" s="40"/>
      <c r="M227" s="40"/>
      <c r="N227" s="40"/>
      <c r="O227" s="40"/>
      <c r="P227" s="40"/>
      <c r="Q227" s="40"/>
      <c r="R227" s="40"/>
      <c r="S227" s="40"/>
      <c r="T227" s="963"/>
      <c r="U227" s="609"/>
      <c r="V227" s="926"/>
      <c r="W227" s="926"/>
      <c r="X227" s="926"/>
      <c r="Y227" s="926"/>
      <c r="Z227" s="926"/>
      <c r="AA227" s="926"/>
      <c r="AB227" s="926"/>
      <c r="AC227" s="926"/>
      <c r="AD227" s="926"/>
      <c r="AE227" s="926"/>
      <c r="AF227" s="926"/>
      <c r="AG227" s="926"/>
      <c r="AH227" s="926"/>
      <c r="AI227" s="926"/>
      <c r="AJ227" s="926"/>
    </row>
    <row r="228" spans="1:36" ht="15" customHeight="1" x14ac:dyDescent="0.3">
      <c r="A228" s="926"/>
      <c r="B228" s="609"/>
      <c r="C228" s="962"/>
      <c r="D228" s="2397" t="s">
        <v>574</v>
      </c>
      <c r="E228" s="2397"/>
      <c r="F228" s="2397"/>
      <c r="G228" s="2397"/>
      <c r="H228" s="2397"/>
      <c r="I228" s="2397"/>
      <c r="J228" s="2397"/>
      <c r="K228" s="2397"/>
      <c r="L228" s="2397"/>
      <c r="M228" s="2397" t="s">
        <v>565</v>
      </c>
      <c r="N228" s="2397"/>
      <c r="O228" s="2397"/>
      <c r="P228" s="2397" t="s">
        <v>38</v>
      </c>
      <c r="Q228" s="2397"/>
      <c r="R228" s="2397" t="s">
        <v>566</v>
      </c>
      <c r="S228" s="2397"/>
      <c r="T228" s="963"/>
      <c r="U228" s="609"/>
      <c r="V228" s="926"/>
      <c r="W228" s="926"/>
      <c r="X228" s="926"/>
      <c r="Y228" s="926"/>
      <c r="Z228" s="926"/>
      <c r="AA228" s="926"/>
      <c r="AB228" s="926"/>
      <c r="AC228" s="926"/>
      <c r="AD228" s="926"/>
      <c r="AE228" s="926"/>
      <c r="AF228" s="926"/>
      <c r="AG228" s="926"/>
      <c r="AH228" s="926"/>
      <c r="AI228" s="926"/>
      <c r="AJ228" s="926"/>
    </row>
    <row r="229" spans="1:36" ht="15" customHeight="1" x14ac:dyDescent="0.3">
      <c r="A229" s="926"/>
      <c r="B229" s="609"/>
      <c r="C229" s="962"/>
      <c r="D229" s="2771" t="str">
        <f>UI.Tractor!BL89</f>
        <v>Average distance for land application of manure via drag hose or tanker</v>
      </c>
      <c r="E229" s="2771"/>
      <c r="F229" s="2771"/>
      <c r="G229" s="2771"/>
      <c r="H229" s="2771"/>
      <c r="I229" s="2771"/>
      <c r="J229" s="2771"/>
      <c r="K229" s="2771"/>
      <c r="L229" s="2771"/>
      <c r="M229" s="2772">
        <f>UI.Tractor!BC89</f>
        <v>1</v>
      </c>
      <c r="N229" s="2772"/>
      <c r="O229" s="2772"/>
      <c r="P229" s="2770" t="str">
        <f>UI.Tractor!BG89</f>
        <v>miles</v>
      </c>
      <c r="Q229" s="2770"/>
      <c r="R229" s="2770" t="str">
        <f>UI.Tractor!BM89</f>
        <v>No</v>
      </c>
      <c r="S229" s="2770"/>
      <c r="T229" s="963"/>
      <c r="U229" s="609"/>
      <c r="V229" s="926"/>
      <c r="W229" s="926"/>
      <c r="X229" s="926"/>
      <c r="Y229" s="926"/>
      <c r="Z229" s="926"/>
      <c r="AA229" s="926"/>
      <c r="AB229" s="926"/>
      <c r="AC229" s="926"/>
      <c r="AD229" s="926"/>
      <c r="AE229" s="926"/>
      <c r="AF229" s="926"/>
      <c r="AG229" s="926"/>
      <c r="AH229" s="926"/>
      <c r="AI229" s="926"/>
      <c r="AJ229" s="926"/>
    </row>
    <row r="230" spans="1:36" ht="15" customHeight="1" x14ac:dyDescent="0.3">
      <c r="A230" s="926"/>
      <c r="B230" s="609"/>
      <c r="C230" s="962"/>
      <c r="D230" s="2771"/>
      <c r="E230" s="2771"/>
      <c r="F230" s="2771"/>
      <c r="G230" s="2771"/>
      <c r="H230" s="2771"/>
      <c r="I230" s="2771"/>
      <c r="J230" s="2771"/>
      <c r="K230" s="2771"/>
      <c r="L230" s="2771"/>
      <c r="M230" s="2772"/>
      <c r="N230" s="2772"/>
      <c r="O230" s="2772"/>
      <c r="P230" s="2770"/>
      <c r="Q230" s="2770"/>
      <c r="R230" s="2770"/>
      <c r="S230" s="2770"/>
      <c r="T230" s="963"/>
      <c r="U230" s="609"/>
      <c r="V230" s="926"/>
      <c r="W230" s="926"/>
      <c r="X230" s="926"/>
      <c r="Y230" s="926"/>
      <c r="Z230" s="926"/>
      <c r="AA230" s="926"/>
      <c r="AB230" s="926"/>
      <c r="AC230" s="926"/>
      <c r="AD230" s="926"/>
      <c r="AE230" s="926"/>
      <c r="AF230" s="926"/>
      <c r="AG230" s="926"/>
      <c r="AH230" s="926"/>
      <c r="AI230" s="926"/>
      <c r="AJ230" s="926"/>
    </row>
    <row r="231" spans="1:36" ht="15" customHeight="1" x14ac:dyDescent="0.3">
      <c r="A231" s="926"/>
      <c r="B231" s="609"/>
      <c r="C231" s="962"/>
      <c r="D231" s="2771" t="str">
        <f>UI.Tractor!BL90</f>
        <v>Maximum distance for land application of manure via drag hose or tanker</v>
      </c>
      <c r="E231" s="2771"/>
      <c r="F231" s="2771"/>
      <c r="G231" s="2771"/>
      <c r="H231" s="2771"/>
      <c r="I231" s="2771"/>
      <c r="J231" s="2771"/>
      <c r="K231" s="2771"/>
      <c r="L231" s="2771"/>
      <c r="M231" s="2772">
        <f>UI.Tractor!BC90</f>
        <v>2</v>
      </c>
      <c r="N231" s="2772"/>
      <c r="O231" s="2772"/>
      <c r="P231" s="2770" t="str">
        <f>UI.Tractor!BG90</f>
        <v>miles</v>
      </c>
      <c r="Q231" s="2770"/>
      <c r="R231" s="2770" t="str">
        <f>UI.Tractor!BM90</f>
        <v>No</v>
      </c>
      <c r="S231" s="2770"/>
      <c r="T231" s="963"/>
      <c r="U231" s="609"/>
      <c r="V231" s="926"/>
      <c r="W231" s="926"/>
      <c r="X231" s="926"/>
      <c r="Y231" s="926"/>
      <c r="Z231" s="926"/>
      <c r="AA231" s="926"/>
      <c r="AB231" s="926"/>
      <c r="AC231" s="926"/>
      <c r="AD231" s="926"/>
      <c r="AE231" s="926"/>
      <c r="AF231" s="926"/>
      <c r="AG231" s="926"/>
      <c r="AH231" s="926"/>
      <c r="AI231" s="926"/>
      <c r="AJ231" s="926"/>
    </row>
    <row r="232" spans="1:36" ht="15" customHeight="1" x14ac:dyDescent="0.3">
      <c r="A232" s="926"/>
      <c r="B232" s="609"/>
      <c r="C232" s="962"/>
      <c r="D232" s="2771"/>
      <c r="E232" s="2771"/>
      <c r="F232" s="2771"/>
      <c r="G232" s="2771"/>
      <c r="H232" s="2771"/>
      <c r="I232" s="2771"/>
      <c r="J232" s="2771"/>
      <c r="K232" s="2771"/>
      <c r="L232" s="2771"/>
      <c r="M232" s="2772"/>
      <c r="N232" s="2772"/>
      <c r="O232" s="2772"/>
      <c r="P232" s="2770"/>
      <c r="Q232" s="2770"/>
      <c r="R232" s="2770"/>
      <c r="S232" s="2770"/>
      <c r="T232" s="963"/>
      <c r="U232" s="609"/>
      <c r="V232" s="926"/>
      <c r="W232" s="926"/>
      <c r="X232" s="926"/>
      <c r="Y232" s="926"/>
      <c r="Z232" s="926"/>
      <c r="AA232" s="926"/>
      <c r="AB232" s="926"/>
      <c r="AC232" s="926"/>
      <c r="AD232" s="926"/>
      <c r="AE232" s="926"/>
      <c r="AF232" s="926"/>
      <c r="AG232" s="926"/>
      <c r="AH232" s="926"/>
      <c r="AI232" s="926"/>
      <c r="AJ232" s="926"/>
    </row>
    <row r="233" spans="1:36" ht="15" customHeight="1" x14ac:dyDescent="0.3">
      <c r="A233" s="926"/>
      <c r="B233" s="609"/>
      <c r="C233" s="962"/>
      <c r="D233" s="2771" t="str">
        <f>UI.Tractor!BL91</f>
        <v>Volume that the tractor unloads</v>
      </c>
      <c r="E233" s="2771"/>
      <c r="F233" s="2771"/>
      <c r="G233" s="2771"/>
      <c r="H233" s="2771"/>
      <c r="I233" s="2771"/>
      <c r="J233" s="2771"/>
      <c r="K233" s="2771"/>
      <c r="L233" s="2771"/>
      <c r="M233" s="2773">
        <f>UI.Tractor!BC91</f>
        <v>6000</v>
      </c>
      <c r="N233" s="2773"/>
      <c r="O233" s="2773"/>
      <c r="P233" s="2770" t="str">
        <f>UI.Tractor!BG91</f>
        <v>gal (tank size)</v>
      </c>
      <c r="Q233" s="2770"/>
      <c r="R233" s="2770" t="str">
        <f>UI.Tractor!BM91</f>
        <v>No</v>
      </c>
      <c r="S233" s="2770"/>
      <c r="T233" s="963"/>
      <c r="U233" s="609"/>
      <c r="V233" s="926"/>
      <c r="W233" s="926"/>
      <c r="X233" s="926"/>
      <c r="Y233" s="926"/>
      <c r="Z233" s="926"/>
      <c r="AA233" s="926"/>
      <c r="AB233" s="926"/>
      <c r="AC233" s="926"/>
      <c r="AD233" s="926"/>
      <c r="AE233" s="926"/>
      <c r="AF233" s="926"/>
      <c r="AG233" s="926"/>
      <c r="AH233" s="926"/>
      <c r="AI233" s="926"/>
      <c r="AJ233" s="926"/>
    </row>
    <row r="234" spans="1:36" ht="15" customHeight="1" x14ac:dyDescent="0.3">
      <c r="A234" s="926"/>
      <c r="B234" s="609"/>
      <c r="C234" s="962"/>
      <c r="D234" s="2771"/>
      <c r="E234" s="2771"/>
      <c r="F234" s="2771"/>
      <c r="G234" s="2771"/>
      <c r="H234" s="2771"/>
      <c r="I234" s="2771"/>
      <c r="J234" s="2771"/>
      <c r="K234" s="2771"/>
      <c r="L234" s="2771"/>
      <c r="M234" s="2773"/>
      <c r="N234" s="2773"/>
      <c r="O234" s="2773"/>
      <c r="P234" s="2770"/>
      <c r="Q234" s="2770"/>
      <c r="R234" s="2770"/>
      <c r="S234" s="2770"/>
      <c r="T234" s="963"/>
      <c r="U234" s="609"/>
      <c r="V234" s="926"/>
      <c r="W234" s="926"/>
      <c r="X234" s="926"/>
      <c r="Y234" s="926"/>
      <c r="Z234" s="926"/>
      <c r="AA234" s="926"/>
      <c r="AB234" s="926"/>
      <c r="AC234" s="926"/>
      <c r="AD234" s="926"/>
      <c r="AE234" s="926"/>
      <c r="AF234" s="926"/>
      <c r="AG234" s="926"/>
      <c r="AH234" s="926"/>
      <c r="AI234" s="926"/>
      <c r="AJ234" s="926"/>
    </row>
    <row r="235" spans="1:36" ht="15" customHeight="1" x14ac:dyDescent="0.3">
      <c r="A235" s="926"/>
      <c r="B235" s="609"/>
      <c r="C235" s="962"/>
      <c r="D235" s="2771" t="str">
        <f>UI.Tractor!BL92</f>
        <v>Annual tractor usage for all farm activities</v>
      </c>
      <c r="E235" s="2771"/>
      <c r="F235" s="2771"/>
      <c r="G235" s="2771"/>
      <c r="H235" s="2771"/>
      <c r="I235" s="2771"/>
      <c r="J235" s="2771"/>
      <c r="K235" s="2771"/>
      <c r="L235" s="2771"/>
      <c r="M235" s="2773">
        <f>UI.Tractor!BC92</f>
        <v>1000</v>
      </c>
      <c r="N235" s="2773"/>
      <c r="O235" s="2773"/>
      <c r="P235" s="2770" t="str">
        <f>UI.Tractor!BG92</f>
        <v>hr/year</v>
      </c>
      <c r="Q235" s="2770"/>
      <c r="R235" s="2770" t="str">
        <f>UI.Tractor!BM92</f>
        <v>Yes</v>
      </c>
      <c r="S235" s="2770"/>
      <c r="T235" s="963"/>
      <c r="U235" s="609"/>
      <c r="V235" s="926"/>
      <c r="W235" s="926"/>
      <c r="X235" s="926"/>
      <c r="Y235" s="926"/>
      <c r="Z235" s="926"/>
      <c r="AA235" s="926"/>
      <c r="AB235" s="926"/>
      <c r="AC235" s="926"/>
      <c r="AD235" s="926"/>
      <c r="AE235" s="926"/>
      <c r="AF235" s="926"/>
      <c r="AG235" s="926"/>
      <c r="AH235" s="926"/>
      <c r="AI235" s="926"/>
      <c r="AJ235" s="926"/>
    </row>
    <row r="236" spans="1:36" ht="15" customHeight="1" x14ac:dyDescent="0.3">
      <c r="A236" s="926"/>
      <c r="B236" s="609"/>
      <c r="C236" s="962"/>
      <c r="D236" s="2771"/>
      <c r="E236" s="2771"/>
      <c r="F236" s="2771"/>
      <c r="G236" s="2771"/>
      <c r="H236" s="2771"/>
      <c r="I236" s="2771"/>
      <c r="J236" s="2771"/>
      <c r="K236" s="2771"/>
      <c r="L236" s="2771"/>
      <c r="M236" s="2773"/>
      <c r="N236" s="2773"/>
      <c r="O236" s="2773"/>
      <c r="P236" s="2770"/>
      <c r="Q236" s="2770"/>
      <c r="R236" s="2770"/>
      <c r="S236" s="2770"/>
      <c r="T236" s="963"/>
      <c r="U236" s="609"/>
      <c r="V236" s="926"/>
      <c r="W236" s="926"/>
      <c r="X236" s="926"/>
      <c r="Y236" s="926"/>
      <c r="Z236" s="926"/>
      <c r="AA236" s="926"/>
      <c r="AB236" s="926"/>
      <c r="AC236" s="926"/>
      <c r="AD236" s="926"/>
      <c r="AE236" s="926"/>
      <c r="AF236" s="926"/>
      <c r="AG236" s="926"/>
      <c r="AH236" s="926"/>
      <c r="AI236" s="926"/>
      <c r="AJ236" s="926"/>
    </row>
    <row r="237" spans="1:36" ht="15" customHeight="1" x14ac:dyDescent="0.3">
      <c r="A237" s="926"/>
      <c r="B237" s="609"/>
      <c r="C237" s="962"/>
      <c r="D237" s="2771" t="str">
        <f>UI.Tractor!BL93</f>
        <v>Maximum tractor usage, day</v>
      </c>
      <c r="E237" s="2771"/>
      <c r="F237" s="2771"/>
      <c r="G237" s="2771"/>
      <c r="H237" s="2771"/>
      <c r="I237" s="2771"/>
      <c r="J237" s="2771"/>
      <c r="K237" s="2771"/>
      <c r="L237" s="2771"/>
      <c r="M237" s="2772">
        <f>UI.Tractor!BC93</f>
        <v>12</v>
      </c>
      <c r="N237" s="2772"/>
      <c r="O237" s="2772"/>
      <c r="P237" s="2770" t="str">
        <f>UI.Tractor!BG93</f>
        <v>hr/day</v>
      </c>
      <c r="Q237" s="2770"/>
      <c r="R237" s="2770" t="str">
        <f>UI.Tractor!BM93</f>
        <v>Yes</v>
      </c>
      <c r="S237" s="2770"/>
      <c r="T237" s="963"/>
      <c r="U237" s="609"/>
      <c r="V237" s="926"/>
      <c r="W237" s="926"/>
      <c r="X237" s="926"/>
      <c r="Y237" s="926"/>
      <c r="Z237" s="926"/>
      <c r="AA237" s="926"/>
      <c r="AB237" s="926"/>
      <c r="AC237" s="926"/>
      <c r="AD237" s="926"/>
      <c r="AE237" s="926"/>
      <c r="AF237" s="926"/>
      <c r="AG237" s="926"/>
      <c r="AH237" s="926"/>
      <c r="AI237" s="926"/>
      <c r="AJ237" s="926"/>
    </row>
    <row r="238" spans="1:36" ht="15" customHeight="1" x14ac:dyDescent="0.3">
      <c r="A238" s="926"/>
      <c r="B238" s="609"/>
      <c r="C238" s="962"/>
      <c r="D238" s="2771"/>
      <c r="E238" s="2771"/>
      <c r="F238" s="2771"/>
      <c r="G238" s="2771"/>
      <c r="H238" s="2771"/>
      <c r="I238" s="2771"/>
      <c r="J238" s="2771"/>
      <c r="K238" s="2771"/>
      <c r="L238" s="2771"/>
      <c r="M238" s="2772"/>
      <c r="N238" s="2772"/>
      <c r="O238" s="2772"/>
      <c r="P238" s="2770"/>
      <c r="Q238" s="2770"/>
      <c r="R238" s="2770"/>
      <c r="S238" s="2770"/>
      <c r="T238" s="963"/>
      <c r="U238" s="609"/>
      <c r="V238" s="926"/>
      <c r="W238" s="926"/>
      <c r="X238" s="926"/>
      <c r="Y238" s="926"/>
      <c r="Z238" s="926"/>
      <c r="AA238" s="926"/>
      <c r="AB238" s="926"/>
      <c r="AC238" s="926"/>
      <c r="AD238" s="926"/>
      <c r="AE238" s="926"/>
      <c r="AF238" s="926"/>
      <c r="AG238" s="926"/>
      <c r="AH238" s="926"/>
      <c r="AI238" s="926"/>
      <c r="AJ238" s="926"/>
    </row>
    <row r="239" spans="1:36" ht="15" customHeight="1" x14ac:dyDescent="0.3">
      <c r="A239" s="926"/>
      <c r="B239" s="609"/>
      <c r="C239" s="962"/>
      <c r="D239" s="2771" t="str">
        <f>UI.Tractor!BL94</f>
        <v>Maximum tractor usage, year</v>
      </c>
      <c r="E239" s="2771"/>
      <c r="F239" s="2771"/>
      <c r="G239" s="2771"/>
      <c r="H239" s="2771"/>
      <c r="I239" s="2771"/>
      <c r="J239" s="2771"/>
      <c r="K239" s="2771"/>
      <c r="L239" s="2771"/>
      <c r="M239" s="2773">
        <f>UI.Tractor!BC94</f>
        <v>2000</v>
      </c>
      <c r="N239" s="2773"/>
      <c r="O239" s="2773"/>
      <c r="P239" s="2770" t="str">
        <f>UI.Tractor!BG94</f>
        <v>hr/year</v>
      </c>
      <c r="Q239" s="2770"/>
      <c r="R239" s="2770" t="str">
        <f>UI.Tractor!BM94</f>
        <v>Yes</v>
      </c>
      <c r="S239" s="2770"/>
      <c r="T239" s="963"/>
      <c r="U239" s="609"/>
      <c r="V239" s="926"/>
      <c r="W239" s="926"/>
      <c r="X239" s="926"/>
      <c r="Y239" s="926"/>
      <c r="Z239" s="926"/>
      <c r="AA239" s="926"/>
      <c r="AB239" s="926"/>
      <c r="AC239" s="926"/>
      <c r="AD239" s="926"/>
      <c r="AE239" s="926"/>
      <c r="AF239" s="926"/>
      <c r="AG239" s="926"/>
      <c r="AH239" s="926"/>
      <c r="AI239" s="926"/>
      <c r="AJ239" s="926"/>
    </row>
    <row r="240" spans="1:36" ht="15" customHeight="1" x14ac:dyDescent="0.3">
      <c r="A240" s="926"/>
      <c r="B240" s="609"/>
      <c r="C240" s="962"/>
      <c r="D240" s="2771"/>
      <c r="E240" s="2771"/>
      <c r="F240" s="2771"/>
      <c r="G240" s="2771"/>
      <c r="H240" s="2771"/>
      <c r="I240" s="2771"/>
      <c r="J240" s="2771"/>
      <c r="K240" s="2771"/>
      <c r="L240" s="2771"/>
      <c r="M240" s="2773"/>
      <c r="N240" s="2773"/>
      <c r="O240" s="2773"/>
      <c r="P240" s="2770"/>
      <c r="Q240" s="2770"/>
      <c r="R240" s="2770"/>
      <c r="S240" s="2770"/>
      <c r="T240" s="963"/>
      <c r="U240" s="609"/>
      <c r="V240" s="926"/>
      <c r="W240" s="926"/>
      <c r="X240" s="926"/>
      <c r="Y240" s="926"/>
      <c r="Z240" s="926"/>
      <c r="AA240" s="926"/>
      <c r="AB240" s="926"/>
      <c r="AC240" s="926"/>
      <c r="AD240" s="926"/>
      <c r="AE240" s="926"/>
      <c r="AF240" s="926"/>
      <c r="AG240" s="926"/>
      <c r="AH240" s="926"/>
      <c r="AI240" s="926"/>
      <c r="AJ240" s="926"/>
    </row>
    <row r="241" spans="1:36" ht="15" customHeight="1" thickBot="1" x14ac:dyDescent="0.35">
      <c r="A241" s="926"/>
      <c r="B241" s="609"/>
      <c r="C241" s="962"/>
      <c r="D241" s="40"/>
      <c r="E241" s="40"/>
      <c r="F241" s="985"/>
      <c r="G241" s="985"/>
      <c r="H241" s="985"/>
      <c r="I241" s="985"/>
      <c r="J241" s="985"/>
      <c r="K241" s="985"/>
      <c r="L241" s="986"/>
      <c r="M241" s="986"/>
      <c r="N241" s="1981"/>
      <c r="O241" s="1981"/>
      <c r="P241" s="1981"/>
      <c r="Q241" s="1981"/>
      <c r="R241" s="40"/>
      <c r="S241" s="40"/>
      <c r="T241" s="963"/>
      <c r="U241" s="609"/>
      <c r="V241" s="926"/>
      <c r="W241" s="926"/>
      <c r="X241" s="926"/>
      <c r="Y241" s="926"/>
      <c r="Z241" s="926"/>
      <c r="AA241" s="926"/>
      <c r="AB241" s="926"/>
      <c r="AC241" s="926"/>
      <c r="AD241" s="926"/>
      <c r="AE241" s="926"/>
      <c r="AF241" s="926"/>
      <c r="AG241" s="926"/>
      <c r="AH241" s="926"/>
      <c r="AI241" s="926"/>
      <c r="AJ241" s="926"/>
    </row>
    <row r="242" spans="1:36" ht="15" customHeight="1" thickTop="1" x14ac:dyDescent="0.3">
      <c r="A242" s="926"/>
      <c r="B242" s="609"/>
      <c r="C242" s="962"/>
      <c r="D242" s="40"/>
      <c r="E242" s="40"/>
      <c r="F242" s="40"/>
      <c r="G242" s="2780" t="s">
        <v>575</v>
      </c>
      <c r="H242" s="2781"/>
      <c r="I242" s="2781"/>
      <c r="J242" s="2781"/>
      <c r="K242" s="2781"/>
      <c r="L242" s="2781"/>
      <c r="M242" s="2781"/>
      <c r="N242" s="2781"/>
      <c r="O242" s="2781"/>
      <c r="P242" s="2782"/>
      <c r="Q242" s="40"/>
      <c r="R242" s="40"/>
      <c r="S242" s="40"/>
      <c r="T242" s="963"/>
      <c r="U242" s="609"/>
      <c r="V242" s="926"/>
      <c r="W242" s="926"/>
      <c r="X242" s="926"/>
      <c r="Y242" s="926"/>
      <c r="Z242" s="926"/>
      <c r="AA242" s="926"/>
      <c r="AB242" s="926"/>
      <c r="AC242" s="926"/>
      <c r="AD242" s="926"/>
      <c r="AE242" s="926"/>
      <c r="AF242" s="926"/>
      <c r="AG242" s="926"/>
      <c r="AH242" s="926"/>
      <c r="AI242" s="926"/>
      <c r="AJ242" s="926"/>
    </row>
    <row r="243" spans="1:36" ht="15" customHeight="1" x14ac:dyDescent="0.3">
      <c r="A243" s="926"/>
      <c r="B243" s="609"/>
      <c r="C243" s="962"/>
      <c r="D243" s="40"/>
      <c r="E243" s="40"/>
      <c r="F243" s="40"/>
      <c r="G243" s="2783"/>
      <c r="H243" s="2784"/>
      <c r="I243" s="2784"/>
      <c r="J243" s="2784"/>
      <c r="K243" s="2784"/>
      <c r="L243" s="2784"/>
      <c r="M243" s="2784"/>
      <c r="N243" s="2784"/>
      <c r="O243" s="2784"/>
      <c r="P243" s="2785"/>
      <c r="Q243" s="40"/>
      <c r="R243" s="40"/>
      <c r="S243" s="40"/>
      <c r="T243" s="963"/>
      <c r="U243" s="609"/>
      <c r="V243" s="926"/>
      <c r="W243" s="926"/>
      <c r="X243" s="926"/>
      <c r="Y243" s="926"/>
      <c r="Z243" s="926"/>
      <c r="AA243" s="926"/>
      <c r="AB243" s="926"/>
      <c r="AC243" s="926"/>
      <c r="AD243" s="926"/>
      <c r="AE243" s="926"/>
      <c r="AF243" s="926"/>
      <c r="AG243" s="926"/>
      <c r="AH243" s="926"/>
      <c r="AI243" s="926"/>
      <c r="AJ243" s="926"/>
    </row>
    <row r="244" spans="1:36" ht="15" customHeight="1" thickBot="1" x14ac:dyDescent="0.35">
      <c r="A244" s="926"/>
      <c r="B244" s="609"/>
      <c r="C244" s="962"/>
      <c r="D244" s="40"/>
      <c r="E244" s="40"/>
      <c r="F244" s="40"/>
      <c r="G244" s="2786"/>
      <c r="H244" s="2787"/>
      <c r="I244" s="2787"/>
      <c r="J244" s="2787"/>
      <c r="K244" s="2787"/>
      <c r="L244" s="2787"/>
      <c r="M244" s="2787"/>
      <c r="N244" s="2787"/>
      <c r="O244" s="2787"/>
      <c r="P244" s="2788"/>
      <c r="Q244" s="40"/>
      <c r="R244" s="40"/>
      <c r="S244" s="40"/>
      <c r="T244" s="963"/>
      <c r="U244" s="609"/>
      <c r="V244" s="926"/>
      <c r="W244" s="926"/>
      <c r="X244" s="926"/>
      <c r="Y244" s="926"/>
      <c r="Z244" s="926"/>
      <c r="AA244" s="926"/>
      <c r="AB244" s="926"/>
      <c r="AC244" s="926"/>
      <c r="AD244" s="926"/>
      <c r="AE244" s="926"/>
      <c r="AF244" s="926"/>
      <c r="AG244" s="926"/>
      <c r="AH244" s="926"/>
      <c r="AI244" s="926"/>
      <c r="AJ244" s="926"/>
    </row>
    <row r="245" spans="1:36" ht="15" customHeight="1" thickTop="1" x14ac:dyDescent="0.3">
      <c r="A245" s="926"/>
      <c r="B245" s="609"/>
      <c r="C245" s="962"/>
      <c r="D245" s="40"/>
      <c r="E245" s="40"/>
      <c r="F245" s="40"/>
      <c r="G245" s="40"/>
      <c r="H245" s="40"/>
      <c r="I245" s="40"/>
      <c r="J245" s="40"/>
      <c r="K245" s="40"/>
      <c r="L245" s="40"/>
      <c r="M245" s="40"/>
      <c r="N245" s="40"/>
      <c r="O245" s="40"/>
      <c r="P245" s="40"/>
      <c r="Q245" s="40"/>
      <c r="R245" s="40"/>
      <c r="S245" s="40"/>
      <c r="T245" s="963"/>
      <c r="U245" s="609"/>
      <c r="V245" s="926"/>
      <c r="W245" s="926"/>
      <c r="X245" s="926"/>
      <c r="Y245" s="926"/>
      <c r="Z245" s="926"/>
      <c r="AA245" s="926"/>
      <c r="AB245" s="926"/>
      <c r="AC245" s="926"/>
      <c r="AD245" s="926"/>
      <c r="AE245" s="926"/>
      <c r="AF245" s="926"/>
      <c r="AG245" s="926"/>
      <c r="AH245" s="926"/>
      <c r="AI245" s="926"/>
      <c r="AJ245" s="926"/>
    </row>
    <row r="246" spans="1:36" ht="15" customHeight="1" x14ac:dyDescent="0.3">
      <c r="A246" s="926"/>
      <c r="B246" s="609"/>
      <c r="C246" s="962"/>
      <c r="D246" s="2397" t="s">
        <v>576</v>
      </c>
      <c r="E246" s="2397"/>
      <c r="F246" s="2397"/>
      <c r="G246" s="2397"/>
      <c r="H246" s="2397"/>
      <c r="I246" s="2397"/>
      <c r="J246" s="2397"/>
      <c r="K246" s="2397"/>
      <c r="L246" s="2397"/>
      <c r="M246" s="2397" t="s">
        <v>565</v>
      </c>
      <c r="N246" s="2397"/>
      <c r="O246" s="2397"/>
      <c r="P246" s="2397" t="s">
        <v>38</v>
      </c>
      <c r="Q246" s="2397"/>
      <c r="R246" s="2397" t="s">
        <v>566</v>
      </c>
      <c r="S246" s="2397"/>
      <c r="T246" s="963"/>
      <c r="U246" s="609"/>
      <c r="V246" s="926"/>
      <c r="W246" s="926"/>
      <c r="X246" s="926"/>
      <c r="Y246" s="926"/>
      <c r="Z246" s="926"/>
      <c r="AA246" s="926"/>
      <c r="AB246" s="926"/>
      <c r="AC246" s="926"/>
      <c r="AD246" s="926"/>
      <c r="AE246" s="926"/>
      <c r="AF246" s="926"/>
      <c r="AG246" s="926"/>
      <c r="AH246" s="926"/>
      <c r="AI246" s="926"/>
      <c r="AJ246" s="926"/>
    </row>
    <row r="247" spans="1:36" ht="15" customHeight="1" x14ac:dyDescent="0.3">
      <c r="A247" s="926"/>
      <c r="B247" s="609"/>
      <c r="C247" s="962"/>
      <c r="D247" s="2771" t="str">
        <f>UI.Cap!BL122</f>
        <v>The construction cost adjustment factor</v>
      </c>
      <c r="E247" s="2771"/>
      <c r="F247" s="2771"/>
      <c r="G247" s="2771"/>
      <c r="H247" s="2771"/>
      <c r="I247" s="2771"/>
      <c r="J247" s="2771"/>
      <c r="K247" s="2771"/>
      <c r="L247" s="2771"/>
      <c r="M247" s="2772">
        <f>UI.Cap!BC122</f>
        <v>1</v>
      </c>
      <c r="N247" s="2772"/>
      <c r="O247" s="2772"/>
      <c r="P247" s="2770" t="str">
        <f>UI.Cap!BG122</f>
        <v>multiplier</v>
      </c>
      <c r="Q247" s="2770"/>
      <c r="R247" s="2770" t="str">
        <f>UI.Cap!BM122</f>
        <v>Yes</v>
      </c>
      <c r="S247" s="2770"/>
      <c r="T247" s="963"/>
      <c r="U247" s="609"/>
      <c r="V247" s="926"/>
      <c r="W247" s="926"/>
      <c r="X247" s="926"/>
      <c r="Y247" s="926"/>
      <c r="Z247" s="926"/>
      <c r="AA247" s="926"/>
      <c r="AB247" s="926"/>
      <c r="AC247" s="926"/>
      <c r="AD247" s="926"/>
      <c r="AE247" s="926"/>
      <c r="AF247" s="926"/>
      <c r="AG247" s="926"/>
      <c r="AH247" s="926"/>
      <c r="AI247" s="926"/>
      <c r="AJ247" s="926"/>
    </row>
    <row r="248" spans="1:36" ht="15" customHeight="1" x14ac:dyDescent="0.3">
      <c r="A248" s="926"/>
      <c r="B248" s="609"/>
      <c r="C248" s="962"/>
      <c r="D248" s="2771"/>
      <c r="E248" s="2771"/>
      <c r="F248" s="2771"/>
      <c r="G248" s="2771"/>
      <c r="H248" s="2771"/>
      <c r="I248" s="2771"/>
      <c r="J248" s="2771"/>
      <c r="K248" s="2771"/>
      <c r="L248" s="2771"/>
      <c r="M248" s="2772"/>
      <c r="N248" s="2772"/>
      <c r="O248" s="2772"/>
      <c r="P248" s="2770"/>
      <c r="Q248" s="2770"/>
      <c r="R248" s="2770"/>
      <c r="S248" s="2770"/>
      <c r="T248" s="963"/>
      <c r="U248" s="609"/>
      <c r="V248" s="926"/>
      <c r="W248" s="926"/>
      <c r="X248" s="926"/>
      <c r="Y248" s="926"/>
      <c r="Z248" s="926"/>
      <c r="AA248" s="926"/>
      <c r="AB248" s="926"/>
      <c r="AC248" s="926"/>
      <c r="AD248" s="926"/>
      <c r="AE248" s="926"/>
      <c r="AF248" s="926"/>
      <c r="AG248" s="926"/>
      <c r="AH248" s="926"/>
      <c r="AI248" s="926"/>
      <c r="AJ248" s="926"/>
    </row>
    <row r="249" spans="1:36" ht="15" customHeight="1" x14ac:dyDescent="0.3">
      <c r="A249" s="926"/>
      <c r="B249" s="609"/>
      <c r="C249" s="962"/>
      <c r="D249" s="2771" t="str">
        <f>UI.Cap!BL121</f>
        <v>The routine equipment (tractors) cost adjustment factor</v>
      </c>
      <c r="E249" s="2771"/>
      <c r="F249" s="2771"/>
      <c r="G249" s="2771"/>
      <c r="H249" s="2771"/>
      <c r="I249" s="2771"/>
      <c r="J249" s="2771"/>
      <c r="K249" s="2771"/>
      <c r="L249" s="2771"/>
      <c r="M249" s="2772">
        <f>UI.Cap!BC121</f>
        <v>1</v>
      </c>
      <c r="N249" s="2772"/>
      <c r="O249" s="2772"/>
      <c r="P249" s="2770" t="str">
        <f>UI.Cap!BG121</f>
        <v>multiplier</v>
      </c>
      <c r="Q249" s="2770"/>
      <c r="R249" s="2770" t="str">
        <f>UI.Cap!BM121</f>
        <v>Yes</v>
      </c>
      <c r="S249" s="2770"/>
      <c r="T249" s="963"/>
      <c r="U249" s="609"/>
      <c r="V249" s="926"/>
      <c r="W249" s="926"/>
      <c r="X249" s="926"/>
      <c r="Y249" s="926"/>
      <c r="Z249" s="926"/>
      <c r="AA249" s="926"/>
      <c r="AB249" s="926"/>
      <c r="AC249" s="926"/>
      <c r="AD249" s="926"/>
      <c r="AE249" s="926"/>
      <c r="AF249" s="926"/>
      <c r="AG249" s="926"/>
      <c r="AH249" s="926"/>
      <c r="AI249" s="926"/>
      <c r="AJ249" s="926"/>
    </row>
    <row r="250" spans="1:36" ht="15" customHeight="1" x14ac:dyDescent="0.3">
      <c r="A250" s="926"/>
      <c r="B250" s="609"/>
      <c r="C250" s="962"/>
      <c r="D250" s="2771"/>
      <c r="E250" s="2771"/>
      <c r="F250" s="2771"/>
      <c r="G250" s="2771"/>
      <c r="H250" s="2771"/>
      <c r="I250" s="2771"/>
      <c r="J250" s="2771"/>
      <c r="K250" s="2771"/>
      <c r="L250" s="2771"/>
      <c r="M250" s="2772"/>
      <c r="N250" s="2772"/>
      <c r="O250" s="2772"/>
      <c r="P250" s="2770"/>
      <c r="Q250" s="2770"/>
      <c r="R250" s="2770"/>
      <c r="S250" s="2770"/>
      <c r="T250" s="963"/>
      <c r="U250" s="609"/>
      <c r="V250" s="926"/>
      <c r="W250" s="926"/>
      <c r="X250" s="926"/>
      <c r="Y250" s="926"/>
      <c r="Z250" s="926"/>
      <c r="AA250" s="926"/>
      <c r="AB250" s="926"/>
      <c r="AC250" s="926"/>
      <c r="AD250" s="926"/>
      <c r="AE250" s="926"/>
      <c r="AF250" s="926"/>
      <c r="AG250" s="926"/>
      <c r="AH250" s="926"/>
      <c r="AI250" s="926"/>
      <c r="AJ250" s="926"/>
    </row>
    <row r="251" spans="1:36" ht="15" customHeight="1" thickBot="1" x14ac:dyDescent="0.35">
      <c r="A251" s="926"/>
      <c r="B251" s="609"/>
      <c r="C251" s="962"/>
      <c r="D251" s="40"/>
      <c r="E251" s="40"/>
      <c r="F251" s="958"/>
      <c r="G251" s="958"/>
      <c r="H251" s="958"/>
      <c r="I251" s="958"/>
      <c r="J251" s="958"/>
      <c r="K251" s="958"/>
      <c r="L251" s="958"/>
      <c r="M251" s="958"/>
      <c r="N251" s="958"/>
      <c r="O251" s="958"/>
      <c r="P251" s="958"/>
      <c r="Q251" s="958"/>
      <c r="R251" s="40"/>
      <c r="S251" s="40"/>
      <c r="T251" s="963"/>
      <c r="U251" s="609"/>
      <c r="V251" s="926"/>
      <c r="W251" s="926"/>
      <c r="X251" s="926"/>
      <c r="Y251" s="926"/>
      <c r="Z251" s="926"/>
      <c r="AA251" s="926"/>
      <c r="AB251" s="926"/>
      <c r="AC251" s="926"/>
      <c r="AD251" s="926"/>
      <c r="AE251" s="926"/>
      <c r="AF251" s="926"/>
      <c r="AG251" s="926"/>
      <c r="AH251" s="926"/>
      <c r="AI251" s="926"/>
      <c r="AJ251" s="926"/>
    </row>
    <row r="252" spans="1:36" ht="15" customHeight="1" thickTop="1" x14ac:dyDescent="0.3">
      <c r="A252" s="926"/>
      <c r="B252" s="609"/>
      <c r="C252" s="962"/>
      <c r="D252" s="40"/>
      <c r="E252" s="40"/>
      <c r="F252" s="958"/>
      <c r="G252" s="2780" t="s">
        <v>577</v>
      </c>
      <c r="H252" s="2781"/>
      <c r="I252" s="2781"/>
      <c r="J252" s="2781"/>
      <c r="K252" s="2781"/>
      <c r="L252" s="2781"/>
      <c r="M252" s="2781"/>
      <c r="N252" s="2781"/>
      <c r="O252" s="2781"/>
      <c r="P252" s="2782"/>
      <c r="Q252" s="958"/>
      <c r="R252" s="40"/>
      <c r="S252" s="40"/>
      <c r="T252" s="963"/>
      <c r="U252" s="609"/>
      <c r="V252" s="926"/>
      <c r="W252" s="926"/>
      <c r="X252" s="926"/>
      <c r="Y252" s="926"/>
      <c r="Z252" s="926"/>
      <c r="AA252" s="926"/>
      <c r="AB252" s="926"/>
      <c r="AC252" s="926"/>
      <c r="AD252" s="926"/>
      <c r="AE252" s="926"/>
      <c r="AF252" s="926"/>
      <c r="AG252" s="926"/>
      <c r="AH252" s="926"/>
      <c r="AI252" s="926"/>
      <c r="AJ252" s="926"/>
    </row>
    <row r="253" spans="1:36" ht="15" customHeight="1" x14ac:dyDescent="0.3">
      <c r="A253" s="926"/>
      <c r="B253" s="609"/>
      <c r="C253" s="962"/>
      <c r="D253" s="40"/>
      <c r="E253" s="40"/>
      <c r="F253" s="958"/>
      <c r="G253" s="2783"/>
      <c r="H253" s="2784"/>
      <c r="I253" s="2784"/>
      <c r="J253" s="2784"/>
      <c r="K253" s="2784"/>
      <c r="L253" s="2784"/>
      <c r="M253" s="2784"/>
      <c r="N253" s="2784"/>
      <c r="O253" s="2784"/>
      <c r="P253" s="2785"/>
      <c r="Q253" s="958"/>
      <c r="R253" s="40"/>
      <c r="S253" s="40"/>
      <c r="T253" s="963"/>
      <c r="U253" s="609"/>
      <c r="V253" s="926"/>
      <c r="W253" s="926"/>
      <c r="X253" s="926"/>
      <c r="Y253" s="926"/>
      <c r="Z253" s="926"/>
      <c r="AA253" s="926"/>
      <c r="AB253" s="926"/>
      <c r="AC253" s="926"/>
      <c r="AD253" s="926"/>
      <c r="AE253" s="926"/>
      <c r="AF253" s="926"/>
      <c r="AG253" s="926"/>
      <c r="AH253" s="926"/>
      <c r="AI253" s="926"/>
      <c r="AJ253" s="926"/>
    </row>
    <row r="254" spans="1:36" ht="15" customHeight="1" thickBot="1" x14ac:dyDescent="0.35">
      <c r="A254" s="926"/>
      <c r="B254" s="609"/>
      <c r="C254" s="962"/>
      <c r="D254" s="40"/>
      <c r="E254" s="40"/>
      <c r="F254" s="958"/>
      <c r="G254" s="2786"/>
      <c r="H254" s="2787"/>
      <c r="I254" s="2787"/>
      <c r="J254" s="2787"/>
      <c r="K254" s="2787"/>
      <c r="L254" s="2787"/>
      <c r="M254" s="2787"/>
      <c r="N254" s="2787"/>
      <c r="O254" s="2787"/>
      <c r="P254" s="2788"/>
      <c r="Q254" s="958"/>
      <c r="R254" s="40"/>
      <c r="S254" s="40"/>
      <c r="T254" s="963"/>
      <c r="U254" s="609"/>
      <c r="V254" s="926"/>
      <c r="W254" s="926"/>
      <c r="X254" s="926"/>
      <c r="Y254" s="926"/>
      <c r="Z254" s="926"/>
      <c r="AA254" s="926"/>
      <c r="AB254" s="926"/>
      <c r="AC254" s="926"/>
      <c r="AD254" s="926"/>
      <c r="AE254" s="926"/>
      <c r="AF254" s="926"/>
      <c r="AG254" s="926"/>
      <c r="AH254" s="926"/>
      <c r="AI254" s="926"/>
      <c r="AJ254" s="926"/>
    </row>
    <row r="255" spans="1:36" ht="15" customHeight="1" thickTop="1" x14ac:dyDescent="0.3">
      <c r="A255" s="926"/>
      <c r="B255" s="609"/>
      <c r="C255" s="962"/>
      <c r="D255" s="40"/>
      <c r="E255" s="40"/>
      <c r="F255" s="958"/>
      <c r="G255" s="958"/>
      <c r="H255" s="958"/>
      <c r="I255" s="958"/>
      <c r="J255" s="958"/>
      <c r="K255" s="958"/>
      <c r="L255" s="958"/>
      <c r="M255" s="958"/>
      <c r="N255" s="958"/>
      <c r="O255" s="958"/>
      <c r="P255" s="958"/>
      <c r="Q255" s="958"/>
      <c r="R255" s="40"/>
      <c r="S255" s="40"/>
      <c r="T255" s="963"/>
      <c r="U255" s="609"/>
      <c r="V255" s="926"/>
      <c r="W255" s="926"/>
      <c r="X255" s="926"/>
      <c r="Y255" s="926"/>
      <c r="Z255" s="926"/>
      <c r="AA255" s="926"/>
      <c r="AB255" s="926"/>
      <c r="AC255" s="926"/>
      <c r="AD255" s="926"/>
      <c r="AE255" s="926"/>
      <c r="AF255" s="926"/>
      <c r="AG255" s="926"/>
      <c r="AH255" s="926"/>
      <c r="AI255" s="926"/>
      <c r="AJ255" s="926"/>
    </row>
    <row r="256" spans="1:36" ht="15" customHeight="1" x14ac:dyDescent="0.3">
      <c r="A256" s="926"/>
      <c r="B256" s="609"/>
      <c r="C256" s="962"/>
      <c r="D256" s="2397" t="s">
        <v>578</v>
      </c>
      <c r="E256" s="2397"/>
      <c r="F256" s="2397"/>
      <c r="G256" s="2397"/>
      <c r="H256" s="2397"/>
      <c r="I256" s="2397"/>
      <c r="J256" s="2397"/>
      <c r="K256" s="2397"/>
      <c r="L256" s="2397"/>
      <c r="M256" s="2397" t="s">
        <v>565</v>
      </c>
      <c r="N256" s="2397"/>
      <c r="O256" s="2397"/>
      <c r="P256" s="2397" t="s">
        <v>38</v>
      </c>
      <c r="Q256" s="2397"/>
      <c r="R256" s="2397" t="s">
        <v>566</v>
      </c>
      <c r="S256" s="2397"/>
      <c r="T256" s="963"/>
      <c r="U256" s="609"/>
      <c r="V256" s="926"/>
      <c r="W256" s="926"/>
      <c r="X256" s="926"/>
      <c r="Y256" s="926"/>
      <c r="Z256" s="926"/>
      <c r="AA256" s="926"/>
      <c r="AB256" s="926"/>
      <c r="AC256" s="926"/>
      <c r="AD256" s="926"/>
      <c r="AE256" s="926"/>
      <c r="AF256" s="926"/>
      <c r="AG256" s="926"/>
      <c r="AH256" s="926"/>
      <c r="AI256" s="926"/>
      <c r="AJ256" s="926"/>
    </row>
    <row r="257" spans="1:36" ht="15" customHeight="1" x14ac:dyDescent="0.3">
      <c r="A257" s="926"/>
      <c r="B257" s="609"/>
      <c r="C257" s="962"/>
      <c r="D257" s="2771" t="str">
        <f>UI.OpExpenses!BL105</f>
        <v>The non-specialized labor cost for the chosen state or an override by user</v>
      </c>
      <c r="E257" s="2771"/>
      <c r="F257" s="2771"/>
      <c r="G257" s="2771"/>
      <c r="H257" s="2771"/>
      <c r="I257" s="2771"/>
      <c r="J257" s="2771"/>
      <c r="K257" s="2771"/>
      <c r="L257" s="2771"/>
      <c r="M257" s="2772">
        <f>UI.OpExpenses!BC105</f>
        <v>23.66</v>
      </c>
      <c r="N257" s="2772"/>
      <c r="O257" s="2772"/>
      <c r="P257" s="2793" t="str">
        <f>UI.OpExpenses!BG105</f>
        <v>$/hr</v>
      </c>
      <c r="Q257" s="2794"/>
      <c r="R257" s="2770" t="str">
        <f>UI.OpExpenses!BM105</f>
        <v>Yes</v>
      </c>
      <c r="S257" s="2770"/>
      <c r="T257" s="963"/>
      <c r="U257" s="609"/>
      <c r="V257" s="926"/>
      <c r="W257" s="926"/>
      <c r="X257" s="926"/>
      <c r="Y257" s="926"/>
      <c r="Z257" s="926"/>
      <c r="AA257" s="926"/>
      <c r="AB257" s="926"/>
      <c r="AC257" s="926"/>
      <c r="AD257" s="926"/>
      <c r="AE257" s="926"/>
      <c r="AF257" s="926"/>
      <c r="AG257" s="926"/>
      <c r="AH257" s="926"/>
      <c r="AI257" s="926"/>
      <c r="AJ257" s="926"/>
    </row>
    <row r="258" spans="1:36" ht="15" customHeight="1" x14ac:dyDescent="0.3">
      <c r="A258" s="926"/>
      <c r="B258" s="609"/>
      <c r="C258" s="962"/>
      <c r="D258" s="2771"/>
      <c r="E258" s="2771"/>
      <c r="F258" s="2771"/>
      <c r="G258" s="2771"/>
      <c r="H258" s="2771"/>
      <c r="I258" s="2771"/>
      <c r="J258" s="2771"/>
      <c r="K258" s="2771"/>
      <c r="L258" s="2771"/>
      <c r="M258" s="2772"/>
      <c r="N258" s="2772"/>
      <c r="O258" s="2772"/>
      <c r="P258" s="2795"/>
      <c r="Q258" s="2796"/>
      <c r="R258" s="2770"/>
      <c r="S258" s="2770"/>
      <c r="T258" s="963"/>
      <c r="U258" s="609"/>
      <c r="V258" s="926"/>
      <c r="W258" s="926"/>
      <c r="X258" s="926"/>
      <c r="Y258" s="926"/>
      <c r="Z258" s="926"/>
      <c r="AA258" s="926"/>
      <c r="AB258" s="926"/>
      <c r="AC258" s="926"/>
      <c r="AD258" s="926"/>
      <c r="AE258" s="926"/>
      <c r="AF258" s="926"/>
      <c r="AG258" s="926"/>
      <c r="AH258" s="926"/>
      <c r="AI258" s="926"/>
      <c r="AJ258" s="926"/>
    </row>
    <row r="259" spans="1:36" ht="15" customHeight="1" x14ac:dyDescent="0.3">
      <c r="A259" s="926"/>
      <c r="B259" s="609"/>
      <c r="C259" s="962"/>
      <c r="D259" s="2771" t="str">
        <f>UI.OpExpenses!BL106</f>
        <v>The utility electricity cost for on-farm usage</v>
      </c>
      <c r="E259" s="2771"/>
      <c r="F259" s="2771"/>
      <c r="G259" s="2771"/>
      <c r="H259" s="2771"/>
      <c r="I259" s="2771"/>
      <c r="J259" s="2771"/>
      <c r="K259" s="2771"/>
      <c r="L259" s="2771"/>
      <c r="M259" s="2772">
        <f>UI.OpExpenses!BC106</f>
        <v>6.8591666666666662E-2</v>
      </c>
      <c r="N259" s="2772"/>
      <c r="O259" s="2772"/>
      <c r="P259" s="2793" t="str">
        <f>UI.OpExpenses!BG106</f>
        <v>$/kWh</v>
      </c>
      <c r="Q259" s="2794"/>
      <c r="R259" s="2770" t="str">
        <f>UI.OpExpenses!BM106</f>
        <v>Yes</v>
      </c>
      <c r="S259" s="2770"/>
      <c r="T259" s="963"/>
      <c r="U259" s="609"/>
      <c r="V259" s="926"/>
      <c r="W259" s="926"/>
      <c r="X259" s="926"/>
      <c r="Y259" s="926"/>
      <c r="Z259" s="926"/>
      <c r="AA259" s="926"/>
      <c r="AB259" s="926"/>
      <c r="AC259" s="926"/>
      <c r="AD259" s="926"/>
      <c r="AE259" s="926"/>
      <c r="AF259" s="926"/>
      <c r="AG259" s="926"/>
      <c r="AH259" s="926"/>
      <c r="AI259" s="926"/>
      <c r="AJ259" s="926"/>
    </row>
    <row r="260" spans="1:36" ht="15" customHeight="1" x14ac:dyDescent="0.3">
      <c r="A260" s="926"/>
      <c r="B260" s="609"/>
      <c r="C260" s="962"/>
      <c r="D260" s="2771"/>
      <c r="E260" s="2771"/>
      <c r="F260" s="2771"/>
      <c r="G260" s="2771"/>
      <c r="H260" s="2771"/>
      <c r="I260" s="2771"/>
      <c r="J260" s="2771"/>
      <c r="K260" s="2771"/>
      <c r="L260" s="2771"/>
      <c r="M260" s="2772"/>
      <c r="N260" s="2772"/>
      <c r="O260" s="2772"/>
      <c r="P260" s="2795"/>
      <c r="Q260" s="2796"/>
      <c r="R260" s="2770"/>
      <c r="S260" s="2770"/>
      <c r="T260" s="963"/>
      <c r="U260" s="609"/>
      <c r="V260" s="926"/>
      <c r="W260" s="926"/>
      <c r="X260" s="926"/>
      <c r="Y260" s="926"/>
      <c r="Z260" s="926"/>
      <c r="AA260" s="926"/>
      <c r="AB260" s="926"/>
      <c r="AC260" s="926"/>
      <c r="AD260" s="926"/>
      <c r="AE260" s="926"/>
      <c r="AF260" s="926"/>
      <c r="AG260" s="926"/>
      <c r="AH260" s="926"/>
      <c r="AI260" s="926"/>
      <c r="AJ260" s="926"/>
    </row>
    <row r="261" spans="1:36" ht="15" customHeight="1" x14ac:dyDescent="0.3">
      <c r="A261" s="926"/>
      <c r="B261" s="609"/>
      <c r="C261" s="962"/>
      <c r="D261" s="2771" t="str">
        <f>UI.OpExpenses!BL107</f>
        <v>The diesel cost for the chosen state or an override by user</v>
      </c>
      <c r="E261" s="2771"/>
      <c r="F261" s="2771"/>
      <c r="G261" s="2771"/>
      <c r="H261" s="2771"/>
      <c r="I261" s="2771"/>
      <c r="J261" s="2771"/>
      <c r="K261" s="2771"/>
      <c r="L261" s="2771"/>
      <c r="M261" s="2772">
        <f>UI.OpExpenses!BC107</f>
        <v>3.6964905660377356</v>
      </c>
      <c r="N261" s="2772"/>
      <c r="O261" s="2772"/>
      <c r="P261" s="2793" t="str">
        <f>UI.OpExpenses!BG107</f>
        <v>$/gal</v>
      </c>
      <c r="Q261" s="2794"/>
      <c r="R261" s="2770" t="str">
        <f>UI.OpExpenses!BM107</f>
        <v>Yes</v>
      </c>
      <c r="S261" s="2770"/>
      <c r="T261" s="963"/>
      <c r="U261" s="609"/>
      <c r="V261" s="926"/>
      <c r="W261" s="926"/>
      <c r="X261" s="926"/>
      <c r="Y261" s="926"/>
      <c r="Z261" s="926"/>
      <c r="AA261" s="926"/>
      <c r="AB261" s="926"/>
      <c r="AC261" s="926"/>
      <c r="AD261" s="926"/>
      <c r="AE261" s="926"/>
      <c r="AF261" s="926"/>
      <c r="AG261" s="926"/>
      <c r="AH261" s="926"/>
      <c r="AI261" s="926"/>
      <c r="AJ261" s="926"/>
    </row>
    <row r="262" spans="1:36" ht="15" customHeight="1" x14ac:dyDescent="0.3">
      <c r="A262" s="926"/>
      <c r="B262" s="609"/>
      <c r="C262" s="962"/>
      <c r="D262" s="2771"/>
      <c r="E262" s="2771"/>
      <c r="F262" s="2771"/>
      <c r="G262" s="2771"/>
      <c r="H262" s="2771"/>
      <c r="I262" s="2771"/>
      <c r="J262" s="2771"/>
      <c r="K262" s="2771"/>
      <c r="L262" s="2771"/>
      <c r="M262" s="2772"/>
      <c r="N262" s="2772"/>
      <c r="O262" s="2772"/>
      <c r="P262" s="2795"/>
      <c r="Q262" s="2796"/>
      <c r="R262" s="2770"/>
      <c r="S262" s="2770"/>
      <c r="T262" s="963"/>
      <c r="U262" s="609"/>
      <c r="V262" s="926"/>
      <c r="W262" s="926"/>
      <c r="X262" s="926"/>
      <c r="Y262" s="926"/>
      <c r="Z262" s="926"/>
      <c r="AA262" s="926"/>
      <c r="AB262" s="926"/>
      <c r="AC262" s="926"/>
      <c r="AD262" s="926"/>
      <c r="AE262" s="926"/>
      <c r="AF262" s="926"/>
      <c r="AG262" s="926"/>
      <c r="AH262" s="926"/>
      <c r="AI262" s="926"/>
      <c r="AJ262" s="926"/>
    </row>
    <row r="263" spans="1:36" ht="15" customHeight="1" x14ac:dyDescent="0.3">
      <c r="A263" s="926"/>
      <c r="B263" s="609"/>
      <c r="C263" s="962"/>
      <c r="D263" s="2771" t="str">
        <f>UI.OpExpenses!BL108</f>
        <v>The gasoline cost for the chosen state or an override by user</v>
      </c>
      <c r="E263" s="2771"/>
      <c r="F263" s="2771"/>
      <c r="G263" s="2771"/>
      <c r="H263" s="2771"/>
      <c r="I263" s="2771"/>
      <c r="J263" s="2771"/>
      <c r="K263" s="2771"/>
      <c r="L263" s="2771"/>
      <c r="M263" s="2772">
        <f>UI.OpExpenses!BC108</f>
        <v>3.2422641509433965</v>
      </c>
      <c r="N263" s="2772"/>
      <c r="O263" s="2772"/>
      <c r="P263" s="2793" t="str">
        <f>UI.OpExpenses!BG108</f>
        <v>$/gal</v>
      </c>
      <c r="Q263" s="2794"/>
      <c r="R263" s="2770" t="str">
        <f>UI.OpExpenses!BM108</f>
        <v>Yes</v>
      </c>
      <c r="S263" s="2770"/>
      <c r="T263" s="963"/>
      <c r="U263" s="609"/>
      <c r="V263" s="926"/>
      <c r="W263" s="926"/>
      <c r="X263" s="926"/>
      <c r="Y263" s="926"/>
      <c r="Z263" s="926"/>
      <c r="AA263" s="926"/>
      <c r="AB263" s="926"/>
      <c r="AC263" s="926"/>
      <c r="AD263" s="926"/>
      <c r="AE263" s="926"/>
      <c r="AF263" s="926"/>
      <c r="AG263" s="926"/>
      <c r="AH263" s="926"/>
      <c r="AI263" s="926"/>
      <c r="AJ263" s="926"/>
    </row>
    <row r="264" spans="1:36" ht="15" customHeight="1" x14ac:dyDescent="0.3">
      <c r="A264" s="926"/>
      <c r="B264" s="609"/>
      <c r="C264" s="962"/>
      <c r="D264" s="2771"/>
      <c r="E264" s="2771"/>
      <c r="F264" s="2771"/>
      <c r="G264" s="2771"/>
      <c r="H264" s="2771"/>
      <c r="I264" s="2771"/>
      <c r="J264" s="2771"/>
      <c r="K264" s="2771"/>
      <c r="L264" s="2771"/>
      <c r="M264" s="2772"/>
      <c r="N264" s="2772"/>
      <c r="O264" s="2772"/>
      <c r="P264" s="2795"/>
      <c r="Q264" s="2796"/>
      <c r="R264" s="2770"/>
      <c r="S264" s="2770"/>
      <c r="T264" s="963"/>
      <c r="U264" s="609"/>
      <c r="V264" s="926"/>
      <c r="W264" s="926"/>
      <c r="X264" s="926"/>
      <c r="Y264" s="926"/>
      <c r="Z264" s="926"/>
      <c r="AA264" s="926"/>
      <c r="AB264" s="926"/>
      <c r="AC264" s="926"/>
      <c r="AD264" s="926"/>
      <c r="AE264" s="926"/>
      <c r="AF264" s="926"/>
      <c r="AG264" s="926"/>
      <c r="AH264" s="926"/>
      <c r="AI264" s="926"/>
      <c r="AJ264" s="926"/>
    </row>
    <row r="265" spans="1:36" ht="15" customHeight="1" x14ac:dyDescent="0.3">
      <c r="A265" s="926"/>
      <c r="B265" s="609"/>
      <c r="C265" s="962"/>
      <c r="D265" s="2771" t="str">
        <f>UI.OpExpenses!BL109</f>
        <v>Cost of N (nitrogen) based fertilizer</v>
      </c>
      <c r="E265" s="2771"/>
      <c r="F265" s="2771"/>
      <c r="G265" s="2771"/>
      <c r="H265" s="2771"/>
      <c r="I265" s="2771"/>
      <c r="J265" s="2771"/>
      <c r="K265" s="2771"/>
      <c r="L265" s="2771"/>
      <c r="M265" s="2772">
        <f>UI.OpExpenses!BC109</f>
        <v>0.53</v>
      </c>
      <c r="N265" s="2772"/>
      <c r="O265" s="2772"/>
      <c r="P265" s="2793" t="str">
        <f>UI.OpExpenses!BG109</f>
        <v>$/lb</v>
      </c>
      <c r="Q265" s="2794"/>
      <c r="R265" s="2770" t="str">
        <f>UI.OpExpenses!BM109</f>
        <v>Yes</v>
      </c>
      <c r="S265" s="2770"/>
      <c r="T265" s="963"/>
      <c r="U265" s="609"/>
      <c r="V265" s="926"/>
      <c r="W265" s="926"/>
      <c r="X265" s="926"/>
      <c r="Y265" s="926"/>
      <c r="Z265" s="926"/>
      <c r="AA265" s="926"/>
      <c r="AB265" s="926"/>
      <c r="AC265" s="926"/>
      <c r="AD265" s="926"/>
      <c r="AE265" s="926"/>
      <c r="AF265" s="926"/>
      <c r="AG265" s="926"/>
      <c r="AH265" s="926"/>
      <c r="AI265" s="926"/>
      <c r="AJ265" s="926"/>
    </row>
    <row r="266" spans="1:36" ht="15" customHeight="1" x14ac:dyDescent="0.3">
      <c r="A266" s="926"/>
      <c r="B266" s="609"/>
      <c r="C266" s="962"/>
      <c r="D266" s="2771"/>
      <c r="E266" s="2771"/>
      <c r="F266" s="2771"/>
      <c r="G266" s="2771"/>
      <c r="H266" s="2771"/>
      <c r="I266" s="2771"/>
      <c r="J266" s="2771"/>
      <c r="K266" s="2771"/>
      <c r="L266" s="2771"/>
      <c r="M266" s="2772"/>
      <c r="N266" s="2772"/>
      <c r="O266" s="2772"/>
      <c r="P266" s="2795"/>
      <c r="Q266" s="2796"/>
      <c r="R266" s="2770"/>
      <c r="S266" s="2770"/>
      <c r="T266" s="963"/>
      <c r="U266" s="609"/>
      <c r="V266" s="926"/>
      <c r="W266" s="926"/>
      <c r="X266" s="926"/>
      <c r="Y266" s="926"/>
      <c r="Z266" s="926"/>
      <c r="AA266" s="926"/>
      <c r="AB266" s="926"/>
      <c r="AC266" s="926"/>
      <c r="AD266" s="926"/>
      <c r="AE266" s="926"/>
      <c r="AF266" s="926"/>
      <c r="AG266" s="926"/>
      <c r="AH266" s="926"/>
      <c r="AI266" s="926"/>
      <c r="AJ266" s="926"/>
    </row>
    <row r="267" spans="1:36" ht="15" customHeight="1" x14ac:dyDescent="0.3">
      <c r="A267" s="926"/>
      <c r="B267" s="609"/>
      <c r="C267" s="962"/>
      <c r="D267" s="2771" t="str">
        <f>UI.OpExpenses!BL110</f>
        <v>Cost of P2O5 (phosphorus) based fertilizer</v>
      </c>
      <c r="E267" s="2771"/>
      <c r="F267" s="2771"/>
      <c r="G267" s="2771"/>
      <c r="H267" s="2771"/>
      <c r="I267" s="2771"/>
      <c r="J267" s="2771"/>
      <c r="K267" s="2771"/>
      <c r="L267" s="2771"/>
      <c r="M267" s="2772">
        <f>UI.OpExpenses!BC110</f>
        <v>0.53</v>
      </c>
      <c r="N267" s="2772"/>
      <c r="O267" s="2772"/>
      <c r="P267" s="2793" t="str">
        <f>UI.OpExpenses!BG110</f>
        <v>$/lb</v>
      </c>
      <c r="Q267" s="2794"/>
      <c r="R267" s="2770" t="str">
        <f>UI.OpExpenses!BM110</f>
        <v>Yes</v>
      </c>
      <c r="S267" s="2770"/>
      <c r="T267" s="963"/>
      <c r="U267" s="609"/>
      <c r="V267" s="926"/>
      <c r="W267" s="926"/>
      <c r="X267" s="926"/>
      <c r="Y267" s="926"/>
      <c r="Z267" s="926"/>
      <c r="AA267" s="926"/>
      <c r="AB267" s="926"/>
      <c r="AC267" s="926"/>
      <c r="AD267" s="926"/>
      <c r="AE267" s="926"/>
      <c r="AF267" s="926"/>
      <c r="AG267" s="926"/>
      <c r="AH267" s="926"/>
      <c r="AI267" s="926"/>
      <c r="AJ267" s="926"/>
    </row>
    <row r="268" spans="1:36" ht="15" customHeight="1" x14ac:dyDescent="0.3">
      <c r="A268" s="926"/>
      <c r="B268" s="609"/>
      <c r="C268" s="962"/>
      <c r="D268" s="2771"/>
      <c r="E268" s="2771"/>
      <c r="F268" s="2771"/>
      <c r="G268" s="2771"/>
      <c r="H268" s="2771"/>
      <c r="I268" s="2771"/>
      <c r="J268" s="2771"/>
      <c r="K268" s="2771"/>
      <c r="L268" s="2771"/>
      <c r="M268" s="2772"/>
      <c r="N268" s="2772"/>
      <c r="O268" s="2772"/>
      <c r="P268" s="2795"/>
      <c r="Q268" s="2796"/>
      <c r="R268" s="2770"/>
      <c r="S268" s="2770"/>
      <c r="T268" s="963"/>
      <c r="U268" s="609"/>
      <c r="V268" s="926"/>
      <c r="W268" s="926"/>
      <c r="X268" s="926"/>
      <c r="Y268" s="926"/>
      <c r="Z268" s="926"/>
      <c r="AA268" s="926"/>
      <c r="AB268" s="926"/>
      <c r="AC268" s="926"/>
      <c r="AD268" s="926"/>
      <c r="AE268" s="926"/>
      <c r="AF268" s="926"/>
      <c r="AG268" s="926"/>
      <c r="AH268" s="926"/>
      <c r="AI268" s="926"/>
      <c r="AJ268" s="926"/>
    </row>
    <row r="269" spans="1:36" ht="15" customHeight="1" x14ac:dyDescent="0.3">
      <c r="A269" s="926"/>
      <c r="B269" s="609"/>
      <c r="C269" s="962"/>
      <c r="D269" s="2771" t="str">
        <f>UI.OpExpenses!BL111</f>
        <v>Cost of K2O (potassium) based fertilizer</v>
      </c>
      <c r="E269" s="2771"/>
      <c r="F269" s="2771"/>
      <c r="G269" s="2771"/>
      <c r="H269" s="2771"/>
      <c r="I269" s="2771"/>
      <c r="J269" s="2771"/>
      <c r="K269" s="2771"/>
      <c r="L269" s="2771"/>
      <c r="M269" s="2772">
        <f>UI.OpExpenses!BC111</f>
        <v>0.45</v>
      </c>
      <c r="N269" s="2772"/>
      <c r="O269" s="2772"/>
      <c r="P269" s="2793" t="str">
        <f>UI.OpExpenses!BG111</f>
        <v>$/lb</v>
      </c>
      <c r="Q269" s="2794"/>
      <c r="R269" s="2770" t="str">
        <f>UI.OpExpenses!BM111</f>
        <v>Yes</v>
      </c>
      <c r="S269" s="2770"/>
      <c r="T269" s="963"/>
      <c r="U269" s="609"/>
      <c r="V269" s="926"/>
      <c r="W269" s="926"/>
      <c r="X269" s="926"/>
      <c r="Y269" s="926"/>
      <c r="Z269" s="926"/>
      <c r="AA269" s="926"/>
      <c r="AB269" s="926"/>
      <c r="AC269" s="926"/>
      <c r="AD269" s="926"/>
      <c r="AE269" s="926"/>
      <c r="AF269" s="926"/>
      <c r="AG269" s="926"/>
      <c r="AH269" s="926"/>
      <c r="AI269" s="926"/>
      <c r="AJ269" s="926"/>
    </row>
    <row r="270" spans="1:36" ht="15" customHeight="1" x14ac:dyDescent="0.3">
      <c r="A270" s="926"/>
      <c r="B270" s="609"/>
      <c r="C270" s="962"/>
      <c r="D270" s="2771"/>
      <c r="E270" s="2771"/>
      <c r="F270" s="2771"/>
      <c r="G270" s="2771"/>
      <c r="H270" s="2771"/>
      <c r="I270" s="2771"/>
      <c r="J270" s="2771"/>
      <c r="K270" s="2771"/>
      <c r="L270" s="2771"/>
      <c r="M270" s="2772"/>
      <c r="N270" s="2772"/>
      <c r="O270" s="2772"/>
      <c r="P270" s="2795"/>
      <c r="Q270" s="2796"/>
      <c r="R270" s="2770"/>
      <c r="S270" s="2770"/>
      <c r="T270" s="963"/>
      <c r="U270" s="609"/>
      <c r="V270" s="926"/>
      <c r="W270" s="926"/>
      <c r="X270" s="926"/>
      <c r="Y270" s="926"/>
      <c r="Z270" s="926"/>
      <c r="AA270" s="926"/>
      <c r="AB270" s="926"/>
      <c r="AC270" s="926"/>
      <c r="AD270" s="926"/>
      <c r="AE270" s="926"/>
      <c r="AF270" s="926"/>
      <c r="AG270" s="926"/>
      <c r="AH270" s="926"/>
      <c r="AI270" s="926"/>
      <c r="AJ270" s="926"/>
    </row>
    <row r="271" spans="1:36" ht="15" customHeight="1" x14ac:dyDescent="0.3">
      <c r="A271" s="926"/>
      <c r="B271" s="609"/>
      <c r="C271" s="962"/>
      <c r="D271" s="2771" t="str">
        <f>UI.OpExpenses!BL112</f>
        <v>Average cost of obtaining water for farm usage</v>
      </c>
      <c r="E271" s="2771"/>
      <c r="F271" s="2771"/>
      <c r="G271" s="2771"/>
      <c r="H271" s="2771"/>
      <c r="I271" s="2771"/>
      <c r="J271" s="2771"/>
      <c r="K271" s="2771"/>
      <c r="L271" s="2771"/>
      <c r="M271" s="2772">
        <f>UI.OpExpenses!BC112</f>
        <v>3.858144828221536</v>
      </c>
      <c r="N271" s="2772"/>
      <c r="O271" s="2772"/>
      <c r="P271" s="2793" t="str">
        <f>UI.OpExpenses!BG112</f>
        <v>$/1000 gal</v>
      </c>
      <c r="Q271" s="2794"/>
      <c r="R271" s="2770" t="str">
        <f>UI.OpExpenses!BM112</f>
        <v>Yes</v>
      </c>
      <c r="S271" s="2770"/>
      <c r="T271" s="963"/>
      <c r="U271" s="609"/>
      <c r="V271" s="926"/>
      <c r="W271" s="926"/>
      <c r="X271" s="926"/>
      <c r="Y271" s="926"/>
      <c r="Z271" s="926"/>
      <c r="AA271" s="926"/>
      <c r="AB271" s="926"/>
      <c r="AC271" s="926"/>
      <c r="AD271" s="926"/>
      <c r="AE271" s="926"/>
      <c r="AF271" s="926"/>
      <c r="AG271" s="926"/>
      <c r="AH271" s="926"/>
      <c r="AI271" s="926"/>
      <c r="AJ271" s="926"/>
    </row>
    <row r="272" spans="1:36" ht="15" customHeight="1" x14ac:dyDescent="0.3">
      <c r="A272" s="926"/>
      <c r="B272" s="609"/>
      <c r="C272" s="962"/>
      <c r="D272" s="2771"/>
      <c r="E272" s="2771"/>
      <c r="F272" s="2771"/>
      <c r="G272" s="2771"/>
      <c r="H272" s="2771"/>
      <c r="I272" s="2771"/>
      <c r="J272" s="2771"/>
      <c r="K272" s="2771"/>
      <c r="L272" s="2771"/>
      <c r="M272" s="2772"/>
      <c r="N272" s="2772"/>
      <c r="O272" s="2772"/>
      <c r="P272" s="2795"/>
      <c r="Q272" s="2796"/>
      <c r="R272" s="2770"/>
      <c r="S272" s="2770"/>
      <c r="T272" s="963"/>
      <c r="U272" s="609"/>
      <c r="V272" s="926"/>
      <c r="W272" s="926"/>
      <c r="X272" s="926"/>
      <c r="Y272" s="926"/>
      <c r="Z272" s="926"/>
      <c r="AA272" s="926"/>
      <c r="AB272" s="926"/>
      <c r="AC272" s="926"/>
      <c r="AD272" s="926"/>
      <c r="AE272" s="926"/>
      <c r="AF272" s="926"/>
      <c r="AG272" s="926"/>
      <c r="AH272" s="926"/>
      <c r="AI272" s="926"/>
      <c r="AJ272" s="926"/>
    </row>
    <row r="273" spans="1:36" ht="15" customHeight="1" thickBot="1" x14ac:dyDescent="0.35">
      <c r="A273" s="926"/>
      <c r="B273" s="609"/>
      <c r="C273" s="962"/>
      <c r="D273" s="40"/>
      <c r="E273" s="40"/>
      <c r="F273" s="985"/>
      <c r="G273" s="985"/>
      <c r="H273" s="985"/>
      <c r="I273" s="985"/>
      <c r="J273" s="985"/>
      <c r="K273" s="985"/>
      <c r="L273" s="986"/>
      <c r="M273" s="986"/>
      <c r="N273" s="1981"/>
      <c r="O273" s="1981"/>
      <c r="P273" s="1981"/>
      <c r="Q273" s="1981"/>
      <c r="R273" s="40"/>
      <c r="S273" s="40"/>
      <c r="T273" s="963"/>
      <c r="U273" s="609"/>
      <c r="V273" s="926"/>
      <c r="W273" s="926"/>
      <c r="X273" s="926"/>
      <c r="Y273" s="926"/>
      <c r="Z273" s="926"/>
      <c r="AA273" s="926"/>
      <c r="AB273" s="926"/>
      <c r="AC273" s="926"/>
      <c r="AD273" s="926"/>
      <c r="AE273" s="926"/>
      <c r="AF273" s="926"/>
      <c r="AG273" s="926"/>
      <c r="AH273" s="926"/>
      <c r="AI273" s="926"/>
      <c r="AJ273" s="926"/>
    </row>
    <row r="274" spans="1:36" ht="15" customHeight="1" thickTop="1" x14ac:dyDescent="0.3">
      <c r="A274" s="926"/>
      <c r="B274" s="609"/>
      <c r="C274" s="962"/>
      <c r="D274" s="40"/>
      <c r="E274" s="40"/>
      <c r="F274" s="40"/>
      <c r="G274" s="2780" t="s">
        <v>579</v>
      </c>
      <c r="H274" s="2781"/>
      <c r="I274" s="2781"/>
      <c r="J274" s="2781"/>
      <c r="K274" s="2781"/>
      <c r="L274" s="2781"/>
      <c r="M274" s="2781"/>
      <c r="N274" s="2781"/>
      <c r="O274" s="2781"/>
      <c r="P274" s="2782"/>
      <c r="Q274" s="40"/>
      <c r="R274" s="40"/>
      <c r="S274" s="40"/>
      <c r="T274" s="963"/>
      <c r="U274" s="609"/>
      <c r="V274" s="926"/>
      <c r="W274" s="926"/>
      <c r="X274" s="926"/>
      <c r="Y274" s="926"/>
      <c r="Z274" s="926"/>
      <c r="AA274" s="926"/>
      <c r="AB274" s="926"/>
      <c r="AC274" s="926"/>
      <c r="AD274" s="926"/>
      <c r="AE274" s="926"/>
      <c r="AF274" s="926"/>
      <c r="AG274" s="926"/>
      <c r="AH274" s="926"/>
      <c r="AI274" s="926"/>
      <c r="AJ274" s="926"/>
    </row>
    <row r="275" spans="1:36" ht="15" customHeight="1" x14ac:dyDescent="0.3">
      <c r="A275" s="926"/>
      <c r="B275" s="609"/>
      <c r="C275" s="962"/>
      <c r="D275" s="40"/>
      <c r="E275" s="40"/>
      <c r="F275" s="40"/>
      <c r="G275" s="2783"/>
      <c r="H275" s="2784"/>
      <c r="I275" s="2784"/>
      <c r="J275" s="2784"/>
      <c r="K275" s="2784"/>
      <c r="L275" s="2784"/>
      <c r="M275" s="2784"/>
      <c r="N275" s="2784"/>
      <c r="O275" s="2784"/>
      <c r="P275" s="2785"/>
      <c r="Q275" s="40"/>
      <c r="R275" s="40"/>
      <c r="S275" s="40"/>
      <c r="T275" s="963"/>
      <c r="U275" s="609"/>
      <c r="V275" s="926"/>
      <c r="W275" s="926"/>
      <c r="X275" s="926"/>
      <c r="Y275" s="926"/>
      <c r="Z275" s="926"/>
      <c r="AA275" s="926"/>
      <c r="AB275" s="926"/>
      <c r="AC275" s="926"/>
      <c r="AD275" s="926"/>
      <c r="AE275" s="926"/>
      <c r="AF275" s="926"/>
      <c r="AG275" s="926"/>
      <c r="AH275" s="926"/>
      <c r="AI275" s="926"/>
      <c r="AJ275" s="926"/>
    </row>
    <row r="276" spans="1:36" ht="15" customHeight="1" thickBot="1" x14ac:dyDescent="0.35">
      <c r="A276" s="926"/>
      <c r="B276" s="609"/>
      <c r="C276" s="962"/>
      <c r="D276" s="40"/>
      <c r="E276" s="40"/>
      <c r="F276" s="40"/>
      <c r="G276" s="2786"/>
      <c r="H276" s="2787"/>
      <c r="I276" s="2787"/>
      <c r="J276" s="2787"/>
      <c r="K276" s="2787"/>
      <c r="L276" s="2787"/>
      <c r="M276" s="2787"/>
      <c r="N276" s="2787"/>
      <c r="O276" s="2787"/>
      <c r="P276" s="2788"/>
      <c r="Q276" s="40"/>
      <c r="R276" s="40"/>
      <c r="S276" s="40"/>
      <c r="T276" s="963"/>
      <c r="U276" s="609"/>
      <c r="V276" s="926"/>
      <c r="W276" s="926"/>
      <c r="X276" s="926"/>
      <c r="Y276" s="926"/>
      <c r="Z276" s="926"/>
      <c r="AA276" s="926"/>
      <c r="AB276" s="926"/>
      <c r="AC276" s="926"/>
      <c r="AD276" s="926"/>
      <c r="AE276" s="926"/>
      <c r="AF276" s="926"/>
      <c r="AG276" s="926"/>
      <c r="AH276" s="926"/>
      <c r="AI276" s="926"/>
      <c r="AJ276" s="926"/>
    </row>
    <row r="277" spans="1:36" ht="15" customHeight="1" thickTop="1" x14ac:dyDescent="0.3">
      <c r="A277" s="926"/>
      <c r="B277" s="609"/>
      <c r="C277" s="962"/>
      <c r="D277" s="40"/>
      <c r="E277" s="40"/>
      <c r="F277" s="40"/>
      <c r="G277" s="40"/>
      <c r="H277" s="40"/>
      <c r="I277" s="40"/>
      <c r="J277" s="40"/>
      <c r="K277" s="40"/>
      <c r="L277" s="40"/>
      <c r="M277" s="40"/>
      <c r="N277" s="40"/>
      <c r="O277" s="40"/>
      <c r="P277" s="40"/>
      <c r="Q277" s="40"/>
      <c r="R277" s="40"/>
      <c r="S277" s="40"/>
      <c r="T277" s="963"/>
      <c r="U277" s="609"/>
      <c r="V277" s="926"/>
      <c r="W277" s="926"/>
      <c r="X277" s="926"/>
      <c r="Y277" s="926"/>
      <c r="Z277" s="926"/>
      <c r="AA277" s="926"/>
      <c r="AB277" s="926"/>
      <c r="AC277" s="926"/>
      <c r="AD277" s="926"/>
      <c r="AE277" s="926"/>
      <c r="AF277" s="926"/>
      <c r="AG277" s="926"/>
      <c r="AH277" s="926"/>
      <c r="AI277" s="926"/>
      <c r="AJ277" s="926"/>
    </row>
    <row r="278" spans="1:36" ht="15" customHeight="1" x14ac:dyDescent="0.3">
      <c r="A278" s="926"/>
      <c r="B278" s="609"/>
      <c r="C278" s="962"/>
      <c r="D278" s="2397" t="s">
        <v>580</v>
      </c>
      <c r="E278" s="2397"/>
      <c r="F278" s="2397"/>
      <c r="G278" s="2397"/>
      <c r="H278" s="2397"/>
      <c r="I278" s="2397"/>
      <c r="J278" s="2397"/>
      <c r="K278" s="2397"/>
      <c r="L278" s="2397"/>
      <c r="M278" s="2397" t="s">
        <v>565</v>
      </c>
      <c r="N278" s="2397"/>
      <c r="O278" s="2397"/>
      <c r="P278" s="2397" t="s">
        <v>38</v>
      </c>
      <c r="Q278" s="2397"/>
      <c r="R278" s="2397" t="s">
        <v>566</v>
      </c>
      <c r="S278" s="2397"/>
      <c r="T278" s="963"/>
      <c r="U278" s="609"/>
      <c r="V278" s="926"/>
      <c r="W278" s="926"/>
      <c r="X278" s="926"/>
      <c r="Y278" s="926"/>
      <c r="Z278" s="926"/>
      <c r="AA278" s="926"/>
      <c r="AB278" s="926"/>
      <c r="AC278" s="926"/>
      <c r="AD278" s="926"/>
      <c r="AE278" s="926"/>
      <c r="AF278" s="926"/>
      <c r="AG278" s="926"/>
      <c r="AH278" s="926"/>
      <c r="AI278" s="926"/>
      <c r="AJ278" s="926"/>
    </row>
    <row r="279" spans="1:36" ht="15" customHeight="1" x14ac:dyDescent="0.3">
      <c r="A279" s="926"/>
      <c r="B279" s="609"/>
      <c r="C279" s="962"/>
      <c r="D279" s="2771" t="s">
        <v>581</v>
      </c>
      <c r="E279" s="2771"/>
      <c r="F279" s="2771"/>
      <c r="G279" s="2771"/>
      <c r="H279" s="2771"/>
      <c r="I279" s="2771"/>
      <c r="J279" s="2771"/>
      <c r="K279" s="2771"/>
      <c r="L279" s="2771"/>
      <c r="M279" s="2772" t="str">
        <f>UI.Priorities!BD180</f>
        <v>Non-Sludge Year</v>
      </c>
      <c r="N279" s="2772"/>
      <c r="O279" s="2772"/>
      <c r="P279" s="2793" t="s">
        <v>582</v>
      </c>
      <c r="Q279" s="2794"/>
      <c r="R279" s="2770" t="str">
        <f>UI.Priorities!BM180</f>
        <v>Yes</v>
      </c>
      <c r="S279" s="2770"/>
      <c r="T279" s="963"/>
      <c r="U279" s="609"/>
      <c r="V279" s="926"/>
      <c r="W279" s="926"/>
      <c r="X279" s="926"/>
      <c r="Y279" s="926"/>
      <c r="Z279" s="926"/>
      <c r="AA279" s="926"/>
      <c r="AB279" s="926"/>
      <c r="AC279" s="926"/>
      <c r="AD279" s="926"/>
      <c r="AE279" s="926"/>
      <c r="AF279" s="926"/>
      <c r="AG279" s="926"/>
      <c r="AH279" s="926"/>
      <c r="AI279" s="926"/>
      <c r="AJ279" s="926"/>
    </row>
    <row r="280" spans="1:36" ht="15" customHeight="1" x14ac:dyDescent="0.3">
      <c r="A280" s="926"/>
      <c r="B280" s="609"/>
      <c r="C280" s="962"/>
      <c r="D280" s="2771"/>
      <c r="E280" s="2771"/>
      <c r="F280" s="2771"/>
      <c r="G280" s="2771"/>
      <c r="H280" s="2771"/>
      <c r="I280" s="2771"/>
      <c r="J280" s="2771"/>
      <c r="K280" s="2771"/>
      <c r="L280" s="2771"/>
      <c r="M280" s="2772"/>
      <c r="N280" s="2772"/>
      <c r="O280" s="2772"/>
      <c r="P280" s="2795"/>
      <c r="Q280" s="2796"/>
      <c r="R280" s="2770"/>
      <c r="S280" s="2770"/>
      <c r="T280" s="963"/>
      <c r="U280" s="609"/>
      <c r="V280" s="926"/>
      <c r="W280" s="926"/>
      <c r="X280" s="926"/>
      <c r="Y280" s="926"/>
      <c r="Z280" s="926"/>
      <c r="AA280" s="926"/>
      <c r="AB280" s="926"/>
      <c r="AC280" s="926"/>
      <c r="AD280" s="926"/>
      <c r="AE280" s="926"/>
      <c r="AF280" s="926"/>
      <c r="AG280" s="926"/>
      <c r="AH280" s="926"/>
      <c r="AI280" s="926"/>
      <c r="AJ280" s="926"/>
    </row>
    <row r="281" spans="1:36" ht="15" customHeight="1" x14ac:dyDescent="0.3">
      <c r="A281" s="926"/>
      <c r="B281" s="609"/>
      <c r="C281" s="962"/>
      <c r="D281" s="2771" t="s">
        <v>583</v>
      </c>
      <c r="E281" s="2771"/>
      <c r="F281" s="2771"/>
      <c r="G281" s="2771"/>
      <c r="H281" s="2771"/>
      <c r="I281" s="2771"/>
      <c r="J281" s="2771"/>
      <c r="K281" s="2771"/>
      <c r="L281" s="2771"/>
      <c r="M281" s="2772" t="str">
        <f>UI.Priorities!BD181</f>
        <v>Farm</v>
      </c>
      <c r="N281" s="2772"/>
      <c r="O281" s="2772"/>
      <c r="P281" s="2793" t="s">
        <v>584</v>
      </c>
      <c r="Q281" s="2794"/>
      <c r="R281" s="2770" t="str">
        <f>UI.Priorities!BM181</f>
        <v>Yes</v>
      </c>
      <c r="S281" s="2770"/>
      <c r="T281" s="963"/>
      <c r="U281" s="609"/>
      <c r="V281" s="926"/>
      <c r="W281" s="926"/>
      <c r="X281" s="926"/>
      <c r="Y281" s="926"/>
      <c r="Z281" s="926"/>
      <c r="AA281" s="926"/>
      <c r="AB281" s="926"/>
      <c r="AC281" s="926"/>
      <c r="AD281" s="926"/>
      <c r="AE281" s="926"/>
      <c r="AF281" s="926"/>
      <c r="AG281" s="926"/>
      <c r="AH281" s="926"/>
      <c r="AI281" s="926"/>
      <c r="AJ281" s="926"/>
    </row>
    <row r="282" spans="1:36" ht="15" customHeight="1" x14ac:dyDescent="0.3">
      <c r="A282" s="926"/>
      <c r="B282" s="609"/>
      <c r="C282" s="962"/>
      <c r="D282" s="2771"/>
      <c r="E282" s="2771"/>
      <c r="F282" s="2771"/>
      <c r="G282" s="2771"/>
      <c r="H282" s="2771"/>
      <c r="I282" s="2771"/>
      <c r="J282" s="2771"/>
      <c r="K282" s="2771"/>
      <c r="L282" s="2771"/>
      <c r="M282" s="2772"/>
      <c r="N282" s="2772"/>
      <c r="O282" s="2772"/>
      <c r="P282" s="2795"/>
      <c r="Q282" s="2796"/>
      <c r="R282" s="2770"/>
      <c r="S282" s="2770"/>
      <c r="T282" s="963"/>
      <c r="U282" s="609"/>
      <c r="V282" s="926"/>
      <c r="W282" s="926"/>
      <c r="X282" s="926"/>
      <c r="Y282" s="926"/>
      <c r="Z282" s="926"/>
      <c r="AA282" s="926"/>
      <c r="AB282" s="926"/>
      <c r="AC282" s="926"/>
      <c r="AD282" s="926"/>
      <c r="AE282" s="926"/>
      <c r="AF282" s="926"/>
      <c r="AG282" s="926"/>
      <c r="AH282" s="926"/>
      <c r="AI282" s="926"/>
      <c r="AJ282" s="926"/>
    </row>
    <row r="283" spans="1:36" ht="15" customHeight="1" x14ac:dyDescent="0.3">
      <c r="A283" s="926"/>
      <c r="B283" s="609"/>
      <c r="C283" s="962"/>
      <c r="D283" s="2397" t="s">
        <v>585</v>
      </c>
      <c r="E283" s="2397"/>
      <c r="F283" s="2397"/>
      <c r="G283" s="2397"/>
      <c r="H283" s="2397"/>
      <c r="I283" s="2397"/>
      <c r="J283" s="2397"/>
      <c r="K283" s="2397"/>
      <c r="L283" s="2397"/>
      <c r="M283" s="2397" t="s">
        <v>565</v>
      </c>
      <c r="N283" s="2397"/>
      <c r="O283" s="2397"/>
      <c r="P283" s="2406" t="s">
        <v>586</v>
      </c>
      <c r="Q283" s="2406"/>
      <c r="R283" s="2397" t="s">
        <v>566</v>
      </c>
      <c r="S283" s="2397"/>
      <c r="T283" s="963"/>
      <c r="U283" s="609"/>
      <c r="V283" s="926"/>
      <c r="W283" s="926"/>
      <c r="X283" s="926"/>
      <c r="Y283" s="926"/>
      <c r="Z283" s="926"/>
      <c r="AA283" s="926"/>
      <c r="AB283" s="926"/>
      <c r="AC283" s="926"/>
      <c r="AD283" s="926"/>
      <c r="AE283" s="926"/>
      <c r="AF283" s="926"/>
      <c r="AG283" s="926"/>
      <c r="AH283" s="926"/>
      <c r="AI283" s="926"/>
      <c r="AJ283" s="926"/>
    </row>
    <row r="284" spans="1:36" ht="15" customHeight="1" x14ac:dyDescent="0.3">
      <c r="A284" s="926"/>
      <c r="B284" s="609"/>
      <c r="C284" s="962"/>
      <c r="D284" s="2771" t="str">
        <f>UI.Priorities!BR187</f>
        <v>Weighting for capital costs</v>
      </c>
      <c r="E284" s="2771"/>
      <c r="F284" s="2771"/>
      <c r="G284" s="2771"/>
      <c r="H284" s="2771"/>
      <c r="I284" s="2771"/>
      <c r="J284" s="2771"/>
      <c r="K284" s="2771"/>
      <c r="L284" s="2771"/>
      <c r="M284" s="2803">
        <f>UI.Priorities!BH187</f>
        <v>80</v>
      </c>
      <c r="N284" s="2803"/>
      <c r="O284" s="2803"/>
      <c r="P284" s="2779">
        <f>UI.Priorities!BG187</f>
        <v>0.20512820512820512</v>
      </c>
      <c r="Q284" s="2779"/>
      <c r="R284" s="2770" t="str">
        <f>UI.Priorities!BT187</f>
        <v>Yes</v>
      </c>
      <c r="S284" s="2770"/>
      <c r="T284" s="963"/>
      <c r="U284" s="609"/>
      <c r="V284" s="926"/>
      <c r="W284" s="926"/>
      <c r="X284" s="926"/>
      <c r="Y284" s="926"/>
      <c r="Z284" s="926"/>
      <c r="AA284" s="926"/>
      <c r="AB284" s="926"/>
      <c r="AC284" s="926"/>
      <c r="AD284" s="926"/>
      <c r="AE284" s="926"/>
      <c r="AF284" s="926"/>
      <c r="AG284" s="926"/>
      <c r="AH284" s="926"/>
      <c r="AI284" s="926"/>
      <c r="AJ284" s="926"/>
    </row>
    <row r="285" spans="1:36" ht="15" customHeight="1" x14ac:dyDescent="0.3">
      <c r="A285" s="926"/>
      <c r="B285" s="609"/>
      <c r="C285" s="962"/>
      <c r="D285" s="2771"/>
      <c r="E285" s="2771"/>
      <c r="F285" s="2771"/>
      <c r="G285" s="2771"/>
      <c r="H285" s="2771"/>
      <c r="I285" s="2771"/>
      <c r="J285" s="2771"/>
      <c r="K285" s="2771"/>
      <c r="L285" s="2771"/>
      <c r="M285" s="2803"/>
      <c r="N285" s="2803"/>
      <c r="O285" s="2803"/>
      <c r="P285" s="2779"/>
      <c r="Q285" s="2779"/>
      <c r="R285" s="2770"/>
      <c r="S285" s="2770"/>
      <c r="T285" s="963"/>
      <c r="U285" s="609"/>
      <c r="V285" s="926"/>
      <c r="W285" s="926"/>
      <c r="X285" s="926"/>
      <c r="Y285" s="926"/>
      <c r="Z285" s="926"/>
      <c r="AA285" s="926"/>
      <c r="AB285" s="926"/>
      <c r="AC285" s="926"/>
      <c r="AD285" s="926"/>
      <c r="AE285" s="926"/>
      <c r="AF285" s="926"/>
      <c r="AG285" s="926"/>
      <c r="AH285" s="926"/>
      <c r="AI285" s="926"/>
      <c r="AJ285" s="926"/>
    </row>
    <row r="286" spans="1:36" ht="15" customHeight="1" x14ac:dyDescent="0.3">
      <c r="A286" s="926"/>
      <c r="B286" s="609"/>
      <c r="C286" s="962"/>
      <c r="D286" s="2771" t="str">
        <f>UI.Priorities!BR188</f>
        <v>Weighting for operating costs</v>
      </c>
      <c r="E286" s="2771"/>
      <c r="F286" s="2771"/>
      <c r="G286" s="2771"/>
      <c r="H286" s="2771"/>
      <c r="I286" s="2771"/>
      <c r="J286" s="2771"/>
      <c r="K286" s="2771"/>
      <c r="L286" s="2771"/>
      <c r="M286" s="2803">
        <f>UI.Priorities!BH188</f>
        <v>80</v>
      </c>
      <c r="N286" s="2803"/>
      <c r="O286" s="2803"/>
      <c r="P286" s="2779">
        <f>UI.Priorities!BG188</f>
        <v>0.20512820512820512</v>
      </c>
      <c r="Q286" s="2779"/>
      <c r="R286" s="2770" t="str">
        <f>UI.Priorities!BT188</f>
        <v>Yes</v>
      </c>
      <c r="S286" s="2770"/>
      <c r="T286" s="963"/>
      <c r="U286" s="609"/>
      <c r="V286" s="926"/>
      <c r="W286" s="926"/>
      <c r="X286" s="926"/>
      <c r="Y286" s="926"/>
      <c r="Z286" s="926"/>
      <c r="AA286" s="926"/>
      <c r="AB286" s="926"/>
      <c r="AC286" s="926"/>
      <c r="AD286" s="926"/>
      <c r="AE286" s="926"/>
      <c r="AF286" s="926"/>
      <c r="AG286" s="926"/>
      <c r="AH286" s="926"/>
      <c r="AI286" s="926"/>
      <c r="AJ286" s="926"/>
    </row>
    <row r="287" spans="1:36" ht="15" customHeight="1" x14ac:dyDescent="0.3">
      <c r="A287" s="926"/>
      <c r="B287" s="609"/>
      <c r="C287" s="962"/>
      <c r="D287" s="2771"/>
      <c r="E287" s="2771"/>
      <c r="F287" s="2771"/>
      <c r="G287" s="2771"/>
      <c r="H287" s="2771"/>
      <c r="I287" s="2771"/>
      <c r="J287" s="2771"/>
      <c r="K287" s="2771"/>
      <c r="L287" s="2771"/>
      <c r="M287" s="2803"/>
      <c r="N287" s="2803"/>
      <c r="O287" s="2803"/>
      <c r="P287" s="2779"/>
      <c r="Q287" s="2779"/>
      <c r="R287" s="2770"/>
      <c r="S287" s="2770"/>
      <c r="T287" s="963"/>
      <c r="U287" s="609"/>
      <c r="V287" s="926"/>
      <c r="W287" s="926"/>
      <c r="X287" s="926"/>
      <c r="Y287" s="926"/>
      <c r="Z287" s="926"/>
      <c r="AA287" s="926"/>
      <c r="AB287" s="926"/>
      <c r="AC287" s="926"/>
      <c r="AD287" s="926"/>
      <c r="AE287" s="926"/>
      <c r="AF287" s="926"/>
      <c r="AG287" s="926"/>
      <c r="AH287" s="926"/>
      <c r="AI287" s="926"/>
      <c r="AJ287" s="926"/>
    </row>
    <row r="288" spans="1:36" ht="15" customHeight="1" x14ac:dyDescent="0.3">
      <c r="A288" s="926"/>
      <c r="B288" s="609"/>
      <c r="C288" s="962"/>
      <c r="D288" s="2771" t="str">
        <f>UI.Priorities!BR189</f>
        <v>Weighting for net benefits</v>
      </c>
      <c r="E288" s="2771"/>
      <c r="F288" s="2771"/>
      <c r="G288" s="2771"/>
      <c r="H288" s="2771"/>
      <c r="I288" s="2771"/>
      <c r="J288" s="2771"/>
      <c r="K288" s="2771"/>
      <c r="L288" s="2771"/>
      <c r="M288" s="2803">
        <f>UI.Priorities!BH189</f>
        <v>80</v>
      </c>
      <c r="N288" s="2803"/>
      <c r="O288" s="2803"/>
      <c r="P288" s="2779">
        <f>UI.Priorities!BG189</f>
        <v>0.20512820512820512</v>
      </c>
      <c r="Q288" s="2779"/>
      <c r="R288" s="2770" t="str">
        <f>UI.Priorities!BT189</f>
        <v>Yes</v>
      </c>
      <c r="S288" s="2770"/>
      <c r="T288" s="963"/>
      <c r="U288" s="609"/>
      <c r="V288" s="926"/>
      <c r="W288" s="926"/>
      <c r="X288" s="926"/>
      <c r="Y288" s="926"/>
      <c r="Z288" s="926"/>
      <c r="AA288" s="926"/>
      <c r="AB288" s="926"/>
      <c r="AC288" s="926"/>
      <c r="AD288" s="926"/>
      <c r="AE288" s="926"/>
      <c r="AF288" s="926"/>
      <c r="AG288" s="926"/>
      <c r="AH288" s="926"/>
      <c r="AI288" s="926"/>
      <c r="AJ288" s="926"/>
    </row>
    <row r="289" spans="1:36" ht="15" customHeight="1" x14ac:dyDescent="0.3">
      <c r="A289" s="926"/>
      <c r="B289" s="609"/>
      <c r="C289" s="962"/>
      <c r="D289" s="2771"/>
      <c r="E289" s="2771"/>
      <c r="F289" s="2771"/>
      <c r="G289" s="2771"/>
      <c r="H289" s="2771"/>
      <c r="I289" s="2771"/>
      <c r="J289" s="2771"/>
      <c r="K289" s="2771"/>
      <c r="L289" s="2771"/>
      <c r="M289" s="2803"/>
      <c r="N289" s="2803"/>
      <c r="O289" s="2803"/>
      <c r="P289" s="2779"/>
      <c r="Q289" s="2779"/>
      <c r="R289" s="2770"/>
      <c r="S289" s="2770"/>
      <c r="T289" s="963"/>
      <c r="U289" s="609"/>
      <c r="V289" s="926"/>
      <c r="W289" s="926"/>
      <c r="X289" s="926"/>
      <c r="Y289" s="926"/>
      <c r="Z289" s="926"/>
      <c r="AA289" s="926"/>
      <c r="AB289" s="926"/>
      <c r="AC289" s="926"/>
      <c r="AD289" s="926"/>
      <c r="AE289" s="926"/>
      <c r="AF289" s="926"/>
      <c r="AG289" s="926"/>
      <c r="AH289" s="926"/>
      <c r="AI289" s="926"/>
      <c r="AJ289" s="926"/>
    </row>
    <row r="290" spans="1:36" ht="15" customHeight="1" x14ac:dyDescent="0.3">
      <c r="A290" s="926"/>
      <c r="B290" s="609"/>
      <c r="C290" s="962"/>
      <c r="D290" s="2771" t="str">
        <f>UI.Priorities!BR190</f>
        <v>Weighting for fertilizer costs</v>
      </c>
      <c r="E290" s="2771"/>
      <c r="F290" s="2771"/>
      <c r="G290" s="2771"/>
      <c r="H290" s="2771"/>
      <c r="I290" s="2771"/>
      <c r="J290" s="2771"/>
      <c r="K290" s="2771"/>
      <c r="L290" s="2771"/>
      <c r="M290" s="2803">
        <f>UI.Priorities!BH190</f>
        <v>10</v>
      </c>
      <c r="N290" s="2803"/>
      <c r="O290" s="2803"/>
      <c r="P290" s="2779">
        <f>UI.Priorities!BG190</f>
        <v>2.564102564102564E-2</v>
      </c>
      <c r="Q290" s="2779"/>
      <c r="R290" s="2770" t="str">
        <f>UI.Priorities!BT190</f>
        <v>Yes</v>
      </c>
      <c r="S290" s="2770"/>
      <c r="T290" s="963"/>
      <c r="U290" s="609"/>
      <c r="V290" s="926"/>
      <c r="W290" s="926"/>
      <c r="X290" s="926"/>
      <c r="Y290" s="926"/>
      <c r="Z290" s="926"/>
      <c r="AA290" s="926"/>
      <c r="AB290" s="926"/>
      <c r="AC290" s="926"/>
      <c r="AD290" s="926"/>
      <c r="AE290" s="926"/>
      <c r="AF290" s="926"/>
      <c r="AG290" s="926"/>
      <c r="AH290" s="926"/>
      <c r="AI290" s="926"/>
      <c r="AJ290" s="926"/>
    </row>
    <row r="291" spans="1:36" ht="15" customHeight="1" x14ac:dyDescent="0.3">
      <c r="A291" s="926"/>
      <c r="B291" s="609"/>
      <c r="C291" s="962"/>
      <c r="D291" s="2771"/>
      <c r="E291" s="2771"/>
      <c r="F291" s="2771"/>
      <c r="G291" s="2771"/>
      <c r="H291" s="2771"/>
      <c r="I291" s="2771"/>
      <c r="J291" s="2771"/>
      <c r="K291" s="2771"/>
      <c r="L291" s="2771"/>
      <c r="M291" s="2803"/>
      <c r="N291" s="2803"/>
      <c r="O291" s="2803"/>
      <c r="P291" s="2779"/>
      <c r="Q291" s="2779"/>
      <c r="R291" s="2770"/>
      <c r="S291" s="2770"/>
      <c r="T291" s="963"/>
      <c r="U291" s="609"/>
      <c r="V291" s="926"/>
      <c r="W291" s="926"/>
      <c r="X291" s="926"/>
      <c r="Y291" s="926"/>
      <c r="Z291" s="926"/>
      <c r="AA291" s="926"/>
      <c r="AB291" s="926"/>
      <c r="AC291" s="926"/>
      <c r="AD291" s="926"/>
      <c r="AE291" s="926"/>
      <c r="AF291" s="926"/>
      <c r="AG291" s="926"/>
      <c r="AH291" s="926"/>
      <c r="AI291" s="926"/>
      <c r="AJ291" s="926"/>
    </row>
    <row r="292" spans="1:36" ht="15" customHeight="1" x14ac:dyDescent="0.3">
      <c r="A292" s="926"/>
      <c r="B292" s="609"/>
      <c r="C292" s="962"/>
      <c r="D292" s="2771" t="str">
        <f>UI.Priorities!BR191</f>
        <v>Weighting for cost savings</v>
      </c>
      <c r="E292" s="2771"/>
      <c r="F292" s="2771"/>
      <c r="G292" s="2771"/>
      <c r="H292" s="2771"/>
      <c r="I292" s="2771"/>
      <c r="J292" s="2771"/>
      <c r="K292" s="2771"/>
      <c r="L292" s="2771"/>
      <c r="M292" s="2803">
        <f>UI.Priorities!BH191</f>
        <v>10</v>
      </c>
      <c r="N292" s="2803"/>
      <c r="O292" s="2803"/>
      <c r="P292" s="2779">
        <f>UI.Priorities!BG191</f>
        <v>2.564102564102564E-2</v>
      </c>
      <c r="Q292" s="2779"/>
      <c r="R292" s="2770" t="str">
        <f>UI.Priorities!BT191</f>
        <v>Yes</v>
      </c>
      <c r="S292" s="2770"/>
      <c r="T292" s="963"/>
      <c r="U292" s="609"/>
      <c r="V292" s="926"/>
      <c r="W292" s="926"/>
      <c r="X292" s="926"/>
      <c r="Y292" s="926"/>
      <c r="Z292" s="926"/>
      <c r="AA292" s="926"/>
      <c r="AB292" s="926"/>
      <c r="AC292" s="926"/>
      <c r="AD292" s="926"/>
      <c r="AE292" s="926"/>
      <c r="AF292" s="926"/>
      <c r="AG292" s="926"/>
      <c r="AH292" s="926"/>
      <c r="AI292" s="926"/>
      <c r="AJ292" s="926"/>
    </row>
    <row r="293" spans="1:36" ht="15" customHeight="1" x14ac:dyDescent="0.3">
      <c r="A293" s="926"/>
      <c r="B293" s="609"/>
      <c r="C293" s="962"/>
      <c r="D293" s="2771"/>
      <c r="E293" s="2771"/>
      <c r="F293" s="2771"/>
      <c r="G293" s="2771"/>
      <c r="H293" s="2771"/>
      <c r="I293" s="2771"/>
      <c r="J293" s="2771"/>
      <c r="K293" s="2771"/>
      <c r="L293" s="2771"/>
      <c r="M293" s="2803"/>
      <c r="N293" s="2803"/>
      <c r="O293" s="2803"/>
      <c r="P293" s="2779"/>
      <c r="Q293" s="2779"/>
      <c r="R293" s="2770"/>
      <c r="S293" s="2770"/>
      <c r="T293" s="963"/>
      <c r="U293" s="609"/>
      <c r="V293" s="926"/>
      <c r="W293" s="926"/>
      <c r="X293" s="926"/>
      <c r="Y293" s="926"/>
      <c r="Z293" s="926"/>
      <c r="AA293" s="926"/>
      <c r="AB293" s="926"/>
      <c r="AC293" s="926"/>
      <c r="AD293" s="926"/>
      <c r="AE293" s="926"/>
      <c r="AF293" s="926"/>
      <c r="AG293" s="926"/>
      <c r="AH293" s="926"/>
      <c r="AI293" s="926"/>
      <c r="AJ293" s="926"/>
    </row>
    <row r="294" spans="1:36" ht="15" customHeight="1" x14ac:dyDescent="0.3">
      <c r="A294" s="926"/>
      <c r="B294" s="609"/>
      <c r="C294" s="962"/>
      <c r="D294" s="2771" t="str">
        <f>UI.Priorities!BR192</f>
        <v>Weighting for revenues</v>
      </c>
      <c r="E294" s="2771"/>
      <c r="F294" s="2771"/>
      <c r="G294" s="2771"/>
      <c r="H294" s="2771"/>
      <c r="I294" s="2771"/>
      <c r="J294" s="2771"/>
      <c r="K294" s="2771"/>
      <c r="L294" s="2771"/>
      <c r="M294" s="2803">
        <f>UI.Priorities!BH192</f>
        <v>10</v>
      </c>
      <c r="N294" s="2803"/>
      <c r="O294" s="2803"/>
      <c r="P294" s="2779">
        <f>UI.Priorities!BG192</f>
        <v>2.564102564102564E-2</v>
      </c>
      <c r="Q294" s="2779"/>
      <c r="R294" s="2770" t="str">
        <f>UI.Priorities!BT192</f>
        <v>Yes</v>
      </c>
      <c r="S294" s="2770"/>
      <c r="T294" s="963"/>
      <c r="U294" s="609"/>
      <c r="V294" s="926"/>
      <c r="W294" s="926"/>
      <c r="X294" s="926"/>
      <c r="Y294" s="926"/>
      <c r="Z294" s="926"/>
      <c r="AA294" s="926"/>
      <c r="AB294" s="926"/>
      <c r="AC294" s="926"/>
      <c r="AD294" s="926"/>
      <c r="AE294" s="926"/>
      <c r="AF294" s="926"/>
      <c r="AG294" s="926"/>
      <c r="AH294" s="926"/>
      <c r="AI294" s="926"/>
      <c r="AJ294" s="926"/>
    </row>
    <row r="295" spans="1:36" ht="15" customHeight="1" x14ac:dyDescent="0.3">
      <c r="A295" s="926"/>
      <c r="B295" s="609"/>
      <c r="C295" s="962"/>
      <c r="D295" s="2771"/>
      <c r="E295" s="2771"/>
      <c r="F295" s="2771"/>
      <c r="G295" s="2771"/>
      <c r="H295" s="2771"/>
      <c r="I295" s="2771"/>
      <c r="J295" s="2771"/>
      <c r="K295" s="2771"/>
      <c r="L295" s="2771"/>
      <c r="M295" s="2803"/>
      <c r="N295" s="2803"/>
      <c r="O295" s="2803"/>
      <c r="P295" s="2779"/>
      <c r="Q295" s="2779"/>
      <c r="R295" s="2770"/>
      <c r="S295" s="2770"/>
      <c r="T295" s="963"/>
      <c r="U295" s="609"/>
      <c r="V295" s="926"/>
      <c r="W295" s="926"/>
      <c r="X295" s="926"/>
      <c r="Y295" s="926"/>
      <c r="Z295" s="926"/>
      <c r="AA295" s="926"/>
      <c r="AB295" s="926"/>
      <c r="AC295" s="926"/>
      <c r="AD295" s="926"/>
      <c r="AE295" s="926"/>
      <c r="AF295" s="926"/>
      <c r="AG295" s="926"/>
      <c r="AH295" s="926"/>
      <c r="AI295" s="926"/>
      <c r="AJ295" s="926"/>
    </row>
    <row r="296" spans="1:36" ht="15" customHeight="1" x14ac:dyDescent="0.3">
      <c r="A296" s="926"/>
      <c r="B296" s="609"/>
      <c r="C296" s="962"/>
      <c r="D296" s="2771" t="str">
        <f>UI.Priorities!BR193</f>
        <v>Weighting for carbon footprint</v>
      </c>
      <c r="E296" s="2771"/>
      <c r="F296" s="2771"/>
      <c r="G296" s="2771"/>
      <c r="H296" s="2771"/>
      <c r="I296" s="2771"/>
      <c r="J296" s="2771"/>
      <c r="K296" s="2771"/>
      <c r="L296" s="2771"/>
      <c r="M296" s="2803">
        <f>UI.Priorities!BH193</f>
        <v>10</v>
      </c>
      <c r="N296" s="2803"/>
      <c r="O296" s="2803"/>
      <c r="P296" s="2779">
        <f>UI.Priorities!BG193</f>
        <v>2.564102564102564E-2</v>
      </c>
      <c r="Q296" s="2779"/>
      <c r="R296" s="2770" t="str">
        <f>UI.Priorities!BT193</f>
        <v>Yes</v>
      </c>
      <c r="S296" s="2770"/>
      <c r="T296" s="963"/>
      <c r="U296" s="609"/>
      <c r="V296" s="926"/>
      <c r="W296" s="926"/>
      <c r="X296" s="926"/>
      <c r="Y296" s="926"/>
      <c r="Z296" s="926"/>
      <c r="AA296" s="926"/>
      <c r="AB296" s="926"/>
      <c r="AC296" s="926"/>
      <c r="AD296" s="926"/>
      <c r="AE296" s="926"/>
      <c r="AF296" s="926"/>
      <c r="AG296" s="926"/>
      <c r="AH296" s="926"/>
      <c r="AI296" s="926"/>
      <c r="AJ296" s="926"/>
    </row>
    <row r="297" spans="1:36" ht="15" customHeight="1" x14ac:dyDescent="0.3">
      <c r="A297" s="926"/>
      <c r="B297" s="609"/>
      <c r="C297" s="962"/>
      <c r="D297" s="2771"/>
      <c r="E297" s="2771"/>
      <c r="F297" s="2771"/>
      <c r="G297" s="2771"/>
      <c r="H297" s="2771"/>
      <c r="I297" s="2771"/>
      <c r="J297" s="2771"/>
      <c r="K297" s="2771"/>
      <c r="L297" s="2771"/>
      <c r="M297" s="2803"/>
      <c r="N297" s="2803"/>
      <c r="O297" s="2803"/>
      <c r="P297" s="2779"/>
      <c r="Q297" s="2779"/>
      <c r="R297" s="2770"/>
      <c r="S297" s="2770"/>
      <c r="T297" s="963"/>
      <c r="U297" s="609"/>
      <c r="V297" s="926"/>
      <c r="W297" s="926"/>
      <c r="X297" s="926"/>
      <c r="Y297" s="926"/>
      <c r="Z297" s="926"/>
      <c r="AA297" s="926"/>
      <c r="AB297" s="926"/>
      <c r="AC297" s="926"/>
      <c r="AD297" s="926"/>
      <c r="AE297" s="926"/>
      <c r="AF297" s="926"/>
      <c r="AG297" s="926"/>
      <c r="AH297" s="926"/>
      <c r="AI297" s="926"/>
      <c r="AJ297" s="926"/>
    </row>
    <row r="298" spans="1:36" ht="15" customHeight="1" x14ac:dyDescent="0.3">
      <c r="A298" s="926"/>
      <c r="B298" s="609"/>
      <c r="C298" s="962"/>
      <c r="D298" s="2771" t="str">
        <f>UI.Priorities!BR194</f>
        <v>Weighting for energy footprint</v>
      </c>
      <c r="E298" s="2771"/>
      <c r="F298" s="2771"/>
      <c r="G298" s="2771"/>
      <c r="H298" s="2771"/>
      <c r="I298" s="2771"/>
      <c r="J298" s="2771"/>
      <c r="K298" s="2771"/>
      <c r="L298" s="2771"/>
      <c r="M298" s="2803">
        <f>UI.Priorities!BH194</f>
        <v>10</v>
      </c>
      <c r="N298" s="2803"/>
      <c r="O298" s="2803"/>
      <c r="P298" s="2779">
        <f>UI.Priorities!BG194</f>
        <v>2.564102564102564E-2</v>
      </c>
      <c r="Q298" s="2779"/>
      <c r="R298" s="2770" t="str">
        <f>UI.Priorities!BT194</f>
        <v>Yes</v>
      </c>
      <c r="S298" s="2770"/>
      <c r="T298" s="963"/>
      <c r="U298" s="609"/>
      <c r="V298" s="926"/>
      <c r="W298" s="926"/>
      <c r="X298" s="926"/>
      <c r="Y298" s="926"/>
      <c r="Z298" s="926"/>
      <c r="AA298" s="926"/>
      <c r="AB298" s="926"/>
      <c r="AC298" s="926"/>
      <c r="AD298" s="926"/>
      <c r="AE298" s="926"/>
      <c r="AF298" s="926"/>
      <c r="AG298" s="926"/>
      <c r="AH298" s="926"/>
      <c r="AI298" s="926"/>
      <c r="AJ298" s="926"/>
    </row>
    <row r="299" spans="1:36" ht="15" customHeight="1" x14ac:dyDescent="0.3">
      <c r="A299" s="926"/>
      <c r="B299" s="609"/>
      <c r="C299" s="962"/>
      <c r="D299" s="2771"/>
      <c r="E299" s="2771"/>
      <c r="F299" s="2771"/>
      <c r="G299" s="2771"/>
      <c r="H299" s="2771"/>
      <c r="I299" s="2771"/>
      <c r="J299" s="2771"/>
      <c r="K299" s="2771"/>
      <c r="L299" s="2771"/>
      <c r="M299" s="2803"/>
      <c r="N299" s="2803"/>
      <c r="O299" s="2803"/>
      <c r="P299" s="2779"/>
      <c r="Q299" s="2779"/>
      <c r="R299" s="2770"/>
      <c r="S299" s="2770"/>
      <c r="T299" s="963"/>
      <c r="U299" s="609"/>
      <c r="V299" s="926"/>
      <c r="W299" s="926"/>
      <c r="X299" s="926"/>
      <c r="Y299" s="926"/>
      <c r="Z299" s="926"/>
      <c r="AA299" s="926"/>
      <c r="AB299" s="926"/>
      <c r="AC299" s="926"/>
      <c r="AD299" s="926"/>
      <c r="AE299" s="926"/>
      <c r="AF299" s="926"/>
      <c r="AG299" s="926"/>
      <c r="AH299" s="926"/>
      <c r="AI299" s="926"/>
      <c r="AJ299" s="926"/>
    </row>
    <row r="300" spans="1:36" ht="15" customHeight="1" x14ac:dyDescent="0.3">
      <c r="A300" s="926"/>
      <c r="B300" s="609"/>
      <c r="C300" s="962"/>
      <c r="D300" s="2771" t="str">
        <f>UI.Priorities!BR195</f>
        <v>Weighting for land footprint</v>
      </c>
      <c r="E300" s="2771"/>
      <c r="F300" s="2771"/>
      <c r="G300" s="2771"/>
      <c r="H300" s="2771"/>
      <c r="I300" s="2771"/>
      <c r="J300" s="2771"/>
      <c r="K300" s="2771"/>
      <c r="L300" s="2771"/>
      <c r="M300" s="2803">
        <f>UI.Priorities!BH195</f>
        <v>10</v>
      </c>
      <c r="N300" s="2803"/>
      <c r="O300" s="2803"/>
      <c r="P300" s="2779">
        <f>UI.Priorities!BG195</f>
        <v>2.564102564102564E-2</v>
      </c>
      <c r="Q300" s="2779"/>
      <c r="R300" s="2770" t="str">
        <f>UI.Priorities!BT195</f>
        <v>Yes</v>
      </c>
      <c r="S300" s="2770"/>
      <c r="T300" s="963"/>
      <c r="U300" s="609"/>
      <c r="V300" s="926"/>
      <c r="W300" s="926"/>
      <c r="X300" s="926"/>
      <c r="Y300" s="926"/>
      <c r="Z300" s="926"/>
      <c r="AA300" s="926"/>
      <c r="AB300" s="926"/>
      <c r="AC300" s="926"/>
      <c r="AD300" s="926"/>
      <c r="AE300" s="926"/>
      <c r="AF300" s="926"/>
      <c r="AG300" s="926"/>
      <c r="AH300" s="926"/>
      <c r="AI300" s="926"/>
      <c r="AJ300" s="926"/>
    </row>
    <row r="301" spans="1:36" ht="15" customHeight="1" x14ac:dyDescent="0.3">
      <c r="A301" s="926"/>
      <c r="B301" s="609"/>
      <c r="C301" s="962"/>
      <c r="D301" s="2771"/>
      <c r="E301" s="2771"/>
      <c r="F301" s="2771"/>
      <c r="G301" s="2771"/>
      <c r="H301" s="2771"/>
      <c r="I301" s="2771"/>
      <c r="J301" s="2771"/>
      <c r="K301" s="2771"/>
      <c r="L301" s="2771"/>
      <c r="M301" s="2803"/>
      <c r="N301" s="2803"/>
      <c r="O301" s="2803"/>
      <c r="P301" s="2779"/>
      <c r="Q301" s="2779"/>
      <c r="R301" s="2770"/>
      <c r="S301" s="2770"/>
      <c r="T301" s="963"/>
      <c r="U301" s="609"/>
      <c r="V301" s="926"/>
      <c r="W301" s="926"/>
      <c r="X301" s="926"/>
      <c r="Y301" s="926"/>
      <c r="Z301" s="926"/>
      <c r="AA301" s="926"/>
      <c r="AB301" s="926"/>
      <c r="AC301" s="926"/>
      <c r="AD301" s="926"/>
      <c r="AE301" s="926"/>
      <c r="AF301" s="926"/>
      <c r="AG301" s="926"/>
      <c r="AH301" s="926"/>
      <c r="AI301" s="926"/>
      <c r="AJ301" s="926"/>
    </row>
    <row r="302" spans="1:36" ht="15" customHeight="1" x14ac:dyDescent="0.3">
      <c r="A302" s="926"/>
      <c r="B302" s="609"/>
      <c r="C302" s="962"/>
      <c r="D302" s="2771" t="str">
        <f>UI.Priorities!BR196</f>
        <v>Weighting for water consumption</v>
      </c>
      <c r="E302" s="2771"/>
      <c r="F302" s="2771"/>
      <c r="G302" s="2771"/>
      <c r="H302" s="2771"/>
      <c r="I302" s="2771"/>
      <c r="J302" s="2771"/>
      <c r="K302" s="2771"/>
      <c r="L302" s="2771"/>
      <c r="M302" s="2803">
        <f>UI.Priorities!BH196</f>
        <v>10</v>
      </c>
      <c r="N302" s="2803"/>
      <c r="O302" s="2803"/>
      <c r="P302" s="2779">
        <f>UI.Priorities!BG196</f>
        <v>2.564102564102564E-2</v>
      </c>
      <c r="Q302" s="2779"/>
      <c r="R302" s="2770" t="str">
        <f>UI.Priorities!BT196</f>
        <v>Yes</v>
      </c>
      <c r="S302" s="2770"/>
      <c r="T302" s="963"/>
      <c r="U302" s="609"/>
      <c r="V302" s="926"/>
      <c r="W302" s="926"/>
      <c r="X302" s="926"/>
      <c r="Y302" s="926"/>
      <c r="Z302" s="926"/>
      <c r="AA302" s="926"/>
      <c r="AB302" s="926"/>
      <c r="AC302" s="926"/>
      <c r="AD302" s="926"/>
      <c r="AE302" s="926"/>
      <c r="AF302" s="926"/>
      <c r="AG302" s="926"/>
      <c r="AH302" s="926"/>
      <c r="AI302" s="926"/>
      <c r="AJ302" s="926"/>
    </row>
    <row r="303" spans="1:36" ht="15" customHeight="1" x14ac:dyDescent="0.3">
      <c r="A303" s="926"/>
      <c r="B303" s="609"/>
      <c r="C303" s="962"/>
      <c r="D303" s="2771"/>
      <c r="E303" s="2771"/>
      <c r="F303" s="2771"/>
      <c r="G303" s="2771"/>
      <c r="H303" s="2771"/>
      <c r="I303" s="2771"/>
      <c r="J303" s="2771"/>
      <c r="K303" s="2771"/>
      <c r="L303" s="2771"/>
      <c r="M303" s="2803"/>
      <c r="N303" s="2803"/>
      <c r="O303" s="2803"/>
      <c r="P303" s="2779"/>
      <c r="Q303" s="2779"/>
      <c r="R303" s="2770"/>
      <c r="S303" s="2770"/>
      <c r="T303" s="963"/>
      <c r="U303" s="609"/>
      <c r="V303" s="926"/>
      <c r="W303" s="926"/>
      <c r="X303" s="926"/>
      <c r="Y303" s="926"/>
      <c r="Z303" s="926"/>
      <c r="AA303" s="926"/>
      <c r="AB303" s="926"/>
      <c r="AC303" s="926"/>
      <c r="AD303" s="926"/>
      <c r="AE303" s="926"/>
      <c r="AF303" s="926"/>
      <c r="AG303" s="926"/>
      <c r="AH303" s="926"/>
      <c r="AI303" s="926"/>
      <c r="AJ303" s="926"/>
    </row>
    <row r="304" spans="1:36" ht="15" customHeight="1" x14ac:dyDescent="0.3">
      <c r="A304" s="926"/>
      <c r="B304" s="609"/>
      <c r="C304" s="962"/>
      <c r="D304" s="2771" t="str">
        <f>UI.Priorities!BR197</f>
        <v>Weighting for nitrogen footprint</v>
      </c>
      <c r="E304" s="2771"/>
      <c r="F304" s="2771"/>
      <c r="G304" s="2771"/>
      <c r="H304" s="2771"/>
      <c r="I304" s="2771"/>
      <c r="J304" s="2771"/>
      <c r="K304" s="2771"/>
      <c r="L304" s="2771"/>
      <c r="M304" s="2803">
        <f>UI.Priorities!BH197</f>
        <v>10</v>
      </c>
      <c r="N304" s="2803"/>
      <c r="O304" s="2803"/>
      <c r="P304" s="2779">
        <f>UI.Priorities!BG197</f>
        <v>2.564102564102564E-2</v>
      </c>
      <c r="Q304" s="2779"/>
      <c r="R304" s="2770" t="str">
        <f>UI.Priorities!BT197</f>
        <v>Yes</v>
      </c>
      <c r="S304" s="2770"/>
      <c r="T304" s="963"/>
      <c r="U304" s="609"/>
      <c r="V304" s="926"/>
      <c r="W304" s="926"/>
      <c r="X304" s="926"/>
      <c r="Y304" s="926"/>
      <c r="Z304" s="926"/>
      <c r="AA304" s="926"/>
      <c r="AB304" s="926"/>
      <c r="AC304" s="926"/>
      <c r="AD304" s="926"/>
      <c r="AE304" s="926"/>
      <c r="AF304" s="926"/>
      <c r="AG304" s="926"/>
      <c r="AH304" s="926"/>
      <c r="AI304" s="926"/>
      <c r="AJ304" s="926"/>
    </row>
    <row r="305" spans="1:36" ht="15" customHeight="1" x14ac:dyDescent="0.3">
      <c r="A305" s="926"/>
      <c r="B305" s="609"/>
      <c r="C305" s="962"/>
      <c r="D305" s="2771"/>
      <c r="E305" s="2771"/>
      <c r="F305" s="2771"/>
      <c r="G305" s="2771"/>
      <c r="H305" s="2771"/>
      <c r="I305" s="2771"/>
      <c r="J305" s="2771"/>
      <c r="K305" s="2771"/>
      <c r="L305" s="2771"/>
      <c r="M305" s="2803"/>
      <c r="N305" s="2803"/>
      <c r="O305" s="2803"/>
      <c r="P305" s="2779"/>
      <c r="Q305" s="2779"/>
      <c r="R305" s="2770"/>
      <c r="S305" s="2770"/>
      <c r="T305" s="963"/>
      <c r="U305" s="609"/>
      <c r="V305" s="926"/>
      <c r="W305" s="926"/>
      <c r="X305" s="926"/>
      <c r="Y305" s="926"/>
      <c r="Z305" s="926"/>
      <c r="AA305" s="926"/>
      <c r="AB305" s="926"/>
      <c r="AC305" s="926"/>
      <c r="AD305" s="926"/>
      <c r="AE305" s="926"/>
      <c r="AF305" s="926"/>
      <c r="AG305" s="926"/>
      <c r="AH305" s="926"/>
      <c r="AI305" s="926"/>
      <c r="AJ305" s="926"/>
    </row>
    <row r="306" spans="1:36" ht="15" customHeight="1" x14ac:dyDescent="0.3">
      <c r="A306" s="926"/>
      <c r="B306" s="609"/>
      <c r="C306" s="962"/>
      <c r="D306" s="2771" t="str">
        <f>UI.Priorities!BR198</f>
        <v>Weighting for phosporus footprint</v>
      </c>
      <c r="E306" s="2771"/>
      <c r="F306" s="2771"/>
      <c r="G306" s="2771"/>
      <c r="H306" s="2771"/>
      <c r="I306" s="2771"/>
      <c r="J306" s="2771"/>
      <c r="K306" s="2771"/>
      <c r="L306" s="2771"/>
      <c r="M306" s="2803">
        <f>UI.Priorities!BH198</f>
        <v>10</v>
      </c>
      <c r="N306" s="2803"/>
      <c r="O306" s="2803"/>
      <c r="P306" s="2779">
        <f>UI.Priorities!BG198</f>
        <v>2.564102564102564E-2</v>
      </c>
      <c r="Q306" s="2779"/>
      <c r="R306" s="2770" t="str">
        <f>UI.Priorities!BT198</f>
        <v>Yes</v>
      </c>
      <c r="S306" s="2770"/>
      <c r="T306" s="963"/>
      <c r="U306" s="609"/>
      <c r="V306" s="926"/>
      <c r="W306" s="926"/>
      <c r="X306" s="926"/>
      <c r="Y306" s="926"/>
      <c r="Z306" s="926"/>
      <c r="AA306" s="926"/>
      <c r="AB306" s="926"/>
      <c r="AC306" s="926"/>
      <c r="AD306" s="926"/>
      <c r="AE306" s="926"/>
      <c r="AF306" s="926"/>
      <c r="AG306" s="926"/>
      <c r="AH306" s="926"/>
      <c r="AI306" s="926"/>
      <c r="AJ306" s="926"/>
    </row>
    <row r="307" spans="1:36" ht="15" customHeight="1" x14ac:dyDescent="0.3">
      <c r="A307" s="926"/>
      <c r="B307" s="609"/>
      <c r="C307" s="962"/>
      <c r="D307" s="2771"/>
      <c r="E307" s="2771"/>
      <c r="F307" s="2771"/>
      <c r="G307" s="2771"/>
      <c r="H307" s="2771"/>
      <c r="I307" s="2771"/>
      <c r="J307" s="2771"/>
      <c r="K307" s="2771"/>
      <c r="L307" s="2771"/>
      <c r="M307" s="2803"/>
      <c r="N307" s="2803"/>
      <c r="O307" s="2803"/>
      <c r="P307" s="2779"/>
      <c r="Q307" s="2779"/>
      <c r="R307" s="2770"/>
      <c r="S307" s="2770"/>
      <c r="T307" s="963"/>
      <c r="U307" s="609"/>
      <c r="V307" s="926"/>
      <c r="W307" s="926"/>
      <c r="X307" s="926"/>
      <c r="Y307" s="926"/>
      <c r="Z307" s="926"/>
      <c r="AA307" s="926"/>
      <c r="AB307" s="926"/>
      <c r="AC307" s="926"/>
      <c r="AD307" s="926"/>
      <c r="AE307" s="926"/>
      <c r="AF307" s="926"/>
      <c r="AG307" s="926"/>
      <c r="AH307" s="926"/>
      <c r="AI307" s="926"/>
      <c r="AJ307" s="926"/>
    </row>
    <row r="308" spans="1:36" ht="15" customHeight="1" x14ac:dyDescent="0.3">
      <c r="A308" s="926"/>
      <c r="B308" s="609"/>
      <c r="C308" s="962"/>
      <c r="D308" s="2771" t="str">
        <f>UI.Priorities!BR199</f>
        <v>Weighting for adoption rate</v>
      </c>
      <c r="E308" s="2771"/>
      <c r="F308" s="2771"/>
      <c r="G308" s="2771"/>
      <c r="H308" s="2771"/>
      <c r="I308" s="2771"/>
      <c r="J308" s="2771"/>
      <c r="K308" s="2771"/>
      <c r="L308" s="2771"/>
      <c r="M308" s="2803">
        <f>UI.Priorities!BH199</f>
        <v>10</v>
      </c>
      <c r="N308" s="2803"/>
      <c r="O308" s="2803"/>
      <c r="P308" s="2779">
        <f>UI.Priorities!BG199</f>
        <v>2.564102564102564E-2</v>
      </c>
      <c r="Q308" s="2779"/>
      <c r="R308" s="2770" t="str">
        <f>UI.Priorities!BT199</f>
        <v>Yes</v>
      </c>
      <c r="S308" s="2770"/>
      <c r="T308" s="963"/>
      <c r="U308" s="609"/>
      <c r="V308" s="926"/>
      <c r="W308" s="926"/>
      <c r="X308" s="926"/>
      <c r="Y308" s="926"/>
      <c r="Z308" s="926"/>
      <c r="AA308" s="926"/>
      <c r="AB308" s="926"/>
      <c r="AC308" s="926"/>
      <c r="AD308" s="926"/>
      <c r="AE308" s="926"/>
      <c r="AF308" s="926"/>
      <c r="AG308" s="926"/>
      <c r="AH308" s="926"/>
      <c r="AI308" s="926"/>
      <c r="AJ308" s="926"/>
    </row>
    <row r="309" spans="1:36" ht="15" customHeight="1" x14ac:dyDescent="0.3">
      <c r="A309" s="926"/>
      <c r="B309" s="609"/>
      <c r="C309" s="962"/>
      <c r="D309" s="2771"/>
      <c r="E309" s="2771"/>
      <c r="F309" s="2771"/>
      <c r="G309" s="2771"/>
      <c r="H309" s="2771"/>
      <c r="I309" s="2771"/>
      <c r="J309" s="2771"/>
      <c r="K309" s="2771"/>
      <c r="L309" s="2771"/>
      <c r="M309" s="2803"/>
      <c r="N309" s="2803"/>
      <c r="O309" s="2803"/>
      <c r="P309" s="2779"/>
      <c r="Q309" s="2779"/>
      <c r="R309" s="2770"/>
      <c r="S309" s="2770"/>
      <c r="T309" s="963"/>
      <c r="U309" s="609"/>
      <c r="V309" s="926"/>
      <c r="W309" s="926"/>
      <c r="X309" s="926"/>
      <c r="Y309" s="926"/>
      <c r="Z309" s="926"/>
      <c r="AA309" s="926"/>
      <c r="AB309" s="926"/>
      <c r="AC309" s="926"/>
      <c r="AD309" s="926"/>
      <c r="AE309" s="926"/>
      <c r="AF309" s="926"/>
      <c r="AG309" s="926"/>
      <c r="AH309" s="926"/>
      <c r="AI309" s="926"/>
      <c r="AJ309" s="926"/>
    </row>
    <row r="310" spans="1:36" ht="15" customHeight="1" x14ac:dyDescent="0.3">
      <c r="A310" s="926"/>
      <c r="B310" s="609"/>
      <c r="C310" s="962"/>
      <c r="D310" s="2771" t="str">
        <f>UI.Priorities!BR200</f>
        <v>Weighting for operational reliability</v>
      </c>
      <c r="E310" s="2771"/>
      <c r="F310" s="2771"/>
      <c r="G310" s="2771"/>
      <c r="H310" s="2771"/>
      <c r="I310" s="2771"/>
      <c r="J310" s="2771"/>
      <c r="K310" s="2771"/>
      <c r="L310" s="2771"/>
      <c r="M310" s="2803">
        <f>UI.Priorities!BH200</f>
        <v>10</v>
      </c>
      <c r="N310" s="2803"/>
      <c r="O310" s="2803"/>
      <c r="P310" s="2779">
        <f>UI.Priorities!BG200</f>
        <v>2.564102564102564E-2</v>
      </c>
      <c r="Q310" s="2779"/>
      <c r="R310" s="2770" t="str">
        <f>UI.Priorities!BT200</f>
        <v>Yes</v>
      </c>
      <c r="S310" s="2770"/>
      <c r="T310" s="963"/>
      <c r="U310" s="609"/>
      <c r="V310" s="926"/>
      <c r="W310" s="926"/>
      <c r="X310" s="926"/>
      <c r="Y310" s="926"/>
      <c r="Z310" s="926"/>
      <c r="AA310" s="926"/>
      <c r="AB310" s="926"/>
      <c r="AC310" s="926"/>
      <c r="AD310" s="926"/>
      <c r="AE310" s="926"/>
      <c r="AF310" s="926"/>
      <c r="AG310" s="926"/>
      <c r="AH310" s="926"/>
      <c r="AI310" s="926"/>
      <c r="AJ310" s="926"/>
    </row>
    <row r="311" spans="1:36" ht="15" customHeight="1" x14ac:dyDescent="0.3">
      <c r="A311" s="926"/>
      <c r="B311" s="609"/>
      <c r="C311" s="962"/>
      <c r="D311" s="2771"/>
      <c r="E311" s="2771"/>
      <c r="F311" s="2771"/>
      <c r="G311" s="2771"/>
      <c r="H311" s="2771"/>
      <c r="I311" s="2771"/>
      <c r="J311" s="2771"/>
      <c r="K311" s="2771"/>
      <c r="L311" s="2771"/>
      <c r="M311" s="2803"/>
      <c r="N311" s="2803"/>
      <c r="O311" s="2803"/>
      <c r="P311" s="2779"/>
      <c r="Q311" s="2779"/>
      <c r="R311" s="2770"/>
      <c r="S311" s="2770"/>
      <c r="T311" s="963"/>
      <c r="U311" s="609"/>
      <c r="V311" s="926"/>
      <c r="W311" s="926"/>
      <c r="X311" s="926"/>
      <c r="Y311" s="926"/>
      <c r="Z311" s="926"/>
      <c r="AA311" s="926"/>
      <c r="AB311" s="926"/>
      <c r="AC311" s="926"/>
      <c r="AD311" s="926"/>
      <c r="AE311" s="926"/>
      <c r="AF311" s="926"/>
      <c r="AG311" s="926"/>
      <c r="AH311" s="926"/>
      <c r="AI311" s="926"/>
      <c r="AJ311" s="926"/>
    </row>
    <row r="312" spans="1:36" ht="15" customHeight="1" x14ac:dyDescent="0.3">
      <c r="A312" s="926"/>
      <c r="B312" s="609"/>
      <c r="C312" s="962"/>
      <c r="D312" s="2771" t="str">
        <f>UI.Priorities!BR201</f>
        <v>Weighting for operational integrity</v>
      </c>
      <c r="E312" s="2771"/>
      <c r="F312" s="2771"/>
      <c r="G312" s="2771"/>
      <c r="H312" s="2771"/>
      <c r="I312" s="2771"/>
      <c r="J312" s="2771"/>
      <c r="K312" s="2771"/>
      <c r="L312" s="2771"/>
      <c r="M312" s="2803">
        <f>UI.Priorities!BH201</f>
        <v>10</v>
      </c>
      <c r="N312" s="2803"/>
      <c r="O312" s="2803"/>
      <c r="P312" s="2779">
        <f>UI.Priorities!BG201</f>
        <v>2.564102564102564E-2</v>
      </c>
      <c r="Q312" s="2779"/>
      <c r="R312" s="2770" t="str">
        <f>UI.Priorities!BT201</f>
        <v>Yes</v>
      </c>
      <c r="S312" s="2770"/>
      <c r="T312" s="963"/>
      <c r="U312" s="609"/>
      <c r="V312" s="926"/>
      <c r="W312" s="926"/>
      <c r="X312" s="926"/>
      <c r="Y312" s="926"/>
      <c r="Z312" s="926"/>
      <c r="AA312" s="926"/>
      <c r="AB312" s="926"/>
      <c r="AC312" s="926"/>
      <c r="AD312" s="926"/>
      <c r="AE312" s="926"/>
      <c r="AF312" s="926"/>
      <c r="AG312" s="926"/>
      <c r="AH312" s="926"/>
      <c r="AI312" s="926"/>
      <c r="AJ312" s="926"/>
    </row>
    <row r="313" spans="1:36" ht="15" customHeight="1" x14ac:dyDescent="0.3">
      <c r="A313" s="926"/>
      <c r="B313" s="609"/>
      <c r="C313" s="962"/>
      <c r="D313" s="2771"/>
      <c r="E313" s="2771"/>
      <c r="F313" s="2771"/>
      <c r="G313" s="2771"/>
      <c r="H313" s="2771"/>
      <c r="I313" s="2771"/>
      <c r="J313" s="2771"/>
      <c r="K313" s="2771"/>
      <c r="L313" s="2771"/>
      <c r="M313" s="2803"/>
      <c r="N313" s="2803"/>
      <c r="O313" s="2803"/>
      <c r="P313" s="2779"/>
      <c r="Q313" s="2779"/>
      <c r="R313" s="2770"/>
      <c r="S313" s="2770"/>
      <c r="T313" s="963"/>
      <c r="U313" s="609"/>
      <c r="V313" s="926"/>
      <c r="W313" s="926"/>
      <c r="X313" s="926"/>
      <c r="Y313" s="926"/>
      <c r="Z313" s="926"/>
      <c r="AA313" s="926"/>
      <c r="AB313" s="926"/>
      <c r="AC313" s="926"/>
      <c r="AD313" s="926"/>
      <c r="AE313" s="926"/>
      <c r="AF313" s="926"/>
      <c r="AG313" s="926"/>
      <c r="AH313" s="926"/>
      <c r="AI313" s="926"/>
      <c r="AJ313" s="926"/>
    </row>
    <row r="314" spans="1:36" ht="15" customHeight="1" x14ac:dyDescent="0.3">
      <c r="A314" s="926"/>
      <c r="B314" s="609"/>
      <c r="C314" s="962"/>
      <c r="D314" s="2771" t="str">
        <f>UI.Priorities!BR202</f>
        <v>Weighting for labor hours requirement</v>
      </c>
      <c r="E314" s="2771"/>
      <c r="F314" s="2771"/>
      <c r="G314" s="2771"/>
      <c r="H314" s="2771"/>
      <c r="I314" s="2771"/>
      <c r="J314" s="2771"/>
      <c r="K314" s="2771"/>
      <c r="L314" s="2771"/>
      <c r="M314" s="2803">
        <f>UI.Priorities!BH202</f>
        <v>10</v>
      </c>
      <c r="N314" s="2803"/>
      <c r="O314" s="2803"/>
      <c r="P314" s="2779">
        <f>UI.Priorities!BG202</f>
        <v>2.564102564102564E-2</v>
      </c>
      <c r="Q314" s="2779"/>
      <c r="R314" s="2770" t="str">
        <f>UI.Priorities!BT202</f>
        <v>Yes</v>
      </c>
      <c r="S314" s="2770"/>
      <c r="T314" s="963"/>
      <c r="U314" s="609"/>
      <c r="V314" s="926"/>
      <c r="W314" s="926"/>
      <c r="X314" s="926"/>
      <c r="Y314" s="926"/>
      <c r="Z314" s="926"/>
      <c r="AA314" s="926"/>
      <c r="AB314" s="926"/>
      <c r="AC314" s="926"/>
      <c r="AD314" s="926"/>
      <c r="AE314" s="926"/>
      <c r="AF314" s="926"/>
      <c r="AG314" s="926"/>
      <c r="AH314" s="926"/>
      <c r="AI314" s="926"/>
      <c r="AJ314" s="926"/>
    </row>
    <row r="315" spans="1:36" ht="15" customHeight="1" x14ac:dyDescent="0.3">
      <c r="A315" s="926"/>
      <c r="B315" s="609"/>
      <c r="C315" s="962"/>
      <c r="D315" s="2771"/>
      <c r="E315" s="2771"/>
      <c r="F315" s="2771"/>
      <c r="G315" s="2771"/>
      <c r="H315" s="2771"/>
      <c r="I315" s="2771"/>
      <c r="J315" s="2771"/>
      <c r="K315" s="2771"/>
      <c r="L315" s="2771"/>
      <c r="M315" s="2803"/>
      <c r="N315" s="2803"/>
      <c r="O315" s="2803"/>
      <c r="P315" s="2779"/>
      <c r="Q315" s="2779"/>
      <c r="R315" s="2770"/>
      <c r="S315" s="2770"/>
      <c r="T315" s="963"/>
      <c r="U315" s="609"/>
      <c r="V315" s="926"/>
      <c r="W315" s="926"/>
      <c r="X315" s="926"/>
      <c r="Y315" s="926"/>
      <c r="Z315" s="926"/>
      <c r="AA315" s="926"/>
      <c r="AB315" s="926"/>
      <c r="AC315" s="926"/>
      <c r="AD315" s="926"/>
      <c r="AE315" s="926"/>
      <c r="AF315" s="926"/>
      <c r="AG315" s="926"/>
      <c r="AH315" s="926"/>
      <c r="AI315" s="926"/>
      <c r="AJ315" s="926"/>
    </row>
    <row r="316" spans="1:36" ht="15" customHeight="1" x14ac:dyDescent="0.3">
      <c r="A316" s="926"/>
      <c r="B316" s="609"/>
      <c r="C316" s="962"/>
      <c r="D316" s="2771" t="str">
        <f>UI.Priorities!BR203</f>
        <v>Weighting for land required for manure application</v>
      </c>
      <c r="E316" s="2771"/>
      <c r="F316" s="2771"/>
      <c r="G316" s="2771"/>
      <c r="H316" s="2771"/>
      <c r="I316" s="2771"/>
      <c r="J316" s="2771"/>
      <c r="K316" s="2771"/>
      <c r="L316" s="2771"/>
      <c r="M316" s="2803">
        <f>UI.Priorities!BH203</f>
        <v>10</v>
      </c>
      <c r="N316" s="2803"/>
      <c r="O316" s="2803"/>
      <c r="P316" s="2779">
        <f>UI.Priorities!BG203</f>
        <v>2.564102564102564E-2</v>
      </c>
      <c r="Q316" s="2779"/>
      <c r="R316" s="2770" t="str">
        <f>UI.Priorities!BT203</f>
        <v>Yes</v>
      </c>
      <c r="S316" s="2770"/>
      <c r="T316" s="963"/>
      <c r="U316" s="609"/>
      <c r="V316" s="926"/>
      <c r="W316" s="926"/>
      <c r="X316" s="926"/>
      <c r="Y316" s="926"/>
      <c r="Z316" s="926"/>
      <c r="AA316" s="926"/>
      <c r="AB316" s="926"/>
      <c r="AC316" s="926"/>
      <c r="AD316" s="926"/>
      <c r="AE316" s="926"/>
      <c r="AF316" s="926"/>
      <c r="AG316" s="926"/>
      <c r="AH316" s="926"/>
      <c r="AI316" s="926"/>
      <c r="AJ316" s="926"/>
    </row>
    <row r="317" spans="1:36" ht="15" customHeight="1" x14ac:dyDescent="0.3">
      <c r="A317" s="926"/>
      <c r="B317" s="609"/>
      <c r="C317" s="962"/>
      <c r="D317" s="2771"/>
      <c r="E317" s="2771"/>
      <c r="F317" s="2771"/>
      <c r="G317" s="2771"/>
      <c r="H317" s="2771"/>
      <c r="I317" s="2771"/>
      <c r="J317" s="2771"/>
      <c r="K317" s="2771"/>
      <c r="L317" s="2771"/>
      <c r="M317" s="2803"/>
      <c r="N317" s="2803"/>
      <c r="O317" s="2803"/>
      <c r="P317" s="2779"/>
      <c r="Q317" s="2779"/>
      <c r="R317" s="2770"/>
      <c r="S317" s="2770"/>
      <c r="T317" s="963"/>
      <c r="U317" s="609"/>
      <c r="V317" s="926"/>
      <c r="W317" s="926"/>
      <c r="X317" s="926"/>
      <c r="Y317" s="926"/>
      <c r="Z317" s="926"/>
      <c r="AA317" s="926"/>
      <c r="AB317" s="926"/>
      <c r="AC317" s="926"/>
      <c r="AD317" s="926"/>
      <c r="AE317" s="926"/>
      <c r="AF317" s="926"/>
      <c r="AG317" s="926"/>
      <c r="AH317" s="926"/>
      <c r="AI317" s="926"/>
      <c r="AJ317" s="926"/>
    </row>
    <row r="318" spans="1:36" ht="15" customHeight="1" x14ac:dyDescent="0.3">
      <c r="A318" s="926"/>
      <c r="B318" s="609"/>
      <c r="C318" s="962"/>
      <c r="D318" s="2771" t="str">
        <f>UI.Priorities!BR204</f>
        <v>Weighting for transportability of manure</v>
      </c>
      <c r="E318" s="2771"/>
      <c r="F318" s="2771"/>
      <c r="G318" s="2771"/>
      <c r="H318" s="2771"/>
      <c r="I318" s="2771"/>
      <c r="J318" s="2771"/>
      <c r="K318" s="2771"/>
      <c r="L318" s="2771"/>
      <c r="M318" s="2803">
        <f>UI.Priorities!BH204</f>
        <v>10</v>
      </c>
      <c r="N318" s="2803"/>
      <c r="O318" s="2803"/>
      <c r="P318" s="2779">
        <f>UI.Priorities!BG204</f>
        <v>2.564102564102564E-2</v>
      </c>
      <c r="Q318" s="2779"/>
      <c r="R318" s="2770" t="str">
        <f>UI.Priorities!BT204</f>
        <v>Yes</v>
      </c>
      <c r="S318" s="2770"/>
      <c r="T318" s="963"/>
      <c r="U318" s="609"/>
      <c r="V318" s="926"/>
      <c r="W318" s="926"/>
      <c r="X318" s="926"/>
      <c r="Y318" s="926"/>
      <c r="Z318" s="926"/>
      <c r="AA318" s="926"/>
      <c r="AB318" s="926"/>
      <c r="AC318" s="926"/>
      <c r="AD318" s="926"/>
      <c r="AE318" s="926"/>
      <c r="AF318" s="926"/>
      <c r="AG318" s="926"/>
      <c r="AH318" s="926"/>
      <c r="AI318" s="926"/>
      <c r="AJ318" s="926"/>
    </row>
    <row r="319" spans="1:36" ht="15" customHeight="1" x14ac:dyDescent="0.3">
      <c r="A319" s="926"/>
      <c r="B319" s="609"/>
      <c r="C319" s="962"/>
      <c r="D319" s="2771"/>
      <c r="E319" s="2771"/>
      <c r="F319" s="2771"/>
      <c r="G319" s="2771"/>
      <c r="H319" s="2771"/>
      <c r="I319" s="2771"/>
      <c r="J319" s="2771"/>
      <c r="K319" s="2771"/>
      <c r="L319" s="2771"/>
      <c r="M319" s="2803"/>
      <c r="N319" s="2803"/>
      <c r="O319" s="2803"/>
      <c r="P319" s="2779"/>
      <c r="Q319" s="2779"/>
      <c r="R319" s="2770"/>
      <c r="S319" s="2770"/>
      <c r="T319" s="963"/>
      <c r="U319" s="609"/>
      <c r="V319" s="926"/>
      <c r="W319" s="926"/>
      <c r="X319" s="926"/>
      <c r="Y319" s="926"/>
      <c r="Z319" s="926"/>
      <c r="AA319" s="926"/>
      <c r="AB319" s="926"/>
      <c r="AC319" s="926"/>
      <c r="AD319" s="926"/>
      <c r="AE319" s="926"/>
      <c r="AF319" s="926"/>
      <c r="AG319" s="926"/>
      <c r="AH319" s="926"/>
      <c r="AI319" s="926"/>
      <c r="AJ319" s="926"/>
    </row>
    <row r="320" spans="1:36" ht="15" customHeight="1" thickBot="1" x14ac:dyDescent="0.35">
      <c r="A320" s="926"/>
      <c r="B320" s="609"/>
      <c r="C320" s="962"/>
      <c r="D320" s="40"/>
      <c r="E320" s="40"/>
      <c r="F320" s="1046"/>
      <c r="G320" s="1046"/>
      <c r="H320" s="1046"/>
      <c r="I320" s="1046"/>
      <c r="J320" s="1046"/>
      <c r="K320" s="1046"/>
      <c r="L320" s="1047"/>
      <c r="M320" s="1047"/>
      <c r="N320" s="1980"/>
      <c r="O320" s="1980"/>
      <c r="P320" s="1980"/>
      <c r="Q320" s="1980"/>
      <c r="R320" s="40"/>
      <c r="S320" s="40"/>
      <c r="T320" s="963"/>
      <c r="U320" s="609"/>
      <c r="V320" s="926"/>
      <c r="W320" s="926"/>
      <c r="X320" s="926"/>
      <c r="Y320" s="926"/>
      <c r="Z320" s="926"/>
      <c r="AA320" s="926"/>
      <c r="AB320" s="926"/>
      <c r="AC320" s="926"/>
      <c r="AD320" s="926"/>
      <c r="AE320" s="926"/>
      <c r="AF320" s="926"/>
      <c r="AG320" s="926"/>
      <c r="AH320" s="926"/>
      <c r="AI320" s="926"/>
      <c r="AJ320" s="926"/>
    </row>
    <row r="321" spans="1:36" ht="15" customHeight="1" x14ac:dyDescent="0.3">
      <c r="A321" s="926"/>
      <c r="B321" s="609"/>
      <c r="C321" s="962"/>
      <c r="D321" s="958"/>
      <c r="E321" s="958"/>
      <c r="F321" s="2825" t="s">
        <v>587</v>
      </c>
      <c r="G321" s="2826"/>
      <c r="H321" s="2826"/>
      <c r="I321" s="2826"/>
      <c r="J321" s="2826"/>
      <c r="K321" s="2826"/>
      <c r="L321" s="2826"/>
      <c r="M321" s="2826"/>
      <c r="N321" s="2826"/>
      <c r="O321" s="2826"/>
      <c r="P321" s="2826"/>
      <c r="Q321" s="2827"/>
      <c r="R321" s="1982"/>
      <c r="S321" s="1983"/>
      <c r="T321" s="963"/>
      <c r="U321" s="609"/>
      <c r="V321" s="926"/>
      <c r="W321" s="926"/>
      <c r="X321" s="926"/>
      <c r="Y321" s="926"/>
      <c r="Z321" s="926"/>
      <c r="AA321" s="926"/>
      <c r="AB321" s="926"/>
      <c r="AC321" s="926"/>
      <c r="AD321" s="926"/>
      <c r="AE321" s="926"/>
      <c r="AF321" s="926"/>
      <c r="AG321" s="926"/>
      <c r="AH321" s="926"/>
      <c r="AI321" s="926"/>
      <c r="AJ321" s="926"/>
    </row>
    <row r="322" spans="1:36" ht="15" customHeight="1" x14ac:dyDescent="0.3">
      <c r="A322" s="926"/>
      <c r="B322" s="609"/>
      <c r="C322" s="962"/>
      <c r="D322" s="958"/>
      <c r="E322" s="958"/>
      <c r="F322" s="2828"/>
      <c r="G322" s="2784"/>
      <c r="H322" s="2784"/>
      <c r="I322" s="2784"/>
      <c r="J322" s="2784"/>
      <c r="K322" s="2784"/>
      <c r="L322" s="2784"/>
      <c r="M322" s="2784"/>
      <c r="N322" s="2784"/>
      <c r="O322" s="2784"/>
      <c r="P322" s="2784"/>
      <c r="Q322" s="2829"/>
      <c r="R322" s="1982"/>
      <c r="S322" s="1983"/>
      <c r="T322" s="963"/>
      <c r="U322" s="609"/>
      <c r="V322" s="926"/>
      <c r="W322" s="926"/>
      <c r="X322" s="926"/>
      <c r="Y322" s="926"/>
      <c r="Z322" s="926"/>
      <c r="AA322" s="926"/>
      <c r="AB322" s="926"/>
      <c r="AC322" s="926"/>
      <c r="AD322" s="926"/>
      <c r="AE322" s="926"/>
      <c r="AF322" s="926"/>
      <c r="AG322" s="926"/>
      <c r="AH322" s="926"/>
      <c r="AI322" s="926"/>
      <c r="AJ322" s="926"/>
    </row>
    <row r="323" spans="1:36" ht="15" customHeight="1" thickBot="1" x14ac:dyDescent="0.35">
      <c r="A323" s="926"/>
      <c r="B323" s="609"/>
      <c r="C323" s="962"/>
      <c r="D323" s="958"/>
      <c r="E323" s="958"/>
      <c r="F323" s="2830"/>
      <c r="G323" s="2831"/>
      <c r="H323" s="2831"/>
      <c r="I323" s="2831"/>
      <c r="J323" s="2831"/>
      <c r="K323" s="2831"/>
      <c r="L323" s="2831"/>
      <c r="M323" s="2831"/>
      <c r="N323" s="2831"/>
      <c r="O323" s="2831"/>
      <c r="P323" s="2831"/>
      <c r="Q323" s="2832"/>
      <c r="R323" s="1982"/>
      <c r="S323" s="1983"/>
      <c r="T323" s="963"/>
      <c r="U323" s="609"/>
      <c r="V323" s="926"/>
      <c r="W323" s="926"/>
      <c r="X323" s="926"/>
      <c r="Y323" s="926"/>
      <c r="Z323" s="926"/>
      <c r="AA323" s="926"/>
      <c r="AB323" s="926"/>
      <c r="AC323" s="926"/>
      <c r="AD323" s="926"/>
      <c r="AE323" s="926"/>
      <c r="AF323" s="926"/>
      <c r="AG323" s="926"/>
      <c r="AH323" s="926"/>
      <c r="AI323" s="926"/>
      <c r="AJ323" s="926"/>
    </row>
    <row r="324" spans="1:36" ht="15" customHeight="1" x14ac:dyDescent="0.3">
      <c r="A324" s="926"/>
      <c r="B324" s="609"/>
      <c r="C324" s="962"/>
      <c r="D324" s="958"/>
      <c r="E324" s="958"/>
      <c r="F324" s="958"/>
      <c r="G324" s="958"/>
      <c r="H324" s="958"/>
      <c r="I324" s="958"/>
      <c r="J324" s="958"/>
      <c r="K324" s="958"/>
      <c r="L324" s="958"/>
      <c r="M324" s="958"/>
      <c r="N324" s="958"/>
      <c r="O324" s="958"/>
      <c r="P324" s="958"/>
      <c r="Q324" s="958"/>
      <c r="R324" s="958"/>
      <c r="S324" s="958"/>
      <c r="T324" s="963"/>
      <c r="U324" s="609"/>
      <c r="V324" s="926"/>
      <c r="W324" s="926"/>
      <c r="X324" s="926"/>
      <c r="Y324" s="926"/>
      <c r="Z324" s="926"/>
      <c r="AA324" s="926"/>
      <c r="AB324" s="926"/>
      <c r="AC324" s="926"/>
      <c r="AD324" s="926"/>
      <c r="AE324" s="926"/>
      <c r="AF324" s="926"/>
      <c r="AG324" s="926"/>
      <c r="AH324" s="926"/>
      <c r="AI324" s="926"/>
      <c r="AJ324" s="926"/>
    </row>
    <row r="325" spans="1:36" ht="15" customHeight="1" x14ac:dyDescent="0.3">
      <c r="A325" s="926"/>
      <c r="B325" s="609"/>
      <c r="C325" s="962"/>
      <c r="D325" s="2804" t="s">
        <v>588</v>
      </c>
      <c r="E325" s="2805"/>
      <c r="F325" s="2805"/>
      <c r="G325" s="2805"/>
      <c r="H325" s="2805"/>
      <c r="I325" s="2805"/>
      <c r="J325" s="2805"/>
      <c r="K325" s="2805"/>
      <c r="L325" s="2805"/>
      <c r="M325" s="2805"/>
      <c r="N325" s="2805"/>
      <c r="O325" s="2806"/>
      <c r="P325" s="2397" t="s">
        <v>589</v>
      </c>
      <c r="Q325" s="2397"/>
      <c r="R325" s="2397" t="s">
        <v>566</v>
      </c>
      <c r="S325" s="2397"/>
      <c r="T325" s="963"/>
      <c r="U325" s="609"/>
      <c r="V325" s="926"/>
      <c r="W325" s="926"/>
      <c r="X325" s="926"/>
      <c r="Y325" s="926"/>
      <c r="Z325" s="926"/>
      <c r="AA325" s="926"/>
      <c r="AB325" s="926"/>
      <c r="AC325" s="926"/>
      <c r="AD325" s="926"/>
      <c r="AE325" s="926"/>
      <c r="AF325" s="926"/>
      <c r="AG325" s="926"/>
      <c r="AH325" s="926"/>
      <c r="AI325" s="926"/>
      <c r="AJ325" s="926"/>
    </row>
    <row r="326" spans="1:36" ht="15" customHeight="1" x14ac:dyDescent="0.3">
      <c r="A326" s="926"/>
      <c r="B326" s="609"/>
      <c r="C326" s="962"/>
      <c r="D326" s="2797" t="str">
        <f>UI.Choice!BD104</f>
        <v>Top ranked scenario</v>
      </c>
      <c r="E326" s="2798"/>
      <c r="F326" s="2798"/>
      <c r="G326" s="2798"/>
      <c r="H326" s="2798"/>
      <c r="I326" s="2798"/>
      <c r="J326" s="2798"/>
      <c r="K326" s="2798"/>
      <c r="L326" s="2798"/>
      <c r="M326" s="2798"/>
      <c r="N326" s="2798"/>
      <c r="O326" s="2799"/>
      <c r="P326" s="2770" t="s">
        <v>590</v>
      </c>
      <c r="Q326" s="2770"/>
      <c r="R326" s="2770" t="str">
        <f>UI.Choice!BL104</f>
        <v>No</v>
      </c>
      <c r="S326" s="2770"/>
      <c r="T326" s="963"/>
      <c r="U326" s="609"/>
      <c r="V326" s="926"/>
      <c r="W326" s="926"/>
      <c r="X326" s="926"/>
      <c r="Y326" s="926"/>
      <c r="Z326" s="926"/>
      <c r="AA326" s="926"/>
      <c r="AB326" s="926"/>
      <c r="AC326" s="926"/>
      <c r="AD326" s="926"/>
      <c r="AE326" s="926"/>
      <c r="AF326" s="926"/>
      <c r="AG326" s="926"/>
      <c r="AH326" s="926"/>
      <c r="AI326" s="926"/>
      <c r="AJ326" s="926"/>
    </row>
    <row r="327" spans="1:36" ht="15" customHeight="1" x14ac:dyDescent="0.3">
      <c r="A327" s="926"/>
      <c r="B327" s="609"/>
      <c r="C327" s="962"/>
      <c r="D327" s="2800"/>
      <c r="E327" s="2801"/>
      <c r="F327" s="2801"/>
      <c r="G327" s="2801"/>
      <c r="H327" s="2801"/>
      <c r="I327" s="2801"/>
      <c r="J327" s="2801"/>
      <c r="K327" s="2801"/>
      <c r="L327" s="2801"/>
      <c r="M327" s="2801"/>
      <c r="N327" s="2801"/>
      <c r="O327" s="2802"/>
      <c r="P327" s="2770"/>
      <c r="Q327" s="2770"/>
      <c r="R327" s="2770"/>
      <c r="S327" s="2770"/>
      <c r="T327" s="963"/>
      <c r="U327" s="609"/>
      <c r="V327" s="926"/>
      <c r="W327" s="926"/>
      <c r="X327" s="926"/>
      <c r="Y327" s="926"/>
      <c r="Z327" s="926"/>
      <c r="AA327" s="926"/>
      <c r="AB327" s="926"/>
      <c r="AC327" s="926"/>
      <c r="AD327" s="926"/>
      <c r="AE327" s="926"/>
      <c r="AF327" s="926"/>
      <c r="AG327" s="926"/>
      <c r="AH327" s="926"/>
      <c r="AI327" s="926"/>
      <c r="AJ327" s="926"/>
    </row>
    <row r="328" spans="1:36" ht="15" customHeight="1" x14ac:dyDescent="0.3">
      <c r="A328" s="926"/>
      <c r="B328" s="609"/>
      <c r="C328" s="962"/>
      <c r="D328" s="2797" t="str">
        <f>UI.Choice!BD105</f>
        <v>Second ranked scenario</v>
      </c>
      <c r="E328" s="2798"/>
      <c r="F328" s="2798"/>
      <c r="G328" s="2798"/>
      <c r="H328" s="2798"/>
      <c r="I328" s="2798"/>
      <c r="J328" s="2798"/>
      <c r="K328" s="2798"/>
      <c r="L328" s="2798"/>
      <c r="M328" s="2798"/>
      <c r="N328" s="2798"/>
      <c r="O328" s="2799"/>
      <c r="P328" s="2770" t="s">
        <v>591</v>
      </c>
      <c r="Q328" s="2770"/>
      <c r="R328" s="2770" t="str">
        <f>UI.Choice!BL105</f>
        <v>No</v>
      </c>
      <c r="S328" s="2770"/>
      <c r="T328" s="963"/>
      <c r="U328" s="609"/>
      <c r="V328" s="926"/>
      <c r="W328" s="926"/>
      <c r="X328" s="926"/>
      <c r="Y328" s="926"/>
      <c r="Z328" s="926"/>
      <c r="AA328" s="926"/>
      <c r="AB328" s="926"/>
      <c r="AC328" s="926"/>
      <c r="AD328" s="926"/>
      <c r="AE328" s="926"/>
      <c r="AF328" s="926"/>
      <c r="AG328" s="926"/>
      <c r="AH328" s="926"/>
      <c r="AI328" s="926"/>
      <c r="AJ328" s="926"/>
    </row>
    <row r="329" spans="1:36" ht="15" customHeight="1" x14ac:dyDescent="0.3">
      <c r="A329" s="926"/>
      <c r="B329" s="609"/>
      <c r="C329" s="962"/>
      <c r="D329" s="2800"/>
      <c r="E329" s="2801"/>
      <c r="F329" s="2801"/>
      <c r="G329" s="2801"/>
      <c r="H329" s="2801"/>
      <c r="I329" s="2801"/>
      <c r="J329" s="2801"/>
      <c r="K329" s="2801"/>
      <c r="L329" s="2801"/>
      <c r="M329" s="2801"/>
      <c r="N329" s="2801"/>
      <c r="O329" s="2802"/>
      <c r="P329" s="2770"/>
      <c r="Q329" s="2770"/>
      <c r="R329" s="2770"/>
      <c r="S329" s="2770"/>
      <c r="T329" s="963"/>
      <c r="U329" s="609"/>
      <c r="V329" s="926"/>
      <c r="W329" s="926"/>
      <c r="X329" s="926"/>
      <c r="Y329" s="926"/>
      <c r="Z329" s="926"/>
      <c r="AA329" s="926"/>
      <c r="AB329" s="926"/>
      <c r="AC329" s="926"/>
      <c r="AD329" s="926"/>
      <c r="AE329" s="926"/>
      <c r="AF329" s="926"/>
      <c r="AG329" s="926"/>
      <c r="AH329" s="926"/>
      <c r="AI329" s="926"/>
      <c r="AJ329" s="926"/>
    </row>
    <row r="330" spans="1:36" ht="15" customHeight="1" x14ac:dyDescent="0.3">
      <c r="A330" s="926"/>
      <c r="B330" s="609"/>
      <c r="C330" s="962"/>
      <c r="D330" s="2797" t="str">
        <f>UI.Choice!BD106</f>
        <v>Third ranked scenario</v>
      </c>
      <c r="E330" s="2798"/>
      <c r="F330" s="2798"/>
      <c r="G330" s="2798"/>
      <c r="H330" s="2798"/>
      <c r="I330" s="2798"/>
      <c r="J330" s="2798"/>
      <c r="K330" s="2798"/>
      <c r="L330" s="2798"/>
      <c r="M330" s="2798"/>
      <c r="N330" s="2798"/>
      <c r="O330" s="2799"/>
      <c r="P330" s="2770" t="s">
        <v>592</v>
      </c>
      <c r="Q330" s="2770"/>
      <c r="R330" s="2770" t="str">
        <f>UI.Choice!BL106</f>
        <v>No</v>
      </c>
      <c r="S330" s="2770"/>
      <c r="T330" s="963"/>
      <c r="U330" s="609"/>
      <c r="V330" s="926"/>
      <c r="W330" s="926"/>
      <c r="X330" s="926"/>
      <c r="Y330" s="926"/>
      <c r="Z330" s="926"/>
      <c r="AA330" s="926"/>
      <c r="AB330" s="926"/>
      <c r="AC330" s="926"/>
      <c r="AD330" s="926"/>
      <c r="AE330" s="926"/>
      <c r="AF330" s="926"/>
      <c r="AG330" s="926"/>
      <c r="AH330" s="926"/>
      <c r="AI330" s="926"/>
      <c r="AJ330" s="926"/>
    </row>
    <row r="331" spans="1:36" ht="15" customHeight="1" x14ac:dyDescent="0.3">
      <c r="A331" s="926"/>
      <c r="B331" s="609"/>
      <c r="C331" s="962"/>
      <c r="D331" s="2800"/>
      <c r="E331" s="2801"/>
      <c r="F331" s="2801"/>
      <c r="G331" s="2801"/>
      <c r="H331" s="2801"/>
      <c r="I331" s="2801"/>
      <c r="J331" s="2801"/>
      <c r="K331" s="2801"/>
      <c r="L331" s="2801"/>
      <c r="M331" s="2801"/>
      <c r="N331" s="2801"/>
      <c r="O331" s="2802"/>
      <c r="P331" s="2770"/>
      <c r="Q331" s="2770"/>
      <c r="R331" s="2770"/>
      <c r="S331" s="2770"/>
      <c r="T331" s="963"/>
      <c r="U331" s="609"/>
      <c r="V331" s="926"/>
      <c r="W331" s="926"/>
      <c r="X331" s="926"/>
      <c r="Y331" s="926"/>
      <c r="Z331" s="926"/>
      <c r="AA331" s="926"/>
      <c r="AB331" s="926"/>
      <c r="AC331" s="926"/>
      <c r="AD331" s="926"/>
      <c r="AE331" s="926"/>
      <c r="AF331" s="926"/>
      <c r="AG331" s="926"/>
      <c r="AH331" s="926"/>
      <c r="AI331" s="926"/>
      <c r="AJ331" s="926"/>
    </row>
    <row r="332" spans="1:36" ht="15" customHeight="1" x14ac:dyDescent="0.3">
      <c r="A332" s="926"/>
      <c r="B332" s="609"/>
      <c r="C332" s="962"/>
      <c r="D332" s="2797" t="str">
        <f>UI.Choice!BD107</f>
        <v>Fourth ranked scenario</v>
      </c>
      <c r="E332" s="2798"/>
      <c r="F332" s="2798"/>
      <c r="G332" s="2798"/>
      <c r="H332" s="2798"/>
      <c r="I332" s="2798"/>
      <c r="J332" s="2798"/>
      <c r="K332" s="2798"/>
      <c r="L332" s="2798"/>
      <c r="M332" s="2798"/>
      <c r="N332" s="2798"/>
      <c r="O332" s="2799"/>
      <c r="P332" s="2770" t="s">
        <v>593</v>
      </c>
      <c r="Q332" s="2770"/>
      <c r="R332" s="2770" t="str">
        <f>UI.Choice!BL107</f>
        <v>No</v>
      </c>
      <c r="S332" s="2770"/>
      <c r="T332" s="963"/>
      <c r="U332" s="609"/>
      <c r="V332" s="926"/>
      <c r="W332" s="926"/>
      <c r="X332" s="926"/>
      <c r="Y332" s="926"/>
      <c r="Z332" s="926"/>
      <c r="AA332" s="926"/>
      <c r="AB332" s="926"/>
      <c r="AC332" s="926"/>
      <c r="AD332" s="926"/>
      <c r="AE332" s="926"/>
      <c r="AF332" s="926"/>
      <c r="AG332" s="926"/>
      <c r="AH332" s="926"/>
      <c r="AI332" s="926"/>
      <c r="AJ332" s="926"/>
    </row>
    <row r="333" spans="1:36" ht="15" customHeight="1" x14ac:dyDescent="0.3">
      <c r="A333" s="926"/>
      <c r="B333" s="609"/>
      <c r="C333" s="962"/>
      <c r="D333" s="2800"/>
      <c r="E333" s="2801"/>
      <c r="F333" s="2801"/>
      <c r="G333" s="2801"/>
      <c r="H333" s="2801"/>
      <c r="I333" s="2801"/>
      <c r="J333" s="2801"/>
      <c r="K333" s="2801"/>
      <c r="L333" s="2801"/>
      <c r="M333" s="2801"/>
      <c r="N333" s="2801"/>
      <c r="O333" s="2802"/>
      <c r="P333" s="2770"/>
      <c r="Q333" s="2770"/>
      <c r="R333" s="2770"/>
      <c r="S333" s="2770"/>
      <c r="T333" s="963"/>
      <c r="U333" s="609"/>
      <c r="V333" s="926"/>
      <c r="W333" s="926"/>
      <c r="X333" s="926"/>
      <c r="Y333" s="926"/>
      <c r="Z333" s="926"/>
      <c r="AA333" s="926"/>
      <c r="AB333" s="926"/>
      <c r="AC333" s="926"/>
      <c r="AD333" s="926"/>
      <c r="AE333" s="926"/>
      <c r="AF333" s="926"/>
      <c r="AG333" s="926"/>
      <c r="AH333" s="926"/>
      <c r="AI333" s="926"/>
      <c r="AJ333" s="926"/>
    </row>
    <row r="334" spans="1:36" ht="15" customHeight="1" x14ac:dyDescent="0.3">
      <c r="A334" s="926"/>
      <c r="B334" s="609"/>
      <c r="C334" s="962"/>
      <c r="D334" s="40"/>
      <c r="E334" s="40"/>
      <c r="F334" s="40"/>
      <c r="G334" s="40"/>
      <c r="H334" s="40"/>
      <c r="I334" s="40"/>
      <c r="J334" s="40"/>
      <c r="K334" s="40"/>
      <c r="L334" s="40"/>
      <c r="M334" s="40"/>
      <c r="N334" s="40"/>
      <c r="O334" s="40"/>
      <c r="P334" s="40"/>
      <c r="Q334" s="40"/>
      <c r="R334" s="40"/>
      <c r="S334" s="40"/>
      <c r="T334" s="963"/>
      <c r="U334" s="609"/>
      <c r="V334" s="926"/>
      <c r="W334" s="926"/>
      <c r="X334" s="926"/>
      <c r="Y334" s="926"/>
      <c r="Z334" s="926"/>
      <c r="AA334" s="926"/>
      <c r="AB334" s="926"/>
      <c r="AC334" s="926"/>
      <c r="AD334" s="926"/>
      <c r="AE334" s="926"/>
      <c r="AF334" s="926"/>
      <c r="AG334" s="926"/>
      <c r="AH334" s="926"/>
      <c r="AI334" s="926"/>
      <c r="AJ334" s="926"/>
    </row>
    <row r="335" spans="1:36" ht="15" customHeight="1" x14ac:dyDescent="0.3">
      <c r="A335" s="926"/>
      <c r="B335" s="609"/>
      <c r="C335" s="962"/>
      <c r="D335" s="40"/>
      <c r="E335" s="40"/>
      <c r="F335" s="40"/>
      <c r="G335" s="40"/>
      <c r="H335" s="40"/>
      <c r="I335" s="40"/>
      <c r="J335" s="40"/>
      <c r="K335" s="40"/>
      <c r="L335" s="2574"/>
      <c r="M335" s="2574"/>
      <c r="N335" s="2574"/>
      <c r="O335" s="2574"/>
      <c r="P335" s="2574"/>
      <c r="Q335" s="1967"/>
      <c r="R335" s="1967"/>
      <c r="S335" s="1967"/>
      <c r="T335" s="963"/>
      <c r="U335" s="609"/>
      <c r="V335" s="926"/>
      <c r="W335" s="926"/>
      <c r="X335" s="926"/>
      <c r="Y335" s="926"/>
      <c r="Z335" s="926"/>
      <c r="AA335" s="926"/>
      <c r="AB335" s="926"/>
      <c r="AC335" s="926"/>
      <c r="AD335" s="926"/>
      <c r="AE335" s="926"/>
      <c r="AF335" s="926"/>
      <c r="AG335" s="926"/>
      <c r="AH335" s="926"/>
      <c r="AI335" s="926"/>
      <c r="AJ335" s="926"/>
    </row>
    <row r="336" spans="1:36" ht="15" customHeight="1" thickBot="1" x14ac:dyDescent="0.35">
      <c r="A336" s="926"/>
      <c r="B336" s="609"/>
      <c r="C336" s="964"/>
      <c r="D336" s="965"/>
      <c r="E336" s="965"/>
      <c r="F336" s="965"/>
      <c r="G336" s="965"/>
      <c r="H336" s="965"/>
      <c r="I336" s="965"/>
      <c r="J336" s="965"/>
      <c r="K336" s="965"/>
      <c r="L336" s="965"/>
      <c r="M336" s="965"/>
      <c r="N336" s="965"/>
      <c r="O336" s="965"/>
      <c r="P336" s="965"/>
      <c r="Q336" s="965"/>
      <c r="R336" s="965"/>
      <c r="S336" s="965"/>
      <c r="T336" s="966"/>
      <c r="U336" s="609"/>
      <c r="V336" s="926"/>
      <c r="W336" s="926"/>
      <c r="X336" s="926"/>
      <c r="Y336" s="926"/>
      <c r="Z336" s="926"/>
      <c r="AA336" s="926"/>
      <c r="AB336" s="926"/>
      <c r="AC336" s="926"/>
      <c r="AD336" s="926"/>
      <c r="AE336" s="926"/>
      <c r="AF336" s="926"/>
      <c r="AG336" s="926"/>
      <c r="AH336" s="926"/>
      <c r="AI336" s="926"/>
      <c r="AJ336" s="926"/>
    </row>
    <row r="337" spans="1:36" ht="15" customHeight="1" x14ac:dyDescent="0.3">
      <c r="A337" s="926"/>
      <c r="B337" s="609"/>
      <c r="C337" s="609"/>
      <c r="D337" s="609"/>
      <c r="E337" s="609"/>
      <c r="F337" s="609"/>
      <c r="G337" s="609"/>
      <c r="H337" s="609"/>
      <c r="I337" s="609"/>
      <c r="J337" s="609"/>
      <c r="K337" s="609"/>
      <c r="L337" s="609"/>
      <c r="M337" s="609"/>
      <c r="N337" s="609"/>
      <c r="O337" s="609"/>
      <c r="P337" s="609"/>
      <c r="Q337" s="609"/>
      <c r="R337" s="609"/>
      <c r="S337" s="609"/>
      <c r="T337" s="609"/>
      <c r="U337" s="609"/>
      <c r="V337" s="926"/>
      <c r="W337" s="926"/>
      <c r="X337" s="926"/>
      <c r="Y337" s="926"/>
      <c r="Z337" s="926"/>
      <c r="AA337" s="926"/>
      <c r="AB337" s="926"/>
      <c r="AC337" s="926"/>
      <c r="AD337" s="926"/>
      <c r="AE337" s="926"/>
      <c r="AF337" s="926"/>
      <c r="AG337" s="926"/>
      <c r="AH337" s="926"/>
      <c r="AI337" s="926"/>
      <c r="AJ337" s="926"/>
    </row>
    <row r="338" spans="1:36" ht="15" customHeight="1" thickBot="1" x14ac:dyDescent="0.35">
      <c r="A338" s="926"/>
      <c r="B338" s="926"/>
      <c r="C338" s="923"/>
      <c r="D338" s="923"/>
      <c r="E338" s="923"/>
      <c r="F338" s="923"/>
      <c r="G338" s="923"/>
      <c r="H338" s="923"/>
      <c r="I338" s="923"/>
      <c r="J338" s="923"/>
      <c r="K338" s="923"/>
      <c r="L338" s="923"/>
      <c r="M338" s="923"/>
      <c r="N338" s="923"/>
      <c r="O338" s="923"/>
      <c r="P338" s="923"/>
      <c r="Q338" s="923"/>
      <c r="R338" s="923"/>
      <c r="S338" s="923"/>
      <c r="T338" s="923"/>
      <c r="U338" s="926"/>
      <c r="V338" s="926"/>
      <c r="W338" s="926"/>
      <c r="X338" s="926"/>
      <c r="Y338" s="926"/>
      <c r="Z338" s="926"/>
      <c r="AA338" s="926"/>
      <c r="AB338" s="926"/>
      <c r="AC338" s="926"/>
      <c r="AD338" s="926"/>
      <c r="AE338" s="926"/>
      <c r="AF338" s="926"/>
      <c r="AG338" s="926"/>
      <c r="AH338" s="926"/>
      <c r="AI338" s="926"/>
      <c r="AJ338" s="926"/>
    </row>
    <row r="339" spans="1:36" ht="15" customHeight="1" thickBot="1" x14ac:dyDescent="0.35">
      <c r="A339" s="926"/>
      <c r="B339" s="926"/>
      <c r="C339" s="923"/>
      <c r="D339" s="923"/>
      <c r="E339" s="923"/>
      <c r="F339" s="2345" t="s">
        <v>0</v>
      </c>
      <c r="G339" s="2346"/>
      <c r="H339" s="2345" t="s">
        <v>1</v>
      </c>
      <c r="I339" s="2346"/>
      <c r="J339" s="2345" t="s">
        <v>2</v>
      </c>
      <c r="K339" s="2346"/>
      <c r="L339" s="2345" t="s">
        <v>3</v>
      </c>
      <c r="M339" s="2346"/>
      <c r="N339" s="2345" t="s">
        <v>4</v>
      </c>
      <c r="O339" s="2346"/>
      <c r="P339" s="2345" t="s">
        <v>5</v>
      </c>
      <c r="Q339" s="2346"/>
      <c r="R339" s="1739"/>
      <c r="S339" s="926"/>
      <c r="T339" s="926"/>
      <c r="U339" s="926"/>
      <c r="V339" s="926"/>
      <c r="W339" s="926"/>
      <c r="X339" s="926"/>
      <c r="Y339" s="926"/>
      <c r="Z339" s="926"/>
      <c r="AA339" s="926"/>
      <c r="AB339" s="926"/>
      <c r="AC339" s="926"/>
      <c r="AD339" s="926"/>
      <c r="AE339" s="926"/>
      <c r="AF339" s="926"/>
      <c r="AG339" s="926"/>
      <c r="AH339" s="926"/>
      <c r="AI339" s="926"/>
      <c r="AJ339" s="926"/>
    </row>
    <row r="340" spans="1:36" ht="15" customHeight="1" thickTop="1" thickBot="1" x14ac:dyDescent="0.35">
      <c r="A340" s="926"/>
      <c r="B340" s="926"/>
      <c r="C340" s="923"/>
      <c r="D340" s="923"/>
      <c r="E340" s="923"/>
      <c r="F340" s="2347"/>
      <c r="G340" s="2348"/>
      <c r="H340" s="2347"/>
      <c r="I340" s="2348"/>
      <c r="J340" s="2347"/>
      <c r="K340" s="2348"/>
      <c r="L340" s="2347"/>
      <c r="M340" s="2348"/>
      <c r="N340" s="2347"/>
      <c r="O340" s="2348"/>
      <c r="P340" s="2347"/>
      <c r="Q340" s="2348"/>
      <c r="R340" s="1739"/>
      <c r="S340" s="926"/>
      <c r="T340" s="926"/>
      <c r="U340" s="926"/>
      <c r="V340" s="926"/>
      <c r="W340" s="926"/>
      <c r="X340" s="926"/>
      <c r="Y340" s="926"/>
      <c r="Z340" s="926"/>
      <c r="AA340" s="926"/>
      <c r="AB340" s="926"/>
      <c r="AC340" s="926"/>
      <c r="AD340" s="926"/>
      <c r="AE340" s="926"/>
      <c r="AF340" s="926"/>
      <c r="AG340" s="926"/>
      <c r="AH340" s="926"/>
      <c r="AI340" s="926"/>
      <c r="AJ340" s="926"/>
    </row>
    <row r="341" spans="1:36" ht="15" customHeight="1" thickTop="1" thickBot="1" x14ac:dyDescent="0.35">
      <c r="A341" s="926"/>
      <c r="B341" s="926"/>
      <c r="C341" s="2345" t="s">
        <v>6</v>
      </c>
      <c r="D341" s="2351"/>
      <c r="E341" s="923"/>
      <c r="F341" s="2349"/>
      <c r="G341" s="2350"/>
      <c r="H341" s="2349"/>
      <c r="I341" s="2350"/>
      <c r="J341" s="2349"/>
      <c r="K341" s="2350"/>
      <c r="L341" s="2349"/>
      <c r="M341" s="2350"/>
      <c r="N341" s="2349"/>
      <c r="O341" s="2350"/>
      <c r="P341" s="2349"/>
      <c r="Q341" s="2350"/>
      <c r="R341" s="926"/>
      <c r="S341" s="2356" t="s">
        <v>561</v>
      </c>
      <c r="T341" s="2774"/>
      <c r="U341" s="926"/>
      <c r="V341" s="926"/>
      <c r="W341" s="926"/>
      <c r="X341" s="926"/>
      <c r="Y341" s="926"/>
      <c r="Z341" s="926"/>
      <c r="AA341" s="926"/>
      <c r="AB341" s="926"/>
      <c r="AC341" s="926"/>
      <c r="AD341" s="926"/>
      <c r="AE341" s="926"/>
      <c r="AF341" s="926"/>
      <c r="AG341" s="926"/>
      <c r="AH341" s="926"/>
      <c r="AI341" s="926"/>
      <c r="AJ341" s="926"/>
    </row>
    <row r="342" spans="1:36" ht="15" customHeight="1" thickBot="1" x14ac:dyDescent="0.35">
      <c r="A342" s="926"/>
      <c r="B342" s="926"/>
      <c r="C342" s="2352"/>
      <c r="D342" s="2353"/>
      <c r="E342" s="923"/>
      <c r="F342" s="926"/>
      <c r="G342" s="2345" t="s">
        <v>8</v>
      </c>
      <c r="H342" s="2346"/>
      <c r="I342" s="2345" t="s">
        <v>9</v>
      </c>
      <c r="J342" s="2346"/>
      <c r="K342" s="2345" t="s">
        <v>10</v>
      </c>
      <c r="L342" s="2346"/>
      <c r="M342" s="2345" t="s">
        <v>11</v>
      </c>
      <c r="N342" s="2346"/>
      <c r="O342" s="2362" t="s">
        <v>12</v>
      </c>
      <c r="P342" s="2363"/>
      <c r="Q342" s="926"/>
      <c r="R342" s="926"/>
      <c r="S342" s="2775"/>
      <c r="T342" s="2776"/>
      <c r="U342" s="926"/>
      <c r="V342" s="926"/>
      <c r="W342" s="926"/>
      <c r="X342" s="926"/>
      <c r="Y342" s="926"/>
      <c r="Z342" s="926"/>
      <c r="AA342" s="926"/>
      <c r="AB342" s="926"/>
      <c r="AC342" s="926"/>
      <c r="AD342" s="926"/>
      <c r="AE342" s="926"/>
      <c r="AF342" s="926"/>
      <c r="AG342" s="926"/>
      <c r="AH342" s="926"/>
      <c r="AI342" s="926"/>
      <c r="AJ342" s="926"/>
    </row>
    <row r="343" spans="1:36" ht="15" customHeight="1" thickTop="1" thickBot="1" x14ac:dyDescent="0.35">
      <c r="A343" s="926"/>
      <c r="B343" s="926"/>
      <c r="C343" s="2354"/>
      <c r="D343" s="2355"/>
      <c r="E343" s="923"/>
      <c r="F343" s="926"/>
      <c r="G343" s="2347"/>
      <c r="H343" s="2348"/>
      <c r="I343" s="2347"/>
      <c r="J343" s="2348"/>
      <c r="K343" s="2347"/>
      <c r="L343" s="2348"/>
      <c r="M343" s="2347"/>
      <c r="N343" s="2348"/>
      <c r="O343" s="2364"/>
      <c r="P343" s="2365"/>
      <c r="Q343" s="926"/>
      <c r="R343" s="926"/>
      <c r="S343" s="2777"/>
      <c r="T343" s="2778"/>
      <c r="U343" s="926"/>
      <c r="V343" s="926"/>
      <c r="W343" s="926"/>
      <c r="X343" s="926"/>
      <c r="Y343" s="926"/>
      <c r="Z343" s="926"/>
      <c r="AA343" s="926"/>
      <c r="AB343" s="926"/>
      <c r="AC343" s="926"/>
      <c r="AD343" s="926"/>
      <c r="AE343" s="926"/>
      <c r="AF343" s="926"/>
      <c r="AG343" s="926"/>
      <c r="AH343" s="926"/>
      <c r="AI343" s="926"/>
      <c r="AJ343" s="926"/>
    </row>
    <row r="344" spans="1:36" ht="15" customHeight="1" thickTop="1" thickBot="1" x14ac:dyDescent="0.35">
      <c r="A344" s="926"/>
      <c r="B344" s="926"/>
      <c r="C344" s="923"/>
      <c r="D344" s="923"/>
      <c r="E344" s="923"/>
      <c r="F344" s="926"/>
      <c r="G344" s="2349"/>
      <c r="H344" s="2350"/>
      <c r="I344" s="2349"/>
      <c r="J344" s="2350"/>
      <c r="K344" s="2349"/>
      <c r="L344" s="2350"/>
      <c r="M344" s="2349"/>
      <c r="N344" s="2350"/>
      <c r="O344" s="2366"/>
      <c r="P344" s="2367"/>
      <c r="Q344" s="923"/>
      <c r="R344" s="923"/>
      <c r="S344" s="926"/>
      <c r="T344" s="926"/>
      <c r="U344" s="926"/>
      <c r="V344" s="926"/>
      <c r="W344" s="926"/>
      <c r="X344" s="926"/>
      <c r="Y344" s="926"/>
      <c r="Z344" s="926"/>
      <c r="AA344" s="926"/>
      <c r="AB344" s="926"/>
      <c r="AC344" s="926"/>
      <c r="AD344" s="926"/>
      <c r="AE344" s="926"/>
      <c r="AF344" s="926"/>
      <c r="AG344" s="926"/>
      <c r="AH344" s="926"/>
      <c r="AI344" s="926"/>
      <c r="AJ344" s="926"/>
    </row>
    <row r="345" spans="1:36" x14ac:dyDescent="0.3">
      <c r="A345" s="926"/>
      <c r="B345" s="926"/>
      <c r="C345" s="926"/>
      <c r="D345" s="926"/>
      <c r="E345" s="926"/>
      <c r="F345" s="926"/>
      <c r="G345" s="926"/>
      <c r="H345" s="926"/>
      <c r="I345" s="926"/>
      <c r="J345" s="926"/>
      <c r="K345" s="926"/>
      <c r="L345" s="926"/>
      <c r="M345" s="926"/>
      <c r="N345" s="926"/>
      <c r="O345" s="926"/>
      <c r="P345" s="926"/>
      <c r="Q345" s="926"/>
      <c r="R345" s="926"/>
      <c r="S345" s="926"/>
      <c r="T345" s="926"/>
      <c r="U345" s="926"/>
      <c r="V345" s="926"/>
      <c r="W345" s="926"/>
      <c r="X345" s="926"/>
      <c r="Y345" s="926"/>
      <c r="Z345" s="926"/>
      <c r="AA345" s="926"/>
      <c r="AB345" s="926"/>
      <c r="AC345" s="926"/>
      <c r="AD345" s="926"/>
      <c r="AE345" s="926"/>
      <c r="AF345" s="926"/>
      <c r="AG345" s="926"/>
      <c r="AH345" s="926"/>
      <c r="AI345" s="926"/>
      <c r="AJ345" s="926"/>
    </row>
    <row r="346" spans="1:36" x14ac:dyDescent="0.3">
      <c r="A346" s="926"/>
      <c r="B346" s="926"/>
      <c r="C346" s="926"/>
      <c r="D346" s="926"/>
      <c r="E346" s="926"/>
      <c r="F346" s="926"/>
      <c r="G346" s="926"/>
      <c r="H346" s="926"/>
      <c r="I346" s="926"/>
      <c r="J346" s="926"/>
      <c r="K346" s="926"/>
      <c r="L346" s="926"/>
      <c r="M346" s="926"/>
      <c r="N346" s="926"/>
      <c r="O346" s="926"/>
      <c r="P346" s="926"/>
      <c r="Q346" s="926"/>
      <c r="R346" s="926"/>
      <c r="S346" s="926"/>
      <c r="T346" s="926"/>
      <c r="U346" s="926"/>
      <c r="V346" s="926"/>
      <c r="W346" s="926"/>
      <c r="X346" s="926"/>
      <c r="Y346" s="926"/>
      <c r="Z346" s="926"/>
      <c r="AA346" s="926"/>
      <c r="AB346" s="926"/>
      <c r="AC346" s="926"/>
      <c r="AD346" s="926"/>
      <c r="AE346" s="926"/>
      <c r="AF346" s="926"/>
      <c r="AG346" s="926"/>
      <c r="AH346" s="926"/>
      <c r="AI346" s="926"/>
      <c r="AJ346" s="926"/>
    </row>
    <row r="347" spans="1:36" x14ac:dyDescent="0.3">
      <c r="A347" s="926"/>
      <c r="B347" s="926"/>
      <c r="C347" s="926"/>
      <c r="D347" s="926"/>
      <c r="E347" s="926"/>
      <c r="F347" s="926"/>
      <c r="G347" s="926"/>
      <c r="H347" s="926"/>
      <c r="I347" s="926"/>
      <c r="J347" s="926"/>
      <c r="K347" s="926"/>
      <c r="L347" s="926"/>
      <c r="M347" s="926"/>
      <c r="N347" s="926"/>
      <c r="O347" s="926"/>
      <c r="P347" s="926"/>
      <c r="Q347" s="926"/>
      <c r="R347" s="926"/>
      <c r="S347" s="926"/>
      <c r="T347" s="926"/>
      <c r="U347" s="926"/>
      <c r="V347" s="926"/>
      <c r="W347" s="926"/>
      <c r="X347" s="926"/>
      <c r="Y347" s="926"/>
      <c r="Z347" s="926"/>
      <c r="AA347" s="926"/>
      <c r="AB347" s="926"/>
      <c r="AC347" s="926"/>
      <c r="AD347" s="926"/>
      <c r="AE347" s="926"/>
      <c r="AF347" s="926"/>
      <c r="AG347" s="926"/>
      <c r="AH347" s="926"/>
      <c r="AI347" s="926"/>
      <c r="AJ347" s="926"/>
    </row>
    <row r="348" spans="1:36" x14ac:dyDescent="0.3">
      <c r="A348" s="926"/>
      <c r="B348" s="926"/>
      <c r="C348" s="926"/>
      <c r="D348" s="926"/>
      <c r="E348" s="926"/>
      <c r="F348" s="926"/>
      <c r="G348" s="926"/>
      <c r="H348" s="926"/>
      <c r="I348" s="926"/>
      <c r="J348" s="926"/>
      <c r="K348" s="926"/>
      <c r="L348" s="926"/>
      <c r="M348" s="926"/>
      <c r="N348" s="926"/>
      <c r="O348" s="926"/>
      <c r="P348" s="926"/>
      <c r="Q348" s="926"/>
      <c r="R348" s="926"/>
      <c r="S348" s="926"/>
      <c r="T348" s="926"/>
      <c r="U348" s="926"/>
      <c r="V348" s="926"/>
      <c r="W348" s="926"/>
      <c r="X348" s="926"/>
      <c r="Y348" s="926"/>
      <c r="Z348" s="926"/>
      <c r="AA348" s="926"/>
      <c r="AB348" s="926"/>
      <c r="AC348" s="926"/>
      <c r="AD348" s="926"/>
      <c r="AE348" s="926"/>
      <c r="AF348" s="926"/>
      <c r="AG348" s="926"/>
      <c r="AH348" s="926"/>
      <c r="AI348" s="926"/>
      <c r="AJ348" s="926"/>
    </row>
    <row r="349" spans="1:36" x14ac:dyDescent="0.3">
      <c r="A349" s="926"/>
      <c r="B349" s="926"/>
      <c r="C349" s="926"/>
      <c r="D349" s="926"/>
      <c r="E349" s="926"/>
      <c r="F349" s="926"/>
      <c r="G349" s="926"/>
      <c r="H349" s="926"/>
      <c r="I349" s="926"/>
      <c r="J349" s="926"/>
      <c r="K349" s="926"/>
      <c r="L349" s="926"/>
      <c r="M349" s="926"/>
      <c r="N349" s="926"/>
      <c r="O349" s="926"/>
      <c r="P349" s="926"/>
      <c r="Q349" s="926"/>
      <c r="R349" s="926"/>
      <c r="S349" s="926"/>
      <c r="T349" s="926"/>
      <c r="U349" s="926"/>
      <c r="V349" s="926"/>
      <c r="W349" s="926"/>
      <c r="X349" s="926"/>
      <c r="Y349" s="926"/>
      <c r="Z349" s="926"/>
      <c r="AA349" s="926"/>
      <c r="AB349" s="926"/>
      <c r="AC349" s="926"/>
      <c r="AD349" s="926"/>
      <c r="AE349" s="926"/>
      <c r="AF349" s="926"/>
      <c r="AG349" s="926"/>
      <c r="AH349" s="926"/>
      <c r="AI349" s="926"/>
      <c r="AJ349" s="926"/>
    </row>
    <row r="350" spans="1:36" x14ac:dyDescent="0.3">
      <c r="A350" s="926"/>
      <c r="B350" s="926"/>
      <c r="C350" s="926"/>
      <c r="D350" s="926"/>
      <c r="E350" s="926"/>
      <c r="F350" s="926"/>
      <c r="G350" s="926"/>
      <c r="H350" s="926"/>
      <c r="I350" s="926"/>
      <c r="J350" s="926"/>
      <c r="K350" s="926"/>
      <c r="L350" s="926"/>
      <c r="M350" s="926"/>
      <c r="N350" s="926"/>
      <c r="O350" s="926"/>
      <c r="P350" s="926"/>
      <c r="Q350" s="926"/>
      <c r="R350" s="926"/>
      <c r="S350" s="926"/>
      <c r="T350" s="926"/>
      <c r="U350" s="926"/>
      <c r="V350" s="926"/>
      <c r="W350" s="926"/>
      <c r="X350" s="926"/>
      <c r="Y350" s="926"/>
      <c r="Z350" s="926"/>
      <c r="AA350" s="926"/>
      <c r="AB350" s="926"/>
      <c r="AC350" s="926"/>
      <c r="AD350" s="926"/>
      <c r="AE350" s="926"/>
      <c r="AF350" s="926"/>
      <c r="AG350" s="926"/>
      <c r="AH350" s="926"/>
      <c r="AI350" s="926"/>
      <c r="AJ350" s="926"/>
    </row>
    <row r="351" spans="1:36" x14ac:dyDescent="0.3">
      <c r="A351" s="926"/>
      <c r="B351" s="926"/>
      <c r="C351" s="926"/>
      <c r="D351" s="926"/>
      <c r="E351" s="926"/>
      <c r="F351" s="926"/>
      <c r="G351" s="926"/>
      <c r="H351" s="926"/>
      <c r="I351" s="926"/>
      <c r="J351" s="926"/>
      <c r="K351" s="926"/>
      <c r="L351" s="926"/>
      <c r="M351" s="926"/>
      <c r="N351" s="926"/>
      <c r="O351" s="926"/>
      <c r="P351" s="926"/>
      <c r="Q351" s="926"/>
      <c r="R351" s="926"/>
      <c r="S351" s="926"/>
      <c r="T351" s="926"/>
      <c r="U351" s="926"/>
      <c r="V351" s="926"/>
      <c r="W351" s="926"/>
      <c r="X351" s="926"/>
      <c r="Y351" s="926"/>
      <c r="Z351" s="926"/>
      <c r="AA351" s="926"/>
      <c r="AB351" s="926"/>
      <c r="AC351" s="926"/>
      <c r="AD351" s="926"/>
      <c r="AE351" s="926"/>
      <c r="AF351" s="926"/>
      <c r="AG351" s="926"/>
      <c r="AH351" s="926"/>
      <c r="AI351" s="926"/>
      <c r="AJ351" s="926"/>
    </row>
    <row r="352" spans="1:36" x14ac:dyDescent="0.3">
      <c r="A352" s="926"/>
      <c r="B352" s="926"/>
      <c r="C352" s="926"/>
      <c r="D352" s="926"/>
      <c r="E352" s="926"/>
      <c r="F352" s="926"/>
      <c r="G352" s="926"/>
      <c r="H352" s="926"/>
      <c r="I352" s="926"/>
      <c r="J352" s="926"/>
      <c r="K352" s="926"/>
      <c r="L352" s="926"/>
      <c r="M352" s="926"/>
      <c r="N352" s="926"/>
      <c r="O352" s="926"/>
      <c r="P352" s="926"/>
      <c r="Q352" s="926"/>
      <c r="R352" s="926"/>
      <c r="S352" s="926"/>
      <c r="T352" s="926"/>
      <c r="U352" s="926"/>
      <c r="V352" s="926"/>
      <c r="W352" s="926"/>
      <c r="X352" s="926"/>
      <c r="Y352" s="926"/>
      <c r="Z352" s="926"/>
      <c r="AA352" s="926"/>
      <c r="AB352" s="926"/>
      <c r="AC352" s="926"/>
      <c r="AD352" s="926"/>
      <c r="AE352" s="926"/>
      <c r="AF352" s="926"/>
      <c r="AG352" s="926"/>
      <c r="AH352" s="926"/>
      <c r="AI352" s="926"/>
      <c r="AJ352" s="926"/>
    </row>
    <row r="353" spans="1:36" x14ac:dyDescent="0.3">
      <c r="A353" s="926"/>
      <c r="B353" s="926"/>
      <c r="C353" s="926"/>
      <c r="D353" s="926"/>
      <c r="E353" s="926"/>
      <c r="F353" s="926"/>
      <c r="G353" s="926"/>
      <c r="H353" s="926"/>
      <c r="I353" s="926"/>
      <c r="J353" s="926"/>
      <c r="K353" s="926"/>
      <c r="L353" s="926"/>
      <c r="M353" s="926"/>
      <c r="N353" s="926"/>
      <c r="O353" s="926"/>
      <c r="P353" s="926"/>
      <c r="Q353" s="926"/>
      <c r="R353" s="926"/>
      <c r="S353" s="926"/>
      <c r="T353" s="926"/>
      <c r="U353" s="926"/>
      <c r="V353" s="926"/>
      <c r="W353" s="926"/>
      <c r="X353" s="926"/>
      <c r="Y353" s="926"/>
      <c r="Z353" s="926"/>
      <c r="AA353" s="926"/>
      <c r="AB353" s="926"/>
      <c r="AC353" s="926"/>
      <c r="AD353" s="926"/>
      <c r="AE353" s="926"/>
      <c r="AF353" s="926"/>
      <c r="AG353" s="926"/>
      <c r="AH353" s="926"/>
      <c r="AI353" s="926"/>
      <c r="AJ353" s="926"/>
    </row>
    <row r="354" spans="1:36" x14ac:dyDescent="0.3">
      <c r="A354" s="926"/>
      <c r="B354" s="926"/>
      <c r="C354" s="926"/>
      <c r="D354" s="926"/>
      <c r="E354" s="926"/>
      <c r="F354" s="926"/>
      <c r="G354" s="926"/>
      <c r="H354" s="926"/>
      <c r="I354" s="926"/>
      <c r="J354" s="926"/>
      <c r="K354" s="926"/>
      <c r="L354" s="926"/>
      <c r="M354" s="926"/>
      <c r="N354" s="926"/>
      <c r="O354" s="926"/>
      <c r="P354" s="926"/>
      <c r="Q354" s="926"/>
      <c r="R354" s="926"/>
      <c r="S354" s="926"/>
      <c r="T354" s="926"/>
      <c r="U354" s="926"/>
      <c r="V354" s="926"/>
      <c r="W354" s="926"/>
      <c r="X354" s="926"/>
      <c r="Y354" s="926"/>
      <c r="Z354" s="926"/>
      <c r="AA354" s="926"/>
      <c r="AB354" s="926"/>
      <c r="AC354" s="926"/>
      <c r="AD354" s="926"/>
      <c r="AE354" s="926"/>
      <c r="AF354" s="926"/>
      <c r="AG354" s="926"/>
      <c r="AH354" s="926"/>
      <c r="AI354" s="926"/>
      <c r="AJ354" s="926"/>
    </row>
    <row r="355" spans="1:36" x14ac:dyDescent="0.3">
      <c r="A355" s="926"/>
      <c r="B355" s="926"/>
      <c r="C355" s="926"/>
      <c r="D355" s="926"/>
      <c r="E355" s="926"/>
      <c r="F355" s="926"/>
      <c r="G355" s="926"/>
      <c r="H355" s="926"/>
      <c r="I355" s="926"/>
      <c r="J355" s="926"/>
      <c r="K355" s="926"/>
      <c r="L355" s="926"/>
      <c r="M355" s="926"/>
      <c r="N355" s="926"/>
      <c r="O355" s="926"/>
      <c r="P355" s="926"/>
      <c r="Q355" s="926"/>
      <c r="R355" s="926"/>
      <c r="S355" s="926"/>
      <c r="T355" s="926"/>
      <c r="U355" s="926"/>
      <c r="V355" s="926"/>
      <c r="W355" s="926"/>
      <c r="X355" s="926"/>
      <c r="Y355" s="926"/>
      <c r="Z355" s="926"/>
      <c r="AA355" s="926"/>
      <c r="AB355" s="926"/>
      <c r="AC355" s="926"/>
      <c r="AD355" s="926"/>
      <c r="AE355" s="926"/>
      <c r="AF355" s="926"/>
      <c r="AG355" s="926"/>
      <c r="AH355" s="926"/>
      <c r="AI355" s="926"/>
      <c r="AJ355" s="926"/>
    </row>
    <row r="356" spans="1:36" x14ac:dyDescent="0.3">
      <c r="A356" s="926"/>
      <c r="B356" s="926"/>
      <c r="C356" s="926"/>
      <c r="D356" s="926"/>
      <c r="E356" s="926"/>
      <c r="F356" s="926"/>
      <c r="G356" s="926"/>
      <c r="H356" s="926"/>
      <c r="I356" s="926"/>
      <c r="J356" s="926"/>
      <c r="K356" s="926"/>
      <c r="L356" s="926"/>
      <c r="M356" s="926"/>
      <c r="N356" s="926"/>
      <c r="O356" s="926"/>
      <c r="P356" s="926"/>
      <c r="Q356" s="926"/>
      <c r="R356" s="926"/>
      <c r="S356" s="926"/>
      <c r="T356" s="926"/>
      <c r="U356" s="926"/>
      <c r="V356" s="926"/>
      <c r="W356" s="926"/>
      <c r="X356" s="926"/>
      <c r="Y356" s="926"/>
      <c r="Z356" s="926"/>
      <c r="AA356" s="926"/>
      <c r="AB356" s="926"/>
      <c r="AC356" s="926"/>
      <c r="AD356" s="926"/>
      <c r="AE356" s="926"/>
      <c r="AF356" s="926"/>
      <c r="AG356" s="926"/>
      <c r="AH356" s="926"/>
      <c r="AI356" s="926"/>
      <c r="AJ356" s="926"/>
    </row>
    <row r="357" spans="1:36" x14ac:dyDescent="0.3">
      <c r="A357" s="926"/>
      <c r="B357" s="926"/>
      <c r="C357" s="926"/>
      <c r="D357" s="926"/>
      <c r="E357" s="926"/>
      <c r="F357" s="926"/>
      <c r="G357" s="926"/>
      <c r="H357" s="926"/>
      <c r="I357" s="926"/>
      <c r="J357" s="926"/>
      <c r="K357" s="926"/>
      <c r="L357" s="926"/>
      <c r="M357" s="926"/>
      <c r="N357" s="926"/>
      <c r="O357" s="926"/>
      <c r="P357" s="926"/>
      <c r="Q357" s="926"/>
      <c r="R357" s="926"/>
      <c r="S357" s="926"/>
      <c r="T357" s="926"/>
      <c r="U357" s="926"/>
      <c r="V357" s="926"/>
      <c r="W357" s="926"/>
      <c r="X357" s="926"/>
      <c r="Y357" s="926"/>
      <c r="Z357" s="926"/>
      <c r="AA357" s="926"/>
      <c r="AB357" s="926"/>
      <c r="AC357" s="926"/>
      <c r="AD357" s="926"/>
      <c r="AE357" s="926"/>
      <c r="AF357" s="926"/>
      <c r="AG357" s="926"/>
      <c r="AH357" s="926"/>
      <c r="AI357" s="926"/>
      <c r="AJ357" s="926"/>
    </row>
    <row r="358" spans="1:36" x14ac:dyDescent="0.3">
      <c r="A358" s="926"/>
      <c r="B358" s="926"/>
      <c r="C358" s="926"/>
      <c r="D358" s="926"/>
      <c r="E358" s="926"/>
      <c r="F358" s="926"/>
      <c r="G358" s="926"/>
      <c r="H358" s="926"/>
      <c r="I358" s="926"/>
      <c r="J358" s="926"/>
      <c r="K358" s="926"/>
      <c r="L358" s="926"/>
      <c r="M358" s="926"/>
      <c r="N358" s="926"/>
      <c r="O358" s="926"/>
      <c r="P358" s="926"/>
      <c r="Q358" s="926"/>
      <c r="R358" s="926"/>
      <c r="S358" s="926"/>
      <c r="T358" s="926"/>
      <c r="U358" s="926"/>
      <c r="V358" s="926"/>
      <c r="W358" s="926"/>
      <c r="X358" s="926"/>
      <c r="Y358" s="926"/>
      <c r="Z358" s="926"/>
      <c r="AA358" s="926"/>
      <c r="AB358" s="926"/>
      <c r="AC358" s="926"/>
      <c r="AD358" s="926"/>
      <c r="AE358" s="926"/>
      <c r="AF358" s="926"/>
      <c r="AG358" s="926"/>
      <c r="AH358" s="926"/>
      <c r="AI358" s="926"/>
      <c r="AJ358" s="926"/>
    </row>
    <row r="359" spans="1:36" x14ac:dyDescent="0.3">
      <c r="A359" s="926"/>
      <c r="B359" s="926"/>
      <c r="C359" s="926"/>
      <c r="D359" s="926"/>
      <c r="E359" s="926"/>
      <c r="F359" s="926"/>
      <c r="G359" s="926"/>
      <c r="H359" s="926"/>
      <c r="I359" s="926"/>
      <c r="J359" s="926"/>
      <c r="K359" s="926"/>
      <c r="L359" s="926"/>
      <c r="M359" s="926"/>
      <c r="N359" s="926"/>
      <c r="O359" s="926"/>
      <c r="P359" s="926"/>
      <c r="Q359" s="926"/>
      <c r="R359" s="926"/>
      <c r="S359" s="926"/>
      <c r="T359" s="926"/>
      <c r="U359" s="926"/>
      <c r="V359" s="926"/>
      <c r="W359" s="926"/>
      <c r="X359" s="926"/>
      <c r="Y359" s="926"/>
      <c r="Z359" s="926"/>
      <c r="AA359" s="926"/>
      <c r="AB359" s="926"/>
      <c r="AC359" s="926"/>
      <c r="AD359" s="926"/>
      <c r="AE359" s="926"/>
      <c r="AF359" s="926"/>
      <c r="AG359" s="926"/>
      <c r="AH359" s="926"/>
      <c r="AI359" s="926"/>
      <c r="AJ359" s="926"/>
    </row>
    <row r="360" spans="1:36" x14ac:dyDescent="0.3">
      <c r="A360" s="926"/>
      <c r="B360" s="926"/>
      <c r="C360" s="926"/>
      <c r="D360" s="926"/>
      <c r="E360" s="926"/>
      <c r="F360" s="926"/>
      <c r="G360" s="926"/>
      <c r="H360" s="926"/>
      <c r="I360" s="926"/>
      <c r="J360" s="926"/>
      <c r="K360" s="926"/>
      <c r="L360" s="926"/>
      <c r="M360" s="926"/>
      <c r="N360" s="926"/>
      <c r="O360" s="926"/>
      <c r="P360" s="926"/>
      <c r="Q360" s="926"/>
      <c r="R360" s="926"/>
      <c r="S360" s="926"/>
      <c r="T360" s="926"/>
      <c r="U360" s="926"/>
      <c r="V360" s="926"/>
      <c r="W360" s="926"/>
      <c r="X360" s="926"/>
      <c r="Y360" s="926"/>
      <c r="Z360" s="926"/>
      <c r="AA360" s="926"/>
      <c r="AB360" s="926"/>
      <c r="AC360" s="926"/>
      <c r="AD360" s="926"/>
      <c r="AE360" s="926"/>
      <c r="AF360" s="926"/>
      <c r="AG360" s="926"/>
      <c r="AH360" s="926"/>
      <c r="AI360" s="926"/>
      <c r="AJ360" s="926"/>
    </row>
    <row r="361" spans="1:36" x14ac:dyDescent="0.3">
      <c r="A361" s="926"/>
      <c r="B361" s="926"/>
      <c r="C361" s="926"/>
      <c r="D361" s="926"/>
      <c r="E361" s="926"/>
      <c r="F361" s="926"/>
      <c r="G361" s="926"/>
      <c r="H361" s="926"/>
      <c r="I361" s="926"/>
      <c r="J361" s="926"/>
      <c r="K361" s="926"/>
      <c r="L361" s="926"/>
      <c r="M361" s="926"/>
      <c r="N361" s="926"/>
      <c r="O361" s="926"/>
      <c r="P361" s="926"/>
      <c r="Q361" s="926"/>
      <c r="R361" s="926"/>
      <c r="S361" s="926"/>
      <c r="T361" s="926"/>
      <c r="U361" s="926"/>
      <c r="V361" s="926"/>
      <c r="W361" s="926"/>
      <c r="X361" s="926"/>
      <c r="Y361" s="926"/>
      <c r="Z361" s="926"/>
      <c r="AA361" s="926"/>
      <c r="AB361" s="926"/>
      <c r="AC361" s="926"/>
      <c r="AD361" s="926"/>
      <c r="AE361" s="926"/>
      <c r="AF361" s="926"/>
      <c r="AG361" s="926"/>
      <c r="AH361" s="926"/>
      <c r="AI361" s="926"/>
      <c r="AJ361" s="926"/>
    </row>
    <row r="362" spans="1:36" x14ac:dyDescent="0.3">
      <c r="A362" s="926"/>
      <c r="B362" s="926"/>
      <c r="C362" s="926"/>
      <c r="D362" s="926"/>
      <c r="E362" s="926"/>
      <c r="F362" s="926"/>
      <c r="G362" s="926"/>
      <c r="H362" s="926"/>
      <c r="I362" s="926"/>
      <c r="J362" s="926"/>
      <c r="K362" s="926"/>
      <c r="L362" s="926"/>
      <c r="M362" s="926"/>
      <c r="N362" s="926"/>
      <c r="O362" s="926"/>
      <c r="P362" s="926"/>
      <c r="Q362" s="926"/>
      <c r="R362" s="926"/>
      <c r="S362" s="926"/>
      <c r="T362" s="926"/>
      <c r="U362" s="926"/>
      <c r="V362" s="926"/>
      <c r="W362" s="926"/>
      <c r="X362" s="926"/>
      <c r="Y362" s="926"/>
      <c r="Z362" s="926"/>
      <c r="AA362" s="926"/>
      <c r="AB362" s="926"/>
      <c r="AC362" s="926"/>
      <c r="AD362" s="926"/>
      <c r="AE362" s="926"/>
      <c r="AF362" s="926"/>
      <c r="AG362" s="926"/>
      <c r="AH362" s="926"/>
      <c r="AI362" s="926"/>
      <c r="AJ362" s="926"/>
    </row>
    <row r="363" spans="1:36" x14ac:dyDescent="0.3">
      <c r="A363" s="926"/>
      <c r="B363" s="926"/>
      <c r="C363" s="926"/>
      <c r="D363" s="926"/>
      <c r="E363" s="926"/>
      <c r="F363" s="926"/>
      <c r="G363" s="926"/>
      <c r="H363" s="926"/>
      <c r="I363" s="926"/>
      <c r="J363" s="926"/>
      <c r="K363" s="926"/>
      <c r="L363" s="926"/>
      <c r="M363" s="926"/>
      <c r="N363" s="926"/>
      <c r="O363" s="926"/>
      <c r="P363" s="926"/>
      <c r="Q363" s="926"/>
      <c r="R363" s="926"/>
      <c r="S363" s="926"/>
      <c r="T363" s="926"/>
      <c r="U363" s="926"/>
      <c r="V363" s="926"/>
      <c r="W363" s="926"/>
      <c r="X363" s="926"/>
      <c r="Y363" s="926"/>
      <c r="Z363" s="926"/>
      <c r="AA363" s="926"/>
      <c r="AB363" s="926"/>
      <c r="AC363" s="926"/>
      <c r="AD363" s="926"/>
      <c r="AE363" s="926"/>
      <c r="AF363" s="926"/>
      <c r="AG363" s="926"/>
      <c r="AH363" s="926"/>
      <c r="AI363" s="926"/>
      <c r="AJ363" s="926"/>
    </row>
  </sheetData>
  <mergeCells count="594">
    <mergeCell ref="D265:L266"/>
    <mergeCell ref="M265:O266"/>
    <mergeCell ref="D267:L268"/>
    <mergeCell ref="M267:O268"/>
    <mergeCell ref="D269:L270"/>
    <mergeCell ref="M269:O270"/>
    <mergeCell ref="D256:L256"/>
    <mergeCell ref="M256:O256"/>
    <mergeCell ref="F321:Q323"/>
    <mergeCell ref="D257:L258"/>
    <mergeCell ref="M257:O258"/>
    <mergeCell ref="D271:L272"/>
    <mergeCell ref="M271:O272"/>
    <mergeCell ref="D259:L260"/>
    <mergeCell ref="M259:O260"/>
    <mergeCell ref="D261:L262"/>
    <mergeCell ref="M261:O262"/>
    <mergeCell ref="D263:L264"/>
    <mergeCell ref="M263:O264"/>
    <mergeCell ref="D283:L283"/>
    <mergeCell ref="M283:O283"/>
    <mergeCell ref="D278:L278"/>
    <mergeCell ref="D281:L282"/>
    <mergeCell ref="D279:L280"/>
    <mergeCell ref="M278:O278"/>
    <mergeCell ref="P278:Q278"/>
    <mergeCell ref="R278:S278"/>
    <mergeCell ref="M281:O282"/>
    <mergeCell ref="P281:Q282"/>
    <mergeCell ref="R281:S282"/>
    <mergeCell ref="M279:O280"/>
    <mergeCell ref="P279:Q280"/>
    <mergeCell ref="R279:S280"/>
    <mergeCell ref="D310:L311"/>
    <mergeCell ref="M310:O311"/>
    <mergeCell ref="D312:L313"/>
    <mergeCell ref="M312:O313"/>
    <mergeCell ref="D314:L315"/>
    <mergeCell ref="M314:O315"/>
    <mergeCell ref="D316:L317"/>
    <mergeCell ref="M316:O317"/>
    <mergeCell ref="D318:L319"/>
    <mergeCell ref="M318:O319"/>
    <mergeCell ref="M292:O293"/>
    <mergeCell ref="D294:L295"/>
    <mergeCell ref="M294:O295"/>
    <mergeCell ref="D296:L297"/>
    <mergeCell ref="M296:O297"/>
    <mergeCell ref="D298:L299"/>
    <mergeCell ref="M298:O299"/>
    <mergeCell ref="D300:L301"/>
    <mergeCell ref="M300:O301"/>
    <mergeCell ref="D172:L172"/>
    <mergeCell ref="M172:O172"/>
    <mergeCell ref="D197:L198"/>
    <mergeCell ref="M197:O198"/>
    <mergeCell ref="D199:L200"/>
    <mergeCell ref="M199:O200"/>
    <mergeCell ref="D201:L202"/>
    <mergeCell ref="M201:O202"/>
    <mergeCell ref="D203:L204"/>
    <mergeCell ref="D157:L158"/>
    <mergeCell ref="M157:O158"/>
    <mergeCell ref="D159:L160"/>
    <mergeCell ref="M159:O160"/>
    <mergeCell ref="D161:L162"/>
    <mergeCell ref="M161:O162"/>
    <mergeCell ref="D163:L164"/>
    <mergeCell ref="M163:O164"/>
    <mergeCell ref="D165:L166"/>
    <mergeCell ref="M165:O166"/>
    <mergeCell ref="D145:L146"/>
    <mergeCell ref="M145:O146"/>
    <mergeCell ref="D147:L148"/>
    <mergeCell ref="M147:O148"/>
    <mergeCell ref="D149:L150"/>
    <mergeCell ref="M149:O150"/>
    <mergeCell ref="D151:L152"/>
    <mergeCell ref="M151:O152"/>
    <mergeCell ref="D153:L154"/>
    <mergeCell ref="M153:O154"/>
    <mergeCell ref="D135:L136"/>
    <mergeCell ref="M135:O136"/>
    <mergeCell ref="D137:L138"/>
    <mergeCell ref="M137:O138"/>
    <mergeCell ref="D139:L140"/>
    <mergeCell ref="M139:O140"/>
    <mergeCell ref="D141:L142"/>
    <mergeCell ref="M141:O142"/>
    <mergeCell ref="D143:L144"/>
    <mergeCell ref="M143:O144"/>
    <mergeCell ref="D83:L84"/>
    <mergeCell ref="M83:O84"/>
    <mergeCell ref="D85:L86"/>
    <mergeCell ref="M85:O86"/>
    <mergeCell ref="D87:L88"/>
    <mergeCell ref="M87:O88"/>
    <mergeCell ref="D99:L100"/>
    <mergeCell ref="M99:O100"/>
    <mergeCell ref="D101:L102"/>
    <mergeCell ref="M101:O102"/>
    <mergeCell ref="D94:L94"/>
    <mergeCell ref="M94:O94"/>
    <mergeCell ref="D95:L96"/>
    <mergeCell ref="M95:O96"/>
    <mergeCell ref="D97:L98"/>
    <mergeCell ref="M97:O98"/>
    <mergeCell ref="D247:L248"/>
    <mergeCell ref="M247:O248"/>
    <mergeCell ref="D249:L250"/>
    <mergeCell ref="M249:O250"/>
    <mergeCell ref="D246:L246"/>
    <mergeCell ref="M246:O246"/>
    <mergeCell ref="D173:L174"/>
    <mergeCell ref="M173:O174"/>
    <mergeCell ref="D175:L176"/>
    <mergeCell ref="M175:O176"/>
    <mergeCell ref="D177:L178"/>
    <mergeCell ref="M177:O178"/>
    <mergeCell ref="D228:L228"/>
    <mergeCell ref="D205:L206"/>
    <mergeCell ref="M203:O204"/>
    <mergeCell ref="D189:L190"/>
    <mergeCell ref="M189:O190"/>
    <mergeCell ref="D191:L192"/>
    <mergeCell ref="M191:O192"/>
    <mergeCell ref="D193:L194"/>
    <mergeCell ref="M193:O194"/>
    <mergeCell ref="D195:L196"/>
    <mergeCell ref="M195:O196"/>
    <mergeCell ref="D237:L238"/>
    <mergeCell ref="D73:L74"/>
    <mergeCell ref="M73:O74"/>
    <mergeCell ref="D75:L76"/>
    <mergeCell ref="M75:O76"/>
    <mergeCell ref="D77:L78"/>
    <mergeCell ref="M77:O78"/>
    <mergeCell ref="D79:L80"/>
    <mergeCell ref="M79:O80"/>
    <mergeCell ref="D81:L82"/>
    <mergeCell ref="M81:O82"/>
    <mergeCell ref="D29:L30"/>
    <mergeCell ref="M29:O30"/>
    <mergeCell ref="P29:Q30"/>
    <mergeCell ref="R29:S30"/>
    <mergeCell ref="M41:O42"/>
    <mergeCell ref="D43:L44"/>
    <mergeCell ref="M43:O44"/>
    <mergeCell ref="D45:L46"/>
    <mergeCell ref="M45:O46"/>
    <mergeCell ref="D39:L40"/>
    <mergeCell ref="D41:L42"/>
    <mergeCell ref="R41:S42"/>
    <mergeCell ref="P41:Q42"/>
    <mergeCell ref="P37:Q38"/>
    <mergeCell ref="R37:S38"/>
    <mergeCell ref="M31:O32"/>
    <mergeCell ref="M33:O34"/>
    <mergeCell ref="M35:O36"/>
    <mergeCell ref="M37:O38"/>
    <mergeCell ref="P39:Q40"/>
    <mergeCell ref="R39:S40"/>
    <mergeCell ref="P33:Q34"/>
    <mergeCell ref="R33:S34"/>
    <mergeCell ref="P35:Q36"/>
    <mergeCell ref="D47:L48"/>
    <mergeCell ref="M47:O48"/>
    <mergeCell ref="D49:L50"/>
    <mergeCell ref="M49:O50"/>
    <mergeCell ref="D179:L180"/>
    <mergeCell ref="D181:L182"/>
    <mergeCell ref="D183:L184"/>
    <mergeCell ref="D185:L186"/>
    <mergeCell ref="D187:L188"/>
    <mergeCell ref="D51:L52"/>
    <mergeCell ref="D59:L60"/>
    <mergeCell ref="D61:L62"/>
    <mergeCell ref="D63:L64"/>
    <mergeCell ref="D65:L66"/>
    <mergeCell ref="D58:L58"/>
    <mergeCell ref="D67:L68"/>
    <mergeCell ref="D69:L70"/>
    <mergeCell ref="D71:L72"/>
    <mergeCell ref="G90:P92"/>
    <mergeCell ref="P94:Q94"/>
    <mergeCell ref="D103:L104"/>
    <mergeCell ref="M103:O104"/>
    <mergeCell ref="D105:L106"/>
    <mergeCell ref="M105:O106"/>
    <mergeCell ref="D284:L285"/>
    <mergeCell ref="D286:L287"/>
    <mergeCell ref="D288:L289"/>
    <mergeCell ref="D290:L291"/>
    <mergeCell ref="D292:L293"/>
    <mergeCell ref="D302:L303"/>
    <mergeCell ref="D304:L305"/>
    <mergeCell ref="D306:L307"/>
    <mergeCell ref="D308:L309"/>
    <mergeCell ref="P27:Q28"/>
    <mergeCell ref="R27:S28"/>
    <mergeCell ref="D22:L22"/>
    <mergeCell ref="M22:O22"/>
    <mergeCell ref="D23:L24"/>
    <mergeCell ref="M23:O24"/>
    <mergeCell ref="M25:S26"/>
    <mergeCell ref="M27:O28"/>
    <mergeCell ref="P23:Q24"/>
    <mergeCell ref="R23:S24"/>
    <mergeCell ref="R163:S164"/>
    <mergeCell ref="N2:O4"/>
    <mergeCell ref="P2:Q4"/>
    <mergeCell ref="C4:D6"/>
    <mergeCell ref="S4:T6"/>
    <mergeCell ref="G5:H7"/>
    <mergeCell ref="I5:J7"/>
    <mergeCell ref="K5:L7"/>
    <mergeCell ref="M5:N7"/>
    <mergeCell ref="O5:P7"/>
    <mergeCell ref="D25:L26"/>
    <mergeCell ref="D27:L28"/>
    <mergeCell ref="D31:L32"/>
    <mergeCell ref="D33:L34"/>
    <mergeCell ref="D35:L36"/>
    <mergeCell ref="D37:L38"/>
    <mergeCell ref="F2:G4"/>
    <mergeCell ref="H2:I4"/>
    <mergeCell ref="J2:K4"/>
    <mergeCell ref="L2:M4"/>
    <mergeCell ref="D11:S16"/>
    <mergeCell ref="G18:P20"/>
    <mergeCell ref="P22:Q22"/>
    <mergeCell ref="R22:S22"/>
    <mergeCell ref="D155:L156"/>
    <mergeCell ref="M155:O156"/>
    <mergeCell ref="D325:O325"/>
    <mergeCell ref="P325:Q325"/>
    <mergeCell ref="R325:S325"/>
    <mergeCell ref="M183:O184"/>
    <mergeCell ref="M185:O186"/>
    <mergeCell ref="P191:Q192"/>
    <mergeCell ref="R191:S192"/>
    <mergeCell ref="P187:Q188"/>
    <mergeCell ref="R187:S188"/>
    <mergeCell ref="P189:Q190"/>
    <mergeCell ref="R189:S190"/>
    <mergeCell ref="M187:O188"/>
    <mergeCell ref="P197:Q198"/>
    <mergeCell ref="R197:S198"/>
    <mergeCell ref="P199:Q200"/>
    <mergeCell ref="R199:S200"/>
    <mergeCell ref="P157:Q158"/>
    <mergeCell ref="R157:S158"/>
    <mergeCell ref="P159:Q160"/>
    <mergeCell ref="R159:S160"/>
    <mergeCell ref="P165:Q166"/>
    <mergeCell ref="R165:S166"/>
    <mergeCell ref="D326:O327"/>
    <mergeCell ref="P326:Q327"/>
    <mergeCell ref="R326:S327"/>
    <mergeCell ref="D328:O329"/>
    <mergeCell ref="P328:Q329"/>
    <mergeCell ref="R328:S329"/>
    <mergeCell ref="D330:O331"/>
    <mergeCell ref="P147:Q148"/>
    <mergeCell ref="R147:S148"/>
    <mergeCell ref="P149:Q150"/>
    <mergeCell ref="R149:S150"/>
    <mergeCell ref="P330:Q331"/>
    <mergeCell ref="R330:S331"/>
    <mergeCell ref="R173:S174"/>
    <mergeCell ref="P175:Q176"/>
    <mergeCell ref="R175:S176"/>
    <mergeCell ref="M179:O180"/>
    <mergeCell ref="P183:Q184"/>
    <mergeCell ref="R183:S184"/>
    <mergeCell ref="P185:Q186"/>
    <mergeCell ref="R185:S186"/>
    <mergeCell ref="P181:Q182"/>
    <mergeCell ref="R181:S182"/>
    <mergeCell ref="M181:O182"/>
    <mergeCell ref="D332:O333"/>
    <mergeCell ref="P332:Q333"/>
    <mergeCell ref="R332:S333"/>
    <mergeCell ref="P221:Q222"/>
    <mergeCell ref="R221:S222"/>
    <mergeCell ref="P137:Q138"/>
    <mergeCell ref="R137:S138"/>
    <mergeCell ref="P247:Q248"/>
    <mergeCell ref="R247:S248"/>
    <mergeCell ref="P249:Q250"/>
    <mergeCell ref="R249:S250"/>
    <mergeCell ref="P283:Q283"/>
    <mergeCell ref="R283:S283"/>
    <mergeCell ref="M288:O289"/>
    <mergeCell ref="M290:O291"/>
    <mergeCell ref="P302:Q303"/>
    <mergeCell ref="R302:S303"/>
    <mergeCell ref="M302:O303"/>
    <mergeCell ref="M304:O305"/>
    <mergeCell ref="M306:O307"/>
    <mergeCell ref="M308:O309"/>
    <mergeCell ref="P179:Q180"/>
    <mergeCell ref="R179:S180"/>
    <mergeCell ref="P173:Q174"/>
    <mergeCell ref="R85:S86"/>
    <mergeCell ref="P87:Q88"/>
    <mergeCell ref="R87:S88"/>
    <mergeCell ref="P284:Q285"/>
    <mergeCell ref="P286:Q287"/>
    <mergeCell ref="R286:S287"/>
    <mergeCell ref="R284:S285"/>
    <mergeCell ref="M284:O285"/>
    <mergeCell ref="M286:O287"/>
    <mergeCell ref="P265:Q266"/>
    <mergeCell ref="R265:S266"/>
    <mergeCell ref="P267:Q268"/>
    <mergeCell ref="R267:S268"/>
    <mergeCell ref="P269:Q270"/>
    <mergeCell ref="R269:S270"/>
    <mergeCell ref="P261:Q262"/>
    <mergeCell ref="R261:S262"/>
    <mergeCell ref="P263:Q264"/>
    <mergeCell ref="R263:S264"/>
    <mergeCell ref="P271:Q272"/>
    <mergeCell ref="R271:S272"/>
    <mergeCell ref="P259:Q260"/>
    <mergeCell ref="R259:S260"/>
    <mergeCell ref="G274:P276"/>
    <mergeCell ref="R35:S36"/>
    <mergeCell ref="M39:O40"/>
    <mergeCell ref="P31:Q32"/>
    <mergeCell ref="R31:S32"/>
    <mergeCell ref="P47:Q48"/>
    <mergeCell ref="R47:S48"/>
    <mergeCell ref="P49:Q50"/>
    <mergeCell ref="R49:S50"/>
    <mergeCell ref="P43:Q44"/>
    <mergeCell ref="R43:S44"/>
    <mergeCell ref="P45:Q46"/>
    <mergeCell ref="R45:S46"/>
    <mergeCell ref="P257:Q258"/>
    <mergeCell ref="R257:S258"/>
    <mergeCell ref="P51:Q52"/>
    <mergeCell ref="R51:S52"/>
    <mergeCell ref="G252:P254"/>
    <mergeCell ref="P256:Q256"/>
    <mergeCell ref="R256:S256"/>
    <mergeCell ref="M51:O52"/>
    <mergeCell ref="M59:O60"/>
    <mergeCell ref="M61:O62"/>
    <mergeCell ref="M63:O64"/>
    <mergeCell ref="M65:O66"/>
    <mergeCell ref="M58:O58"/>
    <mergeCell ref="M67:O68"/>
    <mergeCell ref="M69:O70"/>
    <mergeCell ref="M71:O72"/>
    <mergeCell ref="P61:Q62"/>
    <mergeCell ref="R61:S62"/>
    <mergeCell ref="P63:Q64"/>
    <mergeCell ref="R63:S64"/>
    <mergeCell ref="G54:P56"/>
    <mergeCell ref="P58:Q58"/>
    <mergeCell ref="R58:S58"/>
    <mergeCell ref="P59:Q60"/>
    <mergeCell ref="R59:S60"/>
    <mergeCell ref="P69:Q70"/>
    <mergeCell ref="R69:S70"/>
    <mergeCell ref="P71:Q72"/>
    <mergeCell ref="R71:S72"/>
    <mergeCell ref="P65:Q66"/>
    <mergeCell ref="R65:S66"/>
    <mergeCell ref="P67:Q68"/>
    <mergeCell ref="R67:S68"/>
    <mergeCell ref="P73:Q74"/>
    <mergeCell ref="R73:S74"/>
    <mergeCell ref="P75:Q76"/>
    <mergeCell ref="R75:S76"/>
    <mergeCell ref="P77:Q78"/>
    <mergeCell ref="R77:S78"/>
    <mergeCell ref="P79:Q80"/>
    <mergeCell ref="R79:S80"/>
    <mergeCell ref="P81:Q82"/>
    <mergeCell ref="R81:S82"/>
    <mergeCell ref="P83:Q84"/>
    <mergeCell ref="R83:S84"/>
    <mergeCell ref="P85:Q86"/>
    <mergeCell ref="R288:S289"/>
    <mergeCell ref="P290:Q291"/>
    <mergeCell ref="R290:S291"/>
    <mergeCell ref="P300:Q301"/>
    <mergeCell ref="R300:S301"/>
    <mergeCell ref="P292:Q293"/>
    <mergeCell ref="R292:S293"/>
    <mergeCell ref="P294:Q295"/>
    <mergeCell ref="R294:S295"/>
    <mergeCell ref="P288:Q289"/>
    <mergeCell ref="P296:Q297"/>
    <mergeCell ref="R296:S297"/>
    <mergeCell ref="P298:Q299"/>
    <mergeCell ref="R298:S299"/>
    <mergeCell ref="G224:P226"/>
    <mergeCell ref="P228:Q228"/>
    <mergeCell ref="R228:S228"/>
    <mergeCell ref="M228:O228"/>
    <mergeCell ref="G168:P170"/>
    <mergeCell ref="P172:Q172"/>
    <mergeCell ref="R172:S172"/>
    <mergeCell ref="G242:P244"/>
    <mergeCell ref="P219:Q220"/>
    <mergeCell ref="R219:S220"/>
    <mergeCell ref="P193:Q194"/>
    <mergeCell ref="R193:S194"/>
    <mergeCell ref="P195:Q196"/>
    <mergeCell ref="R195:S196"/>
    <mergeCell ref="P207:Q208"/>
    <mergeCell ref="R207:S208"/>
    <mergeCell ref="P209:Q210"/>
    <mergeCell ref="R209:S210"/>
    <mergeCell ref="M229:O230"/>
    <mergeCell ref="D233:L234"/>
    <mergeCell ref="M233:O234"/>
    <mergeCell ref="D235:L236"/>
    <mergeCell ref="M235:O236"/>
    <mergeCell ref="M205:O206"/>
    <mergeCell ref="D207:L208"/>
    <mergeCell ref="M207:O208"/>
    <mergeCell ref="D209:L210"/>
    <mergeCell ref="M209:O210"/>
    <mergeCell ref="D211:L212"/>
    <mergeCell ref="M211:O212"/>
    <mergeCell ref="M215:O216"/>
    <mergeCell ref="R304:S305"/>
    <mergeCell ref="P306:Q307"/>
    <mergeCell ref="R306:S307"/>
    <mergeCell ref="P312:Q313"/>
    <mergeCell ref="R312:S313"/>
    <mergeCell ref="P318:Q319"/>
    <mergeCell ref="R318:S319"/>
    <mergeCell ref="P316:Q317"/>
    <mergeCell ref="R316:S317"/>
    <mergeCell ref="P314:Q315"/>
    <mergeCell ref="R314:S315"/>
    <mergeCell ref="C341:D343"/>
    <mergeCell ref="P235:Q236"/>
    <mergeCell ref="R235:S236"/>
    <mergeCell ref="P237:Q238"/>
    <mergeCell ref="R237:S238"/>
    <mergeCell ref="P229:Q230"/>
    <mergeCell ref="R229:S230"/>
    <mergeCell ref="P233:Q234"/>
    <mergeCell ref="R233:S234"/>
    <mergeCell ref="P239:Q240"/>
    <mergeCell ref="R239:S240"/>
    <mergeCell ref="P246:Q246"/>
    <mergeCell ref="R246:S246"/>
    <mergeCell ref="O342:P344"/>
    <mergeCell ref="G342:H344"/>
    <mergeCell ref="I342:J344"/>
    <mergeCell ref="K342:L344"/>
    <mergeCell ref="M342:N344"/>
    <mergeCell ref="S341:T343"/>
    <mergeCell ref="P308:Q309"/>
    <mergeCell ref="R308:S309"/>
    <mergeCell ref="P310:Q311"/>
    <mergeCell ref="R310:S311"/>
    <mergeCell ref="P304:Q305"/>
    <mergeCell ref="M237:O238"/>
    <mergeCell ref="D239:L240"/>
    <mergeCell ref="M239:O240"/>
    <mergeCell ref="D213:L214"/>
    <mergeCell ref="M213:O214"/>
    <mergeCell ref="D215:L216"/>
    <mergeCell ref="D229:L230"/>
    <mergeCell ref="R211:S212"/>
    <mergeCell ref="P217:Q218"/>
    <mergeCell ref="R217:S218"/>
    <mergeCell ref="D217:L218"/>
    <mergeCell ref="M217:O218"/>
    <mergeCell ref="D219:L220"/>
    <mergeCell ref="M219:O220"/>
    <mergeCell ref="D221:L222"/>
    <mergeCell ref="M221:O222"/>
    <mergeCell ref="D231:L232"/>
    <mergeCell ref="M231:O232"/>
    <mergeCell ref="R94:S94"/>
    <mergeCell ref="P103:Q104"/>
    <mergeCell ref="R103:S104"/>
    <mergeCell ref="P105:Q106"/>
    <mergeCell ref="R105:S106"/>
    <mergeCell ref="P99:Q100"/>
    <mergeCell ref="R99:S100"/>
    <mergeCell ref="P101:Q102"/>
    <mergeCell ref="R101:S102"/>
    <mergeCell ref="P95:Q96"/>
    <mergeCell ref="R95:S96"/>
    <mergeCell ref="P97:Q98"/>
    <mergeCell ref="R97:S98"/>
    <mergeCell ref="P111:Q112"/>
    <mergeCell ref="R111:S112"/>
    <mergeCell ref="P113:Q114"/>
    <mergeCell ref="R113:S114"/>
    <mergeCell ref="P107:Q108"/>
    <mergeCell ref="R107:S108"/>
    <mergeCell ref="P109:Q110"/>
    <mergeCell ref="R109:S110"/>
    <mergeCell ref="D107:L108"/>
    <mergeCell ref="M107:O108"/>
    <mergeCell ref="D109:L110"/>
    <mergeCell ref="M109:O110"/>
    <mergeCell ref="D111:L112"/>
    <mergeCell ref="M111:O112"/>
    <mergeCell ref="D113:L114"/>
    <mergeCell ref="M113:O114"/>
    <mergeCell ref="P117:Q118"/>
    <mergeCell ref="R117:S118"/>
    <mergeCell ref="P119:Q120"/>
    <mergeCell ref="R119:S120"/>
    <mergeCell ref="P115:Q116"/>
    <mergeCell ref="R115:S116"/>
    <mergeCell ref="D115:L116"/>
    <mergeCell ref="M115:O116"/>
    <mergeCell ref="D117:L118"/>
    <mergeCell ref="M117:O118"/>
    <mergeCell ref="D119:L120"/>
    <mergeCell ref="M119:O120"/>
    <mergeCell ref="P125:Q126"/>
    <mergeCell ref="R125:S126"/>
    <mergeCell ref="P121:Q122"/>
    <mergeCell ref="R121:S122"/>
    <mergeCell ref="P123:Q124"/>
    <mergeCell ref="R123:S124"/>
    <mergeCell ref="D121:L122"/>
    <mergeCell ref="M121:O122"/>
    <mergeCell ref="D123:L124"/>
    <mergeCell ref="M123:O124"/>
    <mergeCell ref="D125:L126"/>
    <mergeCell ref="M125:O126"/>
    <mergeCell ref="D127:L128"/>
    <mergeCell ref="M127:O128"/>
    <mergeCell ref="D129:L130"/>
    <mergeCell ref="M129:O130"/>
    <mergeCell ref="D131:L132"/>
    <mergeCell ref="M131:O132"/>
    <mergeCell ref="D133:L134"/>
    <mergeCell ref="M133:O134"/>
    <mergeCell ref="P131:Q132"/>
    <mergeCell ref="P155:Q156"/>
    <mergeCell ref="P231:Q232"/>
    <mergeCell ref="R231:S232"/>
    <mergeCell ref="P135:Q136"/>
    <mergeCell ref="R135:S136"/>
    <mergeCell ref="P127:Q128"/>
    <mergeCell ref="R127:S128"/>
    <mergeCell ref="P129:Q130"/>
    <mergeCell ref="R129:S130"/>
    <mergeCell ref="P133:Q134"/>
    <mergeCell ref="R133:S134"/>
    <mergeCell ref="R131:S132"/>
    <mergeCell ref="P203:Q204"/>
    <mergeCell ref="R203:S204"/>
    <mergeCell ref="P205:Q206"/>
    <mergeCell ref="R205:S206"/>
    <mergeCell ref="P201:Q202"/>
    <mergeCell ref="R201:S202"/>
    <mergeCell ref="P177:Q178"/>
    <mergeCell ref="R177:S178"/>
    <mergeCell ref="R155:S156"/>
    <mergeCell ref="P161:Q162"/>
    <mergeCell ref="R161:S162"/>
    <mergeCell ref="P163:Q164"/>
    <mergeCell ref="L335:P335"/>
    <mergeCell ref="P143:Q144"/>
    <mergeCell ref="P139:Q140"/>
    <mergeCell ref="R139:S140"/>
    <mergeCell ref="F339:G341"/>
    <mergeCell ref="H339:I341"/>
    <mergeCell ref="J339:K341"/>
    <mergeCell ref="P141:Q142"/>
    <mergeCell ref="P145:Q146"/>
    <mergeCell ref="R145:S146"/>
    <mergeCell ref="L339:M341"/>
    <mergeCell ref="N339:O341"/>
    <mergeCell ref="P339:Q341"/>
    <mergeCell ref="R141:S142"/>
    <mergeCell ref="R143:S144"/>
    <mergeCell ref="P213:Q214"/>
    <mergeCell ref="R213:S214"/>
    <mergeCell ref="P215:Q216"/>
    <mergeCell ref="R215:S216"/>
    <mergeCell ref="P211:Q212"/>
    <mergeCell ref="P151:Q152"/>
    <mergeCell ref="R151:S152"/>
    <mergeCell ref="P153:Q154"/>
    <mergeCell ref="R153:S154"/>
  </mergeCells>
  <hyperlinks>
    <hyperlink ref="F2:G4" location="UI.Welcome!A1" tooltip="Click to go to welcome page" display="Welcome Page" xr:uid="{EFBB4C77-C941-4FC9-91FB-ED1C25977873}"/>
    <hyperlink ref="H2:I4" location="UI.Farm!A1" tooltip="Click to go to farm inputs page" display="Farm Info" xr:uid="{62C9B86A-7B56-4681-8AAD-F78C70CED08D}"/>
    <hyperlink ref="I5:J7" location="UI.OpExpenses!A1" tooltip="Click to go to operational expenses page" display="Operational Expenses" xr:uid="{8548C2EF-2EEB-463E-A9E5-973D6A81DC97}"/>
    <hyperlink ref="K5:L7" location="UI.Priorities!A1" tooltip="Click to go to priorities page" display="Priorities" xr:uid="{F765C179-8162-4BD4-88F7-28C2A6DC3A6A}"/>
    <hyperlink ref="J2:K4" location="UI.Animals!A1" tooltip="Click to go to animals input page" display="Animals" xr:uid="{D53B379C-88B6-4615-B645-5C6CE1DDA0D1}"/>
    <hyperlink ref="P2:Q4" location="UI.Tractor!A1" tooltip="Click to go to tractor properties" display="Tractor Properties" xr:uid="{1C1C9A03-C265-4572-8CD3-F16503052128}"/>
    <hyperlink ref="N2:O4" location="UI.Streams!A1" tooltip="Click to go to the excess manure page" display="Excess Manure Streams" xr:uid="{3DA61EC1-A2EF-4EE6-9322-53C68785A1BD}"/>
    <hyperlink ref="G5:H7" location="UI.Cap!A1" tooltip="Click to go to capital expenses page" display="Capital Expenses" xr:uid="{017465B2-B949-4569-B0F2-905E0E8CD85F}"/>
    <hyperlink ref="L2:M4" location="UI.Manure!A1" tooltip="Click to go to the manure characteristics page" display="Manure Characteristics" xr:uid="{4C80E8FA-BC94-4F04-9CD5-057314DCEFD3}"/>
    <hyperlink ref="C4:D6" location="Results.Summary!A1" tooltip="Click to go to results summary page" display="Results Summary" xr:uid="{5D62461A-8253-420A-A38D-CE6AA5F1634A}"/>
    <hyperlink ref="O5:P7" location="UI.Inputs!A1" tooltip="Click to go to input results summary" display="Inputs Summary" xr:uid="{CEB0796A-DBDB-4786-BAAC-054A28DFECD0}"/>
    <hyperlink ref="S4:T6" location="Results.Summary!A1" tooltip="Click to go to results summary page" display="Results Summary" xr:uid="{17275671-F2C5-40EC-93B9-4F31E57CDA54}"/>
    <hyperlink ref="M5:N7" location="UI.Choice!A1" tooltip="Click to go to scenario choice page" display="Scenario Choices" xr:uid="{0B5F5CFE-C632-47C9-AF81-79C5F6F0B195}"/>
    <hyperlink ref="F339:G341" location="UI.Welcome!A1" tooltip="Click to go to welcome page" display="Welcome Page" xr:uid="{9B73E1D9-0A42-4C27-BD63-581D1296BC83}"/>
    <hyperlink ref="H339:I341" location="UI.Farm!A1" tooltip="Click to go to farm inputs page" display="Farm Info" xr:uid="{B5216140-503F-4A5F-83B5-EE399CF99CE8}"/>
    <hyperlink ref="I342:J344" location="UI.OpExpenses!A1" tooltip="Click to go to operational expenses page" display="Operational Expenses" xr:uid="{9735DE53-4FE3-45D1-9D0B-3EA31FE55F99}"/>
    <hyperlink ref="K342:L344" location="UI.Priorities!A1" tooltip="Click to go to priorities page" display="Priorities" xr:uid="{7EA1088E-58B5-4699-BC9A-0A6848AC43A9}"/>
    <hyperlink ref="J339:K341" location="UI.Animals!A1" tooltip="Click to go to animals input page" display="Animals" xr:uid="{2E6658A6-4F8B-49CD-B384-AAB4199456AA}"/>
    <hyperlink ref="P339:Q341" location="UI.Tractor!A1" tooltip="Click to go to tractor properties" display="Tractor Properties" xr:uid="{DF70089E-42D7-4A03-9B45-98C08C8C431B}"/>
    <hyperlink ref="N339:O341" location="UI.Streams!A1" tooltip="Click to go to the excess manure page" display="Excess Manure Streams" xr:uid="{BCA05661-658F-47AE-803B-637DBC805F3F}"/>
    <hyperlink ref="G342:H344" location="UI.Cap!A1" tooltip="Click to go to capital expenses page" display="Capital Expenses" xr:uid="{18ECA43F-236A-423E-A6FC-A2BAD5718DC1}"/>
    <hyperlink ref="L339:M341" location="UI.Manure!A1" tooltip="Click to go to the manure characteristics page" display="Manure Characteristics" xr:uid="{A0D7891F-7F6B-4516-B13D-FC296208794E}"/>
    <hyperlink ref="C341:D343" location="Results.Summary!A1" tooltip="Click to go to results summary page" display="Results Summary" xr:uid="{E950E873-C264-4CC3-922D-D12E1424C0FE}"/>
    <hyperlink ref="O342:P344" location="UI.Inputs!A1" tooltip="Click to go to input results summary" display="Inputs Summary" xr:uid="{D0CCE21F-7DB3-44DA-A77F-7B48C4DB12B0}"/>
    <hyperlink ref="S341:T343" location="Results.Summary!A1" tooltip="Click to go to results summary page" display="Results Summary" xr:uid="{C6A0F2BC-DAC7-4EBB-B62E-D3948074C8D8}"/>
    <hyperlink ref="M342:N344" location="UI.Choice!A1" tooltip="Click to go to scenario choice page" display="Scenario Choices" xr:uid="{CEEFD783-79FA-4CA7-8AB1-8569D4C59E4E}"/>
  </hyperlinks>
  <printOptions horizontalCentered="1" verticalCentered="1"/>
  <pageMargins left="0.2" right="0.2" top="0.25" bottom="0.25" header="0.05" footer="0.05"/>
  <pageSetup scale="49" orientation="portrait" r:id="rId1"/>
  <rowBreaks count="4" manualBreakCount="4">
    <brk id="88" min="2" max="19" man="1"/>
    <brk id="166" min="2" max="19" man="1"/>
    <brk id="250" min="2" max="19" man="1"/>
    <brk id="336" min="2" max="19"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7ECDD-A20C-44D4-A456-67DE7E0C6B75}">
  <sheetPr>
    <tabColor rgb="FFFFFF00"/>
  </sheetPr>
  <dimension ref="A1:BE106"/>
  <sheetViews>
    <sheetView workbookViewId="0">
      <selection activeCell="J2" sqref="J2:K4"/>
    </sheetView>
  </sheetViews>
  <sheetFormatPr defaultColWidth="9.44140625" defaultRowHeight="14.4" x14ac:dyDescent="0.3"/>
  <cols>
    <col min="1" max="2" width="2.5546875" customWidth="1"/>
    <col min="3" max="20" width="9.6640625" customWidth="1"/>
    <col min="21" max="22" width="2.5546875" customWidth="1"/>
    <col min="23" max="50" width="9.4414062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926"/>
      <c r="B2" s="926"/>
      <c r="C2" s="2719" t="s">
        <v>594</v>
      </c>
      <c r="D2" s="2720"/>
      <c r="E2" s="923"/>
      <c r="F2" s="926"/>
      <c r="G2" s="926"/>
      <c r="H2" s="2362" t="s">
        <v>561</v>
      </c>
      <c r="I2" s="2833"/>
      <c r="J2" s="2345" t="s">
        <v>595</v>
      </c>
      <c r="K2" s="2351"/>
      <c r="L2" s="2345" t="s">
        <v>596</v>
      </c>
      <c r="M2" s="2351"/>
      <c r="N2" s="2345" t="s">
        <v>597</v>
      </c>
      <c r="O2" s="2351"/>
      <c r="P2" s="926"/>
      <c r="Q2" s="926"/>
      <c r="R2" s="926"/>
      <c r="S2" s="2356" t="s">
        <v>7</v>
      </c>
      <c r="T2" s="2774"/>
      <c r="U2" s="926"/>
      <c r="V2" s="926"/>
      <c r="W2" s="926"/>
      <c r="X2" s="926"/>
      <c r="Y2" s="926"/>
      <c r="Z2" s="926"/>
      <c r="AA2" s="926"/>
      <c r="AB2" s="926"/>
      <c r="AC2" s="926"/>
      <c r="AD2" s="926"/>
      <c r="AE2" s="926"/>
      <c r="AF2" s="926"/>
      <c r="AG2" s="926"/>
      <c r="AH2" s="926"/>
      <c r="AI2" s="926"/>
      <c r="AJ2" s="926"/>
    </row>
    <row r="3" spans="1:36" ht="15" customHeight="1" x14ac:dyDescent="0.3">
      <c r="A3" s="926"/>
      <c r="B3" s="926"/>
      <c r="C3" s="2721"/>
      <c r="D3" s="2722"/>
      <c r="E3" s="923"/>
      <c r="F3" s="926"/>
      <c r="G3" s="926"/>
      <c r="H3" s="2834"/>
      <c r="I3" s="2835"/>
      <c r="J3" s="2352"/>
      <c r="K3" s="2353"/>
      <c r="L3" s="2352"/>
      <c r="M3" s="2353"/>
      <c r="N3" s="2352"/>
      <c r="O3" s="2353"/>
      <c r="P3" s="926"/>
      <c r="Q3" s="926"/>
      <c r="R3" s="926"/>
      <c r="S3" s="2775"/>
      <c r="T3" s="2776"/>
      <c r="U3" s="926"/>
      <c r="V3" s="926"/>
      <c r="W3" s="926"/>
      <c r="X3" s="926"/>
      <c r="Y3" s="926"/>
      <c r="Z3" s="926"/>
      <c r="AA3" s="926"/>
      <c r="AB3" s="926"/>
      <c r="AC3" s="926"/>
      <c r="AD3" s="926"/>
      <c r="AE3" s="926"/>
      <c r="AF3" s="926"/>
      <c r="AG3" s="926"/>
      <c r="AH3" s="926"/>
      <c r="AI3" s="926"/>
      <c r="AJ3" s="926"/>
    </row>
    <row r="4" spans="1:36" ht="15" customHeight="1" thickBot="1" x14ac:dyDescent="0.35">
      <c r="A4" s="926"/>
      <c r="B4" s="926"/>
      <c r="C4" s="2723"/>
      <c r="D4" s="2724"/>
      <c r="E4" s="923"/>
      <c r="F4" s="926"/>
      <c r="G4" s="926"/>
      <c r="H4" s="2836"/>
      <c r="I4" s="2837"/>
      <c r="J4" s="2354"/>
      <c r="K4" s="2355"/>
      <c r="L4" s="2354"/>
      <c r="M4" s="2355"/>
      <c r="N4" s="2354"/>
      <c r="O4" s="2355"/>
      <c r="P4" s="926"/>
      <c r="Q4" s="926"/>
      <c r="R4" s="926"/>
      <c r="S4" s="2777"/>
      <c r="T4" s="2778"/>
      <c r="U4" s="926"/>
      <c r="V4" s="926"/>
      <c r="W4" s="926"/>
      <c r="X4" s="926"/>
      <c r="Y4" s="926"/>
      <c r="Z4" s="926"/>
      <c r="AA4" s="926"/>
      <c r="AB4" s="926"/>
      <c r="AC4" s="926"/>
      <c r="AD4" s="926"/>
      <c r="AE4" s="926"/>
      <c r="AF4" s="926"/>
      <c r="AG4" s="926"/>
      <c r="AH4" s="926"/>
      <c r="AI4" s="926"/>
      <c r="AJ4" s="926"/>
    </row>
    <row r="5" spans="1:36" ht="15" customHeight="1" x14ac:dyDescent="0.3">
      <c r="A5" s="926"/>
      <c r="B5" s="926"/>
      <c r="C5" s="926"/>
      <c r="D5" s="926"/>
      <c r="E5" s="923"/>
      <c r="F5" s="923"/>
      <c r="G5" s="923"/>
      <c r="H5" s="923"/>
      <c r="I5" s="2345" t="s">
        <v>598</v>
      </c>
      <c r="J5" s="2351"/>
      <c r="K5" s="2345" t="s">
        <v>599</v>
      </c>
      <c r="L5" s="2351"/>
      <c r="M5" s="2345" t="s">
        <v>600</v>
      </c>
      <c r="N5" s="2351"/>
      <c r="O5" s="923"/>
      <c r="P5" s="923"/>
      <c r="Q5" s="923"/>
      <c r="R5" s="923"/>
      <c r="S5" s="923"/>
      <c r="T5" s="923"/>
      <c r="U5" s="926"/>
      <c r="V5" s="926"/>
      <c r="W5" s="926"/>
      <c r="X5" s="926"/>
      <c r="Y5" s="926"/>
      <c r="Z5" s="926"/>
      <c r="AA5" s="926"/>
      <c r="AB5" s="926"/>
      <c r="AC5" s="926"/>
      <c r="AD5" s="926"/>
      <c r="AE5" s="926"/>
      <c r="AF5" s="926"/>
      <c r="AG5" s="926"/>
      <c r="AH5" s="926"/>
      <c r="AI5" s="926"/>
      <c r="AJ5" s="926"/>
    </row>
    <row r="6" spans="1:36" ht="15" customHeight="1" x14ac:dyDescent="0.3">
      <c r="A6" s="926"/>
      <c r="B6" s="926"/>
      <c r="C6" s="926"/>
      <c r="D6" s="926"/>
      <c r="E6" s="923"/>
      <c r="F6" s="926"/>
      <c r="G6" s="926"/>
      <c r="H6" s="926"/>
      <c r="I6" s="2352"/>
      <c r="J6" s="2353"/>
      <c r="K6" s="2352"/>
      <c r="L6" s="2353"/>
      <c r="M6" s="2352"/>
      <c r="N6" s="2353"/>
      <c r="O6" s="926"/>
      <c r="P6" s="926"/>
      <c r="Q6" s="926"/>
      <c r="R6" s="923"/>
      <c r="S6" s="923"/>
      <c r="T6" s="923"/>
      <c r="U6" s="926"/>
      <c r="V6" s="926"/>
      <c r="W6" s="926"/>
      <c r="X6" s="926"/>
      <c r="Y6" s="926"/>
      <c r="Z6" s="926"/>
      <c r="AA6" s="926"/>
      <c r="AB6" s="926"/>
      <c r="AC6" s="926"/>
      <c r="AD6" s="926"/>
      <c r="AE6" s="926"/>
      <c r="AF6" s="926"/>
      <c r="AG6" s="926"/>
      <c r="AH6" s="926"/>
      <c r="AI6" s="926"/>
      <c r="AJ6" s="926"/>
    </row>
    <row r="7" spans="1:36" ht="15" customHeight="1" thickBot="1" x14ac:dyDescent="0.35">
      <c r="A7" s="926"/>
      <c r="B7" s="926"/>
      <c r="C7" s="926"/>
      <c r="D7" s="926"/>
      <c r="E7" s="923"/>
      <c r="F7" s="926"/>
      <c r="G7" s="926"/>
      <c r="H7" s="926"/>
      <c r="I7" s="2354"/>
      <c r="J7" s="2355"/>
      <c r="K7" s="2354"/>
      <c r="L7" s="2355"/>
      <c r="M7" s="2354"/>
      <c r="N7" s="2355"/>
      <c r="O7" s="926"/>
      <c r="P7" s="926"/>
      <c r="Q7" s="926"/>
      <c r="R7" s="923"/>
      <c r="S7" s="923"/>
      <c r="T7" s="923"/>
      <c r="U7" s="926"/>
      <c r="V7" s="926"/>
      <c r="W7" s="926"/>
      <c r="X7" s="926"/>
      <c r="Y7" s="926"/>
      <c r="Z7" s="926"/>
      <c r="AA7" s="926"/>
      <c r="AB7" s="926"/>
      <c r="AC7" s="926"/>
      <c r="AD7" s="926"/>
      <c r="AE7" s="926"/>
      <c r="AF7" s="926"/>
      <c r="AG7" s="926"/>
      <c r="AH7" s="926"/>
      <c r="AI7" s="926"/>
      <c r="AJ7" s="926"/>
    </row>
    <row r="8" spans="1:36" ht="15" customHeight="1" x14ac:dyDescent="0.3">
      <c r="A8" s="926"/>
      <c r="B8" s="926"/>
      <c r="C8" s="984"/>
      <c r="D8" s="984"/>
      <c r="E8" s="984"/>
      <c r="F8" s="984"/>
      <c r="G8" s="984"/>
      <c r="H8" s="984"/>
      <c r="I8" s="984"/>
      <c r="J8" s="984"/>
      <c r="K8" s="984"/>
      <c r="L8" s="984"/>
      <c r="M8" s="984"/>
      <c r="N8" s="984"/>
      <c r="O8" s="984"/>
      <c r="P8" s="984"/>
      <c r="Q8" s="984"/>
      <c r="R8" s="923"/>
      <c r="S8" s="923"/>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6">
      <c r="A10" s="926"/>
      <c r="B10" s="609"/>
      <c r="C10" s="999"/>
      <c r="D10" s="1000"/>
      <c r="E10" s="1000"/>
      <c r="F10" s="1000"/>
      <c r="G10" s="2848" t="s">
        <v>601</v>
      </c>
      <c r="H10" s="2848"/>
      <c r="I10" s="2848"/>
      <c r="J10" s="2848"/>
      <c r="K10" s="2848"/>
      <c r="L10" s="2848"/>
      <c r="M10" s="2848"/>
      <c r="N10" s="2848"/>
      <c r="O10" s="2848"/>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1001"/>
      <c r="E11" s="1001"/>
      <c r="F11" s="40"/>
      <c r="G11" s="2849"/>
      <c r="H11" s="2849"/>
      <c r="I11" s="2849"/>
      <c r="J11" s="2849"/>
      <c r="K11" s="2849"/>
      <c r="L11" s="2849"/>
      <c r="M11" s="2849"/>
      <c r="N11" s="2849"/>
      <c r="O11" s="2849"/>
      <c r="P11" s="40"/>
      <c r="Q11" s="40"/>
      <c r="R11" s="40"/>
      <c r="S11" s="40"/>
      <c r="T11" s="963"/>
      <c r="U11" s="609"/>
      <c r="V11" s="926"/>
      <c r="W11" s="926"/>
      <c r="X11" s="926"/>
      <c r="Y11" s="926"/>
      <c r="Z11" s="926"/>
      <c r="AA11" s="926"/>
      <c r="AB11" s="926"/>
      <c r="AC11" s="926"/>
      <c r="AD11" s="926"/>
      <c r="AE11" s="926"/>
      <c r="AF11" s="926"/>
      <c r="AG11" s="926"/>
      <c r="AH11" s="926"/>
      <c r="AI11" s="926"/>
      <c r="AJ11" s="926"/>
    </row>
    <row r="12" spans="1:36" ht="15" customHeight="1" thickBot="1" x14ac:dyDescent="0.45">
      <c r="A12" s="926"/>
      <c r="B12" s="609"/>
      <c r="C12" s="962"/>
      <c r="D12"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2" s="1771"/>
      <c r="F12" s="1771"/>
      <c r="G12" s="1771"/>
      <c r="H12" s="1771"/>
      <c r="I12" s="1771"/>
      <c r="J12" s="40"/>
      <c r="K12" s="1771"/>
      <c r="L12" s="2256"/>
      <c r="M12" s="1745"/>
      <c r="N12" s="1745"/>
      <c r="O12" s="1745"/>
      <c r="P12" s="40"/>
      <c r="Q12" s="40"/>
      <c r="R12" s="40"/>
      <c r="S12" s="40"/>
      <c r="T12" s="963"/>
      <c r="U12" s="609"/>
      <c r="V12" s="926"/>
      <c r="W12" s="926"/>
      <c r="X12" s="926"/>
      <c r="Y12" s="926"/>
      <c r="Z12" s="926"/>
      <c r="AA12" s="926"/>
      <c r="AB12" s="926"/>
      <c r="AC12" s="926"/>
      <c r="AD12" s="926"/>
      <c r="AE12" s="926"/>
      <c r="AF12" s="926"/>
      <c r="AG12" s="926"/>
      <c r="AH12" s="926"/>
      <c r="AI12" s="926"/>
      <c r="AJ12" s="926"/>
    </row>
    <row r="13" spans="1:36" ht="15" customHeight="1" thickBot="1" x14ac:dyDescent="0.35">
      <c r="A13" s="926"/>
      <c r="B13" s="609"/>
      <c r="C13" s="962"/>
      <c r="D13" s="2850" t="s">
        <v>561</v>
      </c>
      <c r="E13" s="2851"/>
      <c r="F13" s="2851"/>
      <c r="G13" s="2851"/>
      <c r="H13" s="2851"/>
      <c r="I13" s="2851"/>
      <c r="J13" s="2851"/>
      <c r="K13" s="2851"/>
      <c r="L13" s="2851"/>
      <c r="M13" s="2851"/>
      <c r="N13" s="2851"/>
      <c r="O13" s="2851"/>
      <c r="P13" s="2851"/>
      <c r="Q13" s="2851"/>
      <c r="R13" s="2851"/>
      <c r="S13" s="285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853" t="s">
        <v>602</v>
      </c>
      <c r="E14" s="2854"/>
      <c r="F14" s="2854"/>
      <c r="G14" s="2854"/>
      <c r="H14" s="2854"/>
      <c r="I14" s="2854"/>
      <c r="J14" s="2855" t="s">
        <v>603</v>
      </c>
      <c r="K14" s="2855"/>
      <c r="L14" s="2855" t="s">
        <v>590</v>
      </c>
      <c r="M14" s="2855"/>
      <c r="N14" s="2855" t="s">
        <v>591</v>
      </c>
      <c r="O14" s="2855"/>
      <c r="P14" s="2855" t="s">
        <v>592</v>
      </c>
      <c r="Q14" s="2855"/>
      <c r="R14" s="2855" t="s">
        <v>593</v>
      </c>
      <c r="S14" s="2856"/>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873" t="s">
        <v>604</v>
      </c>
      <c r="E15" s="2874"/>
      <c r="F15" s="2874"/>
      <c r="G15" s="2874"/>
      <c r="H15" s="2874"/>
      <c r="I15" s="2874"/>
      <c r="J15" s="2857">
        <f ca="1">UDV.u.baseline_rank</f>
        <v>1</v>
      </c>
      <c r="K15" s="2858"/>
      <c r="L15" s="2857">
        <f ca="1">UDV.u.alt1_rank</f>
        <v>1</v>
      </c>
      <c r="M15" s="2858"/>
      <c r="N15" s="2857">
        <f ca="1">UDV.u.alt2_rank</f>
        <v>2</v>
      </c>
      <c r="O15" s="2858"/>
      <c r="P15" s="2857">
        <f ca="1">UDV.u.alt3_rank</f>
        <v>3</v>
      </c>
      <c r="Q15" s="2858"/>
      <c r="R15" s="2857">
        <f ca="1">UDV.u.alt4_rank</f>
        <v>4</v>
      </c>
      <c r="S15" s="2861"/>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862" t="s">
        <v>434</v>
      </c>
      <c r="E16" s="2863"/>
      <c r="F16" s="2863"/>
      <c r="G16" s="2863"/>
      <c r="H16" s="2863"/>
      <c r="I16" s="2864"/>
      <c r="J16" s="2871" t="str">
        <f>UDV.u.farm_baseline</f>
        <v>Deep pit, tanker</v>
      </c>
      <c r="K16" s="2871"/>
      <c r="L16" s="2871" t="str">
        <f ca="1">UDV.u.farm_alt1</f>
        <v>Deep pit, tanker</v>
      </c>
      <c r="M16" s="2871"/>
      <c r="N16" s="2871" t="str">
        <f ca="1">UDV.u.farm_alt2</f>
        <v>Deep pit, aeration, tanker</v>
      </c>
      <c r="O16" s="2871"/>
      <c r="P16" s="2871" t="str">
        <f ca="1">UDV.u.farm_alt3</f>
        <v>Deep pit, drag hose</v>
      </c>
      <c r="Q16" s="2871"/>
      <c r="R16" s="2871" t="str">
        <f ca="1">UDV.u.farm_alt4</f>
        <v>Deep pit, aeration, drag hose</v>
      </c>
      <c r="S16" s="2872"/>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2865"/>
      <c r="E17" s="2866"/>
      <c r="F17" s="2866"/>
      <c r="G17" s="2866"/>
      <c r="H17" s="2866"/>
      <c r="I17" s="2867"/>
      <c r="J17" s="2871"/>
      <c r="K17" s="2871"/>
      <c r="L17" s="2871"/>
      <c r="M17" s="2871"/>
      <c r="N17" s="2871"/>
      <c r="O17" s="2871"/>
      <c r="P17" s="2871"/>
      <c r="Q17" s="2871"/>
      <c r="R17" s="2871"/>
      <c r="S17" s="2872"/>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865"/>
      <c r="E18" s="2866"/>
      <c r="F18" s="2866"/>
      <c r="G18" s="2866"/>
      <c r="H18" s="2866"/>
      <c r="I18" s="2867"/>
      <c r="J18" s="2871"/>
      <c r="K18" s="2871"/>
      <c r="L18" s="2871"/>
      <c r="M18" s="2871"/>
      <c r="N18" s="2871"/>
      <c r="O18" s="2871"/>
      <c r="P18" s="2871"/>
      <c r="Q18" s="2871"/>
      <c r="R18" s="2871"/>
      <c r="S18" s="2872"/>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865"/>
      <c r="E19" s="2866"/>
      <c r="F19" s="2866"/>
      <c r="G19" s="2866"/>
      <c r="H19" s="2866"/>
      <c r="I19" s="2867"/>
      <c r="J19" s="2871"/>
      <c r="K19" s="2871"/>
      <c r="L19" s="2871"/>
      <c r="M19" s="2871"/>
      <c r="N19" s="2871"/>
      <c r="O19" s="2871"/>
      <c r="P19" s="2871"/>
      <c r="Q19" s="2871"/>
      <c r="R19" s="2871"/>
      <c r="S19" s="2872"/>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865"/>
      <c r="E20" s="2866"/>
      <c r="F20" s="2866"/>
      <c r="G20" s="2866"/>
      <c r="H20" s="2866"/>
      <c r="I20" s="2867"/>
      <c r="J20" s="2871"/>
      <c r="K20" s="2871"/>
      <c r="L20" s="2871"/>
      <c r="M20" s="2871"/>
      <c r="N20" s="2871"/>
      <c r="O20" s="2871"/>
      <c r="P20" s="2871"/>
      <c r="Q20" s="2871"/>
      <c r="R20" s="2871"/>
      <c r="S20" s="2872"/>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865"/>
      <c r="E21" s="2866"/>
      <c r="F21" s="2866"/>
      <c r="G21" s="2866"/>
      <c r="H21" s="2866"/>
      <c r="I21" s="2867"/>
      <c r="J21" s="2871"/>
      <c r="K21" s="2871"/>
      <c r="L21" s="2871"/>
      <c r="M21" s="2871"/>
      <c r="N21" s="2871"/>
      <c r="O21" s="2871"/>
      <c r="P21" s="2871"/>
      <c r="Q21" s="2871"/>
      <c r="R21" s="2871"/>
      <c r="S21" s="2872"/>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865"/>
      <c r="E22" s="2866"/>
      <c r="F22" s="2866"/>
      <c r="G22" s="2866"/>
      <c r="H22" s="2866"/>
      <c r="I22" s="2867"/>
      <c r="J22" s="2871"/>
      <c r="K22" s="2871"/>
      <c r="L22" s="2871"/>
      <c r="M22" s="2871"/>
      <c r="N22" s="2871"/>
      <c r="O22" s="2871"/>
      <c r="P22" s="2871"/>
      <c r="Q22" s="2871"/>
      <c r="R22" s="2871"/>
      <c r="S22" s="2872"/>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868"/>
      <c r="E23" s="2869"/>
      <c r="F23" s="2869"/>
      <c r="G23" s="2869"/>
      <c r="H23" s="2869"/>
      <c r="I23" s="2870"/>
      <c r="J23" s="2871"/>
      <c r="K23" s="2871"/>
      <c r="L23" s="2871"/>
      <c r="M23" s="2871"/>
      <c r="N23" s="2871"/>
      <c r="O23" s="2871"/>
      <c r="P23" s="2871"/>
      <c r="Q23" s="2871"/>
      <c r="R23" s="2871"/>
      <c r="S23" s="2872"/>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838" t="str">
        <f>Plot.Tables!C27</f>
        <v>Annualized capital costs ($/head/year)</v>
      </c>
      <c r="E24" s="2839"/>
      <c r="F24" s="2839"/>
      <c r="G24" s="2839"/>
      <c r="H24" s="2839"/>
      <c r="I24" s="2839"/>
      <c r="J24" s="2840">
        <f>Plot.Tables!K27</f>
        <v>80.019532027672795</v>
      </c>
      <c r="K24" s="2840"/>
      <c r="L24" s="2840">
        <f ca="1">Plot.Tables!M27</f>
        <v>80.019532027672795</v>
      </c>
      <c r="M24" s="2840"/>
      <c r="N24" s="2840">
        <f ca="1">Plot.Tables!O27</f>
        <v>75.941569540956351</v>
      </c>
      <c r="O24" s="2840"/>
      <c r="P24" s="2840">
        <f ca="1">Plot.Tables!Q27</f>
        <v>187.39420738076305</v>
      </c>
      <c r="Q24" s="2840"/>
      <c r="R24" s="2840">
        <f ca="1">Plot.Tables!S27</f>
        <v>161.4622436895265</v>
      </c>
      <c r="S24" s="2859"/>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841" t="str">
        <f>Plot.Tables!C28</f>
        <v>Operational costs ($/head/year)</v>
      </c>
      <c r="E25" s="2842"/>
      <c r="F25" s="2842"/>
      <c r="G25" s="2842"/>
      <c r="H25" s="2842"/>
      <c r="I25" s="2842"/>
      <c r="J25" s="2843">
        <f>Plot.Tables!K28</f>
        <v>29.124523338619547</v>
      </c>
      <c r="K25" s="2843"/>
      <c r="L25" s="2843">
        <f ca="1">Plot.Tables!M28</f>
        <v>29.124523338619547</v>
      </c>
      <c r="M25" s="2843"/>
      <c r="N25" s="2843">
        <f ca="1">Plot.Tables!O28</f>
        <v>27.847553470780319</v>
      </c>
      <c r="O25" s="2843"/>
      <c r="P25" s="2843">
        <f ca="1">Plot.Tables!Q28</f>
        <v>65.065295958790145</v>
      </c>
      <c r="Q25" s="2843"/>
      <c r="R25" s="2843">
        <f ca="1">Plot.Tables!S28</f>
        <v>57.258864061153815</v>
      </c>
      <c r="S25" s="2860"/>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838" t="str">
        <f>Plot.Tables!C29</f>
        <v>Fertilizer value for on-farm use ($/head/year)</v>
      </c>
      <c r="E26" s="2839"/>
      <c r="F26" s="2839"/>
      <c r="G26" s="2839"/>
      <c r="H26" s="2839"/>
      <c r="I26" s="2839"/>
      <c r="J26" s="2840">
        <f>Plot.Tables!K29</f>
        <v>26.428080656756883</v>
      </c>
      <c r="K26" s="2840"/>
      <c r="L26" s="2840">
        <f ca="1">Plot.Tables!M29</f>
        <v>26.428080656756883</v>
      </c>
      <c r="M26" s="2840"/>
      <c r="N26" s="2840">
        <f ca="1">Plot.Tables!O29</f>
        <v>15.847869406081076</v>
      </c>
      <c r="O26" s="2840"/>
      <c r="P26" s="2840">
        <f ca="1">Plot.Tables!Q29</f>
        <v>26.428080656756883</v>
      </c>
      <c r="Q26" s="2840"/>
      <c r="R26" s="2840">
        <f ca="1">Plot.Tables!S29</f>
        <v>15.847869406081076</v>
      </c>
      <c r="S26" s="2859"/>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841" t="str">
        <f>Plot.Tables!C30</f>
        <v>Cost savings ($/head/year)</v>
      </c>
      <c r="E27" s="2842"/>
      <c r="F27" s="2842"/>
      <c r="G27" s="2842"/>
      <c r="H27" s="2842"/>
      <c r="I27" s="2842"/>
      <c r="J27" s="2843">
        <f>Plot.Tables!K30</f>
        <v>0</v>
      </c>
      <c r="K27" s="2843"/>
      <c r="L27" s="2843">
        <f ca="1">Plot.Tables!M30</f>
        <v>0</v>
      </c>
      <c r="M27" s="2843"/>
      <c r="N27" s="2843">
        <f ca="1">Plot.Tables!O30</f>
        <v>0</v>
      </c>
      <c r="O27" s="2843"/>
      <c r="P27" s="2843">
        <f ca="1">Plot.Tables!Q30</f>
        <v>0</v>
      </c>
      <c r="Q27" s="2843"/>
      <c r="R27" s="2843">
        <f ca="1">Plot.Tables!S30</f>
        <v>0</v>
      </c>
      <c r="S27" s="2860"/>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838" t="str">
        <f>Plot.Tables!C31</f>
        <v>Revenues from sale of manure product or energy ($/head/year)</v>
      </c>
      <c r="E28" s="2839"/>
      <c r="F28" s="2839"/>
      <c r="G28" s="2839"/>
      <c r="H28" s="2839"/>
      <c r="I28" s="2839"/>
      <c r="J28" s="2840">
        <f>Plot.Tables!K31</f>
        <v>0</v>
      </c>
      <c r="K28" s="2840"/>
      <c r="L28" s="2840">
        <f ca="1">Plot.Tables!M31</f>
        <v>0</v>
      </c>
      <c r="M28" s="2840"/>
      <c r="N28" s="2840">
        <f ca="1">Plot.Tables!O31</f>
        <v>0</v>
      </c>
      <c r="O28" s="2840"/>
      <c r="P28" s="2840">
        <f ca="1">Plot.Tables!Q31</f>
        <v>0</v>
      </c>
      <c r="Q28" s="2840"/>
      <c r="R28" s="2840">
        <f ca="1">Plot.Tables!S31</f>
        <v>0</v>
      </c>
      <c r="S28" s="2859"/>
      <c r="T28" s="963"/>
      <c r="U28" s="609"/>
      <c r="V28" s="926"/>
      <c r="W28" s="926"/>
      <c r="X28" s="926"/>
      <c r="Y28" s="926"/>
      <c r="Z28" s="926"/>
      <c r="AA28" s="926"/>
      <c r="AB28" s="926"/>
      <c r="AC28" s="926"/>
      <c r="AD28" s="926"/>
      <c r="AE28" s="926"/>
      <c r="AF28" s="926"/>
      <c r="AG28" s="926"/>
      <c r="AH28" s="926"/>
      <c r="AI28" s="926"/>
      <c r="AJ28" s="926"/>
    </row>
    <row r="29" spans="1:36" ht="15" customHeight="1" thickBot="1" x14ac:dyDescent="0.35">
      <c r="A29" s="926"/>
      <c r="B29" s="609"/>
      <c r="C29" s="962"/>
      <c r="D29" s="2845" t="str">
        <f>Plot.Tables!C32</f>
        <v>(NET COSTS) or NET BENEFITS ($/head/year)</v>
      </c>
      <c r="E29" s="2846"/>
      <c r="F29" s="2846"/>
      <c r="G29" s="2846"/>
      <c r="H29" s="2846"/>
      <c r="I29" s="2846"/>
      <c r="J29" s="2882">
        <f>Plot.Tables!K32</f>
        <v>-82.715974709535459</v>
      </c>
      <c r="K29" s="2882"/>
      <c r="L29" s="2882">
        <f ca="1">Plot.Tables!M32</f>
        <v>-82.715974709535459</v>
      </c>
      <c r="M29" s="2882"/>
      <c r="N29" s="2882">
        <f ca="1">Plot.Tables!O32</f>
        <v>-87.941253605655589</v>
      </c>
      <c r="O29" s="2882"/>
      <c r="P29" s="2882">
        <f ca="1">Plot.Tables!Q32</f>
        <v>-226.03142268279629</v>
      </c>
      <c r="Q29" s="2882"/>
      <c r="R29" s="2882">
        <f ca="1">Plot.Tables!S32</f>
        <v>-202.87323834459923</v>
      </c>
      <c r="S29" s="2883"/>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2875" t="s">
        <v>444</v>
      </c>
      <c r="E30" s="2876"/>
      <c r="F30" s="2876"/>
      <c r="G30" s="2876"/>
      <c r="H30" s="2876"/>
      <c r="I30" s="2876"/>
      <c r="J30" s="2878" t="s">
        <v>603</v>
      </c>
      <c r="K30" s="2878"/>
      <c r="L30" s="2878" t="s">
        <v>590</v>
      </c>
      <c r="M30" s="2878"/>
      <c r="N30" s="2878" t="s">
        <v>591</v>
      </c>
      <c r="O30" s="2878"/>
      <c r="P30" s="2878" t="s">
        <v>592</v>
      </c>
      <c r="Q30" s="2878"/>
      <c r="R30" s="2878" t="s">
        <v>593</v>
      </c>
      <c r="S30" s="288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877"/>
      <c r="E31" s="2871"/>
      <c r="F31" s="2871"/>
      <c r="G31" s="2871"/>
      <c r="H31" s="2871"/>
      <c r="I31" s="2871"/>
      <c r="J31" s="2879"/>
      <c r="K31" s="2879"/>
      <c r="L31" s="2879"/>
      <c r="M31" s="2879"/>
      <c r="N31" s="2879"/>
      <c r="O31" s="2879"/>
      <c r="P31" s="2879"/>
      <c r="Q31" s="2879"/>
      <c r="R31" s="2879"/>
      <c r="S31" s="2881"/>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838" t="str">
        <f>Plot.Tables!C36</f>
        <v>Carbon footprint (ton (2000 lb) CO2E/head/year)</v>
      </c>
      <c r="E32" s="2839"/>
      <c r="F32" s="2839"/>
      <c r="G32" s="2839"/>
      <c r="H32" s="2839"/>
      <c r="I32" s="2839"/>
      <c r="J32" s="2885">
        <f>Plot.Tables!K50</f>
        <v>0.57113546821359251</v>
      </c>
      <c r="K32" s="2885"/>
      <c r="L32" s="2886">
        <f ca="1">Plot.Tables!M50</f>
        <v>0.57113546821359251</v>
      </c>
      <c r="M32" s="2886"/>
      <c r="N32" s="2886">
        <f ca="1">Plot.Tables!O50</f>
        <v>0.34101792796293395</v>
      </c>
      <c r="O32" s="2886"/>
      <c r="P32" s="2885">
        <f ca="1">Plot.Tables!Q50</f>
        <v>0.57399030694705988</v>
      </c>
      <c r="Q32" s="2885"/>
      <c r="R32" s="2885">
        <f ca="1">Plot.Tables!S50</f>
        <v>0.34240388293361629</v>
      </c>
      <c r="S32" s="2887"/>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841" t="str">
        <f>Plot.Tables!C37</f>
        <v>Land footprint (acre/head/year)</v>
      </c>
      <c r="E33" s="2842"/>
      <c r="F33" s="2842"/>
      <c r="G33" s="2842"/>
      <c r="H33" s="2842"/>
      <c r="I33" s="2842"/>
      <c r="J33" s="2844">
        <f>Plot.Tables!K51</f>
        <v>0.15290585659551295</v>
      </c>
      <c r="K33" s="2844"/>
      <c r="L33" s="2844">
        <f ca="1">Plot.Tables!M51</f>
        <v>0.15290585659551295</v>
      </c>
      <c r="M33" s="2844"/>
      <c r="N33" s="2844">
        <f ca="1">Plot.Tables!O51</f>
        <v>9.1748660576578017E-2</v>
      </c>
      <c r="O33" s="2844"/>
      <c r="P33" s="2844">
        <f ca="1">Plot.Tables!Q51</f>
        <v>0.15290585659551295</v>
      </c>
      <c r="Q33" s="2844"/>
      <c r="R33" s="2844">
        <f ca="1">Plot.Tables!S51</f>
        <v>9.1748660576578017E-2</v>
      </c>
      <c r="S33" s="2884"/>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2838" t="str">
        <f>Plot.Tables!C38</f>
        <v>Energy footprint (kWhr/head/year)</v>
      </c>
      <c r="E34" s="2839"/>
      <c r="F34" s="2839"/>
      <c r="G34" s="2839"/>
      <c r="H34" s="2839"/>
      <c r="I34" s="2839"/>
      <c r="J34" s="2885">
        <f>Plot.Tables!K52</f>
        <v>0</v>
      </c>
      <c r="K34" s="2885"/>
      <c r="L34" s="2885">
        <f ca="1">Plot.Tables!M52</f>
        <v>0</v>
      </c>
      <c r="M34" s="2885"/>
      <c r="N34" s="2885">
        <f ca="1">Plot.Tables!O52</f>
        <v>0</v>
      </c>
      <c r="O34" s="2885"/>
      <c r="P34" s="2885">
        <f ca="1">Plot.Tables!Q52</f>
        <v>0</v>
      </c>
      <c r="Q34" s="2885"/>
      <c r="R34" s="2885">
        <f ca="1">Plot.Tables!S52</f>
        <v>0</v>
      </c>
      <c r="S34" s="2887"/>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2841" t="str">
        <f>Plot.Tables!C39</f>
        <v>Water consumption (gal/head/year)</v>
      </c>
      <c r="E35" s="2842"/>
      <c r="F35" s="2842"/>
      <c r="G35" s="2842"/>
      <c r="H35" s="2842"/>
      <c r="I35" s="2842"/>
      <c r="J35" s="2844">
        <f>Plot.Tables!K53</f>
        <v>0</v>
      </c>
      <c r="K35" s="2844"/>
      <c r="L35" s="2844">
        <f ca="1">Plot.Tables!M53</f>
        <v>0</v>
      </c>
      <c r="M35" s="2844"/>
      <c r="N35" s="2844">
        <f ca="1">Plot.Tables!O53</f>
        <v>0</v>
      </c>
      <c r="O35" s="2844"/>
      <c r="P35" s="2844">
        <f ca="1">Plot.Tables!Q53</f>
        <v>0</v>
      </c>
      <c r="Q35" s="2844"/>
      <c r="R35" s="2844">
        <f ca="1">Plot.Tables!S53</f>
        <v>0</v>
      </c>
      <c r="S35" s="2884"/>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2838" t="str">
        <f>Plot.Tables!C40</f>
        <v>Nitrogen footprint (lb/head/year)</v>
      </c>
      <c r="E36" s="2839"/>
      <c r="F36" s="2839"/>
      <c r="G36" s="2839"/>
      <c r="H36" s="2839"/>
      <c r="I36" s="2839"/>
      <c r="J36" s="2885">
        <f>Plot.Tables!K54</f>
        <v>8.8806076154703533</v>
      </c>
      <c r="K36" s="2885"/>
      <c r="L36" s="2885">
        <f ca="1">Plot.Tables!M54</f>
        <v>8.8806076154703533</v>
      </c>
      <c r="M36" s="2885"/>
      <c r="N36" s="2885">
        <f ca="1">Plot.Tables!O54</f>
        <v>19.493877938087866</v>
      </c>
      <c r="O36" s="2885"/>
      <c r="P36" s="2885">
        <f ca="1">Plot.Tables!Q54</f>
        <v>8.8806076154703533</v>
      </c>
      <c r="Q36" s="2885"/>
      <c r="R36" s="2885">
        <f ca="1">Plot.Tables!S54</f>
        <v>19.493877938087866</v>
      </c>
      <c r="S36" s="2887"/>
      <c r="T36" s="963"/>
      <c r="U36" s="609"/>
      <c r="V36" s="926"/>
      <c r="W36" s="926"/>
      <c r="X36" s="926"/>
      <c r="Y36" s="926"/>
      <c r="Z36" s="926"/>
      <c r="AA36" s="926"/>
      <c r="AB36" s="926"/>
      <c r="AC36" s="926"/>
      <c r="AD36" s="926"/>
      <c r="AE36" s="926"/>
      <c r="AF36" s="926"/>
      <c r="AG36" s="926"/>
      <c r="AH36" s="926"/>
      <c r="AI36" s="926"/>
      <c r="AJ36" s="926"/>
    </row>
    <row r="37" spans="1:36" ht="15" customHeight="1" thickBot="1" x14ac:dyDescent="0.35">
      <c r="A37" s="926"/>
      <c r="B37" s="609"/>
      <c r="C37" s="962"/>
      <c r="D37" s="2845" t="str">
        <f>Plot.Tables!C41</f>
        <v>Phosphorous excess (lb/head/year)</v>
      </c>
      <c r="E37" s="2846"/>
      <c r="F37" s="2846"/>
      <c r="G37" s="2846"/>
      <c r="H37" s="2846"/>
      <c r="I37" s="2846"/>
      <c r="J37" s="2847">
        <f>Plot.Tables!K55</f>
        <v>5.5112746043841678</v>
      </c>
      <c r="K37" s="2847"/>
      <c r="L37" s="2847">
        <f ca="1">Plot.Tables!M55</f>
        <v>5.5112746043841678</v>
      </c>
      <c r="M37" s="2847"/>
      <c r="N37" s="2847">
        <f ca="1">Plot.Tables!O55</f>
        <v>8.8749215826293248</v>
      </c>
      <c r="O37" s="2847"/>
      <c r="P37" s="2847">
        <f ca="1">Plot.Tables!Q55</f>
        <v>5.5112746043841678</v>
      </c>
      <c r="Q37" s="2847"/>
      <c r="R37" s="2847">
        <f ca="1">Plot.Tables!S55</f>
        <v>8.8749215826293248</v>
      </c>
      <c r="S37" s="2888"/>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2875" t="s">
        <v>605</v>
      </c>
      <c r="E38" s="2876"/>
      <c r="F38" s="2876"/>
      <c r="G38" s="2876"/>
      <c r="H38" s="2876"/>
      <c r="I38" s="2876"/>
      <c r="J38" s="2878" t="s">
        <v>603</v>
      </c>
      <c r="K38" s="2878"/>
      <c r="L38" s="2878" t="s">
        <v>590</v>
      </c>
      <c r="M38" s="2878"/>
      <c r="N38" s="2878" t="s">
        <v>591</v>
      </c>
      <c r="O38" s="2878"/>
      <c r="P38" s="2878" t="s">
        <v>592</v>
      </c>
      <c r="Q38" s="2878"/>
      <c r="R38" s="2878" t="s">
        <v>593</v>
      </c>
      <c r="S38" s="288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2877"/>
      <c r="E39" s="2871"/>
      <c r="F39" s="2871"/>
      <c r="G39" s="2871"/>
      <c r="H39" s="2871"/>
      <c r="I39" s="2871"/>
      <c r="J39" s="2879"/>
      <c r="K39" s="2879"/>
      <c r="L39" s="2879"/>
      <c r="M39" s="2879"/>
      <c r="N39" s="2879"/>
      <c r="O39" s="2879"/>
      <c r="P39" s="2879"/>
      <c r="Q39" s="2879"/>
      <c r="R39" s="2879"/>
      <c r="S39" s="2881"/>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2838" t="str">
        <f>Plot.Tables!C59</f>
        <v>Adoption Rate (Larger value = More common)</v>
      </c>
      <c r="E40" s="2839"/>
      <c r="F40" s="2839"/>
      <c r="G40" s="2839"/>
      <c r="H40" s="2839"/>
      <c r="I40" s="2839"/>
      <c r="J40" s="2885">
        <f>Plot.Tables!K59</f>
        <v>4.25</v>
      </c>
      <c r="K40" s="2885"/>
      <c r="L40" s="2885">
        <f ca="1">Plot.Tables!M59</f>
        <v>4.25</v>
      </c>
      <c r="M40" s="2885"/>
      <c r="N40" s="2885">
        <f ca="1">Plot.Tables!O59</f>
        <v>3.5</v>
      </c>
      <c r="O40" s="2885"/>
      <c r="P40" s="2885">
        <f ca="1">Plot.Tables!Q59</f>
        <v>4.5</v>
      </c>
      <c r="Q40" s="2885"/>
      <c r="R40" s="2885">
        <f ca="1">Plot.Tables!S59</f>
        <v>3.6666666666666665</v>
      </c>
      <c r="S40" s="2887"/>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2841" t="str">
        <f>Plot.Tables!C60</f>
        <v>Operational Reliability (Downtime %, smaller is better)</v>
      </c>
      <c r="E41" s="2842"/>
      <c r="F41" s="2842"/>
      <c r="G41" s="2842"/>
      <c r="H41" s="2842"/>
      <c r="I41" s="2842"/>
      <c r="J41" s="2844">
        <f>Plot.Tables!K60</f>
        <v>5.9854100206416794E-3</v>
      </c>
      <c r="K41" s="2844"/>
      <c r="L41" s="2844">
        <f ca="1">Plot.Tables!M60</f>
        <v>5.9854100206416794E-3</v>
      </c>
      <c r="M41" s="2844"/>
      <c r="N41" s="2844">
        <f ca="1">Plot.Tables!O60</f>
        <v>2.0509824120796716E-2</v>
      </c>
      <c r="O41" s="2844"/>
      <c r="P41" s="2844">
        <f ca="1">Plot.Tables!Q60</f>
        <v>4.6181272283730701E-3</v>
      </c>
      <c r="Q41" s="2844"/>
      <c r="R41" s="2844">
        <f ca="1">Plot.Tables!S60</f>
        <v>1.9162519889876273E-2</v>
      </c>
      <c r="S41" s="2884"/>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2838" t="str">
        <f>Plot.Tables!C61</f>
        <v>Operational Resilience (Larger value = More resilient)</v>
      </c>
      <c r="E42" s="2839"/>
      <c r="F42" s="2839"/>
      <c r="G42" s="2839"/>
      <c r="H42" s="2839"/>
      <c r="I42" s="2839"/>
      <c r="J42" s="2885">
        <f>Plot.Tables!K61</f>
        <v>2.75</v>
      </c>
      <c r="K42" s="2885"/>
      <c r="L42" s="2885">
        <f ca="1">Plot.Tables!M61</f>
        <v>2.75</v>
      </c>
      <c r="M42" s="2885"/>
      <c r="N42" s="2885">
        <f ca="1">Plot.Tables!O61</f>
        <v>2.75</v>
      </c>
      <c r="O42" s="2885"/>
      <c r="P42" s="2885">
        <f ca="1">Plot.Tables!Q61</f>
        <v>2.75</v>
      </c>
      <c r="Q42" s="2885"/>
      <c r="R42" s="2885">
        <f ca="1">Plot.Tables!S61</f>
        <v>2.75</v>
      </c>
      <c r="S42" s="2887"/>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2841" t="str">
        <f>Plot.Tables!C62</f>
        <v>Labor Hours for Application (hours/year) during Non-Sludge Year</v>
      </c>
      <c r="E43" s="2842"/>
      <c r="F43" s="2842"/>
      <c r="G43" s="2842"/>
      <c r="H43" s="2842"/>
      <c r="I43" s="2842"/>
      <c r="J43" s="2844">
        <f ca="1">Plot.Tables!K62</f>
        <v>22.003886560796118</v>
      </c>
      <c r="K43" s="2844"/>
      <c r="L43" s="2844">
        <f ca="1">Plot.Tables!M62</f>
        <v>22.003886560796118</v>
      </c>
      <c r="M43" s="2844"/>
      <c r="N43" s="2844">
        <f ca="1">Plot.Tables!O62</f>
        <v>19.782318372229117</v>
      </c>
      <c r="O43" s="2844"/>
      <c r="P43" s="2844">
        <f ca="1">Plot.Tables!Q62</f>
        <v>16.100315177561104</v>
      </c>
      <c r="Q43" s="2844"/>
      <c r="R43" s="2844">
        <f ca="1">Plot.Tables!S62</f>
        <v>9.6547189954749015</v>
      </c>
      <c r="S43" s="2884"/>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2838" t="str">
        <f>Plot.Tables!C63</f>
        <v>Additional Land Required for Application (acre/year) during Non-Sludge Year</v>
      </c>
      <c r="E44" s="2839"/>
      <c r="F44" s="2839"/>
      <c r="G44" s="2839"/>
      <c r="H44" s="2839"/>
      <c r="I44" s="2839"/>
      <c r="J44" s="2885">
        <f>Plot.Tables!K63</f>
        <v>0</v>
      </c>
      <c r="K44" s="2885"/>
      <c r="L44" s="2885">
        <f ca="1">Plot.Tables!M63</f>
        <v>0</v>
      </c>
      <c r="M44" s="2885"/>
      <c r="N44" s="2885">
        <f ca="1">Plot.Tables!O63</f>
        <v>0</v>
      </c>
      <c r="O44" s="2885"/>
      <c r="P44" s="2885">
        <f ca="1">Plot.Tables!Q63</f>
        <v>0</v>
      </c>
      <c r="Q44" s="2885"/>
      <c r="R44" s="2885">
        <f ca="1">Plot.Tables!S63</f>
        <v>0</v>
      </c>
      <c r="S44" s="2887"/>
      <c r="T44" s="963"/>
      <c r="U44" s="609"/>
      <c r="V44" s="926"/>
      <c r="W44" s="926"/>
      <c r="X44" s="926"/>
      <c r="Y44" s="926"/>
      <c r="Z44" s="926"/>
      <c r="AA44" s="926"/>
      <c r="AB44" s="926"/>
      <c r="AC44" s="926"/>
      <c r="AD44" s="926"/>
      <c r="AE44" s="926"/>
      <c r="AF44" s="926"/>
      <c r="AG44" s="926"/>
      <c r="AH44" s="926"/>
      <c r="AI44" s="926"/>
      <c r="AJ44" s="926"/>
    </row>
    <row r="45" spans="1:36" ht="15" customHeight="1" thickBot="1" x14ac:dyDescent="0.35">
      <c r="A45" s="926"/>
      <c r="B45" s="609"/>
      <c r="C45" s="962"/>
      <c r="D45" s="2845" t="str">
        <f>Plot.Tables!C64</f>
        <v>Manure Exported (ton (2000 lb)/year) during Non-Sludge Year</v>
      </c>
      <c r="E45" s="2846"/>
      <c r="F45" s="2846"/>
      <c r="G45" s="2846"/>
      <c r="H45" s="2846"/>
      <c r="I45" s="2846"/>
      <c r="J45" s="2847">
        <f>Plot.Tables!K64</f>
        <v>0</v>
      </c>
      <c r="K45" s="2847"/>
      <c r="L45" s="2847">
        <f ca="1">Plot.Tables!M64</f>
        <v>0</v>
      </c>
      <c r="M45" s="2847"/>
      <c r="N45" s="2847">
        <f ca="1">Plot.Tables!O64</f>
        <v>0</v>
      </c>
      <c r="O45" s="2847"/>
      <c r="P45" s="2847">
        <f ca="1">Plot.Tables!Q64</f>
        <v>0</v>
      </c>
      <c r="Q45" s="2847"/>
      <c r="R45" s="2847">
        <f ca="1">Plot.Tables!S64</f>
        <v>0</v>
      </c>
      <c r="S45" s="2888"/>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2875" t="s">
        <v>606</v>
      </c>
      <c r="E46" s="2876"/>
      <c r="F46" s="2876"/>
      <c r="G46" s="2876"/>
      <c r="H46" s="2876"/>
      <c r="I46" s="2876"/>
      <c r="J46" s="2878" t="s">
        <v>603</v>
      </c>
      <c r="K46" s="2878"/>
      <c r="L46" s="2878" t="s">
        <v>590</v>
      </c>
      <c r="M46" s="2878"/>
      <c r="N46" s="2878" t="s">
        <v>591</v>
      </c>
      <c r="O46" s="2878"/>
      <c r="P46" s="2878" t="s">
        <v>592</v>
      </c>
      <c r="Q46" s="2878"/>
      <c r="R46" s="2878" t="s">
        <v>593</v>
      </c>
      <c r="S46" s="288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2877"/>
      <c r="E47" s="2871"/>
      <c r="F47" s="2871"/>
      <c r="G47" s="2871"/>
      <c r="H47" s="2871"/>
      <c r="I47" s="2871"/>
      <c r="J47" s="2879"/>
      <c r="K47" s="2879"/>
      <c r="L47" s="2879"/>
      <c r="M47" s="2879"/>
      <c r="N47" s="2879"/>
      <c r="O47" s="2879"/>
      <c r="P47" s="2879"/>
      <c r="Q47" s="2879"/>
      <c r="R47" s="2879"/>
      <c r="S47" s="2881"/>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2838" t="str">
        <f>Plot.Tables!C80</f>
        <v>Electricity Required for Operations (kWh/year)</v>
      </c>
      <c r="E48" s="2839"/>
      <c r="F48" s="2839"/>
      <c r="G48" s="2839"/>
      <c r="H48" s="2839"/>
      <c r="I48" s="2839"/>
      <c r="J48" s="2891">
        <f>Plot.Tables!K80</f>
        <v>0</v>
      </c>
      <c r="K48" s="2891"/>
      <c r="L48" s="2891">
        <f ca="1">Plot.Tables!M80</f>
        <v>0</v>
      </c>
      <c r="M48" s="2891"/>
      <c r="N48" s="2891">
        <f ca="1">Plot.Tables!O80</f>
        <v>17419.548963200003</v>
      </c>
      <c r="O48" s="2891"/>
      <c r="P48" s="2891">
        <f ca="1">Plot.Tables!Q80</f>
        <v>0</v>
      </c>
      <c r="Q48" s="2891"/>
      <c r="R48" s="2891">
        <f ca="1">Plot.Tables!S80</f>
        <v>17419.548963200003</v>
      </c>
      <c r="S48" s="2892"/>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2841" t="str">
        <f>Plot.Tables!C81</f>
        <v>Fresh Water Used on Farm (gal/year)</v>
      </c>
      <c r="E49" s="2842"/>
      <c r="F49" s="2842"/>
      <c r="G49" s="2842"/>
      <c r="H49" s="2842"/>
      <c r="I49" s="2842"/>
      <c r="J49" s="2889">
        <f>Plot.Tables!K81</f>
        <v>0</v>
      </c>
      <c r="K49" s="2889"/>
      <c r="L49" s="2889">
        <f ca="1">Plot.Tables!M81</f>
        <v>0</v>
      </c>
      <c r="M49" s="2889"/>
      <c r="N49" s="2889">
        <f ca="1">Plot.Tables!O81</f>
        <v>0</v>
      </c>
      <c r="O49" s="2889"/>
      <c r="P49" s="2889">
        <f ca="1">Plot.Tables!Q81</f>
        <v>0</v>
      </c>
      <c r="Q49" s="2889"/>
      <c r="R49" s="2889">
        <f ca="1">Plot.Tables!S81</f>
        <v>0</v>
      </c>
      <c r="S49" s="289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2838" t="str">
        <f>Plot.Tables!C82</f>
        <v>Diesel Used on Farm (gal/year)</v>
      </c>
      <c r="E50" s="2839"/>
      <c r="F50" s="2839"/>
      <c r="G50" s="2839"/>
      <c r="H50" s="2839"/>
      <c r="I50" s="2839"/>
      <c r="J50" s="2891">
        <f>Plot.Tables!K82</f>
        <v>370.31185144590069</v>
      </c>
      <c r="K50" s="2891"/>
      <c r="L50" s="2891">
        <f ca="1">Plot.Tables!M82</f>
        <v>370.31185144590069</v>
      </c>
      <c r="M50" s="2891"/>
      <c r="N50" s="2891">
        <f ca="1">Plot.Tables!O82</f>
        <v>213.91345097078369</v>
      </c>
      <c r="O50" s="2891"/>
      <c r="P50" s="2891">
        <f ca="1">Plot.Tables!Q82</f>
        <v>497.5154927196885</v>
      </c>
      <c r="Q50" s="2891"/>
      <c r="R50" s="2891">
        <f ca="1">Plot.Tables!S82</f>
        <v>275.66773391698035</v>
      </c>
      <c r="S50" s="2892"/>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2841" t="str">
        <f>Plot.Tables!C83</f>
        <v>N in treated manure (non sludge) (ton (2000 lb)/year)</v>
      </c>
      <c r="E51" s="2842"/>
      <c r="F51" s="2842"/>
      <c r="G51" s="2842"/>
      <c r="H51" s="2842"/>
      <c r="I51" s="2842"/>
      <c r="J51" s="2893">
        <f>Plot.Tables!K83</f>
        <v>14.223165509791722</v>
      </c>
      <c r="K51" s="2893"/>
      <c r="L51" s="2893">
        <f ca="1">Plot.Tables!M83</f>
        <v>14.223165509791722</v>
      </c>
      <c r="M51" s="2893"/>
      <c r="N51" s="2893">
        <f ca="1">Plot.Tables!O83</f>
        <v>8.5290669597917201</v>
      </c>
      <c r="O51" s="2893"/>
      <c r="P51" s="2893">
        <f ca="1">Plot.Tables!Q83</f>
        <v>14.223165509791722</v>
      </c>
      <c r="Q51" s="2893"/>
      <c r="R51" s="2893">
        <f ca="1">Plot.Tables!S83</f>
        <v>8.5290669597917201</v>
      </c>
      <c r="S51" s="2894"/>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2838" t="str">
        <f>Plot.Tables!C84</f>
        <v>N in treated manure (sludge + solids) (ton (2000 lb)/year)</v>
      </c>
      <c r="E52" s="2839"/>
      <c r="F52" s="2839"/>
      <c r="G52" s="2839"/>
      <c r="H52" s="2839"/>
      <c r="I52" s="2839"/>
      <c r="J52" s="2891">
        <f>Plot.Tables!K84</f>
        <v>0</v>
      </c>
      <c r="K52" s="2891"/>
      <c r="L52" s="2891">
        <f ca="1">Plot.Tables!M84</f>
        <v>0</v>
      </c>
      <c r="M52" s="2891"/>
      <c r="N52" s="2891">
        <f ca="1">Plot.Tables!O84</f>
        <v>0</v>
      </c>
      <c r="O52" s="2891"/>
      <c r="P52" s="2891">
        <f ca="1">Plot.Tables!Q84</f>
        <v>0</v>
      </c>
      <c r="Q52" s="2891"/>
      <c r="R52" s="2891">
        <f ca="1">Plot.Tables!S84</f>
        <v>0</v>
      </c>
      <c r="S52" s="2892"/>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2841" t="str">
        <f>Plot.Tables!C85</f>
        <v>P2O5 in treated manure (non sludge) (ton (2000 lb)/year)</v>
      </c>
      <c r="E53" s="2842"/>
      <c r="F53" s="2842"/>
      <c r="G53" s="2842"/>
      <c r="H53" s="2842"/>
      <c r="I53" s="2842"/>
      <c r="J53" s="2889">
        <f>Plot.Tables!K85</f>
        <v>6.6431094999999996</v>
      </c>
      <c r="K53" s="2889"/>
      <c r="L53" s="2889">
        <f ca="1">Plot.Tables!M85</f>
        <v>6.6431094999999996</v>
      </c>
      <c r="M53" s="2889"/>
      <c r="N53" s="2889">
        <f ca="1">Plot.Tables!O85</f>
        <v>6.6431094999999996</v>
      </c>
      <c r="O53" s="2889"/>
      <c r="P53" s="2889">
        <f ca="1">Plot.Tables!Q85</f>
        <v>6.6431094999999996</v>
      </c>
      <c r="Q53" s="2889"/>
      <c r="R53" s="2889">
        <f ca="1">Plot.Tables!S85</f>
        <v>6.6431094999999996</v>
      </c>
      <c r="S53" s="289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2838" t="str">
        <f>Plot.Tables!C86</f>
        <v>P2O5 in treated manure (sludge + solids) (ton (2000 lb)/year)</v>
      </c>
      <c r="E54" s="2839"/>
      <c r="F54" s="2839"/>
      <c r="G54" s="2839"/>
      <c r="H54" s="2839"/>
      <c r="I54" s="2839"/>
      <c r="J54" s="2891">
        <f>Plot.Tables!K86</f>
        <v>0</v>
      </c>
      <c r="K54" s="2891"/>
      <c r="L54" s="2891">
        <f ca="1">Plot.Tables!M86</f>
        <v>0</v>
      </c>
      <c r="M54" s="2891"/>
      <c r="N54" s="2891">
        <f ca="1">Plot.Tables!O86</f>
        <v>0</v>
      </c>
      <c r="O54" s="2891"/>
      <c r="P54" s="2891">
        <f ca="1">Plot.Tables!Q86</f>
        <v>0</v>
      </c>
      <c r="Q54" s="2891"/>
      <c r="R54" s="2891">
        <f ca="1">Plot.Tables!S86</f>
        <v>0</v>
      </c>
      <c r="S54" s="2892"/>
      <c r="T54" s="963"/>
      <c r="U54" s="609"/>
      <c r="V54" s="926"/>
      <c r="W54" s="926"/>
      <c r="X54" s="926"/>
      <c r="Y54" s="926"/>
      <c r="Z54" s="926"/>
      <c r="AA54" s="926"/>
      <c r="AB54" s="926"/>
      <c r="AC54" s="926"/>
      <c r="AD54" s="926"/>
      <c r="AE54" s="926"/>
      <c r="AF54" s="926"/>
      <c r="AG54" s="926"/>
      <c r="AH54" s="926"/>
      <c r="AI54" s="926"/>
      <c r="AJ54" s="926"/>
    </row>
    <row r="55" spans="1:36" ht="15" customHeight="1" thickBot="1" x14ac:dyDescent="0.35">
      <c r="A55" s="926"/>
      <c r="B55" s="609"/>
      <c r="C55" s="962"/>
      <c r="D55" s="2845" t="str">
        <f>Plot.Tables!C87</f>
        <v>Land for treatment facilities (acre)</v>
      </c>
      <c r="E55" s="2846"/>
      <c r="F55" s="2846"/>
      <c r="G55" s="2846"/>
      <c r="H55" s="2846"/>
      <c r="I55" s="2846"/>
      <c r="J55" s="2895">
        <f>Plot.Tables!K87</f>
        <v>7.13103647531107E-2</v>
      </c>
      <c r="K55" s="2895"/>
      <c r="L55" s="2895">
        <f ca="1">Plot.Tables!M87</f>
        <v>7.13103647531107E-2</v>
      </c>
      <c r="M55" s="2895"/>
      <c r="N55" s="2895">
        <f ca="1">Plot.Tables!O87</f>
        <v>7.13103647531107E-2</v>
      </c>
      <c r="O55" s="2895"/>
      <c r="P55" s="2895">
        <f ca="1">Plot.Tables!Q87</f>
        <v>7.13103647531107E-2</v>
      </c>
      <c r="Q55" s="2895"/>
      <c r="R55" s="2895">
        <f ca="1">Plot.Tables!S87</f>
        <v>7.13103647531107E-2</v>
      </c>
      <c r="S55" s="2896"/>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1064"/>
      <c r="H56" s="1064"/>
      <c r="I56" s="1064"/>
      <c r="J56" s="1064"/>
      <c r="K56" s="1064"/>
      <c r="L56" s="1065"/>
      <c r="M56" s="972"/>
      <c r="N56" s="972"/>
      <c r="O56" s="972"/>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thickBot="1" x14ac:dyDescent="0.35">
      <c r="A57" s="926"/>
      <c r="B57" s="609"/>
      <c r="C57" s="1007"/>
      <c r="D57" s="1011"/>
      <c r="E57" s="1011"/>
      <c r="F57" s="1012"/>
      <c r="G57" s="1013"/>
      <c r="H57" s="1013"/>
      <c r="I57" s="1013"/>
      <c r="J57" s="1012"/>
      <c r="K57" s="1012"/>
      <c r="L57" s="1012"/>
      <c r="M57" s="1012"/>
      <c r="N57" s="1012"/>
      <c r="O57" s="1012"/>
      <c r="P57" s="1012"/>
      <c r="Q57" s="1012"/>
      <c r="R57" s="1012"/>
      <c r="S57" s="1012"/>
      <c r="T57" s="1014"/>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609"/>
      <c r="D58" s="609"/>
      <c r="E58" s="609"/>
      <c r="F58" s="609"/>
      <c r="G58" s="609"/>
      <c r="H58" s="609"/>
      <c r="I58" s="609"/>
      <c r="J58" s="609"/>
      <c r="K58" s="609"/>
      <c r="L58" s="609"/>
      <c r="M58" s="609"/>
      <c r="N58" s="609"/>
      <c r="O58" s="609"/>
      <c r="P58" s="609"/>
      <c r="Q58" s="609"/>
      <c r="R58" s="609"/>
      <c r="S58" s="609"/>
      <c r="T58" s="609"/>
      <c r="U58" s="609"/>
      <c r="V58" s="926"/>
      <c r="W58" s="926"/>
      <c r="X58" s="926"/>
      <c r="Y58" s="926"/>
      <c r="Z58" s="926"/>
      <c r="AA58" s="926"/>
      <c r="AB58" s="926"/>
      <c r="AC58" s="926"/>
      <c r="AD58" s="926"/>
      <c r="AE58" s="926"/>
      <c r="AF58" s="926"/>
      <c r="AG58" s="926"/>
      <c r="AH58" s="926"/>
      <c r="AI58" s="926"/>
      <c r="AJ58" s="926"/>
    </row>
    <row r="59" spans="1:36" ht="15" customHeight="1" thickBot="1" x14ac:dyDescent="0.35">
      <c r="A59" s="926"/>
      <c r="B59" s="926"/>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row>
    <row r="60" spans="1:36" ht="15" customHeight="1" x14ac:dyDescent="0.3">
      <c r="A60" s="926"/>
      <c r="B60" s="926"/>
      <c r="C60" s="2719" t="s">
        <v>594</v>
      </c>
      <c r="D60" s="2720"/>
      <c r="E60" s="923"/>
      <c r="F60" s="926"/>
      <c r="G60" s="926"/>
      <c r="H60" s="2362" t="s">
        <v>561</v>
      </c>
      <c r="I60" s="2833"/>
      <c r="J60" s="2345" t="s">
        <v>595</v>
      </c>
      <c r="K60" s="2351"/>
      <c r="L60" s="2345" t="s">
        <v>596</v>
      </c>
      <c r="M60" s="2351"/>
      <c r="N60" s="2345" t="s">
        <v>597</v>
      </c>
      <c r="O60" s="2351"/>
      <c r="P60" s="926"/>
      <c r="Q60" s="926"/>
      <c r="R60" s="926"/>
      <c r="S60" s="2356" t="s">
        <v>7</v>
      </c>
      <c r="T60" s="2774"/>
      <c r="U60" s="926"/>
      <c r="V60" s="926"/>
      <c r="W60" s="926"/>
      <c r="X60" s="926"/>
      <c r="Y60" s="926"/>
      <c r="Z60" s="926"/>
      <c r="AA60" s="926"/>
      <c r="AB60" s="926"/>
      <c r="AC60" s="926"/>
      <c r="AD60" s="926"/>
      <c r="AE60" s="926"/>
      <c r="AF60" s="926"/>
      <c r="AG60" s="926"/>
      <c r="AH60" s="926"/>
      <c r="AI60" s="926"/>
      <c r="AJ60" s="926"/>
    </row>
    <row r="61" spans="1:36" ht="15" customHeight="1" x14ac:dyDescent="0.3">
      <c r="A61" s="926"/>
      <c r="B61" s="926"/>
      <c r="C61" s="2721"/>
      <c r="D61" s="2722"/>
      <c r="E61" s="923"/>
      <c r="F61" s="926"/>
      <c r="G61" s="926"/>
      <c r="H61" s="2834"/>
      <c r="I61" s="2835"/>
      <c r="J61" s="2352"/>
      <c r="K61" s="2353"/>
      <c r="L61" s="2352"/>
      <c r="M61" s="2353"/>
      <c r="N61" s="2352"/>
      <c r="O61" s="2353"/>
      <c r="P61" s="926"/>
      <c r="Q61" s="926"/>
      <c r="R61" s="926"/>
      <c r="S61" s="2775"/>
      <c r="T61" s="2776"/>
      <c r="U61" s="926"/>
      <c r="V61" s="926"/>
      <c r="W61" s="926"/>
      <c r="X61" s="926"/>
      <c r="Y61" s="926"/>
      <c r="Z61" s="926"/>
      <c r="AA61" s="926"/>
      <c r="AB61" s="926"/>
      <c r="AC61" s="926"/>
      <c r="AD61" s="926"/>
      <c r="AE61" s="926"/>
      <c r="AF61" s="926"/>
      <c r="AG61" s="926"/>
      <c r="AH61" s="926"/>
      <c r="AI61" s="926"/>
      <c r="AJ61" s="926"/>
    </row>
    <row r="62" spans="1:36" ht="15" customHeight="1" thickBot="1" x14ac:dyDescent="0.35">
      <c r="A62" s="926"/>
      <c r="B62" s="926"/>
      <c r="C62" s="2723"/>
      <c r="D62" s="2724"/>
      <c r="E62" s="923"/>
      <c r="F62" s="926"/>
      <c r="G62" s="926"/>
      <c r="H62" s="2836"/>
      <c r="I62" s="2837"/>
      <c r="J62" s="2354"/>
      <c r="K62" s="2355"/>
      <c r="L62" s="2354"/>
      <c r="M62" s="2355"/>
      <c r="N62" s="2354"/>
      <c r="O62" s="2355"/>
      <c r="P62" s="926"/>
      <c r="Q62" s="926"/>
      <c r="R62" s="926"/>
      <c r="S62" s="2777"/>
      <c r="T62" s="2778"/>
      <c r="U62" s="926"/>
      <c r="V62" s="926"/>
      <c r="W62" s="926"/>
      <c r="X62" s="926"/>
      <c r="Y62" s="926"/>
      <c r="Z62" s="926"/>
      <c r="AA62" s="926"/>
      <c r="AB62" s="926"/>
      <c r="AC62" s="926"/>
      <c r="AD62" s="926"/>
      <c r="AE62" s="926"/>
      <c r="AF62" s="926"/>
      <c r="AG62" s="926"/>
      <c r="AH62" s="926"/>
      <c r="AI62" s="926"/>
      <c r="AJ62" s="926"/>
    </row>
    <row r="63" spans="1:36" ht="15" customHeight="1" x14ac:dyDescent="0.3">
      <c r="A63" s="926"/>
      <c r="B63" s="926"/>
      <c r="C63" s="926"/>
      <c r="D63" s="926"/>
      <c r="E63" s="923"/>
      <c r="F63" s="923"/>
      <c r="G63" s="923"/>
      <c r="H63" s="923"/>
      <c r="I63" s="2345" t="s">
        <v>598</v>
      </c>
      <c r="J63" s="2351"/>
      <c r="K63" s="2345" t="s">
        <v>599</v>
      </c>
      <c r="L63" s="2351"/>
      <c r="M63" s="2345" t="s">
        <v>600</v>
      </c>
      <c r="N63" s="2351"/>
      <c r="O63" s="923"/>
      <c r="P63" s="923"/>
      <c r="Q63" s="923"/>
      <c r="R63" s="923"/>
      <c r="S63" s="923"/>
      <c r="T63" s="923"/>
      <c r="U63" s="926"/>
      <c r="V63" s="926"/>
      <c r="W63" s="926"/>
      <c r="X63" s="926"/>
      <c r="Y63" s="926"/>
      <c r="Z63" s="926"/>
      <c r="AA63" s="926"/>
      <c r="AB63" s="926"/>
      <c r="AC63" s="926"/>
      <c r="AD63" s="926"/>
      <c r="AE63" s="926"/>
      <c r="AF63" s="926"/>
      <c r="AG63" s="926"/>
      <c r="AH63" s="926"/>
      <c r="AI63" s="926"/>
      <c r="AJ63" s="926"/>
    </row>
    <row r="64" spans="1:36" ht="15" customHeight="1" x14ac:dyDescent="0.3">
      <c r="A64" s="926"/>
      <c r="B64" s="926"/>
      <c r="C64" s="926"/>
      <c r="D64" s="926"/>
      <c r="E64" s="923"/>
      <c r="F64" s="926"/>
      <c r="G64" s="926"/>
      <c r="H64" s="926"/>
      <c r="I64" s="2352"/>
      <c r="J64" s="2353"/>
      <c r="K64" s="2352"/>
      <c r="L64" s="2353"/>
      <c r="M64" s="2352"/>
      <c r="N64" s="2353"/>
      <c r="O64" s="926"/>
      <c r="P64" s="926"/>
      <c r="Q64" s="926"/>
      <c r="R64" s="923"/>
      <c r="S64" s="923"/>
      <c r="T64" s="923"/>
      <c r="U64" s="926"/>
      <c r="V64" s="926"/>
      <c r="W64" s="926"/>
      <c r="X64" s="926"/>
      <c r="Y64" s="926"/>
      <c r="Z64" s="926"/>
      <c r="AA64" s="926"/>
      <c r="AB64" s="926"/>
      <c r="AC64" s="926"/>
      <c r="AD64" s="926"/>
      <c r="AE64" s="926"/>
      <c r="AF64" s="926"/>
      <c r="AG64" s="926"/>
      <c r="AH64" s="926"/>
      <c r="AI64" s="926"/>
      <c r="AJ64" s="926"/>
    </row>
    <row r="65" spans="1:36" ht="15" customHeight="1" thickBot="1" x14ac:dyDescent="0.35">
      <c r="A65" s="926"/>
      <c r="B65" s="926"/>
      <c r="C65" s="926"/>
      <c r="D65" s="926"/>
      <c r="E65" s="926"/>
      <c r="F65" s="926"/>
      <c r="G65" s="926"/>
      <c r="H65" s="926"/>
      <c r="I65" s="2354"/>
      <c r="J65" s="2355"/>
      <c r="K65" s="2354"/>
      <c r="L65" s="2355"/>
      <c r="M65" s="2354"/>
      <c r="N65" s="2355"/>
      <c r="O65" s="926"/>
      <c r="P65" s="926"/>
      <c r="Q65" s="926"/>
      <c r="R65" s="926"/>
      <c r="S65" s="926"/>
      <c r="T65" s="926"/>
      <c r="U65" s="926"/>
      <c r="V65" s="926"/>
      <c r="W65" s="926"/>
      <c r="X65" s="926"/>
      <c r="Y65" s="926"/>
      <c r="Z65" s="926"/>
      <c r="AA65" s="926"/>
      <c r="AB65" s="926"/>
      <c r="AC65" s="926"/>
      <c r="AD65" s="926"/>
      <c r="AE65" s="926"/>
      <c r="AF65" s="926"/>
      <c r="AG65" s="926"/>
      <c r="AH65" s="926"/>
      <c r="AI65" s="926"/>
      <c r="AJ65" s="926"/>
    </row>
    <row r="66" spans="1:36" x14ac:dyDescent="0.3">
      <c r="A66" s="926"/>
      <c r="B66" s="926"/>
      <c r="C66" s="926"/>
      <c r="D66" s="926"/>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c r="AG66" s="926"/>
      <c r="AH66" s="926"/>
      <c r="AI66" s="926"/>
      <c r="AJ66" s="926"/>
    </row>
    <row r="67" spans="1:36" x14ac:dyDescent="0.3">
      <c r="A67" s="926"/>
      <c r="B67" s="926"/>
      <c r="C67" s="926"/>
      <c r="D67" s="926"/>
      <c r="E67" s="926"/>
      <c r="F67" s="926"/>
      <c r="G67" s="926"/>
      <c r="H67" s="926"/>
      <c r="I67" s="926"/>
      <c r="J67" s="926"/>
      <c r="K67" s="926"/>
      <c r="L67" s="926"/>
      <c r="M67" s="926"/>
      <c r="N67" s="926"/>
      <c r="O67" s="926"/>
      <c r="P67" s="926"/>
      <c r="Q67" s="926"/>
      <c r="R67" s="926"/>
      <c r="S67" s="926"/>
      <c r="T67" s="926"/>
      <c r="U67" s="926"/>
      <c r="V67" s="926"/>
      <c r="W67" s="926"/>
      <c r="X67" s="926"/>
      <c r="Y67" s="926"/>
      <c r="Z67" s="926"/>
      <c r="AA67" s="926"/>
      <c r="AB67" s="926"/>
      <c r="AC67" s="926"/>
      <c r="AD67" s="926"/>
      <c r="AE67" s="926"/>
      <c r="AF67" s="926"/>
      <c r="AG67" s="926"/>
      <c r="AH67" s="926"/>
      <c r="AI67" s="926"/>
      <c r="AJ67" s="926"/>
    </row>
    <row r="68" spans="1:36" x14ac:dyDescent="0.3">
      <c r="A68" s="926"/>
      <c r="B68" s="926"/>
      <c r="C68" s="926"/>
      <c r="D68" s="926"/>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6"/>
      <c r="AC68" s="926"/>
      <c r="AD68" s="926"/>
      <c r="AE68" s="926"/>
      <c r="AF68" s="926"/>
      <c r="AG68" s="926"/>
      <c r="AH68" s="926"/>
      <c r="AI68" s="926"/>
      <c r="AJ68" s="926"/>
    </row>
    <row r="69" spans="1:36" x14ac:dyDescent="0.3">
      <c r="A69" s="926"/>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c r="AG69" s="926"/>
      <c r="AH69" s="926"/>
      <c r="AI69" s="926"/>
      <c r="AJ69" s="926"/>
    </row>
    <row r="70" spans="1:36" x14ac:dyDescent="0.3">
      <c r="A70" s="926"/>
      <c r="B70" s="926"/>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row>
    <row r="71" spans="1:36" x14ac:dyDescent="0.3">
      <c r="A71" s="926"/>
      <c r="B71" s="926"/>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c r="AG71" s="926"/>
      <c r="AH71" s="926"/>
      <c r="AI71" s="926"/>
      <c r="AJ71" s="926"/>
    </row>
    <row r="72" spans="1:36" x14ac:dyDescent="0.3">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row>
    <row r="73" spans="1:36" x14ac:dyDescent="0.3">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row>
    <row r="74" spans="1:36"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row>
    <row r="75" spans="1:36"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row>
    <row r="76" spans="1:36"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row>
    <row r="77" spans="1:36"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row>
    <row r="78" spans="1:36"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57"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57"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57"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96" spans="1:57" ht="15" customHeight="1" thickBot="1" x14ac:dyDescent="0.35">
      <c r="AZ96" s="683" t="s">
        <v>607</v>
      </c>
      <c r="BA96" s="684" t="s">
        <v>608</v>
      </c>
      <c r="BB96" s="670" t="s">
        <v>590</v>
      </c>
      <c r="BC96" s="670" t="s">
        <v>591</v>
      </c>
      <c r="BD96" s="670" t="s">
        <v>592</v>
      </c>
      <c r="BE96" s="675" t="s">
        <v>593</v>
      </c>
    </row>
    <row r="97" spans="52:57" ht="15" customHeight="1" x14ac:dyDescent="0.3">
      <c r="AZ97" s="690"/>
      <c r="BA97" s="682">
        <f>G12</f>
        <v>0</v>
      </c>
      <c r="BB97" s="669">
        <f>G16</f>
        <v>0</v>
      </c>
      <c r="BC97" s="669">
        <f>G20</f>
        <v>0</v>
      </c>
      <c r="BD97" s="669">
        <f>G24</f>
        <v>0</v>
      </c>
      <c r="BE97" s="681">
        <f>G28</f>
        <v>0</v>
      </c>
    </row>
    <row r="98" spans="52:57" x14ac:dyDescent="0.3">
      <c r="AZ98" s="691" t="s">
        <v>609</v>
      </c>
      <c r="BA98" s="685"/>
      <c r="BB98" s="671"/>
      <c r="BC98" s="671"/>
      <c r="BD98" s="671"/>
      <c r="BE98" s="676"/>
    </row>
    <row r="99" spans="52:57" x14ac:dyDescent="0.3">
      <c r="AZ99" s="692" t="s">
        <v>610</v>
      </c>
      <c r="BA99" s="686"/>
      <c r="BB99" s="647"/>
      <c r="BC99" s="647"/>
      <c r="BD99" s="647"/>
      <c r="BE99" s="677"/>
    </row>
    <row r="100" spans="52:57" x14ac:dyDescent="0.3">
      <c r="AZ100" s="693" t="s">
        <v>611</v>
      </c>
      <c r="BA100" s="687" t="e">
        <f>-Plot.Tables!#REF!</f>
        <v>#REF!</v>
      </c>
      <c r="BB100" s="672" t="e">
        <f>-Plot.Tables!#REF!</f>
        <v>#REF!</v>
      </c>
      <c r="BC100" s="672" t="e">
        <f>-Plot.Tables!#REF!</f>
        <v>#REF!</v>
      </c>
      <c r="BD100" s="672" t="e">
        <f>-Plot.Tables!#REF!</f>
        <v>#REF!</v>
      </c>
      <c r="BE100" s="678" t="e">
        <f>-Plot.Tables!#REF!</f>
        <v>#REF!</v>
      </c>
    </row>
    <row r="101" spans="52:57" x14ac:dyDescent="0.3">
      <c r="AZ101" s="693" t="s">
        <v>612</v>
      </c>
      <c r="BA101" s="687" t="e">
        <f>-Plot.Tables!#REF!</f>
        <v>#REF!</v>
      </c>
      <c r="BB101" s="672" t="e">
        <f>-Plot.Tables!#REF!</f>
        <v>#REF!</v>
      </c>
      <c r="BC101" s="672" t="e">
        <f>-Plot.Tables!#REF!</f>
        <v>#REF!</v>
      </c>
      <c r="BD101" s="672" t="e">
        <f>-Plot.Tables!#REF!</f>
        <v>#REF!</v>
      </c>
      <c r="BE101" s="678" t="e">
        <f>-Plot.Tables!#REF!</f>
        <v>#REF!</v>
      </c>
    </row>
    <row r="102" spans="52:57" x14ac:dyDescent="0.3">
      <c r="AZ102" s="692" t="s">
        <v>613</v>
      </c>
      <c r="BA102" s="686"/>
      <c r="BB102" s="647"/>
      <c r="BC102" s="647"/>
      <c r="BD102" s="647"/>
      <c r="BE102" s="677"/>
    </row>
    <row r="103" spans="52:57" x14ac:dyDescent="0.3">
      <c r="AZ103" s="693" t="s">
        <v>614</v>
      </c>
      <c r="BA103" s="688" t="e">
        <f>Plot.Tables!#REF!</f>
        <v>#REF!</v>
      </c>
      <c r="BB103" s="673" t="e">
        <f>Plot.Tables!#REF!</f>
        <v>#REF!</v>
      </c>
      <c r="BC103" s="673" t="e">
        <f>Plot.Tables!#REF!</f>
        <v>#REF!</v>
      </c>
      <c r="BD103" s="673" t="e">
        <f>Plot.Tables!#REF!</f>
        <v>#REF!</v>
      </c>
      <c r="BE103" s="679" t="e">
        <f>Plot.Tables!#REF!</f>
        <v>#REF!</v>
      </c>
    </row>
    <row r="104" spans="52:57" x14ac:dyDescent="0.3">
      <c r="AZ104" s="693" t="s">
        <v>441</v>
      </c>
      <c r="BA104" s="688" t="e">
        <f>Plot.Tables!#REF!</f>
        <v>#REF!</v>
      </c>
      <c r="BB104" s="673" t="e">
        <f>Plot.Tables!#REF!</f>
        <v>#REF!</v>
      </c>
      <c r="BC104" s="673" t="e">
        <f>Plot.Tables!#REF!</f>
        <v>#REF!</v>
      </c>
      <c r="BD104" s="673" t="e">
        <f>Plot.Tables!#REF!</f>
        <v>#REF!</v>
      </c>
      <c r="BE104" s="679" t="e">
        <f>Plot.Tables!#REF!</f>
        <v>#REF!</v>
      </c>
    </row>
    <row r="105" spans="52:57" x14ac:dyDescent="0.3">
      <c r="AZ105" s="693" t="s">
        <v>615</v>
      </c>
      <c r="BA105" s="688" t="e">
        <f>Plot.Tables!#REF!</f>
        <v>#REF!</v>
      </c>
      <c r="BB105" s="673" t="e">
        <f>Plot.Tables!#REF!</f>
        <v>#REF!</v>
      </c>
      <c r="BC105" s="673" t="e">
        <f>Plot.Tables!#REF!</f>
        <v>#REF!</v>
      </c>
      <c r="BD105" s="673" t="e">
        <f>Plot.Tables!#REF!</f>
        <v>#REF!</v>
      </c>
      <c r="BE105" s="679" t="e">
        <f>Plot.Tables!#REF!</f>
        <v>#REF!</v>
      </c>
    </row>
    <row r="106" spans="52:57" ht="15" thickBot="1" x14ac:dyDescent="0.35">
      <c r="AZ106" s="694" t="s">
        <v>616</v>
      </c>
      <c r="BA106" s="689" t="e">
        <f>Plot.Tables!#REF!</f>
        <v>#REF!</v>
      </c>
      <c r="BB106" s="674" t="e">
        <f>Plot.Tables!#REF!</f>
        <v>#REF!</v>
      </c>
      <c r="BC106" s="674" t="e">
        <f>Plot.Tables!#REF!</f>
        <v>#REF!</v>
      </c>
      <c r="BD106" s="674" t="e">
        <f>Plot.Tables!#REF!</f>
        <v>#REF!</v>
      </c>
      <c r="BE106" s="680" t="e">
        <f>Plot.Tables!#REF!</f>
        <v>#REF!</v>
      </c>
    </row>
  </sheetData>
  <mergeCells count="212">
    <mergeCell ref="I63:J65"/>
    <mergeCell ref="K63:L65"/>
    <mergeCell ref="M63:N65"/>
    <mergeCell ref="H2:I4"/>
    <mergeCell ref="J2:K4"/>
    <mergeCell ref="L2:M4"/>
    <mergeCell ref="N2:O4"/>
    <mergeCell ref="S2:T4"/>
    <mergeCell ref="I5:J7"/>
    <mergeCell ref="K5:L7"/>
    <mergeCell ref="M5:N7"/>
    <mergeCell ref="S60:T62"/>
    <mergeCell ref="D55:I55"/>
    <mergeCell ref="J55:K55"/>
    <mergeCell ref="L55:M55"/>
    <mergeCell ref="N55:O55"/>
    <mergeCell ref="P55:Q55"/>
    <mergeCell ref="R55:S55"/>
    <mergeCell ref="D54:I54"/>
    <mergeCell ref="J54:K54"/>
    <mergeCell ref="L54:M54"/>
    <mergeCell ref="N54:O54"/>
    <mergeCell ref="P54:Q54"/>
    <mergeCell ref="R54:S54"/>
    <mergeCell ref="D53:I53"/>
    <mergeCell ref="J53:K53"/>
    <mergeCell ref="L53:M53"/>
    <mergeCell ref="N53:O53"/>
    <mergeCell ref="P53:Q53"/>
    <mergeCell ref="R53:S53"/>
    <mergeCell ref="D52:I52"/>
    <mergeCell ref="J52:K52"/>
    <mergeCell ref="L52:M52"/>
    <mergeCell ref="N52:O52"/>
    <mergeCell ref="P52:Q52"/>
    <mergeCell ref="R52:S52"/>
    <mergeCell ref="D51:I51"/>
    <mergeCell ref="J51:K51"/>
    <mergeCell ref="L51:M51"/>
    <mergeCell ref="N51:O51"/>
    <mergeCell ref="P51:Q51"/>
    <mergeCell ref="R51:S51"/>
    <mergeCell ref="D50:I50"/>
    <mergeCell ref="J50:K50"/>
    <mergeCell ref="L50:M50"/>
    <mergeCell ref="N50:O50"/>
    <mergeCell ref="P50:Q50"/>
    <mergeCell ref="R50:S50"/>
    <mergeCell ref="D49:I49"/>
    <mergeCell ref="J49:K49"/>
    <mergeCell ref="L49:M49"/>
    <mergeCell ref="N49:O49"/>
    <mergeCell ref="P49:Q49"/>
    <mergeCell ref="R49:S49"/>
    <mergeCell ref="D48:I48"/>
    <mergeCell ref="J48:K48"/>
    <mergeCell ref="L48:M48"/>
    <mergeCell ref="N48:O48"/>
    <mergeCell ref="P48:Q48"/>
    <mergeCell ref="R48:S48"/>
    <mergeCell ref="D46:I47"/>
    <mergeCell ref="J46:K47"/>
    <mergeCell ref="L46:M47"/>
    <mergeCell ref="N46:O47"/>
    <mergeCell ref="P46:Q47"/>
    <mergeCell ref="R46:S47"/>
    <mergeCell ref="D45:I45"/>
    <mergeCell ref="J45:K45"/>
    <mergeCell ref="L45:M45"/>
    <mergeCell ref="N45:O45"/>
    <mergeCell ref="P45:Q45"/>
    <mergeCell ref="R45:S45"/>
    <mergeCell ref="D44:I44"/>
    <mergeCell ref="J44:K44"/>
    <mergeCell ref="L44:M44"/>
    <mergeCell ref="N44:O44"/>
    <mergeCell ref="P44:Q44"/>
    <mergeCell ref="R44:S44"/>
    <mergeCell ref="D43:I43"/>
    <mergeCell ref="J43:K43"/>
    <mergeCell ref="L43:M43"/>
    <mergeCell ref="N43:O43"/>
    <mergeCell ref="P43:Q43"/>
    <mergeCell ref="R43:S43"/>
    <mergeCell ref="J42:K42"/>
    <mergeCell ref="L42:M42"/>
    <mergeCell ref="N42:O42"/>
    <mergeCell ref="P42:Q42"/>
    <mergeCell ref="R42:S42"/>
    <mergeCell ref="D41:I41"/>
    <mergeCell ref="J41:K41"/>
    <mergeCell ref="L41:M41"/>
    <mergeCell ref="N41:O41"/>
    <mergeCell ref="P41:Q41"/>
    <mergeCell ref="R41:S41"/>
    <mergeCell ref="P37:Q37"/>
    <mergeCell ref="R37:S37"/>
    <mergeCell ref="D36:I36"/>
    <mergeCell ref="J36:K36"/>
    <mergeCell ref="L36:M36"/>
    <mergeCell ref="N36:O36"/>
    <mergeCell ref="P36:Q36"/>
    <mergeCell ref="R36:S36"/>
    <mergeCell ref="D40:I40"/>
    <mergeCell ref="J40:K40"/>
    <mergeCell ref="L40:M40"/>
    <mergeCell ref="N40:O40"/>
    <mergeCell ref="P40:Q40"/>
    <mergeCell ref="R40:S40"/>
    <mergeCell ref="D38:I39"/>
    <mergeCell ref="J38:K39"/>
    <mergeCell ref="L38:M39"/>
    <mergeCell ref="N38:O39"/>
    <mergeCell ref="P38:Q39"/>
    <mergeCell ref="R38:S39"/>
    <mergeCell ref="P33:Q33"/>
    <mergeCell ref="R33:S33"/>
    <mergeCell ref="D32:I32"/>
    <mergeCell ref="J32:K32"/>
    <mergeCell ref="L32:M32"/>
    <mergeCell ref="N32:O32"/>
    <mergeCell ref="P32:Q32"/>
    <mergeCell ref="R32:S32"/>
    <mergeCell ref="D35:I35"/>
    <mergeCell ref="J35:K35"/>
    <mergeCell ref="L35:M35"/>
    <mergeCell ref="N35:O35"/>
    <mergeCell ref="P35:Q35"/>
    <mergeCell ref="R35:S35"/>
    <mergeCell ref="D34:I34"/>
    <mergeCell ref="J34:K34"/>
    <mergeCell ref="L34:M34"/>
    <mergeCell ref="N34:O34"/>
    <mergeCell ref="P34:Q34"/>
    <mergeCell ref="R34:S34"/>
    <mergeCell ref="P27:Q27"/>
    <mergeCell ref="R27:S27"/>
    <mergeCell ref="D26:I26"/>
    <mergeCell ref="J26:K26"/>
    <mergeCell ref="L26:M26"/>
    <mergeCell ref="N26:O26"/>
    <mergeCell ref="P26:Q26"/>
    <mergeCell ref="R26:S26"/>
    <mergeCell ref="D30:I31"/>
    <mergeCell ref="J30:K31"/>
    <mergeCell ref="L30:M31"/>
    <mergeCell ref="N30:O31"/>
    <mergeCell ref="P30:Q31"/>
    <mergeCell ref="R30:S31"/>
    <mergeCell ref="L28:M28"/>
    <mergeCell ref="N28:O28"/>
    <mergeCell ref="P28:Q28"/>
    <mergeCell ref="R28:S28"/>
    <mergeCell ref="D29:I29"/>
    <mergeCell ref="J29:K29"/>
    <mergeCell ref="L29:M29"/>
    <mergeCell ref="N29:O29"/>
    <mergeCell ref="P29:Q29"/>
    <mergeCell ref="R29:S29"/>
    <mergeCell ref="J15:K15"/>
    <mergeCell ref="L15:M15"/>
    <mergeCell ref="P24:Q24"/>
    <mergeCell ref="R24:S24"/>
    <mergeCell ref="D25:I25"/>
    <mergeCell ref="J25:K25"/>
    <mergeCell ref="L25:M25"/>
    <mergeCell ref="N25:O25"/>
    <mergeCell ref="P25:Q25"/>
    <mergeCell ref="R25:S25"/>
    <mergeCell ref="P15:Q15"/>
    <mergeCell ref="R15:S15"/>
    <mergeCell ref="D16:I23"/>
    <mergeCell ref="J16:K23"/>
    <mergeCell ref="L16:M23"/>
    <mergeCell ref="N16:O23"/>
    <mergeCell ref="P16:Q23"/>
    <mergeCell ref="R16:S23"/>
    <mergeCell ref="N15:O15"/>
    <mergeCell ref="D15:I15"/>
    <mergeCell ref="G10:O11"/>
    <mergeCell ref="C2:D4"/>
    <mergeCell ref="D13:S13"/>
    <mergeCell ref="D14:I14"/>
    <mergeCell ref="J14:K14"/>
    <mergeCell ref="L14:M14"/>
    <mergeCell ref="N14:O14"/>
    <mergeCell ref="P14:Q14"/>
    <mergeCell ref="R14:S14"/>
    <mergeCell ref="C60:D62"/>
    <mergeCell ref="H60:I62"/>
    <mergeCell ref="J60:K62"/>
    <mergeCell ref="L60:M62"/>
    <mergeCell ref="N60:O62"/>
    <mergeCell ref="D28:I28"/>
    <mergeCell ref="J28:K28"/>
    <mergeCell ref="D24:I24"/>
    <mergeCell ref="J24:K24"/>
    <mergeCell ref="L24:M24"/>
    <mergeCell ref="N24:O24"/>
    <mergeCell ref="D27:I27"/>
    <mergeCell ref="J27:K27"/>
    <mergeCell ref="L27:M27"/>
    <mergeCell ref="N27:O27"/>
    <mergeCell ref="D33:I33"/>
    <mergeCell ref="J33:K33"/>
    <mergeCell ref="L33:M33"/>
    <mergeCell ref="N33:O33"/>
    <mergeCell ref="D37:I37"/>
    <mergeCell ref="J37:K37"/>
    <mergeCell ref="L37:M37"/>
    <mergeCell ref="N37:O37"/>
    <mergeCell ref="D42:I42"/>
  </mergeCells>
  <hyperlinks>
    <hyperlink ref="C2:D4" location="UI.Farm!A1" tooltip="Click to go to farm inputs page" display="Farm Info" xr:uid="{8FAF3ED2-BB30-4D4E-967B-4ADA2D856A67}"/>
    <hyperlink ref="J2:K4" location="Results.Scenarios!A1" tooltip="Click to go to scenario descriptions page" display="Scenario Rankings and Descriptions" xr:uid="{3CFF0AE7-CFAD-417D-A103-312FD37BF2B1}"/>
    <hyperlink ref="L2:M4" location="Results.Econ!A1" tooltip="Click to go to economic results page" display="Economic Results" xr:uid="{536391CC-2F55-4B2C-98A1-14AF36ADB08F}"/>
    <hyperlink ref="N2:O4" location="Results.Env!A1" tooltip="Click to go to environmental results page" display="Environmental Results" xr:uid="{298D7988-DD5B-4D6E-BC43-FCD530C0DBD2}"/>
    <hyperlink ref="I5:J7" location="Results.Tech!A1" tooltip="Click to go to the functionality and logistics results" display="Functionality and Logistics Results" xr:uid="{75189FFC-2CA6-47CF-9169-61A46B1C928E}"/>
    <hyperlink ref="K5:L7" location="Results.Resources!A1" tooltip="Click to go to the resources results page" display="Resources Results" xr:uid="{80909E06-24B3-450A-9310-AD433E3BB219}"/>
    <hyperlink ref="M5:N7" location="Results.Nutrients!A1" tooltip="Click to go to the nutrient concentrations page" display="Nutrient Concentrations" xr:uid="{2067C9D8-5C3D-4125-9E68-A176F4975E47}"/>
    <hyperlink ref="S2:T4" location="Results.Scenarios!A1" tooltip="Click to go to scenario descriptions page" display="Scenario Rankings and Descriptions" xr:uid="{4C853037-A20F-4000-8AEB-B90A27D64231}"/>
    <hyperlink ref="H2:I4" location="Results.Summary!A1" tooltip="Click to go to results summary page" display="Results Summary" xr:uid="{A17A02A0-147C-45A3-8318-41E9034BBC17}"/>
    <hyperlink ref="C60:D62" location="UI.Farm!A1" tooltip="Click to go to farm inputs page" display="Farm Info" xr:uid="{8E5F88EA-42C3-4C27-BD64-CEDA70E5A643}"/>
    <hyperlink ref="J60:K62" location="Results.Scenarios!A1" tooltip="Click to go to scenario descriptions page" display="Scenario Rankings and Descriptions" xr:uid="{0B3EB358-E905-47BD-A993-5252B6550BC8}"/>
    <hyperlink ref="L60:M62" location="Results.Econ!A1" tooltip="Click to go to economic results page" display="Economic Results" xr:uid="{7D38840C-99FD-410F-BC12-875A9D3C10BC}"/>
    <hyperlink ref="N60:O62" location="Results.Env!A1" tooltip="Click to go to environmental results page" display="Environmental Results" xr:uid="{9AE5603A-9A55-435C-B18E-30A69041ACDC}"/>
    <hyperlink ref="I63:J65" location="Results.Tech!A1" tooltip="Click to go to the functionality and logistics results" display="Functionality and Logistics Results" xr:uid="{AC02739A-FC31-45AC-846E-A4D622D9B42E}"/>
    <hyperlink ref="K63:L65" location="Results.Resources!A1" tooltip="Click to go to the resources results page" display="Resources Results" xr:uid="{8AEF94C1-B3AE-4671-B158-A0BF9F69E931}"/>
    <hyperlink ref="M63:N65" location="Results.Nutrients!A1" tooltip="Click to go to the nutrient concentrations page" display="Nutrient Concentrations" xr:uid="{11FA12E2-924A-4137-A057-A5A44599D96A}"/>
    <hyperlink ref="S60:T62" location="Results.Scenarios!A1" tooltip="Click to go to scenario descriptions page" display="Scenario Rankings and Descriptions" xr:uid="{9ABE9F2D-0AC8-4DE2-AAB3-40A74926EBC0}"/>
    <hyperlink ref="H60:I62" location="Results.Summary!A1" tooltip="Click to go to results summary page" display="Results Summary" xr:uid="{77D10A43-34D6-49B6-B5A1-EFADC3621450}"/>
  </hyperlinks>
  <printOptions horizontalCentered="1" verticalCentered="1"/>
  <pageMargins left="0.7" right="0.7" top="0.75" bottom="0.75" header="0.3" footer="0.3"/>
  <pageSetup scale="5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004D-E73C-4FA5-A018-951D07BC8D32}">
  <sheetPr codeName="Sheet2">
    <tabColor rgb="FFFFFF00"/>
  </sheetPr>
  <dimension ref="A1:AJ235"/>
  <sheetViews>
    <sheetView workbookViewId="0">
      <selection activeCell="L2" sqref="L2:M4"/>
    </sheetView>
  </sheetViews>
  <sheetFormatPr defaultColWidth="9.44140625" defaultRowHeight="15" customHeight="1" x14ac:dyDescent="0.3"/>
  <cols>
    <col min="1" max="2" width="2.5546875" customWidth="1"/>
    <col min="3" max="22" width="9.6640625" customWidth="1"/>
    <col min="23" max="24" width="2.5546875" customWidth="1"/>
    <col min="25" max="52" width="8.5546875" customWidth="1"/>
    <col min="54" max="54" width="22.33203125" bestFit="1" customWidth="1"/>
    <col min="55" max="55" width="75.6640625" bestFit="1" customWidth="1"/>
  </cols>
  <sheetData>
    <row r="1" spans="1:36" ht="15" customHeight="1"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1040"/>
      <c r="B2" s="984"/>
      <c r="C2" s="2719" t="s">
        <v>594</v>
      </c>
      <c r="D2" s="2720"/>
      <c r="E2" s="923"/>
      <c r="F2" s="926"/>
      <c r="G2" s="926"/>
      <c r="H2" s="2345" t="s">
        <v>561</v>
      </c>
      <c r="I2" s="2351"/>
      <c r="J2" s="2362" t="s">
        <v>595</v>
      </c>
      <c r="K2" s="2833"/>
      <c r="L2" s="2345" t="s">
        <v>596</v>
      </c>
      <c r="M2" s="2351"/>
      <c r="N2" s="2345" t="s">
        <v>597</v>
      </c>
      <c r="O2" s="2351"/>
      <c r="P2" s="926"/>
      <c r="Q2" s="926"/>
      <c r="R2" s="926"/>
      <c r="S2" s="2356" t="s">
        <v>7</v>
      </c>
      <c r="T2" s="2774"/>
      <c r="U2" s="984"/>
      <c r="V2" s="984"/>
      <c r="W2" s="984"/>
      <c r="X2" s="1040"/>
      <c r="Y2" s="926"/>
      <c r="Z2" s="926"/>
      <c r="AA2" s="926"/>
      <c r="AB2" s="926"/>
      <c r="AC2" s="926"/>
      <c r="AD2" s="926"/>
      <c r="AE2" s="926"/>
      <c r="AF2" s="926"/>
      <c r="AG2" s="926"/>
      <c r="AH2" s="926"/>
      <c r="AI2" s="926"/>
      <c r="AJ2" s="926"/>
    </row>
    <row r="3" spans="1:36" ht="15" customHeight="1" x14ac:dyDescent="0.3">
      <c r="A3" s="1040"/>
      <c r="B3" s="984"/>
      <c r="C3" s="2721"/>
      <c r="D3" s="2722"/>
      <c r="E3" s="923"/>
      <c r="F3" s="926"/>
      <c r="G3" s="926"/>
      <c r="H3" s="2352"/>
      <c r="I3" s="2353"/>
      <c r="J3" s="2834"/>
      <c r="K3" s="2835"/>
      <c r="L3" s="2352"/>
      <c r="M3" s="2353"/>
      <c r="N3" s="2352"/>
      <c r="O3" s="2353"/>
      <c r="P3" s="926"/>
      <c r="Q3" s="926"/>
      <c r="R3" s="926"/>
      <c r="S3" s="2775"/>
      <c r="T3" s="2776"/>
      <c r="U3" s="984"/>
      <c r="V3" s="984"/>
      <c r="W3" s="984"/>
      <c r="X3" s="1040"/>
      <c r="Y3" s="926"/>
      <c r="Z3" s="926"/>
      <c r="AA3" s="926"/>
      <c r="AB3" s="926"/>
      <c r="AC3" s="926"/>
      <c r="AD3" s="926"/>
      <c r="AE3" s="926"/>
      <c r="AF3" s="926"/>
      <c r="AG3" s="926"/>
      <c r="AH3" s="926"/>
      <c r="AI3" s="926"/>
      <c r="AJ3" s="926"/>
    </row>
    <row r="4" spans="1:36" ht="15" customHeight="1" thickBot="1" x14ac:dyDescent="0.35">
      <c r="A4" s="1040"/>
      <c r="B4" s="984"/>
      <c r="C4" s="2723"/>
      <c r="D4" s="2724"/>
      <c r="E4" s="923"/>
      <c r="F4" s="926"/>
      <c r="G4" s="926"/>
      <c r="H4" s="2354"/>
      <c r="I4" s="2355"/>
      <c r="J4" s="2836"/>
      <c r="K4" s="2837"/>
      <c r="L4" s="2354"/>
      <c r="M4" s="2355"/>
      <c r="N4" s="2354"/>
      <c r="O4" s="2355"/>
      <c r="P4" s="926"/>
      <c r="Q4" s="926"/>
      <c r="R4" s="926"/>
      <c r="S4" s="2777"/>
      <c r="T4" s="2778"/>
      <c r="U4" s="984"/>
      <c r="V4" s="984"/>
      <c r="W4" s="984"/>
      <c r="X4" s="1040"/>
      <c r="Y4" s="926"/>
      <c r="Z4" s="926"/>
      <c r="AA4" s="926"/>
      <c r="AB4" s="926"/>
      <c r="AC4" s="926"/>
      <c r="AD4" s="926"/>
      <c r="AE4" s="926"/>
      <c r="AF4" s="926"/>
      <c r="AG4" s="926"/>
      <c r="AH4" s="926"/>
      <c r="AI4" s="926"/>
      <c r="AJ4" s="926"/>
    </row>
    <row r="5" spans="1:36" ht="15" customHeight="1" x14ac:dyDescent="0.3">
      <c r="A5" s="1040"/>
      <c r="B5" s="984"/>
      <c r="C5" s="926"/>
      <c r="D5" s="926"/>
      <c r="E5" s="923"/>
      <c r="F5" s="923"/>
      <c r="G5" s="923"/>
      <c r="H5" s="923"/>
      <c r="I5" s="2345" t="s">
        <v>598</v>
      </c>
      <c r="J5" s="2351"/>
      <c r="K5" s="2345" t="s">
        <v>599</v>
      </c>
      <c r="L5" s="2351"/>
      <c r="M5" s="2345" t="s">
        <v>600</v>
      </c>
      <c r="N5" s="2351"/>
      <c r="O5" s="923"/>
      <c r="P5" s="923"/>
      <c r="Q5" s="923"/>
      <c r="R5" s="923"/>
      <c r="S5" s="923"/>
      <c r="T5" s="923"/>
      <c r="U5" s="984"/>
      <c r="V5" s="984"/>
      <c r="W5" s="984"/>
      <c r="X5" s="1040"/>
      <c r="Y5" s="1040"/>
      <c r="Z5" s="1040"/>
      <c r="AA5" s="1040"/>
      <c r="AB5" s="1040"/>
      <c r="AC5" s="1040"/>
      <c r="AD5" s="926"/>
      <c r="AE5" s="926"/>
      <c r="AF5" s="926"/>
      <c r="AG5" s="926"/>
      <c r="AH5" s="926"/>
      <c r="AI5" s="926"/>
      <c r="AJ5" s="926"/>
    </row>
    <row r="6" spans="1:36" ht="15" customHeight="1" x14ac:dyDescent="0.3">
      <c r="A6" s="1040"/>
      <c r="B6" s="984"/>
      <c r="C6" s="926"/>
      <c r="D6" s="926"/>
      <c r="E6" s="923"/>
      <c r="F6" s="926"/>
      <c r="G6" s="926"/>
      <c r="H6" s="926"/>
      <c r="I6" s="2352"/>
      <c r="J6" s="2353"/>
      <c r="K6" s="2352"/>
      <c r="L6" s="2353"/>
      <c r="M6" s="2352"/>
      <c r="N6" s="2353"/>
      <c r="O6" s="926"/>
      <c r="P6" s="926"/>
      <c r="Q6" s="926"/>
      <c r="R6" s="923"/>
      <c r="S6" s="923"/>
      <c r="T6" s="923"/>
      <c r="U6" s="984"/>
      <c r="V6" s="984"/>
      <c r="W6" s="984"/>
      <c r="X6" s="1040"/>
      <c r="Y6" s="1040"/>
      <c r="Z6" s="1040"/>
      <c r="AA6" s="1040"/>
      <c r="AB6" s="1040"/>
      <c r="AC6" s="1040"/>
      <c r="AD6" s="926"/>
      <c r="AE6" s="926"/>
      <c r="AF6" s="926"/>
      <c r="AG6" s="926"/>
      <c r="AH6" s="926"/>
      <c r="AI6" s="926"/>
      <c r="AJ6" s="926"/>
    </row>
    <row r="7" spans="1:36" ht="15" customHeight="1" thickBot="1" x14ac:dyDescent="0.35">
      <c r="A7" s="1040"/>
      <c r="B7" s="984"/>
      <c r="C7" s="926"/>
      <c r="D7" s="926"/>
      <c r="E7" s="923"/>
      <c r="F7" s="926"/>
      <c r="G7" s="926"/>
      <c r="H7" s="926"/>
      <c r="I7" s="2354"/>
      <c r="J7" s="2355"/>
      <c r="K7" s="2354"/>
      <c r="L7" s="2355"/>
      <c r="M7" s="2354"/>
      <c r="N7" s="2355"/>
      <c r="O7" s="926"/>
      <c r="P7" s="926"/>
      <c r="Q7" s="926"/>
      <c r="R7" s="923"/>
      <c r="S7" s="923"/>
      <c r="T7" s="923"/>
      <c r="U7" s="984"/>
      <c r="V7" s="984"/>
      <c r="W7" s="984"/>
      <c r="X7" s="1040"/>
      <c r="Y7" s="1040"/>
      <c r="Z7" s="1040"/>
      <c r="AA7" s="1040"/>
      <c r="AB7" s="1040"/>
      <c r="AC7" s="1040"/>
      <c r="AD7" s="926"/>
      <c r="AE7" s="926"/>
      <c r="AF7" s="926"/>
      <c r="AG7" s="926"/>
      <c r="AH7" s="926"/>
      <c r="AI7" s="926"/>
      <c r="AJ7" s="926"/>
    </row>
    <row r="8" spans="1:36" ht="15" customHeight="1" x14ac:dyDescent="0.3">
      <c r="A8" s="1040"/>
      <c r="B8" s="984"/>
      <c r="C8" s="984"/>
      <c r="D8" s="984"/>
      <c r="E8" s="984"/>
      <c r="F8" s="984"/>
      <c r="G8" s="984"/>
      <c r="H8" s="984"/>
      <c r="I8" s="984"/>
      <c r="J8" s="984"/>
      <c r="K8" s="984"/>
      <c r="L8" s="984"/>
      <c r="M8" s="984"/>
      <c r="N8" s="984"/>
      <c r="O8" s="984"/>
      <c r="P8" s="984"/>
      <c r="Q8" s="984"/>
      <c r="R8" s="984"/>
      <c r="S8" s="984"/>
      <c r="T8" s="984"/>
      <c r="U8" s="984"/>
      <c r="V8" s="984"/>
      <c r="W8" s="984"/>
      <c r="X8" s="1040"/>
      <c r="Y8" s="1040"/>
      <c r="Z8" s="1040"/>
      <c r="AA8" s="1040"/>
      <c r="AB8" s="1040"/>
      <c r="AC8" s="1040"/>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609"/>
      <c r="W9" s="609"/>
      <c r="X9" s="926"/>
      <c r="Y9" s="926"/>
      <c r="Z9" s="926"/>
      <c r="AA9" s="926"/>
      <c r="AB9" s="926"/>
      <c r="AC9" s="926"/>
      <c r="AD9" s="926"/>
      <c r="AE9" s="926"/>
      <c r="AF9" s="926"/>
      <c r="AG9" s="926"/>
      <c r="AH9" s="926"/>
      <c r="AI9" s="926"/>
      <c r="AJ9" s="926"/>
    </row>
    <row r="10" spans="1:36" ht="15" customHeight="1" thickBot="1" x14ac:dyDescent="0.65">
      <c r="A10" s="926"/>
      <c r="B10" s="609"/>
      <c r="C10" s="959"/>
      <c r="D10" s="1000"/>
      <c r="E10" s="1000"/>
      <c r="F10" s="1000"/>
      <c r="G10" s="1000"/>
      <c r="H10" s="1000"/>
      <c r="I10" s="1000"/>
      <c r="J10" s="1000"/>
      <c r="K10" s="1000"/>
      <c r="L10" s="1000"/>
      <c r="M10" s="1000"/>
      <c r="N10" s="960"/>
      <c r="O10" s="960"/>
      <c r="P10" s="960"/>
      <c r="Q10" s="960"/>
      <c r="R10" s="960"/>
      <c r="S10" s="960"/>
      <c r="T10" s="960"/>
      <c r="U10" s="960"/>
      <c r="V10" s="961"/>
      <c r="W10" s="609"/>
      <c r="X10" s="926"/>
      <c r="Y10" s="926"/>
      <c r="Z10" s="926"/>
      <c r="AA10" s="926"/>
      <c r="AB10" s="926"/>
      <c r="AC10" s="926"/>
      <c r="AD10" s="926"/>
      <c r="AE10" s="926"/>
      <c r="AF10" s="926"/>
      <c r="AG10" s="926"/>
      <c r="AH10" s="926"/>
      <c r="AI10" s="926"/>
      <c r="AJ10" s="926"/>
    </row>
    <row r="11" spans="1:36" ht="15" customHeight="1" x14ac:dyDescent="0.6">
      <c r="A11" s="926"/>
      <c r="B11" s="609"/>
      <c r="C11" s="962"/>
      <c r="D11" s="1042"/>
      <c r="E11" s="2807" t="s">
        <v>617</v>
      </c>
      <c r="F11" s="2808"/>
      <c r="G11" s="2808"/>
      <c r="H11" s="2808"/>
      <c r="I11" s="2808"/>
      <c r="J11" s="2808"/>
      <c r="K11" s="2808"/>
      <c r="L11" s="2808"/>
      <c r="M11" s="2808"/>
      <c r="N11" s="2808"/>
      <c r="O11" s="2808"/>
      <c r="P11" s="2808"/>
      <c r="Q11" s="2808"/>
      <c r="R11" s="2808"/>
      <c r="S11" s="2808"/>
      <c r="T11" s="2809"/>
      <c r="U11" s="40"/>
      <c r="V11" s="963"/>
      <c r="W11" s="609"/>
      <c r="X11" s="926"/>
      <c r="Y11" s="926"/>
      <c r="Z11" s="926"/>
      <c r="AA11" s="926"/>
      <c r="AB11" s="926"/>
      <c r="AC11" s="926"/>
      <c r="AD11" s="926"/>
      <c r="AE11" s="926"/>
      <c r="AF11" s="926"/>
      <c r="AG11" s="926"/>
      <c r="AH11" s="926"/>
      <c r="AI11" s="926"/>
      <c r="AJ11" s="926"/>
    </row>
    <row r="12" spans="1:36" ht="15" customHeight="1" x14ac:dyDescent="0.6">
      <c r="A12" s="926"/>
      <c r="B12" s="609"/>
      <c r="C12" s="962"/>
      <c r="D12" s="1042"/>
      <c r="E12" s="2810"/>
      <c r="F12" s="2811"/>
      <c r="G12" s="2811"/>
      <c r="H12" s="2811"/>
      <c r="I12" s="2811"/>
      <c r="J12" s="2811"/>
      <c r="K12" s="2811"/>
      <c r="L12" s="2811"/>
      <c r="M12" s="2811"/>
      <c r="N12" s="2811"/>
      <c r="O12" s="2811"/>
      <c r="P12" s="2811"/>
      <c r="Q12" s="2811"/>
      <c r="R12" s="2811"/>
      <c r="S12" s="2811"/>
      <c r="T12" s="2812"/>
      <c r="U12" s="40"/>
      <c r="V12" s="963"/>
      <c r="W12" s="609"/>
      <c r="X12" s="926"/>
      <c r="Y12" s="926"/>
      <c r="Z12" s="926"/>
      <c r="AA12" s="926"/>
      <c r="AB12" s="926"/>
      <c r="AC12" s="926"/>
      <c r="AD12" s="926"/>
      <c r="AE12" s="926"/>
      <c r="AF12" s="926"/>
      <c r="AG12" s="926"/>
      <c r="AH12" s="926"/>
      <c r="AI12" s="926"/>
      <c r="AJ12" s="926"/>
    </row>
    <row r="13" spans="1:36" ht="15" customHeight="1" x14ac:dyDescent="0.6">
      <c r="A13" s="926"/>
      <c r="B13" s="609"/>
      <c r="C13" s="962"/>
      <c r="D13" s="1042"/>
      <c r="E13" s="2810"/>
      <c r="F13" s="2811"/>
      <c r="G13" s="2811"/>
      <c r="H13" s="2811"/>
      <c r="I13" s="2811"/>
      <c r="J13" s="2811"/>
      <c r="K13" s="2811"/>
      <c r="L13" s="2811"/>
      <c r="M13" s="2811"/>
      <c r="N13" s="2811"/>
      <c r="O13" s="2811"/>
      <c r="P13" s="2811"/>
      <c r="Q13" s="2811"/>
      <c r="R13" s="2811"/>
      <c r="S13" s="2811"/>
      <c r="T13" s="2812"/>
      <c r="U13" s="40"/>
      <c r="V13" s="963"/>
      <c r="W13" s="609"/>
      <c r="X13" s="926"/>
      <c r="Y13" s="926"/>
      <c r="Z13" s="926"/>
      <c r="AA13" s="926"/>
      <c r="AB13" s="926"/>
      <c r="AC13" s="926"/>
      <c r="AD13" s="926"/>
      <c r="AE13" s="926"/>
      <c r="AF13" s="926"/>
      <c r="AG13" s="926"/>
      <c r="AH13" s="926"/>
      <c r="AI13" s="926"/>
      <c r="AJ13" s="926"/>
    </row>
    <row r="14" spans="1:36" ht="15" customHeight="1" x14ac:dyDescent="0.6">
      <c r="A14" s="926"/>
      <c r="B14" s="609"/>
      <c r="C14" s="962"/>
      <c r="D14" s="1042"/>
      <c r="E14" s="2810"/>
      <c r="F14" s="2811"/>
      <c r="G14" s="2811"/>
      <c r="H14" s="2811"/>
      <c r="I14" s="2811"/>
      <c r="J14" s="2811"/>
      <c r="K14" s="2811"/>
      <c r="L14" s="2811"/>
      <c r="M14" s="2811"/>
      <c r="N14" s="2811"/>
      <c r="O14" s="2811"/>
      <c r="P14" s="2811"/>
      <c r="Q14" s="2811"/>
      <c r="R14" s="2811"/>
      <c r="S14" s="2811"/>
      <c r="T14" s="2812"/>
      <c r="U14" s="40"/>
      <c r="V14" s="963"/>
      <c r="W14" s="609"/>
      <c r="X14" s="926"/>
      <c r="Y14" s="926"/>
      <c r="Z14" s="926"/>
      <c r="AA14" s="926"/>
      <c r="AB14" s="926"/>
      <c r="AC14" s="926"/>
      <c r="AD14" s="926"/>
      <c r="AE14" s="926"/>
      <c r="AF14" s="926"/>
      <c r="AG14" s="926"/>
      <c r="AH14" s="926"/>
      <c r="AI14" s="926"/>
      <c r="AJ14" s="926"/>
    </row>
    <row r="15" spans="1:36" ht="15" customHeight="1" x14ac:dyDescent="0.6">
      <c r="A15" s="926"/>
      <c r="B15" s="609"/>
      <c r="C15" s="962"/>
      <c r="D15" s="1042"/>
      <c r="E15" s="2810"/>
      <c r="F15" s="2811"/>
      <c r="G15" s="2811"/>
      <c r="H15" s="2811"/>
      <c r="I15" s="2811"/>
      <c r="J15" s="2811"/>
      <c r="K15" s="2811"/>
      <c r="L15" s="2811"/>
      <c r="M15" s="2811"/>
      <c r="N15" s="2811"/>
      <c r="O15" s="2811"/>
      <c r="P15" s="2811"/>
      <c r="Q15" s="2811"/>
      <c r="R15" s="2811"/>
      <c r="S15" s="2811"/>
      <c r="T15" s="2812"/>
      <c r="U15" s="40"/>
      <c r="V15" s="963"/>
      <c r="W15" s="609"/>
      <c r="X15" s="926"/>
      <c r="Y15" s="926"/>
      <c r="Z15" s="926"/>
      <c r="AA15" s="926"/>
      <c r="AB15" s="926"/>
      <c r="AC15" s="926"/>
      <c r="AD15" s="926"/>
      <c r="AE15" s="926"/>
      <c r="AF15" s="926"/>
      <c r="AG15" s="926"/>
      <c r="AH15" s="926"/>
      <c r="AI15" s="926"/>
      <c r="AJ15" s="926"/>
    </row>
    <row r="16" spans="1:36" ht="15" customHeight="1" thickBot="1" x14ac:dyDescent="0.65">
      <c r="A16" s="926"/>
      <c r="B16" s="609"/>
      <c r="C16" s="962"/>
      <c r="D16" s="1042"/>
      <c r="E16" s="2813"/>
      <c r="F16" s="2814"/>
      <c r="G16" s="2814"/>
      <c r="H16" s="2814"/>
      <c r="I16" s="2814"/>
      <c r="J16" s="2814"/>
      <c r="K16" s="2814"/>
      <c r="L16" s="2814"/>
      <c r="M16" s="2814"/>
      <c r="N16" s="2814"/>
      <c r="O16" s="2814"/>
      <c r="P16" s="2814"/>
      <c r="Q16" s="2814"/>
      <c r="R16" s="2814"/>
      <c r="S16" s="2814"/>
      <c r="T16" s="2815"/>
      <c r="U16" s="40"/>
      <c r="V16" s="963"/>
      <c r="W16" s="609"/>
      <c r="X16" s="926"/>
      <c r="Y16" s="926"/>
      <c r="Z16" s="926"/>
      <c r="AA16" s="926"/>
      <c r="AB16" s="926"/>
      <c r="AC16" s="926"/>
      <c r="AD16" s="926"/>
      <c r="AE16" s="926"/>
      <c r="AF16" s="926"/>
      <c r="AG16" s="926"/>
      <c r="AH16" s="926"/>
      <c r="AI16" s="926"/>
      <c r="AJ16" s="926"/>
    </row>
    <row r="17" spans="1:36" ht="15" customHeight="1" x14ac:dyDescent="0.6">
      <c r="A17" s="926"/>
      <c r="B17" s="609"/>
      <c r="C17" s="962"/>
      <c r="D17" s="1042"/>
      <c r="E17" s="1042"/>
      <c r="F17" s="1042"/>
      <c r="G17" s="1042"/>
      <c r="H17" s="1042"/>
      <c r="I17" s="1042"/>
      <c r="J17" s="1042"/>
      <c r="K17" s="1042"/>
      <c r="L17" s="1042"/>
      <c r="M17" s="1042"/>
      <c r="N17" s="40"/>
      <c r="O17" s="40"/>
      <c r="P17" s="40"/>
      <c r="Q17" s="40"/>
      <c r="R17" s="40"/>
      <c r="S17" s="40"/>
      <c r="T17" s="40"/>
      <c r="U17" s="40"/>
      <c r="V17" s="963"/>
      <c r="W17" s="609"/>
      <c r="X17" s="926"/>
      <c r="Y17" s="926"/>
      <c r="Z17" s="926"/>
      <c r="AA17" s="926"/>
      <c r="AB17" s="926"/>
      <c r="AC17" s="926"/>
      <c r="AD17" s="926"/>
      <c r="AE17" s="926"/>
      <c r="AF17" s="926"/>
      <c r="AG17" s="926"/>
      <c r="AH17" s="926"/>
      <c r="AI17" s="926"/>
      <c r="AJ17" s="926"/>
    </row>
    <row r="18" spans="1:36" ht="15" customHeight="1" thickBot="1" x14ac:dyDescent="0.65">
      <c r="A18" s="926"/>
      <c r="B18" s="609"/>
      <c r="C18" s="962"/>
      <c r="D18" s="1042"/>
      <c r="E18" s="1042"/>
      <c r="F18" s="1042"/>
      <c r="G18" s="1042"/>
      <c r="H18" s="1042"/>
      <c r="I18" s="1042"/>
      <c r="J18" s="1042"/>
      <c r="K18" s="1042"/>
      <c r="L18" s="1042"/>
      <c r="M18" s="1042"/>
      <c r="N18" s="40"/>
      <c r="O18" s="40"/>
      <c r="P18" s="40"/>
      <c r="Q18" s="40"/>
      <c r="R18" s="40"/>
      <c r="S18" s="40"/>
      <c r="T18" s="40"/>
      <c r="U18" s="40"/>
      <c r="V18" s="963"/>
      <c r="W18" s="609"/>
      <c r="X18" s="926"/>
      <c r="Y18" s="926"/>
      <c r="Z18" s="926"/>
      <c r="AA18" s="926"/>
      <c r="AB18" s="926"/>
      <c r="AC18" s="926"/>
      <c r="AD18" s="926"/>
      <c r="AE18" s="926"/>
      <c r="AF18" s="926"/>
      <c r="AG18" s="926"/>
      <c r="AH18" s="926"/>
      <c r="AI18" s="926"/>
      <c r="AJ18" s="926"/>
    </row>
    <row r="19" spans="1:36" ht="15" customHeight="1" x14ac:dyDescent="0.3">
      <c r="A19" s="926"/>
      <c r="B19" s="609"/>
      <c r="C19" s="962"/>
      <c r="D19" s="1041"/>
      <c r="E19" s="40"/>
      <c r="F19" s="40"/>
      <c r="G19" s="2909" t="s">
        <v>618</v>
      </c>
      <c r="H19" s="2910"/>
      <c r="I19" s="2910"/>
      <c r="J19" s="2910"/>
      <c r="K19" s="2910"/>
      <c r="L19" s="2910"/>
      <c r="M19" s="2910"/>
      <c r="N19" s="2910"/>
      <c r="O19" s="2910"/>
      <c r="P19" s="2911"/>
      <c r="Q19" s="40"/>
      <c r="R19" s="40"/>
      <c r="S19" s="40"/>
      <c r="T19" s="40"/>
      <c r="U19" s="60"/>
      <c r="V19" s="963"/>
      <c r="W19" s="609"/>
      <c r="X19" s="926"/>
      <c r="Y19" s="926"/>
      <c r="Z19" s="926"/>
      <c r="AA19" s="926"/>
      <c r="AB19" s="926"/>
      <c r="AC19" s="926"/>
      <c r="AD19" s="926"/>
      <c r="AE19" s="926"/>
      <c r="AF19" s="926"/>
      <c r="AG19" s="926"/>
      <c r="AH19" s="926"/>
      <c r="AI19" s="926"/>
      <c r="AJ19" s="926"/>
    </row>
    <row r="20" spans="1:36" ht="15" customHeight="1" thickBot="1" x14ac:dyDescent="0.35">
      <c r="A20" s="926"/>
      <c r="B20" s="609"/>
      <c r="C20" s="962"/>
      <c r="D20" s="1041"/>
      <c r="E20" s="40"/>
      <c r="F20" s="40"/>
      <c r="G20" s="2912"/>
      <c r="H20" s="2913"/>
      <c r="I20" s="2913"/>
      <c r="J20" s="2913"/>
      <c r="K20" s="2913"/>
      <c r="L20" s="2913"/>
      <c r="M20" s="2913"/>
      <c r="N20" s="2913"/>
      <c r="O20" s="2913"/>
      <c r="P20" s="2914"/>
      <c r="Q20" s="40"/>
      <c r="R20" s="40"/>
      <c r="S20" s="40"/>
      <c r="T20" s="40"/>
      <c r="U20" s="40"/>
      <c r="V20" s="963"/>
      <c r="W20" s="609"/>
      <c r="X20" s="926"/>
      <c r="Y20" s="926"/>
      <c r="Z20" s="926"/>
      <c r="AA20" s="926"/>
      <c r="AB20" s="926"/>
      <c r="AC20" s="926"/>
      <c r="AD20" s="926"/>
      <c r="AE20" s="926"/>
      <c r="AF20" s="926"/>
      <c r="AG20" s="926"/>
      <c r="AH20" s="926"/>
      <c r="AI20" s="926"/>
      <c r="AJ20" s="926"/>
    </row>
    <row r="21" spans="1:36" ht="15" customHeight="1" thickBot="1" x14ac:dyDescent="0.35">
      <c r="A21" s="926"/>
      <c r="B21" s="609"/>
      <c r="C21" s="962"/>
      <c r="D21" s="2356" t="s">
        <v>619</v>
      </c>
      <c r="E21" s="2357"/>
      <c r="F21" s="40"/>
      <c r="G21" s="2912"/>
      <c r="H21" s="2913"/>
      <c r="I21" s="2913"/>
      <c r="J21" s="2913"/>
      <c r="K21" s="2913"/>
      <c r="L21" s="2913"/>
      <c r="M21" s="2913"/>
      <c r="N21" s="2913"/>
      <c r="O21" s="2913"/>
      <c r="P21" s="2914"/>
      <c r="Q21" s="40"/>
      <c r="R21" s="2719" t="s">
        <v>11</v>
      </c>
      <c r="S21" s="2720"/>
      <c r="T21" s="40"/>
      <c r="U21" s="40"/>
      <c r="V21" s="963"/>
      <c r="W21" s="609"/>
      <c r="X21" s="926"/>
      <c r="Y21" s="926"/>
      <c r="Z21" s="926"/>
      <c r="AA21" s="926"/>
      <c r="AB21" s="926"/>
      <c r="AC21" s="926"/>
      <c r="AD21" s="926"/>
      <c r="AE21" s="926"/>
      <c r="AF21" s="926"/>
      <c r="AG21" s="926"/>
      <c r="AH21" s="926"/>
      <c r="AI21" s="926"/>
      <c r="AJ21" s="926"/>
    </row>
    <row r="22" spans="1:36" ht="15" customHeight="1" thickTop="1" thickBot="1" x14ac:dyDescent="0.35">
      <c r="A22" s="926"/>
      <c r="B22" s="609"/>
      <c r="C22" s="962"/>
      <c r="D22" s="2358"/>
      <c r="E22" s="2359"/>
      <c r="F22" s="40"/>
      <c r="G22" s="2912"/>
      <c r="H22" s="2913"/>
      <c r="I22" s="2913"/>
      <c r="J22" s="2913"/>
      <c r="K22" s="2913"/>
      <c r="L22" s="2913"/>
      <c r="M22" s="2913"/>
      <c r="N22" s="2913"/>
      <c r="O22" s="2913"/>
      <c r="P22" s="2914"/>
      <c r="Q22" s="40"/>
      <c r="R22" s="2721"/>
      <c r="S22" s="2722"/>
      <c r="T22" s="40"/>
      <c r="U22" s="40"/>
      <c r="V22" s="963"/>
      <c r="W22" s="609"/>
      <c r="X22" s="926"/>
      <c r="Y22" s="926"/>
      <c r="Z22" s="926"/>
      <c r="AA22" s="926"/>
      <c r="AB22" s="926"/>
      <c r="AC22" s="926"/>
      <c r="AD22" s="926"/>
      <c r="AE22" s="926"/>
      <c r="AF22" s="926"/>
      <c r="AG22" s="926"/>
      <c r="AH22" s="926"/>
      <c r="AI22" s="926"/>
      <c r="AJ22" s="926"/>
    </row>
    <row r="23" spans="1:36" ht="15" customHeight="1" thickTop="1" thickBot="1" x14ac:dyDescent="0.35">
      <c r="A23" s="926"/>
      <c r="B23" s="609"/>
      <c r="C23" s="962"/>
      <c r="D23" s="2360"/>
      <c r="E23" s="2361"/>
      <c r="F23" s="40"/>
      <c r="G23" s="2912"/>
      <c r="H23" s="2913"/>
      <c r="I23" s="2913"/>
      <c r="J23" s="2913"/>
      <c r="K23" s="2913"/>
      <c r="L23" s="2913"/>
      <c r="M23" s="2913"/>
      <c r="N23" s="2913"/>
      <c r="O23" s="2913"/>
      <c r="P23" s="2914"/>
      <c r="Q23" s="40"/>
      <c r="R23" s="2723"/>
      <c r="S23" s="2724"/>
      <c r="T23" s="40"/>
      <c r="U23" s="40"/>
      <c r="V23" s="963"/>
      <c r="W23" s="609"/>
      <c r="X23" s="926"/>
      <c r="Y23" s="926"/>
      <c r="Z23" s="926"/>
      <c r="AA23" s="926"/>
      <c r="AB23" s="926"/>
      <c r="AC23" s="926"/>
      <c r="AD23" s="926"/>
      <c r="AE23" s="926"/>
      <c r="AF23" s="926"/>
      <c r="AG23" s="926"/>
      <c r="AH23" s="926"/>
      <c r="AI23" s="926"/>
      <c r="AJ23" s="926"/>
    </row>
    <row r="24" spans="1:36" ht="15" customHeight="1" x14ac:dyDescent="0.6">
      <c r="A24" s="926"/>
      <c r="B24" s="609"/>
      <c r="C24" s="962"/>
      <c r="D24" s="1042"/>
      <c r="E24" s="40"/>
      <c r="F24" s="40"/>
      <c r="G24" s="2912"/>
      <c r="H24" s="2913"/>
      <c r="I24" s="2913"/>
      <c r="J24" s="2913"/>
      <c r="K24" s="2913"/>
      <c r="L24" s="2913"/>
      <c r="M24" s="2913"/>
      <c r="N24" s="2913"/>
      <c r="O24" s="2913"/>
      <c r="P24" s="2914"/>
      <c r="Q24" s="40"/>
      <c r="R24" s="40"/>
      <c r="S24" s="40"/>
      <c r="T24" s="40"/>
      <c r="U24" s="40"/>
      <c r="V24" s="963"/>
      <c r="W24" s="609"/>
      <c r="X24" s="926"/>
      <c r="Y24" s="926"/>
      <c r="Z24" s="926"/>
      <c r="AA24" s="926"/>
      <c r="AB24" s="926"/>
      <c r="AC24" s="926"/>
      <c r="AD24" s="926"/>
      <c r="AE24" s="926"/>
      <c r="AF24" s="926"/>
      <c r="AG24" s="926"/>
      <c r="AH24" s="926"/>
      <c r="AI24" s="926"/>
      <c r="AJ24" s="926"/>
    </row>
    <row r="25" spans="1:36" ht="15" customHeight="1" thickBot="1" x14ac:dyDescent="0.65">
      <c r="A25" s="926"/>
      <c r="B25" s="609"/>
      <c r="C25" s="962"/>
      <c r="D25" s="1042"/>
      <c r="E25" s="40"/>
      <c r="F25" s="40"/>
      <c r="G25" s="2915"/>
      <c r="H25" s="2916"/>
      <c r="I25" s="2916"/>
      <c r="J25" s="2916"/>
      <c r="K25" s="2916"/>
      <c r="L25" s="2916"/>
      <c r="M25" s="2916"/>
      <c r="N25" s="2916"/>
      <c r="O25" s="2916"/>
      <c r="P25" s="2917"/>
      <c r="Q25" s="40"/>
      <c r="R25" s="40"/>
      <c r="S25" s="40"/>
      <c r="T25" s="40"/>
      <c r="U25" s="40"/>
      <c r="V25" s="963"/>
      <c r="W25" s="609"/>
      <c r="X25" s="926"/>
      <c r="Y25" s="926"/>
      <c r="Z25" s="926"/>
      <c r="AA25" s="926"/>
      <c r="AB25" s="926"/>
      <c r="AC25" s="926"/>
      <c r="AD25" s="926"/>
      <c r="AE25" s="926"/>
      <c r="AF25" s="926"/>
      <c r="AG25" s="926"/>
      <c r="AH25" s="926"/>
      <c r="AI25" s="926"/>
      <c r="AJ25" s="926"/>
    </row>
    <row r="26" spans="1:36" ht="15" customHeight="1" thickBot="1" x14ac:dyDescent="0.35">
      <c r="A26" s="926"/>
      <c r="B26" s="609"/>
      <c r="C26" s="962"/>
      <c r="D26" s="967"/>
      <c r="E26" s="967"/>
      <c r="F26" s="967"/>
      <c r="G26" s="40"/>
      <c r="H26" s="40"/>
      <c r="I26" s="40"/>
      <c r="J26" s="40"/>
      <c r="K26" s="40"/>
      <c r="L26" s="40"/>
      <c r="M26" s="967"/>
      <c r="N26" s="967"/>
      <c r="O26" s="967"/>
      <c r="P26" s="40"/>
      <c r="Q26" s="40"/>
      <c r="R26" s="40"/>
      <c r="S26" s="40"/>
      <c r="T26" s="40"/>
      <c r="U26" s="40"/>
      <c r="V26" s="963"/>
      <c r="W26" s="609"/>
      <c r="X26" s="926"/>
      <c r="Y26" s="926"/>
      <c r="Z26" s="926"/>
      <c r="AA26" s="926"/>
      <c r="AB26" s="926"/>
      <c r="AC26" s="926"/>
      <c r="AD26" s="926"/>
      <c r="AE26" s="926"/>
      <c r="AF26" s="926"/>
      <c r="AG26" s="926"/>
      <c r="AH26" s="926"/>
      <c r="AI26" s="926"/>
      <c r="AJ26" s="926"/>
    </row>
    <row r="27" spans="1:36" ht="15" customHeight="1" x14ac:dyDescent="0.3">
      <c r="A27" s="926"/>
      <c r="B27" s="609"/>
      <c r="C27" s="962"/>
      <c r="D27" s="2907" t="s">
        <v>602</v>
      </c>
      <c r="E27" s="2908"/>
      <c r="F27" s="2908"/>
      <c r="G27" s="2908"/>
      <c r="H27" s="2908"/>
      <c r="I27" s="1770" t="s">
        <v>459</v>
      </c>
      <c r="J27" s="2918" t="s">
        <v>109</v>
      </c>
      <c r="K27" s="2918"/>
      <c r="L27" s="2918"/>
      <c r="M27" s="2918"/>
      <c r="N27" s="2918"/>
      <c r="O27" s="2918"/>
      <c r="P27" s="2918"/>
      <c r="Q27" s="2918"/>
      <c r="R27" s="2918"/>
      <c r="S27" s="2918"/>
      <c r="T27" s="2918"/>
      <c r="U27" s="2919"/>
      <c r="V27" s="963"/>
      <c r="W27" s="609"/>
      <c r="X27" s="926"/>
      <c r="Y27" s="926"/>
      <c r="Z27" s="926"/>
      <c r="AA27" s="926"/>
      <c r="AB27" s="926"/>
      <c r="AC27" s="926"/>
      <c r="AD27" s="926"/>
      <c r="AE27" s="926"/>
      <c r="AF27" s="926"/>
      <c r="AG27" s="926"/>
      <c r="AH27" s="926"/>
      <c r="AI27" s="926"/>
      <c r="AJ27" s="926"/>
    </row>
    <row r="28" spans="1:36" ht="15" customHeight="1" x14ac:dyDescent="0.3">
      <c r="A28" s="926"/>
      <c r="B28" s="609"/>
      <c r="C28" s="962"/>
      <c r="D28" s="2897" t="str" cm="1">
        <f t="array" aca="1" ref="D28" ca="1">INDEX(Sc.Ranked!$C$2:$C$31,I28)</f>
        <v>Deep pit, tanker</v>
      </c>
      <c r="E28" s="2898"/>
      <c r="F28" s="2898"/>
      <c r="G28" s="2898"/>
      <c r="H28" s="2898"/>
      <c r="I28" s="2899">
        <v>1</v>
      </c>
      <c r="J28" s="2900" t="str" cm="1">
        <f t="array" aca="1" ref="J28" ca="1">INDEX(Sc.Ranked!$D$2:$D$31,I28)</f>
        <v>The farm uses a deep pit slurry storage system, where the manure and wash water is stored for a period of time before being emptied. The accumulated slurry is agitated and land-applied using tractor-pulled tanker method.</v>
      </c>
      <c r="K28" s="2900"/>
      <c r="L28" s="2900"/>
      <c r="M28" s="2900"/>
      <c r="N28" s="2900"/>
      <c r="O28" s="2900"/>
      <c r="P28" s="2900"/>
      <c r="Q28" s="2900"/>
      <c r="R28" s="2900"/>
      <c r="S28" s="2900"/>
      <c r="T28" s="2900"/>
      <c r="U28" s="2901"/>
      <c r="V28" s="963"/>
      <c r="W28" s="609"/>
      <c r="X28" s="926"/>
      <c r="Y28" s="926"/>
      <c r="Z28" s="926"/>
      <c r="AA28" s="926"/>
      <c r="AB28" s="926"/>
      <c r="AC28" s="926"/>
      <c r="AD28" s="926"/>
      <c r="AE28" s="926"/>
      <c r="AF28" s="926"/>
      <c r="AG28" s="926"/>
      <c r="AH28" s="926"/>
      <c r="AI28" s="926"/>
      <c r="AJ28" s="926"/>
    </row>
    <row r="29" spans="1:36" ht="15" customHeight="1" x14ac:dyDescent="0.3">
      <c r="A29" s="926"/>
      <c r="B29" s="609"/>
      <c r="C29" s="962"/>
      <c r="D29" s="2897"/>
      <c r="E29" s="2898"/>
      <c r="F29" s="2898"/>
      <c r="G29" s="2898"/>
      <c r="H29" s="2898"/>
      <c r="I29" s="2899"/>
      <c r="J29" s="2900"/>
      <c r="K29" s="2900"/>
      <c r="L29" s="2900"/>
      <c r="M29" s="2900"/>
      <c r="N29" s="2900"/>
      <c r="O29" s="2900"/>
      <c r="P29" s="2900"/>
      <c r="Q29" s="2900"/>
      <c r="R29" s="2900"/>
      <c r="S29" s="2900"/>
      <c r="T29" s="2900"/>
      <c r="U29" s="2901"/>
      <c r="V29" s="963"/>
      <c r="W29" s="609"/>
      <c r="X29" s="926"/>
      <c r="Y29" s="926"/>
      <c r="Z29" s="926"/>
      <c r="AA29" s="926"/>
      <c r="AB29" s="926"/>
      <c r="AC29" s="926"/>
      <c r="AD29" s="926"/>
      <c r="AE29" s="926"/>
      <c r="AF29" s="926"/>
      <c r="AG29" s="926"/>
      <c r="AH29" s="926"/>
      <c r="AI29" s="926"/>
      <c r="AJ29" s="926"/>
    </row>
    <row r="30" spans="1:36" ht="15" customHeight="1" x14ac:dyDescent="0.3">
      <c r="A30" s="926"/>
      <c r="B30" s="609"/>
      <c r="C30" s="962"/>
      <c r="D30" s="2897"/>
      <c r="E30" s="2898"/>
      <c r="F30" s="2898"/>
      <c r="G30" s="2898"/>
      <c r="H30" s="2898"/>
      <c r="I30" s="2899"/>
      <c r="J30" s="2900"/>
      <c r="K30" s="2900"/>
      <c r="L30" s="2900"/>
      <c r="M30" s="2900"/>
      <c r="N30" s="2900"/>
      <c r="O30" s="2900"/>
      <c r="P30" s="2900"/>
      <c r="Q30" s="2900"/>
      <c r="R30" s="2900"/>
      <c r="S30" s="2900"/>
      <c r="T30" s="2900"/>
      <c r="U30" s="2901"/>
      <c r="V30" s="963"/>
      <c r="W30" s="609"/>
      <c r="X30" s="926"/>
      <c r="Y30" s="926"/>
      <c r="Z30" s="926"/>
      <c r="AA30" s="926"/>
      <c r="AB30" s="926"/>
      <c r="AC30" s="926"/>
      <c r="AD30" s="926"/>
      <c r="AE30" s="926"/>
      <c r="AF30" s="926"/>
      <c r="AG30" s="926"/>
      <c r="AH30" s="926"/>
      <c r="AI30" s="926"/>
      <c r="AJ30" s="926"/>
    </row>
    <row r="31" spans="1:36" ht="15" customHeight="1" x14ac:dyDescent="0.3">
      <c r="A31" s="926"/>
      <c r="B31" s="609"/>
      <c r="C31" s="962"/>
      <c r="D31" s="2897"/>
      <c r="E31" s="2898"/>
      <c r="F31" s="2898"/>
      <c r="G31" s="2898"/>
      <c r="H31" s="2898"/>
      <c r="I31" s="2899"/>
      <c r="J31" s="2900"/>
      <c r="K31" s="2900"/>
      <c r="L31" s="2900"/>
      <c r="M31" s="2900"/>
      <c r="N31" s="2900"/>
      <c r="O31" s="2900"/>
      <c r="P31" s="2900"/>
      <c r="Q31" s="2900"/>
      <c r="R31" s="2900"/>
      <c r="S31" s="2900"/>
      <c r="T31" s="2900"/>
      <c r="U31" s="2901"/>
      <c r="V31" s="963"/>
      <c r="W31" s="609"/>
      <c r="X31" s="926"/>
      <c r="Y31" s="926"/>
      <c r="Z31" s="926"/>
      <c r="AA31" s="926"/>
      <c r="AB31" s="926"/>
      <c r="AC31" s="926"/>
      <c r="AD31" s="926"/>
      <c r="AE31" s="926"/>
      <c r="AF31" s="926"/>
      <c r="AG31" s="926"/>
      <c r="AH31" s="926"/>
      <c r="AI31" s="926"/>
      <c r="AJ31" s="926"/>
    </row>
    <row r="32" spans="1:36" ht="15" customHeight="1" x14ac:dyDescent="0.3">
      <c r="A32" s="926"/>
      <c r="B32" s="609"/>
      <c r="C32" s="962"/>
      <c r="D32" s="2897"/>
      <c r="E32" s="2898"/>
      <c r="F32" s="2898"/>
      <c r="G32" s="2898"/>
      <c r="H32" s="2898"/>
      <c r="I32" s="2899"/>
      <c r="J32" s="2900"/>
      <c r="K32" s="2900"/>
      <c r="L32" s="2900"/>
      <c r="M32" s="2900"/>
      <c r="N32" s="2900"/>
      <c r="O32" s="2900"/>
      <c r="P32" s="2900"/>
      <c r="Q32" s="2900"/>
      <c r="R32" s="2900"/>
      <c r="S32" s="2900"/>
      <c r="T32" s="2900"/>
      <c r="U32" s="2901"/>
      <c r="V32" s="963"/>
      <c r="W32" s="609"/>
      <c r="X32" s="926"/>
      <c r="Y32" s="926"/>
      <c r="Z32" s="926"/>
      <c r="AA32" s="926"/>
      <c r="AB32" s="926"/>
      <c r="AC32" s="926"/>
      <c r="AD32" s="926"/>
      <c r="AE32" s="926"/>
      <c r="AF32" s="926"/>
      <c r="AG32" s="926"/>
      <c r="AH32" s="926"/>
      <c r="AI32" s="926"/>
      <c r="AJ32" s="926"/>
    </row>
    <row r="33" spans="1:36" ht="15" customHeight="1" x14ac:dyDescent="0.3">
      <c r="A33" s="926"/>
      <c r="B33" s="609"/>
      <c r="C33" s="962"/>
      <c r="D33" s="2897"/>
      <c r="E33" s="2898"/>
      <c r="F33" s="2898"/>
      <c r="G33" s="2898"/>
      <c r="H33" s="2898"/>
      <c r="I33" s="2899"/>
      <c r="J33" s="2900"/>
      <c r="K33" s="2900"/>
      <c r="L33" s="2900"/>
      <c r="M33" s="2900"/>
      <c r="N33" s="2900"/>
      <c r="O33" s="2900"/>
      <c r="P33" s="2900"/>
      <c r="Q33" s="2900"/>
      <c r="R33" s="2900"/>
      <c r="S33" s="2900"/>
      <c r="T33" s="2900"/>
      <c r="U33" s="2901"/>
      <c r="V33" s="963"/>
      <c r="W33" s="609"/>
      <c r="X33" s="926"/>
      <c r="Y33" s="926"/>
      <c r="Z33" s="926"/>
      <c r="AA33" s="926"/>
      <c r="AB33" s="926"/>
      <c r="AC33" s="926"/>
      <c r="AD33" s="926"/>
      <c r="AE33" s="926"/>
      <c r="AF33" s="926"/>
      <c r="AG33" s="926"/>
      <c r="AH33" s="926"/>
      <c r="AI33" s="926"/>
      <c r="AJ33" s="926"/>
    </row>
    <row r="34" spans="1:36" ht="15" customHeight="1" x14ac:dyDescent="0.3">
      <c r="A34" s="926"/>
      <c r="B34" s="609"/>
      <c r="C34" s="962"/>
      <c r="D34" s="2897" t="str" cm="1">
        <f t="array" aca="1" ref="D34" ca="1">INDEX(Sc.Ranked!$C$2:$C$31,I34)</f>
        <v>Deep pit, aeration, tanker</v>
      </c>
      <c r="E34" s="2898"/>
      <c r="F34" s="2898"/>
      <c r="G34" s="2898"/>
      <c r="H34" s="2898"/>
      <c r="I34" s="2899">
        <v>2</v>
      </c>
      <c r="J34" s="2900" t="str" cm="1">
        <f t="array" aca="1" ref="J34" ca="1">INDEX(Sc.Ranked!$D$2:$D$31,I34)</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tractor-pulled tanker method.</v>
      </c>
      <c r="K34" s="2900"/>
      <c r="L34" s="2900"/>
      <c r="M34" s="2900"/>
      <c r="N34" s="2900"/>
      <c r="O34" s="2900"/>
      <c r="P34" s="2900"/>
      <c r="Q34" s="2900"/>
      <c r="R34" s="2900"/>
      <c r="S34" s="2900"/>
      <c r="T34" s="2900"/>
      <c r="U34" s="2901"/>
      <c r="V34" s="963"/>
      <c r="W34" s="609"/>
      <c r="X34" s="926"/>
      <c r="Y34" s="926"/>
      <c r="Z34" s="926"/>
      <c r="AA34" s="926"/>
      <c r="AB34" s="926"/>
      <c r="AC34" s="926"/>
      <c r="AD34" s="926"/>
      <c r="AE34" s="926"/>
      <c r="AF34" s="926"/>
      <c r="AG34" s="926"/>
      <c r="AH34" s="926"/>
      <c r="AI34" s="926"/>
      <c r="AJ34" s="926"/>
    </row>
    <row r="35" spans="1:36" ht="15" customHeight="1" x14ac:dyDescent="0.3">
      <c r="A35" s="926"/>
      <c r="B35" s="609"/>
      <c r="C35" s="962"/>
      <c r="D35" s="2897"/>
      <c r="E35" s="2898"/>
      <c r="F35" s="2898"/>
      <c r="G35" s="2898"/>
      <c r="H35" s="2898"/>
      <c r="I35" s="2899"/>
      <c r="J35" s="2900"/>
      <c r="K35" s="2900"/>
      <c r="L35" s="2900"/>
      <c r="M35" s="2900"/>
      <c r="N35" s="2900"/>
      <c r="O35" s="2900"/>
      <c r="P35" s="2900"/>
      <c r="Q35" s="2900"/>
      <c r="R35" s="2900"/>
      <c r="S35" s="2900"/>
      <c r="T35" s="2900"/>
      <c r="U35" s="2901"/>
      <c r="V35" s="963"/>
      <c r="W35" s="609"/>
      <c r="X35" s="926"/>
      <c r="Y35" s="926"/>
      <c r="Z35" s="926"/>
      <c r="AA35" s="926"/>
      <c r="AB35" s="926"/>
      <c r="AC35" s="926"/>
      <c r="AD35" s="926"/>
      <c r="AE35" s="926"/>
      <c r="AF35" s="926"/>
      <c r="AG35" s="926"/>
      <c r="AH35" s="926"/>
      <c r="AI35" s="926"/>
      <c r="AJ35" s="926"/>
    </row>
    <row r="36" spans="1:36" ht="15" customHeight="1" x14ac:dyDescent="0.3">
      <c r="A36" s="926"/>
      <c r="B36" s="609"/>
      <c r="C36" s="962"/>
      <c r="D36" s="2897"/>
      <c r="E36" s="2898"/>
      <c r="F36" s="2898"/>
      <c r="G36" s="2898"/>
      <c r="H36" s="2898"/>
      <c r="I36" s="2899"/>
      <c r="J36" s="2900"/>
      <c r="K36" s="2900"/>
      <c r="L36" s="2900"/>
      <c r="M36" s="2900"/>
      <c r="N36" s="2900"/>
      <c r="O36" s="2900"/>
      <c r="P36" s="2900"/>
      <c r="Q36" s="2900"/>
      <c r="R36" s="2900"/>
      <c r="S36" s="2900"/>
      <c r="T36" s="2900"/>
      <c r="U36" s="2901"/>
      <c r="V36" s="963"/>
      <c r="W36" s="609"/>
      <c r="X36" s="926"/>
      <c r="Y36" s="926"/>
      <c r="Z36" s="926"/>
      <c r="AA36" s="926"/>
      <c r="AB36" s="926"/>
      <c r="AC36" s="926"/>
      <c r="AD36" s="926"/>
      <c r="AE36" s="926"/>
      <c r="AF36" s="926"/>
      <c r="AG36" s="926"/>
      <c r="AH36" s="926"/>
      <c r="AI36" s="926"/>
      <c r="AJ36" s="926"/>
    </row>
    <row r="37" spans="1:36" ht="15" customHeight="1" x14ac:dyDescent="0.3">
      <c r="A37" s="926"/>
      <c r="B37" s="609"/>
      <c r="C37" s="962"/>
      <c r="D37" s="2897"/>
      <c r="E37" s="2898"/>
      <c r="F37" s="2898"/>
      <c r="G37" s="2898"/>
      <c r="H37" s="2898"/>
      <c r="I37" s="2899"/>
      <c r="J37" s="2900"/>
      <c r="K37" s="2900"/>
      <c r="L37" s="2900"/>
      <c r="M37" s="2900"/>
      <c r="N37" s="2900"/>
      <c r="O37" s="2900"/>
      <c r="P37" s="2900"/>
      <c r="Q37" s="2900"/>
      <c r="R37" s="2900"/>
      <c r="S37" s="2900"/>
      <c r="T37" s="2900"/>
      <c r="U37" s="2901"/>
      <c r="V37" s="963"/>
      <c r="W37" s="609"/>
      <c r="X37" s="926"/>
      <c r="Y37" s="926"/>
      <c r="Z37" s="926"/>
      <c r="AA37" s="926"/>
      <c r="AB37" s="926"/>
      <c r="AC37" s="926"/>
      <c r="AD37" s="926"/>
      <c r="AE37" s="926"/>
      <c r="AF37" s="926"/>
      <c r="AG37" s="926"/>
      <c r="AH37" s="926"/>
      <c r="AI37" s="926"/>
      <c r="AJ37" s="926"/>
    </row>
    <row r="38" spans="1:36" ht="15" customHeight="1" x14ac:dyDescent="0.3">
      <c r="A38" s="926"/>
      <c r="B38" s="609"/>
      <c r="C38" s="962"/>
      <c r="D38" s="2897"/>
      <c r="E38" s="2898"/>
      <c r="F38" s="2898"/>
      <c r="G38" s="2898"/>
      <c r="H38" s="2898"/>
      <c r="I38" s="2899"/>
      <c r="J38" s="2900"/>
      <c r="K38" s="2900"/>
      <c r="L38" s="2900"/>
      <c r="M38" s="2900"/>
      <c r="N38" s="2900"/>
      <c r="O38" s="2900"/>
      <c r="P38" s="2900"/>
      <c r="Q38" s="2900"/>
      <c r="R38" s="2900"/>
      <c r="S38" s="2900"/>
      <c r="T38" s="2900"/>
      <c r="U38" s="2901"/>
      <c r="V38" s="963"/>
      <c r="W38" s="609"/>
      <c r="X38" s="926"/>
      <c r="Y38" s="926"/>
      <c r="Z38" s="926"/>
      <c r="AA38" s="926"/>
      <c r="AB38" s="926"/>
      <c r="AC38" s="926"/>
      <c r="AD38" s="926"/>
      <c r="AE38" s="926"/>
      <c r="AF38" s="926"/>
      <c r="AG38" s="926"/>
      <c r="AH38" s="926"/>
      <c r="AI38" s="926"/>
      <c r="AJ38" s="926"/>
    </row>
    <row r="39" spans="1:36" ht="15" customHeight="1" x14ac:dyDescent="0.3">
      <c r="A39" s="926"/>
      <c r="B39" s="609"/>
      <c r="C39" s="962"/>
      <c r="D39" s="2897"/>
      <c r="E39" s="2898"/>
      <c r="F39" s="2898"/>
      <c r="G39" s="2898"/>
      <c r="H39" s="2898"/>
      <c r="I39" s="2899"/>
      <c r="J39" s="2900"/>
      <c r="K39" s="2900"/>
      <c r="L39" s="2900"/>
      <c r="M39" s="2900"/>
      <c r="N39" s="2900"/>
      <c r="O39" s="2900"/>
      <c r="P39" s="2900"/>
      <c r="Q39" s="2900"/>
      <c r="R39" s="2900"/>
      <c r="S39" s="2900"/>
      <c r="T39" s="2900"/>
      <c r="U39" s="2901"/>
      <c r="V39" s="963"/>
      <c r="W39" s="609"/>
      <c r="X39" s="926"/>
      <c r="Y39" s="926"/>
      <c r="Z39" s="926"/>
      <c r="AA39" s="926"/>
      <c r="AB39" s="926"/>
      <c r="AC39" s="926"/>
      <c r="AD39" s="926"/>
      <c r="AE39" s="926"/>
      <c r="AF39" s="926"/>
      <c r="AG39" s="926"/>
      <c r="AH39" s="926"/>
      <c r="AI39" s="926"/>
      <c r="AJ39" s="926"/>
    </row>
    <row r="40" spans="1:36" ht="15" customHeight="1" x14ac:dyDescent="0.3">
      <c r="A40" s="926"/>
      <c r="B40" s="609"/>
      <c r="C40" s="962"/>
      <c r="D40" s="2897" t="str" cm="1">
        <f t="array" aca="1" ref="D40" ca="1">INDEX(Sc.Ranked!$C$2:$C$31,I40)</f>
        <v>Deep pit, drag hose</v>
      </c>
      <c r="E40" s="2898"/>
      <c r="F40" s="2898"/>
      <c r="G40" s="2898"/>
      <c r="H40" s="2898"/>
      <c r="I40" s="2899">
        <v>3</v>
      </c>
      <c r="J40" s="2900" t="str" cm="1">
        <f t="array" aca="1" ref="J40" ca="1">INDEX(Sc.Ranked!$D$2:$D$31,I40)</f>
        <v>The farm uses a deep pit slurry storage system, where the manure and wash water is stored for a period of time before being emptied. The accumulated slurry is agitated and land-applied using tractor-pulled drag hose method.</v>
      </c>
      <c r="K40" s="2900"/>
      <c r="L40" s="2900"/>
      <c r="M40" s="2900"/>
      <c r="N40" s="2900"/>
      <c r="O40" s="2900"/>
      <c r="P40" s="2900"/>
      <c r="Q40" s="2900"/>
      <c r="R40" s="2900"/>
      <c r="S40" s="2900"/>
      <c r="T40" s="2900"/>
      <c r="U40" s="2901"/>
      <c r="V40" s="963"/>
      <c r="W40" s="609"/>
      <c r="X40" s="926"/>
      <c r="Y40" s="926"/>
      <c r="Z40" s="926"/>
      <c r="AA40" s="926"/>
      <c r="AB40" s="926"/>
      <c r="AC40" s="926"/>
      <c r="AD40" s="926"/>
      <c r="AE40" s="926"/>
      <c r="AF40" s="926"/>
      <c r="AG40" s="926"/>
      <c r="AH40" s="926"/>
      <c r="AI40" s="926"/>
      <c r="AJ40" s="926"/>
    </row>
    <row r="41" spans="1:36" ht="15" customHeight="1" x14ac:dyDescent="0.3">
      <c r="A41" s="926"/>
      <c r="B41" s="609"/>
      <c r="C41" s="962"/>
      <c r="D41" s="2897"/>
      <c r="E41" s="2898"/>
      <c r="F41" s="2898"/>
      <c r="G41" s="2898"/>
      <c r="H41" s="2898"/>
      <c r="I41" s="2899"/>
      <c r="J41" s="2900"/>
      <c r="K41" s="2900"/>
      <c r="L41" s="2900"/>
      <c r="M41" s="2900"/>
      <c r="N41" s="2900"/>
      <c r="O41" s="2900"/>
      <c r="P41" s="2900"/>
      <c r="Q41" s="2900"/>
      <c r="R41" s="2900"/>
      <c r="S41" s="2900"/>
      <c r="T41" s="2900"/>
      <c r="U41" s="2901"/>
      <c r="V41" s="963"/>
      <c r="W41" s="609"/>
      <c r="X41" s="926"/>
      <c r="Y41" s="926"/>
      <c r="Z41" s="926"/>
      <c r="AA41" s="926"/>
      <c r="AB41" s="926"/>
      <c r="AC41" s="926"/>
      <c r="AD41" s="926"/>
      <c r="AE41" s="926"/>
      <c r="AF41" s="926"/>
      <c r="AG41" s="926"/>
      <c r="AH41" s="926"/>
      <c r="AI41" s="926"/>
      <c r="AJ41" s="926"/>
    </row>
    <row r="42" spans="1:36" ht="15" customHeight="1" x14ac:dyDescent="0.3">
      <c r="A42" s="926"/>
      <c r="B42" s="609"/>
      <c r="C42" s="962"/>
      <c r="D42" s="2897"/>
      <c r="E42" s="2898"/>
      <c r="F42" s="2898"/>
      <c r="G42" s="2898"/>
      <c r="H42" s="2898"/>
      <c r="I42" s="2899"/>
      <c r="J42" s="2900"/>
      <c r="K42" s="2900"/>
      <c r="L42" s="2900"/>
      <c r="M42" s="2900"/>
      <c r="N42" s="2900"/>
      <c r="O42" s="2900"/>
      <c r="P42" s="2900"/>
      <c r="Q42" s="2900"/>
      <c r="R42" s="2900"/>
      <c r="S42" s="2900"/>
      <c r="T42" s="2900"/>
      <c r="U42" s="2901"/>
      <c r="V42" s="963"/>
      <c r="W42" s="609"/>
      <c r="X42" s="926"/>
      <c r="Y42" s="926"/>
      <c r="Z42" s="926"/>
      <c r="AA42" s="926"/>
      <c r="AB42" s="926"/>
      <c r="AC42" s="926"/>
      <c r="AD42" s="926"/>
      <c r="AE42" s="926"/>
      <c r="AF42" s="926"/>
      <c r="AG42" s="926"/>
      <c r="AH42" s="926"/>
      <c r="AI42" s="926"/>
      <c r="AJ42" s="926"/>
    </row>
    <row r="43" spans="1:36" ht="15" customHeight="1" x14ac:dyDescent="0.3">
      <c r="A43" s="926"/>
      <c r="B43" s="609"/>
      <c r="C43" s="962"/>
      <c r="D43" s="2897"/>
      <c r="E43" s="2898"/>
      <c r="F43" s="2898"/>
      <c r="G43" s="2898"/>
      <c r="H43" s="2898"/>
      <c r="I43" s="2899"/>
      <c r="J43" s="2900"/>
      <c r="K43" s="2900"/>
      <c r="L43" s="2900"/>
      <c r="M43" s="2900"/>
      <c r="N43" s="2900"/>
      <c r="O43" s="2900"/>
      <c r="P43" s="2900"/>
      <c r="Q43" s="2900"/>
      <c r="R43" s="2900"/>
      <c r="S43" s="2900"/>
      <c r="T43" s="2900"/>
      <c r="U43" s="2901"/>
      <c r="V43" s="963"/>
      <c r="W43" s="609"/>
      <c r="X43" s="926"/>
      <c r="Y43" s="926"/>
      <c r="Z43" s="926"/>
      <c r="AA43" s="926"/>
      <c r="AB43" s="926"/>
      <c r="AC43" s="926"/>
      <c r="AD43" s="926"/>
      <c r="AE43" s="926"/>
      <c r="AF43" s="926"/>
      <c r="AG43" s="926"/>
      <c r="AH43" s="926"/>
      <c r="AI43" s="926"/>
      <c r="AJ43" s="926"/>
    </row>
    <row r="44" spans="1:36" ht="15" customHeight="1" x14ac:dyDescent="0.3">
      <c r="A44" s="926"/>
      <c r="B44" s="609"/>
      <c r="C44" s="962"/>
      <c r="D44" s="2897"/>
      <c r="E44" s="2898"/>
      <c r="F44" s="2898"/>
      <c r="G44" s="2898"/>
      <c r="H44" s="2898"/>
      <c r="I44" s="2899"/>
      <c r="J44" s="2900"/>
      <c r="K44" s="2900"/>
      <c r="L44" s="2900"/>
      <c r="M44" s="2900"/>
      <c r="N44" s="2900"/>
      <c r="O44" s="2900"/>
      <c r="P44" s="2900"/>
      <c r="Q44" s="2900"/>
      <c r="R44" s="2900"/>
      <c r="S44" s="2900"/>
      <c r="T44" s="2900"/>
      <c r="U44" s="2901"/>
      <c r="V44" s="963"/>
      <c r="W44" s="609"/>
      <c r="X44" s="926"/>
      <c r="Y44" s="926"/>
      <c r="Z44" s="926"/>
      <c r="AA44" s="926"/>
      <c r="AB44" s="926"/>
      <c r="AC44" s="926"/>
      <c r="AD44" s="926"/>
      <c r="AE44" s="926"/>
      <c r="AF44" s="926"/>
      <c r="AG44" s="926"/>
      <c r="AH44" s="926"/>
      <c r="AI44" s="926"/>
      <c r="AJ44" s="926"/>
    </row>
    <row r="45" spans="1:36" ht="15" customHeight="1" x14ac:dyDescent="0.3">
      <c r="A45" s="926"/>
      <c r="B45" s="609"/>
      <c r="C45" s="962"/>
      <c r="D45" s="2897"/>
      <c r="E45" s="2898"/>
      <c r="F45" s="2898"/>
      <c r="G45" s="2898"/>
      <c r="H45" s="2898"/>
      <c r="I45" s="2899"/>
      <c r="J45" s="2900"/>
      <c r="K45" s="2900"/>
      <c r="L45" s="2900"/>
      <c r="M45" s="2900"/>
      <c r="N45" s="2900"/>
      <c r="O45" s="2900"/>
      <c r="P45" s="2900"/>
      <c r="Q45" s="2900"/>
      <c r="R45" s="2900"/>
      <c r="S45" s="2900"/>
      <c r="T45" s="2900"/>
      <c r="U45" s="2901"/>
      <c r="V45" s="963"/>
      <c r="W45" s="609"/>
      <c r="X45" s="926"/>
      <c r="Y45" s="926"/>
      <c r="Z45" s="926"/>
      <c r="AA45" s="926"/>
      <c r="AB45" s="926"/>
      <c r="AC45" s="926"/>
      <c r="AD45" s="926"/>
      <c r="AE45" s="926"/>
      <c r="AF45" s="926"/>
      <c r="AG45" s="926"/>
      <c r="AH45" s="926"/>
      <c r="AI45" s="926"/>
      <c r="AJ45" s="926"/>
    </row>
    <row r="46" spans="1:36" ht="15" customHeight="1" x14ac:dyDescent="0.3">
      <c r="A46" s="926"/>
      <c r="B46" s="609"/>
      <c r="C46" s="962"/>
      <c r="D46" s="2897" t="str" cm="1">
        <f t="array" aca="1" ref="D46" ca="1">INDEX(Sc.Ranked!$C$2:$C$31,I46)</f>
        <v>Deep pit, aeration, drag hose</v>
      </c>
      <c r="E46" s="2898"/>
      <c r="F46" s="2898"/>
      <c r="G46" s="2898"/>
      <c r="H46" s="2898"/>
      <c r="I46" s="2899">
        <v>4</v>
      </c>
      <c r="J46" s="2900" t="str" cm="1">
        <f t="array" aca="1" ref="J46" ca="1">INDEX(Sc.Ranked!$D$2:$D$31,I46)</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the tractor-pulled drag hose method.</v>
      </c>
      <c r="K46" s="2900"/>
      <c r="L46" s="2900"/>
      <c r="M46" s="2900"/>
      <c r="N46" s="2900"/>
      <c r="O46" s="2900"/>
      <c r="P46" s="2900"/>
      <c r="Q46" s="2900"/>
      <c r="R46" s="2900"/>
      <c r="S46" s="2900"/>
      <c r="T46" s="2900"/>
      <c r="U46" s="2901"/>
      <c r="V46" s="963"/>
      <c r="W46" s="609"/>
      <c r="X46" s="926"/>
      <c r="Y46" s="926"/>
      <c r="Z46" s="926"/>
      <c r="AA46" s="926"/>
      <c r="AB46" s="926"/>
      <c r="AC46" s="926"/>
      <c r="AD46" s="926"/>
      <c r="AE46" s="926"/>
      <c r="AF46" s="926"/>
      <c r="AG46" s="926"/>
      <c r="AH46" s="926"/>
      <c r="AI46" s="926"/>
      <c r="AJ46" s="926"/>
    </row>
    <row r="47" spans="1:36" ht="15" customHeight="1" x14ac:dyDescent="0.3">
      <c r="A47" s="926"/>
      <c r="B47" s="609"/>
      <c r="C47" s="962"/>
      <c r="D47" s="2897"/>
      <c r="E47" s="2898"/>
      <c r="F47" s="2898"/>
      <c r="G47" s="2898"/>
      <c r="H47" s="2898"/>
      <c r="I47" s="2899"/>
      <c r="J47" s="2900"/>
      <c r="K47" s="2900"/>
      <c r="L47" s="2900"/>
      <c r="M47" s="2900"/>
      <c r="N47" s="2900"/>
      <c r="O47" s="2900"/>
      <c r="P47" s="2900"/>
      <c r="Q47" s="2900"/>
      <c r="R47" s="2900"/>
      <c r="S47" s="2900"/>
      <c r="T47" s="2900"/>
      <c r="U47" s="2901"/>
      <c r="V47" s="963"/>
      <c r="W47" s="609"/>
      <c r="X47" s="926"/>
      <c r="Y47" s="926"/>
      <c r="Z47" s="926"/>
      <c r="AA47" s="926"/>
      <c r="AB47" s="926"/>
      <c r="AC47" s="926"/>
      <c r="AD47" s="926"/>
      <c r="AE47" s="926"/>
      <c r="AF47" s="926"/>
      <c r="AG47" s="926"/>
      <c r="AH47" s="926"/>
      <c r="AI47" s="926"/>
      <c r="AJ47" s="926"/>
    </row>
    <row r="48" spans="1:36" ht="15" customHeight="1" x14ac:dyDescent="0.3">
      <c r="A48" s="926"/>
      <c r="B48" s="609"/>
      <c r="C48" s="962"/>
      <c r="D48" s="2897"/>
      <c r="E48" s="2898"/>
      <c r="F48" s="2898"/>
      <c r="G48" s="2898"/>
      <c r="H48" s="2898"/>
      <c r="I48" s="2899"/>
      <c r="J48" s="2900"/>
      <c r="K48" s="2900"/>
      <c r="L48" s="2900"/>
      <c r="M48" s="2900"/>
      <c r="N48" s="2900"/>
      <c r="O48" s="2900"/>
      <c r="P48" s="2900"/>
      <c r="Q48" s="2900"/>
      <c r="R48" s="2900"/>
      <c r="S48" s="2900"/>
      <c r="T48" s="2900"/>
      <c r="U48" s="2901"/>
      <c r="V48" s="963"/>
      <c r="W48" s="609"/>
      <c r="X48" s="926"/>
      <c r="Y48" s="926"/>
      <c r="Z48" s="926"/>
      <c r="AA48" s="926"/>
      <c r="AB48" s="926"/>
      <c r="AC48" s="926"/>
      <c r="AD48" s="926"/>
      <c r="AE48" s="926"/>
      <c r="AF48" s="926"/>
      <c r="AG48" s="926"/>
      <c r="AH48" s="926"/>
      <c r="AI48" s="926"/>
      <c r="AJ48" s="926"/>
    </row>
    <row r="49" spans="1:36" ht="15" customHeight="1" x14ac:dyDescent="0.3">
      <c r="A49" s="926"/>
      <c r="B49" s="609"/>
      <c r="C49" s="962"/>
      <c r="D49" s="2897"/>
      <c r="E49" s="2898"/>
      <c r="F49" s="2898"/>
      <c r="G49" s="2898"/>
      <c r="H49" s="2898"/>
      <c r="I49" s="2899"/>
      <c r="J49" s="2900"/>
      <c r="K49" s="2900"/>
      <c r="L49" s="2900"/>
      <c r="M49" s="2900"/>
      <c r="N49" s="2900"/>
      <c r="O49" s="2900"/>
      <c r="P49" s="2900"/>
      <c r="Q49" s="2900"/>
      <c r="R49" s="2900"/>
      <c r="S49" s="2900"/>
      <c r="T49" s="2900"/>
      <c r="U49" s="2901"/>
      <c r="V49" s="963"/>
      <c r="W49" s="609"/>
      <c r="X49" s="926"/>
      <c r="Y49" s="926"/>
      <c r="Z49" s="926"/>
      <c r="AA49" s="926"/>
      <c r="AB49" s="926"/>
      <c r="AC49" s="926"/>
      <c r="AD49" s="926"/>
      <c r="AE49" s="926"/>
      <c r="AF49" s="926"/>
      <c r="AG49" s="926"/>
      <c r="AH49" s="926"/>
      <c r="AI49" s="926"/>
      <c r="AJ49" s="926"/>
    </row>
    <row r="50" spans="1:36" ht="15" customHeight="1" x14ac:dyDescent="0.3">
      <c r="A50" s="926"/>
      <c r="B50" s="609"/>
      <c r="C50" s="962"/>
      <c r="D50" s="2897"/>
      <c r="E50" s="2898"/>
      <c r="F50" s="2898"/>
      <c r="G50" s="2898"/>
      <c r="H50" s="2898"/>
      <c r="I50" s="2899"/>
      <c r="J50" s="2900"/>
      <c r="K50" s="2900"/>
      <c r="L50" s="2900"/>
      <c r="M50" s="2900"/>
      <c r="N50" s="2900"/>
      <c r="O50" s="2900"/>
      <c r="P50" s="2900"/>
      <c r="Q50" s="2900"/>
      <c r="R50" s="2900"/>
      <c r="S50" s="2900"/>
      <c r="T50" s="2900"/>
      <c r="U50" s="2901"/>
      <c r="V50" s="963"/>
      <c r="W50" s="609"/>
      <c r="X50" s="926"/>
      <c r="Y50" s="926"/>
      <c r="Z50" s="926"/>
      <c r="AA50" s="926"/>
      <c r="AB50" s="926"/>
      <c r="AC50" s="926"/>
      <c r="AD50" s="926"/>
      <c r="AE50" s="926"/>
      <c r="AF50" s="926"/>
      <c r="AG50" s="926"/>
      <c r="AH50" s="926"/>
      <c r="AI50" s="926"/>
      <c r="AJ50" s="926"/>
    </row>
    <row r="51" spans="1:36" ht="15" customHeight="1" x14ac:dyDescent="0.3">
      <c r="A51" s="926"/>
      <c r="B51" s="609"/>
      <c r="C51" s="962"/>
      <c r="D51" s="2897"/>
      <c r="E51" s="2898"/>
      <c r="F51" s="2898"/>
      <c r="G51" s="2898"/>
      <c r="H51" s="2898"/>
      <c r="I51" s="2899"/>
      <c r="J51" s="2900"/>
      <c r="K51" s="2900"/>
      <c r="L51" s="2900"/>
      <c r="M51" s="2900"/>
      <c r="N51" s="2900"/>
      <c r="O51" s="2900"/>
      <c r="P51" s="2900"/>
      <c r="Q51" s="2900"/>
      <c r="R51" s="2900"/>
      <c r="S51" s="2900"/>
      <c r="T51" s="2900"/>
      <c r="U51" s="2901"/>
      <c r="V51" s="963"/>
      <c r="W51" s="609"/>
      <c r="X51" s="926"/>
      <c r="Y51" s="926"/>
      <c r="Z51" s="926"/>
      <c r="AA51" s="926"/>
      <c r="AB51" s="926"/>
      <c r="AC51" s="926"/>
      <c r="AD51" s="926"/>
      <c r="AE51" s="926"/>
      <c r="AF51" s="926"/>
      <c r="AG51" s="926"/>
      <c r="AH51" s="926"/>
      <c r="AI51" s="926"/>
      <c r="AJ51" s="926"/>
    </row>
    <row r="52" spans="1:36" ht="15" customHeight="1" x14ac:dyDescent="0.3">
      <c r="A52" s="926"/>
      <c r="B52" s="609"/>
      <c r="C52" s="962"/>
      <c r="D52" s="2897" t="str" cm="1">
        <f t="array" aca="1" ref="D52" ca="1">INDEX(Sc.Ranked!$C$2:$C$31,I52)</f>
        <v>Shallow pit, scrape auto, lagoon, irrigation + tanker</v>
      </c>
      <c r="E52" s="2898"/>
      <c r="F52" s="2898"/>
      <c r="G52" s="2898"/>
      <c r="H52" s="2898"/>
      <c r="I52" s="2899">
        <v>5</v>
      </c>
      <c r="J52" s="2900" t="str" cm="1">
        <f t="array" aca="1" ref="J52" ca="1">INDEX(Sc.Ranked!$D$2:$D$31,I52)</f>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c r="K52" s="2900"/>
      <c r="L52" s="2900"/>
      <c r="M52" s="2900"/>
      <c r="N52" s="2900"/>
      <c r="O52" s="2900"/>
      <c r="P52" s="2900"/>
      <c r="Q52" s="2900"/>
      <c r="R52" s="2900"/>
      <c r="S52" s="2900"/>
      <c r="T52" s="2900"/>
      <c r="U52" s="2901"/>
      <c r="V52" s="963"/>
      <c r="W52" s="609"/>
      <c r="X52" s="926"/>
      <c r="Y52" s="926"/>
      <c r="Z52" s="926"/>
      <c r="AA52" s="926"/>
      <c r="AB52" s="926"/>
      <c r="AC52" s="926"/>
      <c r="AD52" s="926"/>
      <c r="AE52" s="926"/>
      <c r="AF52" s="926"/>
      <c r="AG52" s="926"/>
      <c r="AH52" s="926"/>
      <c r="AI52" s="926"/>
      <c r="AJ52" s="926"/>
    </row>
    <row r="53" spans="1:36" ht="15" customHeight="1" x14ac:dyDescent="0.3">
      <c r="A53" s="926"/>
      <c r="B53" s="609"/>
      <c r="C53" s="962"/>
      <c r="D53" s="2897"/>
      <c r="E53" s="2898"/>
      <c r="F53" s="2898"/>
      <c r="G53" s="2898"/>
      <c r="H53" s="2898"/>
      <c r="I53" s="2899"/>
      <c r="J53" s="2900"/>
      <c r="K53" s="2900"/>
      <c r="L53" s="2900"/>
      <c r="M53" s="2900"/>
      <c r="N53" s="2900"/>
      <c r="O53" s="2900"/>
      <c r="P53" s="2900"/>
      <c r="Q53" s="2900"/>
      <c r="R53" s="2900"/>
      <c r="S53" s="2900"/>
      <c r="T53" s="2900"/>
      <c r="U53" s="2901"/>
      <c r="V53" s="963"/>
      <c r="W53" s="609"/>
      <c r="X53" s="926"/>
      <c r="Y53" s="926"/>
      <c r="Z53" s="926"/>
      <c r="AA53" s="926"/>
      <c r="AB53" s="926"/>
      <c r="AC53" s="926"/>
      <c r="AD53" s="926"/>
      <c r="AE53" s="926"/>
      <c r="AF53" s="926"/>
      <c r="AG53" s="926"/>
      <c r="AH53" s="926"/>
      <c r="AI53" s="926"/>
      <c r="AJ53" s="926"/>
    </row>
    <row r="54" spans="1:36" ht="15" customHeight="1" x14ac:dyDescent="0.3">
      <c r="A54" s="926"/>
      <c r="B54" s="609"/>
      <c r="C54" s="962"/>
      <c r="D54" s="2897"/>
      <c r="E54" s="2898"/>
      <c r="F54" s="2898"/>
      <c r="G54" s="2898"/>
      <c r="H54" s="2898"/>
      <c r="I54" s="2899"/>
      <c r="J54" s="2900"/>
      <c r="K54" s="2900"/>
      <c r="L54" s="2900"/>
      <c r="M54" s="2900"/>
      <c r="N54" s="2900"/>
      <c r="O54" s="2900"/>
      <c r="P54" s="2900"/>
      <c r="Q54" s="2900"/>
      <c r="R54" s="2900"/>
      <c r="S54" s="2900"/>
      <c r="T54" s="2900"/>
      <c r="U54" s="2901"/>
      <c r="V54" s="963"/>
      <c r="W54" s="609"/>
      <c r="X54" s="926"/>
      <c r="Y54" s="926"/>
      <c r="Z54" s="926"/>
      <c r="AA54" s="926"/>
      <c r="AB54" s="926"/>
      <c r="AC54" s="926"/>
      <c r="AD54" s="926"/>
      <c r="AE54" s="926"/>
      <c r="AF54" s="926"/>
      <c r="AG54" s="926"/>
      <c r="AH54" s="926"/>
      <c r="AI54" s="926"/>
      <c r="AJ54" s="926"/>
    </row>
    <row r="55" spans="1:36" ht="15" customHeight="1" x14ac:dyDescent="0.3">
      <c r="A55" s="926"/>
      <c r="B55" s="609"/>
      <c r="C55" s="962"/>
      <c r="D55" s="2897"/>
      <c r="E55" s="2898"/>
      <c r="F55" s="2898"/>
      <c r="G55" s="2898"/>
      <c r="H55" s="2898"/>
      <c r="I55" s="2899"/>
      <c r="J55" s="2900"/>
      <c r="K55" s="2900"/>
      <c r="L55" s="2900"/>
      <c r="M55" s="2900"/>
      <c r="N55" s="2900"/>
      <c r="O55" s="2900"/>
      <c r="P55" s="2900"/>
      <c r="Q55" s="2900"/>
      <c r="R55" s="2900"/>
      <c r="S55" s="2900"/>
      <c r="T55" s="2900"/>
      <c r="U55" s="2901"/>
      <c r="V55" s="963"/>
      <c r="W55" s="609"/>
      <c r="X55" s="926"/>
      <c r="Y55" s="926"/>
      <c r="Z55" s="926"/>
      <c r="AA55" s="926"/>
      <c r="AB55" s="926"/>
      <c r="AC55" s="926"/>
      <c r="AD55" s="926"/>
      <c r="AE55" s="926"/>
      <c r="AF55" s="926"/>
      <c r="AG55" s="926"/>
      <c r="AH55" s="926"/>
      <c r="AI55" s="926"/>
      <c r="AJ55" s="926"/>
    </row>
    <row r="56" spans="1:36" ht="15" customHeight="1" x14ac:dyDescent="0.3">
      <c r="A56" s="926"/>
      <c r="B56" s="609"/>
      <c r="C56" s="962"/>
      <c r="D56" s="2897"/>
      <c r="E56" s="2898"/>
      <c r="F56" s="2898"/>
      <c r="G56" s="2898"/>
      <c r="H56" s="2898"/>
      <c r="I56" s="2899"/>
      <c r="J56" s="2900"/>
      <c r="K56" s="2900"/>
      <c r="L56" s="2900"/>
      <c r="M56" s="2900"/>
      <c r="N56" s="2900"/>
      <c r="O56" s="2900"/>
      <c r="P56" s="2900"/>
      <c r="Q56" s="2900"/>
      <c r="R56" s="2900"/>
      <c r="S56" s="2900"/>
      <c r="T56" s="2900"/>
      <c r="U56" s="2901"/>
      <c r="V56" s="963"/>
      <c r="W56" s="609"/>
      <c r="X56" s="926"/>
      <c r="Y56" s="926"/>
      <c r="Z56" s="926"/>
      <c r="AA56" s="926"/>
      <c r="AB56" s="926"/>
      <c r="AC56" s="926"/>
      <c r="AD56" s="926"/>
      <c r="AE56" s="926"/>
      <c r="AF56" s="926"/>
      <c r="AG56" s="926"/>
      <c r="AH56" s="926"/>
      <c r="AI56" s="926"/>
      <c r="AJ56" s="926"/>
    </row>
    <row r="57" spans="1:36" ht="15" customHeight="1" x14ac:dyDescent="0.3">
      <c r="A57" s="926"/>
      <c r="B57" s="609"/>
      <c r="C57" s="962"/>
      <c r="D57" s="2897"/>
      <c r="E57" s="2898"/>
      <c r="F57" s="2898"/>
      <c r="G57" s="2898"/>
      <c r="H57" s="2898"/>
      <c r="I57" s="2899"/>
      <c r="J57" s="2900"/>
      <c r="K57" s="2900"/>
      <c r="L57" s="2900"/>
      <c r="M57" s="2900"/>
      <c r="N57" s="2900"/>
      <c r="O57" s="2900"/>
      <c r="P57" s="2900"/>
      <c r="Q57" s="2900"/>
      <c r="R57" s="2900"/>
      <c r="S57" s="2900"/>
      <c r="T57" s="2900"/>
      <c r="U57" s="2901"/>
      <c r="V57" s="963"/>
      <c r="W57" s="609"/>
      <c r="X57" s="926"/>
      <c r="Y57" s="926"/>
      <c r="Z57" s="926"/>
      <c r="AA57" s="926"/>
      <c r="AB57" s="926"/>
      <c r="AC57" s="926"/>
      <c r="AD57" s="926"/>
      <c r="AE57" s="926"/>
      <c r="AF57" s="926"/>
      <c r="AG57" s="926"/>
      <c r="AH57" s="926"/>
      <c r="AI57" s="926"/>
      <c r="AJ57" s="926"/>
    </row>
    <row r="58" spans="1:36" ht="15" customHeight="1" x14ac:dyDescent="0.3">
      <c r="A58" s="926"/>
      <c r="B58" s="609"/>
      <c r="C58" s="962"/>
      <c r="D58" s="2897" t="str" cm="1">
        <f t="array" aca="1" ref="D58" ca="1">INDEX(Sc.Ranked!$C$2:$C$31,I58)</f>
        <v>Shallow pit, flush, lagoon, irrigation + tanker</v>
      </c>
      <c r="E58" s="2898"/>
      <c r="F58" s="2898"/>
      <c r="G58" s="2898"/>
      <c r="H58" s="2898"/>
      <c r="I58" s="2899">
        <v>6</v>
      </c>
      <c r="J58" s="2900" t="str" cm="1">
        <f t="array" aca="1" ref="J58" ca="1">INDEX(Sc.Ranked!$D$2:$D$31,I58)</f>
        <v>The farm uses a flush water system for barn cleaning. The flushed manure flows to a lagoon and is stored for a period of time before it is emptied. The accumulated sludge is removed after a long storage period. Both the liquids and sludge removal is done with agitation and land applied using the tractor-pulled tanker method.</v>
      </c>
      <c r="K58" s="2900"/>
      <c r="L58" s="2900"/>
      <c r="M58" s="2900"/>
      <c r="N58" s="2900"/>
      <c r="O58" s="2900"/>
      <c r="P58" s="2900"/>
      <c r="Q58" s="2900"/>
      <c r="R58" s="2900"/>
      <c r="S58" s="2900"/>
      <c r="T58" s="2900"/>
      <c r="U58" s="2901"/>
      <c r="V58" s="963"/>
      <c r="W58" s="609"/>
      <c r="X58" s="926"/>
      <c r="Y58" s="926"/>
      <c r="Z58" s="926"/>
      <c r="AA58" s="926"/>
      <c r="AB58" s="926"/>
      <c r="AC58" s="926"/>
      <c r="AD58" s="926"/>
      <c r="AE58" s="926"/>
      <c r="AF58" s="926"/>
      <c r="AG58" s="926"/>
      <c r="AH58" s="926"/>
      <c r="AI58" s="926"/>
      <c r="AJ58" s="926"/>
    </row>
    <row r="59" spans="1:36" ht="15" customHeight="1" x14ac:dyDescent="0.3">
      <c r="A59" s="926"/>
      <c r="B59" s="609"/>
      <c r="C59" s="962"/>
      <c r="D59" s="2897"/>
      <c r="E59" s="2898"/>
      <c r="F59" s="2898"/>
      <c r="G59" s="2898"/>
      <c r="H59" s="2898"/>
      <c r="I59" s="2899"/>
      <c r="J59" s="2900"/>
      <c r="K59" s="2900"/>
      <c r="L59" s="2900"/>
      <c r="M59" s="2900"/>
      <c r="N59" s="2900"/>
      <c r="O59" s="2900"/>
      <c r="P59" s="2900"/>
      <c r="Q59" s="2900"/>
      <c r="R59" s="2900"/>
      <c r="S59" s="2900"/>
      <c r="T59" s="2900"/>
      <c r="U59" s="2901"/>
      <c r="V59" s="963"/>
      <c r="W59" s="609"/>
      <c r="X59" s="926"/>
      <c r="Y59" s="926"/>
      <c r="Z59" s="926"/>
      <c r="AA59" s="926"/>
      <c r="AB59" s="926"/>
      <c r="AC59" s="926"/>
      <c r="AD59" s="926"/>
      <c r="AE59" s="926"/>
      <c r="AF59" s="926"/>
      <c r="AG59" s="926"/>
      <c r="AH59" s="926"/>
      <c r="AI59" s="926"/>
      <c r="AJ59" s="926"/>
    </row>
    <row r="60" spans="1:36" ht="15" customHeight="1" x14ac:dyDescent="0.3">
      <c r="A60" s="926"/>
      <c r="B60" s="609"/>
      <c r="C60" s="962"/>
      <c r="D60" s="2897"/>
      <c r="E60" s="2898"/>
      <c r="F60" s="2898"/>
      <c r="G60" s="2898"/>
      <c r="H60" s="2898"/>
      <c r="I60" s="2899"/>
      <c r="J60" s="2900"/>
      <c r="K60" s="2900"/>
      <c r="L60" s="2900"/>
      <c r="M60" s="2900"/>
      <c r="N60" s="2900"/>
      <c r="O60" s="2900"/>
      <c r="P60" s="2900"/>
      <c r="Q60" s="2900"/>
      <c r="R60" s="2900"/>
      <c r="S60" s="2900"/>
      <c r="T60" s="2900"/>
      <c r="U60" s="2901"/>
      <c r="V60" s="963"/>
      <c r="W60" s="609"/>
      <c r="X60" s="926"/>
      <c r="Y60" s="926"/>
      <c r="Z60" s="926"/>
      <c r="AA60" s="926"/>
      <c r="AB60" s="926"/>
      <c r="AC60" s="926"/>
      <c r="AD60" s="926"/>
      <c r="AE60" s="926"/>
      <c r="AF60" s="926"/>
      <c r="AG60" s="926"/>
      <c r="AH60" s="926"/>
      <c r="AI60" s="926"/>
      <c r="AJ60" s="926"/>
    </row>
    <row r="61" spans="1:36" ht="15" customHeight="1" x14ac:dyDescent="0.3">
      <c r="A61" s="926"/>
      <c r="B61" s="609"/>
      <c r="C61" s="962"/>
      <c r="D61" s="2897"/>
      <c r="E61" s="2898"/>
      <c r="F61" s="2898"/>
      <c r="G61" s="2898"/>
      <c r="H61" s="2898"/>
      <c r="I61" s="2899"/>
      <c r="J61" s="2900"/>
      <c r="K61" s="2900"/>
      <c r="L61" s="2900"/>
      <c r="M61" s="2900"/>
      <c r="N61" s="2900"/>
      <c r="O61" s="2900"/>
      <c r="P61" s="2900"/>
      <c r="Q61" s="2900"/>
      <c r="R61" s="2900"/>
      <c r="S61" s="2900"/>
      <c r="T61" s="2900"/>
      <c r="U61" s="2901"/>
      <c r="V61" s="963"/>
      <c r="W61" s="609"/>
      <c r="X61" s="926"/>
      <c r="Y61" s="926"/>
      <c r="Z61" s="926"/>
      <c r="AA61" s="926"/>
      <c r="AB61" s="926"/>
      <c r="AC61" s="926"/>
      <c r="AD61" s="926"/>
      <c r="AE61" s="926"/>
      <c r="AF61" s="926"/>
      <c r="AG61" s="926"/>
      <c r="AH61" s="926"/>
      <c r="AI61" s="926"/>
      <c r="AJ61" s="926"/>
    </row>
    <row r="62" spans="1:36" ht="15" customHeight="1" x14ac:dyDescent="0.3">
      <c r="A62" s="926"/>
      <c r="B62" s="609"/>
      <c r="C62" s="962"/>
      <c r="D62" s="2897"/>
      <c r="E62" s="2898"/>
      <c r="F62" s="2898"/>
      <c r="G62" s="2898"/>
      <c r="H62" s="2898"/>
      <c r="I62" s="2899"/>
      <c r="J62" s="2900"/>
      <c r="K62" s="2900"/>
      <c r="L62" s="2900"/>
      <c r="M62" s="2900"/>
      <c r="N62" s="2900"/>
      <c r="O62" s="2900"/>
      <c r="P62" s="2900"/>
      <c r="Q62" s="2900"/>
      <c r="R62" s="2900"/>
      <c r="S62" s="2900"/>
      <c r="T62" s="2900"/>
      <c r="U62" s="2901"/>
      <c r="V62" s="963"/>
      <c r="W62" s="609"/>
      <c r="X62" s="926"/>
      <c r="Y62" s="926"/>
      <c r="Z62" s="926"/>
      <c r="AA62" s="926"/>
      <c r="AB62" s="926"/>
      <c r="AC62" s="926"/>
      <c r="AD62" s="926"/>
      <c r="AE62" s="926"/>
      <c r="AF62" s="926"/>
      <c r="AG62" s="926"/>
      <c r="AH62" s="926"/>
      <c r="AI62" s="926"/>
      <c r="AJ62" s="926"/>
    </row>
    <row r="63" spans="1:36" ht="15" customHeight="1" x14ac:dyDescent="0.3">
      <c r="A63" s="926"/>
      <c r="B63" s="609"/>
      <c r="C63" s="962"/>
      <c r="D63" s="2897"/>
      <c r="E63" s="2898"/>
      <c r="F63" s="2898"/>
      <c r="G63" s="2898"/>
      <c r="H63" s="2898"/>
      <c r="I63" s="2899"/>
      <c r="J63" s="2900"/>
      <c r="K63" s="2900"/>
      <c r="L63" s="2900"/>
      <c r="M63" s="2900"/>
      <c r="N63" s="2900"/>
      <c r="O63" s="2900"/>
      <c r="P63" s="2900"/>
      <c r="Q63" s="2900"/>
      <c r="R63" s="2900"/>
      <c r="S63" s="2900"/>
      <c r="T63" s="2900"/>
      <c r="U63" s="2901"/>
      <c r="V63" s="963"/>
      <c r="W63" s="609"/>
      <c r="X63" s="926"/>
      <c r="Y63" s="926"/>
      <c r="Z63" s="926"/>
      <c r="AA63" s="926"/>
      <c r="AB63" s="926"/>
      <c r="AC63" s="926"/>
      <c r="AD63" s="926"/>
      <c r="AE63" s="926"/>
      <c r="AF63" s="926"/>
      <c r="AG63" s="926"/>
      <c r="AH63" s="926"/>
      <c r="AI63" s="926"/>
      <c r="AJ63" s="926"/>
    </row>
    <row r="64" spans="1:36" ht="15" customHeight="1" x14ac:dyDescent="0.3">
      <c r="A64" s="926"/>
      <c r="B64" s="609"/>
      <c r="C64" s="962"/>
      <c r="D64" s="2897" t="str" cm="1">
        <f t="array" aca="1" ref="D64" ca="1">INDEX(Sc.Ranked!$C$2:$C$31,I64)</f>
        <v>Shallow pit, scrape auto, above ground storage tank, tanker</v>
      </c>
      <c r="E64" s="2898"/>
      <c r="F64" s="2898"/>
      <c r="G64" s="2898"/>
      <c r="H64" s="2898"/>
      <c r="I64" s="2899">
        <v>7</v>
      </c>
      <c r="J64" s="2900" t="str" cm="1">
        <f t="array" aca="1" ref="J64" ca="1">INDEX(Sc.Ranked!$D$2:$D$31,I64)</f>
        <v>The farm uses a scrape system for barn cleaning. The scraped manure is collected in a reception pit and pumped to an outside Slurry Storage tank for a period of time before it is emptied. The slurry removal is done with agitation and land applied using the tractor-pulled tanker method.</v>
      </c>
      <c r="K64" s="2900"/>
      <c r="L64" s="2900"/>
      <c r="M64" s="2900"/>
      <c r="N64" s="2900"/>
      <c r="O64" s="2900"/>
      <c r="P64" s="2900"/>
      <c r="Q64" s="2900"/>
      <c r="R64" s="2900"/>
      <c r="S64" s="2900"/>
      <c r="T64" s="2900"/>
      <c r="U64" s="2901"/>
      <c r="V64" s="963"/>
      <c r="W64" s="609"/>
      <c r="X64" s="926"/>
      <c r="Y64" s="926"/>
      <c r="Z64" s="926"/>
      <c r="AA64" s="926"/>
      <c r="AB64" s="926"/>
      <c r="AC64" s="926"/>
      <c r="AD64" s="926"/>
      <c r="AE64" s="926"/>
      <c r="AF64" s="926"/>
      <c r="AG64" s="926"/>
      <c r="AH64" s="926"/>
      <c r="AI64" s="926"/>
      <c r="AJ64" s="926"/>
    </row>
    <row r="65" spans="1:36" ht="15" customHeight="1" x14ac:dyDescent="0.3">
      <c r="A65" s="926"/>
      <c r="B65" s="609"/>
      <c r="C65" s="962"/>
      <c r="D65" s="2897"/>
      <c r="E65" s="2898"/>
      <c r="F65" s="2898"/>
      <c r="G65" s="2898"/>
      <c r="H65" s="2898"/>
      <c r="I65" s="2899"/>
      <c r="J65" s="2900"/>
      <c r="K65" s="2900"/>
      <c r="L65" s="2900"/>
      <c r="M65" s="2900"/>
      <c r="N65" s="2900"/>
      <c r="O65" s="2900"/>
      <c r="P65" s="2900"/>
      <c r="Q65" s="2900"/>
      <c r="R65" s="2900"/>
      <c r="S65" s="2900"/>
      <c r="T65" s="2900"/>
      <c r="U65" s="2901"/>
      <c r="V65" s="963"/>
      <c r="W65" s="609"/>
      <c r="X65" s="926"/>
      <c r="Y65" s="926"/>
      <c r="Z65" s="926"/>
      <c r="AA65" s="926"/>
      <c r="AB65" s="926"/>
      <c r="AC65" s="926"/>
      <c r="AD65" s="926"/>
      <c r="AE65" s="926"/>
      <c r="AF65" s="926"/>
      <c r="AG65" s="926"/>
      <c r="AH65" s="926"/>
      <c r="AI65" s="926"/>
      <c r="AJ65" s="926"/>
    </row>
    <row r="66" spans="1:36" ht="15" customHeight="1" x14ac:dyDescent="0.3">
      <c r="A66" s="926"/>
      <c r="B66" s="609"/>
      <c r="C66" s="962"/>
      <c r="D66" s="2897"/>
      <c r="E66" s="2898"/>
      <c r="F66" s="2898"/>
      <c r="G66" s="2898"/>
      <c r="H66" s="2898"/>
      <c r="I66" s="2899"/>
      <c r="J66" s="2900"/>
      <c r="K66" s="2900"/>
      <c r="L66" s="2900"/>
      <c r="M66" s="2900"/>
      <c r="N66" s="2900"/>
      <c r="O66" s="2900"/>
      <c r="P66" s="2900"/>
      <c r="Q66" s="2900"/>
      <c r="R66" s="2900"/>
      <c r="S66" s="2900"/>
      <c r="T66" s="2900"/>
      <c r="U66" s="2901"/>
      <c r="V66" s="963"/>
      <c r="W66" s="609"/>
      <c r="X66" s="926"/>
      <c r="Y66" s="926"/>
      <c r="Z66" s="926"/>
      <c r="AA66" s="926"/>
      <c r="AB66" s="926"/>
      <c r="AC66" s="926"/>
      <c r="AD66" s="926"/>
      <c r="AE66" s="926"/>
      <c r="AF66" s="926"/>
      <c r="AG66" s="926"/>
      <c r="AH66" s="926"/>
      <c r="AI66" s="926"/>
      <c r="AJ66" s="926"/>
    </row>
    <row r="67" spans="1:36" ht="15" customHeight="1" x14ac:dyDescent="0.3">
      <c r="A67" s="926"/>
      <c r="B67" s="609"/>
      <c r="C67" s="962"/>
      <c r="D67" s="2897"/>
      <c r="E67" s="2898"/>
      <c r="F67" s="2898"/>
      <c r="G67" s="2898"/>
      <c r="H67" s="2898"/>
      <c r="I67" s="2899"/>
      <c r="J67" s="2900"/>
      <c r="K67" s="2900"/>
      <c r="L67" s="2900"/>
      <c r="M67" s="2900"/>
      <c r="N67" s="2900"/>
      <c r="O67" s="2900"/>
      <c r="P67" s="2900"/>
      <c r="Q67" s="2900"/>
      <c r="R67" s="2900"/>
      <c r="S67" s="2900"/>
      <c r="T67" s="2900"/>
      <c r="U67" s="2901"/>
      <c r="V67" s="963"/>
      <c r="W67" s="609"/>
      <c r="X67" s="926"/>
      <c r="Y67" s="926"/>
      <c r="Z67" s="926"/>
      <c r="AA67" s="926"/>
      <c r="AB67" s="926"/>
      <c r="AC67" s="926"/>
      <c r="AD67" s="926"/>
      <c r="AE67" s="926"/>
      <c r="AF67" s="926"/>
      <c r="AG67" s="926"/>
      <c r="AH67" s="926"/>
      <c r="AI67" s="926"/>
      <c r="AJ67" s="926"/>
    </row>
    <row r="68" spans="1:36" ht="15" customHeight="1" x14ac:dyDescent="0.3">
      <c r="A68" s="926"/>
      <c r="B68" s="609"/>
      <c r="C68" s="962"/>
      <c r="D68" s="2897"/>
      <c r="E68" s="2898"/>
      <c r="F68" s="2898"/>
      <c r="G68" s="2898"/>
      <c r="H68" s="2898"/>
      <c r="I68" s="2899"/>
      <c r="J68" s="2900"/>
      <c r="K68" s="2900"/>
      <c r="L68" s="2900"/>
      <c r="M68" s="2900"/>
      <c r="N68" s="2900"/>
      <c r="O68" s="2900"/>
      <c r="P68" s="2900"/>
      <c r="Q68" s="2900"/>
      <c r="R68" s="2900"/>
      <c r="S68" s="2900"/>
      <c r="T68" s="2900"/>
      <c r="U68" s="2901"/>
      <c r="V68" s="963"/>
      <c r="W68" s="609"/>
      <c r="X68" s="926"/>
      <c r="Y68" s="926"/>
      <c r="Z68" s="926"/>
      <c r="AA68" s="926"/>
      <c r="AB68" s="926"/>
      <c r="AC68" s="926"/>
      <c r="AD68" s="926"/>
      <c r="AE68" s="926"/>
      <c r="AF68" s="926"/>
      <c r="AG68" s="926"/>
      <c r="AH68" s="926"/>
      <c r="AI68" s="926"/>
      <c r="AJ68" s="926"/>
    </row>
    <row r="69" spans="1:36" ht="15" customHeight="1" x14ac:dyDescent="0.3">
      <c r="A69" s="926"/>
      <c r="B69" s="609"/>
      <c r="C69" s="962"/>
      <c r="D69" s="2897"/>
      <c r="E69" s="2898"/>
      <c r="F69" s="2898"/>
      <c r="G69" s="2898"/>
      <c r="H69" s="2898"/>
      <c r="I69" s="2899"/>
      <c r="J69" s="2900"/>
      <c r="K69" s="2900"/>
      <c r="L69" s="2900"/>
      <c r="M69" s="2900"/>
      <c r="N69" s="2900"/>
      <c r="O69" s="2900"/>
      <c r="P69" s="2900"/>
      <c r="Q69" s="2900"/>
      <c r="R69" s="2900"/>
      <c r="S69" s="2900"/>
      <c r="T69" s="2900"/>
      <c r="U69" s="2901"/>
      <c r="V69" s="963"/>
      <c r="W69" s="609"/>
      <c r="X69" s="926"/>
      <c r="Y69" s="926"/>
      <c r="Z69" s="926"/>
      <c r="AA69" s="926"/>
      <c r="AB69" s="926"/>
      <c r="AC69" s="926"/>
      <c r="AD69" s="926"/>
      <c r="AE69" s="926"/>
      <c r="AF69" s="926"/>
      <c r="AG69" s="926"/>
      <c r="AH69" s="926"/>
      <c r="AI69" s="926"/>
      <c r="AJ69" s="926"/>
    </row>
    <row r="70" spans="1:36" ht="15" customHeight="1" x14ac:dyDescent="0.3">
      <c r="A70" s="926"/>
      <c r="B70" s="609"/>
      <c r="C70" s="962"/>
      <c r="D70" s="2897" t="str" cm="1">
        <f t="array" aca="1" ref="D70" ca="1">INDEX(Sc.Ranked!$C$2:$C$31,I70)</f>
        <v>Shallow pit, scrape auto, slope screen, lagoon, irrigation + tanker</v>
      </c>
      <c r="E70" s="2898"/>
      <c r="F70" s="2898"/>
      <c r="G70" s="2898"/>
      <c r="H70" s="2898"/>
      <c r="I70" s="2899">
        <v>8</v>
      </c>
      <c r="J70" s="2900" t="str" cm="1">
        <f t="array" aca="1" ref="J70" ca="1">INDEX(Sc.Ranked!$D$2:$D$31,I70)</f>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c r="K70" s="2900"/>
      <c r="L70" s="2900"/>
      <c r="M70" s="2900"/>
      <c r="N70" s="2900"/>
      <c r="O70" s="2900"/>
      <c r="P70" s="2900"/>
      <c r="Q70" s="2900"/>
      <c r="R70" s="2900"/>
      <c r="S70" s="2900"/>
      <c r="T70" s="2900"/>
      <c r="U70" s="2901"/>
      <c r="V70" s="963"/>
      <c r="W70" s="609"/>
      <c r="X70" s="926"/>
      <c r="Y70" s="926"/>
      <c r="Z70" s="926"/>
      <c r="AA70" s="926"/>
      <c r="AB70" s="926"/>
      <c r="AC70" s="926"/>
      <c r="AD70" s="926"/>
      <c r="AE70" s="926"/>
      <c r="AF70" s="926"/>
      <c r="AG70" s="926"/>
      <c r="AH70" s="926"/>
      <c r="AI70" s="926"/>
      <c r="AJ70" s="926"/>
    </row>
    <row r="71" spans="1:36" ht="15" customHeight="1" x14ac:dyDescent="0.3">
      <c r="A71" s="926"/>
      <c r="B71" s="609"/>
      <c r="C71" s="962"/>
      <c r="D71" s="2897"/>
      <c r="E71" s="2898"/>
      <c r="F71" s="2898"/>
      <c r="G71" s="2898"/>
      <c r="H71" s="2898"/>
      <c r="I71" s="2899"/>
      <c r="J71" s="2900"/>
      <c r="K71" s="2900"/>
      <c r="L71" s="2900"/>
      <c r="M71" s="2900"/>
      <c r="N71" s="2900"/>
      <c r="O71" s="2900"/>
      <c r="P71" s="2900"/>
      <c r="Q71" s="2900"/>
      <c r="R71" s="2900"/>
      <c r="S71" s="2900"/>
      <c r="T71" s="2900"/>
      <c r="U71" s="2901"/>
      <c r="V71" s="963"/>
      <c r="W71" s="609"/>
      <c r="X71" s="926"/>
      <c r="Y71" s="926"/>
      <c r="Z71" s="926"/>
      <c r="AA71" s="926"/>
      <c r="AB71" s="926"/>
      <c r="AC71" s="926"/>
      <c r="AD71" s="926"/>
      <c r="AE71" s="926"/>
      <c r="AF71" s="926"/>
      <c r="AG71" s="926"/>
      <c r="AH71" s="926"/>
      <c r="AI71" s="926"/>
      <c r="AJ71" s="926"/>
    </row>
    <row r="72" spans="1:36" ht="15" customHeight="1" x14ac:dyDescent="0.3">
      <c r="A72" s="926"/>
      <c r="B72" s="609"/>
      <c r="C72" s="962"/>
      <c r="D72" s="2897"/>
      <c r="E72" s="2898"/>
      <c r="F72" s="2898"/>
      <c r="G72" s="2898"/>
      <c r="H72" s="2898"/>
      <c r="I72" s="2899"/>
      <c r="J72" s="2900"/>
      <c r="K72" s="2900"/>
      <c r="L72" s="2900"/>
      <c r="M72" s="2900"/>
      <c r="N72" s="2900"/>
      <c r="O72" s="2900"/>
      <c r="P72" s="2900"/>
      <c r="Q72" s="2900"/>
      <c r="R72" s="2900"/>
      <c r="S72" s="2900"/>
      <c r="T72" s="2900"/>
      <c r="U72" s="2901"/>
      <c r="V72" s="963"/>
      <c r="W72" s="609"/>
      <c r="X72" s="926"/>
      <c r="Y72" s="926"/>
      <c r="Z72" s="926"/>
      <c r="AA72" s="926"/>
      <c r="AB72" s="926"/>
      <c r="AC72" s="926"/>
      <c r="AD72" s="926"/>
      <c r="AE72" s="926"/>
      <c r="AF72" s="926"/>
      <c r="AG72" s="926"/>
      <c r="AH72" s="926"/>
      <c r="AI72" s="926"/>
      <c r="AJ72" s="926"/>
    </row>
    <row r="73" spans="1:36" ht="15" customHeight="1" x14ac:dyDescent="0.3">
      <c r="A73" s="926"/>
      <c r="B73" s="609"/>
      <c r="C73" s="962"/>
      <c r="D73" s="2897"/>
      <c r="E73" s="2898"/>
      <c r="F73" s="2898"/>
      <c r="G73" s="2898"/>
      <c r="H73" s="2898"/>
      <c r="I73" s="2899"/>
      <c r="J73" s="2900"/>
      <c r="K73" s="2900"/>
      <c r="L73" s="2900"/>
      <c r="M73" s="2900"/>
      <c r="N73" s="2900"/>
      <c r="O73" s="2900"/>
      <c r="P73" s="2900"/>
      <c r="Q73" s="2900"/>
      <c r="R73" s="2900"/>
      <c r="S73" s="2900"/>
      <c r="T73" s="2900"/>
      <c r="U73" s="2901"/>
      <c r="V73" s="963"/>
      <c r="W73" s="609"/>
      <c r="X73" s="926"/>
      <c r="Y73" s="926"/>
      <c r="Z73" s="926"/>
      <c r="AA73" s="926"/>
      <c r="AB73" s="926"/>
      <c r="AC73" s="926"/>
      <c r="AD73" s="926"/>
      <c r="AE73" s="926"/>
      <c r="AF73" s="926"/>
      <c r="AG73" s="926"/>
      <c r="AH73" s="926"/>
      <c r="AI73" s="926"/>
      <c r="AJ73" s="926"/>
    </row>
    <row r="74" spans="1:36" ht="15" customHeight="1" x14ac:dyDescent="0.3">
      <c r="A74" s="926"/>
      <c r="B74" s="609"/>
      <c r="C74" s="962"/>
      <c r="D74" s="2897"/>
      <c r="E74" s="2898"/>
      <c r="F74" s="2898"/>
      <c r="G74" s="2898"/>
      <c r="H74" s="2898"/>
      <c r="I74" s="2899"/>
      <c r="J74" s="2900"/>
      <c r="K74" s="2900"/>
      <c r="L74" s="2900"/>
      <c r="M74" s="2900"/>
      <c r="N74" s="2900"/>
      <c r="O74" s="2900"/>
      <c r="P74" s="2900"/>
      <c r="Q74" s="2900"/>
      <c r="R74" s="2900"/>
      <c r="S74" s="2900"/>
      <c r="T74" s="2900"/>
      <c r="U74" s="2901"/>
      <c r="V74" s="963"/>
      <c r="W74" s="609"/>
      <c r="X74" s="926"/>
      <c r="Y74" s="926"/>
      <c r="Z74" s="926"/>
      <c r="AA74" s="926"/>
      <c r="AB74" s="926"/>
      <c r="AC74" s="926"/>
      <c r="AD74" s="926"/>
      <c r="AE74" s="926"/>
      <c r="AF74" s="926"/>
      <c r="AG74" s="926"/>
      <c r="AH74" s="926"/>
      <c r="AI74" s="926"/>
      <c r="AJ74" s="926"/>
    </row>
    <row r="75" spans="1:36" ht="15" customHeight="1" x14ac:dyDescent="0.3">
      <c r="A75" s="926"/>
      <c r="B75" s="609"/>
      <c r="C75" s="962"/>
      <c r="D75" s="2897"/>
      <c r="E75" s="2898"/>
      <c r="F75" s="2898"/>
      <c r="G75" s="2898"/>
      <c r="H75" s="2898"/>
      <c r="I75" s="2899"/>
      <c r="J75" s="2900"/>
      <c r="K75" s="2900"/>
      <c r="L75" s="2900"/>
      <c r="M75" s="2900"/>
      <c r="N75" s="2900"/>
      <c r="O75" s="2900"/>
      <c r="P75" s="2900"/>
      <c r="Q75" s="2900"/>
      <c r="R75" s="2900"/>
      <c r="S75" s="2900"/>
      <c r="T75" s="2900"/>
      <c r="U75" s="2901"/>
      <c r="V75" s="963"/>
      <c r="W75" s="609"/>
      <c r="X75" s="926"/>
      <c r="Y75" s="926"/>
      <c r="Z75" s="926"/>
      <c r="AA75" s="926"/>
      <c r="AB75" s="926"/>
      <c r="AC75" s="926"/>
      <c r="AD75" s="926"/>
      <c r="AE75" s="926"/>
      <c r="AF75" s="926"/>
      <c r="AG75" s="926"/>
      <c r="AH75" s="926"/>
      <c r="AI75" s="926"/>
      <c r="AJ75" s="926"/>
    </row>
    <row r="76" spans="1:36" ht="15" customHeight="1" x14ac:dyDescent="0.3">
      <c r="A76" s="926"/>
      <c r="B76" s="609"/>
      <c r="C76" s="962"/>
      <c r="D76" s="2897" t="str" cm="1">
        <f t="array" aca="1" ref="D76" ca="1">INDEX(Sc.Ranked!$C$2:$C$31,I76)</f>
        <v>Shallow pit, flush, covered digestion basin, lagoon, irrigation + tanker</v>
      </c>
      <c r="E76" s="2898"/>
      <c r="F76" s="2898"/>
      <c r="G76" s="2898"/>
      <c r="H76" s="2898"/>
      <c r="I76" s="2899">
        <v>9</v>
      </c>
      <c r="J76" s="2900" t="str" cm="1">
        <f t="array" aca="1" ref="J76" ca="1">INDEX(Sc.Ranked!$D$2:$D$31,I76)</f>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emptied.Liquids are land applied via irrigation while the accumulated sludge is removed after a longer storage period and land applied via agitation and tractor-pulled tanker.</v>
      </c>
      <c r="K76" s="2900"/>
      <c r="L76" s="2900"/>
      <c r="M76" s="2900"/>
      <c r="N76" s="2900"/>
      <c r="O76" s="2900"/>
      <c r="P76" s="2900"/>
      <c r="Q76" s="2900"/>
      <c r="R76" s="2900"/>
      <c r="S76" s="2900"/>
      <c r="T76" s="2900"/>
      <c r="U76" s="2901"/>
      <c r="V76" s="963"/>
      <c r="W76" s="609"/>
      <c r="X76" s="926"/>
      <c r="Y76" s="926"/>
      <c r="Z76" s="926"/>
      <c r="AA76" s="926"/>
      <c r="AB76" s="926"/>
      <c r="AC76" s="926"/>
      <c r="AD76" s="926"/>
      <c r="AE76" s="926"/>
      <c r="AF76" s="926"/>
      <c r="AG76" s="926"/>
      <c r="AH76" s="926"/>
      <c r="AI76" s="926"/>
      <c r="AJ76" s="926"/>
    </row>
    <row r="77" spans="1:36" ht="15" customHeight="1" x14ac:dyDescent="0.3">
      <c r="A77" s="926"/>
      <c r="B77" s="609"/>
      <c r="C77" s="962"/>
      <c r="D77" s="2897"/>
      <c r="E77" s="2898"/>
      <c r="F77" s="2898"/>
      <c r="G77" s="2898"/>
      <c r="H77" s="2898"/>
      <c r="I77" s="2899"/>
      <c r="J77" s="2900"/>
      <c r="K77" s="2900"/>
      <c r="L77" s="2900"/>
      <c r="M77" s="2900"/>
      <c r="N77" s="2900"/>
      <c r="O77" s="2900"/>
      <c r="P77" s="2900"/>
      <c r="Q77" s="2900"/>
      <c r="R77" s="2900"/>
      <c r="S77" s="2900"/>
      <c r="T77" s="2900"/>
      <c r="U77" s="2901"/>
      <c r="V77" s="963"/>
      <c r="W77" s="609"/>
      <c r="X77" s="926"/>
      <c r="Y77" s="926"/>
      <c r="Z77" s="926"/>
      <c r="AA77" s="926"/>
      <c r="AB77" s="926"/>
      <c r="AC77" s="926"/>
      <c r="AD77" s="926"/>
      <c r="AE77" s="926"/>
      <c r="AF77" s="926"/>
      <c r="AG77" s="926"/>
      <c r="AH77" s="926"/>
      <c r="AI77" s="926"/>
      <c r="AJ77" s="926"/>
    </row>
    <row r="78" spans="1:36" ht="15" customHeight="1" x14ac:dyDescent="0.3">
      <c r="A78" s="926"/>
      <c r="B78" s="609"/>
      <c r="C78" s="962"/>
      <c r="D78" s="2897"/>
      <c r="E78" s="2898"/>
      <c r="F78" s="2898"/>
      <c r="G78" s="2898"/>
      <c r="H78" s="2898"/>
      <c r="I78" s="2899"/>
      <c r="J78" s="2900"/>
      <c r="K78" s="2900"/>
      <c r="L78" s="2900"/>
      <c r="M78" s="2900"/>
      <c r="N78" s="2900"/>
      <c r="O78" s="2900"/>
      <c r="P78" s="2900"/>
      <c r="Q78" s="2900"/>
      <c r="R78" s="2900"/>
      <c r="S78" s="2900"/>
      <c r="T78" s="2900"/>
      <c r="U78" s="2901"/>
      <c r="V78" s="963"/>
      <c r="W78" s="609"/>
      <c r="X78" s="926"/>
      <c r="Y78" s="926"/>
      <c r="Z78" s="926"/>
      <c r="AA78" s="926"/>
      <c r="AB78" s="926"/>
      <c r="AC78" s="926"/>
      <c r="AD78" s="926"/>
      <c r="AE78" s="926"/>
      <c r="AF78" s="926"/>
      <c r="AG78" s="926"/>
      <c r="AH78" s="926"/>
      <c r="AI78" s="926"/>
      <c r="AJ78" s="926"/>
    </row>
    <row r="79" spans="1:36" ht="15" customHeight="1" x14ac:dyDescent="0.3">
      <c r="A79" s="926"/>
      <c r="B79" s="609"/>
      <c r="C79" s="962"/>
      <c r="D79" s="2897"/>
      <c r="E79" s="2898"/>
      <c r="F79" s="2898"/>
      <c r="G79" s="2898"/>
      <c r="H79" s="2898"/>
      <c r="I79" s="2899"/>
      <c r="J79" s="2900"/>
      <c r="K79" s="2900"/>
      <c r="L79" s="2900"/>
      <c r="M79" s="2900"/>
      <c r="N79" s="2900"/>
      <c r="O79" s="2900"/>
      <c r="P79" s="2900"/>
      <c r="Q79" s="2900"/>
      <c r="R79" s="2900"/>
      <c r="S79" s="2900"/>
      <c r="T79" s="2900"/>
      <c r="U79" s="2901"/>
      <c r="V79" s="963"/>
      <c r="W79" s="609"/>
      <c r="X79" s="926"/>
      <c r="Y79" s="926"/>
      <c r="Z79" s="926"/>
      <c r="AA79" s="926"/>
      <c r="AB79" s="926"/>
      <c r="AC79" s="926"/>
      <c r="AD79" s="926"/>
      <c r="AE79" s="926"/>
      <c r="AF79" s="926"/>
      <c r="AG79" s="926"/>
      <c r="AH79" s="926"/>
      <c r="AI79" s="926"/>
      <c r="AJ79" s="926"/>
    </row>
    <row r="80" spans="1:36" ht="15" customHeight="1" x14ac:dyDescent="0.3">
      <c r="A80" s="926"/>
      <c r="B80" s="609"/>
      <c r="C80" s="962"/>
      <c r="D80" s="2897"/>
      <c r="E80" s="2898"/>
      <c r="F80" s="2898"/>
      <c r="G80" s="2898"/>
      <c r="H80" s="2898"/>
      <c r="I80" s="2899"/>
      <c r="J80" s="2900"/>
      <c r="K80" s="2900"/>
      <c r="L80" s="2900"/>
      <c r="M80" s="2900"/>
      <c r="N80" s="2900"/>
      <c r="O80" s="2900"/>
      <c r="P80" s="2900"/>
      <c r="Q80" s="2900"/>
      <c r="R80" s="2900"/>
      <c r="S80" s="2900"/>
      <c r="T80" s="2900"/>
      <c r="U80" s="2901"/>
      <c r="V80" s="963"/>
      <c r="W80" s="609"/>
      <c r="X80" s="926"/>
      <c r="Y80" s="926"/>
      <c r="Z80" s="926"/>
      <c r="AA80" s="926"/>
      <c r="AB80" s="926"/>
      <c r="AC80" s="926"/>
      <c r="AD80" s="926"/>
      <c r="AE80" s="926"/>
      <c r="AF80" s="926"/>
      <c r="AG80" s="926"/>
      <c r="AH80" s="926"/>
      <c r="AI80" s="926"/>
      <c r="AJ80" s="926"/>
    </row>
    <row r="81" spans="1:36" ht="15" customHeight="1" x14ac:dyDescent="0.3">
      <c r="A81" s="926"/>
      <c r="B81" s="609"/>
      <c r="C81" s="962"/>
      <c r="D81" s="2897"/>
      <c r="E81" s="2898"/>
      <c r="F81" s="2898"/>
      <c r="G81" s="2898"/>
      <c r="H81" s="2898"/>
      <c r="I81" s="2899"/>
      <c r="J81" s="2900"/>
      <c r="K81" s="2900"/>
      <c r="L81" s="2900"/>
      <c r="M81" s="2900"/>
      <c r="N81" s="2900"/>
      <c r="O81" s="2900"/>
      <c r="P81" s="2900"/>
      <c r="Q81" s="2900"/>
      <c r="R81" s="2900"/>
      <c r="S81" s="2900"/>
      <c r="T81" s="2900"/>
      <c r="U81" s="2901"/>
      <c r="V81" s="963"/>
      <c r="W81" s="609"/>
      <c r="X81" s="926"/>
      <c r="Y81" s="926"/>
      <c r="Z81" s="926"/>
      <c r="AA81" s="926"/>
      <c r="AB81" s="926"/>
      <c r="AC81" s="926"/>
      <c r="AD81" s="926"/>
      <c r="AE81" s="926"/>
      <c r="AF81" s="926"/>
      <c r="AG81" s="926"/>
      <c r="AH81" s="926"/>
      <c r="AI81" s="926"/>
      <c r="AJ81" s="926"/>
    </row>
    <row r="82" spans="1:36" ht="15" customHeight="1" x14ac:dyDescent="0.3">
      <c r="A82" s="926"/>
      <c r="B82" s="609"/>
      <c r="C82" s="962"/>
      <c r="D82" s="2897" t="str" cm="1">
        <f t="array" aca="1" ref="D82" ca="1">INDEX(Sc.Ranked!$C$2:$C$31,I82)</f>
        <v>Shallow pit, pull plug, covered digestion basin, lagoon, irrigation + tanker</v>
      </c>
      <c r="E82" s="2898"/>
      <c r="F82" s="2898"/>
      <c r="G82" s="2898"/>
      <c r="H82" s="2898"/>
      <c r="I82" s="2899">
        <v>10</v>
      </c>
      <c r="J82" s="2900" t="str" cm="1">
        <f t="array" aca="1" ref="J82" ca="1">INDEX(Sc.Ranked!$D$2:$D$31,I82)</f>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82" s="2900"/>
      <c r="L82" s="2900"/>
      <c r="M82" s="2900"/>
      <c r="N82" s="2900"/>
      <c r="O82" s="2900"/>
      <c r="P82" s="2900"/>
      <c r="Q82" s="2900"/>
      <c r="R82" s="2900"/>
      <c r="S82" s="2900"/>
      <c r="T82" s="2900"/>
      <c r="U82" s="2901"/>
      <c r="V82" s="963"/>
      <c r="W82" s="609"/>
      <c r="X82" s="926"/>
      <c r="Y82" s="926"/>
      <c r="Z82" s="926"/>
      <c r="AA82" s="926"/>
      <c r="AB82" s="926"/>
      <c r="AC82" s="926"/>
      <c r="AD82" s="926"/>
      <c r="AE82" s="926"/>
      <c r="AF82" s="926"/>
      <c r="AG82" s="926"/>
      <c r="AH82" s="926"/>
      <c r="AI82" s="926"/>
      <c r="AJ82" s="926"/>
    </row>
    <row r="83" spans="1:36" ht="15" customHeight="1" x14ac:dyDescent="0.3">
      <c r="A83" s="926"/>
      <c r="B83" s="609"/>
      <c r="C83" s="962"/>
      <c r="D83" s="2897"/>
      <c r="E83" s="2898"/>
      <c r="F83" s="2898"/>
      <c r="G83" s="2898"/>
      <c r="H83" s="2898"/>
      <c r="I83" s="2899"/>
      <c r="J83" s="2900"/>
      <c r="K83" s="2900"/>
      <c r="L83" s="2900"/>
      <c r="M83" s="2900"/>
      <c r="N83" s="2900"/>
      <c r="O83" s="2900"/>
      <c r="P83" s="2900"/>
      <c r="Q83" s="2900"/>
      <c r="R83" s="2900"/>
      <c r="S83" s="2900"/>
      <c r="T83" s="2900"/>
      <c r="U83" s="2901"/>
      <c r="V83" s="963"/>
      <c r="W83" s="609"/>
      <c r="X83" s="926"/>
      <c r="Y83" s="926"/>
      <c r="Z83" s="926"/>
      <c r="AA83" s="926"/>
      <c r="AB83" s="926"/>
      <c r="AC83" s="926"/>
      <c r="AD83" s="926"/>
      <c r="AE83" s="926"/>
      <c r="AF83" s="926"/>
      <c r="AG83" s="926"/>
      <c r="AH83" s="926"/>
      <c r="AI83" s="926"/>
      <c r="AJ83" s="926"/>
    </row>
    <row r="84" spans="1:36" ht="15" customHeight="1" x14ac:dyDescent="0.3">
      <c r="A84" s="926"/>
      <c r="B84" s="609"/>
      <c r="C84" s="962"/>
      <c r="D84" s="2897"/>
      <c r="E84" s="2898"/>
      <c r="F84" s="2898"/>
      <c r="G84" s="2898"/>
      <c r="H84" s="2898"/>
      <c r="I84" s="2899"/>
      <c r="J84" s="2900"/>
      <c r="K84" s="2900"/>
      <c r="L84" s="2900"/>
      <c r="M84" s="2900"/>
      <c r="N84" s="2900"/>
      <c r="O84" s="2900"/>
      <c r="P84" s="2900"/>
      <c r="Q84" s="2900"/>
      <c r="R84" s="2900"/>
      <c r="S84" s="2900"/>
      <c r="T84" s="2900"/>
      <c r="U84" s="2901"/>
      <c r="V84" s="963"/>
      <c r="W84" s="609"/>
      <c r="X84" s="926"/>
      <c r="Y84" s="926"/>
      <c r="Z84" s="926"/>
      <c r="AA84" s="926"/>
      <c r="AB84" s="926"/>
      <c r="AC84" s="926"/>
      <c r="AD84" s="926"/>
      <c r="AE84" s="926"/>
      <c r="AF84" s="926"/>
      <c r="AG84" s="926"/>
      <c r="AH84" s="926"/>
      <c r="AI84" s="926"/>
      <c r="AJ84" s="926"/>
    </row>
    <row r="85" spans="1:36" ht="15" customHeight="1" x14ac:dyDescent="0.3">
      <c r="A85" s="926"/>
      <c r="B85" s="609"/>
      <c r="C85" s="962"/>
      <c r="D85" s="2897"/>
      <c r="E85" s="2898"/>
      <c r="F85" s="2898"/>
      <c r="G85" s="2898"/>
      <c r="H85" s="2898"/>
      <c r="I85" s="2899"/>
      <c r="J85" s="2900"/>
      <c r="K85" s="2900"/>
      <c r="L85" s="2900"/>
      <c r="M85" s="2900"/>
      <c r="N85" s="2900"/>
      <c r="O85" s="2900"/>
      <c r="P85" s="2900"/>
      <c r="Q85" s="2900"/>
      <c r="R85" s="2900"/>
      <c r="S85" s="2900"/>
      <c r="T85" s="2900"/>
      <c r="U85" s="2901"/>
      <c r="V85" s="963"/>
      <c r="W85" s="609"/>
      <c r="X85" s="926"/>
      <c r="Y85" s="926"/>
      <c r="Z85" s="926"/>
      <c r="AA85" s="926"/>
      <c r="AB85" s="926"/>
      <c r="AC85" s="926"/>
      <c r="AD85" s="926"/>
      <c r="AE85" s="926"/>
      <c r="AF85" s="926"/>
      <c r="AG85" s="926"/>
      <c r="AH85" s="926"/>
      <c r="AI85" s="926"/>
      <c r="AJ85" s="926"/>
    </row>
    <row r="86" spans="1:36" ht="15" customHeight="1" x14ac:dyDescent="0.3">
      <c r="A86" s="926"/>
      <c r="B86" s="609"/>
      <c r="C86" s="962"/>
      <c r="D86" s="2897"/>
      <c r="E86" s="2898"/>
      <c r="F86" s="2898"/>
      <c r="G86" s="2898"/>
      <c r="H86" s="2898"/>
      <c r="I86" s="2899"/>
      <c r="J86" s="2900"/>
      <c r="K86" s="2900"/>
      <c r="L86" s="2900"/>
      <c r="M86" s="2900"/>
      <c r="N86" s="2900"/>
      <c r="O86" s="2900"/>
      <c r="P86" s="2900"/>
      <c r="Q86" s="2900"/>
      <c r="R86" s="2900"/>
      <c r="S86" s="2900"/>
      <c r="T86" s="2900"/>
      <c r="U86" s="2901"/>
      <c r="V86" s="963"/>
      <c r="W86" s="609"/>
      <c r="X86" s="926"/>
      <c r="Y86" s="926"/>
      <c r="Z86" s="926"/>
      <c r="AA86" s="926"/>
      <c r="AB86" s="926"/>
      <c r="AC86" s="926"/>
      <c r="AD86" s="926"/>
      <c r="AE86" s="926"/>
      <c r="AF86" s="926"/>
      <c r="AG86" s="926"/>
      <c r="AH86" s="926"/>
      <c r="AI86" s="926"/>
      <c r="AJ86" s="926"/>
    </row>
    <row r="87" spans="1:36" ht="15" customHeight="1" thickBot="1" x14ac:dyDescent="0.35">
      <c r="A87" s="926"/>
      <c r="B87" s="609"/>
      <c r="C87" s="962"/>
      <c r="D87" s="2902"/>
      <c r="E87" s="2903"/>
      <c r="F87" s="2903"/>
      <c r="G87" s="2903"/>
      <c r="H87" s="2903"/>
      <c r="I87" s="2904"/>
      <c r="J87" s="2905"/>
      <c r="K87" s="2905"/>
      <c r="L87" s="2905"/>
      <c r="M87" s="2905"/>
      <c r="N87" s="2905"/>
      <c r="O87" s="2905"/>
      <c r="P87" s="2905"/>
      <c r="Q87" s="2905"/>
      <c r="R87" s="2905"/>
      <c r="S87" s="2905"/>
      <c r="T87" s="2905"/>
      <c r="U87" s="2906"/>
      <c r="V87" s="963"/>
      <c r="W87" s="609"/>
      <c r="X87" s="926"/>
      <c r="Y87" s="926"/>
      <c r="Z87" s="926"/>
      <c r="AA87" s="926"/>
      <c r="AB87" s="926"/>
      <c r="AC87" s="926"/>
      <c r="AD87" s="926"/>
      <c r="AE87" s="926"/>
      <c r="AF87" s="926"/>
      <c r="AG87" s="926"/>
      <c r="AH87" s="926"/>
      <c r="AI87" s="926"/>
      <c r="AJ87" s="926"/>
    </row>
    <row r="88" spans="1:36" ht="15" customHeight="1" thickBot="1" x14ac:dyDescent="0.35">
      <c r="A88" s="926"/>
      <c r="B88" s="609"/>
      <c r="C88" s="962"/>
      <c r="D88" s="1041"/>
      <c r="E88" s="1041"/>
      <c r="F88" s="1041"/>
      <c r="G88" s="1041"/>
      <c r="H88" s="1041"/>
      <c r="I88" s="1043"/>
      <c r="J88" s="60"/>
      <c r="K88" s="60"/>
      <c r="L88" s="60"/>
      <c r="M88" s="60"/>
      <c r="N88" s="60"/>
      <c r="O88" s="60"/>
      <c r="P88" s="60"/>
      <c r="Q88" s="60"/>
      <c r="R88" s="60"/>
      <c r="S88" s="60"/>
      <c r="T88" s="60"/>
      <c r="U88" s="60"/>
      <c r="V88" s="963"/>
      <c r="W88" s="609"/>
      <c r="X88" s="926"/>
      <c r="Y88" s="926"/>
      <c r="Z88" s="926"/>
      <c r="AA88" s="926"/>
      <c r="AB88" s="926"/>
      <c r="AC88" s="926"/>
      <c r="AD88" s="926"/>
      <c r="AE88" s="926"/>
      <c r="AF88" s="926"/>
      <c r="AG88" s="926"/>
      <c r="AH88" s="926"/>
      <c r="AI88" s="926"/>
      <c r="AJ88" s="926"/>
    </row>
    <row r="89" spans="1:36" ht="15" customHeight="1" thickTop="1" thickBot="1" x14ac:dyDescent="0.35">
      <c r="A89" s="926"/>
      <c r="B89" s="609"/>
      <c r="C89" s="962"/>
      <c r="D89" s="2356" t="s">
        <v>619</v>
      </c>
      <c r="E89" s="2357"/>
      <c r="F89" s="40"/>
      <c r="G89" s="2376" t="s">
        <v>620</v>
      </c>
      <c r="H89" s="2377"/>
      <c r="I89" s="2377"/>
      <c r="J89" s="2377"/>
      <c r="K89" s="2377"/>
      <c r="L89" s="2377"/>
      <c r="M89" s="2377"/>
      <c r="N89" s="2377"/>
      <c r="O89" s="2377"/>
      <c r="P89" s="2378"/>
      <c r="Q89" s="40"/>
      <c r="R89" s="2719" t="s">
        <v>621</v>
      </c>
      <c r="S89" s="2720"/>
      <c r="T89" s="40"/>
      <c r="U89" s="40"/>
      <c r="V89" s="963"/>
      <c r="W89" s="609"/>
      <c r="X89" s="926"/>
      <c r="Y89" s="926"/>
      <c r="Z89" s="926"/>
      <c r="AA89" s="926"/>
      <c r="AB89" s="926"/>
      <c r="AC89" s="926"/>
      <c r="AD89" s="926"/>
      <c r="AE89" s="926"/>
      <c r="AF89" s="926"/>
      <c r="AG89" s="926"/>
      <c r="AH89" s="926"/>
      <c r="AI89" s="926"/>
      <c r="AJ89" s="926"/>
    </row>
    <row r="90" spans="1:36" ht="15" customHeight="1" thickTop="1" thickBot="1" x14ac:dyDescent="0.35">
      <c r="A90" s="926"/>
      <c r="B90" s="609"/>
      <c r="C90" s="962"/>
      <c r="D90" s="2358"/>
      <c r="E90" s="2359"/>
      <c r="F90" s="40"/>
      <c r="G90" s="2379"/>
      <c r="H90" s="2380"/>
      <c r="I90" s="2380"/>
      <c r="J90" s="2380"/>
      <c r="K90" s="2380"/>
      <c r="L90" s="2380"/>
      <c r="M90" s="2380"/>
      <c r="N90" s="2380"/>
      <c r="O90" s="2380"/>
      <c r="P90" s="2381"/>
      <c r="Q90" s="40"/>
      <c r="R90" s="2721"/>
      <c r="S90" s="2722"/>
      <c r="T90" s="40"/>
      <c r="U90" s="40"/>
      <c r="V90" s="963"/>
      <c r="W90" s="609"/>
      <c r="X90" s="926"/>
      <c r="Y90" s="926"/>
      <c r="Z90" s="926"/>
      <c r="AA90" s="926"/>
      <c r="AB90" s="926"/>
      <c r="AC90" s="926"/>
      <c r="AD90" s="926"/>
      <c r="AE90" s="926"/>
      <c r="AF90" s="926"/>
      <c r="AG90" s="926"/>
      <c r="AH90" s="926"/>
      <c r="AI90" s="926"/>
      <c r="AJ90" s="926"/>
    </row>
    <row r="91" spans="1:36" ht="15" customHeight="1" thickTop="1" thickBot="1" x14ac:dyDescent="0.35">
      <c r="A91" s="926"/>
      <c r="B91" s="609"/>
      <c r="C91" s="962"/>
      <c r="D91" s="2360"/>
      <c r="E91" s="2361"/>
      <c r="F91" s="40"/>
      <c r="G91" s="2382"/>
      <c r="H91" s="2383"/>
      <c r="I91" s="2383"/>
      <c r="J91" s="2383"/>
      <c r="K91" s="2383"/>
      <c r="L91" s="2383"/>
      <c r="M91" s="2383"/>
      <c r="N91" s="2383"/>
      <c r="O91" s="2383"/>
      <c r="P91" s="2384"/>
      <c r="Q91" s="40"/>
      <c r="R91" s="2723"/>
      <c r="S91" s="2724"/>
      <c r="T91" s="40"/>
      <c r="U91" s="40"/>
      <c r="V91" s="963"/>
      <c r="W91" s="609"/>
      <c r="X91" s="926"/>
      <c r="Y91" s="926"/>
      <c r="Z91" s="926"/>
      <c r="AA91" s="926"/>
      <c r="AB91" s="926"/>
      <c r="AC91" s="926"/>
      <c r="AD91" s="926"/>
      <c r="AE91" s="926"/>
      <c r="AF91" s="926"/>
      <c r="AG91" s="926"/>
      <c r="AH91" s="926"/>
      <c r="AI91" s="926"/>
      <c r="AJ91" s="926"/>
    </row>
    <row r="92" spans="1:36" ht="15" customHeight="1" thickBot="1" x14ac:dyDescent="0.35">
      <c r="A92" s="926"/>
      <c r="B92" s="609"/>
      <c r="C92" s="962"/>
      <c r="D92" s="1041"/>
      <c r="E92" s="1041"/>
      <c r="F92" s="1041"/>
      <c r="G92" s="1041"/>
      <c r="H92" s="1041"/>
      <c r="I92" s="1043"/>
      <c r="J92" s="60"/>
      <c r="K92" s="60"/>
      <c r="L92" s="60"/>
      <c r="M92" s="60"/>
      <c r="N92" s="60"/>
      <c r="O92" s="60"/>
      <c r="P92" s="60"/>
      <c r="Q92" s="60"/>
      <c r="R92" s="60"/>
      <c r="S92" s="60"/>
      <c r="T92" s="60"/>
      <c r="U92" s="60"/>
      <c r="V92" s="963"/>
      <c r="W92" s="609"/>
      <c r="X92" s="926"/>
      <c r="Y92" s="926"/>
      <c r="Z92" s="926"/>
      <c r="AA92" s="926"/>
      <c r="AB92" s="926"/>
      <c r="AC92" s="926"/>
      <c r="AD92" s="926"/>
      <c r="AE92" s="926"/>
      <c r="AF92" s="926"/>
      <c r="AG92" s="926"/>
      <c r="AH92" s="926"/>
      <c r="AI92" s="926"/>
      <c r="AJ92" s="926"/>
    </row>
    <row r="93" spans="1:36" ht="15" customHeight="1" x14ac:dyDescent="0.3">
      <c r="A93" s="926"/>
      <c r="B93" s="609"/>
      <c r="C93" s="962"/>
      <c r="D93" s="2907" t="s">
        <v>602</v>
      </c>
      <c r="E93" s="2908"/>
      <c r="F93" s="2908"/>
      <c r="G93" s="2908"/>
      <c r="H93" s="2908"/>
      <c r="I93" s="1770" t="s">
        <v>459</v>
      </c>
      <c r="J93" s="2918" t="s">
        <v>109</v>
      </c>
      <c r="K93" s="2918"/>
      <c r="L93" s="2918"/>
      <c r="M93" s="2918"/>
      <c r="N93" s="2918"/>
      <c r="O93" s="2918"/>
      <c r="P93" s="2918"/>
      <c r="Q93" s="2918"/>
      <c r="R93" s="2918"/>
      <c r="S93" s="2918"/>
      <c r="T93" s="2918"/>
      <c r="U93" s="2919"/>
      <c r="V93" s="963"/>
      <c r="W93" s="609"/>
      <c r="X93" s="926"/>
      <c r="Y93" s="926"/>
      <c r="Z93" s="926"/>
      <c r="AA93" s="926"/>
      <c r="AB93" s="926"/>
      <c r="AC93" s="926"/>
      <c r="AD93" s="926"/>
      <c r="AE93" s="926"/>
      <c r="AF93" s="926"/>
      <c r="AG93" s="926"/>
      <c r="AH93" s="926"/>
      <c r="AI93" s="926"/>
      <c r="AJ93" s="926"/>
    </row>
    <row r="94" spans="1:36" ht="15" customHeight="1" x14ac:dyDescent="0.3">
      <c r="A94" s="926"/>
      <c r="B94" s="609"/>
      <c r="C94" s="962"/>
      <c r="D94" s="2897" t="str" cm="1">
        <f t="array" aca="1" ref="D94" ca="1">INDEX(Sc.Ranked!$C$2:$C$31,I94)</f>
        <v>Shallow pit, pull plug, lagoon, irrigation + tanker</v>
      </c>
      <c r="E94" s="2898"/>
      <c r="F94" s="2898"/>
      <c r="G94" s="2898"/>
      <c r="H94" s="2898"/>
      <c r="I94" s="2899">
        <v>11</v>
      </c>
      <c r="J94" s="2900" t="str" cm="1">
        <f t="array" aca="1" ref="J94" ca="1">INDEX(Sc.Ranked!$D$2:$D$31,I94)</f>
        <v>The farm uses a pull-plug method for barn cleaning. Then the manure flows to a lagoon and is stored for a period of time before it is emptied. Liquids are land applied via irrigation while the accumulated sludge is removed after a longer storage period and land applied via agitation and tractor-pulled tanker.</v>
      </c>
      <c r="K94" s="2900"/>
      <c r="L94" s="2900"/>
      <c r="M94" s="2900"/>
      <c r="N94" s="2900"/>
      <c r="O94" s="2900"/>
      <c r="P94" s="2900"/>
      <c r="Q94" s="2900"/>
      <c r="R94" s="2900"/>
      <c r="S94" s="2900"/>
      <c r="T94" s="2900"/>
      <c r="U94" s="2901"/>
      <c r="V94" s="963"/>
      <c r="W94" s="609"/>
      <c r="X94" s="926"/>
      <c r="Y94" s="926"/>
      <c r="Z94" s="926"/>
      <c r="AA94" s="926"/>
      <c r="AB94" s="926"/>
      <c r="AC94" s="926"/>
      <c r="AD94" s="926"/>
      <c r="AE94" s="926"/>
      <c r="AF94" s="926"/>
      <c r="AG94" s="926"/>
      <c r="AH94" s="926"/>
      <c r="AI94" s="926"/>
      <c r="AJ94" s="926"/>
    </row>
    <row r="95" spans="1:36" ht="15" customHeight="1" x14ac:dyDescent="0.3">
      <c r="A95" s="926"/>
      <c r="B95" s="609"/>
      <c r="C95" s="962"/>
      <c r="D95" s="2897"/>
      <c r="E95" s="2898"/>
      <c r="F95" s="2898"/>
      <c r="G95" s="2898"/>
      <c r="H95" s="2898"/>
      <c r="I95" s="2899"/>
      <c r="J95" s="2900"/>
      <c r="K95" s="2900"/>
      <c r="L95" s="2900"/>
      <c r="M95" s="2900"/>
      <c r="N95" s="2900"/>
      <c r="O95" s="2900"/>
      <c r="P95" s="2900"/>
      <c r="Q95" s="2900"/>
      <c r="R95" s="2900"/>
      <c r="S95" s="2900"/>
      <c r="T95" s="2900"/>
      <c r="U95" s="2901"/>
      <c r="V95" s="963"/>
      <c r="W95" s="609"/>
      <c r="X95" s="926"/>
      <c r="Y95" s="926"/>
      <c r="Z95" s="926"/>
      <c r="AA95" s="926"/>
      <c r="AB95" s="926"/>
      <c r="AC95" s="926"/>
      <c r="AD95" s="926"/>
      <c r="AE95" s="926"/>
      <c r="AF95" s="926"/>
      <c r="AG95" s="926"/>
      <c r="AH95" s="926"/>
      <c r="AI95" s="926"/>
      <c r="AJ95" s="926"/>
    </row>
    <row r="96" spans="1:36" ht="15" customHeight="1" x14ac:dyDescent="0.3">
      <c r="A96" s="926"/>
      <c r="B96" s="609"/>
      <c r="C96" s="962"/>
      <c r="D96" s="2897"/>
      <c r="E96" s="2898"/>
      <c r="F96" s="2898"/>
      <c r="G96" s="2898"/>
      <c r="H96" s="2898"/>
      <c r="I96" s="2899"/>
      <c r="J96" s="2900"/>
      <c r="K96" s="2900"/>
      <c r="L96" s="2900"/>
      <c r="M96" s="2900"/>
      <c r="N96" s="2900"/>
      <c r="O96" s="2900"/>
      <c r="P96" s="2900"/>
      <c r="Q96" s="2900"/>
      <c r="R96" s="2900"/>
      <c r="S96" s="2900"/>
      <c r="T96" s="2900"/>
      <c r="U96" s="2901"/>
      <c r="V96" s="963"/>
      <c r="W96" s="609"/>
      <c r="X96" s="926"/>
      <c r="Y96" s="926"/>
      <c r="Z96" s="926"/>
      <c r="AA96" s="926"/>
      <c r="AB96" s="926"/>
      <c r="AC96" s="926"/>
      <c r="AD96" s="926"/>
      <c r="AE96" s="926"/>
      <c r="AF96" s="926"/>
      <c r="AG96" s="926"/>
      <c r="AH96" s="926"/>
      <c r="AI96" s="926"/>
      <c r="AJ96" s="926"/>
    </row>
    <row r="97" spans="1:36" ht="15" customHeight="1" x14ac:dyDescent="0.3">
      <c r="A97" s="926"/>
      <c r="B97" s="609"/>
      <c r="C97" s="962"/>
      <c r="D97" s="2897"/>
      <c r="E97" s="2898"/>
      <c r="F97" s="2898"/>
      <c r="G97" s="2898"/>
      <c r="H97" s="2898"/>
      <c r="I97" s="2899"/>
      <c r="J97" s="2900"/>
      <c r="K97" s="2900"/>
      <c r="L97" s="2900"/>
      <c r="M97" s="2900"/>
      <c r="N97" s="2900"/>
      <c r="O97" s="2900"/>
      <c r="P97" s="2900"/>
      <c r="Q97" s="2900"/>
      <c r="R97" s="2900"/>
      <c r="S97" s="2900"/>
      <c r="T97" s="2900"/>
      <c r="U97" s="2901"/>
      <c r="V97" s="963"/>
      <c r="W97" s="609"/>
      <c r="X97" s="926"/>
      <c r="Y97" s="926"/>
      <c r="Z97" s="926"/>
      <c r="AA97" s="926"/>
      <c r="AB97" s="926"/>
      <c r="AC97" s="926"/>
      <c r="AD97" s="926"/>
      <c r="AE97" s="926"/>
      <c r="AF97" s="926"/>
      <c r="AG97" s="926"/>
      <c r="AH97" s="926"/>
      <c r="AI97" s="926"/>
      <c r="AJ97" s="926"/>
    </row>
    <row r="98" spans="1:36" ht="15" customHeight="1" x14ac:dyDescent="0.3">
      <c r="A98" s="926"/>
      <c r="B98" s="609"/>
      <c r="C98" s="962"/>
      <c r="D98" s="2897"/>
      <c r="E98" s="2898"/>
      <c r="F98" s="2898"/>
      <c r="G98" s="2898"/>
      <c r="H98" s="2898"/>
      <c r="I98" s="2899"/>
      <c r="J98" s="2900"/>
      <c r="K98" s="2900"/>
      <c r="L98" s="2900"/>
      <c r="M98" s="2900"/>
      <c r="N98" s="2900"/>
      <c r="O98" s="2900"/>
      <c r="P98" s="2900"/>
      <c r="Q98" s="2900"/>
      <c r="R98" s="2900"/>
      <c r="S98" s="2900"/>
      <c r="T98" s="2900"/>
      <c r="U98" s="2901"/>
      <c r="V98" s="963"/>
      <c r="W98" s="609"/>
      <c r="X98" s="926"/>
      <c r="Y98" s="926"/>
      <c r="Z98" s="926"/>
      <c r="AA98" s="926"/>
      <c r="AB98" s="926"/>
      <c r="AC98" s="926"/>
      <c r="AD98" s="926"/>
      <c r="AE98" s="926"/>
      <c r="AF98" s="926"/>
      <c r="AG98" s="926"/>
      <c r="AH98" s="926"/>
      <c r="AI98" s="926"/>
      <c r="AJ98" s="926"/>
    </row>
    <row r="99" spans="1:36" ht="15" customHeight="1" x14ac:dyDescent="0.3">
      <c r="A99" s="926"/>
      <c r="B99" s="609"/>
      <c r="C99" s="962"/>
      <c r="D99" s="2897"/>
      <c r="E99" s="2898"/>
      <c r="F99" s="2898"/>
      <c r="G99" s="2898"/>
      <c r="H99" s="2898"/>
      <c r="I99" s="2899"/>
      <c r="J99" s="2900"/>
      <c r="K99" s="2900"/>
      <c r="L99" s="2900"/>
      <c r="M99" s="2900"/>
      <c r="N99" s="2900"/>
      <c r="O99" s="2900"/>
      <c r="P99" s="2900"/>
      <c r="Q99" s="2900"/>
      <c r="R99" s="2900"/>
      <c r="S99" s="2900"/>
      <c r="T99" s="2900"/>
      <c r="U99" s="2901"/>
      <c r="V99" s="963"/>
      <c r="W99" s="609"/>
      <c r="X99" s="926"/>
      <c r="Y99" s="926"/>
      <c r="Z99" s="926"/>
      <c r="AA99" s="926"/>
      <c r="AB99" s="926"/>
      <c r="AC99" s="926"/>
      <c r="AD99" s="926"/>
      <c r="AE99" s="926"/>
      <c r="AF99" s="926"/>
      <c r="AG99" s="926"/>
      <c r="AH99" s="926"/>
      <c r="AI99" s="926"/>
      <c r="AJ99" s="926"/>
    </row>
    <row r="100" spans="1:36" ht="15" customHeight="1" x14ac:dyDescent="0.3">
      <c r="A100" s="926"/>
      <c r="B100" s="609"/>
      <c r="C100" s="962"/>
      <c r="D100" s="2897" t="str" cm="1">
        <f t="array" aca="1" ref="D100" ca="1">INDEX(Sc.Ranked!$C$2:$C$31,I100)</f>
        <v>Shallow pit, scrape auto, covered digestion basin, lagoon, irrigation + tanker</v>
      </c>
      <c r="E100" s="2898"/>
      <c r="F100" s="2898"/>
      <c r="G100" s="2898"/>
      <c r="H100" s="2898"/>
      <c r="I100" s="2899">
        <v>12</v>
      </c>
      <c r="J100" s="2900" t="str" cm="1">
        <f t="array" aca="1" ref="J100" ca="1">INDEX(Sc.Ranked!$D$2:$D$31,I100)</f>
        <v>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00" s="2900"/>
      <c r="L100" s="2900"/>
      <c r="M100" s="2900"/>
      <c r="N100" s="2900"/>
      <c r="O100" s="2900"/>
      <c r="P100" s="2900"/>
      <c r="Q100" s="2900"/>
      <c r="R100" s="2900"/>
      <c r="S100" s="2900"/>
      <c r="T100" s="2900"/>
      <c r="U100" s="2901"/>
      <c r="V100" s="963"/>
      <c r="W100" s="609"/>
      <c r="X100" s="926"/>
      <c r="Y100" s="926"/>
      <c r="Z100" s="926"/>
      <c r="AA100" s="926"/>
      <c r="AB100" s="926"/>
      <c r="AC100" s="926"/>
      <c r="AD100" s="926"/>
      <c r="AE100" s="926"/>
      <c r="AF100" s="926"/>
      <c r="AG100" s="926"/>
      <c r="AH100" s="926"/>
      <c r="AI100" s="926"/>
      <c r="AJ100" s="926"/>
    </row>
    <row r="101" spans="1:36" ht="15" customHeight="1" x14ac:dyDescent="0.3">
      <c r="A101" s="926"/>
      <c r="B101" s="609"/>
      <c r="C101" s="962"/>
      <c r="D101" s="2897"/>
      <c r="E101" s="2898"/>
      <c r="F101" s="2898"/>
      <c r="G101" s="2898"/>
      <c r="H101" s="2898"/>
      <c r="I101" s="2899"/>
      <c r="J101" s="2900"/>
      <c r="K101" s="2900"/>
      <c r="L101" s="2900"/>
      <c r="M101" s="2900"/>
      <c r="N101" s="2900"/>
      <c r="O101" s="2900"/>
      <c r="P101" s="2900"/>
      <c r="Q101" s="2900"/>
      <c r="R101" s="2900"/>
      <c r="S101" s="2900"/>
      <c r="T101" s="2900"/>
      <c r="U101" s="2901"/>
      <c r="V101" s="963"/>
      <c r="W101" s="609"/>
      <c r="X101" s="926"/>
      <c r="Y101" s="926"/>
      <c r="Z101" s="926"/>
      <c r="AA101" s="926"/>
      <c r="AB101" s="926"/>
      <c r="AC101" s="926"/>
      <c r="AD101" s="926"/>
      <c r="AE101" s="926"/>
      <c r="AF101" s="926"/>
      <c r="AG101" s="926"/>
      <c r="AH101" s="926"/>
      <c r="AI101" s="926"/>
      <c r="AJ101" s="926"/>
    </row>
    <row r="102" spans="1:36" ht="15" customHeight="1" x14ac:dyDescent="0.3">
      <c r="A102" s="926"/>
      <c r="B102" s="609"/>
      <c r="C102" s="962"/>
      <c r="D102" s="2897"/>
      <c r="E102" s="2898"/>
      <c r="F102" s="2898"/>
      <c r="G102" s="2898"/>
      <c r="H102" s="2898"/>
      <c r="I102" s="2899"/>
      <c r="J102" s="2900"/>
      <c r="K102" s="2900"/>
      <c r="L102" s="2900"/>
      <c r="M102" s="2900"/>
      <c r="N102" s="2900"/>
      <c r="O102" s="2900"/>
      <c r="P102" s="2900"/>
      <c r="Q102" s="2900"/>
      <c r="R102" s="2900"/>
      <c r="S102" s="2900"/>
      <c r="T102" s="2900"/>
      <c r="U102" s="2901"/>
      <c r="V102" s="963"/>
      <c r="W102" s="609"/>
      <c r="X102" s="926"/>
      <c r="Y102" s="926"/>
      <c r="Z102" s="926"/>
      <c r="AA102" s="926"/>
      <c r="AB102" s="926"/>
      <c r="AC102" s="926"/>
      <c r="AD102" s="926"/>
      <c r="AE102" s="926"/>
      <c r="AF102" s="926"/>
      <c r="AG102" s="926"/>
      <c r="AH102" s="926"/>
      <c r="AI102" s="926"/>
      <c r="AJ102" s="926"/>
    </row>
    <row r="103" spans="1:36" ht="15" customHeight="1" x14ac:dyDescent="0.3">
      <c r="A103" s="926"/>
      <c r="B103" s="609"/>
      <c r="C103" s="962"/>
      <c r="D103" s="2897"/>
      <c r="E103" s="2898"/>
      <c r="F103" s="2898"/>
      <c r="G103" s="2898"/>
      <c r="H103" s="2898"/>
      <c r="I103" s="2899"/>
      <c r="J103" s="2900"/>
      <c r="K103" s="2900"/>
      <c r="L103" s="2900"/>
      <c r="M103" s="2900"/>
      <c r="N103" s="2900"/>
      <c r="O103" s="2900"/>
      <c r="P103" s="2900"/>
      <c r="Q103" s="2900"/>
      <c r="R103" s="2900"/>
      <c r="S103" s="2900"/>
      <c r="T103" s="2900"/>
      <c r="U103" s="2901"/>
      <c r="V103" s="963"/>
      <c r="W103" s="609"/>
      <c r="X103" s="926"/>
      <c r="Y103" s="926"/>
      <c r="Z103" s="926"/>
      <c r="AA103" s="926"/>
      <c r="AB103" s="926"/>
      <c r="AC103" s="926"/>
      <c r="AD103" s="926"/>
      <c r="AE103" s="926"/>
      <c r="AF103" s="926"/>
      <c r="AG103" s="926"/>
      <c r="AH103" s="926"/>
      <c r="AI103" s="926"/>
      <c r="AJ103" s="926"/>
    </row>
    <row r="104" spans="1:36" ht="15" customHeight="1" x14ac:dyDescent="0.3">
      <c r="A104" s="926"/>
      <c r="B104" s="609"/>
      <c r="C104" s="962"/>
      <c r="D104" s="2897"/>
      <c r="E104" s="2898"/>
      <c r="F104" s="2898"/>
      <c r="G104" s="2898"/>
      <c r="H104" s="2898"/>
      <c r="I104" s="2899"/>
      <c r="J104" s="2900"/>
      <c r="K104" s="2900"/>
      <c r="L104" s="2900"/>
      <c r="M104" s="2900"/>
      <c r="N104" s="2900"/>
      <c r="O104" s="2900"/>
      <c r="P104" s="2900"/>
      <c r="Q104" s="2900"/>
      <c r="R104" s="2900"/>
      <c r="S104" s="2900"/>
      <c r="T104" s="2900"/>
      <c r="U104" s="2901"/>
      <c r="V104" s="963"/>
      <c r="W104" s="609"/>
      <c r="X104" s="926"/>
      <c r="Y104" s="926"/>
      <c r="Z104" s="926"/>
      <c r="AA104" s="926"/>
      <c r="AB104" s="926"/>
      <c r="AC104" s="926"/>
      <c r="AD104" s="926"/>
      <c r="AE104" s="926"/>
      <c r="AF104" s="926"/>
      <c r="AG104" s="926"/>
      <c r="AH104" s="926"/>
      <c r="AI104" s="926"/>
      <c r="AJ104" s="926"/>
    </row>
    <row r="105" spans="1:36" ht="15" customHeight="1" x14ac:dyDescent="0.3">
      <c r="A105" s="926"/>
      <c r="B105" s="609"/>
      <c r="C105" s="962"/>
      <c r="D105" s="2897"/>
      <c r="E105" s="2898"/>
      <c r="F105" s="2898"/>
      <c r="G105" s="2898"/>
      <c r="H105" s="2898"/>
      <c r="I105" s="2899"/>
      <c r="J105" s="2900"/>
      <c r="K105" s="2900"/>
      <c r="L105" s="2900"/>
      <c r="M105" s="2900"/>
      <c r="N105" s="2900"/>
      <c r="O105" s="2900"/>
      <c r="P105" s="2900"/>
      <c r="Q105" s="2900"/>
      <c r="R105" s="2900"/>
      <c r="S105" s="2900"/>
      <c r="T105" s="2900"/>
      <c r="U105" s="2901"/>
      <c r="V105" s="963"/>
      <c r="W105" s="609"/>
      <c r="X105" s="926"/>
      <c r="Y105" s="926"/>
      <c r="Z105" s="926"/>
      <c r="AA105" s="926"/>
      <c r="AB105" s="926"/>
      <c r="AC105" s="926"/>
      <c r="AD105" s="926"/>
      <c r="AE105" s="926"/>
      <c r="AF105" s="926"/>
      <c r="AG105" s="926"/>
      <c r="AH105" s="926"/>
      <c r="AI105" s="926"/>
      <c r="AJ105" s="926"/>
    </row>
    <row r="106" spans="1:36" ht="15" customHeight="1" x14ac:dyDescent="0.3">
      <c r="A106" s="926"/>
      <c r="B106" s="609"/>
      <c r="C106" s="962"/>
      <c r="D106" s="2897" t="str" cm="1">
        <f t="array" aca="1" ref="D106" ca="1">INDEX(Sc.Ranked!$C$2:$C$31,I106)</f>
        <v>Shallow pit, scrape auto, above ground storage tank, drag hose</v>
      </c>
      <c r="E106" s="2898"/>
      <c r="F106" s="2898"/>
      <c r="G106" s="2898"/>
      <c r="H106" s="2898"/>
      <c r="I106" s="2899">
        <v>13</v>
      </c>
      <c r="J106" s="2900" t="str" cm="1">
        <f t="array" aca="1" ref="J106" ca="1">INDEX(Sc.Ranked!$D$2:$D$31,I106)</f>
        <v>The farm uses a scrape system for barn cleaning. The scraped manure is collected in a reception pit and pumped to an outside Slurry Storage tank for a period of time before it is emptied. The slurry removal is done with agitation and land applied using the  tractor-pulled drag hose method.</v>
      </c>
      <c r="K106" s="2900"/>
      <c r="L106" s="2900"/>
      <c r="M106" s="2900"/>
      <c r="N106" s="2900"/>
      <c r="O106" s="2900"/>
      <c r="P106" s="2900"/>
      <c r="Q106" s="2900"/>
      <c r="R106" s="2900"/>
      <c r="S106" s="2900"/>
      <c r="T106" s="2900"/>
      <c r="U106" s="2901"/>
      <c r="V106" s="963"/>
      <c r="W106" s="609"/>
      <c r="X106" s="926"/>
      <c r="Y106" s="926"/>
      <c r="Z106" s="926"/>
      <c r="AA106" s="926"/>
      <c r="AB106" s="926"/>
      <c r="AC106" s="926"/>
      <c r="AD106" s="926"/>
      <c r="AE106" s="926"/>
      <c r="AF106" s="926"/>
      <c r="AG106" s="926"/>
      <c r="AH106" s="926"/>
      <c r="AI106" s="926"/>
      <c r="AJ106" s="926"/>
    </row>
    <row r="107" spans="1:36" ht="15" customHeight="1" x14ac:dyDescent="0.3">
      <c r="A107" s="926"/>
      <c r="B107" s="609"/>
      <c r="C107" s="962"/>
      <c r="D107" s="2897"/>
      <c r="E107" s="2898"/>
      <c r="F107" s="2898"/>
      <c r="G107" s="2898"/>
      <c r="H107" s="2898"/>
      <c r="I107" s="2899"/>
      <c r="J107" s="2900"/>
      <c r="K107" s="2900"/>
      <c r="L107" s="2900"/>
      <c r="M107" s="2900"/>
      <c r="N107" s="2900"/>
      <c r="O107" s="2900"/>
      <c r="P107" s="2900"/>
      <c r="Q107" s="2900"/>
      <c r="R107" s="2900"/>
      <c r="S107" s="2900"/>
      <c r="T107" s="2900"/>
      <c r="U107" s="2901"/>
      <c r="V107" s="963"/>
      <c r="W107" s="609"/>
      <c r="X107" s="926"/>
      <c r="Y107" s="926"/>
      <c r="Z107" s="926"/>
      <c r="AA107" s="926"/>
      <c r="AB107" s="926"/>
      <c r="AC107" s="926"/>
      <c r="AD107" s="926"/>
      <c r="AE107" s="926"/>
      <c r="AF107" s="926"/>
      <c r="AG107" s="926"/>
      <c r="AH107" s="926"/>
      <c r="AI107" s="926"/>
      <c r="AJ107" s="926"/>
    </row>
    <row r="108" spans="1:36" ht="15" customHeight="1" x14ac:dyDescent="0.3">
      <c r="A108" s="926"/>
      <c r="B108" s="609"/>
      <c r="C108" s="962"/>
      <c r="D108" s="2897"/>
      <c r="E108" s="2898"/>
      <c r="F108" s="2898"/>
      <c r="G108" s="2898"/>
      <c r="H108" s="2898"/>
      <c r="I108" s="2899"/>
      <c r="J108" s="2900"/>
      <c r="K108" s="2900"/>
      <c r="L108" s="2900"/>
      <c r="M108" s="2900"/>
      <c r="N108" s="2900"/>
      <c r="O108" s="2900"/>
      <c r="P108" s="2900"/>
      <c r="Q108" s="2900"/>
      <c r="R108" s="2900"/>
      <c r="S108" s="2900"/>
      <c r="T108" s="2900"/>
      <c r="U108" s="2901"/>
      <c r="V108" s="963"/>
      <c r="W108" s="609"/>
      <c r="X108" s="926"/>
      <c r="Y108" s="926"/>
      <c r="Z108" s="926"/>
      <c r="AA108" s="926"/>
      <c r="AB108" s="926"/>
      <c r="AC108" s="926"/>
      <c r="AD108" s="926"/>
      <c r="AE108" s="926"/>
      <c r="AF108" s="926"/>
      <c r="AG108" s="926"/>
      <c r="AH108" s="926"/>
      <c r="AI108" s="926"/>
      <c r="AJ108" s="926"/>
    </row>
    <row r="109" spans="1:36" ht="15" customHeight="1" x14ac:dyDescent="0.3">
      <c r="A109" s="926"/>
      <c r="B109" s="609"/>
      <c r="C109" s="962"/>
      <c r="D109" s="2897"/>
      <c r="E109" s="2898"/>
      <c r="F109" s="2898"/>
      <c r="G109" s="2898"/>
      <c r="H109" s="2898"/>
      <c r="I109" s="2899"/>
      <c r="J109" s="2900"/>
      <c r="K109" s="2900"/>
      <c r="L109" s="2900"/>
      <c r="M109" s="2900"/>
      <c r="N109" s="2900"/>
      <c r="O109" s="2900"/>
      <c r="P109" s="2900"/>
      <c r="Q109" s="2900"/>
      <c r="R109" s="2900"/>
      <c r="S109" s="2900"/>
      <c r="T109" s="2900"/>
      <c r="U109" s="2901"/>
      <c r="V109" s="963"/>
      <c r="W109" s="609"/>
      <c r="X109" s="926"/>
      <c r="Y109" s="926"/>
      <c r="Z109" s="926"/>
      <c r="AA109" s="926"/>
      <c r="AB109" s="926"/>
      <c r="AC109" s="926"/>
      <c r="AD109" s="926"/>
      <c r="AE109" s="926"/>
      <c r="AF109" s="926"/>
      <c r="AG109" s="926"/>
      <c r="AH109" s="926"/>
      <c r="AI109" s="926"/>
      <c r="AJ109" s="926"/>
    </row>
    <row r="110" spans="1:36" ht="15" customHeight="1" x14ac:dyDescent="0.3">
      <c r="A110" s="926"/>
      <c r="B110" s="609"/>
      <c r="C110" s="962"/>
      <c r="D110" s="2897"/>
      <c r="E110" s="2898"/>
      <c r="F110" s="2898"/>
      <c r="G110" s="2898"/>
      <c r="H110" s="2898"/>
      <c r="I110" s="2899"/>
      <c r="J110" s="2900"/>
      <c r="K110" s="2900"/>
      <c r="L110" s="2900"/>
      <c r="M110" s="2900"/>
      <c r="N110" s="2900"/>
      <c r="O110" s="2900"/>
      <c r="P110" s="2900"/>
      <c r="Q110" s="2900"/>
      <c r="R110" s="2900"/>
      <c r="S110" s="2900"/>
      <c r="T110" s="2900"/>
      <c r="U110" s="2901"/>
      <c r="V110" s="963"/>
      <c r="W110" s="609"/>
      <c r="X110" s="926"/>
      <c r="Y110" s="926"/>
      <c r="Z110" s="926"/>
      <c r="AA110" s="926"/>
      <c r="AB110" s="926"/>
      <c r="AC110" s="926"/>
      <c r="AD110" s="926"/>
      <c r="AE110" s="926"/>
      <c r="AF110" s="926"/>
      <c r="AG110" s="926"/>
      <c r="AH110" s="926"/>
      <c r="AI110" s="926"/>
      <c r="AJ110" s="926"/>
    </row>
    <row r="111" spans="1:36" ht="15" customHeight="1" x14ac:dyDescent="0.3">
      <c r="A111" s="926"/>
      <c r="B111" s="609"/>
      <c r="C111" s="962"/>
      <c r="D111" s="2897"/>
      <c r="E111" s="2898"/>
      <c r="F111" s="2898"/>
      <c r="G111" s="2898"/>
      <c r="H111" s="2898"/>
      <c r="I111" s="2899"/>
      <c r="J111" s="2900"/>
      <c r="K111" s="2900"/>
      <c r="L111" s="2900"/>
      <c r="M111" s="2900"/>
      <c r="N111" s="2900"/>
      <c r="O111" s="2900"/>
      <c r="P111" s="2900"/>
      <c r="Q111" s="2900"/>
      <c r="R111" s="2900"/>
      <c r="S111" s="2900"/>
      <c r="T111" s="2900"/>
      <c r="U111" s="2901"/>
      <c r="V111" s="963"/>
      <c r="W111" s="609"/>
      <c r="X111" s="926"/>
      <c r="Y111" s="926"/>
      <c r="Z111" s="926"/>
      <c r="AA111" s="926"/>
      <c r="AB111" s="926"/>
      <c r="AC111" s="926"/>
      <c r="AD111" s="926"/>
      <c r="AE111" s="926"/>
      <c r="AF111" s="926"/>
      <c r="AG111" s="926"/>
      <c r="AH111" s="926"/>
      <c r="AI111" s="926"/>
      <c r="AJ111" s="926"/>
    </row>
    <row r="112" spans="1:36" ht="15" customHeight="1" x14ac:dyDescent="0.3">
      <c r="A112" s="926"/>
      <c r="B112" s="609"/>
      <c r="C112" s="962"/>
      <c r="D112" s="2897" t="str" cm="1">
        <f t="array" aca="1" ref="D112" ca="1">INDEX(Sc.Ranked!$C$2:$C$31,I112)</f>
        <v>Shallow pit, scrape auto, lagoon, irrigation + drag hose</v>
      </c>
      <c r="E112" s="2898"/>
      <c r="F112" s="2898"/>
      <c r="G112" s="2898"/>
      <c r="H112" s="2898"/>
      <c r="I112" s="2899">
        <v>14</v>
      </c>
      <c r="J112" s="2900" t="str" cm="1">
        <f t="array" aca="1" ref="J112" ca="1">INDEX(Sc.Ranked!$D$2:$D$31,I112)</f>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c r="K112" s="2900"/>
      <c r="L112" s="2900"/>
      <c r="M112" s="2900"/>
      <c r="N112" s="2900"/>
      <c r="O112" s="2900"/>
      <c r="P112" s="2900"/>
      <c r="Q112" s="2900"/>
      <c r="R112" s="2900"/>
      <c r="S112" s="2900"/>
      <c r="T112" s="2900"/>
      <c r="U112" s="2901"/>
      <c r="V112" s="963"/>
      <c r="W112" s="609"/>
      <c r="X112" s="926"/>
      <c r="Y112" s="926"/>
      <c r="Z112" s="926"/>
      <c r="AA112" s="926"/>
      <c r="AB112" s="926"/>
      <c r="AC112" s="926"/>
      <c r="AD112" s="926"/>
      <c r="AE112" s="926"/>
      <c r="AF112" s="926"/>
      <c r="AG112" s="926"/>
      <c r="AH112" s="926"/>
      <c r="AI112" s="926"/>
      <c r="AJ112" s="926"/>
    </row>
    <row r="113" spans="1:36" ht="15" customHeight="1" x14ac:dyDescent="0.3">
      <c r="A113" s="926"/>
      <c r="B113" s="609"/>
      <c r="C113" s="962"/>
      <c r="D113" s="2897"/>
      <c r="E113" s="2898"/>
      <c r="F113" s="2898"/>
      <c r="G113" s="2898"/>
      <c r="H113" s="2898"/>
      <c r="I113" s="2899"/>
      <c r="J113" s="2900"/>
      <c r="K113" s="2900"/>
      <c r="L113" s="2900"/>
      <c r="M113" s="2900"/>
      <c r="N113" s="2900"/>
      <c r="O113" s="2900"/>
      <c r="P113" s="2900"/>
      <c r="Q113" s="2900"/>
      <c r="R113" s="2900"/>
      <c r="S113" s="2900"/>
      <c r="T113" s="2900"/>
      <c r="U113" s="2901"/>
      <c r="V113" s="963"/>
      <c r="W113" s="609"/>
      <c r="X113" s="926"/>
      <c r="Y113" s="926"/>
      <c r="Z113" s="926"/>
      <c r="AA113" s="926"/>
      <c r="AB113" s="926"/>
      <c r="AC113" s="926"/>
      <c r="AD113" s="926"/>
      <c r="AE113" s="926"/>
      <c r="AF113" s="926"/>
      <c r="AG113" s="926"/>
      <c r="AH113" s="926"/>
      <c r="AI113" s="926"/>
      <c r="AJ113" s="926"/>
    </row>
    <row r="114" spans="1:36" ht="15" customHeight="1" x14ac:dyDescent="0.3">
      <c r="A114" s="926"/>
      <c r="B114" s="609"/>
      <c r="C114" s="962"/>
      <c r="D114" s="2897"/>
      <c r="E114" s="2898"/>
      <c r="F114" s="2898"/>
      <c r="G114" s="2898"/>
      <c r="H114" s="2898"/>
      <c r="I114" s="2899"/>
      <c r="J114" s="2900"/>
      <c r="K114" s="2900"/>
      <c r="L114" s="2900"/>
      <c r="M114" s="2900"/>
      <c r="N114" s="2900"/>
      <c r="O114" s="2900"/>
      <c r="P114" s="2900"/>
      <c r="Q114" s="2900"/>
      <c r="R114" s="2900"/>
      <c r="S114" s="2900"/>
      <c r="T114" s="2900"/>
      <c r="U114" s="2901"/>
      <c r="V114" s="963"/>
      <c r="W114" s="609"/>
      <c r="X114" s="926"/>
      <c r="Y114" s="926"/>
      <c r="Z114" s="926"/>
      <c r="AA114" s="926"/>
      <c r="AB114" s="926"/>
      <c r="AC114" s="926"/>
      <c r="AD114" s="926"/>
      <c r="AE114" s="926"/>
      <c r="AF114" s="926"/>
      <c r="AG114" s="926"/>
      <c r="AH114" s="926"/>
      <c r="AI114" s="926"/>
      <c r="AJ114" s="926"/>
    </row>
    <row r="115" spans="1:36" ht="15" customHeight="1" x14ac:dyDescent="0.3">
      <c r="A115" s="926"/>
      <c r="B115" s="609"/>
      <c r="C115" s="962"/>
      <c r="D115" s="2897"/>
      <c r="E115" s="2898"/>
      <c r="F115" s="2898"/>
      <c r="G115" s="2898"/>
      <c r="H115" s="2898"/>
      <c r="I115" s="2899"/>
      <c r="J115" s="2900"/>
      <c r="K115" s="2900"/>
      <c r="L115" s="2900"/>
      <c r="M115" s="2900"/>
      <c r="N115" s="2900"/>
      <c r="O115" s="2900"/>
      <c r="P115" s="2900"/>
      <c r="Q115" s="2900"/>
      <c r="R115" s="2900"/>
      <c r="S115" s="2900"/>
      <c r="T115" s="2900"/>
      <c r="U115" s="2901"/>
      <c r="V115" s="963"/>
      <c r="W115" s="609"/>
      <c r="X115" s="926"/>
      <c r="Y115" s="926"/>
      <c r="Z115" s="926"/>
      <c r="AA115" s="926"/>
      <c r="AB115" s="926"/>
      <c r="AC115" s="926"/>
      <c r="AD115" s="926"/>
      <c r="AE115" s="926"/>
      <c r="AF115" s="926"/>
      <c r="AG115" s="926"/>
      <c r="AH115" s="926"/>
      <c r="AI115" s="926"/>
      <c r="AJ115" s="926"/>
    </row>
    <row r="116" spans="1:36" ht="15" customHeight="1" x14ac:dyDescent="0.3">
      <c r="A116" s="926"/>
      <c r="B116" s="609"/>
      <c r="C116" s="962"/>
      <c r="D116" s="2897"/>
      <c r="E116" s="2898"/>
      <c r="F116" s="2898"/>
      <c r="G116" s="2898"/>
      <c r="H116" s="2898"/>
      <c r="I116" s="2899"/>
      <c r="J116" s="2900"/>
      <c r="K116" s="2900"/>
      <c r="L116" s="2900"/>
      <c r="M116" s="2900"/>
      <c r="N116" s="2900"/>
      <c r="O116" s="2900"/>
      <c r="P116" s="2900"/>
      <c r="Q116" s="2900"/>
      <c r="R116" s="2900"/>
      <c r="S116" s="2900"/>
      <c r="T116" s="2900"/>
      <c r="U116" s="2901"/>
      <c r="V116" s="963"/>
      <c r="W116" s="609"/>
      <c r="X116" s="926"/>
      <c r="Y116" s="926"/>
      <c r="Z116" s="926"/>
      <c r="AA116" s="926"/>
      <c r="AB116" s="926"/>
      <c r="AC116" s="926"/>
      <c r="AD116" s="926"/>
      <c r="AE116" s="926"/>
      <c r="AF116" s="926"/>
      <c r="AG116" s="926"/>
      <c r="AH116" s="926"/>
      <c r="AI116" s="926"/>
      <c r="AJ116" s="926"/>
    </row>
    <row r="117" spans="1:36" ht="15" customHeight="1" x14ac:dyDescent="0.3">
      <c r="A117" s="926"/>
      <c r="B117" s="609"/>
      <c r="C117" s="962"/>
      <c r="D117" s="2897"/>
      <c r="E117" s="2898"/>
      <c r="F117" s="2898"/>
      <c r="G117" s="2898"/>
      <c r="H117" s="2898"/>
      <c r="I117" s="2899"/>
      <c r="J117" s="2900"/>
      <c r="K117" s="2900"/>
      <c r="L117" s="2900"/>
      <c r="M117" s="2900"/>
      <c r="N117" s="2900"/>
      <c r="O117" s="2900"/>
      <c r="P117" s="2900"/>
      <c r="Q117" s="2900"/>
      <c r="R117" s="2900"/>
      <c r="S117" s="2900"/>
      <c r="T117" s="2900"/>
      <c r="U117" s="2901"/>
      <c r="V117" s="963"/>
      <c r="W117" s="609"/>
      <c r="X117" s="926"/>
      <c r="Y117" s="926"/>
      <c r="Z117" s="926"/>
      <c r="AA117" s="926"/>
      <c r="AB117" s="926"/>
      <c r="AC117" s="926"/>
      <c r="AD117" s="926"/>
      <c r="AE117" s="926"/>
      <c r="AF117" s="926"/>
      <c r="AG117" s="926"/>
      <c r="AH117" s="926"/>
      <c r="AI117" s="926"/>
      <c r="AJ117" s="926"/>
    </row>
    <row r="118" spans="1:36" ht="15" customHeight="1" x14ac:dyDescent="0.3">
      <c r="A118" s="926"/>
      <c r="B118" s="609"/>
      <c r="C118" s="962"/>
      <c r="D118" s="2897" t="str" cm="1">
        <f t="array" aca="1" ref="D118" ca="1">INDEX(Sc.Ranked!$C$2:$C$31,I118)</f>
        <v>Shallow pit, scrape auto, compost, tanker</v>
      </c>
      <c r="E118" s="2898"/>
      <c r="F118" s="2898"/>
      <c r="G118" s="2898"/>
      <c r="H118" s="2898"/>
      <c r="I118" s="2899">
        <v>15</v>
      </c>
      <c r="J118" s="2900" t="str" cm="1">
        <f t="array" aca="1" ref="J118" ca="1">INDEX(Sc.Ranked!$D$2:$D$31,I118)</f>
        <v>The farm uses a scrape system for barn cleaning. The manure is scraped into a collection pit and pumped to an on-site facility for composting.</v>
      </c>
      <c r="K118" s="2900"/>
      <c r="L118" s="2900"/>
      <c r="M118" s="2900"/>
      <c r="N118" s="2900"/>
      <c r="O118" s="2900"/>
      <c r="P118" s="2900"/>
      <c r="Q118" s="2900"/>
      <c r="R118" s="2900"/>
      <c r="S118" s="2900"/>
      <c r="T118" s="2900"/>
      <c r="U118" s="2901"/>
      <c r="V118" s="963"/>
      <c r="W118" s="609"/>
      <c r="X118" s="926"/>
      <c r="Y118" s="926"/>
      <c r="Z118" s="926"/>
      <c r="AA118" s="926"/>
      <c r="AB118" s="926"/>
      <c r="AC118" s="926"/>
      <c r="AD118" s="926"/>
      <c r="AE118" s="926"/>
      <c r="AF118" s="926"/>
      <c r="AG118" s="926"/>
      <c r="AH118" s="926"/>
      <c r="AI118" s="926"/>
      <c r="AJ118" s="926"/>
    </row>
    <row r="119" spans="1:36" ht="15" customHeight="1" x14ac:dyDescent="0.3">
      <c r="A119" s="926"/>
      <c r="B119" s="609"/>
      <c r="C119" s="962"/>
      <c r="D119" s="2897"/>
      <c r="E119" s="2898"/>
      <c r="F119" s="2898"/>
      <c r="G119" s="2898"/>
      <c r="H119" s="2898"/>
      <c r="I119" s="2899"/>
      <c r="J119" s="2900"/>
      <c r="K119" s="2900"/>
      <c r="L119" s="2900"/>
      <c r="M119" s="2900"/>
      <c r="N119" s="2900"/>
      <c r="O119" s="2900"/>
      <c r="P119" s="2900"/>
      <c r="Q119" s="2900"/>
      <c r="R119" s="2900"/>
      <c r="S119" s="2900"/>
      <c r="T119" s="2900"/>
      <c r="U119" s="2901"/>
      <c r="V119" s="963"/>
      <c r="W119" s="609"/>
      <c r="X119" s="926"/>
      <c r="Y119" s="926"/>
      <c r="Z119" s="926"/>
      <c r="AA119" s="926"/>
      <c r="AB119" s="926"/>
      <c r="AC119" s="926"/>
      <c r="AD119" s="926"/>
      <c r="AE119" s="926"/>
      <c r="AF119" s="926"/>
      <c r="AG119" s="926"/>
      <c r="AH119" s="926"/>
      <c r="AI119" s="926"/>
      <c r="AJ119" s="926"/>
    </row>
    <row r="120" spans="1:36" ht="15" customHeight="1" x14ac:dyDescent="0.3">
      <c r="A120" s="926"/>
      <c r="B120" s="609"/>
      <c r="C120" s="962"/>
      <c r="D120" s="2897"/>
      <c r="E120" s="2898"/>
      <c r="F120" s="2898"/>
      <c r="G120" s="2898"/>
      <c r="H120" s="2898"/>
      <c r="I120" s="2899"/>
      <c r="J120" s="2900"/>
      <c r="K120" s="2900"/>
      <c r="L120" s="2900"/>
      <c r="M120" s="2900"/>
      <c r="N120" s="2900"/>
      <c r="O120" s="2900"/>
      <c r="P120" s="2900"/>
      <c r="Q120" s="2900"/>
      <c r="R120" s="2900"/>
      <c r="S120" s="2900"/>
      <c r="T120" s="2900"/>
      <c r="U120" s="2901"/>
      <c r="V120" s="963"/>
      <c r="W120" s="609"/>
      <c r="X120" s="926"/>
      <c r="Y120" s="926"/>
      <c r="Z120" s="926"/>
      <c r="AA120" s="926"/>
      <c r="AB120" s="926"/>
      <c r="AC120" s="926"/>
      <c r="AD120" s="926"/>
      <c r="AE120" s="926"/>
      <c r="AF120" s="926"/>
      <c r="AG120" s="926"/>
      <c r="AH120" s="926"/>
      <c r="AI120" s="926"/>
      <c r="AJ120" s="926"/>
    </row>
    <row r="121" spans="1:36" ht="15" customHeight="1" x14ac:dyDescent="0.3">
      <c r="A121" s="926"/>
      <c r="B121" s="609"/>
      <c r="C121" s="962"/>
      <c r="D121" s="2897"/>
      <c r="E121" s="2898"/>
      <c r="F121" s="2898"/>
      <c r="G121" s="2898"/>
      <c r="H121" s="2898"/>
      <c r="I121" s="2899"/>
      <c r="J121" s="2900"/>
      <c r="K121" s="2900"/>
      <c r="L121" s="2900"/>
      <c r="M121" s="2900"/>
      <c r="N121" s="2900"/>
      <c r="O121" s="2900"/>
      <c r="P121" s="2900"/>
      <c r="Q121" s="2900"/>
      <c r="R121" s="2900"/>
      <c r="S121" s="2900"/>
      <c r="T121" s="2900"/>
      <c r="U121" s="2901"/>
      <c r="V121" s="963"/>
      <c r="W121" s="609"/>
      <c r="X121" s="926"/>
      <c r="Y121" s="926"/>
      <c r="Z121" s="926"/>
      <c r="AA121" s="926"/>
      <c r="AB121" s="926"/>
      <c r="AC121" s="926"/>
      <c r="AD121" s="926"/>
      <c r="AE121" s="926"/>
      <c r="AF121" s="926"/>
      <c r="AG121" s="926"/>
      <c r="AH121" s="926"/>
      <c r="AI121" s="926"/>
      <c r="AJ121" s="926"/>
    </row>
    <row r="122" spans="1:36" ht="15" customHeight="1" x14ac:dyDescent="0.3">
      <c r="A122" s="926"/>
      <c r="B122" s="609"/>
      <c r="C122" s="962"/>
      <c r="D122" s="2897"/>
      <c r="E122" s="2898"/>
      <c r="F122" s="2898"/>
      <c r="G122" s="2898"/>
      <c r="H122" s="2898"/>
      <c r="I122" s="2899"/>
      <c r="J122" s="2900"/>
      <c r="K122" s="2900"/>
      <c r="L122" s="2900"/>
      <c r="M122" s="2900"/>
      <c r="N122" s="2900"/>
      <c r="O122" s="2900"/>
      <c r="P122" s="2900"/>
      <c r="Q122" s="2900"/>
      <c r="R122" s="2900"/>
      <c r="S122" s="2900"/>
      <c r="T122" s="2900"/>
      <c r="U122" s="2901"/>
      <c r="V122" s="963"/>
      <c r="W122" s="609"/>
      <c r="X122" s="926"/>
      <c r="Y122" s="926"/>
      <c r="Z122" s="926"/>
      <c r="AA122" s="926"/>
      <c r="AB122" s="926"/>
      <c r="AC122" s="926"/>
      <c r="AD122" s="926"/>
      <c r="AE122" s="926"/>
      <c r="AF122" s="926"/>
      <c r="AG122" s="926"/>
      <c r="AH122" s="926"/>
      <c r="AI122" s="926"/>
      <c r="AJ122" s="926"/>
    </row>
    <row r="123" spans="1:36" ht="15" customHeight="1" x14ac:dyDescent="0.3">
      <c r="A123" s="926"/>
      <c r="B123" s="609"/>
      <c r="C123" s="962"/>
      <c r="D123" s="2897"/>
      <c r="E123" s="2898"/>
      <c r="F123" s="2898"/>
      <c r="G123" s="2898"/>
      <c r="H123" s="2898"/>
      <c r="I123" s="2899"/>
      <c r="J123" s="2900"/>
      <c r="K123" s="2900"/>
      <c r="L123" s="2900"/>
      <c r="M123" s="2900"/>
      <c r="N123" s="2900"/>
      <c r="O123" s="2900"/>
      <c r="P123" s="2900"/>
      <c r="Q123" s="2900"/>
      <c r="R123" s="2900"/>
      <c r="S123" s="2900"/>
      <c r="T123" s="2900"/>
      <c r="U123" s="2901"/>
      <c r="V123" s="963"/>
      <c r="W123" s="609"/>
      <c r="X123" s="926"/>
      <c r="Y123" s="926"/>
      <c r="Z123" s="926"/>
      <c r="AA123" s="926"/>
      <c r="AB123" s="926"/>
      <c r="AC123" s="926"/>
      <c r="AD123" s="926"/>
      <c r="AE123" s="926"/>
      <c r="AF123" s="926"/>
      <c r="AG123" s="926"/>
      <c r="AH123" s="926"/>
      <c r="AI123" s="926"/>
      <c r="AJ123" s="926"/>
    </row>
    <row r="124" spans="1:36" ht="15" customHeight="1" x14ac:dyDescent="0.3">
      <c r="A124" s="926"/>
      <c r="B124" s="609"/>
      <c r="C124" s="962"/>
      <c r="D124" s="2897" t="str" cm="1">
        <f t="array" aca="1" ref="D124" ca="1">INDEX(Sc.Ranked!$C$2:$C$31,I124)</f>
        <v>Shallow pit, flush, lagoon, irrigation + drag hose</v>
      </c>
      <c r="E124" s="2898"/>
      <c r="F124" s="2898"/>
      <c r="G124" s="2898"/>
      <c r="H124" s="2898"/>
      <c r="I124" s="2899">
        <v>16</v>
      </c>
      <c r="J124" s="2900" t="str" cm="1">
        <f t="array" aca="1" ref="J124" ca="1">INDEX(Sc.Ranked!$D$2:$D$31,I124)</f>
        <v>The farm uses a flush water system for barn cleaning. The flushed manure flows to a lagoon and is stored for a period of time before it is emptied. Liquids are land applied via irrigation while the accumulated sludge is removed after a longer storage period and land applied via agitation and tractor-pulled tanker.</v>
      </c>
      <c r="K124" s="2900"/>
      <c r="L124" s="2900"/>
      <c r="M124" s="2900"/>
      <c r="N124" s="2900"/>
      <c r="O124" s="2900"/>
      <c r="P124" s="2900"/>
      <c r="Q124" s="2900"/>
      <c r="R124" s="2900"/>
      <c r="S124" s="2900"/>
      <c r="T124" s="2900"/>
      <c r="U124" s="2901"/>
      <c r="V124" s="963"/>
      <c r="W124" s="609"/>
      <c r="X124" s="926"/>
      <c r="Y124" s="926"/>
      <c r="Z124" s="926"/>
      <c r="AA124" s="926"/>
      <c r="AB124" s="926"/>
      <c r="AC124" s="926"/>
      <c r="AD124" s="926"/>
      <c r="AE124" s="926"/>
      <c r="AF124" s="926"/>
      <c r="AG124" s="926"/>
      <c r="AH124" s="926"/>
      <c r="AI124" s="926"/>
      <c r="AJ124" s="926"/>
    </row>
    <row r="125" spans="1:36" ht="15" customHeight="1" x14ac:dyDescent="0.3">
      <c r="A125" s="926"/>
      <c r="B125" s="609"/>
      <c r="C125" s="962"/>
      <c r="D125" s="2897"/>
      <c r="E125" s="2898"/>
      <c r="F125" s="2898"/>
      <c r="G125" s="2898"/>
      <c r="H125" s="2898"/>
      <c r="I125" s="2899"/>
      <c r="J125" s="2900"/>
      <c r="K125" s="2900"/>
      <c r="L125" s="2900"/>
      <c r="M125" s="2900"/>
      <c r="N125" s="2900"/>
      <c r="O125" s="2900"/>
      <c r="P125" s="2900"/>
      <c r="Q125" s="2900"/>
      <c r="R125" s="2900"/>
      <c r="S125" s="2900"/>
      <c r="T125" s="2900"/>
      <c r="U125" s="2901"/>
      <c r="V125" s="963"/>
      <c r="W125" s="609"/>
      <c r="X125" s="926"/>
      <c r="Y125" s="926"/>
      <c r="Z125" s="926"/>
      <c r="AA125" s="926"/>
      <c r="AB125" s="926"/>
      <c r="AC125" s="926"/>
      <c r="AD125" s="926"/>
      <c r="AE125" s="926"/>
      <c r="AF125" s="926"/>
      <c r="AG125" s="926"/>
      <c r="AH125" s="926"/>
      <c r="AI125" s="926"/>
      <c r="AJ125" s="926"/>
    </row>
    <row r="126" spans="1:36" ht="15" customHeight="1" x14ac:dyDescent="0.3">
      <c r="A126" s="926"/>
      <c r="B126" s="609"/>
      <c r="C126" s="962"/>
      <c r="D126" s="2897"/>
      <c r="E126" s="2898"/>
      <c r="F126" s="2898"/>
      <c r="G126" s="2898"/>
      <c r="H126" s="2898"/>
      <c r="I126" s="2899"/>
      <c r="J126" s="2900"/>
      <c r="K126" s="2900"/>
      <c r="L126" s="2900"/>
      <c r="M126" s="2900"/>
      <c r="N126" s="2900"/>
      <c r="O126" s="2900"/>
      <c r="P126" s="2900"/>
      <c r="Q126" s="2900"/>
      <c r="R126" s="2900"/>
      <c r="S126" s="2900"/>
      <c r="T126" s="2900"/>
      <c r="U126" s="2901"/>
      <c r="V126" s="963"/>
      <c r="W126" s="609"/>
      <c r="X126" s="926"/>
      <c r="Y126" s="926"/>
      <c r="Z126" s="926"/>
      <c r="AA126" s="926"/>
      <c r="AB126" s="926"/>
      <c r="AC126" s="926"/>
      <c r="AD126" s="926"/>
      <c r="AE126" s="926"/>
      <c r="AF126" s="926"/>
      <c r="AG126" s="926"/>
      <c r="AH126" s="926"/>
      <c r="AI126" s="926"/>
      <c r="AJ126" s="926"/>
    </row>
    <row r="127" spans="1:36" ht="15" customHeight="1" x14ac:dyDescent="0.3">
      <c r="A127" s="926"/>
      <c r="B127" s="609"/>
      <c r="C127" s="962"/>
      <c r="D127" s="2897"/>
      <c r="E127" s="2898"/>
      <c r="F127" s="2898"/>
      <c r="G127" s="2898"/>
      <c r="H127" s="2898"/>
      <c r="I127" s="2899"/>
      <c r="J127" s="2900"/>
      <c r="K127" s="2900"/>
      <c r="L127" s="2900"/>
      <c r="M127" s="2900"/>
      <c r="N127" s="2900"/>
      <c r="O127" s="2900"/>
      <c r="P127" s="2900"/>
      <c r="Q127" s="2900"/>
      <c r="R127" s="2900"/>
      <c r="S127" s="2900"/>
      <c r="T127" s="2900"/>
      <c r="U127" s="2901"/>
      <c r="V127" s="963"/>
      <c r="W127" s="609"/>
      <c r="X127" s="926"/>
      <c r="Y127" s="926"/>
      <c r="Z127" s="926"/>
      <c r="AA127" s="926"/>
      <c r="AB127" s="926"/>
      <c r="AC127" s="926"/>
      <c r="AD127" s="926"/>
      <c r="AE127" s="926"/>
      <c r="AF127" s="926"/>
      <c r="AG127" s="926"/>
      <c r="AH127" s="926"/>
      <c r="AI127" s="926"/>
      <c r="AJ127" s="926"/>
    </row>
    <row r="128" spans="1:36" ht="15" customHeight="1" x14ac:dyDescent="0.3">
      <c r="A128" s="926"/>
      <c r="B128" s="609"/>
      <c r="C128" s="962"/>
      <c r="D128" s="2897"/>
      <c r="E128" s="2898"/>
      <c r="F128" s="2898"/>
      <c r="G128" s="2898"/>
      <c r="H128" s="2898"/>
      <c r="I128" s="2899"/>
      <c r="J128" s="2900"/>
      <c r="K128" s="2900"/>
      <c r="L128" s="2900"/>
      <c r="M128" s="2900"/>
      <c r="N128" s="2900"/>
      <c r="O128" s="2900"/>
      <c r="P128" s="2900"/>
      <c r="Q128" s="2900"/>
      <c r="R128" s="2900"/>
      <c r="S128" s="2900"/>
      <c r="T128" s="2900"/>
      <c r="U128" s="2901"/>
      <c r="V128" s="963"/>
      <c r="W128" s="609"/>
      <c r="X128" s="926"/>
      <c r="Y128" s="926"/>
      <c r="Z128" s="926"/>
      <c r="AA128" s="926"/>
      <c r="AB128" s="926"/>
      <c r="AC128" s="926"/>
      <c r="AD128" s="926"/>
      <c r="AE128" s="926"/>
      <c r="AF128" s="926"/>
      <c r="AG128" s="926"/>
      <c r="AH128" s="926"/>
      <c r="AI128" s="926"/>
      <c r="AJ128" s="926"/>
    </row>
    <row r="129" spans="1:36" ht="15" customHeight="1" x14ac:dyDescent="0.3">
      <c r="A129" s="926"/>
      <c r="B129" s="609"/>
      <c r="C129" s="962"/>
      <c r="D129" s="2897"/>
      <c r="E129" s="2898"/>
      <c r="F129" s="2898"/>
      <c r="G129" s="2898"/>
      <c r="H129" s="2898"/>
      <c r="I129" s="2899"/>
      <c r="J129" s="2900"/>
      <c r="K129" s="2900"/>
      <c r="L129" s="2900"/>
      <c r="M129" s="2900"/>
      <c r="N129" s="2900"/>
      <c r="O129" s="2900"/>
      <c r="P129" s="2900"/>
      <c r="Q129" s="2900"/>
      <c r="R129" s="2900"/>
      <c r="S129" s="2900"/>
      <c r="T129" s="2900"/>
      <c r="U129" s="2901"/>
      <c r="V129" s="963"/>
      <c r="W129" s="609"/>
      <c r="X129" s="926"/>
      <c r="Y129" s="926"/>
      <c r="Z129" s="926"/>
      <c r="AA129" s="926"/>
      <c r="AB129" s="926"/>
      <c r="AC129" s="926"/>
      <c r="AD129" s="926"/>
      <c r="AE129" s="926"/>
      <c r="AF129" s="926"/>
      <c r="AG129" s="926"/>
      <c r="AH129" s="926"/>
      <c r="AI129" s="926"/>
      <c r="AJ129" s="926"/>
    </row>
    <row r="130" spans="1:36" ht="15" customHeight="1" x14ac:dyDescent="0.3">
      <c r="A130" s="926"/>
      <c r="B130" s="609"/>
      <c r="C130" s="962"/>
      <c r="D130" s="2897" t="str" cm="1">
        <f t="array" aca="1" ref="D130" ca="1">INDEX(Sc.Ranked!$C$2:$C$31,I130)</f>
        <v>Shallow pit, scrape auto, slope screen, lagoon, irrigation + drag hose</v>
      </c>
      <c r="E130" s="2898"/>
      <c r="F130" s="2898"/>
      <c r="G130" s="2898"/>
      <c r="H130" s="2898"/>
      <c r="I130" s="2899">
        <v>17</v>
      </c>
      <c r="J130" s="2900" t="str" cm="1">
        <f t="array" aca="1" ref="J130" ca="1">INDEX(Sc.Ranked!$D$2:$D$31,I130)</f>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c r="K130" s="2900"/>
      <c r="L130" s="2900"/>
      <c r="M130" s="2900"/>
      <c r="N130" s="2900"/>
      <c r="O130" s="2900"/>
      <c r="P130" s="2900"/>
      <c r="Q130" s="2900"/>
      <c r="R130" s="2900"/>
      <c r="S130" s="2900"/>
      <c r="T130" s="2900"/>
      <c r="U130" s="2901"/>
      <c r="V130" s="963"/>
      <c r="W130" s="609"/>
      <c r="X130" s="926"/>
      <c r="Y130" s="926"/>
      <c r="Z130" s="926"/>
      <c r="AA130" s="926"/>
      <c r="AB130" s="926"/>
      <c r="AC130" s="926"/>
      <c r="AD130" s="926"/>
      <c r="AE130" s="926"/>
      <c r="AF130" s="926"/>
      <c r="AG130" s="926"/>
      <c r="AH130" s="926"/>
      <c r="AI130" s="926"/>
      <c r="AJ130" s="926"/>
    </row>
    <row r="131" spans="1:36" ht="15" customHeight="1" x14ac:dyDescent="0.3">
      <c r="A131" s="926"/>
      <c r="B131" s="609"/>
      <c r="C131" s="962"/>
      <c r="D131" s="2897"/>
      <c r="E131" s="2898"/>
      <c r="F131" s="2898"/>
      <c r="G131" s="2898"/>
      <c r="H131" s="2898"/>
      <c r="I131" s="2899"/>
      <c r="J131" s="2900"/>
      <c r="K131" s="2900"/>
      <c r="L131" s="2900"/>
      <c r="M131" s="2900"/>
      <c r="N131" s="2900"/>
      <c r="O131" s="2900"/>
      <c r="P131" s="2900"/>
      <c r="Q131" s="2900"/>
      <c r="R131" s="2900"/>
      <c r="S131" s="2900"/>
      <c r="T131" s="2900"/>
      <c r="U131" s="2901"/>
      <c r="V131" s="963"/>
      <c r="W131" s="609"/>
      <c r="X131" s="926"/>
      <c r="Y131" s="926"/>
      <c r="Z131" s="926"/>
      <c r="AA131" s="926"/>
      <c r="AB131" s="926"/>
      <c r="AC131" s="926"/>
      <c r="AD131" s="926"/>
      <c r="AE131" s="926"/>
      <c r="AF131" s="926"/>
      <c r="AG131" s="926"/>
      <c r="AH131" s="926"/>
      <c r="AI131" s="926"/>
      <c r="AJ131" s="926"/>
    </row>
    <row r="132" spans="1:36" ht="15" customHeight="1" x14ac:dyDescent="0.3">
      <c r="A132" s="926"/>
      <c r="B132" s="609"/>
      <c r="C132" s="962"/>
      <c r="D132" s="2897"/>
      <c r="E132" s="2898"/>
      <c r="F132" s="2898"/>
      <c r="G132" s="2898"/>
      <c r="H132" s="2898"/>
      <c r="I132" s="2899"/>
      <c r="J132" s="2900"/>
      <c r="K132" s="2900"/>
      <c r="L132" s="2900"/>
      <c r="M132" s="2900"/>
      <c r="N132" s="2900"/>
      <c r="O132" s="2900"/>
      <c r="P132" s="2900"/>
      <c r="Q132" s="2900"/>
      <c r="R132" s="2900"/>
      <c r="S132" s="2900"/>
      <c r="T132" s="2900"/>
      <c r="U132" s="2901"/>
      <c r="V132" s="963"/>
      <c r="W132" s="609"/>
      <c r="X132" s="926"/>
      <c r="Y132" s="926"/>
      <c r="Z132" s="926"/>
      <c r="AA132" s="926"/>
      <c r="AB132" s="926"/>
      <c r="AC132" s="926"/>
      <c r="AD132" s="926"/>
      <c r="AE132" s="926"/>
      <c r="AF132" s="926"/>
      <c r="AG132" s="926"/>
      <c r="AH132" s="926"/>
      <c r="AI132" s="926"/>
      <c r="AJ132" s="926"/>
    </row>
    <row r="133" spans="1:36" ht="15" customHeight="1" x14ac:dyDescent="0.3">
      <c r="A133" s="926"/>
      <c r="B133" s="609"/>
      <c r="C133" s="962"/>
      <c r="D133" s="2897"/>
      <c r="E133" s="2898"/>
      <c r="F133" s="2898"/>
      <c r="G133" s="2898"/>
      <c r="H133" s="2898"/>
      <c r="I133" s="2899"/>
      <c r="J133" s="2900"/>
      <c r="K133" s="2900"/>
      <c r="L133" s="2900"/>
      <c r="M133" s="2900"/>
      <c r="N133" s="2900"/>
      <c r="O133" s="2900"/>
      <c r="P133" s="2900"/>
      <c r="Q133" s="2900"/>
      <c r="R133" s="2900"/>
      <c r="S133" s="2900"/>
      <c r="T133" s="2900"/>
      <c r="U133" s="2901"/>
      <c r="V133" s="963"/>
      <c r="W133" s="609"/>
      <c r="X133" s="926"/>
      <c r="Y133" s="926"/>
      <c r="Z133" s="926"/>
      <c r="AA133" s="926"/>
      <c r="AB133" s="926"/>
      <c r="AC133" s="926"/>
      <c r="AD133" s="926"/>
      <c r="AE133" s="926"/>
      <c r="AF133" s="926"/>
      <c r="AG133" s="926"/>
      <c r="AH133" s="926"/>
      <c r="AI133" s="926"/>
      <c r="AJ133" s="926"/>
    </row>
    <row r="134" spans="1:36" ht="15" customHeight="1" x14ac:dyDescent="0.3">
      <c r="A134" s="926"/>
      <c r="B134" s="609"/>
      <c r="C134" s="962"/>
      <c r="D134" s="2897"/>
      <c r="E134" s="2898"/>
      <c r="F134" s="2898"/>
      <c r="G134" s="2898"/>
      <c r="H134" s="2898"/>
      <c r="I134" s="2899"/>
      <c r="J134" s="2900"/>
      <c r="K134" s="2900"/>
      <c r="L134" s="2900"/>
      <c r="M134" s="2900"/>
      <c r="N134" s="2900"/>
      <c r="O134" s="2900"/>
      <c r="P134" s="2900"/>
      <c r="Q134" s="2900"/>
      <c r="R134" s="2900"/>
      <c r="S134" s="2900"/>
      <c r="T134" s="2900"/>
      <c r="U134" s="2901"/>
      <c r="V134" s="963"/>
      <c r="W134" s="609"/>
      <c r="X134" s="926"/>
      <c r="Y134" s="926"/>
      <c r="Z134" s="926"/>
      <c r="AA134" s="926"/>
      <c r="AB134" s="926"/>
      <c r="AC134" s="926"/>
      <c r="AD134" s="926"/>
      <c r="AE134" s="926"/>
      <c r="AF134" s="926"/>
      <c r="AG134" s="926"/>
      <c r="AH134" s="926"/>
      <c r="AI134" s="926"/>
      <c r="AJ134" s="926"/>
    </row>
    <row r="135" spans="1:36" ht="15" customHeight="1" x14ac:dyDescent="0.3">
      <c r="A135" s="926"/>
      <c r="B135" s="609"/>
      <c r="C135" s="962"/>
      <c r="D135" s="2897"/>
      <c r="E135" s="2898"/>
      <c r="F135" s="2898"/>
      <c r="G135" s="2898"/>
      <c r="H135" s="2898"/>
      <c r="I135" s="2899"/>
      <c r="J135" s="2900"/>
      <c r="K135" s="2900"/>
      <c r="L135" s="2900"/>
      <c r="M135" s="2900"/>
      <c r="N135" s="2900"/>
      <c r="O135" s="2900"/>
      <c r="P135" s="2900"/>
      <c r="Q135" s="2900"/>
      <c r="R135" s="2900"/>
      <c r="S135" s="2900"/>
      <c r="T135" s="2900"/>
      <c r="U135" s="2901"/>
      <c r="V135" s="963"/>
      <c r="W135" s="609"/>
      <c r="X135" s="926"/>
      <c r="Y135" s="926"/>
      <c r="Z135" s="926"/>
      <c r="AA135" s="926"/>
      <c r="AB135" s="926"/>
      <c r="AC135" s="926"/>
      <c r="AD135" s="926"/>
      <c r="AE135" s="926"/>
      <c r="AF135" s="926"/>
      <c r="AG135" s="926"/>
      <c r="AH135" s="926"/>
      <c r="AI135" s="926"/>
      <c r="AJ135" s="926"/>
    </row>
    <row r="136" spans="1:36" ht="15" customHeight="1" x14ac:dyDescent="0.3">
      <c r="A136" s="926"/>
      <c r="B136" s="609"/>
      <c r="C136" s="962"/>
      <c r="D136" s="2897" t="str" cm="1">
        <f t="array" aca="1" ref="D136" ca="1">INDEX(Sc.Ranked!$C$2:$C$31,I136)</f>
        <v>Shallow pit, flush, covered digestion basin, lagoon, irrigation + drag hose</v>
      </c>
      <c r="E136" s="2898"/>
      <c r="F136" s="2898"/>
      <c r="G136" s="2898"/>
      <c r="H136" s="2898"/>
      <c r="I136" s="2899">
        <v>18</v>
      </c>
      <c r="J136" s="2900" t="str" cm="1">
        <f t="array" aca="1" ref="J136" ca="1">INDEX(Sc.Ranked!$D$2:$D$31,I136)</f>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36" s="2900"/>
      <c r="L136" s="2900"/>
      <c r="M136" s="2900"/>
      <c r="N136" s="2900"/>
      <c r="O136" s="2900"/>
      <c r="P136" s="2900"/>
      <c r="Q136" s="2900"/>
      <c r="R136" s="2900"/>
      <c r="S136" s="2900"/>
      <c r="T136" s="2900"/>
      <c r="U136" s="2901"/>
      <c r="V136" s="963"/>
      <c r="W136" s="609"/>
      <c r="X136" s="926"/>
      <c r="Y136" s="926"/>
      <c r="Z136" s="926"/>
      <c r="AA136" s="926"/>
      <c r="AB136" s="926"/>
      <c r="AC136" s="926"/>
      <c r="AD136" s="926"/>
      <c r="AE136" s="926"/>
      <c r="AF136" s="926"/>
      <c r="AG136" s="926"/>
      <c r="AH136" s="926"/>
      <c r="AI136" s="926"/>
      <c r="AJ136" s="926"/>
    </row>
    <row r="137" spans="1:36" ht="15" customHeight="1" x14ac:dyDescent="0.3">
      <c r="A137" s="926"/>
      <c r="B137" s="609"/>
      <c r="C137" s="962"/>
      <c r="D137" s="2897"/>
      <c r="E137" s="2898"/>
      <c r="F137" s="2898"/>
      <c r="G137" s="2898"/>
      <c r="H137" s="2898"/>
      <c r="I137" s="2899"/>
      <c r="J137" s="2900"/>
      <c r="K137" s="2900"/>
      <c r="L137" s="2900"/>
      <c r="M137" s="2900"/>
      <c r="N137" s="2900"/>
      <c r="O137" s="2900"/>
      <c r="P137" s="2900"/>
      <c r="Q137" s="2900"/>
      <c r="R137" s="2900"/>
      <c r="S137" s="2900"/>
      <c r="T137" s="2900"/>
      <c r="U137" s="2901"/>
      <c r="V137" s="963"/>
      <c r="W137" s="609"/>
      <c r="X137" s="926"/>
      <c r="Y137" s="926"/>
      <c r="Z137" s="926"/>
      <c r="AA137" s="926"/>
      <c r="AB137" s="926"/>
      <c r="AC137" s="926"/>
      <c r="AD137" s="926"/>
      <c r="AE137" s="926"/>
      <c r="AF137" s="926"/>
      <c r="AG137" s="926"/>
      <c r="AH137" s="926"/>
      <c r="AI137" s="926"/>
      <c r="AJ137" s="926"/>
    </row>
    <row r="138" spans="1:36" ht="15" customHeight="1" x14ac:dyDescent="0.3">
      <c r="A138" s="926"/>
      <c r="B138" s="609"/>
      <c r="C138" s="962"/>
      <c r="D138" s="2897"/>
      <c r="E138" s="2898"/>
      <c r="F138" s="2898"/>
      <c r="G138" s="2898"/>
      <c r="H138" s="2898"/>
      <c r="I138" s="2899"/>
      <c r="J138" s="2900"/>
      <c r="K138" s="2900"/>
      <c r="L138" s="2900"/>
      <c r="M138" s="2900"/>
      <c r="N138" s="2900"/>
      <c r="O138" s="2900"/>
      <c r="P138" s="2900"/>
      <c r="Q138" s="2900"/>
      <c r="R138" s="2900"/>
      <c r="S138" s="2900"/>
      <c r="T138" s="2900"/>
      <c r="U138" s="2901"/>
      <c r="V138" s="963"/>
      <c r="W138" s="609"/>
      <c r="X138" s="926"/>
      <c r="Y138" s="926"/>
      <c r="Z138" s="926"/>
      <c r="AA138" s="926"/>
      <c r="AB138" s="926"/>
      <c r="AC138" s="926"/>
      <c r="AD138" s="926"/>
      <c r="AE138" s="926"/>
      <c r="AF138" s="926"/>
      <c r="AG138" s="926"/>
      <c r="AH138" s="926"/>
      <c r="AI138" s="926"/>
      <c r="AJ138" s="926"/>
    </row>
    <row r="139" spans="1:36" ht="15" customHeight="1" x14ac:dyDescent="0.3">
      <c r="A139" s="926"/>
      <c r="B139" s="609"/>
      <c r="C139" s="962"/>
      <c r="D139" s="2897"/>
      <c r="E139" s="2898"/>
      <c r="F139" s="2898"/>
      <c r="G139" s="2898"/>
      <c r="H139" s="2898"/>
      <c r="I139" s="2899"/>
      <c r="J139" s="2900"/>
      <c r="K139" s="2900"/>
      <c r="L139" s="2900"/>
      <c r="M139" s="2900"/>
      <c r="N139" s="2900"/>
      <c r="O139" s="2900"/>
      <c r="P139" s="2900"/>
      <c r="Q139" s="2900"/>
      <c r="R139" s="2900"/>
      <c r="S139" s="2900"/>
      <c r="T139" s="2900"/>
      <c r="U139" s="2901"/>
      <c r="V139" s="963"/>
      <c r="W139" s="609"/>
      <c r="X139" s="926"/>
      <c r="Y139" s="926"/>
      <c r="Z139" s="926"/>
      <c r="AA139" s="926"/>
      <c r="AB139" s="926"/>
      <c r="AC139" s="926"/>
      <c r="AD139" s="926"/>
      <c r="AE139" s="926"/>
      <c r="AF139" s="926"/>
      <c r="AG139" s="926"/>
      <c r="AH139" s="926"/>
      <c r="AI139" s="926"/>
      <c r="AJ139" s="926"/>
    </row>
    <row r="140" spans="1:36" ht="15" customHeight="1" x14ac:dyDescent="0.3">
      <c r="A140" s="926"/>
      <c r="B140" s="609"/>
      <c r="C140" s="962"/>
      <c r="D140" s="2897"/>
      <c r="E140" s="2898"/>
      <c r="F140" s="2898"/>
      <c r="G140" s="2898"/>
      <c r="H140" s="2898"/>
      <c r="I140" s="2899"/>
      <c r="J140" s="2900"/>
      <c r="K140" s="2900"/>
      <c r="L140" s="2900"/>
      <c r="M140" s="2900"/>
      <c r="N140" s="2900"/>
      <c r="O140" s="2900"/>
      <c r="P140" s="2900"/>
      <c r="Q140" s="2900"/>
      <c r="R140" s="2900"/>
      <c r="S140" s="2900"/>
      <c r="T140" s="2900"/>
      <c r="U140" s="2901"/>
      <c r="V140" s="963"/>
      <c r="W140" s="609"/>
      <c r="X140" s="926"/>
      <c r="Y140" s="926"/>
      <c r="Z140" s="926"/>
      <c r="AA140" s="926"/>
      <c r="AB140" s="926"/>
      <c r="AC140" s="926"/>
      <c r="AD140" s="926"/>
      <c r="AE140" s="926"/>
      <c r="AF140" s="926"/>
      <c r="AG140" s="926"/>
      <c r="AH140" s="926"/>
      <c r="AI140" s="926"/>
      <c r="AJ140" s="926"/>
    </row>
    <row r="141" spans="1:36" ht="15" customHeight="1" x14ac:dyDescent="0.3">
      <c r="A141" s="926"/>
      <c r="B141" s="609"/>
      <c r="C141" s="962"/>
      <c r="D141" s="2897"/>
      <c r="E141" s="2898"/>
      <c r="F141" s="2898"/>
      <c r="G141" s="2898"/>
      <c r="H141" s="2898"/>
      <c r="I141" s="2899"/>
      <c r="J141" s="2900"/>
      <c r="K141" s="2900"/>
      <c r="L141" s="2900"/>
      <c r="M141" s="2900"/>
      <c r="N141" s="2900"/>
      <c r="O141" s="2900"/>
      <c r="P141" s="2900"/>
      <c r="Q141" s="2900"/>
      <c r="R141" s="2900"/>
      <c r="S141" s="2900"/>
      <c r="T141" s="2900"/>
      <c r="U141" s="2901"/>
      <c r="V141" s="963"/>
      <c r="W141" s="609"/>
      <c r="X141" s="926"/>
      <c r="Y141" s="926"/>
      <c r="Z141" s="926"/>
      <c r="AA141" s="926"/>
      <c r="AB141" s="926"/>
      <c r="AC141" s="926"/>
      <c r="AD141" s="926"/>
      <c r="AE141" s="926"/>
      <c r="AF141" s="926"/>
      <c r="AG141" s="926"/>
      <c r="AH141" s="926"/>
      <c r="AI141" s="926"/>
      <c r="AJ141" s="926"/>
    </row>
    <row r="142" spans="1:36" ht="15" customHeight="1" x14ac:dyDescent="0.3">
      <c r="A142" s="926"/>
      <c r="B142" s="609"/>
      <c r="C142" s="962"/>
      <c r="D142" s="2897" t="str" cm="1">
        <f t="array" aca="1" ref="D142" ca="1">INDEX(Sc.Ranked!$C$2:$C$31,I142)</f>
        <v>Shallow pit, pull plug, covered digestion basin, lagoon, irrigation + drag hose</v>
      </c>
      <c r="E142" s="2898"/>
      <c r="F142" s="2898"/>
      <c r="G142" s="2898"/>
      <c r="H142" s="2898"/>
      <c r="I142" s="2899">
        <v>19</v>
      </c>
      <c r="J142" s="2900" t="str" cm="1">
        <f t="array" aca="1" ref="J142" ca="1">INDEX(Sc.Ranked!$D$2:$D$31,I142)</f>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42" s="2900"/>
      <c r="L142" s="2900"/>
      <c r="M142" s="2900"/>
      <c r="N142" s="2900"/>
      <c r="O142" s="2900"/>
      <c r="P142" s="2900"/>
      <c r="Q142" s="2900"/>
      <c r="R142" s="2900"/>
      <c r="S142" s="2900"/>
      <c r="T142" s="2900"/>
      <c r="U142" s="2901"/>
      <c r="V142" s="963"/>
      <c r="W142" s="609"/>
      <c r="X142" s="926"/>
      <c r="Y142" s="926"/>
      <c r="Z142" s="926"/>
      <c r="AA142" s="926"/>
      <c r="AB142" s="926"/>
      <c r="AC142" s="926"/>
      <c r="AD142" s="926"/>
      <c r="AE142" s="926"/>
      <c r="AF142" s="926"/>
      <c r="AG142" s="926"/>
      <c r="AH142" s="926"/>
      <c r="AI142" s="926"/>
      <c r="AJ142" s="926"/>
    </row>
    <row r="143" spans="1:36" ht="15" customHeight="1" x14ac:dyDescent="0.3">
      <c r="A143" s="926"/>
      <c r="B143" s="609"/>
      <c r="C143" s="962"/>
      <c r="D143" s="2897"/>
      <c r="E143" s="2898"/>
      <c r="F143" s="2898"/>
      <c r="G143" s="2898"/>
      <c r="H143" s="2898"/>
      <c r="I143" s="2899"/>
      <c r="J143" s="2900"/>
      <c r="K143" s="2900"/>
      <c r="L143" s="2900"/>
      <c r="M143" s="2900"/>
      <c r="N143" s="2900"/>
      <c r="O143" s="2900"/>
      <c r="P143" s="2900"/>
      <c r="Q143" s="2900"/>
      <c r="R143" s="2900"/>
      <c r="S143" s="2900"/>
      <c r="T143" s="2900"/>
      <c r="U143" s="2901"/>
      <c r="V143" s="963"/>
      <c r="W143" s="609"/>
      <c r="X143" s="926"/>
      <c r="Y143" s="926"/>
      <c r="Z143" s="926"/>
      <c r="AA143" s="926"/>
      <c r="AB143" s="926"/>
      <c r="AC143" s="926"/>
      <c r="AD143" s="926"/>
      <c r="AE143" s="926"/>
      <c r="AF143" s="926"/>
      <c r="AG143" s="926"/>
      <c r="AH143" s="926"/>
      <c r="AI143" s="926"/>
      <c r="AJ143" s="926"/>
    </row>
    <row r="144" spans="1:36" ht="15" customHeight="1" x14ac:dyDescent="0.3">
      <c r="A144" s="926"/>
      <c r="B144" s="609"/>
      <c r="C144" s="962"/>
      <c r="D144" s="2897"/>
      <c r="E144" s="2898"/>
      <c r="F144" s="2898"/>
      <c r="G144" s="2898"/>
      <c r="H144" s="2898"/>
      <c r="I144" s="2899"/>
      <c r="J144" s="2900"/>
      <c r="K144" s="2900"/>
      <c r="L144" s="2900"/>
      <c r="M144" s="2900"/>
      <c r="N144" s="2900"/>
      <c r="O144" s="2900"/>
      <c r="P144" s="2900"/>
      <c r="Q144" s="2900"/>
      <c r="R144" s="2900"/>
      <c r="S144" s="2900"/>
      <c r="T144" s="2900"/>
      <c r="U144" s="2901"/>
      <c r="V144" s="963"/>
      <c r="W144" s="609"/>
      <c r="X144" s="926"/>
      <c r="Y144" s="926"/>
      <c r="Z144" s="926"/>
      <c r="AA144" s="926"/>
      <c r="AB144" s="926"/>
      <c r="AC144" s="926"/>
      <c r="AD144" s="926"/>
      <c r="AE144" s="926"/>
      <c r="AF144" s="926"/>
      <c r="AG144" s="926"/>
      <c r="AH144" s="926"/>
      <c r="AI144" s="926"/>
      <c r="AJ144" s="926"/>
    </row>
    <row r="145" spans="1:36" ht="15" customHeight="1" x14ac:dyDescent="0.3">
      <c r="A145" s="926"/>
      <c r="B145" s="609"/>
      <c r="C145" s="962"/>
      <c r="D145" s="2897"/>
      <c r="E145" s="2898"/>
      <c r="F145" s="2898"/>
      <c r="G145" s="2898"/>
      <c r="H145" s="2898"/>
      <c r="I145" s="2899"/>
      <c r="J145" s="2900"/>
      <c r="K145" s="2900"/>
      <c r="L145" s="2900"/>
      <c r="M145" s="2900"/>
      <c r="N145" s="2900"/>
      <c r="O145" s="2900"/>
      <c r="P145" s="2900"/>
      <c r="Q145" s="2900"/>
      <c r="R145" s="2900"/>
      <c r="S145" s="2900"/>
      <c r="T145" s="2900"/>
      <c r="U145" s="2901"/>
      <c r="V145" s="963"/>
      <c r="W145" s="609"/>
      <c r="X145" s="926"/>
      <c r="Y145" s="926"/>
      <c r="Z145" s="926"/>
      <c r="AA145" s="926"/>
      <c r="AB145" s="926"/>
      <c r="AC145" s="926"/>
      <c r="AD145" s="926"/>
      <c r="AE145" s="926"/>
      <c r="AF145" s="926"/>
      <c r="AG145" s="926"/>
      <c r="AH145" s="926"/>
      <c r="AI145" s="926"/>
      <c r="AJ145" s="926"/>
    </row>
    <row r="146" spans="1:36" ht="15" customHeight="1" x14ac:dyDescent="0.3">
      <c r="A146" s="926"/>
      <c r="B146" s="609"/>
      <c r="C146" s="962"/>
      <c r="D146" s="2897"/>
      <c r="E146" s="2898"/>
      <c r="F146" s="2898"/>
      <c r="G146" s="2898"/>
      <c r="H146" s="2898"/>
      <c r="I146" s="2899"/>
      <c r="J146" s="2900"/>
      <c r="K146" s="2900"/>
      <c r="L146" s="2900"/>
      <c r="M146" s="2900"/>
      <c r="N146" s="2900"/>
      <c r="O146" s="2900"/>
      <c r="P146" s="2900"/>
      <c r="Q146" s="2900"/>
      <c r="R146" s="2900"/>
      <c r="S146" s="2900"/>
      <c r="T146" s="2900"/>
      <c r="U146" s="2901"/>
      <c r="V146" s="963"/>
      <c r="W146" s="609"/>
      <c r="X146" s="926"/>
      <c r="Y146" s="926"/>
      <c r="Z146" s="926"/>
      <c r="AA146" s="926"/>
      <c r="AB146" s="926"/>
      <c r="AC146" s="926"/>
      <c r="AD146" s="926"/>
      <c r="AE146" s="926"/>
      <c r="AF146" s="926"/>
      <c r="AG146" s="926"/>
      <c r="AH146" s="926"/>
      <c r="AI146" s="926"/>
      <c r="AJ146" s="926"/>
    </row>
    <row r="147" spans="1:36" ht="15" customHeight="1" x14ac:dyDescent="0.3">
      <c r="A147" s="926"/>
      <c r="B147" s="609"/>
      <c r="C147" s="962"/>
      <c r="D147" s="2897"/>
      <c r="E147" s="2898"/>
      <c r="F147" s="2898"/>
      <c r="G147" s="2898"/>
      <c r="H147" s="2898"/>
      <c r="I147" s="2899"/>
      <c r="J147" s="2900"/>
      <c r="K147" s="2900"/>
      <c r="L147" s="2900"/>
      <c r="M147" s="2900"/>
      <c r="N147" s="2900"/>
      <c r="O147" s="2900"/>
      <c r="P147" s="2900"/>
      <c r="Q147" s="2900"/>
      <c r="R147" s="2900"/>
      <c r="S147" s="2900"/>
      <c r="T147" s="2900"/>
      <c r="U147" s="2901"/>
      <c r="V147" s="963"/>
      <c r="W147" s="609"/>
      <c r="X147" s="926"/>
      <c r="Y147" s="926"/>
      <c r="Z147" s="926"/>
      <c r="AA147" s="926"/>
      <c r="AB147" s="926"/>
      <c r="AC147" s="926"/>
      <c r="AD147" s="926"/>
      <c r="AE147" s="926"/>
      <c r="AF147" s="926"/>
      <c r="AG147" s="926"/>
      <c r="AH147" s="926"/>
      <c r="AI147" s="926"/>
      <c r="AJ147" s="926"/>
    </row>
    <row r="148" spans="1:36" ht="15" customHeight="1" x14ac:dyDescent="0.3">
      <c r="A148" s="926"/>
      <c r="B148" s="609"/>
      <c r="C148" s="962"/>
      <c r="D148" s="2897" t="str" cm="1">
        <f t="array" aca="1" ref="D148" ca="1">INDEX(Sc.Ranked!$C$2:$C$31,I148)</f>
        <v>Shallow pit, pull plug, lagoon, irrigation + drag hose</v>
      </c>
      <c r="E148" s="2898"/>
      <c r="F148" s="2898"/>
      <c r="G148" s="2898"/>
      <c r="H148" s="2898"/>
      <c r="I148" s="2899">
        <v>20</v>
      </c>
      <c r="J148" s="2900" t="str" cm="1">
        <f t="array" aca="1" ref="J148" ca="1">INDEX(Sc.Ranked!$D$2:$D$31,I148)</f>
        <v>The farm uses a pull-plug method for barn cleaning. Then the manure flows to a lagoon and is stored for a period of time before it is emptied. Liquids are land applied via irrigation while the accumulated sludge is removed after a longer storage period and land applied via agitation and tractor-pulled tanker.</v>
      </c>
      <c r="K148" s="2900"/>
      <c r="L148" s="2900"/>
      <c r="M148" s="2900"/>
      <c r="N148" s="2900"/>
      <c r="O148" s="2900"/>
      <c r="P148" s="2900"/>
      <c r="Q148" s="2900"/>
      <c r="R148" s="2900"/>
      <c r="S148" s="2900"/>
      <c r="T148" s="2900"/>
      <c r="U148" s="2901"/>
      <c r="V148" s="963"/>
      <c r="W148" s="609"/>
      <c r="X148" s="926"/>
      <c r="Y148" s="926"/>
      <c r="Z148" s="926"/>
      <c r="AA148" s="926"/>
      <c r="AB148" s="926"/>
      <c r="AC148" s="926"/>
      <c r="AD148" s="926"/>
      <c r="AE148" s="926"/>
      <c r="AF148" s="926"/>
      <c r="AG148" s="926"/>
      <c r="AH148" s="926"/>
      <c r="AI148" s="926"/>
      <c r="AJ148" s="926"/>
    </row>
    <row r="149" spans="1:36" ht="15" customHeight="1" x14ac:dyDescent="0.3">
      <c r="A149" s="926"/>
      <c r="B149" s="609"/>
      <c r="C149" s="962"/>
      <c r="D149" s="2897"/>
      <c r="E149" s="2898"/>
      <c r="F149" s="2898"/>
      <c r="G149" s="2898"/>
      <c r="H149" s="2898"/>
      <c r="I149" s="2899"/>
      <c r="J149" s="2900"/>
      <c r="K149" s="2900"/>
      <c r="L149" s="2900"/>
      <c r="M149" s="2900"/>
      <c r="N149" s="2900"/>
      <c r="O149" s="2900"/>
      <c r="P149" s="2900"/>
      <c r="Q149" s="2900"/>
      <c r="R149" s="2900"/>
      <c r="S149" s="2900"/>
      <c r="T149" s="2900"/>
      <c r="U149" s="2901"/>
      <c r="V149" s="963"/>
      <c r="W149" s="609"/>
      <c r="X149" s="926"/>
      <c r="Y149" s="926"/>
      <c r="Z149" s="926"/>
      <c r="AA149" s="926"/>
      <c r="AB149" s="926"/>
      <c r="AC149" s="926"/>
      <c r="AD149" s="926"/>
      <c r="AE149" s="926"/>
      <c r="AF149" s="926"/>
      <c r="AG149" s="926"/>
      <c r="AH149" s="926"/>
      <c r="AI149" s="926"/>
      <c r="AJ149" s="926"/>
    </row>
    <row r="150" spans="1:36" ht="15" customHeight="1" x14ac:dyDescent="0.3">
      <c r="A150" s="926"/>
      <c r="B150" s="609"/>
      <c r="C150" s="962"/>
      <c r="D150" s="2897"/>
      <c r="E150" s="2898"/>
      <c r="F150" s="2898"/>
      <c r="G150" s="2898"/>
      <c r="H150" s="2898"/>
      <c r="I150" s="2899"/>
      <c r="J150" s="2900"/>
      <c r="K150" s="2900"/>
      <c r="L150" s="2900"/>
      <c r="M150" s="2900"/>
      <c r="N150" s="2900"/>
      <c r="O150" s="2900"/>
      <c r="P150" s="2900"/>
      <c r="Q150" s="2900"/>
      <c r="R150" s="2900"/>
      <c r="S150" s="2900"/>
      <c r="T150" s="2900"/>
      <c r="U150" s="2901"/>
      <c r="V150" s="963"/>
      <c r="W150" s="609"/>
      <c r="X150" s="926"/>
      <c r="Y150" s="926"/>
      <c r="Z150" s="926"/>
      <c r="AA150" s="926"/>
      <c r="AB150" s="926"/>
      <c r="AC150" s="926"/>
      <c r="AD150" s="926"/>
      <c r="AE150" s="926"/>
      <c r="AF150" s="926"/>
      <c r="AG150" s="926"/>
      <c r="AH150" s="926"/>
      <c r="AI150" s="926"/>
      <c r="AJ150" s="926"/>
    </row>
    <row r="151" spans="1:36" ht="15" customHeight="1" x14ac:dyDescent="0.3">
      <c r="A151" s="926"/>
      <c r="B151" s="609"/>
      <c r="C151" s="962"/>
      <c r="D151" s="2897"/>
      <c r="E151" s="2898"/>
      <c r="F151" s="2898"/>
      <c r="G151" s="2898"/>
      <c r="H151" s="2898"/>
      <c r="I151" s="2899"/>
      <c r="J151" s="2900"/>
      <c r="K151" s="2900"/>
      <c r="L151" s="2900"/>
      <c r="M151" s="2900"/>
      <c r="N151" s="2900"/>
      <c r="O151" s="2900"/>
      <c r="P151" s="2900"/>
      <c r="Q151" s="2900"/>
      <c r="R151" s="2900"/>
      <c r="S151" s="2900"/>
      <c r="T151" s="2900"/>
      <c r="U151" s="2901"/>
      <c r="V151" s="963"/>
      <c r="W151" s="609"/>
      <c r="X151" s="926"/>
      <c r="Y151" s="926"/>
      <c r="Z151" s="926"/>
      <c r="AA151" s="926"/>
      <c r="AB151" s="926"/>
      <c r="AC151" s="926"/>
      <c r="AD151" s="926"/>
      <c r="AE151" s="926"/>
      <c r="AF151" s="926"/>
      <c r="AG151" s="926"/>
      <c r="AH151" s="926"/>
      <c r="AI151" s="926"/>
      <c r="AJ151" s="926"/>
    </row>
    <row r="152" spans="1:36" ht="15" customHeight="1" x14ac:dyDescent="0.3">
      <c r="A152" s="926"/>
      <c r="B152" s="609"/>
      <c r="C152" s="962"/>
      <c r="D152" s="2897"/>
      <c r="E152" s="2898"/>
      <c r="F152" s="2898"/>
      <c r="G152" s="2898"/>
      <c r="H152" s="2898"/>
      <c r="I152" s="2899"/>
      <c r="J152" s="2900"/>
      <c r="K152" s="2900"/>
      <c r="L152" s="2900"/>
      <c r="M152" s="2900"/>
      <c r="N152" s="2900"/>
      <c r="O152" s="2900"/>
      <c r="P152" s="2900"/>
      <c r="Q152" s="2900"/>
      <c r="R152" s="2900"/>
      <c r="S152" s="2900"/>
      <c r="T152" s="2900"/>
      <c r="U152" s="2901"/>
      <c r="V152" s="963"/>
      <c r="W152" s="609"/>
      <c r="X152" s="926"/>
      <c r="Y152" s="926"/>
      <c r="Z152" s="926"/>
      <c r="AA152" s="926"/>
      <c r="AB152" s="926"/>
      <c r="AC152" s="926"/>
      <c r="AD152" s="926"/>
      <c r="AE152" s="926"/>
      <c r="AF152" s="926"/>
      <c r="AG152" s="926"/>
      <c r="AH152" s="926"/>
      <c r="AI152" s="926"/>
      <c r="AJ152" s="926"/>
    </row>
    <row r="153" spans="1:36" ht="15" customHeight="1" thickBot="1" x14ac:dyDescent="0.35">
      <c r="A153" s="926"/>
      <c r="B153" s="609"/>
      <c r="C153" s="962"/>
      <c r="D153" s="2902"/>
      <c r="E153" s="2903"/>
      <c r="F153" s="2903"/>
      <c r="G153" s="2903"/>
      <c r="H153" s="2903"/>
      <c r="I153" s="2904"/>
      <c r="J153" s="2905"/>
      <c r="K153" s="2905"/>
      <c r="L153" s="2905"/>
      <c r="M153" s="2905"/>
      <c r="N153" s="2905"/>
      <c r="O153" s="2905"/>
      <c r="P153" s="2905"/>
      <c r="Q153" s="2905"/>
      <c r="R153" s="2905"/>
      <c r="S153" s="2905"/>
      <c r="T153" s="2905"/>
      <c r="U153" s="2906"/>
      <c r="V153" s="963"/>
      <c r="W153" s="609"/>
      <c r="X153" s="926"/>
      <c r="Y153" s="926"/>
      <c r="Z153" s="926"/>
      <c r="AA153" s="926"/>
      <c r="AB153" s="926"/>
      <c r="AC153" s="926"/>
      <c r="AD153" s="926"/>
      <c r="AE153" s="926"/>
      <c r="AF153" s="926"/>
      <c r="AG153" s="926"/>
      <c r="AH153" s="926"/>
      <c r="AI153" s="926"/>
      <c r="AJ153" s="926"/>
    </row>
    <row r="154" spans="1:36" ht="15" customHeight="1" thickBot="1" x14ac:dyDescent="0.35">
      <c r="A154" s="926"/>
      <c r="B154" s="609"/>
      <c r="C154" s="962"/>
      <c r="D154" s="1041"/>
      <c r="E154" s="1041"/>
      <c r="F154" s="1041"/>
      <c r="G154" s="1041"/>
      <c r="H154" s="1041"/>
      <c r="I154" s="1043"/>
      <c r="J154" s="60"/>
      <c r="K154" s="60"/>
      <c r="L154" s="60"/>
      <c r="M154" s="60"/>
      <c r="N154" s="60"/>
      <c r="O154" s="60"/>
      <c r="P154" s="60"/>
      <c r="Q154" s="60"/>
      <c r="R154" s="60"/>
      <c r="S154" s="60"/>
      <c r="T154" s="60"/>
      <c r="U154" s="60"/>
      <c r="V154" s="963"/>
      <c r="W154" s="609"/>
      <c r="X154" s="926"/>
      <c r="Y154" s="926"/>
      <c r="Z154" s="926"/>
      <c r="AA154" s="926"/>
      <c r="AB154" s="926"/>
      <c r="AC154" s="926"/>
      <c r="AD154" s="926"/>
      <c r="AE154" s="926"/>
      <c r="AF154" s="926"/>
      <c r="AG154" s="926"/>
      <c r="AH154" s="926"/>
      <c r="AI154" s="926"/>
      <c r="AJ154" s="926"/>
    </row>
    <row r="155" spans="1:36" ht="15" customHeight="1" thickTop="1" thickBot="1" x14ac:dyDescent="0.35">
      <c r="A155" s="926"/>
      <c r="B155" s="609"/>
      <c r="C155" s="962"/>
      <c r="D155" s="2356" t="s">
        <v>619</v>
      </c>
      <c r="E155" s="2357"/>
      <c r="F155" s="40"/>
      <c r="G155" s="2376" t="s">
        <v>622</v>
      </c>
      <c r="H155" s="2377"/>
      <c r="I155" s="2377"/>
      <c r="J155" s="2377"/>
      <c r="K155" s="2377"/>
      <c r="L155" s="2377"/>
      <c r="M155" s="2377"/>
      <c r="N155" s="2377"/>
      <c r="O155" s="2377"/>
      <c r="P155" s="2378"/>
      <c r="Q155" s="40"/>
      <c r="R155" s="2719" t="s">
        <v>621</v>
      </c>
      <c r="S155" s="2720"/>
      <c r="T155" s="1044"/>
      <c r="U155" s="1044"/>
      <c r="V155" s="963"/>
      <c r="W155" s="609"/>
      <c r="X155" s="926"/>
      <c r="Y155" s="926"/>
      <c r="Z155" s="926"/>
      <c r="AA155" s="926"/>
      <c r="AB155" s="926"/>
      <c r="AC155" s="926"/>
      <c r="AD155" s="926"/>
      <c r="AE155" s="926"/>
      <c r="AF155" s="926"/>
      <c r="AG155" s="926"/>
      <c r="AH155" s="926"/>
      <c r="AI155" s="926"/>
      <c r="AJ155" s="926"/>
    </row>
    <row r="156" spans="1:36" ht="15" customHeight="1" thickTop="1" thickBot="1" x14ac:dyDescent="0.35">
      <c r="A156" s="926"/>
      <c r="B156" s="609"/>
      <c r="C156" s="962"/>
      <c r="D156" s="2358"/>
      <c r="E156" s="2359"/>
      <c r="F156" s="40"/>
      <c r="G156" s="2379"/>
      <c r="H156" s="2380"/>
      <c r="I156" s="2380"/>
      <c r="J156" s="2380"/>
      <c r="K156" s="2380"/>
      <c r="L156" s="2380"/>
      <c r="M156" s="2380"/>
      <c r="N156" s="2380"/>
      <c r="O156" s="2380"/>
      <c r="P156" s="2381"/>
      <c r="Q156" s="40"/>
      <c r="R156" s="2721"/>
      <c r="S156" s="2722"/>
      <c r="T156" s="1044"/>
      <c r="U156" s="1044"/>
      <c r="V156" s="963"/>
      <c r="W156" s="609"/>
      <c r="X156" s="926"/>
      <c r="Y156" s="926"/>
      <c r="Z156" s="926"/>
      <c r="AA156" s="926"/>
      <c r="AB156" s="926"/>
      <c r="AC156" s="926"/>
      <c r="AD156" s="926"/>
      <c r="AE156" s="926"/>
      <c r="AF156" s="926"/>
      <c r="AG156" s="926"/>
      <c r="AH156" s="926"/>
      <c r="AI156" s="926"/>
      <c r="AJ156" s="926"/>
    </row>
    <row r="157" spans="1:36" ht="15" customHeight="1" thickTop="1" thickBot="1" x14ac:dyDescent="0.35">
      <c r="A157" s="926"/>
      <c r="B157" s="609"/>
      <c r="C157" s="962"/>
      <c r="D157" s="2360"/>
      <c r="E157" s="2361"/>
      <c r="F157" s="40"/>
      <c r="G157" s="2382"/>
      <c r="H157" s="2383"/>
      <c r="I157" s="2383"/>
      <c r="J157" s="2383"/>
      <c r="K157" s="2383"/>
      <c r="L157" s="2383"/>
      <c r="M157" s="2383"/>
      <c r="N157" s="2383"/>
      <c r="O157" s="2383"/>
      <c r="P157" s="2384"/>
      <c r="Q157" s="40"/>
      <c r="R157" s="2723"/>
      <c r="S157" s="2724"/>
      <c r="T157" s="1044"/>
      <c r="U157" s="1044"/>
      <c r="V157" s="963"/>
      <c r="W157" s="609"/>
      <c r="X157" s="926"/>
      <c r="Y157" s="926"/>
      <c r="Z157" s="926"/>
      <c r="AA157" s="926"/>
      <c r="AB157" s="926"/>
      <c r="AC157" s="926"/>
      <c r="AD157" s="926"/>
      <c r="AE157" s="926"/>
      <c r="AF157" s="926"/>
      <c r="AG157" s="926"/>
      <c r="AH157" s="926"/>
      <c r="AI157" s="926"/>
      <c r="AJ157" s="926"/>
    </row>
    <row r="158" spans="1:36" ht="15" customHeight="1" thickBot="1" x14ac:dyDescent="0.35">
      <c r="A158" s="926"/>
      <c r="B158" s="609"/>
      <c r="C158" s="962"/>
      <c r="D158" s="1041"/>
      <c r="E158" s="1041"/>
      <c r="F158" s="1041"/>
      <c r="G158" s="1041"/>
      <c r="H158" s="1041"/>
      <c r="I158" s="1043"/>
      <c r="J158" s="60"/>
      <c r="K158" s="60"/>
      <c r="L158" s="60"/>
      <c r="M158" s="60"/>
      <c r="N158" s="60"/>
      <c r="O158" s="60"/>
      <c r="P158" s="60"/>
      <c r="Q158" s="60"/>
      <c r="R158" s="60"/>
      <c r="S158" s="60"/>
      <c r="T158" s="60"/>
      <c r="U158" s="60"/>
      <c r="V158" s="963"/>
      <c r="W158" s="609"/>
      <c r="X158" s="926"/>
      <c r="Y158" s="926"/>
      <c r="Z158" s="926"/>
      <c r="AA158" s="926"/>
      <c r="AB158" s="926"/>
      <c r="AC158" s="926"/>
      <c r="AD158" s="926"/>
      <c r="AE158" s="926"/>
      <c r="AF158" s="926"/>
      <c r="AG158" s="926"/>
      <c r="AH158" s="926"/>
      <c r="AI158" s="926"/>
      <c r="AJ158" s="926"/>
    </row>
    <row r="159" spans="1:36" ht="15" customHeight="1" x14ac:dyDescent="0.3">
      <c r="A159" s="926"/>
      <c r="B159" s="609"/>
      <c r="C159" s="962"/>
      <c r="D159" s="2907" t="s">
        <v>602</v>
      </c>
      <c r="E159" s="2908"/>
      <c r="F159" s="2908"/>
      <c r="G159" s="2908"/>
      <c r="H159" s="2908"/>
      <c r="I159" s="1770" t="s">
        <v>459</v>
      </c>
      <c r="J159" s="2918" t="s">
        <v>109</v>
      </c>
      <c r="K159" s="2918"/>
      <c r="L159" s="2918"/>
      <c r="M159" s="2918"/>
      <c r="N159" s="2918"/>
      <c r="O159" s="2918"/>
      <c r="P159" s="2918"/>
      <c r="Q159" s="2918"/>
      <c r="R159" s="2918"/>
      <c r="S159" s="2918"/>
      <c r="T159" s="2918"/>
      <c r="U159" s="2919"/>
      <c r="V159" s="963"/>
      <c r="W159" s="609"/>
      <c r="X159" s="926"/>
      <c r="Y159" s="926"/>
      <c r="Z159" s="926"/>
      <c r="AA159" s="926"/>
      <c r="AB159" s="926"/>
      <c r="AC159" s="926"/>
      <c r="AD159" s="926"/>
      <c r="AE159" s="926"/>
      <c r="AF159" s="926"/>
      <c r="AG159" s="926"/>
      <c r="AH159" s="926"/>
      <c r="AI159" s="926"/>
      <c r="AJ159" s="926"/>
    </row>
    <row r="160" spans="1:36" ht="15" customHeight="1" x14ac:dyDescent="0.3">
      <c r="A160" s="926"/>
      <c r="B160" s="609"/>
      <c r="C160" s="962"/>
      <c r="D160" s="2897" t="str" cm="1">
        <f t="array" aca="1" ref="D160" ca="1">INDEX(Sc.Ranked!$C$2:$C$31,I160)</f>
        <v>Shallow pit, scrape auto, covered digestion basin, lagoon, irrigation + drag hose</v>
      </c>
      <c r="E160" s="2898"/>
      <c r="F160" s="2898"/>
      <c r="G160" s="2898"/>
      <c r="H160" s="2898"/>
      <c r="I160" s="2899">
        <v>21</v>
      </c>
      <c r="J160" s="2900" t="str" cm="1">
        <f t="array" aca="1" ref="J160" ca="1">INDEX(Sc.Ranked!$D$2:$D$31,I160)</f>
        <v>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60" s="2900"/>
      <c r="L160" s="2900"/>
      <c r="M160" s="2900"/>
      <c r="N160" s="2900"/>
      <c r="O160" s="2900"/>
      <c r="P160" s="2900"/>
      <c r="Q160" s="2900"/>
      <c r="R160" s="2900"/>
      <c r="S160" s="2900"/>
      <c r="T160" s="2900"/>
      <c r="U160" s="2901"/>
      <c r="V160" s="963"/>
      <c r="W160" s="609"/>
      <c r="X160" s="926"/>
      <c r="Y160" s="926"/>
      <c r="Z160" s="926"/>
      <c r="AA160" s="926"/>
      <c r="AB160" s="926"/>
      <c r="AC160" s="926"/>
      <c r="AD160" s="926"/>
      <c r="AE160" s="926"/>
      <c r="AF160" s="926"/>
      <c r="AG160" s="926"/>
      <c r="AH160" s="926"/>
      <c r="AI160" s="926"/>
      <c r="AJ160" s="926"/>
    </row>
    <row r="161" spans="1:36" ht="15" customHeight="1" x14ac:dyDescent="0.3">
      <c r="A161" s="926"/>
      <c r="B161" s="609"/>
      <c r="C161" s="962"/>
      <c r="D161" s="2897"/>
      <c r="E161" s="2898"/>
      <c r="F161" s="2898"/>
      <c r="G161" s="2898"/>
      <c r="H161" s="2898"/>
      <c r="I161" s="2899"/>
      <c r="J161" s="2900"/>
      <c r="K161" s="2900"/>
      <c r="L161" s="2900"/>
      <c r="M161" s="2900"/>
      <c r="N161" s="2900"/>
      <c r="O161" s="2900"/>
      <c r="P161" s="2900"/>
      <c r="Q161" s="2900"/>
      <c r="R161" s="2900"/>
      <c r="S161" s="2900"/>
      <c r="T161" s="2900"/>
      <c r="U161" s="2901"/>
      <c r="V161" s="963"/>
      <c r="W161" s="609"/>
      <c r="X161" s="926"/>
      <c r="Y161" s="926"/>
      <c r="Z161" s="926"/>
      <c r="AA161" s="926"/>
      <c r="AB161" s="926"/>
      <c r="AC161" s="926"/>
      <c r="AD161" s="926"/>
      <c r="AE161" s="926"/>
      <c r="AF161" s="926"/>
      <c r="AG161" s="926"/>
      <c r="AH161" s="926"/>
      <c r="AI161" s="926"/>
      <c r="AJ161" s="926"/>
    </row>
    <row r="162" spans="1:36" ht="15" customHeight="1" x14ac:dyDescent="0.3">
      <c r="A162" s="926"/>
      <c r="B162" s="609"/>
      <c r="C162" s="962"/>
      <c r="D162" s="2897"/>
      <c r="E162" s="2898"/>
      <c r="F162" s="2898"/>
      <c r="G162" s="2898"/>
      <c r="H162" s="2898"/>
      <c r="I162" s="2899"/>
      <c r="J162" s="2900"/>
      <c r="K162" s="2900"/>
      <c r="L162" s="2900"/>
      <c r="M162" s="2900"/>
      <c r="N162" s="2900"/>
      <c r="O162" s="2900"/>
      <c r="P162" s="2900"/>
      <c r="Q162" s="2900"/>
      <c r="R162" s="2900"/>
      <c r="S162" s="2900"/>
      <c r="T162" s="2900"/>
      <c r="U162" s="2901"/>
      <c r="V162" s="963"/>
      <c r="W162" s="609"/>
      <c r="X162" s="926"/>
      <c r="Y162" s="926"/>
      <c r="Z162" s="926"/>
      <c r="AA162" s="926"/>
      <c r="AB162" s="926"/>
      <c r="AC162" s="926"/>
      <c r="AD162" s="926"/>
      <c r="AE162" s="926"/>
      <c r="AF162" s="926"/>
      <c r="AG162" s="926"/>
      <c r="AH162" s="926"/>
      <c r="AI162" s="926"/>
      <c r="AJ162" s="926"/>
    </row>
    <row r="163" spans="1:36" ht="15" customHeight="1" x14ac:dyDescent="0.3">
      <c r="A163" s="926"/>
      <c r="B163" s="609"/>
      <c r="C163" s="962"/>
      <c r="D163" s="2897"/>
      <c r="E163" s="2898"/>
      <c r="F163" s="2898"/>
      <c r="G163" s="2898"/>
      <c r="H163" s="2898"/>
      <c r="I163" s="2899"/>
      <c r="J163" s="2900"/>
      <c r="K163" s="2900"/>
      <c r="L163" s="2900"/>
      <c r="M163" s="2900"/>
      <c r="N163" s="2900"/>
      <c r="O163" s="2900"/>
      <c r="P163" s="2900"/>
      <c r="Q163" s="2900"/>
      <c r="R163" s="2900"/>
      <c r="S163" s="2900"/>
      <c r="T163" s="2900"/>
      <c r="U163" s="2901"/>
      <c r="V163" s="963"/>
      <c r="W163" s="609"/>
      <c r="X163" s="926"/>
      <c r="Y163" s="926"/>
      <c r="Z163" s="926"/>
      <c r="AA163" s="926"/>
      <c r="AB163" s="926"/>
      <c r="AC163" s="926"/>
      <c r="AD163" s="926"/>
      <c r="AE163" s="926"/>
      <c r="AF163" s="926"/>
      <c r="AG163" s="926"/>
      <c r="AH163" s="926"/>
      <c r="AI163" s="926"/>
      <c r="AJ163" s="926"/>
    </row>
    <row r="164" spans="1:36" ht="15" customHeight="1" x14ac:dyDescent="0.3">
      <c r="A164" s="926"/>
      <c r="B164" s="609"/>
      <c r="C164" s="962"/>
      <c r="D164" s="2897"/>
      <c r="E164" s="2898"/>
      <c r="F164" s="2898"/>
      <c r="G164" s="2898"/>
      <c r="H164" s="2898"/>
      <c r="I164" s="2899"/>
      <c r="J164" s="2900"/>
      <c r="K164" s="2900"/>
      <c r="L164" s="2900"/>
      <c r="M164" s="2900"/>
      <c r="N164" s="2900"/>
      <c r="O164" s="2900"/>
      <c r="P164" s="2900"/>
      <c r="Q164" s="2900"/>
      <c r="R164" s="2900"/>
      <c r="S164" s="2900"/>
      <c r="T164" s="2900"/>
      <c r="U164" s="2901"/>
      <c r="V164" s="963"/>
      <c r="W164" s="609"/>
      <c r="X164" s="926"/>
      <c r="Y164" s="926"/>
      <c r="Z164" s="926"/>
      <c r="AA164" s="926"/>
      <c r="AB164" s="926"/>
      <c r="AC164" s="926"/>
      <c r="AD164" s="926"/>
      <c r="AE164" s="926"/>
      <c r="AF164" s="926"/>
      <c r="AG164" s="926"/>
      <c r="AH164" s="926"/>
      <c r="AI164" s="926"/>
      <c r="AJ164" s="926"/>
    </row>
    <row r="165" spans="1:36" ht="15" customHeight="1" x14ac:dyDescent="0.3">
      <c r="A165" s="926"/>
      <c r="B165" s="609"/>
      <c r="C165" s="962"/>
      <c r="D165" s="2897"/>
      <c r="E165" s="2898"/>
      <c r="F165" s="2898"/>
      <c r="G165" s="2898"/>
      <c r="H165" s="2898"/>
      <c r="I165" s="2899"/>
      <c r="J165" s="2900"/>
      <c r="K165" s="2900"/>
      <c r="L165" s="2900"/>
      <c r="M165" s="2900"/>
      <c r="N165" s="2900"/>
      <c r="O165" s="2900"/>
      <c r="P165" s="2900"/>
      <c r="Q165" s="2900"/>
      <c r="R165" s="2900"/>
      <c r="S165" s="2900"/>
      <c r="T165" s="2900"/>
      <c r="U165" s="2901"/>
      <c r="V165" s="963"/>
      <c r="W165" s="609"/>
      <c r="X165" s="926"/>
      <c r="Y165" s="926"/>
      <c r="Z165" s="926"/>
      <c r="AA165" s="926"/>
      <c r="AB165" s="926"/>
      <c r="AC165" s="926"/>
      <c r="AD165" s="926"/>
      <c r="AE165" s="926"/>
      <c r="AF165" s="926"/>
      <c r="AG165" s="926"/>
      <c r="AH165" s="926"/>
      <c r="AI165" s="926"/>
      <c r="AJ165" s="926"/>
    </row>
    <row r="166" spans="1:36" ht="15" customHeight="1" x14ac:dyDescent="0.3">
      <c r="A166" s="926"/>
      <c r="B166" s="609"/>
      <c r="C166" s="962"/>
      <c r="D166" s="2897" t="str" cm="1">
        <f t="array" aca="1" ref="D166" ca="1">INDEX(Sc.Ranked!$C$2:$C$31,I166)</f>
        <v>Shallow pit, scrape auto, AD, lagoon, irrigation + tanker</v>
      </c>
      <c r="E166" s="2898"/>
      <c r="F166" s="2898"/>
      <c r="G166" s="2898"/>
      <c r="H166" s="2898"/>
      <c r="I166" s="2899">
        <v>22</v>
      </c>
      <c r="J166" s="2900" t="str" cm="1">
        <f t="array" aca="1" ref="J166" ca="1">INDEX(Sc.Ranked!$D$2:$D$31,I166)</f>
        <v>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66" s="2900"/>
      <c r="L166" s="2900"/>
      <c r="M166" s="2900"/>
      <c r="N166" s="2900"/>
      <c r="O166" s="2900"/>
      <c r="P166" s="2900"/>
      <c r="Q166" s="2900"/>
      <c r="R166" s="2900"/>
      <c r="S166" s="2900"/>
      <c r="T166" s="2900"/>
      <c r="U166" s="2901"/>
      <c r="V166" s="963"/>
      <c r="W166" s="609"/>
      <c r="X166" s="926"/>
      <c r="Y166" s="926"/>
      <c r="Z166" s="926"/>
      <c r="AA166" s="926"/>
      <c r="AB166" s="926"/>
      <c r="AC166" s="926"/>
      <c r="AD166" s="926"/>
      <c r="AE166" s="926"/>
      <c r="AF166" s="926"/>
      <c r="AG166" s="926"/>
      <c r="AH166" s="926"/>
      <c r="AI166" s="926"/>
      <c r="AJ166" s="926"/>
    </row>
    <row r="167" spans="1:36" ht="15" customHeight="1" x14ac:dyDescent="0.3">
      <c r="A167" s="926"/>
      <c r="B167" s="609"/>
      <c r="C167" s="962"/>
      <c r="D167" s="2897"/>
      <c r="E167" s="2898"/>
      <c r="F167" s="2898"/>
      <c r="G167" s="2898"/>
      <c r="H167" s="2898"/>
      <c r="I167" s="2899"/>
      <c r="J167" s="2900"/>
      <c r="K167" s="2900"/>
      <c r="L167" s="2900"/>
      <c r="M167" s="2900"/>
      <c r="N167" s="2900"/>
      <c r="O167" s="2900"/>
      <c r="P167" s="2900"/>
      <c r="Q167" s="2900"/>
      <c r="R167" s="2900"/>
      <c r="S167" s="2900"/>
      <c r="T167" s="2900"/>
      <c r="U167" s="2901"/>
      <c r="V167" s="963"/>
      <c r="W167" s="609"/>
      <c r="X167" s="926"/>
      <c r="Y167" s="926"/>
      <c r="Z167" s="926"/>
      <c r="AA167" s="926"/>
      <c r="AB167" s="926"/>
      <c r="AC167" s="926"/>
      <c r="AD167" s="926"/>
      <c r="AE167" s="926"/>
      <c r="AF167" s="926"/>
      <c r="AG167" s="926"/>
      <c r="AH167" s="926"/>
      <c r="AI167" s="926"/>
      <c r="AJ167" s="926"/>
    </row>
    <row r="168" spans="1:36" ht="15" customHeight="1" x14ac:dyDescent="0.3">
      <c r="A168" s="926"/>
      <c r="B168" s="609"/>
      <c r="C168" s="962"/>
      <c r="D168" s="2897"/>
      <c r="E168" s="2898"/>
      <c r="F168" s="2898"/>
      <c r="G168" s="2898"/>
      <c r="H168" s="2898"/>
      <c r="I168" s="2899"/>
      <c r="J168" s="2900"/>
      <c r="K168" s="2900"/>
      <c r="L168" s="2900"/>
      <c r="M168" s="2900"/>
      <c r="N168" s="2900"/>
      <c r="O168" s="2900"/>
      <c r="P168" s="2900"/>
      <c r="Q168" s="2900"/>
      <c r="R168" s="2900"/>
      <c r="S168" s="2900"/>
      <c r="T168" s="2900"/>
      <c r="U168" s="2901"/>
      <c r="V168" s="963"/>
      <c r="W168" s="609"/>
      <c r="X168" s="926"/>
      <c r="Y168" s="926"/>
      <c r="Z168" s="926"/>
      <c r="AA168" s="926"/>
      <c r="AB168" s="926"/>
      <c r="AC168" s="926"/>
      <c r="AD168" s="926"/>
      <c r="AE168" s="926"/>
      <c r="AF168" s="926"/>
      <c r="AG168" s="926"/>
      <c r="AH168" s="926"/>
      <c r="AI168" s="926"/>
      <c r="AJ168" s="926"/>
    </row>
    <row r="169" spans="1:36" ht="15" customHeight="1" x14ac:dyDescent="0.3">
      <c r="A169" s="926"/>
      <c r="B169" s="609"/>
      <c r="C169" s="962"/>
      <c r="D169" s="2897"/>
      <c r="E169" s="2898"/>
      <c r="F169" s="2898"/>
      <c r="G169" s="2898"/>
      <c r="H169" s="2898"/>
      <c r="I169" s="2899"/>
      <c r="J169" s="2900"/>
      <c r="K169" s="2900"/>
      <c r="L169" s="2900"/>
      <c r="M169" s="2900"/>
      <c r="N169" s="2900"/>
      <c r="O169" s="2900"/>
      <c r="P169" s="2900"/>
      <c r="Q169" s="2900"/>
      <c r="R169" s="2900"/>
      <c r="S169" s="2900"/>
      <c r="T169" s="2900"/>
      <c r="U169" s="2901"/>
      <c r="V169" s="963"/>
      <c r="W169" s="609"/>
      <c r="X169" s="926"/>
      <c r="Y169" s="926"/>
      <c r="Z169" s="926"/>
      <c r="AA169" s="926"/>
      <c r="AB169" s="926"/>
      <c r="AC169" s="926"/>
      <c r="AD169" s="926"/>
      <c r="AE169" s="926"/>
      <c r="AF169" s="926"/>
      <c r="AG169" s="926"/>
      <c r="AH169" s="926"/>
      <c r="AI169" s="926"/>
      <c r="AJ169" s="926"/>
    </row>
    <row r="170" spans="1:36" ht="15" customHeight="1" x14ac:dyDescent="0.3">
      <c r="A170" s="926"/>
      <c r="B170" s="609"/>
      <c r="C170" s="962"/>
      <c r="D170" s="2897"/>
      <c r="E170" s="2898"/>
      <c r="F170" s="2898"/>
      <c r="G170" s="2898"/>
      <c r="H170" s="2898"/>
      <c r="I170" s="2899"/>
      <c r="J170" s="2900"/>
      <c r="K170" s="2900"/>
      <c r="L170" s="2900"/>
      <c r="M170" s="2900"/>
      <c r="N170" s="2900"/>
      <c r="O170" s="2900"/>
      <c r="P170" s="2900"/>
      <c r="Q170" s="2900"/>
      <c r="R170" s="2900"/>
      <c r="S170" s="2900"/>
      <c r="T170" s="2900"/>
      <c r="U170" s="2901"/>
      <c r="V170" s="963"/>
      <c r="W170" s="609"/>
      <c r="X170" s="926"/>
      <c r="Y170" s="926"/>
      <c r="Z170" s="926"/>
      <c r="AA170" s="926"/>
      <c r="AB170" s="926"/>
      <c r="AC170" s="926"/>
      <c r="AD170" s="926"/>
      <c r="AE170" s="926"/>
      <c r="AF170" s="926"/>
      <c r="AG170" s="926"/>
      <c r="AH170" s="926"/>
      <c r="AI170" s="926"/>
      <c r="AJ170" s="926"/>
    </row>
    <row r="171" spans="1:36" ht="15" customHeight="1" x14ac:dyDescent="0.3">
      <c r="A171" s="926"/>
      <c r="B171" s="609"/>
      <c r="C171" s="962"/>
      <c r="D171" s="2897"/>
      <c r="E171" s="2898"/>
      <c r="F171" s="2898"/>
      <c r="G171" s="2898"/>
      <c r="H171" s="2898"/>
      <c r="I171" s="2899"/>
      <c r="J171" s="2900"/>
      <c r="K171" s="2900"/>
      <c r="L171" s="2900"/>
      <c r="M171" s="2900"/>
      <c r="N171" s="2900"/>
      <c r="O171" s="2900"/>
      <c r="P171" s="2900"/>
      <c r="Q171" s="2900"/>
      <c r="R171" s="2900"/>
      <c r="S171" s="2900"/>
      <c r="T171" s="2900"/>
      <c r="U171" s="2901"/>
      <c r="V171" s="963"/>
      <c r="W171" s="609"/>
      <c r="X171" s="926"/>
      <c r="Y171" s="926"/>
      <c r="Z171" s="926"/>
      <c r="AA171" s="926"/>
      <c r="AB171" s="926"/>
      <c r="AC171" s="926"/>
      <c r="AD171" s="926"/>
      <c r="AE171" s="926"/>
      <c r="AF171" s="926"/>
      <c r="AG171" s="926"/>
      <c r="AH171" s="926"/>
      <c r="AI171" s="926"/>
      <c r="AJ171" s="926"/>
    </row>
    <row r="172" spans="1:36" ht="15" customHeight="1" x14ac:dyDescent="0.3">
      <c r="A172" s="926"/>
      <c r="B172" s="609"/>
      <c r="C172" s="962"/>
      <c r="D172" s="2897" t="str" cm="1">
        <f t="array" aca="1" ref="D172" ca="1">INDEX(Sc.Ranked!$C$2:$C$31,I172)</f>
        <v>Shallow pit, pull plug, AD, lagoon, irrigation + tanker</v>
      </c>
      <c r="E172" s="2898"/>
      <c r="F172" s="2898"/>
      <c r="G172" s="2898"/>
      <c r="H172" s="2898"/>
      <c r="I172" s="2899">
        <v>23</v>
      </c>
      <c r="J172" s="2900" t="str" cm="1">
        <f t="array" aca="1" ref="J172" ca="1">INDEX(Sc.Ranked!$D$2:$D$31,I172)</f>
        <v>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72" s="2900"/>
      <c r="L172" s="2900"/>
      <c r="M172" s="2900"/>
      <c r="N172" s="2900"/>
      <c r="O172" s="2900"/>
      <c r="P172" s="2900"/>
      <c r="Q172" s="2900"/>
      <c r="R172" s="2900"/>
      <c r="S172" s="2900"/>
      <c r="T172" s="2900"/>
      <c r="U172" s="2901"/>
      <c r="V172" s="963"/>
      <c r="W172" s="609"/>
      <c r="X172" s="926"/>
      <c r="Y172" s="926"/>
      <c r="Z172" s="926"/>
      <c r="AA172" s="926"/>
      <c r="AB172" s="926"/>
      <c r="AC172" s="926"/>
      <c r="AD172" s="926"/>
      <c r="AE172" s="926"/>
      <c r="AF172" s="926"/>
      <c r="AG172" s="926"/>
      <c r="AH172" s="926"/>
      <c r="AI172" s="926"/>
      <c r="AJ172" s="926"/>
    </row>
    <row r="173" spans="1:36" ht="15" customHeight="1" x14ac:dyDescent="0.3">
      <c r="A173" s="926"/>
      <c r="B173" s="609"/>
      <c r="C173" s="962"/>
      <c r="D173" s="2897"/>
      <c r="E173" s="2898"/>
      <c r="F173" s="2898"/>
      <c r="G173" s="2898"/>
      <c r="H173" s="2898"/>
      <c r="I173" s="2899"/>
      <c r="J173" s="2900"/>
      <c r="K173" s="2900"/>
      <c r="L173" s="2900"/>
      <c r="M173" s="2900"/>
      <c r="N173" s="2900"/>
      <c r="O173" s="2900"/>
      <c r="P173" s="2900"/>
      <c r="Q173" s="2900"/>
      <c r="R173" s="2900"/>
      <c r="S173" s="2900"/>
      <c r="T173" s="2900"/>
      <c r="U173" s="2901"/>
      <c r="V173" s="963"/>
      <c r="W173" s="609"/>
      <c r="X173" s="926"/>
      <c r="Y173" s="926"/>
      <c r="Z173" s="926"/>
      <c r="AA173" s="926"/>
      <c r="AB173" s="926"/>
      <c r="AC173" s="926"/>
      <c r="AD173" s="926"/>
      <c r="AE173" s="926"/>
      <c r="AF173" s="926"/>
      <c r="AG173" s="926"/>
      <c r="AH173" s="926"/>
      <c r="AI173" s="926"/>
      <c r="AJ173" s="926"/>
    </row>
    <row r="174" spans="1:36" ht="15" customHeight="1" x14ac:dyDescent="0.3">
      <c r="A174" s="926"/>
      <c r="B174" s="609"/>
      <c r="C174" s="962"/>
      <c r="D174" s="2897"/>
      <c r="E174" s="2898"/>
      <c r="F174" s="2898"/>
      <c r="G174" s="2898"/>
      <c r="H174" s="2898"/>
      <c r="I174" s="2899"/>
      <c r="J174" s="2900"/>
      <c r="K174" s="2900"/>
      <c r="L174" s="2900"/>
      <c r="M174" s="2900"/>
      <c r="N174" s="2900"/>
      <c r="O174" s="2900"/>
      <c r="P174" s="2900"/>
      <c r="Q174" s="2900"/>
      <c r="R174" s="2900"/>
      <c r="S174" s="2900"/>
      <c r="T174" s="2900"/>
      <c r="U174" s="2901"/>
      <c r="V174" s="963"/>
      <c r="W174" s="609"/>
      <c r="X174" s="926"/>
      <c r="Y174" s="926"/>
      <c r="Z174" s="926"/>
      <c r="AA174" s="926"/>
      <c r="AB174" s="926"/>
      <c r="AC174" s="926"/>
      <c r="AD174" s="926"/>
      <c r="AE174" s="926"/>
      <c r="AF174" s="926"/>
      <c r="AG174" s="926"/>
      <c r="AH174" s="926"/>
      <c r="AI174" s="926"/>
      <c r="AJ174" s="926"/>
    </row>
    <row r="175" spans="1:36" ht="15" customHeight="1" x14ac:dyDescent="0.3">
      <c r="A175" s="926"/>
      <c r="B175" s="609"/>
      <c r="C175" s="962"/>
      <c r="D175" s="2897"/>
      <c r="E175" s="2898"/>
      <c r="F175" s="2898"/>
      <c r="G175" s="2898"/>
      <c r="H175" s="2898"/>
      <c r="I175" s="2899"/>
      <c r="J175" s="2900"/>
      <c r="K175" s="2900"/>
      <c r="L175" s="2900"/>
      <c r="M175" s="2900"/>
      <c r="N175" s="2900"/>
      <c r="O175" s="2900"/>
      <c r="P175" s="2900"/>
      <c r="Q175" s="2900"/>
      <c r="R175" s="2900"/>
      <c r="S175" s="2900"/>
      <c r="T175" s="2900"/>
      <c r="U175" s="2901"/>
      <c r="V175" s="963"/>
      <c r="W175" s="609"/>
      <c r="X175" s="926"/>
      <c r="Y175" s="926"/>
      <c r="Z175" s="926"/>
      <c r="AA175" s="926"/>
      <c r="AB175" s="926"/>
      <c r="AC175" s="926"/>
      <c r="AD175" s="926"/>
      <c r="AE175" s="926"/>
      <c r="AF175" s="926"/>
      <c r="AG175" s="926"/>
      <c r="AH175" s="926"/>
      <c r="AI175" s="926"/>
      <c r="AJ175" s="926"/>
    </row>
    <row r="176" spans="1:36" ht="15" customHeight="1" x14ac:dyDescent="0.3">
      <c r="A176" s="926"/>
      <c r="B176" s="609"/>
      <c r="C176" s="962"/>
      <c r="D176" s="2897"/>
      <c r="E176" s="2898"/>
      <c r="F176" s="2898"/>
      <c r="G176" s="2898"/>
      <c r="H176" s="2898"/>
      <c r="I176" s="2899"/>
      <c r="J176" s="2900"/>
      <c r="K176" s="2900"/>
      <c r="L176" s="2900"/>
      <c r="M176" s="2900"/>
      <c r="N176" s="2900"/>
      <c r="O176" s="2900"/>
      <c r="P176" s="2900"/>
      <c r="Q176" s="2900"/>
      <c r="R176" s="2900"/>
      <c r="S176" s="2900"/>
      <c r="T176" s="2900"/>
      <c r="U176" s="2901"/>
      <c r="V176" s="963"/>
      <c r="W176" s="609"/>
      <c r="X176" s="926"/>
      <c r="Y176" s="926"/>
      <c r="Z176" s="926"/>
      <c r="AA176" s="926"/>
      <c r="AB176" s="926"/>
      <c r="AC176" s="926"/>
      <c r="AD176" s="926"/>
      <c r="AE176" s="926"/>
      <c r="AF176" s="926"/>
      <c r="AG176" s="926"/>
      <c r="AH176" s="926"/>
      <c r="AI176" s="926"/>
      <c r="AJ176" s="926"/>
    </row>
    <row r="177" spans="1:36" ht="15" customHeight="1" x14ac:dyDescent="0.3">
      <c r="A177" s="926"/>
      <c r="B177" s="609"/>
      <c r="C177" s="962"/>
      <c r="D177" s="2897"/>
      <c r="E177" s="2898"/>
      <c r="F177" s="2898"/>
      <c r="G177" s="2898"/>
      <c r="H177" s="2898"/>
      <c r="I177" s="2899"/>
      <c r="J177" s="2900"/>
      <c r="K177" s="2900"/>
      <c r="L177" s="2900"/>
      <c r="M177" s="2900"/>
      <c r="N177" s="2900"/>
      <c r="O177" s="2900"/>
      <c r="P177" s="2900"/>
      <c r="Q177" s="2900"/>
      <c r="R177" s="2900"/>
      <c r="S177" s="2900"/>
      <c r="T177" s="2900"/>
      <c r="U177" s="2901"/>
      <c r="V177" s="963"/>
      <c r="W177" s="609"/>
      <c r="X177" s="926"/>
      <c r="Y177" s="926"/>
      <c r="Z177" s="926"/>
      <c r="AA177" s="926"/>
      <c r="AB177" s="926"/>
      <c r="AC177" s="926"/>
      <c r="AD177" s="926"/>
      <c r="AE177" s="926"/>
      <c r="AF177" s="926"/>
      <c r="AG177" s="926"/>
      <c r="AH177" s="926"/>
      <c r="AI177" s="926"/>
      <c r="AJ177" s="926"/>
    </row>
    <row r="178" spans="1:36" ht="15" customHeight="1" x14ac:dyDescent="0.3">
      <c r="A178" s="926"/>
      <c r="B178" s="609"/>
      <c r="C178" s="962"/>
      <c r="D178" s="2897" t="str" cm="1">
        <f t="array" aca="1" ref="D178" ca="1">INDEX(Sc.Ranked!$C$2:$C$31,I178)</f>
        <v>Shallow pit, scrape auto, AD, lagoon, irrigation + drag hose</v>
      </c>
      <c r="E178" s="2898"/>
      <c r="F178" s="2898"/>
      <c r="G178" s="2898"/>
      <c r="H178" s="2898"/>
      <c r="I178" s="2899">
        <v>24</v>
      </c>
      <c r="J178" s="2900" t="str" cm="1">
        <f t="array" aca="1" ref="J178" ca="1">INDEX(Sc.Ranked!$D$2:$D$31,I178)</f>
        <v>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78" s="2900"/>
      <c r="L178" s="2900"/>
      <c r="M178" s="2900"/>
      <c r="N178" s="2900"/>
      <c r="O178" s="2900"/>
      <c r="P178" s="2900"/>
      <c r="Q178" s="2900"/>
      <c r="R178" s="2900"/>
      <c r="S178" s="2900"/>
      <c r="T178" s="2900"/>
      <c r="U178" s="2901"/>
      <c r="V178" s="963"/>
      <c r="W178" s="609"/>
      <c r="X178" s="926"/>
      <c r="Y178" s="926"/>
      <c r="Z178" s="926"/>
      <c r="AA178" s="926"/>
      <c r="AB178" s="926"/>
      <c r="AC178" s="926"/>
      <c r="AD178" s="926"/>
      <c r="AE178" s="926"/>
      <c r="AF178" s="926"/>
      <c r="AG178" s="926"/>
      <c r="AH178" s="926"/>
      <c r="AI178" s="926"/>
      <c r="AJ178" s="926"/>
    </row>
    <row r="179" spans="1:36" ht="15" customHeight="1" x14ac:dyDescent="0.3">
      <c r="A179" s="926"/>
      <c r="B179" s="609"/>
      <c r="C179" s="962"/>
      <c r="D179" s="2897"/>
      <c r="E179" s="2898"/>
      <c r="F179" s="2898"/>
      <c r="G179" s="2898"/>
      <c r="H179" s="2898"/>
      <c r="I179" s="2899"/>
      <c r="J179" s="2900"/>
      <c r="K179" s="2900"/>
      <c r="L179" s="2900"/>
      <c r="M179" s="2900"/>
      <c r="N179" s="2900"/>
      <c r="O179" s="2900"/>
      <c r="P179" s="2900"/>
      <c r="Q179" s="2900"/>
      <c r="R179" s="2900"/>
      <c r="S179" s="2900"/>
      <c r="T179" s="2900"/>
      <c r="U179" s="2901"/>
      <c r="V179" s="963"/>
      <c r="W179" s="609"/>
      <c r="X179" s="926"/>
      <c r="Y179" s="926"/>
      <c r="Z179" s="926"/>
      <c r="AA179" s="926"/>
      <c r="AB179" s="926"/>
      <c r="AC179" s="926"/>
      <c r="AD179" s="926"/>
      <c r="AE179" s="926"/>
      <c r="AF179" s="926"/>
      <c r="AG179" s="926"/>
      <c r="AH179" s="926"/>
      <c r="AI179" s="926"/>
      <c r="AJ179" s="926"/>
    </row>
    <row r="180" spans="1:36" ht="15" customHeight="1" x14ac:dyDescent="0.3">
      <c r="A180" s="926"/>
      <c r="B180" s="609"/>
      <c r="C180" s="962"/>
      <c r="D180" s="2897"/>
      <c r="E180" s="2898"/>
      <c r="F180" s="2898"/>
      <c r="G180" s="2898"/>
      <c r="H180" s="2898"/>
      <c r="I180" s="2899"/>
      <c r="J180" s="2900"/>
      <c r="K180" s="2900"/>
      <c r="L180" s="2900"/>
      <c r="M180" s="2900"/>
      <c r="N180" s="2900"/>
      <c r="O180" s="2900"/>
      <c r="P180" s="2900"/>
      <c r="Q180" s="2900"/>
      <c r="R180" s="2900"/>
      <c r="S180" s="2900"/>
      <c r="T180" s="2900"/>
      <c r="U180" s="2901"/>
      <c r="V180" s="963"/>
      <c r="W180" s="609"/>
      <c r="X180" s="926"/>
      <c r="Y180" s="926"/>
      <c r="Z180" s="926"/>
      <c r="AA180" s="926"/>
      <c r="AB180" s="926"/>
      <c r="AC180" s="926"/>
      <c r="AD180" s="926"/>
      <c r="AE180" s="926"/>
      <c r="AF180" s="926"/>
      <c r="AG180" s="926"/>
      <c r="AH180" s="926"/>
      <c r="AI180" s="926"/>
      <c r="AJ180" s="926"/>
    </row>
    <row r="181" spans="1:36" ht="15" customHeight="1" x14ac:dyDescent="0.3">
      <c r="A181" s="926"/>
      <c r="B181" s="609"/>
      <c r="C181" s="962"/>
      <c r="D181" s="2897"/>
      <c r="E181" s="2898"/>
      <c r="F181" s="2898"/>
      <c r="G181" s="2898"/>
      <c r="H181" s="2898"/>
      <c r="I181" s="2899"/>
      <c r="J181" s="2900"/>
      <c r="K181" s="2900"/>
      <c r="L181" s="2900"/>
      <c r="M181" s="2900"/>
      <c r="N181" s="2900"/>
      <c r="O181" s="2900"/>
      <c r="P181" s="2900"/>
      <c r="Q181" s="2900"/>
      <c r="R181" s="2900"/>
      <c r="S181" s="2900"/>
      <c r="T181" s="2900"/>
      <c r="U181" s="2901"/>
      <c r="V181" s="963"/>
      <c r="W181" s="609"/>
      <c r="X181" s="926"/>
      <c r="Y181" s="926"/>
      <c r="Z181" s="926"/>
      <c r="AA181" s="926"/>
      <c r="AB181" s="926"/>
      <c r="AC181" s="926"/>
      <c r="AD181" s="926"/>
      <c r="AE181" s="926"/>
      <c r="AF181" s="926"/>
      <c r="AG181" s="926"/>
      <c r="AH181" s="926"/>
      <c r="AI181" s="926"/>
      <c r="AJ181" s="926"/>
    </row>
    <row r="182" spans="1:36" ht="15" customHeight="1" x14ac:dyDescent="0.3">
      <c r="A182" s="926"/>
      <c r="B182" s="609"/>
      <c r="C182" s="962"/>
      <c r="D182" s="2897"/>
      <c r="E182" s="2898"/>
      <c r="F182" s="2898"/>
      <c r="G182" s="2898"/>
      <c r="H182" s="2898"/>
      <c r="I182" s="2899"/>
      <c r="J182" s="2900"/>
      <c r="K182" s="2900"/>
      <c r="L182" s="2900"/>
      <c r="M182" s="2900"/>
      <c r="N182" s="2900"/>
      <c r="O182" s="2900"/>
      <c r="P182" s="2900"/>
      <c r="Q182" s="2900"/>
      <c r="R182" s="2900"/>
      <c r="S182" s="2900"/>
      <c r="T182" s="2900"/>
      <c r="U182" s="2901"/>
      <c r="V182" s="963"/>
      <c r="W182" s="609"/>
      <c r="X182" s="926"/>
      <c r="Y182" s="926"/>
      <c r="Z182" s="926"/>
      <c r="AA182" s="926"/>
      <c r="AB182" s="926"/>
      <c r="AC182" s="926"/>
      <c r="AD182" s="926"/>
      <c r="AE182" s="926"/>
      <c r="AF182" s="926"/>
      <c r="AG182" s="926"/>
      <c r="AH182" s="926"/>
      <c r="AI182" s="926"/>
      <c r="AJ182" s="926"/>
    </row>
    <row r="183" spans="1:36" ht="15" customHeight="1" x14ac:dyDescent="0.3">
      <c r="A183" s="926"/>
      <c r="B183" s="609"/>
      <c r="C183" s="962"/>
      <c r="D183" s="2897"/>
      <c r="E183" s="2898"/>
      <c r="F183" s="2898"/>
      <c r="G183" s="2898"/>
      <c r="H183" s="2898"/>
      <c r="I183" s="2899"/>
      <c r="J183" s="2900"/>
      <c r="K183" s="2900"/>
      <c r="L183" s="2900"/>
      <c r="M183" s="2900"/>
      <c r="N183" s="2900"/>
      <c r="O183" s="2900"/>
      <c r="P183" s="2900"/>
      <c r="Q183" s="2900"/>
      <c r="R183" s="2900"/>
      <c r="S183" s="2900"/>
      <c r="T183" s="2900"/>
      <c r="U183" s="2901"/>
      <c r="V183" s="963"/>
      <c r="W183" s="609"/>
      <c r="X183" s="926"/>
      <c r="Y183" s="926"/>
      <c r="Z183" s="926"/>
      <c r="AA183" s="926"/>
      <c r="AB183" s="926"/>
      <c r="AC183" s="926"/>
      <c r="AD183" s="926"/>
      <c r="AE183" s="926"/>
      <c r="AF183" s="926"/>
      <c r="AG183" s="926"/>
      <c r="AH183" s="926"/>
      <c r="AI183" s="926"/>
      <c r="AJ183" s="926"/>
    </row>
    <row r="184" spans="1:36" ht="15" customHeight="1" x14ac:dyDescent="0.3">
      <c r="A184" s="926"/>
      <c r="B184" s="609"/>
      <c r="C184" s="962"/>
      <c r="D184" s="2897" t="str" cm="1">
        <f t="array" aca="1" ref="D184" ca="1">INDEX(Sc.Ranked!$C$2:$C$31,I184)</f>
        <v>Shallow pit, pull plug, AD, lagoon, irrigation + drag hose</v>
      </c>
      <c r="E184" s="2898"/>
      <c r="F184" s="2898"/>
      <c r="G184" s="2898"/>
      <c r="H184" s="2898"/>
      <c r="I184" s="2899">
        <v>25</v>
      </c>
      <c r="J184" s="2900" t="str" cm="1">
        <f t="array" aca="1" ref="J184" ca="1">INDEX(Sc.Ranked!$D$2:$D$31,I184)</f>
        <v>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84" s="2900"/>
      <c r="L184" s="2900"/>
      <c r="M184" s="2900"/>
      <c r="N184" s="2900"/>
      <c r="O184" s="2900"/>
      <c r="P184" s="2900"/>
      <c r="Q184" s="2900"/>
      <c r="R184" s="2900"/>
      <c r="S184" s="2900"/>
      <c r="T184" s="2900"/>
      <c r="U184" s="2901"/>
      <c r="V184" s="963"/>
      <c r="W184" s="609"/>
      <c r="X184" s="926"/>
      <c r="Y184" s="926"/>
      <c r="Z184" s="926"/>
      <c r="AA184" s="926"/>
      <c r="AB184" s="926"/>
      <c r="AC184" s="926"/>
      <c r="AD184" s="926"/>
      <c r="AE184" s="926"/>
      <c r="AF184" s="926"/>
      <c r="AG184" s="926"/>
      <c r="AH184" s="926"/>
      <c r="AI184" s="926"/>
      <c r="AJ184" s="926"/>
    </row>
    <row r="185" spans="1:36" ht="15" customHeight="1" x14ac:dyDescent="0.3">
      <c r="A185" s="926"/>
      <c r="B185" s="609"/>
      <c r="C185" s="962"/>
      <c r="D185" s="2897"/>
      <c r="E185" s="2898"/>
      <c r="F185" s="2898"/>
      <c r="G185" s="2898"/>
      <c r="H185" s="2898"/>
      <c r="I185" s="2899"/>
      <c r="J185" s="2900"/>
      <c r="K185" s="2900"/>
      <c r="L185" s="2900"/>
      <c r="M185" s="2900"/>
      <c r="N185" s="2900"/>
      <c r="O185" s="2900"/>
      <c r="P185" s="2900"/>
      <c r="Q185" s="2900"/>
      <c r="R185" s="2900"/>
      <c r="S185" s="2900"/>
      <c r="T185" s="2900"/>
      <c r="U185" s="2901"/>
      <c r="V185" s="963"/>
      <c r="W185" s="609"/>
      <c r="X185" s="926"/>
      <c r="Y185" s="926"/>
      <c r="Z185" s="926"/>
      <c r="AA185" s="926"/>
      <c r="AB185" s="926"/>
      <c r="AC185" s="926"/>
      <c r="AD185" s="926"/>
      <c r="AE185" s="926"/>
      <c r="AF185" s="926"/>
      <c r="AG185" s="926"/>
      <c r="AH185" s="926"/>
      <c r="AI185" s="926"/>
      <c r="AJ185" s="926"/>
    </row>
    <row r="186" spans="1:36" ht="15" customHeight="1" x14ac:dyDescent="0.3">
      <c r="A186" s="926"/>
      <c r="B186" s="609"/>
      <c r="C186" s="962"/>
      <c r="D186" s="2897"/>
      <c r="E186" s="2898"/>
      <c r="F186" s="2898"/>
      <c r="G186" s="2898"/>
      <c r="H186" s="2898"/>
      <c r="I186" s="2899"/>
      <c r="J186" s="2900"/>
      <c r="K186" s="2900"/>
      <c r="L186" s="2900"/>
      <c r="M186" s="2900"/>
      <c r="N186" s="2900"/>
      <c r="O186" s="2900"/>
      <c r="P186" s="2900"/>
      <c r="Q186" s="2900"/>
      <c r="R186" s="2900"/>
      <c r="S186" s="2900"/>
      <c r="T186" s="2900"/>
      <c r="U186" s="2901"/>
      <c r="V186" s="963"/>
      <c r="W186" s="609"/>
      <c r="X186" s="926"/>
      <c r="Y186" s="926"/>
      <c r="Z186" s="926"/>
      <c r="AA186" s="926"/>
      <c r="AB186" s="926"/>
      <c r="AC186" s="926"/>
      <c r="AD186" s="926"/>
      <c r="AE186" s="926"/>
      <c r="AF186" s="926"/>
      <c r="AG186" s="926"/>
      <c r="AH186" s="926"/>
      <c r="AI186" s="926"/>
      <c r="AJ186" s="926"/>
    </row>
    <row r="187" spans="1:36" ht="15" customHeight="1" x14ac:dyDescent="0.3">
      <c r="A187" s="926"/>
      <c r="B187" s="609"/>
      <c r="C187" s="962"/>
      <c r="D187" s="2897"/>
      <c r="E187" s="2898"/>
      <c r="F187" s="2898"/>
      <c r="G187" s="2898"/>
      <c r="H187" s="2898"/>
      <c r="I187" s="2899"/>
      <c r="J187" s="2900"/>
      <c r="K187" s="2900"/>
      <c r="L187" s="2900"/>
      <c r="M187" s="2900"/>
      <c r="N187" s="2900"/>
      <c r="O187" s="2900"/>
      <c r="P187" s="2900"/>
      <c r="Q187" s="2900"/>
      <c r="R187" s="2900"/>
      <c r="S187" s="2900"/>
      <c r="T187" s="2900"/>
      <c r="U187" s="2901"/>
      <c r="V187" s="963"/>
      <c r="W187" s="609"/>
      <c r="X187" s="926"/>
      <c r="Y187" s="926"/>
      <c r="Z187" s="926"/>
      <c r="AA187" s="926"/>
      <c r="AB187" s="926"/>
      <c r="AC187" s="926"/>
      <c r="AD187" s="926"/>
      <c r="AE187" s="926"/>
      <c r="AF187" s="926"/>
      <c r="AG187" s="926"/>
      <c r="AH187" s="926"/>
      <c r="AI187" s="926"/>
      <c r="AJ187" s="926"/>
    </row>
    <row r="188" spans="1:36" ht="15" customHeight="1" x14ac:dyDescent="0.3">
      <c r="A188" s="926"/>
      <c r="B188" s="609"/>
      <c r="C188" s="962"/>
      <c r="D188" s="2897"/>
      <c r="E188" s="2898"/>
      <c r="F188" s="2898"/>
      <c r="G188" s="2898"/>
      <c r="H188" s="2898"/>
      <c r="I188" s="2899"/>
      <c r="J188" s="2900"/>
      <c r="K188" s="2900"/>
      <c r="L188" s="2900"/>
      <c r="M188" s="2900"/>
      <c r="N188" s="2900"/>
      <c r="O188" s="2900"/>
      <c r="P188" s="2900"/>
      <c r="Q188" s="2900"/>
      <c r="R188" s="2900"/>
      <c r="S188" s="2900"/>
      <c r="T188" s="2900"/>
      <c r="U188" s="2901"/>
      <c r="V188" s="963"/>
      <c r="W188" s="609"/>
      <c r="X188" s="926"/>
      <c r="Y188" s="926"/>
      <c r="Z188" s="926"/>
      <c r="AA188" s="926"/>
      <c r="AB188" s="926"/>
      <c r="AC188" s="926"/>
      <c r="AD188" s="926"/>
      <c r="AE188" s="926"/>
      <c r="AF188" s="926"/>
      <c r="AG188" s="926"/>
      <c r="AH188" s="926"/>
      <c r="AI188" s="926"/>
      <c r="AJ188" s="926"/>
    </row>
    <row r="189" spans="1:36" ht="15" customHeight="1" x14ac:dyDescent="0.3">
      <c r="A189" s="926"/>
      <c r="B189" s="609"/>
      <c r="C189" s="962"/>
      <c r="D189" s="2897"/>
      <c r="E189" s="2898"/>
      <c r="F189" s="2898"/>
      <c r="G189" s="2898"/>
      <c r="H189" s="2898"/>
      <c r="I189" s="2899"/>
      <c r="J189" s="2900"/>
      <c r="K189" s="2900"/>
      <c r="L189" s="2900"/>
      <c r="M189" s="2900"/>
      <c r="N189" s="2900"/>
      <c r="O189" s="2900"/>
      <c r="P189" s="2900"/>
      <c r="Q189" s="2900"/>
      <c r="R189" s="2900"/>
      <c r="S189" s="2900"/>
      <c r="T189" s="2900"/>
      <c r="U189" s="2901"/>
      <c r="V189" s="963"/>
      <c r="W189" s="609"/>
      <c r="X189" s="926"/>
      <c r="Y189" s="926"/>
      <c r="Z189" s="926"/>
      <c r="AA189" s="926"/>
      <c r="AB189" s="926"/>
      <c r="AC189" s="926"/>
      <c r="AD189" s="926"/>
      <c r="AE189" s="926"/>
      <c r="AF189" s="926"/>
      <c r="AG189" s="926"/>
      <c r="AH189" s="926"/>
      <c r="AI189" s="926"/>
      <c r="AJ189" s="926"/>
    </row>
    <row r="190" spans="1:36" ht="15" customHeight="1" x14ac:dyDescent="0.3">
      <c r="A190" s="926"/>
      <c r="B190" s="609"/>
      <c r="C190" s="962"/>
      <c r="D190" s="2897" t="str" cm="1">
        <f t="array" aca="1" ref="D190" ca="1">INDEX(Sc.Ranked!$C$2:$C$31,I190)</f>
        <v>Shallow pit, flush, AD, lagoon, irrigation + tanker</v>
      </c>
      <c r="E190" s="2898"/>
      <c r="F190" s="2898"/>
      <c r="G190" s="2898"/>
      <c r="H190" s="2898"/>
      <c r="I190" s="2899">
        <v>26</v>
      </c>
      <c r="J190" s="2900" t="str" cm="1">
        <f t="array" aca="1" ref="J190" ca="1">INDEX(Sc.Ranked!$D$2:$D$31,I190)</f>
        <v>The farm uses a flush water system for barn cleaning. The flushed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90" s="2900"/>
      <c r="L190" s="2900"/>
      <c r="M190" s="2900"/>
      <c r="N190" s="2900"/>
      <c r="O190" s="2900"/>
      <c r="P190" s="2900"/>
      <c r="Q190" s="2900"/>
      <c r="R190" s="2900"/>
      <c r="S190" s="2900"/>
      <c r="T190" s="2900"/>
      <c r="U190" s="2901"/>
      <c r="V190" s="963"/>
      <c r="W190" s="609"/>
      <c r="X190" s="926"/>
      <c r="Y190" s="926"/>
      <c r="Z190" s="926"/>
      <c r="AA190" s="926"/>
      <c r="AB190" s="926"/>
      <c r="AC190" s="926"/>
      <c r="AD190" s="926"/>
      <c r="AE190" s="926"/>
      <c r="AF190" s="926"/>
      <c r="AG190" s="926"/>
      <c r="AH190" s="926"/>
      <c r="AI190" s="926"/>
      <c r="AJ190" s="926"/>
    </row>
    <row r="191" spans="1:36" ht="15" customHeight="1" x14ac:dyDescent="0.3">
      <c r="A191" s="926"/>
      <c r="B191" s="609"/>
      <c r="C191" s="962"/>
      <c r="D191" s="2897"/>
      <c r="E191" s="2898"/>
      <c r="F191" s="2898"/>
      <c r="G191" s="2898"/>
      <c r="H191" s="2898"/>
      <c r="I191" s="2899"/>
      <c r="J191" s="2900"/>
      <c r="K191" s="2900"/>
      <c r="L191" s="2900"/>
      <c r="M191" s="2900"/>
      <c r="N191" s="2900"/>
      <c r="O191" s="2900"/>
      <c r="P191" s="2900"/>
      <c r="Q191" s="2900"/>
      <c r="R191" s="2900"/>
      <c r="S191" s="2900"/>
      <c r="T191" s="2900"/>
      <c r="U191" s="2901"/>
      <c r="V191" s="963"/>
      <c r="W191" s="609"/>
      <c r="X191" s="926"/>
      <c r="Y191" s="926"/>
      <c r="Z191" s="926"/>
      <c r="AA191" s="926"/>
      <c r="AB191" s="926"/>
      <c r="AC191" s="926"/>
      <c r="AD191" s="926"/>
      <c r="AE191" s="926"/>
      <c r="AF191" s="926"/>
      <c r="AG191" s="926"/>
      <c r="AH191" s="926"/>
      <c r="AI191" s="926"/>
      <c r="AJ191" s="926"/>
    </row>
    <row r="192" spans="1:36" ht="15" customHeight="1" x14ac:dyDescent="0.3">
      <c r="A192" s="926"/>
      <c r="B192" s="609"/>
      <c r="C192" s="962"/>
      <c r="D192" s="2897"/>
      <c r="E192" s="2898"/>
      <c r="F192" s="2898"/>
      <c r="G192" s="2898"/>
      <c r="H192" s="2898"/>
      <c r="I192" s="2899"/>
      <c r="J192" s="2900"/>
      <c r="K192" s="2900"/>
      <c r="L192" s="2900"/>
      <c r="M192" s="2900"/>
      <c r="N192" s="2900"/>
      <c r="O192" s="2900"/>
      <c r="P192" s="2900"/>
      <c r="Q192" s="2900"/>
      <c r="R192" s="2900"/>
      <c r="S192" s="2900"/>
      <c r="T192" s="2900"/>
      <c r="U192" s="2901"/>
      <c r="V192" s="963"/>
      <c r="W192" s="609"/>
      <c r="X192" s="926"/>
      <c r="Y192" s="926"/>
      <c r="Z192" s="926"/>
      <c r="AA192" s="926"/>
      <c r="AB192" s="926"/>
      <c r="AC192" s="926"/>
      <c r="AD192" s="926"/>
      <c r="AE192" s="926"/>
      <c r="AF192" s="926"/>
      <c r="AG192" s="926"/>
      <c r="AH192" s="926"/>
      <c r="AI192" s="926"/>
      <c r="AJ192" s="926"/>
    </row>
    <row r="193" spans="1:36" ht="15" customHeight="1" x14ac:dyDescent="0.3">
      <c r="A193" s="926"/>
      <c r="B193" s="609"/>
      <c r="C193" s="962"/>
      <c r="D193" s="2897"/>
      <c r="E193" s="2898"/>
      <c r="F193" s="2898"/>
      <c r="G193" s="2898"/>
      <c r="H193" s="2898"/>
      <c r="I193" s="2899"/>
      <c r="J193" s="2900"/>
      <c r="K193" s="2900"/>
      <c r="L193" s="2900"/>
      <c r="M193" s="2900"/>
      <c r="N193" s="2900"/>
      <c r="O193" s="2900"/>
      <c r="P193" s="2900"/>
      <c r="Q193" s="2900"/>
      <c r="R193" s="2900"/>
      <c r="S193" s="2900"/>
      <c r="T193" s="2900"/>
      <c r="U193" s="2901"/>
      <c r="V193" s="963"/>
      <c r="W193" s="609"/>
      <c r="X193" s="926"/>
      <c r="Y193" s="926"/>
      <c r="Z193" s="926"/>
      <c r="AA193" s="926"/>
      <c r="AB193" s="926"/>
      <c r="AC193" s="926"/>
      <c r="AD193" s="926"/>
      <c r="AE193" s="926"/>
      <c r="AF193" s="926"/>
      <c r="AG193" s="926"/>
      <c r="AH193" s="926"/>
      <c r="AI193" s="926"/>
      <c r="AJ193" s="926"/>
    </row>
    <row r="194" spans="1:36" ht="15" customHeight="1" x14ac:dyDescent="0.3">
      <c r="A194" s="926"/>
      <c r="B194" s="609"/>
      <c r="C194" s="962"/>
      <c r="D194" s="2897"/>
      <c r="E194" s="2898"/>
      <c r="F194" s="2898"/>
      <c r="G194" s="2898"/>
      <c r="H194" s="2898"/>
      <c r="I194" s="2899"/>
      <c r="J194" s="2900"/>
      <c r="K194" s="2900"/>
      <c r="L194" s="2900"/>
      <c r="M194" s="2900"/>
      <c r="N194" s="2900"/>
      <c r="O194" s="2900"/>
      <c r="P194" s="2900"/>
      <c r="Q194" s="2900"/>
      <c r="R194" s="2900"/>
      <c r="S194" s="2900"/>
      <c r="T194" s="2900"/>
      <c r="U194" s="2901"/>
      <c r="V194" s="963"/>
      <c r="W194" s="609"/>
      <c r="X194" s="926"/>
      <c r="Y194" s="926"/>
      <c r="Z194" s="926"/>
      <c r="AA194" s="926"/>
      <c r="AB194" s="926"/>
      <c r="AC194" s="926"/>
      <c r="AD194" s="926"/>
      <c r="AE194" s="926"/>
      <c r="AF194" s="926"/>
      <c r="AG194" s="926"/>
      <c r="AH194" s="926"/>
      <c r="AI194" s="926"/>
      <c r="AJ194" s="926"/>
    </row>
    <row r="195" spans="1:36" ht="15" customHeight="1" x14ac:dyDescent="0.3">
      <c r="A195" s="926"/>
      <c r="B195" s="609"/>
      <c r="C195" s="962"/>
      <c r="D195" s="2897"/>
      <c r="E195" s="2898"/>
      <c r="F195" s="2898"/>
      <c r="G195" s="2898"/>
      <c r="H195" s="2898"/>
      <c r="I195" s="2899"/>
      <c r="J195" s="2900"/>
      <c r="K195" s="2900"/>
      <c r="L195" s="2900"/>
      <c r="M195" s="2900"/>
      <c r="N195" s="2900"/>
      <c r="O195" s="2900"/>
      <c r="P195" s="2900"/>
      <c r="Q195" s="2900"/>
      <c r="R195" s="2900"/>
      <c r="S195" s="2900"/>
      <c r="T195" s="2900"/>
      <c r="U195" s="2901"/>
      <c r="V195" s="963"/>
      <c r="W195" s="609"/>
      <c r="X195" s="926"/>
      <c r="Y195" s="926"/>
      <c r="Z195" s="926"/>
      <c r="AA195" s="926"/>
      <c r="AB195" s="926"/>
      <c r="AC195" s="926"/>
      <c r="AD195" s="926"/>
      <c r="AE195" s="926"/>
      <c r="AF195" s="926"/>
      <c r="AG195" s="926"/>
      <c r="AH195" s="926"/>
      <c r="AI195" s="926"/>
      <c r="AJ195" s="926"/>
    </row>
    <row r="196" spans="1:36" ht="15" customHeight="1" x14ac:dyDescent="0.3">
      <c r="A196" s="926"/>
      <c r="B196" s="609"/>
      <c r="C196" s="962"/>
      <c r="D196" s="2897" t="str" cm="1">
        <f t="array" aca="1" ref="D196" ca="1">INDEX(Sc.Ranked!$C$2:$C$31,I196)</f>
        <v>Shallow pit, flush, AD, lagoon, irrigation + drag hose</v>
      </c>
      <c r="E196" s="2898"/>
      <c r="F196" s="2898"/>
      <c r="G196" s="2898"/>
      <c r="H196" s="2898"/>
      <c r="I196" s="2899">
        <v>27</v>
      </c>
      <c r="J196" s="2900" t="str" cm="1">
        <f t="array" aca="1" ref="J196" ca="1">INDEX(Sc.Ranked!$D$2:$D$31,I196)</f>
        <v>The farm uses a flush water system for barn cleaning. The flushed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K196" s="2900"/>
      <c r="L196" s="2900"/>
      <c r="M196" s="2900"/>
      <c r="N196" s="2900"/>
      <c r="O196" s="2900"/>
      <c r="P196" s="2900"/>
      <c r="Q196" s="2900"/>
      <c r="R196" s="2900"/>
      <c r="S196" s="2900"/>
      <c r="T196" s="2900"/>
      <c r="U196" s="2901"/>
      <c r="V196" s="963"/>
      <c r="W196" s="609"/>
      <c r="X196" s="926"/>
      <c r="Y196" s="926"/>
      <c r="Z196" s="926"/>
      <c r="AA196" s="926"/>
      <c r="AB196" s="926"/>
      <c r="AC196" s="926"/>
      <c r="AD196" s="926"/>
      <c r="AE196" s="926"/>
      <c r="AF196" s="926"/>
      <c r="AG196" s="926"/>
      <c r="AH196" s="926"/>
      <c r="AI196" s="926"/>
      <c r="AJ196" s="926"/>
    </row>
    <row r="197" spans="1:36" ht="15" customHeight="1" x14ac:dyDescent="0.3">
      <c r="A197" s="926"/>
      <c r="B197" s="609"/>
      <c r="C197" s="962"/>
      <c r="D197" s="2897"/>
      <c r="E197" s="2898"/>
      <c r="F197" s="2898"/>
      <c r="G197" s="2898"/>
      <c r="H197" s="2898"/>
      <c r="I197" s="2899"/>
      <c r="J197" s="2900"/>
      <c r="K197" s="2900"/>
      <c r="L197" s="2900"/>
      <c r="M197" s="2900"/>
      <c r="N197" s="2900"/>
      <c r="O197" s="2900"/>
      <c r="P197" s="2900"/>
      <c r="Q197" s="2900"/>
      <c r="R197" s="2900"/>
      <c r="S197" s="2900"/>
      <c r="T197" s="2900"/>
      <c r="U197" s="2901"/>
      <c r="V197" s="963"/>
      <c r="W197" s="609"/>
      <c r="X197" s="926"/>
      <c r="Y197" s="926"/>
      <c r="Z197" s="926"/>
      <c r="AA197" s="926"/>
      <c r="AB197" s="926"/>
      <c r="AC197" s="926"/>
      <c r="AD197" s="926"/>
      <c r="AE197" s="926"/>
      <c r="AF197" s="926"/>
      <c r="AG197" s="926"/>
      <c r="AH197" s="926"/>
      <c r="AI197" s="926"/>
      <c r="AJ197" s="926"/>
    </row>
    <row r="198" spans="1:36" ht="15" customHeight="1" x14ac:dyDescent="0.3">
      <c r="A198" s="926"/>
      <c r="B198" s="609"/>
      <c r="C198" s="962"/>
      <c r="D198" s="2897"/>
      <c r="E198" s="2898"/>
      <c r="F198" s="2898"/>
      <c r="G198" s="2898"/>
      <c r="H198" s="2898"/>
      <c r="I198" s="2899"/>
      <c r="J198" s="2900"/>
      <c r="K198" s="2900"/>
      <c r="L198" s="2900"/>
      <c r="M198" s="2900"/>
      <c r="N198" s="2900"/>
      <c r="O198" s="2900"/>
      <c r="P198" s="2900"/>
      <c r="Q198" s="2900"/>
      <c r="R198" s="2900"/>
      <c r="S198" s="2900"/>
      <c r="T198" s="2900"/>
      <c r="U198" s="2901"/>
      <c r="V198" s="963"/>
      <c r="W198" s="609"/>
      <c r="X198" s="926"/>
      <c r="Y198" s="926"/>
      <c r="Z198" s="926"/>
      <c r="AA198" s="926"/>
      <c r="AB198" s="926"/>
      <c r="AC198" s="926"/>
      <c r="AD198" s="926"/>
      <c r="AE198" s="926"/>
      <c r="AF198" s="926"/>
      <c r="AG198" s="926"/>
      <c r="AH198" s="926"/>
      <c r="AI198" s="926"/>
      <c r="AJ198" s="926"/>
    </row>
    <row r="199" spans="1:36" ht="15" customHeight="1" x14ac:dyDescent="0.3">
      <c r="A199" s="926"/>
      <c r="B199" s="609"/>
      <c r="C199" s="962"/>
      <c r="D199" s="2897"/>
      <c r="E199" s="2898"/>
      <c r="F199" s="2898"/>
      <c r="G199" s="2898"/>
      <c r="H199" s="2898"/>
      <c r="I199" s="2899"/>
      <c r="J199" s="2900"/>
      <c r="K199" s="2900"/>
      <c r="L199" s="2900"/>
      <c r="M199" s="2900"/>
      <c r="N199" s="2900"/>
      <c r="O199" s="2900"/>
      <c r="P199" s="2900"/>
      <c r="Q199" s="2900"/>
      <c r="R199" s="2900"/>
      <c r="S199" s="2900"/>
      <c r="T199" s="2900"/>
      <c r="U199" s="2901"/>
      <c r="V199" s="963"/>
      <c r="W199" s="609"/>
      <c r="X199" s="926"/>
      <c r="Y199" s="926"/>
      <c r="Z199" s="926"/>
      <c r="AA199" s="926"/>
      <c r="AB199" s="926"/>
      <c r="AC199" s="926"/>
      <c r="AD199" s="926"/>
      <c r="AE199" s="926"/>
      <c r="AF199" s="926"/>
      <c r="AG199" s="926"/>
      <c r="AH199" s="926"/>
      <c r="AI199" s="926"/>
      <c r="AJ199" s="926"/>
    </row>
    <row r="200" spans="1:36" ht="15" customHeight="1" x14ac:dyDescent="0.3">
      <c r="A200" s="926"/>
      <c r="B200" s="609"/>
      <c r="C200" s="962"/>
      <c r="D200" s="2897"/>
      <c r="E200" s="2898"/>
      <c r="F200" s="2898"/>
      <c r="G200" s="2898"/>
      <c r="H200" s="2898"/>
      <c r="I200" s="2899"/>
      <c r="J200" s="2900"/>
      <c r="K200" s="2900"/>
      <c r="L200" s="2900"/>
      <c r="M200" s="2900"/>
      <c r="N200" s="2900"/>
      <c r="O200" s="2900"/>
      <c r="P200" s="2900"/>
      <c r="Q200" s="2900"/>
      <c r="R200" s="2900"/>
      <c r="S200" s="2900"/>
      <c r="T200" s="2900"/>
      <c r="U200" s="2901"/>
      <c r="V200" s="963"/>
      <c r="W200" s="609"/>
      <c r="X200" s="926"/>
      <c r="Y200" s="926"/>
      <c r="Z200" s="926"/>
      <c r="AA200" s="926"/>
      <c r="AB200" s="926"/>
      <c r="AC200" s="926"/>
      <c r="AD200" s="926"/>
      <c r="AE200" s="926"/>
      <c r="AF200" s="926"/>
      <c r="AG200" s="926"/>
      <c r="AH200" s="926"/>
      <c r="AI200" s="926"/>
      <c r="AJ200" s="926"/>
    </row>
    <row r="201" spans="1:36" ht="15" customHeight="1" x14ac:dyDescent="0.3">
      <c r="A201" s="926"/>
      <c r="B201" s="609"/>
      <c r="C201" s="962"/>
      <c r="D201" s="2897"/>
      <c r="E201" s="2898"/>
      <c r="F201" s="2898"/>
      <c r="G201" s="2898"/>
      <c r="H201" s="2898"/>
      <c r="I201" s="2899"/>
      <c r="J201" s="2900"/>
      <c r="K201" s="2900"/>
      <c r="L201" s="2900"/>
      <c r="M201" s="2900"/>
      <c r="N201" s="2900"/>
      <c r="O201" s="2900"/>
      <c r="P201" s="2900"/>
      <c r="Q201" s="2900"/>
      <c r="R201" s="2900"/>
      <c r="S201" s="2900"/>
      <c r="T201" s="2900"/>
      <c r="U201" s="2901"/>
      <c r="V201" s="963"/>
      <c r="W201" s="609"/>
      <c r="X201" s="926"/>
      <c r="Y201" s="926"/>
      <c r="Z201" s="926"/>
      <c r="AA201" s="926"/>
      <c r="AB201" s="926"/>
      <c r="AC201" s="926"/>
      <c r="AD201" s="926"/>
      <c r="AE201" s="926"/>
      <c r="AF201" s="926"/>
      <c r="AG201" s="926"/>
      <c r="AH201" s="926"/>
      <c r="AI201" s="926"/>
      <c r="AJ201" s="926"/>
    </row>
    <row r="202" spans="1:36" ht="15" customHeight="1" x14ac:dyDescent="0.3">
      <c r="A202" s="926"/>
      <c r="B202" s="609"/>
      <c r="C202" s="962"/>
      <c r="D202" s="1041"/>
      <c r="E202" s="1041"/>
      <c r="F202" s="1041"/>
      <c r="G202" s="1041"/>
      <c r="H202" s="1041"/>
      <c r="I202" s="1043"/>
      <c r="J202" s="60"/>
      <c r="K202" s="60"/>
      <c r="L202" s="60"/>
      <c r="M202" s="60"/>
      <c r="N202" s="60"/>
      <c r="O202" s="60"/>
      <c r="P202" s="60"/>
      <c r="Q202" s="60"/>
      <c r="R202" s="60"/>
      <c r="S202" s="60"/>
      <c r="T202" s="60"/>
      <c r="U202" s="60"/>
      <c r="V202" s="963"/>
      <c r="W202" s="609"/>
      <c r="X202" s="926"/>
      <c r="Y202" s="926"/>
      <c r="Z202" s="926"/>
      <c r="AA202" s="926"/>
      <c r="AB202" s="926"/>
      <c r="AC202" s="926"/>
      <c r="AD202" s="926"/>
      <c r="AE202" s="926"/>
      <c r="AF202" s="926"/>
      <c r="AG202" s="926"/>
      <c r="AH202" s="926"/>
      <c r="AI202" s="926"/>
      <c r="AJ202" s="926"/>
    </row>
    <row r="203" spans="1:36" ht="15" customHeight="1" x14ac:dyDescent="0.3">
      <c r="A203" s="926"/>
      <c r="B203" s="609"/>
      <c r="C203" s="962"/>
      <c r="D203" s="1041"/>
      <c r="E203" s="1041"/>
      <c r="F203" s="1041"/>
      <c r="G203" s="1041"/>
      <c r="H203" s="1041"/>
      <c r="I203" s="1043"/>
      <c r="J203" s="60"/>
      <c r="K203" s="60"/>
      <c r="L203" s="60"/>
      <c r="M203" s="60"/>
      <c r="N203" s="60"/>
      <c r="O203" s="60"/>
      <c r="P203" s="60"/>
      <c r="Q203" s="60"/>
      <c r="R203" s="60"/>
      <c r="S203" s="60"/>
      <c r="T203" s="60"/>
      <c r="U203" s="60"/>
      <c r="V203" s="963"/>
      <c r="W203" s="609"/>
      <c r="X203" s="926"/>
      <c r="Y203" s="926"/>
      <c r="Z203" s="926"/>
      <c r="AA203" s="926"/>
      <c r="AB203" s="926"/>
      <c r="AC203" s="926"/>
      <c r="AD203" s="926"/>
      <c r="AE203" s="926"/>
      <c r="AF203" s="926"/>
      <c r="AG203" s="926"/>
      <c r="AH203" s="926"/>
      <c r="AI203" s="926"/>
      <c r="AJ203" s="926"/>
    </row>
    <row r="204" spans="1:36" ht="15" customHeight="1" x14ac:dyDescent="0.35">
      <c r="A204" s="926"/>
      <c r="B204" s="609"/>
      <c r="C204" s="962"/>
      <c r="D204" s="2320"/>
      <c r="E204" s="2320"/>
      <c r="F204" s="2320"/>
      <c r="G204" s="2320"/>
      <c r="H204" s="2320"/>
      <c r="I204" s="2320"/>
      <c r="J204" s="2320"/>
      <c r="K204" s="2320"/>
      <c r="L204" s="2320"/>
      <c r="M204" s="2320"/>
      <c r="N204" s="2320"/>
      <c r="O204" s="2320"/>
      <c r="P204" s="2320"/>
      <c r="Q204" s="2320"/>
      <c r="R204" s="2320"/>
      <c r="S204" s="2320"/>
      <c r="T204" s="2320"/>
      <c r="U204" s="2320"/>
      <c r="V204" s="963"/>
      <c r="W204" s="609"/>
      <c r="X204" s="926"/>
      <c r="Y204" s="926"/>
      <c r="Z204" s="926"/>
      <c r="AA204" s="926"/>
      <c r="AB204" s="926"/>
      <c r="AC204" s="926"/>
      <c r="AD204" s="926"/>
      <c r="AE204" s="926"/>
      <c r="AF204" s="926"/>
      <c r="AG204" s="926"/>
      <c r="AH204" s="926"/>
      <c r="AI204" s="926"/>
      <c r="AJ204" s="926"/>
    </row>
    <row r="205" spans="1:36" ht="15" customHeight="1" x14ac:dyDescent="0.35">
      <c r="A205" s="926"/>
      <c r="B205" s="609"/>
      <c r="C205" s="962"/>
      <c r="D205" s="2320"/>
      <c r="E205" s="2320"/>
      <c r="F205" s="2320"/>
      <c r="G205" s="2320"/>
      <c r="H205" s="2320"/>
      <c r="I205" s="2320"/>
      <c r="J205" s="2320"/>
      <c r="K205" s="2320"/>
      <c r="L205" s="2320"/>
      <c r="M205" s="2320"/>
      <c r="N205" s="2320"/>
      <c r="O205" s="2320"/>
      <c r="P205" s="2320"/>
      <c r="Q205" s="2320"/>
      <c r="R205" s="2320"/>
      <c r="S205" s="2320"/>
      <c r="T205" s="2320"/>
      <c r="U205" s="2320"/>
      <c r="V205" s="963"/>
      <c r="W205" s="609"/>
      <c r="X205" s="926"/>
      <c r="Y205" s="926"/>
      <c r="Z205" s="926"/>
      <c r="AA205" s="926"/>
      <c r="AB205" s="926"/>
      <c r="AC205" s="926"/>
      <c r="AD205" s="926"/>
      <c r="AE205" s="926"/>
      <c r="AF205" s="926"/>
      <c r="AG205" s="926"/>
      <c r="AH205" s="926"/>
      <c r="AI205" s="926"/>
      <c r="AJ205" s="926"/>
    </row>
    <row r="206" spans="1:36" ht="15" customHeight="1" thickBot="1" x14ac:dyDescent="0.35">
      <c r="A206" s="926"/>
      <c r="B206" s="609"/>
      <c r="C206" s="964"/>
      <c r="D206" s="965"/>
      <c r="E206" s="965"/>
      <c r="F206" s="965"/>
      <c r="G206" s="965"/>
      <c r="H206" s="965"/>
      <c r="I206" s="965"/>
      <c r="J206" s="965"/>
      <c r="K206" s="965"/>
      <c r="L206" s="965"/>
      <c r="M206" s="965"/>
      <c r="N206" s="965"/>
      <c r="O206" s="965"/>
      <c r="P206" s="965"/>
      <c r="Q206" s="965"/>
      <c r="R206" s="965"/>
      <c r="S206" s="965"/>
      <c r="T206" s="965"/>
      <c r="U206" s="965"/>
      <c r="V206" s="966"/>
      <c r="W206" s="609"/>
      <c r="X206" s="926"/>
      <c r="Y206" s="926"/>
      <c r="Z206" s="926"/>
      <c r="AA206" s="926"/>
      <c r="AB206" s="926"/>
      <c r="AC206" s="926"/>
      <c r="AD206" s="926"/>
      <c r="AE206" s="926"/>
      <c r="AF206" s="926"/>
      <c r="AG206" s="926"/>
      <c r="AH206" s="926"/>
      <c r="AI206" s="926"/>
      <c r="AJ206" s="926"/>
    </row>
    <row r="207" spans="1:36" ht="15" customHeight="1" x14ac:dyDescent="0.3">
      <c r="A207" s="926"/>
      <c r="B207" s="609"/>
      <c r="C207" s="609"/>
      <c r="D207" s="609"/>
      <c r="E207" s="609"/>
      <c r="F207" s="609"/>
      <c r="G207" s="609"/>
      <c r="H207" s="609"/>
      <c r="I207" s="609"/>
      <c r="J207" s="609"/>
      <c r="K207" s="609"/>
      <c r="L207" s="609"/>
      <c r="M207" s="609"/>
      <c r="N207" s="609"/>
      <c r="O207" s="609"/>
      <c r="P207" s="609"/>
      <c r="Q207" s="609"/>
      <c r="R207" s="609"/>
      <c r="S207" s="609"/>
      <c r="T207" s="609"/>
      <c r="U207" s="609"/>
      <c r="V207" s="609"/>
      <c r="W207" s="609"/>
      <c r="X207" s="926"/>
      <c r="Y207" s="926"/>
      <c r="Z207" s="926"/>
      <c r="AA207" s="926"/>
      <c r="AB207" s="926"/>
      <c r="AC207" s="926"/>
      <c r="AD207" s="926"/>
      <c r="AE207" s="926"/>
      <c r="AF207" s="926"/>
      <c r="AG207" s="926"/>
      <c r="AH207" s="926"/>
      <c r="AI207" s="926"/>
      <c r="AJ207" s="926"/>
    </row>
    <row r="208" spans="1:36" ht="15" customHeight="1" x14ac:dyDescent="0.3">
      <c r="A208" s="926"/>
      <c r="B208" s="926"/>
      <c r="C208" s="926"/>
      <c r="D208" s="926"/>
      <c r="E208" s="926"/>
      <c r="F208" s="926"/>
      <c r="G208" s="926"/>
      <c r="H208" s="926"/>
      <c r="I208" s="926"/>
      <c r="J208" s="926"/>
      <c r="K208" s="926"/>
      <c r="L208" s="926"/>
      <c r="M208" s="926"/>
      <c r="N208" s="926"/>
      <c r="O208" s="926"/>
      <c r="P208" s="926"/>
      <c r="Q208" s="926"/>
      <c r="R208" s="926"/>
      <c r="S208" s="926"/>
      <c r="T208" s="926"/>
      <c r="U208" s="926"/>
      <c r="V208" s="926"/>
      <c r="W208" s="926"/>
      <c r="X208" s="926"/>
      <c r="Y208" s="926"/>
      <c r="Z208" s="926"/>
      <c r="AA208" s="926"/>
      <c r="AB208" s="926"/>
      <c r="AC208" s="926"/>
      <c r="AD208" s="926"/>
      <c r="AE208" s="926"/>
      <c r="AF208" s="926"/>
      <c r="AG208" s="926"/>
      <c r="AH208" s="926"/>
      <c r="AI208" s="926"/>
      <c r="AJ208" s="926"/>
    </row>
    <row r="209" spans="1:36" ht="15" customHeight="1" x14ac:dyDescent="0.3">
      <c r="A209" s="926"/>
      <c r="B209" s="926"/>
      <c r="C209" s="2719" t="s">
        <v>594</v>
      </c>
      <c r="D209" s="2720"/>
      <c r="E209" s="923"/>
      <c r="F209" s="926"/>
      <c r="G209" s="926"/>
      <c r="H209" s="2345" t="s">
        <v>561</v>
      </c>
      <c r="I209" s="2351"/>
      <c r="J209" s="2362" t="s">
        <v>595</v>
      </c>
      <c r="K209" s="2833"/>
      <c r="L209" s="2345" t="s">
        <v>596</v>
      </c>
      <c r="M209" s="2351"/>
      <c r="N209" s="2345" t="s">
        <v>597</v>
      </c>
      <c r="O209" s="2351"/>
      <c r="P209" s="926"/>
      <c r="Q209" s="926"/>
      <c r="R209" s="926"/>
      <c r="S209" s="2356" t="s">
        <v>7</v>
      </c>
      <c r="T209" s="2774"/>
      <c r="U209" s="926"/>
      <c r="V209" s="926"/>
      <c r="W209" s="926"/>
      <c r="X209" s="926"/>
      <c r="Y209" s="926"/>
      <c r="Z209" s="926"/>
      <c r="AA209" s="926"/>
      <c r="AB209" s="926"/>
      <c r="AC209" s="926"/>
      <c r="AD209" s="926"/>
      <c r="AE209" s="926"/>
      <c r="AF209" s="926"/>
      <c r="AG209" s="926"/>
      <c r="AH209" s="926"/>
      <c r="AI209" s="926"/>
      <c r="AJ209" s="926"/>
    </row>
    <row r="210" spans="1:36" ht="15" customHeight="1" x14ac:dyDescent="0.3">
      <c r="A210" s="926"/>
      <c r="B210" s="926"/>
      <c r="C210" s="2721"/>
      <c r="D210" s="2722"/>
      <c r="E210" s="923"/>
      <c r="F210" s="926"/>
      <c r="G210" s="926"/>
      <c r="H210" s="2352"/>
      <c r="I210" s="2353"/>
      <c r="J210" s="2834"/>
      <c r="K210" s="2835"/>
      <c r="L210" s="2352"/>
      <c r="M210" s="2353"/>
      <c r="N210" s="2352"/>
      <c r="O210" s="2353"/>
      <c r="P210" s="926"/>
      <c r="Q210" s="926"/>
      <c r="R210" s="926"/>
      <c r="S210" s="2775"/>
      <c r="T210" s="2776"/>
      <c r="U210" s="926"/>
      <c r="V210" s="926"/>
      <c r="W210" s="926"/>
      <c r="X210" s="926"/>
      <c r="Y210" s="926"/>
      <c r="Z210" s="926"/>
      <c r="AA210" s="926"/>
      <c r="AB210" s="926"/>
      <c r="AC210" s="926"/>
      <c r="AD210" s="926"/>
      <c r="AE210" s="926"/>
      <c r="AF210" s="926"/>
      <c r="AG210" s="926"/>
      <c r="AH210" s="926"/>
      <c r="AI210" s="926"/>
      <c r="AJ210" s="926"/>
    </row>
    <row r="211" spans="1:36" ht="15" customHeight="1" thickBot="1" x14ac:dyDescent="0.35">
      <c r="A211" s="926"/>
      <c r="B211" s="926"/>
      <c r="C211" s="2723"/>
      <c r="D211" s="2724"/>
      <c r="E211" s="923"/>
      <c r="F211" s="926"/>
      <c r="G211" s="926"/>
      <c r="H211" s="2354"/>
      <c r="I211" s="2355"/>
      <c r="J211" s="2836"/>
      <c r="K211" s="2837"/>
      <c r="L211" s="2354"/>
      <c r="M211" s="2355"/>
      <c r="N211" s="2354"/>
      <c r="O211" s="2355"/>
      <c r="P211" s="926"/>
      <c r="Q211" s="926"/>
      <c r="R211" s="926"/>
      <c r="S211" s="2777"/>
      <c r="T211" s="2778"/>
      <c r="U211" s="926"/>
      <c r="V211" s="926"/>
      <c r="W211" s="926"/>
      <c r="X211" s="926"/>
      <c r="Y211" s="926"/>
      <c r="Z211" s="926"/>
      <c r="AA211" s="926"/>
      <c r="AB211" s="926"/>
      <c r="AC211" s="926"/>
      <c r="AD211" s="926"/>
      <c r="AE211" s="926"/>
      <c r="AF211" s="926"/>
      <c r="AG211" s="926"/>
      <c r="AH211" s="926"/>
      <c r="AI211" s="926"/>
      <c r="AJ211" s="926"/>
    </row>
    <row r="212" spans="1:36" ht="15" customHeight="1" x14ac:dyDescent="0.3">
      <c r="A212" s="926"/>
      <c r="B212" s="926"/>
      <c r="C212" s="926"/>
      <c r="D212" s="926"/>
      <c r="E212" s="923"/>
      <c r="F212" s="923"/>
      <c r="G212" s="923"/>
      <c r="H212" s="923"/>
      <c r="I212" s="2345" t="s">
        <v>598</v>
      </c>
      <c r="J212" s="2351"/>
      <c r="K212" s="2345" t="s">
        <v>599</v>
      </c>
      <c r="L212" s="2351"/>
      <c r="M212" s="2345" t="s">
        <v>600</v>
      </c>
      <c r="N212" s="2351"/>
      <c r="O212" s="923"/>
      <c r="P212" s="923"/>
      <c r="Q212" s="923"/>
      <c r="R212" s="923"/>
      <c r="S212" s="923"/>
      <c r="T212" s="923"/>
      <c r="U212" s="926"/>
      <c r="V212" s="926"/>
      <c r="W212" s="926"/>
      <c r="X212" s="926"/>
      <c r="Y212" s="926"/>
      <c r="Z212" s="926"/>
      <c r="AA212" s="926"/>
      <c r="AB212" s="926"/>
      <c r="AC212" s="926"/>
      <c r="AD212" s="926"/>
      <c r="AE212" s="926"/>
      <c r="AF212" s="926"/>
      <c r="AG212" s="926"/>
      <c r="AH212" s="926"/>
      <c r="AI212" s="926"/>
      <c r="AJ212" s="926"/>
    </row>
    <row r="213" spans="1:36" ht="15" customHeight="1" x14ac:dyDescent="0.3">
      <c r="A213" s="926"/>
      <c r="B213" s="926"/>
      <c r="C213" s="926"/>
      <c r="D213" s="926"/>
      <c r="E213" s="923"/>
      <c r="F213" s="926"/>
      <c r="G213" s="926"/>
      <c r="H213" s="926"/>
      <c r="I213" s="2352"/>
      <c r="J213" s="2353"/>
      <c r="K213" s="2352"/>
      <c r="L213" s="2353"/>
      <c r="M213" s="2352"/>
      <c r="N213" s="2353"/>
      <c r="O213" s="926"/>
      <c r="P213" s="926"/>
      <c r="Q213" s="926"/>
      <c r="R213" s="923"/>
      <c r="S213" s="923"/>
      <c r="T213" s="923"/>
      <c r="U213" s="926"/>
      <c r="V213" s="926"/>
      <c r="W213" s="926"/>
      <c r="X213" s="926"/>
      <c r="Y213" s="926"/>
      <c r="Z213" s="926"/>
      <c r="AA213" s="926"/>
      <c r="AB213" s="926"/>
      <c r="AC213" s="926"/>
      <c r="AD213" s="926"/>
      <c r="AE213" s="926"/>
      <c r="AF213" s="926"/>
      <c r="AG213" s="926"/>
      <c r="AH213" s="926"/>
      <c r="AI213" s="926"/>
      <c r="AJ213" s="926"/>
    </row>
    <row r="214" spans="1:36" ht="15" customHeight="1" thickBot="1" x14ac:dyDescent="0.35">
      <c r="A214" s="926"/>
      <c r="B214" s="926"/>
      <c r="C214" s="926"/>
      <c r="D214" s="926"/>
      <c r="E214" s="923"/>
      <c r="F214" s="926"/>
      <c r="G214" s="926"/>
      <c r="H214" s="926"/>
      <c r="I214" s="2354"/>
      <c r="J214" s="2355"/>
      <c r="K214" s="2354"/>
      <c r="L214" s="2355"/>
      <c r="M214" s="2354"/>
      <c r="N214" s="2355"/>
      <c r="O214" s="926"/>
      <c r="P214" s="926"/>
      <c r="Q214" s="926"/>
      <c r="R214" s="923"/>
      <c r="S214" s="923"/>
      <c r="T214" s="923"/>
      <c r="U214" s="926"/>
      <c r="V214" s="926"/>
      <c r="W214" s="926"/>
      <c r="X214" s="926"/>
      <c r="Y214" s="926"/>
      <c r="Z214" s="926"/>
      <c r="AA214" s="926"/>
      <c r="AB214" s="926"/>
      <c r="AC214" s="926"/>
      <c r="AD214" s="926"/>
      <c r="AE214" s="926"/>
      <c r="AF214" s="926"/>
      <c r="AG214" s="926"/>
      <c r="AH214" s="926"/>
      <c r="AI214" s="926"/>
      <c r="AJ214" s="926"/>
    </row>
    <row r="215" spans="1:36" ht="15" customHeight="1" x14ac:dyDescent="0.3">
      <c r="A215" s="926"/>
      <c r="B215" s="926"/>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row>
    <row r="216" spans="1:36" ht="15" customHeight="1" x14ac:dyDescent="0.3">
      <c r="A216" s="926"/>
      <c r="B216" s="926"/>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row>
    <row r="217" spans="1:36" ht="15" customHeight="1" x14ac:dyDescent="0.3">
      <c r="A217" s="926"/>
      <c r="B217" s="926"/>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row>
    <row r="218" spans="1:36" ht="15" customHeight="1" x14ac:dyDescent="0.3">
      <c r="A218" s="926"/>
      <c r="B218" s="926"/>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926"/>
      <c r="AD218" s="926"/>
      <c r="AE218" s="926"/>
      <c r="AF218" s="926"/>
      <c r="AG218" s="926"/>
      <c r="AH218" s="926"/>
      <c r="AI218" s="926"/>
      <c r="AJ218" s="926"/>
    </row>
    <row r="219" spans="1:36" ht="15" customHeight="1" x14ac:dyDescent="0.3">
      <c r="A219" s="926"/>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926"/>
      <c r="AD219" s="926"/>
      <c r="AE219" s="926"/>
      <c r="AF219" s="926"/>
      <c r="AG219" s="926"/>
      <c r="AH219" s="926"/>
      <c r="AI219" s="926"/>
      <c r="AJ219" s="926"/>
    </row>
    <row r="220" spans="1:36" ht="15" customHeight="1" x14ac:dyDescent="0.3">
      <c r="A220" s="926"/>
      <c r="B220" s="926"/>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926"/>
      <c r="AD220" s="926"/>
      <c r="AE220" s="926"/>
      <c r="AF220" s="926"/>
      <c r="AG220" s="926"/>
      <c r="AH220" s="926"/>
      <c r="AI220" s="926"/>
      <c r="AJ220" s="926"/>
    </row>
    <row r="221" spans="1:36" ht="15" customHeight="1" x14ac:dyDescent="0.3">
      <c r="A221" s="926"/>
      <c r="B221" s="926"/>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26"/>
    </row>
    <row r="222" spans="1:36" ht="15" customHeight="1" x14ac:dyDescent="0.3">
      <c r="A222" s="926"/>
      <c r="B222" s="926"/>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926"/>
      <c r="AD222" s="926"/>
      <c r="AE222" s="926"/>
      <c r="AF222" s="926"/>
      <c r="AG222" s="926"/>
      <c r="AH222" s="926"/>
      <c r="AI222" s="926"/>
      <c r="AJ222" s="926"/>
    </row>
    <row r="223" spans="1:36" ht="15" customHeight="1" x14ac:dyDescent="0.3">
      <c r="A223" s="926"/>
      <c r="B223" s="926"/>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926"/>
      <c r="AD223" s="926"/>
      <c r="AE223" s="926"/>
      <c r="AF223" s="926"/>
      <c r="AG223" s="926"/>
      <c r="AH223" s="926"/>
      <c r="AI223" s="926"/>
      <c r="AJ223" s="926"/>
    </row>
    <row r="224" spans="1:36" ht="15" customHeight="1" x14ac:dyDescent="0.3">
      <c r="A224" s="926"/>
      <c r="B224" s="926"/>
      <c r="C224" s="926"/>
      <c r="D224" s="926"/>
      <c r="E224" s="926"/>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926"/>
      <c r="AD224" s="926"/>
      <c r="AE224" s="926"/>
      <c r="AF224" s="926"/>
      <c r="AG224" s="926"/>
      <c r="AH224" s="926"/>
      <c r="AI224" s="926"/>
      <c r="AJ224" s="926"/>
    </row>
    <row r="225" spans="1:36" ht="15" customHeight="1" x14ac:dyDescent="0.3">
      <c r="A225" s="926"/>
      <c r="B225" s="926"/>
      <c r="C225" s="926"/>
      <c r="D225" s="926"/>
      <c r="E225" s="926"/>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926"/>
      <c r="AD225" s="926"/>
      <c r="AE225" s="926"/>
      <c r="AF225" s="926"/>
      <c r="AG225" s="926"/>
      <c r="AH225" s="926"/>
      <c r="AI225" s="926"/>
      <c r="AJ225" s="926"/>
    </row>
    <row r="226" spans="1:36" ht="15" customHeight="1" x14ac:dyDescent="0.3">
      <c r="A226" s="926"/>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926"/>
      <c r="AD226" s="926"/>
      <c r="AE226" s="926"/>
      <c r="AF226" s="926"/>
      <c r="AG226" s="926"/>
      <c r="AH226" s="926"/>
      <c r="AI226" s="926"/>
      <c r="AJ226" s="926"/>
    </row>
    <row r="227" spans="1:36" ht="15" customHeight="1" x14ac:dyDescent="0.3">
      <c r="A227" s="926"/>
      <c r="B227" s="926"/>
      <c r="C227" s="926"/>
      <c r="D227" s="926"/>
      <c r="E227" s="926"/>
      <c r="F227" s="926"/>
      <c r="G227" s="926"/>
      <c r="H227" s="926"/>
      <c r="I227" s="926"/>
      <c r="J227" s="926"/>
      <c r="K227" s="926"/>
      <c r="L227" s="926"/>
      <c r="M227" s="926"/>
      <c r="N227" s="926"/>
      <c r="O227" s="926"/>
      <c r="P227" s="926"/>
      <c r="Q227" s="926"/>
      <c r="R227" s="926"/>
      <c r="S227" s="926"/>
      <c r="T227" s="926"/>
      <c r="U227" s="926"/>
      <c r="V227" s="926"/>
      <c r="W227" s="926"/>
      <c r="X227" s="926"/>
      <c r="Y227" s="926"/>
      <c r="Z227" s="926"/>
      <c r="AA227" s="926"/>
      <c r="AB227" s="926"/>
      <c r="AC227" s="926"/>
      <c r="AD227" s="926"/>
      <c r="AE227" s="926"/>
      <c r="AF227" s="926"/>
      <c r="AG227" s="926"/>
      <c r="AH227" s="926"/>
      <c r="AI227" s="926"/>
      <c r="AJ227" s="926"/>
    </row>
    <row r="228" spans="1:36" ht="15" customHeight="1" x14ac:dyDescent="0.3">
      <c r="A228" s="926"/>
      <c r="B228" s="926"/>
      <c r="C228" s="926"/>
      <c r="D228" s="926"/>
      <c r="E228" s="926"/>
      <c r="F228" s="926"/>
      <c r="G228" s="926"/>
      <c r="H228" s="926"/>
      <c r="I228" s="926"/>
      <c r="J228" s="926"/>
      <c r="K228" s="926"/>
      <c r="L228" s="926"/>
      <c r="M228" s="926"/>
      <c r="N228" s="926"/>
      <c r="O228" s="926"/>
      <c r="P228" s="926"/>
      <c r="Q228" s="926"/>
      <c r="R228" s="926"/>
      <c r="S228" s="926"/>
      <c r="T228" s="926"/>
      <c r="U228" s="926"/>
      <c r="V228" s="926"/>
      <c r="W228" s="926"/>
      <c r="X228" s="926"/>
      <c r="Y228" s="926"/>
      <c r="Z228" s="926"/>
      <c r="AA228" s="926"/>
      <c r="AB228" s="926"/>
      <c r="AC228" s="926"/>
      <c r="AD228" s="926"/>
      <c r="AE228" s="926"/>
      <c r="AF228" s="926"/>
      <c r="AG228" s="926"/>
      <c r="AH228" s="926"/>
      <c r="AI228" s="926"/>
      <c r="AJ228" s="926"/>
    </row>
    <row r="229" spans="1:36" ht="15" customHeight="1" x14ac:dyDescent="0.3">
      <c r="A229" s="926"/>
      <c r="B229" s="926"/>
      <c r="C229" s="926"/>
      <c r="D229" s="926"/>
      <c r="E229" s="926"/>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926"/>
      <c r="AD229" s="926"/>
      <c r="AE229" s="926"/>
      <c r="AF229" s="926"/>
      <c r="AG229" s="926"/>
      <c r="AH229" s="926"/>
      <c r="AI229" s="926"/>
      <c r="AJ229" s="926"/>
    </row>
    <row r="230" spans="1:36" ht="15" customHeight="1" x14ac:dyDescent="0.3">
      <c r="A230" s="926"/>
      <c r="B230" s="926"/>
      <c r="C230" s="926"/>
      <c r="D230" s="926"/>
      <c r="E230" s="926"/>
      <c r="F230" s="926"/>
      <c r="G230" s="926"/>
      <c r="H230" s="926"/>
      <c r="I230" s="926"/>
      <c r="J230" s="926"/>
      <c r="K230" s="926"/>
      <c r="L230" s="926"/>
      <c r="M230" s="926"/>
      <c r="N230" s="926"/>
      <c r="O230" s="926"/>
      <c r="P230" s="926"/>
      <c r="Q230" s="926"/>
      <c r="R230" s="926"/>
      <c r="S230" s="926"/>
      <c r="T230" s="926"/>
      <c r="U230" s="926"/>
      <c r="V230" s="926"/>
      <c r="W230" s="926"/>
      <c r="X230" s="926"/>
      <c r="Y230" s="926"/>
      <c r="Z230" s="926"/>
      <c r="AA230" s="926"/>
      <c r="AB230" s="926"/>
      <c r="AC230" s="926"/>
      <c r="AD230" s="926"/>
      <c r="AE230" s="926"/>
      <c r="AF230" s="926"/>
      <c r="AG230" s="926"/>
      <c r="AH230" s="926"/>
      <c r="AI230" s="926"/>
      <c r="AJ230" s="926"/>
    </row>
    <row r="231" spans="1:36" ht="15" customHeight="1" x14ac:dyDescent="0.3">
      <c r="A231" s="926"/>
      <c r="B231" s="926"/>
      <c r="C231" s="926"/>
      <c r="D231" s="926"/>
      <c r="E231" s="926"/>
      <c r="F231" s="926"/>
      <c r="G231" s="926"/>
      <c r="H231" s="926"/>
      <c r="I231" s="926"/>
      <c r="J231" s="926"/>
      <c r="K231" s="926"/>
      <c r="L231" s="926"/>
      <c r="M231" s="926"/>
      <c r="N231" s="926"/>
      <c r="O231" s="926"/>
      <c r="P231" s="926"/>
      <c r="Q231" s="926"/>
      <c r="R231" s="926"/>
      <c r="S231" s="926"/>
      <c r="T231" s="926"/>
      <c r="U231" s="926"/>
      <c r="V231" s="926"/>
      <c r="W231" s="926"/>
      <c r="X231" s="926"/>
      <c r="Y231" s="926"/>
      <c r="Z231" s="926"/>
      <c r="AA231" s="926"/>
      <c r="AB231" s="926"/>
      <c r="AC231" s="926"/>
      <c r="AD231" s="926"/>
      <c r="AE231" s="926"/>
      <c r="AF231" s="926"/>
      <c r="AG231" s="926"/>
      <c r="AH231" s="926"/>
      <c r="AI231" s="926"/>
      <c r="AJ231" s="926"/>
    </row>
    <row r="232" spans="1:36" ht="15" customHeight="1" x14ac:dyDescent="0.3">
      <c r="A232" s="926"/>
      <c r="B232" s="926"/>
      <c r="C232" s="926"/>
      <c r="D232" s="926"/>
      <c r="E232" s="926"/>
      <c r="F232" s="926"/>
      <c r="G232" s="926"/>
      <c r="H232" s="926"/>
      <c r="I232" s="926"/>
      <c r="J232" s="926"/>
      <c r="K232" s="926"/>
      <c r="L232" s="926"/>
      <c r="M232" s="926"/>
      <c r="N232" s="926"/>
      <c r="O232" s="926"/>
      <c r="P232" s="926"/>
      <c r="Q232" s="926"/>
      <c r="R232" s="926"/>
      <c r="S232" s="926"/>
      <c r="T232" s="926"/>
      <c r="U232" s="926"/>
      <c r="V232" s="926"/>
      <c r="W232" s="926"/>
      <c r="X232" s="926"/>
      <c r="Y232" s="926"/>
      <c r="Z232" s="926"/>
      <c r="AA232" s="926"/>
      <c r="AB232" s="926"/>
      <c r="AC232" s="926"/>
      <c r="AD232" s="926"/>
      <c r="AE232" s="926"/>
      <c r="AF232" s="926"/>
      <c r="AG232" s="926"/>
      <c r="AH232" s="926"/>
      <c r="AI232" s="926"/>
      <c r="AJ232" s="926"/>
    </row>
    <row r="233" spans="1:36" ht="15" customHeight="1" x14ac:dyDescent="0.3">
      <c r="A233" s="926"/>
      <c r="B233" s="926"/>
      <c r="C233" s="926"/>
      <c r="D233" s="926"/>
      <c r="E233" s="926"/>
      <c r="F233" s="926"/>
      <c r="G233" s="926"/>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926"/>
      <c r="AD233" s="926"/>
      <c r="AE233" s="926"/>
      <c r="AF233" s="926"/>
      <c r="AG233" s="926"/>
      <c r="AH233" s="926"/>
      <c r="AI233" s="926"/>
      <c r="AJ233" s="926"/>
    </row>
    <row r="234" spans="1:36" ht="15" customHeight="1" x14ac:dyDescent="0.3">
      <c r="A234" s="926"/>
      <c r="B234" s="926"/>
      <c r="C234" s="926"/>
      <c r="D234" s="926"/>
      <c r="E234" s="926"/>
      <c r="F234" s="926"/>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926"/>
      <c r="AD234" s="926"/>
      <c r="AE234" s="926"/>
      <c r="AF234" s="926"/>
      <c r="AG234" s="926"/>
      <c r="AH234" s="926"/>
      <c r="AI234" s="926"/>
      <c r="AJ234" s="926"/>
    </row>
    <row r="235" spans="1:36" ht="15" customHeight="1" x14ac:dyDescent="0.3">
      <c r="A235" s="926"/>
      <c r="B235" s="926"/>
      <c r="C235" s="926"/>
      <c r="D235" s="926"/>
      <c r="E235" s="926"/>
      <c r="F235" s="926"/>
      <c r="G235" s="926"/>
      <c r="H235" s="926"/>
      <c r="I235" s="926"/>
      <c r="J235" s="926"/>
      <c r="K235" s="926"/>
      <c r="L235" s="926"/>
      <c r="M235" s="926"/>
      <c r="N235" s="926"/>
      <c r="O235" s="926"/>
      <c r="P235" s="926"/>
      <c r="Q235" s="926"/>
      <c r="R235" s="926"/>
      <c r="S235" s="926"/>
      <c r="T235" s="926"/>
      <c r="U235" s="926"/>
      <c r="V235" s="926"/>
      <c r="W235" s="926"/>
      <c r="X235" s="926"/>
      <c r="Y235" s="926"/>
      <c r="Z235" s="926"/>
      <c r="AA235" s="926"/>
      <c r="AB235" s="926"/>
      <c r="AC235" s="926"/>
      <c r="AD235" s="926"/>
      <c r="AE235" s="926"/>
      <c r="AF235" s="926"/>
      <c r="AG235" s="926"/>
      <c r="AH235" s="926"/>
      <c r="AI235" s="926"/>
      <c r="AJ235" s="926"/>
    </row>
  </sheetData>
  <mergeCells count="115">
    <mergeCell ref="D178:H183"/>
    <mergeCell ref="I178:I183"/>
    <mergeCell ref="J178:U183"/>
    <mergeCell ref="D184:H189"/>
    <mergeCell ref="I184:I189"/>
    <mergeCell ref="J184:U189"/>
    <mergeCell ref="S209:T211"/>
    <mergeCell ref="I212:J214"/>
    <mergeCell ref="K212:L214"/>
    <mergeCell ref="M212:N214"/>
    <mergeCell ref="D190:H195"/>
    <mergeCell ref="I190:I195"/>
    <mergeCell ref="J190:U195"/>
    <mergeCell ref="D196:H201"/>
    <mergeCell ref="I196:I201"/>
    <mergeCell ref="J196:U201"/>
    <mergeCell ref="I166:I171"/>
    <mergeCell ref="J166:U171"/>
    <mergeCell ref="D172:H177"/>
    <mergeCell ref="I172:I177"/>
    <mergeCell ref="J172:U177"/>
    <mergeCell ref="D159:H159"/>
    <mergeCell ref="J159:U159"/>
    <mergeCell ref="D160:H165"/>
    <mergeCell ref="I160:I165"/>
    <mergeCell ref="J160:U165"/>
    <mergeCell ref="D166:H171"/>
    <mergeCell ref="D124:H129"/>
    <mergeCell ref="I124:I129"/>
    <mergeCell ref="J124:U129"/>
    <mergeCell ref="D130:H135"/>
    <mergeCell ref="I130:I135"/>
    <mergeCell ref="J130:U135"/>
    <mergeCell ref="D112:H117"/>
    <mergeCell ref="I112:I117"/>
    <mergeCell ref="J112:U117"/>
    <mergeCell ref="D118:H123"/>
    <mergeCell ref="D148:H153"/>
    <mergeCell ref="I148:I153"/>
    <mergeCell ref="J148:U153"/>
    <mergeCell ref="D155:E157"/>
    <mergeCell ref="G155:P157"/>
    <mergeCell ref="R155:S157"/>
    <mergeCell ref="D136:H141"/>
    <mergeCell ref="I136:I141"/>
    <mergeCell ref="J136:U141"/>
    <mergeCell ref="D142:H147"/>
    <mergeCell ref="I142:I147"/>
    <mergeCell ref="J142:U147"/>
    <mergeCell ref="J100:U105"/>
    <mergeCell ref="D106:H111"/>
    <mergeCell ref="I106:I111"/>
    <mergeCell ref="J106:U111"/>
    <mergeCell ref="H2:I4"/>
    <mergeCell ref="J2:K4"/>
    <mergeCell ref="L2:M4"/>
    <mergeCell ref="N2:O4"/>
    <mergeCell ref="C2:D4"/>
    <mergeCell ref="G19:P25"/>
    <mergeCell ref="D21:E23"/>
    <mergeCell ref="E11:T16"/>
    <mergeCell ref="R21:S23"/>
    <mergeCell ref="S2:T4"/>
    <mergeCell ref="I5:J7"/>
    <mergeCell ref="K5:L7"/>
    <mergeCell ref="M5:N7"/>
    <mergeCell ref="D27:H27"/>
    <mergeCell ref="J27:U27"/>
    <mergeCell ref="D28:H33"/>
    <mergeCell ref="I28:I33"/>
    <mergeCell ref="D89:E91"/>
    <mergeCell ref="J93:U93"/>
    <mergeCell ref="J28:U33"/>
    <mergeCell ref="D34:H39"/>
    <mergeCell ref="I34:I39"/>
    <mergeCell ref="J34:U39"/>
    <mergeCell ref="D40:H45"/>
    <mergeCell ref="I40:I45"/>
    <mergeCell ref="J40:U45"/>
    <mergeCell ref="D46:H51"/>
    <mergeCell ref="I46:I51"/>
    <mergeCell ref="J46:U51"/>
    <mergeCell ref="D52:H57"/>
    <mergeCell ref="I52:I57"/>
    <mergeCell ref="J52:U57"/>
    <mergeCell ref="D58:H63"/>
    <mergeCell ref="I58:I63"/>
    <mergeCell ref="J58:U63"/>
    <mergeCell ref="D64:H69"/>
    <mergeCell ref="I64:I69"/>
    <mergeCell ref="J64:U69"/>
    <mergeCell ref="D70:H75"/>
    <mergeCell ref="I70:I75"/>
    <mergeCell ref="J70:U75"/>
    <mergeCell ref="C209:D211"/>
    <mergeCell ref="H209:I211"/>
    <mergeCell ref="J209:K211"/>
    <mergeCell ref="L209:M211"/>
    <mergeCell ref="N209:O211"/>
    <mergeCell ref="D76:H81"/>
    <mergeCell ref="I76:I81"/>
    <mergeCell ref="J76:U81"/>
    <mergeCell ref="D82:H87"/>
    <mergeCell ref="I82:I87"/>
    <mergeCell ref="J82:U87"/>
    <mergeCell ref="D94:H99"/>
    <mergeCell ref="I94:I99"/>
    <mergeCell ref="J94:U99"/>
    <mergeCell ref="D100:H105"/>
    <mergeCell ref="G89:P91"/>
    <mergeCell ref="R89:S91"/>
    <mergeCell ref="D93:H93"/>
    <mergeCell ref="I118:I123"/>
    <mergeCell ref="J118:U123"/>
    <mergeCell ref="I100:I105"/>
  </mergeCells>
  <hyperlinks>
    <hyperlink ref="D21:E23" location="UI.Priorities!A1" tooltip="Click to go to priorities page" display="Priorities" xr:uid="{EB931535-1D90-4064-9AF8-A40F363DC5E0}"/>
    <hyperlink ref="D89:E91" location="UI.Priorities!A1" tooltip="Click to go to priorities page" display="Priorities" xr:uid="{D27F6975-B585-4441-930F-8A23171A91A1}"/>
    <hyperlink ref="D155:E157" location="UI.Priorities!A1" tooltip="Click to go to priorities page" display="Priorities" xr:uid="{12651785-193C-48A0-A686-6CDA7DDDEDC6}"/>
    <hyperlink ref="R21:S23" location="Results.Choice!A1" tooltip="Click to go to results choice page" display="Results Choice" xr:uid="{5C2B73F0-BB39-4397-9697-C37769729088}"/>
    <hyperlink ref="R89:S91" location="Results.Choice!A1" tooltip="Click to go to results choice page" display="Results Choice" xr:uid="{4FA9BAE5-D86D-4D4D-A847-DBD071EBA65E}"/>
    <hyperlink ref="R155:S157" location="Results.Choice!A1" tooltip="Click to go to results choice page" display="Results Choice" xr:uid="{BF4F0366-F9B8-4D09-ACD0-41B0A29B83F7}"/>
    <hyperlink ref="C2:D4" location="UI.Farm!A1" tooltip="Click to go to farm inputs page" display="Farm Info" xr:uid="{21B45510-F890-45CD-B8C0-272FAC858E0D}"/>
    <hyperlink ref="L2:M4" location="Results.Econ!A1" tooltip="Click to go to economic results page" display="Economic Results" xr:uid="{4F68F4A7-53DB-48A6-A584-20FE5444CA01}"/>
    <hyperlink ref="N2:O4" location="Results.Env!A1" tooltip="Click to go to environmental results page" display="Environmental Results" xr:uid="{5123527F-99B3-4D0E-A360-DAF2CCCBC4F6}"/>
    <hyperlink ref="I5:J7" location="Results.Tech!A1" tooltip="Click to go to the functionality and logistics results" display="Functionality and Logistics Results" xr:uid="{3CBA03DC-56A1-4AB3-A486-F3541B93F208}"/>
    <hyperlink ref="H2:I4" location="Results.Summary!A1" tooltip="Click to go to results summary page" display="Results Summary" xr:uid="{E0349582-16C2-42DD-8343-4D8C6F2033C2}"/>
    <hyperlink ref="K5:L7" location="Results.Resources!A1" tooltip="Click to go to the resources results page" display="Resources Results" xr:uid="{D918C65D-C172-4064-A648-B5876E13A1CC}"/>
    <hyperlink ref="M5:N7" location="Results.Nutrients!A1" tooltip="Click to go to the nutrient concentrations page" display="Nutrient Concentrations" xr:uid="{45AEA10E-F718-45E2-955E-19192C41B446}"/>
    <hyperlink ref="J2:K4" location="Results.Scenarios!A1" tooltip="Click to go to scenario descriptions page" display="Scenario Rankings and Descriptions" xr:uid="{E25135E4-9670-4612-B03E-CF8E7EF45489}"/>
    <hyperlink ref="S2:T4" location="Results.Econ!A1" tooltip="Click to go to economic results page" display="Economic Results" xr:uid="{BF6E5AB4-6C58-4E11-9410-3D4CE5311643}"/>
    <hyperlink ref="C209:D211" location="UI.Farm!A1" tooltip="Click to go to farm inputs page" display="Farm Info" xr:uid="{9C34AD14-8C9F-4CF7-8133-581884436848}"/>
    <hyperlink ref="L209:M211" location="Results.Econ!A1" tooltip="Click to go to economic results page" display="Economic Results" xr:uid="{5328DC23-8EE5-484E-9B01-11A44505F615}"/>
    <hyperlink ref="N209:O211" location="Results.Env!A1" tooltip="Click to go to environmental results page" display="Environmental Results" xr:uid="{AB424C10-903E-46AA-8DF8-3C833F3157F6}"/>
    <hyperlink ref="I212:J214" location="Results.Tech!A1" tooltip="Click to go to the functionality and logistics results" display="Functionality and Logistics Results" xr:uid="{40B51D27-4395-4DB9-AF50-46D80F7D5F43}"/>
    <hyperlink ref="H209:I211" location="Results.Summary!A1" tooltip="Click to go to results summary page" display="Results Summary" xr:uid="{217E682B-E1F6-479F-927A-FE8D393DAD0E}"/>
    <hyperlink ref="K212:L214" location="Results.Resources!A1" tooltip="Click to go to the resources results page" display="Resources Results" xr:uid="{788280CA-33F8-405C-B639-E8DAD2ABC1F1}"/>
    <hyperlink ref="M212:N214" location="Results.Nutrients!A1" tooltip="Click to go to the nutrient concentrations page" display="Nutrient Concentrations" xr:uid="{BF5CB3CE-49A4-48B0-B622-BBE0B4F3BFCD}"/>
    <hyperlink ref="J209:K211" location="Results.Scenarios!A1" tooltip="Click to go to scenario descriptions page" display="Scenario Rankings and Descriptions" xr:uid="{1CAA93A3-D08B-448E-8ACF-08CE03C3E562}"/>
    <hyperlink ref="S209:T211" location="Results.Econ!A1" tooltip="Click to go to economic results page" display="Economic Results" xr:uid="{FFDFF97D-FE02-48DF-B4AB-8CD00CC7E1F5}"/>
  </hyperlinks>
  <printOptions horizontalCentered="1" verticalCentered="1"/>
  <pageMargins left="0.2" right="0.2" top="0.25" bottom="0.25" header="0.05" footer="0.05"/>
  <pageSetup scale="45" orientation="portrait" r:id="rId1"/>
  <rowBreaks count="2" manualBreakCount="2">
    <brk id="87" min="2" max="21" man="1"/>
    <brk id="153" min="2" max="2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1001-8018-478C-A901-F56B45EF8220}">
  <sheetPr codeName="Sheet3">
    <tabColor rgb="FFFFFF00"/>
  </sheetPr>
  <dimension ref="A1:BE109"/>
  <sheetViews>
    <sheetView workbookViewId="0">
      <selection activeCell="N2" sqref="N2:O4"/>
    </sheetView>
  </sheetViews>
  <sheetFormatPr defaultColWidth="9.44140625" defaultRowHeight="14.4" x14ac:dyDescent="0.3"/>
  <cols>
    <col min="1" max="2" width="2.5546875" customWidth="1"/>
    <col min="3" max="20" width="9.6640625" customWidth="1"/>
    <col min="21" max="22" width="2.5546875" customWidth="1"/>
    <col min="23" max="50" width="9.4414062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926"/>
      <c r="B2" s="926"/>
      <c r="C2" s="2719" t="s">
        <v>594</v>
      </c>
      <c r="D2" s="2720"/>
      <c r="E2" s="923"/>
      <c r="F2" s="926"/>
      <c r="G2" s="926"/>
      <c r="H2" s="2345" t="s">
        <v>561</v>
      </c>
      <c r="I2" s="2351"/>
      <c r="J2" s="2345" t="s">
        <v>595</v>
      </c>
      <c r="K2" s="2351"/>
      <c r="L2" s="2362" t="s">
        <v>596</v>
      </c>
      <c r="M2" s="2833"/>
      <c r="N2" s="2345" t="s">
        <v>597</v>
      </c>
      <c r="O2" s="2351"/>
      <c r="P2" s="926"/>
      <c r="Q2" s="926"/>
      <c r="R2" s="926"/>
      <c r="S2" s="2356" t="s">
        <v>7</v>
      </c>
      <c r="T2" s="2774"/>
      <c r="U2" s="926"/>
      <c r="V2" s="926"/>
      <c r="W2" s="926"/>
      <c r="X2" s="926"/>
      <c r="Y2" s="926"/>
      <c r="Z2" s="926"/>
      <c r="AA2" s="926"/>
      <c r="AB2" s="926"/>
      <c r="AC2" s="926"/>
      <c r="AD2" s="926"/>
      <c r="AE2" s="926"/>
      <c r="AF2" s="926"/>
      <c r="AG2" s="926"/>
      <c r="AH2" s="926"/>
      <c r="AI2" s="926"/>
      <c r="AJ2" s="926"/>
    </row>
    <row r="3" spans="1:36" ht="15" customHeight="1" x14ac:dyDescent="0.3">
      <c r="A3" s="926"/>
      <c r="B3" s="926"/>
      <c r="C3" s="2721"/>
      <c r="D3" s="2722"/>
      <c r="E3" s="923"/>
      <c r="F3" s="926"/>
      <c r="G3" s="926"/>
      <c r="H3" s="2352"/>
      <c r="I3" s="2353"/>
      <c r="J3" s="2352"/>
      <c r="K3" s="2353"/>
      <c r="L3" s="2834"/>
      <c r="M3" s="2835"/>
      <c r="N3" s="2352"/>
      <c r="O3" s="2353"/>
      <c r="P3" s="926"/>
      <c r="Q3" s="926"/>
      <c r="R3" s="926"/>
      <c r="S3" s="2775"/>
      <c r="T3" s="2776"/>
      <c r="U3" s="926"/>
      <c r="V3" s="926"/>
      <c r="W3" s="926"/>
      <c r="X3" s="926"/>
      <c r="Y3" s="926"/>
      <c r="Z3" s="926"/>
      <c r="AA3" s="926"/>
      <c r="AB3" s="926"/>
      <c r="AC3" s="926"/>
      <c r="AD3" s="926"/>
      <c r="AE3" s="926"/>
      <c r="AF3" s="926"/>
      <c r="AG3" s="926"/>
      <c r="AH3" s="926"/>
      <c r="AI3" s="926"/>
      <c r="AJ3" s="926"/>
    </row>
    <row r="4" spans="1:36" ht="15" customHeight="1" thickBot="1" x14ac:dyDescent="0.35">
      <c r="A4" s="926"/>
      <c r="B4" s="926"/>
      <c r="C4" s="2723"/>
      <c r="D4" s="2724"/>
      <c r="E4" s="923"/>
      <c r="F4" s="926"/>
      <c r="G4" s="926"/>
      <c r="H4" s="2354"/>
      <c r="I4" s="2355"/>
      <c r="J4" s="2354"/>
      <c r="K4" s="2355"/>
      <c r="L4" s="2836"/>
      <c r="M4" s="2837"/>
      <c r="N4" s="2354"/>
      <c r="O4" s="2355"/>
      <c r="P4" s="926"/>
      <c r="Q4" s="926"/>
      <c r="R4" s="926"/>
      <c r="S4" s="2777"/>
      <c r="T4" s="2778"/>
      <c r="U4" s="926"/>
      <c r="V4" s="926"/>
      <c r="W4" s="926"/>
      <c r="X4" s="926"/>
      <c r="Y4" s="926"/>
      <c r="Z4" s="926"/>
      <c r="AA4" s="926"/>
      <c r="AB4" s="926"/>
      <c r="AC4" s="926"/>
      <c r="AD4" s="926"/>
      <c r="AE4" s="926"/>
      <c r="AF4" s="926"/>
      <c r="AG4" s="926"/>
      <c r="AH4" s="926"/>
      <c r="AI4" s="926"/>
      <c r="AJ4" s="926"/>
    </row>
    <row r="5" spans="1:36" ht="15" customHeight="1" x14ac:dyDescent="0.3">
      <c r="A5" s="926"/>
      <c r="B5" s="926"/>
      <c r="C5" s="926"/>
      <c r="D5" s="926"/>
      <c r="E5" s="923"/>
      <c r="F5" s="923"/>
      <c r="G5" s="923"/>
      <c r="H5" s="923"/>
      <c r="I5" s="2345" t="s">
        <v>598</v>
      </c>
      <c r="J5" s="2351"/>
      <c r="K5" s="2345" t="s">
        <v>599</v>
      </c>
      <c r="L5" s="2351"/>
      <c r="M5" s="2345" t="s">
        <v>600</v>
      </c>
      <c r="N5" s="2351"/>
      <c r="O5" s="923"/>
      <c r="P5" s="923"/>
      <c r="Q5" s="923"/>
      <c r="R5" s="923"/>
      <c r="S5" s="923"/>
      <c r="T5" s="923"/>
      <c r="U5" s="926"/>
      <c r="V5" s="926"/>
      <c r="W5" s="926"/>
      <c r="X5" s="926"/>
      <c r="Y5" s="926"/>
      <c r="Z5" s="926"/>
      <c r="AA5" s="926"/>
      <c r="AB5" s="926"/>
      <c r="AC5" s="926"/>
      <c r="AD5" s="926"/>
      <c r="AE5" s="926"/>
      <c r="AF5" s="926"/>
      <c r="AG5" s="926"/>
      <c r="AH5" s="926"/>
      <c r="AI5" s="926"/>
      <c r="AJ5" s="926"/>
    </row>
    <row r="6" spans="1:36" ht="15" customHeight="1" x14ac:dyDescent="0.3">
      <c r="A6" s="926"/>
      <c r="B6" s="926"/>
      <c r="C6" s="926"/>
      <c r="D6" s="926"/>
      <c r="E6" s="923"/>
      <c r="F6" s="926"/>
      <c r="G6" s="926"/>
      <c r="H6" s="926"/>
      <c r="I6" s="2352"/>
      <c r="J6" s="2353"/>
      <c r="K6" s="2352"/>
      <c r="L6" s="2353"/>
      <c r="M6" s="2352"/>
      <c r="N6" s="2353"/>
      <c r="O6" s="926"/>
      <c r="P6" s="926"/>
      <c r="Q6" s="926"/>
      <c r="R6" s="923"/>
      <c r="S6" s="923"/>
      <c r="T6" s="923"/>
      <c r="U6" s="926"/>
      <c r="V6" s="926"/>
      <c r="W6" s="926"/>
      <c r="X6" s="926"/>
      <c r="Y6" s="926"/>
      <c r="Z6" s="926"/>
      <c r="AA6" s="926"/>
      <c r="AB6" s="926"/>
      <c r="AC6" s="926"/>
      <c r="AD6" s="926"/>
      <c r="AE6" s="926"/>
      <c r="AF6" s="926"/>
      <c r="AG6" s="926"/>
      <c r="AH6" s="926"/>
      <c r="AI6" s="926"/>
      <c r="AJ6" s="926"/>
    </row>
    <row r="7" spans="1:36" ht="15" customHeight="1" thickBot="1" x14ac:dyDescent="0.35">
      <c r="A7" s="926"/>
      <c r="B7" s="926"/>
      <c r="C7" s="926"/>
      <c r="D7" s="926"/>
      <c r="E7" s="923"/>
      <c r="F7" s="926"/>
      <c r="G7" s="926"/>
      <c r="H7" s="926"/>
      <c r="I7" s="2354"/>
      <c r="J7" s="2355"/>
      <c r="K7" s="2354"/>
      <c r="L7" s="2355"/>
      <c r="M7" s="2354"/>
      <c r="N7" s="2355"/>
      <c r="O7" s="926"/>
      <c r="P7" s="926"/>
      <c r="Q7" s="926"/>
      <c r="R7" s="923"/>
      <c r="S7" s="923"/>
      <c r="T7" s="923"/>
      <c r="U7" s="926"/>
      <c r="V7" s="926"/>
      <c r="W7" s="926"/>
      <c r="X7" s="926"/>
      <c r="Y7" s="926"/>
      <c r="Z7" s="926"/>
      <c r="AA7" s="926"/>
      <c r="AB7" s="926"/>
      <c r="AC7" s="926"/>
      <c r="AD7" s="926"/>
      <c r="AE7" s="926"/>
      <c r="AF7" s="926"/>
      <c r="AG7" s="926"/>
      <c r="AH7" s="926"/>
      <c r="AI7" s="926"/>
      <c r="AJ7" s="926"/>
    </row>
    <row r="8" spans="1:36" ht="15" customHeight="1" x14ac:dyDescent="0.3">
      <c r="A8" s="926"/>
      <c r="B8" s="926"/>
      <c r="C8" s="984"/>
      <c r="D8" s="984"/>
      <c r="E8" s="984"/>
      <c r="F8" s="984"/>
      <c r="G8" s="984"/>
      <c r="H8" s="984"/>
      <c r="I8" s="984"/>
      <c r="J8" s="984"/>
      <c r="K8" s="984"/>
      <c r="L8" s="984"/>
      <c r="M8" s="984"/>
      <c r="N8" s="984"/>
      <c r="O8" s="984"/>
      <c r="P8" s="984"/>
      <c r="Q8" s="984"/>
      <c r="R8" s="923"/>
      <c r="S8" s="923"/>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6">
      <c r="A10" s="926"/>
      <c r="B10" s="609"/>
      <c r="C10" s="999"/>
      <c r="D10" s="1000"/>
      <c r="E10" s="1000"/>
      <c r="F10" s="1000"/>
      <c r="G10" s="2848" t="s">
        <v>623</v>
      </c>
      <c r="H10" s="2848"/>
      <c r="I10" s="2848"/>
      <c r="J10" s="2848"/>
      <c r="K10" s="2848"/>
      <c r="L10" s="2848"/>
      <c r="M10" s="2848"/>
      <c r="N10" s="2848"/>
      <c r="O10" s="2848"/>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1001"/>
      <c r="E11" s="1001"/>
      <c r="F11" s="40"/>
      <c r="G11" s="2849"/>
      <c r="H11" s="2849"/>
      <c r="I11" s="2849"/>
      <c r="J11" s="2849"/>
      <c r="K11" s="2849"/>
      <c r="L11" s="2849"/>
      <c r="M11" s="2849"/>
      <c r="N11" s="2849"/>
      <c r="O11" s="2849"/>
      <c r="P11" s="40"/>
      <c r="Q11" s="40"/>
      <c r="R11" s="40"/>
      <c r="S11" s="40"/>
      <c r="T11" s="963"/>
      <c r="U11" s="609"/>
      <c r="V11" s="926"/>
      <c r="W11" s="926"/>
      <c r="X11" s="926"/>
      <c r="Y11" s="926"/>
      <c r="Z11" s="926"/>
      <c r="AA11" s="926"/>
      <c r="AB11" s="926"/>
      <c r="AC11" s="926"/>
      <c r="AD11" s="926"/>
      <c r="AE11" s="926"/>
      <c r="AF11" s="926"/>
      <c r="AG11" s="926"/>
      <c r="AH11" s="926"/>
      <c r="AI11" s="926"/>
      <c r="AJ11" s="926"/>
    </row>
    <row r="12" spans="1:36" ht="15" customHeight="1" thickBot="1" x14ac:dyDescent="0.35">
      <c r="A12" s="926"/>
      <c r="B12" s="609"/>
      <c r="C12" s="962"/>
      <c r="D12"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2" s="2257"/>
      <c r="F12" s="2257"/>
      <c r="G12" s="2257"/>
      <c r="H12" s="2257"/>
      <c r="I12" s="2257"/>
      <c r="J12" s="2257"/>
      <c r="K12" s="2257"/>
      <c r="L12" s="2256"/>
      <c r="M12" s="1004"/>
      <c r="N12" s="1004"/>
      <c r="O12" s="1004"/>
      <c r="P12" s="40"/>
      <c r="Q12" s="40"/>
      <c r="R12" s="40"/>
      <c r="S12" s="40"/>
      <c r="T12" s="963"/>
      <c r="U12" s="609"/>
      <c r="V12" s="926"/>
      <c r="W12" s="926"/>
      <c r="X12" s="926"/>
      <c r="Y12" s="926"/>
      <c r="Z12" s="926"/>
      <c r="AA12" s="926"/>
      <c r="AB12" s="926"/>
      <c r="AC12" s="926"/>
      <c r="AD12" s="926"/>
      <c r="AE12" s="926"/>
      <c r="AF12" s="926"/>
      <c r="AG12" s="926"/>
      <c r="AH12" s="926"/>
      <c r="AI12" s="926"/>
      <c r="AJ12" s="926"/>
    </row>
    <row r="13" spans="1:36" ht="15" customHeight="1" x14ac:dyDescent="0.4">
      <c r="A13" s="926"/>
      <c r="B13" s="609"/>
      <c r="C13" s="1005"/>
      <c r="D13" s="2853" t="s">
        <v>602</v>
      </c>
      <c r="E13" s="2854"/>
      <c r="F13" s="2854"/>
      <c r="G13" s="2854"/>
      <c r="H13" s="2854"/>
      <c r="I13" s="2854"/>
      <c r="J13" s="2855" t="s">
        <v>603</v>
      </c>
      <c r="K13" s="2855"/>
      <c r="L13" s="2855" t="s">
        <v>590</v>
      </c>
      <c r="M13" s="2855"/>
      <c r="N13" s="2855" t="s">
        <v>591</v>
      </c>
      <c r="O13" s="2855"/>
      <c r="P13" s="2855" t="s">
        <v>592</v>
      </c>
      <c r="Q13" s="2855"/>
      <c r="R13" s="2855" t="s">
        <v>593</v>
      </c>
      <c r="S13" s="2856"/>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929" t="s">
        <v>604</v>
      </c>
      <c r="E14" s="2930"/>
      <c r="F14" s="2930"/>
      <c r="G14" s="2930"/>
      <c r="H14" s="2930"/>
      <c r="I14" s="2930"/>
      <c r="J14" s="2925">
        <f ca="1">UDV.u.baseline_rank</f>
        <v>1</v>
      </c>
      <c r="K14" s="2925"/>
      <c r="L14" s="2925">
        <f ca="1">UDV.u.alt1_rank</f>
        <v>1</v>
      </c>
      <c r="M14" s="2925"/>
      <c r="N14" s="2925">
        <f ca="1">UDV.u.alt2_rank</f>
        <v>2</v>
      </c>
      <c r="O14" s="2925"/>
      <c r="P14" s="2925">
        <f ca="1">UDV.u.alt3_rank</f>
        <v>3</v>
      </c>
      <c r="Q14" s="2925"/>
      <c r="R14" s="2925">
        <f ca="1">UDV.u.alt4_rank</f>
        <v>4</v>
      </c>
      <c r="S14" s="2935"/>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929" t="s">
        <v>624</v>
      </c>
      <c r="E15" s="2930"/>
      <c r="F15" s="2930"/>
      <c r="G15" s="2930"/>
      <c r="H15" s="2930"/>
      <c r="I15" s="2930"/>
      <c r="J15" s="2926" t="str">
        <f>UDV.u.farm_baseline</f>
        <v>Deep pit, tanker</v>
      </c>
      <c r="K15" s="2926"/>
      <c r="L15" s="2926" t="str">
        <f ca="1">UDV.u.farm_alt1</f>
        <v>Deep pit, tanker</v>
      </c>
      <c r="M15" s="2926"/>
      <c r="N15" s="2926" t="str">
        <f ca="1">UDV.u.farm_alt2</f>
        <v>Deep pit, aeration, tanker</v>
      </c>
      <c r="O15" s="2926"/>
      <c r="P15" s="2926" t="str">
        <f ca="1">UDV.u.farm_alt3</f>
        <v>Deep pit, drag hose</v>
      </c>
      <c r="Q15" s="2926"/>
      <c r="R15" s="2926" t="str">
        <f ca="1">UDV.u.farm_alt4</f>
        <v>Deep pit, aeration, drag hose</v>
      </c>
      <c r="S15" s="2928"/>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929"/>
      <c r="E16" s="2930"/>
      <c r="F16" s="2930"/>
      <c r="G16" s="2930"/>
      <c r="H16" s="2930"/>
      <c r="I16" s="2930"/>
      <c r="J16" s="2926"/>
      <c r="K16" s="2926"/>
      <c r="L16" s="2926"/>
      <c r="M16" s="2926"/>
      <c r="N16" s="2926"/>
      <c r="O16" s="2926"/>
      <c r="P16" s="2926"/>
      <c r="Q16" s="2926"/>
      <c r="R16" s="2926"/>
      <c r="S16" s="2928"/>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2929"/>
      <c r="E17" s="2930"/>
      <c r="F17" s="2930"/>
      <c r="G17" s="2930"/>
      <c r="H17" s="2930"/>
      <c r="I17" s="2930"/>
      <c r="J17" s="2926"/>
      <c r="K17" s="2926"/>
      <c r="L17" s="2926"/>
      <c r="M17" s="2926"/>
      <c r="N17" s="2926"/>
      <c r="O17" s="2926"/>
      <c r="P17" s="2926"/>
      <c r="Q17" s="2926"/>
      <c r="R17" s="2926"/>
      <c r="S17" s="2928"/>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929"/>
      <c r="E18" s="2930"/>
      <c r="F18" s="2930"/>
      <c r="G18" s="2930"/>
      <c r="H18" s="2930"/>
      <c r="I18" s="2930"/>
      <c r="J18" s="2926"/>
      <c r="K18" s="2926"/>
      <c r="L18" s="2926"/>
      <c r="M18" s="2926"/>
      <c r="N18" s="2926"/>
      <c r="O18" s="2926"/>
      <c r="P18" s="2926"/>
      <c r="Q18" s="2926"/>
      <c r="R18" s="2926"/>
      <c r="S18" s="2928"/>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931" t="s">
        <v>611</v>
      </c>
      <c r="E19" s="2932"/>
      <c r="F19" s="2932"/>
      <c r="G19" s="2932"/>
      <c r="H19" s="2932"/>
      <c r="I19" s="2932"/>
      <c r="J19" s="2924">
        <f>Plot.Tables!K27</f>
        <v>80.019532027672795</v>
      </c>
      <c r="K19" s="2924"/>
      <c r="L19" s="2924">
        <f ca="1">Plot.Tables!M27</f>
        <v>80.019532027672795</v>
      </c>
      <c r="M19" s="2924"/>
      <c r="N19" s="2924">
        <f ca="1">Plot.Tables!O27</f>
        <v>75.941569540956351</v>
      </c>
      <c r="O19" s="2924"/>
      <c r="P19" s="2924">
        <f ca="1">Plot.Tables!Q27</f>
        <v>187.39420738076305</v>
      </c>
      <c r="Q19" s="2924"/>
      <c r="R19" s="2924">
        <f ca="1">Plot.Tables!S27</f>
        <v>161.4622436895265</v>
      </c>
      <c r="S19" s="2927"/>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931" t="s">
        <v>612</v>
      </c>
      <c r="E20" s="2932"/>
      <c r="F20" s="2932"/>
      <c r="G20" s="2932"/>
      <c r="H20" s="2932"/>
      <c r="I20" s="2932"/>
      <c r="J20" s="2924">
        <f>Plot.Tables!K28</f>
        <v>29.124523338619547</v>
      </c>
      <c r="K20" s="2924"/>
      <c r="L20" s="2924">
        <f ca="1">Plot.Tables!M28</f>
        <v>29.124523338619547</v>
      </c>
      <c r="M20" s="2924"/>
      <c r="N20" s="2924">
        <f ca="1">Plot.Tables!O28</f>
        <v>27.847553470780319</v>
      </c>
      <c r="O20" s="2924"/>
      <c r="P20" s="2924">
        <f ca="1">Plot.Tables!Q28</f>
        <v>65.065295958790145</v>
      </c>
      <c r="Q20" s="2924"/>
      <c r="R20" s="2924">
        <f ca="1">Plot.Tables!S28</f>
        <v>57.258864061153815</v>
      </c>
      <c r="S20" s="2927"/>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931" t="s">
        <v>614</v>
      </c>
      <c r="E21" s="2932"/>
      <c r="F21" s="2932"/>
      <c r="G21" s="2932"/>
      <c r="H21" s="2932"/>
      <c r="I21" s="2932"/>
      <c r="J21" s="2922">
        <f>Plot.Tables!K29</f>
        <v>26.428080656756883</v>
      </c>
      <c r="K21" s="2922"/>
      <c r="L21" s="2922">
        <f ca="1">Plot.Tables!M29</f>
        <v>26.428080656756883</v>
      </c>
      <c r="M21" s="2922"/>
      <c r="N21" s="2922">
        <f ca="1">Plot.Tables!O29</f>
        <v>15.847869406081076</v>
      </c>
      <c r="O21" s="2922"/>
      <c r="P21" s="2922">
        <f ca="1">Plot.Tables!Q29</f>
        <v>26.428080656756883</v>
      </c>
      <c r="Q21" s="2922"/>
      <c r="R21" s="2922">
        <f ca="1">Plot.Tables!S29</f>
        <v>15.847869406081076</v>
      </c>
      <c r="S21" s="2923"/>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931" t="s">
        <v>441</v>
      </c>
      <c r="E22" s="2932"/>
      <c r="F22" s="2932"/>
      <c r="G22" s="2932"/>
      <c r="H22" s="2932"/>
      <c r="I22" s="2932"/>
      <c r="J22" s="2922">
        <f>Plot.Tables!K30</f>
        <v>0</v>
      </c>
      <c r="K22" s="2922"/>
      <c r="L22" s="2922">
        <f ca="1">Plot.Tables!M30</f>
        <v>0</v>
      </c>
      <c r="M22" s="2922"/>
      <c r="N22" s="2922">
        <f ca="1">Plot.Tables!O30</f>
        <v>0</v>
      </c>
      <c r="O22" s="2922"/>
      <c r="P22" s="2922">
        <f ca="1">Plot.Tables!Q30</f>
        <v>0</v>
      </c>
      <c r="Q22" s="2922"/>
      <c r="R22" s="2922">
        <f ca="1">Plot.Tables!S30</f>
        <v>0</v>
      </c>
      <c r="S22" s="2923"/>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931" t="s">
        <v>615</v>
      </c>
      <c r="E23" s="2932"/>
      <c r="F23" s="2932"/>
      <c r="G23" s="2932"/>
      <c r="H23" s="2932"/>
      <c r="I23" s="2932"/>
      <c r="J23" s="2922">
        <f>Plot.Tables!K31</f>
        <v>0</v>
      </c>
      <c r="K23" s="2922"/>
      <c r="L23" s="2922">
        <f ca="1">Plot.Tables!M31</f>
        <v>0</v>
      </c>
      <c r="M23" s="2922"/>
      <c r="N23" s="2922">
        <f ca="1">Plot.Tables!O31</f>
        <v>0</v>
      </c>
      <c r="O23" s="2922"/>
      <c r="P23" s="2922">
        <f ca="1">Plot.Tables!Q31</f>
        <v>0</v>
      </c>
      <c r="Q23" s="2922"/>
      <c r="R23" s="2922">
        <f ca="1">Plot.Tables!S31</f>
        <v>0</v>
      </c>
      <c r="S23" s="2923"/>
      <c r="T23" s="963"/>
      <c r="U23" s="609"/>
      <c r="V23" s="926"/>
      <c r="W23" s="926"/>
      <c r="X23" s="926"/>
      <c r="Y23" s="926"/>
      <c r="Z23" s="926"/>
      <c r="AA23" s="926"/>
      <c r="AB23" s="926"/>
      <c r="AC23" s="926"/>
      <c r="AD23" s="926"/>
      <c r="AE23" s="926"/>
      <c r="AF23" s="926"/>
      <c r="AG23" s="926"/>
      <c r="AH23" s="926"/>
      <c r="AI23" s="926"/>
      <c r="AJ23" s="926"/>
    </row>
    <row r="24" spans="1:36" ht="15" customHeight="1" thickBot="1" x14ac:dyDescent="0.35">
      <c r="A24" s="926"/>
      <c r="B24" s="609"/>
      <c r="C24" s="962"/>
      <c r="D24" s="2933" t="s">
        <v>625</v>
      </c>
      <c r="E24" s="2934"/>
      <c r="F24" s="2934"/>
      <c r="G24" s="2934"/>
      <c r="H24" s="2934"/>
      <c r="I24" s="2934"/>
      <c r="J24" s="2920">
        <f>Plot.Tables!K32</f>
        <v>-82.715974709535459</v>
      </c>
      <c r="K24" s="2920"/>
      <c r="L24" s="2920">
        <f ca="1">Plot.Tables!M32</f>
        <v>-82.715974709535459</v>
      </c>
      <c r="M24" s="2920"/>
      <c r="N24" s="2920">
        <f ca="1">Plot.Tables!O32</f>
        <v>-87.941253605655589</v>
      </c>
      <c r="O24" s="2920"/>
      <c r="P24" s="2920">
        <f ca="1">Plot.Tables!Q32</f>
        <v>-226.03142268279629</v>
      </c>
      <c r="Q24" s="2920"/>
      <c r="R24" s="2920">
        <f ca="1">Plot.Tables!S32</f>
        <v>-202.87323834459923</v>
      </c>
      <c r="S24" s="2921"/>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1008" t="s">
        <v>626</v>
      </c>
      <c r="E25" s="1004"/>
      <c r="F25" s="1004"/>
      <c r="G25" s="1004"/>
      <c r="H25" s="1004"/>
      <c r="I25" s="1004"/>
      <c r="J25" s="1004"/>
      <c r="K25" s="1004"/>
      <c r="L25" s="1004"/>
      <c r="M25" s="1004"/>
      <c r="N25" s="1004"/>
      <c r="O25" s="1004"/>
      <c r="P25" s="1004"/>
      <c r="Q25" s="1004"/>
      <c r="R25" s="1004"/>
      <c r="S25" s="1004"/>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1008" t="s">
        <v>627</v>
      </c>
      <c r="E26" s="1004"/>
      <c r="F26" s="1004"/>
      <c r="G26" s="1004"/>
      <c r="H26" s="1004"/>
      <c r="I26" s="1004"/>
      <c r="J26" s="1010"/>
      <c r="K26" s="1010"/>
      <c r="L26" s="1004"/>
      <c r="M26" s="1004"/>
      <c r="N26" s="1004"/>
      <c r="O26" s="1004"/>
      <c r="P26" s="1004"/>
      <c r="Q26" s="1004"/>
      <c r="R26" s="1004"/>
      <c r="S26" s="1004"/>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1008" t="s">
        <v>628</v>
      </c>
      <c r="E27" s="1004"/>
      <c r="F27" s="1004"/>
      <c r="G27" s="1004"/>
      <c r="H27" s="1004"/>
      <c r="I27" s="1004"/>
      <c r="J27" s="1004"/>
      <c r="K27" s="1004"/>
      <c r="L27" s="1004"/>
      <c r="M27" s="1004"/>
      <c r="N27" s="1004"/>
      <c r="O27" s="1004"/>
      <c r="P27" s="1004"/>
      <c r="Q27" s="1004"/>
      <c r="R27" s="1004"/>
      <c r="S27" s="1004"/>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1731" t="s">
        <v>629</v>
      </c>
      <c r="E28" s="1004"/>
      <c r="F28" s="1004"/>
      <c r="G28" s="1004"/>
      <c r="H28" s="1004"/>
      <c r="I28" s="1004"/>
      <c r="J28" s="1004"/>
      <c r="K28" s="1004"/>
      <c r="L28" s="1004"/>
      <c r="M28" s="1004"/>
      <c r="N28" s="1004"/>
      <c r="O28" s="1004"/>
      <c r="P28" s="1004"/>
      <c r="Q28" s="1004"/>
      <c r="R28" s="1004"/>
      <c r="S28" s="1004"/>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40"/>
      <c r="E29" s="40"/>
      <c r="F29" s="40"/>
      <c r="G29" s="1064"/>
      <c r="H29" s="1064"/>
      <c r="I29" s="1064"/>
      <c r="J29" s="1064"/>
      <c r="K29" s="1064"/>
      <c r="L29" s="1065"/>
      <c r="M29" s="972"/>
      <c r="N29" s="972"/>
      <c r="O29" s="972"/>
      <c r="P29" s="40"/>
      <c r="Q29" s="40"/>
      <c r="R29" s="40"/>
      <c r="S29" s="4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40"/>
      <c r="E30" s="40"/>
      <c r="F30" s="40"/>
      <c r="G30" s="1064"/>
      <c r="H30" s="1064"/>
      <c r="I30" s="1064"/>
      <c r="J30" s="1064"/>
      <c r="K30" s="1064"/>
      <c r="L30" s="1065"/>
      <c r="M30" s="972"/>
      <c r="N30" s="972"/>
      <c r="O30" s="972"/>
      <c r="P30" s="40"/>
      <c r="Q30" s="40"/>
      <c r="R30" s="40"/>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40"/>
      <c r="F31" s="40"/>
      <c r="G31" s="1064"/>
      <c r="H31" s="1064"/>
      <c r="I31" s="1064"/>
      <c r="J31" s="1064"/>
      <c r="K31" s="1064"/>
      <c r="L31" s="1065"/>
      <c r="M31" s="972"/>
      <c r="N31" s="972"/>
      <c r="O31" s="972"/>
      <c r="P31" s="40"/>
      <c r="Q31" s="40"/>
      <c r="R31" s="40"/>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40"/>
      <c r="F32" s="40"/>
      <c r="G32" s="1064"/>
      <c r="H32" s="1064"/>
      <c r="I32" s="1064"/>
      <c r="J32" s="1064"/>
      <c r="K32" s="1064"/>
      <c r="L32" s="1065"/>
      <c r="M32" s="972"/>
      <c r="N32" s="972"/>
      <c r="O32" s="972"/>
      <c r="P32" s="40"/>
      <c r="Q32" s="40"/>
      <c r="R32" s="40"/>
      <c r="S32" s="4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40"/>
      <c r="E33" s="40"/>
      <c r="F33" s="40"/>
      <c r="G33" s="1064"/>
      <c r="H33" s="1064"/>
      <c r="I33" s="1064"/>
      <c r="J33" s="1064"/>
      <c r="K33" s="1064"/>
      <c r="L33" s="1065"/>
      <c r="M33" s="972"/>
      <c r="N33" s="972"/>
      <c r="O33" s="972"/>
      <c r="P33" s="40"/>
      <c r="Q33" s="40"/>
      <c r="R33" s="40"/>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40"/>
      <c r="F34" s="40"/>
      <c r="G34" s="1064"/>
      <c r="H34" s="1064"/>
      <c r="I34" s="1064"/>
      <c r="J34" s="1064"/>
      <c r="K34" s="1064"/>
      <c r="L34" s="1065"/>
      <c r="M34" s="972"/>
      <c r="N34" s="972"/>
      <c r="O34" s="972"/>
      <c r="P34" s="40"/>
      <c r="Q34" s="40"/>
      <c r="R34" s="40"/>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40"/>
      <c r="F35" s="40"/>
      <c r="G35" s="1064"/>
      <c r="H35" s="1064"/>
      <c r="I35" s="1064"/>
      <c r="J35" s="1064"/>
      <c r="K35" s="1064"/>
      <c r="L35" s="1065"/>
      <c r="M35" s="972"/>
      <c r="N35" s="972"/>
      <c r="O35" s="972"/>
      <c r="P35" s="40"/>
      <c r="Q35" s="40"/>
      <c r="R35" s="40"/>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40"/>
      <c r="F36" s="40"/>
      <c r="G36" s="1064"/>
      <c r="H36" s="1064"/>
      <c r="I36" s="1064"/>
      <c r="J36" s="1064"/>
      <c r="K36" s="1064"/>
      <c r="L36" s="1065"/>
      <c r="M36" s="972"/>
      <c r="N36" s="972"/>
      <c r="O36" s="972"/>
      <c r="P36" s="40"/>
      <c r="Q36" s="40"/>
      <c r="R36" s="40"/>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40"/>
      <c r="F37" s="40"/>
      <c r="G37" s="1064"/>
      <c r="H37" s="1064"/>
      <c r="I37" s="1064"/>
      <c r="J37" s="1064"/>
      <c r="K37" s="1064"/>
      <c r="L37" s="1065"/>
      <c r="M37" s="972"/>
      <c r="N37" s="972"/>
      <c r="O37" s="972"/>
      <c r="P37" s="40"/>
      <c r="Q37" s="40"/>
      <c r="R37" s="40"/>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40"/>
      <c r="F38" s="40"/>
      <c r="G38" s="1064"/>
      <c r="H38" s="1064"/>
      <c r="I38" s="1064"/>
      <c r="J38" s="1064"/>
      <c r="K38" s="1064"/>
      <c r="L38" s="1065"/>
      <c r="M38" s="972"/>
      <c r="N38" s="972"/>
      <c r="O38" s="972"/>
      <c r="P38" s="40"/>
      <c r="Q38" s="40"/>
      <c r="R38" s="40"/>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40"/>
      <c r="F39" s="40"/>
      <c r="G39" s="1064"/>
      <c r="H39" s="1064"/>
      <c r="I39" s="1064"/>
      <c r="J39" s="1064"/>
      <c r="K39" s="1064"/>
      <c r="L39" s="1065"/>
      <c r="M39" s="972"/>
      <c r="N39" s="972"/>
      <c r="O39" s="972"/>
      <c r="P39" s="40"/>
      <c r="Q39" s="40"/>
      <c r="R39" s="40"/>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40"/>
      <c r="F40" s="40"/>
      <c r="G40" s="1064"/>
      <c r="H40" s="1064"/>
      <c r="I40" s="1064"/>
      <c r="J40" s="1064"/>
      <c r="K40" s="1064"/>
      <c r="L40" s="1065"/>
      <c r="M40" s="972"/>
      <c r="N40" s="972"/>
      <c r="O40" s="972"/>
      <c r="P40" s="40"/>
      <c r="Q40" s="40"/>
      <c r="R40" s="40"/>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1008"/>
      <c r="E41" s="40"/>
      <c r="F41" s="40"/>
      <c r="G41" s="1064"/>
      <c r="H41" s="1064"/>
      <c r="I41" s="1064"/>
      <c r="J41" s="1064"/>
      <c r="K41" s="1064"/>
      <c r="L41" s="1065"/>
      <c r="M41" s="972"/>
      <c r="N41" s="972"/>
      <c r="O41" s="972"/>
      <c r="P41" s="40"/>
      <c r="Q41" s="40"/>
      <c r="R41" s="40"/>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40"/>
      <c r="F42" s="40"/>
      <c r="G42" s="1064"/>
      <c r="H42" s="1064"/>
      <c r="I42" s="1064"/>
      <c r="J42" s="1064"/>
      <c r="K42" s="1064"/>
      <c r="L42" s="1065"/>
      <c r="M42" s="972"/>
      <c r="N42" s="972"/>
      <c r="O42" s="972"/>
      <c r="P42" s="40"/>
      <c r="Q42" s="40"/>
      <c r="R42" s="40"/>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40"/>
      <c r="F43" s="40"/>
      <c r="G43" s="40"/>
      <c r="H43" s="40"/>
      <c r="I43" s="40"/>
      <c r="J43" s="40"/>
      <c r="K43" s="40"/>
      <c r="L43" s="40"/>
      <c r="M43" s="40"/>
      <c r="N43" s="40"/>
      <c r="O43" s="40"/>
      <c r="P43" s="40"/>
      <c r="Q43" s="40"/>
      <c r="R43" s="40"/>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1006"/>
      <c r="D44" s="40"/>
      <c r="E44" s="40"/>
      <c r="F44" s="40"/>
      <c r="G44" s="40"/>
      <c r="H44" s="40"/>
      <c r="I44" s="40"/>
      <c r="J44" s="40"/>
      <c r="K44" s="40"/>
      <c r="L44" s="40"/>
      <c r="M44" s="40"/>
      <c r="N44" s="40"/>
      <c r="O44" s="40"/>
      <c r="P44" s="40"/>
      <c r="Q44" s="40"/>
      <c r="R44" s="40"/>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1006"/>
      <c r="D45" s="40"/>
      <c r="E45" s="40"/>
      <c r="F45" s="40"/>
      <c r="G45" s="40"/>
      <c r="H45" s="40"/>
      <c r="I45" s="40"/>
      <c r="J45" s="40"/>
      <c r="K45" s="40"/>
      <c r="L45" s="40"/>
      <c r="M45" s="40"/>
      <c r="N45" s="40"/>
      <c r="O45" s="40"/>
      <c r="P45" s="40"/>
      <c r="Q45" s="40"/>
      <c r="R45" s="40"/>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1006"/>
      <c r="D46" s="40"/>
      <c r="E46" s="40"/>
      <c r="F46" s="40"/>
      <c r="G46" s="40"/>
      <c r="H46" s="40"/>
      <c r="I46" s="40"/>
      <c r="J46" s="40"/>
      <c r="K46" s="40"/>
      <c r="L46" s="40"/>
      <c r="M46" s="40"/>
      <c r="N46" s="40"/>
      <c r="O46" s="40"/>
      <c r="P46" s="40"/>
      <c r="Q46" s="40"/>
      <c r="R46" s="40"/>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1006"/>
      <c r="D47" s="40"/>
      <c r="E47" s="40"/>
      <c r="F47" s="40"/>
      <c r="G47" s="40"/>
      <c r="H47" s="40"/>
      <c r="I47" s="40"/>
      <c r="J47" s="40"/>
      <c r="K47" s="40"/>
      <c r="L47" s="40"/>
      <c r="M47" s="40"/>
      <c r="N47" s="40"/>
      <c r="O47" s="40"/>
      <c r="P47" s="40"/>
      <c r="Q47" s="40"/>
      <c r="R47" s="40"/>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1006"/>
      <c r="D48" s="40"/>
      <c r="E48" s="40"/>
      <c r="F48" s="40"/>
      <c r="G48" s="40"/>
      <c r="H48" s="40"/>
      <c r="I48" s="40"/>
      <c r="J48" s="40"/>
      <c r="K48" s="40"/>
      <c r="L48" s="40"/>
      <c r="M48" s="40"/>
      <c r="N48" s="40"/>
      <c r="O48" s="40"/>
      <c r="P48" s="40"/>
      <c r="Q48" s="40"/>
      <c r="R48" s="40"/>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1006"/>
      <c r="D49" s="40"/>
      <c r="E49" s="40"/>
      <c r="F49" s="40"/>
      <c r="G49" s="40"/>
      <c r="H49" s="40"/>
      <c r="I49" s="40"/>
      <c r="J49" s="40"/>
      <c r="K49" s="40"/>
      <c r="L49" s="40"/>
      <c r="M49" s="40"/>
      <c r="N49" s="40"/>
      <c r="O49" s="40"/>
      <c r="P49" s="40"/>
      <c r="Q49" s="40"/>
      <c r="R49" s="40"/>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1006"/>
      <c r="D50" s="40"/>
      <c r="E50" s="40"/>
      <c r="F50" s="40"/>
      <c r="G50" s="40"/>
      <c r="H50" s="40"/>
      <c r="I50" s="40"/>
      <c r="J50" s="40"/>
      <c r="K50" s="40"/>
      <c r="L50" s="40"/>
      <c r="M50" s="40"/>
      <c r="N50" s="40"/>
      <c r="O50" s="40"/>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x14ac:dyDescent="0.3">
      <c r="A51" s="926"/>
      <c r="B51" s="609"/>
      <c r="C51" s="1006"/>
      <c r="D51" s="40"/>
      <c r="E51" s="40"/>
      <c r="F51" s="40"/>
      <c r="G51" s="40"/>
      <c r="H51" s="40"/>
      <c r="I51" s="40"/>
      <c r="J51" s="40"/>
      <c r="K51" s="40"/>
      <c r="L51" s="40"/>
      <c r="M51" s="40"/>
      <c r="N51" s="40"/>
      <c r="O51" s="40"/>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x14ac:dyDescent="0.3">
      <c r="A52" s="926"/>
      <c r="B52" s="609"/>
      <c r="C52" s="1006"/>
      <c r="D52" s="40"/>
      <c r="E52" s="40"/>
      <c r="F52" s="40"/>
      <c r="G52" s="40"/>
      <c r="H52" s="40"/>
      <c r="I52" s="40"/>
      <c r="J52" s="40"/>
      <c r="K52" s="40"/>
      <c r="L52" s="40"/>
      <c r="M52" s="40"/>
      <c r="N52" s="40"/>
      <c r="O52" s="40"/>
      <c r="P52" s="40"/>
      <c r="Q52" s="40"/>
      <c r="R52" s="40"/>
      <c r="S52" s="40"/>
      <c r="T52" s="963"/>
      <c r="U52" s="609"/>
      <c r="V52" s="926"/>
      <c r="W52" s="926"/>
      <c r="X52" s="926"/>
      <c r="Y52" s="926"/>
      <c r="Z52" s="926"/>
      <c r="AA52" s="926"/>
      <c r="AB52" s="926"/>
      <c r="AC52" s="926"/>
      <c r="AD52" s="926"/>
      <c r="AE52" s="926"/>
      <c r="AF52" s="926"/>
      <c r="AG52" s="926"/>
      <c r="AH52" s="926"/>
      <c r="AI52" s="926"/>
      <c r="AJ52" s="926"/>
    </row>
    <row r="53" spans="1:36" x14ac:dyDescent="0.3">
      <c r="A53" s="926"/>
      <c r="B53" s="609"/>
      <c r="C53" s="1006"/>
      <c r="D53" s="40"/>
      <c r="E53" s="40"/>
      <c r="F53" s="40"/>
      <c r="G53" s="40"/>
      <c r="H53" s="40"/>
      <c r="I53" s="40"/>
      <c r="J53" s="40"/>
      <c r="K53" s="40"/>
      <c r="L53" s="40"/>
      <c r="M53" s="40"/>
      <c r="N53" s="40"/>
      <c r="O53" s="40"/>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1006"/>
      <c r="D54" s="40"/>
      <c r="E54" s="40"/>
      <c r="F54" s="40"/>
      <c r="G54" s="40"/>
      <c r="H54" s="40"/>
      <c r="I54" s="40"/>
      <c r="J54" s="40"/>
      <c r="K54" s="40"/>
      <c r="L54" s="40"/>
      <c r="M54" s="40"/>
      <c r="N54" s="40"/>
      <c r="O54" s="40"/>
      <c r="P54" s="40"/>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1006"/>
      <c r="D55" s="40"/>
      <c r="E55" s="40"/>
      <c r="F55" s="40"/>
      <c r="G55" s="40"/>
      <c r="H55" s="40"/>
      <c r="I55" s="40"/>
      <c r="J55" s="40"/>
      <c r="K55" s="40"/>
      <c r="L55" s="40"/>
      <c r="M55" s="40"/>
      <c r="N55" s="40"/>
      <c r="O55" s="40"/>
      <c r="P55" s="40"/>
      <c r="Q55" s="40"/>
      <c r="R55" s="40"/>
      <c r="S55" s="40"/>
      <c r="T55" s="1009"/>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1006"/>
      <c r="D56" s="40"/>
      <c r="E56" s="40"/>
      <c r="F56" s="40"/>
      <c r="G56" s="40"/>
      <c r="H56" s="40"/>
      <c r="I56" s="40"/>
      <c r="J56" s="40"/>
      <c r="K56" s="40"/>
      <c r="L56" s="40"/>
      <c r="M56" s="40"/>
      <c r="N56" s="40"/>
      <c r="O56" s="40"/>
      <c r="P56" s="40"/>
      <c r="Q56" s="40"/>
      <c r="R56" s="40"/>
      <c r="S56" s="40"/>
      <c r="T56" s="1009"/>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40"/>
      <c r="H57" s="40"/>
      <c r="I57" s="40"/>
      <c r="J57" s="40"/>
      <c r="K57" s="40"/>
      <c r="L57" s="40"/>
      <c r="M57" s="40"/>
      <c r="N57" s="40"/>
      <c r="O57" s="40"/>
      <c r="P57" s="40"/>
      <c r="Q57" s="40"/>
      <c r="R57" s="40"/>
      <c r="S57" s="40"/>
      <c r="T57" s="1009"/>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40"/>
      <c r="H58" s="40"/>
      <c r="I58" s="40"/>
      <c r="J58" s="40"/>
      <c r="K58" s="40"/>
      <c r="L58" s="40"/>
      <c r="M58" s="40"/>
      <c r="N58" s="40"/>
      <c r="O58" s="40"/>
      <c r="P58" s="40"/>
      <c r="Q58" s="40"/>
      <c r="R58" s="40"/>
      <c r="S58" s="40"/>
      <c r="T58" s="1009"/>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1006"/>
      <c r="D59" s="40"/>
      <c r="E59" s="1004"/>
      <c r="F59" s="1004"/>
      <c r="G59" s="1004"/>
      <c r="H59" s="1004"/>
      <c r="I59" s="1004"/>
      <c r="J59" s="1004"/>
      <c r="K59" s="1004"/>
      <c r="L59" s="1004"/>
      <c r="M59" s="1004"/>
      <c r="N59" s="1004"/>
      <c r="O59" s="1004"/>
      <c r="P59" s="1004"/>
      <c r="Q59" s="1004"/>
      <c r="R59" s="1004"/>
      <c r="S59" s="1004"/>
      <c r="T59" s="1009"/>
      <c r="U59" s="609"/>
      <c r="V59" s="926"/>
      <c r="W59" s="926"/>
      <c r="X59" s="926"/>
      <c r="Y59" s="926"/>
      <c r="Z59" s="926"/>
      <c r="AA59" s="926"/>
      <c r="AB59" s="926"/>
      <c r="AC59" s="926"/>
      <c r="AD59" s="926"/>
      <c r="AE59" s="926"/>
      <c r="AF59" s="926"/>
      <c r="AG59" s="926"/>
      <c r="AH59" s="926"/>
      <c r="AI59" s="926"/>
      <c r="AJ59" s="926"/>
    </row>
    <row r="60" spans="1:36" ht="15" customHeight="1" thickBot="1" x14ac:dyDescent="0.35">
      <c r="A60" s="926"/>
      <c r="B60" s="609"/>
      <c r="C60" s="1007"/>
      <c r="D60" s="1011"/>
      <c r="E60" s="1011"/>
      <c r="F60" s="1012"/>
      <c r="G60" s="1013"/>
      <c r="H60" s="1013"/>
      <c r="I60" s="1013"/>
      <c r="J60" s="1012"/>
      <c r="K60" s="1012"/>
      <c r="L60" s="1012"/>
      <c r="M60" s="1012"/>
      <c r="N60" s="1012"/>
      <c r="O60" s="1012"/>
      <c r="P60" s="1012"/>
      <c r="Q60" s="1012"/>
      <c r="R60" s="1012"/>
      <c r="S60" s="1012"/>
      <c r="T60" s="1014"/>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609"/>
      <c r="D61" s="609"/>
      <c r="E61" s="609"/>
      <c r="F61" s="609"/>
      <c r="G61" s="609"/>
      <c r="H61" s="609"/>
      <c r="I61" s="609"/>
      <c r="J61" s="609"/>
      <c r="K61" s="609"/>
      <c r="L61" s="609"/>
      <c r="M61" s="609"/>
      <c r="N61" s="609"/>
      <c r="O61" s="609"/>
      <c r="P61" s="609"/>
      <c r="Q61" s="609"/>
      <c r="R61" s="609"/>
      <c r="S61" s="609"/>
      <c r="T61" s="609"/>
      <c r="U61" s="609"/>
      <c r="V61" s="926"/>
      <c r="W61" s="926"/>
      <c r="X61" s="926"/>
      <c r="Y61" s="926"/>
      <c r="Z61" s="926"/>
      <c r="AA61" s="926"/>
      <c r="AB61" s="926"/>
      <c r="AC61" s="926"/>
      <c r="AD61" s="926"/>
      <c r="AE61" s="926"/>
      <c r="AF61" s="926"/>
      <c r="AG61" s="926"/>
      <c r="AH61" s="926"/>
      <c r="AI61" s="926"/>
      <c r="AJ61" s="926"/>
    </row>
    <row r="62" spans="1:36" ht="15" customHeight="1" thickBot="1" x14ac:dyDescent="0.35">
      <c r="A62" s="926"/>
      <c r="B62" s="926"/>
      <c r="C62" s="926"/>
      <c r="D62" s="926"/>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c r="AG62" s="926"/>
      <c r="AH62" s="926"/>
      <c r="AI62" s="926"/>
      <c r="AJ62" s="926"/>
    </row>
    <row r="63" spans="1:36" ht="15" customHeight="1" x14ac:dyDescent="0.3">
      <c r="A63" s="926"/>
      <c r="B63" s="926"/>
      <c r="C63" s="2719" t="s">
        <v>594</v>
      </c>
      <c r="D63" s="2720"/>
      <c r="E63" s="923"/>
      <c r="F63" s="926"/>
      <c r="G63" s="926"/>
      <c r="H63" s="2345" t="s">
        <v>561</v>
      </c>
      <c r="I63" s="2351"/>
      <c r="J63" s="2345" t="s">
        <v>595</v>
      </c>
      <c r="K63" s="2351"/>
      <c r="L63" s="2362" t="s">
        <v>596</v>
      </c>
      <c r="M63" s="2833"/>
      <c r="N63" s="2345" t="s">
        <v>597</v>
      </c>
      <c r="O63" s="2351"/>
      <c r="P63" s="926"/>
      <c r="Q63" s="926"/>
      <c r="R63" s="926"/>
      <c r="S63" s="2356" t="s">
        <v>7</v>
      </c>
      <c r="T63" s="2774"/>
      <c r="U63" s="926"/>
      <c r="V63" s="926"/>
      <c r="W63" s="926"/>
      <c r="X63" s="926"/>
      <c r="Y63" s="926"/>
      <c r="Z63" s="926"/>
      <c r="AA63" s="926"/>
      <c r="AB63" s="926"/>
      <c r="AC63" s="926"/>
      <c r="AD63" s="926"/>
      <c r="AE63" s="926"/>
      <c r="AF63" s="926"/>
      <c r="AG63" s="926"/>
      <c r="AH63" s="926"/>
      <c r="AI63" s="926"/>
      <c r="AJ63" s="926"/>
    </row>
    <row r="64" spans="1:36" ht="15" customHeight="1" x14ac:dyDescent="0.3">
      <c r="A64" s="926"/>
      <c r="B64" s="926"/>
      <c r="C64" s="2721"/>
      <c r="D64" s="2722"/>
      <c r="E64" s="923"/>
      <c r="F64" s="926"/>
      <c r="G64" s="926"/>
      <c r="H64" s="2352"/>
      <c r="I64" s="2353"/>
      <c r="J64" s="2352"/>
      <c r="K64" s="2353"/>
      <c r="L64" s="2834"/>
      <c r="M64" s="2835"/>
      <c r="N64" s="2352"/>
      <c r="O64" s="2353"/>
      <c r="P64" s="926"/>
      <c r="Q64" s="926"/>
      <c r="R64" s="926"/>
      <c r="S64" s="2775"/>
      <c r="T64" s="2776"/>
      <c r="U64" s="926"/>
      <c r="V64" s="926"/>
      <c r="W64" s="926"/>
      <c r="X64" s="926"/>
      <c r="Y64" s="926"/>
      <c r="Z64" s="926"/>
      <c r="AA64" s="926"/>
      <c r="AB64" s="926"/>
      <c r="AC64" s="926"/>
      <c r="AD64" s="926"/>
      <c r="AE64" s="926"/>
      <c r="AF64" s="926"/>
      <c r="AG64" s="926"/>
      <c r="AH64" s="926"/>
      <c r="AI64" s="926"/>
      <c r="AJ64" s="926"/>
    </row>
    <row r="65" spans="1:36" ht="15" customHeight="1" thickBot="1" x14ac:dyDescent="0.35">
      <c r="A65" s="926"/>
      <c r="B65" s="926"/>
      <c r="C65" s="2723"/>
      <c r="D65" s="2724"/>
      <c r="E65" s="923"/>
      <c r="F65" s="926"/>
      <c r="G65" s="926"/>
      <c r="H65" s="2354"/>
      <c r="I65" s="2355"/>
      <c r="J65" s="2354"/>
      <c r="K65" s="2355"/>
      <c r="L65" s="2836"/>
      <c r="M65" s="2837"/>
      <c r="N65" s="2354"/>
      <c r="O65" s="2355"/>
      <c r="P65" s="926"/>
      <c r="Q65" s="926"/>
      <c r="R65" s="926"/>
      <c r="S65" s="2777"/>
      <c r="T65" s="2778"/>
      <c r="U65" s="926"/>
      <c r="V65" s="926"/>
      <c r="W65" s="926"/>
      <c r="X65" s="926"/>
      <c r="Y65" s="926"/>
      <c r="Z65" s="926"/>
      <c r="AA65" s="926"/>
      <c r="AB65" s="926"/>
      <c r="AC65" s="926"/>
      <c r="AD65" s="926"/>
      <c r="AE65" s="926"/>
      <c r="AF65" s="926"/>
      <c r="AG65" s="926"/>
      <c r="AH65" s="926"/>
      <c r="AI65" s="926"/>
      <c r="AJ65" s="926"/>
    </row>
    <row r="66" spans="1:36" ht="15" customHeight="1" x14ac:dyDescent="0.3">
      <c r="A66" s="926"/>
      <c r="B66" s="926"/>
      <c r="C66" s="926"/>
      <c r="D66" s="926"/>
      <c r="E66" s="923"/>
      <c r="F66" s="923"/>
      <c r="G66" s="923"/>
      <c r="H66" s="923"/>
      <c r="I66" s="2345" t="s">
        <v>598</v>
      </c>
      <c r="J66" s="2351"/>
      <c r="K66" s="2345" t="s">
        <v>599</v>
      </c>
      <c r="L66" s="2351"/>
      <c r="M66" s="2345" t="s">
        <v>600</v>
      </c>
      <c r="N66" s="2351"/>
      <c r="O66" s="923"/>
      <c r="P66" s="923"/>
      <c r="Q66" s="923"/>
      <c r="R66" s="923"/>
      <c r="S66" s="923"/>
      <c r="T66" s="923"/>
      <c r="U66" s="926"/>
      <c r="V66" s="926"/>
      <c r="W66" s="926"/>
      <c r="X66" s="926"/>
      <c r="Y66" s="926"/>
      <c r="Z66" s="926"/>
      <c r="AA66" s="926"/>
      <c r="AB66" s="926"/>
      <c r="AC66" s="926"/>
      <c r="AD66" s="926"/>
      <c r="AE66" s="926"/>
      <c r="AF66" s="926"/>
      <c r="AG66" s="926"/>
      <c r="AH66" s="926"/>
      <c r="AI66" s="926"/>
      <c r="AJ66" s="926"/>
    </row>
    <row r="67" spans="1:36" ht="15" customHeight="1" x14ac:dyDescent="0.3">
      <c r="A67" s="926"/>
      <c r="B67" s="926"/>
      <c r="C67" s="926"/>
      <c r="D67" s="926"/>
      <c r="E67" s="923"/>
      <c r="F67" s="926"/>
      <c r="G67" s="926"/>
      <c r="H67" s="926"/>
      <c r="I67" s="2352"/>
      <c r="J67" s="2353"/>
      <c r="K67" s="2352"/>
      <c r="L67" s="2353"/>
      <c r="M67" s="2352"/>
      <c r="N67" s="2353"/>
      <c r="O67" s="926"/>
      <c r="P67" s="926"/>
      <c r="Q67" s="926"/>
      <c r="R67" s="923"/>
      <c r="S67" s="923"/>
      <c r="T67" s="923"/>
      <c r="U67" s="926"/>
      <c r="V67" s="926"/>
      <c r="W67" s="926"/>
      <c r="X67" s="926"/>
      <c r="Y67" s="926"/>
      <c r="Z67" s="926"/>
      <c r="AA67" s="926"/>
      <c r="AB67" s="926"/>
      <c r="AC67" s="926"/>
      <c r="AD67" s="926"/>
      <c r="AE67" s="926"/>
      <c r="AF67" s="926"/>
      <c r="AG67" s="926"/>
      <c r="AH67" s="926"/>
      <c r="AI67" s="926"/>
      <c r="AJ67" s="926"/>
    </row>
    <row r="68" spans="1:36" ht="15" customHeight="1" thickBot="1" x14ac:dyDescent="0.35">
      <c r="A68" s="926"/>
      <c r="B68" s="926"/>
      <c r="C68" s="926"/>
      <c r="D68" s="926"/>
      <c r="E68" s="923"/>
      <c r="F68" s="926"/>
      <c r="G68" s="926"/>
      <c r="H68" s="926"/>
      <c r="I68" s="2354"/>
      <c r="J68" s="2355"/>
      <c r="K68" s="2354"/>
      <c r="L68" s="2355"/>
      <c r="M68" s="2354"/>
      <c r="N68" s="2355"/>
      <c r="O68" s="926"/>
      <c r="P68" s="926"/>
      <c r="Q68" s="926"/>
      <c r="R68" s="923"/>
      <c r="S68" s="923"/>
      <c r="T68" s="923"/>
      <c r="U68" s="926"/>
      <c r="V68" s="926"/>
      <c r="W68" s="926"/>
      <c r="X68" s="926"/>
      <c r="Y68" s="926"/>
      <c r="Z68" s="926"/>
      <c r="AA68" s="926"/>
      <c r="AB68" s="926"/>
      <c r="AC68" s="926"/>
      <c r="AD68" s="926"/>
      <c r="AE68" s="926"/>
      <c r="AF68" s="926"/>
      <c r="AG68" s="926"/>
      <c r="AH68" s="926"/>
      <c r="AI68" s="926"/>
      <c r="AJ68" s="926"/>
    </row>
    <row r="69" spans="1:36" x14ac:dyDescent="0.3">
      <c r="A69" s="926"/>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c r="AG69" s="926"/>
      <c r="AH69" s="926"/>
      <c r="AI69" s="926"/>
      <c r="AJ69" s="926"/>
    </row>
    <row r="70" spans="1:36" x14ac:dyDescent="0.3">
      <c r="A70" s="926"/>
      <c r="B70" s="926"/>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row>
    <row r="71" spans="1:36" x14ac:dyDescent="0.3">
      <c r="A71" s="926"/>
      <c r="B71" s="926"/>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c r="AG71" s="926"/>
      <c r="AH71" s="926"/>
      <c r="AI71" s="926"/>
      <c r="AJ71" s="926"/>
    </row>
    <row r="72" spans="1:36" x14ac:dyDescent="0.3">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row>
    <row r="73" spans="1:36" x14ac:dyDescent="0.3">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row>
    <row r="74" spans="1:36"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row>
    <row r="75" spans="1:36"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row>
    <row r="76" spans="1:36"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row>
    <row r="77" spans="1:36"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row>
    <row r="78" spans="1:36"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36"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36"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36" x14ac:dyDescent="0.3">
      <c r="A84" s="926"/>
      <c r="B84" s="926"/>
      <c r="C84" s="926"/>
      <c r="D84" s="926"/>
      <c r="E84" s="926"/>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row>
    <row r="85" spans="1:36" x14ac:dyDescent="0.3">
      <c r="A85" s="926"/>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row>
    <row r="86" spans="1:36" x14ac:dyDescent="0.3">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row>
    <row r="87" spans="1:36" x14ac:dyDescent="0.3">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row>
    <row r="88" spans="1:36"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9" spans="52:57" ht="15" customHeight="1" thickBot="1" x14ac:dyDescent="0.35">
      <c r="AZ99" s="683" t="s">
        <v>607</v>
      </c>
      <c r="BA99" s="684" t="s">
        <v>608</v>
      </c>
      <c r="BB99" s="670" t="s">
        <v>590</v>
      </c>
      <c r="BC99" s="670" t="s">
        <v>591</v>
      </c>
      <c r="BD99" s="670" t="s">
        <v>592</v>
      </c>
      <c r="BE99" s="675" t="s">
        <v>593</v>
      </c>
    </row>
    <row r="100" spans="52:57" ht="15" customHeight="1" x14ac:dyDescent="0.3">
      <c r="AZ100" s="690"/>
      <c r="BA100" s="682" t="e">
        <f>#REF!</f>
        <v>#REF!</v>
      </c>
      <c r="BB100" s="669" t="e">
        <f>#REF!</f>
        <v>#REF!</v>
      </c>
      <c r="BC100" s="669" t="e">
        <f>#REF!</f>
        <v>#REF!</v>
      </c>
      <c r="BD100" s="669" t="e">
        <f>#REF!</f>
        <v>#REF!</v>
      </c>
      <c r="BE100" s="681" t="e">
        <f>#REF!</f>
        <v>#REF!</v>
      </c>
    </row>
    <row r="101" spans="52:57" x14ac:dyDescent="0.3">
      <c r="AZ101" s="691" t="s">
        <v>609</v>
      </c>
      <c r="BA101" s="685"/>
      <c r="BB101" s="671"/>
      <c r="BC101" s="671"/>
      <c r="BD101" s="671"/>
      <c r="BE101" s="676"/>
    </row>
    <row r="102" spans="52:57" x14ac:dyDescent="0.3">
      <c r="AZ102" s="692" t="s">
        <v>610</v>
      </c>
      <c r="BA102" s="686"/>
      <c r="BB102" s="647"/>
      <c r="BC102" s="647"/>
      <c r="BD102" s="647"/>
      <c r="BE102" s="677"/>
    </row>
    <row r="103" spans="52:57" x14ac:dyDescent="0.3">
      <c r="AZ103" s="693" t="s">
        <v>611</v>
      </c>
      <c r="BA103" s="687" t="e">
        <f>-Plot.Tables!#REF!</f>
        <v>#REF!</v>
      </c>
      <c r="BB103" s="672" t="e">
        <f>-Plot.Tables!#REF!</f>
        <v>#REF!</v>
      </c>
      <c r="BC103" s="672" t="e">
        <f>-Plot.Tables!#REF!</f>
        <v>#REF!</v>
      </c>
      <c r="BD103" s="672" t="e">
        <f>-Plot.Tables!#REF!</f>
        <v>#REF!</v>
      </c>
      <c r="BE103" s="678" t="e">
        <f>-Plot.Tables!#REF!</f>
        <v>#REF!</v>
      </c>
    </row>
    <row r="104" spans="52:57" x14ac:dyDescent="0.3">
      <c r="AZ104" s="693" t="s">
        <v>612</v>
      </c>
      <c r="BA104" s="687" t="e">
        <f>-Plot.Tables!#REF!</f>
        <v>#REF!</v>
      </c>
      <c r="BB104" s="672" t="e">
        <f>-Plot.Tables!#REF!</f>
        <v>#REF!</v>
      </c>
      <c r="BC104" s="672" t="e">
        <f>-Plot.Tables!#REF!</f>
        <v>#REF!</v>
      </c>
      <c r="BD104" s="672" t="e">
        <f>-Plot.Tables!#REF!</f>
        <v>#REF!</v>
      </c>
      <c r="BE104" s="678" t="e">
        <f>-Plot.Tables!#REF!</f>
        <v>#REF!</v>
      </c>
    </row>
    <row r="105" spans="52:57" x14ac:dyDescent="0.3">
      <c r="AZ105" s="692" t="s">
        <v>613</v>
      </c>
      <c r="BA105" s="686"/>
      <c r="BB105" s="647"/>
      <c r="BC105" s="647"/>
      <c r="BD105" s="647"/>
      <c r="BE105" s="677"/>
    </row>
    <row r="106" spans="52:57" x14ac:dyDescent="0.3">
      <c r="AZ106" s="693" t="s">
        <v>614</v>
      </c>
      <c r="BA106" s="688" t="e">
        <f>Plot.Tables!#REF!</f>
        <v>#REF!</v>
      </c>
      <c r="BB106" s="673" t="e">
        <f>Plot.Tables!#REF!</f>
        <v>#REF!</v>
      </c>
      <c r="BC106" s="673" t="e">
        <f>Plot.Tables!#REF!</f>
        <v>#REF!</v>
      </c>
      <c r="BD106" s="673" t="e">
        <f>Plot.Tables!#REF!</f>
        <v>#REF!</v>
      </c>
      <c r="BE106" s="679" t="e">
        <f>Plot.Tables!#REF!</f>
        <v>#REF!</v>
      </c>
    </row>
    <row r="107" spans="52:57" x14ac:dyDescent="0.3">
      <c r="AZ107" s="693" t="s">
        <v>441</v>
      </c>
      <c r="BA107" s="688" t="e">
        <f>Plot.Tables!#REF!</f>
        <v>#REF!</v>
      </c>
      <c r="BB107" s="673" t="e">
        <f>Plot.Tables!#REF!</f>
        <v>#REF!</v>
      </c>
      <c r="BC107" s="673" t="e">
        <f>Plot.Tables!#REF!</f>
        <v>#REF!</v>
      </c>
      <c r="BD107" s="673" t="e">
        <f>Plot.Tables!#REF!</f>
        <v>#REF!</v>
      </c>
      <c r="BE107" s="679" t="e">
        <f>Plot.Tables!#REF!</f>
        <v>#REF!</v>
      </c>
    </row>
    <row r="108" spans="52:57" x14ac:dyDescent="0.3">
      <c r="AZ108" s="693" t="s">
        <v>615</v>
      </c>
      <c r="BA108" s="688" t="e">
        <f>Plot.Tables!#REF!</f>
        <v>#REF!</v>
      </c>
      <c r="BB108" s="673" t="e">
        <f>Plot.Tables!#REF!</f>
        <v>#REF!</v>
      </c>
      <c r="BC108" s="673" t="e">
        <f>Plot.Tables!#REF!</f>
        <v>#REF!</v>
      </c>
      <c r="BD108" s="673" t="e">
        <f>Plot.Tables!#REF!</f>
        <v>#REF!</v>
      </c>
      <c r="BE108" s="679" t="e">
        <f>Plot.Tables!#REF!</f>
        <v>#REF!</v>
      </c>
    </row>
    <row r="109" spans="52:57" ht="15" thickBot="1" x14ac:dyDescent="0.35">
      <c r="AZ109" s="694" t="s">
        <v>616</v>
      </c>
      <c r="BA109" s="689" t="e">
        <f>Plot.Tables!#REF!</f>
        <v>#REF!</v>
      </c>
      <c r="BB109" s="674" t="e">
        <f>Plot.Tables!#REF!</f>
        <v>#REF!</v>
      </c>
      <c r="BC109" s="674" t="e">
        <f>Plot.Tables!#REF!</f>
        <v>#REF!</v>
      </c>
      <c r="BD109" s="674" t="e">
        <f>Plot.Tables!#REF!</f>
        <v>#REF!</v>
      </c>
      <c r="BE109" s="680" t="e">
        <f>Plot.Tables!#REF!</f>
        <v>#REF!</v>
      </c>
    </row>
  </sheetData>
  <mergeCells count="73">
    <mergeCell ref="K5:L7"/>
    <mergeCell ref="M5:N7"/>
    <mergeCell ref="J23:K23"/>
    <mergeCell ref="J22:K22"/>
    <mergeCell ref="J21:K21"/>
    <mergeCell ref="N23:O23"/>
    <mergeCell ref="N22:O22"/>
    <mergeCell ref="N21:O21"/>
    <mergeCell ref="L23:M23"/>
    <mergeCell ref="L22:M22"/>
    <mergeCell ref="L21:M21"/>
    <mergeCell ref="L13:M13"/>
    <mergeCell ref="N13:O13"/>
    <mergeCell ref="N63:O65"/>
    <mergeCell ref="I66:J68"/>
    <mergeCell ref="K66:L68"/>
    <mergeCell ref="M66:N68"/>
    <mergeCell ref="N24:O24"/>
    <mergeCell ref="S63:T65"/>
    <mergeCell ref="D15:I18"/>
    <mergeCell ref="D14:I14"/>
    <mergeCell ref="D19:I19"/>
    <mergeCell ref="D24:I24"/>
    <mergeCell ref="D23:I23"/>
    <mergeCell ref="D22:I22"/>
    <mergeCell ref="D21:I21"/>
    <mergeCell ref="D20:I20"/>
    <mergeCell ref="C63:D65"/>
    <mergeCell ref="H63:I65"/>
    <mergeCell ref="J63:K65"/>
    <mergeCell ref="L63:M65"/>
    <mergeCell ref="J24:K24"/>
    <mergeCell ref="L24:M24"/>
    <mergeCell ref="R14:S14"/>
    <mergeCell ref="R15:S18"/>
    <mergeCell ref="P15:Q18"/>
    <mergeCell ref="N2:O4"/>
    <mergeCell ref="R13:S13"/>
    <mergeCell ref="N14:O14"/>
    <mergeCell ref="N15:O18"/>
    <mergeCell ref="S2:T4"/>
    <mergeCell ref="P13:Q13"/>
    <mergeCell ref="P14:Q14"/>
    <mergeCell ref="R20:S20"/>
    <mergeCell ref="R19:S19"/>
    <mergeCell ref="N19:O19"/>
    <mergeCell ref="P20:Q20"/>
    <mergeCell ref="P19:Q19"/>
    <mergeCell ref="N20:O20"/>
    <mergeCell ref="C2:D4"/>
    <mergeCell ref="L20:M20"/>
    <mergeCell ref="L19:M19"/>
    <mergeCell ref="J14:K14"/>
    <mergeCell ref="J19:K19"/>
    <mergeCell ref="J20:K20"/>
    <mergeCell ref="H2:I4"/>
    <mergeCell ref="J2:K4"/>
    <mergeCell ref="L2:M4"/>
    <mergeCell ref="G10:O11"/>
    <mergeCell ref="J15:K18"/>
    <mergeCell ref="L14:M14"/>
    <mergeCell ref="L15:M18"/>
    <mergeCell ref="D13:I13"/>
    <mergeCell ref="J13:K13"/>
    <mergeCell ref="I5:J7"/>
    <mergeCell ref="R24:S24"/>
    <mergeCell ref="R23:S23"/>
    <mergeCell ref="R22:S22"/>
    <mergeCell ref="R21:S21"/>
    <mergeCell ref="P22:Q22"/>
    <mergeCell ref="P21:Q21"/>
    <mergeCell ref="P24:Q24"/>
    <mergeCell ref="P23:Q23"/>
  </mergeCells>
  <hyperlinks>
    <hyperlink ref="C2:D4" location="UI.Farm!A1" tooltip="Click to go to farm inputs page" display="Farm Info" xr:uid="{DB02EBA1-6323-4171-AFA6-87E9D37A97E6}"/>
    <hyperlink ref="J2:K4" location="Results.Scenarios!A1" tooltip="Click to go to scenario descriptions page" display="Scenario Rankings and Descriptions" xr:uid="{65C07F9E-B14A-45AC-A3BF-FA11F6B7BC80}"/>
    <hyperlink ref="N2:O4" location="Results.Env!A1" tooltip="Click to go to environmental results page" display="Environmental Results" xr:uid="{0E71FDC9-5942-4886-B4D8-B7B2365E81E3}"/>
    <hyperlink ref="I5:J7" location="Results.Tech!A1" tooltip="Click to go to the functionality and logistics results" display="Functionality and Logistics Results" xr:uid="{FC4222E0-F186-44AE-A810-8D70819CDFA1}"/>
    <hyperlink ref="H2:I4" location="Results.Summary!A1" tooltip="Click to go to results summary page" display="Results Summary" xr:uid="{E83016ED-22ED-4EB1-A3E8-54D09DC092CB}"/>
    <hyperlink ref="K5:L7" location="Results.Resources!A1" tooltip="Click to go to the resources results page" display="Resources Results" xr:uid="{426C9266-A0E3-4B7E-8FA6-24AFC1521CE0}"/>
    <hyperlink ref="M5:N7" location="Results.Nutrients!A1" tooltip="Click to go to the nutrient concentrations page" display="Nutrient Concentrations" xr:uid="{5886EFA2-B935-4170-BD56-B7B75D721D76}"/>
    <hyperlink ref="L2:M4" location="Results.Econ!A1" tooltip="Click to go to economic results page" display="Economic Results" xr:uid="{53075EAB-3410-4C4B-B6EA-5A832EBB96FD}"/>
    <hyperlink ref="S2:T4" location="Results.Env!A1" tooltip="Click to go to environmental results page" display="Environmental Results" xr:uid="{0D751B4D-60A3-4426-8B86-F3E712CC53CF}"/>
    <hyperlink ref="C63:D65" location="UI.Farm!A1" tooltip="Click to go to farm inputs page" display="Farm Info" xr:uid="{576480A3-4372-4825-B4CE-F6B28614723B}"/>
    <hyperlink ref="J63:K65" location="Results.Scenarios!A1" tooltip="Click to go to scenario descriptions page" display="Scenario Rankings and Descriptions" xr:uid="{F4B71CD3-921D-4A57-B1C2-062015C461BE}"/>
    <hyperlink ref="N63:O65" location="Results.Env!A1" tooltip="Click to go to environmental results page" display="Environmental Results" xr:uid="{9C1495C7-641C-4FC2-8DDB-D1E770563C46}"/>
    <hyperlink ref="I66:J68" location="Results.Tech!A1" tooltip="Click to go to the functionality and logistics results" display="Functionality and Logistics Results" xr:uid="{1975A1E5-2CD9-40AB-988C-0773E1CB00AC}"/>
    <hyperlink ref="H63:I65" location="Results.Summary!A1" tooltip="Click to go to results summary page" display="Results Summary" xr:uid="{7C92B0F1-493F-4361-BBD9-B7AED4E20C90}"/>
    <hyperlink ref="K66:L68" location="Results.Resources!A1" tooltip="Click to go to the resources results page" display="Resources Results" xr:uid="{EF828AD4-441B-46EC-9EC1-613ABEB28B98}"/>
    <hyperlink ref="M66:N68" location="Results.Nutrients!A1" tooltip="Click to go to the nutrient concentrations page" display="Nutrient Concentrations" xr:uid="{70AAFA95-438A-45B3-B99A-C944290110C2}"/>
    <hyperlink ref="L63:M65" location="Results.Econ!A1" tooltip="Click to go to economic results page" display="Economic Results" xr:uid="{BBD9F3B5-7AC6-47B0-840C-0E0B6EDC16D8}"/>
    <hyperlink ref="S63:T65" location="Results.Env!A1" tooltip="Click to go to environmental results page" display="Environmental Results" xr:uid="{288C8D52-DAA8-4E60-94CD-606E386B56AC}"/>
  </hyperlinks>
  <printOptions horizontalCentered="1" verticalCentered="1"/>
  <pageMargins left="0.7" right="0.7" top="0.75" bottom="0.75" header="0.3" footer="0.3"/>
  <pageSetup scale="5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E9996-B92A-45DB-986E-9170F01EE8D8}">
  <sheetPr codeName="Sheet5">
    <tabColor rgb="FFFFFF00"/>
  </sheetPr>
  <dimension ref="A1:AJ106"/>
  <sheetViews>
    <sheetView workbookViewId="0">
      <selection activeCell="I5" sqref="I5:J7"/>
    </sheetView>
  </sheetViews>
  <sheetFormatPr defaultColWidth="9.44140625" defaultRowHeight="15" customHeight="1" x14ac:dyDescent="0.3"/>
  <cols>
    <col min="1" max="2" width="2.5546875" customWidth="1"/>
    <col min="3" max="20" width="9.6640625" customWidth="1"/>
    <col min="21" max="22" width="2.5546875" customWidth="1"/>
    <col min="23" max="52" width="9.44140625" customWidth="1"/>
  </cols>
  <sheetData>
    <row r="1" spans="1:36" ht="15" customHeight="1"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997"/>
      <c r="B2" s="998"/>
      <c r="C2" s="2719" t="s">
        <v>594</v>
      </c>
      <c r="D2" s="2720"/>
      <c r="E2" s="923"/>
      <c r="F2" s="926"/>
      <c r="G2" s="926"/>
      <c r="H2" s="2345" t="s">
        <v>561</v>
      </c>
      <c r="I2" s="2351"/>
      <c r="J2" s="2345" t="s">
        <v>595</v>
      </c>
      <c r="K2" s="2351"/>
      <c r="L2" s="2345" t="s">
        <v>596</v>
      </c>
      <c r="M2" s="2351"/>
      <c r="N2" s="2362" t="s">
        <v>597</v>
      </c>
      <c r="O2" s="2833"/>
      <c r="P2" s="926"/>
      <c r="Q2" s="926"/>
      <c r="R2" s="926"/>
      <c r="S2" s="2356" t="s">
        <v>7</v>
      </c>
      <c r="T2" s="2774"/>
      <c r="U2" s="923"/>
      <c r="V2" s="926"/>
      <c r="W2" s="926"/>
      <c r="X2" s="926"/>
      <c r="Y2" s="926"/>
      <c r="Z2" s="926"/>
      <c r="AA2" s="926"/>
      <c r="AB2" s="926"/>
      <c r="AC2" s="926"/>
      <c r="AD2" s="926"/>
      <c r="AE2" s="926"/>
      <c r="AF2" s="926"/>
      <c r="AG2" s="926"/>
      <c r="AH2" s="926"/>
      <c r="AI2" s="926"/>
      <c r="AJ2" s="926"/>
    </row>
    <row r="3" spans="1:36" ht="15" customHeight="1" x14ac:dyDescent="0.3">
      <c r="A3" s="997"/>
      <c r="B3" s="998"/>
      <c r="C3" s="2721"/>
      <c r="D3" s="2722"/>
      <c r="E3" s="923"/>
      <c r="F3" s="926"/>
      <c r="G3" s="926"/>
      <c r="H3" s="2352"/>
      <c r="I3" s="2353"/>
      <c r="J3" s="2352"/>
      <c r="K3" s="2353"/>
      <c r="L3" s="2352"/>
      <c r="M3" s="2353"/>
      <c r="N3" s="2834"/>
      <c r="O3" s="2835"/>
      <c r="P3" s="926"/>
      <c r="Q3" s="926"/>
      <c r="R3" s="926"/>
      <c r="S3" s="2775"/>
      <c r="T3" s="2776"/>
      <c r="U3" s="923"/>
      <c r="V3" s="926"/>
      <c r="W3" s="926"/>
      <c r="X3" s="926"/>
      <c r="Y3" s="926"/>
      <c r="Z3" s="926"/>
      <c r="AA3" s="926"/>
      <c r="AB3" s="926"/>
      <c r="AC3" s="926"/>
      <c r="AD3" s="926"/>
      <c r="AE3" s="926"/>
      <c r="AF3" s="926"/>
      <c r="AG3" s="926"/>
      <c r="AH3" s="926"/>
      <c r="AI3" s="926"/>
      <c r="AJ3" s="926"/>
    </row>
    <row r="4" spans="1:36" ht="15" customHeight="1" thickBot="1" x14ac:dyDescent="0.35">
      <c r="A4" s="997"/>
      <c r="B4" s="998"/>
      <c r="C4" s="2723"/>
      <c r="D4" s="2724"/>
      <c r="E4" s="923"/>
      <c r="F4" s="926"/>
      <c r="G4" s="926"/>
      <c r="H4" s="2354"/>
      <c r="I4" s="2355"/>
      <c r="J4" s="2354"/>
      <c r="K4" s="2355"/>
      <c r="L4" s="2354"/>
      <c r="M4" s="2355"/>
      <c r="N4" s="2836"/>
      <c r="O4" s="2837"/>
      <c r="P4" s="926"/>
      <c r="Q4" s="926"/>
      <c r="R4" s="926"/>
      <c r="S4" s="2777"/>
      <c r="T4" s="2778"/>
      <c r="U4" s="923"/>
      <c r="V4" s="926"/>
      <c r="W4" s="926"/>
      <c r="X4" s="926"/>
      <c r="Y4" s="926"/>
      <c r="Z4" s="926"/>
      <c r="AA4" s="926"/>
      <c r="AB4" s="926"/>
      <c r="AC4" s="926"/>
      <c r="AD4" s="926"/>
      <c r="AE4" s="926"/>
      <c r="AF4" s="926"/>
      <c r="AG4" s="926"/>
      <c r="AH4" s="926"/>
      <c r="AI4" s="926"/>
      <c r="AJ4" s="926"/>
    </row>
    <row r="5" spans="1:36" ht="15" customHeight="1" x14ac:dyDescent="0.3">
      <c r="A5" s="997"/>
      <c r="B5" s="998"/>
      <c r="C5" s="926"/>
      <c r="D5" s="926"/>
      <c r="E5" s="923"/>
      <c r="F5" s="923"/>
      <c r="G5" s="923"/>
      <c r="H5" s="923"/>
      <c r="I5" s="2345" t="s">
        <v>598</v>
      </c>
      <c r="J5" s="2351"/>
      <c r="K5" s="2345" t="s">
        <v>599</v>
      </c>
      <c r="L5" s="2351"/>
      <c r="M5" s="2345" t="s">
        <v>600</v>
      </c>
      <c r="N5" s="2351"/>
      <c r="O5" s="923"/>
      <c r="P5" s="923"/>
      <c r="Q5" s="923"/>
      <c r="R5" s="923"/>
      <c r="S5" s="923"/>
      <c r="T5" s="923"/>
      <c r="U5" s="923"/>
      <c r="V5" s="926"/>
      <c r="W5" s="926"/>
      <c r="X5" s="926"/>
      <c r="Y5" s="926"/>
      <c r="Z5" s="926"/>
      <c r="AA5" s="926"/>
      <c r="AB5" s="926"/>
      <c r="AC5" s="926"/>
      <c r="AD5" s="926"/>
      <c r="AE5" s="926"/>
      <c r="AF5" s="926"/>
      <c r="AG5" s="926"/>
      <c r="AH5" s="926"/>
      <c r="AI5" s="926"/>
      <c r="AJ5" s="926"/>
    </row>
    <row r="6" spans="1:36" ht="15" customHeight="1" x14ac:dyDescent="0.3">
      <c r="A6" s="997"/>
      <c r="B6" s="998"/>
      <c r="C6" s="926"/>
      <c r="D6" s="926"/>
      <c r="E6" s="923"/>
      <c r="F6" s="926"/>
      <c r="G6" s="926"/>
      <c r="H6" s="926"/>
      <c r="I6" s="2352"/>
      <c r="J6" s="2353"/>
      <c r="K6" s="2352"/>
      <c r="L6" s="2353"/>
      <c r="M6" s="2352"/>
      <c r="N6" s="2353"/>
      <c r="O6" s="926"/>
      <c r="P6" s="926"/>
      <c r="Q6" s="926"/>
      <c r="R6" s="923"/>
      <c r="S6" s="923"/>
      <c r="T6" s="923"/>
      <c r="U6" s="923"/>
      <c r="V6" s="926"/>
      <c r="W6" s="926"/>
      <c r="X6" s="926"/>
      <c r="Y6" s="926"/>
      <c r="Z6" s="926"/>
      <c r="AA6" s="926"/>
      <c r="AB6" s="926"/>
      <c r="AC6" s="926"/>
      <c r="AD6" s="926"/>
      <c r="AE6" s="926"/>
      <c r="AF6" s="926"/>
      <c r="AG6" s="926"/>
      <c r="AH6" s="926"/>
      <c r="AI6" s="926"/>
      <c r="AJ6" s="926"/>
    </row>
    <row r="7" spans="1:36" ht="15" customHeight="1" thickBot="1" x14ac:dyDescent="0.35">
      <c r="A7" s="997"/>
      <c r="B7" s="998"/>
      <c r="C7" s="926"/>
      <c r="D7" s="926"/>
      <c r="E7" s="923"/>
      <c r="F7" s="926"/>
      <c r="G7" s="926"/>
      <c r="H7" s="926"/>
      <c r="I7" s="2354"/>
      <c r="J7" s="2355"/>
      <c r="K7" s="2354"/>
      <c r="L7" s="2355"/>
      <c r="M7" s="2354"/>
      <c r="N7" s="2355"/>
      <c r="O7" s="926"/>
      <c r="P7" s="926"/>
      <c r="Q7" s="926"/>
      <c r="R7" s="923"/>
      <c r="S7" s="923"/>
      <c r="T7" s="923"/>
      <c r="U7" s="923"/>
      <c r="V7" s="926"/>
      <c r="W7" s="926"/>
      <c r="X7" s="926"/>
      <c r="Y7" s="926"/>
      <c r="Z7" s="926"/>
      <c r="AA7" s="926"/>
      <c r="AB7" s="926"/>
      <c r="AC7" s="926"/>
      <c r="AD7" s="926"/>
      <c r="AE7" s="926"/>
      <c r="AF7" s="926"/>
      <c r="AG7" s="926"/>
      <c r="AH7" s="926"/>
      <c r="AI7" s="926"/>
      <c r="AJ7" s="926"/>
    </row>
    <row r="8" spans="1:36" ht="15" customHeight="1" x14ac:dyDescent="0.3">
      <c r="A8" s="997"/>
      <c r="B8" s="998"/>
      <c r="C8" s="984"/>
      <c r="D8" s="984"/>
      <c r="E8" s="984"/>
      <c r="F8" s="984"/>
      <c r="G8" s="984"/>
      <c r="H8" s="984"/>
      <c r="I8" s="984"/>
      <c r="J8" s="984"/>
      <c r="K8" s="984"/>
      <c r="L8" s="984"/>
      <c r="M8" s="984"/>
      <c r="N8" s="984"/>
      <c r="O8" s="984"/>
      <c r="P8" s="984"/>
      <c r="Q8" s="984"/>
      <c r="R8" s="923"/>
      <c r="S8" s="923"/>
      <c r="T8" s="923"/>
      <c r="U8" s="923"/>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6">
      <c r="A10" s="926"/>
      <c r="B10" s="609"/>
      <c r="C10" s="959"/>
      <c r="D10" s="960"/>
      <c r="E10" s="1000"/>
      <c r="F10" s="1000"/>
      <c r="G10" s="2848" t="s">
        <v>597</v>
      </c>
      <c r="H10" s="2848"/>
      <c r="I10" s="2848"/>
      <c r="J10" s="2848"/>
      <c r="K10" s="2848"/>
      <c r="L10" s="2848"/>
      <c r="M10" s="2848"/>
      <c r="N10" s="2848"/>
      <c r="O10" s="2848"/>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40"/>
      <c r="E11" s="40"/>
      <c r="F11" s="40"/>
      <c r="G11" s="2849"/>
      <c r="H11" s="2849"/>
      <c r="I11" s="2849"/>
      <c r="J11" s="2849"/>
      <c r="K11" s="2849"/>
      <c r="L11" s="2849"/>
      <c r="M11" s="2849"/>
      <c r="N11" s="2849"/>
      <c r="O11" s="2849"/>
      <c r="P11" s="40"/>
      <c r="Q11" s="40"/>
      <c r="R11" s="40"/>
      <c r="S11" s="40"/>
      <c r="T11" s="963"/>
      <c r="U11" s="609"/>
      <c r="V11" s="926"/>
      <c r="W11" s="926"/>
      <c r="X11" s="926"/>
      <c r="Y11" s="926"/>
      <c r="Z11" s="926"/>
      <c r="AA11" s="926"/>
      <c r="AB11" s="926"/>
      <c r="AC11" s="926"/>
      <c r="AD11" s="926"/>
      <c r="AE11" s="926"/>
      <c r="AF11" s="926"/>
      <c r="AG11" s="926"/>
      <c r="AH11" s="926"/>
      <c r="AI11" s="926"/>
      <c r="AJ11" s="926"/>
    </row>
    <row r="12" spans="1:36" ht="15" customHeight="1" thickBot="1" x14ac:dyDescent="0.65">
      <c r="A12" s="926"/>
      <c r="B12" s="609"/>
      <c r="C12" s="962"/>
      <c r="D12"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2" s="2257"/>
      <c r="F12" s="2257"/>
      <c r="G12" s="2257"/>
      <c r="H12" s="2257"/>
      <c r="I12" s="2257"/>
      <c r="J12" s="2257"/>
      <c r="K12" s="2257"/>
      <c r="L12" s="2256"/>
      <c r="M12" s="1748"/>
      <c r="N12" s="1015"/>
      <c r="O12" s="1015"/>
      <c r="P12" s="40"/>
      <c r="Q12" s="40"/>
      <c r="R12" s="40"/>
      <c r="S12" s="40"/>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943" t="s">
        <v>630</v>
      </c>
      <c r="E13" s="2918"/>
      <c r="F13" s="2918"/>
      <c r="G13" s="2918"/>
      <c r="H13" s="2918"/>
      <c r="I13" s="2918"/>
      <c r="J13" s="2918"/>
      <c r="K13" s="2918"/>
      <c r="L13" s="2918"/>
      <c r="M13" s="2918"/>
      <c r="N13" s="2918"/>
      <c r="O13" s="2918"/>
      <c r="P13" s="2918"/>
      <c r="Q13" s="2918"/>
      <c r="R13" s="2918"/>
      <c r="S13" s="2919"/>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877" t="s">
        <v>602</v>
      </c>
      <c r="E14" s="2871"/>
      <c r="F14" s="2871"/>
      <c r="G14" s="2871"/>
      <c r="H14" s="2871"/>
      <c r="I14" s="2871"/>
      <c r="J14" s="2944" t="s">
        <v>603</v>
      </c>
      <c r="K14" s="2944"/>
      <c r="L14" s="2944" t="s">
        <v>590</v>
      </c>
      <c r="M14" s="2944"/>
      <c r="N14" s="2944" t="s">
        <v>591</v>
      </c>
      <c r="O14" s="2944"/>
      <c r="P14" s="2944" t="s">
        <v>592</v>
      </c>
      <c r="Q14" s="2944"/>
      <c r="R14" s="2944" t="s">
        <v>593</v>
      </c>
      <c r="S14" s="2945"/>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877" t="s">
        <v>604</v>
      </c>
      <c r="E15" s="2871"/>
      <c r="F15" s="2871"/>
      <c r="G15" s="2871"/>
      <c r="H15" s="2871"/>
      <c r="I15" s="2871"/>
      <c r="J15" s="2925">
        <f ca="1">UDV.u.baseline_rank</f>
        <v>1</v>
      </c>
      <c r="K15" s="2925"/>
      <c r="L15" s="2925">
        <f ca="1">UDV.u.alt1_rank</f>
        <v>1</v>
      </c>
      <c r="M15" s="2925"/>
      <c r="N15" s="2925">
        <f ca="1">UDV.u.alt2_rank</f>
        <v>2</v>
      </c>
      <c r="O15" s="2925"/>
      <c r="P15" s="2925">
        <f ca="1">UDV.u.alt3_rank</f>
        <v>3</v>
      </c>
      <c r="Q15" s="2925"/>
      <c r="R15" s="2925">
        <f ca="1">UDV.u.alt4_rank</f>
        <v>4</v>
      </c>
      <c r="S15" s="2935"/>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877" t="s">
        <v>597</v>
      </c>
      <c r="E16" s="2871"/>
      <c r="F16" s="2871"/>
      <c r="G16" s="2871"/>
      <c r="H16" s="2871"/>
      <c r="I16" s="2871"/>
      <c r="J16" s="2871" t="str">
        <f>UDV.u.farm_baseline</f>
        <v>Deep pit, tanker</v>
      </c>
      <c r="K16" s="2871"/>
      <c r="L16" s="2871" t="str">
        <f ca="1">UDV.u.farm_alt1</f>
        <v>Deep pit, tanker</v>
      </c>
      <c r="M16" s="2871"/>
      <c r="N16" s="2871" t="str">
        <f ca="1">UDV.u.farm_alt2</f>
        <v>Deep pit, aeration, tanker</v>
      </c>
      <c r="O16" s="2871"/>
      <c r="P16" s="2871" t="str">
        <f ca="1">UDV.u.farm_alt3</f>
        <v>Deep pit, drag hose</v>
      </c>
      <c r="Q16" s="2871"/>
      <c r="R16" s="2871" t="str">
        <f ca="1">UDV.u.farm_alt4</f>
        <v>Deep pit, aeration, drag hose</v>
      </c>
      <c r="S16" s="2872"/>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2877"/>
      <c r="E17" s="2871"/>
      <c r="F17" s="2871"/>
      <c r="G17" s="2871"/>
      <c r="H17" s="2871"/>
      <c r="I17" s="2871"/>
      <c r="J17" s="2871"/>
      <c r="K17" s="2871"/>
      <c r="L17" s="2871"/>
      <c r="M17" s="2871"/>
      <c r="N17" s="2871"/>
      <c r="O17" s="2871"/>
      <c r="P17" s="2871"/>
      <c r="Q17" s="2871"/>
      <c r="R17" s="2871"/>
      <c r="S17" s="2872"/>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877"/>
      <c r="E18" s="2871"/>
      <c r="F18" s="2871"/>
      <c r="G18" s="2871"/>
      <c r="H18" s="2871"/>
      <c r="I18" s="2871"/>
      <c r="J18" s="2871"/>
      <c r="K18" s="2871"/>
      <c r="L18" s="2871"/>
      <c r="M18" s="2871"/>
      <c r="N18" s="2871"/>
      <c r="O18" s="2871"/>
      <c r="P18" s="2871"/>
      <c r="Q18" s="2871"/>
      <c r="R18" s="2871"/>
      <c r="S18" s="2872"/>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877"/>
      <c r="E19" s="2871"/>
      <c r="F19" s="2871"/>
      <c r="G19" s="2871"/>
      <c r="H19" s="2871"/>
      <c r="I19" s="2871"/>
      <c r="J19" s="2871"/>
      <c r="K19" s="2871"/>
      <c r="L19" s="2871"/>
      <c r="M19" s="2871"/>
      <c r="N19" s="2871"/>
      <c r="O19" s="2871"/>
      <c r="P19" s="2871"/>
      <c r="Q19" s="2871"/>
      <c r="R19" s="2871"/>
      <c r="S19" s="2872"/>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877"/>
      <c r="E20" s="2871"/>
      <c r="F20" s="2871"/>
      <c r="G20" s="2871"/>
      <c r="H20" s="2871"/>
      <c r="I20" s="2871"/>
      <c r="J20" s="2871"/>
      <c r="K20" s="2871"/>
      <c r="L20" s="2871"/>
      <c r="M20" s="2871"/>
      <c r="N20" s="2871"/>
      <c r="O20" s="2871"/>
      <c r="P20" s="2871"/>
      <c r="Q20" s="2871"/>
      <c r="R20" s="2871"/>
      <c r="S20" s="2872"/>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877"/>
      <c r="E21" s="2871"/>
      <c r="F21" s="2871"/>
      <c r="G21" s="2871"/>
      <c r="H21" s="2871"/>
      <c r="I21" s="2871"/>
      <c r="J21" s="2871"/>
      <c r="K21" s="2871"/>
      <c r="L21" s="2871"/>
      <c r="M21" s="2871"/>
      <c r="N21" s="2871"/>
      <c r="O21" s="2871"/>
      <c r="P21" s="2871"/>
      <c r="Q21" s="2871"/>
      <c r="R21" s="2871"/>
      <c r="S21" s="2872"/>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877"/>
      <c r="E22" s="2871"/>
      <c r="F22" s="2871"/>
      <c r="G22" s="2871"/>
      <c r="H22" s="2871"/>
      <c r="I22" s="2871"/>
      <c r="J22" s="2871"/>
      <c r="K22" s="2871"/>
      <c r="L22" s="2871"/>
      <c r="M22" s="2871"/>
      <c r="N22" s="2871"/>
      <c r="O22" s="2871"/>
      <c r="P22" s="2871"/>
      <c r="Q22" s="2871"/>
      <c r="R22" s="2871"/>
      <c r="S22" s="2872"/>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877"/>
      <c r="E23" s="2871"/>
      <c r="F23" s="2871"/>
      <c r="G23" s="2871"/>
      <c r="H23" s="2871"/>
      <c r="I23" s="2871"/>
      <c r="J23" s="2871"/>
      <c r="K23" s="2871"/>
      <c r="L23" s="2871"/>
      <c r="M23" s="2871"/>
      <c r="N23" s="2871"/>
      <c r="O23" s="2871"/>
      <c r="P23" s="2871"/>
      <c r="Q23" s="2871"/>
      <c r="R23" s="2871"/>
      <c r="S23" s="2872"/>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946" t="str">
        <f>Plot.Tables!C36</f>
        <v>Carbon footprint (ton (2000 lb) CO2E/head/year)</v>
      </c>
      <c r="E24" s="2947"/>
      <c r="F24" s="2947"/>
      <c r="G24" s="2947"/>
      <c r="H24" s="2947"/>
      <c r="I24" s="2947"/>
      <c r="J24" s="2938">
        <f>Plot.Tables!K36</f>
        <v>0.57113546821359251</v>
      </c>
      <c r="K24" s="2938"/>
      <c r="L24" s="2953">
        <f ca="1">Plot.Tables!M36</f>
        <v>0.57113546821359251</v>
      </c>
      <c r="M24" s="2953"/>
      <c r="N24" s="2953">
        <f ca="1">Plot.Tables!O36</f>
        <v>0.34101792796293395</v>
      </c>
      <c r="O24" s="2953"/>
      <c r="P24" s="2938">
        <f ca="1">Plot.Tables!Q36</f>
        <v>0.57399030694705988</v>
      </c>
      <c r="Q24" s="2938"/>
      <c r="R24" s="2938">
        <f ca="1">Plot.Tables!S36</f>
        <v>0.34240388293361629</v>
      </c>
      <c r="S24" s="2939"/>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946" t="str">
        <f>Plot.Tables!C37</f>
        <v>Land footprint (acre/head/year)</v>
      </c>
      <c r="E25" s="2947"/>
      <c r="F25" s="2947"/>
      <c r="G25" s="2947"/>
      <c r="H25" s="2947"/>
      <c r="I25" s="2947"/>
      <c r="J25" s="2938">
        <f>Plot.Tables!K37</f>
        <v>0.15290585659551295</v>
      </c>
      <c r="K25" s="2938"/>
      <c r="L25" s="2938">
        <f ca="1">Plot.Tables!M37</f>
        <v>0.15290585659551295</v>
      </c>
      <c r="M25" s="2938"/>
      <c r="N25" s="2938">
        <f ca="1">Plot.Tables!O37</f>
        <v>9.1748660576578017E-2</v>
      </c>
      <c r="O25" s="2938"/>
      <c r="P25" s="2938">
        <f ca="1">Plot.Tables!Q37</f>
        <v>0.15290585659551295</v>
      </c>
      <c r="Q25" s="2938"/>
      <c r="R25" s="2938">
        <f ca="1">Plot.Tables!S37</f>
        <v>9.1748660576578017E-2</v>
      </c>
      <c r="S25" s="2939"/>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946" t="str">
        <f>Plot.Tables!C38</f>
        <v>Energy footprint (kWhr/head/year)</v>
      </c>
      <c r="E26" s="2947"/>
      <c r="F26" s="2947"/>
      <c r="G26" s="2947"/>
      <c r="H26" s="2947"/>
      <c r="I26" s="2947"/>
      <c r="J26" s="2938">
        <f>Plot.Tables!K38</f>
        <v>0</v>
      </c>
      <c r="K26" s="2938"/>
      <c r="L26" s="2938">
        <f ca="1">Plot.Tables!M38</f>
        <v>0</v>
      </c>
      <c r="M26" s="2938"/>
      <c r="N26" s="2938">
        <f ca="1">Plot.Tables!O38</f>
        <v>0</v>
      </c>
      <c r="O26" s="2938"/>
      <c r="P26" s="2938">
        <f ca="1">Plot.Tables!Q38</f>
        <v>0</v>
      </c>
      <c r="Q26" s="2938"/>
      <c r="R26" s="2938">
        <f ca="1">Plot.Tables!S38</f>
        <v>0</v>
      </c>
      <c r="S26" s="2939"/>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946" t="str">
        <f>Plot.Tables!C39</f>
        <v>Water consumption (gal/head/year)</v>
      </c>
      <c r="E27" s="2947"/>
      <c r="F27" s="2947"/>
      <c r="G27" s="2947"/>
      <c r="H27" s="2947"/>
      <c r="I27" s="2947"/>
      <c r="J27" s="2938">
        <f>Plot.Tables!K39</f>
        <v>0</v>
      </c>
      <c r="K27" s="2938"/>
      <c r="L27" s="2938">
        <f ca="1">Plot.Tables!M39</f>
        <v>0</v>
      </c>
      <c r="M27" s="2938"/>
      <c r="N27" s="2938">
        <f ca="1">Plot.Tables!O39</f>
        <v>0</v>
      </c>
      <c r="O27" s="2938"/>
      <c r="P27" s="2938">
        <f ca="1">Plot.Tables!Q39</f>
        <v>0</v>
      </c>
      <c r="Q27" s="2938"/>
      <c r="R27" s="2938">
        <f ca="1">Plot.Tables!S39</f>
        <v>0</v>
      </c>
      <c r="S27" s="2939"/>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946" t="str">
        <f>Plot.Tables!C40</f>
        <v>Nitrogen footprint (lb/head/year)</v>
      </c>
      <c r="E28" s="2947"/>
      <c r="F28" s="2947"/>
      <c r="G28" s="2947"/>
      <c r="H28" s="2947"/>
      <c r="I28" s="2947"/>
      <c r="J28" s="2938">
        <f>Plot.Tables!K40</f>
        <v>8.8806076154703533</v>
      </c>
      <c r="K28" s="2938"/>
      <c r="L28" s="2938">
        <f ca="1">Plot.Tables!M40</f>
        <v>8.8806076154703533</v>
      </c>
      <c r="M28" s="2938"/>
      <c r="N28" s="2948">
        <f ca="1">Plot.Tables!O40</f>
        <v>19.493877938087866</v>
      </c>
      <c r="O28" s="2948"/>
      <c r="P28" s="2938">
        <f ca="1">Plot.Tables!Q40</f>
        <v>8.8806076154703533</v>
      </c>
      <c r="Q28" s="2938"/>
      <c r="R28" s="2938">
        <f ca="1">Plot.Tables!S40</f>
        <v>19.493877938087866</v>
      </c>
      <c r="S28" s="2939"/>
      <c r="T28" s="963"/>
      <c r="U28" s="609"/>
      <c r="V28" s="926"/>
      <c r="W28" s="926"/>
      <c r="X28" s="926"/>
      <c r="Y28" s="926"/>
      <c r="Z28" s="926"/>
      <c r="AA28" s="926"/>
      <c r="AB28" s="926"/>
      <c r="AC28" s="926"/>
      <c r="AD28" s="926"/>
      <c r="AE28" s="926"/>
      <c r="AF28" s="926"/>
      <c r="AG28" s="926"/>
      <c r="AH28" s="926"/>
      <c r="AI28" s="926"/>
      <c r="AJ28" s="926"/>
    </row>
    <row r="29" spans="1:36" ht="15" customHeight="1" thickBot="1" x14ac:dyDescent="0.35">
      <c r="A29" s="926"/>
      <c r="B29" s="609"/>
      <c r="C29" s="962"/>
      <c r="D29" s="2949" t="str">
        <f>Plot.Tables!C41</f>
        <v>Phosphorous excess (lb/head/year)</v>
      </c>
      <c r="E29" s="2950"/>
      <c r="F29" s="2950"/>
      <c r="G29" s="2950"/>
      <c r="H29" s="2950"/>
      <c r="I29" s="2950"/>
      <c r="J29" s="2940">
        <f>Plot.Tables!K41</f>
        <v>5.5112746043841678</v>
      </c>
      <c r="K29" s="2940"/>
      <c r="L29" s="2940">
        <f ca="1">Plot.Tables!M41</f>
        <v>5.5112746043841678</v>
      </c>
      <c r="M29" s="2951"/>
      <c r="N29" s="2952">
        <f ca="1">Plot.Tables!O41</f>
        <v>8.8749215826293248</v>
      </c>
      <c r="O29" s="2952"/>
      <c r="P29" s="2940">
        <f ca="1">Plot.Tables!Q41</f>
        <v>5.5112746043841678</v>
      </c>
      <c r="Q29" s="2940"/>
      <c r="R29" s="2940">
        <f ca="1">Plot.Tables!S41</f>
        <v>8.8749215826293248</v>
      </c>
      <c r="S29" s="2941"/>
      <c r="T29" s="963"/>
      <c r="U29" s="609"/>
      <c r="V29" s="926"/>
      <c r="W29" s="926"/>
      <c r="X29" s="926"/>
      <c r="Y29" s="926"/>
      <c r="Z29" s="926"/>
      <c r="AA29" s="926"/>
      <c r="AB29" s="926"/>
      <c r="AC29" s="926"/>
      <c r="AD29" s="926"/>
      <c r="AE29" s="926"/>
      <c r="AF29" s="926"/>
      <c r="AG29" s="926"/>
      <c r="AH29" s="926"/>
      <c r="AI29" s="926"/>
      <c r="AJ29" s="926"/>
    </row>
    <row r="30" spans="1:36" ht="15" customHeight="1" thickBot="1" x14ac:dyDescent="0.35">
      <c r="A30" s="926"/>
      <c r="B30" s="609"/>
      <c r="C30" s="962"/>
      <c r="D30" s="958"/>
      <c r="E30" s="1772"/>
      <c r="F30" s="1772"/>
      <c r="G30" s="1772"/>
      <c r="H30" s="1772"/>
      <c r="I30" s="1772"/>
      <c r="J30" s="1772"/>
      <c r="K30" s="1772"/>
      <c r="L30" s="1772"/>
      <c r="M30" s="958"/>
      <c r="N30" s="958"/>
      <c r="O30" s="2942"/>
      <c r="P30" s="2942"/>
      <c r="Q30" s="958"/>
      <c r="R30" s="958"/>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943" t="s">
        <v>631</v>
      </c>
      <c r="E31" s="2918"/>
      <c r="F31" s="2918"/>
      <c r="G31" s="2918"/>
      <c r="H31" s="2918"/>
      <c r="I31" s="2918"/>
      <c r="J31" s="2918"/>
      <c r="K31" s="2918"/>
      <c r="L31" s="2918"/>
      <c r="M31" s="2918"/>
      <c r="N31" s="2918"/>
      <c r="O31" s="2918"/>
      <c r="P31" s="2918"/>
      <c r="Q31" s="2918"/>
      <c r="R31" s="2918"/>
      <c r="S31" s="2919"/>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877" t="s">
        <v>597</v>
      </c>
      <c r="E32" s="2871"/>
      <c r="F32" s="2871"/>
      <c r="G32" s="2871"/>
      <c r="H32" s="2871"/>
      <c r="I32" s="2871"/>
      <c r="J32" s="2944" t="s">
        <v>603</v>
      </c>
      <c r="K32" s="2944"/>
      <c r="L32" s="2944" t="s">
        <v>590</v>
      </c>
      <c r="M32" s="2944"/>
      <c r="N32" s="2944" t="s">
        <v>591</v>
      </c>
      <c r="O32" s="2944"/>
      <c r="P32" s="2944" t="s">
        <v>592</v>
      </c>
      <c r="Q32" s="2944"/>
      <c r="R32" s="2944" t="s">
        <v>593</v>
      </c>
      <c r="S32" s="2945"/>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877"/>
      <c r="E33" s="2871"/>
      <c r="F33" s="2871"/>
      <c r="G33" s="2871"/>
      <c r="H33" s="2871"/>
      <c r="I33" s="2871"/>
      <c r="J33" s="2871" t="str">
        <f>UDV.u.farm_baseline</f>
        <v>Deep pit, tanker</v>
      </c>
      <c r="K33" s="2871"/>
      <c r="L33" s="2871" t="str">
        <f ca="1">UDV.u.farm_alt1</f>
        <v>Deep pit, tanker</v>
      </c>
      <c r="M33" s="2871"/>
      <c r="N33" s="2871" t="str">
        <f ca="1">UDV.u.farm_alt2</f>
        <v>Deep pit, aeration, tanker</v>
      </c>
      <c r="O33" s="2871"/>
      <c r="P33" s="2871" t="str">
        <f ca="1">UDV.u.farm_alt3</f>
        <v>Deep pit, drag hose</v>
      </c>
      <c r="Q33" s="2871"/>
      <c r="R33" s="2871" t="str">
        <f ca="1">UDV.u.farm_alt4</f>
        <v>Deep pit, aeration, drag hose</v>
      </c>
      <c r="S33" s="2872"/>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2877"/>
      <c r="E34" s="2871"/>
      <c r="F34" s="2871"/>
      <c r="G34" s="2871"/>
      <c r="H34" s="2871"/>
      <c r="I34" s="2871"/>
      <c r="J34" s="2871"/>
      <c r="K34" s="2871"/>
      <c r="L34" s="2871"/>
      <c r="M34" s="2871"/>
      <c r="N34" s="2871"/>
      <c r="O34" s="2871"/>
      <c r="P34" s="2871"/>
      <c r="Q34" s="2871"/>
      <c r="R34" s="2871"/>
      <c r="S34" s="2872"/>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2877"/>
      <c r="E35" s="2871"/>
      <c r="F35" s="2871"/>
      <c r="G35" s="2871"/>
      <c r="H35" s="2871"/>
      <c r="I35" s="2871"/>
      <c r="J35" s="2871"/>
      <c r="K35" s="2871"/>
      <c r="L35" s="2871"/>
      <c r="M35" s="2871"/>
      <c r="N35" s="2871"/>
      <c r="O35" s="2871"/>
      <c r="P35" s="2871"/>
      <c r="Q35" s="2871"/>
      <c r="R35" s="2871"/>
      <c r="S35" s="2872"/>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2877"/>
      <c r="E36" s="2871"/>
      <c r="F36" s="2871"/>
      <c r="G36" s="2871"/>
      <c r="H36" s="2871"/>
      <c r="I36" s="2871"/>
      <c r="J36" s="2871"/>
      <c r="K36" s="2871"/>
      <c r="L36" s="2871"/>
      <c r="M36" s="2871"/>
      <c r="N36" s="2871"/>
      <c r="O36" s="2871"/>
      <c r="P36" s="2871"/>
      <c r="Q36" s="2871"/>
      <c r="R36" s="2871"/>
      <c r="S36" s="2872"/>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2877"/>
      <c r="E37" s="2871"/>
      <c r="F37" s="2871"/>
      <c r="G37" s="2871"/>
      <c r="H37" s="2871"/>
      <c r="I37" s="2871"/>
      <c r="J37" s="2871"/>
      <c r="K37" s="2871"/>
      <c r="L37" s="2871"/>
      <c r="M37" s="2871"/>
      <c r="N37" s="2871"/>
      <c r="O37" s="2871"/>
      <c r="P37" s="2871"/>
      <c r="Q37" s="2871"/>
      <c r="R37" s="2871"/>
      <c r="S37" s="2872"/>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2877"/>
      <c r="E38" s="2871"/>
      <c r="F38" s="2871"/>
      <c r="G38" s="2871"/>
      <c r="H38" s="2871"/>
      <c r="I38" s="2871"/>
      <c r="J38" s="2871"/>
      <c r="K38" s="2871"/>
      <c r="L38" s="2871"/>
      <c r="M38" s="2871"/>
      <c r="N38" s="2871"/>
      <c r="O38" s="2871"/>
      <c r="P38" s="2871"/>
      <c r="Q38" s="2871"/>
      <c r="R38" s="2871"/>
      <c r="S38" s="2872"/>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2877"/>
      <c r="E39" s="2871"/>
      <c r="F39" s="2871"/>
      <c r="G39" s="2871"/>
      <c r="H39" s="2871"/>
      <c r="I39" s="2871"/>
      <c r="J39" s="2871"/>
      <c r="K39" s="2871"/>
      <c r="L39" s="2871"/>
      <c r="M39" s="2871"/>
      <c r="N39" s="2871"/>
      <c r="O39" s="2871"/>
      <c r="P39" s="2871"/>
      <c r="Q39" s="2871"/>
      <c r="R39" s="2871"/>
      <c r="S39" s="2872"/>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2877"/>
      <c r="E40" s="2871"/>
      <c r="F40" s="2871"/>
      <c r="G40" s="2871"/>
      <c r="H40" s="2871"/>
      <c r="I40" s="2871"/>
      <c r="J40" s="2871"/>
      <c r="K40" s="2871"/>
      <c r="L40" s="2871"/>
      <c r="M40" s="2871"/>
      <c r="N40" s="2871"/>
      <c r="O40" s="2871"/>
      <c r="P40" s="2871"/>
      <c r="Q40" s="2871"/>
      <c r="R40" s="2871"/>
      <c r="S40" s="2872"/>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2936" t="str">
        <f>Plot.Tables!C43</f>
        <v>Carbon footprint (ton (2000 lb) CO2E/head/year)</v>
      </c>
      <c r="E41" s="2937"/>
      <c r="F41" s="2937"/>
      <c r="G41" s="2937"/>
      <c r="H41" s="2937"/>
      <c r="I41" s="2937"/>
      <c r="J41" s="2938">
        <f>Plot.Tables!K43</f>
        <v>0.55673769776474924</v>
      </c>
      <c r="K41" s="2938"/>
      <c r="L41" s="2938">
        <f ca="1">Plot.Tables!M43</f>
        <v>0.55673769776474924</v>
      </c>
      <c r="M41" s="2938"/>
      <c r="N41" s="2938">
        <f ca="1">Plot.Tables!O43</f>
        <v>0.34591961235783547</v>
      </c>
      <c r="O41" s="2938"/>
      <c r="P41" s="2938">
        <f ca="1">Plot.Tables!Q43</f>
        <v>0.56142162438341248</v>
      </c>
      <c r="Q41" s="2938"/>
      <c r="R41" s="2938">
        <f ca="1">Plot.Tables!S43</f>
        <v>0.34819354513846679</v>
      </c>
      <c r="S41" s="2939"/>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2936" t="str">
        <f>Plot.Tables!C44</f>
        <v>Land footprint (acre/head/year)</v>
      </c>
      <c r="E42" s="2937"/>
      <c r="F42" s="2937"/>
      <c r="G42" s="2937"/>
      <c r="H42" s="2937"/>
      <c r="I42" s="2937"/>
      <c r="J42" s="2938">
        <f>Plot.Tables!K44</f>
        <v>0.15290585659551295</v>
      </c>
      <c r="K42" s="2938"/>
      <c r="L42" s="2938">
        <f ca="1">Plot.Tables!M44</f>
        <v>0.15290585659551295</v>
      </c>
      <c r="M42" s="2938"/>
      <c r="N42" s="2938">
        <f ca="1">Plot.Tables!O44</f>
        <v>9.1748660576578017E-2</v>
      </c>
      <c r="O42" s="2938"/>
      <c r="P42" s="2938">
        <f ca="1">Plot.Tables!Q44</f>
        <v>0.15290585659551295</v>
      </c>
      <c r="Q42" s="2938"/>
      <c r="R42" s="2938">
        <f ca="1">Plot.Tables!S44</f>
        <v>9.1748660576578017E-2</v>
      </c>
      <c r="S42" s="2939"/>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2936" t="str">
        <f>Plot.Tables!C45</f>
        <v>Energy footprint (kWhr/head/year)</v>
      </c>
      <c r="E43" s="2937"/>
      <c r="F43" s="2937"/>
      <c r="G43" s="2937"/>
      <c r="H43" s="2937"/>
      <c r="I43" s="2937"/>
      <c r="J43" s="2938">
        <f>Plot.Tables!K45</f>
        <v>-175.84678841120939</v>
      </c>
      <c r="K43" s="2938"/>
      <c r="L43" s="2938">
        <f ca="1">Plot.Tables!M45</f>
        <v>-175.84678841120939</v>
      </c>
      <c r="M43" s="2938"/>
      <c r="N43" s="2938">
        <f ca="1">Plot.Tables!O45</f>
        <v>-88.665354960517263</v>
      </c>
      <c r="O43" s="2938"/>
      <c r="P43" s="2938">
        <f ca="1">Plot.Tables!Q45</f>
        <v>-159.24980133021793</v>
      </c>
      <c r="Q43" s="2938"/>
      <c r="R43" s="2938">
        <f ca="1">Plot.Tables!S45</f>
        <v>-80.607920236240062</v>
      </c>
      <c r="S43" s="2939"/>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2936" t="str">
        <f>Plot.Tables!C46</f>
        <v>Water consumption (gal/head/year)</v>
      </c>
      <c r="E44" s="2937"/>
      <c r="F44" s="2937"/>
      <c r="G44" s="2937"/>
      <c r="H44" s="2937"/>
      <c r="I44" s="2937"/>
      <c r="J44" s="2938">
        <f>Plot.Tables!K46</f>
        <v>0.78467102406457045</v>
      </c>
      <c r="K44" s="2938"/>
      <c r="L44" s="2938">
        <f ca="1">Plot.Tables!M46</f>
        <v>0.78467102406457045</v>
      </c>
      <c r="M44" s="2938"/>
      <c r="N44" s="2938">
        <f ca="1">Plot.Tables!O46</f>
        <v>14.903654095344963</v>
      </c>
      <c r="O44" s="2938"/>
      <c r="P44" s="2938">
        <f ca="1">Plot.Tables!Q46</f>
        <v>5.1681314895837227</v>
      </c>
      <c r="Q44" s="2938"/>
      <c r="R44" s="2938">
        <f ca="1">Plot.Tables!S46</f>
        <v>17.031717845410885</v>
      </c>
      <c r="S44" s="2939"/>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2936" t="str">
        <f>Plot.Tables!C47</f>
        <v>Nitrogen footprint (lb/head/year)</v>
      </c>
      <c r="E45" s="2937"/>
      <c r="F45" s="2937"/>
      <c r="G45" s="2937"/>
      <c r="H45" s="2937"/>
      <c r="I45" s="2937"/>
      <c r="J45" s="2938">
        <f>Plot.Tables!K47</f>
        <v>8.8806076154703533</v>
      </c>
      <c r="K45" s="2938"/>
      <c r="L45" s="2938">
        <f ca="1">Plot.Tables!M47</f>
        <v>8.8806076154703533</v>
      </c>
      <c r="M45" s="2938"/>
      <c r="N45" s="2938">
        <f ca="1">Plot.Tables!O47</f>
        <v>19.493877938087866</v>
      </c>
      <c r="O45" s="2938"/>
      <c r="P45" s="2938">
        <f ca="1">Plot.Tables!Q47</f>
        <v>8.8806076154703533</v>
      </c>
      <c r="Q45" s="2938"/>
      <c r="R45" s="2938">
        <f ca="1">Plot.Tables!S47</f>
        <v>19.493877938087866</v>
      </c>
      <c r="S45" s="2939"/>
      <c r="T45" s="963"/>
      <c r="U45" s="609"/>
      <c r="V45" s="926"/>
      <c r="W45" s="926"/>
      <c r="X45" s="926"/>
      <c r="Y45" s="926"/>
      <c r="Z45" s="926"/>
      <c r="AA45" s="926"/>
      <c r="AB45" s="926"/>
      <c r="AC45" s="926"/>
      <c r="AD45" s="926"/>
      <c r="AE45" s="926"/>
      <c r="AF45" s="926"/>
      <c r="AG45" s="926"/>
      <c r="AH45" s="926"/>
      <c r="AI45" s="926"/>
      <c r="AJ45" s="926"/>
    </row>
    <row r="46" spans="1:36" ht="15" customHeight="1" thickBot="1" x14ac:dyDescent="0.35">
      <c r="A46" s="926"/>
      <c r="B46" s="609"/>
      <c r="C46" s="962"/>
      <c r="D46" s="2933" t="str">
        <f>Plot.Tables!C48</f>
        <v>Phosphorous excess (lb/head/year)</v>
      </c>
      <c r="E46" s="2934"/>
      <c r="F46" s="2934"/>
      <c r="G46" s="2934"/>
      <c r="H46" s="2934"/>
      <c r="I46" s="2934"/>
      <c r="J46" s="2940">
        <f>Plot.Tables!K48</f>
        <v>5.5112746043841678</v>
      </c>
      <c r="K46" s="2940"/>
      <c r="L46" s="2940">
        <f ca="1">Plot.Tables!M48</f>
        <v>5.5112746043841678</v>
      </c>
      <c r="M46" s="2940"/>
      <c r="N46" s="2940">
        <f ca="1">Plot.Tables!O48</f>
        <v>8.8749215826293248</v>
      </c>
      <c r="O46" s="2940"/>
      <c r="P46" s="2940">
        <f ca="1">Plot.Tables!Q48</f>
        <v>5.5112746043841678</v>
      </c>
      <c r="Q46" s="2940"/>
      <c r="R46" s="2940">
        <f ca="1">Plot.Tables!S48</f>
        <v>8.8749215826293248</v>
      </c>
      <c r="S46" s="2941"/>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40"/>
      <c r="F47" s="40"/>
      <c r="G47" s="1064"/>
      <c r="H47" s="1064"/>
      <c r="I47" s="1064"/>
      <c r="J47" s="1064"/>
      <c r="K47" s="1064"/>
      <c r="L47" s="1065"/>
      <c r="M47" s="972"/>
      <c r="N47" s="972"/>
      <c r="O47" s="972"/>
      <c r="P47" s="40"/>
      <c r="Q47" s="40"/>
      <c r="R47" s="40"/>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40"/>
      <c r="F48" s="40"/>
      <c r="G48" s="1064"/>
      <c r="H48" s="1064"/>
      <c r="I48" s="1064"/>
      <c r="J48" s="1064"/>
      <c r="K48" s="1064"/>
      <c r="L48" s="1065"/>
      <c r="M48" s="972"/>
      <c r="N48" s="972"/>
      <c r="O48" s="972"/>
      <c r="P48" s="40"/>
      <c r="Q48" s="40"/>
      <c r="R48" s="40"/>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40"/>
      <c r="F49" s="40"/>
      <c r="G49" s="1064"/>
      <c r="H49" s="1064"/>
      <c r="I49" s="1064"/>
      <c r="J49" s="1064"/>
      <c r="K49" s="1064"/>
      <c r="L49" s="1065"/>
      <c r="M49" s="972"/>
      <c r="N49" s="972"/>
      <c r="O49" s="972"/>
      <c r="P49" s="40"/>
      <c r="Q49" s="40"/>
      <c r="R49" s="40"/>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40"/>
      <c r="F50" s="40"/>
      <c r="G50" s="1064"/>
      <c r="H50" s="1064"/>
      <c r="I50" s="1064"/>
      <c r="J50" s="1064"/>
      <c r="K50" s="1064"/>
      <c r="L50" s="1065"/>
      <c r="M50" s="972"/>
      <c r="N50" s="972"/>
      <c r="O50" s="972"/>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40"/>
      <c r="F51" s="40"/>
      <c r="G51" s="1064"/>
      <c r="H51" s="1064"/>
      <c r="I51" s="1064"/>
      <c r="J51" s="1064"/>
      <c r="K51" s="1064"/>
      <c r="L51" s="1065"/>
      <c r="M51" s="972"/>
      <c r="N51" s="972"/>
      <c r="O51" s="972"/>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40"/>
      <c r="F52" s="40"/>
      <c r="G52" s="1064"/>
      <c r="H52" s="1064"/>
      <c r="I52" s="1064"/>
      <c r="J52" s="1064"/>
      <c r="K52" s="1064"/>
      <c r="L52" s="1065"/>
      <c r="M52" s="972"/>
      <c r="N52" s="972"/>
      <c r="O52" s="972"/>
      <c r="P52" s="40"/>
      <c r="Q52" s="40"/>
      <c r="R52" s="40"/>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40"/>
      <c r="F53" s="40"/>
      <c r="G53" s="1064"/>
      <c r="H53" s="1064"/>
      <c r="I53" s="1064"/>
      <c r="J53" s="1064"/>
      <c r="K53" s="1064"/>
      <c r="L53" s="1065"/>
      <c r="M53" s="972"/>
      <c r="N53" s="972"/>
      <c r="O53" s="972"/>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40"/>
      <c r="F54" s="40"/>
      <c r="G54" s="1064"/>
      <c r="H54" s="1064"/>
      <c r="I54" s="1064"/>
      <c r="J54" s="1064"/>
      <c r="K54" s="1064"/>
      <c r="L54" s="1065"/>
      <c r="M54" s="972"/>
      <c r="N54" s="972"/>
      <c r="O54" s="972"/>
      <c r="P54" s="40"/>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1064"/>
      <c r="H55" s="1064"/>
      <c r="I55" s="1064"/>
      <c r="J55" s="1064"/>
      <c r="K55" s="1064"/>
      <c r="L55" s="1065"/>
      <c r="M55" s="972"/>
      <c r="N55" s="972"/>
      <c r="O55" s="972"/>
      <c r="P55" s="40"/>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1064"/>
      <c r="H56" s="1064"/>
      <c r="I56" s="1064"/>
      <c r="J56" s="1064"/>
      <c r="K56" s="1064"/>
      <c r="L56" s="1065"/>
      <c r="M56" s="972"/>
      <c r="N56" s="972"/>
      <c r="O56" s="972"/>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1064"/>
      <c r="H57" s="1064"/>
      <c r="I57" s="1064"/>
      <c r="J57" s="1064"/>
      <c r="K57" s="1064"/>
      <c r="L57" s="1065"/>
      <c r="M57" s="972"/>
      <c r="N57" s="972"/>
      <c r="O57" s="972"/>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1064"/>
      <c r="H58" s="1064"/>
      <c r="I58" s="1064"/>
      <c r="J58" s="1064"/>
      <c r="K58" s="1064"/>
      <c r="L58" s="1065"/>
      <c r="M58" s="972"/>
      <c r="N58" s="972"/>
      <c r="O58" s="972"/>
      <c r="P58" s="40"/>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40"/>
      <c r="E59" s="40"/>
      <c r="F59" s="40"/>
      <c r="G59" s="1064"/>
      <c r="H59" s="1064"/>
      <c r="I59" s="1064"/>
      <c r="J59" s="1064"/>
      <c r="K59" s="1064"/>
      <c r="L59" s="1065"/>
      <c r="M59" s="972"/>
      <c r="N59" s="972"/>
      <c r="O59" s="972"/>
      <c r="P59" s="40"/>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40"/>
      <c r="F60" s="40"/>
      <c r="G60" s="1064"/>
      <c r="H60" s="1064"/>
      <c r="I60" s="1064"/>
      <c r="J60" s="1064"/>
      <c r="K60" s="1064"/>
      <c r="L60" s="1065"/>
      <c r="M60" s="972"/>
      <c r="N60" s="972"/>
      <c r="O60" s="972"/>
      <c r="P60" s="40"/>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40"/>
      <c r="E61" s="40"/>
      <c r="F61" s="40"/>
      <c r="G61" s="1064"/>
      <c r="H61" s="1064"/>
      <c r="I61" s="1064"/>
      <c r="J61" s="1064"/>
      <c r="K61" s="1064"/>
      <c r="L61" s="1065"/>
      <c r="M61" s="972"/>
      <c r="N61" s="972"/>
      <c r="O61" s="972"/>
      <c r="P61" s="40"/>
      <c r="Q61" s="40"/>
      <c r="R61" s="40"/>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40"/>
      <c r="E62" s="40"/>
      <c r="F62" s="40"/>
      <c r="G62" s="1064"/>
      <c r="H62" s="1064"/>
      <c r="I62" s="1064"/>
      <c r="J62" s="1064"/>
      <c r="K62" s="1064"/>
      <c r="L62" s="1065"/>
      <c r="M62" s="972"/>
      <c r="N62" s="972"/>
      <c r="O62" s="972"/>
      <c r="P62" s="40"/>
      <c r="Q62" s="40"/>
      <c r="R62" s="40"/>
      <c r="S62" s="4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40"/>
      <c r="E63" s="40"/>
      <c r="F63" s="40"/>
      <c r="G63" s="1064"/>
      <c r="H63" s="1064"/>
      <c r="I63" s="1064"/>
      <c r="J63" s="1064"/>
      <c r="K63" s="1064"/>
      <c r="L63" s="1065"/>
      <c r="M63" s="972"/>
      <c r="N63" s="972"/>
      <c r="O63" s="972"/>
      <c r="P63" s="40"/>
      <c r="Q63" s="40"/>
      <c r="R63" s="40"/>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40"/>
      <c r="E64" s="40"/>
      <c r="F64" s="40"/>
      <c r="G64" s="1064"/>
      <c r="H64" s="1064"/>
      <c r="I64" s="1064"/>
      <c r="J64" s="1064"/>
      <c r="K64" s="1064"/>
      <c r="L64" s="1065"/>
      <c r="M64" s="972"/>
      <c r="N64" s="972"/>
      <c r="O64" s="972"/>
      <c r="P64" s="40"/>
      <c r="Q64" s="40"/>
      <c r="R64" s="40"/>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40"/>
      <c r="E65" s="40"/>
      <c r="F65" s="40"/>
      <c r="G65" s="1064"/>
      <c r="H65" s="1064"/>
      <c r="I65" s="1064"/>
      <c r="J65" s="1064"/>
      <c r="K65" s="1064"/>
      <c r="L65" s="1065"/>
      <c r="M65" s="972"/>
      <c r="N65" s="972"/>
      <c r="O65" s="972"/>
      <c r="P65" s="40"/>
      <c r="Q65" s="40"/>
      <c r="R65" s="40"/>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40"/>
      <c r="E66" s="40"/>
      <c r="F66" s="40"/>
      <c r="G66" s="1064"/>
      <c r="H66" s="1064"/>
      <c r="I66" s="1064"/>
      <c r="J66" s="1064"/>
      <c r="K66" s="1064"/>
      <c r="L66" s="1065"/>
      <c r="M66" s="972"/>
      <c r="N66" s="972"/>
      <c r="O66" s="972"/>
      <c r="P66" s="40"/>
      <c r="Q66" s="40"/>
      <c r="R66" s="40"/>
      <c r="S66" s="4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962"/>
      <c r="D67" s="40"/>
      <c r="E67" s="40"/>
      <c r="F67" s="40"/>
      <c r="G67" s="1064"/>
      <c r="H67" s="1064"/>
      <c r="I67" s="1064"/>
      <c r="J67" s="1064"/>
      <c r="K67" s="1064"/>
      <c r="L67" s="1065"/>
      <c r="M67" s="972"/>
      <c r="N67" s="972"/>
      <c r="O67" s="972"/>
      <c r="P67" s="40"/>
      <c r="Q67" s="40"/>
      <c r="R67" s="40"/>
      <c r="S67" s="4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962"/>
      <c r="D68" s="40"/>
      <c r="E68" s="40"/>
      <c r="F68" s="40"/>
      <c r="G68" s="1064"/>
      <c r="H68" s="1064"/>
      <c r="I68" s="1064"/>
      <c r="J68" s="1064"/>
      <c r="K68" s="1064"/>
      <c r="L68" s="1065"/>
      <c r="M68" s="972"/>
      <c r="N68" s="972"/>
      <c r="O68" s="972"/>
      <c r="P68" s="40"/>
      <c r="Q68" s="40"/>
      <c r="R68" s="40"/>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40"/>
      <c r="E69" s="40"/>
      <c r="F69" s="40"/>
      <c r="G69" s="1064"/>
      <c r="H69" s="1064"/>
      <c r="I69" s="1064"/>
      <c r="J69" s="1064"/>
      <c r="K69" s="1064"/>
      <c r="L69" s="1065"/>
      <c r="M69" s="972"/>
      <c r="N69" s="972"/>
      <c r="O69" s="972"/>
      <c r="P69" s="40"/>
      <c r="Q69" s="40"/>
      <c r="R69" s="40"/>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962"/>
      <c r="D70" s="40"/>
      <c r="E70" s="40"/>
      <c r="F70" s="40"/>
      <c r="G70" s="1064"/>
      <c r="H70" s="1064"/>
      <c r="I70" s="1064"/>
      <c r="J70" s="1064"/>
      <c r="K70" s="1064"/>
      <c r="L70" s="1065"/>
      <c r="M70" s="972"/>
      <c r="N70" s="972"/>
      <c r="O70" s="972"/>
      <c r="P70" s="40"/>
      <c r="Q70" s="40"/>
      <c r="R70" s="40"/>
      <c r="S70" s="4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962"/>
      <c r="D71" s="40"/>
      <c r="E71" s="40"/>
      <c r="F71" s="40"/>
      <c r="G71" s="1064"/>
      <c r="H71" s="1064"/>
      <c r="I71" s="1064"/>
      <c r="J71" s="1064"/>
      <c r="K71" s="1064"/>
      <c r="L71" s="1065"/>
      <c r="M71" s="972"/>
      <c r="N71" s="972"/>
      <c r="O71" s="972"/>
      <c r="P71" s="40"/>
      <c r="Q71" s="40"/>
      <c r="R71" s="40"/>
      <c r="S71" s="40"/>
      <c r="T71" s="963"/>
      <c r="U71" s="609"/>
      <c r="V71" s="926"/>
      <c r="W71" s="926"/>
      <c r="X71" s="926"/>
      <c r="Y71" s="926"/>
      <c r="Z71" s="926"/>
      <c r="AA71" s="926"/>
      <c r="AB71" s="926"/>
      <c r="AC71" s="926"/>
      <c r="AD71" s="926"/>
      <c r="AE71" s="926"/>
      <c r="AF71" s="926"/>
      <c r="AG71" s="926"/>
      <c r="AH71" s="926"/>
      <c r="AI71" s="926"/>
      <c r="AJ71" s="926"/>
    </row>
    <row r="72" spans="1:36" ht="15" customHeight="1" x14ac:dyDescent="0.3">
      <c r="A72" s="926"/>
      <c r="B72" s="609"/>
      <c r="C72" s="962"/>
      <c r="D72" s="40"/>
      <c r="E72" s="40"/>
      <c r="F72" s="40"/>
      <c r="G72" s="1064"/>
      <c r="H72" s="1064"/>
      <c r="I72" s="1064"/>
      <c r="J72" s="1064"/>
      <c r="K72" s="1064"/>
      <c r="L72" s="1065"/>
      <c r="M72" s="972"/>
      <c r="N72" s="972"/>
      <c r="O72" s="972"/>
      <c r="P72" s="40"/>
      <c r="Q72" s="40"/>
      <c r="R72" s="40"/>
      <c r="S72" s="40"/>
      <c r="T72" s="963"/>
      <c r="U72" s="609"/>
      <c r="V72" s="926"/>
      <c r="W72" s="926"/>
      <c r="X72" s="926"/>
      <c r="Y72" s="926"/>
      <c r="Z72" s="926"/>
      <c r="AA72" s="926"/>
      <c r="AB72" s="926"/>
      <c r="AC72" s="926"/>
      <c r="AD72" s="926"/>
      <c r="AE72" s="926"/>
      <c r="AF72" s="926"/>
      <c r="AG72" s="926"/>
      <c r="AH72" s="926"/>
      <c r="AI72" s="926"/>
      <c r="AJ72" s="926"/>
    </row>
    <row r="73" spans="1:36" ht="15" customHeight="1" x14ac:dyDescent="0.3">
      <c r="A73" s="926"/>
      <c r="B73" s="609"/>
      <c r="C73" s="962"/>
      <c r="D73" s="40"/>
      <c r="E73" s="40"/>
      <c r="F73" s="40"/>
      <c r="G73" s="1064"/>
      <c r="H73" s="1064"/>
      <c r="I73" s="1064"/>
      <c r="J73" s="1064"/>
      <c r="K73" s="1064"/>
      <c r="L73" s="1065"/>
      <c r="M73" s="972"/>
      <c r="N73" s="972"/>
      <c r="O73" s="40"/>
      <c r="P73" s="40"/>
      <c r="Q73" s="40"/>
      <c r="R73" s="40"/>
      <c r="S73" s="4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40"/>
      <c r="E74" s="40"/>
      <c r="F74" s="40"/>
      <c r="G74" s="1064"/>
      <c r="H74" s="1064"/>
      <c r="I74" s="1064"/>
      <c r="J74" s="1064"/>
      <c r="K74" s="1064"/>
      <c r="L74" s="1065"/>
      <c r="M74" s="972"/>
      <c r="N74" s="972"/>
      <c r="O74" s="40"/>
      <c r="P74" s="40"/>
      <c r="Q74" s="40"/>
      <c r="R74" s="40"/>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4">
      <c r="A75" s="926"/>
      <c r="B75" s="609"/>
      <c r="C75" s="962"/>
      <c r="D75" s="1762"/>
      <c r="E75" s="1771"/>
      <c r="F75" s="1771"/>
      <c r="G75" s="1771"/>
      <c r="H75" s="1771"/>
      <c r="I75" s="1771"/>
      <c r="J75" s="1771"/>
      <c r="K75" s="40"/>
      <c r="L75" s="1771"/>
      <c r="M75" s="1771"/>
      <c r="N75" s="1771"/>
      <c r="O75" s="1771"/>
      <c r="P75" s="1771"/>
      <c r="Q75" s="40"/>
      <c r="R75" s="40"/>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1764"/>
      <c r="E76" s="1764"/>
      <c r="F76" s="1764"/>
      <c r="G76" s="1764"/>
      <c r="H76" s="1764"/>
      <c r="I76" s="1764"/>
      <c r="J76" s="1764"/>
      <c r="K76" s="1764"/>
      <c r="L76" s="1764"/>
      <c r="M76" s="1764"/>
      <c r="N76" s="1764"/>
      <c r="O76" s="1764"/>
      <c r="P76" s="1764"/>
      <c r="Q76" s="1764"/>
      <c r="R76" s="1764"/>
      <c r="S76" s="40"/>
      <c r="T76" s="963"/>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962"/>
      <c r="D77" s="1765"/>
      <c r="E77" s="1765"/>
      <c r="F77" s="1765"/>
      <c r="G77" s="1765"/>
      <c r="H77" s="1765"/>
      <c r="I77" s="1764"/>
      <c r="J77" s="1764"/>
      <c r="K77" s="1764"/>
      <c r="L77" s="1764"/>
      <c r="M77" s="1764"/>
      <c r="N77" s="1764"/>
      <c r="O77" s="1764"/>
      <c r="P77" s="1764"/>
      <c r="Q77" s="1764"/>
      <c r="R77" s="1764"/>
      <c r="S77" s="40"/>
      <c r="T77" s="963"/>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962"/>
      <c r="D78" s="1765"/>
      <c r="E78" s="1765"/>
      <c r="F78" s="1765"/>
      <c r="G78" s="1765"/>
      <c r="H78" s="1765"/>
      <c r="I78" s="1765"/>
      <c r="J78" s="1765"/>
      <c r="K78" s="1765"/>
      <c r="L78" s="1765"/>
      <c r="M78" s="1765"/>
      <c r="N78" s="1765"/>
      <c r="O78" s="1765"/>
      <c r="P78" s="1765"/>
      <c r="Q78" s="1765"/>
      <c r="R78" s="1765"/>
      <c r="S78" s="40"/>
      <c r="T78" s="963"/>
      <c r="U78" s="609"/>
      <c r="V78" s="926"/>
      <c r="W78" s="926"/>
      <c r="X78" s="926"/>
      <c r="Y78" s="926"/>
      <c r="Z78" s="926"/>
      <c r="AA78" s="926"/>
      <c r="AB78" s="926"/>
      <c r="AC78" s="926"/>
      <c r="AD78" s="926"/>
      <c r="AE78" s="926"/>
      <c r="AF78" s="926"/>
      <c r="AG78" s="926"/>
      <c r="AH78" s="926"/>
      <c r="AI78" s="926"/>
      <c r="AJ78" s="926"/>
    </row>
    <row r="79" spans="1:36" ht="15" customHeight="1" thickBot="1" x14ac:dyDescent="0.35">
      <c r="A79" s="926"/>
      <c r="B79" s="609"/>
      <c r="C79" s="964"/>
      <c r="D79" s="965"/>
      <c r="E79" s="965"/>
      <c r="F79" s="965"/>
      <c r="G79" s="965"/>
      <c r="H79" s="965"/>
      <c r="I79" s="965"/>
      <c r="J79" s="965"/>
      <c r="K79" s="965"/>
      <c r="L79" s="965"/>
      <c r="M79" s="965"/>
      <c r="N79" s="965"/>
      <c r="O79" s="965"/>
      <c r="P79" s="965"/>
      <c r="Q79" s="965"/>
      <c r="R79" s="965"/>
      <c r="S79" s="965"/>
      <c r="T79" s="966"/>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609"/>
      <c r="D80" s="609"/>
      <c r="E80" s="609"/>
      <c r="F80" s="609"/>
      <c r="G80" s="609"/>
      <c r="H80" s="609"/>
      <c r="I80" s="609"/>
      <c r="J80" s="609"/>
      <c r="K80" s="609"/>
      <c r="L80" s="609"/>
      <c r="M80" s="609"/>
      <c r="N80" s="609"/>
      <c r="O80" s="609"/>
      <c r="P80" s="609"/>
      <c r="Q80" s="609"/>
      <c r="R80" s="609"/>
      <c r="S80" s="609"/>
      <c r="T80" s="609"/>
      <c r="U80" s="609"/>
      <c r="V80" s="926"/>
      <c r="W80" s="926"/>
      <c r="X80" s="926"/>
      <c r="Y80" s="926"/>
      <c r="Z80" s="926"/>
      <c r="AA80" s="926"/>
      <c r="AB80" s="926"/>
      <c r="AC80" s="926"/>
      <c r="AD80" s="926"/>
      <c r="AE80" s="926"/>
      <c r="AF80" s="926"/>
      <c r="AG80" s="926"/>
      <c r="AH80" s="926"/>
      <c r="AI80" s="926"/>
      <c r="AJ80" s="926"/>
    </row>
    <row r="81" spans="1:36" ht="15" customHeight="1"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ht="15" customHeight="1" x14ac:dyDescent="0.3">
      <c r="A82" s="926"/>
      <c r="B82" s="926"/>
      <c r="C82" s="2719" t="s">
        <v>594</v>
      </c>
      <c r="D82" s="2720"/>
      <c r="E82" s="923"/>
      <c r="F82" s="926"/>
      <c r="G82" s="926"/>
      <c r="H82" s="2345" t="s">
        <v>561</v>
      </c>
      <c r="I82" s="2351"/>
      <c r="J82" s="2345" t="s">
        <v>595</v>
      </c>
      <c r="K82" s="2351"/>
      <c r="L82" s="2345" t="s">
        <v>596</v>
      </c>
      <c r="M82" s="2351"/>
      <c r="N82" s="2362" t="s">
        <v>597</v>
      </c>
      <c r="O82" s="2833"/>
      <c r="P82" s="926"/>
      <c r="Q82" s="926"/>
      <c r="R82" s="926"/>
      <c r="S82" s="2356" t="s">
        <v>7</v>
      </c>
      <c r="T82" s="2774"/>
      <c r="U82" s="926"/>
      <c r="V82" s="926"/>
      <c r="W82" s="926"/>
      <c r="X82" s="926"/>
      <c r="Y82" s="926"/>
      <c r="Z82" s="926"/>
      <c r="AA82" s="926"/>
      <c r="AB82" s="926"/>
      <c r="AC82" s="926"/>
      <c r="AD82" s="926"/>
      <c r="AE82" s="926"/>
      <c r="AF82" s="926"/>
      <c r="AG82" s="926"/>
      <c r="AH82" s="926"/>
      <c r="AI82" s="926"/>
      <c r="AJ82" s="926"/>
    </row>
    <row r="83" spans="1:36" ht="15" customHeight="1" x14ac:dyDescent="0.3">
      <c r="A83" s="926"/>
      <c r="B83" s="926"/>
      <c r="C83" s="2721"/>
      <c r="D83" s="2722"/>
      <c r="E83" s="923"/>
      <c r="F83" s="926"/>
      <c r="G83" s="926"/>
      <c r="H83" s="2352"/>
      <c r="I83" s="2353"/>
      <c r="J83" s="2352"/>
      <c r="K83" s="2353"/>
      <c r="L83" s="2352"/>
      <c r="M83" s="2353"/>
      <c r="N83" s="2834"/>
      <c r="O83" s="2835"/>
      <c r="P83" s="926"/>
      <c r="Q83" s="926"/>
      <c r="R83" s="926"/>
      <c r="S83" s="2775"/>
      <c r="T83" s="2776"/>
      <c r="U83" s="926"/>
      <c r="V83" s="926"/>
      <c r="W83" s="926"/>
      <c r="X83" s="926"/>
      <c r="Y83" s="926"/>
      <c r="Z83" s="926"/>
      <c r="AA83" s="926"/>
      <c r="AB83" s="926"/>
      <c r="AC83" s="926"/>
      <c r="AD83" s="926"/>
      <c r="AE83" s="926"/>
      <c r="AF83" s="926"/>
      <c r="AG83" s="926"/>
      <c r="AH83" s="926"/>
      <c r="AI83" s="926"/>
      <c r="AJ83" s="926"/>
    </row>
    <row r="84" spans="1:36" ht="15" customHeight="1" thickBot="1" x14ac:dyDescent="0.35">
      <c r="A84" s="926"/>
      <c r="B84" s="926"/>
      <c r="C84" s="2723"/>
      <c r="D84" s="2724"/>
      <c r="E84" s="923"/>
      <c r="F84" s="926"/>
      <c r="G84" s="926"/>
      <c r="H84" s="2354"/>
      <c r="I84" s="2355"/>
      <c r="J84" s="2354"/>
      <c r="K84" s="2355"/>
      <c r="L84" s="2354"/>
      <c r="M84" s="2355"/>
      <c r="N84" s="2836"/>
      <c r="O84" s="2837"/>
      <c r="P84" s="926"/>
      <c r="Q84" s="926"/>
      <c r="R84" s="926"/>
      <c r="S84" s="2777"/>
      <c r="T84" s="2778"/>
      <c r="U84" s="926"/>
      <c r="V84" s="926"/>
      <c r="W84" s="926"/>
      <c r="X84" s="926"/>
      <c r="Y84" s="926"/>
      <c r="Z84" s="926"/>
      <c r="AA84" s="926"/>
      <c r="AB84" s="926"/>
      <c r="AC84" s="926"/>
      <c r="AD84" s="926"/>
      <c r="AE84" s="926"/>
      <c r="AF84" s="926"/>
      <c r="AG84" s="926"/>
      <c r="AH84" s="926"/>
      <c r="AI84" s="926"/>
      <c r="AJ84" s="926"/>
    </row>
    <row r="85" spans="1:36" ht="15" customHeight="1" x14ac:dyDescent="0.3">
      <c r="A85" s="926"/>
      <c r="B85" s="926"/>
      <c r="C85" s="926"/>
      <c r="D85" s="926"/>
      <c r="E85" s="923"/>
      <c r="F85" s="923"/>
      <c r="G85" s="923"/>
      <c r="H85" s="923"/>
      <c r="I85" s="2345" t="s">
        <v>598</v>
      </c>
      <c r="J85" s="2351"/>
      <c r="K85" s="2345" t="s">
        <v>599</v>
      </c>
      <c r="L85" s="2351"/>
      <c r="M85" s="2345" t="s">
        <v>600</v>
      </c>
      <c r="N85" s="2351"/>
      <c r="O85" s="923"/>
      <c r="P85" s="923"/>
      <c r="Q85" s="923"/>
      <c r="R85" s="923"/>
      <c r="S85" s="923"/>
      <c r="T85" s="923"/>
      <c r="U85" s="926"/>
      <c r="V85" s="926"/>
      <c r="W85" s="926"/>
      <c r="X85" s="926"/>
      <c r="Y85" s="926"/>
      <c r="Z85" s="926"/>
      <c r="AA85" s="926"/>
      <c r="AB85" s="926"/>
      <c r="AC85" s="926"/>
      <c r="AD85" s="926"/>
      <c r="AE85" s="926"/>
      <c r="AF85" s="926"/>
      <c r="AG85" s="926"/>
      <c r="AH85" s="926"/>
      <c r="AI85" s="926"/>
      <c r="AJ85" s="926"/>
    </row>
    <row r="86" spans="1:36" ht="15" customHeight="1" x14ac:dyDescent="0.3">
      <c r="A86" s="926"/>
      <c r="B86" s="926"/>
      <c r="C86" s="926"/>
      <c r="D86" s="926"/>
      <c r="E86" s="923"/>
      <c r="F86" s="926"/>
      <c r="G86" s="926"/>
      <c r="H86" s="926"/>
      <c r="I86" s="2352"/>
      <c r="J86" s="2353"/>
      <c r="K86" s="2352"/>
      <c r="L86" s="2353"/>
      <c r="M86" s="2352"/>
      <c r="N86" s="2353"/>
      <c r="O86" s="926"/>
      <c r="P86" s="926"/>
      <c r="Q86" s="926"/>
      <c r="R86" s="923"/>
      <c r="S86" s="923"/>
      <c r="T86" s="923"/>
      <c r="U86" s="926"/>
      <c r="V86" s="926"/>
      <c r="W86" s="926"/>
      <c r="X86" s="926"/>
      <c r="Y86" s="926"/>
      <c r="Z86" s="926"/>
      <c r="AA86" s="926"/>
      <c r="AB86" s="926"/>
      <c r="AC86" s="926"/>
      <c r="AD86" s="926"/>
      <c r="AE86" s="926"/>
      <c r="AF86" s="926"/>
      <c r="AG86" s="926"/>
      <c r="AH86" s="926"/>
      <c r="AI86" s="926"/>
      <c r="AJ86" s="926"/>
    </row>
    <row r="87" spans="1:36" ht="15" customHeight="1" thickBot="1" x14ac:dyDescent="0.35">
      <c r="A87" s="926"/>
      <c r="B87" s="926"/>
      <c r="C87" s="926"/>
      <c r="D87" s="926"/>
      <c r="E87" s="923"/>
      <c r="F87" s="926"/>
      <c r="G87" s="926"/>
      <c r="H87" s="926"/>
      <c r="I87" s="2354"/>
      <c r="J87" s="2355"/>
      <c r="K87" s="2354"/>
      <c r="L87" s="2355"/>
      <c r="M87" s="2354"/>
      <c r="N87" s="2355"/>
      <c r="O87" s="926"/>
      <c r="P87" s="926"/>
      <c r="Q87" s="926"/>
      <c r="R87" s="923"/>
      <c r="S87" s="923"/>
      <c r="T87" s="923"/>
      <c r="U87" s="926"/>
      <c r="V87" s="926"/>
      <c r="W87" s="926"/>
      <c r="X87" s="926"/>
      <c r="Y87" s="926"/>
      <c r="Z87" s="926"/>
      <c r="AA87" s="926"/>
      <c r="AB87" s="926"/>
      <c r="AC87" s="926"/>
      <c r="AD87" s="926"/>
      <c r="AE87" s="926"/>
      <c r="AF87" s="926"/>
      <c r="AG87" s="926"/>
      <c r="AH87" s="926"/>
      <c r="AI87" s="926"/>
      <c r="AJ87" s="926"/>
    </row>
    <row r="88" spans="1:36" ht="15" customHeight="1"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ht="15" customHeight="1"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ht="15" customHeight="1"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ht="15" customHeight="1"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ht="15" customHeight="1"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row r="93" spans="1:36" ht="15" customHeight="1" x14ac:dyDescent="0.3">
      <c r="A93" s="926"/>
      <c r="B93" s="926"/>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row>
    <row r="94" spans="1:36" ht="15" customHeight="1" x14ac:dyDescent="0.3">
      <c r="A94" s="926"/>
      <c r="B94" s="926"/>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row>
    <row r="95" spans="1:36" ht="15" customHeight="1" x14ac:dyDescent="0.3">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row>
    <row r="96" spans="1:36" ht="15" customHeight="1" x14ac:dyDescent="0.3">
      <c r="A96" s="926"/>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row>
    <row r="97" spans="1:36" ht="15" customHeight="1" x14ac:dyDescent="0.3">
      <c r="A97" s="926"/>
      <c r="B97" s="926"/>
      <c r="C97" s="926"/>
      <c r="D97" s="926"/>
      <c r="E97" s="926"/>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row>
    <row r="98" spans="1:36" ht="15" customHeight="1" x14ac:dyDescent="0.3">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row>
    <row r="99" spans="1:36" ht="15" customHeight="1" x14ac:dyDescent="0.3">
      <c r="A99" s="926"/>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row>
    <row r="100" spans="1:36" ht="15" customHeight="1" x14ac:dyDescent="0.3">
      <c r="A100" s="926"/>
      <c r="B100" s="926"/>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row>
    <row r="101" spans="1:36" ht="15" customHeight="1" x14ac:dyDescent="0.3">
      <c r="A101" s="926"/>
      <c r="B101" s="926"/>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row>
    <row r="102" spans="1:36" ht="15" customHeight="1" x14ac:dyDescent="0.3">
      <c r="A102" s="926"/>
      <c r="B102" s="926"/>
      <c r="C102" s="926"/>
      <c r="D102" s="926"/>
      <c r="E102" s="926"/>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row>
    <row r="103" spans="1:36" ht="15" customHeight="1" x14ac:dyDescent="0.3">
      <c r="A103" s="926"/>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row>
    <row r="104" spans="1:36" ht="15" customHeight="1" x14ac:dyDescent="0.3">
      <c r="A104" s="926"/>
      <c r="B104" s="926"/>
      <c r="C104" s="926"/>
      <c r="D104" s="926"/>
      <c r="E104" s="926"/>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row>
    <row r="105" spans="1:36" ht="15" customHeight="1" x14ac:dyDescent="0.3">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row>
    <row r="106" spans="1:36" ht="15" customHeight="1" x14ac:dyDescent="0.3">
      <c r="A106" s="926"/>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row>
  </sheetData>
  <mergeCells count="123">
    <mergeCell ref="C82:D84"/>
    <mergeCell ref="H82:I84"/>
    <mergeCell ref="J82:K84"/>
    <mergeCell ref="L82:M84"/>
    <mergeCell ref="N82:O84"/>
    <mergeCell ref="C2:D4"/>
    <mergeCell ref="S82:T84"/>
    <mergeCell ref="I85:J87"/>
    <mergeCell ref="K85:L87"/>
    <mergeCell ref="M85:N87"/>
    <mergeCell ref="G10:O11"/>
    <mergeCell ref="H2:I4"/>
    <mergeCell ref="J2:K4"/>
    <mergeCell ref="L2:M4"/>
    <mergeCell ref="N2:O4"/>
    <mergeCell ref="S2:T4"/>
    <mergeCell ref="I5:J7"/>
    <mergeCell ref="K5:L7"/>
    <mergeCell ref="M5:N7"/>
    <mergeCell ref="D13:S13"/>
    <mergeCell ref="D14:I14"/>
    <mergeCell ref="J14:K14"/>
    <mergeCell ref="L14:M14"/>
    <mergeCell ref="N14:O14"/>
    <mergeCell ref="P14:Q14"/>
    <mergeCell ref="R14:S14"/>
    <mergeCell ref="D15:I15"/>
    <mergeCell ref="J15:K15"/>
    <mergeCell ref="L15:M15"/>
    <mergeCell ref="N15:O15"/>
    <mergeCell ref="P15:Q15"/>
    <mergeCell ref="R15:S15"/>
    <mergeCell ref="D16:I23"/>
    <mergeCell ref="J16:K23"/>
    <mergeCell ref="L16:M23"/>
    <mergeCell ref="N16:O23"/>
    <mergeCell ref="P16:Q23"/>
    <mergeCell ref="R16:S23"/>
    <mergeCell ref="D24:I24"/>
    <mergeCell ref="J24:K24"/>
    <mergeCell ref="L24:M24"/>
    <mergeCell ref="N24:O24"/>
    <mergeCell ref="P24:Q24"/>
    <mergeCell ref="R24:S24"/>
    <mergeCell ref="D25:I25"/>
    <mergeCell ref="J25:K25"/>
    <mergeCell ref="L25:M25"/>
    <mergeCell ref="N25:O25"/>
    <mergeCell ref="P25:Q25"/>
    <mergeCell ref="R25:S25"/>
    <mergeCell ref="D26:I26"/>
    <mergeCell ref="J26:K26"/>
    <mergeCell ref="L26:M26"/>
    <mergeCell ref="N26:O26"/>
    <mergeCell ref="P26:Q26"/>
    <mergeCell ref="R26:S26"/>
    <mergeCell ref="D27:I27"/>
    <mergeCell ref="J27:K27"/>
    <mergeCell ref="L27:M27"/>
    <mergeCell ref="N27:O27"/>
    <mergeCell ref="P27:Q27"/>
    <mergeCell ref="R27:S27"/>
    <mergeCell ref="D28:I28"/>
    <mergeCell ref="J28:K28"/>
    <mergeCell ref="L28:M28"/>
    <mergeCell ref="N28:O28"/>
    <mergeCell ref="P28:Q28"/>
    <mergeCell ref="R28:S28"/>
    <mergeCell ref="D29:I29"/>
    <mergeCell ref="J29:K29"/>
    <mergeCell ref="L29:M29"/>
    <mergeCell ref="N29:O29"/>
    <mergeCell ref="P29:Q29"/>
    <mergeCell ref="R29:S29"/>
    <mergeCell ref="O30:P30"/>
    <mergeCell ref="D31:S31"/>
    <mergeCell ref="D32:I40"/>
    <mergeCell ref="J32:K32"/>
    <mergeCell ref="L32:M32"/>
    <mergeCell ref="N32:O32"/>
    <mergeCell ref="P32:Q32"/>
    <mergeCell ref="R32:S32"/>
    <mergeCell ref="J33:K40"/>
    <mergeCell ref="L33:M40"/>
    <mergeCell ref="N33:O40"/>
    <mergeCell ref="P33:Q40"/>
    <mergeCell ref="R33:S40"/>
    <mergeCell ref="D41:I41"/>
    <mergeCell ref="J41:K41"/>
    <mergeCell ref="L41:M41"/>
    <mergeCell ref="N41:O41"/>
    <mergeCell ref="P41:Q41"/>
    <mergeCell ref="R41:S41"/>
    <mergeCell ref="D42:I42"/>
    <mergeCell ref="J42:K42"/>
    <mergeCell ref="L42:M42"/>
    <mergeCell ref="N42:O42"/>
    <mergeCell ref="P42:Q42"/>
    <mergeCell ref="R42:S42"/>
    <mergeCell ref="D43:I43"/>
    <mergeCell ref="J43:K43"/>
    <mergeCell ref="L43:M43"/>
    <mergeCell ref="N43:O43"/>
    <mergeCell ref="P43:Q43"/>
    <mergeCell ref="R43:S43"/>
    <mergeCell ref="D44:I44"/>
    <mergeCell ref="J44:K44"/>
    <mergeCell ref="L44:M44"/>
    <mergeCell ref="N44:O44"/>
    <mergeCell ref="P44:Q44"/>
    <mergeCell ref="R44:S44"/>
    <mergeCell ref="D45:I45"/>
    <mergeCell ref="J45:K45"/>
    <mergeCell ref="L45:M45"/>
    <mergeCell ref="N45:O45"/>
    <mergeCell ref="P45:Q45"/>
    <mergeCell ref="R45:S45"/>
    <mergeCell ref="D46:I46"/>
    <mergeCell ref="J46:K46"/>
    <mergeCell ref="L46:M46"/>
    <mergeCell ref="N46:O46"/>
    <mergeCell ref="P46:Q46"/>
    <mergeCell ref="R46:S46"/>
  </mergeCells>
  <hyperlinks>
    <hyperlink ref="C2:D4" location="UI.Farm!A1" tooltip="Click to go to farm inputs page" display="Farm Info" xr:uid="{556B1F57-9131-43D6-9998-3BEE4A69879C}"/>
    <hyperlink ref="J2:K4" location="Results.Scenarios!A1" tooltip="Click to go to scenario descriptions page" display="Scenario Rankings and Descriptions" xr:uid="{29811296-5E42-4434-90C7-02409265D3D9}"/>
    <hyperlink ref="L2:M4" location="Results.Econ!A1" tooltip="Click to go to economic results page" display="Economic Results" xr:uid="{6E044FED-6008-4E8D-B0D7-959942295405}"/>
    <hyperlink ref="I5:J7" location="Results.Tech!A1" tooltip="Click to go to the functionality and logistics results" display="Functionality and Logistics Results" xr:uid="{91DDE77A-3775-42A2-9416-DEB432CC266B}"/>
    <hyperlink ref="H2:I4" location="Results.Summary!A1" tooltip="Click to go to results summary page" display="Results Summary" xr:uid="{1AB10650-ABE2-4885-8741-3C0DC556A5AD}"/>
    <hyperlink ref="K5:L7" location="Results.Resources!A1" tooltip="Click to go to the resources results page" display="Resources Results" xr:uid="{3A2181D1-D4C6-4F8C-942F-C26C9F691B5C}"/>
    <hyperlink ref="M5:N7" location="Results.Nutrients!A1" tooltip="Click to go to the nutrient concentrations page" display="Nutrient Concentrations" xr:uid="{209821CA-A001-4543-B5FC-3CD8E46DFAAE}"/>
    <hyperlink ref="N2:O4" location="Results.Env!A1" tooltip="Click to go to environmental results page" display="Environmental Results" xr:uid="{B73BA777-291B-4C87-993D-DE2A85298B1D}"/>
    <hyperlink ref="S2:T4" location="Results.Tech!A1" tooltip="Click to go to the functionality and logistics results" display="Functionality and Logistics Results" xr:uid="{69D649EB-F862-4204-99C2-BC1F6181D5DB}"/>
    <hyperlink ref="C82:D84" location="UI.Farm!A1" tooltip="Click to go to farm inputs page" display="Farm Info" xr:uid="{12D342E2-EDFE-4185-900A-B62B759B8E57}"/>
    <hyperlink ref="J82:K84" location="Results.Scenarios!A1" tooltip="Click to go to scenario descriptions page" display="Scenario Rankings and Descriptions" xr:uid="{E36BFC54-D0F6-4F56-8B70-0B05BA5F9098}"/>
    <hyperlink ref="L82:M84" location="Results.Econ!A1" tooltip="Click to go to economic results page" display="Economic Results" xr:uid="{8ED84BFE-8A6B-4DE2-BE4C-55F632E28845}"/>
    <hyperlink ref="I85:J87" location="Results.Tech!A1" tooltip="Click to go to the functionality and logistics results" display="Functionality and Logistics Results" xr:uid="{5862E085-B34B-496E-B8F4-5C626F4E880A}"/>
    <hyperlink ref="H82:I84" location="Results.Summary!A1" tooltip="Click to go to results summary page" display="Results Summary" xr:uid="{017CDCC2-1830-4B57-8576-03FB35A2E147}"/>
    <hyperlink ref="K85:L87" location="Results.Resources!A1" tooltip="Click to go to the resources results page" display="Resources Results" xr:uid="{86AB1ADE-CF1F-4C62-9921-D9CA248CE87C}"/>
    <hyperlink ref="M85:N87" location="Results.Nutrients!A1" tooltip="Click to go to the nutrient concentrations page" display="Nutrient Concentrations" xr:uid="{81CB3C59-0295-4E90-947B-A86C3DCE2FFF}"/>
    <hyperlink ref="N82:O84" location="Results.Env!A1" tooltip="Click to go to environmental results page" display="Environmental Results" xr:uid="{2DF0611B-BBCC-4A6B-A5A2-15F0AB1725A8}"/>
    <hyperlink ref="S82:T84" location="Results.Tech!A1" tooltip="Click to go to the functionality and logistics results" display="Functionality and Logistics Results" xr:uid="{4B02F13D-9E35-4F98-A1B2-DED6FC829DD3}"/>
  </hyperlinks>
  <printOptions horizontalCentered="1" verticalCentered="1"/>
  <pageMargins left="0.7" right="0.7" top="0.75" bottom="0.75" header="0.3" footer="0.3"/>
  <pageSetup scale="49" orientation="portrait" r:id="rId1"/>
  <rowBreaks count="1" manualBreakCount="1">
    <brk id="46" min="2" max="19"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BC2C-3D80-4B15-BF31-4CC12D63DA93}">
  <sheetPr codeName="Sheet42">
    <tabColor rgb="FFFFFF00"/>
  </sheetPr>
  <dimension ref="A1:AJ92"/>
  <sheetViews>
    <sheetView workbookViewId="0">
      <selection activeCell="K5" sqref="K5:L7"/>
    </sheetView>
  </sheetViews>
  <sheetFormatPr defaultColWidth="9.44140625" defaultRowHeight="15" customHeight="1" x14ac:dyDescent="0.3"/>
  <cols>
    <col min="1" max="2" width="2.5546875" customWidth="1"/>
    <col min="3" max="20" width="9.6640625" customWidth="1"/>
    <col min="21" max="22" width="2.5546875" customWidth="1"/>
    <col min="23" max="52" width="9.44140625" customWidth="1"/>
  </cols>
  <sheetData>
    <row r="1" spans="1:36" ht="15" customHeight="1"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926"/>
      <c r="B2" s="926"/>
      <c r="C2" s="2719" t="s">
        <v>594</v>
      </c>
      <c r="D2" s="2720"/>
      <c r="E2" s="923"/>
      <c r="F2" s="926"/>
      <c r="G2" s="926"/>
      <c r="H2" s="2345" t="s">
        <v>561</v>
      </c>
      <c r="I2" s="2351"/>
      <c r="J2" s="2345" t="s">
        <v>595</v>
      </c>
      <c r="K2" s="2351"/>
      <c r="L2" s="2345" t="s">
        <v>596</v>
      </c>
      <c r="M2" s="2351"/>
      <c r="N2" s="2345" t="s">
        <v>597</v>
      </c>
      <c r="O2" s="2351"/>
      <c r="P2" s="926"/>
      <c r="Q2" s="926"/>
      <c r="R2" s="926"/>
      <c r="S2" s="2356" t="s">
        <v>7</v>
      </c>
      <c r="T2" s="2774"/>
      <c r="U2" s="926"/>
      <c r="V2" s="926"/>
      <c r="W2" s="926"/>
      <c r="X2" s="926"/>
      <c r="Y2" s="926"/>
      <c r="Z2" s="926"/>
      <c r="AA2" s="926"/>
      <c r="AB2" s="926"/>
      <c r="AC2" s="926"/>
      <c r="AD2" s="926"/>
      <c r="AE2" s="926"/>
      <c r="AF2" s="926"/>
      <c r="AG2" s="926"/>
      <c r="AH2" s="926"/>
      <c r="AI2" s="926"/>
      <c r="AJ2" s="926"/>
    </row>
    <row r="3" spans="1:36" ht="15" customHeight="1" x14ac:dyDescent="0.3">
      <c r="A3" s="926"/>
      <c r="B3" s="926"/>
      <c r="C3" s="2721"/>
      <c r="D3" s="2722"/>
      <c r="E3" s="923"/>
      <c r="F3" s="926"/>
      <c r="G3" s="926"/>
      <c r="H3" s="2352"/>
      <c r="I3" s="2353"/>
      <c r="J3" s="2352"/>
      <c r="K3" s="2353"/>
      <c r="L3" s="2352"/>
      <c r="M3" s="2353"/>
      <c r="N3" s="2352"/>
      <c r="O3" s="2353"/>
      <c r="P3" s="926"/>
      <c r="Q3" s="926"/>
      <c r="R3" s="926"/>
      <c r="S3" s="2775"/>
      <c r="T3" s="2776"/>
      <c r="U3" s="926"/>
      <c r="V3" s="926"/>
      <c r="W3" s="926"/>
      <c r="X3" s="926"/>
      <c r="Y3" s="926"/>
      <c r="Z3" s="926"/>
      <c r="AA3" s="926"/>
      <c r="AB3" s="926"/>
      <c r="AC3" s="926"/>
      <c r="AD3" s="926"/>
      <c r="AE3" s="926"/>
      <c r="AF3" s="926"/>
      <c r="AG3" s="926"/>
      <c r="AH3" s="926"/>
      <c r="AI3" s="926"/>
      <c r="AJ3" s="926"/>
    </row>
    <row r="4" spans="1:36" ht="15" customHeight="1" thickBot="1" x14ac:dyDescent="0.35">
      <c r="A4" s="926"/>
      <c r="B4" s="926"/>
      <c r="C4" s="2723"/>
      <c r="D4" s="2724"/>
      <c r="E4" s="923"/>
      <c r="F4" s="926"/>
      <c r="G4" s="926"/>
      <c r="H4" s="2354"/>
      <c r="I4" s="2355"/>
      <c r="J4" s="2354"/>
      <c r="K4" s="2355"/>
      <c r="L4" s="2354"/>
      <c r="M4" s="2355"/>
      <c r="N4" s="2354"/>
      <c r="O4" s="2355"/>
      <c r="P4" s="926"/>
      <c r="Q4" s="926"/>
      <c r="R4" s="926"/>
      <c r="S4" s="2777"/>
      <c r="T4" s="2778"/>
      <c r="U4" s="926"/>
      <c r="V4" s="926"/>
      <c r="W4" s="926"/>
      <c r="X4" s="926"/>
      <c r="Y4" s="926"/>
      <c r="Z4" s="926"/>
      <c r="AA4" s="926"/>
      <c r="AB4" s="926"/>
      <c r="AC4" s="926"/>
      <c r="AD4" s="926"/>
      <c r="AE4" s="926"/>
      <c r="AF4" s="926"/>
      <c r="AG4" s="926"/>
      <c r="AH4" s="926"/>
      <c r="AI4" s="926"/>
      <c r="AJ4" s="926"/>
    </row>
    <row r="5" spans="1:36" ht="15" customHeight="1" x14ac:dyDescent="0.3">
      <c r="A5" s="926"/>
      <c r="B5" s="926"/>
      <c r="C5" s="926"/>
      <c r="D5" s="926"/>
      <c r="E5" s="923"/>
      <c r="F5" s="923"/>
      <c r="G5" s="923"/>
      <c r="H5" s="923"/>
      <c r="I5" s="2362" t="s">
        <v>598</v>
      </c>
      <c r="J5" s="2833"/>
      <c r="K5" s="2345" t="s">
        <v>599</v>
      </c>
      <c r="L5" s="2351"/>
      <c r="M5" s="2345" t="s">
        <v>600</v>
      </c>
      <c r="N5" s="2351"/>
      <c r="O5" s="923"/>
      <c r="P5" s="923"/>
      <c r="Q5" s="923"/>
      <c r="R5" s="923"/>
      <c r="S5" s="923"/>
      <c r="T5" s="923"/>
      <c r="U5" s="926"/>
      <c r="V5" s="926"/>
      <c r="W5" s="926"/>
      <c r="X5" s="926"/>
      <c r="Y5" s="926"/>
      <c r="Z5" s="926"/>
      <c r="AA5" s="926"/>
      <c r="AB5" s="926"/>
      <c r="AC5" s="926"/>
      <c r="AD5" s="926"/>
      <c r="AE5" s="926"/>
      <c r="AF5" s="926"/>
      <c r="AG5" s="926"/>
      <c r="AH5" s="926"/>
      <c r="AI5" s="926"/>
      <c r="AJ5" s="926"/>
    </row>
    <row r="6" spans="1:36" ht="15" customHeight="1" x14ac:dyDescent="0.3">
      <c r="A6" s="926"/>
      <c r="B6" s="926"/>
      <c r="C6" s="926"/>
      <c r="D6" s="926"/>
      <c r="E6" s="923"/>
      <c r="F6" s="926"/>
      <c r="G6" s="926"/>
      <c r="H6" s="926"/>
      <c r="I6" s="2834"/>
      <c r="J6" s="2835"/>
      <c r="K6" s="2352"/>
      <c r="L6" s="2353"/>
      <c r="M6" s="2352"/>
      <c r="N6" s="2353"/>
      <c r="O6" s="926"/>
      <c r="P6" s="926"/>
      <c r="Q6" s="926"/>
      <c r="R6" s="923"/>
      <c r="S6" s="923"/>
      <c r="T6" s="923"/>
      <c r="U6" s="926"/>
      <c r="V6" s="926"/>
      <c r="W6" s="926"/>
      <c r="X6" s="926"/>
      <c r="Y6" s="926"/>
      <c r="Z6" s="926"/>
      <c r="AA6" s="926"/>
      <c r="AB6" s="926"/>
      <c r="AC6" s="926"/>
      <c r="AD6" s="926"/>
      <c r="AE6" s="926"/>
      <c r="AF6" s="926"/>
      <c r="AG6" s="926"/>
      <c r="AH6" s="926"/>
      <c r="AI6" s="926"/>
      <c r="AJ6" s="926"/>
    </row>
    <row r="7" spans="1:36" ht="15" customHeight="1" thickBot="1" x14ac:dyDescent="0.35">
      <c r="A7" s="926"/>
      <c r="B7" s="926"/>
      <c r="C7" s="926"/>
      <c r="D7" s="926"/>
      <c r="E7" s="923"/>
      <c r="F7" s="926"/>
      <c r="G7" s="926"/>
      <c r="H7" s="926"/>
      <c r="I7" s="2836"/>
      <c r="J7" s="2837"/>
      <c r="K7" s="2354"/>
      <c r="L7" s="2355"/>
      <c r="M7" s="2354"/>
      <c r="N7" s="2355"/>
      <c r="O7" s="926"/>
      <c r="P7" s="926"/>
      <c r="Q7" s="926"/>
      <c r="R7" s="923"/>
      <c r="S7" s="923"/>
      <c r="T7" s="923"/>
      <c r="U7" s="926"/>
      <c r="V7" s="926"/>
      <c r="W7" s="926"/>
      <c r="X7" s="926"/>
      <c r="Y7" s="926"/>
      <c r="Z7" s="926"/>
      <c r="AA7" s="926"/>
      <c r="AB7" s="926"/>
      <c r="AC7" s="926"/>
      <c r="AD7" s="926"/>
      <c r="AE7" s="926"/>
      <c r="AF7" s="926"/>
      <c r="AG7" s="926"/>
      <c r="AH7" s="926"/>
      <c r="AI7" s="926"/>
      <c r="AJ7" s="926"/>
    </row>
    <row r="8" spans="1:36" ht="15" customHeight="1" x14ac:dyDescent="0.3">
      <c r="A8" s="926"/>
      <c r="B8" s="926"/>
      <c r="C8" s="984"/>
      <c r="D8" s="984"/>
      <c r="E8" s="984"/>
      <c r="F8" s="984"/>
      <c r="G8" s="984"/>
      <c r="H8" s="984"/>
      <c r="I8" s="984"/>
      <c r="J8" s="984"/>
      <c r="K8" s="984"/>
      <c r="L8" s="984"/>
      <c r="M8" s="984"/>
      <c r="N8" s="984"/>
      <c r="O8" s="984"/>
      <c r="P8" s="984"/>
      <c r="Q8" s="984"/>
      <c r="R8" s="923"/>
      <c r="S8" s="923"/>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6">
      <c r="A10" s="926"/>
      <c r="B10" s="609"/>
      <c r="C10" s="959"/>
      <c r="D10" s="960"/>
      <c r="E10" s="1000"/>
      <c r="F10" s="1000"/>
      <c r="G10" s="2848" t="s">
        <v>598</v>
      </c>
      <c r="H10" s="2848"/>
      <c r="I10" s="2848"/>
      <c r="J10" s="2848"/>
      <c r="K10" s="2848"/>
      <c r="L10" s="2848"/>
      <c r="M10" s="2848"/>
      <c r="N10" s="2848"/>
      <c r="O10" s="2848"/>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74"/>
      <c r="D11" s="40"/>
      <c r="E11" s="40"/>
      <c r="F11" s="40"/>
      <c r="G11" s="2849"/>
      <c r="H11" s="2849"/>
      <c r="I11" s="2849"/>
      <c r="J11" s="2849"/>
      <c r="K11" s="2849"/>
      <c r="L11" s="2849"/>
      <c r="M11" s="2849"/>
      <c r="N11" s="2849"/>
      <c r="O11" s="2849"/>
      <c r="P11" s="40"/>
      <c r="Q11" s="40"/>
      <c r="R11" s="40"/>
      <c r="S11" s="40"/>
      <c r="T11" s="963"/>
      <c r="U11" s="609"/>
      <c r="V11" s="926"/>
      <c r="W11" s="926"/>
      <c r="X11" s="926"/>
      <c r="Y11" s="926"/>
      <c r="Z11" s="926"/>
      <c r="AA11" s="926"/>
      <c r="AB11" s="926"/>
      <c r="AC11" s="926"/>
      <c r="AD11" s="926"/>
      <c r="AE11" s="926"/>
      <c r="AF11" s="926"/>
      <c r="AG11" s="926"/>
      <c r="AH11" s="926"/>
      <c r="AI11" s="926"/>
      <c r="AJ11" s="926"/>
    </row>
    <row r="12" spans="1:36" ht="15" customHeight="1" thickBot="1" x14ac:dyDescent="0.65">
      <c r="A12" s="926"/>
      <c r="B12" s="609"/>
      <c r="C12" s="1984"/>
      <c r="D12"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2" s="2257"/>
      <c r="F12" s="2257"/>
      <c r="G12" s="2257"/>
      <c r="H12" s="2257"/>
      <c r="I12" s="2257"/>
      <c r="J12" s="2257"/>
      <c r="K12" s="2257"/>
      <c r="L12" s="2256"/>
      <c r="M12" s="1748"/>
      <c r="N12" s="1015"/>
      <c r="O12" s="1015"/>
      <c r="P12" s="40"/>
      <c r="Q12" s="40"/>
      <c r="R12" s="40"/>
      <c r="S12" s="40"/>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958" t="s">
        <v>602</v>
      </c>
      <c r="E13" s="2959"/>
      <c r="F13" s="2959"/>
      <c r="G13" s="2959"/>
      <c r="H13" s="2959"/>
      <c r="I13" s="2960"/>
      <c r="J13" s="2855" t="s">
        <v>603</v>
      </c>
      <c r="K13" s="2855"/>
      <c r="L13" s="2855" t="s">
        <v>590</v>
      </c>
      <c r="M13" s="2855"/>
      <c r="N13" s="2855" t="s">
        <v>591</v>
      </c>
      <c r="O13" s="2855"/>
      <c r="P13" s="2855" t="s">
        <v>592</v>
      </c>
      <c r="Q13" s="2855"/>
      <c r="R13" s="2855" t="s">
        <v>593</v>
      </c>
      <c r="S13" s="2856"/>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961" t="s">
        <v>604</v>
      </c>
      <c r="E14" s="2962"/>
      <c r="F14" s="2962"/>
      <c r="G14" s="2962"/>
      <c r="H14" s="2962"/>
      <c r="I14" s="2963"/>
      <c r="J14" s="2925">
        <f ca="1">UDV.u.baseline_rank</f>
        <v>1</v>
      </c>
      <c r="K14" s="2925"/>
      <c r="L14" s="2925">
        <f ca="1">UDV.u.alt1_rank</f>
        <v>1</v>
      </c>
      <c r="M14" s="2925"/>
      <c r="N14" s="2925">
        <f ca="1">UDV.u.alt2_rank</f>
        <v>2</v>
      </c>
      <c r="O14" s="2925"/>
      <c r="P14" s="2925">
        <f ca="1">UDV.u.alt3_rank</f>
        <v>3</v>
      </c>
      <c r="Q14" s="2925"/>
      <c r="R14" s="2925">
        <f ca="1">UDV.u.alt4_rank</f>
        <v>4</v>
      </c>
      <c r="S14" s="2935"/>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862" t="s">
        <v>605</v>
      </c>
      <c r="E15" s="2863"/>
      <c r="F15" s="2863"/>
      <c r="G15" s="2863"/>
      <c r="H15" s="2863"/>
      <c r="I15" s="2864"/>
      <c r="J15" s="2871" t="str">
        <f>UDV.u.farm_baseline</f>
        <v>Deep pit, tanker</v>
      </c>
      <c r="K15" s="2871"/>
      <c r="L15" s="2871" t="str">
        <f ca="1">UDV.u.farm_alt1</f>
        <v>Deep pit, tanker</v>
      </c>
      <c r="M15" s="2871"/>
      <c r="N15" s="2871" t="str">
        <f ca="1">UDV.u.farm_alt2</f>
        <v>Deep pit, aeration, tanker</v>
      </c>
      <c r="O15" s="2871"/>
      <c r="P15" s="2871" t="str">
        <f ca="1">UDV.u.farm_alt3</f>
        <v>Deep pit, drag hose</v>
      </c>
      <c r="Q15" s="2871"/>
      <c r="R15" s="2871" t="str">
        <f ca="1">UDV.u.farm_alt4</f>
        <v>Deep pit, aeration, drag hose</v>
      </c>
      <c r="S15" s="2872"/>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865"/>
      <c r="E16" s="2866"/>
      <c r="F16" s="2866"/>
      <c r="G16" s="2866"/>
      <c r="H16" s="2866"/>
      <c r="I16" s="2867"/>
      <c r="J16" s="2871"/>
      <c r="K16" s="2871"/>
      <c r="L16" s="2871"/>
      <c r="M16" s="2871"/>
      <c r="N16" s="2871"/>
      <c r="O16" s="2871"/>
      <c r="P16" s="2871"/>
      <c r="Q16" s="2871"/>
      <c r="R16" s="2871"/>
      <c r="S16" s="2872"/>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2865"/>
      <c r="E17" s="2866"/>
      <c r="F17" s="2866"/>
      <c r="G17" s="2866"/>
      <c r="H17" s="2866"/>
      <c r="I17" s="2867"/>
      <c r="J17" s="2871"/>
      <c r="K17" s="2871"/>
      <c r="L17" s="2871"/>
      <c r="M17" s="2871"/>
      <c r="N17" s="2871"/>
      <c r="O17" s="2871"/>
      <c r="P17" s="2871"/>
      <c r="Q17" s="2871"/>
      <c r="R17" s="2871"/>
      <c r="S17" s="2872"/>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865"/>
      <c r="E18" s="2866"/>
      <c r="F18" s="2866"/>
      <c r="G18" s="2866"/>
      <c r="H18" s="2866"/>
      <c r="I18" s="2867"/>
      <c r="J18" s="2871"/>
      <c r="K18" s="2871"/>
      <c r="L18" s="2871"/>
      <c r="M18" s="2871"/>
      <c r="N18" s="2871"/>
      <c r="O18" s="2871"/>
      <c r="P18" s="2871"/>
      <c r="Q18" s="2871"/>
      <c r="R18" s="2871"/>
      <c r="S18" s="2872"/>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865"/>
      <c r="E19" s="2866"/>
      <c r="F19" s="2866"/>
      <c r="G19" s="2866"/>
      <c r="H19" s="2866"/>
      <c r="I19" s="2867"/>
      <c r="J19" s="2871"/>
      <c r="K19" s="2871"/>
      <c r="L19" s="2871"/>
      <c r="M19" s="2871"/>
      <c r="N19" s="2871"/>
      <c r="O19" s="2871"/>
      <c r="P19" s="2871"/>
      <c r="Q19" s="2871"/>
      <c r="R19" s="2871"/>
      <c r="S19" s="2872"/>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865"/>
      <c r="E20" s="2866"/>
      <c r="F20" s="2866"/>
      <c r="G20" s="2866"/>
      <c r="H20" s="2866"/>
      <c r="I20" s="2867"/>
      <c r="J20" s="2871"/>
      <c r="K20" s="2871"/>
      <c r="L20" s="2871"/>
      <c r="M20" s="2871"/>
      <c r="N20" s="2871"/>
      <c r="O20" s="2871"/>
      <c r="P20" s="2871"/>
      <c r="Q20" s="2871"/>
      <c r="R20" s="2871"/>
      <c r="S20" s="2872"/>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865"/>
      <c r="E21" s="2866"/>
      <c r="F21" s="2866"/>
      <c r="G21" s="2866"/>
      <c r="H21" s="2866"/>
      <c r="I21" s="2867"/>
      <c r="J21" s="2871"/>
      <c r="K21" s="2871"/>
      <c r="L21" s="2871"/>
      <c r="M21" s="2871"/>
      <c r="N21" s="2871"/>
      <c r="O21" s="2871"/>
      <c r="P21" s="2871"/>
      <c r="Q21" s="2871"/>
      <c r="R21" s="2871"/>
      <c r="S21" s="2872"/>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868"/>
      <c r="E22" s="2869"/>
      <c r="F22" s="2869"/>
      <c r="G22" s="2869"/>
      <c r="H22" s="2869"/>
      <c r="I22" s="2870"/>
      <c r="J22" s="2871"/>
      <c r="K22" s="2871"/>
      <c r="L22" s="2871"/>
      <c r="M22" s="2871"/>
      <c r="N22" s="2871"/>
      <c r="O22" s="2871"/>
      <c r="P22" s="2871"/>
      <c r="Q22" s="2871"/>
      <c r="R22" s="2871"/>
      <c r="S22" s="2872"/>
      <c r="T22" s="963"/>
      <c r="U22" s="609"/>
      <c r="V22" s="926"/>
      <c r="W22" s="926"/>
      <c r="X22" s="926"/>
      <c r="Y22" s="926"/>
      <c r="Z22" s="926"/>
      <c r="AA22" s="926"/>
      <c r="AB22" s="926"/>
      <c r="AC22" s="926"/>
      <c r="AD22" s="926"/>
      <c r="AE22" s="926"/>
      <c r="AF22" s="926"/>
      <c r="AG22" s="926"/>
      <c r="AH22" s="926"/>
      <c r="AI22" s="926"/>
      <c r="AJ22" s="926"/>
    </row>
    <row r="23" spans="1:36" ht="30" customHeight="1" x14ac:dyDescent="0.3">
      <c r="A23" s="926"/>
      <c r="B23" s="609"/>
      <c r="C23" s="962"/>
      <c r="D23" s="2956" t="str">
        <f>Plot.Tables!C59</f>
        <v>Adoption Rate (Larger value = More common)</v>
      </c>
      <c r="E23" s="2957"/>
      <c r="F23" s="2957"/>
      <c r="G23" s="2957"/>
      <c r="H23" s="2957"/>
      <c r="I23" s="2957"/>
      <c r="J23" s="2938">
        <f>Plot.Tables!K59</f>
        <v>4.25</v>
      </c>
      <c r="K23" s="2938"/>
      <c r="L23" s="2938">
        <f ca="1">Plot.Tables!M59</f>
        <v>4.25</v>
      </c>
      <c r="M23" s="2938"/>
      <c r="N23" s="2938">
        <f ca="1">Plot.Tables!O59</f>
        <v>3.5</v>
      </c>
      <c r="O23" s="2938"/>
      <c r="P23" s="2938">
        <f ca="1">Plot.Tables!Q59</f>
        <v>4.5</v>
      </c>
      <c r="Q23" s="2938"/>
      <c r="R23" s="2938">
        <f ca="1">Plot.Tables!S59</f>
        <v>3.6666666666666665</v>
      </c>
      <c r="S23" s="2939"/>
      <c r="T23" s="963"/>
      <c r="U23" s="609"/>
      <c r="V23" s="926"/>
      <c r="W23" s="926"/>
      <c r="X23" s="926"/>
      <c r="Y23" s="926"/>
      <c r="Z23" s="926"/>
      <c r="AA23" s="926"/>
      <c r="AB23" s="926"/>
      <c r="AC23" s="926"/>
      <c r="AD23" s="926"/>
      <c r="AE23" s="926"/>
      <c r="AF23" s="926"/>
      <c r="AG23" s="926"/>
      <c r="AH23" s="926"/>
      <c r="AI23" s="926"/>
      <c r="AJ23" s="926"/>
    </row>
    <row r="24" spans="1:36" ht="30" customHeight="1" x14ac:dyDescent="0.3">
      <c r="A24" s="926"/>
      <c r="B24" s="609"/>
      <c r="C24" s="962"/>
      <c r="D24" s="2956" t="str">
        <f>Plot.Tables!C60</f>
        <v>Operational Reliability (Downtime %, smaller is better)</v>
      </c>
      <c r="E24" s="2957"/>
      <c r="F24" s="2957"/>
      <c r="G24" s="2957"/>
      <c r="H24" s="2957"/>
      <c r="I24" s="2957"/>
      <c r="J24" s="2938">
        <f>Plot.Tables!K60</f>
        <v>5.9854100206416794E-3</v>
      </c>
      <c r="K24" s="2938"/>
      <c r="L24" s="2938">
        <f ca="1">Plot.Tables!M60</f>
        <v>5.9854100206416794E-3</v>
      </c>
      <c r="M24" s="2938"/>
      <c r="N24" s="2938">
        <f ca="1">Plot.Tables!O60</f>
        <v>2.0509824120796716E-2</v>
      </c>
      <c r="O24" s="2938"/>
      <c r="P24" s="2938">
        <f ca="1">Plot.Tables!Q60</f>
        <v>4.6181272283730701E-3</v>
      </c>
      <c r="Q24" s="2938"/>
      <c r="R24" s="2938">
        <f ca="1">Plot.Tables!S60</f>
        <v>1.9162519889876273E-2</v>
      </c>
      <c r="S24" s="2939"/>
      <c r="T24" s="963"/>
      <c r="U24" s="609"/>
      <c r="V24" s="926"/>
      <c r="W24" s="926"/>
      <c r="X24" s="926"/>
      <c r="Y24" s="926"/>
      <c r="Z24" s="926"/>
      <c r="AA24" s="926"/>
      <c r="AB24" s="926"/>
      <c r="AC24" s="926"/>
      <c r="AD24" s="926"/>
      <c r="AE24" s="926"/>
      <c r="AF24" s="926"/>
      <c r="AG24" s="926"/>
      <c r="AH24" s="926"/>
      <c r="AI24" s="926"/>
      <c r="AJ24" s="926"/>
    </row>
    <row r="25" spans="1:36" ht="30" customHeight="1" x14ac:dyDescent="0.3">
      <c r="A25" s="926"/>
      <c r="B25" s="609"/>
      <c r="C25" s="962"/>
      <c r="D25" s="2956" t="str">
        <f>Plot.Tables!C61</f>
        <v>Operational Resilience (Larger value = More resilient)</v>
      </c>
      <c r="E25" s="2957"/>
      <c r="F25" s="2957"/>
      <c r="G25" s="2957"/>
      <c r="H25" s="2957"/>
      <c r="I25" s="2957"/>
      <c r="J25" s="2938">
        <f>Plot.Tables!K61</f>
        <v>2.75</v>
      </c>
      <c r="K25" s="2938"/>
      <c r="L25" s="2938">
        <f ca="1">Plot.Tables!M61</f>
        <v>2.75</v>
      </c>
      <c r="M25" s="2938"/>
      <c r="N25" s="2938">
        <f ca="1">Plot.Tables!O61</f>
        <v>2.75</v>
      </c>
      <c r="O25" s="2938"/>
      <c r="P25" s="2938">
        <f ca="1">Plot.Tables!Q61</f>
        <v>2.75</v>
      </c>
      <c r="Q25" s="2938"/>
      <c r="R25" s="2938">
        <f ca="1">Plot.Tables!S61</f>
        <v>2.75</v>
      </c>
      <c r="S25" s="2939"/>
      <c r="T25" s="963"/>
      <c r="U25" s="609"/>
      <c r="V25" s="926"/>
      <c r="W25" s="926"/>
      <c r="X25" s="926"/>
      <c r="Y25" s="926"/>
      <c r="Z25" s="926"/>
      <c r="AA25" s="926"/>
      <c r="AB25" s="926"/>
      <c r="AC25" s="926"/>
      <c r="AD25" s="926"/>
      <c r="AE25" s="926"/>
      <c r="AF25" s="926"/>
      <c r="AG25" s="926"/>
      <c r="AH25" s="926"/>
      <c r="AI25" s="926"/>
      <c r="AJ25" s="926"/>
    </row>
    <row r="26" spans="1:36" ht="30" customHeight="1" x14ac:dyDescent="0.3">
      <c r="A26" s="926"/>
      <c r="B26" s="609"/>
      <c r="C26" s="962"/>
      <c r="D26" s="2956" t="str">
        <f>Plot.Tables!C62</f>
        <v>Labor Hours for Application (hours/year) during Non-Sludge Year</v>
      </c>
      <c r="E26" s="2957"/>
      <c r="F26" s="2957"/>
      <c r="G26" s="2957"/>
      <c r="H26" s="2957"/>
      <c r="I26" s="2957"/>
      <c r="J26" s="2938">
        <f ca="1">Plot.Tables!K62</f>
        <v>22.003886560796118</v>
      </c>
      <c r="K26" s="2938"/>
      <c r="L26" s="2938">
        <f ca="1">Plot.Tables!M62</f>
        <v>22.003886560796118</v>
      </c>
      <c r="M26" s="2938"/>
      <c r="N26" s="2938">
        <f ca="1">Plot.Tables!O62</f>
        <v>19.782318372229117</v>
      </c>
      <c r="O26" s="2938"/>
      <c r="P26" s="2938">
        <f ca="1">Plot.Tables!Q62</f>
        <v>16.100315177561104</v>
      </c>
      <c r="Q26" s="2938"/>
      <c r="R26" s="2938">
        <f ca="1">Plot.Tables!S62</f>
        <v>9.6547189954749015</v>
      </c>
      <c r="S26" s="2939"/>
      <c r="T26" s="963"/>
      <c r="U26" s="609"/>
      <c r="V26" s="926"/>
      <c r="W26" s="926"/>
      <c r="X26" s="926"/>
      <c r="Y26" s="926"/>
      <c r="Z26" s="926"/>
      <c r="AA26" s="926"/>
      <c r="AB26" s="926"/>
      <c r="AC26" s="926"/>
      <c r="AD26" s="926"/>
      <c r="AE26" s="926"/>
      <c r="AF26" s="926"/>
      <c r="AG26" s="926"/>
      <c r="AH26" s="926"/>
      <c r="AI26" s="926"/>
      <c r="AJ26" s="926"/>
    </row>
    <row r="27" spans="1:36" ht="30" customHeight="1" x14ac:dyDescent="0.3">
      <c r="A27" s="926"/>
      <c r="B27" s="609"/>
      <c r="C27" s="962"/>
      <c r="D27" s="2956" t="str">
        <f>Plot.Tables!C63</f>
        <v>Additional Land Required for Application (acre/year) during Non-Sludge Year</v>
      </c>
      <c r="E27" s="2957"/>
      <c r="F27" s="2957"/>
      <c r="G27" s="2957"/>
      <c r="H27" s="2957"/>
      <c r="I27" s="2957"/>
      <c r="J27" s="2938">
        <f>Plot.Tables!K63</f>
        <v>0</v>
      </c>
      <c r="K27" s="2938"/>
      <c r="L27" s="2938">
        <f ca="1">Plot.Tables!M63</f>
        <v>0</v>
      </c>
      <c r="M27" s="2938"/>
      <c r="N27" s="2938">
        <f ca="1">Plot.Tables!O63</f>
        <v>0</v>
      </c>
      <c r="O27" s="2938"/>
      <c r="P27" s="2938">
        <f ca="1">Plot.Tables!Q63</f>
        <v>0</v>
      </c>
      <c r="Q27" s="2938"/>
      <c r="R27" s="2938">
        <f ca="1">Plot.Tables!S63</f>
        <v>0</v>
      </c>
      <c r="S27" s="2939"/>
      <c r="T27" s="963"/>
      <c r="U27" s="609"/>
      <c r="V27" s="926"/>
      <c r="W27" s="926"/>
      <c r="X27" s="926"/>
      <c r="Y27" s="926"/>
      <c r="Z27" s="926"/>
      <c r="AA27" s="926"/>
      <c r="AB27" s="926"/>
      <c r="AC27" s="926"/>
      <c r="AD27" s="926"/>
      <c r="AE27" s="926"/>
      <c r="AF27" s="926"/>
      <c r="AG27" s="926"/>
      <c r="AH27" s="926"/>
      <c r="AI27" s="926"/>
      <c r="AJ27" s="926"/>
    </row>
    <row r="28" spans="1:36" ht="30" customHeight="1" thickBot="1" x14ac:dyDescent="0.35">
      <c r="A28" s="926"/>
      <c r="B28" s="609"/>
      <c r="C28" s="962"/>
      <c r="D28" s="2954" t="str">
        <f>Plot.Tables!C64</f>
        <v>Manure Exported (ton (2000 lb)/year) during Non-Sludge Year</v>
      </c>
      <c r="E28" s="2955"/>
      <c r="F28" s="2955"/>
      <c r="G28" s="2955"/>
      <c r="H28" s="2955"/>
      <c r="I28" s="2955"/>
      <c r="J28" s="2940">
        <f>Plot.Tables!K64</f>
        <v>0</v>
      </c>
      <c r="K28" s="2940"/>
      <c r="L28" s="2940">
        <f ca="1">Plot.Tables!M64</f>
        <v>0</v>
      </c>
      <c r="M28" s="2940"/>
      <c r="N28" s="2940">
        <f ca="1">Plot.Tables!O64</f>
        <v>0</v>
      </c>
      <c r="O28" s="2940"/>
      <c r="P28" s="2940">
        <f ca="1">Plot.Tables!Q64</f>
        <v>0</v>
      </c>
      <c r="Q28" s="2940"/>
      <c r="R28" s="2940">
        <f ca="1">Plot.Tables!S64</f>
        <v>0</v>
      </c>
      <c r="S28" s="2941"/>
      <c r="T28" s="963"/>
      <c r="U28" s="609"/>
      <c r="V28" s="926"/>
      <c r="W28" s="926"/>
      <c r="X28" s="926"/>
      <c r="Y28" s="926"/>
      <c r="Z28" s="926"/>
      <c r="AA28" s="926"/>
      <c r="AB28" s="926"/>
      <c r="AC28" s="926"/>
      <c r="AD28" s="926"/>
      <c r="AE28" s="926"/>
      <c r="AF28" s="926"/>
      <c r="AG28" s="926"/>
      <c r="AH28" s="926"/>
      <c r="AI28" s="926"/>
      <c r="AJ28" s="926"/>
    </row>
    <row r="29" spans="1:36" ht="15.6" x14ac:dyDescent="0.3">
      <c r="A29" s="926"/>
      <c r="B29" s="609"/>
      <c r="C29" s="962"/>
      <c r="D29" s="1731" t="s">
        <v>629</v>
      </c>
      <c r="E29" s="1064"/>
      <c r="F29" s="1064"/>
      <c r="G29" s="1064"/>
      <c r="H29" s="1064"/>
      <c r="I29" s="1064"/>
      <c r="J29" s="2311"/>
      <c r="K29" s="2311"/>
      <c r="L29" s="2311"/>
      <c r="M29" s="2311"/>
      <c r="N29" s="2311"/>
      <c r="O29" s="2311"/>
      <c r="P29" s="2311"/>
      <c r="Q29" s="2311"/>
      <c r="R29" s="2311"/>
      <c r="S29" s="2311"/>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E30" s="40"/>
      <c r="F30" s="40"/>
      <c r="G30" s="1746"/>
      <c r="H30" s="1746"/>
      <c r="I30" s="1746"/>
      <c r="J30" s="1746"/>
      <c r="K30" s="1746"/>
      <c r="L30" s="1747"/>
      <c r="M30" s="1745"/>
      <c r="N30" s="1745"/>
      <c r="O30" s="1745"/>
      <c r="P30" s="40"/>
      <c r="Q30" s="40"/>
      <c r="R30" s="40"/>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40"/>
      <c r="F31" s="40"/>
      <c r="G31" s="1746"/>
      <c r="H31" s="1746"/>
      <c r="I31" s="1746"/>
      <c r="J31" s="1746"/>
      <c r="K31" s="1746"/>
      <c r="L31" s="1747"/>
      <c r="M31" s="1745"/>
      <c r="N31" s="1745"/>
      <c r="O31" s="1745"/>
      <c r="P31" s="40"/>
      <c r="Q31" s="40"/>
      <c r="R31" s="40"/>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40"/>
      <c r="F32" s="40"/>
      <c r="G32" s="1746"/>
      <c r="H32" s="1746"/>
      <c r="I32" s="1746"/>
      <c r="J32" s="1746"/>
      <c r="K32" s="1746"/>
      <c r="L32" s="1747"/>
      <c r="M32" s="1745"/>
      <c r="N32" s="1745"/>
      <c r="O32" s="1745"/>
      <c r="P32" s="40"/>
      <c r="Q32" s="40"/>
      <c r="R32" s="40"/>
      <c r="S32" s="4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40"/>
      <c r="E33" s="40"/>
      <c r="F33" s="40"/>
      <c r="G33" s="1746"/>
      <c r="H33" s="1746"/>
      <c r="I33" s="1746"/>
      <c r="J33" s="1746"/>
      <c r="K33" s="1746"/>
      <c r="L33" s="1747"/>
      <c r="M33" s="1745"/>
      <c r="N33" s="1745"/>
      <c r="O33" s="1745"/>
      <c r="P33" s="40"/>
      <c r="Q33" s="40"/>
      <c r="R33" s="40"/>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40"/>
      <c r="F34" s="40"/>
      <c r="G34" s="1746"/>
      <c r="H34" s="1746"/>
      <c r="I34" s="1746"/>
      <c r="J34" s="1746"/>
      <c r="K34" s="1746"/>
      <c r="L34" s="1747"/>
      <c r="M34" s="1745"/>
      <c r="N34" s="1745"/>
      <c r="O34" s="1745"/>
      <c r="P34" s="40"/>
      <c r="Q34" s="40"/>
      <c r="R34" s="40"/>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40"/>
      <c r="F35" s="40"/>
      <c r="G35" s="1746"/>
      <c r="H35" s="1746"/>
      <c r="I35" s="1746"/>
      <c r="J35" s="1746"/>
      <c r="K35" s="1746"/>
      <c r="L35" s="1747"/>
      <c r="M35" s="1745"/>
      <c r="N35" s="1745"/>
      <c r="O35" s="1745"/>
      <c r="P35" s="40"/>
      <c r="Q35" s="40"/>
      <c r="R35" s="40"/>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40"/>
      <c r="F36" s="40"/>
      <c r="G36" s="1064"/>
      <c r="H36" s="1064"/>
      <c r="I36" s="1064"/>
      <c r="J36" s="1064"/>
      <c r="K36" s="1064"/>
      <c r="L36" s="1065"/>
      <c r="M36" s="972"/>
      <c r="N36" s="972"/>
      <c r="O36" s="972"/>
      <c r="P36" s="40"/>
      <c r="Q36" s="40"/>
      <c r="R36" s="40"/>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40"/>
      <c r="F37" s="40"/>
      <c r="G37" s="1064"/>
      <c r="H37" s="1064"/>
      <c r="I37" s="1064"/>
      <c r="J37" s="1064"/>
      <c r="K37" s="1064"/>
      <c r="L37" s="1065"/>
      <c r="M37" s="972"/>
      <c r="N37" s="972"/>
      <c r="O37" s="972"/>
      <c r="P37" s="40"/>
      <c r="Q37" s="40"/>
      <c r="R37" s="40"/>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40"/>
      <c r="F38" s="40"/>
      <c r="G38" s="1064"/>
      <c r="H38" s="1064"/>
      <c r="I38" s="1064"/>
      <c r="J38" s="1064"/>
      <c r="K38" s="1064"/>
      <c r="L38" s="1065"/>
      <c r="M38" s="972"/>
      <c r="N38" s="972"/>
      <c r="O38" s="972"/>
      <c r="P38" s="40"/>
      <c r="Q38" s="40"/>
      <c r="R38" s="40"/>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40"/>
      <c r="F39" s="40"/>
      <c r="G39" s="1064"/>
      <c r="H39" s="1064"/>
      <c r="I39" s="1064"/>
      <c r="J39" s="1064"/>
      <c r="K39" s="1064"/>
      <c r="L39" s="1065"/>
      <c r="M39" s="972"/>
      <c r="N39" s="972"/>
      <c r="O39" s="972"/>
      <c r="P39" s="40"/>
      <c r="Q39" s="40"/>
      <c r="R39" s="40"/>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40"/>
      <c r="F40" s="40"/>
      <c r="G40" s="1064"/>
      <c r="H40" s="1064"/>
      <c r="I40" s="1064"/>
      <c r="J40" s="1064"/>
      <c r="K40" s="1064"/>
      <c r="L40" s="1065"/>
      <c r="M40" s="972"/>
      <c r="N40" s="972"/>
      <c r="O40" s="972"/>
      <c r="P40" s="40"/>
      <c r="Q40" s="40"/>
      <c r="R40" s="40"/>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40"/>
      <c r="F41" s="40"/>
      <c r="G41" s="1064"/>
      <c r="H41" s="1064"/>
      <c r="I41" s="1064"/>
      <c r="J41" s="1064"/>
      <c r="K41" s="1064"/>
      <c r="L41" s="1065"/>
      <c r="M41" s="972"/>
      <c r="N41" s="972"/>
      <c r="O41" s="972"/>
      <c r="P41" s="40"/>
      <c r="Q41" s="40"/>
      <c r="R41" s="40"/>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40"/>
      <c r="F42" s="40"/>
      <c r="G42" s="1064"/>
      <c r="H42" s="1064"/>
      <c r="I42" s="1064"/>
      <c r="J42" s="1064"/>
      <c r="K42" s="1064"/>
      <c r="L42" s="1065"/>
      <c r="M42" s="972"/>
      <c r="N42" s="972"/>
      <c r="O42" s="972"/>
      <c r="P42" s="40"/>
      <c r="Q42" s="40"/>
      <c r="R42" s="40"/>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40"/>
      <c r="F43" s="40"/>
      <c r="G43" s="1064"/>
      <c r="H43" s="1064"/>
      <c r="I43" s="1064"/>
      <c r="J43" s="1064"/>
      <c r="K43" s="1064"/>
      <c r="L43" s="1065"/>
      <c r="M43" s="972"/>
      <c r="N43" s="972"/>
      <c r="O43" s="972"/>
      <c r="P43" s="40"/>
      <c r="Q43" s="40"/>
      <c r="R43" s="40"/>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40"/>
      <c r="F44" s="40"/>
      <c r="G44" s="1064"/>
      <c r="H44" s="1064"/>
      <c r="I44" s="1064"/>
      <c r="J44" s="1064"/>
      <c r="K44" s="1064"/>
      <c r="L44" s="1065"/>
      <c r="M44" s="972"/>
      <c r="N44" s="972"/>
      <c r="O44" s="972"/>
      <c r="P44" s="40"/>
      <c r="Q44" s="40"/>
      <c r="R44" s="40"/>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40"/>
      <c r="F45" s="40"/>
      <c r="G45" s="1064"/>
      <c r="H45" s="1064"/>
      <c r="I45" s="1064"/>
      <c r="J45" s="1064"/>
      <c r="K45" s="1064"/>
      <c r="L45" s="1065"/>
      <c r="M45" s="972"/>
      <c r="N45" s="972"/>
      <c r="O45" s="972"/>
      <c r="P45" s="40"/>
      <c r="Q45" s="40"/>
      <c r="R45" s="40"/>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40"/>
      <c r="F46" s="40"/>
      <c r="G46" s="1064"/>
      <c r="H46" s="1064"/>
      <c r="I46" s="1064"/>
      <c r="J46" s="1064"/>
      <c r="K46" s="1064"/>
      <c r="L46" s="1065"/>
      <c r="M46" s="972"/>
      <c r="N46" s="972"/>
      <c r="O46" s="972"/>
      <c r="P46" s="40"/>
      <c r="Q46" s="40"/>
      <c r="R46" s="40"/>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40"/>
      <c r="F47" s="40"/>
      <c r="G47" s="1064"/>
      <c r="H47" s="1064"/>
      <c r="I47" s="1064"/>
      <c r="J47" s="1064"/>
      <c r="K47" s="1064"/>
      <c r="L47" s="1065"/>
      <c r="M47" s="972"/>
      <c r="N47" s="972"/>
      <c r="O47" s="972"/>
      <c r="P47" s="40"/>
      <c r="Q47" s="40"/>
      <c r="R47" s="40"/>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40"/>
      <c r="F48" s="40"/>
      <c r="G48" s="1064"/>
      <c r="H48" s="1064"/>
      <c r="I48" s="1064"/>
      <c r="J48" s="1064"/>
      <c r="K48" s="1064"/>
      <c r="L48" s="1065"/>
      <c r="M48" s="972"/>
      <c r="N48" s="972"/>
      <c r="O48" s="972"/>
      <c r="P48" s="40"/>
      <c r="Q48" s="40"/>
      <c r="R48" s="40"/>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40"/>
      <c r="F49" s="40"/>
      <c r="G49" s="1064"/>
      <c r="H49" s="1064"/>
      <c r="I49" s="1064"/>
      <c r="J49" s="1064"/>
      <c r="K49" s="1064"/>
      <c r="L49" s="1065"/>
      <c r="M49" s="972"/>
      <c r="N49" s="972"/>
      <c r="O49" s="972"/>
      <c r="P49" s="40"/>
      <c r="Q49" s="40"/>
      <c r="R49" s="40"/>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40"/>
      <c r="F50" s="40"/>
      <c r="G50" s="1064"/>
      <c r="H50" s="1064"/>
      <c r="I50" s="1064"/>
      <c r="J50" s="1064"/>
      <c r="K50" s="1064"/>
      <c r="L50" s="1065"/>
      <c r="M50" s="972"/>
      <c r="N50" s="972"/>
      <c r="O50" s="972"/>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40"/>
      <c r="F51" s="40"/>
      <c r="G51" s="1064"/>
      <c r="H51" s="1064"/>
      <c r="I51" s="1064"/>
      <c r="J51" s="1064"/>
      <c r="K51" s="1064"/>
      <c r="L51" s="1065"/>
      <c r="M51" s="972"/>
      <c r="N51" s="972"/>
      <c r="O51" s="972"/>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40"/>
      <c r="F52" s="40"/>
      <c r="G52" s="1064"/>
      <c r="H52" s="1064"/>
      <c r="I52" s="1064"/>
      <c r="J52" s="1064"/>
      <c r="K52" s="1064"/>
      <c r="L52" s="1065"/>
      <c r="M52" s="972"/>
      <c r="N52" s="972"/>
      <c r="O52" s="972"/>
      <c r="P52" s="40"/>
      <c r="Q52" s="40"/>
      <c r="R52" s="40"/>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40"/>
      <c r="F53" s="40"/>
      <c r="G53" s="1064"/>
      <c r="H53" s="1064"/>
      <c r="I53" s="1064"/>
      <c r="J53" s="1064"/>
      <c r="K53" s="1064"/>
      <c r="L53" s="1065"/>
      <c r="M53" s="972"/>
      <c r="N53" s="972"/>
      <c r="O53" s="972"/>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40"/>
      <c r="F54" s="40"/>
      <c r="G54" s="1064"/>
      <c r="H54" s="1064"/>
      <c r="I54" s="1064"/>
      <c r="J54" s="1064"/>
      <c r="K54" s="1064"/>
      <c r="L54" s="1065"/>
      <c r="M54" s="972"/>
      <c r="N54" s="972"/>
      <c r="O54" s="972"/>
      <c r="P54" s="40"/>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1064"/>
      <c r="H55" s="1064"/>
      <c r="I55" s="1064"/>
      <c r="J55" s="1064"/>
      <c r="K55" s="1064"/>
      <c r="L55" s="1065"/>
      <c r="M55" s="972"/>
      <c r="N55" s="972"/>
      <c r="O55" s="972"/>
      <c r="P55" s="40"/>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1064"/>
      <c r="H56" s="1064"/>
      <c r="I56" s="1064"/>
      <c r="J56" s="1064"/>
      <c r="K56" s="1064"/>
      <c r="L56" s="1065"/>
      <c r="M56" s="972"/>
      <c r="N56" s="972"/>
      <c r="O56" s="972"/>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1064"/>
      <c r="H57" s="1064"/>
      <c r="I57" s="1064"/>
      <c r="J57" s="1064"/>
      <c r="K57" s="1064"/>
      <c r="L57" s="1065"/>
      <c r="M57" s="972"/>
      <c r="N57" s="972"/>
      <c r="O57" s="972"/>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1064"/>
      <c r="H58" s="1064"/>
      <c r="I58" s="1064"/>
      <c r="J58" s="1064"/>
      <c r="K58" s="1064"/>
      <c r="L58" s="1065"/>
      <c r="M58" s="972"/>
      <c r="N58" s="972"/>
      <c r="O58" s="972"/>
      <c r="P58" s="40"/>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40"/>
      <c r="E59" s="40"/>
      <c r="F59" s="40"/>
      <c r="G59" s="1064"/>
      <c r="H59" s="1064"/>
      <c r="I59" s="1064"/>
      <c r="J59" s="1064"/>
      <c r="K59" s="1064"/>
      <c r="L59" s="1065"/>
      <c r="M59" s="972"/>
      <c r="N59" s="972"/>
      <c r="O59" s="972"/>
      <c r="P59" s="40"/>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40"/>
      <c r="F60" s="40"/>
      <c r="G60" s="1064"/>
      <c r="H60" s="1064"/>
      <c r="I60" s="1064"/>
      <c r="J60" s="1064"/>
      <c r="K60" s="1064"/>
      <c r="L60" s="1065"/>
      <c r="M60" s="972"/>
      <c r="N60" s="972"/>
      <c r="O60" s="972"/>
      <c r="P60" s="40"/>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40"/>
      <c r="E61" s="40"/>
      <c r="F61" s="40"/>
      <c r="G61" s="1064"/>
      <c r="H61" s="1064"/>
      <c r="I61" s="1064"/>
      <c r="J61" s="1064"/>
      <c r="K61" s="1064"/>
      <c r="L61" s="1065"/>
      <c r="M61" s="972"/>
      <c r="N61" s="972"/>
      <c r="O61" s="972"/>
      <c r="P61" s="40"/>
      <c r="Q61" s="40"/>
      <c r="R61" s="40"/>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40"/>
      <c r="E62" s="40"/>
      <c r="F62" s="40"/>
      <c r="G62" s="1064"/>
      <c r="H62" s="1064"/>
      <c r="I62" s="1064"/>
      <c r="J62" s="1064"/>
      <c r="K62" s="1064"/>
      <c r="L62" s="1065"/>
      <c r="M62" s="972"/>
      <c r="N62" s="972"/>
      <c r="O62" s="972"/>
      <c r="P62" s="40"/>
      <c r="Q62" s="40"/>
      <c r="R62" s="40"/>
      <c r="S62" s="40"/>
      <c r="T62" s="963"/>
      <c r="U62" s="609"/>
      <c r="V62" s="926"/>
      <c r="W62" s="926"/>
      <c r="X62" s="926"/>
      <c r="Y62" s="926"/>
      <c r="Z62" s="926"/>
      <c r="AA62" s="926"/>
      <c r="AB62" s="926"/>
      <c r="AC62" s="926"/>
      <c r="AD62" s="926"/>
      <c r="AE62" s="926"/>
      <c r="AF62" s="926"/>
      <c r="AG62" s="926"/>
      <c r="AH62" s="926"/>
      <c r="AI62" s="926"/>
      <c r="AJ62" s="926"/>
    </row>
    <row r="63" spans="1:36" ht="15" customHeight="1" thickBot="1" x14ac:dyDescent="0.35">
      <c r="A63" s="926"/>
      <c r="B63" s="609"/>
      <c r="C63" s="964"/>
      <c r="D63" s="965"/>
      <c r="E63" s="965"/>
      <c r="F63" s="965"/>
      <c r="G63" s="965"/>
      <c r="H63" s="965"/>
      <c r="I63" s="965"/>
      <c r="J63" s="965"/>
      <c r="K63" s="965"/>
      <c r="L63" s="965"/>
      <c r="M63" s="965"/>
      <c r="N63" s="965"/>
      <c r="O63" s="965"/>
      <c r="P63" s="965"/>
      <c r="Q63" s="965"/>
      <c r="R63" s="965"/>
      <c r="S63" s="965"/>
      <c r="T63" s="966"/>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609"/>
      <c r="D64" s="609"/>
      <c r="E64" s="609"/>
      <c r="F64" s="609"/>
      <c r="G64" s="609"/>
      <c r="H64" s="609"/>
      <c r="I64" s="609"/>
      <c r="J64" s="609"/>
      <c r="K64" s="609"/>
      <c r="L64" s="609"/>
      <c r="M64" s="609"/>
      <c r="N64" s="609"/>
      <c r="O64" s="609"/>
      <c r="P64" s="609"/>
      <c r="Q64" s="609"/>
      <c r="R64" s="609"/>
      <c r="S64" s="609"/>
      <c r="T64" s="609"/>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926"/>
      <c r="C65" s="926"/>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c r="AH65" s="926"/>
      <c r="AI65" s="926"/>
      <c r="AJ65" s="926"/>
    </row>
    <row r="66" spans="1:36" ht="15" customHeight="1" x14ac:dyDescent="0.3">
      <c r="A66" s="926"/>
      <c r="B66" s="926"/>
      <c r="C66" s="2719" t="s">
        <v>594</v>
      </c>
      <c r="D66" s="2720"/>
      <c r="E66" s="923"/>
      <c r="F66" s="926"/>
      <c r="G66" s="926"/>
      <c r="H66" s="2345" t="s">
        <v>561</v>
      </c>
      <c r="I66" s="2351"/>
      <c r="J66" s="2345" t="s">
        <v>595</v>
      </c>
      <c r="K66" s="2351"/>
      <c r="L66" s="2345" t="s">
        <v>596</v>
      </c>
      <c r="M66" s="2351"/>
      <c r="N66" s="2345" t="s">
        <v>597</v>
      </c>
      <c r="O66" s="2351"/>
      <c r="P66" s="926"/>
      <c r="Q66" s="926"/>
      <c r="R66" s="926"/>
      <c r="S66" s="2356" t="s">
        <v>7</v>
      </c>
      <c r="T66" s="2774"/>
      <c r="U66" s="926"/>
      <c r="V66" s="926"/>
      <c r="W66" s="926"/>
      <c r="X66" s="926"/>
      <c r="Y66" s="926"/>
      <c r="Z66" s="926"/>
      <c r="AA66" s="926"/>
      <c r="AB66" s="926"/>
      <c r="AC66" s="926"/>
      <c r="AD66" s="926"/>
      <c r="AE66" s="926"/>
      <c r="AF66" s="926"/>
      <c r="AG66" s="926"/>
      <c r="AH66" s="926"/>
      <c r="AI66" s="926"/>
      <c r="AJ66" s="926"/>
    </row>
    <row r="67" spans="1:36" ht="15" customHeight="1" x14ac:dyDescent="0.3">
      <c r="A67" s="926"/>
      <c r="B67" s="926"/>
      <c r="C67" s="2721"/>
      <c r="D67" s="2722"/>
      <c r="E67" s="923"/>
      <c r="F67" s="926"/>
      <c r="G67" s="926"/>
      <c r="H67" s="2352"/>
      <c r="I67" s="2353"/>
      <c r="J67" s="2352"/>
      <c r="K67" s="2353"/>
      <c r="L67" s="2352"/>
      <c r="M67" s="2353"/>
      <c r="N67" s="2352"/>
      <c r="O67" s="2353"/>
      <c r="P67" s="926"/>
      <c r="Q67" s="926"/>
      <c r="R67" s="926"/>
      <c r="S67" s="2775"/>
      <c r="T67" s="2776"/>
      <c r="U67" s="926"/>
      <c r="V67" s="926"/>
      <c r="W67" s="926"/>
      <c r="X67" s="926"/>
      <c r="Y67" s="926"/>
      <c r="Z67" s="926"/>
      <c r="AA67" s="926"/>
      <c r="AB67" s="926"/>
      <c r="AC67" s="926"/>
      <c r="AD67" s="926"/>
      <c r="AE67" s="926"/>
      <c r="AF67" s="926"/>
      <c r="AG67" s="926"/>
      <c r="AH67" s="926"/>
      <c r="AI67" s="926"/>
      <c r="AJ67" s="926"/>
    </row>
    <row r="68" spans="1:36" ht="15" customHeight="1" thickBot="1" x14ac:dyDescent="0.35">
      <c r="A68" s="926"/>
      <c r="B68" s="926"/>
      <c r="C68" s="2723"/>
      <c r="D68" s="2724"/>
      <c r="E68" s="923"/>
      <c r="F68" s="926"/>
      <c r="G68" s="926"/>
      <c r="H68" s="2354"/>
      <c r="I68" s="2355"/>
      <c r="J68" s="2354"/>
      <c r="K68" s="2355"/>
      <c r="L68" s="2354"/>
      <c r="M68" s="2355"/>
      <c r="N68" s="2354"/>
      <c r="O68" s="2355"/>
      <c r="P68" s="926"/>
      <c r="Q68" s="926"/>
      <c r="R68" s="926"/>
      <c r="S68" s="2777"/>
      <c r="T68" s="2778"/>
      <c r="U68" s="926"/>
      <c r="V68" s="926"/>
      <c r="W68" s="926"/>
      <c r="X68" s="926"/>
      <c r="Y68" s="926"/>
      <c r="Z68" s="926"/>
      <c r="AA68" s="926"/>
      <c r="AB68" s="926"/>
      <c r="AC68" s="926"/>
      <c r="AD68" s="926"/>
      <c r="AE68" s="926"/>
      <c r="AF68" s="926"/>
      <c r="AG68" s="926"/>
      <c r="AH68" s="926"/>
      <c r="AI68" s="926"/>
      <c r="AJ68" s="926"/>
    </row>
    <row r="69" spans="1:36" ht="15" customHeight="1" x14ac:dyDescent="0.3">
      <c r="A69" s="926"/>
      <c r="B69" s="926"/>
      <c r="C69" s="926"/>
      <c r="D69" s="926"/>
      <c r="E69" s="923"/>
      <c r="F69" s="923"/>
      <c r="G69" s="923"/>
      <c r="H69" s="923"/>
      <c r="I69" s="2362" t="s">
        <v>598</v>
      </c>
      <c r="J69" s="2833"/>
      <c r="K69" s="2345" t="s">
        <v>599</v>
      </c>
      <c r="L69" s="2351"/>
      <c r="M69" s="2345" t="s">
        <v>600</v>
      </c>
      <c r="N69" s="2351"/>
      <c r="O69" s="923"/>
      <c r="P69" s="923"/>
      <c r="Q69" s="923"/>
      <c r="R69" s="923"/>
      <c r="S69" s="923"/>
      <c r="T69" s="923"/>
      <c r="U69" s="926"/>
      <c r="V69" s="926"/>
      <c r="W69" s="926"/>
      <c r="X69" s="926"/>
      <c r="Y69" s="926"/>
      <c r="Z69" s="926"/>
      <c r="AA69" s="926"/>
      <c r="AB69" s="926"/>
      <c r="AC69" s="926"/>
      <c r="AD69" s="926"/>
      <c r="AE69" s="926"/>
      <c r="AF69" s="926"/>
      <c r="AG69" s="926"/>
      <c r="AH69" s="926"/>
      <c r="AI69" s="926"/>
      <c r="AJ69" s="926"/>
    </row>
    <row r="70" spans="1:36" ht="15" customHeight="1" x14ac:dyDescent="0.3">
      <c r="A70" s="926"/>
      <c r="B70" s="926"/>
      <c r="C70" s="926"/>
      <c r="D70" s="926"/>
      <c r="E70" s="923"/>
      <c r="F70" s="926"/>
      <c r="G70" s="926"/>
      <c r="H70" s="926"/>
      <c r="I70" s="2834"/>
      <c r="J70" s="2835"/>
      <c r="K70" s="2352"/>
      <c r="L70" s="2353"/>
      <c r="M70" s="2352"/>
      <c r="N70" s="2353"/>
      <c r="O70" s="926"/>
      <c r="P70" s="926"/>
      <c r="Q70" s="926"/>
      <c r="R70" s="923"/>
      <c r="S70" s="923"/>
      <c r="T70" s="923"/>
      <c r="U70" s="926"/>
      <c r="V70" s="926"/>
      <c r="W70" s="926"/>
      <c r="X70" s="926"/>
      <c r="Y70" s="926"/>
      <c r="Z70" s="926"/>
      <c r="AA70" s="926"/>
      <c r="AB70" s="926"/>
      <c r="AC70" s="926"/>
      <c r="AD70" s="926"/>
      <c r="AE70" s="926"/>
      <c r="AF70" s="926"/>
      <c r="AG70" s="926"/>
      <c r="AH70" s="926"/>
      <c r="AI70" s="926"/>
      <c r="AJ70" s="926"/>
    </row>
    <row r="71" spans="1:36" ht="15" customHeight="1" thickBot="1" x14ac:dyDescent="0.35">
      <c r="A71" s="926"/>
      <c r="B71" s="926"/>
      <c r="C71" s="926"/>
      <c r="D71" s="926"/>
      <c r="E71" s="923"/>
      <c r="F71" s="926"/>
      <c r="G71" s="926"/>
      <c r="H71" s="926"/>
      <c r="I71" s="2836"/>
      <c r="J71" s="2837"/>
      <c r="K71" s="2354"/>
      <c r="L71" s="2355"/>
      <c r="M71" s="2354"/>
      <c r="N71" s="2355"/>
      <c r="O71" s="926"/>
      <c r="P71" s="926"/>
      <c r="Q71" s="926"/>
      <c r="R71" s="923"/>
      <c r="S71" s="923"/>
      <c r="T71" s="923"/>
      <c r="U71" s="926"/>
      <c r="V71" s="926"/>
      <c r="W71" s="926"/>
      <c r="X71" s="926"/>
      <c r="Y71" s="926"/>
      <c r="Z71" s="926"/>
      <c r="AA71" s="926"/>
      <c r="AB71" s="926"/>
      <c r="AC71" s="926"/>
      <c r="AD71" s="926"/>
      <c r="AE71" s="926"/>
      <c r="AF71" s="926"/>
      <c r="AG71" s="926"/>
      <c r="AH71" s="926"/>
      <c r="AI71" s="926"/>
      <c r="AJ71" s="926"/>
    </row>
    <row r="72" spans="1:36" ht="15" customHeight="1" x14ac:dyDescent="0.3">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row>
    <row r="73" spans="1:36" ht="15" customHeight="1" x14ac:dyDescent="0.3">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row>
    <row r="74" spans="1:36" ht="15" customHeight="1"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row>
    <row r="75" spans="1:36" ht="15" customHeight="1"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row>
    <row r="76" spans="1:36" ht="15" customHeight="1"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row>
    <row r="77" spans="1:36" ht="15" customHeight="1"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row>
    <row r="78" spans="1:36" ht="15" customHeight="1"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ht="15" customHeight="1"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ht="15" customHeight="1"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36" ht="15" customHeight="1"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ht="15" customHeight="1"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36" ht="15" customHeight="1"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36" ht="15" customHeight="1" x14ac:dyDescent="0.3">
      <c r="A84" s="926"/>
      <c r="B84" s="926"/>
      <c r="C84" s="926"/>
      <c r="D84" s="926"/>
      <c r="E84" s="926"/>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row>
    <row r="85" spans="1:36" ht="15" customHeight="1" x14ac:dyDescent="0.3">
      <c r="A85" s="926"/>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row>
    <row r="86" spans="1:36" ht="15" customHeight="1" x14ac:dyDescent="0.3">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row>
    <row r="87" spans="1:36" ht="15" customHeight="1" x14ac:dyDescent="0.3">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row>
    <row r="88" spans="1:36" ht="15" customHeight="1"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ht="15" customHeight="1"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ht="15" customHeight="1"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ht="15" customHeight="1"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ht="15" customHeight="1"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sheetData>
  <mergeCells count="73">
    <mergeCell ref="I69:J71"/>
    <mergeCell ref="K69:L71"/>
    <mergeCell ref="M69:N71"/>
    <mergeCell ref="S2:T4"/>
    <mergeCell ref="I5:J7"/>
    <mergeCell ref="K5:L7"/>
    <mergeCell ref="M5:N7"/>
    <mergeCell ref="S66:T68"/>
    <mergeCell ref="G10:O11"/>
    <mergeCell ref="N66:O68"/>
    <mergeCell ref="N13:O13"/>
    <mergeCell ref="P13:Q13"/>
    <mergeCell ref="R13:S13"/>
    <mergeCell ref="N14:O14"/>
    <mergeCell ref="P14:Q14"/>
    <mergeCell ref="R14:S14"/>
    <mergeCell ref="C2:D4"/>
    <mergeCell ref="H2:I4"/>
    <mergeCell ref="J2:K4"/>
    <mergeCell ref="L2:M4"/>
    <mergeCell ref="N2:O4"/>
    <mergeCell ref="C66:D68"/>
    <mergeCell ref="H66:I68"/>
    <mergeCell ref="J66:K68"/>
    <mergeCell ref="L66:M68"/>
    <mergeCell ref="D13:I13"/>
    <mergeCell ref="J13:K13"/>
    <mergeCell ref="L13:M13"/>
    <mergeCell ref="D14:I14"/>
    <mergeCell ref="J14:K14"/>
    <mergeCell ref="L14:M14"/>
    <mergeCell ref="R15:S22"/>
    <mergeCell ref="D23:I23"/>
    <mergeCell ref="J23:K23"/>
    <mergeCell ref="L23:M23"/>
    <mergeCell ref="N23:O23"/>
    <mergeCell ref="P23:Q23"/>
    <mergeCell ref="R23:S23"/>
    <mergeCell ref="D15:I22"/>
    <mergeCell ref="J15:K22"/>
    <mergeCell ref="L15:M22"/>
    <mergeCell ref="N15:O22"/>
    <mergeCell ref="P15:Q22"/>
    <mergeCell ref="R24:S24"/>
    <mergeCell ref="D25:I25"/>
    <mergeCell ref="J25:K25"/>
    <mergeCell ref="L25:M25"/>
    <mergeCell ref="N25:O25"/>
    <mergeCell ref="P25:Q25"/>
    <mergeCell ref="R25:S25"/>
    <mergeCell ref="D24:I24"/>
    <mergeCell ref="J24:K24"/>
    <mergeCell ref="L24:M24"/>
    <mergeCell ref="N24:O24"/>
    <mergeCell ref="P24:Q24"/>
    <mergeCell ref="R26:S26"/>
    <mergeCell ref="D27:I27"/>
    <mergeCell ref="J27:K27"/>
    <mergeCell ref="L27:M27"/>
    <mergeCell ref="N27:O27"/>
    <mergeCell ref="P27:Q27"/>
    <mergeCell ref="R27:S27"/>
    <mergeCell ref="D26:I26"/>
    <mergeCell ref="J26:K26"/>
    <mergeCell ref="L26:M26"/>
    <mergeCell ref="N26:O26"/>
    <mergeCell ref="P26:Q26"/>
    <mergeCell ref="R28:S28"/>
    <mergeCell ref="D28:I28"/>
    <mergeCell ref="J28:K28"/>
    <mergeCell ref="L28:M28"/>
    <mergeCell ref="N28:O28"/>
    <mergeCell ref="P28:Q28"/>
  </mergeCells>
  <hyperlinks>
    <hyperlink ref="C2:D4" location="UI.Farm!A1" tooltip="Click to go to farm inputs page" display="Farm Info" xr:uid="{C32519BB-3FBD-4200-B780-E23B2220580B}"/>
    <hyperlink ref="J2:K4" location="Results.Scenarios!A1" tooltip="Click to go to scenario descriptions page" display="Scenario Rankings and Descriptions" xr:uid="{AFA58AD1-CC5F-4EDD-9C7C-49AC5B1A7B54}"/>
    <hyperlink ref="L2:M4" location="Results.Econ!A1" tooltip="Click to go to economic results page" display="Economic Results" xr:uid="{8DE7ADE8-8697-45E8-BF7B-4F865F387878}"/>
    <hyperlink ref="N2:O4" location="Results.Env!A1" tooltip="Click to go to environmental results page" display="Environmental Results" xr:uid="{0A8B4BCA-7337-4021-A36A-2270C91FEB3E}"/>
    <hyperlink ref="H2:I4" location="Results.Summary!A1" tooltip="Click to go to results summary page" display="Results Summary" xr:uid="{A955095F-FCD1-4132-816F-010737F50998}"/>
    <hyperlink ref="K5:L7" location="Results.Resources!A1" tooltip="Click to go to the resources results page" display="Resources Results" xr:uid="{00BACBB0-56D7-4858-87CC-8516B6E5EB3C}"/>
    <hyperlink ref="M5:N7" location="Results.Nutrients!A1" tooltip="Click to go to the nutrient concentrations page" display="Nutrient Concentrations" xr:uid="{AB97887D-DE3E-40F5-B774-BEB6F5889DA1}"/>
    <hyperlink ref="I5:J7" location="Results.Tech!A1" tooltip="Click to go to the functionality and logistics results" display="Functionality and Logistics Results" xr:uid="{D82C8956-8975-44BB-B90B-78C3220CA9CA}"/>
    <hyperlink ref="S2:T4" location="Results.Resources!A1" tooltip="Click to go to the resources results page" display="Resources Results" xr:uid="{F1CBFA63-A134-4C76-BA14-F6610B8948B3}"/>
    <hyperlink ref="C66:D68" location="UI.Farm!A1" tooltip="Click to go to farm inputs page" display="Farm Info" xr:uid="{1727EF43-3C4B-4D6B-9726-4CFF7FEC8972}"/>
    <hyperlink ref="J66:K68" location="Results.Scenarios!A1" tooltip="Click to go to scenario descriptions page" display="Scenario Rankings and Descriptions" xr:uid="{B24B6190-D9CE-4DF3-950B-66529A988AFE}"/>
    <hyperlink ref="L66:M68" location="Results.Econ!A1" tooltip="Click to go to economic results page" display="Economic Results" xr:uid="{ED2E68E6-651C-411D-AED5-A044BD74603C}"/>
    <hyperlink ref="N66:O68" location="Results.Env!A1" tooltip="Click to go to environmental results page" display="Environmental Results" xr:uid="{467E827D-6EB3-41B0-AE12-F99E6CF9E742}"/>
    <hyperlink ref="H66:I68" location="Results.Summary!A1" tooltip="Click to go to results summary page" display="Results Summary" xr:uid="{B740910D-8392-4635-8BF7-9FB8455BCF01}"/>
    <hyperlink ref="K69:L71" location="Results.Resources!A1" tooltip="Click to go to the resources results page" display="Resources Results" xr:uid="{7EEDE69E-5DA4-463E-8928-7F3547B208FF}"/>
    <hyperlink ref="M69:N71" location="Results.Nutrients!A1" tooltip="Click to go to the nutrient concentrations page" display="Nutrient Concentrations" xr:uid="{CDAFB2CD-A9BF-41FF-AD6B-0F850CF8FE20}"/>
    <hyperlink ref="I69:J71" location="Results.Tech!A1" tooltip="Click to go to the functionality and logistics results" display="Functionality and Logistics Results" xr:uid="{A138D331-3467-4DD1-AE47-BB8F47A0F286}"/>
    <hyperlink ref="S66:T68" location="Results.Resources!A1" tooltip="Click to go to the resources results page" display="Resources Results" xr:uid="{281564AD-D5C6-47EB-88AF-CE22F1BAB688}"/>
  </hyperlinks>
  <printOptions horizontalCentered="1" verticalCentered="1"/>
  <pageMargins left="0.7" right="0.7" top="0.75" bottom="0.75" header="0.3" footer="0.3"/>
  <pageSetup scale="51"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983C-031A-4A1D-AE8A-7D315EE2D11C}">
  <sheetPr>
    <tabColor rgb="FFFFFF00"/>
  </sheetPr>
  <dimension ref="A1:BE130"/>
  <sheetViews>
    <sheetView workbookViewId="0">
      <selection activeCell="M5" sqref="M5:N7"/>
    </sheetView>
  </sheetViews>
  <sheetFormatPr defaultColWidth="9.44140625" defaultRowHeight="14.4" x14ac:dyDescent="0.3"/>
  <cols>
    <col min="1" max="2" width="2.5546875" customWidth="1"/>
    <col min="3" max="20" width="9.6640625" customWidth="1"/>
    <col min="21" max="22" width="2.5546875" customWidth="1"/>
    <col min="23" max="50" width="9.4414062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x14ac:dyDescent="0.3">
      <c r="A2" s="997"/>
      <c r="B2" s="998"/>
      <c r="C2" s="2719" t="s">
        <v>594</v>
      </c>
      <c r="D2" s="2720"/>
      <c r="E2" s="923"/>
      <c r="F2" s="926"/>
      <c r="G2" s="926"/>
      <c r="H2" s="2345" t="s">
        <v>561</v>
      </c>
      <c r="I2" s="2351"/>
      <c r="J2" s="2345" t="s">
        <v>595</v>
      </c>
      <c r="K2" s="2351"/>
      <c r="L2" s="2345" t="s">
        <v>596</v>
      </c>
      <c r="M2" s="2351"/>
      <c r="N2" s="2345" t="s">
        <v>597</v>
      </c>
      <c r="O2" s="2351"/>
      <c r="P2" s="926"/>
      <c r="Q2" s="926"/>
      <c r="R2" s="926"/>
      <c r="S2" s="2356" t="s">
        <v>7</v>
      </c>
      <c r="T2" s="2774"/>
      <c r="U2" s="923"/>
      <c r="V2" s="926"/>
      <c r="W2" s="926"/>
      <c r="X2" s="926"/>
      <c r="Y2" s="926"/>
      <c r="Z2" s="926"/>
      <c r="AA2" s="926"/>
      <c r="AB2" s="926"/>
      <c r="AC2" s="926"/>
      <c r="AD2" s="926"/>
      <c r="AE2" s="926"/>
      <c r="AF2" s="926"/>
      <c r="AG2" s="926"/>
      <c r="AH2" s="926"/>
      <c r="AI2" s="926"/>
      <c r="AJ2" s="926"/>
    </row>
    <row r="3" spans="1:36" ht="15" customHeight="1" x14ac:dyDescent="0.3">
      <c r="A3" s="997"/>
      <c r="B3" s="998"/>
      <c r="C3" s="2721"/>
      <c r="D3" s="2722"/>
      <c r="E3" s="923"/>
      <c r="F3" s="926"/>
      <c r="G3" s="926"/>
      <c r="H3" s="2352"/>
      <c r="I3" s="2353"/>
      <c r="J3" s="2352"/>
      <c r="K3" s="2353"/>
      <c r="L3" s="2352"/>
      <c r="M3" s="2353"/>
      <c r="N3" s="2352"/>
      <c r="O3" s="2353"/>
      <c r="P3" s="926"/>
      <c r="Q3" s="926"/>
      <c r="R3" s="926"/>
      <c r="S3" s="2775"/>
      <c r="T3" s="2776"/>
      <c r="U3" s="923"/>
      <c r="V3" s="926"/>
      <c r="W3" s="926"/>
      <c r="X3" s="926"/>
      <c r="Y3" s="926"/>
      <c r="Z3" s="926"/>
      <c r="AA3" s="926"/>
      <c r="AB3" s="926"/>
      <c r="AC3" s="926"/>
      <c r="AD3" s="926"/>
      <c r="AE3" s="926"/>
      <c r="AF3" s="926"/>
      <c r="AG3" s="926"/>
      <c r="AH3" s="926"/>
      <c r="AI3" s="926"/>
      <c r="AJ3" s="926"/>
    </row>
    <row r="4" spans="1:36" ht="15" customHeight="1" thickBot="1" x14ac:dyDescent="0.35">
      <c r="A4" s="997"/>
      <c r="B4" s="998"/>
      <c r="C4" s="2723"/>
      <c r="D4" s="2724"/>
      <c r="E4" s="923"/>
      <c r="F4" s="926"/>
      <c r="G4" s="926"/>
      <c r="H4" s="2354"/>
      <c r="I4" s="2355"/>
      <c r="J4" s="2354"/>
      <c r="K4" s="2355"/>
      <c r="L4" s="2354"/>
      <c r="M4" s="2355"/>
      <c r="N4" s="2354"/>
      <c r="O4" s="2355"/>
      <c r="P4" s="926"/>
      <c r="Q4" s="926"/>
      <c r="R4" s="926"/>
      <c r="S4" s="2777"/>
      <c r="T4" s="2778"/>
      <c r="U4" s="923"/>
      <c r="V4" s="926"/>
      <c r="W4" s="926"/>
      <c r="X4" s="926"/>
      <c r="Y4" s="926"/>
      <c r="Z4" s="926"/>
      <c r="AA4" s="926"/>
      <c r="AB4" s="926"/>
      <c r="AC4" s="926"/>
      <c r="AD4" s="926"/>
      <c r="AE4" s="926"/>
      <c r="AF4" s="926"/>
      <c r="AG4" s="926"/>
      <c r="AH4" s="926"/>
      <c r="AI4" s="926"/>
      <c r="AJ4" s="926"/>
    </row>
    <row r="5" spans="1:36" ht="15" customHeight="1" x14ac:dyDescent="0.3">
      <c r="A5" s="997"/>
      <c r="B5" s="998"/>
      <c r="C5" s="926"/>
      <c r="D5" s="926"/>
      <c r="E5" s="923"/>
      <c r="F5" s="923"/>
      <c r="G5" s="923"/>
      <c r="H5" s="923"/>
      <c r="I5" s="2345" t="s">
        <v>598</v>
      </c>
      <c r="J5" s="2351"/>
      <c r="K5" s="2362" t="s">
        <v>599</v>
      </c>
      <c r="L5" s="2833"/>
      <c r="M5" s="2345" t="s">
        <v>600</v>
      </c>
      <c r="N5" s="2351"/>
      <c r="O5" s="923"/>
      <c r="P5" s="923"/>
      <c r="Q5" s="923"/>
      <c r="R5" s="923"/>
      <c r="S5" s="923"/>
      <c r="T5" s="923"/>
      <c r="U5" s="923"/>
      <c r="V5" s="926"/>
      <c r="W5" s="926"/>
      <c r="X5" s="926"/>
      <c r="Y5" s="926"/>
      <c r="Z5" s="926"/>
      <c r="AA5" s="926"/>
      <c r="AB5" s="926"/>
      <c r="AC5" s="926"/>
      <c r="AD5" s="926"/>
      <c r="AE5" s="926"/>
      <c r="AF5" s="926"/>
      <c r="AG5" s="926"/>
      <c r="AH5" s="926"/>
      <c r="AI5" s="926"/>
      <c r="AJ5" s="926"/>
    </row>
    <row r="6" spans="1:36" ht="15" customHeight="1" x14ac:dyDescent="0.3">
      <c r="A6" s="997"/>
      <c r="B6" s="998"/>
      <c r="C6" s="926"/>
      <c r="D6" s="926"/>
      <c r="E6" s="923"/>
      <c r="F6" s="926"/>
      <c r="G6" s="926"/>
      <c r="H6" s="926"/>
      <c r="I6" s="2352"/>
      <c r="J6" s="2353"/>
      <c r="K6" s="2834"/>
      <c r="L6" s="2835"/>
      <c r="M6" s="2352"/>
      <c r="N6" s="2353"/>
      <c r="O6" s="926"/>
      <c r="P6" s="926"/>
      <c r="Q6" s="926"/>
      <c r="R6" s="923"/>
      <c r="S6" s="923"/>
      <c r="T6" s="923"/>
      <c r="U6" s="923"/>
      <c r="V6" s="926"/>
      <c r="W6" s="926"/>
      <c r="X6" s="926"/>
      <c r="Y6" s="926"/>
      <c r="Z6" s="926"/>
      <c r="AA6" s="926"/>
      <c r="AB6" s="926"/>
      <c r="AC6" s="926"/>
      <c r="AD6" s="926"/>
      <c r="AE6" s="926"/>
      <c r="AF6" s="926"/>
      <c r="AG6" s="926"/>
      <c r="AH6" s="926"/>
      <c r="AI6" s="926"/>
      <c r="AJ6" s="926"/>
    </row>
    <row r="7" spans="1:36" ht="15" customHeight="1" thickBot="1" x14ac:dyDescent="0.35">
      <c r="A7" s="997"/>
      <c r="B7" s="998"/>
      <c r="C7" s="926"/>
      <c r="D7" s="926"/>
      <c r="E7" s="923"/>
      <c r="F7" s="926"/>
      <c r="G7" s="926"/>
      <c r="H7" s="926"/>
      <c r="I7" s="2354"/>
      <c r="J7" s="2355"/>
      <c r="K7" s="2836"/>
      <c r="L7" s="2837"/>
      <c r="M7" s="2354"/>
      <c r="N7" s="2355"/>
      <c r="O7" s="926"/>
      <c r="P7" s="926"/>
      <c r="Q7" s="926"/>
      <c r="R7" s="923"/>
      <c r="S7" s="923"/>
      <c r="T7" s="923"/>
      <c r="U7" s="923"/>
      <c r="V7" s="926"/>
      <c r="W7" s="926"/>
      <c r="X7" s="926"/>
      <c r="Y7" s="926"/>
      <c r="Z7" s="926"/>
      <c r="AA7" s="926"/>
      <c r="AB7" s="926"/>
      <c r="AC7" s="926"/>
      <c r="AD7" s="926"/>
      <c r="AE7" s="926"/>
      <c r="AF7" s="926"/>
      <c r="AG7" s="926"/>
      <c r="AH7" s="926"/>
      <c r="AI7" s="926"/>
      <c r="AJ7" s="926"/>
    </row>
    <row r="8" spans="1:36" ht="15" customHeight="1" x14ac:dyDescent="0.3">
      <c r="A8" s="997"/>
      <c r="B8" s="998"/>
      <c r="C8" s="984"/>
      <c r="D8" s="984"/>
      <c r="E8" s="984"/>
      <c r="F8" s="984"/>
      <c r="G8" s="984"/>
      <c r="H8" s="984"/>
      <c r="I8" s="984"/>
      <c r="J8" s="984"/>
      <c r="K8" s="984"/>
      <c r="L8" s="984"/>
      <c r="M8" s="984"/>
      <c r="N8" s="984"/>
      <c r="O8" s="984"/>
      <c r="P8" s="984"/>
      <c r="Q8" s="984"/>
      <c r="R8" s="923"/>
      <c r="S8" s="923"/>
      <c r="T8" s="923"/>
      <c r="U8" s="923"/>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6">
      <c r="A10" s="926"/>
      <c r="B10" s="609"/>
      <c r="C10" s="999"/>
      <c r="D10" s="1000"/>
      <c r="E10" s="1000"/>
      <c r="F10" s="1000"/>
      <c r="G10" s="2848" t="s">
        <v>632</v>
      </c>
      <c r="H10" s="2848"/>
      <c r="I10" s="2848"/>
      <c r="J10" s="2848"/>
      <c r="K10" s="2848"/>
      <c r="L10" s="2848"/>
      <c r="M10" s="2848"/>
      <c r="N10" s="2848"/>
      <c r="O10" s="2848"/>
      <c r="P10" s="2965" t="s">
        <v>633</v>
      </c>
      <c r="Q10" s="2966"/>
      <c r="R10" s="2966"/>
      <c r="S10" s="2967"/>
      <c r="T10" s="961"/>
      <c r="U10" s="609"/>
      <c r="V10" s="926"/>
      <c r="W10" s="926"/>
      <c r="X10" s="926"/>
      <c r="Y10" s="926"/>
      <c r="Z10" s="926"/>
      <c r="AA10" s="926"/>
      <c r="AB10" s="926"/>
      <c r="AC10" s="926"/>
      <c r="AD10" s="926"/>
      <c r="AE10" s="926"/>
      <c r="AF10" s="926"/>
      <c r="AG10" s="926"/>
      <c r="AH10" s="926"/>
      <c r="AI10" s="926"/>
      <c r="AJ10" s="926"/>
    </row>
    <row r="11" spans="1:36" ht="15" customHeight="1" thickBot="1" x14ac:dyDescent="0.35">
      <c r="A11" s="926"/>
      <c r="B11" s="609"/>
      <c r="C11" s="962"/>
      <c r="D11" s="1001"/>
      <c r="E11" s="1001"/>
      <c r="F11" s="40"/>
      <c r="G11" s="2849"/>
      <c r="H11" s="2849"/>
      <c r="I11" s="2849"/>
      <c r="J11" s="2849"/>
      <c r="K11" s="2849"/>
      <c r="L11" s="2849"/>
      <c r="M11" s="2849"/>
      <c r="N11" s="2849"/>
      <c r="O11" s="2849"/>
      <c r="P11" s="2968"/>
      <c r="Q11" s="2969"/>
      <c r="R11" s="2969"/>
      <c r="S11" s="2970"/>
      <c r="T11" s="963"/>
      <c r="U11" s="609"/>
      <c r="V11" s="926"/>
      <c r="W11" s="926"/>
      <c r="X11" s="926"/>
      <c r="Y11" s="926"/>
      <c r="Z11" s="926"/>
      <c r="AA11" s="926"/>
      <c r="AB11" s="926"/>
      <c r="AC11" s="926"/>
      <c r="AD11" s="926"/>
      <c r="AE11" s="926"/>
      <c r="AF11" s="926"/>
      <c r="AG11" s="926"/>
      <c r="AH11" s="926"/>
      <c r="AI11" s="926"/>
      <c r="AJ11" s="926"/>
    </row>
    <row r="12" spans="1:36" ht="15" customHeight="1" x14ac:dyDescent="0.4">
      <c r="A12" s="926"/>
      <c r="B12" s="609"/>
      <c r="C12" s="962"/>
      <c r="D12" s="1063"/>
      <c r="E12" s="40"/>
      <c r="F12" s="1002"/>
      <c r="G12" s="1003"/>
      <c r="H12" s="1003"/>
      <c r="I12" s="1004"/>
      <c r="J12" s="2971"/>
      <c r="K12" s="2971"/>
      <c r="L12" s="2971"/>
      <c r="M12" s="1004"/>
      <c r="N12" s="1004"/>
      <c r="O12" s="1004"/>
      <c r="P12" s="40"/>
      <c r="Q12" s="40"/>
      <c r="R12" s="40"/>
      <c r="S12" s="40"/>
      <c r="T12" s="963"/>
      <c r="U12" s="609"/>
      <c r="V12" s="926"/>
      <c r="W12" s="926"/>
      <c r="X12" s="926"/>
      <c r="Y12" s="926"/>
      <c r="Z12" s="926"/>
      <c r="AA12" s="926"/>
      <c r="AB12" s="926"/>
      <c r="AC12" s="926"/>
      <c r="AD12" s="926"/>
      <c r="AE12" s="926"/>
      <c r="AF12" s="926"/>
      <c r="AG12" s="926"/>
      <c r="AH12" s="926"/>
      <c r="AI12" s="926"/>
      <c r="AJ12" s="926"/>
    </row>
    <row r="13" spans="1:36" ht="15" customHeight="1" x14ac:dyDescent="0.4">
      <c r="A13" s="926"/>
      <c r="B13" s="609"/>
      <c r="C13" s="1005"/>
      <c r="D13" s="1759"/>
      <c r="E13" s="1759"/>
      <c r="F13" s="1002"/>
      <c r="G13" s="1002"/>
      <c r="H13" s="1002"/>
      <c r="I13" s="40"/>
      <c r="J13" s="40"/>
      <c r="K13" s="40"/>
      <c r="L13" s="40"/>
      <c r="M13" s="40"/>
      <c r="N13" s="40"/>
      <c r="O13" s="40"/>
      <c r="P13" s="40"/>
      <c r="Q13" s="40"/>
      <c r="R13" s="40"/>
      <c r="S13" s="40"/>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40"/>
      <c r="E14" s="40"/>
      <c r="F14" s="40"/>
      <c r="G14" s="1760"/>
      <c r="H14" s="1760"/>
      <c r="I14" s="1760"/>
      <c r="J14" s="1760"/>
      <c r="K14" s="1760"/>
      <c r="L14" s="1761"/>
      <c r="M14" s="1760"/>
      <c r="N14" s="1760"/>
      <c r="O14" s="1760"/>
      <c r="P14" s="40"/>
      <c r="Q14" s="40"/>
      <c r="R14" s="40"/>
      <c r="S14" s="40"/>
      <c r="T14" s="963"/>
      <c r="U14" s="609"/>
      <c r="V14" s="926"/>
      <c r="W14" s="926"/>
      <c r="X14" s="926"/>
      <c r="Y14" s="926"/>
      <c r="Z14" s="926"/>
      <c r="AA14" s="926"/>
      <c r="AB14" s="926"/>
      <c r="AC14" s="926"/>
      <c r="AD14" s="926"/>
      <c r="AE14" s="926"/>
      <c r="AF14" s="926"/>
      <c r="AG14" s="926"/>
      <c r="AH14" s="926"/>
      <c r="AI14" s="926"/>
      <c r="AJ14" s="926"/>
    </row>
    <row r="15" spans="1:36" ht="15" customHeight="1" thickBot="1" x14ac:dyDescent="0.35">
      <c r="A15" s="926"/>
      <c r="B15" s="609"/>
      <c r="C15" s="962"/>
      <c r="D15"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5" s="2257"/>
      <c r="F15" s="2257"/>
      <c r="G15" s="2257"/>
      <c r="H15" s="2257"/>
      <c r="I15" s="2257"/>
      <c r="J15" s="2257"/>
      <c r="K15" s="2257"/>
      <c r="L15" s="2256"/>
      <c r="M15" s="1745"/>
      <c r="N15" s="1745"/>
      <c r="O15" s="1745"/>
      <c r="P15" s="40"/>
      <c r="Q15" s="40"/>
      <c r="R15" s="40"/>
      <c r="S15" s="40"/>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958" t="s">
        <v>602</v>
      </c>
      <c r="E16" s="2959"/>
      <c r="F16" s="2959"/>
      <c r="G16" s="2959"/>
      <c r="H16" s="2959"/>
      <c r="I16" s="2960"/>
      <c r="J16" s="2855" t="s">
        <v>603</v>
      </c>
      <c r="K16" s="2855"/>
      <c r="L16" s="2855" t="s">
        <v>590</v>
      </c>
      <c r="M16" s="2855"/>
      <c r="N16" s="2855" t="s">
        <v>591</v>
      </c>
      <c r="O16" s="2855"/>
      <c r="P16" s="2855" t="s">
        <v>592</v>
      </c>
      <c r="Q16" s="2855"/>
      <c r="R16" s="2855" t="s">
        <v>593</v>
      </c>
      <c r="S16" s="2856"/>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2961" t="s">
        <v>604</v>
      </c>
      <c r="E17" s="2962"/>
      <c r="F17" s="2962"/>
      <c r="G17" s="2962"/>
      <c r="H17" s="2962"/>
      <c r="I17" s="2963"/>
      <c r="J17" s="2857">
        <f ca="1">UDV.u.baseline_rank</f>
        <v>1</v>
      </c>
      <c r="K17" s="2858"/>
      <c r="L17" s="2857">
        <f ca="1">UDV.u.alt1_rank</f>
        <v>1</v>
      </c>
      <c r="M17" s="2858"/>
      <c r="N17" s="2857">
        <f ca="1">UDV.u.alt2_rank</f>
        <v>2</v>
      </c>
      <c r="O17" s="2858"/>
      <c r="P17" s="2857">
        <f ca="1">UDV.u.alt3_rank</f>
        <v>3</v>
      </c>
      <c r="Q17" s="2858"/>
      <c r="R17" s="2857">
        <f ca="1">UDV.u.alt4_rank</f>
        <v>4</v>
      </c>
      <c r="S17" s="2861"/>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862" t="s">
        <v>606</v>
      </c>
      <c r="E18" s="2863"/>
      <c r="F18" s="2863"/>
      <c r="G18" s="2863"/>
      <c r="H18" s="2863"/>
      <c r="I18" s="2864"/>
      <c r="J18" s="2871" t="str">
        <f>UDV.u.farm_baseline</f>
        <v>Deep pit, tanker</v>
      </c>
      <c r="K18" s="2871"/>
      <c r="L18" s="2871" t="str">
        <f ca="1">UDV.u.farm_alt1</f>
        <v>Deep pit, tanker</v>
      </c>
      <c r="M18" s="2871"/>
      <c r="N18" s="2871" t="str">
        <f ca="1">UDV.u.farm_alt2</f>
        <v>Deep pit, aeration, tanker</v>
      </c>
      <c r="O18" s="2871"/>
      <c r="P18" s="2871" t="str">
        <f ca="1">UDV.u.farm_alt3</f>
        <v>Deep pit, drag hose</v>
      </c>
      <c r="Q18" s="2871"/>
      <c r="R18" s="2871" t="str">
        <f ca="1">UDV.u.farm_alt4</f>
        <v>Deep pit, aeration, drag hose</v>
      </c>
      <c r="S18" s="2872"/>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865"/>
      <c r="E19" s="2866"/>
      <c r="F19" s="2866"/>
      <c r="G19" s="2866"/>
      <c r="H19" s="2866"/>
      <c r="I19" s="2867"/>
      <c r="J19" s="2871"/>
      <c r="K19" s="2871"/>
      <c r="L19" s="2871"/>
      <c r="M19" s="2871"/>
      <c r="N19" s="2871"/>
      <c r="O19" s="2871"/>
      <c r="P19" s="2871"/>
      <c r="Q19" s="2871"/>
      <c r="R19" s="2871"/>
      <c r="S19" s="2872"/>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865"/>
      <c r="E20" s="2866"/>
      <c r="F20" s="2866"/>
      <c r="G20" s="2866"/>
      <c r="H20" s="2866"/>
      <c r="I20" s="2867"/>
      <c r="J20" s="2871"/>
      <c r="K20" s="2871"/>
      <c r="L20" s="2871"/>
      <c r="M20" s="2871"/>
      <c r="N20" s="2871"/>
      <c r="O20" s="2871"/>
      <c r="P20" s="2871"/>
      <c r="Q20" s="2871"/>
      <c r="R20" s="2871"/>
      <c r="S20" s="2872"/>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865"/>
      <c r="E21" s="2866"/>
      <c r="F21" s="2866"/>
      <c r="G21" s="2866"/>
      <c r="H21" s="2866"/>
      <c r="I21" s="2867"/>
      <c r="J21" s="2871"/>
      <c r="K21" s="2871"/>
      <c r="L21" s="2871"/>
      <c r="M21" s="2871"/>
      <c r="N21" s="2871"/>
      <c r="O21" s="2871"/>
      <c r="P21" s="2871"/>
      <c r="Q21" s="2871"/>
      <c r="R21" s="2871"/>
      <c r="S21" s="2872"/>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865"/>
      <c r="E22" s="2866"/>
      <c r="F22" s="2866"/>
      <c r="G22" s="2866"/>
      <c r="H22" s="2866"/>
      <c r="I22" s="2867"/>
      <c r="J22" s="2871"/>
      <c r="K22" s="2871"/>
      <c r="L22" s="2871"/>
      <c r="M22" s="2871"/>
      <c r="N22" s="2871"/>
      <c r="O22" s="2871"/>
      <c r="P22" s="2871"/>
      <c r="Q22" s="2871"/>
      <c r="R22" s="2871"/>
      <c r="S22" s="2872"/>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865"/>
      <c r="E23" s="2866"/>
      <c r="F23" s="2866"/>
      <c r="G23" s="2866"/>
      <c r="H23" s="2866"/>
      <c r="I23" s="2867"/>
      <c r="J23" s="2871"/>
      <c r="K23" s="2871"/>
      <c r="L23" s="2871"/>
      <c r="M23" s="2871"/>
      <c r="N23" s="2871"/>
      <c r="O23" s="2871"/>
      <c r="P23" s="2871"/>
      <c r="Q23" s="2871"/>
      <c r="R23" s="2871"/>
      <c r="S23" s="2872"/>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865"/>
      <c r="E24" s="2866"/>
      <c r="F24" s="2866"/>
      <c r="G24" s="2866"/>
      <c r="H24" s="2866"/>
      <c r="I24" s="2867"/>
      <c r="J24" s="2871"/>
      <c r="K24" s="2871"/>
      <c r="L24" s="2871"/>
      <c r="M24" s="2871"/>
      <c r="N24" s="2871"/>
      <c r="O24" s="2871"/>
      <c r="P24" s="2871"/>
      <c r="Q24" s="2871"/>
      <c r="R24" s="2871"/>
      <c r="S24" s="2872"/>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868"/>
      <c r="E25" s="2869"/>
      <c r="F25" s="2869"/>
      <c r="G25" s="2869"/>
      <c r="H25" s="2869"/>
      <c r="I25" s="2870"/>
      <c r="J25" s="2871"/>
      <c r="K25" s="2871"/>
      <c r="L25" s="2871"/>
      <c r="M25" s="2871"/>
      <c r="N25" s="2871"/>
      <c r="O25" s="2871"/>
      <c r="P25" s="2871"/>
      <c r="Q25" s="2871"/>
      <c r="R25" s="2871"/>
      <c r="S25" s="2872"/>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936" t="str">
        <f>Plot.Tables!C80</f>
        <v>Electricity Required for Operations (kWh/year)</v>
      </c>
      <c r="E26" s="2937"/>
      <c r="F26" s="2937"/>
      <c r="G26" s="2937"/>
      <c r="H26" s="2937"/>
      <c r="I26" s="2937"/>
      <c r="J26" s="2964">
        <f>Plot.Tables!K80</f>
        <v>0</v>
      </c>
      <c r="K26" s="2964"/>
      <c r="L26" s="2964">
        <f ca="1">Plot.Tables!M80</f>
        <v>0</v>
      </c>
      <c r="M26" s="2964"/>
      <c r="N26" s="2964">
        <f ca="1">Plot.Tables!O80</f>
        <v>17419.548963200003</v>
      </c>
      <c r="O26" s="2964"/>
      <c r="P26" s="2964">
        <f ca="1">Plot.Tables!Q80</f>
        <v>0</v>
      </c>
      <c r="Q26" s="2964"/>
      <c r="R26" s="2964">
        <f ca="1">Plot.Tables!S80</f>
        <v>17419.548963200003</v>
      </c>
      <c r="S26" s="2974"/>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936" t="str">
        <f>Plot.Tables!C81</f>
        <v>Fresh Water Used on Farm (gal/year)</v>
      </c>
      <c r="E27" s="2937"/>
      <c r="F27" s="2937"/>
      <c r="G27" s="2937"/>
      <c r="H27" s="2937"/>
      <c r="I27" s="2937"/>
      <c r="J27" s="2964">
        <f>Plot.Tables!K81</f>
        <v>0</v>
      </c>
      <c r="K27" s="2964"/>
      <c r="L27" s="2964">
        <f ca="1">Plot.Tables!M81</f>
        <v>0</v>
      </c>
      <c r="M27" s="2964"/>
      <c r="N27" s="2964">
        <f ca="1">Plot.Tables!O81</f>
        <v>0</v>
      </c>
      <c r="O27" s="2964"/>
      <c r="P27" s="2964">
        <f ca="1">Plot.Tables!Q81</f>
        <v>0</v>
      </c>
      <c r="Q27" s="2964"/>
      <c r="R27" s="2964">
        <f ca="1">Plot.Tables!S81</f>
        <v>0</v>
      </c>
      <c r="S27" s="2974"/>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936" t="str">
        <f>Plot.Tables!C82</f>
        <v>Diesel Used on Farm (gal/year)</v>
      </c>
      <c r="E28" s="2937"/>
      <c r="F28" s="2937"/>
      <c r="G28" s="2937"/>
      <c r="H28" s="2937"/>
      <c r="I28" s="2937"/>
      <c r="J28" s="2964">
        <f>Plot.Tables!K82</f>
        <v>370.31185144590069</v>
      </c>
      <c r="K28" s="2964"/>
      <c r="L28" s="2964">
        <f ca="1">Plot.Tables!M82</f>
        <v>370.31185144590069</v>
      </c>
      <c r="M28" s="2964"/>
      <c r="N28" s="2964">
        <f ca="1">Plot.Tables!O82</f>
        <v>213.91345097078369</v>
      </c>
      <c r="O28" s="2964"/>
      <c r="P28" s="2964">
        <f ca="1">Plot.Tables!Q82</f>
        <v>497.5154927196885</v>
      </c>
      <c r="Q28" s="2964"/>
      <c r="R28" s="2964">
        <f ca="1">Plot.Tables!S82</f>
        <v>275.66773391698035</v>
      </c>
      <c r="S28" s="2974"/>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2936" t="str">
        <f>Plot.Tables!C83</f>
        <v>N in treated manure (non sludge) (ton (2000 lb)/year)</v>
      </c>
      <c r="E29" s="2937"/>
      <c r="F29" s="2937"/>
      <c r="G29" s="2937"/>
      <c r="H29" s="2937"/>
      <c r="I29" s="2937"/>
      <c r="J29" s="2973">
        <f>Plot.Tables!K83</f>
        <v>14.223165509791722</v>
      </c>
      <c r="K29" s="2973"/>
      <c r="L29" s="2973">
        <f ca="1">Plot.Tables!M83</f>
        <v>14.223165509791722</v>
      </c>
      <c r="M29" s="2973"/>
      <c r="N29" s="2973">
        <f ca="1">Plot.Tables!O83</f>
        <v>8.5290669597917201</v>
      </c>
      <c r="O29" s="2973"/>
      <c r="P29" s="2973">
        <f ca="1">Plot.Tables!Q83</f>
        <v>14.223165509791722</v>
      </c>
      <c r="Q29" s="2973"/>
      <c r="R29" s="2973">
        <f ca="1">Plot.Tables!S83</f>
        <v>8.5290669597917201</v>
      </c>
      <c r="S29" s="2975"/>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2936" t="str">
        <f>Plot.Tables!C84</f>
        <v>N in treated manure (sludge + solids) (ton (2000 lb)/year)</v>
      </c>
      <c r="E30" s="2937"/>
      <c r="F30" s="2937"/>
      <c r="G30" s="2937"/>
      <c r="H30" s="2937"/>
      <c r="I30" s="2937"/>
      <c r="J30" s="2973">
        <f>Plot.Tables!K84</f>
        <v>0</v>
      </c>
      <c r="K30" s="2973"/>
      <c r="L30" s="2973">
        <f ca="1">Plot.Tables!M84</f>
        <v>0</v>
      </c>
      <c r="M30" s="2973"/>
      <c r="N30" s="2973">
        <f ca="1">Plot.Tables!O84</f>
        <v>0</v>
      </c>
      <c r="O30" s="2973"/>
      <c r="P30" s="2973">
        <f ca="1">Plot.Tables!Q84</f>
        <v>0</v>
      </c>
      <c r="Q30" s="2973"/>
      <c r="R30" s="2973">
        <f ca="1">Plot.Tables!S84</f>
        <v>0</v>
      </c>
      <c r="S30" s="2975"/>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936" t="str">
        <f>Plot.Tables!C85</f>
        <v>P2O5 in treated manure (non sludge) (ton (2000 lb)/year)</v>
      </c>
      <c r="E31" s="2937"/>
      <c r="F31" s="2937"/>
      <c r="G31" s="2937"/>
      <c r="H31" s="2937"/>
      <c r="I31" s="2937"/>
      <c r="J31" s="2973">
        <f>Plot.Tables!K85</f>
        <v>6.6431094999999996</v>
      </c>
      <c r="K31" s="2973"/>
      <c r="L31" s="2973">
        <f ca="1">Plot.Tables!M85</f>
        <v>6.6431094999999996</v>
      </c>
      <c r="M31" s="2973"/>
      <c r="N31" s="2973">
        <f ca="1">Plot.Tables!O85</f>
        <v>6.6431094999999996</v>
      </c>
      <c r="O31" s="2973"/>
      <c r="P31" s="2973">
        <f ca="1">Plot.Tables!Q85</f>
        <v>6.6431094999999996</v>
      </c>
      <c r="Q31" s="2973"/>
      <c r="R31" s="2973">
        <f ca="1">Plot.Tables!S85</f>
        <v>6.6431094999999996</v>
      </c>
      <c r="S31" s="2975"/>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936" t="str">
        <f>Plot.Tables!C86</f>
        <v>P2O5 in treated manure (sludge + solids) (ton (2000 lb)/year)</v>
      </c>
      <c r="E32" s="2937"/>
      <c r="F32" s="2937"/>
      <c r="G32" s="2937"/>
      <c r="H32" s="2937"/>
      <c r="I32" s="2937"/>
      <c r="J32" s="2973">
        <f>Plot.Tables!K86</f>
        <v>0</v>
      </c>
      <c r="K32" s="2973"/>
      <c r="L32" s="2973">
        <f ca="1">Plot.Tables!M86</f>
        <v>0</v>
      </c>
      <c r="M32" s="2973"/>
      <c r="N32" s="2973">
        <f ca="1">Plot.Tables!O86</f>
        <v>0</v>
      </c>
      <c r="O32" s="2973"/>
      <c r="P32" s="2973">
        <f ca="1">Plot.Tables!Q86</f>
        <v>0</v>
      </c>
      <c r="Q32" s="2973"/>
      <c r="R32" s="2973">
        <f ca="1">Plot.Tables!S86</f>
        <v>0</v>
      </c>
      <c r="S32" s="2975"/>
      <c r="T32" s="963"/>
      <c r="U32" s="609"/>
      <c r="V32" s="926"/>
      <c r="W32" s="926"/>
      <c r="X32" s="926"/>
      <c r="Y32" s="926"/>
      <c r="Z32" s="926"/>
      <c r="AA32" s="926"/>
      <c r="AB32" s="926"/>
      <c r="AC32" s="926"/>
      <c r="AD32" s="926"/>
      <c r="AE32" s="926"/>
      <c r="AF32" s="926"/>
      <c r="AG32" s="926"/>
      <c r="AH32" s="926"/>
      <c r="AI32" s="926"/>
      <c r="AJ32" s="926"/>
    </row>
    <row r="33" spans="1:36" ht="15" customHeight="1" thickBot="1" x14ac:dyDescent="0.35">
      <c r="A33" s="926"/>
      <c r="B33" s="609"/>
      <c r="C33" s="962"/>
      <c r="D33" s="2933" t="str">
        <f>Plot.Tables!C87</f>
        <v>Land for treatment facilities (acre)</v>
      </c>
      <c r="E33" s="2934"/>
      <c r="F33" s="2934"/>
      <c r="G33" s="2934"/>
      <c r="H33" s="2934"/>
      <c r="I33" s="2934"/>
      <c r="J33" s="2972">
        <f>Plot.Tables!K87</f>
        <v>7.13103647531107E-2</v>
      </c>
      <c r="K33" s="2972"/>
      <c r="L33" s="2972">
        <f ca="1">Plot.Tables!M87</f>
        <v>7.13103647531107E-2</v>
      </c>
      <c r="M33" s="2972"/>
      <c r="N33" s="2972">
        <f ca="1">Plot.Tables!O87</f>
        <v>7.13103647531107E-2</v>
      </c>
      <c r="O33" s="2972"/>
      <c r="P33" s="2972">
        <f ca="1">Plot.Tables!Q87</f>
        <v>7.13103647531107E-2</v>
      </c>
      <c r="Q33" s="2972"/>
      <c r="R33" s="2972">
        <f ca="1">Plot.Tables!S87</f>
        <v>7.13103647531107E-2</v>
      </c>
      <c r="S33" s="2976"/>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40"/>
      <c r="F34" s="40"/>
      <c r="G34" s="1746"/>
      <c r="H34" s="1746"/>
      <c r="I34" s="1746"/>
      <c r="J34" s="1746"/>
      <c r="K34" s="1746"/>
      <c r="L34" s="1747"/>
      <c r="M34" s="1745"/>
      <c r="N34" s="1745"/>
      <c r="O34" s="1745"/>
      <c r="P34" s="40"/>
      <c r="Q34" s="40"/>
      <c r="R34" s="40"/>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40"/>
      <c r="F35" s="40"/>
      <c r="G35" s="1064"/>
      <c r="H35" s="1064"/>
      <c r="I35" s="1064"/>
      <c r="J35" s="1064"/>
      <c r="K35" s="1064"/>
      <c r="L35" s="1065"/>
      <c r="M35" s="972"/>
      <c r="N35" s="972"/>
      <c r="O35" s="972"/>
      <c r="P35" s="40"/>
      <c r="Q35" s="40"/>
      <c r="R35" s="40"/>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40"/>
      <c r="F36" s="40"/>
      <c r="G36" s="1064"/>
      <c r="H36" s="1064"/>
      <c r="I36" s="1064"/>
      <c r="J36" s="1064"/>
      <c r="K36" s="1064"/>
      <c r="L36" s="1065"/>
      <c r="M36" s="972"/>
      <c r="N36" s="972"/>
      <c r="O36" s="972"/>
      <c r="P36" s="40"/>
      <c r="Q36" s="40"/>
      <c r="R36" s="40"/>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40"/>
      <c r="F37" s="40"/>
      <c r="G37" s="1064"/>
      <c r="H37" s="1064"/>
      <c r="I37" s="1064"/>
      <c r="J37" s="1064"/>
      <c r="K37" s="1064"/>
      <c r="L37" s="1065"/>
      <c r="M37" s="972"/>
      <c r="N37" s="972"/>
      <c r="O37" s="972"/>
      <c r="P37" s="40"/>
      <c r="Q37" s="40"/>
      <c r="R37" s="40"/>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40"/>
      <c r="F38" s="40"/>
      <c r="G38" s="1064"/>
      <c r="H38" s="1064"/>
      <c r="I38" s="1064"/>
      <c r="J38" s="1064"/>
      <c r="K38" s="1064"/>
      <c r="L38" s="1065"/>
      <c r="M38" s="972"/>
      <c r="N38" s="972"/>
      <c r="O38" s="972"/>
      <c r="P38" s="40"/>
      <c r="Q38" s="40"/>
      <c r="R38" s="40"/>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40"/>
      <c r="F39" s="40"/>
      <c r="G39" s="1064"/>
      <c r="H39" s="1064"/>
      <c r="I39" s="1064"/>
      <c r="J39" s="1064"/>
      <c r="K39" s="1064"/>
      <c r="L39" s="1065"/>
      <c r="M39" s="972"/>
      <c r="N39" s="972"/>
      <c r="O39" s="972"/>
      <c r="P39" s="40"/>
      <c r="Q39" s="40"/>
      <c r="R39" s="40"/>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40"/>
      <c r="F40" s="40"/>
      <c r="G40" s="1064"/>
      <c r="H40" s="1064"/>
      <c r="I40" s="1064"/>
      <c r="J40" s="1064"/>
      <c r="K40" s="1064"/>
      <c r="L40" s="1065"/>
      <c r="M40" s="972"/>
      <c r="N40" s="972"/>
      <c r="O40" s="972"/>
      <c r="P40" s="40"/>
      <c r="Q40" s="40"/>
      <c r="R40" s="40"/>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40"/>
      <c r="F41" s="40"/>
      <c r="G41" s="1064"/>
      <c r="H41" s="1064"/>
      <c r="I41" s="1064"/>
      <c r="J41" s="1064"/>
      <c r="K41" s="1064"/>
      <c r="L41" s="1065"/>
      <c r="M41" s="972"/>
      <c r="N41" s="972"/>
      <c r="O41" s="972"/>
      <c r="P41" s="40"/>
      <c r="Q41" s="40"/>
      <c r="R41" s="40"/>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40"/>
      <c r="F42" s="40"/>
      <c r="G42" s="1064"/>
      <c r="H42" s="1064"/>
      <c r="I42" s="1064"/>
      <c r="J42" s="1064"/>
      <c r="K42" s="1064"/>
      <c r="L42" s="1065"/>
      <c r="M42" s="972"/>
      <c r="N42" s="972"/>
      <c r="O42" s="972"/>
      <c r="P42" s="40"/>
      <c r="Q42" s="40"/>
      <c r="R42" s="40"/>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40"/>
      <c r="F43" s="40"/>
      <c r="G43" s="1064"/>
      <c r="H43" s="1064"/>
      <c r="I43" s="1064"/>
      <c r="J43" s="1064"/>
      <c r="K43" s="1064"/>
      <c r="L43" s="1065"/>
      <c r="M43" s="972"/>
      <c r="N43" s="972"/>
      <c r="O43" s="972"/>
      <c r="P43" s="40"/>
      <c r="Q43" s="40"/>
      <c r="R43" s="40"/>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40"/>
      <c r="F44" s="40"/>
      <c r="G44" s="1064"/>
      <c r="H44" s="1064"/>
      <c r="I44" s="1064"/>
      <c r="J44" s="1064"/>
      <c r="K44" s="1064"/>
      <c r="L44" s="1065"/>
      <c r="M44" s="972"/>
      <c r="N44" s="972"/>
      <c r="O44" s="972"/>
      <c r="P44" s="40"/>
      <c r="Q44" s="40"/>
      <c r="R44" s="40"/>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40"/>
      <c r="F45" s="40"/>
      <c r="G45" s="1064"/>
      <c r="H45" s="1064"/>
      <c r="I45" s="1064"/>
      <c r="J45" s="1064"/>
      <c r="K45" s="1064"/>
      <c r="L45" s="1065"/>
      <c r="M45" s="972"/>
      <c r="N45" s="972"/>
      <c r="O45" s="972"/>
      <c r="P45" s="40"/>
      <c r="Q45" s="40"/>
      <c r="R45" s="40"/>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40"/>
      <c r="F46" s="40"/>
      <c r="G46" s="1064"/>
      <c r="H46" s="1064"/>
      <c r="I46" s="1064"/>
      <c r="J46" s="1064"/>
      <c r="K46" s="1064"/>
      <c r="L46" s="1065"/>
      <c r="M46" s="972"/>
      <c r="N46" s="972"/>
      <c r="O46" s="972"/>
      <c r="P46" s="40"/>
      <c r="Q46" s="40"/>
      <c r="R46" s="40"/>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40"/>
      <c r="F47" s="40"/>
      <c r="G47" s="1064"/>
      <c r="H47" s="1064"/>
      <c r="I47" s="1064"/>
      <c r="J47" s="1064"/>
      <c r="K47" s="1064"/>
      <c r="L47" s="1065"/>
      <c r="M47" s="972"/>
      <c r="N47" s="972"/>
      <c r="O47" s="972"/>
      <c r="P47" s="40"/>
      <c r="Q47" s="40"/>
      <c r="R47" s="40"/>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40"/>
      <c r="F48" s="40"/>
      <c r="G48" s="1064"/>
      <c r="H48" s="1064"/>
      <c r="I48" s="1064"/>
      <c r="J48" s="1064"/>
      <c r="K48" s="1064"/>
      <c r="L48" s="1065"/>
      <c r="M48" s="972"/>
      <c r="N48" s="972"/>
      <c r="O48" s="972"/>
      <c r="P48" s="40"/>
      <c r="Q48" s="40"/>
      <c r="R48" s="40"/>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40"/>
      <c r="F49" s="40"/>
      <c r="G49" s="1064"/>
      <c r="H49" s="1064"/>
      <c r="I49" s="1064"/>
      <c r="J49" s="1064"/>
      <c r="K49" s="1064"/>
      <c r="L49" s="1065"/>
      <c r="M49" s="972"/>
      <c r="N49" s="972"/>
      <c r="O49" s="972"/>
      <c r="P49" s="40"/>
      <c r="Q49" s="40"/>
      <c r="R49" s="40"/>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40"/>
      <c r="F50" s="40"/>
      <c r="G50" s="1064"/>
      <c r="H50" s="1064"/>
      <c r="I50" s="1064"/>
      <c r="J50" s="1064"/>
      <c r="K50" s="1064"/>
      <c r="L50" s="1065"/>
      <c r="M50" s="972"/>
      <c r="N50" s="972"/>
      <c r="O50" s="972"/>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40"/>
      <c r="F51" s="40"/>
      <c r="G51" s="1064"/>
      <c r="H51" s="1064"/>
      <c r="I51" s="1064"/>
      <c r="J51" s="1064"/>
      <c r="K51" s="1064"/>
      <c r="L51" s="1065"/>
      <c r="M51" s="972"/>
      <c r="N51" s="972"/>
      <c r="O51" s="972"/>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40"/>
      <c r="F52" s="40"/>
      <c r="G52" s="1064"/>
      <c r="H52" s="1064"/>
      <c r="I52" s="1064"/>
      <c r="J52" s="1064"/>
      <c r="K52" s="1064"/>
      <c r="L52" s="1065"/>
      <c r="M52" s="972"/>
      <c r="N52" s="972"/>
      <c r="O52" s="972"/>
      <c r="P52" s="40"/>
      <c r="Q52" s="40"/>
      <c r="R52" s="40"/>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40"/>
      <c r="F53" s="40"/>
      <c r="G53" s="1064"/>
      <c r="H53" s="1064"/>
      <c r="I53" s="1064"/>
      <c r="J53" s="1064"/>
      <c r="K53" s="1064"/>
      <c r="L53" s="1065"/>
      <c r="M53" s="972"/>
      <c r="N53" s="972"/>
      <c r="O53" s="972"/>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40"/>
      <c r="F54" s="40"/>
      <c r="G54" s="1064"/>
      <c r="H54" s="1064"/>
      <c r="I54" s="1064"/>
      <c r="J54" s="1064"/>
      <c r="K54" s="1064"/>
      <c r="L54" s="1065"/>
      <c r="M54" s="972"/>
      <c r="N54" s="972"/>
      <c r="O54" s="972"/>
      <c r="P54" s="40"/>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1064"/>
      <c r="H55" s="1064"/>
      <c r="I55" s="1064"/>
      <c r="J55" s="1064"/>
      <c r="K55" s="1064"/>
      <c r="L55" s="1065"/>
      <c r="M55" s="972"/>
      <c r="N55" s="972"/>
      <c r="O55" s="972"/>
      <c r="P55" s="40"/>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1064"/>
      <c r="H56" s="1064"/>
      <c r="I56" s="1064"/>
      <c r="J56" s="1064"/>
      <c r="K56" s="1064"/>
      <c r="L56" s="1065"/>
      <c r="M56" s="972"/>
      <c r="N56" s="972"/>
      <c r="O56" s="972"/>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1064"/>
      <c r="H57" s="1064"/>
      <c r="I57" s="1064"/>
      <c r="J57" s="1064"/>
      <c r="K57" s="1064"/>
      <c r="L57" s="1065"/>
      <c r="M57" s="972"/>
      <c r="N57" s="972"/>
      <c r="O57" s="972"/>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1064"/>
      <c r="H58" s="1064"/>
      <c r="I58" s="1064"/>
      <c r="J58" s="1064"/>
      <c r="K58" s="1064"/>
      <c r="L58" s="1065"/>
      <c r="M58" s="972"/>
      <c r="N58" s="972"/>
      <c r="O58" s="972"/>
      <c r="P58" s="40"/>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40"/>
      <c r="E59" s="40"/>
      <c r="F59" s="40"/>
      <c r="G59" s="1064"/>
      <c r="H59" s="1064"/>
      <c r="I59" s="1064"/>
      <c r="J59" s="1064"/>
      <c r="K59" s="1064"/>
      <c r="L59" s="1065"/>
      <c r="M59" s="972"/>
      <c r="N59" s="972"/>
      <c r="O59" s="972"/>
      <c r="P59" s="40"/>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40"/>
      <c r="F60" s="40"/>
      <c r="G60" s="1064"/>
      <c r="H60" s="1064"/>
      <c r="I60" s="1064"/>
      <c r="J60" s="1064"/>
      <c r="K60" s="1064"/>
      <c r="L60" s="1065"/>
      <c r="M60" s="972"/>
      <c r="N60" s="972"/>
      <c r="O60" s="972"/>
      <c r="P60" s="40"/>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40"/>
      <c r="E61" s="40"/>
      <c r="F61" s="40"/>
      <c r="G61" s="1064"/>
      <c r="H61" s="1064"/>
      <c r="I61" s="1064"/>
      <c r="J61" s="1064"/>
      <c r="K61" s="1064"/>
      <c r="L61" s="1065"/>
      <c r="M61" s="972"/>
      <c r="N61" s="972"/>
      <c r="O61" s="972"/>
      <c r="P61" s="40"/>
      <c r="Q61" s="40"/>
      <c r="R61" s="40"/>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1008"/>
      <c r="E62" s="40"/>
      <c r="F62" s="40"/>
      <c r="G62" s="1064"/>
      <c r="H62" s="1064"/>
      <c r="I62" s="1064"/>
      <c r="J62" s="1064"/>
      <c r="K62" s="1064"/>
      <c r="L62" s="1065"/>
      <c r="M62" s="972"/>
      <c r="N62" s="972"/>
      <c r="O62" s="972"/>
      <c r="P62" s="40"/>
      <c r="Q62" s="40"/>
      <c r="R62" s="40"/>
      <c r="S62" s="4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40"/>
      <c r="E63" s="40"/>
      <c r="F63" s="40"/>
      <c r="G63" s="1064"/>
      <c r="H63" s="1064"/>
      <c r="I63" s="1064"/>
      <c r="J63" s="1064"/>
      <c r="K63" s="1064"/>
      <c r="L63" s="1065"/>
      <c r="M63" s="972"/>
      <c r="N63" s="972"/>
      <c r="O63" s="972"/>
      <c r="P63" s="40"/>
      <c r="Q63" s="40"/>
      <c r="R63" s="40"/>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1762"/>
      <c r="E64" s="40"/>
      <c r="F64" s="40"/>
      <c r="G64" s="40"/>
      <c r="H64" s="40"/>
      <c r="I64" s="40"/>
      <c r="J64" s="40"/>
      <c r="K64" s="40"/>
      <c r="L64" s="40"/>
      <c r="M64" s="40"/>
      <c r="N64" s="40"/>
      <c r="O64" s="40"/>
      <c r="P64" s="40"/>
      <c r="Q64" s="40"/>
      <c r="R64" s="40"/>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1006"/>
      <c r="D65" s="1763"/>
      <c r="E65" s="1763"/>
      <c r="F65" s="1763"/>
      <c r="G65" s="1763"/>
      <c r="H65" s="1763"/>
      <c r="I65" s="1764"/>
      <c r="J65" s="1764"/>
      <c r="K65" s="1764"/>
      <c r="L65" s="1764"/>
      <c r="M65" s="1764"/>
      <c r="N65" s="1764"/>
      <c r="O65" s="1764"/>
      <c r="P65" s="1764"/>
      <c r="Q65" s="1764"/>
      <c r="R65" s="1764"/>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1006"/>
      <c r="D66" s="1763"/>
      <c r="E66" s="1763"/>
      <c r="F66" s="1763"/>
      <c r="G66" s="1763"/>
      <c r="H66" s="1763"/>
      <c r="I66" s="1765"/>
      <c r="J66" s="1765"/>
      <c r="K66" s="1765"/>
      <c r="L66" s="1765"/>
      <c r="M66" s="1765"/>
      <c r="N66" s="1765"/>
      <c r="O66" s="1765"/>
      <c r="P66" s="1765"/>
      <c r="Q66" s="1765"/>
      <c r="R66" s="1765"/>
      <c r="S66" s="4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1006"/>
      <c r="D67" s="1763"/>
      <c r="E67" s="1763"/>
      <c r="F67" s="1763"/>
      <c r="G67" s="1763"/>
      <c r="H67" s="1763"/>
      <c r="I67" s="1765"/>
      <c r="J67" s="1765"/>
      <c r="K67" s="1765"/>
      <c r="L67" s="1765"/>
      <c r="M67" s="1765"/>
      <c r="N67" s="1765"/>
      <c r="O67" s="1765"/>
      <c r="P67" s="1765"/>
      <c r="Q67" s="1765"/>
      <c r="R67" s="1765"/>
      <c r="S67" s="4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1006"/>
      <c r="D68" s="1763"/>
      <c r="E68" s="1763"/>
      <c r="F68" s="1763"/>
      <c r="G68" s="1763"/>
      <c r="H68" s="1763"/>
      <c r="I68" s="1765"/>
      <c r="J68" s="1765"/>
      <c r="K68" s="1765"/>
      <c r="L68" s="1765"/>
      <c r="M68" s="1765"/>
      <c r="N68" s="1765"/>
      <c r="O68" s="1765"/>
      <c r="P68" s="1765"/>
      <c r="Q68" s="1765"/>
      <c r="R68" s="1765"/>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1006"/>
      <c r="D69" s="1763"/>
      <c r="E69" s="1763"/>
      <c r="F69" s="1763"/>
      <c r="G69" s="1763"/>
      <c r="H69" s="1763"/>
      <c r="I69" s="1765"/>
      <c r="J69" s="1765"/>
      <c r="K69" s="1765"/>
      <c r="L69" s="1765"/>
      <c r="M69" s="1765"/>
      <c r="N69" s="1765"/>
      <c r="O69" s="1765"/>
      <c r="P69" s="1765"/>
      <c r="Q69" s="1765"/>
      <c r="R69" s="1765"/>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1006"/>
      <c r="D70" s="40"/>
      <c r="E70" s="40"/>
      <c r="F70" s="40"/>
      <c r="G70" s="40"/>
      <c r="H70" s="40"/>
      <c r="I70" s="1766"/>
      <c r="J70" s="1766"/>
      <c r="K70" s="1766"/>
      <c r="L70" s="1766"/>
      <c r="M70" s="1766"/>
      <c r="N70" s="1766"/>
      <c r="O70" s="1766"/>
      <c r="P70" s="1766"/>
      <c r="Q70" s="1766"/>
      <c r="R70" s="1766"/>
      <c r="S70" s="4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1006"/>
      <c r="D71" s="40"/>
      <c r="E71" s="40"/>
      <c r="F71" s="40"/>
      <c r="G71" s="40"/>
      <c r="H71" s="40"/>
      <c r="I71" s="1766"/>
      <c r="J71" s="1766"/>
      <c r="K71" s="1766"/>
      <c r="L71" s="1766"/>
      <c r="M71" s="1766"/>
      <c r="N71" s="1766"/>
      <c r="O71" s="1766"/>
      <c r="P71" s="1766"/>
      <c r="Q71" s="1766"/>
      <c r="R71" s="1766"/>
      <c r="S71" s="40"/>
      <c r="T71" s="963"/>
      <c r="U71" s="609"/>
      <c r="V71" s="926"/>
      <c r="W71" s="926"/>
      <c r="X71" s="926"/>
      <c r="Y71" s="926"/>
      <c r="Z71" s="926"/>
      <c r="AA71" s="926"/>
      <c r="AB71" s="926"/>
      <c r="AC71" s="926"/>
      <c r="AD71" s="926"/>
      <c r="AE71" s="926"/>
      <c r="AF71" s="926"/>
      <c r="AG71" s="926"/>
      <c r="AH71" s="926"/>
      <c r="AI71" s="926"/>
      <c r="AJ71" s="926"/>
    </row>
    <row r="72" spans="1:36" x14ac:dyDescent="0.3">
      <c r="A72" s="926"/>
      <c r="B72" s="609"/>
      <c r="C72" s="1006"/>
      <c r="D72" s="40"/>
      <c r="E72" s="40"/>
      <c r="F72" s="40"/>
      <c r="G72" s="40"/>
      <c r="H72" s="40"/>
      <c r="I72" s="1767"/>
      <c r="J72" s="1767"/>
      <c r="K72" s="1767"/>
      <c r="L72" s="1767"/>
      <c r="M72" s="1767"/>
      <c r="N72" s="1767"/>
      <c r="O72" s="1767"/>
      <c r="P72" s="1767"/>
      <c r="Q72" s="1767"/>
      <c r="R72" s="1767"/>
      <c r="S72" s="40"/>
      <c r="T72" s="963"/>
      <c r="U72" s="609"/>
      <c r="V72" s="926"/>
      <c r="W72" s="926"/>
      <c r="X72" s="926"/>
      <c r="Y72" s="926"/>
      <c r="Z72" s="926"/>
      <c r="AA72" s="926"/>
      <c r="AB72" s="926"/>
      <c r="AC72" s="926"/>
      <c r="AD72" s="926"/>
      <c r="AE72" s="926"/>
      <c r="AF72" s="926"/>
      <c r="AG72" s="926"/>
      <c r="AH72" s="926"/>
      <c r="AI72" s="926"/>
      <c r="AJ72" s="926"/>
    </row>
    <row r="73" spans="1:36" x14ac:dyDescent="0.3">
      <c r="A73" s="926"/>
      <c r="B73" s="609"/>
      <c r="C73" s="1006"/>
      <c r="D73" s="40"/>
      <c r="E73" s="40"/>
      <c r="F73" s="40"/>
      <c r="G73" s="40"/>
      <c r="H73" s="40"/>
      <c r="I73" s="1767"/>
      <c r="J73" s="1767"/>
      <c r="K73" s="1767"/>
      <c r="L73" s="1767"/>
      <c r="M73" s="1767"/>
      <c r="N73" s="1767"/>
      <c r="O73" s="1767"/>
      <c r="P73" s="1767"/>
      <c r="Q73" s="1767"/>
      <c r="R73" s="1767"/>
      <c r="S73" s="40"/>
      <c r="T73" s="963"/>
      <c r="U73" s="609"/>
      <c r="V73" s="926"/>
      <c r="W73" s="926"/>
      <c r="X73" s="926"/>
      <c r="Y73" s="926"/>
      <c r="Z73" s="926"/>
      <c r="AA73" s="926"/>
      <c r="AB73" s="926"/>
      <c r="AC73" s="926"/>
      <c r="AD73" s="926"/>
      <c r="AE73" s="926"/>
      <c r="AF73" s="926"/>
      <c r="AG73" s="926"/>
      <c r="AH73" s="926"/>
      <c r="AI73" s="926"/>
      <c r="AJ73" s="926"/>
    </row>
    <row r="74" spans="1:36" x14ac:dyDescent="0.3">
      <c r="A74" s="926"/>
      <c r="B74" s="609"/>
      <c r="C74" s="1006"/>
      <c r="D74" s="40"/>
      <c r="E74" s="40"/>
      <c r="F74" s="40"/>
      <c r="G74" s="40"/>
      <c r="H74" s="40"/>
      <c r="I74" s="1767"/>
      <c r="J74" s="1767"/>
      <c r="K74" s="1767"/>
      <c r="L74" s="1767"/>
      <c r="M74" s="1767"/>
      <c r="N74" s="1767"/>
      <c r="O74" s="1767"/>
      <c r="P74" s="1767"/>
      <c r="Q74" s="1767"/>
      <c r="R74" s="1767"/>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1006"/>
      <c r="D75" s="40"/>
      <c r="E75" s="40"/>
      <c r="F75" s="40"/>
      <c r="G75" s="40"/>
      <c r="H75" s="40"/>
      <c r="I75" s="1768"/>
      <c r="J75" s="1768"/>
      <c r="K75" s="1768"/>
      <c r="L75" s="1768"/>
      <c r="M75" s="1768"/>
      <c r="N75" s="1768"/>
      <c r="O75" s="1768"/>
      <c r="P75" s="1768"/>
      <c r="Q75" s="1768"/>
      <c r="R75" s="1768"/>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1006"/>
      <c r="D76" s="1008"/>
      <c r="E76" s="1004"/>
      <c r="F76" s="1004"/>
      <c r="G76" s="1004"/>
      <c r="H76" s="1004"/>
      <c r="I76" s="1004"/>
      <c r="J76" s="1004"/>
      <c r="K76" s="1004"/>
      <c r="L76" s="1004"/>
      <c r="M76" s="1004"/>
      <c r="N76" s="1004"/>
      <c r="O76" s="1004"/>
      <c r="P76" s="1004"/>
      <c r="Q76" s="1004"/>
      <c r="R76" s="1004"/>
      <c r="S76" s="1004"/>
      <c r="T76" s="1009"/>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1006"/>
      <c r="D77" s="1008"/>
      <c r="E77" s="1004"/>
      <c r="F77" s="1004"/>
      <c r="G77" s="1004"/>
      <c r="H77" s="1004"/>
      <c r="I77" s="1004"/>
      <c r="J77" s="1010"/>
      <c r="K77" s="1010"/>
      <c r="L77" s="1004"/>
      <c r="M77" s="1004"/>
      <c r="N77" s="1004"/>
      <c r="O77" s="1004"/>
      <c r="P77" s="1004"/>
      <c r="Q77" s="1004"/>
      <c r="R77" s="1004"/>
      <c r="S77" s="1004"/>
      <c r="T77" s="1009"/>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1732"/>
      <c r="D78" s="1008"/>
      <c r="E78" s="1004"/>
      <c r="F78" s="1004"/>
      <c r="G78" s="1004"/>
      <c r="H78" s="1004"/>
      <c r="I78" s="1004"/>
      <c r="J78" s="1004"/>
      <c r="K78" s="1004"/>
      <c r="L78" s="1004"/>
      <c r="M78" s="1004"/>
      <c r="N78" s="1004"/>
      <c r="O78" s="1004"/>
      <c r="P78" s="1004"/>
      <c r="Q78" s="1004"/>
      <c r="R78" s="1004"/>
      <c r="S78" s="1004"/>
      <c r="T78" s="1009"/>
      <c r="U78" s="609"/>
      <c r="V78" s="926"/>
      <c r="W78" s="926"/>
      <c r="X78" s="926"/>
      <c r="Y78" s="926"/>
      <c r="Z78" s="926"/>
      <c r="AA78" s="926"/>
      <c r="AB78" s="926"/>
      <c r="AC78" s="926"/>
      <c r="AD78" s="926"/>
      <c r="AE78" s="926"/>
      <c r="AF78" s="926"/>
      <c r="AG78" s="926"/>
      <c r="AH78" s="926"/>
      <c r="AI78" s="926"/>
      <c r="AJ78" s="926"/>
    </row>
    <row r="79" spans="1:36" ht="15" customHeight="1" x14ac:dyDescent="0.3">
      <c r="A79" s="926"/>
      <c r="B79" s="609"/>
      <c r="C79" s="1732"/>
      <c r="D79" s="1731"/>
      <c r="E79" s="1004"/>
      <c r="F79" s="1004"/>
      <c r="G79" s="1004"/>
      <c r="H79" s="1004"/>
      <c r="I79" s="1004"/>
      <c r="J79" s="1004"/>
      <c r="K79" s="1004"/>
      <c r="L79" s="1004"/>
      <c r="M79" s="1004"/>
      <c r="N79" s="1004"/>
      <c r="O79" s="1004"/>
      <c r="P79" s="1004"/>
      <c r="Q79" s="1004"/>
      <c r="R79" s="1004"/>
      <c r="S79" s="1004"/>
      <c r="T79" s="1009"/>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1006"/>
      <c r="D80" s="40"/>
      <c r="E80" s="1004"/>
      <c r="F80" s="1004"/>
      <c r="G80" s="1004"/>
      <c r="H80" s="1004"/>
      <c r="I80" s="1004"/>
      <c r="J80" s="1004"/>
      <c r="K80" s="1004"/>
      <c r="L80" s="1004"/>
      <c r="M80" s="1004"/>
      <c r="N80" s="1004"/>
      <c r="O80" s="1004"/>
      <c r="P80" s="1004"/>
      <c r="Q80" s="1004"/>
      <c r="R80" s="1004"/>
      <c r="S80" s="1004"/>
      <c r="T80" s="1009"/>
      <c r="U80" s="609"/>
      <c r="V80" s="926"/>
      <c r="W80" s="926"/>
      <c r="X80" s="926"/>
      <c r="Y80" s="926"/>
      <c r="Z80" s="926"/>
      <c r="AA80" s="926"/>
      <c r="AB80" s="926"/>
      <c r="AC80" s="926"/>
      <c r="AD80" s="926"/>
      <c r="AE80" s="926"/>
      <c r="AF80" s="926"/>
      <c r="AG80" s="926"/>
      <c r="AH80" s="926"/>
      <c r="AI80" s="926"/>
      <c r="AJ80" s="926"/>
    </row>
    <row r="81" spans="1:36" ht="15" customHeight="1" thickBot="1" x14ac:dyDescent="0.35">
      <c r="A81" s="926"/>
      <c r="B81" s="609"/>
      <c r="C81" s="1007"/>
      <c r="D81" s="1011"/>
      <c r="E81" s="1011"/>
      <c r="F81" s="1012"/>
      <c r="G81" s="1013"/>
      <c r="H81" s="1013"/>
      <c r="I81" s="1013"/>
      <c r="J81" s="1012"/>
      <c r="K81" s="1012"/>
      <c r="L81" s="1012"/>
      <c r="M81" s="1012"/>
      <c r="N81" s="1012"/>
      <c r="O81" s="1012"/>
      <c r="P81" s="1012"/>
      <c r="Q81" s="1012"/>
      <c r="R81" s="1012"/>
      <c r="S81" s="1012"/>
      <c r="T81" s="1014"/>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609"/>
      <c r="D82" s="609"/>
      <c r="E82" s="609"/>
      <c r="F82" s="609"/>
      <c r="G82" s="609"/>
      <c r="H82" s="609"/>
      <c r="I82" s="609"/>
      <c r="J82" s="609"/>
      <c r="K82" s="609"/>
      <c r="L82" s="609"/>
      <c r="M82" s="609"/>
      <c r="N82" s="609"/>
      <c r="O82" s="609"/>
      <c r="P82" s="609"/>
      <c r="Q82" s="609"/>
      <c r="R82" s="609"/>
      <c r="S82" s="609"/>
      <c r="T82" s="609"/>
      <c r="U82" s="609"/>
      <c r="V82" s="926"/>
      <c r="W82" s="926"/>
      <c r="X82" s="926"/>
      <c r="Y82" s="926"/>
      <c r="Z82" s="926"/>
      <c r="AA82" s="926"/>
      <c r="AB82" s="926"/>
      <c r="AC82" s="926"/>
      <c r="AD82" s="926"/>
      <c r="AE82" s="926"/>
      <c r="AF82" s="926"/>
      <c r="AG82" s="926"/>
      <c r="AH82" s="926"/>
      <c r="AI82" s="926"/>
      <c r="AJ82" s="926"/>
    </row>
    <row r="83" spans="1:36" ht="15" customHeight="1" thickBot="1" x14ac:dyDescent="0.35">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36" ht="15" customHeight="1" x14ac:dyDescent="0.3">
      <c r="A84" s="926"/>
      <c r="B84" s="926"/>
      <c r="C84" s="2719" t="s">
        <v>594</v>
      </c>
      <c r="D84" s="2720"/>
      <c r="E84" s="923"/>
      <c r="F84" s="926"/>
      <c r="G84" s="926"/>
      <c r="H84" s="2345" t="s">
        <v>561</v>
      </c>
      <c r="I84" s="2351"/>
      <c r="J84" s="2345" t="s">
        <v>595</v>
      </c>
      <c r="K84" s="2351"/>
      <c r="L84" s="2345" t="s">
        <v>596</v>
      </c>
      <c r="M84" s="2351"/>
      <c r="N84" s="2345" t="s">
        <v>597</v>
      </c>
      <c r="O84" s="2351"/>
      <c r="P84" s="926"/>
      <c r="Q84" s="926"/>
      <c r="R84" s="926"/>
      <c r="S84" s="2356" t="s">
        <v>7</v>
      </c>
      <c r="T84" s="2774"/>
      <c r="U84" s="926"/>
      <c r="V84" s="926"/>
      <c r="W84" s="926"/>
      <c r="X84" s="926"/>
      <c r="Y84" s="926"/>
      <c r="Z84" s="926"/>
      <c r="AA84" s="926"/>
      <c r="AB84" s="926"/>
      <c r="AC84" s="926"/>
      <c r="AD84" s="926"/>
      <c r="AE84" s="926"/>
      <c r="AF84" s="926"/>
      <c r="AG84" s="926"/>
      <c r="AH84" s="926"/>
      <c r="AI84" s="926"/>
      <c r="AJ84" s="926"/>
    </row>
    <row r="85" spans="1:36" ht="15" customHeight="1" x14ac:dyDescent="0.3">
      <c r="A85" s="926"/>
      <c r="B85" s="926"/>
      <c r="C85" s="2721"/>
      <c r="D85" s="2722"/>
      <c r="E85" s="923"/>
      <c r="F85" s="926"/>
      <c r="G85" s="926"/>
      <c r="H85" s="2352"/>
      <c r="I85" s="2353"/>
      <c r="J85" s="2352"/>
      <c r="K85" s="2353"/>
      <c r="L85" s="2352"/>
      <c r="M85" s="2353"/>
      <c r="N85" s="2352"/>
      <c r="O85" s="2353"/>
      <c r="P85" s="926"/>
      <c r="Q85" s="926"/>
      <c r="R85" s="926"/>
      <c r="S85" s="2775"/>
      <c r="T85" s="2776"/>
      <c r="U85" s="926"/>
      <c r="V85" s="926"/>
      <c r="W85" s="926"/>
      <c r="X85" s="926"/>
      <c r="Y85" s="926"/>
      <c r="Z85" s="926"/>
      <c r="AA85" s="926"/>
      <c r="AB85" s="926"/>
      <c r="AC85" s="926"/>
      <c r="AD85" s="926"/>
      <c r="AE85" s="926"/>
      <c r="AF85" s="926"/>
      <c r="AG85" s="926"/>
      <c r="AH85" s="926"/>
      <c r="AI85" s="926"/>
      <c r="AJ85" s="926"/>
    </row>
    <row r="86" spans="1:36" ht="15" customHeight="1" thickBot="1" x14ac:dyDescent="0.35">
      <c r="A86" s="926"/>
      <c r="B86" s="926"/>
      <c r="C86" s="2723"/>
      <c r="D86" s="2724"/>
      <c r="E86" s="923"/>
      <c r="F86" s="926"/>
      <c r="G86" s="926"/>
      <c r="H86" s="2354"/>
      <c r="I86" s="2355"/>
      <c r="J86" s="2354"/>
      <c r="K86" s="2355"/>
      <c r="L86" s="2354"/>
      <c r="M86" s="2355"/>
      <c r="N86" s="2354"/>
      <c r="O86" s="2355"/>
      <c r="P86" s="926"/>
      <c r="Q86" s="926"/>
      <c r="R86" s="926"/>
      <c r="S86" s="2777"/>
      <c r="T86" s="2778"/>
      <c r="U86" s="926"/>
      <c r="V86" s="926"/>
      <c r="W86" s="926"/>
      <c r="X86" s="926"/>
      <c r="Y86" s="926"/>
      <c r="Z86" s="926"/>
      <c r="AA86" s="926"/>
      <c r="AB86" s="926"/>
      <c r="AC86" s="926"/>
      <c r="AD86" s="926"/>
      <c r="AE86" s="926"/>
      <c r="AF86" s="926"/>
      <c r="AG86" s="926"/>
      <c r="AH86" s="926"/>
      <c r="AI86" s="926"/>
      <c r="AJ86" s="926"/>
    </row>
    <row r="87" spans="1:36" ht="15" customHeight="1" x14ac:dyDescent="0.3">
      <c r="A87" s="926"/>
      <c r="B87" s="926"/>
      <c r="C87" s="926"/>
      <c r="D87" s="926"/>
      <c r="E87" s="923"/>
      <c r="F87" s="923"/>
      <c r="G87" s="923"/>
      <c r="H87" s="923"/>
      <c r="I87" s="2345" t="s">
        <v>598</v>
      </c>
      <c r="J87" s="2351"/>
      <c r="K87" s="2362" t="s">
        <v>599</v>
      </c>
      <c r="L87" s="2833"/>
      <c r="M87" s="2345" t="s">
        <v>600</v>
      </c>
      <c r="N87" s="2351"/>
      <c r="O87" s="923"/>
      <c r="P87" s="923"/>
      <c r="Q87" s="923"/>
      <c r="R87" s="923"/>
      <c r="S87" s="923"/>
      <c r="T87" s="923"/>
      <c r="U87" s="926"/>
      <c r="V87" s="926"/>
      <c r="W87" s="926"/>
      <c r="X87" s="926"/>
      <c r="Y87" s="926"/>
      <c r="Z87" s="926"/>
      <c r="AA87" s="926"/>
      <c r="AB87" s="926"/>
      <c r="AC87" s="926"/>
      <c r="AD87" s="926"/>
      <c r="AE87" s="926"/>
      <c r="AF87" s="926"/>
      <c r="AG87" s="926"/>
      <c r="AH87" s="926"/>
      <c r="AI87" s="926"/>
      <c r="AJ87" s="926"/>
    </row>
    <row r="88" spans="1:36" ht="15" customHeight="1" x14ac:dyDescent="0.3">
      <c r="A88" s="926"/>
      <c r="B88" s="926"/>
      <c r="C88" s="926"/>
      <c r="D88" s="926"/>
      <c r="E88" s="923"/>
      <c r="F88" s="926"/>
      <c r="G88" s="926"/>
      <c r="H88" s="926"/>
      <c r="I88" s="2352"/>
      <c r="J88" s="2353"/>
      <c r="K88" s="2834"/>
      <c r="L88" s="2835"/>
      <c r="M88" s="2352"/>
      <c r="N88" s="2353"/>
      <c r="O88" s="926"/>
      <c r="P88" s="926"/>
      <c r="Q88" s="926"/>
      <c r="R88" s="923"/>
      <c r="S88" s="923"/>
      <c r="T88" s="923"/>
      <c r="U88" s="926"/>
      <c r="V88" s="926"/>
      <c r="W88" s="926"/>
      <c r="X88" s="926"/>
      <c r="Y88" s="926"/>
      <c r="Z88" s="926"/>
      <c r="AA88" s="926"/>
      <c r="AB88" s="926"/>
      <c r="AC88" s="926"/>
      <c r="AD88" s="926"/>
      <c r="AE88" s="926"/>
      <c r="AF88" s="926"/>
      <c r="AG88" s="926"/>
      <c r="AH88" s="926"/>
      <c r="AI88" s="926"/>
      <c r="AJ88" s="926"/>
    </row>
    <row r="89" spans="1:36" ht="15" customHeight="1" thickBot="1" x14ac:dyDescent="0.35">
      <c r="A89" s="926"/>
      <c r="B89" s="926"/>
      <c r="C89" s="926"/>
      <c r="D89" s="926"/>
      <c r="E89" s="923"/>
      <c r="F89" s="926"/>
      <c r="G89" s="926"/>
      <c r="H89" s="926"/>
      <c r="I89" s="2354"/>
      <c r="J89" s="2355"/>
      <c r="K89" s="2836"/>
      <c r="L89" s="2837"/>
      <c r="M89" s="2354"/>
      <c r="N89" s="2355"/>
      <c r="O89" s="926"/>
      <c r="P89" s="926"/>
      <c r="Q89" s="926"/>
      <c r="R89" s="923"/>
      <c r="S89" s="923"/>
      <c r="T89" s="923"/>
      <c r="U89" s="926"/>
      <c r="V89" s="926"/>
      <c r="W89" s="926"/>
      <c r="X89" s="926"/>
      <c r="Y89" s="926"/>
      <c r="Z89" s="926"/>
      <c r="AA89" s="926"/>
      <c r="AB89" s="926"/>
      <c r="AC89" s="926"/>
      <c r="AD89" s="926"/>
      <c r="AE89" s="926"/>
      <c r="AF89" s="926"/>
      <c r="AG89" s="926"/>
      <c r="AH89" s="926"/>
      <c r="AI89" s="926"/>
      <c r="AJ89" s="926"/>
    </row>
    <row r="90" spans="1:36"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row r="93" spans="1:36" x14ac:dyDescent="0.3">
      <c r="A93" s="926"/>
      <c r="B93" s="926"/>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row>
    <row r="94" spans="1:36" x14ac:dyDescent="0.3">
      <c r="A94" s="926"/>
      <c r="B94" s="926"/>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row>
    <row r="95" spans="1:36" x14ac:dyDescent="0.3">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row>
    <row r="96" spans="1:36" x14ac:dyDescent="0.3">
      <c r="A96" s="926"/>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row>
    <row r="97" spans="1:36" x14ac:dyDescent="0.3">
      <c r="A97" s="926"/>
      <c r="B97" s="926"/>
      <c r="C97" s="926"/>
      <c r="D97" s="926"/>
      <c r="E97" s="926"/>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row>
    <row r="98" spans="1:36" x14ac:dyDescent="0.3">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row>
    <row r="99" spans="1:36" x14ac:dyDescent="0.3">
      <c r="A99" s="926"/>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row>
    <row r="100" spans="1:36" x14ac:dyDescent="0.3">
      <c r="A100" s="926"/>
      <c r="B100" s="926"/>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row>
    <row r="101" spans="1:36" x14ac:dyDescent="0.3">
      <c r="A101" s="926"/>
      <c r="B101" s="926"/>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row>
    <row r="102" spans="1:36" x14ac:dyDescent="0.3">
      <c r="A102" s="926"/>
      <c r="B102" s="926"/>
      <c r="C102" s="926"/>
      <c r="D102" s="926"/>
      <c r="E102" s="926"/>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row>
    <row r="103" spans="1:36" x14ac:dyDescent="0.3">
      <c r="A103" s="926"/>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row>
    <row r="104" spans="1:36" x14ac:dyDescent="0.3">
      <c r="A104" s="926"/>
      <c r="B104" s="926"/>
      <c r="C104" s="926"/>
      <c r="D104" s="926"/>
      <c r="E104" s="926"/>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row>
    <row r="105" spans="1:36" x14ac:dyDescent="0.3">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row>
    <row r="106" spans="1:36" x14ac:dyDescent="0.3">
      <c r="A106" s="926"/>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row>
    <row r="107" spans="1:36" x14ac:dyDescent="0.3">
      <c r="A107" s="926"/>
      <c r="B107" s="926"/>
      <c r="C107" s="926"/>
      <c r="D107" s="926"/>
      <c r="E107" s="926"/>
      <c r="F107" s="926"/>
      <c r="G107" s="926"/>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row>
    <row r="108" spans="1:36" x14ac:dyDescent="0.3">
      <c r="A108" s="926"/>
      <c r="B108" s="926"/>
      <c r="C108" s="926"/>
      <c r="D108" s="926"/>
      <c r="E108" s="926"/>
      <c r="F108" s="926"/>
      <c r="G108" s="926"/>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row>
    <row r="109" spans="1:36" x14ac:dyDescent="0.3">
      <c r="A109" s="926"/>
      <c r="B109" s="926"/>
      <c r="C109" s="926"/>
      <c r="D109" s="926"/>
      <c r="E109" s="926"/>
      <c r="F109" s="926"/>
      <c r="G109" s="926"/>
      <c r="H109" s="926"/>
      <c r="I109" s="926"/>
      <c r="J109" s="926"/>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row>
    <row r="120" spans="52:57" ht="15" customHeight="1" thickBot="1" x14ac:dyDescent="0.35">
      <c r="AZ120" s="683" t="s">
        <v>607</v>
      </c>
      <c r="BA120" s="684" t="s">
        <v>608</v>
      </c>
      <c r="BB120" s="670" t="s">
        <v>590</v>
      </c>
      <c r="BC120" s="670" t="s">
        <v>591</v>
      </c>
      <c r="BD120" s="670" t="s">
        <v>592</v>
      </c>
      <c r="BE120" s="675" t="s">
        <v>593</v>
      </c>
    </row>
    <row r="121" spans="52:57" ht="15" customHeight="1" x14ac:dyDescent="0.3">
      <c r="AZ121" s="690"/>
      <c r="BA121" s="682">
        <f>G15</f>
        <v>0</v>
      </c>
      <c r="BB121" s="669">
        <f>G19</f>
        <v>0</v>
      </c>
      <c r="BC121" s="669">
        <f>G23</f>
        <v>0</v>
      </c>
      <c r="BD121" s="669">
        <f>G27</f>
        <v>0</v>
      </c>
      <c r="BE121" s="681">
        <f>G31</f>
        <v>0</v>
      </c>
    </row>
    <row r="122" spans="52:57" x14ac:dyDescent="0.3">
      <c r="AZ122" s="691" t="s">
        <v>609</v>
      </c>
      <c r="BA122" s="685"/>
      <c r="BB122" s="671"/>
      <c r="BC122" s="671"/>
      <c r="BD122" s="671"/>
      <c r="BE122" s="676"/>
    </row>
    <row r="123" spans="52:57" x14ac:dyDescent="0.3">
      <c r="AZ123" s="692" t="s">
        <v>610</v>
      </c>
      <c r="BA123" s="686"/>
      <c r="BB123" s="647"/>
      <c r="BC123" s="647"/>
      <c r="BD123" s="647"/>
      <c r="BE123" s="677"/>
    </row>
    <row r="124" spans="52:57" x14ac:dyDescent="0.3">
      <c r="AZ124" s="693" t="s">
        <v>611</v>
      </c>
      <c r="BA124" s="687" t="e">
        <f>-Plot.Tables!#REF!</f>
        <v>#REF!</v>
      </c>
      <c r="BB124" s="672" t="e">
        <f>-Plot.Tables!#REF!</f>
        <v>#REF!</v>
      </c>
      <c r="BC124" s="672" t="e">
        <f>-Plot.Tables!#REF!</f>
        <v>#REF!</v>
      </c>
      <c r="BD124" s="672" t="e">
        <f>-Plot.Tables!#REF!</f>
        <v>#REF!</v>
      </c>
      <c r="BE124" s="678" t="e">
        <f>-Plot.Tables!#REF!</f>
        <v>#REF!</v>
      </c>
    </row>
    <row r="125" spans="52:57" x14ac:dyDescent="0.3">
      <c r="AZ125" s="693" t="s">
        <v>612</v>
      </c>
      <c r="BA125" s="687" t="e">
        <f>-Plot.Tables!#REF!</f>
        <v>#REF!</v>
      </c>
      <c r="BB125" s="672" t="e">
        <f>-Plot.Tables!#REF!</f>
        <v>#REF!</v>
      </c>
      <c r="BC125" s="672" t="e">
        <f>-Plot.Tables!#REF!</f>
        <v>#REF!</v>
      </c>
      <c r="BD125" s="672" t="e">
        <f>-Plot.Tables!#REF!</f>
        <v>#REF!</v>
      </c>
      <c r="BE125" s="678" t="e">
        <f>-Plot.Tables!#REF!</f>
        <v>#REF!</v>
      </c>
    </row>
    <row r="126" spans="52:57" x14ac:dyDescent="0.3">
      <c r="AZ126" s="692" t="s">
        <v>613</v>
      </c>
      <c r="BA126" s="686"/>
      <c r="BB126" s="647"/>
      <c r="BC126" s="647"/>
      <c r="BD126" s="647"/>
      <c r="BE126" s="677"/>
    </row>
    <row r="127" spans="52:57" x14ac:dyDescent="0.3">
      <c r="AZ127" s="693" t="s">
        <v>614</v>
      </c>
      <c r="BA127" s="688" t="e">
        <f>Plot.Tables!#REF!</f>
        <v>#REF!</v>
      </c>
      <c r="BB127" s="673" t="e">
        <f>Plot.Tables!#REF!</f>
        <v>#REF!</v>
      </c>
      <c r="BC127" s="673" t="e">
        <f>Plot.Tables!#REF!</f>
        <v>#REF!</v>
      </c>
      <c r="BD127" s="673" t="e">
        <f>Plot.Tables!#REF!</f>
        <v>#REF!</v>
      </c>
      <c r="BE127" s="679" t="e">
        <f>Plot.Tables!#REF!</f>
        <v>#REF!</v>
      </c>
    </row>
    <row r="128" spans="52:57" x14ac:dyDescent="0.3">
      <c r="AZ128" s="693" t="s">
        <v>441</v>
      </c>
      <c r="BA128" s="688" t="e">
        <f>Plot.Tables!#REF!</f>
        <v>#REF!</v>
      </c>
      <c r="BB128" s="673" t="e">
        <f>Plot.Tables!#REF!</f>
        <v>#REF!</v>
      </c>
      <c r="BC128" s="673" t="e">
        <f>Plot.Tables!#REF!</f>
        <v>#REF!</v>
      </c>
      <c r="BD128" s="673" t="e">
        <f>Plot.Tables!#REF!</f>
        <v>#REF!</v>
      </c>
      <c r="BE128" s="679" t="e">
        <f>Plot.Tables!#REF!</f>
        <v>#REF!</v>
      </c>
    </row>
    <row r="129" spans="52:57" x14ac:dyDescent="0.3">
      <c r="AZ129" s="693" t="s">
        <v>615</v>
      </c>
      <c r="BA129" s="688" t="e">
        <f>Plot.Tables!#REF!</f>
        <v>#REF!</v>
      </c>
      <c r="BB129" s="673" t="e">
        <f>Plot.Tables!#REF!</f>
        <v>#REF!</v>
      </c>
      <c r="BC129" s="673" t="e">
        <f>Plot.Tables!#REF!</f>
        <v>#REF!</v>
      </c>
      <c r="BD129" s="673" t="e">
        <f>Plot.Tables!#REF!</f>
        <v>#REF!</v>
      </c>
      <c r="BE129" s="679" t="e">
        <f>Plot.Tables!#REF!</f>
        <v>#REF!</v>
      </c>
    </row>
    <row r="130" spans="52:57" ht="15" thickBot="1" x14ac:dyDescent="0.35">
      <c r="AZ130" s="694" t="s">
        <v>616</v>
      </c>
      <c r="BA130" s="689" t="e">
        <f>Plot.Tables!#REF!</f>
        <v>#REF!</v>
      </c>
      <c r="BB130" s="674" t="e">
        <f>Plot.Tables!#REF!</f>
        <v>#REF!</v>
      </c>
      <c r="BC130" s="674" t="e">
        <f>Plot.Tables!#REF!</f>
        <v>#REF!</v>
      </c>
      <c r="BD130" s="674" t="e">
        <f>Plot.Tables!#REF!</f>
        <v>#REF!</v>
      </c>
      <c r="BE130" s="680" t="e">
        <f>Plot.Tables!#REF!</f>
        <v>#REF!</v>
      </c>
    </row>
  </sheetData>
  <mergeCells count="87">
    <mergeCell ref="P32:Q32"/>
    <mergeCell ref="R32:S32"/>
    <mergeCell ref="D33:I33"/>
    <mergeCell ref="J33:K33"/>
    <mergeCell ref="S84:T86"/>
    <mergeCell ref="D32:I32"/>
    <mergeCell ref="J32:K32"/>
    <mergeCell ref="L32:M32"/>
    <mergeCell ref="C84:D86"/>
    <mergeCell ref="H84:I86"/>
    <mergeCell ref="J84:K86"/>
    <mergeCell ref="I87:J89"/>
    <mergeCell ref="K87:L89"/>
    <mergeCell ref="M87:N89"/>
    <mergeCell ref="R33:S33"/>
    <mergeCell ref="L2:M4"/>
    <mergeCell ref="N2:O4"/>
    <mergeCell ref="S2:T4"/>
    <mergeCell ref="I5:J7"/>
    <mergeCell ref="K5:L7"/>
    <mergeCell ref="M5:N7"/>
    <mergeCell ref="P33:Q33"/>
    <mergeCell ref="R31:S31"/>
    <mergeCell ref="D30:I30"/>
    <mergeCell ref="J30:K30"/>
    <mergeCell ref="L30:M30"/>
    <mergeCell ref="N30:O30"/>
    <mergeCell ref="P30:Q30"/>
    <mergeCell ref="R30:S30"/>
    <mergeCell ref="D31:I31"/>
    <mergeCell ref="J31:K31"/>
    <mergeCell ref="L31:M31"/>
    <mergeCell ref="N31:O31"/>
    <mergeCell ref="P31:Q31"/>
    <mergeCell ref="R29:S29"/>
    <mergeCell ref="D28:I28"/>
    <mergeCell ref="J28:K28"/>
    <mergeCell ref="L28:M28"/>
    <mergeCell ref="N28:O28"/>
    <mergeCell ref="P28:Q28"/>
    <mergeCell ref="R28:S28"/>
    <mergeCell ref="D29:I29"/>
    <mergeCell ref="J29:K29"/>
    <mergeCell ref="L29:M29"/>
    <mergeCell ref="N29:O29"/>
    <mergeCell ref="P29:Q29"/>
    <mergeCell ref="P17:Q17"/>
    <mergeCell ref="R17:S17"/>
    <mergeCell ref="R27:S27"/>
    <mergeCell ref="R18:S25"/>
    <mergeCell ref="N26:O26"/>
    <mergeCell ref="P26:Q26"/>
    <mergeCell ref="R26:S26"/>
    <mergeCell ref="N18:O25"/>
    <mergeCell ref="P18:Q25"/>
    <mergeCell ref="N27:O27"/>
    <mergeCell ref="P27:Q27"/>
    <mergeCell ref="L27:M27"/>
    <mergeCell ref="L84:M86"/>
    <mergeCell ref="N17:O17"/>
    <mergeCell ref="L33:M33"/>
    <mergeCell ref="N33:O33"/>
    <mergeCell ref="L17:M17"/>
    <mergeCell ref="L26:M26"/>
    <mergeCell ref="L18:M25"/>
    <mergeCell ref="N84:O86"/>
    <mergeCell ref="N32:O32"/>
    <mergeCell ref="P10:S11"/>
    <mergeCell ref="D16:I16"/>
    <mergeCell ref="J16:K16"/>
    <mergeCell ref="L16:M16"/>
    <mergeCell ref="N16:O16"/>
    <mergeCell ref="P16:Q16"/>
    <mergeCell ref="R16:S16"/>
    <mergeCell ref="G10:O11"/>
    <mergeCell ref="J12:L12"/>
    <mergeCell ref="J17:K17"/>
    <mergeCell ref="C2:D4"/>
    <mergeCell ref="D27:I27"/>
    <mergeCell ref="J27:K27"/>
    <mergeCell ref="D26:I26"/>
    <mergeCell ref="J26:K26"/>
    <mergeCell ref="D18:I25"/>
    <mergeCell ref="J18:K25"/>
    <mergeCell ref="D17:I17"/>
    <mergeCell ref="H2:I4"/>
    <mergeCell ref="J2:K4"/>
  </mergeCells>
  <hyperlinks>
    <hyperlink ref="C2:D4" location="UI.Farm!A1" tooltip="Click to go to farm inputs page" display="Farm Info" xr:uid="{71773F32-5F31-474A-BBD4-C8BD36BA0EC9}"/>
    <hyperlink ref="J2:K4" location="Results.Scenarios!A1" tooltip="Click to go to scenario descriptions page" display="Scenario Rankings and Descriptions" xr:uid="{8FA4D1FD-5C29-4A83-BD8F-413DC3CAB7F6}"/>
    <hyperlink ref="L2:M4" location="Results.Econ!A1" tooltip="Click to go to economic results page" display="Economic Results" xr:uid="{FEF0623F-0AB2-49F3-89FD-5DB9640E66FB}"/>
    <hyperlink ref="N2:O4" location="Results.Env!A1" tooltip="Click to go to environmental results page" display="Environmental Results" xr:uid="{DB5A763F-DA3A-4DC0-A20F-D97F538B3600}"/>
    <hyperlink ref="I5:J7" location="Results.Tech!A1" tooltip="Click to go to the functionality and logistics results" display="Functionality and Logistics Results" xr:uid="{52F62B72-52EA-45D6-B2CC-9C1A96D759D9}"/>
    <hyperlink ref="H2:I4" location="Results.Summary!A1" tooltip="Click to go to results summary page" display="Results Summary" xr:uid="{37E5CBFC-C40A-40DC-A73A-0E0147D59BC1}"/>
    <hyperlink ref="M5:N7" location="Results.Nutrients!A1" tooltip="Click to go to the nutrient concentrations page" display="Nutrient Concentrations" xr:uid="{5BB62C88-4FDF-4A58-9FF9-6F60F2E9F67E}"/>
    <hyperlink ref="K5:L7" location="Results.Resources!A1" tooltip="Click to go to the resources results page" display="Resources Results" xr:uid="{8CB2D83A-E8D3-4220-8EFA-420F40EF14DF}"/>
    <hyperlink ref="S2:T4" location="Results.Nutrients!A1" tooltip="Click to go to the nutrient concentrations page" display="Nutrient Concentrations" xr:uid="{2332F6A2-9E10-44F9-B527-B5CACF55B25F}"/>
    <hyperlink ref="C84:D86" location="UI.Farm!A1" tooltip="Click to go to farm inputs page" display="Farm Info" xr:uid="{3714A389-F941-4B61-BDF0-D7FB8A005474}"/>
    <hyperlink ref="J84:K86" location="Results.Scenarios!A1" tooltip="Click to go to scenario descriptions page" display="Scenario Rankings and Descriptions" xr:uid="{3853EE13-3807-4914-A256-E8DED0BF0703}"/>
    <hyperlink ref="L84:M86" location="Results.Econ!A1" tooltip="Click to go to economic results page" display="Economic Results" xr:uid="{35225BB8-56E2-471E-97C7-A95A7A3D524D}"/>
    <hyperlink ref="N84:O86" location="Results.Env!A1" tooltip="Click to go to environmental results page" display="Environmental Results" xr:uid="{95B4A241-E2C4-47ED-9ADF-E8F8F07D4E63}"/>
    <hyperlink ref="I87:J89" location="Results.Tech!A1" tooltip="Click to go to the functionality and logistics results" display="Functionality and Logistics Results" xr:uid="{53599254-0CAC-4FA6-A672-9BE223C3FD41}"/>
    <hyperlink ref="H84:I86" location="Results.Summary!A1" tooltip="Click to go to results summary page" display="Results Summary" xr:uid="{D4FDA9D4-4058-4876-9111-5E9C079D3949}"/>
    <hyperlink ref="M87:N89" location="Results.Nutrients!A1" tooltip="Click to go to the nutrient concentrations page" display="Nutrient Concentrations" xr:uid="{C8568301-84B3-43C1-AF93-92DD945C7F82}"/>
    <hyperlink ref="K87:L89" location="Results.Resources!A1" tooltip="Click to go to the resources results page" display="Resources Results" xr:uid="{3901357C-0B70-497F-AFAF-C2A50928B653}"/>
    <hyperlink ref="S84:T86" location="Results.Nutrients!A1" tooltip="Click to go to the nutrient concentrations page" display="Nutrient Concentrations" xr:uid="{5FE40B03-D2AF-49F4-8148-DA71B14A2FD8}"/>
  </hyperlinks>
  <printOptions horizontalCentered="1" verticalCentered="1"/>
  <pageMargins left="0.7" right="0.7" top="0.75" bottom="0.75" header="0.3" footer="0.3"/>
  <pageSetup scale="50" orientation="portrait" r:id="rId1"/>
  <rowBreaks count="1" manualBreakCount="1">
    <brk id="33" min="2" max="19"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2FA06-FF56-42C7-9577-47C6C52469A3}">
  <sheetPr>
    <tabColor rgb="FFFFFF00"/>
  </sheetPr>
  <dimension ref="A1:BE145"/>
  <sheetViews>
    <sheetView workbookViewId="0">
      <selection activeCell="C2" sqref="C2:D4"/>
    </sheetView>
  </sheetViews>
  <sheetFormatPr defaultColWidth="9.44140625" defaultRowHeight="14.4" x14ac:dyDescent="0.3"/>
  <cols>
    <col min="1" max="2" width="2.5546875" customWidth="1"/>
    <col min="3" max="20" width="9.6640625" customWidth="1"/>
    <col min="21" max="22" width="2.5546875" customWidth="1"/>
    <col min="23" max="50" width="9.44140625" customWidth="1"/>
  </cols>
  <sheetData>
    <row r="1" spans="1:50"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50" ht="15" customHeight="1" x14ac:dyDescent="0.3">
      <c r="A2" s="997"/>
      <c r="B2" s="998"/>
      <c r="C2" s="2719" t="s">
        <v>594</v>
      </c>
      <c r="D2" s="2720"/>
      <c r="E2" s="923"/>
      <c r="F2" s="926"/>
      <c r="G2" s="926"/>
      <c r="H2" s="2345" t="s">
        <v>561</v>
      </c>
      <c r="I2" s="2351"/>
      <c r="J2" s="2345" t="s">
        <v>595</v>
      </c>
      <c r="K2" s="2351"/>
      <c r="L2" s="2345" t="s">
        <v>596</v>
      </c>
      <c r="M2" s="2351"/>
      <c r="N2" s="2345" t="s">
        <v>597</v>
      </c>
      <c r="O2" s="2351"/>
      <c r="P2" s="926"/>
      <c r="Q2" s="926"/>
      <c r="R2" s="926"/>
      <c r="S2" s="2356" t="s">
        <v>634</v>
      </c>
      <c r="T2" s="2774"/>
      <c r="U2" s="923"/>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row>
    <row r="3" spans="1:50" ht="15" customHeight="1" x14ac:dyDescent="0.3">
      <c r="A3" s="997"/>
      <c r="B3" s="998"/>
      <c r="C3" s="2721"/>
      <c r="D3" s="2722"/>
      <c r="E3" s="923"/>
      <c r="F3" s="926"/>
      <c r="G3" s="926"/>
      <c r="H3" s="2352"/>
      <c r="I3" s="2353"/>
      <c r="J3" s="2352"/>
      <c r="K3" s="2353"/>
      <c r="L3" s="2352"/>
      <c r="M3" s="2353"/>
      <c r="N3" s="2352"/>
      <c r="O3" s="2353"/>
      <c r="P3" s="926"/>
      <c r="Q3" s="926"/>
      <c r="R3" s="926"/>
      <c r="S3" s="2775"/>
      <c r="T3" s="2776"/>
      <c r="U3" s="923"/>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row>
    <row r="4" spans="1:50" ht="15" customHeight="1" thickBot="1" x14ac:dyDescent="0.35">
      <c r="A4" s="997"/>
      <c r="B4" s="998"/>
      <c r="C4" s="2723"/>
      <c r="D4" s="2724"/>
      <c r="E4" s="923"/>
      <c r="F4" s="926"/>
      <c r="G4" s="926"/>
      <c r="H4" s="2354"/>
      <c r="I4" s="2355"/>
      <c r="J4" s="2354"/>
      <c r="K4" s="2355"/>
      <c r="L4" s="2354"/>
      <c r="M4" s="2355"/>
      <c r="N4" s="2354"/>
      <c r="O4" s="2355"/>
      <c r="P4" s="926"/>
      <c r="Q4" s="926"/>
      <c r="R4" s="926"/>
      <c r="S4" s="2777"/>
      <c r="T4" s="2778"/>
      <c r="U4" s="923"/>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row>
    <row r="5" spans="1:50" ht="15" customHeight="1" x14ac:dyDescent="0.3">
      <c r="A5" s="997"/>
      <c r="B5" s="998"/>
      <c r="C5" s="926"/>
      <c r="D5" s="926"/>
      <c r="E5" s="923"/>
      <c r="F5" s="923"/>
      <c r="G5" s="923"/>
      <c r="H5" s="923"/>
      <c r="I5" s="2345" t="s">
        <v>598</v>
      </c>
      <c r="J5" s="2351"/>
      <c r="K5" s="2345" t="s">
        <v>599</v>
      </c>
      <c r="L5" s="2351"/>
      <c r="M5" s="2362" t="s">
        <v>600</v>
      </c>
      <c r="N5" s="2833"/>
      <c r="O5" s="923"/>
      <c r="P5" s="923"/>
      <c r="Q5" s="923"/>
      <c r="R5" s="923"/>
      <c r="S5" s="923"/>
      <c r="T5" s="923"/>
      <c r="U5" s="923"/>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row>
    <row r="6" spans="1:50" ht="15" customHeight="1" x14ac:dyDescent="0.3">
      <c r="A6" s="997"/>
      <c r="B6" s="998"/>
      <c r="C6" s="926"/>
      <c r="D6" s="926"/>
      <c r="E6" s="923"/>
      <c r="F6" s="926"/>
      <c r="G6" s="926"/>
      <c r="H6" s="926"/>
      <c r="I6" s="2352"/>
      <c r="J6" s="2353"/>
      <c r="K6" s="2352"/>
      <c r="L6" s="2353"/>
      <c r="M6" s="2834"/>
      <c r="N6" s="2835"/>
      <c r="O6" s="926"/>
      <c r="P6" s="926"/>
      <c r="Q6" s="926"/>
      <c r="R6" s="923"/>
      <c r="S6" s="923"/>
      <c r="T6" s="923"/>
      <c r="U6" s="923"/>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row>
    <row r="7" spans="1:50" ht="15" customHeight="1" thickBot="1" x14ac:dyDescent="0.35">
      <c r="A7" s="997"/>
      <c r="B7" s="998"/>
      <c r="C7" s="926"/>
      <c r="D7" s="926"/>
      <c r="E7" s="923"/>
      <c r="F7" s="926"/>
      <c r="G7" s="926"/>
      <c r="H7" s="926"/>
      <c r="I7" s="2354"/>
      <c r="J7" s="2355"/>
      <c r="K7" s="2354"/>
      <c r="L7" s="2355"/>
      <c r="M7" s="2836"/>
      <c r="N7" s="2837"/>
      <c r="O7" s="926"/>
      <c r="P7" s="926"/>
      <c r="Q7" s="926"/>
      <c r="R7" s="923"/>
      <c r="S7" s="923"/>
      <c r="T7" s="923"/>
      <c r="U7" s="923"/>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6"/>
      <c r="AV7" s="926"/>
      <c r="AW7" s="926"/>
      <c r="AX7" s="926"/>
    </row>
    <row r="8" spans="1:50" ht="15" customHeight="1" x14ac:dyDescent="0.3">
      <c r="A8" s="997"/>
      <c r="B8" s="998"/>
      <c r="C8" s="984"/>
      <c r="D8" s="984"/>
      <c r="E8" s="984"/>
      <c r="F8" s="984"/>
      <c r="G8" s="984"/>
      <c r="H8" s="984"/>
      <c r="I8" s="984"/>
      <c r="J8" s="984"/>
      <c r="K8" s="984"/>
      <c r="L8" s="984"/>
      <c r="M8" s="984"/>
      <c r="N8" s="984"/>
      <c r="O8" s="984"/>
      <c r="P8" s="984"/>
      <c r="Q8" s="984"/>
      <c r="R8" s="923"/>
      <c r="S8" s="923"/>
      <c r="T8" s="923"/>
      <c r="U8" s="923"/>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6"/>
      <c r="AV8" s="926"/>
      <c r="AW8" s="926"/>
      <c r="AX8" s="926"/>
    </row>
    <row r="9" spans="1:50"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row>
    <row r="10" spans="1:50" ht="15" customHeight="1" x14ac:dyDescent="0.3">
      <c r="A10" s="926"/>
      <c r="B10" s="609"/>
      <c r="C10" s="2981" t="s">
        <v>635</v>
      </c>
      <c r="D10" s="2848"/>
      <c r="E10" s="2848"/>
      <c r="F10" s="2848"/>
      <c r="G10" s="2848"/>
      <c r="H10" s="2848"/>
      <c r="I10" s="2848"/>
      <c r="J10" s="2848"/>
      <c r="K10" s="2848"/>
      <c r="L10" s="2848"/>
      <c r="M10" s="2848"/>
      <c r="N10" s="2848"/>
      <c r="O10" s="2848"/>
      <c r="P10" s="2848"/>
      <c r="Q10" s="2965" t="s">
        <v>633</v>
      </c>
      <c r="R10" s="2966"/>
      <c r="S10" s="2966"/>
      <c r="T10" s="2967"/>
      <c r="U10" s="609"/>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row>
    <row r="11" spans="1:50" ht="15" customHeight="1" thickBot="1" x14ac:dyDescent="0.35">
      <c r="A11" s="926"/>
      <c r="B11" s="609"/>
      <c r="C11" s="2982"/>
      <c r="D11" s="2849"/>
      <c r="E11" s="2849"/>
      <c r="F11" s="2849"/>
      <c r="G11" s="2849"/>
      <c r="H11" s="2849"/>
      <c r="I11" s="2849"/>
      <c r="J11" s="2849"/>
      <c r="K11" s="2849"/>
      <c r="L11" s="2849"/>
      <c r="M11" s="2849"/>
      <c r="N11" s="2849"/>
      <c r="O11" s="2849"/>
      <c r="P11" s="2849"/>
      <c r="Q11" s="2968"/>
      <c r="R11" s="2969"/>
      <c r="S11" s="2969"/>
      <c r="T11" s="2970"/>
      <c r="U11" s="609"/>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row>
    <row r="12" spans="1:50" ht="15" customHeight="1" thickBot="1" x14ac:dyDescent="0.45">
      <c r="A12" s="926"/>
      <c r="B12" s="609"/>
      <c r="C12" s="962"/>
      <c r="D12" s="1985" t="str">
        <f>_xlfn.CONCAT("Applying manure for ", UDV.crops.apply_for, ". Export concern is for ", IF(UDV.econ_manure.export_concern="Both", _xlfn.CONCAT(UDV.econ_manure.export_concern, " (non-sludge AND sludge-year considerations)"),UDV.econ_manure.export_concern), ".")</f>
        <v>Applying manure for N. Export concern is for Non-Sludge Year.</v>
      </c>
      <c r="E12" s="40"/>
      <c r="F12" s="1002"/>
      <c r="G12" s="1003"/>
      <c r="H12" s="1063"/>
      <c r="I12" s="1004"/>
      <c r="J12" s="1748"/>
      <c r="K12" s="1748"/>
      <c r="L12" s="2256"/>
      <c r="M12" s="1004"/>
      <c r="N12" s="1004"/>
      <c r="O12" s="1004"/>
      <c r="P12" s="40"/>
      <c r="Q12" s="40"/>
      <c r="R12" s="40"/>
      <c r="S12" s="40"/>
      <c r="T12" s="963"/>
      <c r="U12" s="609"/>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row>
    <row r="13" spans="1:50" ht="15" customHeight="1" x14ac:dyDescent="0.3">
      <c r="A13" s="926"/>
      <c r="B13" s="609"/>
      <c r="C13" s="962"/>
      <c r="D13" s="2958" t="s">
        <v>602</v>
      </c>
      <c r="E13" s="2959"/>
      <c r="F13" s="2959"/>
      <c r="G13" s="2959"/>
      <c r="H13" s="2959"/>
      <c r="I13" s="2960"/>
      <c r="J13" s="2855" t="s">
        <v>603</v>
      </c>
      <c r="K13" s="2855"/>
      <c r="L13" s="2855" t="s">
        <v>590</v>
      </c>
      <c r="M13" s="2855"/>
      <c r="N13" s="2855" t="s">
        <v>591</v>
      </c>
      <c r="O13" s="2855"/>
      <c r="P13" s="2855" t="s">
        <v>592</v>
      </c>
      <c r="Q13" s="2855"/>
      <c r="R13" s="2855" t="s">
        <v>593</v>
      </c>
      <c r="S13" s="2856"/>
      <c r="T13" s="963"/>
      <c r="U13" s="609"/>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AV13" s="926"/>
      <c r="AW13" s="926"/>
      <c r="AX13" s="926"/>
    </row>
    <row r="14" spans="1:50" ht="15" customHeight="1" x14ac:dyDescent="0.3">
      <c r="A14" s="926"/>
      <c r="B14" s="609"/>
      <c r="C14" s="962"/>
      <c r="D14" s="2961" t="s">
        <v>604</v>
      </c>
      <c r="E14" s="2962"/>
      <c r="F14" s="2962"/>
      <c r="G14" s="2962"/>
      <c r="H14" s="2962"/>
      <c r="I14" s="2963"/>
      <c r="J14" s="2857">
        <f ca="1">UDV.u.baseline_rank</f>
        <v>1</v>
      </c>
      <c r="K14" s="2858"/>
      <c r="L14" s="2857">
        <f ca="1">UDV.u.alt1_rank</f>
        <v>1</v>
      </c>
      <c r="M14" s="2858"/>
      <c r="N14" s="2857">
        <f ca="1">UDV.u.alt2_rank</f>
        <v>2</v>
      </c>
      <c r="O14" s="2858"/>
      <c r="P14" s="2857">
        <f ca="1">UDV.u.alt3_rank</f>
        <v>3</v>
      </c>
      <c r="Q14" s="2858"/>
      <c r="R14" s="2857">
        <f ca="1">UDV.u.alt4_rank</f>
        <v>4</v>
      </c>
      <c r="S14" s="2861"/>
      <c r="T14" s="963"/>
      <c r="U14" s="609"/>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AV14" s="926"/>
      <c r="AW14" s="926"/>
      <c r="AX14" s="926"/>
    </row>
    <row r="15" spans="1:50" ht="15" customHeight="1" x14ac:dyDescent="0.3">
      <c r="A15" s="926"/>
      <c r="B15" s="609"/>
      <c r="C15" s="962"/>
      <c r="D15" s="2862" t="s">
        <v>606</v>
      </c>
      <c r="E15" s="2863"/>
      <c r="F15" s="2863"/>
      <c r="G15" s="2863"/>
      <c r="H15" s="2863"/>
      <c r="I15" s="2864"/>
      <c r="J15" s="2871" t="str">
        <f>UDV.u.farm_baseline</f>
        <v>Deep pit, tanker</v>
      </c>
      <c r="K15" s="2871"/>
      <c r="L15" s="2871" t="str">
        <f ca="1">UDV.u.farm_alt1</f>
        <v>Deep pit, tanker</v>
      </c>
      <c r="M15" s="2871"/>
      <c r="N15" s="2871" t="str">
        <f ca="1">UDV.u.farm_alt2</f>
        <v>Deep pit, aeration, tanker</v>
      </c>
      <c r="O15" s="2871"/>
      <c r="P15" s="2871" t="str">
        <f ca="1">UDV.u.farm_alt3</f>
        <v>Deep pit, drag hose</v>
      </c>
      <c r="Q15" s="2871"/>
      <c r="R15" s="2871" t="str">
        <f ca="1">UDV.u.farm_alt4</f>
        <v>Deep pit, aeration, drag hose</v>
      </c>
      <c r="S15" s="2872"/>
      <c r="T15" s="963"/>
      <c r="U15" s="609"/>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6"/>
      <c r="AV15" s="926"/>
      <c r="AW15" s="926"/>
      <c r="AX15" s="926"/>
    </row>
    <row r="16" spans="1:50" ht="15" customHeight="1" x14ac:dyDescent="0.3">
      <c r="A16" s="926"/>
      <c r="B16" s="609"/>
      <c r="C16" s="962"/>
      <c r="D16" s="2865"/>
      <c r="E16" s="2866"/>
      <c r="F16" s="2866"/>
      <c r="G16" s="2866"/>
      <c r="H16" s="2866"/>
      <c r="I16" s="2867"/>
      <c r="J16" s="2871"/>
      <c r="K16" s="2871"/>
      <c r="L16" s="2871"/>
      <c r="M16" s="2871"/>
      <c r="N16" s="2871"/>
      <c r="O16" s="2871"/>
      <c r="P16" s="2871"/>
      <c r="Q16" s="2871"/>
      <c r="R16" s="2871"/>
      <c r="S16" s="2872"/>
      <c r="T16" s="963"/>
      <c r="U16" s="609"/>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6"/>
      <c r="AV16" s="926"/>
      <c r="AW16" s="926"/>
      <c r="AX16" s="926"/>
    </row>
    <row r="17" spans="1:36" ht="15" customHeight="1" x14ac:dyDescent="0.3">
      <c r="A17" s="926"/>
      <c r="B17" s="609"/>
      <c r="C17" s="962"/>
      <c r="D17" s="2865"/>
      <c r="E17" s="2866"/>
      <c r="F17" s="2866"/>
      <c r="G17" s="2866"/>
      <c r="H17" s="2866"/>
      <c r="I17" s="2867"/>
      <c r="J17" s="2871"/>
      <c r="K17" s="2871"/>
      <c r="L17" s="2871"/>
      <c r="M17" s="2871"/>
      <c r="N17" s="2871"/>
      <c r="O17" s="2871"/>
      <c r="P17" s="2871"/>
      <c r="Q17" s="2871"/>
      <c r="R17" s="2871"/>
      <c r="S17" s="2872"/>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2865"/>
      <c r="E18" s="2866"/>
      <c r="F18" s="2866"/>
      <c r="G18" s="2866"/>
      <c r="H18" s="2866"/>
      <c r="I18" s="2867"/>
      <c r="J18" s="2871"/>
      <c r="K18" s="2871"/>
      <c r="L18" s="2871"/>
      <c r="M18" s="2871"/>
      <c r="N18" s="2871"/>
      <c r="O18" s="2871"/>
      <c r="P18" s="2871"/>
      <c r="Q18" s="2871"/>
      <c r="R18" s="2871"/>
      <c r="S18" s="2872"/>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2865"/>
      <c r="E19" s="2866"/>
      <c r="F19" s="2866"/>
      <c r="G19" s="2866"/>
      <c r="H19" s="2866"/>
      <c r="I19" s="2867"/>
      <c r="J19" s="2871"/>
      <c r="K19" s="2871"/>
      <c r="L19" s="2871"/>
      <c r="M19" s="2871"/>
      <c r="N19" s="2871"/>
      <c r="O19" s="2871"/>
      <c r="P19" s="2871"/>
      <c r="Q19" s="2871"/>
      <c r="R19" s="2871"/>
      <c r="S19" s="2872"/>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2865"/>
      <c r="E20" s="2866"/>
      <c r="F20" s="2866"/>
      <c r="G20" s="2866"/>
      <c r="H20" s="2866"/>
      <c r="I20" s="2867"/>
      <c r="J20" s="2871"/>
      <c r="K20" s="2871"/>
      <c r="L20" s="2871"/>
      <c r="M20" s="2871"/>
      <c r="N20" s="2871"/>
      <c r="O20" s="2871"/>
      <c r="P20" s="2871"/>
      <c r="Q20" s="2871"/>
      <c r="R20" s="2871"/>
      <c r="S20" s="2872"/>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2865"/>
      <c r="E21" s="2866"/>
      <c r="F21" s="2866"/>
      <c r="G21" s="2866"/>
      <c r="H21" s="2866"/>
      <c r="I21" s="2867"/>
      <c r="J21" s="2871"/>
      <c r="K21" s="2871"/>
      <c r="L21" s="2871"/>
      <c r="M21" s="2871"/>
      <c r="N21" s="2871"/>
      <c r="O21" s="2871"/>
      <c r="P21" s="2871"/>
      <c r="Q21" s="2871"/>
      <c r="R21" s="2871"/>
      <c r="S21" s="2872"/>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2868"/>
      <c r="E22" s="2869"/>
      <c r="F22" s="2869"/>
      <c r="G22" s="2869"/>
      <c r="H22" s="2869"/>
      <c r="I22" s="2870"/>
      <c r="J22" s="2871"/>
      <c r="K22" s="2871"/>
      <c r="L22" s="2871"/>
      <c r="M22" s="2871"/>
      <c r="N22" s="2871"/>
      <c r="O22" s="2871"/>
      <c r="P22" s="2871"/>
      <c r="Q22" s="2871"/>
      <c r="R22" s="2871"/>
      <c r="S22" s="2872"/>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2936" t="str">
        <f>Plot.Tables!C92</f>
        <v>Nitrogen in slurry liquids (lb/1000 gal)</v>
      </c>
      <c r="E23" s="2937"/>
      <c r="F23" s="2937"/>
      <c r="G23" s="2937"/>
      <c r="H23" s="2937"/>
      <c r="I23" s="2937"/>
      <c r="J23" s="2980">
        <f>Plot.Tables!K92</f>
        <v>56.190399750413853</v>
      </c>
      <c r="K23" s="2980"/>
      <c r="L23" s="2980">
        <f ca="1">Plot.Tables!M92</f>
        <v>56.190399750413853</v>
      </c>
      <c r="M23" s="2980"/>
      <c r="N23" s="2980">
        <f ca="1">Plot.Tables!O92</f>
        <v>33.695149060791721</v>
      </c>
      <c r="O23" s="2980"/>
      <c r="P23" s="2980">
        <f ca="1">Plot.Tables!Q92</f>
        <v>56.190399750413853</v>
      </c>
      <c r="Q23" s="2980"/>
      <c r="R23" s="2980">
        <f ca="1">Plot.Tables!S92</f>
        <v>33.695149060791721</v>
      </c>
      <c r="S23" s="2983"/>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936" t="str">
        <f>Plot.Tables!C93</f>
        <v>P2O5 in slurry liquids (lb/1000 gal)</v>
      </c>
      <c r="E24" s="2937"/>
      <c r="F24" s="2937"/>
      <c r="G24" s="2937"/>
      <c r="H24" s="2937"/>
      <c r="I24" s="2937"/>
      <c r="J24" s="2980">
        <f>Plot.Tables!K93</f>
        <v>26.244437508218098</v>
      </c>
      <c r="K24" s="2980"/>
      <c r="L24" s="2980">
        <f ca="1">Plot.Tables!M93</f>
        <v>26.244437508218098</v>
      </c>
      <c r="M24" s="2980"/>
      <c r="N24" s="2980">
        <f ca="1">Plot.Tables!O93</f>
        <v>26.244437508218098</v>
      </c>
      <c r="O24" s="2980"/>
      <c r="P24" s="2980">
        <f ca="1">Plot.Tables!Q93</f>
        <v>26.244437508218098</v>
      </c>
      <c r="Q24" s="2980"/>
      <c r="R24" s="2980">
        <f ca="1">Plot.Tables!S93</f>
        <v>26.244437508218098</v>
      </c>
      <c r="S24" s="2983"/>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936" t="str">
        <f>Plot.Tables!C94</f>
        <v>K2O in slurry liquids (lb/1000 gal)</v>
      </c>
      <c r="E25" s="2937"/>
      <c r="F25" s="2937"/>
      <c r="G25" s="2937"/>
      <c r="H25" s="2937"/>
      <c r="I25" s="2937"/>
      <c r="J25" s="2980">
        <f>Plot.Tables!K94</f>
        <v>33.743013022370931</v>
      </c>
      <c r="K25" s="2980"/>
      <c r="L25" s="2980">
        <f ca="1">Plot.Tables!M94</f>
        <v>33.743013022370931</v>
      </c>
      <c r="M25" s="2980"/>
      <c r="N25" s="2980">
        <f ca="1">Plot.Tables!O94</f>
        <v>33.743013022370931</v>
      </c>
      <c r="O25" s="2980"/>
      <c r="P25" s="2980">
        <f ca="1">Plot.Tables!Q94</f>
        <v>33.743013022370931</v>
      </c>
      <c r="Q25" s="2980"/>
      <c r="R25" s="2980">
        <f ca="1">Plot.Tables!S94</f>
        <v>33.743013022370931</v>
      </c>
      <c r="S25" s="2983"/>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977" t="str">
        <f>Plot.Tables!C95</f>
        <v>Nitrogen in sludge (lb/1000 gal)</v>
      </c>
      <c r="E26" s="2978"/>
      <c r="F26" s="2978"/>
      <c r="G26" s="2978"/>
      <c r="H26" s="2978"/>
      <c r="I26" s="2978"/>
      <c r="J26" s="2979">
        <f>Plot.Tables!K95</f>
        <v>0</v>
      </c>
      <c r="K26" s="2979"/>
      <c r="L26" s="2979">
        <f ca="1">Plot.Tables!M95</f>
        <v>0</v>
      </c>
      <c r="M26" s="2979"/>
      <c r="N26" s="2979">
        <f ca="1">Plot.Tables!O95</f>
        <v>0</v>
      </c>
      <c r="O26" s="2979"/>
      <c r="P26" s="2979">
        <f ca="1">Plot.Tables!Q95</f>
        <v>0</v>
      </c>
      <c r="Q26" s="2979"/>
      <c r="R26" s="2979">
        <f ca="1">Plot.Tables!S95</f>
        <v>0</v>
      </c>
      <c r="S26" s="2984"/>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977" t="str">
        <f>Plot.Tables!C96</f>
        <v>P2O5 in sludge (lb/1000 gal)</v>
      </c>
      <c r="E27" s="2978"/>
      <c r="F27" s="2978"/>
      <c r="G27" s="2978"/>
      <c r="H27" s="2978"/>
      <c r="I27" s="2978"/>
      <c r="J27" s="2979">
        <f>Plot.Tables!K96</f>
        <v>0</v>
      </c>
      <c r="K27" s="2979"/>
      <c r="L27" s="2979">
        <f ca="1">Plot.Tables!M96</f>
        <v>0</v>
      </c>
      <c r="M27" s="2979"/>
      <c r="N27" s="2979">
        <f ca="1">Plot.Tables!O96</f>
        <v>0</v>
      </c>
      <c r="O27" s="2979"/>
      <c r="P27" s="2979">
        <f ca="1">Plot.Tables!Q96</f>
        <v>0</v>
      </c>
      <c r="Q27" s="2979"/>
      <c r="R27" s="2979">
        <f ca="1">Plot.Tables!S96</f>
        <v>0</v>
      </c>
      <c r="S27" s="2984"/>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977" t="str">
        <f>Plot.Tables!C97</f>
        <v>K2O in sludge (lb/1000 gal)</v>
      </c>
      <c r="E28" s="2978"/>
      <c r="F28" s="2978"/>
      <c r="G28" s="2978"/>
      <c r="H28" s="2978"/>
      <c r="I28" s="2978"/>
      <c r="J28" s="2979">
        <f>Plot.Tables!K97</f>
        <v>0</v>
      </c>
      <c r="K28" s="2979"/>
      <c r="L28" s="2979">
        <f ca="1">Plot.Tables!M97</f>
        <v>0</v>
      </c>
      <c r="M28" s="2979"/>
      <c r="N28" s="2979">
        <f ca="1">Plot.Tables!O97</f>
        <v>0</v>
      </c>
      <c r="O28" s="2979"/>
      <c r="P28" s="2979">
        <f ca="1">Plot.Tables!Q97</f>
        <v>0</v>
      </c>
      <c r="Q28" s="2979"/>
      <c r="R28" s="2979">
        <f ca="1">Plot.Tables!S97</f>
        <v>0</v>
      </c>
      <c r="S28" s="2984"/>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2936" t="str">
        <f>Plot.Tables!C98</f>
        <v>Nitrogen in separated solids (lb/ton (2000 lb))</v>
      </c>
      <c r="E29" s="2937"/>
      <c r="F29" s="2937"/>
      <c r="G29" s="2937"/>
      <c r="H29" s="2937"/>
      <c r="I29" s="2937"/>
      <c r="J29" s="2980">
        <f>Plot.Tables!K98</f>
        <v>0</v>
      </c>
      <c r="K29" s="2980"/>
      <c r="L29" s="2980">
        <f ca="1">Plot.Tables!M98</f>
        <v>0</v>
      </c>
      <c r="M29" s="2980"/>
      <c r="N29" s="2980">
        <f ca="1">Plot.Tables!O98</f>
        <v>0</v>
      </c>
      <c r="O29" s="2980"/>
      <c r="P29" s="2980">
        <f ca="1">Plot.Tables!Q98</f>
        <v>0</v>
      </c>
      <c r="Q29" s="2980"/>
      <c r="R29" s="2980">
        <f ca="1">Plot.Tables!S98</f>
        <v>0</v>
      </c>
      <c r="S29" s="2983"/>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2936" t="str">
        <f>Plot.Tables!C99</f>
        <v>P2O5 in separated solids (lb/ton (2000 lb))</v>
      </c>
      <c r="E30" s="2937"/>
      <c r="F30" s="2937"/>
      <c r="G30" s="2937"/>
      <c r="H30" s="2937"/>
      <c r="I30" s="2937"/>
      <c r="J30" s="2980">
        <f>Plot.Tables!K99</f>
        <v>0</v>
      </c>
      <c r="K30" s="2980"/>
      <c r="L30" s="2980">
        <f ca="1">Plot.Tables!M99</f>
        <v>0</v>
      </c>
      <c r="M30" s="2980"/>
      <c r="N30" s="2980">
        <f ca="1">Plot.Tables!O99</f>
        <v>0</v>
      </c>
      <c r="O30" s="2980"/>
      <c r="P30" s="2980">
        <f ca="1">Plot.Tables!Q99</f>
        <v>0</v>
      </c>
      <c r="Q30" s="2980"/>
      <c r="R30" s="2980">
        <f ca="1">Plot.Tables!S99</f>
        <v>0</v>
      </c>
      <c r="S30" s="2983"/>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936" t="str">
        <f>Plot.Tables!C100</f>
        <v>K2O in separated solids (lb/ton (2000 lb))</v>
      </c>
      <c r="E31" s="2937"/>
      <c r="F31" s="2937"/>
      <c r="G31" s="2937"/>
      <c r="H31" s="2937"/>
      <c r="I31" s="2937"/>
      <c r="J31" s="2980">
        <f>Plot.Tables!K100</f>
        <v>0</v>
      </c>
      <c r="K31" s="2980"/>
      <c r="L31" s="2980">
        <f ca="1">Plot.Tables!M100</f>
        <v>0</v>
      </c>
      <c r="M31" s="2980"/>
      <c r="N31" s="2980">
        <f ca="1">Plot.Tables!O100</f>
        <v>0</v>
      </c>
      <c r="O31" s="2980"/>
      <c r="P31" s="2980">
        <f ca="1">Plot.Tables!Q100</f>
        <v>0</v>
      </c>
      <c r="Q31" s="2980"/>
      <c r="R31" s="2980">
        <f ca="1">Plot.Tables!S100</f>
        <v>0</v>
      </c>
      <c r="S31" s="2983"/>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977" t="str">
        <f>Plot.Tables!C101</f>
        <v>Nitrogen in partially composted material (lb/ton (2000 lb))</v>
      </c>
      <c r="E32" s="2978"/>
      <c r="F32" s="2978"/>
      <c r="G32" s="2978"/>
      <c r="H32" s="2978"/>
      <c r="I32" s="2978"/>
      <c r="J32" s="2979">
        <f>Plot.Tables!K101</f>
        <v>0</v>
      </c>
      <c r="K32" s="2979"/>
      <c r="L32" s="2979">
        <f ca="1">Plot.Tables!M101</f>
        <v>0</v>
      </c>
      <c r="M32" s="2979"/>
      <c r="N32" s="2979">
        <f ca="1">Plot.Tables!O101</f>
        <v>0</v>
      </c>
      <c r="O32" s="2979"/>
      <c r="P32" s="2979">
        <f ca="1">Plot.Tables!Q101</f>
        <v>0</v>
      </c>
      <c r="Q32" s="2979"/>
      <c r="R32" s="2979">
        <f ca="1">Plot.Tables!S101</f>
        <v>0</v>
      </c>
      <c r="S32" s="2984"/>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977" t="str">
        <f>Plot.Tables!C102</f>
        <v>P2O5 in partially composted material (lb/ton (2000 lb))</v>
      </c>
      <c r="E33" s="2978"/>
      <c r="F33" s="2978"/>
      <c r="G33" s="2978"/>
      <c r="H33" s="2978"/>
      <c r="I33" s="2978"/>
      <c r="J33" s="2979">
        <f>Plot.Tables!K102</f>
        <v>0</v>
      </c>
      <c r="K33" s="2979"/>
      <c r="L33" s="2979">
        <f ca="1">Plot.Tables!M102</f>
        <v>0</v>
      </c>
      <c r="M33" s="2979"/>
      <c r="N33" s="2979">
        <f ca="1">Plot.Tables!O102</f>
        <v>0</v>
      </c>
      <c r="O33" s="2979"/>
      <c r="P33" s="2979">
        <f ca="1">Plot.Tables!Q102</f>
        <v>0</v>
      </c>
      <c r="Q33" s="2979"/>
      <c r="R33" s="2979">
        <f ca="1">Plot.Tables!S102</f>
        <v>0</v>
      </c>
      <c r="S33" s="2984"/>
      <c r="T33" s="963"/>
      <c r="U33" s="609"/>
      <c r="V33" s="926"/>
      <c r="W33" s="926"/>
      <c r="X33" s="926"/>
      <c r="Y33" s="926"/>
      <c r="Z33" s="926"/>
      <c r="AA33" s="926"/>
      <c r="AB33" s="926"/>
      <c r="AC33" s="926"/>
      <c r="AD33" s="926"/>
      <c r="AE33" s="926"/>
      <c r="AF33" s="926"/>
      <c r="AG33" s="926"/>
      <c r="AH33" s="926"/>
      <c r="AI33" s="926"/>
      <c r="AJ33" s="926"/>
    </row>
    <row r="34" spans="1:36" ht="15" customHeight="1" thickBot="1" x14ac:dyDescent="0.35">
      <c r="A34" s="926"/>
      <c r="B34" s="609"/>
      <c r="C34" s="962"/>
      <c r="D34" s="2985" t="str">
        <f>Plot.Tables!C103</f>
        <v>K2O in partially composted material (lb/ton (2000 lb))</v>
      </c>
      <c r="E34" s="2986"/>
      <c r="F34" s="2986"/>
      <c r="G34" s="2986"/>
      <c r="H34" s="2986"/>
      <c r="I34" s="2986"/>
      <c r="J34" s="2987">
        <f>Plot.Tables!K103</f>
        <v>0</v>
      </c>
      <c r="K34" s="2987"/>
      <c r="L34" s="2987">
        <f ca="1">Plot.Tables!M103</f>
        <v>0</v>
      </c>
      <c r="M34" s="2987"/>
      <c r="N34" s="2987">
        <f ca="1">Plot.Tables!O103</f>
        <v>0</v>
      </c>
      <c r="O34" s="2987"/>
      <c r="P34" s="2987">
        <f ca="1">Plot.Tables!Q103</f>
        <v>0</v>
      </c>
      <c r="Q34" s="2987"/>
      <c r="R34" s="2987">
        <f ca="1">Plot.Tables!S103</f>
        <v>0</v>
      </c>
      <c r="S34" s="2988"/>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40"/>
      <c r="F35" s="40"/>
      <c r="G35" s="1064"/>
      <c r="H35" s="1064"/>
      <c r="I35" s="1064"/>
      <c r="J35" s="1064"/>
      <c r="K35" s="1064"/>
      <c r="L35" s="1065"/>
      <c r="M35" s="972"/>
      <c r="N35" s="972"/>
      <c r="O35" s="972"/>
      <c r="P35" s="40"/>
      <c r="Q35" s="40"/>
      <c r="R35" s="40"/>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40"/>
      <c r="F36" s="40"/>
      <c r="G36" s="1064"/>
      <c r="H36" s="1064"/>
      <c r="I36" s="1064"/>
      <c r="J36" s="1064"/>
      <c r="K36" s="1064"/>
      <c r="L36" s="1065"/>
      <c r="M36" s="972"/>
      <c r="N36" s="972"/>
      <c r="O36" s="972"/>
      <c r="P36" s="40"/>
      <c r="Q36" s="40"/>
      <c r="R36" s="40"/>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40"/>
      <c r="F37" s="40"/>
      <c r="G37" s="1064"/>
      <c r="H37" s="1064"/>
      <c r="I37" s="1064"/>
      <c r="J37" s="1064"/>
      <c r="K37" s="1064"/>
      <c r="L37" s="1065"/>
      <c r="M37" s="972"/>
      <c r="N37" s="972"/>
      <c r="O37" s="972"/>
      <c r="P37" s="40"/>
      <c r="Q37" s="40"/>
      <c r="R37" s="40"/>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40"/>
      <c r="F38" s="40"/>
      <c r="G38" s="1064"/>
      <c r="H38" s="1064"/>
      <c r="I38" s="1064"/>
      <c r="J38" s="1064"/>
      <c r="K38" s="1064"/>
      <c r="L38" s="1065"/>
      <c r="M38" s="972"/>
      <c r="N38" s="972"/>
      <c r="O38" s="972"/>
      <c r="P38" s="40"/>
      <c r="Q38" s="40"/>
      <c r="R38" s="40"/>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40"/>
      <c r="F39" s="40"/>
      <c r="G39" s="1064"/>
      <c r="H39" s="1064"/>
      <c r="I39" s="1064"/>
      <c r="J39" s="1064"/>
      <c r="K39" s="1064"/>
      <c r="L39" s="1065"/>
      <c r="M39" s="972"/>
      <c r="N39" s="972"/>
      <c r="O39" s="972"/>
      <c r="P39" s="40"/>
      <c r="Q39" s="40"/>
      <c r="R39" s="40"/>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40"/>
      <c r="F40" s="40"/>
      <c r="G40" s="1064"/>
      <c r="H40" s="1064"/>
      <c r="I40" s="1064"/>
      <c r="J40" s="1064"/>
      <c r="K40" s="1064"/>
      <c r="L40" s="1065"/>
      <c r="M40" s="972"/>
      <c r="N40" s="972"/>
      <c r="O40" s="972"/>
      <c r="P40" s="40"/>
      <c r="Q40" s="40"/>
      <c r="R40" s="40"/>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40"/>
      <c r="F41" s="40"/>
      <c r="G41" s="1064"/>
      <c r="H41" s="1064"/>
      <c r="I41" s="1064"/>
      <c r="J41" s="1064"/>
      <c r="K41" s="1064"/>
      <c r="L41" s="1065"/>
      <c r="M41" s="972"/>
      <c r="N41" s="972"/>
      <c r="O41" s="972"/>
      <c r="P41" s="40"/>
      <c r="Q41" s="40"/>
      <c r="R41" s="40"/>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40"/>
      <c r="F42" s="40"/>
      <c r="G42" s="1064"/>
      <c r="H42" s="1064"/>
      <c r="I42" s="1064"/>
      <c r="J42" s="1064"/>
      <c r="K42" s="1064"/>
      <c r="L42" s="1065"/>
      <c r="M42" s="972"/>
      <c r="N42" s="972"/>
      <c r="O42" s="972"/>
      <c r="P42" s="40"/>
      <c r="Q42" s="40"/>
      <c r="R42" s="40"/>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40"/>
      <c r="F43" s="40"/>
      <c r="G43" s="1064"/>
      <c r="H43" s="1064"/>
      <c r="I43" s="1064"/>
      <c r="J43" s="1064"/>
      <c r="K43" s="1064"/>
      <c r="L43" s="1065"/>
      <c r="M43" s="972"/>
      <c r="N43" s="972"/>
      <c r="O43" s="972"/>
      <c r="P43" s="40"/>
      <c r="Q43" s="40"/>
      <c r="R43" s="40"/>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40"/>
      <c r="F44" s="40"/>
      <c r="G44" s="1064"/>
      <c r="H44" s="1064"/>
      <c r="I44" s="1064"/>
      <c r="J44" s="1064"/>
      <c r="K44" s="1064"/>
      <c r="L44" s="1065"/>
      <c r="M44" s="972"/>
      <c r="N44" s="972"/>
      <c r="O44" s="972"/>
      <c r="P44" s="40"/>
      <c r="Q44" s="40"/>
      <c r="R44" s="40"/>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40"/>
      <c r="F45" s="40"/>
      <c r="G45" s="1064"/>
      <c r="H45" s="1064"/>
      <c r="I45" s="1064"/>
      <c r="J45" s="1064"/>
      <c r="K45" s="1064"/>
      <c r="L45" s="1065"/>
      <c r="M45" s="972"/>
      <c r="N45" s="972"/>
      <c r="O45" s="972"/>
      <c r="P45" s="40"/>
      <c r="Q45" s="40"/>
      <c r="R45" s="40"/>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40"/>
      <c r="F46" s="40"/>
      <c r="G46" s="1064"/>
      <c r="H46" s="1064"/>
      <c r="I46" s="1064"/>
      <c r="J46" s="1064"/>
      <c r="K46" s="1064"/>
      <c r="L46" s="1065"/>
      <c r="M46" s="972"/>
      <c r="N46" s="972"/>
      <c r="O46" s="972"/>
      <c r="P46" s="40"/>
      <c r="Q46" s="40"/>
      <c r="R46" s="40"/>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40"/>
      <c r="F47" s="40"/>
      <c r="G47" s="1064"/>
      <c r="H47" s="1064"/>
      <c r="I47" s="1064"/>
      <c r="J47" s="1064"/>
      <c r="K47" s="1064"/>
      <c r="L47" s="1065"/>
      <c r="M47" s="972"/>
      <c r="N47" s="972"/>
      <c r="O47" s="972"/>
      <c r="P47" s="40"/>
      <c r="Q47" s="40"/>
      <c r="R47" s="40"/>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40"/>
      <c r="F48" s="40"/>
      <c r="G48" s="1064"/>
      <c r="H48" s="1064"/>
      <c r="I48" s="1064"/>
      <c r="J48" s="1064"/>
      <c r="K48" s="1064"/>
      <c r="L48" s="1065"/>
      <c r="M48" s="972"/>
      <c r="N48" s="972"/>
      <c r="O48" s="972"/>
      <c r="P48" s="40"/>
      <c r="Q48" s="40"/>
      <c r="R48" s="40"/>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40"/>
      <c r="F49" s="40"/>
      <c r="G49" s="1064"/>
      <c r="H49" s="1064"/>
      <c r="I49" s="1064"/>
      <c r="J49" s="1064"/>
      <c r="K49" s="1064"/>
      <c r="L49" s="1065"/>
      <c r="M49" s="972"/>
      <c r="N49" s="972"/>
      <c r="O49" s="972"/>
      <c r="P49" s="40"/>
      <c r="Q49" s="40"/>
      <c r="R49" s="40"/>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40"/>
      <c r="F50" s="40"/>
      <c r="G50" s="1064"/>
      <c r="H50" s="1064"/>
      <c r="I50" s="1064"/>
      <c r="J50" s="1064"/>
      <c r="K50" s="1064"/>
      <c r="L50" s="1065"/>
      <c r="M50" s="972"/>
      <c r="N50" s="972"/>
      <c r="O50" s="972"/>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40"/>
      <c r="F51" s="40"/>
      <c r="G51" s="1064"/>
      <c r="H51" s="1064"/>
      <c r="I51" s="1064"/>
      <c r="J51" s="1064"/>
      <c r="K51" s="1064"/>
      <c r="L51" s="1065"/>
      <c r="M51" s="972"/>
      <c r="N51" s="972"/>
      <c r="O51" s="972"/>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40"/>
      <c r="F52" s="40"/>
      <c r="G52" s="1064"/>
      <c r="H52" s="1064"/>
      <c r="I52" s="1064"/>
      <c r="J52" s="1064"/>
      <c r="K52" s="1064"/>
      <c r="L52" s="1065"/>
      <c r="M52" s="972"/>
      <c r="N52" s="972"/>
      <c r="O52" s="972"/>
      <c r="P52" s="40"/>
      <c r="Q52" s="40"/>
      <c r="R52" s="40"/>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40"/>
      <c r="F53" s="40"/>
      <c r="G53" s="1064"/>
      <c r="H53" s="1064"/>
      <c r="I53" s="1064"/>
      <c r="J53" s="1064"/>
      <c r="K53" s="1064"/>
      <c r="L53" s="1065"/>
      <c r="M53" s="972"/>
      <c r="N53" s="972"/>
      <c r="O53" s="972"/>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40"/>
      <c r="F54" s="40"/>
      <c r="G54" s="1064"/>
      <c r="H54" s="1064"/>
      <c r="I54" s="1064"/>
      <c r="J54" s="1064"/>
      <c r="K54" s="1064"/>
      <c r="L54" s="1065"/>
      <c r="M54" s="972"/>
      <c r="N54" s="972"/>
      <c r="O54" s="972"/>
      <c r="P54" s="40"/>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1064"/>
      <c r="H55" s="1064"/>
      <c r="I55" s="1064"/>
      <c r="J55" s="1064"/>
      <c r="K55" s="1064"/>
      <c r="L55" s="1065"/>
      <c r="M55" s="972"/>
      <c r="N55" s="972"/>
      <c r="O55" s="972"/>
      <c r="P55" s="40"/>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1064"/>
      <c r="H56" s="1064"/>
      <c r="I56" s="1064"/>
      <c r="J56" s="1064"/>
      <c r="K56" s="1064"/>
      <c r="L56" s="1065"/>
      <c r="M56" s="972"/>
      <c r="N56" s="972"/>
      <c r="O56" s="972"/>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1064"/>
      <c r="H57" s="1064"/>
      <c r="I57" s="1064"/>
      <c r="J57" s="1064"/>
      <c r="K57" s="1064"/>
      <c r="L57" s="1065"/>
      <c r="M57" s="972"/>
      <c r="N57" s="972"/>
      <c r="O57" s="972"/>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1064"/>
      <c r="H58" s="1064"/>
      <c r="I58" s="1064"/>
      <c r="J58" s="1064"/>
      <c r="K58" s="1064"/>
      <c r="L58" s="1065"/>
      <c r="M58" s="972"/>
      <c r="N58" s="972"/>
      <c r="O58" s="972"/>
      <c r="P58" s="40"/>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1008"/>
      <c r="E59" s="40"/>
      <c r="F59" s="40"/>
      <c r="G59" s="1064"/>
      <c r="H59" s="1064"/>
      <c r="I59" s="1064"/>
      <c r="J59" s="1064"/>
      <c r="K59" s="1064"/>
      <c r="L59" s="1065"/>
      <c r="M59" s="972"/>
      <c r="N59" s="972"/>
      <c r="O59" s="972"/>
      <c r="P59" s="40"/>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40"/>
      <c r="F60" s="40"/>
      <c r="G60" s="1064"/>
      <c r="H60" s="1064"/>
      <c r="I60" s="1064"/>
      <c r="J60" s="1064"/>
      <c r="K60" s="1064"/>
      <c r="L60" s="1065"/>
      <c r="M60" s="972"/>
      <c r="N60" s="972"/>
      <c r="O60" s="972"/>
      <c r="P60" s="40"/>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1762"/>
      <c r="E61" s="40"/>
      <c r="F61" s="40"/>
      <c r="G61" s="40"/>
      <c r="H61" s="40"/>
      <c r="I61" s="40"/>
      <c r="J61" s="40"/>
      <c r="K61" s="40"/>
      <c r="L61" s="40"/>
      <c r="M61" s="40"/>
      <c r="N61" s="40"/>
      <c r="O61" s="40"/>
      <c r="P61" s="40"/>
      <c r="Q61" s="40"/>
      <c r="R61" s="40"/>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1006"/>
      <c r="D62" s="1763"/>
      <c r="E62" s="1763"/>
      <c r="F62" s="1763"/>
      <c r="G62" s="1763"/>
      <c r="H62" s="1763"/>
      <c r="I62" s="1764"/>
      <c r="J62" s="1764"/>
      <c r="K62" s="1764"/>
      <c r="L62" s="1764"/>
      <c r="M62" s="1764"/>
      <c r="N62" s="1764"/>
      <c r="O62" s="1764"/>
      <c r="P62" s="1764"/>
      <c r="Q62" s="1764"/>
      <c r="R62" s="1764"/>
      <c r="S62" s="4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1006"/>
      <c r="D63" s="1763"/>
      <c r="E63" s="1763"/>
      <c r="F63" s="1763"/>
      <c r="G63" s="1763"/>
      <c r="H63" s="1763"/>
      <c r="I63" s="1765"/>
      <c r="J63" s="1765"/>
      <c r="K63" s="1765"/>
      <c r="L63" s="1765"/>
      <c r="M63" s="1765"/>
      <c r="N63" s="1765"/>
      <c r="O63" s="1765"/>
      <c r="P63" s="1765"/>
      <c r="Q63" s="1765"/>
      <c r="R63" s="1765"/>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1006"/>
      <c r="D64" s="1763"/>
      <c r="E64" s="1763"/>
      <c r="F64" s="1763"/>
      <c r="G64" s="1763"/>
      <c r="H64" s="1763"/>
      <c r="I64" s="1765"/>
      <c r="J64" s="1765"/>
      <c r="K64" s="1765"/>
      <c r="L64" s="1765"/>
      <c r="M64" s="1765"/>
      <c r="N64" s="1765"/>
      <c r="O64" s="1765"/>
      <c r="P64" s="1765"/>
      <c r="Q64" s="1765"/>
      <c r="R64" s="1765"/>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1006"/>
      <c r="D65" s="1763"/>
      <c r="E65" s="1763"/>
      <c r="F65" s="1763"/>
      <c r="G65" s="1763"/>
      <c r="H65" s="1763"/>
      <c r="I65" s="1765"/>
      <c r="J65" s="1765"/>
      <c r="K65" s="1765"/>
      <c r="L65" s="1765"/>
      <c r="M65" s="1765"/>
      <c r="N65" s="1765"/>
      <c r="O65" s="1765"/>
      <c r="P65" s="1765"/>
      <c r="Q65" s="1765"/>
      <c r="R65" s="1765"/>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1006"/>
      <c r="D66" s="1763"/>
      <c r="E66" s="1763"/>
      <c r="F66" s="1763"/>
      <c r="G66" s="1763"/>
      <c r="H66" s="1763"/>
      <c r="I66" s="1765"/>
      <c r="J66" s="1765"/>
      <c r="K66" s="1765"/>
      <c r="L66" s="1765"/>
      <c r="M66" s="1765"/>
      <c r="N66" s="1765"/>
      <c r="O66" s="1765"/>
      <c r="P66" s="1765"/>
      <c r="Q66" s="1765"/>
      <c r="R66" s="1765"/>
      <c r="S66" s="4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1006"/>
      <c r="D67" s="40"/>
      <c r="E67" s="40"/>
      <c r="F67" s="40"/>
      <c r="G67" s="40"/>
      <c r="H67" s="40"/>
      <c r="I67" s="1766"/>
      <c r="J67" s="1766"/>
      <c r="K67" s="1766"/>
      <c r="L67" s="1766"/>
      <c r="M67" s="1766"/>
      <c r="N67" s="1766"/>
      <c r="O67" s="1766"/>
      <c r="P67" s="1766"/>
      <c r="Q67" s="1766"/>
      <c r="R67" s="1766"/>
      <c r="S67" s="4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1006"/>
      <c r="D68" s="40"/>
      <c r="E68" s="40"/>
      <c r="F68" s="40"/>
      <c r="G68" s="40"/>
      <c r="H68" s="40"/>
      <c r="I68" s="1766"/>
      <c r="J68" s="1766"/>
      <c r="K68" s="1766"/>
      <c r="L68" s="1766"/>
      <c r="M68" s="1766"/>
      <c r="N68" s="1766"/>
      <c r="O68" s="1766"/>
      <c r="P68" s="1766"/>
      <c r="Q68" s="1766"/>
      <c r="R68" s="1766"/>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1006"/>
      <c r="D69" s="40"/>
      <c r="E69" s="40"/>
      <c r="F69" s="40"/>
      <c r="G69" s="40"/>
      <c r="H69" s="40"/>
      <c r="I69" s="1766"/>
      <c r="J69" s="1766"/>
      <c r="K69" s="1766"/>
      <c r="L69" s="1766"/>
      <c r="M69" s="1766"/>
      <c r="N69" s="1766"/>
      <c r="O69" s="1766"/>
      <c r="P69" s="1766"/>
      <c r="Q69" s="1766"/>
      <c r="R69" s="1766"/>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1006"/>
      <c r="D70" s="40"/>
      <c r="E70" s="40"/>
      <c r="F70" s="40"/>
      <c r="G70" s="40"/>
      <c r="H70" s="40"/>
      <c r="I70" s="1766"/>
      <c r="J70" s="1766"/>
      <c r="K70" s="1766"/>
      <c r="L70" s="1766"/>
      <c r="M70" s="1766"/>
      <c r="N70" s="1766"/>
      <c r="O70" s="1766"/>
      <c r="P70" s="1766"/>
      <c r="Q70" s="1766"/>
      <c r="R70" s="1766"/>
      <c r="S70" s="4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1006"/>
      <c r="D71" s="40"/>
      <c r="E71" s="40"/>
      <c r="F71" s="40"/>
      <c r="G71" s="40"/>
      <c r="H71" s="40"/>
      <c r="I71" s="1766"/>
      <c r="J71" s="1766"/>
      <c r="K71" s="1766"/>
      <c r="L71" s="1766"/>
      <c r="M71" s="1766"/>
      <c r="N71" s="1766"/>
      <c r="O71" s="1766"/>
      <c r="P71" s="1766"/>
      <c r="Q71" s="1766"/>
      <c r="R71" s="1766"/>
      <c r="S71" s="40"/>
      <c r="T71" s="963"/>
      <c r="U71" s="609"/>
      <c r="V71" s="926"/>
      <c r="W71" s="926"/>
      <c r="X71" s="926"/>
      <c r="Y71" s="926"/>
      <c r="Z71" s="926"/>
      <c r="AA71" s="926"/>
      <c r="AB71" s="926"/>
      <c r="AC71" s="926"/>
      <c r="AD71" s="926"/>
      <c r="AE71" s="926"/>
      <c r="AF71" s="926"/>
      <c r="AG71" s="926"/>
      <c r="AH71" s="926"/>
      <c r="AI71" s="926"/>
      <c r="AJ71" s="926"/>
    </row>
    <row r="72" spans="1:36" ht="15" customHeight="1" x14ac:dyDescent="0.3">
      <c r="A72" s="926"/>
      <c r="B72" s="609"/>
      <c r="C72" s="1006"/>
      <c r="D72" s="40"/>
      <c r="E72" s="40"/>
      <c r="F72" s="40"/>
      <c r="G72" s="40"/>
      <c r="H72" s="40"/>
      <c r="I72" s="1766"/>
      <c r="J72" s="1766"/>
      <c r="K72" s="1766"/>
      <c r="L72" s="1766"/>
      <c r="M72" s="1766"/>
      <c r="N72" s="1766"/>
      <c r="O72" s="1766"/>
      <c r="P72" s="1766"/>
      <c r="Q72" s="1766"/>
      <c r="R72" s="1766"/>
      <c r="S72" s="40"/>
      <c r="T72" s="963"/>
      <c r="U72" s="609"/>
      <c r="V72" s="926"/>
      <c r="W72" s="926"/>
      <c r="X72" s="926"/>
      <c r="Y72" s="926"/>
      <c r="Z72" s="926"/>
      <c r="AA72" s="926"/>
      <c r="AB72" s="926"/>
      <c r="AC72" s="926"/>
      <c r="AD72" s="926"/>
      <c r="AE72" s="926"/>
      <c r="AF72" s="926"/>
      <c r="AG72" s="926"/>
      <c r="AH72" s="926"/>
      <c r="AI72" s="926"/>
      <c r="AJ72" s="926"/>
    </row>
    <row r="73" spans="1:36" ht="15" customHeight="1" x14ac:dyDescent="0.3">
      <c r="A73" s="926"/>
      <c r="B73" s="609"/>
      <c r="C73" s="1006"/>
      <c r="D73" s="40"/>
      <c r="E73" s="40"/>
      <c r="F73" s="40"/>
      <c r="G73" s="40"/>
      <c r="H73" s="40"/>
      <c r="I73" s="1766"/>
      <c r="J73" s="1766"/>
      <c r="K73" s="1766"/>
      <c r="L73" s="1766"/>
      <c r="M73" s="1766"/>
      <c r="N73" s="1766"/>
      <c r="O73" s="1766"/>
      <c r="P73" s="1766"/>
      <c r="Q73" s="1766"/>
      <c r="R73" s="1766"/>
      <c r="S73" s="4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1006"/>
      <c r="D74" s="40"/>
      <c r="E74" s="40"/>
      <c r="F74" s="40"/>
      <c r="G74" s="40"/>
      <c r="H74" s="40"/>
      <c r="I74" s="1766"/>
      <c r="J74" s="1766"/>
      <c r="K74" s="1766"/>
      <c r="L74" s="1766"/>
      <c r="M74" s="1766"/>
      <c r="N74" s="1766"/>
      <c r="O74" s="1766"/>
      <c r="P74" s="1766"/>
      <c r="Q74" s="1766"/>
      <c r="R74" s="1766"/>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1006"/>
      <c r="D75" s="40"/>
      <c r="E75" s="40"/>
      <c r="F75" s="40"/>
      <c r="G75" s="40"/>
      <c r="H75" s="40"/>
      <c r="I75" s="1766"/>
      <c r="J75" s="1766"/>
      <c r="K75" s="1766"/>
      <c r="L75" s="1766"/>
      <c r="M75" s="1766"/>
      <c r="N75" s="1766"/>
      <c r="O75" s="1766"/>
      <c r="P75" s="1766"/>
      <c r="Q75" s="1766"/>
      <c r="R75" s="1766"/>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1006"/>
      <c r="D76" s="40"/>
      <c r="E76" s="40"/>
      <c r="F76" s="40"/>
      <c r="G76" s="40"/>
      <c r="H76" s="40"/>
      <c r="I76" s="1766"/>
      <c r="J76" s="1766"/>
      <c r="K76" s="1766"/>
      <c r="L76" s="1766"/>
      <c r="M76" s="1766"/>
      <c r="N76" s="1766"/>
      <c r="O76" s="1766"/>
      <c r="P76" s="1766"/>
      <c r="Q76" s="1766"/>
      <c r="R76" s="1766"/>
      <c r="S76" s="40"/>
      <c r="T76" s="963"/>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1006"/>
      <c r="D77" s="40"/>
      <c r="E77" s="40"/>
      <c r="F77" s="40"/>
      <c r="G77" s="40"/>
      <c r="H77" s="40"/>
      <c r="I77" s="1766"/>
      <c r="J77" s="1766"/>
      <c r="K77" s="1766"/>
      <c r="L77" s="1766"/>
      <c r="M77" s="1766"/>
      <c r="N77" s="1766"/>
      <c r="O77" s="1766"/>
      <c r="P77" s="1766"/>
      <c r="Q77" s="1766"/>
      <c r="R77" s="1766"/>
      <c r="S77" s="40"/>
      <c r="T77" s="963"/>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1006"/>
      <c r="D78" s="40"/>
      <c r="E78" s="40"/>
      <c r="F78" s="40"/>
      <c r="G78" s="40"/>
      <c r="H78" s="40"/>
      <c r="I78" s="1766"/>
      <c r="J78" s="1766"/>
      <c r="K78" s="1766"/>
      <c r="L78" s="1766"/>
      <c r="M78" s="1766"/>
      <c r="N78" s="1766"/>
      <c r="O78" s="1766"/>
      <c r="P78" s="1766"/>
      <c r="Q78" s="1766"/>
      <c r="R78" s="1766"/>
      <c r="S78" s="40"/>
      <c r="T78" s="963"/>
      <c r="U78" s="609"/>
      <c r="V78" s="926"/>
      <c r="W78" s="926"/>
      <c r="X78" s="926"/>
      <c r="Y78" s="926"/>
      <c r="Z78" s="926"/>
      <c r="AA78" s="926"/>
      <c r="AB78" s="926"/>
      <c r="AC78" s="926"/>
      <c r="AD78" s="926"/>
      <c r="AE78" s="926"/>
      <c r="AF78" s="926"/>
      <c r="AG78" s="926"/>
      <c r="AH78" s="926"/>
      <c r="AI78" s="926"/>
      <c r="AJ78" s="926"/>
    </row>
    <row r="79" spans="1:36" ht="15" customHeight="1" x14ac:dyDescent="0.3">
      <c r="A79" s="926"/>
      <c r="B79" s="609"/>
      <c r="C79" s="1006"/>
      <c r="D79" s="40"/>
      <c r="E79" s="40"/>
      <c r="F79" s="40"/>
      <c r="G79" s="40"/>
      <c r="H79" s="40"/>
      <c r="I79" s="1766"/>
      <c r="J79" s="1766"/>
      <c r="K79" s="1766"/>
      <c r="L79" s="1766"/>
      <c r="M79" s="1766"/>
      <c r="N79" s="1766"/>
      <c r="O79" s="1766"/>
      <c r="P79" s="1766"/>
      <c r="Q79" s="1766"/>
      <c r="R79" s="1766"/>
      <c r="S79" s="40"/>
      <c r="T79" s="963"/>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1006"/>
      <c r="D80" s="40"/>
      <c r="E80" s="40"/>
      <c r="F80" s="40"/>
      <c r="G80" s="40"/>
      <c r="H80" s="40"/>
      <c r="I80" s="1766"/>
      <c r="J80" s="1766"/>
      <c r="K80" s="1766"/>
      <c r="L80" s="1766"/>
      <c r="M80" s="1766"/>
      <c r="N80" s="1766"/>
      <c r="O80" s="1766"/>
      <c r="P80" s="1766"/>
      <c r="Q80" s="1766"/>
      <c r="R80" s="1766"/>
      <c r="S80" s="40"/>
      <c r="T80" s="963"/>
      <c r="U80" s="609"/>
      <c r="V80" s="926"/>
      <c r="W80" s="926"/>
      <c r="X80" s="926"/>
      <c r="Y80" s="926"/>
      <c r="Z80" s="926"/>
      <c r="AA80" s="926"/>
      <c r="AB80" s="926"/>
      <c r="AC80" s="926"/>
      <c r="AD80" s="926"/>
      <c r="AE80" s="926"/>
      <c r="AF80" s="926"/>
      <c r="AG80" s="926"/>
      <c r="AH80" s="926"/>
      <c r="AI80" s="926"/>
      <c r="AJ80" s="926"/>
    </row>
    <row r="81" spans="1:36" ht="15" customHeight="1" x14ac:dyDescent="0.3">
      <c r="A81" s="926"/>
      <c r="B81" s="609"/>
      <c r="C81" s="1006"/>
      <c r="D81" s="40"/>
      <c r="E81" s="40"/>
      <c r="F81" s="40"/>
      <c r="G81" s="40"/>
      <c r="H81" s="40"/>
      <c r="I81" s="1766"/>
      <c r="J81" s="1766"/>
      <c r="K81" s="1766"/>
      <c r="L81" s="1766"/>
      <c r="M81" s="1766"/>
      <c r="N81" s="1766"/>
      <c r="O81" s="1766"/>
      <c r="P81" s="1766"/>
      <c r="Q81" s="1766"/>
      <c r="R81" s="1766"/>
      <c r="S81" s="40"/>
      <c r="T81" s="963"/>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1006"/>
      <c r="D82" s="40"/>
      <c r="E82" s="40"/>
      <c r="F82" s="40"/>
      <c r="G82" s="40"/>
      <c r="H82" s="40"/>
      <c r="I82" s="1766"/>
      <c r="J82" s="1766"/>
      <c r="K82" s="1766"/>
      <c r="L82" s="1766"/>
      <c r="M82" s="1766"/>
      <c r="N82" s="1766"/>
      <c r="O82" s="1766"/>
      <c r="P82" s="1766"/>
      <c r="Q82" s="1766"/>
      <c r="R82" s="1766"/>
      <c r="S82" s="40"/>
      <c r="T82" s="963"/>
      <c r="U82" s="609"/>
      <c r="V82" s="926"/>
      <c r="W82" s="926"/>
      <c r="X82" s="926"/>
      <c r="Y82" s="926"/>
      <c r="Z82" s="926"/>
      <c r="AA82" s="926"/>
      <c r="AB82" s="926"/>
      <c r="AC82" s="926"/>
      <c r="AD82" s="926"/>
      <c r="AE82" s="926"/>
      <c r="AF82" s="926"/>
      <c r="AG82" s="926"/>
      <c r="AH82" s="926"/>
      <c r="AI82" s="926"/>
      <c r="AJ82" s="926"/>
    </row>
    <row r="83" spans="1:36" ht="15" customHeight="1" x14ac:dyDescent="0.3">
      <c r="A83" s="926"/>
      <c r="B83" s="609"/>
      <c r="C83" s="1006"/>
      <c r="D83" s="40"/>
      <c r="E83" s="40"/>
      <c r="F83" s="40"/>
      <c r="G83" s="40"/>
      <c r="H83" s="40"/>
      <c r="I83" s="1766"/>
      <c r="J83" s="1766"/>
      <c r="K83" s="1766"/>
      <c r="L83" s="1766"/>
      <c r="M83" s="1766"/>
      <c r="N83" s="1766"/>
      <c r="O83" s="1766"/>
      <c r="P83" s="1766"/>
      <c r="Q83" s="1766"/>
      <c r="R83" s="1766"/>
      <c r="S83" s="40"/>
      <c r="T83" s="963"/>
      <c r="U83" s="609"/>
      <c r="V83" s="926"/>
      <c r="W83" s="926"/>
      <c r="X83" s="926"/>
      <c r="Y83" s="926"/>
      <c r="Z83" s="926"/>
      <c r="AA83" s="926"/>
      <c r="AB83" s="926"/>
      <c r="AC83" s="926"/>
      <c r="AD83" s="926"/>
      <c r="AE83" s="926"/>
      <c r="AF83" s="926"/>
      <c r="AG83" s="926"/>
      <c r="AH83" s="926"/>
      <c r="AI83" s="926"/>
      <c r="AJ83" s="926"/>
    </row>
    <row r="84" spans="1:36" ht="15" customHeight="1" x14ac:dyDescent="0.3">
      <c r="A84" s="926"/>
      <c r="B84" s="609"/>
      <c r="C84" s="1006"/>
      <c r="D84" s="40"/>
      <c r="E84" s="40"/>
      <c r="F84" s="40"/>
      <c r="G84" s="40"/>
      <c r="H84" s="40"/>
      <c r="I84" s="1766"/>
      <c r="J84" s="1766"/>
      <c r="K84" s="1766"/>
      <c r="L84" s="1766"/>
      <c r="M84" s="1766"/>
      <c r="N84" s="1766"/>
      <c r="O84" s="1766"/>
      <c r="P84" s="1766"/>
      <c r="Q84" s="1766"/>
      <c r="R84" s="1766"/>
      <c r="S84" s="40"/>
      <c r="T84" s="963"/>
      <c r="U84" s="609"/>
      <c r="V84" s="926"/>
      <c r="W84" s="926"/>
      <c r="X84" s="926"/>
      <c r="Y84" s="926"/>
      <c r="Z84" s="926"/>
      <c r="AA84" s="926"/>
      <c r="AB84" s="926"/>
      <c r="AC84" s="926"/>
      <c r="AD84" s="926"/>
      <c r="AE84" s="926"/>
      <c r="AF84" s="926"/>
      <c r="AG84" s="926"/>
      <c r="AH84" s="926"/>
      <c r="AI84" s="926"/>
      <c r="AJ84" s="926"/>
    </row>
    <row r="85" spans="1:36" ht="15" customHeight="1" x14ac:dyDescent="0.3">
      <c r="A85" s="926"/>
      <c r="B85" s="609"/>
      <c r="C85" s="1006"/>
      <c r="D85" s="40"/>
      <c r="E85" s="40"/>
      <c r="F85" s="40"/>
      <c r="G85" s="40"/>
      <c r="H85" s="40"/>
      <c r="I85" s="1766"/>
      <c r="J85" s="1766"/>
      <c r="K85" s="1766"/>
      <c r="L85" s="1766"/>
      <c r="M85" s="1766"/>
      <c r="N85" s="1766"/>
      <c r="O85" s="1766"/>
      <c r="P85" s="1766"/>
      <c r="Q85" s="1766"/>
      <c r="R85" s="1766"/>
      <c r="S85" s="40"/>
      <c r="T85" s="963"/>
      <c r="U85" s="609"/>
      <c r="V85" s="926"/>
      <c r="W85" s="926"/>
      <c r="X85" s="926"/>
      <c r="Y85" s="926"/>
      <c r="Z85" s="926"/>
      <c r="AA85" s="926"/>
      <c r="AB85" s="926"/>
      <c r="AC85" s="926"/>
      <c r="AD85" s="926"/>
      <c r="AE85" s="926"/>
      <c r="AF85" s="926"/>
      <c r="AG85" s="926"/>
      <c r="AH85" s="926"/>
      <c r="AI85" s="926"/>
      <c r="AJ85" s="926"/>
    </row>
    <row r="86" spans="1:36" ht="15" customHeight="1" x14ac:dyDescent="0.3">
      <c r="A86" s="926"/>
      <c r="B86" s="609"/>
      <c r="C86" s="1006"/>
      <c r="D86" s="40"/>
      <c r="E86" s="40"/>
      <c r="F86" s="40"/>
      <c r="G86" s="40"/>
      <c r="H86" s="40"/>
      <c r="I86" s="1766"/>
      <c r="J86" s="1766"/>
      <c r="K86" s="1766"/>
      <c r="L86" s="1766"/>
      <c r="M86" s="1766"/>
      <c r="N86" s="1766"/>
      <c r="O86" s="1766"/>
      <c r="P86" s="1766"/>
      <c r="Q86" s="1766"/>
      <c r="R86" s="1766"/>
      <c r="S86" s="40"/>
      <c r="T86" s="963"/>
      <c r="U86" s="609"/>
      <c r="V86" s="926"/>
      <c r="W86" s="926"/>
      <c r="X86" s="926"/>
      <c r="Y86" s="926"/>
      <c r="Z86" s="926"/>
      <c r="AA86" s="926"/>
      <c r="AB86" s="926"/>
      <c r="AC86" s="926"/>
      <c r="AD86" s="926"/>
      <c r="AE86" s="926"/>
      <c r="AF86" s="926"/>
      <c r="AG86" s="926"/>
      <c r="AH86" s="926"/>
      <c r="AI86" s="926"/>
      <c r="AJ86" s="926"/>
    </row>
    <row r="87" spans="1:36" x14ac:dyDescent="0.3">
      <c r="A87" s="926"/>
      <c r="B87" s="609"/>
      <c r="C87" s="1006"/>
      <c r="D87" s="40"/>
      <c r="E87" s="40"/>
      <c r="F87" s="40"/>
      <c r="G87" s="40"/>
      <c r="H87" s="40"/>
      <c r="I87" s="1767"/>
      <c r="J87" s="1767"/>
      <c r="K87" s="1767"/>
      <c r="L87" s="1767"/>
      <c r="M87" s="1767"/>
      <c r="N87" s="1767"/>
      <c r="O87" s="1767"/>
      <c r="P87" s="1767"/>
      <c r="Q87" s="1767"/>
      <c r="R87" s="1767"/>
      <c r="S87" s="40"/>
      <c r="T87" s="963"/>
      <c r="U87" s="609"/>
      <c r="V87" s="926"/>
      <c r="W87" s="926"/>
      <c r="X87" s="926"/>
      <c r="Y87" s="926"/>
      <c r="Z87" s="926"/>
      <c r="AA87" s="926"/>
      <c r="AB87" s="926"/>
      <c r="AC87" s="926"/>
      <c r="AD87" s="926"/>
      <c r="AE87" s="926"/>
      <c r="AF87" s="926"/>
      <c r="AG87" s="926"/>
      <c r="AH87" s="926"/>
      <c r="AI87" s="926"/>
      <c r="AJ87" s="926"/>
    </row>
    <row r="88" spans="1:36" x14ac:dyDescent="0.3">
      <c r="A88" s="926"/>
      <c r="B88" s="609"/>
      <c r="C88" s="1006"/>
      <c r="D88" s="40"/>
      <c r="E88" s="40"/>
      <c r="F88" s="40"/>
      <c r="G88" s="40"/>
      <c r="H88" s="40"/>
      <c r="I88" s="1767"/>
      <c r="J88" s="1767"/>
      <c r="K88" s="1767"/>
      <c r="L88" s="1767"/>
      <c r="M88" s="1767"/>
      <c r="N88" s="1767"/>
      <c r="O88" s="1767"/>
      <c r="P88" s="1767"/>
      <c r="Q88" s="1767"/>
      <c r="R88" s="1767"/>
      <c r="S88" s="40"/>
      <c r="T88" s="963"/>
      <c r="U88" s="609"/>
      <c r="V88" s="926"/>
      <c r="W88" s="926"/>
      <c r="X88" s="926"/>
      <c r="Y88" s="926"/>
      <c r="Z88" s="926"/>
      <c r="AA88" s="926"/>
      <c r="AB88" s="926"/>
      <c r="AC88" s="926"/>
      <c r="AD88" s="926"/>
      <c r="AE88" s="926"/>
      <c r="AF88" s="926"/>
      <c r="AG88" s="926"/>
      <c r="AH88" s="926"/>
      <c r="AI88" s="926"/>
      <c r="AJ88" s="926"/>
    </row>
    <row r="89" spans="1:36" x14ac:dyDescent="0.3">
      <c r="A89" s="926"/>
      <c r="B89" s="609"/>
      <c r="C89" s="1006"/>
      <c r="D89" s="40"/>
      <c r="E89" s="40"/>
      <c r="F89" s="40"/>
      <c r="G89" s="40"/>
      <c r="H89" s="40"/>
      <c r="I89" s="1767"/>
      <c r="J89" s="1767"/>
      <c r="K89" s="1767"/>
      <c r="L89" s="1767"/>
      <c r="M89" s="1767"/>
      <c r="N89" s="1767"/>
      <c r="O89" s="1767"/>
      <c r="P89" s="1767"/>
      <c r="Q89" s="1767"/>
      <c r="R89" s="1767"/>
      <c r="S89" s="40"/>
      <c r="T89" s="963"/>
      <c r="U89" s="609"/>
      <c r="V89" s="926"/>
      <c r="W89" s="926"/>
      <c r="X89" s="926"/>
      <c r="Y89" s="926"/>
      <c r="Z89" s="926"/>
      <c r="AA89" s="926"/>
      <c r="AB89" s="926"/>
      <c r="AC89" s="926"/>
      <c r="AD89" s="926"/>
      <c r="AE89" s="926"/>
      <c r="AF89" s="926"/>
      <c r="AG89" s="926"/>
      <c r="AH89" s="926"/>
      <c r="AI89" s="926"/>
      <c r="AJ89" s="926"/>
    </row>
    <row r="90" spans="1:36" ht="15" customHeight="1" x14ac:dyDescent="0.3">
      <c r="A90" s="926"/>
      <c r="B90" s="609"/>
      <c r="C90" s="1006"/>
      <c r="D90" s="40"/>
      <c r="E90" s="40"/>
      <c r="F90" s="40"/>
      <c r="G90" s="40"/>
      <c r="H90" s="40"/>
      <c r="I90" s="1768"/>
      <c r="J90" s="1768"/>
      <c r="K90" s="1768"/>
      <c r="L90" s="1768"/>
      <c r="M90" s="1768"/>
      <c r="N90" s="1768"/>
      <c r="O90" s="1768"/>
      <c r="P90" s="1768"/>
      <c r="Q90" s="1768"/>
      <c r="R90" s="1768"/>
      <c r="S90" s="40"/>
      <c r="T90" s="963"/>
      <c r="U90" s="609"/>
      <c r="V90" s="926"/>
      <c r="W90" s="926"/>
      <c r="X90" s="926"/>
      <c r="Y90" s="926"/>
      <c r="Z90" s="926"/>
      <c r="AA90" s="926"/>
      <c r="AB90" s="926"/>
      <c r="AC90" s="926"/>
      <c r="AD90" s="926"/>
      <c r="AE90" s="926"/>
      <c r="AF90" s="926"/>
      <c r="AG90" s="926"/>
      <c r="AH90" s="926"/>
      <c r="AI90" s="926"/>
      <c r="AJ90" s="926"/>
    </row>
    <row r="91" spans="1:36" ht="15" customHeight="1" x14ac:dyDescent="0.3">
      <c r="A91" s="926"/>
      <c r="B91" s="609"/>
      <c r="C91" s="1006"/>
      <c r="D91" s="1008"/>
      <c r="E91" s="1004"/>
      <c r="F91" s="1004"/>
      <c r="G91" s="1004"/>
      <c r="H91" s="1004"/>
      <c r="I91" s="1004"/>
      <c r="J91" s="1004"/>
      <c r="K91" s="1004"/>
      <c r="L91" s="1004"/>
      <c r="M91" s="1004"/>
      <c r="N91" s="1004"/>
      <c r="O91" s="1004"/>
      <c r="P91" s="1004"/>
      <c r="Q91" s="1004"/>
      <c r="R91" s="1004"/>
      <c r="S91" s="1004"/>
      <c r="T91" s="1009"/>
      <c r="U91" s="609"/>
      <c r="V91" s="926"/>
      <c r="W91" s="926"/>
      <c r="X91" s="926"/>
      <c r="Y91" s="926"/>
      <c r="Z91" s="926"/>
      <c r="AA91" s="926"/>
      <c r="AB91" s="926"/>
      <c r="AC91" s="926"/>
      <c r="AD91" s="926"/>
      <c r="AE91" s="926"/>
      <c r="AF91" s="926"/>
      <c r="AG91" s="926"/>
      <c r="AH91" s="926"/>
      <c r="AI91" s="926"/>
      <c r="AJ91" s="926"/>
    </row>
    <row r="92" spans="1:36" ht="15" customHeight="1" x14ac:dyDescent="0.3">
      <c r="A92" s="926"/>
      <c r="B92" s="609"/>
      <c r="C92" s="1006"/>
      <c r="D92" s="1008"/>
      <c r="E92" s="1004"/>
      <c r="F92" s="1004"/>
      <c r="G92" s="1004"/>
      <c r="H92" s="1004"/>
      <c r="I92" s="1004"/>
      <c r="J92" s="1010"/>
      <c r="K92" s="1010"/>
      <c r="L92" s="1004"/>
      <c r="M92" s="1004"/>
      <c r="N92" s="1004"/>
      <c r="O92" s="1004"/>
      <c r="P92" s="1004"/>
      <c r="Q92" s="1004"/>
      <c r="R92" s="1004"/>
      <c r="S92" s="1004"/>
      <c r="T92" s="1009"/>
      <c r="U92" s="609"/>
      <c r="V92" s="926"/>
      <c r="W92" s="926"/>
      <c r="X92" s="926"/>
      <c r="Y92" s="926"/>
      <c r="Z92" s="926"/>
      <c r="AA92" s="926"/>
      <c r="AB92" s="926"/>
      <c r="AC92" s="926"/>
      <c r="AD92" s="926"/>
      <c r="AE92" s="926"/>
      <c r="AF92" s="926"/>
      <c r="AG92" s="926"/>
      <c r="AH92" s="926"/>
      <c r="AI92" s="926"/>
      <c r="AJ92" s="926"/>
    </row>
    <row r="93" spans="1:36" ht="15" customHeight="1" x14ac:dyDescent="0.3">
      <c r="A93" s="926"/>
      <c r="B93" s="609"/>
      <c r="C93" s="962"/>
      <c r="D93" s="1008"/>
      <c r="E93" s="1004"/>
      <c r="F93" s="1004"/>
      <c r="G93" s="1004"/>
      <c r="H93" s="1004"/>
      <c r="I93" s="1004"/>
      <c r="J93" s="1004"/>
      <c r="K93" s="1004"/>
      <c r="L93" s="1004"/>
      <c r="M93" s="1004"/>
      <c r="N93" s="1004"/>
      <c r="O93" s="1004"/>
      <c r="P93" s="1004"/>
      <c r="Q93" s="1004"/>
      <c r="R93" s="1004"/>
      <c r="S93" s="1004"/>
      <c r="T93" s="1009"/>
      <c r="U93" s="609"/>
      <c r="V93" s="926"/>
      <c r="W93" s="926"/>
      <c r="X93" s="926"/>
      <c r="Y93" s="926"/>
      <c r="Z93" s="926"/>
      <c r="AA93" s="926"/>
      <c r="AB93" s="926"/>
      <c r="AC93" s="926"/>
      <c r="AD93" s="926"/>
      <c r="AE93" s="926"/>
      <c r="AF93" s="926"/>
      <c r="AG93" s="926"/>
      <c r="AH93" s="926"/>
      <c r="AI93" s="926"/>
      <c r="AJ93" s="926"/>
    </row>
    <row r="94" spans="1:36" ht="15" customHeight="1" x14ac:dyDescent="0.3">
      <c r="A94" s="926"/>
      <c r="B94" s="609"/>
      <c r="C94" s="962"/>
      <c r="D94" s="1731"/>
      <c r="E94" s="1004"/>
      <c r="F94" s="1004"/>
      <c r="G94" s="1004"/>
      <c r="H94" s="1004"/>
      <c r="I94" s="1004"/>
      <c r="J94" s="1004"/>
      <c r="K94" s="1004"/>
      <c r="L94" s="1004"/>
      <c r="M94" s="1004"/>
      <c r="N94" s="1004"/>
      <c r="O94" s="1004"/>
      <c r="P94" s="1004"/>
      <c r="Q94" s="1004"/>
      <c r="R94" s="1004"/>
      <c r="S94" s="1004"/>
      <c r="T94" s="1009"/>
      <c r="U94" s="609"/>
      <c r="V94" s="926"/>
      <c r="W94" s="926"/>
      <c r="X94" s="926"/>
      <c r="Y94" s="926"/>
      <c r="Z94" s="926"/>
      <c r="AA94" s="926"/>
      <c r="AB94" s="926"/>
      <c r="AC94" s="926"/>
      <c r="AD94" s="926"/>
      <c r="AE94" s="926"/>
      <c r="AF94" s="926"/>
      <c r="AG94" s="926"/>
      <c r="AH94" s="926"/>
      <c r="AI94" s="926"/>
      <c r="AJ94" s="926"/>
    </row>
    <row r="95" spans="1:36" ht="15" customHeight="1" x14ac:dyDescent="0.3">
      <c r="A95" s="926"/>
      <c r="B95" s="609"/>
      <c r="C95" s="1006"/>
      <c r="D95" s="40"/>
      <c r="E95" s="1004"/>
      <c r="F95" s="1004"/>
      <c r="G95" s="1004"/>
      <c r="H95" s="1004"/>
      <c r="I95" s="1004"/>
      <c r="J95" s="1004"/>
      <c r="K95" s="1004"/>
      <c r="L95" s="1004"/>
      <c r="M95" s="1004"/>
      <c r="N95" s="1004"/>
      <c r="O95" s="1004"/>
      <c r="P95" s="1004"/>
      <c r="Q95" s="1004"/>
      <c r="R95" s="1004"/>
      <c r="S95" s="1004"/>
      <c r="T95" s="1009"/>
      <c r="U95" s="609"/>
      <c r="V95" s="926"/>
      <c r="W95" s="926"/>
      <c r="X95" s="926"/>
      <c r="Y95" s="926"/>
      <c r="Z95" s="926"/>
      <c r="AA95" s="926"/>
      <c r="AB95" s="926"/>
      <c r="AC95" s="926"/>
      <c r="AD95" s="926"/>
      <c r="AE95" s="926"/>
      <c r="AF95" s="926"/>
      <c r="AG95" s="926"/>
      <c r="AH95" s="926"/>
      <c r="AI95" s="926"/>
      <c r="AJ95" s="926"/>
    </row>
    <row r="96" spans="1:36" ht="15" customHeight="1" thickBot="1" x14ac:dyDescent="0.35">
      <c r="A96" s="926"/>
      <c r="B96" s="609"/>
      <c r="C96" s="1007"/>
      <c r="D96" s="1011"/>
      <c r="E96" s="1011"/>
      <c r="F96" s="1012"/>
      <c r="G96" s="1013"/>
      <c r="H96" s="1013"/>
      <c r="I96" s="1013"/>
      <c r="J96" s="1012"/>
      <c r="K96" s="1012"/>
      <c r="L96" s="1012"/>
      <c r="M96" s="1012"/>
      <c r="N96" s="1012"/>
      <c r="O96" s="1012"/>
      <c r="P96" s="1012"/>
      <c r="Q96" s="1012"/>
      <c r="R96" s="1012"/>
      <c r="S96" s="1012"/>
      <c r="T96" s="1014"/>
      <c r="U96" s="609"/>
      <c r="V96" s="926"/>
      <c r="W96" s="926"/>
      <c r="X96" s="926"/>
      <c r="Y96" s="926"/>
      <c r="Z96" s="926"/>
      <c r="AA96" s="926"/>
      <c r="AB96" s="926"/>
      <c r="AC96" s="926"/>
      <c r="AD96" s="926"/>
      <c r="AE96" s="926"/>
      <c r="AF96" s="926"/>
      <c r="AG96" s="926"/>
      <c r="AH96" s="926"/>
      <c r="AI96" s="926"/>
      <c r="AJ96" s="926"/>
    </row>
    <row r="97" spans="1:36" x14ac:dyDescent="0.3">
      <c r="A97" s="926"/>
      <c r="B97" s="609"/>
      <c r="C97" s="609"/>
      <c r="D97" s="609"/>
      <c r="E97" s="609"/>
      <c r="F97" s="609"/>
      <c r="G97" s="609"/>
      <c r="H97" s="609"/>
      <c r="I97" s="609"/>
      <c r="J97" s="609"/>
      <c r="K97" s="609"/>
      <c r="L97" s="609"/>
      <c r="M97" s="609"/>
      <c r="N97" s="609"/>
      <c r="O97" s="609"/>
      <c r="P97" s="609"/>
      <c r="Q97" s="609"/>
      <c r="R97" s="609"/>
      <c r="S97" s="609"/>
      <c r="T97" s="609"/>
      <c r="U97" s="609"/>
      <c r="V97" s="926"/>
      <c r="W97" s="926"/>
      <c r="X97" s="926"/>
      <c r="Y97" s="926"/>
      <c r="Z97" s="926"/>
      <c r="AA97" s="926"/>
      <c r="AB97" s="926"/>
      <c r="AC97" s="926"/>
      <c r="AD97" s="926"/>
      <c r="AE97" s="926"/>
      <c r="AF97" s="926"/>
      <c r="AG97" s="926"/>
      <c r="AH97" s="926"/>
      <c r="AI97" s="926"/>
      <c r="AJ97" s="926"/>
    </row>
    <row r="98" spans="1:36" x14ac:dyDescent="0.3">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row>
    <row r="99" spans="1:36" ht="15" customHeight="1" x14ac:dyDescent="0.3">
      <c r="A99" s="926"/>
      <c r="B99" s="926"/>
      <c r="C99" s="2719" t="s">
        <v>594</v>
      </c>
      <c r="D99" s="2720"/>
      <c r="E99" s="923"/>
      <c r="F99" s="926"/>
      <c r="G99" s="926"/>
      <c r="H99" s="2345" t="s">
        <v>561</v>
      </c>
      <c r="I99" s="2351"/>
      <c r="J99" s="2345" t="s">
        <v>595</v>
      </c>
      <c r="K99" s="2351"/>
      <c r="L99" s="2345" t="s">
        <v>596</v>
      </c>
      <c r="M99" s="2351"/>
      <c r="N99" s="2345" t="s">
        <v>597</v>
      </c>
      <c r="O99" s="2351"/>
      <c r="P99" s="926"/>
      <c r="Q99" s="926"/>
      <c r="R99" s="926"/>
      <c r="S99" s="2356" t="s">
        <v>634</v>
      </c>
      <c r="T99" s="2774"/>
      <c r="U99" s="926"/>
      <c r="V99" s="926"/>
      <c r="W99" s="926"/>
      <c r="X99" s="926"/>
      <c r="Y99" s="926"/>
      <c r="Z99" s="926"/>
      <c r="AA99" s="926"/>
      <c r="AB99" s="926"/>
      <c r="AC99" s="926"/>
      <c r="AD99" s="926"/>
      <c r="AE99" s="926"/>
      <c r="AF99" s="926"/>
      <c r="AG99" s="926"/>
      <c r="AH99" s="926"/>
      <c r="AI99" s="926"/>
      <c r="AJ99" s="926"/>
    </row>
    <row r="100" spans="1:36" ht="15" customHeight="1" x14ac:dyDescent="0.3">
      <c r="A100" s="926"/>
      <c r="B100" s="926"/>
      <c r="C100" s="2721"/>
      <c r="D100" s="2722"/>
      <c r="E100" s="923"/>
      <c r="F100" s="926"/>
      <c r="G100" s="926"/>
      <c r="H100" s="2352"/>
      <c r="I100" s="2353"/>
      <c r="J100" s="2352"/>
      <c r="K100" s="2353"/>
      <c r="L100" s="2352"/>
      <c r="M100" s="2353"/>
      <c r="N100" s="2352"/>
      <c r="O100" s="2353"/>
      <c r="P100" s="926"/>
      <c r="Q100" s="926"/>
      <c r="R100" s="926"/>
      <c r="S100" s="2775"/>
      <c r="T100" s="2776"/>
      <c r="U100" s="926"/>
      <c r="V100" s="926"/>
      <c r="W100" s="926"/>
      <c r="X100" s="926"/>
      <c r="Y100" s="926"/>
      <c r="Z100" s="926"/>
      <c r="AA100" s="926"/>
      <c r="AB100" s="926"/>
      <c r="AC100" s="926"/>
      <c r="AD100" s="926"/>
      <c r="AE100" s="926"/>
      <c r="AF100" s="926"/>
      <c r="AG100" s="926"/>
      <c r="AH100" s="926"/>
      <c r="AI100" s="926"/>
      <c r="AJ100" s="926"/>
    </row>
    <row r="101" spans="1:36" ht="15" customHeight="1" thickBot="1" x14ac:dyDescent="0.35">
      <c r="A101" s="926"/>
      <c r="B101" s="926"/>
      <c r="C101" s="2723"/>
      <c r="D101" s="2724"/>
      <c r="E101" s="923"/>
      <c r="F101" s="926"/>
      <c r="G101" s="926"/>
      <c r="H101" s="2354"/>
      <c r="I101" s="2355"/>
      <c r="J101" s="2354"/>
      <c r="K101" s="2355"/>
      <c r="L101" s="2354"/>
      <c r="M101" s="2355"/>
      <c r="N101" s="2354"/>
      <c r="O101" s="2355"/>
      <c r="P101" s="926"/>
      <c r="Q101" s="926"/>
      <c r="R101" s="926"/>
      <c r="S101" s="2777"/>
      <c r="T101" s="2778"/>
      <c r="U101" s="926"/>
      <c r="V101" s="926"/>
      <c r="W101" s="926"/>
      <c r="X101" s="926"/>
      <c r="Y101" s="926"/>
      <c r="Z101" s="926"/>
      <c r="AA101" s="926"/>
      <c r="AB101" s="926"/>
      <c r="AC101" s="926"/>
      <c r="AD101" s="926"/>
      <c r="AE101" s="926"/>
      <c r="AF101" s="926"/>
      <c r="AG101" s="926"/>
      <c r="AH101" s="926"/>
      <c r="AI101" s="926"/>
      <c r="AJ101" s="926"/>
    </row>
    <row r="102" spans="1:36" ht="15" customHeight="1" x14ac:dyDescent="0.3">
      <c r="A102" s="926"/>
      <c r="B102" s="926"/>
      <c r="C102" s="926"/>
      <c r="D102" s="926"/>
      <c r="E102" s="923"/>
      <c r="F102" s="923"/>
      <c r="G102" s="923"/>
      <c r="H102" s="923"/>
      <c r="I102" s="2345" t="s">
        <v>598</v>
      </c>
      <c r="J102" s="2351"/>
      <c r="K102" s="2345" t="s">
        <v>599</v>
      </c>
      <c r="L102" s="2351"/>
      <c r="M102" s="2362" t="s">
        <v>600</v>
      </c>
      <c r="N102" s="2833"/>
      <c r="O102" s="923"/>
      <c r="P102" s="923"/>
      <c r="Q102" s="923"/>
      <c r="R102" s="923"/>
      <c r="S102" s="923"/>
      <c r="T102" s="923"/>
      <c r="U102" s="926"/>
      <c r="V102" s="926"/>
      <c r="W102" s="926"/>
      <c r="X102" s="926"/>
      <c r="Y102" s="926"/>
      <c r="Z102" s="926"/>
      <c r="AA102" s="926"/>
      <c r="AB102" s="926"/>
      <c r="AC102" s="926"/>
      <c r="AD102" s="926"/>
      <c r="AE102" s="926"/>
      <c r="AF102" s="926"/>
      <c r="AG102" s="926"/>
      <c r="AH102" s="926"/>
      <c r="AI102" s="926"/>
      <c r="AJ102" s="926"/>
    </row>
    <row r="103" spans="1:36" ht="15" customHeight="1" x14ac:dyDescent="0.3">
      <c r="A103" s="926"/>
      <c r="B103" s="926"/>
      <c r="C103" s="926"/>
      <c r="D103" s="926"/>
      <c r="E103" s="923"/>
      <c r="F103" s="926"/>
      <c r="G103" s="926"/>
      <c r="H103" s="926"/>
      <c r="I103" s="2352"/>
      <c r="J103" s="2353"/>
      <c r="K103" s="2352"/>
      <c r="L103" s="2353"/>
      <c r="M103" s="2834"/>
      <c r="N103" s="2835"/>
      <c r="O103" s="926"/>
      <c r="P103" s="926"/>
      <c r="Q103" s="926"/>
      <c r="R103" s="923"/>
      <c r="S103" s="923"/>
      <c r="T103" s="923"/>
      <c r="U103" s="926"/>
      <c r="V103" s="926"/>
      <c r="W103" s="926"/>
      <c r="X103" s="926"/>
      <c r="Y103" s="926"/>
      <c r="Z103" s="926"/>
      <c r="AA103" s="926"/>
      <c r="AB103" s="926"/>
      <c r="AC103" s="926"/>
      <c r="AD103" s="926"/>
      <c r="AE103" s="926"/>
      <c r="AF103" s="926"/>
      <c r="AG103" s="926"/>
      <c r="AH103" s="926"/>
      <c r="AI103" s="926"/>
      <c r="AJ103" s="926"/>
    </row>
    <row r="104" spans="1:36" ht="15" customHeight="1" thickBot="1" x14ac:dyDescent="0.35">
      <c r="A104" s="926"/>
      <c r="B104" s="926"/>
      <c r="C104" s="926"/>
      <c r="D104" s="926"/>
      <c r="E104" s="923"/>
      <c r="F104" s="926"/>
      <c r="G104" s="926"/>
      <c r="H104" s="926"/>
      <c r="I104" s="2354"/>
      <c r="J104" s="2355"/>
      <c r="K104" s="2354"/>
      <c r="L104" s="2355"/>
      <c r="M104" s="2836"/>
      <c r="N104" s="2837"/>
      <c r="O104" s="926"/>
      <c r="P104" s="926"/>
      <c r="Q104" s="926"/>
      <c r="R104" s="923"/>
      <c r="S104" s="923"/>
      <c r="T104" s="923"/>
      <c r="U104" s="926"/>
      <c r="V104" s="926"/>
      <c r="W104" s="926"/>
      <c r="X104" s="926"/>
      <c r="Y104" s="926"/>
      <c r="Z104" s="926"/>
      <c r="AA104" s="926"/>
      <c r="AB104" s="926"/>
      <c r="AC104" s="926"/>
      <c r="AD104" s="926"/>
      <c r="AE104" s="926"/>
      <c r="AF104" s="926"/>
      <c r="AG104" s="926"/>
      <c r="AH104" s="926"/>
      <c r="AI104" s="926"/>
      <c r="AJ104" s="926"/>
    </row>
    <row r="105" spans="1:36" x14ac:dyDescent="0.3">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row>
    <row r="106" spans="1:36" x14ac:dyDescent="0.3">
      <c r="A106" s="926"/>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row>
    <row r="107" spans="1:36" x14ac:dyDescent="0.3">
      <c r="A107" s="926"/>
      <c r="B107" s="926"/>
      <c r="C107" s="926"/>
      <c r="D107" s="926"/>
      <c r="E107" s="926"/>
      <c r="F107" s="926"/>
      <c r="G107" s="926"/>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row>
    <row r="108" spans="1:36" x14ac:dyDescent="0.3">
      <c r="A108" s="926"/>
      <c r="B108" s="926"/>
      <c r="C108" s="926"/>
      <c r="D108" s="926"/>
      <c r="E108" s="926"/>
      <c r="F108" s="926"/>
      <c r="G108" s="926"/>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row>
    <row r="109" spans="1:36" x14ac:dyDescent="0.3">
      <c r="A109" s="926"/>
      <c r="B109" s="926"/>
      <c r="C109" s="926"/>
      <c r="D109" s="926"/>
      <c r="E109" s="926"/>
      <c r="F109" s="926"/>
      <c r="G109" s="926"/>
      <c r="H109" s="926"/>
      <c r="I109" s="926"/>
      <c r="J109" s="926"/>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row>
    <row r="110" spans="1:36" x14ac:dyDescent="0.3">
      <c r="A110" s="926"/>
      <c r="B110" s="926"/>
      <c r="C110" s="926"/>
      <c r="D110" s="926"/>
      <c r="E110" s="926"/>
      <c r="F110" s="926"/>
      <c r="G110" s="926"/>
      <c r="H110" s="926"/>
      <c r="I110" s="926"/>
      <c r="J110" s="926"/>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row>
    <row r="111" spans="1:36" x14ac:dyDescent="0.3">
      <c r="A111" s="926"/>
      <c r="B111" s="926"/>
      <c r="C111" s="926"/>
      <c r="D111" s="926"/>
      <c r="E111" s="926"/>
      <c r="F111" s="926"/>
      <c r="G111" s="926"/>
      <c r="H111" s="926"/>
      <c r="I111" s="926"/>
      <c r="J111" s="926"/>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row>
    <row r="112" spans="1:36" x14ac:dyDescent="0.3">
      <c r="A112" s="926"/>
      <c r="B112" s="926"/>
      <c r="C112" s="926"/>
      <c r="D112" s="926"/>
      <c r="E112" s="926"/>
      <c r="F112" s="926"/>
      <c r="G112" s="926"/>
      <c r="H112" s="926"/>
      <c r="I112" s="926"/>
      <c r="J112" s="926"/>
      <c r="K112" s="926"/>
      <c r="L112" s="926"/>
      <c r="M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row>
    <row r="113" spans="1:36" x14ac:dyDescent="0.3">
      <c r="A113" s="926"/>
      <c r="B113" s="926"/>
      <c r="C113" s="926"/>
      <c r="D113" s="926"/>
      <c r="E113" s="926"/>
      <c r="F113" s="926"/>
      <c r="G113" s="926"/>
      <c r="H113" s="926"/>
      <c r="I113" s="926"/>
      <c r="J113" s="926"/>
      <c r="K113" s="926"/>
      <c r="L113" s="926"/>
      <c r="M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row>
    <row r="114" spans="1:36" x14ac:dyDescent="0.3">
      <c r="A114" s="926"/>
      <c r="B114" s="926"/>
      <c r="C114" s="926"/>
      <c r="D114" s="926"/>
      <c r="E114" s="926"/>
      <c r="F114" s="926"/>
      <c r="G114" s="926"/>
      <c r="H114" s="926"/>
      <c r="I114" s="926"/>
      <c r="J114" s="926"/>
      <c r="K114" s="926"/>
      <c r="L114" s="926"/>
      <c r="M114" s="926"/>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row>
    <row r="115" spans="1:36" x14ac:dyDescent="0.3">
      <c r="A115" s="926"/>
      <c r="B115" s="926"/>
      <c r="C115" s="926"/>
      <c r="D115" s="926"/>
      <c r="E115" s="926"/>
      <c r="F115" s="926"/>
      <c r="G115" s="926"/>
      <c r="H115" s="926"/>
      <c r="I115" s="926"/>
      <c r="J115" s="926"/>
      <c r="K115" s="926"/>
      <c r="L115" s="926"/>
      <c r="M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row>
    <row r="116" spans="1:36" x14ac:dyDescent="0.3">
      <c r="A116" s="926"/>
      <c r="B116" s="926"/>
      <c r="C116" s="926"/>
      <c r="D116" s="926"/>
      <c r="E116" s="926"/>
      <c r="F116" s="926"/>
      <c r="G116" s="926"/>
      <c r="H116" s="926"/>
      <c r="I116" s="926"/>
      <c r="J116" s="926"/>
      <c r="K116" s="926"/>
      <c r="L116" s="926"/>
      <c r="M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row>
    <row r="117" spans="1:36" x14ac:dyDescent="0.3">
      <c r="A117" s="926"/>
      <c r="B117" s="926"/>
      <c r="C117" s="926"/>
      <c r="D117" s="926"/>
      <c r="E117" s="926"/>
      <c r="F117" s="926"/>
      <c r="G117" s="926"/>
      <c r="H117" s="926"/>
      <c r="I117" s="926"/>
      <c r="J117" s="926"/>
      <c r="K117" s="926"/>
      <c r="L117" s="926"/>
      <c r="M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row>
    <row r="118" spans="1:36" x14ac:dyDescent="0.3">
      <c r="A118" s="926"/>
      <c r="B118" s="926"/>
      <c r="C118" s="926"/>
      <c r="D118" s="926"/>
      <c r="E118" s="926"/>
      <c r="F118" s="926"/>
      <c r="G118" s="926"/>
      <c r="H118" s="926"/>
      <c r="I118" s="926"/>
      <c r="J118" s="926"/>
      <c r="K118" s="926"/>
      <c r="L118" s="926"/>
      <c r="M118" s="926"/>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row>
    <row r="119" spans="1:36" x14ac:dyDescent="0.3">
      <c r="A119" s="926"/>
      <c r="B119" s="926"/>
      <c r="C119" s="926"/>
      <c r="D119" s="926"/>
      <c r="E119" s="926"/>
      <c r="F119" s="926"/>
      <c r="G119" s="926"/>
      <c r="H119" s="926"/>
      <c r="I119" s="926"/>
      <c r="J119" s="926"/>
      <c r="K119" s="926"/>
      <c r="L119" s="926"/>
      <c r="M119" s="926"/>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row>
    <row r="120" spans="1:36" x14ac:dyDescent="0.3">
      <c r="A120" s="926"/>
      <c r="B120" s="926"/>
      <c r="C120" s="926"/>
      <c r="D120" s="926"/>
      <c r="E120" s="926"/>
      <c r="F120" s="926"/>
      <c r="G120" s="926"/>
      <c r="H120" s="926"/>
      <c r="I120" s="926"/>
      <c r="J120" s="926"/>
      <c r="K120" s="926"/>
      <c r="L120" s="926"/>
      <c r="M120" s="926"/>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row>
    <row r="121" spans="1:36" x14ac:dyDescent="0.3">
      <c r="A121" s="926"/>
      <c r="B121" s="926"/>
      <c r="C121" s="926"/>
      <c r="D121" s="926"/>
      <c r="E121" s="926"/>
      <c r="F121" s="926"/>
      <c r="G121" s="926"/>
      <c r="H121" s="926"/>
      <c r="I121" s="926"/>
      <c r="J121" s="926"/>
      <c r="K121" s="926"/>
      <c r="L121" s="926"/>
      <c r="M121" s="926"/>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row>
    <row r="122" spans="1:36" x14ac:dyDescent="0.3">
      <c r="A122" s="926"/>
      <c r="B122" s="926"/>
      <c r="C122" s="926"/>
      <c r="D122" s="926"/>
      <c r="E122" s="926"/>
      <c r="F122" s="926"/>
      <c r="G122" s="926"/>
      <c r="H122" s="926"/>
      <c r="I122" s="926"/>
      <c r="J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row>
    <row r="123" spans="1:36" x14ac:dyDescent="0.3">
      <c r="A123" s="926"/>
      <c r="B123" s="926"/>
      <c r="C123" s="926"/>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row>
    <row r="135" spans="52:57" ht="15" customHeight="1" thickBot="1" x14ac:dyDescent="0.35">
      <c r="AZ135" s="683" t="s">
        <v>607</v>
      </c>
      <c r="BA135" s="684" t="s">
        <v>608</v>
      </c>
      <c r="BB135" s="670" t="s">
        <v>590</v>
      </c>
      <c r="BC135" s="670" t="s">
        <v>591</v>
      </c>
      <c r="BD135" s="670" t="s">
        <v>592</v>
      </c>
      <c r="BE135" s="675" t="s">
        <v>593</v>
      </c>
    </row>
    <row r="136" spans="52:57" ht="15" customHeight="1" x14ac:dyDescent="0.3">
      <c r="AZ136" s="690"/>
      <c r="BA136" s="682" t="e">
        <f>#REF!</f>
        <v>#REF!</v>
      </c>
      <c r="BB136" s="669">
        <f>G16</f>
        <v>0</v>
      </c>
      <c r="BC136" s="669">
        <f>G20</f>
        <v>0</v>
      </c>
      <c r="BD136" s="669">
        <f>G24</f>
        <v>0</v>
      </c>
      <c r="BE136" s="681">
        <f>G28</f>
        <v>0</v>
      </c>
    </row>
    <row r="137" spans="52:57" x14ac:dyDescent="0.3">
      <c r="AZ137" s="691" t="s">
        <v>609</v>
      </c>
      <c r="BA137" s="685"/>
      <c r="BB137" s="671"/>
      <c r="BC137" s="671"/>
      <c r="BD137" s="671"/>
      <c r="BE137" s="676"/>
    </row>
    <row r="138" spans="52:57" x14ac:dyDescent="0.3">
      <c r="AZ138" s="692" t="s">
        <v>610</v>
      </c>
      <c r="BA138" s="686"/>
      <c r="BB138" s="647"/>
      <c r="BC138" s="647"/>
      <c r="BD138" s="647"/>
      <c r="BE138" s="677"/>
    </row>
    <row r="139" spans="52:57" x14ac:dyDescent="0.3">
      <c r="AZ139" s="693" t="s">
        <v>611</v>
      </c>
      <c r="BA139" s="687" t="e">
        <f>-Plot.Tables!#REF!</f>
        <v>#REF!</v>
      </c>
      <c r="BB139" s="672" t="e">
        <f>-Plot.Tables!#REF!</f>
        <v>#REF!</v>
      </c>
      <c r="BC139" s="672" t="e">
        <f>-Plot.Tables!#REF!</f>
        <v>#REF!</v>
      </c>
      <c r="BD139" s="672" t="e">
        <f>-Plot.Tables!#REF!</f>
        <v>#REF!</v>
      </c>
      <c r="BE139" s="678" t="e">
        <f>-Plot.Tables!#REF!</f>
        <v>#REF!</v>
      </c>
    </row>
    <row r="140" spans="52:57" x14ac:dyDescent="0.3">
      <c r="AZ140" s="693" t="s">
        <v>612</v>
      </c>
      <c r="BA140" s="687" t="e">
        <f>-Plot.Tables!#REF!</f>
        <v>#REF!</v>
      </c>
      <c r="BB140" s="672" t="e">
        <f>-Plot.Tables!#REF!</f>
        <v>#REF!</v>
      </c>
      <c r="BC140" s="672" t="e">
        <f>-Plot.Tables!#REF!</f>
        <v>#REF!</v>
      </c>
      <c r="BD140" s="672" t="e">
        <f>-Plot.Tables!#REF!</f>
        <v>#REF!</v>
      </c>
      <c r="BE140" s="678" t="e">
        <f>-Plot.Tables!#REF!</f>
        <v>#REF!</v>
      </c>
    </row>
    <row r="141" spans="52:57" x14ac:dyDescent="0.3">
      <c r="AZ141" s="692" t="s">
        <v>613</v>
      </c>
      <c r="BA141" s="686"/>
      <c r="BB141" s="647"/>
      <c r="BC141" s="647"/>
      <c r="BD141" s="647"/>
      <c r="BE141" s="677"/>
    </row>
    <row r="142" spans="52:57" x14ac:dyDescent="0.3">
      <c r="AZ142" s="693" t="s">
        <v>614</v>
      </c>
      <c r="BA142" s="688" t="e">
        <f>Plot.Tables!#REF!</f>
        <v>#REF!</v>
      </c>
      <c r="BB142" s="673" t="e">
        <f>Plot.Tables!#REF!</f>
        <v>#REF!</v>
      </c>
      <c r="BC142" s="673" t="e">
        <f>Plot.Tables!#REF!</f>
        <v>#REF!</v>
      </c>
      <c r="BD142" s="673" t="e">
        <f>Plot.Tables!#REF!</f>
        <v>#REF!</v>
      </c>
      <c r="BE142" s="679" t="e">
        <f>Plot.Tables!#REF!</f>
        <v>#REF!</v>
      </c>
    </row>
    <row r="143" spans="52:57" x14ac:dyDescent="0.3">
      <c r="AZ143" s="693" t="s">
        <v>441</v>
      </c>
      <c r="BA143" s="688" t="e">
        <f>Plot.Tables!#REF!</f>
        <v>#REF!</v>
      </c>
      <c r="BB143" s="673" t="e">
        <f>Plot.Tables!#REF!</f>
        <v>#REF!</v>
      </c>
      <c r="BC143" s="673" t="e">
        <f>Plot.Tables!#REF!</f>
        <v>#REF!</v>
      </c>
      <c r="BD143" s="673" t="e">
        <f>Plot.Tables!#REF!</f>
        <v>#REF!</v>
      </c>
      <c r="BE143" s="679" t="e">
        <f>Plot.Tables!#REF!</f>
        <v>#REF!</v>
      </c>
    </row>
    <row r="144" spans="52:57" x14ac:dyDescent="0.3">
      <c r="AZ144" s="693" t="s">
        <v>615</v>
      </c>
      <c r="BA144" s="688" t="e">
        <f>Plot.Tables!#REF!</f>
        <v>#REF!</v>
      </c>
      <c r="BB144" s="673" t="e">
        <f>Plot.Tables!#REF!</f>
        <v>#REF!</v>
      </c>
      <c r="BC144" s="673" t="e">
        <f>Plot.Tables!#REF!</f>
        <v>#REF!</v>
      </c>
      <c r="BD144" s="673" t="e">
        <f>Plot.Tables!#REF!</f>
        <v>#REF!</v>
      </c>
      <c r="BE144" s="679" t="e">
        <f>Plot.Tables!#REF!</f>
        <v>#REF!</v>
      </c>
    </row>
    <row r="145" spans="52:57" ht="15" thickBot="1" x14ac:dyDescent="0.35">
      <c r="AZ145" s="694" t="s">
        <v>616</v>
      </c>
      <c r="BA145" s="689" t="e">
        <f>Plot.Tables!#REF!</f>
        <v>#REF!</v>
      </c>
      <c r="BB145" s="674" t="e">
        <f>Plot.Tables!#REF!</f>
        <v>#REF!</v>
      </c>
      <c r="BC145" s="674" t="e">
        <f>Plot.Tables!#REF!</f>
        <v>#REF!</v>
      </c>
      <c r="BD145" s="674" t="e">
        <f>Plot.Tables!#REF!</f>
        <v>#REF!</v>
      </c>
      <c r="BE145" s="680" t="e">
        <f>Plot.Tables!#REF!</f>
        <v>#REF!</v>
      </c>
    </row>
  </sheetData>
  <mergeCells count="110">
    <mergeCell ref="I102:J104"/>
    <mergeCell ref="K102:L104"/>
    <mergeCell ref="M102:N104"/>
    <mergeCell ref="H2:I4"/>
    <mergeCell ref="J2:K4"/>
    <mergeCell ref="L2:M4"/>
    <mergeCell ref="N2:O4"/>
    <mergeCell ref="S2:T4"/>
    <mergeCell ref="I5:J7"/>
    <mergeCell ref="K5:L7"/>
    <mergeCell ref="M5:N7"/>
    <mergeCell ref="S99:T101"/>
    <mergeCell ref="D34:I34"/>
    <mergeCell ref="J34:K34"/>
    <mergeCell ref="L34:M34"/>
    <mergeCell ref="N34:O34"/>
    <mergeCell ref="P34:Q34"/>
    <mergeCell ref="R34:S34"/>
    <mergeCell ref="D33:I33"/>
    <mergeCell ref="J33:K33"/>
    <mergeCell ref="L33:M33"/>
    <mergeCell ref="N33:O33"/>
    <mergeCell ref="P33:Q33"/>
    <mergeCell ref="R33:S33"/>
    <mergeCell ref="P30:Q30"/>
    <mergeCell ref="R30:S30"/>
    <mergeCell ref="D29:I29"/>
    <mergeCell ref="J29:K29"/>
    <mergeCell ref="L29:M29"/>
    <mergeCell ref="N29:O29"/>
    <mergeCell ref="P29:Q29"/>
    <mergeCell ref="R29:S29"/>
    <mergeCell ref="D32:I32"/>
    <mergeCell ref="J32:K32"/>
    <mergeCell ref="L32:M32"/>
    <mergeCell ref="N32:O32"/>
    <mergeCell ref="P32:Q32"/>
    <mergeCell ref="R32:S32"/>
    <mergeCell ref="D31:I31"/>
    <mergeCell ref="J31:K31"/>
    <mergeCell ref="L31:M31"/>
    <mergeCell ref="N31:O31"/>
    <mergeCell ref="P31:Q31"/>
    <mergeCell ref="R31:S31"/>
    <mergeCell ref="P26:Q26"/>
    <mergeCell ref="R26:S26"/>
    <mergeCell ref="D25:I25"/>
    <mergeCell ref="J25:K25"/>
    <mergeCell ref="L25:M25"/>
    <mergeCell ref="N25:O25"/>
    <mergeCell ref="P25:Q25"/>
    <mergeCell ref="R25:S25"/>
    <mergeCell ref="D28:I28"/>
    <mergeCell ref="J28:K28"/>
    <mergeCell ref="L28:M28"/>
    <mergeCell ref="N28:O28"/>
    <mergeCell ref="P28:Q28"/>
    <mergeCell ref="R28:S28"/>
    <mergeCell ref="D27:I27"/>
    <mergeCell ref="J27:K27"/>
    <mergeCell ref="L27:M27"/>
    <mergeCell ref="N27:O27"/>
    <mergeCell ref="P27:Q27"/>
    <mergeCell ref="R27:S27"/>
    <mergeCell ref="D14:I14"/>
    <mergeCell ref="J14:K14"/>
    <mergeCell ref="L14:M14"/>
    <mergeCell ref="N14:O14"/>
    <mergeCell ref="P14:Q14"/>
    <mergeCell ref="R14:S14"/>
    <mergeCell ref="D24:I24"/>
    <mergeCell ref="J24:K24"/>
    <mergeCell ref="L24:M24"/>
    <mergeCell ref="N24:O24"/>
    <mergeCell ref="P24:Q24"/>
    <mergeCell ref="R24:S24"/>
    <mergeCell ref="D23:I23"/>
    <mergeCell ref="J23:K23"/>
    <mergeCell ref="L23:M23"/>
    <mergeCell ref="N23:O23"/>
    <mergeCell ref="P23:Q23"/>
    <mergeCell ref="R23:S23"/>
    <mergeCell ref="P15:Q22"/>
    <mergeCell ref="R15:S22"/>
    <mergeCell ref="C2:D4"/>
    <mergeCell ref="C10:P11"/>
    <mergeCell ref="Q10:T11"/>
    <mergeCell ref="D13:I13"/>
    <mergeCell ref="J13:K13"/>
    <mergeCell ref="L13:M13"/>
    <mergeCell ref="N13:O13"/>
    <mergeCell ref="P13:Q13"/>
    <mergeCell ref="R13:S13"/>
    <mergeCell ref="C99:D101"/>
    <mergeCell ref="H99:I101"/>
    <mergeCell ref="J99:K101"/>
    <mergeCell ref="L99:M101"/>
    <mergeCell ref="N99:O101"/>
    <mergeCell ref="D15:I22"/>
    <mergeCell ref="J15:K22"/>
    <mergeCell ref="L15:M22"/>
    <mergeCell ref="N15:O22"/>
    <mergeCell ref="D26:I26"/>
    <mergeCell ref="J26:K26"/>
    <mergeCell ref="L26:M26"/>
    <mergeCell ref="N26:O26"/>
    <mergeCell ref="D30:I30"/>
    <mergeCell ref="J30:K30"/>
    <mergeCell ref="L30:M30"/>
    <mergeCell ref="N30:O30"/>
  </mergeCells>
  <hyperlinks>
    <hyperlink ref="C2:D4" location="UI.Farm!A1" tooltip="Click to go to farm inputs page" display="Farm Info" xr:uid="{71318F64-B23D-4BF3-957E-A61F5091A8ED}"/>
    <hyperlink ref="J2:K4" location="Results.Scenarios!A1" tooltip="Click to go to scenario descriptions page" display="Scenario Rankings and Descriptions" xr:uid="{982C79C3-D6D5-4950-BAFB-4E968CFA56C7}"/>
    <hyperlink ref="L2:M4" location="Results.Econ!A1" tooltip="Click to go to economic results page" display="Economic Results" xr:uid="{6BA2137C-F941-4D57-AD9E-01B09AD2EBC5}"/>
    <hyperlink ref="N2:O4" location="Results.Env!A1" tooltip="Click to go to environmental results page" display="Environmental Results" xr:uid="{46EFE3A8-6461-4A56-80FD-2E716379618F}"/>
    <hyperlink ref="I5:J7" location="Results.Tech!A1" tooltip="Click to go to the functionality and logistics results" display="Functionality and Logistics Results" xr:uid="{07E0E033-78D7-4DE0-8712-CB46E6900EDF}"/>
    <hyperlink ref="H2:I4" location="Results.Summary!A1" tooltip="Click to go to results summary page" display="Results Summary" xr:uid="{2D01E595-2977-4D7F-B226-DEB7E92EDE01}"/>
    <hyperlink ref="K5:L7" location="Results.Resources!A1" tooltip="Click to go to the resources results page" display="Resources Results" xr:uid="{0F8F4839-356A-4FED-8481-81782B76ECAE}"/>
    <hyperlink ref="M5:N7" location="Results.Nutrients!A1" tooltip="Click to go to the nutrient concentrations page" display="Nutrient Concentrations" xr:uid="{C1420023-3A6F-4223-9190-1A0C23EE1164}"/>
    <hyperlink ref="S2:T4" location="Results.Summary!A1" tooltip="Click to go to results summary page" display="Results Summary" xr:uid="{B97B040C-C78E-4D89-B3C9-6E155418A83E}"/>
    <hyperlink ref="C99:D101" location="UI.Farm!A1" tooltip="Click to go to farm inputs page" display="Farm Info" xr:uid="{83610B52-BDFE-4C81-B204-E0FC11B10858}"/>
    <hyperlink ref="J99:K101" location="Results.Scenarios!A1" tooltip="Click to go to scenario descriptions page" display="Scenario Rankings and Descriptions" xr:uid="{FDFA101E-0F51-4789-A0A6-480EFC68430D}"/>
    <hyperlink ref="L99:M101" location="Results.Econ!A1" tooltip="Click to go to economic results page" display="Economic Results" xr:uid="{01B88AF1-7C2C-4570-A54D-BB5938792003}"/>
    <hyperlink ref="N99:O101" location="Results.Env!A1" tooltip="Click to go to environmental results page" display="Environmental Results" xr:uid="{71B25C51-8DB1-4BDA-B324-292B6A1EA1C6}"/>
    <hyperlink ref="I102:J104" location="Results.Tech!A1" tooltip="Click to go to the functionality and logistics results" display="Functionality and Logistics Results" xr:uid="{A6DC06D5-1474-4CC0-AB54-9B3B8D9350AF}"/>
    <hyperlink ref="H99:I101" location="Results.Summary!A1" tooltip="Click to go to results summary page" display="Results Summary" xr:uid="{9277CF76-A1FA-4560-B0A0-429C832527BE}"/>
    <hyperlink ref="K102:L104" location="Results.Resources!A1" tooltip="Click to go to the resources results page" display="Resources Results" xr:uid="{B59AB3F8-4118-417E-94C3-E471F40B1B47}"/>
    <hyperlink ref="M102:N104" location="Results.Nutrients!A1" tooltip="Click to go to the nutrient concentrations page" display="Nutrient Concentrations" xr:uid="{DBB1ADCD-C17B-4CD5-8548-BD63C6E8AF2A}"/>
    <hyperlink ref="S99:T101" location="Results.Summary!A1" tooltip="Click to go to results summary page" display="Results Summary" xr:uid="{8FE4C4C9-E511-45C1-9289-25208D82E758}"/>
  </hyperlinks>
  <printOptions horizontalCentered="1" verticalCentered="1"/>
  <pageMargins left="0.7" right="0.7" top="0.75" bottom="0.75" header="0.3" footer="0.3"/>
  <pageSetup scale="50" orientation="portrait" r:id="rId1"/>
  <rowBreaks count="1" manualBreakCount="1">
    <brk id="34" min="2" max="1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49A5-7733-46BB-B43B-D1C47D5FCED4}">
  <sheetPr codeName="Sheet22">
    <tabColor rgb="FF00B0F0"/>
  </sheetPr>
  <dimension ref="A1:AI158"/>
  <sheetViews>
    <sheetView workbookViewId="0">
      <selection activeCell="A30" sqref="A30"/>
    </sheetView>
  </sheetViews>
  <sheetFormatPr defaultColWidth="9.44140625" defaultRowHeight="14.4" x14ac:dyDescent="0.3"/>
  <cols>
    <col min="2" max="2" width="2.88671875" customWidth="1"/>
    <col min="3" max="3" width="9.44140625" customWidth="1"/>
    <col min="20" max="20" width="9.44140625" customWidth="1"/>
    <col min="21" max="21" width="2.5546875" customWidth="1"/>
  </cols>
  <sheetData>
    <row r="1" spans="1:35"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row>
    <row r="2" spans="1:35" ht="15" customHeight="1" thickBot="1" x14ac:dyDescent="0.35">
      <c r="A2" s="926"/>
      <c r="B2" s="926"/>
      <c r="C2" s="923"/>
      <c r="D2" s="923"/>
      <c r="E2" s="923"/>
      <c r="F2" s="2362" t="s">
        <v>0</v>
      </c>
      <c r="G2" s="2363"/>
      <c r="H2" s="2345" t="s">
        <v>1</v>
      </c>
      <c r="I2" s="2346"/>
      <c r="J2" s="2345" t="s">
        <v>2</v>
      </c>
      <c r="K2" s="2346"/>
      <c r="L2" s="2345" t="s">
        <v>3</v>
      </c>
      <c r="M2" s="2346"/>
      <c r="N2" s="2345" t="s">
        <v>4</v>
      </c>
      <c r="O2" s="2346"/>
      <c r="P2" s="2345" t="s">
        <v>5</v>
      </c>
      <c r="Q2" s="2346"/>
      <c r="R2" s="1739"/>
      <c r="S2" s="926"/>
      <c r="T2" s="926"/>
      <c r="U2" s="926"/>
      <c r="V2" s="926"/>
      <c r="W2" s="926"/>
      <c r="X2" s="926"/>
      <c r="Y2" s="926"/>
      <c r="Z2" s="926"/>
      <c r="AA2" s="926"/>
      <c r="AB2" s="926"/>
      <c r="AC2" s="926"/>
      <c r="AD2" s="926"/>
      <c r="AE2" s="926"/>
      <c r="AF2" s="926"/>
      <c r="AG2" s="926"/>
      <c r="AH2" s="926"/>
      <c r="AI2" s="926"/>
    </row>
    <row r="3" spans="1:35" ht="15" customHeight="1" thickTop="1" thickBot="1" x14ac:dyDescent="0.35">
      <c r="A3" s="926"/>
      <c r="B3" s="926"/>
      <c r="C3" s="923"/>
      <c r="D3" s="923"/>
      <c r="E3" s="923"/>
      <c r="F3" s="2364"/>
      <c r="G3" s="2365"/>
      <c r="H3" s="2347"/>
      <c r="I3" s="2348"/>
      <c r="J3" s="2347"/>
      <c r="K3" s="2348"/>
      <c r="L3" s="2347"/>
      <c r="M3" s="2348"/>
      <c r="N3" s="2347"/>
      <c r="O3" s="2348"/>
      <c r="P3" s="2347"/>
      <c r="Q3" s="2348"/>
      <c r="R3" s="1739"/>
      <c r="S3" s="926"/>
      <c r="T3" s="926"/>
      <c r="U3" s="926"/>
      <c r="V3" s="926"/>
      <c r="W3" s="926"/>
      <c r="X3" s="926"/>
      <c r="Y3" s="926"/>
      <c r="Z3" s="926"/>
      <c r="AA3" s="926"/>
      <c r="AB3" s="926"/>
      <c r="AC3" s="926"/>
      <c r="AD3" s="926"/>
      <c r="AE3" s="926"/>
      <c r="AF3" s="926"/>
      <c r="AG3" s="926"/>
      <c r="AH3" s="926"/>
      <c r="AI3" s="926"/>
    </row>
    <row r="4" spans="1:35" ht="15" customHeight="1" thickTop="1" thickBot="1" x14ac:dyDescent="0.35">
      <c r="A4" s="926"/>
      <c r="B4" s="926"/>
      <c r="C4" s="2345" t="s">
        <v>6</v>
      </c>
      <c r="D4" s="2351"/>
      <c r="E4" s="923"/>
      <c r="F4" s="2366"/>
      <c r="G4" s="2367"/>
      <c r="H4" s="2349"/>
      <c r="I4" s="2350"/>
      <c r="J4" s="2349"/>
      <c r="K4" s="2350"/>
      <c r="L4" s="2349"/>
      <c r="M4" s="2350"/>
      <c r="N4" s="2349"/>
      <c r="O4" s="2350"/>
      <c r="P4" s="2349"/>
      <c r="Q4" s="2350"/>
      <c r="R4" s="926"/>
      <c r="S4" s="2356" t="s">
        <v>7</v>
      </c>
      <c r="T4" s="2357"/>
      <c r="U4" s="926"/>
      <c r="V4" s="926"/>
      <c r="W4" s="926"/>
      <c r="X4" s="926"/>
      <c r="Y4" s="926"/>
      <c r="Z4" s="926"/>
      <c r="AA4" s="926"/>
      <c r="AB4" s="926"/>
      <c r="AC4" s="926"/>
      <c r="AD4" s="926"/>
      <c r="AE4" s="926"/>
      <c r="AF4" s="926"/>
      <c r="AG4" s="926"/>
      <c r="AH4" s="926"/>
      <c r="AI4" s="926"/>
    </row>
    <row r="5" spans="1:35"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row>
    <row r="6" spans="1:35"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row>
    <row r="7" spans="1:35"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row>
    <row r="8" spans="1:35" ht="15" customHeight="1" x14ac:dyDescent="0.3">
      <c r="A8" s="926"/>
      <c r="B8" s="926"/>
      <c r="C8" s="926"/>
      <c r="D8" s="924"/>
      <c r="E8" s="924"/>
      <c r="F8" s="924"/>
      <c r="G8" s="924"/>
      <c r="H8" s="924"/>
      <c r="I8" s="924"/>
      <c r="J8" s="924"/>
      <c r="K8" s="924"/>
      <c r="L8" s="924"/>
      <c r="M8" s="924"/>
      <c r="N8" s="924"/>
      <c r="O8" s="924"/>
      <c r="P8" s="924"/>
      <c r="Q8" s="924"/>
      <c r="R8" s="924"/>
      <c r="S8" s="924"/>
      <c r="T8" s="926"/>
      <c r="U8" s="926"/>
      <c r="V8" s="926"/>
      <c r="W8" s="926"/>
      <c r="X8" s="926"/>
      <c r="Y8" s="926"/>
      <c r="Z8" s="926"/>
      <c r="AA8" s="926"/>
      <c r="AB8" s="926"/>
      <c r="AC8" s="926"/>
      <c r="AD8" s="926"/>
      <c r="AE8" s="926"/>
      <c r="AF8" s="926"/>
      <c r="AG8" s="926"/>
      <c r="AH8" s="926"/>
      <c r="AI8" s="926"/>
    </row>
    <row r="9" spans="1:35"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row>
    <row r="10" spans="1:35" ht="15" customHeight="1" x14ac:dyDescent="0.3">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row>
    <row r="11" spans="1:35" ht="15" customHeight="1" x14ac:dyDescent="0.3">
      <c r="A11" s="926"/>
      <c r="B11" s="609"/>
      <c r="C11" s="962"/>
      <c r="D11" s="2404" t="s">
        <v>25</v>
      </c>
      <c r="E11" s="2404"/>
      <c r="F11" s="2404"/>
      <c r="G11" s="2404"/>
      <c r="H11" s="2404"/>
      <c r="I11" s="2404"/>
      <c r="J11" s="2404"/>
      <c r="K11" s="2404"/>
      <c r="L11" s="2404"/>
      <c r="M11" s="2404"/>
      <c r="N11" s="2404"/>
      <c r="O11" s="2404"/>
      <c r="P11" s="2404"/>
      <c r="Q11" s="2404"/>
      <c r="R11" s="2404"/>
      <c r="S11" s="2404"/>
      <c r="T11" s="963"/>
      <c r="U11" s="609"/>
      <c r="V11" s="926"/>
      <c r="W11" s="926"/>
      <c r="X11" s="926"/>
      <c r="Y11" s="926"/>
      <c r="Z11" s="926"/>
      <c r="AA11" s="926"/>
      <c r="AB11" s="926"/>
      <c r="AC11" s="926"/>
      <c r="AD11" s="926"/>
      <c r="AE11" s="926"/>
      <c r="AF11" s="926"/>
      <c r="AG11" s="926"/>
      <c r="AH11" s="926"/>
      <c r="AI11" s="926"/>
    </row>
    <row r="12" spans="1:35" ht="15" customHeight="1" x14ac:dyDescent="0.3">
      <c r="A12" s="926"/>
      <c r="B12" s="609"/>
      <c r="C12" s="962"/>
      <c r="D12" s="2404"/>
      <c r="E12" s="2404"/>
      <c r="F12" s="2404"/>
      <c r="G12" s="2404"/>
      <c r="H12" s="2404"/>
      <c r="I12" s="2404"/>
      <c r="J12" s="2404"/>
      <c r="K12" s="2404"/>
      <c r="L12" s="2404"/>
      <c r="M12" s="2404"/>
      <c r="N12" s="2404"/>
      <c r="O12" s="2404"/>
      <c r="P12" s="2404"/>
      <c r="Q12" s="2404"/>
      <c r="R12" s="2404"/>
      <c r="S12" s="2404"/>
      <c r="T12" s="963"/>
      <c r="U12" s="609"/>
      <c r="V12" s="926"/>
      <c r="W12" s="926"/>
      <c r="X12" s="926"/>
      <c r="Y12" s="926"/>
      <c r="Z12" s="926"/>
      <c r="AA12" s="926"/>
      <c r="AB12" s="926"/>
      <c r="AC12" s="926"/>
      <c r="AD12" s="926"/>
      <c r="AE12" s="926"/>
      <c r="AF12" s="926"/>
      <c r="AG12" s="926"/>
      <c r="AH12" s="926"/>
      <c r="AI12" s="926"/>
    </row>
    <row r="13" spans="1:35" ht="15" customHeight="1" x14ac:dyDescent="0.3">
      <c r="A13" s="926"/>
      <c r="B13" s="609"/>
      <c r="C13" s="962"/>
      <c r="D13" s="2404"/>
      <c r="E13" s="2404"/>
      <c r="F13" s="2404"/>
      <c r="G13" s="2404"/>
      <c r="H13" s="2404"/>
      <c r="I13" s="2404"/>
      <c r="J13" s="2404"/>
      <c r="K13" s="2404"/>
      <c r="L13" s="2404"/>
      <c r="M13" s="2404"/>
      <c r="N13" s="2404"/>
      <c r="O13" s="2404"/>
      <c r="P13" s="2404"/>
      <c r="Q13" s="2404"/>
      <c r="R13" s="2404"/>
      <c r="S13" s="2404"/>
      <c r="T13" s="963"/>
      <c r="U13" s="609"/>
      <c r="V13" s="926"/>
      <c r="W13" s="926"/>
      <c r="X13" s="926"/>
      <c r="Y13" s="926"/>
      <c r="Z13" s="926"/>
      <c r="AA13" s="926"/>
      <c r="AB13" s="926"/>
      <c r="AC13" s="926"/>
      <c r="AD13" s="926"/>
      <c r="AE13" s="926"/>
      <c r="AF13" s="926"/>
      <c r="AG13" s="926"/>
      <c r="AH13" s="926"/>
      <c r="AI13" s="926"/>
    </row>
    <row r="14" spans="1:35" ht="15" customHeight="1" x14ac:dyDescent="0.3">
      <c r="A14" s="926"/>
      <c r="B14" s="609"/>
      <c r="C14" s="962"/>
      <c r="D14" s="2404"/>
      <c r="E14" s="2404"/>
      <c r="F14" s="2404"/>
      <c r="G14" s="2404"/>
      <c r="H14" s="2404"/>
      <c r="I14" s="2404"/>
      <c r="J14" s="2404"/>
      <c r="K14" s="2404"/>
      <c r="L14" s="2404"/>
      <c r="M14" s="2404"/>
      <c r="N14" s="2404"/>
      <c r="O14" s="2404"/>
      <c r="P14" s="2404"/>
      <c r="Q14" s="2404"/>
      <c r="R14" s="2404"/>
      <c r="S14" s="2404"/>
      <c r="T14" s="963"/>
      <c r="U14" s="609"/>
      <c r="V14" s="926"/>
      <c r="W14" s="926"/>
      <c r="X14" s="926"/>
      <c r="Y14" s="926"/>
      <c r="Z14" s="926"/>
      <c r="AA14" s="926"/>
      <c r="AB14" s="926"/>
      <c r="AC14" s="926"/>
      <c r="AD14" s="926"/>
      <c r="AE14" s="926"/>
      <c r="AF14" s="926"/>
      <c r="AG14" s="926"/>
      <c r="AH14" s="926"/>
      <c r="AI14" s="926"/>
    </row>
    <row r="15" spans="1:35" ht="15" customHeight="1" x14ac:dyDescent="0.3">
      <c r="A15" s="926"/>
      <c r="B15" s="609"/>
      <c r="C15" s="962"/>
      <c r="D15" s="2404"/>
      <c r="E15" s="2404"/>
      <c r="F15" s="2404"/>
      <c r="G15" s="2404"/>
      <c r="H15" s="2404"/>
      <c r="I15" s="2404"/>
      <c r="J15" s="2404"/>
      <c r="K15" s="2404"/>
      <c r="L15" s="2404"/>
      <c r="M15" s="2404"/>
      <c r="N15" s="2404"/>
      <c r="O15" s="2404"/>
      <c r="P15" s="2404"/>
      <c r="Q15" s="2404"/>
      <c r="R15" s="2404"/>
      <c r="S15" s="2404"/>
      <c r="T15" s="963"/>
      <c r="U15" s="609"/>
      <c r="V15" s="926"/>
      <c r="W15" s="926"/>
      <c r="X15" s="926"/>
      <c r="Y15" s="926"/>
      <c r="Z15" s="926"/>
      <c r="AA15" s="926"/>
      <c r="AB15" s="926"/>
      <c r="AC15" s="926"/>
      <c r="AD15" s="926"/>
      <c r="AE15" s="926"/>
      <c r="AF15" s="926"/>
      <c r="AG15" s="926"/>
      <c r="AH15" s="926"/>
      <c r="AI15" s="926"/>
    </row>
    <row r="16" spans="1:35" ht="15" customHeight="1" x14ac:dyDescent="0.3">
      <c r="A16" s="926"/>
      <c r="B16" s="609"/>
      <c r="C16" s="962"/>
      <c r="D16" s="2404"/>
      <c r="E16" s="2404"/>
      <c r="F16" s="2404"/>
      <c r="G16" s="2404"/>
      <c r="H16" s="2404"/>
      <c r="I16" s="2404"/>
      <c r="J16" s="2404"/>
      <c r="K16" s="2404"/>
      <c r="L16" s="2404"/>
      <c r="M16" s="2404"/>
      <c r="N16" s="2404"/>
      <c r="O16" s="2404"/>
      <c r="P16" s="2404"/>
      <c r="Q16" s="2404"/>
      <c r="R16" s="2404"/>
      <c r="S16" s="2404"/>
      <c r="T16" s="963"/>
      <c r="U16" s="609"/>
      <c r="V16" s="926"/>
      <c r="W16" s="926"/>
      <c r="X16" s="926"/>
      <c r="Y16" s="926"/>
      <c r="Z16" s="926"/>
      <c r="AA16" s="926"/>
      <c r="AB16" s="926"/>
      <c r="AC16" s="926"/>
      <c r="AD16" s="926"/>
      <c r="AE16" s="926"/>
      <c r="AF16" s="926"/>
      <c r="AG16" s="926"/>
      <c r="AH16" s="926"/>
      <c r="AI16" s="926"/>
    </row>
    <row r="17" spans="1:35" x14ac:dyDescent="0.3">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row>
    <row r="18" spans="1:35" ht="15" customHeight="1" thickTop="1" x14ac:dyDescent="0.3">
      <c r="A18" s="926"/>
      <c r="B18" s="609"/>
      <c r="C18" s="962"/>
      <c r="D18" s="40"/>
      <c r="E18" s="40"/>
      <c r="F18" s="40"/>
      <c r="G18" s="2376" t="s">
        <v>26</v>
      </c>
      <c r="H18" s="2377"/>
      <c r="I18" s="2377"/>
      <c r="J18" s="2377"/>
      <c r="K18" s="2377"/>
      <c r="L18" s="2377"/>
      <c r="M18" s="2377"/>
      <c r="N18" s="2377"/>
      <c r="O18" s="2377"/>
      <c r="P18" s="2378"/>
      <c r="Q18" s="40"/>
      <c r="R18" s="40"/>
      <c r="S18" s="40"/>
      <c r="T18" s="963"/>
      <c r="U18" s="609"/>
      <c r="V18" s="926"/>
      <c r="W18" s="926"/>
      <c r="X18" s="926"/>
      <c r="Y18" s="926"/>
      <c r="Z18" s="926"/>
      <c r="AA18" s="926"/>
      <c r="AB18" s="926"/>
      <c r="AC18" s="926"/>
      <c r="AD18" s="926"/>
      <c r="AE18" s="926"/>
      <c r="AF18" s="926"/>
      <c r="AG18" s="926"/>
      <c r="AH18" s="926"/>
      <c r="AI18" s="926"/>
    </row>
    <row r="19" spans="1:35" ht="15" customHeight="1" x14ac:dyDescent="0.3">
      <c r="A19" s="926"/>
      <c r="B19" s="609"/>
      <c r="C19" s="962"/>
      <c r="D19" s="40"/>
      <c r="E19" s="40"/>
      <c r="F19" s="40"/>
      <c r="G19" s="2379"/>
      <c r="H19" s="2380"/>
      <c r="I19" s="2380"/>
      <c r="J19" s="2380"/>
      <c r="K19" s="2380"/>
      <c r="L19" s="2380"/>
      <c r="M19" s="2380"/>
      <c r="N19" s="2380"/>
      <c r="O19" s="2380"/>
      <c r="P19" s="2381"/>
      <c r="Q19" s="40"/>
      <c r="R19" s="40"/>
      <c r="S19" s="40"/>
      <c r="T19" s="963"/>
      <c r="U19" s="609"/>
      <c r="V19" s="926"/>
      <c r="W19" s="926"/>
      <c r="X19" s="926"/>
      <c r="Y19" s="926"/>
      <c r="Z19" s="926"/>
      <c r="AA19" s="926"/>
      <c r="AB19" s="926"/>
      <c r="AC19" s="926"/>
      <c r="AD19" s="926"/>
      <c r="AE19" s="926"/>
      <c r="AF19" s="926"/>
      <c r="AG19" s="926"/>
      <c r="AH19" s="926"/>
      <c r="AI19" s="926"/>
    </row>
    <row r="20" spans="1:35" ht="15" customHeight="1" x14ac:dyDescent="0.3">
      <c r="A20" s="926"/>
      <c r="B20" s="609"/>
      <c r="C20" s="962"/>
      <c r="D20" s="40"/>
      <c r="E20" s="40"/>
      <c r="F20" s="40"/>
      <c r="G20" s="2379"/>
      <c r="H20" s="2380"/>
      <c r="I20" s="2380"/>
      <c r="J20" s="2380"/>
      <c r="K20" s="2380"/>
      <c r="L20" s="2380"/>
      <c r="M20" s="2380"/>
      <c r="N20" s="2380"/>
      <c r="O20" s="2380"/>
      <c r="P20" s="2381"/>
      <c r="Q20" s="40"/>
      <c r="R20" s="40"/>
      <c r="S20" s="40"/>
      <c r="T20" s="963"/>
      <c r="U20" s="609"/>
      <c r="V20" s="926"/>
      <c r="W20" s="926"/>
      <c r="X20" s="926"/>
      <c r="Y20" s="926"/>
      <c r="Z20" s="926"/>
      <c r="AA20" s="926"/>
      <c r="AB20" s="926"/>
      <c r="AC20" s="926"/>
      <c r="AD20" s="926"/>
      <c r="AE20" s="926"/>
      <c r="AF20" s="926"/>
      <c r="AG20" s="926"/>
      <c r="AH20" s="926"/>
      <c r="AI20" s="926"/>
    </row>
    <row r="21" spans="1:35" ht="15" customHeight="1" x14ac:dyDescent="0.3">
      <c r="A21" s="926"/>
      <c r="B21" s="609"/>
      <c r="C21" s="962"/>
      <c r="D21" s="40"/>
      <c r="E21" s="40"/>
      <c r="F21" s="40"/>
      <c r="G21" s="2379"/>
      <c r="H21" s="2380"/>
      <c r="I21" s="2380"/>
      <c r="J21" s="2380"/>
      <c r="K21" s="2380"/>
      <c r="L21" s="2380"/>
      <c r="M21" s="2380"/>
      <c r="N21" s="2380"/>
      <c r="O21" s="2380"/>
      <c r="P21" s="2381"/>
      <c r="Q21" s="40"/>
      <c r="R21" s="40"/>
      <c r="S21" s="40"/>
      <c r="T21" s="963"/>
      <c r="U21" s="609"/>
      <c r="V21" s="926"/>
      <c r="W21" s="926"/>
      <c r="X21" s="926"/>
      <c r="Y21" s="926"/>
      <c r="Z21" s="926"/>
      <c r="AA21" s="926"/>
      <c r="AB21" s="926"/>
      <c r="AC21" s="926"/>
      <c r="AD21" s="926"/>
      <c r="AE21" s="926"/>
      <c r="AF21" s="926"/>
      <c r="AG21" s="926"/>
      <c r="AH21" s="926"/>
      <c r="AI21" s="926"/>
    </row>
    <row r="22" spans="1:35" ht="15" customHeight="1" x14ac:dyDescent="0.3">
      <c r="A22" s="926"/>
      <c r="B22" s="609"/>
      <c r="C22" s="962"/>
      <c r="D22" s="40"/>
      <c r="E22" s="40"/>
      <c r="F22" s="40"/>
      <c r="G22" s="2379"/>
      <c r="H22" s="2380"/>
      <c r="I22" s="2380"/>
      <c r="J22" s="2380"/>
      <c r="K22" s="2380"/>
      <c r="L22" s="2380"/>
      <c r="M22" s="2380"/>
      <c r="N22" s="2380"/>
      <c r="O22" s="2380"/>
      <c r="P22" s="2381"/>
      <c r="Q22" s="40"/>
      <c r="R22" s="40"/>
      <c r="S22" s="40"/>
      <c r="T22" s="963"/>
      <c r="U22" s="609"/>
      <c r="V22" s="926"/>
      <c r="W22" s="926"/>
      <c r="X22" s="926"/>
      <c r="Y22" s="926"/>
      <c r="Z22" s="926"/>
      <c r="AA22" s="926"/>
      <c r="AB22" s="926"/>
      <c r="AC22" s="926"/>
      <c r="AD22" s="926"/>
      <c r="AE22" s="926"/>
      <c r="AF22" s="926"/>
      <c r="AG22" s="926"/>
      <c r="AH22" s="926"/>
      <c r="AI22" s="926"/>
    </row>
    <row r="23" spans="1:35" ht="15" customHeight="1" x14ac:dyDescent="0.3">
      <c r="A23" s="926"/>
      <c r="B23" s="609"/>
      <c r="C23" s="962"/>
      <c r="D23" s="40"/>
      <c r="E23" s="40"/>
      <c r="F23" s="40"/>
      <c r="G23" s="2379"/>
      <c r="H23" s="2380"/>
      <c r="I23" s="2380"/>
      <c r="J23" s="2380"/>
      <c r="K23" s="2380"/>
      <c r="L23" s="2380"/>
      <c r="M23" s="2380"/>
      <c r="N23" s="2380"/>
      <c r="O23" s="2380"/>
      <c r="P23" s="2381"/>
      <c r="Q23" s="40"/>
      <c r="R23" s="40"/>
      <c r="S23" s="40"/>
      <c r="T23" s="963"/>
      <c r="U23" s="609"/>
      <c r="V23" s="926"/>
      <c r="W23" s="926"/>
      <c r="X23" s="926"/>
      <c r="Y23" s="926"/>
      <c r="Z23" s="926"/>
      <c r="AA23" s="926"/>
      <c r="AB23" s="926"/>
      <c r="AC23" s="926"/>
      <c r="AD23" s="926"/>
      <c r="AE23" s="926"/>
      <c r="AF23" s="926"/>
      <c r="AG23" s="926"/>
      <c r="AH23" s="926"/>
      <c r="AI23" s="926"/>
    </row>
    <row r="24" spans="1:35" ht="15" customHeight="1" x14ac:dyDescent="0.3">
      <c r="A24" s="926"/>
      <c r="B24" s="609"/>
      <c r="C24" s="962"/>
      <c r="D24" s="40"/>
      <c r="E24" s="40"/>
      <c r="F24" s="40"/>
      <c r="G24" s="2379"/>
      <c r="H24" s="2380"/>
      <c r="I24" s="2380"/>
      <c r="J24" s="2380"/>
      <c r="K24" s="2380"/>
      <c r="L24" s="2380"/>
      <c r="M24" s="2380"/>
      <c r="N24" s="2380"/>
      <c r="O24" s="2380"/>
      <c r="P24" s="2381"/>
      <c r="Q24" s="40"/>
      <c r="R24" s="40"/>
      <c r="S24" s="40"/>
      <c r="T24" s="963"/>
      <c r="U24" s="609"/>
      <c r="V24" s="926"/>
      <c r="W24" s="926"/>
      <c r="X24" s="926"/>
      <c r="Y24" s="926"/>
      <c r="Z24" s="926"/>
      <c r="AA24" s="926"/>
      <c r="AB24" s="926"/>
      <c r="AC24" s="926"/>
      <c r="AD24" s="926"/>
      <c r="AE24" s="926"/>
      <c r="AF24" s="926"/>
      <c r="AG24" s="926"/>
      <c r="AH24" s="926"/>
      <c r="AI24" s="926"/>
    </row>
    <row r="25" spans="1:35" ht="15" customHeight="1" thickBot="1" x14ac:dyDescent="0.35">
      <c r="A25" s="926"/>
      <c r="B25" s="609"/>
      <c r="C25" s="962"/>
      <c r="D25" s="40"/>
      <c r="E25" s="40"/>
      <c r="F25" s="40"/>
      <c r="G25" s="2382"/>
      <c r="H25" s="2383"/>
      <c r="I25" s="2383"/>
      <c r="J25" s="2383"/>
      <c r="K25" s="2383"/>
      <c r="L25" s="2383"/>
      <c r="M25" s="2383"/>
      <c r="N25" s="2383"/>
      <c r="O25" s="2383"/>
      <c r="P25" s="2384"/>
      <c r="Q25" s="40"/>
      <c r="R25" s="40"/>
      <c r="S25" s="40"/>
      <c r="T25" s="963"/>
      <c r="U25" s="609"/>
      <c r="V25" s="926"/>
      <c r="W25" s="926"/>
      <c r="X25" s="926"/>
      <c r="Y25" s="926"/>
      <c r="Z25" s="926"/>
      <c r="AA25" s="926"/>
      <c r="AB25" s="926"/>
      <c r="AC25" s="926"/>
      <c r="AD25" s="926"/>
      <c r="AE25" s="926"/>
      <c r="AF25" s="926"/>
      <c r="AG25" s="926"/>
      <c r="AH25" s="926"/>
      <c r="AI25" s="926"/>
    </row>
    <row r="26" spans="1:35" ht="15" customHeight="1" thickTop="1" thickBot="1" x14ac:dyDescent="0.35">
      <c r="A26" s="926"/>
      <c r="B26" s="609"/>
      <c r="C26" s="962"/>
      <c r="D26" s="40"/>
      <c r="E26" s="40"/>
      <c r="F26" s="40"/>
      <c r="G26" s="40"/>
      <c r="H26" s="40"/>
      <c r="I26" s="40"/>
      <c r="J26" s="40"/>
      <c r="K26" s="40"/>
      <c r="L26" s="40"/>
      <c r="M26" s="40"/>
      <c r="N26" s="40"/>
      <c r="O26" s="40"/>
      <c r="P26" s="40"/>
      <c r="Q26" s="40"/>
      <c r="R26" s="40"/>
      <c r="S26" s="40"/>
      <c r="T26" s="963"/>
      <c r="U26" s="609"/>
      <c r="V26" s="926"/>
      <c r="W26" s="926"/>
      <c r="X26" s="926"/>
      <c r="Y26" s="926"/>
      <c r="Z26" s="926"/>
      <c r="AA26" s="926"/>
      <c r="AB26" s="926"/>
      <c r="AC26" s="926"/>
      <c r="AD26" s="926"/>
      <c r="AE26" s="926"/>
      <c r="AF26" s="926"/>
      <c r="AG26" s="926"/>
      <c r="AH26" s="926"/>
      <c r="AI26" s="926"/>
    </row>
    <row r="27" spans="1:35" ht="15" customHeight="1" thickTop="1" x14ac:dyDescent="0.3">
      <c r="A27" s="926"/>
      <c r="B27" s="609"/>
      <c r="C27" s="962"/>
      <c r="D27" s="40"/>
      <c r="E27" s="40"/>
      <c r="F27" s="40"/>
      <c r="G27" s="2376" t="s">
        <v>27</v>
      </c>
      <c r="H27" s="2377"/>
      <c r="I27" s="2377"/>
      <c r="J27" s="2377"/>
      <c r="K27" s="2377"/>
      <c r="L27" s="2377"/>
      <c r="M27" s="2377"/>
      <c r="N27" s="2377"/>
      <c r="O27" s="2377"/>
      <c r="P27" s="2378"/>
      <c r="Q27" s="40"/>
      <c r="R27" s="40"/>
      <c r="S27" s="40"/>
      <c r="T27" s="963"/>
      <c r="U27" s="609"/>
      <c r="V27" s="926"/>
      <c r="W27" s="926"/>
      <c r="X27" s="926"/>
      <c r="Y27" s="926"/>
      <c r="Z27" s="926"/>
      <c r="AA27" s="926"/>
      <c r="AB27" s="926"/>
      <c r="AC27" s="926"/>
      <c r="AD27" s="926"/>
      <c r="AE27" s="926"/>
      <c r="AF27" s="926"/>
      <c r="AG27" s="926"/>
      <c r="AH27" s="926"/>
      <c r="AI27" s="926"/>
    </row>
    <row r="28" spans="1:35" ht="15" customHeight="1" x14ac:dyDescent="0.3">
      <c r="A28" s="926"/>
      <c r="B28" s="609"/>
      <c r="C28" s="962"/>
      <c r="D28" s="40"/>
      <c r="E28" s="40"/>
      <c r="F28" s="40"/>
      <c r="G28" s="2379"/>
      <c r="H28" s="2380"/>
      <c r="I28" s="2380"/>
      <c r="J28" s="2380"/>
      <c r="K28" s="2380"/>
      <c r="L28" s="2380"/>
      <c r="M28" s="2380"/>
      <c r="N28" s="2380"/>
      <c r="O28" s="2380"/>
      <c r="P28" s="2381"/>
      <c r="Q28" s="40"/>
      <c r="R28" s="40"/>
      <c r="S28" s="40"/>
      <c r="T28" s="963"/>
      <c r="U28" s="609"/>
      <c r="V28" s="926"/>
      <c r="W28" s="926"/>
      <c r="X28" s="926"/>
      <c r="Y28" s="926"/>
      <c r="Z28" s="926"/>
      <c r="AA28" s="926"/>
      <c r="AB28" s="926"/>
      <c r="AC28" s="926"/>
      <c r="AD28" s="926"/>
      <c r="AE28" s="926"/>
      <c r="AF28" s="926"/>
      <c r="AG28" s="926"/>
      <c r="AH28" s="926"/>
      <c r="AI28" s="926"/>
    </row>
    <row r="29" spans="1:35" ht="15" customHeight="1" x14ac:dyDescent="0.3">
      <c r="A29" s="926"/>
      <c r="B29" s="609"/>
      <c r="C29" s="962"/>
      <c r="D29" s="40"/>
      <c r="E29" s="40"/>
      <c r="F29" s="40"/>
      <c r="G29" s="2379"/>
      <c r="H29" s="2380"/>
      <c r="I29" s="2380"/>
      <c r="J29" s="2380"/>
      <c r="K29" s="2380"/>
      <c r="L29" s="2380"/>
      <c r="M29" s="2380"/>
      <c r="N29" s="2380"/>
      <c r="O29" s="2380"/>
      <c r="P29" s="2381"/>
      <c r="Q29" s="40"/>
      <c r="R29" s="40"/>
      <c r="S29" s="40"/>
      <c r="T29" s="963"/>
      <c r="U29" s="609"/>
      <c r="V29" s="926"/>
      <c r="W29" s="926"/>
      <c r="X29" s="926"/>
      <c r="Y29" s="926"/>
      <c r="Z29" s="926"/>
      <c r="AA29" s="926"/>
      <c r="AB29" s="926"/>
      <c r="AC29" s="926"/>
      <c r="AD29" s="926"/>
      <c r="AE29" s="926"/>
      <c r="AF29" s="926"/>
      <c r="AG29" s="926"/>
      <c r="AH29" s="926"/>
      <c r="AI29" s="926"/>
    </row>
    <row r="30" spans="1:35" ht="15" customHeight="1" x14ac:dyDescent="0.3">
      <c r="A30" s="926"/>
      <c r="B30" s="609"/>
      <c r="C30" s="962"/>
      <c r="D30" s="40"/>
      <c r="E30" s="40"/>
      <c r="F30" s="40"/>
      <c r="G30" s="2379"/>
      <c r="H30" s="2380"/>
      <c r="I30" s="2380"/>
      <c r="J30" s="2380"/>
      <c r="K30" s="2380"/>
      <c r="L30" s="2380"/>
      <c r="M30" s="2380"/>
      <c r="N30" s="2380"/>
      <c r="O30" s="2380"/>
      <c r="P30" s="2381"/>
      <c r="Q30" s="40"/>
      <c r="R30" s="40"/>
      <c r="S30" s="40"/>
      <c r="T30" s="963"/>
      <c r="U30" s="609"/>
      <c r="V30" s="926"/>
      <c r="W30" s="926"/>
      <c r="X30" s="926"/>
      <c r="Y30" s="926"/>
      <c r="Z30" s="926"/>
      <c r="AA30" s="926"/>
      <c r="AB30" s="926"/>
      <c r="AC30" s="926"/>
      <c r="AD30" s="926"/>
      <c r="AE30" s="926"/>
      <c r="AF30" s="926"/>
      <c r="AG30" s="926"/>
      <c r="AH30" s="926"/>
      <c r="AI30" s="926"/>
    </row>
    <row r="31" spans="1:35" ht="15" customHeight="1" thickBot="1" x14ac:dyDescent="0.35">
      <c r="A31" s="926"/>
      <c r="B31" s="609"/>
      <c r="C31" s="962"/>
      <c r="D31" s="40"/>
      <c r="E31" s="40"/>
      <c r="F31" s="40"/>
      <c r="G31" s="2382"/>
      <c r="H31" s="2383"/>
      <c r="I31" s="2383"/>
      <c r="J31" s="2383"/>
      <c r="K31" s="2383"/>
      <c r="L31" s="2383"/>
      <c r="M31" s="2383"/>
      <c r="N31" s="2383"/>
      <c r="O31" s="2383"/>
      <c r="P31" s="2384"/>
      <c r="Q31" s="40"/>
      <c r="R31" s="40"/>
      <c r="S31" s="40"/>
      <c r="T31" s="963"/>
      <c r="U31" s="609"/>
      <c r="V31" s="926"/>
      <c r="W31" s="926"/>
      <c r="X31" s="926"/>
      <c r="Y31" s="926"/>
      <c r="Z31" s="926"/>
      <c r="AA31" s="926"/>
      <c r="AB31" s="926"/>
      <c r="AC31" s="926"/>
      <c r="AD31" s="926"/>
      <c r="AE31" s="926"/>
      <c r="AF31" s="926"/>
      <c r="AG31" s="926"/>
      <c r="AH31" s="926"/>
      <c r="AI31" s="926"/>
    </row>
    <row r="32" spans="1:35" x14ac:dyDescent="0.3">
      <c r="A32" s="926"/>
      <c r="B32" s="609"/>
      <c r="C32" s="962"/>
      <c r="D32" s="40"/>
      <c r="E32" s="40"/>
      <c r="F32" s="40"/>
      <c r="G32" s="40"/>
      <c r="H32" s="40"/>
      <c r="I32" s="40"/>
      <c r="J32" s="40"/>
      <c r="K32" s="40"/>
      <c r="L32" s="40"/>
      <c r="M32" s="40"/>
      <c r="N32" s="40"/>
      <c r="O32" s="40"/>
      <c r="P32" s="40"/>
      <c r="Q32" s="40"/>
      <c r="R32" s="40"/>
      <c r="S32" s="40"/>
      <c r="T32" s="963"/>
      <c r="U32" s="609"/>
      <c r="V32" s="926"/>
      <c r="W32" s="926"/>
      <c r="X32" s="926"/>
      <c r="Y32" s="926"/>
      <c r="Z32" s="926"/>
      <c r="AA32" s="926"/>
      <c r="AB32" s="926"/>
      <c r="AC32" s="926"/>
      <c r="AD32" s="926"/>
      <c r="AE32" s="926"/>
      <c r="AF32" s="926"/>
      <c r="AG32" s="926"/>
      <c r="AH32" s="926"/>
      <c r="AI32" s="926"/>
    </row>
    <row r="33" spans="1:35" ht="15" customHeight="1" thickBot="1" x14ac:dyDescent="0.35">
      <c r="A33" s="926"/>
      <c r="B33" s="609"/>
      <c r="C33" s="962"/>
      <c r="D33" s="40"/>
      <c r="E33" s="40"/>
      <c r="F33" s="40"/>
      <c r="G33" s="40"/>
      <c r="H33" s="40"/>
      <c r="I33" s="40"/>
      <c r="J33" s="40"/>
      <c r="K33" s="2356" t="s">
        <v>7</v>
      </c>
      <c r="L33" s="2357"/>
      <c r="M33" s="40"/>
      <c r="N33" s="40"/>
      <c r="O33" s="40"/>
      <c r="P33" s="40"/>
      <c r="Q33" s="40"/>
      <c r="R33" s="40"/>
      <c r="S33" s="40"/>
      <c r="T33" s="963"/>
      <c r="U33" s="609"/>
      <c r="V33" s="926"/>
      <c r="W33" s="926"/>
      <c r="X33" s="926"/>
      <c r="Y33" s="926"/>
      <c r="Z33" s="926"/>
      <c r="AA33" s="926"/>
      <c r="AB33" s="926"/>
      <c r="AC33" s="926"/>
      <c r="AD33" s="926"/>
      <c r="AE33" s="926"/>
      <c r="AF33" s="926"/>
      <c r="AG33" s="926"/>
      <c r="AH33" s="926"/>
      <c r="AI33" s="926"/>
    </row>
    <row r="34" spans="1:35" ht="15" customHeight="1" thickTop="1" thickBot="1" x14ac:dyDescent="0.35">
      <c r="A34" s="926"/>
      <c r="B34" s="609"/>
      <c r="C34" s="962"/>
      <c r="D34" s="40"/>
      <c r="E34" s="40"/>
      <c r="F34" s="40"/>
      <c r="G34" s="40"/>
      <c r="H34" s="40"/>
      <c r="I34" s="40"/>
      <c r="J34" s="40"/>
      <c r="K34" s="2358"/>
      <c r="L34" s="2359"/>
      <c r="M34" s="40"/>
      <c r="N34" s="40"/>
      <c r="O34" s="40"/>
      <c r="P34" s="40"/>
      <c r="Q34" s="40"/>
      <c r="R34" s="40"/>
      <c r="S34" s="40"/>
      <c r="T34" s="963"/>
      <c r="U34" s="609"/>
      <c r="V34" s="926"/>
      <c r="W34" s="926"/>
      <c r="X34" s="926"/>
      <c r="Y34" s="926"/>
      <c r="Z34" s="926"/>
      <c r="AA34" s="926"/>
      <c r="AB34" s="926"/>
      <c r="AC34" s="926"/>
      <c r="AD34" s="926"/>
      <c r="AE34" s="926"/>
      <c r="AF34" s="926"/>
      <c r="AG34" s="926"/>
      <c r="AH34" s="926"/>
      <c r="AI34" s="926"/>
    </row>
    <row r="35" spans="1:35" ht="15" customHeight="1" thickTop="1" thickBot="1" x14ac:dyDescent="0.35">
      <c r="A35" s="926"/>
      <c r="B35" s="609"/>
      <c r="C35" s="962"/>
      <c r="D35" s="40"/>
      <c r="E35" s="40"/>
      <c r="F35" s="40"/>
      <c r="G35" s="40"/>
      <c r="H35" s="40"/>
      <c r="I35" s="40"/>
      <c r="J35" s="40"/>
      <c r="K35" s="2360"/>
      <c r="L35" s="2361"/>
      <c r="M35" s="40"/>
      <c r="N35" s="40"/>
      <c r="O35" s="40"/>
      <c r="P35" s="40"/>
      <c r="Q35" s="40"/>
      <c r="R35" s="40"/>
      <c r="S35" s="40"/>
      <c r="T35" s="963"/>
      <c r="U35" s="609"/>
      <c r="V35" s="926"/>
      <c r="W35" s="926"/>
      <c r="X35" s="926"/>
      <c r="Y35" s="926"/>
      <c r="Z35" s="926"/>
      <c r="AA35" s="926"/>
      <c r="AB35" s="926"/>
      <c r="AC35" s="926"/>
      <c r="AD35" s="926"/>
      <c r="AE35" s="926"/>
      <c r="AF35" s="926"/>
      <c r="AG35" s="926"/>
      <c r="AH35" s="926"/>
      <c r="AI35" s="926"/>
    </row>
    <row r="36" spans="1:35" ht="15" customHeight="1" x14ac:dyDescent="0.3">
      <c r="A36" s="926"/>
      <c r="B36" s="609"/>
      <c r="C36" s="962"/>
      <c r="D36" s="40"/>
      <c r="E36" s="40"/>
      <c r="F36" s="40"/>
      <c r="G36" s="40"/>
      <c r="H36" s="40"/>
      <c r="I36" s="40"/>
      <c r="J36" s="40"/>
      <c r="K36" s="40"/>
      <c r="L36" s="40"/>
      <c r="M36" s="40"/>
      <c r="N36" s="40"/>
      <c r="O36" s="40"/>
      <c r="P36" s="40"/>
      <c r="Q36" s="40"/>
      <c r="R36" s="40"/>
      <c r="S36" s="40"/>
      <c r="T36" s="963"/>
      <c r="U36" s="609"/>
      <c r="V36" s="926"/>
      <c r="W36" s="926"/>
      <c r="X36" s="926"/>
      <c r="Y36" s="926"/>
      <c r="Z36" s="926"/>
      <c r="AA36" s="926"/>
      <c r="AB36" s="926"/>
      <c r="AC36" s="926"/>
      <c r="AD36" s="926"/>
      <c r="AE36" s="926"/>
      <c r="AF36" s="926"/>
      <c r="AG36" s="926"/>
      <c r="AH36" s="926"/>
      <c r="AI36" s="926"/>
    </row>
    <row r="37" spans="1:35" ht="15" customHeight="1" x14ac:dyDescent="0.3">
      <c r="A37" s="926"/>
      <c r="B37" s="609"/>
      <c r="C37" s="962"/>
      <c r="D37" s="2401" t="s">
        <v>28</v>
      </c>
      <c r="E37" s="2401"/>
      <c r="F37" s="2401"/>
      <c r="G37" s="2401"/>
      <c r="H37" s="2401"/>
      <c r="I37" s="2401"/>
      <c r="J37" s="2401"/>
      <c r="K37" s="2401"/>
      <c r="L37" s="2401"/>
      <c r="M37" s="2401"/>
      <c r="N37" s="2401"/>
      <c r="O37" s="2401"/>
      <c r="P37" s="2401"/>
      <c r="Q37" s="2401"/>
      <c r="R37" s="2401"/>
      <c r="S37" s="2401"/>
      <c r="T37" s="963"/>
      <c r="U37" s="609"/>
      <c r="V37" s="926"/>
      <c r="W37" s="926"/>
      <c r="X37" s="926"/>
      <c r="Y37" s="926"/>
      <c r="Z37" s="926"/>
      <c r="AA37" s="926"/>
      <c r="AB37" s="926"/>
      <c r="AC37" s="926"/>
      <c r="AD37" s="926"/>
      <c r="AE37" s="926"/>
      <c r="AF37" s="926"/>
      <c r="AG37" s="926"/>
      <c r="AH37" s="926"/>
      <c r="AI37" s="926"/>
    </row>
    <row r="38" spans="1:35" ht="15" customHeight="1" x14ac:dyDescent="0.3">
      <c r="A38" s="926"/>
      <c r="B38" s="609"/>
      <c r="C38" s="962"/>
      <c r="D38" s="2401"/>
      <c r="E38" s="2401"/>
      <c r="F38" s="2401"/>
      <c r="G38" s="2401"/>
      <c r="H38" s="2401"/>
      <c r="I38" s="2401"/>
      <c r="J38" s="2401"/>
      <c r="K38" s="2401"/>
      <c r="L38" s="2401"/>
      <c r="M38" s="2401"/>
      <c r="N38" s="2401"/>
      <c r="O38" s="2401"/>
      <c r="P38" s="2401"/>
      <c r="Q38" s="2401"/>
      <c r="R38" s="2401"/>
      <c r="S38" s="2401"/>
      <c r="T38" s="963"/>
      <c r="U38" s="609"/>
      <c r="V38" s="926"/>
      <c r="W38" s="926"/>
      <c r="X38" s="926"/>
      <c r="Y38" s="926"/>
      <c r="Z38" s="926"/>
      <c r="AA38" s="926"/>
      <c r="AB38" s="926"/>
      <c r="AC38" s="926"/>
      <c r="AD38" s="926"/>
      <c r="AE38" s="926"/>
      <c r="AF38" s="926"/>
      <c r="AG38" s="926"/>
      <c r="AH38" s="926"/>
      <c r="AI38" s="926"/>
    </row>
    <row r="39" spans="1:35" ht="15" customHeight="1" x14ac:dyDescent="0.3">
      <c r="A39" s="926"/>
      <c r="B39" s="609"/>
      <c r="C39" s="962"/>
      <c r="D39" s="2401"/>
      <c r="E39" s="2401"/>
      <c r="F39" s="2401"/>
      <c r="G39" s="2401"/>
      <c r="H39" s="2401"/>
      <c r="I39" s="2401"/>
      <c r="J39" s="2401"/>
      <c r="K39" s="2401"/>
      <c r="L39" s="2401"/>
      <c r="M39" s="2401"/>
      <c r="N39" s="2401"/>
      <c r="O39" s="2401"/>
      <c r="P39" s="2401"/>
      <c r="Q39" s="2401"/>
      <c r="R39" s="2401"/>
      <c r="S39" s="2401"/>
      <c r="T39" s="963"/>
      <c r="U39" s="609"/>
      <c r="V39" s="926"/>
      <c r="W39" s="926"/>
      <c r="X39" s="926"/>
      <c r="Y39" s="926"/>
      <c r="Z39" s="926"/>
      <c r="AA39" s="926"/>
      <c r="AB39" s="926"/>
      <c r="AC39" s="926"/>
      <c r="AD39" s="926"/>
      <c r="AE39" s="926"/>
      <c r="AF39" s="926"/>
      <c r="AG39" s="926"/>
      <c r="AH39" s="926"/>
      <c r="AI39" s="926"/>
    </row>
    <row r="40" spans="1:35" ht="15" customHeight="1" x14ac:dyDescent="0.3">
      <c r="A40" s="926"/>
      <c r="B40" s="609"/>
      <c r="C40" s="962"/>
      <c r="D40" s="2401"/>
      <c r="E40" s="2401"/>
      <c r="F40" s="2401"/>
      <c r="G40" s="2401"/>
      <c r="H40" s="2401"/>
      <c r="I40" s="2401"/>
      <c r="J40" s="2401"/>
      <c r="K40" s="2401"/>
      <c r="L40" s="2401"/>
      <c r="M40" s="2401"/>
      <c r="N40" s="2401"/>
      <c r="O40" s="2401"/>
      <c r="P40" s="2401"/>
      <c r="Q40" s="2401"/>
      <c r="R40" s="2401"/>
      <c r="S40" s="2401"/>
      <c r="T40" s="963"/>
      <c r="U40" s="609"/>
      <c r="V40" s="926"/>
      <c r="W40" s="926"/>
      <c r="X40" s="926"/>
      <c r="Y40" s="926"/>
      <c r="Z40" s="926"/>
      <c r="AA40" s="926"/>
      <c r="AB40" s="926"/>
      <c r="AC40" s="926"/>
      <c r="AD40" s="926"/>
      <c r="AE40" s="926"/>
      <c r="AF40" s="926"/>
      <c r="AG40" s="926"/>
      <c r="AH40" s="926"/>
      <c r="AI40" s="926"/>
    </row>
    <row r="41" spans="1:35" ht="15" customHeight="1" x14ac:dyDescent="0.3">
      <c r="A41" s="926"/>
      <c r="B41" s="609"/>
      <c r="C41" s="962"/>
      <c r="D41" s="2401"/>
      <c r="E41" s="2401"/>
      <c r="F41" s="2401"/>
      <c r="G41" s="2401"/>
      <c r="H41" s="2401"/>
      <c r="I41" s="2401"/>
      <c r="J41" s="2401"/>
      <c r="K41" s="2401"/>
      <c r="L41" s="2401"/>
      <c r="M41" s="2401"/>
      <c r="N41" s="2401"/>
      <c r="O41" s="2401"/>
      <c r="P41" s="2401"/>
      <c r="Q41" s="2401"/>
      <c r="R41" s="2401"/>
      <c r="S41" s="2401"/>
      <c r="T41" s="963"/>
      <c r="U41" s="609"/>
      <c r="V41" s="926"/>
      <c r="W41" s="926"/>
      <c r="X41" s="926"/>
      <c r="Y41" s="926"/>
      <c r="Z41" s="926"/>
      <c r="AA41" s="926"/>
      <c r="AB41" s="926"/>
      <c r="AC41" s="926"/>
      <c r="AD41" s="926"/>
      <c r="AE41" s="926"/>
      <c r="AF41" s="926"/>
      <c r="AG41" s="926"/>
      <c r="AH41" s="926"/>
      <c r="AI41" s="926"/>
    </row>
    <row r="42" spans="1:35" ht="15" customHeight="1" x14ac:dyDescent="0.3">
      <c r="A42" s="926"/>
      <c r="B42" s="609"/>
      <c r="C42" s="962"/>
      <c r="D42" s="2401"/>
      <c r="E42" s="2401"/>
      <c r="F42" s="2401"/>
      <c r="G42" s="2401"/>
      <c r="H42" s="2401"/>
      <c r="I42" s="2401"/>
      <c r="J42" s="2401"/>
      <c r="K42" s="2401"/>
      <c r="L42" s="2401"/>
      <c r="M42" s="2401"/>
      <c r="N42" s="2401"/>
      <c r="O42" s="2401"/>
      <c r="P42" s="2401"/>
      <c r="Q42" s="2401"/>
      <c r="R42" s="2401"/>
      <c r="S42" s="2401"/>
      <c r="T42" s="963"/>
      <c r="U42" s="609"/>
      <c r="V42" s="926"/>
      <c r="W42" s="926"/>
      <c r="X42" s="926"/>
      <c r="Y42" s="926"/>
      <c r="Z42" s="926"/>
      <c r="AA42" s="926"/>
      <c r="AB42" s="926"/>
      <c r="AC42" s="926"/>
      <c r="AD42" s="926"/>
      <c r="AE42" s="926"/>
      <c r="AF42" s="926"/>
      <c r="AG42" s="926"/>
      <c r="AH42" s="926"/>
      <c r="AI42" s="926"/>
    </row>
    <row r="43" spans="1:35" ht="15" customHeight="1" x14ac:dyDescent="0.3">
      <c r="A43" s="926"/>
      <c r="B43" s="609"/>
      <c r="C43" s="962"/>
      <c r="D43" s="40"/>
      <c r="E43" s="40"/>
      <c r="F43" s="40"/>
      <c r="G43" s="40"/>
      <c r="H43" s="40"/>
      <c r="I43" s="40"/>
      <c r="J43" s="40"/>
      <c r="K43" s="40"/>
      <c r="L43" s="40"/>
      <c r="M43" s="40"/>
      <c r="N43" s="40"/>
      <c r="O43" s="40"/>
      <c r="P43" s="40"/>
      <c r="Q43" s="40"/>
      <c r="R43" s="40"/>
      <c r="S43" s="40"/>
      <c r="T43" s="963"/>
      <c r="U43" s="609"/>
      <c r="V43" s="926"/>
      <c r="W43" s="926"/>
      <c r="X43" s="926"/>
      <c r="Y43" s="926"/>
      <c r="Z43" s="926"/>
      <c r="AA43" s="926"/>
      <c r="AB43" s="926"/>
      <c r="AC43" s="926"/>
      <c r="AD43" s="926"/>
      <c r="AE43" s="926"/>
      <c r="AF43" s="926"/>
      <c r="AG43" s="926"/>
      <c r="AH43" s="926"/>
      <c r="AI43" s="926"/>
    </row>
    <row r="44" spans="1:35" ht="15" customHeight="1" thickBot="1" x14ac:dyDescent="0.35">
      <c r="A44" s="926"/>
      <c r="B44" s="609"/>
      <c r="C44" s="962"/>
      <c r="D44" s="40"/>
      <c r="E44" s="40"/>
      <c r="F44" s="40"/>
      <c r="G44" s="40"/>
      <c r="H44" s="40"/>
      <c r="I44" s="40"/>
      <c r="J44" s="40"/>
      <c r="K44" s="40"/>
      <c r="L44" s="40"/>
      <c r="M44" s="40"/>
      <c r="N44" s="40"/>
      <c r="O44" s="40"/>
      <c r="P44" s="40"/>
      <c r="Q44" s="40"/>
      <c r="R44" s="40"/>
      <c r="S44" s="40"/>
      <c r="T44" s="963"/>
      <c r="U44" s="609"/>
      <c r="V44" s="926"/>
      <c r="W44" s="926"/>
      <c r="X44" s="926"/>
      <c r="Y44" s="926"/>
      <c r="Z44" s="926"/>
      <c r="AA44" s="926"/>
      <c r="AB44" s="926"/>
      <c r="AC44" s="926"/>
      <c r="AD44" s="926"/>
      <c r="AE44" s="926"/>
      <c r="AF44" s="926"/>
      <c r="AG44" s="926"/>
      <c r="AH44" s="926"/>
      <c r="AI44" s="926"/>
    </row>
    <row r="45" spans="1:35" ht="15" customHeight="1" thickTop="1" x14ac:dyDescent="0.3">
      <c r="A45" s="926"/>
      <c r="B45" s="609"/>
      <c r="C45" s="962"/>
      <c r="D45" s="40"/>
      <c r="E45" s="40"/>
      <c r="F45" s="40"/>
      <c r="G45" s="2376" t="s">
        <v>29</v>
      </c>
      <c r="H45" s="2377"/>
      <c r="I45" s="2377"/>
      <c r="J45" s="2377"/>
      <c r="K45" s="2377"/>
      <c r="L45" s="2377"/>
      <c r="M45" s="2377"/>
      <c r="N45" s="2377"/>
      <c r="O45" s="2377"/>
      <c r="P45" s="2378"/>
      <c r="Q45" s="40"/>
      <c r="R45" s="40"/>
      <c r="S45" s="40"/>
      <c r="T45" s="963"/>
      <c r="U45" s="609"/>
      <c r="V45" s="926"/>
      <c r="W45" s="926"/>
      <c r="X45" s="926"/>
      <c r="Y45" s="926"/>
      <c r="Z45" s="926"/>
      <c r="AA45" s="926"/>
      <c r="AB45" s="926"/>
      <c r="AC45" s="926"/>
      <c r="AD45" s="926"/>
      <c r="AE45" s="926"/>
      <c r="AF45" s="926"/>
      <c r="AG45" s="926"/>
      <c r="AH45" s="926"/>
      <c r="AI45" s="926"/>
    </row>
    <row r="46" spans="1:35" ht="15" customHeight="1" x14ac:dyDescent="0.3">
      <c r="A46" s="926"/>
      <c r="B46" s="609"/>
      <c r="C46" s="962"/>
      <c r="D46" s="40"/>
      <c r="E46" s="40"/>
      <c r="F46" s="40"/>
      <c r="G46" s="2379"/>
      <c r="H46" s="2380"/>
      <c r="I46" s="2380"/>
      <c r="J46" s="2380"/>
      <c r="K46" s="2380"/>
      <c r="L46" s="2380"/>
      <c r="M46" s="2380"/>
      <c r="N46" s="2380"/>
      <c r="O46" s="2380"/>
      <c r="P46" s="2381"/>
      <c r="Q46" s="40"/>
      <c r="R46" s="40"/>
      <c r="S46" s="40"/>
      <c r="T46" s="963"/>
      <c r="U46" s="609"/>
      <c r="V46" s="926"/>
      <c r="W46" s="926"/>
      <c r="X46" s="926"/>
      <c r="Y46" s="926"/>
      <c r="Z46" s="926"/>
      <c r="AA46" s="926"/>
      <c r="AB46" s="926"/>
      <c r="AC46" s="926"/>
      <c r="AD46" s="926"/>
      <c r="AE46" s="926"/>
      <c r="AF46" s="926"/>
      <c r="AG46" s="926"/>
      <c r="AH46" s="926"/>
      <c r="AI46" s="926"/>
    </row>
    <row r="47" spans="1:35" ht="15" customHeight="1" x14ac:dyDescent="0.3">
      <c r="A47" s="926"/>
      <c r="B47" s="609"/>
      <c r="C47" s="962"/>
      <c r="D47" s="40"/>
      <c r="E47" s="40"/>
      <c r="F47" s="40"/>
      <c r="G47" s="2379"/>
      <c r="H47" s="2380"/>
      <c r="I47" s="2380"/>
      <c r="J47" s="2380"/>
      <c r="K47" s="2380"/>
      <c r="L47" s="2380"/>
      <c r="M47" s="2380"/>
      <c r="N47" s="2380"/>
      <c r="O47" s="2380"/>
      <c r="P47" s="2381"/>
      <c r="Q47" s="40"/>
      <c r="R47" s="40"/>
      <c r="S47" s="40"/>
      <c r="T47" s="963"/>
      <c r="U47" s="609"/>
      <c r="V47" s="926"/>
      <c r="W47" s="926"/>
      <c r="X47" s="926"/>
      <c r="Y47" s="926"/>
      <c r="Z47" s="926"/>
      <c r="AA47" s="926"/>
      <c r="AB47" s="926"/>
      <c r="AC47" s="926"/>
      <c r="AD47" s="926"/>
      <c r="AE47" s="926"/>
      <c r="AF47" s="926"/>
      <c r="AG47" s="926"/>
      <c r="AH47" s="926"/>
      <c r="AI47" s="926"/>
    </row>
    <row r="48" spans="1:35" ht="15" customHeight="1" x14ac:dyDescent="0.3">
      <c r="A48" s="926"/>
      <c r="B48" s="609"/>
      <c r="C48" s="962"/>
      <c r="D48" s="40"/>
      <c r="E48" s="40"/>
      <c r="F48" s="40"/>
      <c r="G48" s="2379"/>
      <c r="H48" s="2380"/>
      <c r="I48" s="2380"/>
      <c r="J48" s="2380"/>
      <c r="K48" s="2380"/>
      <c r="L48" s="2380"/>
      <c r="M48" s="2380"/>
      <c r="N48" s="2380"/>
      <c r="O48" s="2380"/>
      <c r="P48" s="2381"/>
      <c r="Q48" s="40"/>
      <c r="R48" s="40"/>
      <c r="S48" s="40"/>
      <c r="T48" s="963"/>
      <c r="U48" s="609"/>
      <c r="V48" s="926"/>
      <c r="W48" s="926"/>
      <c r="X48" s="926"/>
      <c r="Y48" s="926"/>
      <c r="Z48" s="926"/>
      <c r="AA48" s="926"/>
      <c r="AB48" s="926"/>
      <c r="AC48" s="926"/>
      <c r="AD48" s="926"/>
      <c r="AE48" s="926"/>
      <c r="AF48" s="926"/>
      <c r="AG48" s="926"/>
      <c r="AH48" s="926"/>
      <c r="AI48" s="926"/>
    </row>
    <row r="49" spans="1:35" ht="15" customHeight="1" x14ac:dyDescent="0.3">
      <c r="A49" s="926"/>
      <c r="B49" s="609"/>
      <c r="C49" s="962"/>
      <c r="D49" s="40"/>
      <c r="E49" s="40"/>
      <c r="F49" s="40"/>
      <c r="G49" s="2379"/>
      <c r="H49" s="2380"/>
      <c r="I49" s="2380"/>
      <c r="J49" s="2380"/>
      <c r="K49" s="2380"/>
      <c r="L49" s="2380"/>
      <c r="M49" s="2380"/>
      <c r="N49" s="2380"/>
      <c r="O49" s="2380"/>
      <c r="P49" s="2381"/>
      <c r="Q49" s="40"/>
      <c r="R49" s="40"/>
      <c r="S49" s="40"/>
      <c r="T49" s="963"/>
      <c r="U49" s="609"/>
      <c r="V49" s="926"/>
      <c r="W49" s="926"/>
      <c r="X49" s="926"/>
      <c r="Y49" s="926"/>
      <c r="Z49" s="926"/>
      <c r="AA49" s="926"/>
      <c r="AB49" s="926"/>
      <c r="AC49" s="926"/>
      <c r="AD49" s="926"/>
      <c r="AE49" s="926"/>
      <c r="AF49" s="926"/>
      <c r="AG49" s="926"/>
      <c r="AH49" s="926"/>
      <c r="AI49" s="926"/>
    </row>
    <row r="50" spans="1:35" ht="15" customHeight="1" thickBot="1" x14ac:dyDescent="0.35">
      <c r="A50" s="926"/>
      <c r="B50" s="609"/>
      <c r="C50" s="962"/>
      <c r="D50" s="40"/>
      <c r="E50" s="40"/>
      <c r="F50" s="40"/>
      <c r="G50" s="2382"/>
      <c r="H50" s="2383"/>
      <c r="I50" s="2383"/>
      <c r="J50" s="2383"/>
      <c r="K50" s="2383"/>
      <c r="L50" s="2383"/>
      <c r="M50" s="2383"/>
      <c r="N50" s="2383"/>
      <c r="O50" s="2383"/>
      <c r="P50" s="2384"/>
      <c r="Q50" s="40"/>
      <c r="R50" s="40"/>
      <c r="S50" s="40"/>
      <c r="T50" s="963"/>
      <c r="U50" s="609"/>
      <c r="V50" s="926"/>
      <c r="W50" s="926"/>
      <c r="X50" s="926"/>
      <c r="Y50" s="926"/>
      <c r="Z50" s="926"/>
      <c r="AA50" s="926"/>
      <c r="AB50" s="926"/>
      <c r="AC50" s="926"/>
      <c r="AD50" s="926"/>
      <c r="AE50" s="926"/>
      <c r="AF50" s="926"/>
      <c r="AG50" s="926"/>
      <c r="AH50" s="926"/>
      <c r="AI50" s="926"/>
    </row>
    <row r="51" spans="1:35" ht="15" customHeight="1" thickTop="1" x14ac:dyDescent="0.3">
      <c r="A51" s="926"/>
      <c r="B51" s="609"/>
      <c r="C51" s="962"/>
      <c r="D51" s="40"/>
      <c r="E51" s="40"/>
      <c r="F51" s="40"/>
      <c r="G51" s="40"/>
      <c r="H51" s="40"/>
      <c r="I51" s="40"/>
      <c r="J51" s="40"/>
      <c r="K51" s="40"/>
      <c r="L51" s="40"/>
      <c r="M51" s="40"/>
      <c r="N51" s="40"/>
      <c r="O51" s="40"/>
      <c r="P51" s="40"/>
      <c r="Q51" s="40"/>
      <c r="R51" s="40"/>
      <c r="S51" s="40"/>
      <c r="T51" s="963"/>
      <c r="U51" s="609"/>
      <c r="V51" s="926"/>
      <c r="W51" s="926"/>
      <c r="X51" s="926"/>
      <c r="Y51" s="926"/>
      <c r="Z51" s="926"/>
      <c r="AA51" s="926"/>
      <c r="AB51" s="926"/>
      <c r="AC51" s="926"/>
      <c r="AD51" s="926"/>
      <c r="AE51" s="926"/>
      <c r="AF51" s="926"/>
      <c r="AG51" s="926"/>
      <c r="AH51" s="926"/>
      <c r="AI51" s="926"/>
    </row>
    <row r="52" spans="1:35" ht="15" customHeight="1" x14ac:dyDescent="0.3">
      <c r="A52" s="926"/>
      <c r="B52" s="609"/>
      <c r="C52" s="962"/>
      <c r="D52" s="40"/>
      <c r="E52" s="40"/>
      <c r="F52" s="40"/>
      <c r="G52" s="40"/>
      <c r="H52" s="40"/>
      <c r="I52" s="40"/>
      <c r="J52" s="40"/>
      <c r="K52" s="40"/>
      <c r="L52" s="40"/>
      <c r="M52" s="40"/>
      <c r="N52" s="40"/>
      <c r="O52" s="40"/>
      <c r="P52" s="40"/>
      <c r="Q52" s="40"/>
      <c r="R52" s="40"/>
      <c r="S52" s="40"/>
      <c r="T52" s="963"/>
      <c r="U52" s="609"/>
      <c r="V52" s="926"/>
      <c r="W52" s="926"/>
      <c r="X52" s="926"/>
      <c r="Y52" s="926"/>
      <c r="Z52" s="926"/>
      <c r="AA52" s="926"/>
      <c r="AB52" s="926"/>
      <c r="AC52" s="926"/>
      <c r="AD52" s="926"/>
      <c r="AE52" s="926"/>
      <c r="AF52" s="926"/>
      <c r="AG52" s="926"/>
      <c r="AH52" s="926"/>
      <c r="AI52" s="926"/>
    </row>
    <row r="53" spans="1:35" ht="15" customHeight="1" x14ac:dyDescent="0.3">
      <c r="A53" s="926"/>
      <c r="B53" s="609"/>
      <c r="C53" s="962"/>
      <c r="D53" s="40"/>
      <c r="E53" s="2402" t="s">
        <v>30</v>
      </c>
      <c r="F53" s="2402"/>
      <c r="G53" s="2402"/>
      <c r="H53" s="2402"/>
      <c r="I53" s="2402"/>
      <c r="J53" s="2402"/>
      <c r="K53" s="2402"/>
      <c r="L53" s="2402"/>
      <c r="M53" s="2402"/>
      <c r="N53" s="2402"/>
      <c r="O53" s="2402"/>
      <c r="P53" s="2402"/>
      <c r="Q53" s="2402"/>
      <c r="R53" s="2402"/>
      <c r="S53" s="40"/>
      <c r="T53" s="963"/>
      <c r="U53" s="609"/>
      <c r="V53" s="926"/>
      <c r="W53" s="926"/>
      <c r="X53" s="926"/>
      <c r="Y53" s="926"/>
      <c r="Z53" s="926"/>
      <c r="AA53" s="926"/>
      <c r="AB53" s="926"/>
      <c r="AC53" s="926"/>
      <c r="AD53" s="926"/>
      <c r="AE53" s="926"/>
      <c r="AF53" s="926"/>
      <c r="AG53" s="926"/>
      <c r="AH53" s="926"/>
      <c r="AI53" s="926"/>
    </row>
    <row r="54" spans="1:35" ht="15" customHeight="1" x14ac:dyDescent="0.3">
      <c r="A54" s="926"/>
      <c r="B54" s="609"/>
      <c r="C54" s="962"/>
      <c r="D54" s="40"/>
      <c r="E54" s="2402"/>
      <c r="F54" s="2402"/>
      <c r="G54" s="2402"/>
      <c r="H54" s="2402"/>
      <c r="I54" s="2402"/>
      <c r="J54" s="2402"/>
      <c r="K54" s="2402"/>
      <c r="L54" s="2402"/>
      <c r="M54" s="2402"/>
      <c r="N54" s="2402"/>
      <c r="O54" s="2402"/>
      <c r="P54" s="2402"/>
      <c r="Q54" s="2402"/>
      <c r="R54" s="2402"/>
      <c r="S54" s="40"/>
      <c r="T54" s="963"/>
      <c r="U54" s="609"/>
      <c r="V54" s="926"/>
      <c r="W54" s="926"/>
      <c r="X54" s="926"/>
      <c r="Y54" s="926"/>
      <c r="Z54" s="926"/>
      <c r="AA54" s="926"/>
      <c r="AB54" s="926"/>
      <c r="AC54" s="926"/>
      <c r="AD54" s="926"/>
      <c r="AE54" s="926"/>
      <c r="AF54" s="926"/>
      <c r="AG54" s="926"/>
      <c r="AH54" s="926"/>
      <c r="AI54" s="926"/>
    </row>
    <row r="55" spans="1:35" ht="15" customHeight="1" x14ac:dyDescent="0.3">
      <c r="A55" s="926"/>
      <c r="B55" s="609"/>
      <c r="C55" s="962"/>
      <c r="D55" s="40"/>
      <c r="E55" s="2402"/>
      <c r="F55" s="2402"/>
      <c r="G55" s="2402"/>
      <c r="H55" s="2402"/>
      <c r="I55" s="2402"/>
      <c r="J55" s="2402"/>
      <c r="K55" s="2402"/>
      <c r="L55" s="2402"/>
      <c r="M55" s="2402"/>
      <c r="N55" s="2402"/>
      <c r="O55" s="2402"/>
      <c r="P55" s="2402"/>
      <c r="Q55" s="2402"/>
      <c r="R55" s="2402"/>
      <c r="S55" s="40"/>
      <c r="T55" s="963"/>
      <c r="U55" s="609"/>
      <c r="V55" s="926"/>
      <c r="W55" s="926"/>
      <c r="X55" s="926"/>
      <c r="Y55" s="926"/>
      <c r="Z55" s="926"/>
      <c r="AA55" s="926"/>
      <c r="AB55" s="926"/>
      <c r="AC55" s="926"/>
      <c r="AD55" s="926"/>
      <c r="AE55" s="926"/>
      <c r="AF55" s="926"/>
      <c r="AG55" s="926"/>
      <c r="AH55" s="926"/>
      <c r="AI55" s="926"/>
    </row>
    <row r="56" spans="1:35" ht="15" customHeight="1" x14ac:dyDescent="0.3">
      <c r="A56" s="926"/>
      <c r="B56" s="609"/>
      <c r="C56" s="962"/>
      <c r="D56" s="40"/>
      <c r="E56" s="2402"/>
      <c r="F56" s="2402"/>
      <c r="G56" s="2402"/>
      <c r="H56" s="2402"/>
      <c r="I56" s="2402"/>
      <c r="J56" s="2402"/>
      <c r="K56" s="2402"/>
      <c r="L56" s="2402"/>
      <c r="M56" s="2402"/>
      <c r="N56" s="2402"/>
      <c r="O56" s="2402"/>
      <c r="P56" s="2402"/>
      <c r="Q56" s="2402"/>
      <c r="R56" s="2402"/>
      <c r="S56" s="40"/>
      <c r="T56" s="963"/>
      <c r="U56" s="609"/>
      <c r="V56" s="926"/>
      <c r="W56" s="926"/>
      <c r="X56" s="926"/>
      <c r="Y56" s="926"/>
      <c r="Z56" s="926"/>
      <c r="AA56" s="926"/>
      <c r="AB56" s="926"/>
      <c r="AC56" s="926"/>
      <c r="AD56" s="926"/>
      <c r="AE56" s="926"/>
      <c r="AF56" s="926"/>
      <c r="AG56" s="926"/>
      <c r="AH56" s="926"/>
      <c r="AI56" s="926"/>
    </row>
    <row r="57" spans="1:35" ht="15" customHeight="1" x14ac:dyDescent="0.3">
      <c r="A57" s="926"/>
      <c r="B57" s="609"/>
      <c r="C57" s="962"/>
      <c r="D57" s="40"/>
      <c r="E57" s="2403" t="s">
        <v>31</v>
      </c>
      <c r="F57" s="2403"/>
      <c r="G57" s="2403"/>
      <c r="H57" s="2403"/>
      <c r="I57" s="2403"/>
      <c r="J57" s="2403"/>
      <c r="K57" s="2403" t="s">
        <v>32</v>
      </c>
      <c r="L57" s="2403"/>
      <c r="M57" s="2403"/>
      <c r="N57" s="2403"/>
      <c r="O57" s="2403"/>
      <c r="P57" s="2403"/>
      <c r="Q57" s="2403"/>
      <c r="R57" s="2403"/>
      <c r="S57" s="40"/>
      <c r="T57" s="963"/>
      <c r="U57" s="609"/>
      <c r="V57" s="926"/>
      <c r="W57" s="926"/>
      <c r="X57" s="926"/>
      <c r="Y57" s="926"/>
      <c r="Z57" s="926"/>
      <c r="AA57" s="926"/>
      <c r="AB57" s="926"/>
      <c r="AC57" s="926"/>
      <c r="AD57" s="926"/>
      <c r="AE57" s="926"/>
      <c r="AF57" s="926"/>
      <c r="AG57" s="926"/>
      <c r="AH57" s="926"/>
      <c r="AI57" s="926"/>
    </row>
    <row r="58" spans="1:35" ht="15" customHeight="1" x14ac:dyDescent="0.3">
      <c r="A58" s="926"/>
      <c r="B58" s="609"/>
      <c r="C58" s="962"/>
      <c r="D58" s="40"/>
      <c r="E58" s="2400" t="s">
        <v>33</v>
      </c>
      <c r="F58" s="2400"/>
      <c r="G58" s="2400"/>
      <c r="H58" s="2400"/>
      <c r="I58" s="2400"/>
      <c r="J58" s="2400"/>
      <c r="K58" s="2389" t="s">
        <v>34</v>
      </c>
      <c r="L58" s="2389"/>
      <c r="M58" s="2389"/>
      <c r="N58" s="2389"/>
      <c r="O58" s="2389"/>
      <c r="P58" s="2389"/>
      <c r="Q58" s="2389"/>
      <c r="R58" s="2390"/>
      <c r="S58" s="40"/>
      <c r="T58" s="963"/>
      <c r="U58" s="609"/>
      <c r="V58" s="926"/>
      <c r="W58" s="926"/>
      <c r="X58" s="926"/>
      <c r="Y58" s="926"/>
      <c r="Z58" s="926"/>
      <c r="AA58" s="926"/>
      <c r="AB58" s="926"/>
      <c r="AC58" s="926"/>
      <c r="AD58" s="926"/>
      <c r="AE58" s="926"/>
      <c r="AF58" s="926"/>
      <c r="AG58" s="926"/>
      <c r="AH58" s="926"/>
      <c r="AI58" s="926"/>
    </row>
    <row r="59" spans="1:35" ht="15" customHeight="1" x14ac:dyDescent="0.3">
      <c r="A59" s="926"/>
      <c r="B59" s="609"/>
      <c r="C59" s="962"/>
      <c r="D59" s="40"/>
      <c r="E59" s="2400"/>
      <c r="F59" s="2400"/>
      <c r="G59" s="2400"/>
      <c r="H59" s="2400"/>
      <c r="I59" s="2400"/>
      <c r="J59" s="2400"/>
      <c r="K59" s="2391"/>
      <c r="L59" s="2391"/>
      <c r="M59" s="2391"/>
      <c r="N59" s="2391"/>
      <c r="O59" s="2391"/>
      <c r="P59" s="2391"/>
      <c r="Q59" s="2391"/>
      <c r="R59" s="2392"/>
      <c r="S59" s="40"/>
      <c r="T59" s="963"/>
      <c r="U59" s="609"/>
      <c r="V59" s="926"/>
      <c r="W59" s="926"/>
      <c r="X59" s="926"/>
      <c r="Y59" s="926"/>
      <c r="Z59" s="926"/>
      <c r="AA59" s="926"/>
      <c r="AB59" s="926"/>
      <c r="AC59" s="926"/>
      <c r="AD59" s="926"/>
      <c r="AE59" s="926"/>
      <c r="AF59" s="926"/>
      <c r="AG59" s="926"/>
      <c r="AH59" s="926"/>
      <c r="AI59" s="926"/>
    </row>
    <row r="60" spans="1:35" ht="15" customHeight="1" x14ac:dyDescent="0.3">
      <c r="A60" s="926"/>
      <c r="B60" s="609"/>
      <c r="C60" s="962"/>
      <c r="D60" s="40"/>
      <c r="E60" s="2400"/>
      <c r="F60" s="2400"/>
      <c r="G60" s="2400"/>
      <c r="H60" s="2400"/>
      <c r="I60" s="2400"/>
      <c r="J60" s="2400"/>
      <c r="K60" s="2391"/>
      <c r="L60" s="2391"/>
      <c r="M60" s="2391"/>
      <c r="N60" s="2391"/>
      <c r="O60" s="2391"/>
      <c r="P60" s="2391"/>
      <c r="Q60" s="2391"/>
      <c r="R60" s="2392"/>
      <c r="S60" s="40"/>
      <c r="T60" s="963"/>
      <c r="U60" s="609"/>
      <c r="V60" s="926"/>
      <c r="W60" s="926"/>
      <c r="X60" s="926"/>
      <c r="Y60" s="926"/>
      <c r="Z60" s="926"/>
      <c r="AA60" s="926"/>
      <c r="AB60" s="926"/>
      <c r="AC60" s="926"/>
      <c r="AD60" s="926"/>
      <c r="AE60" s="926"/>
      <c r="AF60" s="926"/>
      <c r="AG60" s="926"/>
      <c r="AH60" s="926"/>
      <c r="AI60" s="926"/>
    </row>
    <row r="61" spans="1:35" ht="15" customHeight="1" x14ac:dyDescent="0.3">
      <c r="A61" s="926"/>
      <c r="B61" s="609"/>
      <c r="C61" s="962"/>
      <c r="D61" s="40"/>
      <c r="E61" s="2400"/>
      <c r="F61" s="2400"/>
      <c r="G61" s="2400"/>
      <c r="H61" s="2400"/>
      <c r="I61" s="2400"/>
      <c r="J61" s="2400"/>
      <c r="K61" s="2393"/>
      <c r="L61" s="2393"/>
      <c r="M61" s="2393"/>
      <c r="N61" s="2393"/>
      <c r="O61" s="2393"/>
      <c r="P61" s="2393"/>
      <c r="Q61" s="2393"/>
      <c r="R61" s="2394"/>
      <c r="S61" s="40"/>
      <c r="T61" s="963"/>
      <c r="U61" s="609"/>
      <c r="V61" s="926"/>
      <c r="W61" s="926"/>
      <c r="X61" s="926"/>
      <c r="Y61" s="926"/>
      <c r="Z61" s="926"/>
      <c r="AA61" s="926"/>
      <c r="AB61" s="926"/>
      <c r="AC61" s="926"/>
      <c r="AD61" s="926"/>
      <c r="AE61" s="926"/>
      <c r="AF61" s="926"/>
      <c r="AG61" s="926"/>
      <c r="AH61" s="926"/>
      <c r="AI61" s="926"/>
    </row>
    <row r="62" spans="1:35" ht="15" customHeight="1" x14ac:dyDescent="0.3">
      <c r="A62" s="926"/>
      <c r="B62" s="609"/>
      <c r="C62" s="962"/>
      <c r="D62" s="40"/>
      <c r="E62" s="40"/>
      <c r="F62" s="40"/>
      <c r="G62" s="40"/>
      <c r="H62" s="40"/>
      <c r="I62" s="40"/>
      <c r="J62" s="40"/>
      <c r="K62" s="40"/>
      <c r="L62" s="40"/>
      <c r="M62" s="40"/>
      <c r="N62" s="40"/>
      <c r="O62" s="40"/>
      <c r="P62" s="40"/>
      <c r="Q62" s="40"/>
      <c r="R62" s="40"/>
      <c r="S62" s="40"/>
      <c r="T62" s="963"/>
      <c r="U62" s="609"/>
      <c r="V62" s="926"/>
      <c r="W62" s="926"/>
      <c r="X62" s="926"/>
      <c r="Y62" s="926"/>
      <c r="Z62" s="926"/>
      <c r="AA62" s="926"/>
      <c r="AB62" s="926"/>
      <c r="AC62" s="926"/>
      <c r="AD62" s="926"/>
      <c r="AE62" s="926"/>
      <c r="AF62" s="926"/>
      <c r="AG62" s="926"/>
      <c r="AH62" s="926"/>
      <c r="AI62" s="926"/>
    </row>
    <row r="63" spans="1:35" ht="15" customHeight="1" thickBot="1" x14ac:dyDescent="0.35">
      <c r="A63" s="926"/>
      <c r="B63" s="609"/>
      <c r="C63" s="962"/>
      <c r="D63" s="40"/>
      <c r="E63" s="40"/>
      <c r="F63" s="40"/>
      <c r="G63" s="40"/>
      <c r="H63" s="40"/>
      <c r="I63" s="40"/>
      <c r="J63" s="40"/>
      <c r="K63" s="40"/>
      <c r="L63" s="40"/>
      <c r="M63" s="40"/>
      <c r="N63" s="40"/>
      <c r="O63" s="40"/>
      <c r="P63" s="40"/>
      <c r="Q63" s="40"/>
      <c r="R63" s="40"/>
      <c r="S63" s="40"/>
      <c r="T63" s="963"/>
      <c r="U63" s="609"/>
      <c r="V63" s="926"/>
      <c r="W63" s="926"/>
      <c r="X63" s="926"/>
      <c r="Y63" s="926"/>
      <c r="Z63" s="926"/>
      <c r="AA63" s="926"/>
      <c r="AB63" s="926"/>
      <c r="AC63" s="926"/>
      <c r="AD63" s="926"/>
      <c r="AE63" s="926"/>
      <c r="AF63" s="926"/>
      <c r="AG63" s="926"/>
      <c r="AH63" s="926"/>
      <c r="AI63" s="926"/>
    </row>
    <row r="64" spans="1:35" ht="15" customHeight="1" thickTop="1" x14ac:dyDescent="0.3">
      <c r="A64" s="926"/>
      <c r="B64" s="609"/>
      <c r="C64" s="962"/>
      <c r="D64" s="40"/>
      <c r="E64" s="40"/>
      <c r="F64" s="40"/>
      <c r="G64" s="2376" t="s">
        <v>35</v>
      </c>
      <c r="H64" s="2377"/>
      <c r="I64" s="2377"/>
      <c r="J64" s="2377"/>
      <c r="K64" s="2377"/>
      <c r="L64" s="2377"/>
      <c r="M64" s="2377"/>
      <c r="N64" s="2377"/>
      <c r="O64" s="2377"/>
      <c r="P64" s="2378"/>
      <c r="Q64" s="40"/>
      <c r="R64" s="40"/>
      <c r="S64" s="40"/>
      <c r="T64" s="963"/>
      <c r="U64" s="609"/>
      <c r="V64" s="926"/>
      <c r="W64" s="926"/>
      <c r="X64" s="926"/>
      <c r="Y64" s="926"/>
      <c r="Z64" s="926"/>
      <c r="AA64" s="926"/>
      <c r="AB64" s="926"/>
      <c r="AC64" s="926"/>
      <c r="AD64" s="926"/>
      <c r="AE64" s="926"/>
      <c r="AF64" s="926"/>
      <c r="AG64" s="926"/>
      <c r="AH64" s="926"/>
      <c r="AI64" s="926"/>
    </row>
    <row r="65" spans="1:35" ht="15" customHeight="1" x14ac:dyDescent="0.3">
      <c r="A65" s="926"/>
      <c r="B65" s="609"/>
      <c r="C65" s="962"/>
      <c r="D65" s="40"/>
      <c r="E65" s="40"/>
      <c r="F65" s="40"/>
      <c r="G65" s="2379"/>
      <c r="H65" s="2380"/>
      <c r="I65" s="2380"/>
      <c r="J65" s="2380"/>
      <c r="K65" s="2380"/>
      <c r="L65" s="2380"/>
      <c r="M65" s="2380"/>
      <c r="N65" s="2380"/>
      <c r="O65" s="2380"/>
      <c r="P65" s="2381"/>
      <c r="Q65" s="40"/>
      <c r="R65" s="40"/>
      <c r="S65" s="40"/>
      <c r="T65" s="963"/>
      <c r="U65" s="609"/>
      <c r="V65" s="926"/>
      <c r="W65" s="926"/>
      <c r="X65" s="926"/>
      <c r="Y65" s="926"/>
      <c r="Z65" s="926"/>
      <c r="AA65" s="926"/>
      <c r="AB65" s="926"/>
      <c r="AC65" s="926"/>
      <c r="AD65" s="926"/>
      <c r="AE65" s="926"/>
      <c r="AF65" s="926"/>
      <c r="AG65" s="926"/>
      <c r="AH65" s="926"/>
      <c r="AI65" s="926"/>
    </row>
    <row r="66" spans="1:35" ht="15" customHeight="1" x14ac:dyDescent="0.3">
      <c r="A66" s="926"/>
      <c r="B66" s="609"/>
      <c r="C66" s="962"/>
      <c r="D66" s="40"/>
      <c r="E66" s="40"/>
      <c r="F66" s="40"/>
      <c r="G66" s="2379"/>
      <c r="H66" s="2380"/>
      <c r="I66" s="2380"/>
      <c r="J66" s="2380"/>
      <c r="K66" s="2380"/>
      <c r="L66" s="2380"/>
      <c r="M66" s="2380"/>
      <c r="N66" s="2380"/>
      <c r="O66" s="2380"/>
      <c r="P66" s="2381"/>
      <c r="Q66" s="40"/>
      <c r="R66" s="40"/>
      <c r="S66" s="40"/>
      <c r="T66" s="963"/>
      <c r="U66" s="609"/>
      <c r="V66" s="926"/>
      <c r="W66" s="926"/>
      <c r="X66" s="926"/>
      <c r="Y66" s="926"/>
      <c r="Z66" s="926"/>
      <c r="AA66" s="926"/>
      <c r="AB66" s="926"/>
      <c r="AC66" s="926"/>
      <c r="AD66" s="926"/>
      <c r="AE66" s="926"/>
      <c r="AF66" s="926"/>
      <c r="AG66" s="926"/>
      <c r="AH66" s="926"/>
      <c r="AI66" s="926"/>
    </row>
    <row r="67" spans="1:35" ht="15" customHeight="1" x14ac:dyDescent="0.3">
      <c r="A67" s="926"/>
      <c r="B67" s="609"/>
      <c r="C67" s="962"/>
      <c r="D67" s="40"/>
      <c r="E67" s="40"/>
      <c r="F67" s="40"/>
      <c r="G67" s="2379"/>
      <c r="H67" s="2380"/>
      <c r="I67" s="2380"/>
      <c r="J67" s="2380"/>
      <c r="K67" s="2380"/>
      <c r="L67" s="2380"/>
      <c r="M67" s="2380"/>
      <c r="N67" s="2380"/>
      <c r="O67" s="2380"/>
      <c r="P67" s="2381"/>
      <c r="Q67" s="40"/>
      <c r="R67" s="40"/>
      <c r="S67" s="40"/>
      <c r="T67" s="963"/>
      <c r="U67" s="609"/>
      <c r="V67" s="926"/>
      <c r="W67" s="926"/>
      <c r="X67" s="926"/>
      <c r="Y67" s="926"/>
      <c r="Z67" s="926"/>
      <c r="AA67" s="926"/>
      <c r="AB67" s="926"/>
      <c r="AC67" s="926"/>
      <c r="AD67" s="926"/>
      <c r="AE67" s="926"/>
      <c r="AF67" s="926"/>
      <c r="AG67" s="926"/>
      <c r="AH67" s="926"/>
      <c r="AI67" s="926"/>
    </row>
    <row r="68" spans="1:35" ht="15" customHeight="1" x14ac:dyDescent="0.3">
      <c r="A68" s="926"/>
      <c r="B68" s="609"/>
      <c r="C68" s="962"/>
      <c r="D68" s="40"/>
      <c r="E68" s="40"/>
      <c r="F68" s="40"/>
      <c r="G68" s="2379"/>
      <c r="H68" s="2380"/>
      <c r="I68" s="2380"/>
      <c r="J68" s="2380"/>
      <c r="K68" s="2380"/>
      <c r="L68" s="2380"/>
      <c r="M68" s="2380"/>
      <c r="N68" s="2380"/>
      <c r="O68" s="2380"/>
      <c r="P68" s="2381"/>
      <c r="Q68" s="40"/>
      <c r="R68" s="40"/>
      <c r="S68" s="40"/>
      <c r="T68" s="963"/>
      <c r="U68" s="609"/>
      <c r="V68" s="926"/>
      <c r="W68" s="926"/>
      <c r="X68" s="926"/>
      <c r="Y68" s="926"/>
      <c r="Z68" s="926"/>
      <c r="AA68" s="926"/>
      <c r="AB68" s="926"/>
      <c r="AC68" s="926"/>
      <c r="AD68" s="926"/>
      <c r="AE68" s="926"/>
      <c r="AF68" s="926"/>
      <c r="AG68" s="926"/>
      <c r="AH68" s="926"/>
      <c r="AI68" s="926"/>
    </row>
    <row r="69" spans="1:35" ht="15" customHeight="1" x14ac:dyDescent="0.3">
      <c r="A69" s="926"/>
      <c r="B69" s="609"/>
      <c r="C69" s="962"/>
      <c r="D69" s="40"/>
      <c r="E69" s="40"/>
      <c r="F69" s="40"/>
      <c r="G69" s="2379"/>
      <c r="H69" s="2380"/>
      <c r="I69" s="2380"/>
      <c r="J69" s="2380"/>
      <c r="K69" s="2380"/>
      <c r="L69" s="2380"/>
      <c r="M69" s="2380"/>
      <c r="N69" s="2380"/>
      <c r="O69" s="2380"/>
      <c r="P69" s="2381"/>
      <c r="Q69" s="40"/>
      <c r="R69" s="40"/>
      <c r="S69" s="40"/>
      <c r="T69" s="963"/>
      <c r="U69" s="609"/>
      <c r="V69" s="926"/>
      <c r="W69" s="926"/>
      <c r="X69" s="926"/>
      <c r="Y69" s="926"/>
      <c r="Z69" s="926"/>
      <c r="AA69" s="926"/>
      <c r="AB69" s="926"/>
      <c r="AC69" s="926"/>
      <c r="AD69" s="926"/>
      <c r="AE69" s="926"/>
      <c r="AF69" s="926"/>
      <c r="AG69" s="926"/>
      <c r="AH69" s="926"/>
      <c r="AI69" s="926"/>
    </row>
    <row r="70" spans="1:35" ht="15" customHeight="1" x14ac:dyDescent="0.3">
      <c r="A70" s="926"/>
      <c r="B70" s="609"/>
      <c r="C70" s="962"/>
      <c r="D70" s="40"/>
      <c r="E70" s="40"/>
      <c r="F70" s="40"/>
      <c r="G70" s="2379"/>
      <c r="H70" s="2380"/>
      <c r="I70" s="2380"/>
      <c r="J70" s="2380"/>
      <c r="K70" s="2380"/>
      <c r="L70" s="2380"/>
      <c r="M70" s="2380"/>
      <c r="N70" s="2380"/>
      <c r="O70" s="2380"/>
      <c r="P70" s="2381"/>
      <c r="Q70" s="40"/>
      <c r="R70" s="40"/>
      <c r="S70" s="40"/>
      <c r="T70" s="963"/>
      <c r="U70" s="609"/>
      <c r="V70" s="926"/>
      <c r="W70" s="926"/>
      <c r="X70" s="926"/>
      <c r="Y70" s="926"/>
      <c r="Z70" s="926"/>
      <c r="AA70" s="926"/>
      <c r="AB70" s="926"/>
      <c r="AC70" s="926"/>
      <c r="AD70" s="926"/>
      <c r="AE70" s="926"/>
      <c r="AF70" s="926"/>
      <c r="AG70" s="926"/>
      <c r="AH70" s="926"/>
      <c r="AI70" s="926"/>
    </row>
    <row r="71" spans="1:35" ht="15" customHeight="1" x14ac:dyDescent="0.3">
      <c r="A71" s="926"/>
      <c r="B71" s="609"/>
      <c r="C71" s="962"/>
      <c r="D71" s="40"/>
      <c r="E71" s="40"/>
      <c r="F71" s="40"/>
      <c r="G71" s="2379"/>
      <c r="H71" s="2380"/>
      <c r="I71" s="2380"/>
      <c r="J71" s="2380"/>
      <c r="K71" s="2380"/>
      <c r="L71" s="2380"/>
      <c r="M71" s="2380"/>
      <c r="N71" s="2380"/>
      <c r="O71" s="2380"/>
      <c r="P71" s="2381"/>
      <c r="Q71" s="40"/>
      <c r="R71" s="40"/>
      <c r="S71" s="40"/>
      <c r="T71" s="963"/>
      <c r="U71" s="609"/>
      <c r="V71" s="926"/>
      <c r="W71" s="926"/>
      <c r="X71" s="926"/>
      <c r="Y71" s="926"/>
      <c r="Z71" s="926"/>
      <c r="AA71" s="926"/>
      <c r="AB71" s="926"/>
      <c r="AC71" s="926"/>
      <c r="AD71" s="926"/>
      <c r="AE71" s="926"/>
      <c r="AF71" s="926"/>
      <c r="AG71" s="926"/>
      <c r="AH71" s="926"/>
      <c r="AI71" s="926"/>
    </row>
    <row r="72" spans="1:35" ht="15" customHeight="1" thickBot="1" x14ac:dyDescent="0.35">
      <c r="A72" s="926"/>
      <c r="B72" s="609"/>
      <c r="C72" s="962"/>
      <c r="D72" s="40"/>
      <c r="E72" s="40"/>
      <c r="F72" s="40"/>
      <c r="G72" s="2382"/>
      <c r="H72" s="2383"/>
      <c r="I72" s="2383"/>
      <c r="J72" s="2383"/>
      <c r="K72" s="2383"/>
      <c r="L72" s="2383"/>
      <c r="M72" s="2383"/>
      <c r="N72" s="2383"/>
      <c r="O72" s="2383"/>
      <c r="P72" s="2384"/>
      <c r="Q72" s="40"/>
      <c r="R72" s="40"/>
      <c r="S72" s="40"/>
      <c r="T72" s="963"/>
      <c r="U72" s="609"/>
      <c r="V72" s="926"/>
      <c r="W72" s="926"/>
      <c r="X72" s="926"/>
      <c r="Y72" s="926"/>
      <c r="Z72" s="926"/>
      <c r="AA72" s="926"/>
      <c r="AB72" s="926"/>
      <c r="AC72" s="926"/>
      <c r="AD72" s="926"/>
      <c r="AE72" s="926"/>
      <c r="AF72" s="926"/>
      <c r="AG72" s="926"/>
      <c r="AH72" s="926"/>
      <c r="AI72" s="926"/>
    </row>
    <row r="73" spans="1:35" ht="15" customHeight="1" thickTop="1" x14ac:dyDescent="0.3">
      <c r="A73" s="926"/>
      <c r="B73" s="609"/>
      <c r="C73" s="962"/>
      <c r="D73" s="40"/>
      <c r="E73" s="40"/>
      <c r="F73" s="40"/>
      <c r="G73" s="40"/>
      <c r="H73" s="40"/>
      <c r="I73" s="40"/>
      <c r="J73" s="40"/>
      <c r="K73" s="40"/>
      <c r="L73" s="40"/>
      <c r="M73" s="40"/>
      <c r="N73" s="40"/>
      <c r="O73" s="40"/>
      <c r="P73" s="40"/>
      <c r="Q73" s="40"/>
      <c r="R73" s="40"/>
      <c r="S73" s="40"/>
      <c r="T73" s="963"/>
      <c r="U73" s="609"/>
      <c r="V73" s="926"/>
      <c r="W73" s="926"/>
      <c r="X73" s="926"/>
      <c r="Y73" s="926"/>
      <c r="Z73" s="926"/>
      <c r="AA73" s="926"/>
      <c r="AB73" s="926"/>
      <c r="AC73" s="926"/>
      <c r="AD73" s="926"/>
      <c r="AE73" s="926"/>
      <c r="AF73" s="926"/>
      <c r="AG73" s="926"/>
      <c r="AH73" s="926"/>
      <c r="AI73" s="926"/>
    </row>
    <row r="74" spans="1:35" ht="15" customHeight="1" x14ac:dyDescent="0.3">
      <c r="A74" s="926"/>
      <c r="B74" s="609"/>
      <c r="C74" s="962"/>
      <c r="D74" s="40"/>
      <c r="E74" s="40"/>
      <c r="F74" s="40"/>
      <c r="G74" s="40"/>
      <c r="H74" s="40"/>
      <c r="I74" s="40"/>
      <c r="J74" s="40"/>
      <c r="K74" s="40"/>
      <c r="L74" s="40"/>
      <c r="M74" s="40"/>
      <c r="N74" s="40"/>
      <c r="O74" s="40"/>
      <c r="P74" s="40"/>
      <c r="Q74" s="40"/>
      <c r="R74" s="40"/>
      <c r="S74" s="40"/>
      <c r="T74" s="963"/>
      <c r="U74" s="609"/>
      <c r="V74" s="926"/>
      <c r="W74" s="926"/>
      <c r="X74" s="926"/>
      <c r="Y74" s="926"/>
      <c r="Z74" s="926"/>
      <c r="AA74" s="926"/>
      <c r="AB74" s="926"/>
      <c r="AC74" s="926"/>
      <c r="AD74" s="926"/>
      <c r="AE74" s="926"/>
      <c r="AF74" s="926"/>
      <c r="AG74" s="926"/>
      <c r="AH74" s="926"/>
      <c r="AI74" s="926"/>
    </row>
    <row r="75" spans="1:35" ht="15" customHeight="1" x14ac:dyDescent="0.3">
      <c r="A75" s="926"/>
      <c r="B75" s="609"/>
      <c r="C75" s="962"/>
      <c r="D75" s="40"/>
      <c r="E75" s="2399" t="s">
        <v>36</v>
      </c>
      <c r="F75" s="2399"/>
      <c r="G75" s="2399"/>
      <c r="H75" s="2399"/>
      <c r="I75" s="2399"/>
      <c r="J75" s="2399"/>
      <c r="K75" s="2399"/>
      <c r="L75" s="2399"/>
      <c r="M75" s="2399"/>
      <c r="N75" s="2399"/>
      <c r="O75" s="2399"/>
      <c r="P75" s="2399"/>
      <c r="Q75" s="2399"/>
      <c r="R75" s="2399"/>
      <c r="S75" s="40"/>
      <c r="T75" s="963"/>
      <c r="U75" s="609"/>
      <c r="V75" s="926"/>
      <c r="W75" s="926"/>
      <c r="X75" s="926"/>
      <c r="Y75" s="926"/>
      <c r="Z75" s="926"/>
      <c r="AA75" s="926"/>
      <c r="AB75" s="926"/>
      <c r="AC75" s="926"/>
      <c r="AD75" s="926"/>
      <c r="AE75" s="926"/>
      <c r="AF75" s="926"/>
      <c r="AG75" s="926"/>
      <c r="AH75" s="926"/>
      <c r="AI75" s="926"/>
    </row>
    <row r="76" spans="1:35" ht="15" customHeight="1" x14ac:dyDescent="0.3">
      <c r="A76" s="926"/>
      <c r="B76" s="609"/>
      <c r="C76" s="962"/>
      <c r="D76" s="40"/>
      <c r="E76" s="2399"/>
      <c r="F76" s="2399"/>
      <c r="G76" s="2399"/>
      <c r="H76" s="2399"/>
      <c r="I76" s="2399"/>
      <c r="J76" s="2399"/>
      <c r="K76" s="2399"/>
      <c r="L76" s="2399"/>
      <c r="M76" s="2399"/>
      <c r="N76" s="2399"/>
      <c r="O76" s="2399"/>
      <c r="P76" s="2399"/>
      <c r="Q76" s="2399"/>
      <c r="R76" s="2399"/>
      <c r="S76" s="40"/>
      <c r="T76" s="963"/>
      <c r="U76" s="609"/>
      <c r="V76" s="926"/>
      <c r="W76" s="926"/>
      <c r="X76" s="926"/>
      <c r="Y76" s="926"/>
      <c r="Z76" s="926"/>
      <c r="AA76" s="926"/>
      <c r="AB76" s="926"/>
      <c r="AC76" s="926"/>
      <c r="AD76" s="926"/>
      <c r="AE76" s="926"/>
      <c r="AF76" s="926"/>
      <c r="AG76" s="926"/>
      <c r="AH76" s="926"/>
      <c r="AI76" s="926"/>
    </row>
    <row r="77" spans="1:35" ht="15" customHeight="1" x14ac:dyDescent="0.3">
      <c r="A77" s="926"/>
      <c r="B77" s="609"/>
      <c r="C77" s="962"/>
      <c r="D77" s="40"/>
      <c r="E77" s="2399"/>
      <c r="F77" s="2399"/>
      <c r="G77" s="2399"/>
      <c r="H77" s="2399"/>
      <c r="I77" s="2399"/>
      <c r="J77" s="2399"/>
      <c r="K77" s="2399"/>
      <c r="L77" s="2399"/>
      <c r="M77" s="2399"/>
      <c r="N77" s="2399"/>
      <c r="O77" s="2399"/>
      <c r="P77" s="2399"/>
      <c r="Q77" s="2399"/>
      <c r="R77" s="2399"/>
      <c r="S77" s="40"/>
      <c r="T77" s="963"/>
      <c r="U77" s="609"/>
      <c r="V77" s="926"/>
      <c r="W77" s="926"/>
      <c r="X77" s="926"/>
      <c r="Y77" s="926"/>
      <c r="Z77" s="926"/>
      <c r="AA77" s="926"/>
      <c r="AB77" s="926"/>
      <c r="AC77" s="926"/>
      <c r="AD77" s="926"/>
      <c r="AE77" s="926"/>
      <c r="AF77" s="926"/>
      <c r="AG77" s="926"/>
      <c r="AH77" s="926"/>
      <c r="AI77" s="926"/>
    </row>
    <row r="78" spans="1:35" ht="15" customHeight="1" x14ac:dyDescent="0.3">
      <c r="A78" s="926"/>
      <c r="B78" s="609"/>
      <c r="C78" s="962"/>
      <c r="D78" s="40"/>
      <c r="E78" s="2399"/>
      <c r="F78" s="2399"/>
      <c r="G78" s="2399"/>
      <c r="H78" s="2399"/>
      <c r="I78" s="2399"/>
      <c r="J78" s="2399"/>
      <c r="K78" s="2399"/>
      <c r="L78" s="2399"/>
      <c r="M78" s="2399"/>
      <c r="N78" s="2399"/>
      <c r="O78" s="2399"/>
      <c r="P78" s="2399"/>
      <c r="Q78" s="2399"/>
      <c r="R78" s="2399"/>
      <c r="S78" s="40"/>
      <c r="T78" s="963"/>
      <c r="U78" s="609"/>
      <c r="V78" s="926"/>
      <c r="W78" s="926"/>
      <c r="X78" s="926"/>
      <c r="Y78" s="926"/>
      <c r="Z78" s="926"/>
      <c r="AA78" s="926"/>
      <c r="AB78" s="926"/>
      <c r="AC78" s="926"/>
      <c r="AD78" s="926"/>
      <c r="AE78" s="926"/>
      <c r="AF78" s="926"/>
      <c r="AG78" s="926"/>
      <c r="AH78" s="926"/>
      <c r="AI78" s="926"/>
    </row>
    <row r="79" spans="1:35" ht="15" customHeight="1" x14ac:dyDescent="0.3">
      <c r="A79" s="926"/>
      <c r="B79" s="609"/>
      <c r="C79" s="962"/>
      <c r="D79" s="40"/>
      <c r="E79" s="2397" t="s">
        <v>37</v>
      </c>
      <c r="F79" s="2397"/>
      <c r="G79" s="2397" t="s">
        <v>38</v>
      </c>
      <c r="H79" s="2397"/>
      <c r="I79" s="2397" t="s">
        <v>39</v>
      </c>
      <c r="J79" s="2397"/>
      <c r="K79" s="2397" t="s">
        <v>40</v>
      </c>
      <c r="L79" s="2397"/>
      <c r="M79" s="2397" t="s">
        <v>41</v>
      </c>
      <c r="N79" s="2397"/>
      <c r="O79" s="2397" t="s">
        <v>42</v>
      </c>
      <c r="P79" s="2397"/>
      <c r="Q79" s="2397" t="s">
        <v>43</v>
      </c>
      <c r="R79" s="2397"/>
      <c r="S79" s="40"/>
      <c r="T79" s="963"/>
      <c r="U79" s="609"/>
      <c r="V79" s="926"/>
      <c r="W79" s="926"/>
      <c r="X79" s="926"/>
      <c r="Y79" s="926"/>
      <c r="Z79" s="926"/>
      <c r="AA79" s="926"/>
      <c r="AB79" s="926"/>
      <c r="AC79" s="926"/>
      <c r="AD79" s="926"/>
      <c r="AE79" s="926"/>
      <c r="AF79" s="926"/>
      <c r="AG79" s="926"/>
      <c r="AH79" s="926"/>
      <c r="AI79" s="926"/>
    </row>
    <row r="80" spans="1:35" ht="15" customHeight="1" x14ac:dyDescent="0.3">
      <c r="A80" s="926"/>
      <c r="B80" s="609"/>
      <c r="C80" s="962"/>
      <c r="D80" s="40"/>
      <c r="E80" s="2387" t="s">
        <v>44</v>
      </c>
      <c r="F80" s="2387"/>
      <c r="G80" s="2387" t="s">
        <v>45</v>
      </c>
      <c r="H80" s="2387"/>
      <c r="I80" s="2388">
        <v>5</v>
      </c>
      <c r="J80" s="2388"/>
      <c r="K80" s="2389"/>
      <c r="L80" s="2390"/>
      <c r="M80" s="2388">
        <v>0</v>
      </c>
      <c r="N80" s="2388"/>
      <c r="O80" s="2388" t="s">
        <v>46</v>
      </c>
      <c r="P80" s="2388"/>
      <c r="Q80" s="2398" t="str">
        <f>IF(ISBLANK(K80), "Using default", IF(K80&gt;=0,"Input accepted", "Input invalid, using default"))</f>
        <v>Using default</v>
      </c>
      <c r="R80" s="2398"/>
      <c r="S80" s="40"/>
      <c r="T80" s="963"/>
      <c r="U80" s="609"/>
      <c r="V80" s="926"/>
      <c r="W80" s="926"/>
      <c r="X80" s="926"/>
      <c r="Y80" s="926"/>
      <c r="Z80" s="926"/>
      <c r="AA80" s="926"/>
      <c r="AB80" s="926"/>
      <c r="AC80" s="926"/>
      <c r="AD80" s="926"/>
      <c r="AE80" s="926"/>
      <c r="AF80" s="926"/>
      <c r="AG80" s="926"/>
      <c r="AH80" s="926"/>
      <c r="AI80" s="926"/>
    </row>
    <row r="81" spans="1:35" ht="15" customHeight="1" x14ac:dyDescent="0.3">
      <c r="A81" s="926"/>
      <c r="B81" s="609"/>
      <c r="C81" s="962"/>
      <c r="D81" s="40"/>
      <c r="E81" s="2387"/>
      <c r="F81" s="2387"/>
      <c r="G81" s="2387"/>
      <c r="H81" s="2387"/>
      <c r="I81" s="2388"/>
      <c r="J81" s="2388"/>
      <c r="K81" s="2391"/>
      <c r="L81" s="2392"/>
      <c r="M81" s="2388"/>
      <c r="N81" s="2388"/>
      <c r="O81" s="2388"/>
      <c r="P81" s="2388"/>
      <c r="Q81" s="2398"/>
      <c r="R81" s="2398"/>
      <c r="S81" s="40"/>
      <c r="T81" s="963"/>
      <c r="U81" s="609"/>
      <c r="V81" s="926"/>
      <c r="W81" s="926"/>
      <c r="X81" s="926"/>
      <c r="Y81" s="926"/>
      <c r="Z81" s="926"/>
      <c r="AA81" s="926"/>
      <c r="AB81" s="926"/>
      <c r="AC81" s="926"/>
      <c r="AD81" s="926"/>
      <c r="AE81" s="926"/>
      <c r="AF81" s="926"/>
      <c r="AG81" s="926"/>
      <c r="AH81" s="926"/>
      <c r="AI81" s="926"/>
    </row>
    <row r="82" spans="1:35" ht="15" customHeight="1" x14ac:dyDescent="0.3">
      <c r="A82" s="926"/>
      <c r="B82" s="609"/>
      <c r="C82" s="962"/>
      <c r="D82" s="40"/>
      <c r="E82" s="2387"/>
      <c r="F82" s="2387"/>
      <c r="G82" s="2387"/>
      <c r="H82" s="2387"/>
      <c r="I82" s="2388"/>
      <c r="J82" s="2388"/>
      <c r="K82" s="2393"/>
      <c r="L82" s="2394"/>
      <c r="M82" s="2388"/>
      <c r="N82" s="2388"/>
      <c r="O82" s="2388"/>
      <c r="P82" s="2388"/>
      <c r="Q82" s="2398"/>
      <c r="R82" s="2398"/>
      <c r="S82" s="40"/>
      <c r="T82" s="963"/>
      <c r="U82" s="609"/>
      <c r="V82" s="926"/>
      <c r="W82" s="926"/>
      <c r="X82" s="926"/>
      <c r="Y82" s="926"/>
      <c r="Z82" s="926"/>
      <c r="AA82" s="926"/>
      <c r="AB82" s="926"/>
      <c r="AC82" s="926"/>
      <c r="AD82" s="926"/>
      <c r="AE82" s="926"/>
      <c r="AF82" s="926"/>
      <c r="AG82" s="926"/>
      <c r="AH82" s="926"/>
      <c r="AI82" s="926"/>
    </row>
    <row r="83" spans="1:35" ht="15" customHeight="1" x14ac:dyDescent="0.3">
      <c r="A83" s="926"/>
      <c r="B83" s="609"/>
      <c r="C83" s="962"/>
      <c r="D83" s="40"/>
      <c r="E83" s="40"/>
      <c r="F83" s="40"/>
      <c r="G83" s="40"/>
      <c r="H83" s="40"/>
      <c r="I83" s="40"/>
      <c r="J83" s="40"/>
      <c r="K83" s="40"/>
      <c r="L83" s="40"/>
      <c r="M83" s="40"/>
      <c r="N83" s="40"/>
      <c r="O83" s="40"/>
      <c r="P83" s="40"/>
      <c r="Q83" s="40"/>
      <c r="R83" s="40"/>
      <c r="S83" s="40"/>
      <c r="T83" s="963"/>
      <c r="U83" s="609"/>
      <c r="V83" s="926"/>
      <c r="W83" s="926"/>
      <c r="X83" s="926"/>
      <c r="Y83" s="926"/>
      <c r="Z83" s="926"/>
      <c r="AA83" s="926"/>
      <c r="AB83" s="926"/>
      <c r="AC83" s="926"/>
      <c r="AD83" s="926"/>
      <c r="AE83" s="926"/>
      <c r="AF83" s="926"/>
      <c r="AG83" s="926"/>
      <c r="AH83" s="926"/>
      <c r="AI83" s="926"/>
    </row>
    <row r="84" spans="1:35" ht="15" customHeight="1" thickBot="1" x14ac:dyDescent="0.35">
      <c r="A84" s="926"/>
      <c r="B84" s="609"/>
      <c r="C84" s="962"/>
      <c r="D84" s="40"/>
      <c r="E84" s="40"/>
      <c r="F84" s="40"/>
      <c r="G84" s="40"/>
      <c r="H84" s="40"/>
      <c r="I84" s="40"/>
      <c r="J84" s="40"/>
      <c r="K84" s="40"/>
      <c r="L84" s="40"/>
      <c r="M84" s="40"/>
      <c r="N84" s="40"/>
      <c r="O84" s="40"/>
      <c r="P84" s="40"/>
      <c r="Q84" s="40"/>
      <c r="R84" s="40"/>
      <c r="S84" s="40"/>
      <c r="T84" s="963"/>
      <c r="U84" s="609"/>
      <c r="V84" s="926"/>
      <c r="W84" s="926"/>
      <c r="X84" s="926"/>
      <c r="Y84" s="926"/>
      <c r="Z84" s="926"/>
      <c r="AA84" s="926"/>
      <c r="AB84" s="926"/>
      <c r="AC84" s="926"/>
      <c r="AD84" s="926"/>
      <c r="AE84" s="926"/>
      <c r="AF84" s="926"/>
      <c r="AG84" s="926"/>
      <c r="AH84" s="926"/>
      <c r="AI84" s="926"/>
    </row>
    <row r="85" spans="1:35" ht="15" customHeight="1" thickTop="1" x14ac:dyDescent="0.3">
      <c r="A85" s="926"/>
      <c r="B85" s="609"/>
      <c r="C85" s="962"/>
      <c r="D85" s="40"/>
      <c r="E85" s="40"/>
      <c r="F85" s="40"/>
      <c r="G85" s="2376" t="s">
        <v>47</v>
      </c>
      <c r="H85" s="2377"/>
      <c r="I85" s="2377"/>
      <c r="J85" s="2377"/>
      <c r="K85" s="2377"/>
      <c r="L85" s="2377"/>
      <c r="M85" s="2377"/>
      <c r="N85" s="2377"/>
      <c r="O85" s="2377"/>
      <c r="P85" s="2378"/>
      <c r="Q85" s="40"/>
      <c r="R85" s="40"/>
      <c r="S85" s="40"/>
      <c r="T85" s="963"/>
      <c r="U85" s="609"/>
      <c r="V85" s="926"/>
      <c r="W85" s="926"/>
      <c r="X85" s="926"/>
      <c r="Y85" s="926"/>
      <c r="Z85" s="926"/>
      <c r="AA85" s="926"/>
      <c r="AB85" s="926"/>
      <c r="AC85" s="926"/>
      <c r="AD85" s="926"/>
      <c r="AE85" s="926"/>
      <c r="AF85" s="926"/>
      <c r="AG85" s="926"/>
      <c r="AH85" s="926"/>
      <c r="AI85" s="926"/>
    </row>
    <row r="86" spans="1:35" ht="15" customHeight="1" x14ac:dyDescent="0.3">
      <c r="A86" s="926"/>
      <c r="B86" s="609"/>
      <c r="C86" s="962"/>
      <c r="D86" s="40"/>
      <c r="E86" s="40"/>
      <c r="F86" s="40"/>
      <c r="G86" s="2379"/>
      <c r="H86" s="2380"/>
      <c r="I86" s="2380"/>
      <c r="J86" s="2380"/>
      <c r="K86" s="2380"/>
      <c r="L86" s="2380"/>
      <c r="M86" s="2380"/>
      <c r="N86" s="2380"/>
      <c r="O86" s="2380"/>
      <c r="P86" s="2381"/>
      <c r="Q86" s="40"/>
      <c r="R86" s="40"/>
      <c r="S86" s="40"/>
      <c r="T86" s="963"/>
      <c r="U86" s="609"/>
      <c r="V86" s="926"/>
      <c r="W86" s="926"/>
      <c r="X86" s="926"/>
      <c r="Y86" s="926"/>
      <c r="Z86" s="926"/>
      <c r="AA86" s="926"/>
      <c r="AB86" s="926"/>
      <c r="AC86" s="926"/>
      <c r="AD86" s="926"/>
      <c r="AE86" s="926"/>
      <c r="AF86" s="926"/>
      <c r="AG86" s="926"/>
      <c r="AH86" s="926"/>
      <c r="AI86" s="926"/>
    </row>
    <row r="87" spans="1:35" ht="15" customHeight="1" x14ac:dyDescent="0.3">
      <c r="A87" s="926"/>
      <c r="B87" s="609"/>
      <c r="C87" s="962"/>
      <c r="D87" s="40"/>
      <c r="E87" s="40"/>
      <c r="F87" s="40"/>
      <c r="G87" s="2379"/>
      <c r="H87" s="2380"/>
      <c r="I87" s="2380"/>
      <c r="J87" s="2380"/>
      <c r="K87" s="2380"/>
      <c r="L87" s="2380"/>
      <c r="M87" s="2380"/>
      <c r="N87" s="2380"/>
      <c r="O87" s="2380"/>
      <c r="P87" s="2381"/>
      <c r="Q87" s="40"/>
      <c r="R87" s="40"/>
      <c r="S87" s="40"/>
      <c r="T87" s="963"/>
      <c r="U87" s="609"/>
      <c r="V87" s="926"/>
      <c r="W87" s="926"/>
      <c r="X87" s="926"/>
      <c r="Y87" s="926"/>
      <c r="Z87" s="926"/>
      <c r="AA87" s="926"/>
      <c r="AB87" s="926"/>
      <c r="AC87" s="926"/>
      <c r="AD87" s="926"/>
      <c r="AE87" s="926"/>
      <c r="AF87" s="926"/>
      <c r="AG87" s="926"/>
      <c r="AH87" s="926"/>
      <c r="AI87" s="926"/>
    </row>
    <row r="88" spans="1:35" ht="15" customHeight="1" x14ac:dyDescent="0.3">
      <c r="A88" s="926"/>
      <c r="B88" s="609"/>
      <c r="C88" s="962"/>
      <c r="D88" s="40"/>
      <c r="E88" s="40"/>
      <c r="F88" s="40"/>
      <c r="G88" s="2379"/>
      <c r="H88" s="2380"/>
      <c r="I88" s="2380"/>
      <c r="J88" s="2380"/>
      <c r="K88" s="2380"/>
      <c r="L88" s="2380"/>
      <c r="M88" s="2380"/>
      <c r="N88" s="2380"/>
      <c r="O88" s="2380"/>
      <c r="P88" s="2381"/>
      <c r="Q88" s="40"/>
      <c r="R88" s="40"/>
      <c r="S88" s="40"/>
      <c r="T88" s="963"/>
      <c r="U88" s="609"/>
      <c r="V88" s="926"/>
      <c r="W88" s="926"/>
      <c r="X88" s="926"/>
      <c r="Y88" s="926"/>
      <c r="Z88" s="926"/>
      <c r="AA88" s="926"/>
      <c r="AB88" s="926"/>
      <c r="AC88" s="926"/>
      <c r="AD88" s="926"/>
      <c r="AE88" s="926"/>
      <c r="AF88" s="926"/>
      <c r="AG88" s="926"/>
      <c r="AH88" s="926"/>
      <c r="AI88" s="926"/>
    </row>
    <row r="89" spans="1:35" ht="15" customHeight="1" x14ac:dyDescent="0.3">
      <c r="A89" s="926"/>
      <c r="B89" s="609"/>
      <c r="C89" s="962"/>
      <c r="D89" s="40"/>
      <c r="E89" s="40"/>
      <c r="F89" s="40"/>
      <c r="G89" s="2379"/>
      <c r="H89" s="2380"/>
      <c r="I89" s="2380"/>
      <c r="J89" s="2380"/>
      <c r="K89" s="2380"/>
      <c r="L89" s="2380"/>
      <c r="M89" s="2380"/>
      <c r="N89" s="2380"/>
      <c r="O89" s="2380"/>
      <c r="P89" s="2381"/>
      <c r="Q89" s="40"/>
      <c r="R89" s="40"/>
      <c r="S89" s="40"/>
      <c r="T89" s="963"/>
      <c r="U89" s="609"/>
      <c r="V89" s="926"/>
      <c r="W89" s="926"/>
      <c r="X89" s="926"/>
      <c r="Y89" s="926"/>
      <c r="Z89" s="926"/>
      <c r="AA89" s="926"/>
      <c r="AB89" s="926"/>
      <c r="AC89" s="926"/>
      <c r="AD89" s="926"/>
      <c r="AE89" s="926"/>
      <c r="AF89" s="926"/>
      <c r="AG89" s="926"/>
      <c r="AH89" s="926"/>
      <c r="AI89" s="926"/>
    </row>
    <row r="90" spans="1:35" ht="15" customHeight="1" x14ac:dyDescent="0.3">
      <c r="A90" s="926"/>
      <c r="B90" s="609"/>
      <c r="C90" s="962"/>
      <c r="D90" s="40"/>
      <c r="E90" s="40"/>
      <c r="F90" s="40"/>
      <c r="G90" s="2379"/>
      <c r="H90" s="2380"/>
      <c r="I90" s="2380"/>
      <c r="J90" s="2380"/>
      <c r="K90" s="2380"/>
      <c r="L90" s="2380"/>
      <c r="M90" s="2380"/>
      <c r="N90" s="2380"/>
      <c r="O90" s="2380"/>
      <c r="P90" s="2381"/>
      <c r="Q90" s="40"/>
      <c r="R90" s="40"/>
      <c r="S90" s="40"/>
      <c r="T90" s="963"/>
      <c r="U90" s="609"/>
      <c r="V90" s="926"/>
      <c r="W90" s="926"/>
      <c r="X90" s="926"/>
      <c r="Y90" s="926"/>
      <c r="Z90" s="926"/>
      <c r="AA90" s="926"/>
      <c r="AB90" s="926"/>
      <c r="AC90" s="926"/>
      <c r="AD90" s="926"/>
      <c r="AE90" s="926"/>
      <c r="AF90" s="926"/>
      <c r="AG90" s="926"/>
      <c r="AH90" s="926"/>
      <c r="AI90" s="926"/>
    </row>
    <row r="91" spans="1:35" ht="15" customHeight="1" x14ac:dyDescent="0.3">
      <c r="A91" s="926"/>
      <c r="B91" s="609"/>
      <c r="C91" s="962"/>
      <c r="D91" s="40"/>
      <c r="E91" s="40"/>
      <c r="F91" s="40"/>
      <c r="G91" s="2379"/>
      <c r="H91" s="2380"/>
      <c r="I91" s="2380"/>
      <c r="J91" s="2380"/>
      <c r="K91" s="2380"/>
      <c r="L91" s="2380"/>
      <c r="M91" s="2380"/>
      <c r="N91" s="2380"/>
      <c r="O91" s="2380"/>
      <c r="P91" s="2381"/>
      <c r="Q91" s="40"/>
      <c r="R91" s="40"/>
      <c r="S91" s="40"/>
      <c r="T91" s="963"/>
      <c r="U91" s="609"/>
      <c r="V91" s="926"/>
      <c r="W91" s="926"/>
      <c r="X91" s="926"/>
      <c r="Y91" s="926"/>
      <c r="Z91" s="926"/>
      <c r="AA91" s="926"/>
      <c r="AB91" s="926"/>
      <c r="AC91" s="926"/>
      <c r="AD91" s="926"/>
      <c r="AE91" s="926"/>
      <c r="AF91" s="926"/>
      <c r="AG91" s="926"/>
      <c r="AH91" s="926"/>
      <c r="AI91" s="926"/>
    </row>
    <row r="92" spans="1:35" ht="15" customHeight="1" x14ac:dyDescent="0.3">
      <c r="A92" s="926"/>
      <c r="B92" s="609"/>
      <c r="C92" s="962"/>
      <c r="D92" s="40"/>
      <c r="E92" s="40"/>
      <c r="F92" s="40"/>
      <c r="G92" s="2379"/>
      <c r="H92" s="2380"/>
      <c r="I92" s="2380"/>
      <c r="J92" s="2380"/>
      <c r="K92" s="2380"/>
      <c r="L92" s="2380"/>
      <c r="M92" s="2380"/>
      <c r="N92" s="2380"/>
      <c r="O92" s="2380"/>
      <c r="P92" s="2381"/>
      <c r="Q92" s="40"/>
      <c r="R92" s="40"/>
      <c r="S92" s="40"/>
      <c r="T92" s="963"/>
      <c r="U92" s="609"/>
      <c r="V92" s="926"/>
      <c r="W92" s="926"/>
      <c r="X92" s="926"/>
      <c r="Y92" s="926"/>
      <c r="Z92" s="926"/>
      <c r="AA92" s="926"/>
      <c r="AB92" s="926"/>
      <c r="AC92" s="926"/>
      <c r="AD92" s="926"/>
      <c r="AE92" s="926"/>
      <c r="AF92" s="926"/>
      <c r="AG92" s="926"/>
      <c r="AH92" s="926"/>
      <c r="AI92" s="926"/>
    </row>
    <row r="93" spans="1:35" ht="15" customHeight="1" thickBot="1" x14ac:dyDescent="0.35">
      <c r="A93" s="926"/>
      <c r="B93" s="609"/>
      <c r="C93" s="962"/>
      <c r="D93" s="40"/>
      <c r="E93" s="40"/>
      <c r="F93" s="40"/>
      <c r="G93" s="2382"/>
      <c r="H93" s="2383"/>
      <c r="I93" s="2383"/>
      <c r="J93" s="2383"/>
      <c r="K93" s="2383"/>
      <c r="L93" s="2383"/>
      <c r="M93" s="2383"/>
      <c r="N93" s="2383"/>
      <c r="O93" s="2383"/>
      <c r="P93" s="2384"/>
      <c r="Q93" s="40"/>
      <c r="R93" s="40"/>
      <c r="S93" s="40"/>
      <c r="T93" s="963"/>
      <c r="U93" s="609"/>
      <c r="V93" s="926"/>
      <c r="W93" s="926"/>
      <c r="X93" s="926"/>
      <c r="Y93" s="926"/>
      <c r="Z93" s="926"/>
      <c r="AA93" s="926"/>
      <c r="AB93" s="926"/>
      <c r="AC93" s="926"/>
      <c r="AD93" s="926"/>
      <c r="AE93" s="926"/>
      <c r="AF93" s="926"/>
      <c r="AG93" s="926"/>
      <c r="AH93" s="926"/>
      <c r="AI93" s="926"/>
    </row>
    <row r="94" spans="1:35" ht="15" customHeight="1" thickTop="1" x14ac:dyDescent="0.3">
      <c r="A94" s="926"/>
      <c r="B94" s="609"/>
      <c r="C94" s="962"/>
      <c r="D94" s="40"/>
      <c r="E94" s="40"/>
      <c r="F94" s="40"/>
      <c r="G94" s="40"/>
      <c r="H94" s="40"/>
      <c r="I94" s="40"/>
      <c r="J94" s="40"/>
      <c r="K94" s="40"/>
      <c r="L94" s="40"/>
      <c r="M94" s="40"/>
      <c r="N94" s="40"/>
      <c r="O94" s="40"/>
      <c r="P94" s="40"/>
      <c r="Q94" s="40"/>
      <c r="R94" s="40"/>
      <c r="S94" s="40"/>
      <c r="T94" s="963"/>
      <c r="U94" s="609"/>
      <c r="V94" s="926"/>
      <c r="W94" s="926"/>
      <c r="X94" s="926"/>
      <c r="Y94" s="926"/>
      <c r="Z94" s="926"/>
      <c r="AA94" s="926"/>
      <c r="AB94" s="926"/>
      <c r="AC94" s="926"/>
      <c r="AD94" s="926"/>
      <c r="AE94" s="926"/>
      <c r="AF94" s="926"/>
      <c r="AG94" s="926"/>
      <c r="AH94" s="926"/>
      <c r="AI94" s="926"/>
    </row>
    <row r="95" spans="1:35" ht="15" customHeight="1" x14ac:dyDescent="0.3">
      <c r="A95" s="926"/>
      <c r="B95" s="609"/>
      <c r="C95" s="962"/>
      <c r="D95" s="40"/>
      <c r="E95" s="2399" t="s">
        <v>48</v>
      </c>
      <c r="F95" s="2399"/>
      <c r="G95" s="2399"/>
      <c r="H95" s="2399"/>
      <c r="I95" s="2399"/>
      <c r="J95" s="2399"/>
      <c r="K95" s="2399"/>
      <c r="L95" s="2399"/>
      <c r="M95" s="2399"/>
      <c r="N95" s="2399"/>
      <c r="O95" s="2399"/>
      <c r="P95" s="2399"/>
      <c r="Q95" s="2399"/>
      <c r="R95" s="2399"/>
      <c r="S95" s="40"/>
      <c r="T95" s="963"/>
      <c r="U95" s="609"/>
      <c r="V95" s="926"/>
      <c r="W95" s="926"/>
      <c r="X95" s="926"/>
      <c r="Y95" s="926"/>
      <c r="Z95" s="926"/>
      <c r="AA95" s="926"/>
      <c r="AB95" s="926"/>
      <c r="AC95" s="926"/>
      <c r="AD95" s="926"/>
      <c r="AE95" s="926"/>
      <c r="AF95" s="926"/>
      <c r="AG95" s="926"/>
      <c r="AH95" s="926"/>
      <c r="AI95" s="926"/>
    </row>
    <row r="96" spans="1:35" ht="15" customHeight="1" x14ac:dyDescent="0.3">
      <c r="A96" s="926"/>
      <c r="B96" s="609"/>
      <c r="C96" s="962"/>
      <c r="D96" s="40"/>
      <c r="E96" s="2399"/>
      <c r="F96" s="2399"/>
      <c r="G96" s="2399"/>
      <c r="H96" s="2399"/>
      <c r="I96" s="2399"/>
      <c r="J96" s="2399"/>
      <c r="K96" s="2399"/>
      <c r="L96" s="2399"/>
      <c r="M96" s="2399"/>
      <c r="N96" s="2399"/>
      <c r="O96" s="2399"/>
      <c r="P96" s="2399"/>
      <c r="Q96" s="2399"/>
      <c r="R96" s="2399"/>
      <c r="S96" s="40"/>
      <c r="T96" s="963"/>
      <c r="U96" s="609"/>
      <c r="V96" s="926"/>
      <c r="W96" s="926"/>
      <c r="X96" s="926"/>
      <c r="Y96" s="926"/>
      <c r="Z96" s="926"/>
      <c r="AA96" s="926"/>
      <c r="AB96" s="926"/>
      <c r="AC96" s="926"/>
      <c r="AD96" s="926"/>
      <c r="AE96" s="926"/>
      <c r="AF96" s="926"/>
      <c r="AG96" s="926"/>
      <c r="AH96" s="926"/>
      <c r="AI96" s="926"/>
    </row>
    <row r="97" spans="1:35" ht="15" customHeight="1" x14ac:dyDescent="0.3">
      <c r="A97" s="926"/>
      <c r="B97" s="609"/>
      <c r="C97" s="962"/>
      <c r="D97" s="40"/>
      <c r="E97" s="2399"/>
      <c r="F97" s="2399"/>
      <c r="G97" s="2399"/>
      <c r="H97" s="2399"/>
      <c r="I97" s="2399"/>
      <c r="J97" s="2399"/>
      <c r="K97" s="2399"/>
      <c r="L97" s="2399"/>
      <c r="M97" s="2399"/>
      <c r="N97" s="2399"/>
      <c r="O97" s="2399"/>
      <c r="P97" s="2399"/>
      <c r="Q97" s="2399"/>
      <c r="R97" s="2399"/>
      <c r="S97" s="40"/>
      <c r="T97" s="963"/>
      <c r="U97" s="609"/>
      <c r="V97" s="926"/>
      <c r="W97" s="926"/>
      <c r="X97" s="926"/>
      <c r="Y97" s="926"/>
      <c r="Z97" s="926"/>
      <c r="AA97" s="926"/>
      <c r="AB97" s="926"/>
      <c r="AC97" s="926"/>
      <c r="AD97" s="926"/>
      <c r="AE97" s="926"/>
      <c r="AF97" s="926"/>
      <c r="AG97" s="926"/>
      <c r="AH97" s="926"/>
      <c r="AI97" s="926"/>
    </row>
    <row r="98" spans="1:35" ht="15" customHeight="1" x14ac:dyDescent="0.3">
      <c r="A98" s="926"/>
      <c r="B98" s="609"/>
      <c r="C98" s="962"/>
      <c r="D98" s="40"/>
      <c r="E98" s="2399"/>
      <c r="F98" s="2399"/>
      <c r="G98" s="2399"/>
      <c r="H98" s="2399"/>
      <c r="I98" s="2399"/>
      <c r="J98" s="2399"/>
      <c r="K98" s="2399"/>
      <c r="L98" s="2399"/>
      <c r="M98" s="2399"/>
      <c r="N98" s="2399"/>
      <c r="O98" s="2399"/>
      <c r="P98" s="2399"/>
      <c r="Q98" s="2399"/>
      <c r="R98" s="2399"/>
      <c r="S98" s="40"/>
      <c r="T98" s="963"/>
      <c r="U98" s="609"/>
      <c r="V98" s="926"/>
      <c r="W98" s="926"/>
      <c r="X98" s="926"/>
      <c r="Y98" s="926"/>
      <c r="Z98" s="926"/>
      <c r="AA98" s="926"/>
      <c r="AB98" s="926"/>
      <c r="AC98" s="926"/>
      <c r="AD98" s="926"/>
      <c r="AE98" s="926"/>
      <c r="AF98" s="926"/>
      <c r="AG98" s="926"/>
      <c r="AH98" s="926"/>
      <c r="AI98" s="926"/>
    </row>
    <row r="99" spans="1:35" ht="15" customHeight="1" x14ac:dyDescent="0.3">
      <c r="A99" s="926"/>
      <c r="B99" s="609"/>
      <c r="C99" s="962"/>
      <c r="D99" s="40"/>
      <c r="E99" s="2397" t="s">
        <v>49</v>
      </c>
      <c r="F99" s="2397"/>
      <c r="G99" s="2397" t="s">
        <v>38</v>
      </c>
      <c r="H99" s="2397"/>
      <c r="I99" s="2397" t="s">
        <v>39</v>
      </c>
      <c r="J99" s="2397"/>
      <c r="K99" s="2397" t="s">
        <v>40</v>
      </c>
      <c r="L99" s="2397"/>
      <c r="M99" s="2397" t="s">
        <v>41</v>
      </c>
      <c r="N99" s="2397"/>
      <c r="O99" s="2397" t="s">
        <v>42</v>
      </c>
      <c r="P99" s="2397"/>
      <c r="Q99" s="2397" t="s">
        <v>43</v>
      </c>
      <c r="R99" s="2397"/>
      <c r="S99" s="40"/>
      <c r="T99" s="963"/>
      <c r="U99" s="609"/>
      <c r="V99" s="926"/>
      <c r="W99" s="926"/>
      <c r="X99" s="926"/>
      <c r="Y99" s="926"/>
      <c r="Z99" s="926"/>
      <c r="AA99" s="926"/>
      <c r="AB99" s="926"/>
      <c r="AC99" s="926"/>
      <c r="AD99" s="926"/>
      <c r="AE99" s="926"/>
      <c r="AF99" s="926"/>
      <c r="AG99" s="926"/>
      <c r="AH99" s="926"/>
      <c r="AI99" s="926"/>
    </row>
    <row r="100" spans="1:35" ht="15" customHeight="1" x14ac:dyDescent="0.3">
      <c r="A100" s="926"/>
      <c r="B100" s="609"/>
      <c r="C100" s="962"/>
      <c r="D100" s="40"/>
      <c r="E100" s="2385" t="s">
        <v>44</v>
      </c>
      <c r="F100" s="2385"/>
      <c r="G100" s="2385" t="s">
        <v>50</v>
      </c>
      <c r="H100" s="2385"/>
      <c r="I100" s="2396">
        <v>50</v>
      </c>
      <c r="J100" s="2396"/>
      <c r="K100" s="2389">
        <v>325</v>
      </c>
      <c r="L100" s="2390"/>
      <c r="M100" s="2396">
        <v>0</v>
      </c>
      <c r="N100" s="2396"/>
      <c r="O100" s="2396">
        <v>100</v>
      </c>
      <c r="P100" s="2396"/>
      <c r="Q100" s="2386" t="s">
        <v>51</v>
      </c>
      <c r="R100" s="2386"/>
      <c r="S100" s="40"/>
      <c r="T100" s="963"/>
      <c r="U100" s="609"/>
      <c r="V100" s="926"/>
      <c r="W100" s="926"/>
      <c r="X100" s="926"/>
      <c r="Y100" s="926"/>
      <c r="Z100" s="926"/>
      <c r="AA100" s="926"/>
      <c r="AB100" s="926"/>
      <c r="AC100" s="926"/>
      <c r="AD100" s="926"/>
      <c r="AE100" s="926"/>
      <c r="AF100" s="926"/>
      <c r="AG100" s="926"/>
      <c r="AH100" s="926"/>
      <c r="AI100" s="926"/>
    </row>
    <row r="101" spans="1:35" ht="15" customHeight="1" x14ac:dyDescent="0.3">
      <c r="A101" s="926"/>
      <c r="B101" s="609"/>
      <c r="C101" s="962"/>
      <c r="D101" s="40"/>
      <c r="E101" s="2385"/>
      <c r="F101" s="2385"/>
      <c r="G101" s="2385"/>
      <c r="H101" s="2385"/>
      <c r="I101" s="2396"/>
      <c r="J101" s="2396"/>
      <c r="K101" s="2391"/>
      <c r="L101" s="2392"/>
      <c r="M101" s="2396"/>
      <c r="N101" s="2396"/>
      <c r="O101" s="2396"/>
      <c r="P101" s="2396"/>
      <c r="Q101" s="2386"/>
      <c r="R101" s="2386"/>
      <c r="S101" s="40"/>
      <c r="T101" s="963"/>
      <c r="U101" s="609"/>
      <c r="V101" s="926"/>
      <c r="W101" s="926"/>
      <c r="X101" s="926"/>
      <c r="Y101" s="926"/>
      <c r="Z101" s="926"/>
      <c r="AA101" s="926"/>
      <c r="AB101" s="926"/>
      <c r="AC101" s="926"/>
      <c r="AD101" s="926"/>
      <c r="AE101" s="926"/>
      <c r="AF101" s="926"/>
      <c r="AG101" s="926"/>
      <c r="AH101" s="926"/>
      <c r="AI101" s="926"/>
    </row>
    <row r="102" spans="1:35" ht="15.75" customHeight="1" x14ac:dyDescent="0.3">
      <c r="A102" s="926"/>
      <c r="B102" s="609"/>
      <c r="C102" s="962"/>
      <c r="D102" s="40"/>
      <c r="E102" s="2385"/>
      <c r="F102" s="2385"/>
      <c r="G102" s="2385"/>
      <c r="H102" s="2385"/>
      <c r="I102" s="2396"/>
      <c r="J102" s="2396"/>
      <c r="K102" s="2393"/>
      <c r="L102" s="2394"/>
      <c r="M102" s="2396"/>
      <c r="N102" s="2396"/>
      <c r="O102" s="2396"/>
      <c r="P102" s="2396"/>
      <c r="Q102" s="2386"/>
      <c r="R102" s="2386"/>
      <c r="S102" s="40"/>
      <c r="T102" s="963"/>
      <c r="U102" s="609"/>
      <c r="V102" s="926"/>
      <c r="W102" s="926"/>
      <c r="X102" s="926"/>
      <c r="Y102" s="926"/>
      <c r="Z102" s="926"/>
      <c r="AA102" s="926"/>
      <c r="AB102" s="926"/>
      <c r="AC102" s="926"/>
      <c r="AD102" s="926"/>
      <c r="AE102" s="926"/>
      <c r="AF102" s="926"/>
      <c r="AG102" s="926"/>
      <c r="AH102" s="926"/>
      <c r="AI102" s="926"/>
    </row>
    <row r="103" spans="1:35" x14ac:dyDescent="0.3">
      <c r="A103" s="926"/>
      <c r="B103" s="609"/>
      <c r="C103" s="962"/>
      <c r="D103" s="40"/>
      <c r="E103" s="2387" t="s">
        <v>52</v>
      </c>
      <c r="F103" s="2387"/>
      <c r="G103" s="2387" t="s">
        <v>53</v>
      </c>
      <c r="H103" s="2387"/>
      <c r="I103" s="2388">
        <v>100</v>
      </c>
      <c r="J103" s="2388"/>
      <c r="K103" s="2389">
        <v>150</v>
      </c>
      <c r="L103" s="2390"/>
      <c r="M103" s="2388">
        <v>0</v>
      </c>
      <c r="N103" s="2388"/>
      <c r="O103" s="2388">
        <v>300</v>
      </c>
      <c r="P103" s="2388"/>
      <c r="Q103" s="2395" t="s">
        <v>54</v>
      </c>
      <c r="R103" s="2395"/>
      <c r="S103" s="40"/>
      <c r="T103" s="963"/>
      <c r="U103" s="609"/>
      <c r="V103" s="926"/>
      <c r="W103" s="926"/>
      <c r="X103" s="926"/>
      <c r="Y103" s="926"/>
      <c r="Z103" s="926"/>
      <c r="AA103" s="926"/>
      <c r="AB103" s="926"/>
      <c r="AC103" s="926"/>
      <c r="AD103" s="926"/>
      <c r="AE103" s="926"/>
      <c r="AF103" s="926"/>
      <c r="AG103" s="926"/>
      <c r="AH103" s="926"/>
      <c r="AI103" s="926"/>
    </row>
    <row r="104" spans="1:35" x14ac:dyDescent="0.3">
      <c r="A104" s="926"/>
      <c r="B104" s="609"/>
      <c r="C104" s="962"/>
      <c r="D104" s="40"/>
      <c r="E104" s="2387"/>
      <c r="F104" s="2387"/>
      <c r="G104" s="2387"/>
      <c r="H104" s="2387"/>
      <c r="I104" s="2388"/>
      <c r="J104" s="2388"/>
      <c r="K104" s="2391"/>
      <c r="L104" s="2392"/>
      <c r="M104" s="2388"/>
      <c r="N104" s="2388"/>
      <c r="O104" s="2388"/>
      <c r="P104" s="2388"/>
      <c r="Q104" s="2395"/>
      <c r="R104" s="2395"/>
      <c r="S104" s="40"/>
      <c r="T104" s="963"/>
      <c r="U104" s="609"/>
      <c r="V104" s="926"/>
      <c r="W104" s="926"/>
      <c r="X104" s="926"/>
      <c r="Y104" s="926"/>
      <c r="Z104" s="926"/>
      <c r="AA104" s="926"/>
      <c r="AB104" s="926"/>
      <c r="AC104" s="926"/>
      <c r="AD104" s="926"/>
      <c r="AE104" s="926"/>
      <c r="AF104" s="926"/>
      <c r="AG104" s="926"/>
      <c r="AH104" s="926"/>
      <c r="AI104" s="926"/>
    </row>
    <row r="105" spans="1:35" x14ac:dyDescent="0.3">
      <c r="A105" s="926"/>
      <c r="B105" s="609"/>
      <c r="C105" s="962"/>
      <c r="D105" s="40"/>
      <c r="E105" s="2387"/>
      <c r="F105" s="2387"/>
      <c r="G105" s="2387"/>
      <c r="H105" s="2387"/>
      <c r="I105" s="2388"/>
      <c r="J105" s="2388"/>
      <c r="K105" s="2393"/>
      <c r="L105" s="2394"/>
      <c r="M105" s="2388"/>
      <c r="N105" s="2388"/>
      <c r="O105" s="2388"/>
      <c r="P105" s="2388"/>
      <c r="Q105" s="2395"/>
      <c r="R105" s="2395"/>
      <c r="S105" s="40"/>
      <c r="T105" s="963"/>
      <c r="U105" s="609"/>
      <c r="V105" s="926"/>
      <c r="W105" s="926"/>
      <c r="X105" s="926"/>
      <c r="Y105" s="926"/>
      <c r="Z105" s="926"/>
      <c r="AA105" s="926"/>
      <c r="AB105" s="926"/>
      <c r="AC105" s="926"/>
      <c r="AD105" s="926"/>
      <c r="AE105" s="926"/>
      <c r="AF105" s="926"/>
      <c r="AG105" s="926"/>
      <c r="AH105" s="926"/>
      <c r="AI105" s="926"/>
    </row>
    <row r="106" spans="1:35" x14ac:dyDescent="0.3">
      <c r="A106" s="926"/>
      <c r="B106" s="609"/>
      <c r="C106" s="962"/>
      <c r="D106" s="40"/>
      <c r="E106" s="40"/>
      <c r="F106" s="40"/>
      <c r="G106" s="40"/>
      <c r="H106" s="40"/>
      <c r="I106" s="40"/>
      <c r="J106" s="40"/>
      <c r="K106" s="40"/>
      <c r="L106" s="40"/>
      <c r="M106" s="40"/>
      <c r="N106" s="40"/>
      <c r="O106" s="40"/>
      <c r="P106" s="40"/>
      <c r="Q106" s="40"/>
      <c r="R106" s="40"/>
      <c r="S106" s="40"/>
      <c r="T106" s="963"/>
      <c r="U106" s="609"/>
      <c r="V106" s="926"/>
      <c r="W106" s="926"/>
      <c r="X106" s="926"/>
      <c r="Y106" s="926"/>
      <c r="Z106" s="926"/>
      <c r="AA106" s="926"/>
      <c r="AB106" s="926"/>
      <c r="AC106" s="926"/>
      <c r="AD106" s="926"/>
      <c r="AE106" s="926"/>
      <c r="AF106" s="926"/>
      <c r="AG106" s="926"/>
      <c r="AH106" s="926"/>
      <c r="AI106" s="926"/>
    </row>
    <row r="107" spans="1:35" ht="15" thickBot="1" x14ac:dyDescent="0.35">
      <c r="A107" s="926"/>
      <c r="B107" s="609"/>
      <c r="C107" s="962"/>
      <c r="D107" s="40"/>
      <c r="E107" s="40"/>
      <c r="F107" s="40"/>
      <c r="G107" s="40"/>
      <c r="H107" s="40"/>
      <c r="I107" s="40"/>
      <c r="J107" s="40"/>
      <c r="K107" s="40"/>
      <c r="L107" s="40"/>
      <c r="M107" s="40"/>
      <c r="N107" s="40"/>
      <c r="O107" s="40"/>
      <c r="P107" s="40"/>
      <c r="Q107" s="40"/>
      <c r="R107" s="40"/>
      <c r="S107" s="40"/>
      <c r="T107" s="963"/>
      <c r="U107" s="609"/>
      <c r="V107" s="926"/>
      <c r="W107" s="926"/>
      <c r="X107" s="926"/>
      <c r="Y107" s="926"/>
      <c r="Z107" s="926"/>
      <c r="AA107" s="926"/>
      <c r="AB107" s="926"/>
      <c r="AC107" s="926"/>
      <c r="AD107" s="926"/>
      <c r="AE107" s="926"/>
      <c r="AF107" s="926"/>
      <c r="AG107" s="926"/>
      <c r="AH107" s="926"/>
      <c r="AI107" s="926"/>
    </row>
    <row r="108" spans="1:35" ht="15" thickTop="1" x14ac:dyDescent="0.3">
      <c r="A108" s="926"/>
      <c r="B108" s="609"/>
      <c r="C108" s="962"/>
      <c r="D108" s="40"/>
      <c r="E108" s="40"/>
      <c r="F108" s="40"/>
      <c r="G108" s="2376" t="s">
        <v>55</v>
      </c>
      <c r="H108" s="2377"/>
      <c r="I108" s="2377"/>
      <c r="J108" s="2377"/>
      <c r="K108" s="2377"/>
      <c r="L108" s="2377"/>
      <c r="M108" s="2377"/>
      <c r="N108" s="2377"/>
      <c r="O108" s="2377"/>
      <c r="P108" s="2378"/>
      <c r="Q108" s="40"/>
      <c r="R108" s="40"/>
      <c r="S108" s="40"/>
      <c r="T108" s="963"/>
      <c r="U108" s="609"/>
      <c r="V108" s="926"/>
      <c r="W108" s="926"/>
      <c r="X108" s="926"/>
      <c r="Y108" s="926"/>
      <c r="Z108" s="926"/>
      <c r="AA108" s="926"/>
      <c r="AB108" s="926"/>
      <c r="AC108" s="926"/>
      <c r="AD108" s="926"/>
      <c r="AE108" s="926"/>
      <c r="AF108" s="926"/>
      <c r="AG108" s="926"/>
      <c r="AH108" s="926"/>
      <c r="AI108" s="926"/>
    </row>
    <row r="109" spans="1:35" x14ac:dyDescent="0.3">
      <c r="A109" s="926"/>
      <c r="B109" s="609"/>
      <c r="C109" s="962"/>
      <c r="D109" s="40"/>
      <c r="E109" s="40"/>
      <c r="F109" s="40"/>
      <c r="G109" s="2379"/>
      <c r="H109" s="2380"/>
      <c r="I109" s="2380"/>
      <c r="J109" s="2380"/>
      <c r="K109" s="2380"/>
      <c r="L109" s="2380"/>
      <c r="M109" s="2380"/>
      <c r="N109" s="2380"/>
      <c r="O109" s="2380"/>
      <c r="P109" s="2381"/>
      <c r="Q109" s="40"/>
      <c r="R109" s="40"/>
      <c r="S109" s="40"/>
      <c r="T109" s="963"/>
      <c r="U109" s="609"/>
      <c r="V109" s="926"/>
      <c r="W109" s="926"/>
      <c r="X109" s="926"/>
      <c r="Y109" s="926"/>
      <c r="Z109" s="926"/>
      <c r="AA109" s="926"/>
      <c r="AB109" s="926"/>
      <c r="AC109" s="926"/>
      <c r="AD109" s="926"/>
      <c r="AE109" s="926"/>
      <c r="AF109" s="926"/>
      <c r="AG109" s="926"/>
      <c r="AH109" s="926"/>
      <c r="AI109" s="926"/>
    </row>
    <row r="110" spans="1:35" x14ac:dyDescent="0.3">
      <c r="A110" s="926"/>
      <c r="B110" s="609"/>
      <c r="C110" s="962"/>
      <c r="D110" s="40"/>
      <c r="E110" s="40"/>
      <c r="F110" s="40"/>
      <c r="G110" s="2379"/>
      <c r="H110" s="2380"/>
      <c r="I110" s="2380"/>
      <c r="J110" s="2380"/>
      <c r="K110" s="2380"/>
      <c r="L110" s="2380"/>
      <c r="M110" s="2380"/>
      <c r="N110" s="2380"/>
      <c r="O110" s="2380"/>
      <c r="P110" s="2381"/>
      <c r="Q110" s="40"/>
      <c r="R110" s="40"/>
      <c r="S110" s="40"/>
      <c r="T110" s="963"/>
      <c r="U110" s="609"/>
      <c r="V110" s="926"/>
      <c r="W110" s="926"/>
      <c r="X110" s="926"/>
      <c r="Y110" s="926"/>
      <c r="Z110" s="926"/>
      <c r="AA110" s="926"/>
      <c r="AB110" s="926"/>
      <c r="AC110" s="926"/>
      <c r="AD110" s="926"/>
      <c r="AE110" s="926"/>
      <c r="AF110" s="926"/>
      <c r="AG110" s="926"/>
      <c r="AH110" s="926"/>
      <c r="AI110" s="926"/>
    </row>
    <row r="111" spans="1:35" x14ac:dyDescent="0.3">
      <c r="A111" s="926"/>
      <c r="B111" s="609"/>
      <c r="C111" s="962"/>
      <c r="D111" s="40"/>
      <c r="E111" s="40"/>
      <c r="F111" s="40"/>
      <c r="G111" s="2379"/>
      <c r="H111" s="2380"/>
      <c r="I111" s="2380"/>
      <c r="J111" s="2380"/>
      <c r="K111" s="2380"/>
      <c r="L111" s="2380"/>
      <c r="M111" s="2380"/>
      <c r="N111" s="2380"/>
      <c r="O111" s="2380"/>
      <c r="P111" s="2381"/>
      <c r="Q111" s="40"/>
      <c r="R111" s="40"/>
      <c r="S111" s="40"/>
      <c r="T111" s="963"/>
      <c r="U111" s="609"/>
      <c r="V111" s="926"/>
      <c r="W111" s="926"/>
      <c r="X111" s="926"/>
      <c r="Y111" s="926"/>
      <c r="Z111" s="926"/>
      <c r="AA111" s="926"/>
      <c r="AB111" s="926"/>
      <c r="AC111" s="926"/>
      <c r="AD111" s="926"/>
      <c r="AE111" s="926"/>
      <c r="AF111" s="926"/>
      <c r="AG111" s="926"/>
      <c r="AH111" s="926"/>
      <c r="AI111" s="926"/>
    </row>
    <row r="112" spans="1:35" x14ac:dyDescent="0.3">
      <c r="A112" s="926"/>
      <c r="B112" s="609"/>
      <c r="C112" s="962"/>
      <c r="D112" s="40"/>
      <c r="E112" s="40"/>
      <c r="F112" s="40"/>
      <c r="G112" s="2379"/>
      <c r="H112" s="2380"/>
      <c r="I112" s="2380"/>
      <c r="J112" s="2380"/>
      <c r="K112" s="2380"/>
      <c r="L112" s="2380"/>
      <c r="M112" s="2380"/>
      <c r="N112" s="2380"/>
      <c r="O112" s="2380"/>
      <c r="P112" s="2381"/>
      <c r="Q112" s="40"/>
      <c r="R112" s="40"/>
      <c r="S112" s="40"/>
      <c r="T112" s="963"/>
      <c r="U112" s="609"/>
      <c r="V112" s="926"/>
      <c r="W112" s="926"/>
      <c r="X112" s="926"/>
      <c r="Y112" s="926"/>
      <c r="Z112" s="926"/>
      <c r="AA112" s="926"/>
      <c r="AB112" s="926"/>
      <c r="AC112" s="926"/>
      <c r="AD112" s="926"/>
      <c r="AE112" s="926"/>
      <c r="AF112" s="926"/>
      <c r="AG112" s="926"/>
      <c r="AH112" s="926"/>
      <c r="AI112" s="926"/>
    </row>
    <row r="113" spans="1:35" x14ac:dyDescent="0.3">
      <c r="A113" s="926"/>
      <c r="B113" s="609"/>
      <c r="C113" s="962"/>
      <c r="D113" s="40"/>
      <c r="E113" s="40"/>
      <c r="F113" s="40"/>
      <c r="G113" s="2379"/>
      <c r="H113" s="2380"/>
      <c r="I113" s="2380"/>
      <c r="J113" s="2380"/>
      <c r="K113" s="2380"/>
      <c r="L113" s="2380"/>
      <c r="M113" s="2380"/>
      <c r="N113" s="2380"/>
      <c r="O113" s="2380"/>
      <c r="P113" s="2381"/>
      <c r="Q113" s="40"/>
      <c r="R113" s="40"/>
      <c r="S113" s="40"/>
      <c r="T113" s="963"/>
      <c r="U113" s="609"/>
      <c r="V113" s="926"/>
      <c r="W113" s="926"/>
      <c r="X113" s="926"/>
      <c r="Y113" s="926"/>
      <c r="Z113" s="926"/>
      <c r="AA113" s="926"/>
      <c r="AB113" s="926"/>
      <c r="AC113" s="926"/>
      <c r="AD113" s="926"/>
      <c r="AE113" s="926"/>
      <c r="AF113" s="926"/>
      <c r="AG113" s="926"/>
      <c r="AH113" s="926"/>
      <c r="AI113" s="926"/>
    </row>
    <row r="114" spans="1:35" x14ac:dyDescent="0.3">
      <c r="A114" s="926"/>
      <c r="B114" s="609"/>
      <c r="C114" s="962"/>
      <c r="D114" s="40"/>
      <c r="E114" s="40"/>
      <c r="F114" s="40"/>
      <c r="G114" s="2379"/>
      <c r="H114" s="2380"/>
      <c r="I114" s="2380"/>
      <c r="J114" s="2380"/>
      <c r="K114" s="2380"/>
      <c r="L114" s="2380"/>
      <c r="M114" s="2380"/>
      <c r="N114" s="2380"/>
      <c r="O114" s="2380"/>
      <c r="P114" s="2381"/>
      <c r="Q114" s="40"/>
      <c r="R114" s="40"/>
      <c r="S114" s="40"/>
      <c r="T114" s="963"/>
      <c r="U114" s="609"/>
      <c r="V114" s="926"/>
      <c r="W114" s="926"/>
      <c r="X114" s="926"/>
      <c r="Y114" s="926"/>
      <c r="Z114" s="926"/>
      <c r="AA114" s="926"/>
      <c r="AB114" s="926"/>
      <c r="AC114" s="926"/>
      <c r="AD114" s="926"/>
      <c r="AE114" s="926"/>
      <c r="AF114" s="926"/>
      <c r="AG114" s="926"/>
      <c r="AH114" s="926"/>
      <c r="AI114" s="926"/>
    </row>
    <row r="115" spans="1:35" x14ac:dyDescent="0.3">
      <c r="A115" s="926"/>
      <c r="B115" s="609"/>
      <c r="C115" s="962"/>
      <c r="D115" s="40"/>
      <c r="E115" s="40"/>
      <c r="F115" s="40"/>
      <c r="G115" s="2379"/>
      <c r="H115" s="2380"/>
      <c r="I115" s="2380"/>
      <c r="J115" s="2380"/>
      <c r="K115" s="2380"/>
      <c r="L115" s="2380"/>
      <c r="M115" s="2380"/>
      <c r="N115" s="2380"/>
      <c r="O115" s="2380"/>
      <c r="P115" s="2381"/>
      <c r="Q115" s="40"/>
      <c r="R115" s="40"/>
      <c r="S115" s="40"/>
      <c r="T115" s="963"/>
      <c r="U115" s="609"/>
      <c r="V115" s="926"/>
      <c r="W115" s="926"/>
      <c r="X115" s="926"/>
      <c r="Y115" s="926"/>
      <c r="Z115" s="926"/>
      <c r="AA115" s="926"/>
      <c r="AB115" s="926"/>
      <c r="AC115" s="926"/>
      <c r="AD115" s="926"/>
      <c r="AE115" s="926"/>
      <c r="AF115" s="926"/>
      <c r="AG115" s="926"/>
      <c r="AH115" s="926"/>
      <c r="AI115" s="926"/>
    </row>
    <row r="116" spans="1:35" ht="15" thickBot="1" x14ac:dyDescent="0.35">
      <c r="A116" s="926"/>
      <c r="B116" s="609"/>
      <c r="C116" s="962"/>
      <c r="D116" s="40"/>
      <c r="E116" s="40"/>
      <c r="F116" s="40"/>
      <c r="G116" s="2382"/>
      <c r="H116" s="2383"/>
      <c r="I116" s="2383"/>
      <c r="J116" s="2383"/>
      <c r="K116" s="2383"/>
      <c r="L116" s="2383"/>
      <c r="M116" s="2383"/>
      <c r="N116" s="2383"/>
      <c r="O116" s="2383"/>
      <c r="P116" s="2384"/>
      <c r="Q116" s="40"/>
      <c r="R116" s="40"/>
      <c r="S116" s="40"/>
      <c r="T116" s="963"/>
      <c r="U116" s="609"/>
      <c r="V116" s="926"/>
      <c r="W116" s="926"/>
      <c r="X116" s="926"/>
      <c r="Y116" s="926"/>
      <c r="Z116" s="926"/>
      <c r="AA116" s="926"/>
      <c r="AB116" s="926"/>
      <c r="AC116" s="926"/>
      <c r="AD116" s="926"/>
      <c r="AE116" s="926"/>
      <c r="AF116" s="926"/>
      <c r="AG116" s="926"/>
      <c r="AH116" s="926"/>
      <c r="AI116" s="926"/>
    </row>
    <row r="117" spans="1:35" ht="15.6" thickTop="1" thickBot="1" x14ac:dyDescent="0.35">
      <c r="A117" s="926"/>
      <c r="B117" s="609"/>
      <c r="C117" s="962"/>
      <c r="D117" s="40"/>
      <c r="E117" s="40"/>
      <c r="F117" s="40"/>
      <c r="G117" s="40"/>
      <c r="H117" s="40"/>
      <c r="I117" s="40"/>
      <c r="J117" s="40"/>
      <c r="K117" s="40"/>
      <c r="L117" s="40"/>
      <c r="M117" s="40"/>
      <c r="N117" s="40"/>
      <c r="O117" s="40"/>
      <c r="P117" s="40"/>
      <c r="Q117" s="40"/>
      <c r="R117" s="40"/>
      <c r="S117" s="40"/>
      <c r="T117" s="963"/>
      <c r="U117" s="609"/>
      <c r="V117" s="926"/>
      <c r="W117" s="926"/>
      <c r="X117" s="926"/>
      <c r="Y117" s="926"/>
      <c r="Z117" s="926"/>
      <c r="AA117" s="926"/>
      <c r="AB117" s="926"/>
      <c r="AC117" s="926"/>
      <c r="AD117" s="926"/>
      <c r="AE117" s="926"/>
      <c r="AF117" s="926"/>
      <c r="AG117" s="926"/>
      <c r="AH117" s="926"/>
      <c r="AI117" s="926"/>
    </row>
    <row r="118" spans="1:35" ht="15" thickTop="1" x14ac:dyDescent="0.3">
      <c r="A118" s="926"/>
      <c r="B118" s="609"/>
      <c r="C118" s="962"/>
      <c r="D118" s="40"/>
      <c r="E118" s="40"/>
      <c r="F118" s="40"/>
      <c r="G118" s="2376" t="s">
        <v>56</v>
      </c>
      <c r="H118" s="2377"/>
      <c r="I118" s="2377"/>
      <c r="J118" s="2377"/>
      <c r="K118" s="2377"/>
      <c r="L118" s="2377"/>
      <c r="M118" s="2377"/>
      <c r="N118" s="2377"/>
      <c r="O118" s="2377"/>
      <c r="P118" s="2378"/>
      <c r="Q118" s="40"/>
      <c r="R118" s="40"/>
      <c r="S118" s="40"/>
      <c r="T118" s="963"/>
      <c r="U118" s="609"/>
      <c r="V118" s="926"/>
      <c r="W118" s="926"/>
      <c r="X118" s="926"/>
      <c r="Y118" s="926"/>
      <c r="Z118" s="926"/>
      <c r="AA118" s="926"/>
      <c r="AB118" s="926"/>
      <c r="AC118" s="926"/>
      <c r="AD118" s="926"/>
      <c r="AE118" s="926"/>
      <c r="AF118" s="926"/>
      <c r="AG118" s="926"/>
      <c r="AH118" s="926"/>
      <c r="AI118" s="926"/>
    </row>
    <row r="119" spans="1:35" x14ac:dyDescent="0.3">
      <c r="A119" s="926"/>
      <c r="B119" s="609"/>
      <c r="C119" s="962"/>
      <c r="D119" s="40"/>
      <c r="E119" s="40"/>
      <c r="F119" s="40"/>
      <c r="G119" s="2379"/>
      <c r="H119" s="2380"/>
      <c r="I119" s="2380"/>
      <c r="J119" s="2380"/>
      <c r="K119" s="2380"/>
      <c r="L119" s="2380"/>
      <c r="M119" s="2380"/>
      <c r="N119" s="2380"/>
      <c r="O119" s="2380"/>
      <c r="P119" s="2381"/>
      <c r="Q119" s="40"/>
      <c r="R119" s="40"/>
      <c r="S119" s="40"/>
      <c r="T119" s="963"/>
      <c r="U119" s="609"/>
      <c r="V119" s="926"/>
      <c r="W119" s="926"/>
      <c r="X119" s="926"/>
      <c r="Y119" s="926"/>
      <c r="Z119" s="926"/>
      <c r="AA119" s="926"/>
      <c r="AB119" s="926"/>
      <c r="AC119" s="926"/>
      <c r="AD119" s="926"/>
      <c r="AE119" s="926"/>
      <c r="AF119" s="926"/>
      <c r="AG119" s="926"/>
      <c r="AH119" s="926"/>
      <c r="AI119" s="926"/>
    </row>
    <row r="120" spans="1:35" x14ac:dyDescent="0.3">
      <c r="A120" s="926"/>
      <c r="B120" s="609"/>
      <c r="C120" s="962"/>
      <c r="D120" s="40"/>
      <c r="E120" s="40"/>
      <c r="F120" s="40"/>
      <c r="G120" s="2379"/>
      <c r="H120" s="2380"/>
      <c r="I120" s="2380"/>
      <c r="J120" s="2380"/>
      <c r="K120" s="2380"/>
      <c r="L120" s="2380"/>
      <c r="M120" s="2380"/>
      <c r="N120" s="2380"/>
      <c r="O120" s="2380"/>
      <c r="P120" s="2381"/>
      <c r="Q120" s="40"/>
      <c r="R120" s="40"/>
      <c r="S120" s="40"/>
      <c r="T120" s="963"/>
      <c r="U120" s="609"/>
      <c r="V120" s="926"/>
      <c r="W120" s="926"/>
      <c r="X120" s="926"/>
      <c r="Y120" s="926"/>
      <c r="Z120" s="926"/>
      <c r="AA120" s="926"/>
      <c r="AB120" s="926"/>
      <c r="AC120" s="926"/>
      <c r="AD120" s="926"/>
      <c r="AE120" s="926"/>
      <c r="AF120" s="926"/>
      <c r="AG120" s="926"/>
      <c r="AH120" s="926"/>
      <c r="AI120" s="926"/>
    </row>
    <row r="121" spans="1:35" x14ac:dyDescent="0.3">
      <c r="A121" s="926"/>
      <c r="B121" s="609"/>
      <c r="C121" s="962"/>
      <c r="D121" s="40"/>
      <c r="E121" s="40"/>
      <c r="F121" s="40"/>
      <c r="G121" s="2379"/>
      <c r="H121" s="2380"/>
      <c r="I121" s="2380"/>
      <c r="J121" s="2380"/>
      <c r="K121" s="2380"/>
      <c r="L121" s="2380"/>
      <c r="M121" s="2380"/>
      <c r="N121" s="2380"/>
      <c r="O121" s="2380"/>
      <c r="P121" s="2381"/>
      <c r="Q121" s="40"/>
      <c r="R121" s="40"/>
      <c r="S121" s="40"/>
      <c r="T121" s="963"/>
      <c r="U121" s="609"/>
      <c r="V121" s="926"/>
      <c r="W121" s="926"/>
      <c r="X121" s="926"/>
      <c r="Y121" s="926"/>
      <c r="Z121" s="926"/>
      <c r="AA121" s="926"/>
      <c r="AB121" s="926"/>
      <c r="AC121" s="926"/>
      <c r="AD121" s="926"/>
      <c r="AE121" s="926"/>
      <c r="AF121" s="926"/>
      <c r="AG121" s="926"/>
      <c r="AH121" s="926"/>
      <c r="AI121" s="926"/>
    </row>
    <row r="122" spans="1:35" x14ac:dyDescent="0.3">
      <c r="A122" s="926"/>
      <c r="B122" s="609"/>
      <c r="C122" s="962"/>
      <c r="D122" s="40"/>
      <c r="E122" s="40"/>
      <c r="F122" s="40"/>
      <c r="G122" s="2379"/>
      <c r="H122" s="2380"/>
      <c r="I122" s="2380"/>
      <c r="J122" s="2380"/>
      <c r="K122" s="2380"/>
      <c r="L122" s="2380"/>
      <c r="M122" s="2380"/>
      <c r="N122" s="2380"/>
      <c r="O122" s="2380"/>
      <c r="P122" s="2381"/>
      <c r="Q122" s="40"/>
      <c r="R122" s="40"/>
      <c r="S122" s="40"/>
      <c r="T122" s="963"/>
      <c r="U122" s="609"/>
      <c r="V122" s="926"/>
      <c r="W122" s="926"/>
      <c r="X122" s="926"/>
      <c r="Y122" s="926"/>
      <c r="Z122" s="926"/>
      <c r="AA122" s="926"/>
      <c r="AB122" s="926"/>
      <c r="AC122" s="926"/>
      <c r="AD122" s="926"/>
      <c r="AE122" s="926"/>
      <c r="AF122" s="926"/>
      <c r="AG122" s="926"/>
      <c r="AH122" s="926"/>
      <c r="AI122" s="926"/>
    </row>
    <row r="123" spans="1:35" x14ac:dyDescent="0.3">
      <c r="A123" s="926"/>
      <c r="B123" s="609"/>
      <c r="C123" s="962"/>
      <c r="D123" s="40"/>
      <c r="E123" s="40"/>
      <c r="F123" s="40"/>
      <c r="G123" s="2379"/>
      <c r="H123" s="2380"/>
      <c r="I123" s="2380"/>
      <c r="J123" s="2380"/>
      <c r="K123" s="2380"/>
      <c r="L123" s="2380"/>
      <c r="M123" s="2380"/>
      <c r="N123" s="2380"/>
      <c r="O123" s="2380"/>
      <c r="P123" s="2381"/>
      <c r="Q123" s="40"/>
      <c r="R123" s="40"/>
      <c r="S123" s="40"/>
      <c r="T123" s="963"/>
      <c r="U123" s="609"/>
      <c r="V123" s="926"/>
      <c r="W123" s="926"/>
      <c r="X123" s="926"/>
      <c r="Y123" s="926"/>
      <c r="Z123" s="926"/>
      <c r="AA123" s="926"/>
      <c r="AB123" s="926"/>
      <c r="AC123" s="926"/>
      <c r="AD123" s="926"/>
      <c r="AE123" s="926"/>
      <c r="AF123" s="926"/>
      <c r="AG123" s="926"/>
      <c r="AH123" s="926"/>
      <c r="AI123" s="926"/>
    </row>
    <row r="124" spans="1:35" ht="15" thickBot="1" x14ac:dyDescent="0.35">
      <c r="A124" s="926"/>
      <c r="B124" s="609"/>
      <c r="C124" s="962"/>
      <c r="D124" s="40"/>
      <c r="E124" s="40"/>
      <c r="F124" s="40"/>
      <c r="G124" s="2382"/>
      <c r="H124" s="2383"/>
      <c r="I124" s="2383"/>
      <c r="J124" s="2383"/>
      <c r="K124" s="2383"/>
      <c r="L124" s="2383"/>
      <c r="M124" s="2383"/>
      <c r="N124" s="2383"/>
      <c r="O124" s="2383"/>
      <c r="P124" s="2384"/>
      <c r="Q124" s="40"/>
      <c r="R124" s="40"/>
      <c r="S124" s="40"/>
      <c r="T124" s="963"/>
      <c r="U124" s="609"/>
      <c r="V124" s="926"/>
      <c r="W124" s="926"/>
      <c r="X124" s="926"/>
      <c r="Y124" s="926"/>
      <c r="Z124" s="926"/>
      <c r="AA124" s="926"/>
      <c r="AB124" s="926"/>
      <c r="AC124" s="926"/>
      <c r="AD124" s="926"/>
      <c r="AE124" s="926"/>
      <c r="AF124" s="926"/>
      <c r="AG124" s="926"/>
      <c r="AH124" s="926"/>
      <c r="AI124" s="926"/>
    </row>
    <row r="125" spans="1:35" ht="15" thickTop="1" x14ac:dyDescent="0.3">
      <c r="A125" s="926"/>
      <c r="B125" s="609"/>
      <c r="C125" s="962"/>
      <c r="D125" s="40"/>
      <c r="E125" s="40"/>
      <c r="F125" s="40"/>
      <c r="G125" s="40"/>
      <c r="H125" s="40"/>
      <c r="I125" s="40"/>
      <c r="J125" s="40"/>
      <c r="K125" s="40"/>
      <c r="L125" s="40"/>
      <c r="M125" s="40"/>
      <c r="N125" s="40"/>
      <c r="O125" s="40"/>
      <c r="P125" s="40"/>
      <c r="Q125" s="40"/>
      <c r="R125" s="40"/>
      <c r="S125" s="40"/>
      <c r="T125" s="963"/>
      <c r="U125" s="609"/>
      <c r="V125" s="926"/>
      <c r="W125" s="926"/>
      <c r="X125" s="926"/>
      <c r="Y125" s="926"/>
      <c r="Z125" s="926"/>
      <c r="AA125" s="926"/>
      <c r="AB125" s="926"/>
      <c r="AC125" s="926"/>
      <c r="AD125" s="926"/>
      <c r="AE125" s="926"/>
      <c r="AF125" s="926"/>
      <c r="AG125" s="926"/>
      <c r="AH125" s="926"/>
      <c r="AI125" s="926"/>
    </row>
    <row r="126" spans="1:35" x14ac:dyDescent="0.3">
      <c r="A126" s="926"/>
      <c r="B126" s="609"/>
      <c r="C126" s="962"/>
      <c r="D126" s="40"/>
      <c r="E126" s="40"/>
      <c r="F126" s="40"/>
      <c r="G126" s="40"/>
      <c r="H126" s="40"/>
      <c r="I126" s="40"/>
      <c r="J126" s="40"/>
      <c r="K126" s="40"/>
      <c r="L126" s="40"/>
      <c r="M126" s="40"/>
      <c r="N126" s="40"/>
      <c r="O126" s="40"/>
      <c r="P126" s="40"/>
      <c r="Q126" s="40"/>
      <c r="R126" s="40"/>
      <c r="S126" s="40"/>
      <c r="T126" s="963"/>
      <c r="U126" s="609"/>
      <c r="V126" s="926"/>
      <c r="W126" s="926"/>
      <c r="X126" s="926"/>
      <c r="Y126" s="926"/>
      <c r="Z126" s="926"/>
      <c r="AA126" s="926"/>
      <c r="AB126" s="926"/>
      <c r="AC126" s="926"/>
      <c r="AD126" s="926"/>
      <c r="AE126" s="926"/>
      <c r="AF126" s="926"/>
      <c r="AG126" s="926"/>
      <c r="AH126" s="926"/>
      <c r="AI126" s="926"/>
    </row>
    <row r="127" spans="1:35" ht="15" thickBot="1" x14ac:dyDescent="0.35">
      <c r="A127" s="926"/>
      <c r="B127" s="609"/>
      <c r="C127" s="962"/>
      <c r="D127" s="40"/>
      <c r="E127" s="40"/>
      <c r="F127" s="40"/>
      <c r="G127" s="40"/>
      <c r="H127" s="40"/>
      <c r="I127" s="40"/>
      <c r="J127" s="40"/>
      <c r="K127" s="40"/>
      <c r="L127" s="40"/>
      <c r="M127" s="40"/>
      <c r="N127" s="40"/>
      <c r="O127" s="40"/>
      <c r="P127" s="40"/>
      <c r="Q127" s="40"/>
      <c r="R127" s="40"/>
      <c r="S127" s="40"/>
      <c r="T127" s="963"/>
      <c r="U127" s="609"/>
      <c r="V127" s="926"/>
      <c r="W127" s="926"/>
      <c r="X127" s="926"/>
      <c r="Y127" s="926"/>
      <c r="Z127" s="926"/>
      <c r="AA127" s="926"/>
      <c r="AB127" s="926"/>
      <c r="AC127" s="926"/>
      <c r="AD127" s="926"/>
      <c r="AE127" s="926"/>
      <c r="AF127" s="926"/>
      <c r="AG127" s="926"/>
      <c r="AH127" s="926"/>
      <c r="AI127" s="926"/>
    </row>
    <row r="128" spans="1:35" ht="15" thickBot="1" x14ac:dyDescent="0.35">
      <c r="A128" s="926"/>
      <c r="B128" s="609"/>
      <c r="C128" s="962"/>
      <c r="D128" s="40"/>
      <c r="E128" s="40"/>
      <c r="F128" s="40"/>
      <c r="G128" s="40"/>
      <c r="H128" s="40"/>
      <c r="I128" s="40"/>
      <c r="J128" s="40"/>
      <c r="K128" s="2356" t="s">
        <v>57</v>
      </c>
      <c r="L128" s="2357"/>
      <c r="M128" s="40"/>
      <c r="N128" s="40"/>
      <c r="O128" s="40"/>
      <c r="P128" s="40"/>
      <c r="Q128" s="40"/>
      <c r="R128" s="40"/>
      <c r="S128" s="40"/>
      <c r="T128" s="963"/>
      <c r="U128" s="609"/>
      <c r="V128" s="926"/>
      <c r="W128" s="926"/>
      <c r="X128" s="926"/>
      <c r="Y128" s="926"/>
      <c r="Z128" s="926"/>
      <c r="AA128" s="926"/>
      <c r="AB128" s="926"/>
      <c r="AC128" s="926"/>
      <c r="AD128" s="926"/>
      <c r="AE128" s="926"/>
      <c r="AF128" s="926"/>
      <c r="AG128" s="926"/>
      <c r="AH128" s="926"/>
      <c r="AI128" s="926"/>
    </row>
    <row r="129" spans="1:35" ht="15.6" thickTop="1" thickBot="1" x14ac:dyDescent="0.35">
      <c r="A129" s="926"/>
      <c r="B129" s="609"/>
      <c r="C129" s="962"/>
      <c r="D129" s="40"/>
      <c r="E129" s="40"/>
      <c r="F129" s="40"/>
      <c r="G129" s="40"/>
      <c r="H129" s="40"/>
      <c r="I129" s="40"/>
      <c r="J129" s="40"/>
      <c r="K129" s="2358"/>
      <c r="L129" s="2359"/>
      <c r="M129" s="40"/>
      <c r="N129" s="40"/>
      <c r="O129" s="40"/>
      <c r="P129" s="40"/>
      <c r="Q129" s="40"/>
      <c r="R129" s="40"/>
      <c r="S129" s="40"/>
      <c r="T129" s="963"/>
      <c r="U129" s="609"/>
      <c r="V129" s="926"/>
      <c r="W129" s="926"/>
      <c r="X129" s="926"/>
      <c r="Y129" s="926"/>
      <c r="Z129" s="926"/>
      <c r="AA129" s="926"/>
      <c r="AB129" s="926"/>
      <c r="AC129" s="926"/>
      <c r="AD129" s="926"/>
      <c r="AE129" s="926"/>
      <c r="AF129" s="926"/>
      <c r="AG129" s="926"/>
      <c r="AH129" s="926"/>
      <c r="AI129" s="926"/>
    </row>
    <row r="130" spans="1:35" ht="15.6" thickTop="1" thickBot="1" x14ac:dyDescent="0.35">
      <c r="A130" s="926"/>
      <c r="B130" s="609"/>
      <c r="C130" s="962"/>
      <c r="D130" s="40"/>
      <c r="E130" s="40"/>
      <c r="F130" s="40"/>
      <c r="G130" s="40"/>
      <c r="H130" s="40"/>
      <c r="I130" s="40"/>
      <c r="J130" s="40"/>
      <c r="K130" s="2360"/>
      <c r="L130" s="2361"/>
      <c r="M130" s="40"/>
      <c r="N130" s="40"/>
      <c r="O130" s="40"/>
      <c r="P130" s="40"/>
      <c r="Q130" s="40"/>
      <c r="R130" s="40"/>
      <c r="S130" s="40"/>
      <c r="T130" s="963"/>
      <c r="U130" s="609"/>
      <c r="V130" s="926"/>
      <c r="W130" s="926"/>
      <c r="X130" s="926"/>
      <c r="Y130" s="926"/>
      <c r="Z130" s="926"/>
      <c r="AA130" s="926"/>
      <c r="AB130" s="926"/>
      <c r="AC130" s="926"/>
      <c r="AD130" s="926"/>
      <c r="AE130" s="926"/>
      <c r="AF130" s="926"/>
      <c r="AG130" s="926"/>
      <c r="AH130" s="926"/>
      <c r="AI130" s="926"/>
    </row>
    <row r="131" spans="1:35" ht="15" thickBot="1" x14ac:dyDescent="0.35">
      <c r="A131" s="926"/>
      <c r="B131" s="609"/>
      <c r="C131" s="964"/>
      <c r="D131" s="965"/>
      <c r="E131" s="965"/>
      <c r="F131" s="965"/>
      <c r="G131" s="965"/>
      <c r="H131" s="965"/>
      <c r="I131" s="965"/>
      <c r="J131" s="965"/>
      <c r="K131" s="965"/>
      <c r="L131" s="965"/>
      <c r="M131" s="965"/>
      <c r="N131" s="965"/>
      <c r="O131" s="965"/>
      <c r="P131" s="965"/>
      <c r="Q131" s="965"/>
      <c r="R131" s="965"/>
      <c r="S131" s="965"/>
      <c r="T131" s="966"/>
      <c r="U131" s="609"/>
      <c r="V131" s="926"/>
      <c r="W131" s="926"/>
      <c r="X131" s="926"/>
      <c r="Y131" s="926"/>
      <c r="Z131" s="926"/>
      <c r="AA131" s="926"/>
      <c r="AB131" s="926"/>
      <c r="AC131" s="926"/>
      <c r="AD131" s="926"/>
      <c r="AE131" s="926"/>
      <c r="AF131" s="926"/>
      <c r="AG131" s="926"/>
      <c r="AH131" s="926"/>
      <c r="AI131" s="926"/>
    </row>
    <row r="132" spans="1:35" x14ac:dyDescent="0.3">
      <c r="A132" s="926"/>
      <c r="B132" s="609"/>
      <c r="C132" s="609"/>
      <c r="D132" s="609"/>
      <c r="E132" s="609"/>
      <c r="F132" s="609"/>
      <c r="G132" s="609"/>
      <c r="H132" s="609"/>
      <c r="I132" s="609"/>
      <c r="J132" s="609"/>
      <c r="K132" s="609"/>
      <c r="L132" s="609"/>
      <c r="M132" s="609"/>
      <c r="N132" s="609"/>
      <c r="O132" s="609"/>
      <c r="P132" s="609"/>
      <c r="Q132" s="609"/>
      <c r="R132" s="609"/>
      <c r="S132" s="609"/>
      <c r="T132" s="609"/>
      <c r="U132" s="609"/>
      <c r="V132" s="926"/>
      <c r="W132" s="926"/>
      <c r="X132" s="926"/>
      <c r="Y132" s="926"/>
      <c r="Z132" s="926"/>
      <c r="AA132" s="926"/>
      <c r="AB132" s="926"/>
      <c r="AC132" s="926"/>
      <c r="AD132" s="926"/>
      <c r="AE132" s="926"/>
      <c r="AF132" s="926"/>
      <c r="AG132" s="926"/>
      <c r="AH132" s="926"/>
      <c r="AI132" s="926"/>
    </row>
    <row r="133" spans="1:35" ht="15" customHeight="1" thickBot="1" x14ac:dyDescent="0.35">
      <c r="A133" s="926"/>
      <c r="B133" s="926"/>
      <c r="C133" s="1059"/>
      <c r="D133" s="923"/>
      <c r="E133" s="923"/>
      <c r="F133" s="923"/>
      <c r="G133" s="923"/>
      <c r="H133" s="923"/>
      <c r="I133" s="923"/>
      <c r="J133" s="923"/>
      <c r="K133" s="923"/>
      <c r="L133" s="923"/>
      <c r="M133" s="923"/>
      <c r="N133" s="923"/>
      <c r="O133" s="923"/>
      <c r="P133" s="923"/>
      <c r="Q133" s="923"/>
      <c r="R133" s="923"/>
      <c r="S133" s="923"/>
      <c r="T133" s="1059"/>
      <c r="U133" s="926"/>
      <c r="V133" s="926"/>
      <c r="W133" s="926"/>
      <c r="X133" s="926"/>
      <c r="Y133" s="926"/>
      <c r="Z133" s="926"/>
      <c r="AA133" s="926"/>
      <c r="AB133" s="926"/>
      <c r="AC133" s="926"/>
      <c r="AD133" s="926"/>
      <c r="AE133" s="926"/>
      <c r="AF133" s="926"/>
      <c r="AG133" s="926"/>
      <c r="AH133" s="926"/>
      <c r="AI133" s="926"/>
    </row>
    <row r="134" spans="1:35" ht="15.75" customHeight="1" thickBot="1" x14ac:dyDescent="0.35">
      <c r="A134" s="926"/>
      <c r="B134" s="926"/>
      <c r="C134" s="923"/>
      <c r="D134" s="923"/>
      <c r="E134" s="923"/>
      <c r="F134" s="2362" t="s">
        <v>0</v>
      </c>
      <c r="G134" s="2363"/>
      <c r="H134" s="2345" t="s">
        <v>1</v>
      </c>
      <c r="I134" s="2346"/>
      <c r="J134" s="2345" t="s">
        <v>2</v>
      </c>
      <c r="K134" s="2346"/>
      <c r="L134" s="2345" t="s">
        <v>3</v>
      </c>
      <c r="M134" s="2346"/>
      <c r="N134" s="2345" t="s">
        <v>4</v>
      </c>
      <c r="O134" s="2346"/>
      <c r="P134" s="2345" t="s">
        <v>5</v>
      </c>
      <c r="Q134" s="2346"/>
      <c r="R134" s="1739"/>
      <c r="S134" s="926"/>
      <c r="T134" s="926"/>
      <c r="U134" s="926"/>
      <c r="V134" s="926"/>
      <c r="W134" s="926"/>
      <c r="X134" s="926"/>
      <c r="Y134" s="926"/>
      <c r="Z134" s="926"/>
      <c r="AA134" s="926"/>
      <c r="AB134" s="926"/>
      <c r="AC134" s="926"/>
      <c r="AD134" s="926"/>
      <c r="AE134" s="926"/>
      <c r="AF134" s="926"/>
      <c r="AG134" s="926"/>
      <c r="AH134" s="926"/>
      <c r="AI134" s="926"/>
    </row>
    <row r="135" spans="1:35" ht="16.8" thickTop="1" thickBot="1" x14ac:dyDescent="0.35">
      <c r="A135" s="926"/>
      <c r="B135" s="926"/>
      <c r="C135" s="923"/>
      <c r="D135" s="923"/>
      <c r="E135" s="923"/>
      <c r="F135" s="2364"/>
      <c r="G135" s="2365"/>
      <c r="H135" s="2347"/>
      <c r="I135" s="2348"/>
      <c r="J135" s="2347"/>
      <c r="K135" s="2348"/>
      <c r="L135" s="2347"/>
      <c r="M135" s="2348"/>
      <c r="N135" s="2347"/>
      <c r="O135" s="2348"/>
      <c r="P135" s="2347"/>
      <c r="Q135" s="2348"/>
      <c r="R135" s="1739"/>
      <c r="S135" s="926"/>
      <c r="T135" s="926"/>
      <c r="U135" s="926"/>
      <c r="V135" s="926"/>
      <c r="W135" s="926"/>
      <c r="X135" s="926"/>
      <c r="Y135" s="926"/>
      <c r="Z135" s="926"/>
      <c r="AA135" s="926"/>
      <c r="AB135" s="926"/>
      <c r="AC135" s="926"/>
      <c r="AD135" s="926"/>
      <c r="AE135" s="926"/>
      <c r="AF135" s="926"/>
      <c r="AG135" s="926"/>
      <c r="AH135" s="926"/>
      <c r="AI135" s="926"/>
    </row>
    <row r="136" spans="1:35" ht="17.25" customHeight="1" thickTop="1" thickBot="1" x14ac:dyDescent="0.35">
      <c r="A136" s="926"/>
      <c r="B136" s="926"/>
      <c r="C136" s="2345" t="s">
        <v>6</v>
      </c>
      <c r="D136" s="2351"/>
      <c r="E136" s="923"/>
      <c r="F136" s="2366"/>
      <c r="G136" s="2367"/>
      <c r="H136" s="2349"/>
      <c r="I136" s="2350"/>
      <c r="J136" s="2349"/>
      <c r="K136" s="2350"/>
      <c r="L136" s="2349"/>
      <c r="M136" s="2350"/>
      <c r="N136" s="2349"/>
      <c r="O136" s="2350"/>
      <c r="P136" s="2349"/>
      <c r="Q136" s="2350"/>
      <c r="R136" s="926"/>
      <c r="S136" s="2356" t="s">
        <v>7</v>
      </c>
      <c r="T136" s="2357"/>
      <c r="U136" s="926"/>
      <c r="V136" s="926"/>
      <c r="W136" s="926"/>
      <c r="X136" s="926"/>
      <c r="Y136" s="926"/>
      <c r="Z136" s="926"/>
      <c r="AA136" s="926"/>
      <c r="AB136" s="926"/>
      <c r="AC136" s="926"/>
      <c r="AD136" s="926"/>
      <c r="AE136" s="926"/>
      <c r="AF136" s="926"/>
      <c r="AG136" s="926"/>
      <c r="AH136" s="926"/>
      <c r="AI136" s="926"/>
    </row>
    <row r="137" spans="1:35" ht="15.75" customHeight="1" thickTop="1" thickBot="1" x14ac:dyDescent="0.35">
      <c r="A137" s="926"/>
      <c r="B137" s="926"/>
      <c r="C137" s="2352"/>
      <c r="D137" s="2353"/>
      <c r="E137" s="923"/>
      <c r="F137" s="926"/>
      <c r="G137" s="2345" t="s">
        <v>8</v>
      </c>
      <c r="H137" s="2346"/>
      <c r="I137" s="2345" t="s">
        <v>9</v>
      </c>
      <c r="J137" s="2346"/>
      <c r="K137" s="2345" t="s">
        <v>10</v>
      </c>
      <c r="L137" s="2346"/>
      <c r="M137" s="2345" t="s">
        <v>11</v>
      </c>
      <c r="N137" s="2346"/>
      <c r="O137" s="2345" t="s">
        <v>12</v>
      </c>
      <c r="P137" s="2346"/>
      <c r="Q137" s="926"/>
      <c r="R137" s="926"/>
      <c r="S137" s="2358"/>
      <c r="T137" s="2359"/>
      <c r="U137" s="926"/>
      <c r="V137" s="926"/>
      <c r="W137" s="926"/>
      <c r="X137" s="926"/>
      <c r="Y137" s="926"/>
      <c r="Z137" s="926"/>
      <c r="AA137" s="926"/>
      <c r="AB137" s="926"/>
      <c r="AC137" s="926"/>
      <c r="AD137" s="926"/>
      <c r="AE137" s="926"/>
      <c r="AF137" s="926"/>
      <c r="AG137" s="926"/>
      <c r="AH137" s="926"/>
      <c r="AI137" s="926"/>
    </row>
    <row r="138" spans="1:35" ht="16.8" thickTop="1" thickBot="1" x14ac:dyDescent="0.35">
      <c r="A138" s="926"/>
      <c r="B138" s="926"/>
      <c r="C138" s="2354"/>
      <c r="D138" s="2355"/>
      <c r="E138" s="923"/>
      <c r="F138" s="926"/>
      <c r="G138" s="2347"/>
      <c r="H138" s="2348"/>
      <c r="I138" s="2347"/>
      <c r="J138" s="2348"/>
      <c r="K138" s="2347"/>
      <c r="L138" s="2348"/>
      <c r="M138" s="2347"/>
      <c r="N138" s="2348"/>
      <c r="O138" s="2347"/>
      <c r="P138" s="2348"/>
      <c r="Q138" s="926"/>
      <c r="R138" s="926"/>
      <c r="S138" s="2360"/>
      <c r="T138" s="2361"/>
      <c r="U138" s="926"/>
      <c r="V138" s="926"/>
      <c r="W138" s="926"/>
      <c r="X138" s="926"/>
      <c r="Y138" s="926"/>
      <c r="Z138" s="926"/>
      <c r="AA138" s="926"/>
      <c r="AB138" s="926"/>
      <c r="AC138" s="926"/>
      <c r="AD138" s="926"/>
      <c r="AE138" s="926"/>
      <c r="AF138" s="926"/>
      <c r="AG138" s="926"/>
      <c r="AH138" s="926"/>
      <c r="AI138" s="926"/>
    </row>
    <row r="139" spans="1:35" ht="16.8" thickTop="1" thickBot="1" x14ac:dyDescent="0.35">
      <c r="A139" s="926"/>
      <c r="B139" s="926"/>
      <c r="C139" s="923"/>
      <c r="D139" s="923"/>
      <c r="E139" s="923"/>
      <c r="F139" s="926"/>
      <c r="G139" s="2349"/>
      <c r="H139" s="2350"/>
      <c r="I139" s="2349"/>
      <c r="J139" s="2350"/>
      <c r="K139" s="2349"/>
      <c r="L139" s="2350"/>
      <c r="M139" s="2349"/>
      <c r="N139" s="2350"/>
      <c r="O139" s="2349"/>
      <c r="P139" s="2350"/>
      <c r="Q139" s="923"/>
      <c r="R139" s="923"/>
      <c r="S139" s="926"/>
      <c r="T139" s="926"/>
      <c r="U139" s="926"/>
      <c r="V139" s="926"/>
      <c r="W139" s="926"/>
      <c r="X139" s="926"/>
      <c r="Y139" s="926"/>
      <c r="Z139" s="926"/>
      <c r="AA139" s="926"/>
      <c r="AB139" s="926"/>
      <c r="AC139" s="926"/>
      <c r="AD139" s="926"/>
      <c r="AE139" s="926"/>
      <c r="AF139" s="926"/>
      <c r="AG139" s="926"/>
      <c r="AH139" s="926"/>
      <c r="AI139" s="926"/>
    </row>
    <row r="140" spans="1:35" x14ac:dyDescent="0.3">
      <c r="A140" s="926"/>
      <c r="B140" s="926"/>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row>
    <row r="141" spans="1:35" x14ac:dyDescent="0.3">
      <c r="A141" s="926"/>
      <c r="B141" s="926"/>
      <c r="C141" s="926"/>
      <c r="D141" s="926"/>
      <c r="E141" s="926"/>
      <c r="F141" s="926"/>
      <c r="G141" s="926"/>
      <c r="H141" s="926"/>
      <c r="I141" s="926"/>
      <c r="J141" s="926"/>
      <c r="K141" s="926"/>
      <c r="L141" s="926"/>
      <c r="M141" s="926"/>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row>
    <row r="142" spans="1:35" x14ac:dyDescent="0.3">
      <c r="A142" s="926"/>
      <c r="B142" s="926"/>
      <c r="C142" s="926"/>
      <c r="D142" s="926"/>
      <c r="E142" s="926"/>
      <c r="F142" s="926"/>
      <c r="G142" s="926"/>
      <c r="H142" s="926"/>
      <c r="I142" s="926"/>
      <c r="J142" s="926"/>
      <c r="K142" s="926"/>
      <c r="L142" s="926"/>
      <c r="M142" s="926"/>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row>
    <row r="143" spans="1:35" x14ac:dyDescent="0.3">
      <c r="A143" s="926"/>
      <c r="B143" s="926"/>
      <c r="C143" s="926"/>
      <c r="D143" s="926"/>
      <c r="E143" s="926"/>
      <c r="F143" s="926"/>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row>
    <row r="144" spans="1:35" x14ac:dyDescent="0.3">
      <c r="A144" s="926"/>
      <c r="B144" s="926"/>
      <c r="C144" s="926"/>
      <c r="D144" s="926"/>
      <c r="E144" s="926"/>
      <c r="F144" s="926"/>
      <c r="G144" s="926"/>
      <c r="H144" s="926"/>
      <c r="I144" s="926"/>
      <c r="J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row>
    <row r="145" spans="1:35" x14ac:dyDescent="0.3">
      <c r="A145" s="926"/>
      <c r="B145" s="926"/>
      <c r="C145" s="926"/>
      <c r="D145" s="926"/>
      <c r="E145" s="926"/>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row>
    <row r="146" spans="1:35" x14ac:dyDescent="0.3">
      <c r="A146" s="926"/>
      <c r="B146" s="926"/>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row>
    <row r="147" spans="1:35" x14ac:dyDescent="0.3">
      <c r="A147" s="926"/>
      <c r="B147" s="926"/>
      <c r="C147" s="926"/>
      <c r="D147" s="926"/>
      <c r="E147" s="926"/>
      <c r="F147" s="926"/>
      <c r="G147" s="926"/>
      <c r="H147" s="926"/>
      <c r="I147" s="926"/>
      <c r="J147" s="926"/>
      <c r="K147" s="926"/>
      <c r="L147" s="926"/>
      <c r="M147" s="926"/>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row>
    <row r="148" spans="1:35" x14ac:dyDescent="0.3">
      <c r="A148" s="926"/>
      <c r="B148" s="926"/>
      <c r="C148" s="926"/>
      <c r="D148" s="926"/>
      <c r="E148" s="926"/>
      <c r="F148" s="926"/>
      <c r="G148" s="926"/>
      <c r="H148" s="926"/>
      <c r="I148" s="926"/>
      <c r="J148" s="926"/>
      <c r="K148" s="926"/>
      <c r="L148" s="926"/>
      <c r="M148" s="926"/>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row>
    <row r="149" spans="1:35" x14ac:dyDescent="0.3">
      <c r="A149" s="926"/>
      <c r="B149" s="926"/>
      <c r="C149" s="926"/>
      <c r="D149" s="926"/>
      <c r="E149" s="926"/>
      <c r="F149" s="926"/>
      <c r="G149" s="926"/>
      <c r="H149" s="926"/>
      <c r="I149" s="926"/>
      <c r="J149" s="926"/>
      <c r="K149" s="926"/>
      <c r="L149" s="926"/>
      <c r="M149" s="926"/>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row>
    <row r="150" spans="1:35" x14ac:dyDescent="0.3">
      <c r="A150" s="926"/>
      <c r="B150" s="926"/>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row>
    <row r="151" spans="1:35" x14ac:dyDescent="0.3">
      <c r="A151" s="926"/>
      <c r="B151" s="926"/>
      <c r="C151" s="926"/>
      <c r="D151" s="926"/>
      <c r="E151" s="926"/>
      <c r="F151" s="926"/>
      <c r="G151" s="926"/>
      <c r="H151" s="926"/>
      <c r="I151" s="926"/>
      <c r="J151" s="926"/>
      <c r="K151" s="926"/>
      <c r="L151" s="926"/>
      <c r="M151" s="926"/>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row>
    <row r="152" spans="1:35" x14ac:dyDescent="0.3">
      <c r="A152" s="926"/>
      <c r="B152" s="926"/>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row>
    <row r="153" spans="1:35" x14ac:dyDescent="0.3">
      <c r="A153" s="926"/>
      <c r="B153" s="926"/>
      <c r="C153" s="926"/>
      <c r="D153" s="926"/>
      <c r="E153" s="926"/>
      <c r="F153" s="926"/>
      <c r="G153" s="926"/>
      <c r="H153" s="926"/>
      <c r="I153" s="926"/>
      <c r="J153" s="926"/>
      <c r="K153" s="926"/>
      <c r="L153" s="926"/>
      <c r="M153" s="926"/>
      <c r="N153" s="926"/>
      <c r="O153" s="926"/>
      <c r="P153" s="926"/>
      <c r="Q153" s="926"/>
      <c r="R153" s="926"/>
      <c r="S153" s="926"/>
      <c r="T153" s="926"/>
      <c r="U153" s="926"/>
      <c r="V153" s="926"/>
      <c r="W153" s="926"/>
      <c r="X153" s="926"/>
      <c r="Y153" s="926"/>
      <c r="Z153" s="926"/>
      <c r="AA153" s="926"/>
      <c r="AB153" s="926"/>
      <c r="AC153" s="926"/>
      <c r="AD153" s="926"/>
      <c r="AE153" s="926"/>
      <c r="AF153" s="926"/>
      <c r="AG153" s="926"/>
      <c r="AH153" s="926"/>
      <c r="AI153" s="926"/>
    </row>
    <row r="154" spans="1:35" x14ac:dyDescent="0.3">
      <c r="A154" s="926"/>
      <c r="B154" s="926"/>
      <c r="C154" s="926"/>
      <c r="D154" s="926"/>
      <c r="E154" s="926"/>
      <c r="F154" s="926"/>
      <c r="G154" s="926"/>
      <c r="H154" s="926"/>
      <c r="I154" s="926"/>
      <c r="J154" s="926"/>
      <c r="K154" s="926"/>
      <c r="L154" s="926"/>
      <c r="M154" s="926"/>
      <c r="N154" s="926"/>
      <c r="O154" s="926"/>
      <c r="P154" s="926"/>
      <c r="Q154" s="926"/>
      <c r="R154" s="926"/>
      <c r="S154" s="926"/>
      <c r="T154" s="926"/>
      <c r="U154" s="926"/>
      <c r="V154" s="926"/>
      <c r="W154" s="926"/>
      <c r="X154" s="926"/>
      <c r="Y154" s="926"/>
      <c r="Z154" s="926"/>
      <c r="AA154" s="926"/>
      <c r="AB154" s="926"/>
      <c r="AC154" s="926"/>
      <c r="AD154" s="926"/>
      <c r="AE154" s="926"/>
      <c r="AF154" s="926"/>
      <c r="AG154" s="926"/>
      <c r="AH154" s="926"/>
      <c r="AI154" s="926"/>
    </row>
    <row r="155" spans="1:35" x14ac:dyDescent="0.3">
      <c r="A155" s="926"/>
      <c r="B155" s="926"/>
      <c r="C155" s="926"/>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row>
    <row r="156" spans="1:35" x14ac:dyDescent="0.3">
      <c r="A156" s="926"/>
      <c r="B156" s="926"/>
      <c r="C156" s="926"/>
      <c r="D156" s="926"/>
      <c r="E156" s="926"/>
      <c r="F156" s="926"/>
      <c r="G156" s="926"/>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row>
    <row r="157" spans="1:35" x14ac:dyDescent="0.3">
      <c r="A157" s="926"/>
      <c r="B157" s="926"/>
      <c r="C157" s="926"/>
      <c r="D157" s="926"/>
      <c r="E157" s="926"/>
      <c r="F157" s="926"/>
      <c r="G157" s="926"/>
      <c r="H157" s="926"/>
      <c r="I157" s="926"/>
      <c r="J157" s="926"/>
      <c r="K157" s="926"/>
      <c r="L157" s="926"/>
      <c r="M157" s="926"/>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row>
    <row r="158" spans="1:35" x14ac:dyDescent="0.3">
      <c r="A158" s="926"/>
      <c r="B158" s="926"/>
      <c r="C158" s="926"/>
      <c r="D158" s="926"/>
      <c r="E158" s="926"/>
      <c r="F158" s="926"/>
      <c r="G158" s="926"/>
      <c r="H158" s="926"/>
      <c r="I158" s="926"/>
      <c r="J158" s="926"/>
      <c r="K158" s="926"/>
      <c r="L158" s="926"/>
      <c r="M158" s="926"/>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row>
  </sheetData>
  <mergeCells count="79">
    <mergeCell ref="K5:L7"/>
    <mergeCell ref="M5:N7"/>
    <mergeCell ref="G5:H7"/>
    <mergeCell ref="O5:P7"/>
    <mergeCell ref="D11:S16"/>
    <mergeCell ref="P2:Q4"/>
    <mergeCell ref="D37:S42"/>
    <mergeCell ref="E53:R56"/>
    <mergeCell ref="E57:J57"/>
    <mergeCell ref="K57:R57"/>
    <mergeCell ref="C4:D6"/>
    <mergeCell ref="S4:T6"/>
    <mergeCell ref="F2:G4"/>
    <mergeCell ref="H2:I4"/>
    <mergeCell ref="J2:K4"/>
    <mergeCell ref="L2:M4"/>
    <mergeCell ref="N2:O4"/>
    <mergeCell ref="G18:P25"/>
    <mergeCell ref="G27:P31"/>
    <mergeCell ref="K33:L35"/>
    <mergeCell ref="I5:J7"/>
    <mergeCell ref="E58:J61"/>
    <mergeCell ref="K58:R61"/>
    <mergeCell ref="G45:P50"/>
    <mergeCell ref="G64:P72"/>
    <mergeCell ref="E75:R78"/>
    <mergeCell ref="Q79:R79"/>
    <mergeCell ref="G80:H82"/>
    <mergeCell ref="Q80:R82"/>
    <mergeCell ref="G85:P93"/>
    <mergeCell ref="E95:R98"/>
    <mergeCell ref="E79:F79"/>
    <mergeCell ref="M79:N79"/>
    <mergeCell ref="O79:P79"/>
    <mergeCell ref="K79:L79"/>
    <mergeCell ref="I79:J79"/>
    <mergeCell ref="G79:H79"/>
    <mergeCell ref="Q99:R99"/>
    <mergeCell ref="E80:F82"/>
    <mergeCell ref="M80:N82"/>
    <mergeCell ref="O80:P82"/>
    <mergeCell ref="K80:L82"/>
    <mergeCell ref="I80:J82"/>
    <mergeCell ref="E99:F99"/>
    <mergeCell ref="M99:N99"/>
    <mergeCell ref="O99:P99"/>
    <mergeCell ref="K99:L99"/>
    <mergeCell ref="I99:J99"/>
    <mergeCell ref="G99:H99"/>
    <mergeCell ref="G100:H102"/>
    <mergeCell ref="Q100:R102"/>
    <mergeCell ref="E103:F105"/>
    <mergeCell ref="M103:N105"/>
    <mergeCell ref="O103:P105"/>
    <mergeCell ref="K103:L105"/>
    <mergeCell ref="I103:J105"/>
    <mergeCell ref="G103:H105"/>
    <mergeCell ref="Q103:R105"/>
    <mergeCell ref="E100:F102"/>
    <mergeCell ref="M100:N102"/>
    <mergeCell ref="O100:P102"/>
    <mergeCell ref="K100:L102"/>
    <mergeCell ref="I100:J102"/>
    <mergeCell ref="G108:P116"/>
    <mergeCell ref="P134:Q136"/>
    <mergeCell ref="C136:D138"/>
    <mergeCell ref="S136:T138"/>
    <mergeCell ref="G137:H139"/>
    <mergeCell ref="I137:J139"/>
    <mergeCell ref="K137:L139"/>
    <mergeCell ref="M137:N139"/>
    <mergeCell ref="O137:P139"/>
    <mergeCell ref="F134:G136"/>
    <mergeCell ref="H134:I136"/>
    <mergeCell ref="J134:K136"/>
    <mergeCell ref="L134:M136"/>
    <mergeCell ref="N134:O136"/>
    <mergeCell ref="K128:L130"/>
    <mergeCell ref="G118:P124"/>
  </mergeCells>
  <conditionalFormatting sqref="E80:J82 M80:R82">
    <cfRule type="expression" dxfId="15" priority="1">
      <formula>$Q80="Input invalid, using default"</formula>
    </cfRule>
  </conditionalFormatting>
  <dataValidations disablePrompts="1" count="1">
    <dataValidation type="list" allowBlank="1" showInputMessage="1" showErrorMessage="1" sqref="K58:R61" xr:uid="{6ED00072-A473-4E3E-9199-EE442B08BD43}">
      <formula1>DROPS.example.dropdown</formula1>
    </dataValidation>
  </dataValidations>
  <hyperlinks>
    <hyperlink ref="K33:L35" location="UI.Farm!A1" tooltip="Click to go to farm inputs page" display="Farm Info" xr:uid="{B6DB4914-BEB1-4BC2-8610-3072F4E32B6E}"/>
    <hyperlink ref="K128:L130" location="UI.Farm!A1" tooltip="Click to go to farm inputs page" display="Farm Info" xr:uid="{C996BECC-C995-4220-B3A2-7D05A50D793A}"/>
    <hyperlink ref="H2:I4" location="UI.Farm!A1" tooltip="Click to go to farm inputs page" display="Farm Info" xr:uid="{56178119-5E11-4E5E-B9D5-81BE677156E7}"/>
    <hyperlink ref="I5:J7" location="UI.OpExpenses!A1" tooltip="Click to go to operational expenses page" display="Operational Expenses" xr:uid="{8B0E9617-578E-44C7-BEFC-53FB23F74C84}"/>
    <hyperlink ref="K5:L7" location="UI.Priorities!A1" tooltip="Click to go to priorities page" display="Priorities" xr:uid="{D72E367B-7AFB-4231-A364-9561CDD915ED}"/>
    <hyperlink ref="M5:N7" location="Results.Choice!A1" tooltip="Click to go to scenario choice page" display="Results Choice" xr:uid="{01E3CBCE-5DE9-434B-BF12-5667C8A2C207}"/>
    <hyperlink ref="J2:K4" location="UI.Animals!A1" tooltip="Click to go to animals input page" display="Animals" xr:uid="{E8093A18-C9D1-424F-BE9F-D28472481C62}"/>
    <hyperlink ref="P2:Q4" location="UI.Tractor!A1" tooltip="Click to go to tractor properties" display="Tractor Properties" xr:uid="{AA9FD974-9029-43CD-95C2-C583C7F89EED}"/>
    <hyperlink ref="N2:O4" location="UI.Streams!A1" tooltip="Click to go to the excess manure page" display="Excess Manure Streams" xr:uid="{18508B6D-E313-44AA-B353-10FAC4CD7122}"/>
    <hyperlink ref="G5:H7" location="UI.Cap!A1" tooltip="Click to go to capital expenses page" display="Capital Expenses" xr:uid="{F6151778-CE7A-4D3A-B41D-9B0B540F6570}"/>
    <hyperlink ref="L2:M4" location="UI.Manure!A1" tooltip="Click to go to the manure characteristics page" display="Manure Characteristics" xr:uid="{B01935D6-AF2E-4D9A-B870-7CF4ADCBFD6A}"/>
    <hyperlink ref="O5:P7" location="UI.Inputs!A1" tooltip="Click to go to input results summary" display="Inputs Summary" xr:uid="{4CA1F0D6-5563-4BA3-B6A6-4B77803D6447}"/>
    <hyperlink ref="C4:D6" location="Results.Summary!A1" tooltip="Click to go to results summary page" display="Results Summary" xr:uid="{A1B733EA-577E-490D-B2F0-0986ADA8AE5C}"/>
    <hyperlink ref="F2:G4" location="UI.Welcome!A1" tooltip="Click to go to welcome page" display="Welcome Page" xr:uid="{A4329216-1BB9-4F6E-B278-A47D3499A54B}"/>
    <hyperlink ref="S4:T6" location="UI.Farm!A1" tooltip="Click to go to farm inputs page" display="Farm Info" xr:uid="{71D176C2-6953-42E2-B95A-CBDE88C277BA}"/>
    <hyperlink ref="H134:I136" location="UI.Farm!A1" tooltip="Click to go to farm inputs page" display="Farm Info" xr:uid="{434DF407-8220-4CD8-9A42-6BF782044A7F}"/>
    <hyperlink ref="I137:J139" location="UI.OpExpenses!A1" tooltip="Click to go to operational expenses page" display="Operational Expenses" xr:uid="{EDD305B8-E063-4398-B8AF-4A7BE7094637}"/>
    <hyperlink ref="K137:L139" location="UI.Priorities!A1" tooltip="Click to go to priorities page" display="Priorities" xr:uid="{972BA43C-8EDD-4651-A866-81DC54CBD197}"/>
    <hyperlink ref="M137:N139" location="Results.Choice!A1" tooltip="Click to go to scenario choice page" display="Results Choice" xr:uid="{308B2F2E-58C2-4FBA-85B5-EF007864DB1C}"/>
    <hyperlink ref="J134:K136" location="UI.Animals!A1" tooltip="Click to go to animals input page" display="Animals" xr:uid="{3CCE0206-B3C2-49D4-905D-794253208FCA}"/>
    <hyperlink ref="P134:Q136" location="UI.Tractor!A1" tooltip="Click to go to tractor properties" display="Tractor Properties" xr:uid="{60DD8FDA-3F55-4A4B-B876-EC8EB685BF23}"/>
    <hyperlink ref="N134:O136" location="UI.Streams!A1" tooltip="Click to go to the excess manure page" display="Excess Manure Streams" xr:uid="{88C482E9-B0AA-4F70-A622-2DC2F942883D}"/>
    <hyperlink ref="G137:H139" location="UI.Cap!A1" tooltip="Click to go to capital expenses page" display="Capital Expenses" xr:uid="{F04E92D1-61C4-48A1-9E23-13E010F9E833}"/>
    <hyperlink ref="L134:M136" location="UI.Manure!A1" tooltip="Click to go to the manure characteristics page" display="Manure Characteristics" xr:uid="{5465BD81-36EE-44C2-9D7F-4D7FD297B4AE}"/>
    <hyperlink ref="O137:P139" location="UI.Inputs!A1" tooltip="Click to go to input results summary" display="Inputs Summary" xr:uid="{80EB6DE8-F40A-448E-A2E3-26A4437B8E9A}"/>
    <hyperlink ref="C136:D138" location="Results.Summary!A1" tooltip="Click to go to results summary page" display="Results Summary" xr:uid="{01D2E52A-EFAD-4327-BDCD-44FBB8593D9B}"/>
    <hyperlink ref="F134:G136" location="UI.Welcome!A1" tooltip="Click to go to welcome page" display="Welcome Page" xr:uid="{9F686606-E9CC-425D-8A9F-0C4C07349D6B}"/>
    <hyperlink ref="S136:T138" location="UI.Farm!A1" tooltip="Click to go to farm inputs page" display="Farm Info" xr:uid="{63FAF8DA-B270-4C8D-9813-42E77137120B}"/>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FD03-7E7F-4C7C-8BE3-586D8D67C2E3}">
  <sheetPr codeName="Sheet9">
    <tabColor rgb="FFFF0000"/>
  </sheetPr>
  <dimension ref="A1:AG834"/>
  <sheetViews>
    <sheetView topLeftCell="A25" workbookViewId="0">
      <selection activeCell="G30" sqref="G30"/>
    </sheetView>
  </sheetViews>
  <sheetFormatPr defaultRowHeight="14.4" x14ac:dyDescent="0.3"/>
  <cols>
    <col min="1" max="1" width="20" customWidth="1"/>
    <col min="2" max="2" width="7.109375" customWidth="1"/>
    <col min="3" max="3" width="42.44140625" customWidth="1"/>
    <col min="4" max="4" width="14.33203125" style="1091" customWidth="1"/>
    <col min="5" max="5" width="6.33203125" style="1093" customWidth="1"/>
    <col min="6" max="6" width="8.44140625" style="1095" customWidth="1"/>
    <col min="7" max="7" width="8.44140625" style="1098" customWidth="1"/>
    <col min="8" max="8" width="17.33203125" style="1104" customWidth="1"/>
    <col min="9" max="9" width="8.44140625" style="956" customWidth="1"/>
    <col min="10" max="10" width="7.109375" customWidth="1"/>
    <col min="11" max="11" width="5.6640625" customWidth="1"/>
    <col min="12" max="12" width="17.33203125" customWidth="1"/>
    <col min="13" max="13" width="18.6640625" customWidth="1"/>
    <col min="14" max="14" width="5.6640625" customWidth="1"/>
    <col min="15" max="17" width="12.5546875" customWidth="1"/>
    <col min="18" max="18" width="4.44140625" style="696" customWidth="1"/>
    <col min="19" max="19" width="4.44140625" customWidth="1"/>
    <col min="20" max="20" width="4.44140625" style="127" customWidth="1"/>
    <col min="21" max="22" width="5.109375" customWidth="1"/>
    <col min="23" max="26" width="13" customWidth="1"/>
    <col min="27" max="27" width="20.6640625" customWidth="1"/>
    <col min="28" max="28" width="25.88671875" customWidth="1"/>
    <col min="29" max="29" width="21.44140625" bestFit="1" customWidth="1"/>
    <col min="30" max="30" width="16.33203125" customWidth="1"/>
    <col min="31" max="31" width="25" bestFit="1" customWidth="1"/>
    <col min="32" max="32" width="22" bestFit="1" customWidth="1"/>
  </cols>
  <sheetData>
    <row r="1" spans="1:32" x14ac:dyDescent="0.3">
      <c r="A1" s="82" t="s">
        <v>636</v>
      </c>
      <c r="B1" s="82" t="s">
        <v>637</v>
      </c>
      <c r="C1" s="123" t="s">
        <v>99</v>
      </c>
      <c r="D1" s="1090" t="s">
        <v>638</v>
      </c>
      <c r="E1" s="1092" t="s">
        <v>105</v>
      </c>
      <c r="F1" s="1094" t="s">
        <v>100</v>
      </c>
      <c r="G1" s="1097" t="s">
        <v>101</v>
      </c>
      <c r="H1" s="1100" t="s">
        <v>102</v>
      </c>
      <c r="I1" s="1106" t="s">
        <v>104</v>
      </c>
      <c r="J1" s="82" t="s">
        <v>639</v>
      </c>
      <c r="K1" s="82" t="s">
        <v>640</v>
      </c>
      <c r="L1" s="82" t="s">
        <v>106</v>
      </c>
      <c r="M1" s="82" t="s">
        <v>107</v>
      </c>
      <c r="N1" s="82" t="s">
        <v>108</v>
      </c>
      <c r="O1" s="82" t="s">
        <v>641</v>
      </c>
      <c r="P1" s="82" t="s">
        <v>642</v>
      </c>
      <c r="Q1" s="345" t="s">
        <v>643</v>
      </c>
      <c r="R1" s="695" t="s">
        <v>644</v>
      </c>
      <c r="S1" s="82" t="s">
        <v>645</v>
      </c>
      <c r="T1" s="344" t="s">
        <v>462</v>
      </c>
      <c r="U1" s="82" t="s">
        <v>646</v>
      </c>
      <c r="V1" s="82" t="s">
        <v>647</v>
      </c>
      <c r="W1" s="82" t="s">
        <v>648</v>
      </c>
      <c r="X1" s="82" t="s">
        <v>649</v>
      </c>
      <c r="Y1" s="82" t="s">
        <v>650</v>
      </c>
      <c r="Z1" s="82" t="s">
        <v>651</v>
      </c>
      <c r="AA1" s="82" t="s">
        <v>652</v>
      </c>
      <c r="AB1" s="82" t="s">
        <v>653</v>
      </c>
      <c r="AC1" s="82" t="s">
        <v>654</v>
      </c>
      <c r="AD1" s="82" t="s">
        <v>655</v>
      </c>
      <c r="AE1" s="82" t="s">
        <v>656</v>
      </c>
      <c r="AF1" s="82" t="s">
        <v>657</v>
      </c>
    </row>
    <row r="2" spans="1:32" x14ac:dyDescent="0.3">
      <c r="A2" t="s">
        <v>658</v>
      </c>
      <c r="B2" t="s">
        <v>659</v>
      </c>
      <c r="C2" s="124" t="str">
        <f t="shared" ref="C2:C82" si="0">_xlfn.CONCAT("UDV.",A2,".",B2)</f>
        <v>UDV.adj.construction_cost</v>
      </c>
      <c r="D2" s="1091">
        <f t="shared" ref="D2:D40" si="1">$F2*$AB2</f>
        <v>1</v>
      </c>
      <c r="E2" s="1093" t="str">
        <f t="shared" ref="E2:E40" si="2">$AD2</f>
        <v>multiplier</v>
      </c>
      <c r="F2" s="1095">
        <f>UI.Cap!BC121</f>
        <v>1</v>
      </c>
      <c r="G2" s="1099">
        <f>UI.Cap!BD121</f>
        <v>0</v>
      </c>
      <c r="H2" s="1101">
        <f t="shared" ref="H2:H40" si="3">$W2*$AA2</f>
        <v>1</v>
      </c>
      <c r="I2" s="956" t="str">
        <f t="shared" ref="I2:I40" si="4">$AC2</f>
        <v>multiplier</v>
      </c>
      <c r="J2" t="s">
        <v>660</v>
      </c>
      <c r="K2" t="s">
        <v>661</v>
      </c>
      <c r="L2">
        <f>ROUNDDOWN($X2*$AA2,3)</f>
        <v>0.1</v>
      </c>
      <c r="M2">
        <f>ROUNDUP($Y2*$AA2,3)</f>
        <v>3</v>
      </c>
      <c r="N2">
        <f t="shared" ref="N2:N35" si="5">IF(AND(G2&lt;=M2, G2&gt;=L2),1,0)</f>
        <v>0</v>
      </c>
      <c r="O2" t="s">
        <v>662</v>
      </c>
      <c r="P2" t="s">
        <v>663</v>
      </c>
      <c r="R2" s="696" t="s">
        <v>84</v>
      </c>
      <c r="S2" t="s">
        <v>84</v>
      </c>
      <c r="V2" t="str">
        <f t="shared" ref="V2:V36" si="6">IF(OR((M2-L2)&lt;=0,H2&gt;M2,H2&lt;L2),"Fix","")</f>
        <v/>
      </c>
      <c r="W2" s="78">
        <v>1</v>
      </c>
      <c r="X2">
        <v>0.1</v>
      </c>
      <c r="Y2">
        <v>3</v>
      </c>
      <c r="Z2" t="str">
        <f>Units!B$94</f>
        <v>multiplier</v>
      </c>
      <c r="AA2">
        <f>Units!C$94</f>
        <v>1</v>
      </c>
      <c r="AB2">
        <f>Units!D$94</f>
        <v>1</v>
      </c>
      <c r="AC2" t="str">
        <f>Units!E$94</f>
        <v>multiplier</v>
      </c>
      <c r="AD2" t="str">
        <f>Units!F$94</f>
        <v>multiplier</v>
      </c>
      <c r="AE2" t="str">
        <f>Units!G$94</f>
        <v>multiplier</v>
      </c>
      <c r="AF2" t="str">
        <f>Units!H$94</f>
        <v>multiplier</v>
      </c>
    </row>
    <row r="3" spans="1:32" x14ac:dyDescent="0.3">
      <c r="A3" t="s">
        <v>658</v>
      </c>
      <c r="B3" t="s">
        <v>664</v>
      </c>
      <c r="C3" s="124" t="str">
        <f t="shared" si="0"/>
        <v>UDV.adj.routine_equip_cost</v>
      </c>
      <c r="D3" s="1091">
        <f t="shared" si="1"/>
        <v>1</v>
      </c>
      <c r="E3" s="1093" t="str">
        <f t="shared" si="2"/>
        <v>multiplier</v>
      </c>
      <c r="F3" s="1095">
        <f>UI.Cap!BC122</f>
        <v>1</v>
      </c>
      <c r="G3" s="1099">
        <f>UI.Cap!BD122</f>
        <v>0</v>
      </c>
      <c r="H3" s="1101">
        <f t="shared" si="3"/>
        <v>1</v>
      </c>
      <c r="I3" s="956" t="str">
        <f t="shared" si="4"/>
        <v>multiplier</v>
      </c>
      <c r="J3" t="s">
        <v>660</v>
      </c>
      <c r="K3" t="s">
        <v>661</v>
      </c>
      <c r="L3">
        <f t="shared" ref="L3:L5" si="7">ROUNDDOWN($X3*$AA3,3)</f>
        <v>0.1</v>
      </c>
      <c r="M3">
        <f t="shared" ref="M3:M5" si="8">ROUNDUP($Y3*$AA3,3)</f>
        <v>3</v>
      </c>
      <c r="N3">
        <f t="shared" si="5"/>
        <v>0</v>
      </c>
      <c r="O3" t="s">
        <v>662</v>
      </c>
      <c r="P3" t="s">
        <v>665</v>
      </c>
      <c r="R3" s="696" t="s">
        <v>84</v>
      </c>
      <c r="S3" t="s">
        <v>84</v>
      </c>
      <c r="V3" t="str">
        <f t="shared" si="6"/>
        <v/>
      </c>
      <c r="W3" s="78">
        <v>1</v>
      </c>
      <c r="X3">
        <v>0.1</v>
      </c>
      <c r="Y3">
        <v>3</v>
      </c>
      <c r="Z3" t="str">
        <f>Units!B$94</f>
        <v>multiplier</v>
      </c>
      <c r="AA3">
        <f>Units!C$94</f>
        <v>1</v>
      </c>
      <c r="AB3">
        <f>Units!D$94</f>
        <v>1</v>
      </c>
      <c r="AC3" t="str">
        <f>Units!E$94</f>
        <v>multiplier</v>
      </c>
      <c r="AD3" t="str">
        <f>Units!F$94</f>
        <v>multiplier</v>
      </c>
      <c r="AE3" t="str">
        <f>Units!G$94</f>
        <v>multiplier</v>
      </c>
      <c r="AF3" t="str">
        <f>Units!H$94</f>
        <v>multiplier</v>
      </c>
    </row>
    <row r="4" spans="1:32" x14ac:dyDescent="0.3">
      <c r="A4" t="s">
        <v>658</v>
      </c>
      <c r="B4" t="s">
        <v>666</v>
      </c>
      <c r="C4" s="124" t="str">
        <f t="shared" si="0"/>
        <v>UDV.adj.special_tech_cost</v>
      </c>
      <c r="D4" s="1091">
        <f t="shared" si="1"/>
        <v>1</v>
      </c>
      <c r="E4" s="1093" t="str">
        <f t="shared" si="2"/>
        <v>multiplier</v>
      </c>
      <c r="F4" s="1095">
        <f t="shared" ref="F4:F42" si="9">IF(OR(G4="",N4=0),H4,G4)</f>
        <v>1</v>
      </c>
      <c r="G4" s="1099"/>
      <c r="H4" s="1101">
        <f t="shared" si="3"/>
        <v>1</v>
      </c>
      <c r="I4" s="956" t="str">
        <f t="shared" si="4"/>
        <v>multiplier</v>
      </c>
      <c r="J4" t="s">
        <v>660</v>
      </c>
      <c r="L4">
        <f t="shared" si="7"/>
        <v>0.1</v>
      </c>
      <c r="M4">
        <f t="shared" si="8"/>
        <v>3</v>
      </c>
      <c r="N4">
        <f t="shared" si="5"/>
        <v>0</v>
      </c>
      <c r="O4" t="s">
        <v>662</v>
      </c>
      <c r="P4" t="s">
        <v>667</v>
      </c>
      <c r="R4" s="696" t="s">
        <v>84</v>
      </c>
      <c r="S4" t="s">
        <v>84</v>
      </c>
      <c r="V4" t="str">
        <f t="shared" si="6"/>
        <v/>
      </c>
      <c r="W4" s="78">
        <v>1</v>
      </c>
      <c r="X4">
        <v>0.1</v>
      </c>
      <c r="Y4">
        <v>3</v>
      </c>
      <c r="Z4" t="str">
        <f>Units!B$94</f>
        <v>multiplier</v>
      </c>
      <c r="AA4">
        <f>Units!C$94</f>
        <v>1</v>
      </c>
      <c r="AB4">
        <f>Units!D$94</f>
        <v>1</v>
      </c>
      <c r="AC4" t="str">
        <f>Units!E$94</f>
        <v>multiplier</v>
      </c>
      <c r="AD4" t="str">
        <f>Units!F$94</f>
        <v>multiplier</v>
      </c>
      <c r="AE4" t="str">
        <f>Units!G$94</f>
        <v>multiplier</v>
      </c>
      <c r="AF4" t="str">
        <f>Units!H$94</f>
        <v>multiplier</v>
      </c>
    </row>
    <row r="5" spans="1:32" x14ac:dyDescent="0.3">
      <c r="A5" t="s">
        <v>668</v>
      </c>
      <c r="B5" t="s">
        <v>669</v>
      </c>
      <c r="C5" s="124" t="str">
        <f t="shared" si="0"/>
        <v>UDV.anaer_digest.CH4_fraction</v>
      </c>
      <c r="D5" s="1091">
        <f t="shared" si="1"/>
        <v>0.65</v>
      </c>
      <c r="E5" s="1093" t="str">
        <f t="shared" si="2"/>
        <v>fraction</v>
      </c>
      <c r="F5" s="1095">
        <f t="shared" si="9"/>
        <v>0.65</v>
      </c>
      <c r="H5" s="1101">
        <f t="shared" si="3"/>
        <v>0.65</v>
      </c>
      <c r="I5" s="956" t="str">
        <f t="shared" si="4"/>
        <v>fraction</v>
      </c>
      <c r="J5" t="s">
        <v>660</v>
      </c>
      <c r="L5">
        <f t="shared" si="7"/>
        <v>0.5</v>
      </c>
      <c r="M5">
        <f t="shared" si="8"/>
        <v>0.65</v>
      </c>
      <c r="N5">
        <f t="shared" si="5"/>
        <v>0</v>
      </c>
      <c r="O5" t="s">
        <v>670</v>
      </c>
      <c r="P5" t="s">
        <v>671</v>
      </c>
      <c r="V5" t="str">
        <f t="shared" si="6"/>
        <v/>
      </c>
      <c r="W5" s="78">
        <v>0.65</v>
      </c>
      <c r="X5">
        <v>0.5</v>
      </c>
      <c r="Y5">
        <v>0.65</v>
      </c>
      <c r="Z5" t="str">
        <f>Units!B$35</f>
        <v>fraction</v>
      </c>
      <c r="AA5">
        <f>Units!C$35</f>
        <v>1</v>
      </c>
      <c r="AB5">
        <f>Units!D$35</f>
        <v>1</v>
      </c>
      <c r="AC5" t="str">
        <f>Units!E$35</f>
        <v>fraction</v>
      </c>
      <c r="AD5" t="str">
        <f>Units!F$35</f>
        <v>fraction</v>
      </c>
      <c r="AE5" t="str">
        <f>Units!G$35</f>
        <v>fraction</v>
      </c>
      <c r="AF5" t="str">
        <f>Units!H$35</f>
        <v>fraction</v>
      </c>
    </row>
    <row r="6" spans="1:32" x14ac:dyDescent="0.3">
      <c r="A6" t="s">
        <v>668</v>
      </c>
      <c r="B6" t="s">
        <v>672</v>
      </c>
      <c r="C6" s="124" t="str">
        <f t="shared" si="0"/>
        <v>UDV.anaer_digest.CH4_kWhr</v>
      </c>
      <c r="D6" s="1091">
        <f t="shared" si="1"/>
        <v>5.4</v>
      </c>
      <c r="E6" s="1093" t="str">
        <f t="shared" si="2"/>
        <v>kWhr</v>
      </c>
      <c r="F6" s="1095">
        <f t="shared" si="9"/>
        <v>5.4</v>
      </c>
      <c r="H6" s="1101">
        <f t="shared" si="3"/>
        <v>5.4</v>
      </c>
      <c r="I6" s="956" t="str">
        <f t="shared" si="4"/>
        <v>kWhr</v>
      </c>
      <c r="J6" t="s">
        <v>673</v>
      </c>
      <c r="N6">
        <f t="shared" si="5"/>
        <v>1</v>
      </c>
      <c r="O6" t="s">
        <v>670</v>
      </c>
      <c r="P6" t="s">
        <v>674</v>
      </c>
      <c r="V6" t="str">
        <f t="shared" si="6"/>
        <v>Fix</v>
      </c>
      <c r="W6" s="78">
        <v>5.4</v>
      </c>
      <c r="X6">
        <v>0</v>
      </c>
      <c r="Y6">
        <v>0</v>
      </c>
      <c r="Z6" t="str">
        <f>Units!B$101</f>
        <v>kWhr</v>
      </c>
      <c r="AA6">
        <f>Units!C$101</f>
        <v>1</v>
      </c>
      <c r="AB6">
        <f>Units!D$101</f>
        <v>1</v>
      </c>
      <c r="AC6" t="str">
        <f>Units!E$101</f>
        <v>kWhr</v>
      </c>
      <c r="AD6" t="str">
        <f>Units!F$101</f>
        <v>kWhr</v>
      </c>
      <c r="AE6" t="str">
        <f>Units!G$101</f>
        <v>kWhr</v>
      </c>
      <c r="AF6" t="str">
        <f>Units!H$101</f>
        <v>kWhr</v>
      </c>
    </row>
    <row r="7" spans="1:32" x14ac:dyDescent="0.3">
      <c r="A7" t="s">
        <v>668</v>
      </c>
      <c r="B7" t="s">
        <v>675</v>
      </c>
      <c r="C7" s="124" t="str">
        <f t="shared" si="0"/>
        <v>UDV.anaer_digest.CH4_MJ</v>
      </c>
      <c r="D7" s="1091">
        <f t="shared" si="1"/>
        <v>35.314999999999998</v>
      </c>
      <c r="E7" s="1093" t="str">
        <f t="shared" si="2"/>
        <v>MJ</v>
      </c>
      <c r="F7" s="1095">
        <f t="shared" si="9"/>
        <v>35.314999999999998</v>
      </c>
      <c r="H7" s="1101">
        <f t="shared" si="3"/>
        <v>35.314999999999998</v>
      </c>
      <c r="I7" s="956" t="str">
        <f t="shared" si="4"/>
        <v>MJ</v>
      </c>
      <c r="J7" t="s">
        <v>673</v>
      </c>
      <c r="N7">
        <f t="shared" si="5"/>
        <v>1</v>
      </c>
      <c r="O7" t="s">
        <v>670</v>
      </c>
      <c r="P7" t="s">
        <v>676</v>
      </c>
      <c r="V7" t="str">
        <f t="shared" si="6"/>
        <v>Fix</v>
      </c>
      <c r="W7" s="78">
        <v>35.314999999999998</v>
      </c>
      <c r="X7">
        <v>0</v>
      </c>
      <c r="Y7">
        <v>0</v>
      </c>
      <c r="Z7" t="str">
        <f>Units!B$102</f>
        <v>MJ</v>
      </c>
      <c r="AA7">
        <f>Units!C$102</f>
        <v>1</v>
      </c>
      <c r="AB7">
        <f>Units!D$102</f>
        <v>1</v>
      </c>
      <c r="AC7" t="str">
        <f>Units!E$102</f>
        <v>MJ</v>
      </c>
      <c r="AD7" t="str">
        <f>Units!F$102</f>
        <v>MJ</v>
      </c>
      <c r="AE7" t="str">
        <f>Units!G$102</f>
        <v>MJ</v>
      </c>
      <c r="AF7" t="str">
        <f>Units!H$102</f>
        <v>MJ</v>
      </c>
    </row>
    <row r="8" spans="1:32" x14ac:dyDescent="0.3">
      <c r="A8" t="s">
        <v>668</v>
      </c>
      <c r="B8" t="s">
        <v>677</v>
      </c>
      <c r="C8" s="124" t="str">
        <f t="shared" si="0"/>
        <v>UDV.anaer_digest.gas_fraction</v>
      </c>
      <c r="D8" s="1091">
        <f t="shared" si="1"/>
        <v>0.25</v>
      </c>
      <c r="E8" s="1093" t="str">
        <f t="shared" si="2"/>
        <v>fraction</v>
      </c>
      <c r="F8" s="1095">
        <f t="shared" si="9"/>
        <v>0.25</v>
      </c>
      <c r="H8" s="1101">
        <f t="shared" si="3"/>
        <v>0.25</v>
      </c>
      <c r="I8" s="956" t="str">
        <f t="shared" si="4"/>
        <v>fraction</v>
      </c>
      <c r="J8" t="s">
        <v>660</v>
      </c>
      <c r="L8">
        <f>ROUNDDOWN($X8*$AA8,3)</f>
        <v>0.1</v>
      </c>
      <c r="M8">
        <f>ROUNDUP($Y8*$AA8,3)</f>
        <v>0.3</v>
      </c>
      <c r="N8">
        <f t="shared" si="5"/>
        <v>0</v>
      </c>
      <c r="O8" t="s">
        <v>670</v>
      </c>
      <c r="P8" t="s">
        <v>678</v>
      </c>
      <c r="V8" t="str">
        <f t="shared" si="6"/>
        <v/>
      </c>
      <c r="W8" s="78">
        <v>0.25</v>
      </c>
      <c r="X8">
        <v>0.1</v>
      </c>
      <c r="Y8">
        <v>0.3</v>
      </c>
      <c r="Z8" t="str">
        <f>Units!B$35</f>
        <v>fraction</v>
      </c>
      <c r="AA8">
        <f>Units!C$35</f>
        <v>1</v>
      </c>
      <c r="AB8">
        <f>Units!D$35</f>
        <v>1</v>
      </c>
      <c r="AC8" t="str">
        <f>Units!E$35</f>
        <v>fraction</v>
      </c>
      <c r="AD8" t="str">
        <f>Units!F$35</f>
        <v>fraction</v>
      </c>
      <c r="AE8" t="str">
        <f>Units!G$35</f>
        <v>fraction</v>
      </c>
      <c r="AF8" t="str">
        <f>Units!H$35</f>
        <v>fraction</v>
      </c>
    </row>
    <row r="9" spans="1:32" x14ac:dyDescent="0.3">
      <c r="A9" t="s">
        <v>668</v>
      </c>
      <c r="B9" t="s">
        <v>679</v>
      </c>
      <c r="C9" s="124" t="str">
        <f t="shared" si="0"/>
        <v>UDV.anaer_digest.gas_gen</v>
      </c>
      <c r="D9" s="1091">
        <f t="shared" si="1"/>
        <v>0.38</v>
      </c>
      <c r="E9" s="1093" t="str">
        <f t="shared" si="2"/>
        <v>m3/kg</v>
      </c>
      <c r="F9" s="1095">
        <f t="shared" si="9"/>
        <v>6.0870160835054845</v>
      </c>
      <c r="H9" s="1101">
        <f t="shared" si="3"/>
        <v>6.0870160835054845</v>
      </c>
      <c r="I9" s="956" t="str">
        <f t="shared" si="4"/>
        <v>ft3/lb</v>
      </c>
      <c r="J9" t="s">
        <v>660</v>
      </c>
      <c r="L9">
        <f t="shared" ref="L9:L25" si="10">ROUNDDOWN($X9*$AA9,3)</f>
        <v>3.524</v>
      </c>
      <c r="M9">
        <f t="shared" ref="M9:M25" si="11">ROUNDUP($Y9*$AA9,3)</f>
        <v>6.4080000000000004</v>
      </c>
      <c r="N9">
        <f t="shared" si="5"/>
        <v>0</v>
      </c>
      <c r="O9" t="s">
        <v>670</v>
      </c>
      <c r="P9" t="s">
        <v>680</v>
      </c>
      <c r="V9" t="str">
        <f t="shared" si="6"/>
        <v/>
      </c>
      <c r="W9" s="78">
        <v>0.38</v>
      </c>
      <c r="X9">
        <v>0.22</v>
      </c>
      <c r="Y9">
        <v>0.4</v>
      </c>
      <c r="Z9" t="str">
        <f>Units!B$140</f>
        <v>m3/kg</v>
      </c>
      <c r="AA9">
        <f>Units!C$140</f>
        <v>16.018463377646011</v>
      </c>
      <c r="AB9">
        <f>Units!D$140</f>
        <v>6.2427960561779849E-2</v>
      </c>
      <c r="AC9" t="str">
        <f>Units!E$140</f>
        <v>ft3/lb</v>
      </c>
      <c r="AD9" t="str">
        <f>Units!F$140</f>
        <v>m3/kg</v>
      </c>
      <c r="AE9" t="str">
        <f>Units!G$140</f>
        <v>m3/kg</v>
      </c>
      <c r="AF9" t="str">
        <f>Units!H$140</f>
        <v>ft3/lb</v>
      </c>
    </row>
    <row r="10" spans="1:32" x14ac:dyDescent="0.3">
      <c r="A10" t="s">
        <v>668</v>
      </c>
      <c r="B10" t="s">
        <v>681</v>
      </c>
      <c r="C10" s="124" t="str">
        <f t="shared" si="0"/>
        <v>UDV.anaer_digest.HRT</v>
      </c>
      <c r="D10" s="1091">
        <f t="shared" si="1"/>
        <v>25</v>
      </c>
      <c r="E10" s="1093" t="str">
        <f t="shared" si="2"/>
        <v>day</v>
      </c>
      <c r="F10" s="1095">
        <f t="shared" si="9"/>
        <v>25</v>
      </c>
      <c r="H10" s="1101">
        <f t="shared" si="3"/>
        <v>25</v>
      </c>
      <c r="I10" s="956" t="str">
        <f t="shared" si="4"/>
        <v>day</v>
      </c>
      <c r="J10" t="s">
        <v>660</v>
      </c>
      <c r="L10">
        <f t="shared" si="10"/>
        <v>25</v>
      </c>
      <c r="M10">
        <f t="shared" si="11"/>
        <v>45</v>
      </c>
      <c r="N10">
        <f t="shared" si="5"/>
        <v>0</v>
      </c>
      <c r="O10" t="s">
        <v>670</v>
      </c>
      <c r="P10" t="s">
        <v>682</v>
      </c>
      <c r="V10" t="str">
        <f t="shared" si="6"/>
        <v/>
      </c>
      <c r="W10" s="78">
        <v>25</v>
      </c>
      <c r="X10">
        <v>25</v>
      </c>
      <c r="Y10">
        <v>45</v>
      </c>
      <c r="Z10" t="str">
        <f>Units!B$110</f>
        <v>day</v>
      </c>
      <c r="AA10">
        <f>Units!C$110</f>
        <v>1</v>
      </c>
      <c r="AB10">
        <f>Units!D$110</f>
        <v>1</v>
      </c>
      <c r="AC10" t="str">
        <f>Units!E$110</f>
        <v>day</v>
      </c>
      <c r="AD10" t="str">
        <f>Units!F$110</f>
        <v>day</v>
      </c>
      <c r="AE10" t="str">
        <f>Units!G$110</f>
        <v>day</v>
      </c>
      <c r="AF10" t="str">
        <f>Units!H$110</f>
        <v>day</v>
      </c>
    </row>
    <row r="11" spans="1:32" x14ac:dyDescent="0.3">
      <c r="A11" t="s">
        <v>668</v>
      </c>
      <c r="B11" t="s">
        <v>683</v>
      </c>
      <c r="C11" s="124" t="str">
        <f t="shared" si="0"/>
        <v>UDV.anaer_digest.max_height</v>
      </c>
      <c r="D11" s="1330">
        <f t="shared" si="1"/>
        <v>36</v>
      </c>
      <c r="E11" s="125" t="str">
        <f t="shared" si="2"/>
        <v>$/ton (2000 lb)</v>
      </c>
      <c r="F11" s="1330">
        <f t="shared" si="9"/>
        <v>36</v>
      </c>
      <c r="G11" s="126"/>
      <c r="H11" s="78">
        <f t="shared" si="3"/>
        <v>36</v>
      </c>
      <c r="I11" s="1325" t="str">
        <f t="shared" si="4"/>
        <v>$/ton (2000 lb)</v>
      </c>
      <c r="J11" t="s">
        <v>660</v>
      </c>
      <c r="K11" s="124"/>
      <c r="L11">
        <f t="shared" si="10"/>
        <v>5</v>
      </c>
      <c r="M11">
        <f t="shared" si="11"/>
        <v>50</v>
      </c>
      <c r="N11">
        <f t="shared" ref="N11" si="12">IF(AND(M11 - G11 &gt;= 0, G11 - L11 &gt;=0),1,0)</f>
        <v>0</v>
      </c>
      <c r="O11" t="s">
        <v>670</v>
      </c>
      <c r="P11" t="s">
        <v>684</v>
      </c>
      <c r="R11" s="711"/>
      <c r="W11">
        <v>36</v>
      </c>
      <c r="X11">
        <v>5</v>
      </c>
      <c r="Y11">
        <v>50</v>
      </c>
      <c r="Z11" t="str">
        <f>Units!B22</f>
        <v>$/ton (2000 lb)</v>
      </c>
      <c r="AA11">
        <f>Units!C22</f>
        <v>1</v>
      </c>
      <c r="AB11">
        <f>Units!D22</f>
        <v>1</v>
      </c>
      <c r="AC11" t="str">
        <f>Units!E22</f>
        <v>$/ton (2000 lb)</v>
      </c>
      <c r="AD11" t="str">
        <f>Units!F22</f>
        <v>$/ton (2000 lb)</v>
      </c>
      <c r="AE11" t="str">
        <f>Units!G22</f>
        <v>$/tonne (1000 kg)</v>
      </c>
      <c r="AF11" t="str">
        <f>Units!H22</f>
        <v>$/ton (2000 lb)</v>
      </c>
    </row>
    <row r="12" spans="1:32" x14ac:dyDescent="0.3">
      <c r="A12" t="s">
        <v>668</v>
      </c>
      <c r="B12" t="s">
        <v>685</v>
      </c>
      <c r="C12" s="124" t="str">
        <f t="shared" si="0"/>
        <v>UDV.anaer_digest.min_count</v>
      </c>
      <c r="D12" s="1330">
        <f t="shared" si="1"/>
        <v>1</v>
      </c>
      <c r="E12" s="125" t="str">
        <f t="shared" si="2"/>
        <v>quantity</v>
      </c>
      <c r="F12" s="1330">
        <f t="shared" si="9"/>
        <v>1</v>
      </c>
      <c r="G12" s="126"/>
      <c r="H12" s="78">
        <f t="shared" si="3"/>
        <v>1</v>
      </c>
      <c r="I12" s="1325" t="str">
        <f t="shared" si="4"/>
        <v>quantity</v>
      </c>
      <c r="J12" t="s">
        <v>660</v>
      </c>
      <c r="K12" s="124"/>
      <c r="L12">
        <f t="shared" si="10"/>
        <v>2</v>
      </c>
      <c r="M12">
        <f t="shared" si="11"/>
        <v>16</v>
      </c>
      <c r="N12">
        <f t="shared" ref="N12:N14" si="13">IF(AND(M12 - G12 &gt;= 0, G12 - L12 &gt;=0),1,0)</f>
        <v>0</v>
      </c>
      <c r="O12" t="s">
        <v>670</v>
      </c>
      <c r="P12" t="s">
        <v>686</v>
      </c>
      <c r="R12" s="711"/>
      <c r="W12">
        <f>IF(UDV.animal.total&gt;999,2,1)</f>
        <v>1</v>
      </c>
      <c r="X12">
        <v>2</v>
      </c>
      <c r="Y12">
        <v>16</v>
      </c>
      <c r="Z12" t="str">
        <f>Units!B$106</f>
        <v>quantity</v>
      </c>
      <c r="AA12">
        <f>Units!C$106</f>
        <v>1</v>
      </c>
      <c r="AB12">
        <f>Units!D$106</f>
        <v>1</v>
      </c>
      <c r="AC12" t="str">
        <f>Units!E$106</f>
        <v>quantity</v>
      </c>
      <c r="AD12" t="str">
        <f>Units!F$106</f>
        <v>quantity</v>
      </c>
      <c r="AE12" t="str">
        <f>Units!G$106</f>
        <v>quantity</v>
      </c>
      <c r="AF12" t="str">
        <f>Units!H$106</f>
        <v>quantity</v>
      </c>
    </row>
    <row r="13" spans="1:32" x14ac:dyDescent="0.3">
      <c r="A13" t="s">
        <v>668</v>
      </c>
      <c r="B13" t="s">
        <v>687</v>
      </c>
      <c r="C13" s="124" t="str">
        <f t="shared" ref="C13" si="14">_xlfn.CONCAT("UDV.",A13,".",B13)</f>
        <v>UDV.anaer_digest.N_retained</v>
      </c>
      <c r="D13" s="1328">
        <f t="shared" si="1"/>
        <v>0.92480905180000006</v>
      </c>
      <c r="E13" s="125" t="str">
        <f t="shared" si="2"/>
        <v>fraction</v>
      </c>
      <c r="F13" s="1328">
        <f t="shared" ref="F13" si="15">IF(OR(G13="",N13=0),H13,G13)</f>
        <v>0.92480905180000006</v>
      </c>
      <c r="G13" s="126"/>
      <c r="H13" s="302">
        <f t="shared" si="3"/>
        <v>0.92480905180000006</v>
      </c>
      <c r="I13" s="1325" t="str">
        <f t="shared" si="4"/>
        <v>fraction</v>
      </c>
      <c r="J13" t="s">
        <v>688</v>
      </c>
      <c r="K13" s="124"/>
      <c r="L13">
        <f t="shared" si="10"/>
        <v>0</v>
      </c>
      <c r="M13">
        <f t="shared" si="11"/>
        <v>1</v>
      </c>
      <c r="N13">
        <f>IF(AND(M13 - G13 &gt;= 0, G13 - L13 &gt;=0),1,0)</f>
        <v>1</v>
      </c>
      <c r="O13" t="s">
        <v>670</v>
      </c>
      <c r="P13" t="s">
        <v>689</v>
      </c>
      <c r="R13" s="711"/>
      <c r="S13" t="s">
        <v>84</v>
      </c>
      <c r="W13" s="302">
        <f>1-UDV.emit_NH3.lossfrac_anaer_digest-UDV.emit_N2O_direct.ef3_anaer_digest*UC.N2O_to_N</f>
        <v>0.92480905180000006</v>
      </c>
      <c r="X13">
        <v>0</v>
      </c>
      <c r="Y13">
        <v>1</v>
      </c>
      <c r="Z13" t="str">
        <f>Units!B$35</f>
        <v>fraction</v>
      </c>
      <c r="AA13">
        <f>Units!C$35</f>
        <v>1</v>
      </c>
      <c r="AB13">
        <f>Units!D$35</f>
        <v>1</v>
      </c>
      <c r="AC13" t="str">
        <f>Units!E$35</f>
        <v>fraction</v>
      </c>
      <c r="AD13" t="str">
        <f>Units!F$35</f>
        <v>fraction</v>
      </c>
      <c r="AE13" t="str">
        <f>Units!G$35</f>
        <v>fraction</v>
      </c>
      <c r="AF13" t="str">
        <f>Units!H$35</f>
        <v>fraction</v>
      </c>
    </row>
    <row r="14" spans="1:32" x14ac:dyDescent="0.3">
      <c r="A14" t="s">
        <v>668</v>
      </c>
      <c r="B14" t="s">
        <v>690</v>
      </c>
      <c r="C14" s="124" t="str">
        <f t="shared" si="0"/>
        <v>UDV.anaer_digest.ratio_h_r</v>
      </c>
      <c r="D14" s="1330">
        <f t="shared" si="1"/>
        <v>0.75</v>
      </c>
      <c r="E14" s="125" t="str">
        <f t="shared" si="2"/>
        <v>multiplier</v>
      </c>
      <c r="F14" s="1330">
        <f t="shared" si="9"/>
        <v>0.75</v>
      </c>
      <c r="G14" s="126"/>
      <c r="H14" s="78">
        <f t="shared" si="3"/>
        <v>0.75</v>
      </c>
      <c r="I14" s="1325" t="str">
        <f t="shared" si="4"/>
        <v>multiplier</v>
      </c>
      <c r="J14" t="s">
        <v>660</v>
      </c>
      <c r="K14" s="124"/>
      <c r="L14">
        <f t="shared" si="10"/>
        <v>0.1</v>
      </c>
      <c r="M14">
        <f t="shared" si="11"/>
        <v>2</v>
      </c>
      <c r="N14">
        <f t="shared" si="13"/>
        <v>0</v>
      </c>
      <c r="O14" t="s">
        <v>670</v>
      </c>
      <c r="P14" s="93" t="s">
        <v>691</v>
      </c>
      <c r="R14" s="711"/>
      <c r="W14">
        <v>0.75</v>
      </c>
      <c r="X14">
        <v>0.1</v>
      </c>
      <c r="Y14">
        <v>2</v>
      </c>
      <c r="Z14" t="str">
        <f>Units!B$94</f>
        <v>multiplier</v>
      </c>
      <c r="AA14">
        <f>Units!C$94</f>
        <v>1</v>
      </c>
      <c r="AB14">
        <f>Units!D$94</f>
        <v>1</v>
      </c>
      <c r="AC14" t="str">
        <f>Units!E$94</f>
        <v>multiplier</v>
      </c>
      <c r="AD14" t="str">
        <f>Units!F$94</f>
        <v>multiplier</v>
      </c>
      <c r="AE14" t="str">
        <f>Units!G$94</f>
        <v>multiplier</v>
      </c>
      <c r="AF14" t="str">
        <f>Units!H$94</f>
        <v>multiplier</v>
      </c>
    </row>
    <row r="15" spans="1:32" s="34" customFormat="1" x14ac:dyDescent="0.3">
      <c r="A15" t="s">
        <v>668</v>
      </c>
      <c r="B15" t="s">
        <v>692</v>
      </c>
      <c r="C15" s="124" t="str">
        <f t="shared" si="0"/>
        <v>UDV.anaer_digest.sludge_fraction</v>
      </c>
      <c r="D15" s="1091">
        <f t="shared" si="1"/>
        <v>0.03</v>
      </c>
      <c r="E15" s="1093" t="str">
        <f t="shared" si="2"/>
        <v>fraction</v>
      </c>
      <c r="F15" s="1095">
        <f t="shared" si="9"/>
        <v>0.03</v>
      </c>
      <c r="G15" s="1098"/>
      <c r="H15" s="1101">
        <f t="shared" si="3"/>
        <v>0.03</v>
      </c>
      <c r="I15" s="956" t="str">
        <f t="shared" si="4"/>
        <v>fraction</v>
      </c>
      <c r="J15" t="s">
        <v>660</v>
      </c>
      <c r="K15"/>
      <c r="L15">
        <f t="shared" si="10"/>
        <v>0.02</v>
      </c>
      <c r="M15">
        <f t="shared" si="11"/>
        <v>0.04</v>
      </c>
      <c r="N15">
        <f t="shared" si="5"/>
        <v>0</v>
      </c>
      <c r="O15" t="s">
        <v>670</v>
      </c>
      <c r="P15" t="s">
        <v>693</v>
      </c>
      <c r="Q15"/>
      <c r="R15" s="696"/>
      <c r="S15"/>
      <c r="T15" s="127"/>
      <c r="U15"/>
      <c r="V15" t="str">
        <f t="shared" si="6"/>
        <v/>
      </c>
      <c r="W15" s="78">
        <v>0.03</v>
      </c>
      <c r="X15">
        <v>0.02</v>
      </c>
      <c r="Y15">
        <v>0.04</v>
      </c>
      <c r="Z15" t="str">
        <f>Units!B$35</f>
        <v>fraction</v>
      </c>
      <c r="AA15">
        <f>Units!C$35</f>
        <v>1</v>
      </c>
      <c r="AB15">
        <f>Units!D$35</f>
        <v>1</v>
      </c>
      <c r="AC15" t="str">
        <f>Units!E$35</f>
        <v>fraction</v>
      </c>
      <c r="AD15" t="str">
        <f>Units!F$35</f>
        <v>fraction</v>
      </c>
      <c r="AE15" t="str">
        <f>Units!G$35</f>
        <v>fraction</v>
      </c>
      <c r="AF15" t="str">
        <f>Units!H$35</f>
        <v>fraction</v>
      </c>
    </row>
    <row r="16" spans="1:32" x14ac:dyDescent="0.3">
      <c r="A16" t="s">
        <v>668</v>
      </c>
      <c r="B16" t="s">
        <v>694</v>
      </c>
      <c r="C16" s="124" t="str">
        <f t="shared" si="0"/>
        <v>UDV.anaer_digest.sludge_time</v>
      </c>
      <c r="D16" s="1091">
        <f t="shared" si="1"/>
        <v>10</v>
      </c>
      <c r="E16" s="1093" t="str">
        <f t="shared" si="2"/>
        <v>years</v>
      </c>
      <c r="F16" s="1095">
        <f t="shared" si="9"/>
        <v>10</v>
      </c>
      <c r="H16" s="1101">
        <f t="shared" si="3"/>
        <v>10</v>
      </c>
      <c r="I16" s="956" t="str">
        <f t="shared" si="4"/>
        <v>years</v>
      </c>
      <c r="J16" t="s">
        <v>660</v>
      </c>
      <c r="L16">
        <f t="shared" si="10"/>
        <v>5</v>
      </c>
      <c r="M16">
        <f t="shared" si="11"/>
        <v>10</v>
      </c>
      <c r="N16">
        <f t="shared" si="5"/>
        <v>0</v>
      </c>
      <c r="O16" t="s">
        <v>670</v>
      </c>
      <c r="P16" t="s">
        <v>695</v>
      </c>
      <c r="V16" t="str">
        <f t="shared" si="6"/>
        <v/>
      </c>
      <c r="W16" s="78">
        <v>10</v>
      </c>
      <c r="X16">
        <v>5</v>
      </c>
      <c r="Y16">
        <v>10</v>
      </c>
      <c r="Z16" t="str">
        <f>Units!B$113</f>
        <v>years</v>
      </c>
      <c r="AA16">
        <f>Units!C$113</f>
        <v>1</v>
      </c>
      <c r="AB16">
        <f>Units!D$113</f>
        <v>1</v>
      </c>
      <c r="AC16" t="str">
        <f>Units!E$113</f>
        <v>years</v>
      </c>
      <c r="AD16" t="str">
        <f>Units!F$113</f>
        <v>years</v>
      </c>
      <c r="AE16" t="str">
        <f>Units!G$113</f>
        <v>years</v>
      </c>
      <c r="AF16" t="str">
        <f>Units!H$113</f>
        <v>years</v>
      </c>
    </row>
    <row r="17" spans="1:32" x14ac:dyDescent="0.3">
      <c r="A17" t="s">
        <v>668</v>
      </c>
      <c r="B17" t="s">
        <v>696</v>
      </c>
      <c r="C17" s="124" t="str">
        <f t="shared" si="0"/>
        <v>UDV.anaer_digest.storage_safety_factor</v>
      </c>
      <c r="D17" s="1330">
        <f t="shared" si="1"/>
        <v>1</v>
      </c>
      <c r="E17" s="125" t="str">
        <f t="shared" si="2"/>
        <v>multiplier</v>
      </c>
      <c r="F17" s="1330">
        <f t="shared" si="9"/>
        <v>1</v>
      </c>
      <c r="G17" s="126"/>
      <c r="H17" s="78">
        <f t="shared" si="3"/>
        <v>1</v>
      </c>
      <c r="I17" s="1325" t="str">
        <f t="shared" si="4"/>
        <v>multiplier</v>
      </c>
      <c r="J17" t="s">
        <v>660</v>
      </c>
      <c r="K17" s="124"/>
      <c r="L17">
        <f t="shared" si="10"/>
        <v>1</v>
      </c>
      <c r="M17">
        <f t="shared" si="11"/>
        <v>2</v>
      </c>
      <c r="N17">
        <f t="shared" ref="N17" si="16">IF(AND(M17 - G17 &gt;= 0, G17 - L17 &gt;=0),1,0)</f>
        <v>0</v>
      </c>
      <c r="O17" t="s">
        <v>670</v>
      </c>
      <c r="P17" s="93" t="s">
        <v>697</v>
      </c>
      <c r="R17" s="711"/>
      <c r="W17">
        <v>1</v>
      </c>
      <c r="X17">
        <v>1</v>
      </c>
      <c r="Y17">
        <v>2</v>
      </c>
      <c r="Z17" t="str">
        <f>Units!B$94</f>
        <v>multiplier</v>
      </c>
      <c r="AA17">
        <f>Units!C$94</f>
        <v>1</v>
      </c>
      <c r="AB17">
        <f>Units!D$94</f>
        <v>1</v>
      </c>
      <c r="AC17" t="str">
        <f>Units!E$94</f>
        <v>multiplier</v>
      </c>
      <c r="AD17" t="str">
        <f>Units!F$94</f>
        <v>multiplier</v>
      </c>
      <c r="AE17" t="str">
        <f>Units!G$94</f>
        <v>multiplier</v>
      </c>
      <c r="AF17" t="str">
        <f>Units!H$94</f>
        <v>multiplier</v>
      </c>
    </row>
    <row r="18" spans="1:32" x14ac:dyDescent="0.3">
      <c r="A18" t="s">
        <v>668</v>
      </c>
      <c r="B18" t="s">
        <v>698</v>
      </c>
      <c r="C18" s="124" t="str">
        <f t="shared" si="0"/>
        <v>UDV.anaer_digest.vs_reduced</v>
      </c>
      <c r="D18" s="1330">
        <f t="shared" si="1"/>
        <v>0.5</v>
      </c>
      <c r="E18" s="125" t="str">
        <f t="shared" si="2"/>
        <v>fraction</v>
      </c>
      <c r="F18" s="1330">
        <f t="shared" si="9"/>
        <v>0.5</v>
      </c>
      <c r="G18" s="126"/>
      <c r="H18" s="78">
        <f t="shared" si="3"/>
        <v>0.5</v>
      </c>
      <c r="I18" s="1325" t="str">
        <f t="shared" si="4"/>
        <v>fraction</v>
      </c>
      <c r="J18" t="s">
        <v>660</v>
      </c>
      <c r="K18" s="124"/>
      <c r="L18">
        <f t="shared" si="10"/>
        <v>0.2</v>
      </c>
      <c r="M18">
        <f t="shared" si="11"/>
        <v>0.8</v>
      </c>
      <c r="N18">
        <f t="shared" ref="N18" si="17">IF(AND(M18 - G18 &gt;= 0, G18 - L18 &gt;=0),1,0)</f>
        <v>0</v>
      </c>
      <c r="O18" t="s">
        <v>670</v>
      </c>
      <c r="P18" t="s">
        <v>699</v>
      </c>
      <c r="Q18" t="s">
        <v>700</v>
      </c>
      <c r="R18" s="711"/>
      <c r="W18">
        <v>0.5</v>
      </c>
      <c r="X18">
        <v>0.2</v>
      </c>
      <c r="Y18">
        <v>0.8</v>
      </c>
      <c r="Z18" t="str">
        <f>Units!B$35</f>
        <v>fraction</v>
      </c>
      <c r="AA18">
        <f>Units!C$35</f>
        <v>1</v>
      </c>
      <c r="AB18">
        <f>Units!D$35</f>
        <v>1</v>
      </c>
      <c r="AC18" t="str">
        <f>Units!E$35</f>
        <v>fraction</v>
      </c>
      <c r="AD18" t="str">
        <f>Units!F$35</f>
        <v>fraction</v>
      </c>
      <c r="AE18" t="str">
        <f>Units!G$35</f>
        <v>fraction</v>
      </c>
      <c r="AF18" t="str">
        <f>Units!H$35</f>
        <v>fraction</v>
      </c>
    </row>
    <row r="19" spans="1:32" x14ac:dyDescent="0.3">
      <c r="A19" s="128" t="s">
        <v>701</v>
      </c>
      <c r="B19" s="128" t="s">
        <v>702</v>
      </c>
      <c r="C19" s="124" t="str">
        <f t="shared" si="0"/>
        <v>UDV.anaer_digest_effluent.K</v>
      </c>
      <c r="D19" s="1091">
        <f t="shared" si="1"/>
        <v>0.15</v>
      </c>
      <c r="E19" s="1093" t="str">
        <f t="shared" si="2"/>
        <v>fraction</v>
      </c>
      <c r="F19" s="1095">
        <f t="shared" si="9"/>
        <v>0.15</v>
      </c>
      <c r="H19" s="1101">
        <f t="shared" si="3"/>
        <v>0.15</v>
      </c>
      <c r="I19" s="956" t="str">
        <f t="shared" si="4"/>
        <v>fraction</v>
      </c>
      <c r="J19" t="s">
        <v>660</v>
      </c>
      <c r="K19" s="128"/>
      <c r="L19">
        <f t="shared" si="10"/>
        <v>0</v>
      </c>
      <c r="M19">
        <f t="shared" si="11"/>
        <v>0.2</v>
      </c>
      <c r="N19">
        <f t="shared" si="5"/>
        <v>1</v>
      </c>
      <c r="O19" t="s">
        <v>703</v>
      </c>
      <c r="P19" t="s">
        <v>702</v>
      </c>
      <c r="V19" t="str">
        <f t="shared" si="6"/>
        <v/>
      </c>
      <c r="W19" s="78">
        <v>0.15</v>
      </c>
      <c r="X19">
        <v>0</v>
      </c>
      <c r="Y19">
        <v>0.2</v>
      </c>
      <c r="Z19" t="str">
        <f>Units!B$35</f>
        <v>fraction</v>
      </c>
      <c r="AA19">
        <f>Units!C$35</f>
        <v>1</v>
      </c>
      <c r="AB19">
        <f>Units!D$35</f>
        <v>1</v>
      </c>
      <c r="AC19" t="str">
        <f>Units!E$35</f>
        <v>fraction</v>
      </c>
      <c r="AD19" t="str">
        <f>Units!F$35</f>
        <v>fraction</v>
      </c>
      <c r="AE19" t="str">
        <f>Units!G$35</f>
        <v>fraction</v>
      </c>
      <c r="AF19" t="str">
        <f>Units!H$35</f>
        <v>fraction</v>
      </c>
    </row>
    <row r="20" spans="1:32" x14ac:dyDescent="0.3">
      <c r="A20" s="94" t="s">
        <v>701</v>
      </c>
      <c r="B20" s="94" t="s">
        <v>84</v>
      </c>
      <c r="C20" s="124" t="str">
        <f t="shared" si="0"/>
        <v>UDV.anaer_digest_effluent.N</v>
      </c>
      <c r="D20" s="1144">
        <f t="shared" si="1"/>
        <v>0</v>
      </c>
      <c r="E20" s="1145" t="str">
        <f t="shared" si="2"/>
        <v>fraction</v>
      </c>
      <c r="F20" s="1146">
        <f t="shared" si="9"/>
        <v>0</v>
      </c>
      <c r="G20" s="1147"/>
      <c r="H20" s="1148">
        <f t="shared" si="3"/>
        <v>0</v>
      </c>
      <c r="I20" s="1149" t="str">
        <f t="shared" si="4"/>
        <v>fraction</v>
      </c>
      <c r="J20" s="34" t="s">
        <v>660</v>
      </c>
      <c r="K20" s="94"/>
      <c r="L20">
        <f t="shared" si="10"/>
        <v>0</v>
      </c>
      <c r="M20">
        <f t="shared" si="11"/>
        <v>0.4</v>
      </c>
      <c r="N20" s="34">
        <f t="shared" si="5"/>
        <v>1</v>
      </c>
      <c r="O20" s="34" t="s">
        <v>703</v>
      </c>
      <c r="P20" s="34" t="s">
        <v>84</v>
      </c>
      <c r="Q20" s="34"/>
      <c r="R20" s="1150"/>
      <c r="S20" s="34"/>
      <c r="T20" s="1151"/>
      <c r="U20" s="34"/>
      <c r="V20" t="str">
        <f t="shared" si="6"/>
        <v/>
      </c>
      <c r="W20" s="1152">
        <v>0</v>
      </c>
      <c r="X20" s="34">
        <v>0</v>
      </c>
      <c r="Y20" s="34">
        <v>0.4</v>
      </c>
      <c r="Z20" s="34" t="str">
        <f>Units!B$35</f>
        <v>fraction</v>
      </c>
      <c r="AA20" s="34">
        <f>Units!C$35</f>
        <v>1</v>
      </c>
      <c r="AB20" s="34">
        <f>Units!D$35</f>
        <v>1</v>
      </c>
      <c r="AC20" s="34" t="str">
        <f>Units!E$35</f>
        <v>fraction</v>
      </c>
      <c r="AD20" s="34" t="str">
        <f>Units!F$35</f>
        <v>fraction</v>
      </c>
      <c r="AE20" s="34" t="str">
        <f>Units!G$35</f>
        <v>fraction</v>
      </c>
      <c r="AF20" s="34" t="str">
        <f>Units!H$35</f>
        <v>fraction</v>
      </c>
    </row>
    <row r="21" spans="1:32" x14ac:dyDescent="0.3">
      <c r="A21" s="128" t="s">
        <v>701</v>
      </c>
      <c r="B21" s="128" t="s">
        <v>704</v>
      </c>
      <c r="C21" s="124" t="str">
        <f t="shared" si="0"/>
        <v>UDV.anaer_digest_effluent.P</v>
      </c>
      <c r="D21" s="1091">
        <f t="shared" si="1"/>
        <v>0.2</v>
      </c>
      <c r="E21" s="1093" t="str">
        <f t="shared" si="2"/>
        <v>fraction</v>
      </c>
      <c r="F21" s="1095">
        <f t="shared" si="9"/>
        <v>0.2</v>
      </c>
      <c r="H21" s="1101">
        <f t="shared" si="3"/>
        <v>0.2</v>
      </c>
      <c r="I21" s="956" t="str">
        <f t="shared" si="4"/>
        <v>fraction</v>
      </c>
      <c r="J21" t="s">
        <v>660</v>
      </c>
      <c r="K21" s="128"/>
      <c r="L21">
        <f t="shared" si="10"/>
        <v>0</v>
      </c>
      <c r="M21">
        <f t="shared" si="11"/>
        <v>0.2</v>
      </c>
      <c r="N21">
        <f t="shared" si="5"/>
        <v>1</v>
      </c>
      <c r="O21" t="s">
        <v>703</v>
      </c>
      <c r="P21" t="s">
        <v>704</v>
      </c>
      <c r="V21" t="str">
        <f t="shared" si="6"/>
        <v/>
      </c>
      <c r="W21" s="78">
        <v>0.2</v>
      </c>
      <c r="X21">
        <v>0</v>
      </c>
      <c r="Y21">
        <v>0.2</v>
      </c>
      <c r="Z21" t="str">
        <f>Units!B$35</f>
        <v>fraction</v>
      </c>
      <c r="AA21">
        <f>Units!C$35</f>
        <v>1</v>
      </c>
      <c r="AB21">
        <f>Units!D$35</f>
        <v>1</v>
      </c>
      <c r="AC21" t="str">
        <f>Units!E$35</f>
        <v>fraction</v>
      </c>
      <c r="AD21" t="str">
        <f>Units!F$35</f>
        <v>fraction</v>
      </c>
      <c r="AE21" t="str">
        <f>Units!G$35</f>
        <v>fraction</v>
      </c>
      <c r="AF21" t="str">
        <f>Units!H$35</f>
        <v>fraction</v>
      </c>
    </row>
    <row r="22" spans="1:32" x14ac:dyDescent="0.3">
      <c r="A22" s="128" t="s">
        <v>701</v>
      </c>
      <c r="B22" s="128" t="s">
        <v>705</v>
      </c>
      <c r="C22" s="124" t="str">
        <f t="shared" si="0"/>
        <v>UDV.anaer_digest_effluent.TAN</v>
      </c>
      <c r="D22" s="1091">
        <f t="shared" si="1"/>
        <v>0.35</v>
      </c>
      <c r="E22" s="1093" t="str">
        <f t="shared" si="2"/>
        <v>fraction</v>
      </c>
      <c r="F22" s="1095">
        <f t="shared" si="9"/>
        <v>0.35</v>
      </c>
      <c r="H22" s="1101">
        <f t="shared" si="3"/>
        <v>0.35</v>
      </c>
      <c r="I22" s="956" t="str">
        <f t="shared" si="4"/>
        <v>fraction</v>
      </c>
      <c r="J22" t="s">
        <v>660</v>
      </c>
      <c r="K22" s="128"/>
      <c r="L22">
        <f t="shared" si="10"/>
        <v>0</v>
      </c>
      <c r="M22">
        <f t="shared" si="11"/>
        <v>0.4</v>
      </c>
      <c r="N22">
        <f t="shared" si="5"/>
        <v>1</v>
      </c>
      <c r="O22" t="s">
        <v>703</v>
      </c>
      <c r="P22" t="s">
        <v>705</v>
      </c>
      <c r="V22" t="str">
        <f t="shared" si="6"/>
        <v/>
      </c>
      <c r="W22" s="78">
        <v>0.35</v>
      </c>
      <c r="X22">
        <v>0</v>
      </c>
      <c r="Y22">
        <v>0.4</v>
      </c>
      <c r="Z22" t="str">
        <f>Units!B$35</f>
        <v>fraction</v>
      </c>
      <c r="AA22">
        <f>Units!C$35</f>
        <v>1</v>
      </c>
      <c r="AB22">
        <f>Units!D$35</f>
        <v>1</v>
      </c>
      <c r="AC22" t="str">
        <f>Units!E$35</f>
        <v>fraction</v>
      </c>
      <c r="AD22" t="str">
        <f>Units!F$35</f>
        <v>fraction</v>
      </c>
      <c r="AE22" t="str">
        <f>Units!G$35</f>
        <v>fraction</v>
      </c>
      <c r="AF22" t="str">
        <f>Units!H$35</f>
        <v>fraction</v>
      </c>
    </row>
    <row r="23" spans="1:32" s="34" customFormat="1" x14ac:dyDescent="0.3">
      <c r="A23" s="128" t="s">
        <v>701</v>
      </c>
      <c r="B23" s="128" t="s">
        <v>706</v>
      </c>
      <c r="C23" s="124" t="str">
        <f t="shared" si="0"/>
        <v>UDV.anaer_digest_effluent.TS</v>
      </c>
      <c r="D23" s="1091">
        <f t="shared" si="1"/>
        <v>0.6</v>
      </c>
      <c r="E23" s="1093" t="str">
        <f t="shared" si="2"/>
        <v>fraction</v>
      </c>
      <c r="F23" s="1095">
        <f t="shared" si="9"/>
        <v>0.6</v>
      </c>
      <c r="G23" s="1098"/>
      <c r="H23" s="1101">
        <f t="shared" si="3"/>
        <v>0.6</v>
      </c>
      <c r="I23" s="956" t="str">
        <f t="shared" si="4"/>
        <v>fraction</v>
      </c>
      <c r="J23" t="s">
        <v>660</v>
      </c>
      <c r="K23" s="128"/>
      <c r="L23">
        <f t="shared" si="10"/>
        <v>0.15</v>
      </c>
      <c r="M23">
        <f t="shared" si="11"/>
        <v>0.7</v>
      </c>
      <c r="N23">
        <f t="shared" si="5"/>
        <v>0</v>
      </c>
      <c r="O23" t="s">
        <v>703</v>
      </c>
      <c r="P23" t="s">
        <v>707</v>
      </c>
      <c r="Q23"/>
      <c r="R23" s="696"/>
      <c r="S23"/>
      <c r="T23" s="127"/>
      <c r="U23"/>
      <c r="V23" t="str">
        <f t="shared" si="6"/>
        <v/>
      </c>
      <c r="W23" s="78">
        <v>0.6</v>
      </c>
      <c r="X23">
        <v>0.15</v>
      </c>
      <c r="Y23">
        <v>0.7</v>
      </c>
      <c r="Z23" t="str">
        <f>Units!B$35</f>
        <v>fraction</v>
      </c>
      <c r="AA23">
        <f>Units!C$35</f>
        <v>1</v>
      </c>
      <c r="AB23">
        <f>Units!D$35</f>
        <v>1</v>
      </c>
      <c r="AC23" t="str">
        <f>Units!E$35</f>
        <v>fraction</v>
      </c>
      <c r="AD23" t="str">
        <f>Units!F$35</f>
        <v>fraction</v>
      </c>
      <c r="AE23" t="str">
        <f>Units!G$35</f>
        <v>fraction</v>
      </c>
      <c r="AF23" t="str">
        <f>Units!H$35</f>
        <v>fraction</v>
      </c>
    </row>
    <row r="24" spans="1:32" x14ac:dyDescent="0.3">
      <c r="A24" t="s">
        <v>701</v>
      </c>
      <c r="B24" t="s">
        <v>708</v>
      </c>
      <c r="C24" s="124" t="str">
        <f t="shared" si="0"/>
        <v>UDV.anaer_digest_effluent.VS</v>
      </c>
      <c r="D24" s="1091">
        <f t="shared" si="1"/>
        <v>0.6</v>
      </c>
      <c r="E24" s="1093" t="str">
        <f t="shared" si="2"/>
        <v>fraction</v>
      </c>
      <c r="F24" s="1095">
        <f t="shared" si="9"/>
        <v>0.6</v>
      </c>
      <c r="H24" s="1101">
        <f t="shared" si="3"/>
        <v>0.6</v>
      </c>
      <c r="I24" s="956" t="str">
        <f t="shared" si="4"/>
        <v>fraction</v>
      </c>
      <c r="J24" t="s">
        <v>660</v>
      </c>
      <c r="L24">
        <f t="shared" si="10"/>
        <v>0.15</v>
      </c>
      <c r="M24">
        <f t="shared" si="11"/>
        <v>0.9</v>
      </c>
      <c r="N24">
        <f t="shared" si="5"/>
        <v>0</v>
      </c>
      <c r="O24" t="s">
        <v>703</v>
      </c>
      <c r="P24" t="s">
        <v>709</v>
      </c>
      <c r="V24" t="str">
        <f t="shared" si="6"/>
        <v/>
      </c>
      <c r="W24" s="78">
        <v>0.6</v>
      </c>
      <c r="X24">
        <v>0.15</v>
      </c>
      <c r="Y24">
        <v>0.9</v>
      </c>
      <c r="Z24" t="str">
        <f>Units!B$35</f>
        <v>fraction</v>
      </c>
      <c r="AA24">
        <f>Units!C$35</f>
        <v>1</v>
      </c>
      <c r="AB24">
        <f>Units!D$35</f>
        <v>1</v>
      </c>
      <c r="AC24" t="str">
        <f>Units!E$35</f>
        <v>fraction</v>
      </c>
      <c r="AD24" t="str">
        <f>Units!F$35</f>
        <v>fraction</v>
      </c>
      <c r="AE24" t="str">
        <f>Units!G$35</f>
        <v>fraction</v>
      </c>
      <c r="AF24" t="str">
        <f>Units!H$35</f>
        <v>fraction</v>
      </c>
    </row>
    <row r="25" spans="1:32" x14ac:dyDescent="0.3">
      <c r="A25" t="s">
        <v>710</v>
      </c>
      <c r="B25" t="s">
        <v>711</v>
      </c>
      <c r="C25" s="124" t="str">
        <f t="shared" si="0"/>
        <v>UDV.anaer_digest_liquid.prop</v>
      </c>
      <c r="D25" s="1091">
        <f t="shared" si="1"/>
        <v>0.05</v>
      </c>
      <c r="E25" s="1093" t="str">
        <f t="shared" si="2"/>
        <v>fraction</v>
      </c>
      <c r="F25" s="1095">
        <f t="shared" si="9"/>
        <v>0.05</v>
      </c>
      <c r="H25" s="1101">
        <f t="shared" si="3"/>
        <v>0.05</v>
      </c>
      <c r="I25" s="956" t="str">
        <f t="shared" si="4"/>
        <v>fraction</v>
      </c>
      <c r="J25" t="s">
        <v>660</v>
      </c>
      <c r="L25">
        <f t="shared" si="10"/>
        <v>0.01</v>
      </c>
      <c r="M25">
        <f t="shared" si="11"/>
        <v>0.99</v>
      </c>
      <c r="N25">
        <f t="shared" si="5"/>
        <v>0</v>
      </c>
      <c r="O25" t="s">
        <v>712</v>
      </c>
      <c r="P25" t="s">
        <v>713</v>
      </c>
      <c r="S25" t="s">
        <v>84</v>
      </c>
      <c r="V25" t="str">
        <f t="shared" si="6"/>
        <v/>
      </c>
      <c r="W25" s="78">
        <v>0.05</v>
      </c>
      <c r="X25">
        <v>0.01</v>
      </c>
      <c r="Y25">
        <v>0.99</v>
      </c>
      <c r="Z25" t="str">
        <f>Units!B$35</f>
        <v>fraction</v>
      </c>
      <c r="AA25">
        <f>Units!C$35</f>
        <v>1</v>
      </c>
      <c r="AB25">
        <f>Units!D$35</f>
        <v>1</v>
      </c>
      <c r="AC25" t="str">
        <f>Units!E$35</f>
        <v>fraction</v>
      </c>
      <c r="AD25" t="str">
        <f>Units!F$35</f>
        <v>fraction</v>
      </c>
      <c r="AE25" t="str">
        <f>Units!G$35</f>
        <v>fraction</v>
      </c>
      <c r="AF25" t="str">
        <f>Units!H$35</f>
        <v>fraction</v>
      </c>
    </row>
    <row r="26" spans="1:32" x14ac:dyDescent="0.3">
      <c r="A26" s="128" t="s">
        <v>714</v>
      </c>
      <c r="B26" s="128" t="s">
        <v>702</v>
      </c>
      <c r="C26" s="124" t="str">
        <f t="shared" si="0"/>
        <v>UDV.anaer_digest_sludge.K</v>
      </c>
      <c r="D26" s="1091">
        <f t="shared" si="1"/>
        <v>0.85</v>
      </c>
      <c r="E26" s="1093" t="str">
        <f t="shared" si="2"/>
        <v>fraction</v>
      </c>
      <c r="F26" s="1095">
        <f t="shared" si="9"/>
        <v>0.85</v>
      </c>
      <c r="H26" s="1110">
        <f t="shared" si="3"/>
        <v>0.85</v>
      </c>
      <c r="I26" s="956" t="str">
        <f t="shared" si="4"/>
        <v>fraction</v>
      </c>
      <c r="J26" s="128" t="s">
        <v>688</v>
      </c>
      <c r="K26" s="128"/>
      <c r="L26" s="128"/>
      <c r="M26" s="128"/>
      <c r="N26">
        <f t="shared" si="5"/>
        <v>1</v>
      </c>
      <c r="O26" t="s">
        <v>715</v>
      </c>
      <c r="P26" t="s">
        <v>702</v>
      </c>
      <c r="S26" t="s">
        <v>84</v>
      </c>
      <c r="V26" t="str">
        <f t="shared" si="6"/>
        <v>Fix</v>
      </c>
      <c r="W26" s="697">
        <f>1-UDV.anaer_digest_effluent.K</f>
        <v>0.85</v>
      </c>
      <c r="X26">
        <v>0</v>
      </c>
      <c r="Y26">
        <v>0</v>
      </c>
      <c r="Z26" t="str">
        <f>Units!B$35</f>
        <v>fraction</v>
      </c>
      <c r="AA26">
        <f>Units!C$35</f>
        <v>1</v>
      </c>
      <c r="AB26">
        <f>Units!D$35</f>
        <v>1</v>
      </c>
      <c r="AC26" t="str">
        <f>Units!E$35</f>
        <v>fraction</v>
      </c>
      <c r="AD26" t="str">
        <f>Units!F$35</f>
        <v>fraction</v>
      </c>
      <c r="AE26" t="str">
        <f>Units!G$35</f>
        <v>fraction</v>
      </c>
      <c r="AF26" t="str">
        <f>Units!H$35</f>
        <v>fraction</v>
      </c>
    </row>
    <row r="27" spans="1:32" x14ac:dyDescent="0.3">
      <c r="A27" s="94" t="s">
        <v>714</v>
      </c>
      <c r="B27" s="94" t="s">
        <v>84</v>
      </c>
      <c r="C27" s="124" t="str">
        <f t="shared" si="0"/>
        <v>UDV.anaer_digest_sludge.N</v>
      </c>
      <c r="D27" s="1144">
        <f t="shared" si="1"/>
        <v>1</v>
      </c>
      <c r="E27" s="1145" t="str">
        <f t="shared" si="2"/>
        <v>fraction</v>
      </c>
      <c r="F27" s="1146">
        <f t="shared" si="9"/>
        <v>1</v>
      </c>
      <c r="G27" s="1147"/>
      <c r="H27" s="1153">
        <f t="shared" si="3"/>
        <v>1</v>
      </c>
      <c r="I27" s="1149" t="str">
        <f t="shared" si="4"/>
        <v>fraction</v>
      </c>
      <c r="J27" s="94" t="s">
        <v>688</v>
      </c>
      <c r="K27" s="94"/>
      <c r="L27" s="94"/>
      <c r="M27" s="94"/>
      <c r="N27" s="34">
        <f t="shared" si="5"/>
        <v>1</v>
      </c>
      <c r="O27" s="34" t="s">
        <v>715</v>
      </c>
      <c r="P27" s="34" t="s">
        <v>84</v>
      </c>
      <c r="Q27" s="34"/>
      <c r="R27" s="1150"/>
      <c r="S27" s="34" t="s">
        <v>84</v>
      </c>
      <c r="T27" s="1151"/>
      <c r="U27" s="34"/>
      <c r="V27" t="str">
        <f t="shared" si="6"/>
        <v>Fix</v>
      </c>
      <c r="W27" s="1173">
        <f>1-UDV.anaer_digest_effluent.N</f>
        <v>1</v>
      </c>
      <c r="X27" s="34">
        <v>0</v>
      </c>
      <c r="Y27" s="34">
        <v>0</v>
      </c>
      <c r="Z27" s="34" t="str">
        <f>Units!B$35</f>
        <v>fraction</v>
      </c>
      <c r="AA27" s="34">
        <f>Units!C$35</f>
        <v>1</v>
      </c>
      <c r="AB27" s="34">
        <f>Units!D$35</f>
        <v>1</v>
      </c>
      <c r="AC27" s="34" t="str">
        <f>Units!E$35</f>
        <v>fraction</v>
      </c>
      <c r="AD27" s="34" t="str">
        <f>Units!F$35</f>
        <v>fraction</v>
      </c>
      <c r="AE27" s="34" t="str">
        <f>Units!G$35</f>
        <v>fraction</v>
      </c>
      <c r="AF27" s="34" t="str">
        <f>Units!H$35</f>
        <v>fraction</v>
      </c>
    </row>
    <row r="28" spans="1:32" x14ac:dyDescent="0.3">
      <c r="A28" s="128" t="s">
        <v>714</v>
      </c>
      <c r="B28" s="128" t="s">
        <v>704</v>
      </c>
      <c r="C28" s="124" t="str">
        <f t="shared" si="0"/>
        <v>UDV.anaer_digest_sludge.P</v>
      </c>
      <c r="D28" s="1091">
        <f t="shared" si="1"/>
        <v>0.8</v>
      </c>
      <c r="E28" s="1093" t="str">
        <f t="shared" si="2"/>
        <v>fraction</v>
      </c>
      <c r="F28" s="1095">
        <f t="shared" si="9"/>
        <v>0.8</v>
      </c>
      <c r="H28" s="1110">
        <f t="shared" si="3"/>
        <v>0.8</v>
      </c>
      <c r="I28" s="956" t="str">
        <f t="shared" si="4"/>
        <v>fraction</v>
      </c>
      <c r="J28" s="128" t="s">
        <v>688</v>
      </c>
      <c r="K28" s="128"/>
      <c r="L28" s="128"/>
      <c r="M28" s="128"/>
      <c r="N28">
        <f t="shared" si="5"/>
        <v>1</v>
      </c>
      <c r="O28" t="s">
        <v>715</v>
      </c>
      <c r="P28" t="s">
        <v>704</v>
      </c>
      <c r="S28" t="s">
        <v>84</v>
      </c>
      <c r="V28" t="str">
        <f t="shared" si="6"/>
        <v>Fix</v>
      </c>
      <c r="W28" s="697">
        <f>1-UDV.anaer_digest_effluent.P</f>
        <v>0.8</v>
      </c>
      <c r="X28">
        <v>0</v>
      </c>
      <c r="Y28">
        <v>0</v>
      </c>
      <c r="Z28" t="str">
        <f>Units!B$35</f>
        <v>fraction</v>
      </c>
      <c r="AA28">
        <f>Units!C$35</f>
        <v>1</v>
      </c>
      <c r="AB28">
        <f>Units!D$35</f>
        <v>1</v>
      </c>
      <c r="AC28" t="str">
        <f>Units!E$35</f>
        <v>fraction</v>
      </c>
      <c r="AD28" t="str">
        <f>Units!F$35</f>
        <v>fraction</v>
      </c>
      <c r="AE28" t="str">
        <f>Units!G$35</f>
        <v>fraction</v>
      </c>
      <c r="AF28" t="str">
        <f>Units!H$35</f>
        <v>fraction</v>
      </c>
    </row>
    <row r="29" spans="1:32" x14ac:dyDescent="0.3">
      <c r="A29" t="s">
        <v>714</v>
      </c>
      <c r="B29" t="s">
        <v>711</v>
      </c>
      <c r="C29" s="124" t="str">
        <f t="shared" si="0"/>
        <v>UDV.anaer_digest_sludge.prop</v>
      </c>
      <c r="D29" s="1091">
        <f t="shared" si="1"/>
        <v>0.95</v>
      </c>
      <c r="E29" s="1093" t="str">
        <f t="shared" si="2"/>
        <v>fraction</v>
      </c>
      <c r="F29" s="1095">
        <f t="shared" si="9"/>
        <v>0.95</v>
      </c>
      <c r="H29" s="1102">
        <f t="shared" si="3"/>
        <v>0.95</v>
      </c>
      <c r="I29" s="956" t="str">
        <f t="shared" si="4"/>
        <v>fraction</v>
      </c>
      <c r="J29" t="s">
        <v>688</v>
      </c>
      <c r="L29">
        <f t="shared" ref="L29:L72" si="18">ROUNDDOWN($X29*$AA29,3)</f>
        <v>0.01</v>
      </c>
      <c r="M29">
        <f t="shared" ref="M29:M55" si="19">ROUNDUP($Y29*$AA29,3)</f>
        <v>0.99</v>
      </c>
      <c r="N29">
        <f t="shared" si="5"/>
        <v>0</v>
      </c>
      <c r="O29" t="s">
        <v>715</v>
      </c>
      <c r="P29" t="s">
        <v>716</v>
      </c>
      <c r="S29" t="s">
        <v>84</v>
      </c>
      <c r="V29" t="str">
        <f t="shared" si="6"/>
        <v/>
      </c>
      <c r="W29" s="78">
        <f>1-UDV.anaer_digest_liquid.prop</f>
        <v>0.95</v>
      </c>
      <c r="X29">
        <v>0.01</v>
      </c>
      <c r="Y29">
        <v>0.99</v>
      </c>
      <c r="Z29" t="str">
        <f>Units!B$35</f>
        <v>fraction</v>
      </c>
      <c r="AA29">
        <f>Units!C$35</f>
        <v>1</v>
      </c>
      <c r="AB29">
        <f>Units!D$35</f>
        <v>1</v>
      </c>
      <c r="AC29" t="str">
        <f>Units!E$35</f>
        <v>fraction</v>
      </c>
      <c r="AD29" t="str">
        <f>Units!F$35</f>
        <v>fraction</v>
      </c>
      <c r="AE29" t="str">
        <f>Units!G$35</f>
        <v>fraction</v>
      </c>
      <c r="AF29" t="str">
        <f>Units!H$35</f>
        <v>fraction</v>
      </c>
    </row>
    <row r="30" spans="1:32" x14ac:dyDescent="0.3">
      <c r="A30" s="128" t="s">
        <v>714</v>
      </c>
      <c r="B30" s="128" t="s">
        <v>706</v>
      </c>
      <c r="C30" s="124" t="str">
        <f t="shared" si="0"/>
        <v>UDV.anaer_digest_sludge.TS</v>
      </c>
      <c r="D30" s="1091">
        <f t="shared" si="1"/>
        <v>6</v>
      </c>
      <c r="E30" s="1093" t="str">
        <f t="shared" si="2"/>
        <v>g/L</v>
      </c>
      <c r="F30" s="1095">
        <f t="shared" si="9"/>
        <v>50.07242665920505</v>
      </c>
      <c r="H30" s="1101">
        <f t="shared" si="3"/>
        <v>50.07242665920505</v>
      </c>
      <c r="I30" s="956" t="str">
        <f t="shared" si="4"/>
        <v>lb/1000 gal</v>
      </c>
      <c r="J30" t="s">
        <v>660</v>
      </c>
      <c r="K30" s="128"/>
      <c r="L30">
        <f t="shared" si="18"/>
        <v>25.036000000000001</v>
      </c>
      <c r="M30">
        <f t="shared" si="19"/>
        <v>83.454999999999998</v>
      </c>
      <c r="N30">
        <f t="shared" si="5"/>
        <v>0</v>
      </c>
      <c r="O30" t="s">
        <v>715</v>
      </c>
      <c r="P30" t="s">
        <v>717</v>
      </c>
      <c r="V30" t="str">
        <f t="shared" si="6"/>
        <v/>
      </c>
      <c r="W30" s="78">
        <v>6</v>
      </c>
      <c r="X30">
        <v>3</v>
      </c>
      <c r="Y30">
        <v>10</v>
      </c>
      <c r="Z30" t="str">
        <f>Units!B$87</f>
        <v>g/L</v>
      </c>
      <c r="AA30">
        <f>Units!C$87</f>
        <v>8.3454044432008416</v>
      </c>
      <c r="AB30">
        <f>Units!D$87</f>
        <v>0.11982642744351579</v>
      </c>
      <c r="AC30" t="str">
        <f>Units!E$87</f>
        <v>lb/1000 gal</v>
      </c>
      <c r="AD30" t="str">
        <f>Units!F$87</f>
        <v>g/L</v>
      </c>
      <c r="AE30" t="str">
        <f>Units!G$87</f>
        <v>g/L</v>
      </c>
      <c r="AF30" t="str">
        <f>Units!H$87</f>
        <v>lb/1000 gal</v>
      </c>
    </row>
    <row r="31" spans="1:32" x14ac:dyDescent="0.3">
      <c r="A31" t="s">
        <v>718</v>
      </c>
      <c r="B31" t="s">
        <v>1194</v>
      </c>
      <c r="C31" s="124" t="str">
        <f t="shared" ref="C31" si="20">_xlfn.CONCAT("UDV.",A31,".",B31)</f>
        <v>UDV.anaer_lagoon.agitation</v>
      </c>
      <c r="D31">
        <f t="shared" si="1"/>
        <v>1</v>
      </c>
      <c r="E31" t="str">
        <f t="shared" si="2"/>
        <v>1 or 0</v>
      </c>
      <c r="F31">
        <f t="shared" si="9"/>
        <v>1</v>
      </c>
      <c r="G31"/>
      <c r="H31">
        <f t="shared" si="3"/>
        <v>1</v>
      </c>
      <c r="I31" t="str">
        <f t="shared" si="4"/>
        <v>1 or 0</v>
      </c>
      <c r="J31" t="s">
        <v>799</v>
      </c>
      <c r="L31">
        <f t="shared" ref="L31" si="21">$X31*$AA31</f>
        <v>0</v>
      </c>
      <c r="M31">
        <f t="shared" ref="M31" si="22">$Y31*$AA31</f>
        <v>1</v>
      </c>
      <c r="N31">
        <f t="shared" ref="N31" si="23">IF(AND(M31 - G31 &gt;= 0, G31 - L31 &gt;=0),1,0)</f>
        <v>1</v>
      </c>
      <c r="O31" t="s">
        <v>720</v>
      </c>
      <c r="P31" s="93" t="s">
        <v>7477</v>
      </c>
      <c r="R31"/>
      <c r="T31"/>
      <c r="W31">
        <v>1</v>
      </c>
      <c r="X31">
        <v>0</v>
      </c>
      <c r="Y31">
        <v>1</v>
      </c>
      <c r="Z31" t="str">
        <f>Units!B$11</f>
        <v>1 or 0</v>
      </c>
      <c r="AA31">
        <f>Units!C$11</f>
        <v>1</v>
      </c>
      <c r="AB31">
        <f>Units!D$11</f>
        <v>1</v>
      </c>
      <c r="AC31" t="str">
        <f>Units!E$11</f>
        <v>1 or 0</v>
      </c>
      <c r="AD31" t="str">
        <f>Units!F$11</f>
        <v>1 or 0</v>
      </c>
      <c r="AE31" t="str">
        <f>Units!G$11</f>
        <v>1 or 0</v>
      </c>
      <c r="AF31" t="str">
        <f>Units!H$11</f>
        <v>1 or 0</v>
      </c>
    </row>
    <row r="32" spans="1:32" x14ac:dyDescent="0.3">
      <c r="A32" s="128" t="s">
        <v>718</v>
      </c>
      <c r="B32" s="128" t="s">
        <v>719</v>
      </c>
      <c r="C32" s="124" t="str">
        <f t="shared" si="0"/>
        <v>UDV.anaer_lagoon.berm_width</v>
      </c>
      <c r="D32" s="1091">
        <f t="shared" si="1"/>
        <v>2.5</v>
      </c>
      <c r="E32" s="1093" t="str">
        <f t="shared" si="2"/>
        <v>m</v>
      </c>
      <c r="F32" s="1095">
        <f t="shared" si="9"/>
        <v>8.2020997500000004</v>
      </c>
      <c r="H32" s="1101">
        <f t="shared" si="3"/>
        <v>8.2020997500000004</v>
      </c>
      <c r="I32" s="956" t="str">
        <f t="shared" si="4"/>
        <v>ft</v>
      </c>
      <c r="J32" t="s">
        <v>660</v>
      </c>
      <c r="K32" s="124"/>
      <c r="L32">
        <f t="shared" si="18"/>
        <v>8.202</v>
      </c>
      <c r="M32">
        <f t="shared" si="19"/>
        <v>32.808999999999997</v>
      </c>
      <c r="N32">
        <f t="shared" si="5"/>
        <v>0</v>
      </c>
      <c r="O32" t="s">
        <v>720</v>
      </c>
      <c r="P32" t="s">
        <v>721</v>
      </c>
      <c r="R32" s="711"/>
      <c r="S32" t="s">
        <v>84</v>
      </c>
      <c r="V32" t="str">
        <f t="shared" si="6"/>
        <v/>
      </c>
      <c r="W32">
        <v>2.5</v>
      </c>
      <c r="X32">
        <v>2.5</v>
      </c>
      <c r="Y32">
        <v>10</v>
      </c>
      <c r="Z32" s="132" t="str">
        <f>Units!B$48</f>
        <v>m</v>
      </c>
      <c r="AA32" s="132">
        <f>Units!C$48</f>
        <v>3.2808399000000001</v>
      </c>
      <c r="AB32" s="132">
        <f>Units!D$48</f>
        <v>0.304799999536704</v>
      </c>
      <c r="AC32" s="132" t="str">
        <f>Units!E$48</f>
        <v>ft</v>
      </c>
      <c r="AD32" s="132" t="str">
        <f>Units!F$48</f>
        <v>m</v>
      </c>
      <c r="AE32" s="132" t="str">
        <f>Units!G$48</f>
        <v>m</v>
      </c>
      <c r="AF32" s="132" t="str">
        <f>Units!H$48</f>
        <v>ft</v>
      </c>
    </row>
    <row r="33" spans="1:32" x14ac:dyDescent="0.3">
      <c r="A33" t="s">
        <v>718</v>
      </c>
      <c r="B33" t="s">
        <v>722</v>
      </c>
      <c r="C33" s="124" t="str">
        <f t="shared" si="0"/>
        <v>UDV.anaer_lagoon.depth</v>
      </c>
      <c r="D33" s="1091">
        <f t="shared" si="1"/>
        <v>4.5720000000000001</v>
      </c>
      <c r="E33" s="1093" t="str">
        <f t="shared" si="2"/>
        <v>m</v>
      </c>
      <c r="F33" s="1095">
        <f t="shared" si="9"/>
        <v>15</v>
      </c>
      <c r="H33" s="1101">
        <f t="shared" si="3"/>
        <v>15</v>
      </c>
      <c r="I33" s="956" t="str">
        <f t="shared" si="4"/>
        <v>ft</v>
      </c>
      <c r="J33" t="s">
        <v>660</v>
      </c>
      <c r="L33">
        <f t="shared" si="18"/>
        <v>6</v>
      </c>
      <c r="M33">
        <f t="shared" si="19"/>
        <v>25</v>
      </c>
      <c r="N33">
        <f t="shared" si="5"/>
        <v>0</v>
      </c>
      <c r="O33" t="s">
        <v>720</v>
      </c>
      <c r="P33" t="s">
        <v>723</v>
      </c>
      <c r="S33" t="s">
        <v>84</v>
      </c>
      <c r="V33" t="str">
        <f t="shared" si="6"/>
        <v/>
      </c>
      <c r="W33">
        <f>MIN(IF(UDV.animal.total&gt;500,IF(UDV.animal.total&gt;2500,20,17.5),15),UDV.storage_facilities.max_depth)</f>
        <v>15</v>
      </c>
      <c r="X33">
        <v>6</v>
      </c>
      <c r="Y33">
        <v>25</v>
      </c>
      <c r="Z33" s="132" t="str">
        <f>Units!B$44</f>
        <v>ft</v>
      </c>
      <c r="AA33" s="132">
        <f>Units!C$44</f>
        <v>1</v>
      </c>
      <c r="AB33" s="132">
        <f>Units!D$44</f>
        <v>0.30480000000000002</v>
      </c>
      <c r="AC33" s="132" t="str">
        <f>Units!E$44</f>
        <v>ft</v>
      </c>
      <c r="AD33" s="132" t="str">
        <f>Units!F$44</f>
        <v>m</v>
      </c>
      <c r="AE33" s="132" t="str">
        <f>Units!G$44</f>
        <v>m</v>
      </c>
      <c r="AF33" s="132" t="str">
        <f>Units!H$44</f>
        <v>ft</v>
      </c>
    </row>
    <row r="34" spans="1:32" x14ac:dyDescent="0.3">
      <c r="A34" t="s">
        <v>718</v>
      </c>
      <c r="B34" t="s">
        <v>724</v>
      </c>
      <c r="C34" s="124" t="str">
        <f t="shared" si="0"/>
        <v>UDV.anaer_lagoon.effluent_K</v>
      </c>
      <c r="D34" s="1091">
        <f t="shared" si="1"/>
        <v>0.65</v>
      </c>
      <c r="E34" s="1093" t="str">
        <f t="shared" si="2"/>
        <v>fraction</v>
      </c>
      <c r="F34" s="1095">
        <f t="shared" si="9"/>
        <v>0.65</v>
      </c>
      <c r="H34" s="1101">
        <f t="shared" si="3"/>
        <v>0.65</v>
      </c>
      <c r="I34" s="956" t="str">
        <f t="shared" si="4"/>
        <v>fraction</v>
      </c>
      <c r="J34" t="s">
        <v>660</v>
      </c>
      <c r="K34" s="128"/>
      <c r="L34">
        <f t="shared" si="18"/>
        <v>0.5</v>
      </c>
      <c r="M34">
        <f t="shared" si="19"/>
        <v>0.7</v>
      </c>
      <c r="N34">
        <f t="shared" si="5"/>
        <v>0</v>
      </c>
      <c r="O34" t="s">
        <v>720</v>
      </c>
      <c r="P34" t="s">
        <v>725</v>
      </c>
      <c r="V34" t="str">
        <f t="shared" si="6"/>
        <v/>
      </c>
      <c r="W34" s="78">
        <v>0.65</v>
      </c>
      <c r="X34">
        <v>0.5</v>
      </c>
      <c r="Y34">
        <v>0.7</v>
      </c>
      <c r="Z34" t="str">
        <f>Units!B$35</f>
        <v>fraction</v>
      </c>
      <c r="AA34">
        <f>Units!C$35</f>
        <v>1</v>
      </c>
      <c r="AB34">
        <f>Units!D$35</f>
        <v>1</v>
      </c>
      <c r="AC34" t="str">
        <f>Units!E$35</f>
        <v>fraction</v>
      </c>
      <c r="AD34" t="str">
        <f>Units!F$35</f>
        <v>fraction</v>
      </c>
      <c r="AE34" t="str">
        <f>Units!G$35</f>
        <v>fraction</v>
      </c>
      <c r="AF34" t="str">
        <f>Units!H$35</f>
        <v>fraction</v>
      </c>
    </row>
    <row r="35" spans="1:32" x14ac:dyDescent="0.3">
      <c r="A35" t="s">
        <v>718</v>
      </c>
      <c r="B35" t="s">
        <v>726</v>
      </c>
      <c r="C35" s="124" t="str">
        <f t="shared" si="0"/>
        <v>UDV.anaer_lagoon.effluent_N</v>
      </c>
      <c r="D35" s="1091">
        <f t="shared" si="1"/>
        <v>0.8</v>
      </c>
      <c r="E35" s="1093" t="str">
        <f t="shared" si="2"/>
        <v>fraction</v>
      </c>
      <c r="F35" s="1095">
        <f t="shared" si="9"/>
        <v>0.8</v>
      </c>
      <c r="H35" s="1101">
        <f t="shared" si="3"/>
        <v>0.8</v>
      </c>
      <c r="I35" s="956" t="str">
        <f t="shared" si="4"/>
        <v>fraction</v>
      </c>
      <c r="J35" t="s">
        <v>660</v>
      </c>
      <c r="K35" s="128"/>
      <c r="L35">
        <f t="shared" si="18"/>
        <v>0.3</v>
      </c>
      <c r="M35">
        <f t="shared" si="19"/>
        <v>0.9</v>
      </c>
      <c r="N35">
        <f t="shared" si="5"/>
        <v>0</v>
      </c>
      <c r="O35" t="s">
        <v>720</v>
      </c>
      <c r="P35" t="s">
        <v>727</v>
      </c>
      <c r="Q35" t="s">
        <v>728</v>
      </c>
      <c r="V35" t="str">
        <f t="shared" si="6"/>
        <v/>
      </c>
      <c r="W35" s="78">
        <v>0.8</v>
      </c>
      <c r="X35">
        <v>0.3</v>
      </c>
      <c r="Y35">
        <v>0.9</v>
      </c>
      <c r="Z35" t="str">
        <f>Units!B$35</f>
        <v>fraction</v>
      </c>
      <c r="AA35">
        <f>Units!C$35</f>
        <v>1</v>
      </c>
      <c r="AB35">
        <f>Units!D$35</f>
        <v>1</v>
      </c>
      <c r="AC35" t="str">
        <f>Units!E$35</f>
        <v>fraction</v>
      </c>
      <c r="AD35" t="str">
        <f>Units!F$35</f>
        <v>fraction</v>
      </c>
      <c r="AE35" t="str">
        <f>Units!G$35</f>
        <v>fraction</v>
      </c>
      <c r="AF35" t="str">
        <f>Units!H$35</f>
        <v>fraction</v>
      </c>
    </row>
    <row r="36" spans="1:32" x14ac:dyDescent="0.3">
      <c r="A36" t="s">
        <v>718</v>
      </c>
      <c r="B36" t="s">
        <v>729</v>
      </c>
      <c r="C36" s="124" t="str">
        <f t="shared" si="0"/>
        <v>UDV.anaer_lagoon.N_loss_atmosphere</v>
      </c>
      <c r="D36" s="944">
        <f t="shared" si="1"/>
        <v>0.45</v>
      </c>
      <c r="E36" s="125" t="str">
        <f t="shared" si="2"/>
        <v>fraction</v>
      </c>
      <c r="F36" s="944">
        <f t="shared" si="9"/>
        <v>0.45</v>
      </c>
      <c r="G36" s="126"/>
      <c r="H36">
        <f t="shared" si="3"/>
        <v>0.45</v>
      </c>
      <c r="I36" s="1325" t="str">
        <f t="shared" si="4"/>
        <v>fraction</v>
      </c>
      <c r="J36" t="s">
        <v>660</v>
      </c>
      <c r="K36" s="124"/>
      <c r="L36">
        <f t="shared" si="18"/>
        <v>0</v>
      </c>
      <c r="M36">
        <f t="shared" si="19"/>
        <v>0.99</v>
      </c>
      <c r="N36">
        <f>IF(AND(M36 - G36 &gt;= 0, G36 - L36 &gt;=0),1,0)</f>
        <v>1</v>
      </c>
      <c r="O36" t="s">
        <v>730</v>
      </c>
      <c r="P36" t="s">
        <v>731</v>
      </c>
      <c r="R36" s="711"/>
      <c r="V36" t="str">
        <f t="shared" si="6"/>
        <v/>
      </c>
      <c r="W36">
        <f>IF(UDV.anaer_lagoon.treatment_toggle=1,0.8,0.45)</f>
        <v>0.45</v>
      </c>
      <c r="X36">
        <v>0</v>
      </c>
      <c r="Y36">
        <v>0.99</v>
      </c>
      <c r="Z36" t="str">
        <f>Units!B$35</f>
        <v>fraction</v>
      </c>
      <c r="AA36">
        <f>Units!C$35</f>
        <v>1</v>
      </c>
      <c r="AB36">
        <f>Units!D$35</f>
        <v>1</v>
      </c>
      <c r="AC36" t="str">
        <f>Units!E$35</f>
        <v>fraction</v>
      </c>
      <c r="AD36" t="str">
        <f>Units!F$35</f>
        <v>fraction</v>
      </c>
      <c r="AE36" t="str">
        <f>Units!G$35</f>
        <v>fraction</v>
      </c>
      <c r="AF36" t="str">
        <f>Units!H$35</f>
        <v>fraction</v>
      </c>
    </row>
    <row r="37" spans="1:32" x14ac:dyDescent="0.3">
      <c r="A37" t="s">
        <v>718</v>
      </c>
      <c r="B37" t="s">
        <v>687</v>
      </c>
      <c r="C37" s="124" t="str">
        <f t="shared" si="0"/>
        <v>UDV.anaer_lagoon.N_retained</v>
      </c>
      <c r="D37" s="944">
        <f t="shared" si="1"/>
        <v>0.5</v>
      </c>
      <c r="E37" s="125" t="str">
        <f t="shared" si="2"/>
        <v>fraction</v>
      </c>
      <c r="F37" s="944">
        <f t="shared" si="9"/>
        <v>0.5</v>
      </c>
      <c r="G37" s="126"/>
      <c r="H37">
        <f t="shared" si="3"/>
        <v>0.5</v>
      </c>
      <c r="I37" s="1325" t="str">
        <f t="shared" si="4"/>
        <v>fraction</v>
      </c>
      <c r="J37" t="s">
        <v>688</v>
      </c>
      <c r="K37" s="124"/>
      <c r="L37">
        <f t="shared" si="18"/>
        <v>0</v>
      </c>
      <c r="M37">
        <f t="shared" si="19"/>
        <v>1</v>
      </c>
      <c r="N37">
        <f>IF(AND(M37 - G37 &gt;= 0, G37 - L37 &gt;=0),1,0)</f>
        <v>1</v>
      </c>
      <c r="O37" t="s">
        <v>730</v>
      </c>
      <c r="P37" t="s">
        <v>732</v>
      </c>
      <c r="R37" s="711"/>
      <c r="S37" t="s">
        <v>84</v>
      </c>
      <c r="W37">
        <f>1-UDV.emit_NH3.lossfrac_anaer_lagoon-UDV.emit_N2O_direct.ef3_anaer_lagoon*UC.N2O_to_N</f>
        <v>0.5</v>
      </c>
      <c r="X37">
        <v>0</v>
      </c>
      <c r="Y37">
        <v>1</v>
      </c>
      <c r="Z37" t="str">
        <f>Units!B$35</f>
        <v>fraction</v>
      </c>
      <c r="AA37">
        <f>Units!C$35</f>
        <v>1</v>
      </c>
      <c r="AB37">
        <f>Units!D$35</f>
        <v>1</v>
      </c>
      <c r="AC37" t="str">
        <f>Units!E$35</f>
        <v>fraction</v>
      </c>
      <c r="AD37" t="str">
        <f>Units!F$35</f>
        <v>fraction</v>
      </c>
      <c r="AE37" t="str">
        <f>Units!G$35</f>
        <v>fraction</v>
      </c>
      <c r="AF37" t="str">
        <f>Units!H$35</f>
        <v>fraction</v>
      </c>
    </row>
    <row r="38" spans="1:32" x14ac:dyDescent="0.3">
      <c r="A38" t="s">
        <v>718</v>
      </c>
      <c r="B38" t="s">
        <v>733</v>
      </c>
      <c r="C38" s="124" t="str">
        <f t="shared" si="0"/>
        <v>UDV.anaer_lagoon.effluent_P</v>
      </c>
      <c r="D38" s="1091">
        <f t="shared" si="1"/>
        <v>0.55000000000000004</v>
      </c>
      <c r="E38" s="1093" t="str">
        <f t="shared" si="2"/>
        <v>fraction</v>
      </c>
      <c r="F38" s="1095">
        <f t="shared" si="9"/>
        <v>0.55000000000000004</v>
      </c>
      <c r="H38" s="1101">
        <f t="shared" si="3"/>
        <v>0.55000000000000004</v>
      </c>
      <c r="I38" s="956" t="str">
        <f t="shared" si="4"/>
        <v>fraction</v>
      </c>
      <c r="J38" t="s">
        <v>660</v>
      </c>
      <c r="K38" s="128"/>
      <c r="L38">
        <f t="shared" si="18"/>
        <v>0.3</v>
      </c>
      <c r="M38">
        <f t="shared" si="19"/>
        <v>0.6</v>
      </c>
      <c r="N38">
        <f>IF(AND(G38&lt;=M38, G38&gt;=L38),1,0)</f>
        <v>0</v>
      </c>
      <c r="O38" t="s">
        <v>720</v>
      </c>
      <c r="P38" t="s">
        <v>734</v>
      </c>
      <c r="V38" t="str">
        <f t="shared" ref="V38:V43" si="24">IF(OR((M38-L38)&lt;=0,H38&gt;M38,H38&lt;L38),"Fix","")</f>
        <v/>
      </c>
      <c r="W38" s="78">
        <v>0.55000000000000004</v>
      </c>
      <c r="X38">
        <v>0.3</v>
      </c>
      <c r="Y38">
        <v>0.6</v>
      </c>
      <c r="Z38" t="str">
        <f>Units!B$35</f>
        <v>fraction</v>
      </c>
      <c r="AA38">
        <f>Units!C$35</f>
        <v>1</v>
      </c>
      <c r="AB38">
        <f>Units!D$35</f>
        <v>1</v>
      </c>
      <c r="AC38" t="str">
        <f>Units!E$35</f>
        <v>fraction</v>
      </c>
      <c r="AD38" t="str">
        <f>Units!F$35</f>
        <v>fraction</v>
      </c>
      <c r="AE38" t="str">
        <f>Units!G$35</f>
        <v>fraction</v>
      </c>
      <c r="AF38" t="str">
        <f>Units!H$35</f>
        <v>fraction</v>
      </c>
    </row>
    <row r="39" spans="1:32" s="1031" customFormat="1" x14ac:dyDescent="0.3">
      <c r="A39" s="1031" t="s">
        <v>718</v>
      </c>
      <c r="B39" s="1031" t="s">
        <v>735</v>
      </c>
      <c r="C39" s="1031" t="str">
        <f t="shared" si="0"/>
        <v>UDV.anaer_lagoon.effluent_removal</v>
      </c>
      <c r="D39" s="1031">
        <f t="shared" si="1"/>
        <v>182.5</v>
      </c>
      <c r="E39" s="1031" t="str">
        <f t="shared" si="2"/>
        <v>day</v>
      </c>
      <c r="F39" s="1031">
        <f t="shared" si="9"/>
        <v>182.5</v>
      </c>
      <c r="H39" s="296">
        <f t="shared" si="3"/>
        <v>182.5</v>
      </c>
      <c r="I39" s="1031" t="str">
        <f t="shared" si="4"/>
        <v>day</v>
      </c>
      <c r="J39" s="1031" t="s">
        <v>736</v>
      </c>
      <c r="M39" s="1031">
        <f t="shared" ref="M39" si="25">$Y39*$AA39</f>
        <v>182.5</v>
      </c>
      <c r="N39" s="1031">
        <f>IF(AND(G39&lt;=M39),1,0)</f>
        <v>1</v>
      </c>
      <c r="O39" s="1031" t="s">
        <v>737</v>
      </c>
      <c r="P39" s="1031" t="s">
        <v>738</v>
      </c>
      <c r="Q39" s="1031" t="s">
        <v>739</v>
      </c>
      <c r="V39" s="1031" t="str">
        <f t="shared" si="24"/>
        <v/>
      </c>
      <c r="W39" s="296">
        <v>182.5</v>
      </c>
      <c r="X39" s="1031">
        <v>0</v>
      </c>
      <c r="Y39" s="1031">
        <v>182.5</v>
      </c>
      <c r="Z39" s="1031" t="str">
        <f>Units!B$110</f>
        <v>day</v>
      </c>
      <c r="AA39" s="1031">
        <f>Units!C$110</f>
        <v>1</v>
      </c>
      <c r="AB39" s="1031">
        <f>Units!D$110</f>
        <v>1</v>
      </c>
      <c r="AC39" s="1031" t="str">
        <f>Units!E$110</f>
        <v>day</v>
      </c>
      <c r="AD39" s="1031" t="str">
        <f>Units!F$110</f>
        <v>day</v>
      </c>
      <c r="AE39" s="1031" t="str">
        <f>Units!G$110</f>
        <v>day</v>
      </c>
      <c r="AF39" s="1031" t="str">
        <f>Units!H$110</f>
        <v>day</v>
      </c>
    </row>
    <row r="40" spans="1:32" x14ac:dyDescent="0.3">
      <c r="A40" t="s">
        <v>718</v>
      </c>
      <c r="B40" t="s">
        <v>740</v>
      </c>
      <c r="C40" s="124" t="str">
        <f t="shared" si="0"/>
        <v>UDV.anaer_lagoon.effluent_TAN</v>
      </c>
      <c r="D40" s="1091">
        <f t="shared" si="1"/>
        <v>0.55000000000000004</v>
      </c>
      <c r="E40" s="1093" t="str">
        <f t="shared" si="2"/>
        <v>fraction</v>
      </c>
      <c r="F40" s="1095">
        <f t="shared" si="9"/>
        <v>0.55000000000000004</v>
      </c>
      <c r="H40" s="1101">
        <f t="shared" si="3"/>
        <v>0.55000000000000004</v>
      </c>
      <c r="I40" s="956" t="str">
        <f t="shared" si="4"/>
        <v>fraction</v>
      </c>
      <c r="J40" t="s">
        <v>660</v>
      </c>
      <c r="L40">
        <f t="shared" si="18"/>
        <v>0.1</v>
      </c>
      <c r="M40">
        <f t="shared" si="19"/>
        <v>0.6</v>
      </c>
      <c r="N40">
        <f>IF(AND(G40&lt;=M40, G40&gt;=L40),1,0)</f>
        <v>0</v>
      </c>
      <c r="O40" t="s">
        <v>720</v>
      </c>
      <c r="P40" t="s">
        <v>741</v>
      </c>
      <c r="V40" t="str">
        <f t="shared" si="24"/>
        <v/>
      </c>
      <c r="W40" s="78">
        <v>0.55000000000000004</v>
      </c>
      <c r="X40">
        <v>0.1</v>
      </c>
      <c r="Y40">
        <v>0.6</v>
      </c>
      <c r="Z40" t="str">
        <f>Units!B$35</f>
        <v>fraction</v>
      </c>
      <c r="AA40">
        <f>Units!C$35</f>
        <v>1</v>
      </c>
      <c r="AB40">
        <f>Units!D$35</f>
        <v>1</v>
      </c>
      <c r="AC40" t="str">
        <f>Units!E$35</f>
        <v>fraction</v>
      </c>
      <c r="AD40" t="str">
        <f>Units!F$35</f>
        <v>fraction</v>
      </c>
      <c r="AE40" t="str">
        <f>Units!G$35</f>
        <v>fraction</v>
      </c>
      <c r="AF40" t="str">
        <f>Units!H$35</f>
        <v>fraction</v>
      </c>
    </row>
    <row r="41" spans="1:32" x14ac:dyDescent="0.3">
      <c r="A41" s="944" t="s">
        <v>718</v>
      </c>
      <c r="B41" s="944" t="s">
        <v>742</v>
      </c>
      <c r="C41" s="124" t="str">
        <f t="shared" si="0"/>
        <v>UDV.anaer_lagoon.effluent_time</v>
      </c>
      <c r="D41" s="944">
        <f t="shared" ref="D41:D82" si="26">$F41*$AB41</f>
        <v>182.5</v>
      </c>
      <c r="E41" s="125" t="str">
        <f t="shared" ref="E41:E82" si="27">$AD41</f>
        <v>days</v>
      </c>
      <c r="F41" s="944">
        <f t="shared" si="9"/>
        <v>182.5</v>
      </c>
      <c r="G41" s="944"/>
      <c r="H41">
        <f t="shared" ref="H41:H59" si="28">$W41*$AA41</f>
        <v>182.5</v>
      </c>
      <c r="I41" s="1325" t="str">
        <f t="shared" ref="I41:I82" si="29">$AC41</f>
        <v>days</v>
      </c>
      <c r="J41" s="944" t="s">
        <v>743</v>
      </c>
      <c r="K41" s="944"/>
      <c r="L41">
        <f t="shared" si="18"/>
        <v>90</v>
      </c>
      <c r="M41">
        <f t="shared" si="19"/>
        <v>365</v>
      </c>
      <c r="N41">
        <f>IF(M41 - G41 &gt;= 0,1,0)</f>
        <v>1</v>
      </c>
      <c r="O41" t="s">
        <v>737</v>
      </c>
      <c r="P41" t="s">
        <v>744</v>
      </c>
      <c r="Q41" t="s">
        <v>739</v>
      </c>
      <c r="R41" s="711"/>
      <c r="S41" t="s">
        <v>84</v>
      </c>
      <c r="V41" t="str">
        <f t="shared" si="24"/>
        <v/>
      </c>
      <c r="W41">
        <v>182.5</v>
      </c>
      <c r="X41">
        <v>90</v>
      </c>
      <c r="Y41">
        <v>365</v>
      </c>
      <c r="Z41" t="str">
        <f>Units!B$111</f>
        <v>days</v>
      </c>
      <c r="AA41">
        <f>Units!C$111</f>
        <v>1</v>
      </c>
      <c r="AB41">
        <f>Units!D$111</f>
        <v>1</v>
      </c>
      <c r="AC41" t="str">
        <f>Units!E$111</f>
        <v>days</v>
      </c>
      <c r="AD41" t="str">
        <f>Units!F$111</f>
        <v>days</v>
      </c>
      <c r="AE41" t="str">
        <f>Units!G$111</f>
        <v>days</v>
      </c>
      <c r="AF41" t="str">
        <f>Units!H$111</f>
        <v>days</v>
      </c>
    </row>
    <row r="42" spans="1:32" x14ac:dyDescent="0.3">
      <c r="A42" t="s">
        <v>718</v>
      </c>
      <c r="B42" t="s">
        <v>745</v>
      </c>
      <c r="C42" s="124" t="str">
        <f t="shared" si="0"/>
        <v>UDV.anaer_lagoon.effluent_TS</v>
      </c>
      <c r="D42" s="1091">
        <f t="shared" si="26"/>
        <v>0.75</v>
      </c>
      <c r="E42" s="1093" t="str">
        <f t="shared" si="27"/>
        <v>fraction</v>
      </c>
      <c r="F42" s="1095">
        <f t="shared" si="9"/>
        <v>0.75</v>
      </c>
      <c r="H42" s="1101">
        <f t="shared" si="28"/>
        <v>0.75</v>
      </c>
      <c r="I42" s="956" t="str">
        <f t="shared" si="29"/>
        <v>fraction</v>
      </c>
      <c r="J42" t="s">
        <v>660</v>
      </c>
      <c r="L42">
        <f t="shared" si="18"/>
        <v>0.7</v>
      </c>
      <c r="M42">
        <f t="shared" si="19"/>
        <v>0.85</v>
      </c>
      <c r="N42">
        <f>IF(AND(G42&lt;=M42, G42&gt;=L42),1,0)</f>
        <v>0</v>
      </c>
      <c r="O42" t="s">
        <v>720</v>
      </c>
      <c r="P42" t="s">
        <v>746</v>
      </c>
      <c r="V42" t="str">
        <f t="shared" si="24"/>
        <v/>
      </c>
      <c r="W42" s="78">
        <v>0.75</v>
      </c>
      <c r="X42">
        <v>0.7</v>
      </c>
      <c r="Y42">
        <v>0.85</v>
      </c>
      <c r="Z42" t="str">
        <f>Units!B$35</f>
        <v>fraction</v>
      </c>
      <c r="AA42">
        <f>Units!C$35</f>
        <v>1</v>
      </c>
      <c r="AB42">
        <f>Units!D$35</f>
        <v>1</v>
      </c>
      <c r="AC42" t="str">
        <f>Units!E$35</f>
        <v>fraction</v>
      </c>
      <c r="AD42" t="str">
        <f>Units!F$35</f>
        <v>fraction</v>
      </c>
      <c r="AE42" t="str">
        <f>Units!G$35</f>
        <v>fraction</v>
      </c>
      <c r="AF42" t="str">
        <f>Units!H$35</f>
        <v>fraction</v>
      </c>
    </row>
    <row r="43" spans="1:32" x14ac:dyDescent="0.3">
      <c r="A43" t="s">
        <v>718</v>
      </c>
      <c r="B43" t="s">
        <v>747</v>
      </c>
      <c r="C43" s="124" t="str">
        <f t="shared" si="0"/>
        <v>UDV.anaer_lagoon.effluent_VS</v>
      </c>
      <c r="D43" s="1091">
        <f t="shared" si="26"/>
        <v>0.75</v>
      </c>
      <c r="E43" s="1093" t="str">
        <f t="shared" si="27"/>
        <v>fraction</v>
      </c>
      <c r="F43" s="1095">
        <f t="shared" ref="F43:F76" si="30">IF(OR(G43="",N43=0),H43,G43)</f>
        <v>0.75</v>
      </c>
      <c r="H43" s="1101">
        <f t="shared" si="28"/>
        <v>0.75</v>
      </c>
      <c r="I43" s="956" t="str">
        <f t="shared" si="29"/>
        <v>fraction</v>
      </c>
      <c r="J43" t="s">
        <v>660</v>
      </c>
      <c r="L43">
        <f t="shared" si="18"/>
        <v>0.5</v>
      </c>
      <c r="M43">
        <f t="shared" si="19"/>
        <v>0.9</v>
      </c>
      <c r="N43">
        <f>IF(AND(G43&lt;=M43, G43&gt;=L43),1,0)</f>
        <v>0</v>
      </c>
      <c r="O43" t="s">
        <v>720</v>
      </c>
      <c r="P43" t="s">
        <v>748</v>
      </c>
      <c r="V43" t="str">
        <f t="shared" si="24"/>
        <v/>
      </c>
      <c r="W43" s="78">
        <v>0.75</v>
      </c>
      <c r="X43">
        <v>0.5</v>
      </c>
      <c r="Y43">
        <v>0.9</v>
      </c>
      <c r="Z43" t="str">
        <f>Units!B$35</f>
        <v>fraction</v>
      </c>
      <c r="AA43">
        <f>Units!C$35</f>
        <v>1</v>
      </c>
      <c r="AB43">
        <f>Units!D$35</f>
        <v>1</v>
      </c>
      <c r="AC43" t="str">
        <f>Units!E$35</f>
        <v>fraction</v>
      </c>
      <c r="AD43" t="str">
        <f>Units!F$35</f>
        <v>fraction</v>
      </c>
      <c r="AE43" t="str">
        <f>Units!G$35</f>
        <v>fraction</v>
      </c>
      <c r="AF43" t="str">
        <f>Units!H$35</f>
        <v>fraction</v>
      </c>
    </row>
    <row r="44" spans="1:32" x14ac:dyDescent="0.3">
      <c r="A44" t="s">
        <v>718</v>
      </c>
      <c r="B44" t="s">
        <v>749</v>
      </c>
      <c r="C44" s="124" t="str">
        <f t="shared" si="0"/>
        <v>UDV.anaer_lagoon.evap_modifier</v>
      </c>
      <c r="D44" s="1330">
        <f t="shared" si="26"/>
        <v>0.8</v>
      </c>
      <c r="E44" s="125" t="str">
        <f t="shared" si="27"/>
        <v>multiplier</v>
      </c>
      <c r="F44" s="1330">
        <f t="shared" si="30"/>
        <v>0.8</v>
      </c>
      <c r="G44" s="126"/>
      <c r="H44" s="78">
        <f t="shared" si="28"/>
        <v>0.8</v>
      </c>
      <c r="I44" s="1325" t="str">
        <f t="shared" si="29"/>
        <v>multiplier</v>
      </c>
      <c r="J44" t="s">
        <v>660</v>
      </c>
      <c r="K44" s="124"/>
      <c r="L44">
        <f t="shared" si="18"/>
        <v>0</v>
      </c>
      <c r="M44">
        <f t="shared" si="19"/>
        <v>1</v>
      </c>
      <c r="N44">
        <f>IF(AND(M44 - G44 &gt;= 0, G44 - L44 &gt;=0),1,0)</f>
        <v>1</v>
      </c>
      <c r="O44" t="s">
        <v>720</v>
      </c>
      <c r="P44" t="s">
        <v>750</v>
      </c>
      <c r="R44" s="711"/>
      <c r="W44">
        <v>0.8</v>
      </c>
      <c r="X44">
        <v>0</v>
      </c>
      <c r="Y44">
        <v>1</v>
      </c>
      <c r="Z44" t="str">
        <f>Units!B$94</f>
        <v>multiplier</v>
      </c>
      <c r="AA44">
        <f>Units!C$94</f>
        <v>1</v>
      </c>
      <c r="AB44">
        <f>Units!D$94</f>
        <v>1</v>
      </c>
      <c r="AC44" t="str">
        <f>Units!E$94</f>
        <v>multiplier</v>
      </c>
      <c r="AD44" t="str">
        <f>Units!F$94</f>
        <v>multiplier</v>
      </c>
      <c r="AE44" t="str">
        <f>Units!G$94</f>
        <v>multiplier</v>
      </c>
      <c r="AF44" t="str">
        <f>Units!H$94</f>
        <v>multiplier</v>
      </c>
    </row>
    <row r="45" spans="1:32" x14ac:dyDescent="0.3">
      <c r="A45" t="s">
        <v>718</v>
      </c>
      <c r="B45" t="s">
        <v>751</v>
      </c>
      <c r="C45" s="124" t="str">
        <f t="shared" si="0"/>
        <v>UDV.anaer_lagoon.evap_modifier_flush</v>
      </c>
      <c r="D45" s="1330">
        <f t="shared" si="26"/>
        <v>0.95</v>
      </c>
      <c r="E45" s="125" t="str">
        <f t="shared" si="27"/>
        <v>multiplier</v>
      </c>
      <c r="F45" s="1330">
        <f t="shared" si="30"/>
        <v>0.95</v>
      </c>
      <c r="G45" s="126"/>
      <c r="H45" s="78">
        <f t="shared" si="28"/>
        <v>0.95</v>
      </c>
      <c r="I45" s="1325" t="str">
        <f t="shared" si="29"/>
        <v>multiplier</v>
      </c>
      <c r="J45" t="s">
        <v>660</v>
      </c>
      <c r="K45" s="124"/>
      <c r="L45">
        <f t="shared" si="18"/>
        <v>0</v>
      </c>
      <c r="M45">
        <f t="shared" si="19"/>
        <v>1</v>
      </c>
      <c r="N45">
        <f>IF(AND(M45 - G45 &gt;= 0, G45 - L45 &gt;=0),1,0)</f>
        <v>1</v>
      </c>
      <c r="O45" t="s">
        <v>720</v>
      </c>
      <c r="P45" t="s">
        <v>752</v>
      </c>
      <c r="R45" s="711"/>
      <c r="W45">
        <v>0.95</v>
      </c>
      <c r="X45">
        <v>0</v>
      </c>
      <c r="Y45">
        <v>1</v>
      </c>
      <c r="Z45" t="str">
        <f>Units!B$94</f>
        <v>multiplier</v>
      </c>
      <c r="AA45">
        <f>Units!C$94</f>
        <v>1</v>
      </c>
      <c r="AB45">
        <f>Units!D$94</f>
        <v>1</v>
      </c>
      <c r="AC45" t="str">
        <f>Units!E$94</f>
        <v>multiplier</v>
      </c>
      <c r="AD45" t="str">
        <f>Units!F$94</f>
        <v>multiplier</v>
      </c>
      <c r="AE45" t="str">
        <f>Units!G$94</f>
        <v>multiplier</v>
      </c>
      <c r="AF45" t="str">
        <f>Units!H$94</f>
        <v>multiplier</v>
      </c>
    </row>
    <row r="46" spans="1:32" x14ac:dyDescent="0.3">
      <c r="A46" t="s">
        <v>718</v>
      </c>
      <c r="B46" t="s">
        <v>753</v>
      </c>
      <c r="C46" s="124" t="str">
        <f t="shared" si="0"/>
        <v>UDV.anaer_lagoon.evap_modifier_ob</v>
      </c>
      <c r="D46" s="1330">
        <f t="shared" si="26"/>
        <v>0.2</v>
      </c>
      <c r="E46" s="125" t="str">
        <f t="shared" si="27"/>
        <v>multiplier</v>
      </c>
      <c r="F46" s="1330">
        <f t="shared" si="30"/>
        <v>0.2</v>
      </c>
      <c r="G46" s="126"/>
      <c r="H46" s="78">
        <f t="shared" si="28"/>
        <v>0.2</v>
      </c>
      <c r="I46" s="1325" t="str">
        <f t="shared" si="29"/>
        <v>multiplier</v>
      </c>
      <c r="J46" t="s">
        <v>660</v>
      </c>
      <c r="K46" s="124"/>
      <c r="L46">
        <f t="shared" si="18"/>
        <v>0</v>
      </c>
      <c r="M46">
        <f t="shared" si="19"/>
        <v>1</v>
      </c>
      <c r="N46">
        <f>IF(AND(M46 - G46 &gt;= 0, G46 - L46 &gt;=0),1,0)</f>
        <v>1</v>
      </c>
      <c r="O46" t="s">
        <v>720</v>
      </c>
      <c r="P46" t="s">
        <v>754</v>
      </c>
      <c r="R46" s="711"/>
      <c r="W46">
        <v>0.2</v>
      </c>
      <c r="X46">
        <v>0</v>
      </c>
      <c r="Y46">
        <v>1</v>
      </c>
      <c r="Z46" t="str">
        <f>Units!B$94</f>
        <v>multiplier</v>
      </c>
      <c r="AA46">
        <f>Units!C$94</f>
        <v>1</v>
      </c>
      <c r="AB46">
        <f>Units!D$94</f>
        <v>1</v>
      </c>
      <c r="AC46" t="str">
        <f>Units!E$94</f>
        <v>multiplier</v>
      </c>
      <c r="AD46" t="str">
        <f>Units!F$94</f>
        <v>multiplier</v>
      </c>
      <c r="AE46" t="str">
        <f>Units!G$94</f>
        <v>multiplier</v>
      </c>
      <c r="AF46" t="str">
        <f>Units!H$94</f>
        <v>multiplier</v>
      </c>
    </row>
    <row r="47" spans="1:32" x14ac:dyDescent="0.3">
      <c r="A47" t="s">
        <v>718</v>
      </c>
      <c r="B47" t="s">
        <v>755</v>
      </c>
      <c r="C47" s="124" t="str">
        <f t="shared" si="0"/>
        <v>UDV.anaer_lagoon.evap_modifier_scrape</v>
      </c>
      <c r="D47" s="1330">
        <f t="shared" si="26"/>
        <v>0.75</v>
      </c>
      <c r="E47" s="125" t="str">
        <f t="shared" si="27"/>
        <v>multiplier</v>
      </c>
      <c r="F47" s="1330">
        <f t="shared" si="30"/>
        <v>0.75</v>
      </c>
      <c r="G47" s="126"/>
      <c r="H47" s="78">
        <f t="shared" si="28"/>
        <v>0.75</v>
      </c>
      <c r="I47" s="1325" t="str">
        <f t="shared" si="29"/>
        <v>multiplier</v>
      </c>
      <c r="J47" t="s">
        <v>660</v>
      </c>
      <c r="K47" s="124"/>
      <c r="L47">
        <f t="shared" si="18"/>
        <v>0</v>
      </c>
      <c r="M47">
        <f t="shared" si="19"/>
        <v>1</v>
      </c>
      <c r="N47">
        <f>IF(AND(M47 - G47 &gt;= 0, G47 - L47 &gt;=0),1,0)</f>
        <v>1</v>
      </c>
      <c r="O47" t="s">
        <v>720</v>
      </c>
      <c r="P47" t="s">
        <v>756</v>
      </c>
      <c r="R47" s="711"/>
      <c r="W47">
        <v>0.75</v>
      </c>
      <c r="X47">
        <v>0</v>
      </c>
      <c r="Y47">
        <v>1</v>
      </c>
      <c r="Z47" t="str">
        <f>Units!B$94</f>
        <v>multiplier</v>
      </c>
      <c r="AA47">
        <f>Units!C$94</f>
        <v>1</v>
      </c>
      <c r="AB47">
        <f>Units!D$94</f>
        <v>1</v>
      </c>
      <c r="AC47" t="str">
        <f>Units!E$94</f>
        <v>multiplier</v>
      </c>
      <c r="AD47" t="str">
        <f>Units!F$94</f>
        <v>multiplier</v>
      </c>
      <c r="AE47" t="str">
        <f>Units!G$94</f>
        <v>multiplier</v>
      </c>
      <c r="AF47" t="str">
        <f>Units!H$94</f>
        <v>multiplier</v>
      </c>
    </row>
    <row r="48" spans="1:32" x14ac:dyDescent="0.3">
      <c r="A48" t="s">
        <v>718</v>
      </c>
      <c r="B48" t="s">
        <v>757</v>
      </c>
      <c r="C48" s="124" t="str">
        <f t="shared" si="0"/>
        <v>UDV.anaer_lagoon.evap_modifier_sl</v>
      </c>
      <c r="D48" s="1330">
        <f t="shared" si="26"/>
        <v>0.99</v>
      </c>
      <c r="E48" s="125" t="str">
        <f t="shared" si="27"/>
        <v>multiplier</v>
      </c>
      <c r="F48" s="1330">
        <f t="shared" si="30"/>
        <v>0.99</v>
      </c>
      <c r="G48" s="126"/>
      <c r="H48" s="78">
        <f t="shared" si="28"/>
        <v>0.99</v>
      </c>
      <c r="I48" s="1325" t="str">
        <f t="shared" si="29"/>
        <v>multiplier</v>
      </c>
      <c r="J48" t="s">
        <v>660</v>
      </c>
      <c r="K48" s="124"/>
      <c r="L48">
        <f t="shared" si="18"/>
        <v>0</v>
      </c>
      <c r="M48">
        <f t="shared" si="19"/>
        <v>1</v>
      </c>
      <c r="N48">
        <f>IF(AND(M48 - G48 &gt;= 0, G48 - L48 &gt;=0),1,0)</f>
        <v>1</v>
      </c>
      <c r="O48" t="s">
        <v>720</v>
      </c>
      <c r="P48" t="s">
        <v>758</v>
      </c>
      <c r="R48" s="711"/>
      <c r="W48">
        <v>0.99</v>
      </c>
      <c r="X48">
        <v>0</v>
      </c>
      <c r="Y48">
        <v>1</v>
      </c>
      <c r="Z48" t="str">
        <f>Units!B$94</f>
        <v>multiplier</v>
      </c>
      <c r="AA48">
        <f>Units!C$94</f>
        <v>1</v>
      </c>
      <c r="AB48">
        <f>Units!D$94</f>
        <v>1</v>
      </c>
      <c r="AC48" t="str">
        <f>Units!E$94</f>
        <v>multiplier</v>
      </c>
      <c r="AD48" t="str">
        <f>Units!F$94</f>
        <v>multiplier</v>
      </c>
      <c r="AE48" t="str">
        <f>Units!G$94</f>
        <v>multiplier</v>
      </c>
      <c r="AF48" t="str">
        <f>Units!H$94</f>
        <v>multiplier</v>
      </c>
    </row>
    <row r="49" spans="1:32" x14ac:dyDescent="0.3">
      <c r="A49" t="s">
        <v>718</v>
      </c>
      <c r="B49" t="s">
        <v>759</v>
      </c>
      <c r="C49" s="124" t="str">
        <f t="shared" si="0"/>
        <v>UDV.anaer_lagoon.freeboard</v>
      </c>
      <c r="D49" s="1091">
        <f t="shared" si="26"/>
        <v>0.30480000000000002</v>
      </c>
      <c r="E49" s="1093" t="str">
        <f t="shared" si="27"/>
        <v>m</v>
      </c>
      <c r="F49" s="1095">
        <f t="shared" si="30"/>
        <v>1</v>
      </c>
      <c r="H49" s="1101">
        <f t="shared" si="28"/>
        <v>1</v>
      </c>
      <c r="I49" s="956" t="str">
        <f t="shared" si="29"/>
        <v>ft</v>
      </c>
      <c r="J49" t="s">
        <v>660</v>
      </c>
      <c r="L49">
        <f t="shared" si="18"/>
        <v>1</v>
      </c>
      <c r="M49">
        <f t="shared" si="19"/>
        <v>2</v>
      </c>
      <c r="N49">
        <f>IF(AND(G49&lt;=M49, G49&gt;=L49),1,0)</f>
        <v>0</v>
      </c>
      <c r="O49" t="s">
        <v>720</v>
      </c>
      <c r="P49" t="s">
        <v>760</v>
      </c>
      <c r="S49" t="s">
        <v>84</v>
      </c>
      <c r="V49" t="str">
        <f>IF(OR((M49-L49)&lt;=0,H49&gt;M49,H49&lt;L49),"Fix","")</f>
        <v/>
      </c>
      <c r="W49" s="78">
        <v>1</v>
      </c>
      <c r="X49">
        <v>1</v>
      </c>
      <c r="Y49">
        <v>2</v>
      </c>
      <c r="Z49" t="str">
        <f>Units!B$44</f>
        <v>ft</v>
      </c>
      <c r="AA49">
        <f>Units!C$44</f>
        <v>1</v>
      </c>
      <c r="AB49">
        <f>Units!D$44</f>
        <v>0.30480000000000002</v>
      </c>
      <c r="AC49" t="str">
        <f>Units!E$44</f>
        <v>ft</v>
      </c>
      <c r="AD49" t="str">
        <f>Units!F$44</f>
        <v>m</v>
      </c>
      <c r="AE49" t="str">
        <f>Units!G$44</f>
        <v>m</v>
      </c>
      <c r="AF49" t="str">
        <f>Units!H$44</f>
        <v>ft</v>
      </c>
    </row>
    <row r="50" spans="1:32" x14ac:dyDescent="0.3">
      <c r="A50" t="s">
        <v>718</v>
      </c>
      <c r="B50" t="s">
        <v>681</v>
      </c>
      <c r="C50" s="124" t="str">
        <f t="shared" si="0"/>
        <v>UDV.anaer_lagoon.HRT</v>
      </c>
      <c r="D50" s="1091">
        <f t="shared" si="26"/>
        <v>365</v>
      </c>
      <c r="E50" s="1093" t="str">
        <f t="shared" si="27"/>
        <v>day</v>
      </c>
      <c r="F50" s="1095">
        <f t="shared" si="30"/>
        <v>365</v>
      </c>
      <c r="H50" s="1101">
        <f t="shared" si="28"/>
        <v>365</v>
      </c>
      <c r="I50" s="956" t="str">
        <f t="shared" si="29"/>
        <v>day</v>
      </c>
      <c r="J50" t="s">
        <v>660</v>
      </c>
      <c r="L50">
        <f t="shared" si="18"/>
        <v>182.5</v>
      </c>
      <c r="M50">
        <f t="shared" si="19"/>
        <v>365</v>
      </c>
      <c r="N50">
        <f>IF(AND(G50&lt;=M50, G50&gt;=L50),1,0)</f>
        <v>0</v>
      </c>
      <c r="O50" t="s">
        <v>720</v>
      </c>
      <c r="P50" t="s">
        <v>761</v>
      </c>
      <c r="S50" t="s">
        <v>84</v>
      </c>
      <c r="V50" t="str">
        <f>IF(OR((M50-L50)&lt;=0,H50&gt;M50,H50&lt;L50),"Fix","")</f>
        <v/>
      </c>
      <c r="W50" s="78">
        <v>365</v>
      </c>
      <c r="X50">
        <f>MAX(UDV.anaer_lagoon.effluent_time,180)</f>
        <v>182.5</v>
      </c>
      <c r="Y50">
        <v>365</v>
      </c>
      <c r="Z50" t="str">
        <f>Units!B$110</f>
        <v>day</v>
      </c>
      <c r="AA50">
        <f>Units!C$110</f>
        <v>1</v>
      </c>
      <c r="AB50">
        <f>Units!D$110</f>
        <v>1</v>
      </c>
      <c r="AC50" t="str">
        <f>Units!E$110</f>
        <v>day</v>
      </c>
      <c r="AD50" t="str">
        <f>Units!F$110</f>
        <v>day</v>
      </c>
      <c r="AE50" t="str">
        <f>Units!G$110</f>
        <v>day</v>
      </c>
      <c r="AF50" t="str">
        <f>Units!H$110</f>
        <v>day</v>
      </c>
    </row>
    <row r="51" spans="1:32" x14ac:dyDescent="0.3">
      <c r="A51" t="s">
        <v>718</v>
      </c>
      <c r="B51" t="s">
        <v>762</v>
      </c>
      <c r="C51" s="124" t="str">
        <f t="shared" si="0"/>
        <v>UDV.anaer_lagoon.liquid_events</v>
      </c>
      <c r="D51" s="944">
        <f t="shared" si="26"/>
        <v>2</v>
      </c>
      <c r="E51" s="125" t="str">
        <f t="shared" si="27"/>
        <v>events/year</v>
      </c>
      <c r="F51" s="944">
        <f t="shared" si="30"/>
        <v>2</v>
      </c>
      <c r="G51" s="126"/>
      <c r="H51">
        <f t="shared" si="28"/>
        <v>2</v>
      </c>
      <c r="I51" s="1325" t="str">
        <f t="shared" si="29"/>
        <v>events/year</v>
      </c>
      <c r="J51" t="s">
        <v>688</v>
      </c>
      <c r="K51" s="124"/>
      <c r="L51">
        <f t="shared" si="18"/>
        <v>0</v>
      </c>
      <c r="N51">
        <f>IF(AND(M51 - G51 &gt;= 0, G51 - L51 &gt;=0),1,0)</f>
        <v>1</v>
      </c>
      <c r="O51" t="s">
        <v>763</v>
      </c>
      <c r="P51" t="s">
        <v>764</v>
      </c>
      <c r="Q51" s="90"/>
      <c r="R51" s="1326"/>
      <c r="S51" s="90"/>
      <c r="T51" s="1327"/>
      <c r="U51" s="90"/>
      <c r="W51" s="124">
        <f>UC.year_to_day/UDV.anaer_lagoon.effluent_time</f>
        <v>2</v>
      </c>
      <c r="X51">
        <v>0</v>
      </c>
      <c r="Z51" t="str">
        <f>Units!B$31</f>
        <v>events/year</v>
      </c>
      <c r="AA51">
        <f>Units!C$31</f>
        <v>1</v>
      </c>
      <c r="AB51">
        <f>Units!D$31</f>
        <v>1</v>
      </c>
      <c r="AC51" t="str">
        <f>Units!E$31</f>
        <v>events/year</v>
      </c>
      <c r="AD51" t="str">
        <f>Units!F$31</f>
        <v>events/year</v>
      </c>
      <c r="AE51" t="str">
        <f>Units!G$31</f>
        <v>events/year</v>
      </c>
      <c r="AF51" t="str">
        <f>Units!H$31</f>
        <v>events/year</v>
      </c>
    </row>
    <row r="52" spans="1:32" x14ac:dyDescent="0.3">
      <c r="A52" t="s">
        <v>718</v>
      </c>
      <c r="B52" t="s">
        <v>765</v>
      </c>
      <c r="C52" s="124" t="str">
        <f t="shared" si="0"/>
        <v>UDV.anaer_lagoon.pump_and_motor_efficiency</v>
      </c>
      <c r="D52" s="944">
        <f t="shared" si="26"/>
        <v>0.7</v>
      </c>
      <c r="E52" s="125" t="str">
        <f t="shared" si="27"/>
        <v>fraction</v>
      </c>
      <c r="F52" s="944">
        <f t="shared" si="30"/>
        <v>0.7</v>
      </c>
      <c r="G52" s="126"/>
      <c r="H52">
        <f t="shared" si="28"/>
        <v>0.7</v>
      </c>
      <c r="I52" s="1325" t="str">
        <f t="shared" si="29"/>
        <v>fraction</v>
      </c>
      <c r="J52" t="s">
        <v>660</v>
      </c>
      <c r="K52" s="124"/>
      <c r="L52">
        <f t="shared" si="18"/>
        <v>0.1</v>
      </c>
      <c r="M52">
        <f t="shared" si="19"/>
        <v>1</v>
      </c>
      <c r="N52">
        <f>IF(AND(M52 - G52 &gt;= 0, G52 - L52 &gt;=0),1,0)</f>
        <v>0</v>
      </c>
      <c r="O52" t="s">
        <v>720</v>
      </c>
      <c r="P52" t="s">
        <v>766</v>
      </c>
      <c r="R52" s="711"/>
      <c r="W52">
        <v>0.7</v>
      </c>
      <c r="X52">
        <v>0.1</v>
      </c>
      <c r="Y52">
        <v>1</v>
      </c>
      <c r="Z52" t="str">
        <f>Units!B35</f>
        <v>fraction</v>
      </c>
      <c r="AA52">
        <f>Units!C35</f>
        <v>1</v>
      </c>
      <c r="AB52">
        <f>Units!D35</f>
        <v>1</v>
      </c>
      <c r="AC52" t="str">
        <f>Units!E35</f>
        <v>fraction</v>
      </c>
      <c r="AD52" t="str">
        <f>Units!F35</f>
        <v>fraction</v>
      </c>
      <c r="AE52" t="str">
        <f>Units!G35</f>
        <v>fraction</v>
      </c>
      <c r="AF52" t="str">
        <f>Units!H35</f>
        <v>fraction</v>
      </c>
    </row>
    <row r="53" spans="1:32" x14ac:dyDescent="0.3">
      <c r="A53" t="s">
        <v>718</v>
      </c>
      <c r="B53" t="s">
        <v>767</v>
      </c>
      <c r="C53" s="124" t="str">
        <f t="shared" si="0"/>
        <v>UDV.anaer_lagoon.recycle_pump_flowrate</v>
      </c>
      <c r="D53" s="944">
        <f t="shared" si="26"/>
        <v>150</v>
      </c>
      <c r="E53" s="125" t="str">
        <f t="shared" si="27"/>
        <v>gpm</v>
      </c>
      <c r="F53" s="944">
        <f t="shared" si="30"/>
        <v>150</v>
      </c>
      <c r="G53" s="126"/>
      <c r="H53">
        <f t="shared" si="28"/>
        <v>150</v>
      </c>
      <c r="I53" s="1325" t="str">
        <f t="shared" si="29"/>
        <v>gpm</v>
      </c>
      <c r="J53" t="s">
        <v>660</v>
      </c>
      <c r="K53" s="124"/>
      <c r="L53">
        <f t="shared" si="18"/>
        <v>75</v>
      </c>
      <c r="M53">
        <f t="shared" si="19"/>
        <v>200</v>
      </c>
      <c r="N53">
        <f>IF(AND(M53 - G53 &gt;= 0, G53 - L53 &gt;=0),1,0)</f>
        <v>0</v>
      </c>
      <c r="O53" t="s">
        <v>720</v>
      </c>
      <c r="P53" t="s">
        <v>768</v>
      </c>
      <c r="R53" s="711"/>
      <c r="W53">
        <v>150</v>
      </c>
      <c r="X53">
        <v>75</v>
      </c>
      <c r="Y53">
        <v>200</v>
      </c>
      <c r="Z53" t="str">
        <f>Units!B146</f>
        <v>gpm</v>
      </c>
      <c r="AA53">
        <f>Units!C146</f>
        <v>1</v>
      </c>
      <c r="AB53">
        <f>Units!D146</f>
        <v>1</v>
      </c>
      <c r="AC53" t="str">
        <f>Units!E146</f>
        <v>gpm</v>
      </c>
      <c r="AD53" t="str">
        <f>Units!F146</f>
        <v>gpm</v>
      </c>
      <c r="AE53" t="str">
        <f>Units!G146</f>
        <v>L/min</v>
      </c>
      <c r="AF53" t="str">
        <f>Units!H146</f>
        <v>gpm</v>
      </c>
    </row>
    <row r="54" spans="1:32" x14ac:dyDescent="0.3">
      <c r="A54" t="s">
        <v>718</v>
      </c>
      <c r="B54" t="s">
        <v>769</v>
      </c>
      <c r="C54" s="124" t="str">
        <f t="shared" si="0"/>
        <v>UDV.anaer_lagoon.recycle_pump_headloss</v>
      </c>
      <c r="D54" s="944">
        <f t="shared" si="26"/>
        <v>92</v>
      </c>
      <c r="E54" s="125" t="str">
        <f t="shared" si="27"/>
        <v>ft</v>
      </c>
      <c r="F54" s="944">
        <f t="shared" si="30"/>
        <v>92</v>
      </c>
      <c r="G54" s="126"/>
      <c r="H54">
        <f t="shared" si="28"/>
        <v>92</v>
      </c>
      <c r="I54" s="1325" t="str">
        <f t="shared" si="29"/>
        <v>ft</v>
      </c>
      <c r="J54" t="s">
        <v>660</v>
      </c>
      <c r="K54" s="124"/>
      <c r="L54">
        <f t="shared" si="18"/>
        <v>50</v>
      </c>
      <c r="M54">
        <f t="shared" si="19"/>
        <v>150</v>
      </c>
      <c r="N54">
        <f>IF(AND(M54 - G54 &gt;= 0, G54 - L54 &gt;=0),1,0)</f>
        <v>0</v>
      </c>
      <c r="O54" t="s">
        <v>720</v>
      </c>
      <c r="P54" t="s">
        <v>770</v>
      </c>
      <c r="R54" s="711"/>
      <c r="W54">
        <v>92</v>
      </c>
      <c r="X54">
        <v>50</v>
      </c>
      <c r="Y54">
        <v>150</v>
      </c>
      <c r="Z54" t="str">
        <f>Units!B43</f>
        <v>ft</v>
      </c>
      <c r="AA54">
        <f>Units!C43</f>
        <v>1</v>
      </c>
      <c r="AB54">
        <f>Units!D43</f>
        <v>1</v>
      </c>
      <c r="AC54" t="str">
        <f>Units!E43</f>
        <v>ft</v>
      </c>
      <c r="AD54" t="str">
        <f>Units!F43</f>
        <v>ft</v>
      </c>
      <c r="AE54" t="str">
        <f>Units!G43</f>
        <v>m</v>
      </c>
      <c r="AF54" t="str">
        <f>Units!H43</f>
        <v>ft</v>
      </c>
    </row>
    <row r="55" spans="1:32" x14ac:dyDescent="0.3">
      <c r="A55" s="1070" t="s">
        <v>718</v>
      </c>
      <c r="B55" s="1070" t="s">
        <v>771</v>
      </c>
      <c r="C55" s="124" t="str">
        <f t="shared" si="0"/>
        <v>UDV.anaer_lagoon.slope</v>
      </c>
      <c r="D55" s="1091">
        <f t="shared" si="26"/>
        <v>3</v>
      </c>
      <c r="E55" s="1093" t="str">
        <f t="shared" si="27"/>
        <v>H to V</v>
      </c>
      <c r="F55" s="1095">
        <f t="shared" si="30"/>
        <v>3</v>
      </c>
      <c r="H55" s="1101">
        <f t="shared" si="28"/>
        <v>3</v>
      </c>
      <c r="I55" s="956" t="str">
        <f t="shared" si="29"/>
        <v>H to V</v>
      </c>
      <c r="J55" t="s">
        <v>660</v>
      </c>
      <c r="L55">
        <f t="shared" si="18"/>
        <v>2</v>
      </c>
      <c r="M55">
        <f t="shared" si="19"/>
        <v>5</v>
      </c>
      <c r="N55">
        <f>IF(AND(G55&lt;=M55, G55&gt;=L55),1,0)</f>
        <v>0</v>
      </c>
      <c r="O55" t="s">
        <v>720</v>
      </c>
      <c r="P55" t="s">
        <v>772</v>
      </c>
      <c r="S55" t="s">
        <v>84</v>
      </c>
      <c r="V55" t="str">
        <f>IF(OR((M55-L55)&lt;=0,H55&gt;M55,H55&lt;L55),"Fix","")</f>
        <v/>
      </c>
      <c r="W55">
        <v>3</v>
      </c>
      <c r="X55">
        <v>2</v>
      </c>
      <c r="Y55">
        <v>5</v>
      </c>
      <c r="Z55" s="132" t="str">
        <f>Units!B$108</f>
        <v>H to V</v>
      </c>
      <c r="AA55" s="132">
        <f>Units!C$108</f>
        <v>1</v>
      </c>
      <c r="AB55" s="132">
        <f>Units!D$108</f>
        <v>1</v>
      </c>
      <c r="AC55" s="132" t="str">
        <f>Units!E$108</f>
        <v>H to V</v>
      </c>
      <c r="AD55" s="132" t="str">
        <f>Units!F$108</f>
        <v>H to V</v>
      </c>
      <c r="AE55" s="132" t="str">
        <f>Units!G$108</f>
        <v>H to V</v>
      </c>
      <c r="AF55" s="132" t="str">
        <f>Units!H$108</f>
        <v>H to V</v>
      </c>
    </row>
    <row r="56" spans="1:32" x14ac:dyDescent="0.3">
      <c r="A56" s="944" t="s">
        <v>718</v>
      </c>
      <c r="B56" s="944" t="s">
        <v>773</v>
      </c>
      <c r="C56" s="124" t="str">
        <f t="shared" si="0"/>
        <v>UDV.anaer_lagoon.sludge_accumulation_ratio</v>
      </c>
      <c r="D56" s="1328">
        <f t="shared" si="26"/>
        <v>3.0277564498016295E-3</v>
      </c>
      <c r="E56" s="125" t="str">
        <f t="shared" si="27"/>
        <v>m3/kg TS</v>
      </c>
      <c r="F56" s="944">
        <f t="shared" si="30"/>
        <v>4.8500000000000001E-2</v>
      </c>
      <c r="G56" s="944"/>
      <c r="H56">
        <f t="shared" si="28"/>
        <v>4.8500000000000001E-2</v>
      </c>
      <c r="I56" s="1325" t="str">
        <f t="shared" si="29"/>
        <v>ft3/lb TS</v>
      </c>
      <c r="J56" s="944" t="s">
        <v>660</v>
      </c>
      <c r="K56" s="944"/>
      <c r="L56">
        <f>ROUNDDOWN($X56*$AA56,5)</f>
        <v>0.02</v>
      </c>
      <c r="M56">
        <f>ROUNDUP($Y56*$AA56,5)</f>
        <v>8.5000000000000006E-2</v>
      </c>
      <c r="N56">
        <f>IF(AND(M56 - G56 &gt;= 0, G56 - L56 &gt;=0),1,0)</f>
        <v>0</v>
      </c>
      <c r="O56" t="s">
        <v>720</v>
      </c>
      <c r="P56" t="s">
        <v>774</v>
      </c>
      <c r="Q56" t="s">
        <v>775</v>
      </c>
      <c r="R56" s="711"/>
      <c r="V56" t="str">
        <f>IF(OR((M56-L56)&lt;=0,H56&gt;M56,H56&lt;L56),"Fix","")</f>
        <v/>
      </c>
      <c r="W56">
        <v>4.8500000000000001E-2</v>
      </c>
      <c r="X56">
        <v>0.02</v>
      </c>
      <c r="Y56">
        <v>8.5000000000000006E-2</v>
      </c>
      <c r="Z56" t="str">
        <f>Units!B$142</f>
        <v>ft3/lb TS</v>
      </c>
      <c r="AA56">
        <f>Units!C$142</f>
        <v>1</v>
      </c>
      <c r="AB56">
        <f>Units!D$142</f>
        <v>6.2427968037147001E-2</v>
      </c>
      <c r="AC56" t="str">
        <f>Units!E$142</f>
        <v>ft3/lb TS</v>
      </c>
      <c r="AD56" t="str">
        <f>Units!F$142</f>
        <v>m3/kg TS</v>
      </c>
      <c r="AE56" t="str">
        <f>Units!G$142</f>
        <v>m3/kg TS</v>
      </c>
      <c r="AF56" t="str">
        <f>Units!H$142</f>
        <v>ft3/lb TS</v>
      </c>
    </row>
    <row r="57" spans="1:32" x14ac:dyDescent="0.3">
      <c r="A57" t="s">
        <v>718</v>
      </c>
      <c r="B57" t="s">
        <v>776</v>
      </c>
      <c r="C57" s="124" t="str">
        <f t="shared" si="0"/>
        <v>UDV.anaer_lagoon.sludge_events</v>
      </c>
      <c r="D57" s="944">
        <f t="shared" si="26"/>
        <v>0.1</v>
      </c>
      <c r="E57" s="125" t="str">
        <f t="shared" si="27"/>
        <v>events/year</v>
      </c>
      <c r="F57" s="944">
        <f t="shared" si="30"/>
        <v>0.1</v>
      </c>
      <c r="G57" s="126"/>
      <c r="H57">
        <f t="shared" si="28"/>
        <v>0.1</v>
      </c>
      <c r="I57" s="1325" t="str">
        <f t="shared" si="29"/>
        <v>events/year</v>
      </c>
      <c r="J57" t="s">
        <v>688</v>
      </c>
      <c r="K57" s="124"/>
      <c r="L57">
        <f t="shared" si="18"/>
        <v>0</v>
      </c>
      <c r="N57">
        <f>IF(AND(M57 - G57 &gt;= 0, G57 - L57 &gt;=0),1,0)</f>
        <v>1</v>
      </c>
      <c r="O57" t="s">
        <v>763</v>
      </c>
      <c r="P57" t="s">
        <v>777</v>
      </c>
      <c r="Q57" s="90"/>
      <c r="R57" s="1326"/>
      <c r="S57" s="90"/>
      <c r="T57" s="1327"/>
      <c r="U57" s="90"/>
      <c r="W57" s="124">
        <f>1/UDV.anaer_lagoon.sludge_time</f>
        <v>0.1</v>
      </c>
      <c r="X57">
        <v>0</v>
      </c>
      <c r="Z57" t="str">
        <f>Units!B$31</f>
        <v>events/year</v>
      </c>
      <c r="AA57">
        <f>Units!C$31</f>
        <v>1</v>
      </c>
      <c r="AB57">
        <f>Units!D$31</f>
        <v>1</v>
      </c>
      <c r="AC57" t="str">
        <f>Units!E$31</f>
        <v>events/year</v>
      </c>
      <c r="AD57" t="str">
        <f>Units!F$31</f>
        <v>events/year</v>
      </c>
      <c r="AE57" t="str">
        <f>Units!G$31</f>
        <v>events/year</v>
      </c>
      <c r="AF57" t="str">
        <f>Units!H$31</f>
        <v>events/year</v>
      </c>
    </row>
    <row r="58" spans="1:32" x14ac:dyDescent="0.3">
      <c r="A58" t="s">
        <v>718</v>
      </c>
      <c r="B58" t="s">
        <v>778</v>
      </c>
      <c r="C58" s="124" t="str">
        <f t="shared" si="0"/>
        <v>UDV.anaer_lagoon.sludge_K</v>
      </c>
      <c r="D58" s="1091">
        <f t="shared" si="26"/>
        <v>0.35</v>
      </c>
      <c r="E58" s="1093" t="str">
        <f t="shared" si="27"/>
        <v>fraction</v>
      </c>
      <c r="F58" s="1095">
        <f t="shared" si="30"/>
        <v>0.35</v>
      </c>
      <c r="H58" s="1105">
        <f t="shared" si="28"/>
        <v>0.35</v>
      </c>
      <c r="I58" s="956" t="str">
        <f t="shared" si="29"/>
        <v>fraction</v>
      </c>
      <c r="J58" s="128" t="s">
        <v>688</v>
      </c>
      <c r="K58" s="128"/>
      <c r="L58">
        <f t="shared" si="18"/>
        <v>0.3</v>
      </c>
      <c r="M58">
        <f t="shared" ref="M58:M66" si="31">ROUNDUP($Y58*$AA58,3)</f>
        <v>0.5</v>
      </c>
      <c r="N58">
        <f t="shared" ref="N58:N64" si="32">IF(AND(G58&lt;=M58, G58&gt;=L58),1,0)</f>
        <v>0</v>
      </c>
      <c r="O58" t="s">
        <v>720</v>
      </c>
      <c r="P58" t="s">
        <v>779</v>
      </c>
      <c r="Q58" t="s">
        <v>780</v>
      </c>
      <c r="S58" t="s">
        <v>84</v>
      </c>
      <c r="V58" t="str">
        <f t="shared" ref="V58:V64" si="33">IF(OR((M58-L58)&lt;=0,H58&gt;M58,H58&lt;L58),"Fix","")</f>
        <v/>
      </c>
      <c r="W58" s="78">
        <f>1-UDV.anaer_lagoon.effluent_K</f>
        <v>0.35</v>
      </c>
      <c r="X58" s="128">
        <v>0.3</v>
      </c>
      <c r="Y58" s="128">
        <v>0.5</v>
      </c>
      <c r="Z58" t="str">
        <f>Units!B$35</f>
        <v>fraction</v>
      </c>
      <c r="AA58">
        <f>Units!C$35</f>
        <v>1</v>
      </c>
      <c r="AB58">
        <f>Units!D$35</f>
        <v>1</v>
      </c>
      <c r="AC58" t="str">
        <f>Units!E$35</f>
        <v>fraction</v>
      </c>
      <c r="AD58" t="str">
        <f>Units!F$35</f>
        <v>fraction</v>
      </c>
      <c r="AE58" t="str">
        <f>Units!G$35</f>
        <v>fraction</v>
      </c>
      <c r="AF58" t="str">
        <f>Units!H$35</f>
        <v>fraction</v>
      </c>
    </row>
    <row r="59" spans="1:32" x14ac:dyDescent="0.3">
      <c r="A59" t="s">
        <v>718</v>
      </c>
      <c r="B59" t="s">
        <v>781</v>
      </c>
      <c r="C59" s="124" t="str">
        <f t="shared" si="0"/>
        <v>UDV.anaer_lagoon.sludge_N</v>
      </c>
      <c r="D59" s="1091">
        <f t="shared" si="26"/>
        <v>0.19999999999999996</v>
      </c>
      <c r="E59" s="1093" t="str">
        <f t="shared" si="27"/>
        <v>fraction</v>
      </c>
      <c r="F59" s="1095">
        <f t="shared" si="30"/>
        <v>0.19999999999999996</v>
      </c>
      <c r="H59" s="1105">
        <f t="shared" si="28"/>
        <v>0.19999999999999996</v>
      </c>
      <c r="I59" s="956" t="str">
        <f t="shared" si="29"/>
        <v>fraction</v>
      </c>
      <c r="J59" s="128" t="s">
        <v>688</v>
      </c>
      <c r="K59" s="128"/>
      <c r="L59">
        <f t="shared" si="18"/>
        <v>0.2</v>
      </c>
      <c r="M59">
        <f t="shared" si="31"/>
        <v>0.6</v>
      </c>
      <c r="N59">
        <f t="shared" si="32"/>
        <v>0</v>
      </c>
      <c r="O59" t="s">
        <v>720</v>
      </c>
      <c r="P59" t="s">
        <v>782</v>
      </c>
      <c r="Q59" t="s">
        <v>780</v>
      </c>
      <c r="S59" t="s">
        <v>84</v>
      </c>
      <c r="V59" t="str">
        <f t="shared" si="33"/>
        <v/>
      </c>
      <c r="W59" s="78">
        <f>1-UDV.anaer_lagoon.effluent_N</f>
        <v>0.19999999999999996</v>
      </c>
      <c r="X59" s="128">
        <v>0.2</v>
      </c>
      <c r="Y59" s="128">
        <v>0.6</v>
      </c>
      <c r="Z59" t="str">
        <f>Units!B$35</f>
        <v>fraction</v>
      </c>
      <c r="AA59">
        <f>Units!C$35</f>
        <v>1</v>
      </c>
      <c r="AB59">
        <f>Units!D$35</f>
        <v>1</v>
      </c>
      <c r="AC59" t="str">
        <f>Units!E$35</f>
        <v>fraction</v>
      </c>
      <c r="AD59" t="str">
        <f>Units!F$35</f>
        <v>fraction</v>
      </c>
      <c r="AE59" t="str">
        <f>Units!G$35</f>
        <v>fraction</v>
      </c>
      <c r="AF59" t="str">
        <f>Units!H$35</f>
        <v>fraction</v>
      </c>
    </row>
    <row r="60" spans="1:32" x14ac:dyDescent="0.3">
      <c r="A60" t="s">
        <v>718</v>
      </c>
      <c r="B60" s="944" t="s">
        <v>783</v>
      </c>
      <c r="C60" s="124" t="str">
        <f t="shared" si="0"/>
        <v>UDV.anaer_lagoon.sludge_N_retained</v>
      </c>
      <c r="D60" s="1329">
        <f t="shared" si="26"/>
        <v>0.3</v>
      </c>
      <c r="E60" t="str">
        <f t="shared" si="27"/>
        <v>fraction</v>
      </c>
      <c r="F60" s="944">
        <f t="shared" si="30"/>
        <v>0.3</v>
      </c>
      <c r="G60" s="944">
        <v>0.3</v>
      </c>
      <c r="H60" s="1330">
        <f>1-UDV.anaer_lagoon.N_loss_atmosphere</f>
        <v>0.55000000000000004</v>
      </c>
      <c r="I60" s="1325" t="str">
        <f t="shared" si="29"/>
        <v>fraction</v>
      </c>
      <c r="J60" t="s">
        <v>688</v>
      </c>
      <c r="K60" s="944"/>
      <c r="L60">
        <f t="shared" si="18"/>
        <v>0</v>
      </c>
      <c r="M60">
        <f t="shared" si="31"/>
        <v>1</v>
      </c>
      <c r="N60">
        <f t="shared" si="32"/>
        <v>1</v>
      </c>
      <c r="O60" t="s">
        <v>784</v>
      </c>
      <c r="P60" t="s">
        <v>785</v>
      </c>
      <c r="Q60" t="s">
        <v>780</v>
      </c>
      <c r="R60" s="711"/>
      <c r="S60" t="s">
        <v>84</v>
      </c>
      <c r="V60" t="str">
        <f t="shared" si="33"/>
        <v/>
      </c>
      <c r="W60" s="78">
        <f>UDV.anaer_lagoon.N_retained</f>
        <v>0.5</v>
      </c>
      <c r="X60">
        <v>0</v>
      </c>
      <c r="Y60">
        <v>1</v>
      </c>
      <c r="Z60" t="str">
        <f>Units!B$35</f>
        <v>fraction</v>
      </c>
      <c r="AA60">
        <f>Units!C$35</f>
        <v>1</v>
      </c>
      <c r="AB60">
        <f>Units!D$35</f>
        <v>1</v>
      </c>
      <c r="AC60" t="str">
        <f>Units!E$35</f>
        <v>fraction</v>
      </c>
      <c r="AD60" t="str">
        <f>Units!F$35</f>
        <v>fraction</v>
      </c>
      <c r="AE60" t="str">
        <f>Units!G$35</f>
        <v>fraction</v>
      </c>
      <c r="AF60" t="str">
        <f>Units!H$35</f>
        <v>fraction</v>
      </c>
    </row>
    <row r="61" spans="1:32" x14ac:dyDescent="0.3">
      <c r="A61" t="s">
        <v>718</v>
      </c>
      <c r="B61" t="s">
        <v>786</v>
      </c>
      <c r="C61" s="124" t="str">
        <f t="shared" si="0"/>
        <v>UDV.anaer_lagoon.sludge_P</v>
      </c>
      <c r="D61" s="1091">
        <f t="shared" si="26"/>
        <v>0.44999999999999996</v>
      </c>
      <c r="E61" s="1093" t="str">
        <f t="shared" si="27"/>
        <v>fraction</v>
      </c>
      <c r="F61" s="1095">
        <f t="shared" si="30"/>
        <v>0.44999999999999996</v>
      </c>
      <c r="H61" s="1105">
        <f t="shared" ref="H61:H82" si="34">$W61*$AA61</f>
        <v>0.44999999999999996</v>
      </c>
      <c r="I61" s="956" t="str">
        <f t="shared" si="29"/>
        <v>fraction</v>
      </c>
      <c r="J61" s="128" t="s">
        <v>688</v>
      </c>
      <c r="K61" s="128"/>
      <c r="L61">
        <f t="shared" si="18"/>
        <v>0.4</v>
      </c>
      <c r="M61">
        <f t="shared" si="31"/>
        <v>0.7</v>
      </c>
      <c r="N61">
        <f t="shared" si="32"/>
        <v>0</v>
      </c>
      <c r="O61" t="s">
        <v>720</v>
      </c>
      <c r="P61" t="s">
        <v>787</v>
      </c>
      <c r="Q61" t="s">
        <v>780</v>
      </c>
      <c r="S61" t="s">
        <v>84</v>
      </c>
      <c r="V61" t="str">
        <f t="shared" si="33"/>
        <v/>
      </c>
      <c r="W61" s="78">
        <f>1-UDV.anaer_lagoon.effluent_P</f>
        <v>0.44999999999999996</v>
      </c>
      <c r="X61" s="128">
        <v>0.4</v>
      </c>
      <c r="Y61" s="128">
        <v>0.7</v>
      </c>
      <c r="Z61" t="str">
        <f>Units!B$35</f>
        <v>fraction</v>
      </c>
      <c r="AA61">
        <f>Units!C$35</f>
        <v>1</v>
      </c>
      <c r="AB61">
        <f>Units!D$35</f>
        <v>1</v>
      </c>
      <c r="AC61" t="str">
        <f>Units!E$35</f>
        <v>fraction</v>
      </c>
      <c r="AD61" t="str">
        <f>Units!F$35</f>
        <v>fraction</v>
      </c>
      <c r="AE61" t="str">
        <f>Units!G$35</f>
        <v>fraction</v>
      </c>
      <c r="AF61" t="str">
        <f>Units!H$35</f>
        <v>fraction</v>
      </c>
    </row>
    <row r="62" spans="1:32" x14ac:dyDescent="0.3">
      <c r="A62" t="s">
        <v>718</v>
      </c>
      <c r="B62" t="s">
        <v>694</v>
      </c>
      <c r="C62" s="124" t="str">
        <f t="shared" si="0"/>
        <v>UDV.anaer_lagoon.sludge_time</v>
      </c>
      <c r="D62" s="1091">
        <f t="shared" si="26"/>
        <v>10</v>
      </c>
      <c r="E62" s="1093" t="str">
        <f t="shared" si="27"/>
        <v>years</v>
      </c>
      <c r="F62" s="1095">
        <f t="shared" si="30"/>
        <v>10</v>
      </c>
      <c r="H62" s="1101">
        <f t="shared" si="34"/>
        <v>10</v>
      </c>
      <c r="I62" s="956" t="str">
        <f t="shared" si="29"/>
        <v>years</v>
      </c>
      <c r="J62" t="s">
        <v>660</v>
      </c>
      <c r="L62">
        <f t="shared" si="18"/>
        <v>5</v>
      </c>
      <c r="M62">
        <f t="shared" si="31"/>
        <v>20</v>
      </c>
      <c r="N62">
        <f t="shared" si="32"/>
        <v>0</v>
      </c>
      <c r="O62" t="s">
        <v>720</v>
      </c>
      <c r="P62" t="s">
        <v>788</v>
      </c>
      <c r="V62" t="str">
        <f t="shared" si="33"/>
        <v/>
      </c>
      <c r="W62" s="78">
        <v>10</v>
      </c>
      <c r="X62">
        <v>5</v>
      </c>
      <c r="Y62">
        <v>20</v>
      </c>
      <c r="Z62" t="str">
        <f>Units!B$113</f>
        <v>years</v>
      </c>
      <c r="AA62">
        <f>Units!C$113</f>
        <v>1</v>
      </c>
      <c r="AB62">
        <f>Units!D$113</f>
        <v>1</v>
      </c>
      <c r="AC62" t="str">
        <f>Units!E$113</f>
        <v>years</v>
      </c>
      <c r="AD62" t="str">
        <f>Units!F$113</f>
        <v>years</v>
      </c>
      <c r="AE62" t="str">
        <f>Units!G$113</f>
        <v>years</v>
      </c>
      <c r="AF62" t="str">
        <f>Units!H$113</f>
        <v>years</v>
      </c>
    </row>
    <row r="63" spans="1:32" x14ac:dyDescent="0.3">
      <c r="A63" t="s">
        <v>718</v>
      </c>
      <c r="B63" t="s">
        <v>789</v>
      </c>
      <c r="C63" s="124" t="str">
        <f t="shared" si="0"/>
        <v>UDV.anaer_lagoon.sludge_TS</v>
      </c>
      <c r="D63" s="1091">
        <f t="shared" si="26"/>
        <v>50</v>
      </c>
      <c r="E63" s="1093" t="str">
        <f t="shared" si="27"/>
        <v>g/L</v>
      </c>
      <c r="F63" s="1095">
        <f t="shared" si="30"/>
        <v>417.27022216004207</v>
      </c>
      <c r="H63" s="1101">
        <f t="shared" si="34"/>
        <v>417.27022216004207</v>
      </c>
      <c r="I63" s="956" t="str">
        <f t="shared" si="29"/>
        <v>lb/1000 gal</v>
      </c>
      <c r="J63" t="s">
        <v>660</v>
      </c>
      <c r="L63">
        <f t="shared" si="18"/>
        <v>333.81599999999997</v>
      </c>
      <c r="M63">
        <f t="shared" si="31"/>
        <v>584.17899999999997</v>
      </c>
      <c r="N63">
        <f t="shared" si="32"/>
        <v>0</v>
      </c>
      <c r="O63" t="s">
        <v>720</v>
      </c>
      <c r="P63" t="s">
        <v>790</v>
      </c>
      <c r="V63" t="str">
        <f t="shared" si="33"/>
        <v/>
      </c>
      <c r="W63" s="78">
        <v>50</v>
      </c>
      <c r="X63">
        <v>40</v>
      </c>
      <c r="Y63">
        <v>70</v>
      </c>
      <c r="Z63" t="str">
        <f>Units!B$87</f>
        <v>g/L</v>
      </c>
      <c r="AA63">
        <f>Units!C$87</f>
        <v>8.3454044432008416</v>
      </c>
      <c r="AB63">
        <f>Units!D$87</f>
        <v>0.11982642744351579</v>
      </c>
      <c r="AC63" t="str">
        <f>Units!E$87</f>
        <v>lb/1000 gal</v>
      </c>
      <c r="AD63" t="str">
        <f>Units!F$87</f>
        <v>g/L</v>
      </c>
      <c r="AE63" t="str">
        <f>Units!G$87</f>
        <v>g/L</v>
      </c>
      <c r="AF63" t="str">
        <f>Units!H$87</f>
        <v>lb/1000 gal</v>
      </c>
    </row>
    <row r="64" spans="1:32" x14ac:dyDescent="0.3">
      <c r="A64" t="s">
        <v>718</v>
      </c>
      <c r="B64" t="s">
        <v>791</v>
      </c>
      <c r="C64" s="124" t="str">
        <f t="shared" si="0"/>
        <v>UDV.anaer_lagoon.volume_sludge</v>
      </c>
      <c r="D64" s="1091">
        <f t="shared" si="26"/>
        <v>1.2899999999999999E-3</v>
      </c>
      <c r="E64" s="1093" t="str">
        <f t="shared" si="27"/>
        <v>m3/kg TS</v>
      </c>
      <c r="F64" s="1095">
        <f t="shared" si="30"/>
        <v>2.0663817757163354E-2</v>
      </c>
      <c r="H64" s="1101">
        <f t="shared" si="34"/>
        <v>2.0663817757163354E-2</v>
      </c>
      <c r="I64" s="956" t="str">
        <f t="shared" si="29"/>
        <v>ft3/lb TS</v>
      </c>
      <c r="J64" t="s">
        <v>660</v>
      </c>
      <c r="L64">
        <f>ROUNDDOWN($X64*$AA64,5)</f>
        <v>1.1690000000000001E-2</v>
      </c>
      <c r="M64">
        <f>ROUNDUP($Y64*$AA64,5)</f>
        <v>3.7490000000000002E-2</v>
      </c>
      <c r="N64">
        <f t="shared" si="32"/>
        <v>0</v>
      </c>
      <c r="O64" t="s">
        <v>720</v>
      </c>
      <c r="P64" t="s">
        <v>792</v>
      </c>
      <c r="V64" t="str">
        <f t="shared" si="33"/>
        <v/>
      </c>
      <c r="W64" s="1154">
        <v>1.2899999999999999E-3</v>
      </c>
      <c r="X64">
        <v>7.2999999999999996E-4</v>
      </c>
      <c r="Y64">
        <v>2.3400000000000001E-3</v>
      </c>
      <c r="Z64" t="str">
        <f>Units!B$141</f>
        <v>m3/kg TS</v>
      </c>
      <c r="AA64">
        <f>Units!C$141</f>
        <v>16.018463377646011</v>
      </c>
      <c r="AB64">
        <f>Units!D$141</f>
        <v>6.2427960561779849E-2</v>
      </c>
      <c r="AC64" t="str">
        <f>Units!E$141</f>
        <v>ft3/lb TS</v>
      </c>
      <c r="AD64" t="str">
        <f>Units!F$141</f>
        <v>m3/kg TS</v>
      </c>
      <c r="AE64" t="str">
        <f>Units!G$141</f>
        <v>m3/kg TS</v>
      </c>
      <c r="AF64" t="str">
        <f>Units!H$141</f>
        <v>ft3/lb TS</v>
      </c>
    </row>
    <row r="65" spans="1:32" x14ac:dyDescent="0.3">
      <c r="A65" s="944" t="s">
        <v>718</v>
      </c>
      <c r="B65" s="944" t="s">
        <v>793</v>
      </c>
      <c r="C65" s="124" t="str">
        <f t="shared" si="0"/>
        <v>UDV.anaer_lagoon.VS_loading_rate</v>
      </c>
      <c r="D65" s="1331">
        <f t="shared" si="26"/>
        <v>60.06923766617254</v>
      </c>
      <c r="E65" s="125" t="str">
        <f t="shared" si="27"/>
        <v>kg VS/1000 m3/day</v>
      </c>
      <c r="F65" s="944">
        <f t="shared" si="30"/>
        <v>3.75</v>
      </c>
      <c r="G65" s="944"/>
      <c r="H65">
        <f t="shared" si="34"/>
        <v>3.75</v>
      </c>
      <c r="I65" s="1325" t="str">
        <f t="shared" si="29"/>
        <v>lb VS/1000 ft3/day</v>
      </c>
      <c r="J65" s="944" t="s">
        <v>660</v>
      </c>
      <c r="K65" s="944"/>
      <c r="L65">
        <f t="shared" si="18"/>
        <v>1</v>
      </c>
      <c r="M65">
        <f t="shared" si="31"/>
        <v>12.5</v>
      </c>
      <c r="N65">
        <f>IF(AND(M65 - G65 &gt;= 0, G65 - L65 &gt;=0),1,0)</f>
        <v>0</v>
      </c>
      <c r="O65" t="s">
        <v>720</v>
      </c>
      <c r="P65" t="s">
        <v>794</v>
      </c>
      <c r="Q65" t="s">
        <v>795</v>
      </c>
      <c r="R65" s="711"/>
      <c r="W65">
        <f>T.Regional_Data!T3</f>
        <v>3.75</v>
      </c>
      <c r="X65">
        <v>1</v>
      </c>
      <c r="Y65">
        <v>12.5</v>
      </c>
      <c r="Z65" t="str">
        <f>Units!B$92</f>
        <v>lb VS/1000 ft3/day</v>
      </c>
      <c r="AA65">
        <f>Units!C$92</f>
        <v>1</v>
      </c>
      <c r="AB65">
        <f>Units!D$92</f>
        <v>16.018463377646011</v>
      </c>
      <c r="AC65" t="str">
        <f>Units!E$92</f>
        <v>lb VS/1000 ft3/day</v>
      </c>
      <c r="AD65" t="str">
        <f>Units!F$92</f>
        <v>kg VS/1000 m3/day</v>
      </c>
      <c r="AE65" t="str">
        <f>Units!G$92</f>
        <v>kg VS/1000 m3/day</v>
      </c>
      <c r="AF65" t="str">
        <f>Units!H$92</f>
        <v>lb VS/1000 ft3/day</v>
      </c>
    </row>
    <row r="66" spans="1:32" x14ac:dyDescent="0.3">
      <c r="A66" s="944" t="s">
        <v>718</v>
      </c>
      <c r="B66" s="944" t="s">
        <v>796</v>
      </c>
      <c r="C66" s="124" t="str">
        <f t="shared" si="0"/>
        <v>UDV.anaer_lagoon.VSLR_multiplier</v>
      </c>
      <c r="D66" s="944">
        <f t="shared" si="26"/>
        <v>1</v>
      </c>
      <c r="E66" s="125" t="str">
        <f t="shared" si="27"/>
        <v>multiplier</v>
      </c>
      <c r="F66" s="944">
        <f t="shared" si="30"/>
        <v>1</v>
      </c>
      <c r="G66" s="944"/>
      <c r="H66">
        <f t="shared" si="34"/>
        <v>1</v>
      </c>
      <c r="I66" s="1325" t="str">
        <f t="shared" si="29"/>
        <v>multiplier</v>
      </c>
      <c r="J66" s="944" t="s">
        <v>660</v>
      </c>
      <c r="K66" s="944"/>
      <c r="L66">
        <f t="shared" si="18"/>
        <v>0.25</v>
      </c>
      <c r="M66">
        <f t="shared" si="31"/>
        <v>1</v>
      </c>
      <c r="N66">
        <f>IF(AND(M66 - G66 &gt;= 0, G66 - L66 &gt;=0),1,0)</f>
        <v>0</v>
      </c>
      <c r="O66" t="s">
        <v>720</v>
      </c>
      <c r="P66" t="s">
        <v>797</v>
      </c>
      <c r="R66" s="711"/>
      <c r="W66">
        <v>1</v>
      </c>
      <c r="X66">
        <v>0.25</v>
      </c>
      <c r="Y66">
        <v>1</v>
      </c>
      <c r="Z66" t="str">
        <f>Units!B$94</f>
        <v>multiplier</v>
      </c>
      <c r="AA66">
        <f>Units!C$94</f>
        <v>1</v>
      </c>
      <c r="AB66">
        <f>Units!D$94</f>
        <v>1</v>
      </c>
      <c r="AC66" t="str">
        <f>Units!E$94</f>
        <v>multiplier</v>
      </c>
      <c r="AD66" t="str">
        <f>Units!F$94</f>
        <v>multiplier</v>
      </c>
      <c r="AE66" t="str">
        <f>Units!G$94</f>
        <v>multiplier</v>
      </c>
      <c r="AF66" t="str">
        <f>Units!H$94</f>
        <v>multiplier</v>
      </c>
    </row>
    <row r="67" spans="1:32" x14ac:dyDescent="0.3">
      <c r="A67" t="s">
        <v>718</v>
      </c>
      <c r="B67" t="s">
        <v>798</v>
      </c>
      <c r="C67" s="124" t="str">
        <f t="shared" si="0"/>
        <v>UDV.anaer_lagoon.treatment_toggle</v>
      </c>
      <c r="D67">
        <f t="shared" si="26"/>
        <v>0</v>
      </c>
      <c r="E67" t="str">
        <f t="shared" si="27"/>
        <v>1 or 0</v>
      </c>
      <c r="F67">
        <f t="shared" si="30"/>
        <v>0</v>
      </c>
      <c r="G67">
        <v>0</v>
      </c>
      <c r="H67">
        <f t="shared" si="34"/>
        <v>0</v>
      </c>
      <c r="I67" t="str">
        <f t="shared" si="29"/>
        <v>1 or 0</v>
      </c>
      <c r="J67" t="s">
        <v>799</v>
      </c>
      <c r="L67">
        <f t="shared" ref="L67:L68" si="35">$X67*$AA67</f>
        <v>0</v>
      </c>
      <c r="M67">
        <f t="shared" ref="M67:M70" si="36">$Y67*$AA67</f>
        <v>1</v>
      </c>
      <c r="N67">
        <f t="shared" ref="N67:N69" si="37">IF(AND(M67 - G67 &gt;= 0, G67 - L67 &gt;=0),1,0)</f>
        <v>1</v>
      </c>
      <c r="O67" t="s">
        <v>720</v>
      </c>
      <c r="P67" s="93" t="s">
        <v>800</v>
      </c>
      <c r="R67"/>
      <c r="T67"/>
      <c r="W67">
        <v>0</v>
      </c>
      <c r="X67">
        <v>0</v>
      </c>
      <c r="Y67">
        <v>1</v>
      </c>
      <c r="Z67" t="str">
        <f>Units!B$11</f>
        <v>1 or 0</v>
      </c>
      <c r="AA67">
        <f>Units!C$11</f>
        <v>1</v>
      </c>
      <c r="AB67">
        <f>Units!D$11</f>
        <v>1</v>
      </c>
      <c r="AC67" t="str">
        <f>Units!E$11</f>
        <v>1 or 0</v>
      </c>
      <c r="AD67" t="str">
        <f>Units!F$11</f>
        <v>1 or 0</v>
      </c>
      <c r="AE67" t="str">
        <f>Units!G$11</f>
        <v>1 or 0</v>
      </c>
      <c r="AF67" t="str">
        <f>Units!H$11</f>
        <v>1 or 0</v>
      </c>
    </row>
    <row r="68" spans="1:32" x14ac:dyDescent="0.3">
      <c r="A68" t="s">
        <v>718</v>
      </c>
      <c r="B68" t="s">
        <v>801</v>
      </c>
      <c r="C68" s="124" t="str">
        <f t="shared" si="0"/>
        <v>UDV.anaer_lagoon.sludge_toggle</v>
      </c>
      <c r="D68">
        <f t="shared" si="26"/>
        <v>1</v>
      </c>
      <c r="E68" t="str">
        <f t="shared" si="27"/>
        <v>1 or 0</v>
      </c>
      <c r="F68">
        <f t="shared" si="30"/>
        <v>1</v>
      </c>
      <c r="G68">
        <v>1</v>
      </c>
      <c r="H68">
        <f t="shared" si="34"/>
        <v>0</v>
      </c>
      <c r="I68" t="str">
        <f t="shared" si="29"/>
        <v>1 or 0</v>
      </c>
      <c r="J68" t="s">
        <v>799</v>
      </c>
      <c r="L68">
        <f t="shared" si="35"/>
        <v>0</v>
      </c>
      <c r="M68">
        <f t="shared" si="36"/>
        <v>1</v>
      </c>
      <c r="N68">
        <f t="shared" si="37"/>
        <v>1</v>
      </c>
      <c r="O68" t="s">
        <v>720</v>
      </c>
      <c r="P68" s="93" t="s">
        <v>802</v>
      </c>
      <c r="R68"/>
      <c r="T68"/>
      <c r="W68">
        <v>0</v>
      </c>
      <c r="X68">
        <v>0</v>
      </c>
      <c r="Y68">
        <v>1</v>
      </c>
      <c r="Z68" t="str">
        <f>Units!B$11</f>
        <v>1 or 0</v>
      </c>
      <c r="AA68">
        <f>Units!C$11</f>
        <v>1</v>
      </c>
      <c r="AB68">
        <f>Units!D$11</f>
        <v>1</v>
      </c>
      <c r="AC68" t="str">
        <f>Units!E$11</f>
        <v>1 or 0</v>
      </c>
      <c r="AD68" t="str">
        <f>Units!F$11</f>
        <v>1 or 0</v>
      </c>
      <c r="AE68" t="str">
        <f>Units!G$11</f>
        <v>1 or 0</v>
      </c>
      <c r="AF68" t="str">
        <f>Units!H$11</f>
        <v>1 or 0</v>
      </c>
    </row>
    <row r="69" spans="1:32" x14ac:dyDescent="0.3">
      <c r="A69" t="s">
        <v>718</v>
      </c>
      <c r="B69" t="s">
        <v>803</v>
      </c>
      <c r="C69" s="124" t="str">
        <f t="shared" si="0"/>
        <v>UDV.anaer_lagoon.effluent_TS_lost</v>
      </c>
      <c r="D69" s="944">
        <f t="shared" si="26"/>
        <v>0</v>
      </c>
      <c r="E69" s="125" t="str">
        <f t="shared" si="27"/>
        <v>fraction</v>
      </c>
      <c r="F69" s="944">
        <f t="shared" si="30"/>
        <v>0</v>
      </c>
      <c r="G69" s="126"/>
      <c r="H69">
        <f t="shared" si="34"/>
        <v>0</v>
      </c>
      <c r="I69" s="1325" t="str">
        <f t="shared" si="29"/>
        <v>fraction</v>
      </c>
      <c r="J69" t="s">
        <v>660</v>
      </c>
      <c r="K69" s="124"/>
      <c r="L69">
        <f t="shared" si="18"/>
        <v>0</v>
      </c>
      <c r="M69">
        <f t="shared" ref="M69" si="38">ROUNDUP($Y69*$AA69,3)</f>
        <v>0.3</v>
      </c>
      <c r="N69">
        <f t="shared" si="37"/>
        <v>1</v>
      </c>
      <c r="O69" t="s">
        <v>730</v>
      </c>
      <c r="P69" t="s">
        <v>804</v>
      </c>
      <c r="R69" s="711"/>
      <c r="V69" t="str">
        <f t="shared" ref="V69" si="39">IF(OR((M69-L69)&lt;=0,H69&gt;M69,H69&lt;L69),"Fix","")</f>
        <v/>
      </c>
      <c r="W69">
        <v>0</v>
      </c>
      <c r="X69">
        <v>0</v>
      </c>
      <c r="Y69">
        <v>0.3</v>
      </c>
      <c r="Z69" t="str">
        <f>Units!B$35</f>
        <v>fraction</v>
      </c>
      <c r="AA69">
        <f>Units!C$35</f>
        <v>1</v>
      </c>
      <c r="AB69">
        <f>Units!D$35</f>
        <v>1</v>
      </c>
      <c r="AC69" t="str">
        <f>Units!E$35</f>
        <v>fraction</v>
      </c>
      <c r="AD69" t="str">
        <f>Units!F$35</f>
        <v>fraction</v>
      </c>
      <c r="AE69" t="str">
        <f>Units!G$35</f>
        <v>fraction</v>
      </c>
      <c r="AF69" t="str">
        <f>Units!H$35</f>
        <v>fraction</v>
      </c>
    </row>
    <row r="70" spans="1:32" x14ac:dyDescent="0.3">
      <c r="A70" s="944" t="s">
        <v>718</v>
      </c>
      <c r="B70" t="s">
        <v>805</v>
      </c>
      <c r="C70" s="124" t="str">
        <f t="shared" si="0"/>
        <v>UDV.anaer_lagoon.effluent_TS_target</v>
      </c>
      <c r="D70" s="944">
        <f t="shared" si="26"/>
        <v>0.03</v>
      </c>
      <c r="E70" s="125" t="str">
        <f>$AD70</f>
        <v>fraction</v>
      </c>
      <c r="F70" s="944">
        <f t="shared" si="30"/>
        <v>0.03</v>
      </c>
      <c r="G70" s="126"/>
      <c r="H70">
        <f t="shared" si="34"/>
        <v>0.03</v>
      </c>
      <c r="I70" s="1325" t="str">
        <f t="shared" si="29"/>
        <v>fraction</v>
      </c>
      <c r="J70" t="s">
        <v>660</v>
      </c>
      <c r="K70" s="124"/>
      <c r="L70">
        <f t="shared" si="18"/>
        <v>1E-3</v>
      </c>
      <c r="M70">
        <f t="shared" si="36"/>
        <v>0.15</v>
      </c>
      <c r="N70">
        <f>IF(AND(M70 - G70 &gt;= 0, G70 - L70 &gt;=0),1,0)</f>
        <v>0</v>
      </c>
      <c r="O70" t="s">
        <v>720</v>
      </c>
      <c r="P70" t="s">
        <v>806</v>
      </c>
      <c r="R70" s="711"/>
      <c r="W70">
        <v>0.03</v>
      </c>
      <c r="X70">
        <v>1E-3</v>
      </c>
      <c r="Y70">
        <v>0.15</v>
      </c>
      <c r="Z70" t="str">
        <f>Units!B$35</f>
        <v>fraction</v>
      </c>
      <c r="AA70">
        <f>Units!C$35</f>
        <v>1</v>
      </c>
      <c r="AB70">
        <f>Units!D$35</f>
        <v>1</v>
      </c>
      <c r="AC70" t="str">
        <f>Units!E$35</f>
        <v>fraction</v>
      </c>
      <c r="AD70" t="str">
        <f>Units!F$35</f>
        <v>fraction</v>
      </c>
      <c r="AE70" t="str">
        <f>Units!G$35</f>
        <v>fraction</v>
      </c>
      <c r="AF70" t="str">
        <f>Units!H$35</f>
        <v>fraction</v>
      </c>
    </row>
    <row r="71" spans="1:32" x14ac:dyDescent="0.3">
      <c r="A71" t="s">
        <v>718</v>
      </c>
      <c r="B71" t="s">
        <v>807</v>
      </c>
      <c r="C71" s="124" t="str">
        <f t="shared" si="0"/>
        <v>UDV.anaer_lagoon.irrigation_events</v>
      </c>
      <c r="D71" s="944">
        <f>$F71*$AB71</f>
        <v>365</v>
      </c>
      <c r="E71" s="125" t="str">
        <f t="shared" ref="E71:E76" si="40">$AD71</f>
        <v>events/year</v>
      </c>
      <c r="F71" s="944">
        <f t="shared" si="30"/>
        <v>365</v>
      </c>
      <c r="G71" s="126"/>
      <c r="H71">
        <f>$W71*$AA71</f>
        <v>365</v>
      </c>
      <c r="I71" s="1325" t="str">
        <f t="shared" si="29"/>
        <v>events/year</v>
      </c>
      <c r="J71" t="s">
        <v>688</v>
      </c>
      <c r="K71" s="124"/>
      <c r="L71">
        <f t="shared" si="18"/>
        <v>0</v>
      </c>
      <c r="N71">
        <f>IF(AND(M71 - G71 &gt;= 0, G71 - L71 &gt;=0),1,0)</f>
        <v>1</v>
      </c>
      <c r="O71" t="s">
        <v>763</v>
      </c>
      <c r="P71" t="s">
        <v>808</v>
      </c>
      <c r="Q71" s="90"/>
      <c r="R71" s="1326"/>
      <c r="S71" s="90" t="s">
        <v>84</v>
      </c>
      <c r="T71" s="1327"/>
      <c r="U71" s="90"/>
      <c r="W71" s="124">
        <v>365</v>
      </c>
      <c r="X71">
        <v>0</v>
      </c>
      <c r="Z71" t="str">
        <f>Units!B$31</f>
        <v>events/year</v>
      </c>
      <c r="AA71">
        <f>Units!C$31</f>
        <v>1</v>
      </c>
      <c r="AB71">
        <f>Units!D$31</f>
        <v>1</v>
      </c>
      <c r="AC71" t="str">
        <f>Units!E$31</f>
        <v>events/year</v>
      </c>
      <c r="AD71" t="str">
        <f>Units!F$31</f>
        <v>events/year</v>
      </c>
      <c r="AE71" t="str">
        <f>Units!G$31</f>
        <v>events/year</v>
      </c>
      <c r="AF71" t="str">
        <f>Units!H$31</f>
        <v>events/year</v>
      </c>
    </row>
    <row r="72" spans="1:32" x14ac:dyDescent="0.3">
      <c r="A72" s="944" t="s">
        <v>718</v>
      </c>
      <c r="B72" s="944" t="s">
        <v>809</v>
      </c>
      <c r="C72" s="124" t="str">
        <f t="shared" si="0"/>
        <v>UDV.anaer_lagoon.sludge_accumulation_ratio_storage_modifier</v>
      </c>
      <c r="D72" s="1332">
        <f>$F72*$AB72</f>
        <v>1.5</v>
      </c>
      <c r="E72" s="125" t="str">
        <f t="shared" si="40"/>
        <v>multiplier</v>
      </c>
      <c r="F72" s="944">
        <f t="shared" si="30"/>
        <v>1.5</v>
      </c>
      <c r="G72" s="944"/>
      <c r="H72">
        <f t="shared" ref="H72:H76" si="41">$W72*$AA72</f>
        <v>1.5</v>
      </c>
      <c r="I72" s="1325" t="str">
        <f t="shared" si="29"/>
        <v>multiplier</v>
      </c>
      <c r="J72" s="944" t="s">
        <v>660</v>
      </c>
      <c r="K72" s="944"/>
      <c r="L72">
        <f t="shared" si="18"/>
        <v>0</v>
      </c>
      <c r="M72">
        <f t="shared" ref="M72" si="42">ROUNDUP($Y72*$AA72,3)</f>
        <v>4</v>
      </c>
      <c r="N72">
        <f t="shared" ref="N72:N76" si="43">IF(AND(M72 - G72 &gt;= 0, G72 - L72 &gt;=0),1,0)</f>
        <v>1</v>
      </c>
      <c r="O72" t="s">
        <v>720</v>
      </c>
      <c r="P72" t="s">
        <v>810</v>
      </c>
      <c r="Q72" t="s">
        <v>811</v>
      </c>
      <c r="R72" s="711"/>
      <c r="W72">
        <f>IF(UDV.anaer_lagoon.treatment_toggle=1,1,1.5)</f>
        <v>1.5</v>
      </c>
      <c r="X72">
        <v>0</v>
      </c>
      <c r="Y72">
        <v>4</v>
      </c>
      <c r="Z72" t="str">
        <f>Units!B$94</f>
        <v>multiplier</v>
      </c>
      <c r="AA72">
        <f>Units!C$94</f>
        <v>1</v>
      </c>
      <c r="AB72">
        <f>Units!D$94</f>
        <v>1</v>
      </c>
      <c r="AC72" t="str">
        <f>Units!E$94</f>
        <v>multiplier</v>
      </c>
      <c r="AD72" t="str">
        <f>Units!F$94</f>
        <v>multiplier</v>
      </c>
      <c r="AE72" t="str">
        <f>Units!G$94</f>
        <v>multiplier</v>
      </c>
      <c r="AF72" t="str">
        <f>Units!H$94</f>
        <v>multiplier</v>
      </c>
    </row>
    <row r="73" spans="1:32" x14ac:dyDescent="0.3">
      <c r="A73" s="944" t="s">
        <v>718</v>
      </c>
      <c r="B73" s="944" t="s">
        <v>812</v>
      </c>
      <c r="C73" s="124" t="str">
        <f t="shared" si="0"/>
        <v>UDV.anaer_lagoon.sludge_accumulation_ratio_base</v>
      </c>
      <c r="D73" s="1332">
        <f>$F73*$AB73</f>
        <v>3.0277564498016295E-3</v>
      </c>
      <c r="E73" s="125" t="str">
        <f t="shared" si="40"/>
        <v>m3/kg TS</v>
      </c>
      <c r="F73" s="944">
        <f t="shared" si="30"/>
        <v>4.8500000000000001E-2</v>
      </c>
      <c r="G73" s="944"/>
      <c r="H73">
        <f t="shared" si="41"/>
        <v>4.8500000000000001E-2</v>
      </c>
      <c r="I73" s="1325" t="str">
        <f t="shared" si="29"/>
        <v>ft3/lb TS</v>
      </c>
      <c r="J73" s="944" t="s">
        <v>660</v>
      </c>
      <c r="K73" s="944"/>
      <c r="L73">
        <f>ROUNDDOWN($X73*$AA73,5)</f>
        <v>5.0000000000000001E-3</v>
      </c>
      <c r="M73">
        <f>ROUNDUP($Y73*$AA73,5)</f>
        <v>8.5000000000000006E-2</v>
      </c>
      <c r="N73">
        <f t="shared" si="43"/>
        <v>0</v>
      </c>
      <c r="O73" t="s">
        <v>720</v>
      </c>
      <c r="P73" t="s">
        <v>813</v>
      </c>
      <c r="Q73" t="s">
        <v>775</v>
      </c>
      <c r="R73" s="711"/>
      <c r="V73" t="str">
        <f t="shared" ref="V73:V74" si="44">IF(OR((M73-L73)&lt;=0,H73&gt;M73,H73&lt;L73),"Fix","")</f>
        <v/>
      </c>
      <c r="W73">
        <v>4.8500000000000001E-2</v>
      </c>
      <c r="X73">
        <v>5.0000000000000001E-3</v>
      </c>
      <c r="Y73">
        <v>8.5000000000000006E-2</v>
      </c>
      <c r="Z73" t="str">
        <f>Units!B$142</f>
        <v>ft3/lb TS</v>
      </c>
      <c r="AA73">
        <f>Units!C$142</f>
        <v>1</v>
      </c>
      <c r="AB73">
        <f>Units!D$142</f>
        <v>6.2427968037147001E-2</v>
      </c>
      <c r="AC73" t="str">
        <f>Units!E$142</f>
        <v>ft3/lb TS</v>
      </c>
      <c r="AD73" t="str">
        <f>Units!F$142</f>
        <v>m3/kg TS</v>
      </c>
      <c r="AE73" t="str">
        <f>Units!G$142</f>
        <v>m3/kg TS</v>
      </c>
      <c r="AF73" t="str">
        <f>Units!H$142</f>
        <v>ft3/lb TS</v>
      </c>
    </row>
    <row r="74" spans="1:32" x14ac:dyDescent="0.3">
      <c r="A74" s="944" t="s">
        <v>718</v>
      </c>
      <c r="B74" s="944" t="s">
        <v>814</v>
      </c>
      <c r="C74" s="124" t="str">
        <f t="shared" si="0"/>
        <v>UDV.anaer_lagoon.sludge_accumulation_ratio_sol_sep</v>
      </c>
      <c r="D74" s="1332">
        <f>$F74*$AB74</f>
        <v>1.0264094364827525E-3</v>
      </c>
      <c r="E74" s="125" t="str">
        <f t="shared" si="40"/>
        <v>m3/kg TS</v>
      </c>
      <c r="F74" s="944">
        <f t="shared" si="30"/>
        <v>1.6441500000000001E-2</v>
      </c>
      <c r="G74" s="944"/>
      <c r="H74">
        <f t="shared" si="41"/>
        <v>1.6441500000000001E-2</v>
      </c>
      <c r="I74" s="1325" t="str">
        <f t="shared" si="29"/>
        <v>ft3/lb TS</v>
      </c>
      <c r="J74" s="944" t="s">
        <v>660</v>
      </c>
      <c r="K74" s="944"/>
      <c r="L74">
        <f>ROUNDDOWN($X74*$AA74,5)</f>
        <v>5.0000000000000001E-3</v>
      </c>
      <c r="M74">
        <f>ROUNDUP($Y74*$AA74,5)</f>
        <v>8.5000000000000006E-2</v>
      </c>
      <c r="N74">
        <f t="shared" si="43"/>
        <v>0</v>
      </c>
      <c r="O74" t="s">
        <v>720</v>
      </c>
      <c r="P74" t="s">
        <v>815</v>
      </c>
      <c r="Q74" t="s">
        <v>775</v>
      </c>
      <c r="R74" s="711"/>
      <c r="V74" t="str">
        <f t="shared" si="44"/>
        <v/>
      </c>
      <c r="W74">
        <f>W73*0.339</f>
        <v>1.6441500000000001E-2</v>
      </c>
      <c r="X74">
        <v>5.0000000000000001E-3</v>
      </c>
      <c r="Y74">
        <v>8.5000000000000006E-2</v>
      </c>
      <c r="Z74" t="str">
        <f>Units!B$142</f>
        <v>ft3/lb TS</v>
      </c>
      <c r="AA74">
        <f>Units!C$142</f>
        <v>1</v>
      </c>
      <c r="AB74">
        <f>Units!D$142</f>
        <v>6.2427968037147001E-2</v>
      </c>
      <c r="AC74" t="str">
        <f>Units!E$142</f>
        <v>ft3/lb TS</v>
      </c>
      <c r="AD74" t="str">
        <f>Units!F$142</f>
        <v>m3/kg TS</v>
      </c>
      <c r="AE74" t="str">
        <f>Units!G$142</f>
        <v>m3/kg TS</v>
      </c>
      <c r="AF74" t="str">
        <f>Units!H$142</f>
        <v>ft3/lb TS</v>
      </c>
    </row>
    <row r="75" spans="1:32" x14ac:dyDescent="0.3">
      <c r="A75" s="944" t="s">
        <v>718</v>
      </c>
      <c r="B75" s="944" t="s">
        <v>816</v>
      </c>
      <c r="C75" s="124" t="str">
        <f t="shared" si="0"/>
        <v>UDV.anaer_lagoon.VSLR_odor_multiplier</v>
      </c>
      <c r="D75" s="944">
        <f t="shared" ref="D75:D76" si="45">$F75*$AB75</f>
        <v>1</v>
      </c>
      <c r="E75" s="125" t="str">
        <f t="shared" si="40"/>
        <v>multiplier</v>
      </c>
      <c r="F75" s="944">
        <f t="shared" si="30"/>
        <v>1</v>
      </c>
      <c r="G75" s="944"/>
      <c r="H75">
        <f t="shared" si="41"/>
        <v>1</v>
      </c>
      <c r="I75" s="1325" t="str">
        <f>$AC75</f>
        <v>multiplier</v>
      </c>
      <c r="J75" s="944" t="s">
        <v>660</v>
      </c>
      <c r="K75" s="944"/>
      <c r="L75">
        <f t="shared" ref="L75:L77" si="46">ROUNDDOWN($X75*$AA75,3)</f>
        <v>0.25</v>
      </c>
      <c r="M75">
        <f t="shared" ref="M75:M77" si="47">ROUNDUP($Y75*$AA75,3)</f>
        <v>1</v>
      </c>
      <c r="N75">
        <f t="shared" si="43"/>
        <v>0</v>
      </c>
      <c r="O75" t="s">
        <v>720</v>
      </c>
      <c r="P75" t="s">
        <v>797</v>
      </c>
      <c r="R75" s="711"/>
      <c r="W75">
        <v>1</v>
      </c>
      <c r="X75">
        <v>0.25</v>
      </c>
      <c r="Y75">
        <v>1</v>
      </c>
      <c r="Z75" t="str">
        <f>Units!B$94</f>
        <v>multiplier</v>
      </c>
      <c r="AA75">
        <f>Units!C$94</f>
        <v>1</v>
      </c>
      <c r="AB75">
        <f>Units!D$94</f>
        <v>1</v>
      </c>
      <c r="AC75" t="str">
        <f>Units!E$94</f>
        <v>multiplier</v>
      </c>
      <c r="AD75" t="str">
        <f>Units!F$94</f>
        <v>multiplier</v>
      </c>
      <c r="AE75" t="str">
        <f>Units!G$94</f>
        <v>multiplier</v>
      </c>
      <c r="AF75" t="str">
        <f>Units!H$94</f>
        <v>multiplier</v>
      </c>
    </row>
    <row r="76" spans="1:32" x14ac:dyDescent="0.3">
      <c r="A76" s="944" t="s">
        <v>718</v>
      </c>
      <c r="B76" s="944" t="s">
        <v>817</v>
      </c>
      <c r="C76" s="124" t="str">
        <f t="shared" si="0"/>
        <v>UDV.anaer_lagoon.VSLR_solids_multiplier</v>
      </c>
      <c r="D76" s="944">
        <f t="shared" si="45"/>
        <v>1.5</v>
      </c>
      <c r="E76" s="125" t="str">
        <f t="shared" si="40"/>
        <v>multiplier</v>
      </c>
      <c r="F76" s="944">
        <f t="shared" si="30"/>
        <v>1.5</v>
      </c>
      <c r="G76" s="944"/>
      <c r="H76">
        <f t="shared" si="41"/>
        <v>1.5</v>
      </c>
      <c r="I76" s="1325" t="str">
        <f>$AC76</f>
        <v>multiplier</v>
      </c>
      <c r="J76" s="944" t="s">
        <v>660</v>
      </c>
      <c r="K76" s="944"/>
      <c r="L76">
        <f t="shared" si="46"/>
        <v>1</v>
      </c>
      <c r="M76">
        <f t="shared" si="47"/>
        <v>2</v>
      </c>
      <c r="N76">
        <f t="shared" si="43"/>
        <v>0</v>
      </c>
      <c r="O76" t="s">
        <v>720</v>
      </c>
      <c r="P76" t="s">
        <v>818</v>
      </c>
      <c r="R76" s="711"/>
      <c r="W76">
        <v>1.5</v>
      </c>
      <c r="X76">
        <v>1</v>
      </c>
      <c r="Y76">
        <v>2</v>
      </c>
      <c r="Z76" t="str">
        <f>Units!B$94</f>
        <v>multiplier</v>
      </c>
      <c r="AA76">
        <f>Units!C$94</f>
        <v>1</v>
      </c>
      <c r="AB76">
        <f>Units!D$94</f>
        <v>1</v>
      </c>
      <c r="AC76" t="str">
        <f>Units!E$94</f>
        <v>multiplier</v>
      </c>
      <c r="AD76" t="str">
        <f>Units!F$94</f>
        <v>multiplier</v>
      </c>
      <c r="AE76" t="str">
        <f>Units!G$94</f>
        <v>multiplier</v>
      </c>
      <c r="AF76" t="str">
        <f>Units!H$94</f>
        <v>multiplier</v>
      </c>
    </row>
    <row r="77" spans="1:32" x14ac:dyDescent="0.3">
      <c r="A77" t="s">
        <v>819</v>
      </c>
      <c r="B77" t="s">
        <v>820</v>
      </c>
      <c r="C77" s="124" t="str">
        <f t="shared" si="0"/>
        <v>UDV.animal.a_count</v>
      </c>
      <c r="D77" s="1091">
        <f t="shared" si="26"/>
        <v>0</v>
      </c>
      <c r="E77" s="1093" t="str">
        <f t="shared" si="27"/>
        <v>head</v>
      </c>
      <c r="F77" s="1095">
        <f>UI.Animals!BC259</f>
        <v>0</v>
      </c>
      <c r="G77" s="1098" t="str">
        <f>UI.Animals!BD259</f>
        <v/>
      </c>
      <c r="H77" s="1101">
        <f t="shared" si="34"/>
        <v>0</v>
      </c>
      <c r="I77" s="956" t="str">
        <f t="shared" si="29"/>
        <v>head</v>
      </c>
      <c r="J77" t="s">
        <v>660</v>
      </c>
      <c r="K77" t="s">
        <v>821</v>
      </c>
      <c r="L77">
        <f t="shared" si="46"/>
        <v>0</v>
      </c>
      <c r="M77">
        <f t="shared" si="47"/>
        <v>20000</v>
      </c>
      <c r="N77">
        <f t="shared" ref="N77:N82" si="48">IF(AND(G77&lt;=M77, G77&gt;=L77),1,0)</f>
        <v>0</v>
      </c>
      <c r="O77" t="s">
        <v>822</v>
      </c>
      <c r="P77" t="s">
        <v>823</v>
      </c>
      <c r="R77" s="696" t="s">
        <v>84</v>
      </c>
      <c r="S77" t="s">
        <v>84</v>
      </c>
      <c r="V77" t="str">
        <f t="shared" ref="V77:V108" si="49">IF(OR((M77-L77)&lt;=0,H77&gt;M77,H77&lt;L77),"Fix","")</f>
        <v/>
      </c>
      <c r="W77" s="78">
        <f>IF(UDV.animal.a_treated,2000,0)</f>
        <v>0</v>
      </c>
      <c r="X77">
        <v>0</v>
      </c>
      <c r="Y77">
        <v>20000</v>
      </c>
      <c r="Z77" t="str">
        <f>Units!B$37</f>
        <v>head</v>
      </c>
      <c r="AA77">
        <f>Units!C$37</f>
        <v>1</v>
      </c>
      <c r="AB77">
        <f>Units!D$37</f>
        <v>1</v>
      </c>
      <c r="AC77" t="str">
        <f>Units!E$37</f>
        <v>head</v>
      </c>
      <c r="AD77" t="str">
        <f>Units!F$37</f>
        <v>head</v>
      </c>
      <c r="AE77" t="str">
        <f>Units!G$37</f>
        <v>head</v>
      </c>
      <c r="AF77" t="str">
        <f>Units!H$37</f>
        <v>head</v>
      </c>
    </row>
    <row r="78" spans="1:32" x14ac:dyDescent="0.3">
      <c r="A78" t="s">
        <v>819</v>
      </c>
      <c r="B78" t="s">
        <v>824</v>
      </c>
      <c r="C78" s="124" t="str">
        <f t="shared" si="0"/>
        <v>UDV.animal.a_K</v>
      </c>
      <c r="D78" s="1091">
        <f t="shared" si="26"/>
        <v>8.9999999999999959E-3</v>
      </c>
      <c r="E78" s="1093" t="str">
        <f t="shared" si="27"/>
        <v>kg/head/day</v>
      </c>
      <c r="F78" s="1095">
        <f>INDEX(UI.Manure!$BC$242:$BC$271,MATCH(C78,UI.Manure!$BB$242:$BB$271,0))</f>
        <v>1.9841603579999992E-2</v>
      </c>
      <c r="G78" s="1098" t="str">
        <f>INDEX(UI.Manure!$BD$242:$BD$271,MATCH(C78,UI.Manure!$BB$242:$BB$271,0))</f>
        <v/>
      </c>
      <c r="H78" s="1101">
        <f t="shared" si="34"/>
        <v>1.9841603579999992E-2</v>
      </c>
      <c r="I78" s="956" t="str">
        <f t="shared" si="29"/>
        <v>lb/head/day</v>
      </c>
      <c r="J78" t="s">
        <v>660</v>
      </c>
      <c r="K78" t="s">
        <v>825</v>
      </c>
      <c r="L78">
        <f t="shared" ref="L78:L82" si="50">ROUNDDOWN($X78*$AA78,3)</f>
        <v>1.2999999999999999E-2</v>
      </c>
      <c r="M78">
        <f t="shared" ref="M78:M82" si="51">ROUNDUP($Y78*$AA78,3)</f>
        <v>2.7E-2</v>
      </c>
      <c r="N78">
        <f t="shared" si="48"/>
        <v>0</v>
      </c>
      <c r="O78" t="s">
        <v>822</v>
      </c>
      <c r="P78" t="s">
        <v>826</v>
      </c>
      <c r="R78" s="696" t="s">
        <v>84</v>
      </c>
      <c r="S78" t="s">
        <v>84</v>
      </c>
      <c r="V78" t="str">
        <f t="shared" si="49"/>
        <v/>
      </c>
      <c r="W78" s="697">
        <f>INDEX(Regressions!$U$94:$U$128,MATCH($C78,Regressions!$P$94:$P$128,0))</f>
        <v>8.9999999999999976E-3</v>
      </c>
      <c r="X78">
        <f>INDEX(Regressions!$S$94:$S$128,MATCH(C78,Regressions!$P$94:$P$128,0))</f>
        <v>6.0000000000000001E-3</v>
      </c>
      <c r="Y78">
        <f>INDEX(Regressions!$T$94:$T$128,MATCH(C78,Regressions!$P$94:$P$128,0))</f>
        <v>1.2E-2</v>
      </c>
      <c r="Z78" t="str">
        <f>Units!B$69</f>
        <v>kg/head/day</v>
      </c>
      <c r="AA78">
        <f>Units!C$69</f>
        <v>2.2046226199999999</v>
      </c>
      <c r="AB78">
        <f>Units!D$69</f>
        <v>0.45359237038037831</v>
      </c>
      <c r="AC78" t="str">
        <f>Units!E$69</f>
        <v>lb/head/day</v>
      </c>
      <c r="AD78" t="str">
        <f>Units!F$69</f>
        <v>kg/head/day</v>
      </c>
      <c r="AE78" t="str">
        <f>Units!G$69</f>
        <v>kg/head/day</v>
      </c>
      <c r="AF78" t="str">
        <f>Units!H$69</f>
        <v>lb/head/day</v>
      </c>
    </row>
    <row r="79" spans="1:32" x14ac:dyDescent="0.3">
      <c r="A79" t="s">
        <v>819</v>
      </c>
      <c r="B79" t="s">
        <v>827</v>
      </c>
      <c r="C79" s="124" t="str">
        <f t="shared" si="0"/>
        <v>UDV.animal.a_manure</v>
      </c>
      <c r="D79" s="1091">
        <f t="shared" si="26"/>
        <v>1.3621999999999999</v>
      </c>
      <c r="E79" s="1093" t="str">
        <f t="shared" si="27"/>
        <v>kg/head/day</v>
      </c>
      <c r="F79" s="1095">
        <f>INDEX(UI.Manure!$BC$242:$BC$271,MATCH(C79,UI.Manure!$BB$242:$BB$271,0))</f>
        <v>3.0031369329639999</v>
      </c>
      <c r="G79" s="1098" t="str">
        <f>INDEX(UI.Manure!$BD$242:$BD$271,MATCH(C79,UI.Manure!$BB$242:$BB$271,0))</f>
        <v/>
      </c>
      <c r="H79" s="1101">
        <f t="shared" si="34"/>
        <v>3.0031369329639999</v>
      </c>
      <c r="I79" s="956" t="str">
        <f t="shared" si="29"/>
        <v>lb/head/day</v>
      </c>
      <c r="J79" t="s">
        <v>660</v>
      </c>
      <c r="K79" t="s">
        <v>825</v>
      </c>
      <c r="L79">
        <f t="shared" si="50"/>
        <v>2.101</v>
      </c>
      <c r="M79">
        <f t="shared" si="51"/>
        <v>3.9049999999999998</v>
      </c>
      <c r="N79">
        <f t="shared" si="48"/>
        <v>0</v>
      </c>
      <c r="O79" t="s">
        <v>822</v>
      </c>
      <c r="P79" t="s">
        <v>828</v>
      </c>
      <c r="R79" s="696" t="s">
        <v>84</v>
      </c>
      <c r="S79" t="s">
        <v>84</v>
      </c>
      <c r="V79" t="str">
        <f t="shared" si="49"/>
        <v/>
      </c>
      <c r="W79" s="697">
        <f>INDEX(Regressions!$U$94:$U$128,MATCH($C79,Regressions!$P$94:$P$128,0))</f>
        <v>1.3622000000000001</v>
      </c>
      <c r="X79">
        <f>INDEX(Regressions!$S$94:$S$128,MATCH(C79,Regressions!$P$94:$P$128,0))</f>
        <v>0.95299999999999996</v>
      </c>
      <c r="Y79">
        <f>INDEX(Regressions!$T$94:$T$128,MATCH(C79,Regressions!$P$94:$P$128,0))</f>
        <v>1.7709999999999999</v>
      </c>
      <c r="Z79" t="str">
        <f>Units!B$69</f>
        <v>kg/head/day</v>
      </c>
      <c r="AA79">
        <f>Units!C$69</f>
        <v>2.2046226199999999</v>
      </c>
      <c r="AB79">
        <f>Units!D$69</f>
        <v>0.45359237038037831</v>
      </c>
      <c r="AC79" t="str">
        <f>Units!E$69</f>
        <v>lb/head/day</v>
      </c>
      <c r="AD79" t="str">
        <f>Units!F$69</f>
        <v>kg/head/day</v>
      </c>
      <c r="AE79" t="str">
        <f>Units!G$69</f>
        <v>kg/head/day</v>
      </c>
      <c r="AF79" t="str">
        <f>Units!H$69</f>
        <v>lb/head/day</v>
      </c>
    </row>
    <row r="80" spans="1:32" x14ac:dyDescent="0.3">
      <c r="A80" t="s">
        <v>819</v>
      </c>
      <c r="B80" t="s">
        <v>829</v>
      </c>
      <c r="C80" s="124" t="str">
        <f t="shared" si="0"/>
        <v>UDV.animal.a_N</v>
      </c>
      <c r="D80" s="1091">
        <f t="shared" si="26"/>
        <v>0.13739999999999999</v>
      </c>
      <c r="E80" s="1093" t="str">
        <f t="shared" si="27"/>
        <v>kg/head/day</v>
      </c>
      <c r="F80" s="1095">
        <f>INDEX(UI.Manure!$BC$242:$BC$271,MATCH(C80,UI.Manure!$BB$242:$BB$271,0))</f>
        <v>0.30291514798800001</v>
      </c>
      <c r="G80" s="1098" t="str">
        <f>INDEX(UI.Manure!$BD$242:$BD$271,MATCH(C80,UI.Manure!$BB$242:$BB$271,0))</f>
        <v/>
      </c>
      <c r="H80" s="1101">
        <f t="shared" si="34"/>
        <v>0.30291514798800001</v>
      </c>
      <c r="I80" s="956" t="str">
        <f t="shared" si="29"/>
        <v>lb/head/day</v>
      </c>
      <c r="J80" t="s">
        <v>660</v>
      </c>
      <c r="K80" t="s">
        <v>825</v>
      </c>
      <c r="L80">
        <f t="shared" si="50"/>
        <v>0.21099999999999999</v>
      </c>
      <c r="M80">
        <f t="shared" si="51"/>
        <v>0.39500000000000002</v>
      </c>
      <c r="N80">
        <f t="shared" si="48"/>
        <v>0</v>
      </c>
      <c r="O80" t="s">
        <v>822</v>
      </c>
      <c r="P80" t="s">
        <v>830</v>
      </c>
      <c r="R80" s="696" t="s">
        <v>84</v>
      </c>
      <c r="S80" t="s">
        <v>84</v>
      </c>
      <c r="V80" t="str">
        <f t="shared" si="49"/>
        <v/>
      </c>
      <c r="W80" s="697">
        <f>INDEX(Regressions!$U$94:$U$128,MATCH($C80,Regressions!$P$94:$P$128,0))</f>
        <v>0.13740000000000002</v>
      </c>
      <c r="X80">
        <f>INDEX(Regressions!$S$94:$S$128,MATCH(C80,Regressions!$P$94:$P$128,0))</f>
        <v>9.6000000000000002E-2</v>
      </c>
      <c r="Y80">
        <f>INDEX(Regressions!$T$94:$T$128,MATCH(C80,Regressions!$P$94:$P$128,0))</f>
        <v>0.17899999999999999</v>
      </c>
      <c r="Z80" t="str">
        <f>Units!B$69</f>
        <v>kg/head/day</v>
      </c>
      <c r="AA80">
        <f>Units!C$69</f>
        <v>2.2046226199999999</v>
      </c>
      <c r="AB80">
        <f>Units!D$69</f>
        <v>0.45359237038037831</v>
      </c>
      <c r="AC80" t="str">
        <f>Units!E$69</f>
        <v>lb/head/day</v>
      </c>
      <c r="AD80" t="str">
        <f>Units!F$69</f>
        <v>kg/head/day</v>
      </c>
      <c r="AE80" t="str">
        <f>Units!G$69</f>
        <v>kg/head/day</v>
      </c>
      <c r="AF80" t="str">
        <f>Units!H$69</f>
        <v>lb/head/day</v>
      </c>
    </row>
    <row r="81" spans="1:32" x14ac:dyDescent="0.3">
      <c r="A81" t="s">
        <v>819</v>
      </c>
      <c r="B81" t="s">
        <v>831</v>
      </c>
      <c r="C81" s="124" t="str">
        <f t="shared" si="0"/>
        <v>UDV.animal.a_P</v>
      </c>
      <c r="D81" s="1091">
        <f t="shared" si="26"/>
        <v>4.4999999999999797E-3</v>
      </c>
      <c r="E81" s="1093" t="str">
        <f t="shared" si="27"/>
        <v>kg/head/day</v>
      </c>
      <c r="F81" s="1095">
        <f>INDEX(UI.Manure!$BC$242:$BC$271,MATCH(C81,UI.Manure!$BB$242:$BB$271,0))</f>
        <v>9.9208017899999543E-3</v>
      </c>
      <c r="G81" s="1098" t="str">
        <f>INDEX(UI.Manure!$BD$242:$BD$271,MATCH(C81,UI.Manure!$BB$242:$BB$271,0))</f>
        <v/>
      </c>
      <c r="H81" s="1101">
        <f t="shared" si="34"/>
        <v>9.9208017899999543E-3</v>
      </c>
      <c r="I81" s="956" t="str">
        <f t="shared" si="29"/>
        <v>lb/head/day</v>
      </c>
      <c r="J81" t="s">
        <v>660</v>
      </c>
      <c r="K81" t="s">
        <v>825</v>
      </c>
      <c r="L81">
        <f t="shared" si="50"/>
        <v>6.0000000000000001E-3</v>
      </c>
      <c r="M81">
        <f t="shared" si="51"/>
        <v>1.3999999999999999E-2</v>
      </c>
      <c r="N81">
        <f t="shared" si="48"/>
        <v>0</v>
      </c>
      <c r="O81" t="s">
        <v>822</v>
      </c>
      <c r="P81" t="s">
        <v>832</v>
      </c>
      <c r="R81" s="696" t="s">
        <v>84</v>
      </c>
      <c r="S81" t="s">
        <v>84</v>
      </c>
      <c r="V81" t="str">
        <f t="shared" si="49"/>
        <v/>
      </c>
      <c r="W81" s="697">
        <f>INDEX(Regressions!$U$94:$U$128,MATCH($C81,Regressions!$P$94:$P$128,0))</f>
        <v>4.4999999999999797E-3</v>
      </c>
      <c r="X81">
        <f>INDEX(Regressions!$S$94:$S$128,MATCH(C81,Regressions!$P$94:$P$128,0))</f>
        <v>3.0000000000000001E-3</v>
      </c>
      <c r="Y81">
        <f>INDEX(Regressions!$T$94:$T$128,MATCH(C81,Regressions!$P$94:$P$128,0))</f>
        <v>6.0000000000000001E-3</v>
      </c>
      <c r="Z81" t="str">
        <f>Units!B$69</f>
        <v>kg/head/day</v>
      </c>
      <c r="AA81">
        <f>Units!C$69</f>
        <v>2.2046226199999999</v>
      </c>
      <c r="AB81">
        <f>Units!D$69</f>
        <v>0.45359237038037831</v>
      </c>
      <c r="AC81" t="str">
        <f>Units!E$69</f>
        <v>lb/head/day</v>
      </c>
      <c r="AD81" t="str">
        <f>Units!F$69</f>
        <v>kg/head/day</v>
      </c>
      <c r="AE81" t="str">
        <f>Units!G$69</f>
        <v>kg/head/day</v>
      </c>
      <c r="AF81" t="str">
        <f>Units!H$69</f>
        <v>lb/head/day</v>
      </c>
    </row>
    <row r="82" spans="1:32" x14ac:dyDescent="0.3">
      <c r="A82" t="s">
        <v>819</v>
      </c>
      <c r="B82" t="s">
        <v>833</v>
      </c>
      <c r="C82" s="124" t="str">
        <f t="shared" si="0"/>
        <v>UDV.animal.a_TAN</v>
      </c>
      <c r="D82" s="1091">
        <f t="shared" si="26"/>
        <v>3.9200000000000006E-2</v>
      </c>
      <c r="E82" s="1093" t="str">
        <f t="shared" si="27"/>
        <v>kg/head/day</v>
      </c>
      <c r="F82" s="1095">
        <f>IF(OR(G82="",N82=0),H82,G82)</f>
        <v>8.6421206704000011E-2</v>
      </c>
      <c r="H82" s="1101">
        <f t="shared" si="34"/>
        <v>8.6421206704000011E-2</v>
      </c>
      <c r="I82" s="956" t="str">
        <f t="shared" si="29"/>
        <v>lb/head/day</v>
      </c>
      <c r="J82" t="s">
        <v>660</v>
      </c>
      <c r="L82">
        <f t="shared" si="50"/>
        <v>5.8999999999999997E-2</v>
      </c>
      <c r="M82">
        <f t="shared" si="51"/>
        <v>0.113</v>
      </c>
      <c r="N82">
        <f t="shared" si="48"/>
        <v>0</v>
      </c>
      <c r="O82" t="s">
        <v>822</v>
      </c>
      <c r="P82" t="s">
        <v>834</v>
      </c>
      <c r="R82" s="696" t="s">
        <v>84</v>
      </c>
      <c r="S82" t="s">
        <v>84</v>
      </c>
      <c r="V82" t="str">
        <f t="shared" si="49"/>
        <v/>
      </c>
      <c r="W82" s="697">
        <f>INDEX(Regressions!$U$94:$U$128,MATCH($C82,Regressions!$P$94:$P$128,0))</f>
        <v>3.9200000000000006E-2</v>
      </c>
      <c r="X82">
        <f>INDEX(Regressions!$S$94:$S$128,MATCH(C82,Regressions!$P$94:$P$128,0))</f>
        <v>2.7E-2</v>
      </c>
      <c r="Y82">
        <f>INDEX(Regressions!$T$94:$T$128,MATCH(C82,Regressions!$P$94:$P$128,0))</f>
        <v>5.1000000000000004E-2</v>
      </c>
      <c r="Z82" t="str">
        <f>Units!B$69</f>
        <v>kg/head/day</v>
      </c>
      <c r="AA82">
        <f>Units!C$69</f>
        <v>2.2046226199999999</v>
      </c>
      <c r="AB82">
        <f>Units!D$69</f>
        <v>0.45359237038037831</v>
      </c>
      <c r="AC82" t="str">
        <f>Units!E$69</f>
        <v>lb/head/day</v>
      </c>
      <c r="AD82" t="str">
        <f>Units!F$69</f>
        <v>kg/head/day</v>
      </c>
      <c r="AE82" t="str">
        <f>Units!G$69</f>
        <v>kg/head/day</v>
      </c>
      <c r="AF82" t="str">
        <f>Units!H$69</f>
        <v>lb/head/day</v>
      </c>
    </row>
    <row r="83" spans="1:32" x14ac:dyDescent="0.3">
      <c r="A83" t="s">
        <v>819</v>
      </c>
      <c r="B83" t="s">
        <v>835</v>
      </c>
      <c r="C83" s="124" t="str">
        <f t="shared" ref="C83:C179" si="52">_xlfn.CONCAT("UDV.",A83,".",B83)</f>
        <v>UDV.animal.a_treated</v>
      </c>
      <c r="D83" s="1091">
        <f>IF(F83="Yes",1,0)</f>
        <v>0</v>
      </c>
      <c r="E83" s="1093" t="s">
        <v>836</v>
      </c>
      <c r="F83" s="1096" t="str">
        <f>UI.Animals!BC258</f>
        <v>No</v>
      </c>
      <c r="G83" s="1098" t="str">
        <f>UI.Animals!BD258</f>
        <v>No</v>
      </c>
      <c r="H83" s="1103" t="s">
        <v>73</v>
      </c>
      <c r="I83" s="956" t="s">
        <v>837</v>
      </c>
      <c r="J83" t="s">
        <v>838</v>
      </c>
      <c r="K83" s="124" t="s">
        <v>821</v>
      </c>
      <c r="N83">
        <f>IF(G83=0,0,1)</f>
        <v>1</v>
      </c>
      <c r="O83" t="s">
        <v>839</v>
      </c>
      <c r="P83" t="s">
        <v>840</v>
      </c>
      <c r="R83" s="711" t="s">
        <v>84</v>
      </c>
      <c r="S83" t="s">
        <v>84</v>
      </c>
      <c r="V83" t="str">
        <f t="shared" si="49"/>
        <v>Fix</v>
      </c>
      <c r="W83" s="1084" t="s">
        <v>73</v>
      </c>
      <c r="X83" s="132">
        <v>0</v>
      </c>
      <c r="Y83" s="132">
        <v>0</v>
      </c>
      <c r="Z83" s="132" t="str">
        <f>Units!B$12</f>
        <v>Yes or No</v>
      </c>
      <c r="AA83" s="132">
        <f>Units!C$12</f>
        <v>1</v>
      </c>
      <c r="AB83" s="132">
        <f>Units!D$12</f>
        <v>1</v>
      </c>
      <c r="AC83" s="132" t="str">
        <f>Units!E$12</f>
        <v>Yes or No</v>
      </c>
      <c r="AD83" s="132" t="str">
        <f>Units!F$12</f>
        <v>1 or 0</v>
      </c>
      <c r="AE83" s="132" t="str">
        <f>Units!G$12</f>
        <v>Yes or No</v>
      </c>
      <c r="AF83" s="132" t="str">
        <f>Units!H$12</f>
        <v>Yes or No</v>
      </c>
    </row>
    <row r="84" spans="1:32" x14ac:dyDescent="0.3">
      <c r="A84" t="s">
        <v>819</v>
      </c>
      <c r="B84" t="s">
        <v>841</v>
      </c>
      <c r="C84" s="124" t="str">
        <f t="shared" si="52"/>
        <v>UDV.animal.a_TS</v>
      </c>
      <c r="D84" s="1091">
        <f t="shared" ref="D84:D93" si="53">$F84*$AB84</f>
        <v>0.14849999999999999</v>
      </c>
      <c r="E84" s="1093" t="str">
        <f t="shared" ref="E84:E93" si="54">$AD84</f>
        <v>kg/head/day</v>
      </c>
      <c r="F84" s="1095">
        <f>INDEX(UI.Manure!$BC$242:$BC$271,MATCH(C84,UI.Manure!$BB$242:$BB$271,0))</f>
        <v>0.32738645906999997</v>
      </c>
      <c r="G84" s="1098" t="str">
        <f>INDEX(UI.Manure!$BD$242:$BD$271,MATCH(C84,UI.Manure!$BB$242:$BB$271,0))</f>
        <v/>
      </c>
      <c r="H84" s="1101">
        <f>$W84*$AA84</f>
        <v>0.32738645906999997</v>
      </c>
      <c r="I84" s="956" t="str">
        <f t="shared" ref="I84:I93" si="55">$AC84</f>
        <v>lb/head/day</v>
      </c>
      <c r="J84" t="s">
        <v>660</v>
      </c>
      <c r="K84" t="s">
        <v>825</v>
      </c>
      <c r="L84">
        <f t="shared" ref="L84:L86" si="56">ROUNDDOWN($X84*$AA84,3)</f>
        <v>0.22700000000000001</v>
      </c>
      <c r="M84">
        <f t="shared" ref="M84:M86" si="57">ROUNDUP($Y84*$AA84,3)</f>
        <v>0.42799999999999999</v>
      </c>
      <c r="N84">
        <f>IF(AND(G84&lt;=M84, G84&gt;=L84),1,0)</f>
        <v>0</v>
      </c>
      <c r="O84" t="s">
        <v>822</v>
      </c>
      <c r="P84" t="s">
        <v>842</v>
      </c>
      <c r="R84" s="696" t="s">
        <v>84</v>
      </c>
      <c r="S84" t="s">
        <v>84</v>
      </c>
      <c r="V84" t="str">
        <f t="shared" si="49"/>
        <v/>
      </c>
      <c r="W84" s="697">
        <f>INDEX(Regressions!$U$94:$U$128,MATCH($C84,Regressions!$P$94:$P$128,0))</f>
        <v>0.14849999999999999</v>
      </c>
      <c r="X84">
        <f>INDEX(Regressions!$S$94:$S$128,MATCH(C84,Regressions!$P$94:$P$128,0))</f>
        <v>0.10299999999999999</v>
      </c>
      <c r="Y84">
        <f>INDEX(Regressions!$T$94:$T$128,MATCH(C84,Regressions!$P$94:$P$128,0))</f>
        <v>0.19400000000000001</v>
      </c>
      <c r="Z84" t="str">
        <f>Units!B$69</f>
        <v>kg/head/day</v>
      </c>
      <c r="AA84">
        <f>Units!C$69</f>
        <v>2.2046226199999999</v>
      </c>
      <c r="AB84">
        <f>Units!D$69</f>
        <v>0.45359237038037831</v>
      </c>
      <c r="AC84" t="str">
        <f>Units!E$69</f>
        <v>lb/head/day</v>
      </c>
      <c r="AD84" t="str">
        <f>Units!F$69</f>
        <v>kg/head/day</v>
      </c>
      <c r="AE84" t="str">
        <f>Units!G$69</f>
        <v>kg/head/day</v>
      </c>
      <c r="AF84" t="str">
        <f>Units!H$69</f>
        <v>lb/head/day</v>
      </c>
    </row>
    <row r="85" spans="1:32" x14ac:dyDescent="0.3">
      <c r="A85" t="s">
        <v>819</v>
      </c>
      <c r="B85" t="s">
        <v>843</v>
      </c>
      <c r="C85" s="124" t="str">
        <f t="shared" si="52"/>
        <v>UDV.animal.a_VS</v>
      </c>
      <c r="D85" s="1091">
        <f t="shared" si="53"/>
        <v>0.1215</v>
      </c>
      <c r="E85" s="1093" t="str">
        <f t="shared" si="54"/>
        <v>kg/head/day</v>
      </c>
      <c r="F85" s="1095">
        <f>INDEX(UI.Manure!$BC$242:$BC$271,MATCH(C85,UI.Manure!$BB$242:$BB$271,0))</f>
        <v>0.26786164832999998</v>
      </c>
      <c r="G85" s="1098" t="str">
        <f>INDEX(UI.Manure!$BD$242:$BD$271,MATCH(C85,UI.Manure!$BB$242:$BB$271,0))</f>
        <v/>
      </c>
      <c r="H85" s="1101">
        <f>$W85*$AA85</f>
        <v>0.26786164832999998</v>
      </c>
      <c r="I85" s="956" t="str">
        <f t="shared" si="55"/>
        <v>lb/head/day</v>
      </c>
      <c r="J85" t="s">
        <v>660</v>
      </c>
      <c r="K85" t="s">
        <v>825</v>
      </c>
      <c r="L85">
        <f t="shared" si="56"/>
        <v>0.187</v>
      </c>
      <c r="M85">
        <f t="shared" si="57"/>
        <v>0.34899999999999998</v>
      </c>
      <c r="N85">
        <f>IF(AND(G85&lt;=M85, G85&gt;=L85),1,0)</f>
        <v>0</v>
      </c>
      <c r="O85" t="s">
        <v>822</v>
      </c>
      <c r="P85" t="s">
        <v>844</v>
      </c>
      <c r="R85" s="696" t="s">
        <v>84</v>
      </c>
      <c r="S85" t="s">
        <v>84</v>
      </c>
      <c r="V85" t="str">
        <f t="shared" si="49"/>
        <v/>
      </c>
      <c r="W85" s="697">
        <f>INDEX(Regressions!$U$94:$U$128,MATCH($C85,Regressions!$P$94:$P$128,0))</f>
        <v>0.1215</v>
      </c>
      <c r="X85">
        <f>INDEX(Regressions!$S$94:$S$128,MATCH(C85,Regressions!$P$94:$P$128,0))</f>
        <v>8.5000000000000006E-2</v>
      </c>
      <c r="Y85">
        <f>INDEX(Regressions!$T$94:$T$128,MATCH(C85,Regressions!$P$94:$P$128,0))</f>
        <v>0.158</v>
      </c>
      <c r="Z85" t="str">
        <f>Units!B$69</f>
        <v>kg/head/day</v>
      </c>
      <c r="AA85">
        <f>Units!C$69</f>
        <v>2.2046226199999999</v>
      </c>
      <c r="AB85">
        <f>Units!D$69</f>
        <v>0.45359237038037831</v>
      </c>
      <c r="AC85" t="str">
        <f>Units!E$69</f>
        <v>lb/head/day</v>
      </c>
      <c r="AD85" t="str">
        <f>Units!F$69</f>
        <v>kg/head/day</v>
      </c>
      <c r="AE85" t="str">
        <f>Units!G$69</f>
        <v>kg/head/day</v>
      </c>
      <c r="AF85" t="str">
        <f>Units!H$69</f>
        <v>lb/head/day</v>
      </c>
    </row>
    <row r="86" spans="1:32" x14ac:dyDescent="0.3">
      <c r="A86" t="s">
        <v>819</v>
      </c>
      <c r="B86" t="s">
        <v>845</v>
      </c>
      <c r="C86" s="124" t="str">
        <f t="shared" si="52"/>
        <v>UDV.animal.a_weight</v>
      </c>
      <c r="D86" s="1091">
        <f t="shared" si="53"/>
        <v>40</v>
      </c>
      <c r="E86" s="1093" t="str">
        <f t="shared" si="54"/>
        <v>lb/head</v>
      </c>
      <c r="F86" s="1095">
        <f>UI.Animals!BC260</f>
        <v>40</v>
      </c>
      <c r="G86" s="1098" t="str">
        <f>UI.Animals!BD260</f>
        <v/>
      </c>
      <c r="H86" s="1101">
        <f>$W86*$AA86</f>
        <v>40</v>
      </c>
      <c r="I86" s="956" t="str">
        <f t="shared" si="55"/>
        <v>lb/head</v>
      </c>
      <c r="J86" t="s">
        <v>660</v>
      </c>
      <c r="K86" t="s">
        <v>821</v>
      </c>
      <c r="L86">
        <f t="shared" si="56"/>
        <v>25</v>
      </c>
      <c r="M86">
        <f t="shared" si="57"/>
        <v>40</v>
      </c>
      <c r="N86">
        <f>IF(AND(G86&lt;=M86, G86&gt;=L86),1,0)</f>
        <v>0</v>
      </c>
      <c r="O86" t="s">
        <v>822</v>
      </c>
      <c r="P86" t="s">
        <v>846</v>
      </c>
      <c r="R86" s="696" t="s">
        <v>84</v>
      </c>
      <c r="S86" t="s">
        <v>84</v>
      </c>
      <c r="V86" t="str">
        <f t="shared" si="49"/>
        <v/>
      </c>
      <c r="W86" s="78">
        <v>40</v>
      </c>
      <c r="X86">
        <v>25</v>
      </c>
      <c r="Y86">
        <v>40</v>
      </c>
      <c r="Z86" t="str">
        <f>Units!B$64</f>
        <v>lb/head</v>
      </c>
      <c r="AA86">
        <f>Units!C$64</f>
        <v>1</v>
      </c>
      <c r="AB86">
        <f>Units!D$64</f>
        <v>1</v>
      </c>
      <c r="AC86" t="str">
        <f>Units!E$64</f>
        <v>lb/head</v>
      </c>
      <c r="AD86" t="str">
        <f>Units!F$64</f>
        <v>lb/head</v>
      </c>
      <c r="AE86" t="str">
        <f>Units!G$64</f>
        <v>kg/head</v>
      </c>
      <c r="AF86" t="str">
        <f>Units!H$64</f>
        <v>lb/head</v>
      </c>
    </row>
    <row r="87" spans="1:32" x14ac:dyDescent="0.3">
      <c r="A87" t="s">
        <v>819</v>
      </c>
      <c r="B87" t="s">
        <v>847</v>
      </c>
      <c r="C87" s="124" t="str">
        <f t="shared" si="52"/>
        <v>UDV.animal.abcde_count</v>
      </c>
      <c r="D87" s="1091">
        <f t="shared" si="53"/>
        <v>500</v>
      </c>
      <c r="E87" s="1093" t="str">
        <f t="shared" si="54"/>
        <v>head</v>
      </c>
      <c r="F87" s="1095">
        <f>IF(OR(G87="",N87=0),H87,G87)</f>
        <v>500</v>
      </c>
      <c r="G87" s="1111">
        <f>H87</f>
        <v>500</v>
      </c>
      <c r="H87" s="1101">
        <f>$W87*$AA87</f>
        <v>500</v>
      </c>
      <c r="I87" s="956" t="str">
        <f t="shared" si="55"/>
        <v>head</v>
      </c>
      <c r="J87" t="s">
        <v>688</v>
      </c>
      <c r="L87" s="302"/>
      <c r="M87" s="302"/>
      <c r="N87">
        <f>IF(G87=0,0,1)</f>
        <v>1</v>
      </c>
      <c r="O87" t="s">
        <v>839</v>
      </c>
      <c r="P87" t="s">
        <v>848</v>
      </c>
      <c r="R87" s="696" t="s">
        <v>84</v>
      </c>
      <c r="S87" t="s">
        <v>84</v>
      </c>
      <c r="V87" t="str">
        <f t="shared" si="49"/>
        <v>Fix</v>
      </c>
      <c r="W87" s="78">
        <f>UDV.animal.a_count + UDV.animal.b_count + UDV.animal.c_count + UDV.animal.d_count + UDV.animal.e_count</f>
        <v>500</v>
      </c>
      <c r="X87">
        <v>0</v>
      </c>
      <c r="Y87">
        <v>0</v>
      </c>
      <c r="Z87" t="str">
        <f>Units!B$37</f>
        <v>head</v>
      </c>
      <c r="AA87">
        <f>Units!C$37</f>
        <v>1</v>
      </c>
      <c r="AB87">
        <f>Units!D$37</f>
        <v>1</v>
      </c>
      <c r="AC87" t="str">
        <f>Units!E$37</f>
        <v>head</v>
      </c>
      <c r="AD87" t="str">
        <f>Units!F$37</f>
        <v>head</v>
      </c>
      <c r="AE87" t="str">
        <f>Units!G$37</f>
        <v>head</v>
      </c>
      <c r="AF87" t="str">
        <f>Units!H$37</f>
        <v>head</v>
      </c>
    </row>
    <row r="88" spans="1:32" x14ac:dyDescent="0.3">
      <c r="A88" t="s">
        <v>819</v>
      </c>
      <c r="B88" t="s">
        <v>849</v>
      </c>
      <c r="C88" s="124" t="str">
        <f t="shared" si="52"/>
        <v>UDV.animal.b_count</v>
      </c>
      <c r="D88" s="1091">
        <f t="shared" si="53"/>
        <v>0</v>
      </c>
      <c r="E88" s="1093" t="str">
        <f t="shared" si="54"/>
        <v>head</v>
      </c>
      <c r="F88" s="1095">
        <f>UI.Animals!BC265</f>
        <v>0</v>
      </c>
      <c r="G88" s="1098" t="str">
        <f>UI.Animals!BD265</f>
        <v/>
      </c>
      <c r="H88" s="1101">
        <f t="shared" ref="H88:H93" si="58">$W88*$AA88</f>
        <v>0</v>
      </c>
      <c r="I88" s="956" t="str">
        <f t="shared" si="55"/>
        <v>head</v>
      </c>
      <c r="J88" t="s">
        <v>660</v>
      </c>
      <c r="K88" t="s">
        <v>821</v>
      </c>
      <c r="L88">
        <f t="shared" ref="L88:L93" si="59">ROUNDDOWN($X88*$AA88,3)</f>
        <v>0</v>
      </c>
      <c r="M88">
        <f t="shared" ref="M88:M93" si="60">ROUNDUP($Y88*$AA88,3)</f>
        <v>20000</v>
      </c>
      <c r="N88">
        <f t="shared" ref="N88:N93" si="61">IF(AND(G88&lt;=M88, G88&gt;=L88),1,0)</f>
        <v>0</v>
      </c>
      <c r="O88" t="s">
        <v>850</v>
      </c>
      <c r="P88" t="s">
        <v>851</v>
      </c>
      <c r="R88" s="696" t="s">
        <v>84</v>
      </c>
      <c r="S88" t="s">
        <v>84</v>
      </c>
      <c r="V88" t="str">
        <f t="shared" si="49"/>
        <v/>
      </c>
      <c r="W88" s="78">
        <f>IF(UDV.animal.b_treated,250,0)</f>
        <v>0</v>
      </c>
      <c r="X88">
        <v>0</v>
      </c>
      <c r="Y88">
        <v>20000</v>
      </c>
      <c r="Z88" t="str">
        <f>Units!B$37</f>
        <v>head</v>
      </c>
      <c r="AA88">
        <f>Units!C$37</f>
        <v>1</v>
      </c>
      <c r="AB88">
        <f>Units!D$37</f>
        <v>1</v>
      </c>
      <c r="AC88" t="str">
        <f>Units!E$37</f>
        <v>head</v>
      </c>
      <c r="AD88" t="str">
        <f>Units!F$37</f>
        <v>head</v>
      </c>
      <c r="AE88" t="str">
        <f>Units!G$37</f>
        <v>head</v>
      </c>
      <c r="AF88" t="str">
        <f>Units!H$37</f>
        <v>head</v>
      </c>
    </row>
    <row r="89" spans="1:32" x14ac:dyDescent="0.3">
      <c r="A89" t="s">
        <v>819</v>
      </c>
      <c r="B89" t="s">
        <v>852</v>
      </c>
      <c r="C89" s="124" t="str">
        <f t="shared" si="52"/>
        <v>UDV.animal.b_K</v>
      </c>
      <c r="D89" s="1091">
        <f t="shared" si="53"/>
        <v>5.0500000000000003E-2</v>
      </c>
      <c r="E89" s="1093" t="str">
        <f t="shared" si="54"/>
        <v>kg/head/day</v>
      </c>
      <c r="F89" s="1095">
        <f>INDEX(UI.Manure!$BC$242:$BC$271,MATCH(C89,UI.Manure!$BB$242:$BB$271,0))</f>
        <v>0.11133344231</v>
      </c>
      <c r="G89" s="1098" t="str">
        <f>INDEX(UI.Manure!$BD$242:$BD$271,MATCH(C89,UI.Manure!$BB$242:$BB$271,0))</f>
        <v/>
      </c>
      <c r="H89" s="1101">
        <f t="shared" si="58"/>
        <v>0.11133344231</v>
      </c>
      <c r="I89" s="956" t="str">
        <f t="shared" si="55"/>
        <v>lb/head/day</v>
      </c>
      <c r="J89" t="s">
        <v>660</v>
      </c>
      <c r="K89" t="s">
        <v>825</v>
      </c>
      <c r="L89">
        <f t="shared" si="59"/>
        <v>7.6999999999999999E-2</v>
      </c>
      <c r="M89">
        <f t="shared" si="60"/>
        <v>0.14599999999999999</v>
      </c>
      <c r="N89">
        <f t="shared" si="61"/>
        <v>0</v>
      </c>
      <c r="O89" t="s">
        <v>850</v>
      </c>
      <c r="P89" t="s">
        <v>853</v>
      </c>
      <c r="R89" s="696" t="s">
        <v>84</v>
      </c>
      <c r="S89" t="s">
        <v>84</v>
      </c>
      <c r="V89" t="str">
        <f t="shared" si="49"/>
        <v/>
      </c>
      <c r="W89" s="697">
        <f>INDEX(Regressions!$U$94:$U$128,MATCH($C89,Regressions!$P$94:$P$128,0))</f>
        <v>5.0500000000000003E-2</v>
      </c>
      <c r="X89">
        <f>INDEX(Regressions!$S$94:$S$128,MATCH(C89,Regressions!$P$94:$P$128,0))</f>
        <v>3.5000000000000003E-2</v>
      </c>
      <c r="Y89">
        <f>INDEX(Regressions!$T$94:$T$128,MATCH(C89,Regressions!$P$94:$P$128,0))</f>
        <v>6.6000000000000003E-2</v>
      </c>
      <c r="Z89" t="str">
        <f>Units!B$69</f>
        <v>kg/head/day</v>
      </c>
      <c r="AA89">
        <f>Units!C$69</f>
        <v>2.2046226199999999</v>
      </c>
      <c r="AB89">
        <f>Units!D$69</f>
        <v>0.45359237038037831</v>
      </c>
      <c r="AC89" t="str">
        <f>Units!E$69</f>
        <v>lb/head/day</v>
      </c>
      <c r="AD89" t="str">
        <f>Units!F$69</f>
        <v>kg/head/day</v>
      </c>
      <c r="AE89" t="str">
        <f>Units!G$69</f>
        <v>kg/head/day</v>
      </c>
      <c r="AF89" t="str">
        <f>Units!H$69</f>
        <v>lb/head/day</v>
      </c>
    </row>
    <row r="90" spans="1:32" x14ac:dyDescent="0.3">
      <c r="A90" t="s">
        <v>819</v>
      </c>
      <c r="B90" t="s">
        <v>854</v>
      </c>
      <c r="C90" s="124" t="str">
        <f t="shared" si="52"/>
        <v>UDV.animal.b_manure</v>
      </c>
      <c r="D90" s="1091">
        <f t="shared" si="53"/>
        <v>6.2611999999999997</v>
      </c>
      <c r="E90" s="1093" t="str">
        <f t="shared" si="54"/>
        <v>kg/head/day</v>
      </c>
      <c r="F90" s="1095">
        <f>INDEX(UI.Manure!$BC$242:$BC$271,MATCH(C90,UI.Manure!$BB$242:$BB$271,0))</f>
        <v>13.803583148343998</v>
      </c>
      <c r="G90" s="1098" t="str">
        <f>INDEX(UI.Manure!$BD$242:$BD$271,MATCH(C90,UI.Manure!$BB$242:$BB$271,0))</f>
        <v/>
      </c>
      <c r="H90" s="1101">
        <f t="shared" si="58"/>
        <v>13.803583148343998</v>
      </c>
      <c r="I90" s="956" t="str">
        <f t="shared" si="55"/>
        <v>lb/head/day</v>
      </c>
      <c r="J90" t="s">
        <v>660</v>
      </c>
      <c r="K90" t="s">
        <v>825</v>
      </c>
      <c r="L90">
        <f t="shared" si="59"/>
        <v>9.66</v>
      </c>
      <c r="M90">
        <f t="shared" si="60"/>
        <v>17.946000000000002</v>
      </c>
      <c r="N90">
        <f t="shared" si="61"/>
        <v>0</v>
      </c>
      <c r="O90" t="s">
        <v>850</v>
      </c>
      <c r="P90" t="s">
        <v>855</v>
      </c>
      <c r="R90" s="696" t="s">
        <v>84</v>
      </c>
      <c r="S90" t="s">
        <v>84</v>
      </c>
      <c r="V90" t="str">
        <f t="shared" si="49"/>
        <v/>
      </c>
      <c r="W90" s="697">
        <f>INDEX(Regressions!$U$94:$U$128,MATCH($C90,Regressions!$P$94:$P$128,0))</f>
        <v>6.2611999999999997</v>
      </c>
      <c r="X90">
        <f>INDEX(Regressions!$S$94:$S$128,MATCH(C90,Regressions!$P$94:$P$128,0))</f>
        <v>4.3819999999999997</v>
      </c>
      <c r="Y90">
        <f>INDEX(Regressions!$T$94:$T$128,MATCH(C90,Regressions!$P$94:$P$128,0))</f>
        <v>8.1399999999999988</v>
      </c>
      <c r="Z90" t="str">
        <f>Units!B$69</f>
        <v>kg/head/day</v>
      </c>
      <c r="AA90">
        <f>Units!C$69</f>
        <v>2.2046226199999999</v>
      </c>
      <c r="AB90">
        <f>Units!D$69</f>
        <v>0.45359237038037831</v>
      </c>
      <c r="AC90" t="str">
        <f>Units!E$69</f>
        <v>lb/head/day</v>
      </c>
      <c r="AD90" t="str">
        <f>Units!F$69</f>
        <v>kg/head/day</v>
      </c>
      <c r="AE90" t="str">
        <f>Units!G$69</f>
        <v>kg/head/day</v>
      </c>
      <c r="AF90" t="str">
        <f>Units!H$69</f>
        <v>lb/head/day</v>
      </c>
    </row>
    <row r="91" spans="1:32" x14ac:dyDescent="0.3">
      <c r="A91" t="s">
        <v>819</v>
      </c>
      <c r="B91" t="s">
        <v>856</v>
      </c>
      <c r="C91" s="124" t="str">
        <f t="shared" si="52"/>
        <v>UDV.animal.b_N</v>
      </c>
      <c r="D91" s="1091">
        <f t="shared" si="53"/>
        <v>8.6299999999999974E-2</v>
      </c>
      <c r="E91" s="1093" t="str">
        <f t="shared" si="54"/>
        <v>kg/head/day</v>
      </c>
      <c r="F91" s="1095">
        <f>INDEX(UI.Manure!$BC$242:$BC$271,MATCH(C91,UI.Manure!$BB$242:$BB$271,0))</f>
        <v>0.19025893210599995</v>
      </c>
      <c r="G91" s="1098" t="str">
        <f>INDEX(UI.Manure!$BD$242:$BD$271,MATCH(C91,UI.Manure!$BB$242:$BB$271,0))</f>
        <v/>
      </c>
      <c r="H91" s="1101">
        <f t="shared" si="58"/>
        <v>0.19025893210599995</v>
      </c>
      <c r="I91" s="956" t="str">
        <f t="shared" si="55"/>
        <v>lb/head/day</v>
      </c>
      <c r="J91" t="s">
        <v>660</v>
      </c>
      <c r="K91" t="s">
        <v>825</v>
      </c>
      <c r="L91">
        <f t="shared" si="59"/>
        <v>0.13200000000000001</v>
      </c>
      <c r="M91">
        <f t="shared" si="60"/>
        <v>0.25</v>
      </c>
      <c r="N91">
        <f t="shared" si="61"/>
        <v>0</v>
      </c>
      <c r="O91" t="s">
        <v>850</v>
      </c>
      <c r="P91" t="s">
        <v>857</v>
      </c>
      <c r="R91" s="696" t="s">
        <v>84</v>
      </c>
      <c r="S91" t="s">
        <v>84</v>
      </c>
      <c r="V91" t="str">
        <f t="shared" si="49"/>
        <v/>
      </c>
      <c r="W91" s="697">
        <f>INDEX(Regressions!$U$94:$U$128,MATCH($C91,Regressions!$P$94:$P$128,0))</f>
        <v>8.6299999999999988E-2</v>
      </c>
      <c r="X91">
        <f>INDEX(Regressions!$S$94:$S$128,MATCH(C91,Regressions!$P$94:$P$128,0))</f>
        <v>0.06</v>
      </c>
      <c r="Y91">
        <f>INDEX(Regressions!$T$94:$T$128,MATCH(C91,Regressions!$P$94:$P$128,0))</f>
        <v>0.113</v>
      </c>
      <c r="Z91" t="str">
        <f>Units!B$69</f>
        <v>kg/head/day</v>
      </c>
      <c r="AA91">
        <f>Units!C$69</f>
        <v>2.2046226199999999</v>
      </c>
      <c r="AB91">
        <f>Units!D$69</f>
        <v>0.45359237038037831</v>
      </c>
      <c r="AC91" t="str">
        <f>Units!E$69</f>
        <v>lb/head/day</v>
      </c>
      <c r="AD91" t="str">
        <f>Units!F$69</f>
        <v>kg/head/day</v>
      </c>
      <c r="AE91" t="str">
        <f>Units!G$69</f>
        <v>kg/head/day</v>
      </c>
      <c r="AF91" t="str">
        <f>Units!H$69</f>
        <v>lb/head/day</v>
      </c>
    </row>
    <row r="92" spans="1:32" x14ac:dyDescent="0.3">
      <c r="A92" t="s">
        <v>819</v>
      </c>
      <c r="B92" t="s">
        <v>858</v>
      </c>
      <c r="C92" s="124" t="str">
        <f t="shared" si="52"/>
        <v>UDV.animal.b_P</v>
      </c>
      <c r="D92" s="1091">
        <f t="shared" si="53"/>
        <v>2.4900000000000002E-2</v>
      </c>
      <c r="E92" s="1093" t="str">
        <f t="shared" si="54"/>
        <v>kg/head/day</v>
      </c>
      <c r="F92" s="1095">
        <f>INDEX(UI.Manure!$BC$242:$BC$271,MATCH(C92,UI.Manure!$BB$242:$BB$271,0))</f>
        <v>5.4895103238000002E-2</v>
      </c>
      <c r="G92" s="1098" t="str">
        <f>INDEX(UI.Manure!$BD$242:$BD$271,MATCH(C92,UI.Manure!$BB$242:$BB$271,0))</f>
        <v/>
      </c>
      <c r="H92" s="1101">
        <f t="shared" si="58"/>
        <v>5.4895103238000002E-2</v>
      </c>
      <c r="I92" s="956" t="str">
        <f t="shared" si="55"/>
        <v>lb/head/day</v>
      </c>
      <c r="J92" t="s">
        <v>660</v>
      </c>
      <c r="K92" t="s">
        <v>825</v>
      </c>
      <c r="L92">
        <f t="shared" si="59"/>
        <v>3.6999999999999998E-2</v>
      </c>
      <c r="M92">
        <f t="shared" si="60"/>
        <v>7.2999999999999995E-2</v>
      </c>
      <c r="N92">
        <f t="shared" si="61"/>
        <v>0</v>
      </c>
      <c r="O92" t="s">
        <v>850</v>
      </c>
      <c r="P92" t="s">
        <v>859</v>
      </c>
      <c r="R92" s="696" t="s">
        <v>84</v>
      </c>
      <c r="S92" t="s">
        <v>84</v>
      </c>
      <c r="V92" t="str">
        <f t="shared" si="49"/>
        <v/>
      </c>
      <c r="W92" s="697">
        <f>INDEX(Regressions!$U$94:$U$128,MATCH($C92,Regressions!$P$94:$P$128,0))</f>
        <v>2.4900000000000002E-2</v>
      </c>
      <c r="X92">
        <f>INDEX(Regressions!$S$94:$S$128,MATCH(C92,Regressions!$P$94:$P$128,0))</f>
        <v>1.7000000000000001E-2</v>
      </c>
      <c r="Y92">
        <f>INDEX(Regressions!$T$94:$T$128,MATCH(C92,Regressions!$P$94:$P$128,0))</f>
        <v>3.3000000000000002E-2</v>
      </c>
      <c r="Z92" t="str">
        <f>Units!B$69</f>
        <v>kg/head/day</v>
      </c>
      <c r="AA92">
        <f>Units!C$69</f>
        <v>2.2046226199999999</v>
      </c>
      <c r="AB92">
        <f>Units!D$69</f>
        <v>0.45359237038037831</v>
      </c>
      <c r="AC92" t="str">
        <f>Units!E$69</f>
        <v>lb/head/day</v>
      </c>
      <c r="AD92" t="str">
        <f>Units!F$69</f>
        <v>kg/head/day</v>
      </c>
      <c r="AE92" t="str">
        <f>Units!G$69</f>
        <v>kg/head/day</v>
      </c>
      <c r="AF92" t="str">
        <f>Units!H$69</f>
        <v>lb/head/day</v>
      </c>
    </row>
    <row r="93" spans="1:32" x14ac:dyDescent="0.3">
      <c r="A93" t="s">
        <v>819</v>
      </c>
      <c r="B93" t="s">
        <v>860</v>
      </c>
      <c r="C93" s="124" t="str">
        <f t="shared" si="52"/>
        <v>UDV.animal.b_TAN</v>
      </c>
      <c r="D93" s="1091">
        <f t="shared" si="53"/>
        <v>2.3100000000000002E-2</v>
      </c>
      <c r="E93" s="1093" t="str">
        <f t="shared" si="54"/>
        <v>kg/head/day</v>
      </c>
      <c r="F93" s="1095">
        <f>IF(OR(G93="",N93=0),H93,G93)</f>
        <v>5.0926782522000003E-2</v>
      </c>
      <c r="H93" s="1101">
        <f t="shared" si="58"/>
        <v>5.0926782522000003E-2</v>
      </c>
      <c r="I93" s="956" t="str">
        <f t="shared" si="55"/>
        <v>lb/head/day</v>
      </c>
      <c r="J93" t="s">
        <v>660</v>
      </c>
      <c r="L93">
        <f t="shared" si="59"/>
        <v>3.5000000000000003E-2</v>
      </c>
      <c r="M93">
        <f t="shared" si="60"/>
        <v>6.9000000000000006E-2</v>
      </c>
      <c r="N93">
        <f t="shared" si="61"/>
        <v>0</v>
      </c>
      <c r="O93" t="s">
        <v>850</v>
      </c>
      <c r="P93" t="s">
        <v>861</v>
      </c>
      <c r="R93" s="696" t="s">
        <v>84</v>
      </c>
      <c r="S93" t="s">
        <v>84</v>
      </c>
      <c r="V93" t="str">
        <f t="shared" si="49"/>
        <v/>
      </c>
      <c r="W93" s="697">
        <f>INDEX(Regressions!$U$94:$U$128,MATCH($C93,Regressions!$P$94:$P$128,0))</f>
        <v>2.3100000000000002E-2</v>
      </c>
      <c r="X93">
        <f>INDEX(Regressions!$S$94:$S$128,MATCH(C93,Regressions!$P$94:$P$128,0))</f>
        <v>1.6E-2</v>
      </c>
      <c r="Y93">
        <f>INDEX(Regressions!$T$94:$T$128,MATCH(C93,Regressions!$P$94:$P$128,0))</f>
        <v>3.1E-2</v>
      </c>
      <c r="Z93" t="str">
        <f>Units!B$69</f>
        <v>kg/head/day</v>
      </c>
      <c r="AA93">
        <f>Units!C$69</f>
        <v>2.2046226199999999</v>
      </c>
      <c r="AB93">
        <f>Units!D$69</f>
        <v>0.45359237038037831</v>
      </c>
      <c r="AC93" t="str">
        <f>Units!E$69</f>
        <v>lb/head/day</v>
      </c>
      <c r="AD93" t="str">
        <f>Units!F$69</f>
        <v>kg/head/day</v>
      </c>
      <c r="AE93" t="str">
        <f>Units!G$69</f>
        <v>kg/head/day</v>
      </c>
      <c r="AF93" t="str">
        <f>Units!H$69</f>
        <v>lb/head/day</v>
      </c>
    </row>
    <row r="94" spans="1:32" x14ac:dyDescent="0.3">
      <c r="A94" t="s">
        <v>819</v>
      </c>
      <c r="B94" t="s">
        <v>862</v>
      </c>
      <c r="C94" s="124" t="str">
        <f t="shared" si="52"/>
        <v>UDV.animal.b_treated</v>
      </c>
      <c r="D94" s="1091">
        <f>IF(F94="Yes",1,0)</f>
        <v>0</v>
      </c>
      <c r="E94" s="1093" t="s">
        <v>836</v>
      </c>
      <c r="F94" s="1096" t="str">
        <f>UI.Animals!BC264</f>
        <v>No</v>
      </c>
      <c r="G94" s="1098" t="str">
        <f>UI.Animals!BD264</f>
        <v>No</v>
      </c>
      <c r="H94" s="1103" t="s">
        <v>73</v>
      </c>
      <c r="I94" s="956" t="s">
        <v>837</v>
      </c>
      <c r="J94" t="s">
        <v>838</v>
      </c>
      <c r="K94" s="124" t="s">
        <v>821</v>
      </c>
      <c r="N94">
        <f>IF(G94=0,0,1)</f>
        <v>1</v>
      </c>
      <c r="O94" t="s">
        <v>839</v>
      </c>
      <c r="P94" t="s">
        <v>863</v>
      </c>
      <c r="R94" s="711" t="s">
        <v>84</v>
      </c>
      <c r="S94" t="s">
        <v>84</v>
      </c>
      <c r="V94" t="str">
        <f t="shared" si="49"/>
        <v>Fix</v>
      </c>
      <c r="W94" s="1084" t="s">
        <v>73</v>
      </c>
      <c r="X94" s="132">
        <v>0</v>
      </c>
      <c r="Y94" s="132">
        <v>0</v>
      </c>
      <c r="Z94" s="132" t="str">
        <f>Units!B$12</f>
        <v>Yes or No</v>
      </c>
      <c r="AA94" s="132">
        <f>Units!C$12</f>
        <v>1</v>
      </c>
      <c r="AB94" s="132">
        <f>Units!D$12</f>
        <v>1</v>
      </c>
      <c r="AC94" s="132" t="str">
        <f>Units!E$12</f>
        <v>Yes or No</v>
      </c>
      <c r="AD94" s="132" t="str">
        <f>Units!F$12</f>
        <v>1 or 0</v>
      </c>
      <c r="AE94" s="132" t="str">
        <f>Units!G$12</f>
        <v>Yes or No</v>
      </c>
      <c r="AF94" s="132" t="str">
        <f>Units!H$12</f>
        <v>Yes or No</v>
      </c>
    </row>
    <row r="95" spans="1:32" x14ac:dyDescent="0.3">
      <c r="A95" t="s">
        <v>819</v>
      </c>
      <c r="B95" t="s">
        <v>864</v>
      </c>
      <c r="C95" s="124" t="str">
        <f t="shared" si="52"/>
        <v>UDV.animal.b_TS</v>
      </c>
      <c r="D95" s="1091">
        <f t="shared" ref="D95:D103" si="62">$F95*$AB95</f>
        <v>0.67669999999999986</v>
      </c>
      <c r="E95" s="1093" t="str">
        <f t="shared" ref="E95:E103" si="63">$AD95</f>
        <v>kg/head/day</v>
      </c>
      <c r="F95" s="1095">
        <f>INDEX(UI.Manure!$BC$242:$BC$271,MATCH(C95,UI.Manure!$BB$242:$BB$271,0))</f>
        <v>1.4918681269539997</v>
      </c>
      <c r="G95" s="1098" t="str">
        <f>INDEX(UI.Manure!$BD$242:$BD$271,MATCH(C95,UI.Manure!$BB$242:$BB$271,0))</f>
        <v/>
      </c>
      <c r="H95" s="1101">
        <f t="shared" ref="H95:H103" si="64">$W95*$AA95</f>
        <v>1.4918681269539997</v>
      </c>
      <c r="I95" s="956" t="str">
        <f t="shared" ref="I95:I103" si="65">$AC95</f>
        <v>lb/head/day</v>
      </c>
      <c r="J95" t="s">
        <v>660</v>
      </c>
      <c r="K95" t="s">
        <v>825</v>
      </c>
      <c r="L95">
        <f t="shared" ref="L95:L103" si="66">ROUNDDOWN($X95*$AA95,3)</f>
        <v>1.042</v>
      </c>
      <c r="M95">
        <f t="shared" ref="M95:M103" si="67">ROUNDUP($Y95*$AA95,3)</f>
        <v>1.9409999999999998</v>
      </c>
      <c r="N95">
        <f t="shared" ref="N95:N103" si="68">IF(AND(G95&lt;=M95, G95&gt;=L95),1,0)</f>
        <v>0</v>
      </c>
      <c r="O95" t="s">
        <v>850</v>
      </c>
      <c r="P95" t="s">
        <v>865</v>
      </c>
      <c r="R95" s="696" t="s">
        <v>84</v>
      </c>
      <c r="S95" t="s">
        <v>84</v>
      </c>
      <c r="V95" t="str">
        <f t="shared" si="49"/>
        <v/>
      </c>
      <c r="W95" s="697">
        <f>INDEX(Regressions!$U$94:$U$128,MATCH($C95,Regressions!$P$94:$P$128,0))</f>
        <v>0.67669999999999997</v>
      </c>
      <c r="X95">
        <f>INDEX(Regressions!$S$94:$S$128,MATCH(C95,Regressions!$P$94:$P$128,0))</f>
        <v>0.47299999999999998</v>
      </c>
      <c r="Y95">
        <f>INDEX(Regressions!$T$94:$T$128,MATCH(C95,Regressions!$P$94:$P$128,0))</f>
        <v>0.88</v>
      </c>
      <c r="Z95" t="str">
        <f>Units!B$69</f>
        <v>kg/head/day</v>
      </c>
      <c r="AA95">
        <f>Units!C$69</f>
        <v>2.2046226199999999</v>
      </c>
      <c r="AB95">
        <f>Units!D$69</f>
        <v>0.45359237038037831</v>
      </c>
      <c r="AC95" t="str">
        <f>Units!E$69</f>
        <v>lb/head/day</v>
      </c>
      <c r="AD95" t="str">
        <f>Units!F$69</f>
        <v>kg/head/day</v>
      </c>
      <c r="AE95" t="str">
        <f>Units!G$69</f>
        <v>kg/head/day</v>
      </c>
      <c r="AF95" t="str">
        <f>Units!H$69</f>
        <v>lb/head/day</v>
      </c>
    </row>
    <row r="96" spans="1:32" x14ac:dyDescent="0.3">
      <c r="A96" t="s">
        <v>819</v>
      </c>
      <c r="B96" t="s">
        <v>866</v>
      </c>
      <c r="C96" s="124" t="str">
        <f t="shared" si="52"/>
        <v>UDV.animal.b_VS</v>
      </c>
      <c r="D96" s="1091">
        <f t="shared" si="62"/>
        <v>0.56010000000000004</v>
      </c>
      <c r="E96" s="1093" t="str">
        <f t="shared" si="63"/>
        <v>kg/head/day</v>
      </c>
      <c r="F96" s="1095">
        <f>INDEX(UI.Manure!$BC$242:$BC$271,MATCH(C96,UI.Manure!$BB$242:$BB$271,0))</f>
        <v>1.2348091294620001</v>
      </c>
      <c r="G96" s="1098" t="str">
        <f>INDEX(UI.Manure!$BD$242:$BD$271,MATCH(C96,UI.Manure!$BB$242:$BB$271,0))</f>
        <v/>
      </c>
      <c r="H96" s="1101">
        <f t="shared" si="64"/>
        <v>1.2348091294620001</v>
      </c>
      <c r="I96" s="956" t="str">
        <f t="shared" si="65"/>
        <v>lb/head/day</v>
      </c>
      <c r="J96" t="s">
        <v>660</v>
      </c>
      <c r="K96" t="s">
        <v>825</v>
      </c>
      <c r="L96">
        <f t="shared" si="66"/>
        <v>0.86399999999999999</v>
      </c>
      <c r="M96">
        <f t="shared" si="67"/>
        <v>1.6079999999999999</v>
      </c>
      <c r="N96">
        <f t="shared" si="68"/>
        <v>0</v>
      </c>
      <c r="O96" t="s">
        <v>850</v>
      </c>
      <c r="P96" t="s">
        <v>867</v>
      </c>
      <c r="R96" s="696" t="s">
        <v>84</v>
      </c>
      <c r="S96" t="s">
        <v>84</v>
      </c>
      <c r="V96" t="str">
        <f t="shared" si="49"/>
        <v/>
      </c>
      <c r="W96" s="697">
        <f>INDEX(Regressions!$U$94:$U$128,MATCH($C96,Regressions!$P$94:$P$128,0))</f>
        <v>0.56010000000000004</v>
      </c>
      <c r="X96">
        <f>INDEX(Regressions!$S$94:$S$128,MATCH(C96,Regressions!$P$94:$P$128,0))</f>
        <v>0.39200000000000002</v>
      </c>
      <c r="Y96">
        <f>INDEX(Regressions!$T$94:$T$128,MATCH(C96,Regressions!$P$94:$P$128,0))</f>
        <v>0.72899999999999998</v>
      </c>
      <c r="Z96" t="str">
        <f>Units!B$69</f>
        <v>kg/head/day</v>
      </c>
      <c r="AA96">
        <f>Units!C$69</f>
        <v>2.2046226199999999</v>
      </c>
      <c r="AB96">
        <f>Units!D$69</f>
        <v>0.45359237038037831</v>
      </c>
      <c r="AC96" t="str">
        <f>Units!E$69</f>
        <v>lb/head/day</v>
      </c>
      <c r="AD96" t="str">
        <f>Units!F$69</f>
        <v>kg/head/day</v>
      </c>
      <c r="AE96" t="str">
        <f>Units!G$69</f>
        <v>kg/head/day</v>
      </c>
      <c r="AF96" t="str">
        <f>Units!H$69</f>
        <v>lb/head/day</v>
      </c>
    </row>
    <row r="97" spans="1:32" x14ac:dyDescent="0.3">
      <c r="A97" t="s">
        <v>819</v>
      </c>
      <c r="B97" t="s">
        <v>868</v>
      </c>
      <c r="C97" s="124" t="str">
        <f t="shared" si="52"/>
        <v>UDV.animal.b_weight</v>
      </c>
      <c r="D97" s="1091">
        <f t="shared" si="62"/>
        <v>280</v>
      </c>
      <c r="E97" s="1093" t="str">
        <f t="shared" si="63"/>
        <v>lb/head</v>
      </c>
      <c r="F97" s="1107">
        <f>UI.Animals!BC266</f>
        <v>280</v>
      </c>
      <c r="G97" s="1098" t="str">
        <f>UI.Animals!BD266</f>
        <v/>
      </c>
      <c r="H97" s="1101">
        <f t="shared" si="64"/>
        <v>280</v>
      </c>
      <c r="I97" s="956" t="str">
        <f t="shared" si="65"/>
        <v>lb/head</v>
      </c>
      <c r="J97" t="s">
        <v>660</v>
      </c>
      <c r="K97" t="s">
        <v>821</v>
      </c>
      <c r="L97">
        <f t="shared" si="66"/>
        <v>150</v>
      </c>
      <c r="M97">
        <f t="shared" si="67"/>
        <v>300</v>
      </c>
      <c r="N97">
        <f t="shared" si="68"/>
        <v>0</v>
      </c>
      <c r="O97" t="s">
        <v>850</v>
      </c>
      <c r="P97" t="s">
        <v>869</v>
      </c>
      <c r="R97" s="696" t="s">
        <v>84</v>
      </c>
      <c r="S97" t="s">
        <v>84</v>
      </c>
      <c r="V97" t="str">
        <f t="shared" si="49"/>
        <v/>
      </c>
      <c r="W97" s="78">
        <v>280</v>
      </c>
      <c r="X97">
        <v>150</v>
      </c>
      <c r="Y97">
        <v>300</v>
      </c>
      <c r="Z97" t="str">
        <f>Units!B$64</f>
        <v>lb/head</v>
      </c>
      <c r="AA97">
        <f>Units!C$64</f>
        <v>1</v>
      </c>
      <c r="AB97">
        <f>Units!D$64</f>
        <v>1</v>
      </c>
      <c r="AC97" t="str">
        <f>Units!E$64</f>
        <v>lb/head</v>
      </c>
      <c r="AD97" t="str">
        <f>Units!F$64</f>
        <v>lb/head</v>
      </c>
      <c r="AE97" t="str">
        <f>Units!G$64</f>
        <v>kg/head</v>
      </c>
      <c r="AF97" t="str">
        <f>Units!H$64</f>
        <v>lb/head</v>
      </c>
    </row>
    <row r="98" spans="1:32" x14ac:dyDescent="0.3">
      <c r="A98" t="s">
        <v>819</v>
      </c>
      <c r="B98" t="s">
        <v>870</v>
      </c>
      <c r="C98" s="124" t="str">
        <f t="shared" si="52"/>
        <v>UDV.animal.c_count</v>
      </c>
      <c r="D98" s="1091">
        <f t="shared" si="62"/>
        <v>0</v>
      </c>
      <c r="E98" s="1093" t="str">
        <f t="shared" si="63"/>
        <v>head</v>
      </c>
      <c r="F98" s="1095">
        <f>UI.Animals!BC268</f>
        <v>0</v>
      </c>
      <c r="G98" s="1098" t="str">
        <f>UI.Animals!BD268</f>
        <v/>
      </c>
      <c r="H98" s="1101">
        <f t="shared" si="64"/>
        <v>0</v>
      </c>
      <c r="I98" s="956" t="str">
        <f t="shared" si="65"/>
        <v>head</v>
      </c>
      <c r="J98" t="s">
        <v>660</v>
      </c>
      <c r="K98" t="s">
        <v>821</v>
      </c>
      <c r="L98">
        <f t="shared" si="66"/>
        <v>0</v>
      </c>
      <c r="M98">
        <f t="shared" si="67"/>
        <v>20000</v>
      </c>
      <c r="N98">
        <f t="shared" si="68"/>
        <v>0</v>
      </c>
      <c r="O98" t="s">
        <v>871</v>
      </c>
      <c r="P98" t="s">
        <v>872</v>
      </c>
      <c r="R98" s="696" t="s">
        <v>84</v>
      </c>
      <c r="S98" t="s">
        <v>84</v>
      </c>
      <c r="V98" t="str">
        <f t="shared" si="49"/>
        <v/>
      </c>
      <c r="W98" s="78">
        <f>IF(UDV.animal.c_treated,150,0)</f>
        <v>0</v>
      </c>
      <c r="X98">
        <v>0</v>
      </c>
      <c r="Y98">
        <v>20000</v>
      </c>
      <c r="Z98" t="str">
        <f>Units!B$37</f>
        <v>head</v>
      </c>
      <c r="AA98">
        <f>Units!C$37</f>
        <v>1</v>
      </c>
      <c r="AB98">
        <f>Units!D$37</f>
        <v>1</v>
      </c>
      <c r="AC98" t="str">
        <f>Units!E$37</f>
        <v>head</v>
      </c>
      <c r="AD98" t="str">
        <f>Units!F$37</f>
        <v>head</v>
      </c>
      <c r="AE98" t="str">
        <f>Units!G$37</f>
        <v>head</v>
      </c>
      <c r="AF98" t="str">
        <f>Units!H$37</f>
        <v>head</v>
      </c>
    </row>
    <row r="99" spans="1:32" x14ac:dyDescent="0.3">
      <c r="A99" t="s">
        <v>819</v>
      </c>
      <c r="B99" t="s">
        <v>873</v>
      </c>
      <c r="C99" s="124" t="str">
        <f t="shared" si="52"/>
        <v>UDV.animal.c_K</v>
      </c>
      <c r="D99" s="1091">
        <f t="shared" si="62"/>
        <v>2.4500000000000001E-2</v>
      </c>
      <c r="E99" s="1093" t="str">
        <f t="shared" si="63"/>
        <v>kg/head/day</v>
      </c>
      <c r="F99" s="1095">
        <f>INDEX(UI.Manure!$BC$242:$BC$271,MATCH(C99,UI.Manure!$BB$242:$BB$271,0))</f>
        <v>5.4013254189999999E-2</v>
      </c>
      <c r="G99" s="1098" t="str">
        <f>INDEX(UI.Manure!$BD$242:$BD$271,MATCH(C99,UI.Manure!$BB$242:$BB$271,0))</f>
        <v/>
      </c>
      <c r="H99" s="1101">
        <f t="shared" si="64"/>
        <v>5.4013254189999999E-2</v>
      </c>
      <c r="I99" s="956" t="str">
        <f t="shared" si="65"/>
        <v>lb/head/day</v>
      </c>
      <c r="J99" t="s">
        <v>660</v>
      </c>
      <c r="K99" t="s">
        <v>825</v>
      </c>
      <c r="L99">
        <f t="shared" si="66"/>
        <v>3.6999999999999998E-2</v>
      </c>
      <c r="M99">
        <f t="shared" si="67"/>
        <v>7.1000000000000008E-2</v>
      </c>
      <c r="N99">
        <f t="shared" si="68"/>
        <v>0</v>
      </c>
      <c r="O99" t="s">
        <v>871</v>
      </c>
      <c r="P99" t="s">
        <v>874</v>
      </c>
      <c r="R99" s="696" t="s">
        <v>84</v>
      </c>
      <c r="S99" t="s">
        <v>84</v>
      </c>
      <c r="V99" t="str">
        <f t="shared" si="49"/>
        <v/>
      </c>
      <c r="W99" s="697">
        <f>INDEX(Regressions!$U$94:$U$128,MATCH($C99,Regressions!$P$94:$P$128,0))</f>
        <v>2.4500000000000001E-2</v>
      </c>
      <c r="X99">
        <f>INDEX(Regressions!$S$94:$S$128,MATCH(C99,Regressions!$P$94:$P$128,0))</f>
        <v>1.7000000000000001E-2</v>
      </c>
      <c r="Y99">
        <f>INDEX(Regressions!$T$94:$T$128,MATCH(C99,Regressions!$P$94:$P$128,0))</f>
        <v>3.2000000000000001E-2</v>
      </c>
      <c r="Z99" t="str">
        <f>Units!B$69</f>
        <v>kg/head/day</v>
      </c>
      <c r="AA99">
        <f>Units!C$69</f>
        <v>2.2046226199999999</v>
      </c>
      <c r="AB99">
        <f>Units!D$69</f>
        <v>0.45359237038037831</v>
      </c>
      <c r="AC99" t="str">
        <f>Units!E$69</f>
        <v>lb/head/day</v>
      </c>
      <c r="AD99" t="str">
        <f>Units!F$69</f>
        <v>kg/head/day</v>
      </c>
      <c r="AE99" t="str">
        <f>Units!G$69</f>
        <v>kg/head/day</v>
      </c>
      <c r="AF99" t="str">
        <f>Units!H$69</f>
        <v>lb/head/day</v>
      </c>
    </row>
    <row r="100" spans="1:32" x14ac:dyDescent="0.3">
      <c r="A100" t="s">
        <v>819</v>
      </c>
      <c r="B100" t="s">
        <v>875</v>
      </c>
      <c r="C100" s="124" t="str">
        <f t="shared" si="52"/>
        <v>UDV.animal.c_manure</v>
      </c>
      <c r="D100" s="1091">
        <f t="shared" si="62"/>
        <v>4.1146000000000003</v>
      </c>
      <c r="E100" s="1093" t="str">
        <f t="shared" si="63"/>
        <v>kg/head/day</v>
      </c>
      <c r="F100" s="1095">
        <f>INDEX(UI.Manure!$BC$242:$BC$271,MATCH(C100,UI.Manure!$BB$242:$BB$271,0))</f>
        <v>9.0711402322520005</v>
      </c>
      <c r="G100" s="1098" t="str">
        <f>INDEX(UI.Manure!$BD$242:$BD$271,MATCH(C100,UI.Manure!$BB$242:$BB$271,0))</f>
        <v/>
      </c>
      <c r="H100" s="1101">
        <f t="shared" si="64"/>
        <v>9.0711402322520005</v>
      </c>
      <c r="I100" s="956" t="str">
        <f t="shared" si="65"/>
        <v>lb/head/day</v>
      </c>
      <c r="J100" t="s">
        <v>660</v>
      </c>
      <c r="K100" t="s">
        <v>825</v>
      </c>
      <c r="L100">
        <f t="shared" si="66"/>
        <v>6.3490000000000002</v>
      </c>
      <c r="M100">
        <f t="shared" si="67"/>
        <v>11.792999999999999</v>
      </c>
      <c r="N100">
        <f t="shared" si="68"/>
        <v>0</v>
      </c>
      <c r="O100" t="s">
        <v>871</v>
      </c>
      <c r="P100" t="s">
        <v>876</v>
      </c>
      <c r="R100" s="696" t="s">
        <v>84</v>
      </c>
      <c r="S100" t="s">
        <v>84</v>
      </c>
      <c r="V100" t="str">
        <f t="shared" si="49"/>
        <v/>
      </c>
      <c r="W100" s="697">
        <f>INDEX(Regressions!$U$94:$U$128,MATCH($C100,Regressions!$P$94:$P$128,0))</f>
        <v>4.1146000000000003</v>
      </c>
      <c r="X100">
        <f>INDEX(Regressions!$S$94:$S$128,MATCH(C100,Regressions!$P$94:$P$128,0))</f>
        <v>2.88</v>
      </c>
      <c r="Y100">
        <f>INDEX(Regressions!$T$94:$T$128,MATCH(C100,Regressions!$P$94:$P$128,0))</f>
        <v>5.3490000000000002</v>
      </c>
      <c r="Z100" t="str">
        <f>Units!B$69</f>
        <v>kg/head/day</v>
      </c>
      <c r="AA100">
        <f>Units!C$69</f>
        <v>2.2046226199999999</v>
      </c>
      <c r="AB100">
        <f>Units!D$69</f>
        <v>0.45359237038037831</v>
      </c>
      <c r="AC100" t="str">
        <f>Units!E$69</f>
        <v>lb/head/day</v>
      </c>
      <c r="AD100" t="str">
        <f>Units!F$69</f>
        <v>kg/head/day</v>
      </c>
      <c r="AE100" t="str">
        <f>Units!G$69</f>
        <v>kg/head/day</v>
      </c>
      <c r="AF100" t="str">
        <f>Units!H$69</f>
        <v>lb/head/day</v>
      </c>
    </row>
    <row r="101" spans="1:32" x14ac:dyDescent="0.3">
      <c r="A101" t="s">
        <v>819</v>
      </c>
      <c r="B101" t="s">
        <v>877</v>
      </c>
      <c r="C101" s="124" t="str">
        <f t="shared" si="52"/>
        <v>UDV.animal.c_N</v>
      </c>
      <c r="D101" s="1091">
        <f t="shared" si="62"/>
        <v>2.9499999999999998E-2</v>
      </c>
      <c r="E101" s="1093" t="str">
        <f t="shared" si="63"/>
        <v>kg/head/day</v>
      </c>
      <c r="F101" s="1095">
        <f>INDEX(UI.Manure!$BC$242:$BC$271,MATCH(C101,UI.Manure!$BB$242:$BB$271,0))</f>
        <v>6.5036367289999994E-2</v>
      </c>
      <c r="G101" s="1098" t="str">
        <f>INDEX(UI.Manure!$BD$242:$BD$271,MATCH(C101,UI.Manure!$BB$242:$BB$271,0))</f>
        <v/>
      </c>
      <c r="H101" s="1101">
        <f t="shared" si="64"/>
        <v>6.5036367289999994E-2</v>
      </c>
      <c r="I101" s="956" t="str">
        <f t="shared" si="65"/>
        <v>lb/head/day</v>
      </c>
      <c r="J101" t="s">
        <v>660</v>
      </c>
      <c r="K101" t="s">
        <v>825</v>
      </c>
      <c r="L101">
        <f t="shared" si="66"/>
        <v>4.3999999999999997E-2</v>
      </c>
      <c r="M101">
        <f t="shared" si="67"/>
        <v>8.6000000000000007E-2</v>
      </c>
      <c r="N101">
        <f t="shared" si="68"/>
        <v>0</v>
      </c>
      <c r="O101" t="s">
        <v>871</v>
      </c>
      <c r="P101" t="s">
        <v>878</v>
      </c>
      <c r="R101" s="696" t="s">
        <v>84</v>
      </c>
      <c r="S101" t="s">
        <v>84</v>
      </c>
      <c r="V101" t="str">
        <f t="shared" si="49"/>
        <v/>
      </c>
      <c r="W101" s="697">
        <f>INDEX(Regressions!$U$94:$U$128,MATCH($C101,Regressions!$P$94:$P$128,0))</f>
        <v>2.9499999999999998E-2</v>
      </c>
      <c r="X101">
        <f>INDEX(Regressions!$S$94:$S$128,MATCH(C101,Regressions!$P$94:$P$128,0))</f>
        <v>0.02</v>
      </c>
      <c r="Y101">
        <f>INDEX(Regressions!$T$94:$T$128,MATCH(C101,Regressions!$P$94:$P$128,0))</f>
        <v>3.9E-2</v>
      </c>
      <c r="Z101" t="str">
        <f>Units!B$69</f>
        <v>kg/head/day</v>
      </c>
      <c r="AA101">
        <f>Units!C$69</f>
        <v>2.2046226199999999</v>
      </c>
      <c r="AB101">
        <f>Units!D$69</f>
        <v>0.45359237038037831</v>
      </c>
      <c r="AC101" t="str">
        <f>Units!E$69</f>
        <v>lb/head/day</v>
      </c>
      <c r="AD101" t="str">
        <f>Units!F$69</f>
        <v>kg/head/day</v>
      </c>
      <c r="AE101" t="str">
        <f>Units!G$69</f>
        <v>kg/head/day</v>
      </c>
      <c r="AF101" t="str">
        <f>Units!H$69</f>
        <v>lb/head/day</v>
      </c>
    </row>
    <row r="102" spans="1:32" x14ac:dyDescent="0.3">
      <c r="A102" t="s">
        <v>819</v>
      </c>
      <c r="B102" t="s">
        <v>879</v>
      </c>
      <c r="C102" s="124" t="str">
        <f t="shared" si="52"/>
        <v>UDV.animal.c_P</v>
      </c>
      <c r="D102" s="1091">
        <f t="shared" si="62"/>
        <v>1.9999999999999997E-2</v>
      </c>
      <c r="E102" s="1093" t="str">
        <f t="shared" si="63"/>
        <v>kg/head/day</v>
      </c>
      <c r="F102" s="1095">
        <f>INDEX(UI.Manure!$BC$242:$BC$271,MATCH(C102,UI.Manure!$BB$242:$BB$271,0))</f>
        <v>4.4092452399999996E-2</v>
      </c>
      <c r="G102" s="1098" t="str">
        <f>INDEX(UI.Manure!$BD$242:$BD$271,MATCH(C102,UI.Manure!$BB$242:$BB$271,0))</f>
        <v/>
      </c>
      <c r="H102" s="1101">
        <f t="shared" si="64"/>
        <v>4.4092452399999996E-2</v>
      </c>
      <c r="I102" s="956" t="str">
        <f t="shared" si="65"/>
        <v>lb/head/day</v>
      </c>
      <c r="J102" t="s">
        <v>660</v>
      </c>
      <c r="K102" t="s">
        <v>825</v>
      </c>
      <c r="L102">
        <f t="shared" si="66"/>
        <v>0.03</v>
      </c>
      <c r="M102">
        <f t="shared" si="67"/>
        <v>5.8000000000000003E-2</v>
      </c>
      <c r="N102">
        <f t="shared" si="68"/>
        <v>0</v>
      </c>
      <c r="O102" t="s">
        <v>871</v>
      </c>
      <c r="P102" t="s">
        <v>880</v>
      </c>
      <c r="R102" s="696" t="s">
        <v>84</v>
      </c>
      <c r="S102" t="s">
        <v>84</v>
      </c>
      <c r="V102" t="str">
        <f t="shared" si="49"/>
        <v/>
      </c>
      <c r="W102" s="697">
        <f>INDEX(Regressions!$U$94:$U$128,MATCH($C102,Regressions!$P$94:$P$128,0))</f>
        <v>0.02</v>
      </c>
      <c r="X102">
        <f>INDEX(Regressions!$S$94:$S$128,MATCH(C102,Regressions!$P$94:$P$128,0))</f>
        <v>1.4E-2</v>
      </c>
      <c r="Y102">
        <f>INDEX(Regressions!$T$94:$T$128,MATCH(C102,Regressions!$P$94:$P$128,0))</f>
        <v>2.5999999999999999E-2</v>
      </c>
      <c r="Z102" t="str">
        <f>Units!B$69</f>
        <v>kg/head/day</v>
      </c>
      <c r="AA102">
        <f>Units!C$69</f>
        <v>2.2046226199999999</v>
      </c>
      <c r="AB102">
        <f>Units!D$69</f>
        <v>0.45359237038037831</v>
      </c>
      <c r="AC102" t="str">
        <f>Units!E$69</f>
        <v>lb/head/day</v>
      </c>
      <c r="AD102" t="str">
        <f>Units!F$69</f>
        <v>kg/head/day</v>
      </c>
      <c r="AE102" t="str">
        <f>Units!G$69</f>
        <v>kg/head/day</v>
      </c>
      <c r="AF102" t="str">
        <f>Units!H$69</f>
        <v>lb/head/day</v>
      </c>
    </row>
    <row r="103" spans="1:32" x14ac:dyDescent="0.3">
      <c r="A103" t="s">
        <v>819</v>
      </c>
      <c r="B103" t="s">
        <v>881</v>
      </c>
      <c r="C103" s="124" t="str">
        <f t="shared" si="52"/>
        <v>UDV.animal.c_TAN</v>
      </c>
      <c r="D103" s="1091">
        <f t="shared" si="62"/>
        <v>8.5000000000000006E-3</v>
      </c>
      <c r="E103" s="1093" t="str">
        <f t="shared" si="63"/>
        <v>kg/head/day</v>
      </c>
      <c r="F103" s="1095">
        <f>IF(OR(G103="",N103=0),H103,G103)</f>
        <v>1.8739292269999999E-2</v>
      </c>
      <c r="H103" s="1101">
        <f t="shared" si="64"/>
        <v>1.8739292269999999E-2</v>
      </c>
      <c r="I103" s="956" t="str">
        <f t="shared" si="65"/>
        <v>lb/head/day</v>
      </c>
      <c r="J103" t="s">
        <v>660</v>
      </c>
      <c r="L103">
        <f t="shared" si="66"/>
        <v>1.0999999999999999E-2</v>
      </c>
      <c r="M103">
        <f t="shared" si="67"/>
        <v>2.7E-2</v>
      </c>
      <c r="N103">
        <f t="shared" si="68"/>
        <v>0</v>
      </c>
      <c r="O103" t="s">
        <v>871</v>
      </c>
      <c r="P103" t="s">
        <v>882</v>
      </c>
      <c r="R103" s="696" t="s">
        <v>84</v>
      </c>
      <c r="S103" t="s">
        <v>84</v>
      </c>
      <c r="V103" t="str">
        <f t="shared" si="49"/>
        <v/>
      </c>
      <c r="W103" s="697">
        <f>INDEX(Regressions!$U$94:$U$128,MATCH($C103,Regressions!$P$94:$P$128,0))</f>
        <v>8.5000000000000006E-3</v>
      </c>
      <c r="X103">
        <f>INDEX(Regressions!$S$94:$S$128,MATCH(C103,Regressions!$P$94:$P$128,0))</f>
        <v>5.0000000000000001E-3</v>
      </c>
      <c r="Y103">
        <f>INDEX(Regressions!$T$94:$T$128,MATCH(C103,Regressions!$P$94:$P$128,0))</f>
        <v>1.2E-2</v>
      </c>
      <c r="Z103" t="str">
        <f>Units!B$69</f>
        <v>kg/head/day</v>
      </c>
      <c r="AA103">
        <f>Units!C$69</f>
        <v>2.2046226199999999</v>
      </c>
      <c r="AB103">
        <f>Units!D$69</f>
        <v>0.45359237038037831</v>
      </c>
      <c r="AC103" t="str">
        <f>Units!E$69</f>
        <v>lb/head/day</v>
      </c>
      <c r="AD103" t="str">
        <f>Units!F$69</f>
        <v>kg/head/day</v>
      </c>
      <c r="AE103" t="str">
        <f>Units!G$69</f>
        <v>kg/head/day</v>
      </c>
      <c r="AF103" t="str">
        <f>Units!H$69</f>
        <v>lb/head/day</v>
      </c>
    </row>
    <row r="104" spans="1:32" x14ac:dyDescent="0.3">
      <c r="A104" t="s">
        <v>819</v>
      </c>
      <c r="B104" t="s">
        <v>883</v>
      </c>
      <c r="C104" s="124" t="str">
        <f t="shared" si="52"/>
        <v>UDV.animal.c_treated</v>
      </c>
      <c r="D104" s="1091">
        <f>IF(F104="Yes",1,0)</f>
        <v>0</v>
      </c>
      <c r="E104" s="1093" t="s">
        <v>836</v>
      </c>
      <c r="F104" s="1096" t="str">
        <f>UI.Animals!BC267</f>
        <v>No</v>
      </c>
      <c r="G104" s="1098" t="str">
        <f>UI.Animals!BD267</f>
        <v>No</v>
      </c>
      <c r="H104" s="1103" t="s">
        <v>73</v>
      </c>
      <c r="I104" s="956" t="s">
        <v>837</v>
      </c>
      <c r="J104" t="s">
        <v>838</v>
      </c>
      <c r="K104" s="124" t="s">
        <v>821</v>
      </c>
      <c r="N104">
        <f>IF(G104=0,0,1)</f>
        <v>1</v>
      </c>
      <c r="O104" t="s">
        <v>839</v>
      </c>
      <c r="P104" t="s">
        <v>884</v>
      </c>
      <c r="R104" s="711" t="s">
        <v>84</v>
      </c>
      <c r="S104" t="s">
        <v>84</v>
      </c>
      <c r="V104" t="str">
        <f t="shared" si="49"/>
        <v>Fix</v>
      </c>
      <c r="W104" s="1084" t="s">
        <v>73</v>
      </c>
      <c r="X104" s="132">
        <v>0</v>
      </c>
      <c r="Y104" s="132">
        <v>0</v>
      </c>
      <c r="Z104" s="132" t="str">
        <f>Units!B$12</f>
        <v>Yes or No</v>
      </c>
      <c r="AA104" s="132">
        <f>Units!C$12</f>
        <v>1</v>
      </c>
      <c r="AB104" s="132">
        <f>Units!D$12</f>
        <v>1</v>
      </c>
      <c r="AC104" s="132" t="str">
        <f>Units!E$12</f>
        <v>Yes or No</v>
      </c>
      <c r="AD104" s="132" t="str">
        <f>Units!F$12</f>
        <v>1 or 0</v>
      </c>
      <c r="AE104" s="132" t="str">
        <f>Units!G$12</f>
        <v>Yes or No</v>
      </c>
      <c r="AF104" s="132" t="str">
        <f>Units!H$12</f>
        <v>Yes or No</v>
      </c>
    </row>
    <row r="105" spans="1:32" x14ac:dyDescent="0.3">
      <c r="A105" t="s">
        <v>819</v>
      </c>
      <c r="B105" t="s">
        <v>885</v>
      </c>
      <c r="C105" s="124" t="str">
        <f t="shared" si="52"/>
        <v>UDV.animal.c_TS</v>
      </c>
      <c r="D105" s="1091">
        <f t="shared" ref="D105:D113" si="69">$F105*$AB105</f>
        <v>0.35849999999999999</v>
      </c>
      <c r="E105" s="1093" t="str">
        <f t="shared" ref="E105:E113" si="70">$AD105</f>
        <v>kg/head/day</v>
      </c>
      <c r="F105" s="1095">
        <f>INDEX(UI.Manure!$BC$242:$BC$271,MATCH(C105,UI.Manure!$BB$242:$BB$271,0))</f>
        <v>0.79035720926999997</v>
      </c>
      <c r="G105" s="1098" t="str">
        <f>INDEX(UI.Manure!$BD$242:$BD$271,MATCH(C105,UI.Manure!$BB$242:$BB$271,0))</f>
        <v/>
      </c>
      <c r="H105" s="1101">
        <f t="shared" ref="H105:H113" si="71">$W105*$AA105</f>
        <v>0.79035720926999997</v>
      </c>
      <c r="I105" s="956" t="str">
        <f t="shared" ref="I105:I113" si="72">$AC105</f>
        <v>lb/head/day</v>
      </c>
      <c r="J105" t="s">
        <v>660</v>
      </c>
      <c r="K105" t="s">
        <v>825</v>
      </c>
      <c r="L105">
        <f t="shared" ref="L105:L108" si="73">ROUNDDOWN($X105*$AA105,3)</f>
        <v>0.55100000000000005</v>
      </c>
      <c r="M105">
        <f t="shared" ref="M105:M108" si="74">ROUNDUP($Y105*$AA105,3)</f>
        <v>1.0299999999999998</v>
      </c>
      <c r="N105">
        <f t="shared" ref="N105:N113" si="75">IF(AND(G105&lt;=M105, G105&gt;=L105),1,0)</f>
        <v>0</v>
      </c>
      <c r="O105" t="s">
        <v>871</v>
      </c>
      <c r="P105" t="s">
        <v>886</v>
      </c>
      <c r="R105" s="696" t="s">
        <v>84</v>
      </c>
      <c r="S105" t="s">
        <v>84</v>
      </c>
      <c r="V105" t="str">
        <f t="shared" si="49"/>
        <v/>
      </c>
      <c r="W105" s="697">
        <f>INDEX(Regressions!$U$94:$U$128,MATCH($C105,Regressions!$P$94:$P$128,0))</f>
        <v>0.35849999999999999</v>
      </c>
      <c r="X105">
        <f>INDEX(Regressions!$S$94:$S$128,MATCH(C105,Regressions!$P$94:$P$128,0))</f>
        <v>0.25</v>
      </c>
      <c r="Y105">
        <f>INDEX(Regressions!$T$94:$T$128,MATCH(C105,Regressions!$P$94:$P$128,0))</f>
        <v>0.46700000000000003</v>
      </c>
      <c r="Z105" t="str">
        <f>Units!B$69</f>
        <v>kg/head/day</v>
      </c>
      <c r="AA105">
        <f>Units!C$69</f>
        <v>2.2046226199999999</v>
      </c>
      <c r="AB105">
        <f>Units!D$69</f>
        <v>0.45359237038037831</v>
      </c>
      <c r="AC105" t="str">
        <f>Units!E$69</f>
        <v>lb/head/day</v>
      </c>
      <c r="AD105" t="str">
        <f>Units!F$69</f>
        <v>kg/head/day</v>
      </c>
      <c r="AE105" t="str">
        <f>Units!G$69</f>
        <v>kg/head/day</v>
      </c>
      <c r="AF105" t="str">
        <f>Units!H$69</f>
        <v>lb/head/day</v>
      </c>
    </row>
    <row r="106" spans="1:32" x14ac:dyDescent="0.3">
      <c r="A106" t="s">
        <v>819</v>
      </c>
      <c r="B106" t="s">
        <v>887</v>
      </c>
      <c r="C106" s="124" t="str">
        <f t="shared" si="52"/>
        <v>UDV.animal.c_VS</v>
      </c>
      <c r="D106" s="1091">
        <f t="shared" si="69"/>
        <v>0.31850000000000001</v>
      </c>
      <c r="E106" s="1093" t="str">
        <f t="shared" si="70"/>
        <v>kg/head/day</v>
      </c>
      <c r="F106" s="1095">
        <f>INDEX(UI.Manure!$BC$242:$BC$271,MATCH(C106,UI.Manure!$BB$242:$BB$271,0))</f>
        <v>0.70217230447000001</v>
      </c>
      <c r="G106" s="1098" t="str">
        <f>INDEX(UI.Manure!$BD$242:$BD$271,MATCH(C106,UI.Manure!$BB$242:$BB$271,0))</f>
        <v/>
      </c>
      <c r="H106" s="1101">
        <f t="shared" si="71"/>
        <v>0.70217230447000001</v>
      </c>
      <c r="I106" s="956" t="str">
        <f t="shared" si="72"/>
        <v>lb/head/day</v>
      </c>
      <c r="J106" t="s">
        <v>660</v>
      </c>
      <c r="K106" t="s">
        <v>825</v>
      </c>
      <c r="L106">
        <f t="shared" si="73"/>
        <v>0.48899999999999999</v>
      </c>
      <c r="M106">
        <f t="shared" si="74"/>
        <v>0.91500000000000004</v>
      </c>
      <c r="N106">
        <f t="shared" si="75"/>
        <v>0</v>
      </c>
      <c r="O106" t="s">
        <v>871</v>
      </c>
      <c r="P106" t="s">
        <v>888</v>
      </c>
      <c r="R106" s="696" t="s">
        <v>84</v>
      </c>
      <c r="S106" t="s">
        <v>84</v>
      </c>
      <c r="V106" t="str">
        <f t="shared" si="49"/>
        <v/>
      </c>
      <c r="W106" s="697">
        <f>INDEX(Regressions!$U$94:$U$128,MATCH($C106,Regressions!$P$94:$P$128,0))</f>
        <v>0.31850000000000001</v>
      </c>
      <c r="X106">
        <f>INDEX(Regressions!$S$94:$S$128,MATCH(C106,Regressions!$P$94:$P$128,0))</f>
        <v>0.222</v>
      </c>
      <c r="Y106">
        <f>INDEX(Regressions!$T$94:$T$128,MATCH(C106,Regressions!$P$94:$P$128,0))</f>
        <v>0.41499999999999998</v>
      </c>
      <c r="Z106" t="str">
        <f>Units!B$69</f>
        <v>kg/head/day</v>
      </c>
      <c r="AA106">
        <f>Units!C$69</f>
        <v>2.2046226199999999</v>
      </c>
      <c r="AB106">
        <f>Units!D$69</f>
        <v>0.45359237038037831</v>
      </c>
      <c r="AC106" t="str">
        <f>Units!E$69</f>
        <v>lb/head/day</v>
      </c>
      <c r="AD106" t="str">
        <f>Units!F$69</f>
        <v>kg/head/day</v>
      </c>
      <c r="AE106" t="str">
        <f>Units!G$69</f>
        <v>kg/head/day</v>
      </c>
      <c r="AF106" t="str">
        <f>Units!H$69</f>
        <v>lb/head/day</v>
      </c>
    </row>
    <row r="107" spans="1:32" x14ac:dyDescent="0.3">
      <c r="A107" t="s">
        <v>819</v>
      </c>
      <c r="B107" t="s">
        <v>889</v>
      </c>
      <c r="C107" s="124" t="str">
        <f t="shared" si="52"/>
        <v>UDV.animal.c_weight</v>
      </c>
      <c r="D107" s="1091">
        <f t="shared" si="69"/>
        <v>400</v>
      </c>
      <c r="E107" s="1093" t="str">
        <f t="shared" si="70"/>
        <v>lb/head</v>
      </c>
      <c r="F107" s="1107">
        <f>UI.Animals!BC269</f>
        <v>400</v>
      </c>
      <c r="G107" s="1098" t="str">
        <f>UI.Animals!BD269</f>
        <v/>
      </c>
      <c r="H107" s="1101">
        <f t="shared" si="71"/>
        <v>400</v>
      </c>
      <c r="I107" s="956" t="str">
        <f t="shared" si="72"/>
        <v>lb/head</v>
      </c>
      <c r="J107" t="s">
        <v>660</v>
      </c>
      <c r="K107" t="s">
        <v>821</v>
      </c>
      <c r="L107">
        <f t="shared" si="73"/>
        <v>300</v>
      </c>
      <c r="M107">
        <f t="shared" si="74"/>
        <v>500</v>
      </c>
      <c r="N107">
        <f t="shared" si="75"/>
        <v>0</v>
      </c>
      <c r="O107" t="s">
        <v>871</v>
      </c>
      <c r="P107" t="s">
        <v>890</v>
      </c>
      <c r="R107" s="696" t="s">
        <v>84</v>
      </c>
      <c r="S107" t="s">
        <v>84</v>
      </c>
      <c r="V107" t="str">
        <f t="shared" si="49"/>
        <v/>
      </c>
      <c r="W107" s="78">
        <v>400</v>
      </c>
      <c r="X107">
        <v>300</v>
      </c>
      <c r="Y107">
        <v>500</v>
      </c>
      <c r="Z107" t="str">
        <f>Units!B$64</f>
        <v>lb/head</v>
      </c>
      <c r="AA107">
        <f>Units!C$64</f>
        <v>1</v>
      </c>
      <c r="AB107">
        <f>Units!D$64</f>
        <v>1</v>
      </c>
      <c r="AC107" t="str">
        <f>Units!E$64</f>
        <v>lb/head</v>
      </c>
      <c r="AD107" t="str">
        <f>Units!F$64</f>
        <v>lb/head</v>
      </c>
      <c r="AE107" t="str">
        <f>Units!G$64</f>
        <v>kg/head</v>
      </c>
      <c r="AF107" t="str">
        <f>Units!H$64</f>
        <v>lb/head</v>
      </c>
    </row>
    <row r="108" spans="1:32" x14ac:dyDescent="0.3">
      <c r="A108" t="s">
        <v>819</v>
      </c>
      <c r="B108" t="s">
        <v>891</v>
      </c>
      <c r="C108" s="124" t="str">
        <f t="shared" si="52"/>
        <v>UDV.animal.d_count</v>
      </c>
      <c r="D108" s="1091">
        <f t="shared" si="69"/>
        <v>0</v>
      </c>
      <c r="E108" s="1093" t="str">
        <f t="shared" si="70"/>
        <v>head</v>
      </c>
      <c r="F108" s="1095">
        <f>UI.Animals!BC271</f>
        <v>0</v>
      </c>
      <c r="G108" s="1098" t="str">
        <f>UI.Animals!BD271</f>
        <v/>
      </c>
      <c r="H108" s="1101">
        <f t="shared" si="71"/>
        <v>0</v>
      </c>
      <c r="I108" s="956" t="str">
        <f t="shared" si="72"/>
        <v>head</v>
      </c>
      <c r="J108" t="s">
        <v>660</v>
      </c>
      <c r="K108" t="s">
        <v>821</v>
      </c>
      <c r="L108">
        <f t="shared" si="73"/>
        <v>0</v>
      </c>
      <c r="M108">
        <f t="shared" si="74"/>
        <v>20000</v>
      </c>
      <c r="N108">
        <f t="shared" si="75"/>
        <v>0</v>
      </c>
      <c r="O108" t="s">
        <v>892</v>
      </c>
      <c r="P108" t="s">
        <v>893</v>
      </c>
      <c r="R108" s="696" t="s">
        <v>84</v>
      </c>
      <c r="S108" t="s">
        <v>84</v>
      </c>
      <c r="V108" t="str">
        <f t="shared" si="49"/>
        <v/>
      </c>
      <c r="W108" s="78">
        <f>IF(UDV.animal.d_treated,100,0)</f>
        <v>0</v>
      </c>
      <c r="X108">
        <v>0</v>
      </c>
      <c r="Y108">
        <v>20000</v>
      </c>
      <c r="Z108" t="str">
        <f>Units!B$37</f>
        <v>head</v>
      </c>
      <c r="AA108">
        <f>Units!C$37</f>
        <v>1</v>
      </c>
      <c r="AB108">
        <f>Units!D$37</f>
        <v>1</v>
      </c>
      <c r="AC108" t="str">
        <f>Units!E$37</f>
        <v>head</v>
      </c>
      <c r="AD108" t="str">
        <f>Units!F$37</f>
        <v>head</v>
      </c>
      <c r="AE108" t="str">
        <f>Units!G$37</f>
        <v>head</v>
      </c>
      <c r="AF108" t="str">
        <f>Units!H$37</f>
        <v>head</v>
      </c>
    </row>
    <row r="109" spans="1:32" x14ac:dyDescent="0.3">
      <c r="A109" t="s">
        <v>819</v>
      </c>
      <c r="B109" t="s">
        <v>894</v>
      </c>
      <c r="C109" s="124" t="str">
        <f t="shared" si="52"/>
        <v>UDV.animal.d_K</v>
      </c>
      <c r="D109" s="1091">
        <f t="shared" si="69"/>
        <v>8.3499999999999991E-2</v>
      </c>
      <c r="E109" s="1093" t="str">
        <f t="shared" si="70"/>
        <v>kg/head/day</v>
      </c>
      <c r="F109" s="1095">
        <f>INDEX(UI.Manure!$BC$242:$BC$271,MATCH(C109,UI.Manure!$BB$242:$BB$271,0))</f>
        <v>0.18408598876999999</v>
      </c>
      <c r="G109" s="1098" t="str">
        <f>INDEX(UI.Manure!$BD$242:$BD$271,MATCH(C109,UI.Manure!$BB$242:$BB$271,0))</f>
        <v/>
      </c>
      <c r="H109" s="1101">
        <f t="shared" si="71"/>
        <v>0.18408598876999999</v>
      </c>
      <c r="I109" s="956" t="str">
        <f t="shared" si="72"/>
        <v>lb/head/day</v>
      </c>
      <c r="J109" t="s">
        <v>660</v>
      </c>
      <c r="K109" t="s">
        <v>825</v>
      </c>
      <c r="L109">
        <f t="shared" ref="L109:L113" si="76">ROUNDDOWN($X109*$AA109,3)</f>
        <v>0.127</v>
      </c>
      <c r="M109">
        <f t="shared" ref="M109:M113" si="77">ROUNDUP($Y109*$AA109,3)</f>
        <v>0.24099999999999999</v>
      </c>
      <c r="N109">
        <f t="shared" si="75"/>
        <v>0</v>
      </c>
      <c r="O109" t="s">
        <v>892</v>
      </c>
      <c r="P109" t="s">
        <v>895</v>
      </c>
      <c r="R109" s="696" t="s">
        <v>84</v>
      </c>
      <c r="S109" t="s">
        <v>84</v>
      </c>
      <c r="V109" t="str">
        <f t="shared" ref="V109:V139" si="78">IF(OR((M109-L109)&lt;=0,H109&gt;M109,H109&lt;L109),"Fix","")</f>
        <v/>
      </c>
      <c r="W109" s="697">
        <f>INDEX(Regressions!$U$94:$U$128,MATCH($C109,Regressions!$P$94:$P$128,0))</f>
        <v>8.3500000000000005E-2</v>
      </c>
      <c r="X109">
        <f>INDEX(Regressions!$S$94:$S$128,MATCH(C109,Regressions!$P$94:$P$128,0))</f>
        <v>5.8000000000000003E-2</v>
      </c>
      <c r="Y109">
        <f>INDEX(Regressions!$T$94:$T$128,MATCH(C109,Regressions!$P$94:$P$128,0))</f>
        <v>0.109</v>
      </c>
      <c r="Z109" t="str">
        <f>Units!B$69</f>
        <v>kg/head/day</v>
      </c>
      <c r="AA109">
        <f>Units!C$69</f>
        <v>2.2046226199999999</v>
      </c>
      <c r="AB109">
        <f>Units!D$69</f>
        <v>0.45359237038037831</v>
      </c>
      <c r="AC109" t="str">
        <f>Units!E$69</f>
        <v>lb/head/day</v>
      </c>
      <c r="AD109" t="str">
        <f>Units!F$69</f>
        <v>kg/head/day</v>
      </c>
      <c r="AE109" t="str">
        <f>Units!G$69</f>
        <v>kg/head/day</v>
      </c>
      <c r="AF109" t="str">
        <f>Units!H$69</f>
        <v>lb/head/day</v>
      </c>
    </row>
    <row r="110" spans="1:32" x14ac:dyDescent="0.3">
      <c r="A110" t="s">
        <v>819</v>
      </c>
      <c r="B110" t="s">
        <v>896</v>
      </c>
      <c r="C110" s="124" t="str">
        <f t="shared" si="52"/>
        <v>UDV.animal.d_manure</v>
      </c>
      <c r="D110" s="1091">
        <f t="shared" si="69"/>
        <v>8.9774999999999974</v>
      </c>
      <c r="E110" s="1093" t="str">
        <f t="shared" si="70"/>
        <v>kg/head/day</v>
      </c>
      <c r="F110" s="1095">
        <f>INDEX(UI.Manure!$BC$242:$BC$271,MATCH(C110,UI.Manure!$BB$242:$BB$271,0))</f>
        <v>19.791999571049995</v>
      </c>
      <c r="G110" s="1098" t="str">
        <f>INDEX(UI.Manure!$BD$242:$BD$271,MATCH(C110,UI.Manure!$BB$242:$BB$271,0))</f>
        <v/>
      </c>
      <c r="H110" s="1101">
        <f t="shared" si="71"/>
        <v>19.791999571049995</v>
      </c>
      <c r="I110" s="956" t="str">
        <f t="shared" si="72"/>
        <v>lb/head/day</v>
      </c>
      <c r="J110" t="s">
        <v>660</v>
      </c>
      <c r="K110" t="s">
        <v>825</v>
      </c>
      <c r="L110">
        <f t="shared" si="76"/>
        <v>13.853</v>
      </c>
      <c r="M110">
        <f t="shared" si="77"/>
        <v>25.731000000000002</v>
      </c>
      <c r="N110">
        <f t="shared" si="75"/>
        <v>0</v>
      </c>
      <c r="O110" t="s">
        <v>892</v>
      </c>
      <c r="P110" t="s">
        <v>897</v>
      </c>
      <c r="R110" s="696" t="s">
        <v>84</v>
      </c>
      <c r="S110" t="s">
        <v>84</v>
      </c>
      <c r="V110" t="str">
        <f t="shared" si="78"/>
        <v/>
      </c>
      <c r="W110" s="697">
        <f>INDEX(Regressions!$U$94:$U$128,MATCH($C110,Regressions!$P$94:$P$128,0))</f>
        <v>8.9774999999999991</v>
      </c>
      <c r="X110">
        <f>INDEX(Regressions!$S$94:$S$128,MATCH(C110,Regressions!$P$94:$P$128,0))</f>
        <v>6.2839999999999998</v>
      </c>
      <c r="Y110">
        <f>INDEX(Regressions!$T$94:$T$128,MATCH(C110,Regressions!$P$94:$P$128,0))</f>
        <v>11.670999999999999</v>
      </c>
      <c r="Z110" t="str">
        <f>Units!B$69</f>
        <v>kg/head/day</v>
      </c>
      <c r="AA110">
        <f>Units!C$69</f>
        <v>2.2046226199999999</v>
      </c>
      <c r="AB110">
        <f>Units!D$69</f>
        <v>0.45359237038037831</v>
      </c>
      <c r="AC110" t="str">
        <f>Units!E$69</f>
        <v>lb/head/day</v>
      </c>
      <c r="AD110" t="str">
        <f>Units!F$69</f>
        <v>kg/head/day</v>
      </c>
      <c r="AE110" t="str">
        <f>Units!G$69</f>
        <v>kg/head/day</v>
      </c>
      <c r="AF110" t="str">
        <f>Units!H$69</f>
        <v>lb/head/day</v>
      </c>
    </row>
    <row r="111" spans="1:32" x14ac:dyDescent="0.3">
      <c r="A111" t="s">
        <v>819</v>
      </c>
      <c r="B111" t="s">
        <v>898</v>
      </c>
      <c r="C111" s="124" t="str">
        <f t="shared" si="52"/>
        <v>UDV.animal.d_N</v>
      </c>
      <c r="D111" s="1091">
        <f t="shared" si="69"/>
        <v>8.5699999999999998E-2</v>
      </c>
      <c r="E111" s="1093" t="str">
        <f t="shared" si="70"/>
        <v>kg/head/day</v>
      </c>
      <c r="F111" s="1095">
        <f>INDEX(UI.Manure!$BC$242:$BC$271,MATCH(C111,UI.Manure!$BB$242:$BB$271,0))</f>
        <v>0.188936158534</v>
      </c>
      <c r="G111" s="1098" t="str">
        <f>INDEX(UI.Manure!$BD$242:$BD$271,MATCH(C111,UI.Manure!$BB$242:$BB$271,0))</f>
        <v/>
      </c>
      <c r="H111" s="1101">
        <f t="shared" si="71"/>
        <v>0.188936158534</v>
      </c>
      <c r="I111" s="956" t="str">
        <f t="shared" si="72"/>
        <v>lb/head/day</v>
      </c>
      <c r="J111" t="s">
        <v>660</v>
      </c>
      <c r="K111" t="s">
        <v>825</v>
      </c>
      <c r="L111">
        <f t="shared" si="76"/>
        <v>0.13</v>
      </c>
      <c r="M111">
        <f t="shared" si="77"/>
        <v>0.247</v>
      </c>
      <c r="N111">
        <f t="shared" si="75"/>
        <v>0</v>
      </c>
      <c r="O111" t="s">
        <v>892</v>
      </c>
      <c r="P111" t="s">
        <v>899</v>
      </c>
      <c r="R111" s="696" t="s">
        <v>84</v>
      </c>
      <c r="S111" t="s">
        <v>84</v>
      </c>
      <c r="V111" t="str">
        <f t="shared" si="78"/>
        <v/>
      </c>
      <c r="W111" s="697">
        <f>INDEX(Regressions!$U$94:$U$128,MATCH($C111,Regressions!$P$94:$P$128,0))</f>
        <v>8.5700000000000012E-2</v>
      </c>
      <c r="X111">
        <f>INDEX(Regressions!$S$94:$S$128,MATCH(C111,Regressions!$P$94:$P$128,0))</f>
        <v>5.8999999999999997E-2</v>
      </c>
      <c r="Y111">
        <f>INDEX(Regressions!$T$94:$T$128,MATCH(C111,Regressions!$P$94:$P$128,0))</f>
        <v>0.112</v>
      </c>
      <c r="Z111" t="str">
        <f>Units!B$69</f>
        <v>kg/head/day</v>
      </c>
      <c r="AA111">
        <f>Units!C$69</f>
        <v>2.2046226199999999</v>
      </c>
      <c r="AB111">
        <f>Units!D$69</f>
        <v>0.45359237038037831</v>
      </c>
      <c r="AC111" t="str">
        <f>Units!E$69</f>
        <v>lb/head/day</v>
      </c>
      <c r="AD111" t="str">
        <f>Units!F$69</f>
        <v>kg/head/day</v>
      </c>
      <c r="AE111" t="str">
        <f>Units!G$69</f>
        <v>kg/head/day</v>
      </c>
      <c r="AF111" t="str">
        <f>Units!H$69</f>
        <v>lb/head/day</v>
      </c>
    </row>
    <row r="112" spans="1:32" x14ac:dyDescent="0.3">
      <c r="A112" t="s">
        <v>819</v>
      </c>
      <c r="B112" t="s">
        <v>900</v>
      </c>
      <c r="C112" s="124" t="str">
        <f t="shared" si="52"/>
        <v>UDV.animal.d_P</v>
      </c>
      <c r="D112" s="1091">
        <f t="shared" si="69"/>
        <v>3.9400000000000004E-2</v>
      </c>
      <c r="E112" s="1093" t="str">
        <f t="shared" si="70"/>
        <v>kg/head/day</v>
      </c>
      <c r="F112" s="1095">
        <f>INDEX(UI.Manure!$BC$242:$BC$271,MATCH(C112,UI.Manure!$BB$242:$BB$271,0))</f>
        <v>8.6862131228000003E-2</v>
      </c>
      <c r="G112" s="1098" t="str">
        <f>INDEX(UI.Manure!$BD$242:$BD$271,MATCH(C112,UI.Manure!$BB$242:$BB$271,0))</f>
        <v/>
      </c>
      <c r="H112" s="1101">
        <f t="shared" si="71"/>
        <v>8.6862131228000003E-2</v>
      </c>
      <c r="I112" s="956" t="str">
        <f t="shared" si="72"/>
        <v>lb/head/day</v>
      </c>
      <c r="J112" t="s">
        <v>660</v>
      </c>
      <c r="K112" t="s">
        <v>825</v>
      </c>
      <c r="L112">
        <f t="shared" si="76"/>
        <v>5.8999999999999997E-2</v>
      </c>
      <c r="M112">
        <f t="shared" si="77"/>
        <v>0.115</v>
      </c>
      <c r="N112">
        <f t="shared" si="75"/>
        <v>0</v>
      </c>
      <c r="O112" t="s">
        <v>892</v>
      </c>
      <c r="P112" t="s">
        <v>901</v>
      </c>
      <c r="R112" s="696" t="s">
        <v>84</v>
      </c>
      <c r="S112" t="s">
        <v>84</v>
      </c>
      <c r="V112" t="str">
        <f t="shared" si="78"/>
        <v/>
      </c>
      <c r="W112" s="697">
        <f>INDEX(Regressions!$U$94:$U$128,MATCH($C112,Regressions!$P$94:$P$128,0))</f>
        <v>3.9400000000000004E-2</v>
      </c>
      <c r="X112">
        <f>INDEX(Regressions!$S$94:$S$128,MATCH(C112,Regressions!$P$94:$P$128,0))</f>
        <v>2.7E-2</v>
      </c>
      <c r="Y112">
        <f>INDEX(Regressions!$T$94:$T$128,MATCH(C112,Regressions!$P$94:$P$128,0))</f>
        <v>5.1999999999999998E-2</v>
      </c>
      <c r="Z112" t="str">
        <f>Units!B$69</f>
        <v>kg/head/day</v>
      </c>
      <c r="AA112">
        <f>Units!C$69</f>
        <v>2.2046226199999999</v>
      </c>
      <c r="AB112">
        <f>Units!D$69</f>
        <v>0.45359237038037831</v>
      </c>
      <c r="AC112" t="str">
        <f>Units!E$69</f>
        <v>lb/head/day</v>
      </c>
      <c r="AD112" t="str">
        <f>Units!F$69</f>
        <v>kg/head/day</v>
      </c>
      <c r="AE112" t="str">
        <f>Units!G$69</f>
        <v>kg/head/day</v>
      </c>
      <c r="AF112" t="str">
        <f>Units!H$69</f>
        <v>lb/head/day</v>
      </c>
    </row>
    <row r="113" spans="1:32" x14ac:dyDescent="0.3">
      <c r="A113" t="s">
        <v>819</v>
      </c>
      <c r="B113" t="s">
        <v>902</v>
      </c>
      <c r="C113" s="124" t="str">
        <f t="shared" si="52"/>
        <v>UDV.animal.d_TAN</v>
      </c>
      <c r="D113" s="1091">
        <f t="shared" si="69"/>
        <v>2.5680000000000001E-2</v>
      </c>
      <c r="E113" s="1093" t="str">
        <f t="shared" si="70"/>
        <v>kg/head/day</v>
      </c>
      <c r="F113" s="1095">
        <f>IF(OR(G113="",N113=0),H113,G113)</f>
        <v>5.6614708881600001E-2</v>
      </c>
      <c r="H113" s="1101">
        <f t="shared" si="71"/>
        <v>5.6614708881600001E-2</v>
      </c>
      <c r="I113" s="956" t="str">
        <f t="shared" si="72"/>
        <v>lb/head/day</v>
      </c>
      <c r="J113" t="s">
        <v>660</v>
      </c>
      <c r="L113">
        <f t="shared" si="76"/>
        <v>3.6999999999999998E-2</v>
      </c>
      <c r="M113">
        <f t="shared" si="77"/>
        <v>7.4999999999999997E-2</v>
      </c>
      <c r="N113">
        <f t="shared" si="75"/>
        <v>0</v>
      </c>
      <c r="O113" t="s">
        <v>892</v>
      </c>
      <c r="P113" t="s">
        <v>903</v>
      </c>
      <c r="R113" s="696" t="s">
        <v>84</v>
      </c>
      <c r="S113" t="s">
        <v>84</v>
      </c>
      <c r="V113" t="str">
        <f t="shared" si="78"/>
        <v/>
      </c>
      <c r="W113" s="697">
        <f>INDEX(Regressions!$U$94:$U$128,MATCH($C113,Regressions!$P$94:$P$128,0))</f>
        <v>2.5680000000000001E-2</v>
      </c>
      <c r="X113">
        <f>INDEX(Regressions!$S$94:$S$128,MATCH(C113,Regressions!$P$94:$P$128,0))</f>
        <v>1.7000000000000001E-2</v>
      </c>
      <c r="Y113">
        <f>INDEX(Regressions!$T$94:$T$128,MATCH(C113,Regressions!$P$94:$P$128,0))</f>
        <v>3.4000000000000002E-2</v>
      </c>
      <c r="Z113" t="str">
        <f>Units!B$69</f>
        <v>kg/head/day</v>
      </c>
      <c r="AA113">
        <f>Units!C$69</f>
        <v>2.2046226199999999</v>
      </c>
      <c r="AB113">
        <f>Units!D$69</f>
        <v>0.45359237038037831</v>
      </c>
      <c r="AC113" t="str">
        <f>Units!E$69</f>
        <v>lb/head/day</v>
      </c>
      <c r="AD113" t="str">
        <f>Units!F$69</f>
        <v>kg/head/day</v>
      </c>
      <c r="AE113" t="str">
        <f>Units!G$69</f>
        <v>kg/head/day</v>
      </c>
      <c r="AF113" t="str">
        <f>Units!H$69</f>
        <v>lb/head/day</v>
      </c>
    </row>
    <row r="114" spans="1:32" s="34" customFormat="1" x14ac:dyDescent="0.3">
      <c r="A114" t="s">
        <v>819</v>
      </c>
      <c r="B114" t="s">
        <v>904</v>
      </c>
      <c r="C114" s="124" t="str">
        <f t="shared" si="52"/>
        <v>UDV.animal.d_treated</v>
      </c>
      <c r="D114" s="1091">
        <f>IF(F114="Yes",1,0)</f>
        <v>0</v>
      </c>
      <c r="E114" s="1093" t="s">
        <v>836</v>
      </c>
      <c r="F114" s="1096" t="str">
        <f>UI.Animals!BC270</f>
        <v>No</v>
      </c>
      <c r="G114" s="1098" t="str">
        <f>UI.Animals!BD270</f>
        <v>No</v>
      </c>
      <c r="H114" s="1103" t="s">
        <v>73</v>
      </c>
      <c r="I114" s="956" t="s">
        <v>837</v>
      </c>
      <c r="J114" t="s">
        <v>838</v>
      </c>
      <c r="K114" s="124" t="s">
        <v>821</v>
      </c>
      <c r="L114"/>
      <c r="M114"/>
      <c r="N114">
        <f>IF(G114=0,0,1)</f>
        <v>1</v>
      </c>
      <c r="O114" t="s">
        <v>839</v>
      </c>
      <c r="P114" t="s">
        <v>905</v>
      </c>
      <c r="Q114"/>
      <c r="R114" s="711" t="s">
        <v>84</v>
      </c>
      <c r="S114" t="s">
        <v>84</v>
      </c>
      <c r="T114" s="127"/>
      <c r="U114"/>
      <c r="V114" t="str">
        <f t="shared" si="78"/>
        <v>Fix</v>
      </c>
      <c r="W114" s="1084" t="s">
        <v>73</v>
      </c>
      <c r="X114" s="132">
        <v>0</v>
      </c>
      <c r="Y114" s="132">
        <v>0</v>
      </c>
      <c r="Z114" s="132" t="str">
        <f>Units!B$12</f>
        <v>Yes or No</v>
      </c>
      <c r="AA114" s="132">
        <f>Units!C$12</f>
        <v>1</v>
      </c>
      <c r="AB114" s="132">
        <f>Units!D$12</f>
        <v>1</v>
      </c>
      <c r="AC114" s="132" t="str">
        <f>Units!E$12</f>
        <v>Yes or No</v>
      </c>
      <c r="AD114" s="132" t="str">
        <f>Units!F$12</f>
        <v>1 or 0</v>
      </c>
      <c r="AE114" s="132" t="str">
        <f>Units!G$12</f>
        <v>Yes or No</v>
      </c>
      <c r="AF114" s="132" t="str">
        <f>Units!H$12</f>
        <v>Yes or No</v>
      </c>
    </row>
    <row r="115" spans="1:32" s="34" customFormat="1" x14ac:dyDescent="0.3">
      <c r="A115" t="s">
        <v>819</v>
      </c>
      <c r="B115" t="s">
        <v>906</v>
      </c>
      <c r="C115" s="124" t="str">
        <f t="shared" si="52"/>
        <v>UDV.animal.d_TS</v>
      </c>
      <c r="D115" s="1091">
        <f t="shared" ref="D115:D123" si="79">$F115*$AB115</f>
        <v>0.88080000000000003</v>
      </c>
      <c r="E115" s="1093" t="str">
        <f t="shared" ref="E115:E123" si="80">$AD115</f>
        <v>kg/head/day</v>
      </c>
      <c r="F115" s="1095">
        <f>INDEX(UI.Manure!$BC$242:$BC$271,MATCH(C115,UI.Manure!$BB$242:$BB$271,0))</f>
        <v>1.9418316036959999</v>
      </c>
      <c r="G115" s="1098" t="str">
        <f>INDEX(UI.Manure!$BD$242:$BD$271,MATCH(C115,UI.Manure!$BB$242:$BB$271,0))</f>
        <v/>
      </c>
      <c r="H115" s="1101">
        <f t="shared" ref="H115:H116" si="81">$W115*$AA115</f>
        <v>1.9418316036959999</v>
      </c>
      <c r="I115" s="956" t="str">
        <f t="shared" ref="I115:I123" si="82">$AC115</f>
        <v>lb/head/day</v>
      </c>
      <c r="J115" t="s">
        <v>660</v>
      </c>
      <c r="K115" t="s">
        <v>825</v>
      </c>
      <c r="L115">
        <f t="shared" ref="L115:L118" si="83">ROUNDDOWN($X115*$AA115,3)</f>
        <v>1.3580000000000001</v>
      </c>
      <c r="M115">
        <f t="shared" ref="M115:M118" si="84">ROUNDUP($Y115*$AA115,3)</f>
        <v>2.5269999999999997</v>
      </c>
      <c r="N115">
        <f t="shared" ref="N115:N123" si="85">IF(AND(G115&lt;=M115, G115&gt;=L115),1,0)</f>
        <v>0</v>
      </c>
      <c r="O115" t="s">
        <v>892</v>
      </c>
      <c r="P115" t="s">
        <v>907</v>
      </c>
      <c r="Q115"/>
      <c r="R115" s="696" t="s">
        <v>84</v>
      </c>
      <c r="S115" t="s">
        <v>84</v>
      </c>
      <c r="T115" s="127"/>
      <c r="U115"/>
      <c r="V115" t="str">
        <f t="shared" si="78"/>
        <v/>
      </c>
      <c r="W115" s="697">
        <f>INDEX(Regressions!$U$94:$U$128,MATCH($C115,Regressions!$P$94:$P$128,0))</f>
        <v>0.88080000000000003</v>
      </c>
      <c r="X115">
        <f>INDEX(Regressions!$S$94:$S$128,MATCH(C115,Regressions!$P$94:$P$128,0))</f>
        <v>0.61599999999999999</v>
      </c>
      <c r="Y115">
        <f>INDEX(Regressions!$T$94:$T$128,MATCH(C115,Regressions!$P$94:$P$128,0))</f>
        <v>1.1459999999999999</v>
      </c>
      <c r="Z115" t="str">
        <f>Units!B$69</f>
        <v>kg/head/day</v>
      </c>
      <c r="AA115">
        <f>Units!C$69</f>
        <v>2.2046226199999999</v>
      </c>
      <c r="AB115">
        <f>Units!D$69</f>
        <v>0.45359237038037831</v>
      </c>
      <c r="AC115" t="str">
        <f>Units!E$69</f>
        <v>lb/head/day</v>
      </c>
      <c r="AD115" t="str">
        <f>Units!F$69</f>
        <v>kg/head/day</v>
      </c>
      <c r="AE115" t="str">
        <f>Units!G$69</f>
        <v>kg/head/day</v>
      </c>
      <c r="AF115" t="str">
        <f>Units!H$69</f>
        <v>lb/head/day</v>
      </c>
    </row>
    <row r="116" spans="1:32" s="34" customFormat="1" x14ac:dyDescent="0.3">
      <c r="A116" t="s">
        <v>819</v>
      </c>
      <c r="B116" t="s">
        <v>908</v>
      </c>
      <c r="C116" s="124" t="str">
        <f t="shared" si="52"/>
        <v>UDV.animal.d_VS</v>
      </c>
      <c r="D116" s="1091">
        <f t="shared" si="79"/>
        <v>0.8024</v>
      </c>
      <c r="E116" s="1093" t="str">
        <f t="shared" si="80"/>
        <v>kg/head/day</v>
      </c>
      <c r="F116" s="1095">
        <f>INDEX(UI.Manure!$BC$242:$BC$271,MATCH(C116,UI.Manure!$BB$242:$BB$271,0))</f>
        <v>1.7689891902879999</v>
      </c>
      <c r="G116" s="1098" t="str">
        <f>INDEX(UI.Manure!$BD$242:$BD$271,MATCH(C116,UI.Manure!$BB$242:$BB$271,0))</f>
        <v/>
      </c>
      <c r="H116" s="1101">
        <f t="shared" si="81"/>
        <v>1.7689891902879999</v>
      </c>
      <c r="I116" s="956" t="str">
        <f t="shared" si="82"/>
        <v>lb/head/day</v>
      </c>
      <c r="J116" t="s">
        <v>660</v>
      </c>
      <c r="K116" t="s">
        <v>825</v>
      </c>
      <c r="L116">
        <f t="shared" si="83"/>
        <v>1.236</v>
      </c>
      <c r="M116">
        <f t="shared" si="84"/>
        <v>2.302</v>
      </c>
      <c r="N116">
        <f t="shared" si="85"/>
        <v>0</v>
      </c>
      <c r="O116" t="s">
        <v>892</v>
      </c>
      <c r="P116" t="s">
        <v>909</v>
      </c>
      <c r="Q116"/>
      <c r="R116" s="696" t="s">
        <v>84</v>
      </c>
      <c r="S116" t="s">
        <v>84</v>
      </c>
      <c r="T116" s="127"/>
      <c r="U116"/>
      <c r="V116" t="str">
        <f t="shared" si="78"/>
        <v/>
      </c>
      <c r="W116" s="697">
        <f>INDEX(Regressions!$U$94:$U$128,MATCH($C116,Regressions!$P$94:$P$128,0))</f>
        <v>0.8024</v>
      </c>
      <c r="X116">
        <f>INDEX(Regressions!$S$94:$S$128,MATCH(C116,Regressions!$P$94:$P$128,0))</f>
        <v>0.56100000000000005</v>
      </c>
      <c r="Y116">
        <f>INDEX(Regressions!$T$94:$T$128,MATCH(C116,Regressions!$P$94:$P$128,0))</f>
        <v>1.0439999999999998</v>
      </c>
      <c r="Z116" t="str">
        <f>Units!B$69</f>
        <v>kg/head/day</v>
      </c>
      <c r="AA116">
        <f>Units!C$69</f>
        <v>2.2046226199999999</v>
      </c>
      <c r="AB116">
        <f>Units!D$69</f>
        <v>0.45359237038037831</v>
      </c>
      <c r="AC116" t="str">
        <f>Units!E$69</f>
        <v>lb/head/day</v>
      </c>
      <c r="AD116" t="str">
        <f>Units!F$69</f>
        <v>kg/head/day</v>
      </c>
      <c r="AE116" t="str">
        <f>Units!G$69</f>
        <v>kg/head/day</v>
      </c>
      <c r="AF116" t="str">
        <f>Units!H$69</f>
        <v>lb/head/day</v>
      </c>
    </row>
    <row r="117" spans="1:32" x14ac:dyDescent="0.3">
      <c r="A117" t="s">
        <v>819</v>
      </c>
      <c r="B117" t="s">
        <v>910</v>
      </c>
      <c r="C117" s="124" t="str">
        <f t="shared" si="52"/>
        <v>UDV.animal.d_weight</v>
      </c>
      <c r="D117" s="1091">
        <f t="shared" si="79"/>
        <v>423</v>
      </c>
      <c r="E117" s="1093" t="str">
        <f t="shared" si="80"/>
        <v>lb/head</v>
      </c>
      <c r="F117" s="1107">
        <f>UI.Animals!BC272</f>
        <v>423</v>
      </c>
      <c r="G117" s="1098" t="str">
        <f>UI.Animals!BD272</f>
        <v/>
      </c>
      <c r="H117" s="1101">
        <f>$W117*$AA117</f>
        <v>423</v>
      </c>
      <c r="I117" s="956" t="str">
        <f t="shared" si="82"/>
        <v>lb/head</v>
      </c>
      <c r="J117" t="s">
        <v>660</v>
      </c>
      <c r="K117" t="s">
        <v>821</v>
      </c>
      <c r="L117">
        <f t="shared" si="83"/>
        <v>375</v>
      </c>
      <c r="M117">
        <f t="shared" si="84"/>
        <v>600</v>
      </c>
      <c r="N117">
        <f t="shared" si="85"/>
        <v>0</v>
      </c>
      <c r="O117" t="s">
        <v>892</v>
      </c>
      <c r="P117" t="s">
        <v>911</v>
      </c>
      <c r="R117" s="696" t="s">
        <v>84</v>
      </c>
      <c r="S117" t="s">
        <v>84</v>
      </c>
      <c r="V117" t="str">
        <f t="shared" si="78"/>
        <v/>
      </c>
      <c r="W117" s="78">
        <v>423</v>
      </c>
      <c r="X117">
        <v>375</v>
      </c>
      <c r="Y117">
        <v>600</v>
      </c>
      <c r="Z117" t="str">
        <f>Units!B$64</f>
        <v>lb/head</v>
      </c>
      <c r="AA117">
        <f>Units!C$64</f>
        <v>1</v>
      </c>
      <c r="AB117">
        <f>Units!D$64</f>
        <v>1</v>
      </c>
      <c r="AC117" t="str">
        <f>Units!E$64</f>
        <v>lb/head</v>
      </c>
      <c r="AD117" t="str">
        <f>Units!F$64</f>
        <v>lb/head</v>
      </c>
      <c r="AE117" t="str">
        <f>Units!G$64</f>
        <v>kg/head</v>
      </c>
      <c r="AF117" t="str">
        <f>Units!H$64</f>
        <v>lb/head</v>
      </c>
    </row>
    <row r="118" spans="1:32" x14ac:dyDescent="0.3">
      <c r="A118" t="s">
        <v>819</v>
      </c>
      <c r="B118" t="s">
        <v>912</v>
      </c>
      <c r="C118" s="124" t="str">
        <f t="shared" si="52"/>
        <v>UDV.animal.e_count</v>
      </c>
      <c r="D118" s="1091">
        <f t="shared" si="79"/>
        <v>500</v>
      </c>
      <c r="E118" s="1093" t="str">
        <f t="shared" si="80"/>
        <v>head</v>
      </c>
      <c r="F118" s="1095">
        <f>UI.Animals!BC262</f>
        <v>500</v>
      </c>
      <c r="G118" s="1098" t="str">
        <f>UI.Animals!BD262</f>
        <v/>
      </c>
      <c r="H118" s="1101">
        <f>$W118*$AA118</f>
        <v>500</v>
      </c>
      <c r="I118" s="956" t="str">
        <f t="shared" si="82"/>
        <v>head</v>
      </c>
      <c r="J118" s="132" t="s">
        <v>660</v>
      </c>
      <c r="K118" t="s">
        <v>913</v>
      </c>
      <c r="L118">
        <f t="shared" si="83"/>
        <v>0</v>
      </c>
      <c r="M118">
        <f t="shared" si="84"/>
        <v>20000</v>
      </c>
      <c r="N118">
        <f t="shared" si="85"/>
        <v>0</v>
      </c>
      <c r="O118" t="s">
        <v>914</v>
      </c>
      <c r="P118" t="s">
        <v>915</v>
      </c>
      <c r="R118" s="696" t="s">
        <v>84</v>
      </c>
      <c r="S118" t="s">
        <v>84</v>
      </c>
      <c r="V118" t="str">
        <f t="shared" si="78"/>
        <v/>
      </c>
      <c r="W118" s="78">
        <f>IF(UDV.animal.e_treated,500,0)</f>
        <v>500</v>
      </c>
      <c r="X118">
        <v>0</v>
      </c>
      <c r="Y118">
        <v>20000</v>
      </c>
      <c r="Z118" t="str">
        <f>Units!B$37</f>
        <v>head</v>
      </c>
      <c r="AA118">
        <f>Units!C$37</f>
        <v>1</v>
      </c>
      <c r="AB118">
        <f>Units!D$37</f>
        <v>1</v>
      </c>
      <c r="AC118" t="str">
        <f>Units!E$37</f>
        <v>head</v>
      </c>
      <c r="AD118" t="str">
        <f>Units!F$37</f>
        <v>head</v>
      </c>
      <c r="AE118" t="str">
        <f>Units!G$37</f>
        <v>head</v>
      </c>
      <c r="AF118" t="str">
        <f>Units!H$37</f>
        <v>head</v>
      </c>
    </row>
    <row r="119" spans="1:32" x14ac:dyDescent="0.3">
      <c r="A119" t="s">
        <v>819</v>
      </c>
      <c r="B119" t="s">
        <v>916</v>
      </c>
      <c r="C119" s="124" t="str">
        <f t="shared" si="52"/>
        <v>UDV.animal.e_K</v>
      </c>
      <c r="D119" s="1091">
        <f t="shared" si="79"/>
        <v>2.3400500000000001E-2</v>
      </c>
      <c r="E119" s="1093" t="str">
        <f t="shared" si="80"/>
        <v>kg/head/day</v>
      </c>
      <c r="F119" s="1095">
        <f>INDEX(UI.Manure!$BC$242:$BC$271,MATCH(C119,UI.Manure!$BB$242:$BB$271,0))</f>
        <v>5.1589271619309998E-2</v>
      </c>
      <c r="G119" s="1098" t="str">
        <f>INDEX(UI.Manure!$BD$242:$BD$271,MATCH(C119,UI.Manure!$BB$242:$BB$271,0))</f>
        <v/>
      </c>
      <c r="H119" s="1101">
        <f>$W119*$AA119</f>
        <v>5.1589271619309998E-2</v>
      </c>
      <c r="I119" s="956" t="str">
        <f t="shared" si="82"/>
        <v>lb/head/day</v>
      </c>
      <c r="J119" t="s">
        <v>688</v>
      </c>
      <c r="K119" t="s">
        <v>825</v>
      </c>
      <c r="L119">
        <f t="shared" ref="L119:L123" si="86">ROUNDDOWN($X119*$AA119,3)</f>
        <v>3.5000000000000003E-2</v>
      </c>
      <c r="M119">
        <f t="shared" ref="M119:M123" si="87">ROUNDUP($Y119*$AA119,3)</f>
        <v>6.9000000000000006E-2</v>
      </c>
      <c r="N119">
        <f t="shared" si="85"/>
        <v>0</v>
      </c>
      <c r="O119" t="s">
        <v>914</v>
      </c>
      <c r="P119" t="s">
        <v>917</v>
      </c>
      <c r="R119" s="696" t="s">
        <v>84</v>
      </c>
      <c r="S119" t="s">
        <v>84</v>
      </c>
      <c r="V119" t="str">
        <f t="shared" si="78"/>
        <v/>
      </c>
      <c r="W119" s="78">
        <f>INDEX(Regressions!$U$94:$U$128,MATCH(C119,Regressions!$P$94:$P$128,0))</f>
        <v>2.3400500000000001E-2</v>
      </c>
      <c r="X119">
        <f>INDEX(Regressions!$S$94:$S$128,MATCH(C119,Regressions!$P$94:$P$128,0))</f>
        <v>1.6E-2</v>
      </c>
      <c r="Y119">
        <f>INDEX(Regressions!$T$94:$T$128,MATCH(C119,Regressions!$P$94:$P$128,0))</f>
        <v>3.1E-2</v>
      </c>
      <c r="Z119" t="str">
        <f>Units!B$69</f>
        <v>kg/head/day</v>
      </c>
      <c r="AA119">
        <f>Units!C$69</f>
        <v>2.2046226199999999</v>
      </c>
      <c r="AB119">
        <f>Units!D$69</f>
        <v>0.45359237038037831</v>
      </c>
      <c r="AC119" t="str">
        <f>Units!E$69</f>
        <v>lb/head/day</v>
      </c>
      <c r="AD119" t="str">
        <f>Units!F$69</f>
        <v>kg/head/day</v>
      </c>
      <c r="AE119" t="str">
        <f>Units!G$69</f>
        <v>kg/head/day</v>
      </c>
      <c r="AF119" t="str">
        <f>Units!H$69</f>
        <v>lb/head/day</v>
      </c>
    </row>
    <row r="120" spans="1:32" x14ac:dyDescent="0.3">
      <c r="A120" t="s">
        <v>819</v>
      </c>
      <c r="B120" t="s">
        <v>918</v>
      </c>
      <c r="C120" s="124" t="str">
        <f t="shared" si="52"/>
        <v>UDV.animal.e_manure</v>
      </c>
      <c r="D120" s="1091">
        <f t="shared" si="79"/>
        <v>5.5900099999999995</v>
      </c>
      <c r="E120" s="1093" t="str">
        <f t="shared" si="80"/>
        <v>kg/head/day</v>
      </c>
      <c r="F120" s="1095">
        <f>INDEX(UI.Manure!$BC$242:$BC$271,MATCH(C120,UI.Manure!$BB$242:$BB$271,0))</f>
        <v>12.323862492026198</v>
      </c>
      <c r="G120" s="1098" t="str">
        <f>INDEX(UI.Manure!$BD$242:$BD$271,MATCH(C120,UI.Manure!$BB$242:$BB$271,0))</f>
        <v/>
      </c>
      <c r="H120" s="1101">
        <f t="shared" ref="H120:H123" si="88">$W120*$AA120</f>
        <v>12.323862492026198</v>
      </c>
      <c r="I120" s="956" t="str">
        <f t="shared" si="82"/>
        <v>lb/head/day</v>
      </c>
      <c r="J120" t="s">
        <v>688</v>
      </c>
      <c r="K120" t="s">
        <v>825</v>
      </c>
      <c r="L120">
        <f t="shared" si="86"/>
        <v>8.6259999999999994</v>
      </c>
      <c r="M120">
        <f t="shared" si="87"/>
        <v>16.024000000000001</v>
      </c>
      <c r="N120">
        <f t="shared" si="85"/>
        <v>0</v>
      </c>
      <c r="O120" t="s">
        <v>914</v>
      </c>
      <c r="P120" t="s">
        <v>919</v>
      </c>
      <c r="R120" s="696" t="s">
        <v>84</v>
      </c>
      <c r="S120" t="s">
        <v>84</v>
      </c>
      <c r="V120" t="str">
        <f t="shared" si="78"/>
        <v/>
      </c>
      <c r="W120" s="78">
        <f>INDEX(Regressions!$U$94:$U$128,MATCH(C120,Regressions!$P$94:$P$128,0))</f>
        <v>5.5900099999999995</v>
      </c>
      <c r="X120">
        <f>INDEX(Regressions!$S$94:$S$128,MATCH(C120,Regressions!$P$94:$P$128,0))</f>
        <v>3.9129999999999998</v>
      </c>
      <c r="Y120">
        <f>INDEX(Regressions!$T$94:$T$128,MATCH(C120,Regressions!$P$94:$P$128,0))</f>
        <v>7.2680000000000007</v>
      </c>
      <c r="Z120" t="str">
        <f>Units!B$69</f>
        <v>kg/head/day</v>
      </c>
      <c r="AA120">
        <f>Units!C$69</f>
        <v>2.2046226199999999</v>
      </c>
      <c r="AB120">
        <f>Units!D$69</f>
        <v>0.45359237038037831</v>
      </c>
      <c r="AC120" t="str">
        <f>Units!E$69</f>
        <v>lb/head/day</v>
      </c>
      <c r="AD120" t="str">
        <f>Units!F$69</f>
        <v>kg/head/day</v>
      </c>
      <c r="AE120" t="str">
        <f>Units!G$69</f>
        <v>kg/head/day</v>
      </c>
      <c r="AF120" t="str">
        <f>Units!H$69</f>
        <v>lb/head/day</v>
      </c>
    </row>
    <row r="121" spans="1:32" x14ac:dyDescent="0.3">
      <c r="A121" t="s">
        <v>819</v>
      </c>
      <c r="B121" t="s">
        <v>920</v>
      </c>
      <c r="C121" s="124" t="str">
        <f t="shared" si="52"/>
        <v>UDV.animal.e_N</v>
      </c>
      <c r="D121" s="1091">
        <f t="shared" si="79"/>
        <v>5.2000899999999996E-2</v>
      </c>
      <c r="E121" s="1093" t="str">
        <f t="shared" si="80"/>
        <v>kg/head/day</v>
      </c>
      <c r="F121" s="1095">
        <f>INDEX(UI.Manure!$BC$242:$BC$271,MATCH(C121,UI.Manure!$BB$242:$BB$271,0))</f>
        <v>0.114642360400358</v>
      </c>
      <c r="G121" s="1098" t="str">
        <f>INDEX(UI.Manure!$BD$242:$BD$271,MATCH(C121,UI.Manure!$BB$242:$BB$271,0))</f>
        <v/>
      </c>
      <c r="H121" s="1101">
        <f t="shared" si="88"/>
        <v>0.114642360400358</v>
      </c>
      <c r="I121" s="956" t="str">
        <f t="shared" si="82"/>
        <v>lb/head/day</v>
      </c>
      <c r="J121" t="s">
        <v>688</v>
      </c>
      <c r="K121" t="s">
        <v>825</v>
      </c>
      <c r="L121">
        <f t="shared" si="86"/>
        <v>7.9000000000000001E-2</v>
      </c>
      <c r="M121">
        <f t="shared" si="87"/>
        <v>0.15</v>
      </c>
      <c r="N121">
        <f t="shared" si="85"/>
        <v>0</v>
      </c>
      <c r="O121" t="s">
        <v>914</v>
      </c>
      <c r="P121" t="s">
        <v>921</v>
      </c>
      <c r="R121" s="696" t="s">
        <v>84</v>
      </c>
      <c r="S121" t="s">
        <v>84</v>
      </c>
      <c r="V121" t="str">
        <f t="shared" si="78"/>
        <v/>
      </c>
      <c r="W121" s="78">
        <f>INDEX(Regressions!$U$94:$U$128,MATCH(C121,Regressions!$P$94:$P$128,0))</f>
        <v>5.2000900000000003E-2</v>
      </c>
      <c r="X121">
        <f>INDEX(Regressions!$S$94:$S$128,MATCH(C121,Regressions!$P$94:$P$128,0))</f>
        <v>3.5999999999999997E-2</v>
      </c>
      <c r="Y121">
        <f>INDEX(Regressions!$T$94:$T$128,MATCH(C121,Regressions!$P$94:$P$128,0))</f>
        <v>6.8000000000000005E-2</v>
      </c>
      <c r="Z121" t="str">
        <f>Units!B$69</f>
        <v>kg/head/day</v>
      </c>
      <c r="AA121">
        <f>Units!C$69</f>
        <v>2.2046226199999999</v>
      </c>
      <c r="AB121">
        <f>Units!D$69</f>
        <v>0.45359237038037831</v>
      </c>
      <c r="AC121" t="str">
        <f>Units!E$69</f>
        <v>lb/head/day</v>
      </c>
      <c r="AD121" t="str">
        <f>Units!F$69</f>
        <v>kg/head/day</v>
      </c>
      <c r="AE121" t="str">
        <f>Units!G$69</f>
        <v>kg/head/day</v>
      </c>
      <c r="AF121" t="str">
        <f>Units!H$69</f>
        <v>lb/head/day</v>
      </c>
    </row>
    <row r="122" spans="1:32" x14ac:dyDescent="0.3">
      <c r="A122" t="s">
        <v>819</v>
      </c>
      <c r="B122" t="s">
        <v>922</v>
      </c>
      <c r="C122" s="124" t="str">
        <f t="shared" si="52"/>
        <v>UDV.animal.e_P</v>
      </c>
      <c r="D122" s="1091">
        <f t="shared" si="79"/>
        <v>1.8200299999999999E-2</v>
      </c>
      <c r="E122" s="1093" t="str">
        <f t="shared" si="80"/>
        <v>kg/head/day</v>
      </c>
      <c r="F122" s="1095">
        <f>INDEX(UI.Manure!$BC$242:$BC$271,MATCH(C122,UI.Manure!$BB$242:$BB$271,0))</f>
        <v>4.0124793070785994E-2</v>
      </c>
      <c r="G122" s="1098" t="str">
        <f>INDEX(UI.Manure!$BD$242:$BD$271,MATCH(C122,UI.Manure!$BB$242:$BB$271,0))</f>
        <v/>
      </c>
      <c r="H122" s="1101">
        <f t="shared" si="88"/>
        <v>4.0124793070785994E-2</v>
      </c>
      <c r="I122" s="956" t="str">
        <f t="shared" si="82"/>
        <v>lb/head/day</v>
      </c>
      <c r="J122" t="s">
        <v>688</v>
      </c>
      <c r="K122" t="s">
        <v>825</v>
      </c>
      <c r="L122">
        <f t="shared" si="86"/>
        <v>2.5999999999999999E-2</v>
      </c>
      <c r="M122">
        <f t="shared" si="87"/>
        <v>5.2999999999999999E-2</v>
      </c>
      <c r="N122">
        <f t="shared" si="85"/>
        <v>0</v>
      </c>
      <c r="O122" t="s">
        <v>914</v>
      </c>
      <c r="P122" t="s">
        <v>923</v>
      </c>
      <c r="R122" s="696" t="s">
        <v>84</v>
      </c>
      <c r="S122" t="s">
        <v>84</v>
      </c>
      <c r="V122" t="str">
        <f t="shared" si="78"/>
        <v/>
      </c>
      <c r="W122" s="78">
        <f>INDEX(Regressions!$U$94:$U$128,MATCH(C122,Regressions!$P$94:$P$128,0))</f>
        <v>1.8200299999999999E-2</v>
      </c>
      <c r="X122">
        <f>INDEX(Regressions!$S$94:$S$128,MATCH(C122,Regressions!$P$94:$P$128,0))</f>
        <v>1.2E-2</v>
      </c>
      <c r="Y122">
        <f>INDEX(Regressions!$T$94:$T$128,MATCH(C122,Regressions!$P$94:$P$128,0))</f>
        <v>2.4E-2</v>
      </c>
      <c r="Z122" t="str">
        <f>Units!B$69</f>
        <v>kg/head/day</v>
      </c>
      <c r="AA122">
        <f>Units!C$69</f>
        <v>2.2046226199999999</v>
      </c>
      <c r="AB122">
        <f>Units!D$69</f>
        <v>0.45359237038037831</v>
      </c>
      <c r="AC122" t="str">
        <f>Units!E$69</f>
        <v>lb/head/day</v>
      </c>
      <c r="AD122" t="str">
        <f>Units!F$69</f>
        <v>kg/head/day</v>
      </c>
      <c r="AE122" t="str">
        <f>Units!G$69</f>
        <v>kg/head/day</v>
      </c>
      <c r="AF122" t="str">
        <f>Units!H$69</f>
        <v>lb/head/day</v>
      </c>
    </row>
    <row r="123" spans="1:32" x14ac:dyDescent="0.3">
      <c r="A123" t="s">
        <v>819</v>
      </c>
      <c r="B123" t="s">
        <v>924</v>
      </c>
      <c r="C123" s="124" t="str">
        <f t="shared" si="52"/>
        <v>UDV.animal.e_TAN</v>
      </c>
      <c r="D123" s="1091">
        <f t="shared" si="79"/>
        <v>0</v>
      </c>
      <c r="E123" s="1093" t="str">
        <f t="shared" si="80"/>
        <v>kg/head/day</v>
      </c>
      <c r="H123" s="1101">
        <f t="shared" si="88"/>
        <v>5.1589271619309998E-2</v>
      </c>
      <c r="I123" s="956" t="str">
        <f t="shared" si="82"/>
        <v>lb/head/day</v>
      </c>
      <c r="J123" t="s">
        <v>688</v>
      </c>
      <c r="K123" t="s">
        <v>825</v>
      </c>
      <c r="L123">
        <f t="shared" si="86"/>
        <v>3.5000000000000003E-2</v>
      </c>
      <c r="M123">
        <f t="shared" si="87"/>
        <v>6.9000000000000006E-2</v>
      </c>
      <c r="N123">
        <f t="shared" si="85"/>
        <v>0</v>
      </c>
      <c r="O123" t="s">
        <v>914</v>
      </c>
      <c r="P123" t="s">
        <v>925</v>
      </c>
      <c r="R123" s="696" t="s">
        <v>84</v>
      </c>
      <c r="S123" t="s">
        <v>84</v>
      </c>
      <c r="V123" t="str">
        <f t="shared" si="78"/>
        <v/>
      </c>
      <c r="W123" s="78">
        <f>INDEX(Regressions!$U$94:$U$128,MATCH(C123,Regressions!$P$94:$P$128,0))</f>
        <v>2.3400500000000001E-2</v>
      </c>
      <c r="X123">
        <f>INDEX(Regressions!$S$94:$S$128,MATCH(C123,Regressions!$P$94:$P$128,0))</f>
        <v>1.6E-2</v>
      </c>
      <c r="Y123">
        <f>INDEX(Regressions!$T$94:$T$128,MATCH(C123,Regressions!$P$94:$P$128,0))</f>
        <v>3.1E-2</v>
      </c>
      <c r="Z123" t="str">
        <f>Units!B$69</f>
        <v>kg/head/day</v>
      </c>
      <c r="AA123">
        <f>Units!C$69</f>
        <v>2.2046226199999999</v>
      </c>
      <c r="AB123">
        <f>Units!D$69</f>
        <v>0.45359237038037831</v>
      </c>
      <c r="AC123" t="str">
        <f>Units!E$69</f>
        <v>lb/head/day</v>
      </c>
      <c r="AD123" t="str">
        <f>Units!F$69</f>
        <v>kg/head/day</v>
      </c>
      <c r="AE123" t="str">
        <f>Units!G$69</f>
        <v>kg/head/day</v>
      </c>
      <c r="AF123" t="str">
        <f>Units!H$69</f>
        <v>lb/head/day</v>
      </c>
    </row>
    <row r="124" spans="1:32" x14ac:dyDescent="0.3">
      <c r="A124" t="s">
        <v>819</v>
      </c>
      <c r="B124" t="s">
        <v>926</v>
      </c>
      <c r="C124" s="124" t="str">
        <f t="shared" si="52"/>
        <v>UDV.animal.e_treated</v>
      </c>
      <c r="D124" s="1091">
        <f>IF(F124="Yes",1,0)</f>
        <v>1</v>
      </c>
      <c r="E124" s="1093" t="s">
        <v>836</v>
      </c>
      <c r="F124" s="1096" t="str">
        <f>UI.Animals!BC261</f>
        <v>Yes</v>
      </c>
      <c r="G124" s="1098" t="str">
        <f>UI.Animals!BD261</f>
        <v>Yes</v>
      </c>
      <c r="H124" s="1103" t="s">
        <v>73</v>
      </c>
      <c r="I124" s="956" t="s">
        <v>837</v>
      </c>
      <c r="J124" t="s">
        <v>838</v>
      </c>
      <c r="K124" s="124" t="s">
        <v>821</v>
      </c>
      <c r="N124">
        <f>IF(G124=0,0,1)</f>
        <v>1</v>
      </c>
      <c r="O124" t="s">
        <v>839</v>
      </c>
      <c r="P124" t="s">
        <v>927</v>
      </c>
      <c r="R124" s="711" t="s">
        <v>84</v>
      </c>
      <c r="S124" t="s">
        <v>84</v>
      </c>
      <c r="V124" t="str">
        <f t="shared" si="78"/>
        <v>Fix</v>
      </c>
      <c r="W124" s="1084" t="s">
        <v>73</v>
      </c>
      <c r="X124" s="132">
        <v>0</v>
      </c>
      <c r="Y124" s="132">
        <v>0</v>
      </c>
      <c r="Z124" s="132" t="str">
        <f>Units!B$12</f>
        <v>Yes or No</v>
      </c>
      <c r="AA124" s="132">
        <f>Units!C$12</f>
        <v>1</v>
      </c>
      <c r="AB124" s="132">
        <f>Units!D$12</f>
        <v>1</v>
      </c>
      <c r="AC124" s="132" t="str">
        <f>Units!E$12</f>
        <v>Yes or No</v>
      </c>
      <c r="AD124" s="132" t="str">
        <f>Units!F$12</f>
        <v>1 or 0</v>
      </c>
      <c r="AE124" s="132" t="str">
        <f>Units!G$12</f>
        <v>Yes or No</v>
      </c>
      <c r="AF124" s="132" t="str">
        <f>Units!H$12</f>
        <v>Yes or No</v>
      </c>
    </row>
    <row r="125" spans="1:32" x14ac:dyDescent="0.3">
      <c r="A125" t="s">
        <v>819</v>
      </c>
      <c r="B125" t="s">
        <v>928</v>
      </c>
      <c r="C125" s="124" t="str">
        <f t="shared" si="52"/>
        <v>UDV.animal.e_TS</v>
      </c>
      <c r="D125" s="1091">
        <f t="shared" ref="D125:D194" si="89">$F125*$AB125</f>
        <v>0.54600999999999988</v>
      </c>
      <c r="E125" s="1093" t="str">
        <f t="shared" ref="E125:E194" si="90">$AD125</f>
        <v>kg/head/day</v>
      </c>
      <c r="F125" s="1095">
        <f>INDEX(UI.Manure!$BC$242:$BC$271,MATCH(C125,UI.Manure!$BB$242:$BB$271,0))</f>
        <v>1.2037459967461996</v>
      </c>
      <c r="G125" s="1098" t="str">
        <f>INDEX(UI.Manure!$BD$242:$BD$271,MATCH(C125,UI.Manure!$BB$242:$BB$271,0))</f>
        <v/>
      </c>
      <c r="H125" s="1101">
        <f t="shared" ref="H125:H126" si="91">$W125*$AA125</f>
        <v>1.2037459967461996</v>
      </c>
      <c r="I125" s="956" t="str">
        <f t="shared" ref="I125:I194" si="92">$AC125</f>
        <v>lb/head/day</v>
      </c>
      <c r="J125" t="s">
        <v>688</v>
      </c>
      <c r="K125" t="s">
        <v>825</v>
      </c>
      <c r="L125">
        <f t="shared" ref="L125:L127" si="93">ROUNDDOWN($X125*$AA125,3)</f>
        <v>0.84199999999999997</v>
      </c>
      <c r="M125">
        <f t="shared" ref="M125:M127" si="94">ROUNDUP($Y125*$AA125,3)</f>
        <v>1.5659999999999998</v>
      </c>
      <c r="N125">
        <f t="shared" ref="N125:N139" si="95">IF(AND(G125&lt;=M125, G125&gt;=L125),1,0)</f>
        <v>0</v>
      </c>
      <c r="O125" t="s">
        <v>914</v>
      </c>
      <c r="P125" t="s">
        <v>929</v>
      </c>
      <c r="R125" s="696" t="s">
        <v>84</v>
      </c>
      <c r="S125" t="s">
        <v>84</v>
      </c>
      <c r="V125" t="str">
        <f t="shared" si="78"/>
        <v/>
      </c>
      <c r="W125" s="78">
        <f>INDEX(Regressions!$U$94:$U$128,MATCH(C125,Regressions!$P$94:$P$128,0))</f>
        <v>0.54600999999999988</v>
      </c>
      <c r="X125">
        <f>INDEX(Regressions!$S$94:$S$128,MATCH(C125,Regressions!$P$94:$P$128,0))</f>
        <v>0.38200000000000001</v>
      </c>
      <c r="Y125">
        <f>INDEX(Regressions!$T$94:$T$128,MATCH(C125,Regressions!$P$94:$P$128,0))</f>
        <v>0.71</v>
      </c>
      <c r="Z125" t="str">
        <f>Units!B$69</f>
        <v>kg/head/day</v>
      </c>
      <c r="AA125">
        <f>Units!C$69</f>
        <v>2.2046226199999999</v>
      </c>
      <c r="AB125">
        <f>Units!D$69</f>
        <v>0.45359237038037831</v>
      </c>
      <c r="AC125" t="str">
        <f>Units!E$69</f>
        <v>lb/head/day</v>
      </c>
      <c r="AD125" t="str">
        <f>Units!F$69</f>
        <v>kg/head/day</v>
      </c>
      <c r="AE125" t="str">
        <f>Units!G$69</f>
        <v>kg/head/day</v>
      </c>
      <c r="AF125" t="str">
        <f>Units!H$69</f>
        <v>lb/head/day</v>
      </c>
    </row>
    <row r="126" spans="1:32" x14ac:dyDescent="0.3">
      <c r="A126" t="s">
        <v>819</v>
      </c>
      <c r="B126" t="s">
        <v>930</v>
      </c>
      <c r="C126" s="124" t="str">
        <f t="shared" si="52"/>
        <v>UDV.animal.e_VS</v>
      </c>
      <c r="D126" s="1091">
        <f t="shared" si="89"/>
        <v>0.44200899999999993</v>
      </c>
      <c r="E126" s="1093" t="str">
        <f t="shared" si="90"/>
        <v>kg/head/day</v>
      </c>
      <c r="F126" s="1095">
        <f>INDEX(UI.Manure!$BC$242:$BC$271,MATCH(C126,UI.Manure!$BB$242:$BB$271,0))</f>
        <v>0.97446303964357983</v>
      </c>
      <c r="G126" s="1098" t="str">
        <f>INDEX(UI.Manure!$BD$242:$BD$271,MATCH(C126,UI.Manure!$BB$242:$BB$271,0))</f>
        <v/>
      </c>
      <c r="H126" s="1101">
        <f t="shared" si="91"/>
        <v>0.97446303964357983</v>
      </c>
      <c r="I126" s="956" t="str">
        <f t="shared" si="92"/>
        <v>lb/head/day</v>
      </c>
      <c r="J126" t="s">
        <v>688</v>
      </c>
      <c r="K126" t="s">
        <v>825</v>
      </c>
      <c r="L126">
        <f t="shared" si="93"/>
        <v>0.68100000000000005</v>
      </c>
      <c r="M126">
        <f t="shared" si="94"/>
        <v>1.2679999999999998</v>
      </c>
      <c r="N126">
        <f t="shared" si="95"/>
        <v>0</v>
      </c>
      <c r="O126" t="s">
        <v>914</v>
      </c>
      <c r="P126" t="s">
        <v>931</v>
      </c>
      <c r="R126" s="696" t="s">
        <v>84</v>
      </c>
      <c r="S126" t="s">
        <v>84</v>
      </c>
      <c r="V126" t="str">
        <f t="shared" si="78"/>
        <v/>
      </c>
      <c r="W126" s="78">
        <f>INDEX(Regressions!$U$94:$U$128,MATCH(C126,Regressions!$P$94:$P$128,0))</f>
        <v>0.44200899999999993</v>
      </c>
      <c r="X126">
        <f>INDEX(Regressions!$S$94:$S$128,MATCH(C126,Regressions!$P$94:$P$128,0))</f>
        <v>0.309</v>
      </c>
      <c r="Y126">
        <f>INDEX(Regressions!$T$94:$T$128,MATCH(C126,Regressions!$P$94:$P$128,0))</f>
        <v>0.57499999999999996</v>
      </c>
      <c r="Z126" t="str">
        <f>Units!B$69</f>
        <v>kg/head/day</v>
      </c>
      <c r="AA126">
        <f>Units!C$69</f>
        <v>2.2046226199999999</v>
      </c>
      <c r="AB126">
        <f>Units!D$69</f>
        <v>0.45359237038037831</v>
      </c>
      <c r="AC126" t="str">
        <f>Units!E$69</f>
        <v>lb/head/day</v>
      </c>
      <c r="AD126" t="str">
        <f>Units!F$69</f>
        <v>kg/head/day</v>
      </c>
      <c r="AE126" t="str">
        <f>Units!G$69</f>
        <v>kg/head/day</v>
      </c>
      <c r="AF126" t="str">
        <f>Units!H$69</f>
        <v>lb/head/day</v>
      </c>
    </row>
    <row r="127" spans="1:32" x14ac:dyDescent="0.3">
      <c r="A127" t="s">
        <v>819</v>
      </c>
      <c r="B127" t="s">
        <v>932</v>
      </c>
      <c r="C127" s="124" t="str">
        <f t="shared" si="52"/>
        <v>UDV.animal.e_weight</v>
      </c>
      <c r="D127" s="1091">
        <f t="shared" si="89"/>
        <v>260</v>
      </c>
      <c r="E127" s="1093" t="str">
        <f t="shared" si="90"/>
        <v>lb/head</v>
      </c>
      <c r="F127" s="1095">
        <f>UI.Animals!BC263</f>
        <v>260</v>
      </c>
      <c r="G127" s="1098" t="str">
        <f>UI.Animals!BD263</f>
        <v/>
      </c>
      <c r="H127" s="1101">
        <f t="shared" ref="H127:H132" si="96">$W127*$AA127</f>
        <v>260</v>
      </c>
      <c r="I127" s="956" t="str">
        <f t="shared" si="92"/>
        <v>lb/head</v>
      </c>
      <c r="J127" t="s">
        <v>660</v>
      </c>
      <c r="K127" t="s">
        <v>913</v>
      </c>
      <c r="L127">
        <f t="shared" si="93"/>
        <v>127</v>
      </c>
      <c r="M127">
        <f t="shared" si="94"/>
        <v>300</v>
      </c>
      <c r="N127">
        <f t="shared" si="95"/>
        <v>0</v>
      </c>
      <c r="O127" t="s">
        <v>914</v>
      </c>
      <c r="P127" t="s">
        <v>933</v>
      </c>
      <c r="R127" s="696" t="s">
        <v>84</v>
      </c>
      <c r="S127" t="s">
        <v>84</v>
      </c>
      <c r="V127" t="str">
        <f t="shared" si="78"/>
        <v/>
      </c>
      <c r="W127" s="78">
        <v>260</v>
      </c>
      <c r="X127">
        <f>Regressions!Q89</f>
        <v>127</v>
      </c>
      <c r="Y127">
        <f>Regressions!R89</f>
        <v>300</v>
      </c>
      <c r="Z127" t="str">
        <f>Units!B$64</f>
        <v>lb/head</v>
      </c>
      <c r="AA127">
        <f>Units!C$64</f>
        <v>1</v>
      </c>
      <c r="AB127">
        <f>Units!D$64</f>
        <v>1</v>
      </c>
      <c r="AC127" t="str">
        <f>Units!E$64</f>
        <v>lb/head</v>
      </c>
      <c r="AD127" t="str">
        <f>Units!F$64</f>
        <v>lb/head</v>
      </c>
      <c r="AE127" t="str">
        <f>Units!G$64</f>
        <v>kg/head</v>
      </c>
      <c r="AF127" t="str">
        <f>Units!H$64</f>
        <v>lb/head</v>
      </c>
    </row>
    <row r="128" spans="1:32" x14ac:dyDescent="0.3">
      <c r="A128" t="s">
        <v>819</v>
      </c>
      <c r="B128" t="s">
        <v>934</v>
      </c>
      <c r="C128" s="124" t="str">
        <f t="shared" si="52"/>
        <v>UDV.animal.K2O</v>
      </c>
      <c r="D128" s="1091">
        <f t="shared" si="89"/>
        <v>11.700249999999999</v>
      </c>
      <c r="E128" s="1093" t="str">
        <f t="shared" si="90"/>
        <v>kg/day</v>
      </c>
      <c r="F128" s="1095">
        <f t="shared" ref="F128:F201" si="97">IF(OR(G128="",N128=0),H128,G128)</f>
        <v>25.794635809654999</v>
      </c>
      <c r="H128" s="1101">
        <f t="shared" si="96"/>
        <v>25.794635809654999</v>
      </c>
      <c r="I128" s="956" t="str">
        <f t="shared" si="92"/>
        <v>lb/day</v>
      </c>
      <c r="J128" t="s">
        <v>688</v>
      </c>
      <c r="L128">
        <f t="shared" ref="L128:L132" si="98">ROUNDDOWN($X128*$AA128,3)</f>
        <v>17.635999999999999</v>
      </c>
      <c r="M128">
        <f t="shared" ref="M128:M132" si="99">ROUNDUP($Y128*$AA128,3)</f>
        <v>34.171999999999997</v>
      </c>
      <c r="N128">
        <f t="shared" si="95"/>
        <v>0</v>
      </c>
      <c r="O128" t="s">
        <v>935</v>
      </c>
      <c r="P128" t="s">
        <v>936</v>
      </c>
      <c r="Q128" t="s">
        <v>937</v>
      </c>
      <c r="V128" t="str">
        <f t="shared" si="78"/>
        <v/>
      </c>
      <c r="W128" s="78">
        <f>INDEX(Regressions!$U$144:$U$150,MATCH($C128,Regressions!$N$144:$N$150,0))</f>
        <v>11.70025</v>
      </c>
      <c r="X128">
        <f>INDEX(Regressions!$S$144:$S$150,MATCH($C128,Regressions!$N$144:$N$150,0))</f>
        <v>8</v>
      </c>
      <c r="Y128">
        <f>INDEX(Regressions!$T$144:$T$150,MATCH($C128,Regressions!$N$144:$N$150,0))</f>
        <v>15.5</v>
      </c>
      <c r="Z128" t="str">
        <f>Units!B$85</f>
        <v>kg/day</v>
      </c>
      <c r="AA128">
        <f>Units!C$85</f>
        <v>2.2046226199999999</v>
      </c>
      <c r="AB128">
        <f>Units!D$85</f>
        <v>0.45359237038037831</v>
      </c>
      <c r="AC128" t="str">
        <f>Units!E$85</f>
        <v>lb/day</v>
      </c>
      <c r="AD128" t="str">
        <f>Units!F$85</f>
        <v>kg/day</v>
      </c>
      <c r="AE128" t="str">
        <f>Units!G$85</f>
        <v>kg/day</v>
      </c>
      <c r="AF128" t="str">
        <f>Units!H$85</f>
        <v>lb/day</v>
      </c>
    </row>
    <row r="129" spans="1:32" x14ac:dyDescent="0.3">
      <c r="A129" t="s">
        <v>819</v>
      </c>
      <c r="B129" t="s">
        <v>938</v>
      </c>
      <c r="C129" s="124" t="str">
        <f t="shared" si="52"/>
        <v>UDV.animal.manure</v>
      </c>
      <c r="D129" s="1091">
        <f t="shared" si="89"/>
        <v>2795.0049999999997</v>
      </c>
      <c r="E129" s="1093" t="str">
        <f t="shared" si="90"/>
        <v>kg/day</v>
      </c>
      <c r="F129" s="1095">
        <f t="shared" si="97"/>
        <v>6161.9312460130986</v>
      </c>
      <c r="H129" s="1101">
        <f t="shared" si="96"/>
        <v>6161.9312460130986</v>
      </c>
      <c r="I129" s="956" t="str">
        <f t="shared" si="92"/>
        <v>lb/day</v>
      </c>
      <c r="J129" t="s">
        <v>688</v>
      </c>
      <c r="L129">
        <f t="shared" si="98"/>
        <v>4313.3440000000001</v>
      </c>
      <c r="M129">
        <f t="shared" si="99"/>
        <v>8011.5990000000002</v>
      </c>
      <c r="N129">
        <f t="shared" si="95"/>
        <v>0</v>
      </c>
      <c r="O129" t="s">
        <v>935</v>
      </c>
      <c r="P129" t="s">
        <v>939</v>
      </c>
      <c r="Q129" t="s">
        <v>937</v>
      </c>
      <c r="V129" t="str">
        <f t="shared" si="78"/>
        <v/>
      </c>
      <c r="W129" s="78">
        <f>INDEX(Regressions!$U$144:$U$150,MATCH($C129,Regressions!$N$144:$N$150,0))</f>
        <v>2795.0049999999997</v>
      </c>
      <c r="X129">
        <f>INDEX(Regressions!$S$144:$S$150,MATCH($C129,Regressions!$N$144:$N$150,0))</f>
        <v>1956.5</v>
      </c>
      <c r="Y129">
        <f>INDEX(Regressions!$T$144:$T$150,MATCH($C129,Regressions!$N$144:$N$150,0))</f>
        <v>3634.0000000000005</v>
      </c>
      <c r="Z129" t="str">
        <f>Units!B$85</f>
        <v>kg/day</v>
      </c>
      <c r="AA129">
        <f>Units!C$85</f>
        <v>2.2046226199999999</v>
      </c>
      <c r="AB129">
        <f>Units!D$85</f>
        <v>0.45359237038037831</v>
      </c>
      <c r="AC129" t="str">
        <f>Units!E$85</f>
        <v>lb/day</v>
      </c>
      <c r="AD129" t="str">
        <f>Units!F$85</f>
        <v>kg/day</v>
      </c>
      <c r="AE129" t="str">
        <f>Units!G$85</f>
        <v>kg/day</v>
      </c>
      <c r="AF129" t="str">
        <f>Units!H$85</f>
        <v>lb/day</v>
      </c>
    </row>
    <row r="130" spans="1:32" x14ac:dyDescent="0.3">
      <c r="A130" t="s">
        <v>819</v>
      </c>
      <c r="B130" t="s">
        <v>84</v>
      </c>
      <c r="C130" s="124" t="str">
        <f t="shared" si="52"/>
        <v>UDV.animal.N</v>
      </c>
      <c r="D130" s="1091">
        <f t="shared" si="89"/>
        <v>26.000450000000001</v>
      </c>
      <c r="E130" s="1093" t="str">
        <f t="shared" si="90"/>
        <v>kg/day</v>
      </c>
      <c r="F130" s="1095">
        <f t="shared" si="97"/>
        <v>57.321180200179001</v>
      </c>
      <c r="H130" s="1101">
        <f t="shared" si="96"/>
        <v>57.321180200179001</v>
      </c>
      <c r="I130" s="956" t="str">
        <f t="shared" si="92"/>
        <v>lb/day</v>
      </c>
      <c r="J130" t="s">
        <v>688</v>
      </c>
      <c r="L130">
        <f t="shared" si="98"/>
        <v>39.683</v>
      </c>
      <c r="M130">
        <f t="shared" si="99"/>
        <v>74.957999999999998</v>
      </c>
      <c r="N130">
        <f t="shared" si="95"/>
        <v>0</v>
      </c>
      <c r="O130" t="s">
        <v>935</v>
      </c>
      <c r="P130" t="s">
        <v>940</v>
      </c>
      <c r="Q130" t="s">
        <v>937</v>
      </c>
      <c r="V130" t="str">
        <f t="shared" si="78"/>
        <v/>
      </c>
      <c r="W130" s="78">
        <f>INDEX(Regressions!$U$144:$U$150,MATCH($C130,Regressions!$N$144:$N$150,0))</f>
        <v>26.000450000000001</v>
      </c>
      <c r="X130">
        <f>INDEX(Regressions!$S$144:$S$150,MATCH($C130,Regressions!$N$144:$N$150,0))</f>
        <v>18</v>
      </c>
      <c r="Y130">
        <f>INDEX(Regressions!$T$144:$T$150,MATCH($C130,Regressions!$N$144:$N$150,0))</f>
        <v>34</v>
      </c>
      <c r="Z130" t="str">
        <f>Units!B$85</f>
        <v>kg/day</v>
      </c>
      <c r="AA130">
        <f>Units!C$85</f>
        <v>2.2046226199999999</v>
      </c>
      <c r="AB130">
        <f>Units!D$85</f>
        <v>0.45359237038037831</v>
      </c>
      <c r="AC130" t="str">
        <f>Units!E$85</f>
        <v>lb/day</v>
      </c>
      <c r="AD130" t="str">
        <f>Units!F$85</f>
        <v>kg/day</v>
      </c>
      <c r="AE130" t="str">
        <f>Units!G$85</f>
        <v>kg/day</v>
      </c>
      <c r="AF130" t="str">
        <f>Units!H$85</f>
        <v>lb/day</v>
      </c>
    </row>
    <row r="131" spans="1:32" x14ac:dyDescent="0.3">
      <c r="A131" t="s">
        <v>819</v>
      </c>
      <c r="B131" t="s">
        <v>941</v>
      </c>
      <c r="C131" s="124" t="str">
        <f t="shared" si="52"/>
        <v>UDV.animal.P2O5</v>
      </c>
      <c r="D131" s="1091">
        <f t="shared" si="89"/>
        <v>9.1001499999999993</v>
      </c>
      <c r="E131" s="1093" t="str">
        <f t="shared" si="90"/>
        <v>kg/day</v>
      </c>
      <c r="F131" s="1095">
        <f t="shared" si="97"/>
        <v>20.062396535392999</v>
      </c>
      <c r="H131" s="1101">
        <f t="shared" si="96"/>
        <v>20.062396535392999</v>
      </c>
      <c r="I131" s="956" t="str">
        <f t="shared" si="92"/>
        <v>lb/day</v>
      </c>
      <c r="J131" t="s">
        <v>688</v>
      </c>
      <c r="L131">
        <f t="shared" si="98"/>
        <v>13.227</v>
      </c>
      <c r="M131">
        <f t="shared" si="99"/>
        <v>26.456</v>
      </c>
      <c r="N131">
        <f t="shared" si="95"/>
        <v>0</v>
      </c>
      <c r="O131" t="s">
        <v>935</v>
      </c>
      <c r="P131" t="s">
        <v>942</v>
      </c>
      <c r="Q131" t="s">
        <v>937</v>
      </c>
      <c r="V131" t="str">
        <f t="shared" si="78"/>
        <v/>
      </c>
      <c r="W131" s="78">
        <f>INDEX(Regressions!$U$144:$U$150,MATCH($C131,Regressions!$N$144:$N$150,0))</f>
        <v>9.1001499999999993</v>
      </c>
      <c r="X131">
        <f>INDEX(Regressions!$S$144:$S$150,MATCH($C131,Regressions!$N$144:$N$150,0))</f>
        <v>6</v>
      </c>
      <c r="Y131">
        <f>INDEX(Regressions!$T$144:$T$150,MATCH($C131,Regressions!$N$144:$N$150,0))</f>
        <v>12</v>
      </c>
      <c r="Z131" t="str">
        <f>Units!B$85</f>
        <v>kg/day</v>
      </c>
      <c r="AA131">
        <f>Units!C$85</f>
        <v>2.2046226199999999</v>
      </c>
      <c r="AB131">
        <f>Units!D$85</f>
        <v>0.45359237038037831</v>
      </c>
      <c r="AC131" t="str">
        <f>Units!E$85</f>
        <v>lb/day</v>
      </c>
      <c r="AD131" t="str">
        <f>Units!F$85</f>
        <v>kg/day</v>
      </c>
      <c r="AE131" t="str">
        <f>Units!G$85</f>
        <v>kg/day</v>
      </c>
      <c r="AF131" t="str">
        <f>Units!H$85</f>
        <v>lb/day</v>
      </c>
    </row>
    <row r="132" spans="1:32" x14ac:dyDescent="0.3">
      <c r="A132" t="s">
        <v>819</v>
      </c>
      <c r="B132" t="s">
        <v>705</v>
      </c>
      <c r="C132" s="124" t="str">
        <f t="shared" si="52"/>
        <v>UDV.animal.TAN</v>
      </c>
      <c r="D132" s="1091">
        <f t="shared" si="89"/>
        <v>11.700249999999999</v>
      </c>
      <c r="E132" s="1093" t="str">
        <f t="shared" si="90"/>
        <v>kg/day</v>
      </c>
      <c r="F132" s="1095">
        <f t="shared" si="97"/>
        <v>25.794635809654999</v>
      </c>
      <c r="H132" s="1101">
        <f t="shared" si="96"/>
        <v>25.794635809654999</v>
      </c>
      <c r="I132" s="956" t="str">
        <f t="shared" si="92"/>
        <v>lb/day</v>
      </c>
      <c r="J132" t="s">
        <v>688</v>
      </c>
      <c r="L132">
        <f t="shared" si="98"/>
        <v>17.635999999999999</v>
      </c>
      <c r="M132">
        <f t="shared" si="99"/>
        <v>34.171999999999997</v>
      </c>
      <c r="N132">
        <f t="shared" si="95"/>
        <v>0</v>
      </c>
      <c r="O132" t="s">
        <v>935</v>
      </c>
      <c r="P132" t="s">
        <v>943</v>
      </c>
      <c r="Q132" t="s">
        <v>937</v>
      </c>
      <c r="V132" t="str">
        <f t="shared" si="78"/>
        <v/>
      </c>
      <c r="W132" s="78">
        <f>INDEX(Regressions!$U$144:$U$150,MATCH($C132,Regressions!$N$144:$N$150,0))</f>
        <v>11.70025</v>
      </c>
      <c r="X132">
        <f>INDEX(Regressions!$S$144:$S$150,MATCH($C132,Regressions!$N$144:$N$150,0))</f>
        <v>8</v>
      </c>
      <c r="Y132">
        <f>INDEX(Regressions!$T$144:$T$150,MATCH($C132,Regressions!$N$144:$N$150,0))</f>
        <v>15.5</v>
      </c>
      <c r="Z132" t="str">
        <f>Units!B$85</f>
        <v>kg/day</v>
      </c>
      <c r="AA132">
        <f>Units!C$85</f>
        <v>2.2046226199999999</v>
      </c>
      <c r="AB132">
        <f>Units!D$85</f>
        <v>0.45359237038037831</v>
      </c>
      <c r="AC132" t="str">
        <f>Units!E$85</f>
        <v>lb/day</v>
      </c>
      <c r="AD132" t="str">
        <f>Units!F$85</f>
        <v>kg/day</v>
      </c>
      <c r="AE132" t="str">
        <f>Units!G$85</f>
        <v>kg/day</v>
      </c>
      <c r="AF132" t="str">
        <f>Units!H$85</f>
        <v>lb/day</v>
      </c>
    </row>
    <row r="133" spans="1:32" x14ac:dyDescent="0.3">
      <c r="A133" t="s">
        <v>819</v>
      </c>
      <c r="B133" t="s">
        <v>944</v>
      </c>
      <c r="C133" s="124" t="str">
        <f t="shared" si="52"/>
        <v>UDV.animal.total</v>
      </c>
      <c r="D133" s="1091">
        <f t="shared" si="89"/>
        <v>500</v>
      </c>
      <c r="E133" s="1093" t="str">
        <f t="shared" si="90"/>
        <v>head</v>
      </c>
      <c r="F133" s="1095">
        <f t="shared" si="97"/>
        <v>500</v>
      </c>
      <c r="G133" s="1111">
        <f>H133</f>
        <v>500</v>
      </c>
      <c r="H133" s="1103">
        <f>W133</f>
        <v>500</v>
      </c>
      <c r="I133" s="956" t="str">
        <f t="shared" si="92"/>
        <v>head</v>
      </c>
      <c r="J133" t="s">
        <v>688</v>
      </c>
      <c r="L133" s="302"/>
      <c r="M133" s="302"/>
      <c r="N133">
        <f t="shared" si="95"/>
        <v>0</v>
      </c>
      <c r="O133" t="s">
        <v>839</v>
      </c>
      <c r="P133" t="s">
        <v>945</v>
      </c>
      <c r="Q133" t="s">
        <v>946</v>
      </c>
      <c r="R133" s="696" t="s">
        <v>84</v>
      </c>
      <c r="S133" t="s">
        <v>84</v>
      </c>
      <c r="V133" t="str">
        <f t="shared" si="78"/>
        <v>Fix</v>
      </c>
      <c r="W133" s="78">
        <f>UDV.animal.a_count * UDV.animal.a_treated + UDV.animal.b_count * UDV.animal.b_treated + UDV.animal.c_count * UDV.animal.c_treated + UDV.animal.d_count * UDV.animal.d_treated  + UDV.animal.e_count *UDV.animal.e_treated</f>
        <v>500</v>
      </c>
      <c r="X133">
        <v>0</v>
      </c>
      <c r="Y133">
        <v>0</v>
      </c>
      <c r="Z133" t="str">
        <f>Units!B$37</f>
        <v>head</v>
      </c>
      <c r="AA133">
        <f>Units!C$37</f>
        <v>1</v>
      </c>
      <c r="AB133">
        <f>Units!D$37</f>
        <v>1</v>
      </c>
      <c r="AC133" t="str">
        <f>Units!E$37</f>
        <v>head</v>
      </c>
      <c r="AD133" t="str">
        <f>Units!F$37</f>
        <v>head</v>
      </c>
      <c r="AE133" t="str">
        <f>Units!G$37</f>
        <v>head</v>
      </c>
      <c r="AF133" t="str">
        <f>Units!H$37</f>
        <v>head</v>
      </c>
    </row>
    <row r="134" spans="1:32" x14ac:dyDescent="0.3">
      <c r="A134" t="s">
        <v>819</v>
      </c>
      <c r="B134" t="s">
        <v>706</v>
      </c>
      <c r="C134" s="124" t="str">
        <f t="shared" si="52"/>
        <v>UDV.animal.TS</v>
      </c>
      <c r="D134" s="1091">
        <f t="shared" si="89"/>
        <v>273.00499999999988</v>
      </c>
      <c r="E134" s="1093" t="str">
        <f t="shared" si="90"/>
        <v>kg/day</v>
      </c>
      <c r="F134" s="1095">
        <f t="shared" si="97"/>
        <v>601.87299837309979</v>
      </c>
      <c r="H134" s="1101">
        <f t="shared" ref="H134:H207" si="100">$W134*$AA134</f>
        <v>601.87299837309979</v>
      </c>
      <c r="I134" s="956" t="str">
        <f t="shared" si="92"/>
        <v>lb/day</v>
      </c>
      <c r="J134" t="s">
        <v>688</v>
      </c>
      <c r="L134">
        <f t="shared" ref="L134:L177" si="101">ROUNDDOWN($X134*$AA134,3)</f>
        <v>421.08199999999999</v>
      </c>
      <c r="M134">
        <f t="shared" ref="M134:M177" si="102">ROUNDUP($Y134*$AA134,3)</f>
        <v>782.64199999999994</v>
      </c>
      <c r="N134">
        <f t="shared" si="95"/>
        <v>0</v>
      </c>
      <c r="O134" t="s">
        <v>935</v>
      </c>
      <c r="P134" t="s">
        <v>947</v>
      </c>
      <c r="Q134" t="s">
        <v>937</v>
      </c>
      <c r="V134" t="str">
        <f t="shared" si="78"/>
        <v/>
      </c>
      <c r="W134" s="78">
        <f>INDEX(Regressions!$U$144:$U$150,MATCH($C134,Regressions!$N$144:$N$150,0))</f>
        <v>273.00499999999994</v>
      </c>
      <c r="X134">
        <f>INDEX(Regressions!$S$144:$S$150,MATCH($C134,Regressions!$N$144:$N$150,0))</f>
        <v>191</v>
      </c>
      <c r="Y134">
        <f>INDEX(Regressions!$T$144:$T$150,MATCH($C134,Regressions!$N$144:$N$150,0))</f>
        <v>355</v>
      </c>
      <c r="Z134" t="str">
        <f>Units!B$85</f>
        <v>kg/day</v>
      </c>
      <c r="AA134">
        <f>Units!C$85</f>
        <v>2.2046226199999999</v>
      </c>
      <c r="AB134">
        <f>Units!D$85</f>
        <v>0.45359237038037831</v>
      </c>
      <c r="AC134" t="str">
        <f>Units!E$85</f>
        <v>lb/day</v>
      </c>
      <c r="AD134" t="str">
        <f>Units!F$85</f>
        <v>kg/day</v>
      </c>
      <c r="AE134" t="str">
        <f>Units!G$85</f>
        <v>kg/day</v>
      </c>
      <c r="AF134" t="str">
        <f>Units!H$85</f>
        <v>lb/day</v>
      </c>
    </row>
    <row r="135" spans="1:32" s="34" customFormat="1" x14ac:dyDescent="0.3">
      <c r="A135" t="s">
        <v>819</v>
      </c>
      <c r="B135" t="s">
        <v>708</v>
      </c>
      <c r="C135" s="124" t="str">
        <f t="shared" si="52"/>
        <v>UDV.animal.VS</v>
      </c>
      <c r="D135" s="1091">
        <f t="shared" si="89"/>
        <v>221.00449999999995</v>
      </c>
      <c r="E135" s="1093" t="str">
        <f t="shared" si="90"/>
        <v>kg/day</v>
      </c>
      <c r="F135" s="1095">
        <f t="shared" si="97"/>
        <v>487.2315198217899</v>
      </c>
      <c r="G135" s="1098"/>
      <c r="H135" s="1101">
        <f t="shared" si="100"/>
        <v>487.2315198217899</v>
      </c>
      <c r="I135" s="956" t="str">
        <f t="shared" si="92"/>
        <v>lb/day</v>
      </c>
      <c r="J135" t="s">
        <v>688</v>
      </c>
      <c r="K135"/>
      <c r="L135">
        <f t="shared" si="101"/>
        <v>340.61399999999998</v>
      </c>
      <c r="M135">
        <f t="shared" si="102"/>
        <v>633.82999999999993</v>
      </c>
      <c r="N135">
        <f t="shared" si="95"/>
        <v>0</v>
      </c>
      <c r="O135" t="s">
        <v>935</v>
      </c>
      <c r="P135" t="s">
        <v>948</v>
      </c>
      <c r="Q135" t="s">
        <v>937</v>
      </c>
      <c r="R135" s="696"/>
      <c r="S135"/>
      <c r="T135" s="127"/>
      <c r="U135"/>
      <c r="V135" t="str">
        <f t="shared" si="78"/>
        <v/>
      </c>
      <c r="W135" s="78">
        <f>INDEX(Regressions!$U$144:$U$150,MATCH($C135,Regressions!$N$144:$N$150,0))</f>
        <v>221.00449999999998</v>
      </c>
      <c r="X135">
        <f>INDEX(Regressions!$S$144:$S$150,MATCH($C135,Regressions!$N$144:$N$150,0))</f>
        <v>154.5</v>
      </c>
      <c r="Y135">
        <f>INDEX(Regressions!$T$144:$T$150,MATCH($C135,Regressions!$N$144:$N$150,0))</f>
        <v>287.5</v>
      </c>
      <c r="Z135" t="str">
        <f>Units!B$85</f>
        <v>kg/day</v>
      </c>
      <c r="AA135">
        <f>Units!C$85</f>
        <v>2.2046226199999999</v>
      </c>
      <c r="AB135">
        <f>Units!D$85</f>
        <v>0.45359237038037831</v>
      </c>
      <c r="AC135" t="str">
        <f>Units!E$85</f>
        <v>lb/day</v>
      </c>
      <c r="AD135" t="str">
        <f>Units!F$85</f>
        <v>kg/day</v>
      </c>
      <c r="AE135" t="str">
        <f>Units!G$85</f>
        <v>kg/day</v>
      </c>
      <c r="AF135" t="str">
        <f>Units!H$85</f>
        <v>lb/day</v>
      </c>
    </row>
    <row r="136" spans="1:32" s="34" customFormat="1" x14ac:dyDescent="0.3">
      <c r="A136" t="s">
        <v>949</v>
      </c>
      <c r="B136" t="s">
        <v>950</v>
      </c>
      <c r="C136" s="124" t="str">
        <f t="shared" si="52"/>
        <v>UDV.barn_recharge.N_loss</v>
      </c>
      <c r="D136" s="1091">
        <f t="shared" si="89"/>
        <v>0</v>
      </c>
      <c r="E136" s="1093" t="str">
        <f t="shared" si="90"/>
        <v>fraction</v>
      </c>
      <c r="F136" s="1095">
        <f t="shared" si="97"/>
        <v>0</v>
      </c>
      <c r="G136" s="1098"/>
      <c r="H136" s="1101">
        <f t="shared" si="100"/>
        <v>0</v>
      </c>
      <c r="I136" s="956" t="str">
        <f t="shared" si="92"/>
        <v>fraction</v>
      </c>
      <c r="J136" t="s">
        <v>660</v>
      </c>
      <c r="K136"/>
      <c r="L136">
        <f t="shared" si="101"/>
        <v>0</v>
      </c>
      <c r="M136">
        <f t="shared" si="102"/>
        <v>0.1</v>
      </c>
      <c r="N136">
        <f t="shared" si="95"/>
        <v>1</v>
      </c>
      <c r="O136" t="s">
        <v>951</v>
      </c>
      <c r="P136" t="s">
        <v>952</v>
      </c>
      <c r="Q136"/>
      <c r="R136" s="696"/>
      <c r="S136"/>
      <c r="T136" s="127"/>
      <c r="U136"/>
      <c r="V136" t="str">
        <f t="shared" si="78"/>
        <v/>
      </c>
      <c r="W136" s="78">
        <v>0</v>
      </c>
      <c r="X136">
        <v>0</v>
      </c>
      <c r="Y136">
        <v>0.1</v>
      </c>
      <c r="Z136" t="str">
        <f>Units!B$35</f>
        <v>fraction</v>
      </c>
      <c r="AA136">
        <f>Units!C$35</f>
        <v>1</v>
      </c>
      <c r="AB136">
        <f>Units!D$35</f>
        <v>1</v>
      </c>
      <c r="AC136" t="str">
        <f>Units!E$35</f>
        <v>fraction</v>
      </c>
      <c r="AD136" t="str">
        <f>Units!F$35</f>
        <v>fraction</v>
      </c>
      <c r="AE136" t="str">
        <f>Units!G$35</f>
        <v>fraction</v>
      </c>
      <c r="AF136" t="str">
        <f>Units!H$35</f>
        <v>fraction</v>
      </c>
    </row>
    <row r="137" spans="1:32" s="34" customFormat="1" x14ac:dyDescent="0.3">
      <c r="A137" t="s">
        <v>953</v>
      </c>
      <c r="B137" t="s">
        <v>950</v>
      </c>
      <c r="C137" s="124" t="str">
        <f t="shared" si="52"/>
        <v>UDV.barn_scrape.N_loss</v>
      </c>
      <c r="D137" s="1091">
        <f t="shared" si="89"/>
        <v>0</v>
      </c>
      <c r="E137" s="1093" t="str">
        <f t="shared" si="90"/>
        <v>fraction</v>
      </c>
      <c r="F137" s="1095">
        <f t="shared" si="97"/>
        <v>0</v>
      </c>
      <c r="G137" s="1098"/>
      <c r="H137" s="1101">
        <f t="shared" si="100"/>
        <v>0</v>
      </c>
      <c r="I137" s="956" t="str">
        <f t="shared" si="92"/>
        <v>fraction</v>
      </c>
      <c r="J137" t="s">
        <v>660</v>
      </c>
      <c r="K137"/>
      <c r="L137">
        <f t="shared" si="101"/>
        <v>0</v>
      </c>
      <c r="M137">
        <f t="shared" si="102"/>
        <v>0.2</v>
      </c>
      <c r="N137">
        <f t="shared" si="95"/>
        <v>1</v>
      </c>
      <c r="O137" t="s">
        <v>954</v>
      </c>
      <c r="P137" t="s">
        <v>952</v>
      </c>
      <c r="Q137"/>
      <c r="R137" s="696"/>
      <c r="S137"/>
      <c r="T137" s="127"/>
      <c r="U137"/>
      <c r="V137" t="str">
        <f t="shared" si="78"/>
        <v/>
      </c>
      <c r="W137" s="78">
        <v>0</v>
      </c>
      <c r="X137">
        <v>0</v>
      </c>
      <c r="Y137">
        <v>0.19999999999999996</v>
      </c>
      <c r="Z137" t="str">
        <f>Units!B$35</f>
        <v>fraction</v>
      </c>
      <c r="AA137">
        <f>Units!C$35</f>
        <v>1</v>
      </c>
      <c r="AB137">
        <f>Units!D$35</f>
        <v>1</v>
      </c>
      <c r="AC137" t="str">
        <f>Units!E$35</f>
        <v>fraction</v>
      </c>
      <c r="AD137" t="str">
        <f>Units!F$35</f>
        <v>fraction</v>
      </c>
      <c r="AE137" t="str">
        <f>Units!G$35</f>
        <v>fraction</v>
      </c>
      <c r="AF137" t="str">
        <f>Units!H$35</f>
        <v>fraction</v>
      </c>
    </row>
    <row r="138" spans="1:32" x14ac:dyDescent="0.3">
      <c r="A138" t="s">
        <v>955</v>
      </c>
      <c r="B138" t="s">
        <v>956</v>
      </c>
      <c r="C138" s="124" t="str">
        <f t="shared" si="52"/>
        <v>UDV.bed_organic.density</v>
      </c>
      <c r="D138" s="1091">
        <f t="shared" si="89"/>
        <v>209.99999999999997</v>
      </c>
      <c r="E138" s="1093" t="str">
        <f t="shared" si="90"/>
        <v>kg/m3</v>
      </c>
      <c r="F138" s="1095">
        <f t="shared" si="97"/>
        <v>13.10987328780087</v>
      </c>
      <c r="H138" s="1101">
        <f t="shared" si="100"/>
        <v>13.10987328780087</v>
      </c>
      <c r="I138" s="956" t="str">
        <f t="shared" si="92"/>
        <v>lb/ft3</v>
      </c>
      <c r="J138" t="s">
        <v>660</v>
      </c>
      <c r="L138">
        <f t="shared" si="101"/>
        <v>12.484999999999999</v>
      </c>
      <c r="M138">
        <f t="shared" si="102"/>
        <v>13.11</v>
      </c>
      <c r="N138">
        <f t="shared" si="95"/>
        <v>0</v>
      </c>
      <c r="O138" t="s">
        <v>957</v>
      </c>
      <c r="P138" t="s">
        <v>958</v>
      </c>
      <c r="S138" t="s">
        <v>84</v>
      </c>
      <c r="V138" t="str">
        <f t="shared" si="78"/>
        <v/>
      </c>
      <c r="W138" s="78">
        <v>210</v>
      </c>
      <c r="X138">
        <v>200</v>
      </c>
      <c r="Y138">
        <v>210</v>
      </c>
      <c r="Z138" t="str">
        <f>Units!B$89</f>
        <v>kg/m3</v>
      </c>
      <c r="AA138">
        <f>Units!C$89</f>
        <v>6.2427968037147001E-2</v>
      </c>
      <c r="AB138">
        <f>Units!D$89</f>
        <v>16.018461459533043</v>
      </c>
      <c r="AC138" t="str">
        <f>Units!E$89</f>
        <v>lb/ft3</v>
      </c>
      <c r="AD138" t="str">
        <f>Units!F$89</f>
        <v>kg/m3</v>
      </c>
      <c r="AE138" t="str">
        <f>Units!G$89</f>
        <v>kg/m3</v>
      </c>
      <c r="AF138" t="str">
        <f>Units!H$89</f>
        <v>lb/ft3</v>
      </c>
    </row>
    <row r="139" spans="1:32" x14ac:dyDescent="0.3">
      <c r="A139" t="s">
        <v>955</v>
      </c>
      <c r="B139" t="s">
        <v>959</v>
      </c>
      <c r="C139" s="124" t="str">
        <f t="shared" si="52"/>
        <v>UDV.bed_organic.dry_matter</v>
      </c>
      <c r="D139" s="1091">
        <f t="shared" si="89"/>
        <v>0.9</v>
      </c>
      <c r="E139" s="1093" t="str">
        <f t="shared" si="90"/>
        <v>fraction</v>
      </c>
      <c r="F139" s="1095">
        <f t="shared" si="97"/>
        <v>0.9</v>
      </c>
      <c r="H139" s="1101">
        <f t="shared" si="100"/>
        <v>0.9</v>
      </c>
      <c r="I139" s="956" t="str">
        <f t="shared" si="92"/>
        <v>fraction</v>
      </c>
      <c r="J139" t="s">
        <v>660</v>
      </c>
      <c r="L139">
        <f t="shared" si="101"/>
        <v>0.7</v>
      </c>
      <c r="M139">
        <f t="shared" si="102"/>
        <v>0.9</v>
      </c>
      <c r="N139">
        <f t="shared" si="95"/>
        <v>0</v>
      </c>
      <c r="O139" t="s">
        <v>957</v>
      </c>
      <c r="P139" t="s">
        <v>960</v>
      </c>
      <c r="S139" t="s">
        <v>84</v>
      </c>
      <c r="V139" t="str">
        <f t="shared" si="78"/>
        <v/>
      </c>
      <c r="W139" s="78">
        <v>0.9</v>
      </c>
      <c r="X139">
        <v>0.7</v>
      </c>
      <c r="Y139">
        <v>0.9</v>
      </c>
      <c r="Z139" t="str">
        <f>Units!B$35</f>
        <v>fraction</v>
      </c>
      <c r="AA139">
        <f>Units!C$35</f>
        <v>1</v>
      </c>
      <c r="AB139">
        <f>Units!D$35</f>
        <v>1</v>
      </c>
      <c r="AC139" t="str">
        <f>Units!E$35</f>
        <v>fraction</v>
      </c>
      <c r="AD139" t="str">
        <f>Units!F$35</f>
        <v>fraction</v>
      </c>
      <c r="AE139" t="str">
        <f>Units!G$35</f>
        <v>fraction</v>
      </c>
      <c r="AF139" t="str">
        <f>Units!H$35</f>
        <v>fraction</v>
      </c>
    </row>
    <row r="140" spans="1:32" x14ac:dyDescent="0.3">
      <c r="A140" t="s">
        <v>955</v>
      </c>
      <c r="B140" t="s">
        <v>961</v>
      </c>
      <c r="C140" s="124" t="str">
        <f t="shared" si="52"/>
        <v>UDV.bed_organic.fraction_recycled</v>
      </c>
      <c r="D140" s="944">
        <f t="shared" si="89"/>
        <v>1</v>
      </c>
      <c r="E140" s="125" t="str">
        <f t="shared" si="90"/>
        <v>fraction</v>
      </c>
      <c r="F140" s="1330">
        <f t="shared" si="97"/>
        <v>1</v>
      </c>
      <c r="G140" s="1334"/>
      <c r="H140" s="78">
        <f t="shared" si="100"/>
        <v>1</v>
      </c>
      <c r="I140" s="1325" t="str">
        <f t="shared" si="92"/>
        <v>fraction</v>
      </c>
      <c r="J140" s="128" t="s">
        <v>660</v>
      </c>
      <c r="K140" s="124"/>
      <c r="L140">
        <f t="shared" si="101"/>
        <v>0</v>
      </c>
      <c r="M140">
        <f t="shared" si="102"/>
        <v>1</v>
      </c>
      <c r="N140">
        <f>IF(AND(G140&gt;=L140,G140&lt;=M140),1,0)</f>
        <v>1</v>
      </c>
      <c r="O140" s="128" t="s">
        <v>957</v>
      </c>
      <c r="P140" s="128" t="s">
        <v>962</v>
      </c>
      <c r="Q140" s="128"/>
      <c r="R140" s="711"/>
      <c r="S140" t="s">
        <v>84</v>
      </c>
      <c r="W140">
        <v>1</v>
      </c>
      <c r="X140">
        <v>0</v>
      </c>
      <c r="Y140">
        <v>1</v>
      </c>
      <c r="Z140" t="str">
        <f>Units!B$35</f>
        <v>fraction</v>
      </c>
      <c r="AA140">
        <f>Units!C$35</f>
        <v>1</v>
      </c>
      <c r="AB140">
        <f>Units!D$35</f>
        <v>1</v>
      </c>
      <c r="AC140" t="str">
        <f>Units!E$35</f>
        <v>fraction</v>
      </c>
      <c r="AD140" t="str">
        <f>Units!F$35</f>
        <v>fraction</v>
      </c>
      <c r="AE140" t="str">
        <f>Units!G$35</f>
        <v>fraction</v>
      </c>
      <c r="AF140" t="str">
        <f>Units!H$35</f>
        <v>fraction</v>
      </c>
    </row>
    <row r="141" spans="1:32" x14ac:dyDescent="0.3">
      <c r="A141" t="s">
        <v>955</v>
      </c>
      <c r="B141" t="s">
        <v>963</v>
      </c>
      <c r="C141" s="124" t="str">
        <f t="shared" si="52"/>
        <v>UDV.bed_organic.usage</v>
      </c>
      <c r="D141" s="1091">
        <f t="shared" si="89"/>
        <v>1.97</v>
      </c>
      <c r="E141" s="1093" t="str">
        <f t="shared" si="90"/>
        <v>kg/head/day</v>
      </c>
      <c r="F141" s="1095">
        <f t="shared" si="97"/>
        <v>4.3431065614</v>
      </c>
      <c r="H141" s="1101">
        <f t="shared" si="100"/>
        <v>4.3431065614</v>
      </c>
      <c r="I141" s="956" t="str">
        <f t="shared" si="92"/>
        <v>lb/head/day</v>
      </c>
      <c r="J141" t="s">
        <v>660</v>
      </c>
      <c r="L141">
        <f t="shared" si="101"/>
        <v>3.7690000000000001</v>
      </c>
      <c r="M141">
        <f t="shared" si="102"/>
        <v>4.3440000000000003</v>
      </c>
      <c r="N141">
        <f t="shared" ref="N141:N186" si="103">IF(AND(G141&lt;=M141, G141&gt;=L141),1,0)</f>
        <v>0</v>
      </c>
      <c r="O141" t="s">
        <v>957</v>
      </c>
      <c r="P141" t="s">
        <v>964</v>
      </c>
      <c r="S141" t="s">
        <v>84</v>
      </c>
      <c r="V141" t="str">
        <f t="shared" ref="V141:V212" si="104">IF(OR((M141-L141)&lt;=0,H141&gt;M141,H141&lt;L141),"Fix","")</f>
        <v/>
      </c>
      <c r="W141" s="78">
        <v>1.97</v>
      </c>
      <c r="X141">
        <v>1.71</v>
      </c>
      <c r="Y141">
        <v>1.97</v>
      </c>
      <c r="Z141" t="str">
        <f>Units!B$69</f>
        <v>kg/head/day</v>
      </c>
      <c r="AA141">
        <f>Units!C$69</f>
        <v>2.2046226199999999</v>
      </c>
      <c r="AB141">
        <f>Units!D$69</f>
        <v>0.45359237038037831</v>
      </c>
      <c r="AC141" t="str">
        <f>Units!E$69</f>
        <v>lb/head/day</v>
      </c>
      <c r="AD141" t="str">
        <f>Units!F$69</f>
        <v>kg/head/day</v>
      </c>
      <c r="AE141" t="str">
        <f>Units!G$69</f>
        <v>kg/head/day</v>
      </c>
      <c r="AF141" t="str">
        <f>Units!H$69</f>
        <v>lb/head/day</v>
      </c>
    </row>
    <row r="142" spans="1:32" x14ac:dyDescent="0.3">
      <c r="A142" t="s">
        <v>965</v>
      </c>
      <c r="B142" t="s">
        <v>956</v>
      </c>
      <c r="C142" s="124" t="str">
        <f t="shared" si="52"/>
        <v>UDV.bed_sand.density</v>
      </c>
      <c r="D142" s="1091">
        <f t="shared" si="89"/>
        <v>1499.9999999999998</v>
      </c>
      <c r="E142" s="1093" t="str">
        <f t="shared" si="90"/>
        <v>kg/m3</v>
      </c>
      <c r="F142" s="1095">
        <f t="shared" si="97"/>
        <v>93.641952055720495</v>
      </c>
      <c r="H142" s="1101">
        <f t="shared" si="100"/>
        <v>93.641952055720495</v>
      </c>
      <c r="I142" s="956" t="str">
        <f t="shared" si="92"/>
        <v>lb/ft3</v>
      </c>
      <c r="J142" t="s">
        <v>660</v>
      </c>
      <c r="L142">
        <f t="shared" si="101"/>
        <v>87.399000000000001</v>
      </c>
      <c r="M142">
        <f t="shared" si="102"/>
        <v>101.821</v>
      </c>
      <c r="N142">
        <f t="shared" si="103"/>
        <v>0</v>
      </c>
      <c r="O142" t="s">
        <v>966</v>
      </c>
      <c r="P142" t="s">
        <v>967</v>
      </c>
      <c r="S142" t="s">
        <v>84</v>
      </c>
      <c r="V142" t="str">
        <f t="shared" si="104"/>
        <v/>
      </c>
      <c r="W142" s="78">
        <v>1500</v>
      </c>
      <c r="X142">
        <v>1400</v>
      </c>
      <c r="Y142">
        <v>1631</v>
      </c>
      <c r="Z142" t="str">
        <f>Units!B$89</f>
        <v>kg/m3</v>
      </c>
      <c r="AA142">
        <f>Units!C$89</f>
        <v>6.2427968037147001E-2</v>
      </c>
      <c r="AB142">
        <f>Units!D$89</f>
        <v>16.018461459533043</v>
      </c>
      <c r="AC142" t="str">
        <f>Units!E$89</f>
        <v>lb/ft3</v>
      </c>
      <c r="AD142" t="str">
        <f>Units!F$89</f>
        <v>kg/m3</v>
      </c>
      <c r="AE142" t="str">
        <f>Units!G$89</f>
        <v>kg/m3</v>
      </c>
      <c r="AF142" t="str">
        <f>Units!H$89</f>
        <v>lb/ft3</v>
      </c>
    </row>
    <row r="143" spans="1:32" x14ac:dyDescent="0.3">
      <c r="A143" t="s">
        <v>965</v>
      </c>
      <c r="B143" t="s">
        <v>959</v>
      </c>
      <c r="C143" s="124" t="str">
        <f t="shared" si="52"/>
        <v>UDV.bed_sand.dry_matter</v>
      </c>
      <c r="D143" s="1091">
        <f t="shared" si="89"/>
        <v>0.9</v>
      </c>
      <c r="E143" s="1093" t="str">
        <f t="shared" si="90"/>
        <v>fraction</v>
      </c>
      <c r="F143" s="1095">
        <f t="shared" si="97"/>
        <v>0.9</v>
      </c>
      <c r="H143" s="1101">
        <f t="shared" si="100"/>
        <v>0.9</v>
      </c>
      <c r="I143" s="956" t="str">
        <f t="shared" si="92"/>
        <v>fraction</v>
      </c>
      <c r="J143" t="s">
        <v>660</v>
      </c>
      <c r="L143">
        <f t="shared" si="101"/>
        <v>0.7</v>
      </c>
      <c r="M143">
        <f t="shared" si="102"/>
        <v>0.9</v>
      </c>
      <c r="N143">
        <f t="shared" si="103"/>
        <v>0</v>
      </c>
      <c r="O143" t="s">
        <v>966</v>
      </c>
      <c r="P143" t="s">
        <v>968</v>
      </c>
      <c r="S143" t="s">
        <v>84</v>
      </c>
      <c r="V143" t="str">
        <f t="shared" si="104"/>
        <v/>
      </c>
      <c r="W143" s="78">
        <v>0.9</v>
      </c>
      <c r="X143">
        <v>0.7</v>
      </c>
      <c r="Y143">
        <v>0.9</v>
      </c>
      <c r="Z143" t="str">
        <f>Units!B$35</f>
        <v>fraction</v>
      </c>
      <c r="AA143">
        <f>Units!C$35</f>
        <v>1</v>
      </c>
      <c r="AB143">
        <f>Units!D$35</f>
        <v>1</v>
      </c>
      <c r="AC143" t="str">
        <f>Units!E$35</f>
        <v>fraction</v>
      </c>
      <c r="AD143" t="str">
        <f>Units!F$35</f>
        <v>fraction</v>
      </c>
      <c r="AE143" t="str">
        <f>Units!G$35</f>
        <v>fraction</v>
      </c>
      <c r="AF143" t="str">
        <f>Units!H$35</f>
        <v>fraction</v>
      </c>
    </row>
    <row r="144" spans="1:32" x14ac:dyDescent="0.3">
      <c r="A144" t="s">
        <v>965</v>
      </c>
      <c r="B144" t="s">
        <v>963</v>
      </c>
      <c r="C144" s="124" t="str">
        <f t="shared" si="52"/>
        <v>UDV.bed_sand.usage</v>
      </c>
      <c r="D144" s="1091">
        <f t="shared" si="89"/>
        <v>20</v>
      </c>
      <c r="E144" s="1093" t="str">
        <f t="shared" si="90"/>
        <v>kg/head/day</v>
      </c>
      <c r="F144" s="1095">
        <f t="shared" si="97"/>
        <v>44.092452399999999</v>
      </c>
      <c r="H144" s="1101">
        <f t="shared" si="100"/>
        <v>44.092452399999999</v>
      </c>
      <c r="I144" s="956" t="str">
        <f t="shared" si="92"/>
        <v>lb/head/day</v>
      </c>
      <c r="J144" t="s">
        <v>660</v>
      </c>
      <c r="L144">
        <f t="shared" si="101"/>
        <v>33.069000000000003</v>
      </c>
      <c r="M144">
        <f t="shared" si="102"/>
        <v>55.116</v>
      </c>
      <c r="N144">
        <f t="shared" si="103"/>
        <v>0</v>
      </c>
      <c r="O144" t="s">
        <v>966</v>
      </c>
      <c r="P144" t="s">
        <v>969</v>
      </c>
      <c r="S144" t="s">
        <v>84</v>
      </c>
      <c r="V144" t="str">
        <f t="shared" si="104"/>
        <v/>
      </c>
      <c r="W144" s="78">
        <v>20</v>
      </c>
      <c r="X144">
        <v>15</v>
      </c>
      <c r="Y144">
        <v>25</v>
      </c>
      <c r="Z144" t="str">
        <f>Units!B$69</f>
        <v>kg/head/day</v>
      </c>
      <c r="AA144">
        <f>Units!C$69</f>
        <v>2.2046226199999999</v>
      </c>
      <c r="AB144">
        <f>Units!D$69</f>
        <v>0.45359237038037831</v>
      </c>
      <c r="AC144" t="str">
        <f>Units!E$69</f>
        <v>lb/head/day</v>
      </c>
      <c r="AD144" t="str">
        <f>Units!F$69</f>
        <v>kg/head/day</v>
      </c>
      <c r="AE144" t="str">
        <f>Units!G$69</f>
        <v>kg/head/day</v>
      </c>
      <c r="AF144" t="str">
        <f>Units!H$69</f>
        <v>lb/head/day</v>
      </c>
    </row>
    <row r="145" spans="1:32" x14ac:dyDescent="0.3">
      <c r="A145" s="944" t="s">
        <v>970</v>
      </c>
      <c r="B145" s="944" t="s">
        <v>971</v>
      </c>
      <c r="C145" s="124" t="str">
        <f t="shared" si="52"/>
        <v>UDV.box_spreader.hp</v>
      </c>
      <c r="D145" s="944">
        <f>$F145*$AB145</f>
        <v>85</v>
      </c>
      <c r="E145" s="125" t="str">
        <f>$AD145</f>
        <v>hp</v>
      </c>
      <c r="F145" s="944">
        <f>IF(OR(G145="",N145=0),H145,G145)</f>
        <v>85</v>
      </c>
      <c r="G145" s="126"/>
      <c r="H145">
        <f>$W145*$AA145</f>
        <v>85</v>
      </c>
      <c r="I145" s="1325" t="str">
        <f>$AC145</f>
        <v>hp</v>
      </c>
      <c r="J145" t="s">
        <v>660</v>
      </c>
      <c r="K145" s="124"/>
      <c r="L145">
        <f t="shared" ref="L145:L147" si="105">ROUNDDOWN($X145*$AA145,2)</f>
        <v>50</v>
      </c>
      <c r="M145">
        <f t="shared" ref="M145:M147" si="106">ROUNDUP($Y145*$AA145,2)</f>
        <v>125</v>
      </c>
      <c r="N145">
        <f>IF(AND(M145 - G145 &gt;= 0, G145 - L145 &gt;=0),1,0)</f>
        <v>0</v>
      </c>
      <c r="O145" s="944" t="s">
        <v>972</v>
      </c>
      <c r="P145" t="s">
        <v>973</v>
      </c>
      <c r="R145" s="711"/>
      <c r="S145" t="s">
        <v>84</v>
      </c>
      <c r="W145">
        <v>85</v>
      </c>
      <c r="X145">
        <v>50</v>
      </c>
      <c r="Y145">
        <v>125</v>
      </c>
      <c r="Z145" s="1325" t="str">
        <f>Units!B$99</f>
        <v>hp</v>
      </c>
      <c r="AA145" s="1325">
        <f>Units!C$99</f>
        <v>1</v>
      </c>
      <c r="AB145" s="1325">
        <f>Units!D$99</f>
        <v>1</v>
      </c>
      <c r="AC145" s="1325" t="str">
        <f>Units!E$99</f>
        <v>hp</v>
      </c>
      <c r="AD145" s="1325" t="str">
        <f>Units!F$99</f>
        <v>hp</v>
      </c>
      <c r="AE145" s="1325" t="str">
        <f>Units!G$99</f>
        <v>hp</v>
      </c>
      <c r="AF145" s="1325" t="str">
        <f>Units!H$99</f>
        <v>hp</v>
      </c>
    </row>
    <row r="146" spans="1:32" x14ac:dyDescent="0.3">
      <c r="A146" s="944" t="s">
        <v>970</v>
      </c>
      <c r="B146" s="944" t="s">
        <v>974</v>
      </c>
      <c r="C146" s="124" t="str">
        <f t="shared" si="52"/>
        <v>UDV.box_spreader.capacity</v>
      </c>
      <c r="D146" s="944">
        <f>$F146*$AB146</f>
        <v>370</v>
      </c>
      <c r="E146" s="125" t="str">
        <f>$AD146</f>
        <v>bushel</v>
      </c>
      <c r="F146" s="944">
        <f>IF(OR(G146="",N146=0),H146,G146)</f>
        <v>370</v>
      </c>
      <c r="G146" s="126"/>
      <c r="H146">
        <f>$W146*$AA146</f>
        <v>370</v>
      </c>
      <c r="I146" s="1325" t="str">
        <f>$AC146</f>
        <v>bushel</v>
      </c>
      <c r="J146" t="s">
        <v>660</v>
      </c>
      <c r="K146" s="124"/>
      <c r="L146">
        <f t="shared" si="105"/>
        <v>250</v>
      </c>
      <c r="M146">
        <f t="shared" si="106"/>
        <v>500</v>
      </c>
      <c r="N146">
        <f>IF(AND(M146 - G146 &gt;= 0, G146 - L146 &gt;=0),1,0)</f>
        <v>0</v>
      </c>
      <c r="O146" s="944" t="s">
        <v>972</v>
      </c>
      <c r="P146" t="s">
        <v>975</v>
      </c>
      <c r="R146" s="711"/>
      <c r="W146">
        <v>370</v>
      </c>
      <c r="X146">
        <v>250</v>
      </c>
      <c r="Y146">
        <v>500</v>
      </c>
      <c r="Z146" s="1325" t="str">
        <f>Units!B$125</f>
        <v>bushel</v>
      </c>
      <c r="AA146" s="1325">
        <f>Units!C$125</f>
        <v>1</v>
      </c>
      <c r="AB146" s="1325">
        <f>Units!D$125</f>
        <v>1</v>
      </c>
      <c r="AC146" s="1325" t="str">
        <f>Units!E$125</f>
        <v>bushel</v>
      </c>
      <c r="AD146" s="1325" t="str">
        <f>Units!F$125</f>
        <v>bushel</v>
      </c>
      <c r="AE146" s="1325" t="str">
        <f>Units!G$125</f>
        <v>bushel</v>
      </c>
      <c r="AF146" s="1325" t="str">
        <f>Units!H$125</f>
        <v>bushel</v>
      </c>
    </row>
    <row r="147" spans="1:32" x14ac:dyDescent="0.3">
      <c r="A147" s="944" t="s">
        <v>970</v>
      </c>
      <c r="B147" s="944" t="s">
        <v>976</v>
      </c>
      <c r="C147" s="124" t="str">
        <f t="shared" si="52"/>
        <v>UDV.box_spreader.time_spreader_to_field</v>
      </c>
      <c r="D147" s="944">
        <f t="shared" ref="D147" si="107">$F147*$AB147</f>
        <v>10</v>
      </c>
      <c r="E147" s="125" t="str">
        <f t="shared" ref="E147" si="108">$AD147</f>
        <v>min/action</v>
      </c>
      <c r="F147" s="944">
        <f t="shared" ref="F147" si="109">IF(OR(G147="",N147=0),H147,G147)</f>
        <v>10</v>
      </c>
      <c r="G147" s="126"/>
      <c r="H147">
        <f t="shared" ref="H147" si="110">$W147*$AA147</f>
        <v>10</v>
      </c>
      <c r="I147" s="1325" t="str">
        <f t="shared" ref="I147" si="111">$AC147</f>
        <v>min/action</v>
      </c>
      <c r="J147" t="s">
        <v>660</v>
      </c>
      <c r="K147" s="124"/>
      <c r="L147">
        <f t="shared" si="105"/>
        <v>2.5</v>
      </c>
      <c r="M147">
        <f t="shared" si="106"/>
        <v>60</v>
      </c>
      <c r="N147">
        <f t="shared" ref="N147" si="112">IF(AND(M147 - G147 &gt;= 0, G147 - L147 &gt;=0),1,0)</f>
        <v>0</v>
      </c>
      <c r="O147" s="944" t="s">
        <v>972</v>
      </c>
      <c r="P147" s="20" t="s">
        <v>977</v>
      </c>
      <c r="R147" s="711"/>
      <c r="W147">
        <v>10</v>
      </c>
      <c r="X147">
        <v>2.5</v>
      </c>
      <c r="Y147">
        <v>60</v>
      </c>
      <c r="Z147" s="1325" t="str">
        <f>Units!B$114</f>
        <v>min/action</v>
      </c>
      <c r="AA147" s="1325">
        <f>Units!C$114</f>
        <v>1</v>
      </c>
      <c r="AB147" s="1325">
        <f>Units!D$114</f>
        <v>1</v>
      </c>
      <c r="AC147" s="1325" t="str">
        <f>Units!E$114</f>
        <v>min/action</v>
      </c>
      <c r="AD147" s="1325" t="str">
        <f>Units!F$114</f>
        <v>min/action</v>
      </c>
      <c r="AE147" s="1325" t="str">
        <f>Units!G$114</f>
        <v>min/action</v>
      </c>
      <c r="AF147" s="1325" t="str">
        <f>Units!H$114</f>
        <v>min/action</v>
      </c>
    </row>
    <row r="148" spans="1:32" x14ac:dyDescent="0.3">
      <c r="A148" t="s">
        <v>978</v>
      </c>
      <c r="B148" t="s">
        <v>979</v>
      </c>
      <c r="C148" s="124" t="str">
        <f t="shared" si="52"/>
        <v>UDV.compost.length_row</v>
      </c>
      <c r="D148" s="1091">
        <f t="shared" si="89"/>
        <v>91.44</v>
      </c>
      <c r="E148" s="1093" t="str">
        <f t="shared" si="90"/>
        <v>m</v>
      </c>
      <c r="F148" s="1095">
        <f t="shared" ref="F148" si="113">IF(OR(G148="",N148=0),H148,G148)</f>
        <v>300.00000045600001</v>
      </c>
      <c r="H148" s="1101">
        <f t="shared" si="100"/>
        <v>300.00000045600001</v>
      </c>
      <c r="I148" s="956" t="str">
        <f t="shared" si="92"/>
        <v>ft</v>
      </c>
      <c r="J148" t="s">
        <v>660</v>
      </c>
      <c r="L148">
        <f t="shared" si="101"/>
        <v>98.424999999999997</v>
      </c>
      <c r="M148">
        <f t="shared" si="102"/>
        <v>492.12599999999998</v>
      </c>
      <c r="N148">
        <f t="shared" ref="N148" si="114">IF(AND(G148&lt;=M148, G148&gt;=L148),1,0)</f>
        <v>0</v>
      </c>
      <c r="O148" t="s">
        <v>980</v>
      </c>
      <c r="P148" t="s">
        <v>981</v>
      </c>
      <c r="Q148" s="8" t="s">
        <v>982</v>
      </c>
      <c r="W148" s="78">
        <f>300*UC.ft_to_m</f>
        <v>91.44</v>
      </c>
      <c r="X148">
        <v>30</v>
      </c>
      <c r="Y148">
        <v>150</v>
      </c>
      <c r="Z148" t="str">
        <f>Units!B$48</f>
        <v>m</v>
      </c>
      <c r="AA148">
        <f>Units!C$48</f>
        <v>3.2808399000000001</v>
      </c>
      <c r="AB148">
        <f>Units!D$48</f>
        <v>0.304799999536704</v>
      </c>
      <c r="AC148" t="str">
        <f>Units!E$48</f>
        <v>ft</v>
      </c>
      <c r="AD148" t="str">
        <f>Units!F$48</f>
        <v>m</v>
      </c>
      <c r="AE148" t="str">
        <f>Units!G$48</f>
        <v>m</v>
      </c>
      <c r="AF148" t="str">
        <f>Units!H$48</f>
        <v>ft</v>
      </c>
    </row>
    <row r="149" spans="1:32" x14ac:dyDescent="0.3">
      <c r="A149" t="s">
        <v>978</v>
      </c>
      <c r="B149" t="s">
        <v>983</v>
      </c>
      <c r="C149" s="124" t="str">
        <f t="shared" si="52"/>
        <v>UDV.compost.width_row</v>
      </c>
      <c r="D149" s="1091">
        <f t="shared" si="89"/>
        <v>5.9740800000000007</v>
      </c>
      <c r="E149" s="1093" t="str">
        <f t="shared" si="90"/>
        <v>m</v>
      </c>
      <c r="F149" s="1095">
        <f t="shared" ref="F149:F150" si="115">IF(OR(G149="",N149=0),H149,G149)</f>
        <v>19.600000029792003</v>
      </c>
      <c r="H149" s="1101">
        <f t="shared" si="100"/>
        <v>19.600000029792003</v>
      </c>
      <c r="I149" s="956" t="str">
        <f t="shared" si="92"/>
        <v>ft</v>
      </c>
      <c r="J149" t="s">
        <v>660</v>
      </c>
      <c r="L149">
        <f t="shared" si="101"/>
        <v>6.5609999999999999</v>
      </c>
      <c r="M149">
        <f t="shared" si="102"/>
        <v>32.808999999999997</v>
      </c>
      <c r="N149">
        <f t="shared" ref="N149:N150" si="116">IF(AND(G149&lt;=M149, G149&gt;=L149),1,0)</f>
        <v>0</v>
      </c>
      <c r="O149" t="s">
        <v>980</v>
      </c>
      <c r="P149" t="s">
        <v>984</v>
      </c>
      <c r="W149" s="78">
        <f>19.6*UC.ft_to_m</f>
        <v>5.9740800000000007</v>
      </c>
      <c r="X149">
        <v>2</v>
      </c>
      <c r="Y149">
        <v>10</v>
      </c>
      <c r="Z149" t="str">
        <f>Units!B$48</f>
        <v>m</v>
      </c>
      <c r="AA149">
        <f>Units!C$48</f>
        <v>3.2808399000000001</v>
      </c>
      <c r="AB149">
        <f>Units!D$48</f>
        <v>0.304799999536704</v>
      </c>
      <c r="AC149" t="str">
        <f>Units!E$48</f>
        <v>ft</v>
      </c>
      <c r="AD149" t="str">
        <f>Units!F$48</f>
        <v>m</v>
      </c>
      <c r="AE149" t="str">
        <f>Units!G$48</f>
        <v>m</v>
      </c>
      <c r="AF149" t="str">
        <f>Units!H$48</f>
        <v>ft</v>
      </c>
    </row>
    <row r="150" spans="1:32" x14ac:dyDescent="0.3">
      <c r="A150" t="s">
        <v>978</v>
      </c>
      <c r="B150" t="s">
        <v>985</v>
      </c>
      <c r="C150" s="124" t="str">
        <f t="shared" si="52"/>
        <v>UDV.compost.height_row</v>
      </c>
      <c r="D150" s="1091">
        <f t="shared" si="89"/>
        <v>1.0058400000000001</v>
      </c>
      <c r="E150" s="1093" t="str">
        <f t="shared" si="90"/>
        <v>m</v>
      </c>
      <c r="F150" s="1095">
        <f t="shared" si="115"/>
        <v>3.3000000050160003</v>
      </c>
      <c r="H150" s="1101">
        <f t="shared" si="100"/>
        <v>3.3000000050160003</v>
      </c>
      <c r="I150" s="956" t="str">
        <f t="shared" si="92"/>
        <v>ft</v>
      </c>
      <c r="J150" t="s">
        <v>660</v>
      </c>
      <c r="L150">
        <f t="shared" si="101"/>
        <v>1.64</v>
      </c>
      <c r="M150">
        <f t="shared" si="102"/>
        <v>13.123999999999999</v>
      </c>
      <c r="N150">
        <f t="shared" si="116"/>
        <v>0</v>
      </c>
      <c r="O150" t="s">
        <v>980</v>
      </c>
      <c r="P150" t="s">
        <v>986</v>
      </c>
      <c r="W150" s="78">
        <f>3.3*UC.ft_to_m</f>
        <v>1.0058400000000001</v>
      </c>
      <c r="X150">
        <v>0.5</v>
      </c>
      <c r="Y150">
        <v>4</v>
      </c>
      <c r="Z150" t="str">
        <f>Units!B$48</f>
        <v>m</v>
      </c>
      <c r="AA150">
        <f>Units!C$48</f>
        <v>3.2808399000000001</v>
      </c>
      <c r="AB150">
        <f>Units!D$48</f>
        <v>0.304799999536704</v>
      </c>
      <c r="AC150" t="str">
        <f>Units!E$48</f>
        <v>ft</v>
      </c>
      <c r="AD150" t="str">
        <f>Units!F$48</f>
        <v>m</v>
      </c>
      <c r="AE150" t="str">
        <f>Units!G$48</f>
        <v>m</v>
      </c>
      <c r="AF150" t="str">
        <f>Units!H$48</f>
        <v>ft</v>
      </c>
    </row>
    <row r="151" spans="1:32" x14ac:dyDescent="0.3">
      <c r="A151" t="s">
        <v>978</v>
      </c>
      <c r="B151" t="s">
        <v>987</v>
      </c>
      <c r="C151" s="124" t="str">
        <f t="shared" si="52"/>
        <v>UDV.compost.fraction_carbon</v>
      </c>
      <c r="D151" s="1091">
        <f t="shared" si="89"/>
        <v>0.25</v>
      </c>
      <c r="E151" s="1093" t="str">
        <f t="shared" si="90"/>
        <v>fraction</v>
      </c>
      <c r="F151" s="1095">
        <f t="shared" ref="F151:F153" si="117">IF(OR(G151="",N151=0),H151,G151)</f>
        <v>0.25</v>
      </c>
      <c r="H151" s="1101">
        <f t="shared" si="100"/>
        <v>0.25</v>
      </c>
      <c r="I151" s="956" t="str">
        <f t="shared" si="92"/>
        <v>fraction</v>
      </c>
      <c r="J151" t="s">
        <v>660</v>
      </c>
      <c r="L151">
        <f t="shared" si="101"/>
        <v>0.01</v>
      </c>
      <c r="M151">
        <f t="shared" si="102"/>
        <v>2</v>
      </c>
      <c r="N151">
        <f t="shared" ref="N151:N153" si="118">IF(AND(G151&lt;=M151, G151&gt;=L151),1,0)</f>
        <v>0</v>
      </c>
      <c r="O151" t="s">
        <v>980</v>
      </c>
      <c r="P151" t="s">
        <v>988</v>
      </c>
      <c r="W151" s="78">
        <v>0.25</v>
      </c>
      <c r="X151">
        <v>0.01</v>
      </c>
      <c r="Y151">
        <v>2</v>
      </c>
      <c r="Z151" t="str">
        <f>Units!B$35</f>
        <v>fraction</v>
      </c>
      <c r="AA151">
        <f>Units!C$35</f>
        <v>1</v>
      </c>
      <c r="AB151">
        <f>Units!D$35</f>
        <v>1</v>
      </c>
      <c r="AC151" t="str">
        <f>Units!E$35</f>
        <v>fraction</v>
      </c>
      <c r="AD151" t="str">
        <f>Units!F$35</f>
        <v>fraction</v>
      </c>
      <c r="AE151" t="str">
        <f>Units!G$35</f>
        <v>fraction</v>
      </c>
      <c r="AF151" t="str">
        <f>Units!H$35</f>
        <v>fraction</v>
      </c>
    </row>
    <row r="152" spans="1:32" x14ac:dyDescent="0.3">
      <c r="A152" t="s">
        <v>978</v>
      </c>
      <c r="B152" t="s">
        <v>989</v>
      </c>
      <c r="C152" s="124" t="str">
        <f t="shared" si="52"/>
        <v>UDV.compost.fraction_screened_compost</v>
      </c>
      <c r="D152" s="1091">
        <f t="shared" si="89"/>
        <v>0.5</v>
      </c>
      <c r="E152" s="1093" t="str">
        <f t="shared" si="90"/>
        <v>fraction</v>
      </c>
      <c r="F152" s="1095">
        <f t="shared" si="117"/>
        <v>0.5</v>
      </c>
      <c r="H152" s="1101">
        <f t="shared" si="100"/>
        <v>0.5</v>
      </c>
      <c r="I152" s="956" t="str">
        <f t="shared" si="92"/>
        <v>fraction</v>
      </c>
      <c r="J152" t="s">
        <v>660</v>
      </c>
      <c r="L152">
        <f t="shared" si="101"/>
        <v>0.01</v>
      </c>
      <c r="M152">
        <f t="shared" si="102"/>
        <v>2</v>
      </c>
      <c r="N152">
        <f t="shared" si="118"/>
        <v>0</v>
      </c>
      <c r="O152" t="s">
        <v>980</v>
      </c>
      <c r="P152" t="s">
        <v>990</v>
      </c>
      <c r="W152" s="78">
        <v>0.5</v>
      </c>
      <c r="X152">
        <v>0.01</v>
      </c>
      <c r="Y152">
        <v>2</v>
      </c>
      <c r="Z152" t="str">
        <f>Units!B$35</f>
        <v>fraction</v>
      </c>
      <c r="AA152">
        <f>Units!C$35</f>
        <v>1</v>
      </c>
      <c r="AB152">
        <f>Units!D$35</f>
        <v>1</v>
      </c>
      <c r="AC152" t="str">
        <f>Units!E$35</f>
        <v>fraction</v>
      </c>
      <c r="AD152" t="str">
        <f>Units!F$35</f>
        <v>fraction</v>
      </c>
      <c r="AE152" t="str">
        <f>Units!G$35</f>
        <v>fraction</v>
      </c>
      <c r="AF152" t="str">
        <f>Units!H$35</f>
        <v>fraction</v>
      </c>
    </row>
    <row r="153" spans="1:32" x14ac:dyDescent="0.3">
      <c r="A153" t="s">
        <v>978</v>
      </c>
      <c r="B153" t="s">
        <v>991</v>
      </c>
      <c r="C153" s="124" t="str">
        <f t="shared" si="52"/>
        <v>UDV.compost.fraction_fine_compost</v>
      </c>
      <c r="D153" s="1091">
        <f t="shared" si="89"/>
        <v>0.25</v>
      </c>
      <c r="E153" s="1093" t="str">
        <f t="shared" si="90"/>
        <v>fraction</v>
      </c>
      <c r="F153" s="1095">
        <f t="shared" si="117"/>
        <v>0.25</v>
      </c>
      <c r="H153" s="1101">
        <f t="shared" si="100"/>
        <v>0.25</v>
      </c>
      <c r="I153" s="956" t="str">
        <f t="shared" si="92"/>
        <v>fraction</v>
      </c>
      <c r="J153" t="s">
        <v>660</v>
      </c>
      <c r="L153">
        <f t="shared" si="101"/>
        <v>0.01</v>
      </c>
      <c r="M153">
        <f t="shared" si="102"/>
        <v>2</v>
      </c>
      <c r="N153">
        <f t="shared" si="118"/>
        <v>0</v>
      </c>
      <c r="O153" t="s">
        <v>980</v>
      </c>
      <c r="P153" t="s">
        <v>992</v>
      </c>
      <c r="W153" s="78">
        <v>0.25</v>
      </c>
      <c r="X153">
        <v>0.01</v>
      </c>
      <c r="Y153">
        <v>2</v>
      </c>
      <c r="Z153" t="str">
        <f>Units!B$35</f>
        <v>fraction</v>
      </c>
      <c r="AA153">
        <f>Units!C$35</f>
        <v>1</v>
      </c>
      <c r="AB153">
        <f>Units!D$35</f>
        <v>1</v>
      </c>
      <c r="AC153" t="str">
        <f>Units!E$35</f>
        <v>fraction</v>
      </c>
      <c r="AD153" t="str">
        <f>Units!F$35</f>
        <v>fraction</v>
      </c>
      <c r="AE153" t="str">
        <f>Units!G$35</f>
        <v>fraction</v>
      </c>
      <c r="AF153" t="str">
        <f>Units!H$35</f>
        <v>fraction</v>
      </c>
    </row>
    <row r="154" spans="1:32" x14ac:dyDescent="0.3">
      <c r="A154" t="s">
        <v>978</v>
      </c>
      <c r="B154" t="s">
        <v>993</v>
      </c>
      <c r="C154" s="124" t="str">
        <f t="shared" si="52"/>
        <v>UDV.compost.mc_carbon</v>
      </c>
      <c r="D154" s="1091">
        <f t="shared" si="89"/>
        <v>0.4</v>
      </c>
      <c r="E154" s="1093" t="str">
        <f t="shared" si="90"/>
        <v>fraction</v>
      </c>
      <c r="F154" s="1095">
        <f t="shared" ref="F154" si="119">IF(OR(G154="",N154=0),H154,G154)</f>
        <v>0.4</v>
      </c>
      <c r="H154" s="1101">
        <f t="shared" si="100"/>
        <v>0.4</v>
      </c>
      <c r="I154" s="956" t="str">
        <f t="shared" si="92"/>
        <v>fraction</v>
      </c>
      <c r="J154" t="s">
        <v>660</v>
      </c>
      <c r="L154">
        <f t="shared" si="101"/>
        <v>0.05</v>
      </c>
      <c r="M154">
        <f t="shared" si="102"/>
        <v>0.8</v>
      </c>
      <c r="N154">
        <f t="shared" ref="N154" si="120">IF(AND(G154&lt;=M154, G154&gt;=L154),1,0)</f>
        <v>0</v>
      </c>
      <c r="O154" t="s">
        <v>980</v>
      </c>
      <c r="P154" t="s">
        <v>994</v>
      </c>
      <c r="W154" s="78">
        <v>0.4</v>
      </c>
      <c r="X154">
        <v>0.05</v>
      </c>
      <c r="Y154">
        <v>0.8</v>
      </c>
      <c r="Z154" t="str">
        <f>Units!B$35</f>
        <v>fraction</v>
      </c>
      <c r="AA154">
        <f>Units!C$35</f>
        <v>1</v>
      </c>
      <c r="AB154">
        <f>Units!D$35</f>
        <v>1</v>
      </c>
      <c r="AC154" t="str">
        <f>Units!E$35</f>
        <v>fraction</v>
      </c>
      <c r="AD154" t="str">
        <f>Units!F$35</f>
        <v>fraction</v>
      </c>
      <c r="AE154" t="str">
        <f>Units!G$35</f>
        <v>fraction</v>
      </c>
      <c r="AF154" t="str">
        <f>Units!H$35</f>
        <v>fraction</v>
      </c>
    </row>
    <row r="155" spans="1:32" x14ac:dyDescent="0.3">
      <c r="A155" t="s">
        <v>978</v>
      </c>
      <c r="B155" t="s">
        <v>995</v>
      </c>
      <c r="C155" s="124" t="str">
        <f t="shared" si="52"/>
        <v>UDV.compost.density_carbon</v>
      </c>
      <c r="D155" s="1091">
        <f t="shared" si="89"/>
        <v>355.96585323977121</v>
      </c>
      <c r="E155" s="1093" t="str">
        <f t="shared" si="90"/>
        <v>kg/m3</v>
      </c>
      <c r="F155" s="1095">
        <f t="shared" ref="F155" si="121">IF(OR(G155="",N155=0),H155,G155)</f>
        <v>22.222224908368201</v>
      </c>
      <c r="H155" s="1101">
        <f>$W155*$AA155</f>
        <v>22.222224908368201</v>
      </c>
      <c r="I155" s="956" t="str">
        <f t="shared" si="92"/>
        <v>lb/ft3</v>
      </c>
      <c r="J155" t="s">
        <v>660</v>
      </c>
      <c r="L155">
        <f t="shared" si="101"/>
        <v>7.407</v>
      </c>
      <c r="M155">
        <f t="shared" si="102"/>
        <v>37.037999999999997</v>
      </c>
      <c r="N155">
        <f t="shared" ref="N155" si="122">IF(AND(G155&lt;=M155, G155&gt;=L155),1,0)</f>
        <v>0</v>
      </c>
      <c r="O155" t="s">
        <v>980</v>
      </c>
      <c r="P155" t="s">
        <v>996</v>
      </c>
      <c r="W155">
        <f>600*UC.lb_to_kg*UC.m3_to_yd3</f>
        <v>355.96585323977126</v>
      </c>
      <c r="X155">
        <f>200*UC.lb_to_kg*UC.m3_to_yd3</f>
        <v>118.65528441325709</v>
      </c>
      <c r="Y155">
        <f>1000*UC.lb_to_kg*UC.m3_to_yd3</f>
        <v>593.27642206628548</v>
      </c>
      <c r="Z155" t="str">
        <f>Units!B$89</f>
        <v>kg/m3</v>
      </c>
      <c r="AA155">
        <f>Units!C$89</f>
        <v>6.2427968037147001E-2</v>
      </c>
      <c r="AB155">
        <f>Units!D$89</f>
        <v>16.018461459533043</v>
      </c>
      <c r="AC155" t="str">
        <f>Units!E$89</f>
        <v>lb/ft3</v>
      </c>
      <c r="AD155" t="str">
        <f>Units!F$89</f>
        <v>kg/m3</v>
      </c>
      <c r="AE155" t="str">
        <f>Units!G$89</f>
        <v>kg/m3</v>
      </c>
      <c r="AF155" t="str">
        <f>Units!H$89</f>
        <v>lb/ft3</v>
      </c>
    </row>
    <row r="156" spans="1:32" x14ac:dyDescent="0.3">
      <c r="A156" t="s">
        <v>978</v>
      </c>
      <c r="B156" t="s">
        <v>997</v>
      </c>
      <c r="C156" s="124" t="str">
        <f t="shared" si="52"/>
        <v>UDV.compost.N_carbon</v>
      </c>
      <c r="D156" s="1091">
        <f t="shared" si="89"/>
        <v>6</v>
      </c>
      <c r="E156" s="1093" t="str">
        <f t="shared" si="90"/>
        <v>lb/ton (2000 lb)</v>
      </c>
      <c r="F156" s="1095">
        <f t="shared" ref="F156:F158" si="123">IF(OR(G156="",N156=0),H156,G156)</f>
        <v>6</v>
      </c>
      <c r="H156" s="1101">
        <f t="shared" ref="H156:H177" si="124">$W156*$AA156</f>
        <v>6</v>
      </c>
      <c r="I156" s="956" t="str">
        <f t="shared" si="92"/>
        <v>lb/ton (2000 lb)</v>
      </c>
      <c r="J156" t="s">
        <v>660</v>
      </c>
      <c r="L156">
        <f t="shared" si="101"/>
        <v>0.2</v>
      </c>
      <c r="M156">
        <f t="shared" si="102"/>
        <v>40</v>
      </c>
      <c r="N156">
        <f t="shared" ref="N156:N158" si="125">IF(AND(G156&lt;=M156, G156&gt;=L156),1,0)</f>
        <v>0</v>
      </c>
      <c r="O156" t="s">
        <v>980</v>
      </c>
      <c r="P156" t="s">
        <v>998</v>
      </c>
      <c r="W156" s="78">
        <f>3*UC.kg_to_lb*UC.ton_to_tonne</f>
        <v>6</v>
      </c>
      <c r="X156" s="78">
        <f>0.1*UC.kg_to_lb*UC.ton_to_tonne</f>
        <v>0.2</v>
      </c>
      <c r="Y156" s="78">
        <f>20*UC.kg_to_lb*UC.ton_to_tonne</f>
        <v>40.000000000000007</v>
      </c>
      <c r="Z156" t="str">
        <f>Units!B$73</f>
        <v>lb/ton (2000 lb)</v>
      </c>
      <c r="AA156">
        <f>Units!C$73</f>
        <v>1</v>
      </c>
      <c r="AB156">
        <f>Units!D$73</f>
        <v>1</v>
      </c>
      <c r="AC156" t="str">
        <f>Units!E$73</f>
        <v>lb/ton (2000 lb)</v>
      </c>
      <c r="AD156" t="str">
        <f>Units!F$73</f>
        <v>lb/ton (2000 lb)</v>
      </c>
      <c r="AE156" t="str">
        <f>Units!G$73</f>
        <v>kg/tonne (1000 kg)</v>
      </c>
      <c r="AF156" t="str">
        <f>Units!H$73</f>
        <v>lb/ton (2000 lb)</v>
      </c>
    </row>
    <row r="157" spans="1:32" x14ac:dyDescent="0.3">
      <c r="A157" t="s">
        <v>978</v>
      </c>
      <c r="B157" t="s">
        <v>999</v>
      </c>
      <c r="C157" s="124" t="str">
        <f t="shared" si="52"/>
        <v>UDV.compost.P_carbon</v>
      </c>
      <c r="D157" s="1091">
        <f t="shared" si="89"/>
        <v>2.5000000000000004</v>
      </c>
      <c r="E157" s="1093" t="str">
        <f t="shared" si="90"/>
        <v>lb/ton (2000 lb)</v>
      </c>
      <c r="F157" s="1095">
        <f t="shared" si="123"/>
        <v>2.5000000000000004</v>
      </c>
      <c r="H157" s="1101">
        <f t="shared" si="124"/>
        <v>2.5000000000000004</v>
      </c>
      <c r="I157" s="956" t="str">
        <f t="shared" si="92"/>
        <v>lb/ton (2000 lb)</v>
      </c>
      <c r="J157" t="s">
        <v>660</v>
      </c>
      <c r="L157">
        <f t="shared" si="101"/>
        <v>0.2</v>
      </c>
      <c r="M157">
        <f t="shared" si="102"/>
        <v>40</v>
      </c>
      <c r="N157">
        <f t="shared" si="125"/>
        <v>0</v>
      </c>
      <c r="O157" t="s">
        <v>980</v>
      </c>
      <c r="P157" t="s">
        <v>1000</v>
      </c>
      <c r="W157" s="78">
        <f>1.25*UC.kg_to_lb*UC.ton_to_tonne</f>
        <v>2.5000000000000004</v>
      </c>
      <c r="X157" s="78">
        <f>0.1*UC.kg_to_lb*UC.ton_to_tonne</f>
        <v>0.2</v>
      </c>
      <c r="Y157" s="78">
        <f>20*UC.kg_to_lb*UC.ton_to_tonne</f>
        <v>40.000000000000007</v>
      </c>
      <c r="Z157" t="str">
        <f>Units!B$73</f>
        <v>lb/ton (2000 lb)</v>
      </c>
      <c r="AA157">
        <f>Units!C$73</f>
        <v>1</v>
      </c>
      <c r="AB157">
        <f>Units!D$73</f>
        <v>1</v>
      </c>
      <c r="AC157" t="str">
        <f>Units!E$73</f>
        <v>lb/ton (2000 lb)</v>
      </c>
      <c r="AD157" t="str">
        <f>Units!F$73</f>
        <v>lb/ton (2000 lb)</v>
      </c>
      <c r="AE157" t="str">
        <f>Units!G$73</f>
        <v>kg/tonne (1000 kg)</v>
      </c>
      <c r="AF157" t="str">
        <f>Units!H$73</f>
        <v>lb/ton (2000 lb)</v>
      </c>
    </row>
    <row r="158" spans="1:32" x14ac:dyDescent="0.3">
      <c r="A158" t="s">
        <v>978</v>
      </c>
      <c r="B158" t="s">
        <v>1001</v>
      </c>
      <c r="C158" s="124" t="str">
        <f t="shared" si="52"/>
        <v>UDV.compost.K_carbon</v>
      </c>
      <c r="D158" s="1091">
        <f t="shared" si="89"/>
        <v>1.5</v>
      </c>
      <c r="E158" s="1093" t="str">
        <f t="shared" si="90"/>
        <v>lb/ton (2000 lb)</v>
      </c>
      <c r="F158" s="1095">
        <f t="shared" si="123"/>
        <v>1.5</v>
      </c>
      <c r="H158" s="1101">
        <f t="shared" si="124"/>
        <v>1.5</v>
      </c>
      <c r="I158" s="956" t="str">
        <f t="shared" si="92"/>
        <v>lb/ton (2000 lb)</v>
      </c>
      <c r="J158" t="s">
        <v>660</v>
      </c>
      <c r="L158">
        <f t="shared" si="101"/>
        <v>0.2</v>
      </c>
      <c r="M158">
        <f t="shared" si="102"/>
        <v>40</v>
      </c>
      <c r="N158">
        <f t="shared" si="125"/>
        <v>0</v>
      </c>
      <c r="O158" t="s">
        <v>980</v>
      </c>
      <c r="P158" t="s">
        <v>1002</v>
      </c>
      <c r="W158" s="78">
        <f>0.75*UC.kg_to_lb*UC.ton_to_tonne</f>
        <v>1.5</v>
      </c>
      <c r="X158" s="78">
        <f>0.1*UC.kg_to_lb*UC.ton_to_tonne</f>
        <v>0.2</v>
      </c>
      <c r="Y158" s="78">
        <f>20*UC.kg_to_lb*UC.ton_to_tonne</f>
        <v>40.000000000000007</v>
      </c>
      <c r="Z158" t="str">
        <f>Units!B$73</f>
        <v>lb/ton (2000 lb)</v>
      </c>
      <c r="AA158">
        <f>Units!C$73</f>
        <v>1</v>
      </c>
      <c r="AB158">
        <f>Units!D$73</f>
        <v>1</v>
      </c>
      <c r="AC158" t="str">
        <f>Units!E$73</f>
        <v>lb/ton (2000 lb)</v>
      </c>
      <c r="AD158" t="str">
        <f>Units!F$73</f>
        <v>lb/ton (2000 lb)</v>
      </c>
      <c r="AE158" t="str">
        <f>Units!G$73</f>
        <v>kg/tonne (1000 kg)</v>
      </c>
      <c r="AF158" t="str">
        <f>Units!H$73</f>
        <v>lb/ton (2000 lb)</v>
      </c>
    </row>
    <row r="159" spans="1:32" x14ac:dyDescent="0.3">
      <c r="A159" t="s">
        <v>978</v>
      </c>
      <c r="B159" t="s">
        <v>1003</v>
      </c>
      <c r="C159" s="124" t="str">
        <f t="shared" si="52"/>
        <v>UDV.compost.fraction_compost_area</v>
      </c>
      <c r="D159" s="1091">
        <f t="shared" si="89"/>
        <v>0.5</v>
      </c>
      <c r="E159" s="1093" t="str">
        <f t="shared" si="90"/>
        <v>fraction</v>
      </c>
      <c r="F159" s="1095">
        <f t="shared" ref="F159:F160" si="126">IF(OR(G159="",N159=0),H159,G159)</f>
        <v>0.5</v>
      </c>
      <c r="H159" s="1101">
        <f t="shared" si="124"/>
        <v>0.5</v>
      </c>
      <c r="I159" s="956" t="str">
        <f t="shared" si="92"/>
        <v>fraction</v>
      </c>
      <c r="J159" t="s">
        <v>660</v>
      </c>
      <c r="L159">
        <f t="shared" si="101"/>
        <v>0.1</v>
      </c>
      <c r="M159">
        <f t="shared" si="102"/>
        <v>0.9</v>
      </c>
      <c r="N159">
        <f t="shared" ref="N159:N160" si="127">IF(AND(G159&lt;=M159, G159&gt;=L159),1,0)</f>
        <v>0</v>
      </c>
      <c r="O159" t="s">
        <v>980</v>
      </c>
      <c r="P159" t="s">
        <v>1004</v>
      </c>
      <c r="W159" s="78">
        <v>0.5</v>
      </c>
      <c r="X159">
        <v>0.1</v>
      </c>
      <c r="Y159">
        <v>0.9</v>
      </c>
      <c r="Z159" t="str">
        <f>Units!B$35</f>
        <v>fraction</v>
      </c>
      <c r="AA159">
        <f>Units!C$35</f>
        <v>1</v>
      </c>
      <c r="AB159">
        <f>Units!D$35</f>
        <v>1</v>
      </c>
      <c r="AC159" t="str">
        <f>Units!E$35</f>
        <v>fraction</v>
      </c>
      <c r="AD159" t="str">
        <f>Units!F$35</f>
        <v>fraction</v>
      </c>
      <c r="AE159" t="str">
        <f>Units!G$35</f>
        <v>fraction</v>
      </c>
      <c r="AF159" t="str">
        <f>Units!H$35</f>
        <v>fraction</v>
      </c>
    </row>
    <row r="160" spans="1:32" x14ac:dyDescent="0.3">
      <c r="A160" t="s">
        <v>978</v>
      </c>
      <c r="B160" t="s">
        <v>1005</v>
      </c>
      <c r="C160" s="124" t="str">
        <f t="shared" si="52"/>
        <v>UDV.compost.area_safety_factor</v>
      </c>
      <c r="D160" s="1091">
        <f t="shared" si="89"/>
        <v>1</v>
      </c>
      <c r="E160" s="1093" t="str">
        <f t="shared" si="90"/>
        <v>multiplier</v>
      </c>
      <c r="F160" s="1095">
        <f t="shared" si="126"/>
        <v>1</v>
      </c>
      <c r="H160" s="1101">
        <f t="shared" si="124"/>
        <v>1</v>
      </c>
      <c r="I160" s="956" t="str">
        <f t="shared" si="92"/>
        <v>multiplier</v>
      </c>
      <c r="J160" t="s">
        <v>660</v>
      </c>
      <c r="L160">
        <f t="shared" si="101"/>
        <v>0.25</v>
      </c>
      <c r="M160">
        <f t="shared" si="102"/>
        <v>2</v>
      </c>
      <c r="N160">
        <f t="shared" si="127"/>
        <v>0</v>
      </c>
      <c r="O160" t="s">
        <v>980</v>
      </c>
      <c r="P160" t="s">
        <v>1006</v>
      </c>
      <c r="W160" s="78">
        <v>1</v>
      </c>
      <c r="X160">
        <v>0.25</v>
      </c>
      <c r="Y160">
        <v>2</v>
      </c>
      <c r="Z160" t="str">
        <f>Units!B$94</f>
        <v>multiplier</v>
      </c>
      <c r="AA160">
        <f>Units!C$94</f>
        <v>1</v>
      </c>
      <c r="AB160">
        <f>Units!D$94</f>
        <v>1</v>
      </c>
      <c r="AC160" t="str">
        <f>Units!E$94</f>
        <v>multiplier</v>
      </c>
      <c r="AD160" t="str">
        <f>Units!F$94</f>
        <v>multiplier</v>
      </c>
      <c r="AE160" t="str">
        <f>Units!G$94</f>
        <v>multiplier</v>
      </c>
      <c r="AF160" t="str">
        <f>Units!H$94</f>
        <v>multiplier</v>
      </c>
    </row>
    <row r="161" spans="1:32" x14ac:dyDescent="0.3">
      <c r="A161" t="s">
        <v>978</v>
      </c>
      <c r="B161" t="s">
        <v>1007</v>
      </c>
      <c r="C161" s="124" t="str">
        <f t="shared" si="52"/>
        <v>UDV.compost.manure_TS_remaining</v>
      </c>
      <c r="D161" s="1091">
        <f t="shared" si="89"/>
        <v>0.75</v>
      </c>
      <c r="E161" s="1093" t="str">
        <f t="shared" si="90"/>
        <v>fraction</v>
      </c>
      <c r="F161" s="1095">
        <f t="shared" ref="F161:F170" si="128">IF(OR(G161="",N161=0),H161,G161)</f>
        <v>0.75</v>
      </c>
      <c r="H161" s="1101">
        <f t="shared" si="124"/>
        <v>0.75</v>
      </c>
      <c r="I161" s="956" t="str">
        <f t="shared" si="92"/>
        <v>fraction</v>
      </c>
      <c r="J161" t="s">
        <v>660</v>
      </c>
      <c r="L161">
        <f t="shared" si="101"/>
        <v>0.1</v>
      </c>
      <c r="M161">
        <f t="shared" si="102"/>
        <v>0.99</v>
      </c>
      <c r="N161">
        <f t="shared" ref="N161:N170" si="129">IF(AND(G161&lt;=M161, G161&gt;=L161),1,0)</f>
        <v>0</v>
      </c>
      <c r="O161" t="s">
        <v>980</v>
      </c>
      <c r="P161" t="s">
        <v>1008</v>
      </c>
      <c r="W161" s="78">
        <v>0.75</v>
      </c>
      <c r="X161">
        <v>0.1</v>
      </c>
      <c r="Y161">
        <v>0.99</v>
      </c>
      <c r="Z161" t="str">
        <f>Units!B$35</f>
        <v>fraction</v>
      </c>
      <c r="AA161">
        <f>Units!C$35</f>
        <v>1</v>
      </c>
      <c r="AB161">
        <f>Units!D$35</f>
        <v>1</v>
      </c>
      <c r="AC161" t="str">
        <f>Units!E$35</f>
        <v>fraction</v>
      </c>
      <c r="AD161" t="str">
        <f>Units!F$35</f>
        <v>fraction</v>
      </c>
      <c r="AE161" t="str">
        <f>Units!G$35</f>
        <v>fraction</v>
      </c>
      <c r="AF161" t="str">
        <f>Units!H$35</f>
        <v>fraction</v>
      </c>
    </row>
    <row r="162" spans="1:32" x14ac:dyDescent="0.3">
      <c r="A162" t="s">
        <v>978</v>
      </c>
      <c r="B162" t="s">
        <v>1009</v>
      </c>
      <c r="C162" s="124" t="str">
        <f t="shared" si="52"/>
        <v>UDV.compost.manure_VS_remaining</v>
      </c>
      <c r="D162" s="1091">
        <f t="shared" si="89"/>
        <v>0.75</v>
      </c>
      <c r="E162" s="1093" t="str">
        <f t="shared" si="90"/>
        <v>fraction</v>
      </c>
      <c r="F162" s="1095">
        <f t="shared" si="128"/>
        <v>0.75</v>
      </c>
      <c r="H162" s="1101">
        <f t="shared" si="124"/>
        <v>0.75</v>
      </c>
      <c r="I162" s="956" t="str">
        <f t="shared" si="92"/>
        <v>fraction</v>
      </c>
      <c r="J162" t="s">
        <v>660</v>
      </c>
      <c r="L162">
        <f t="shared" si="101"/>
        <v>0.1</v>
      </c>
      <c r="M162">
        <f t="shared" si="102"/>
        <v>0.99</v>
      </c>
      <c r="N162">
        <f t="shared" si="129"/>
        <v>0</v>
      </c>
      <c r="O162" t="s">
        <v>980</v>
      </c>
      <c r="P162" t="s">
        <v>1010</v>
      </c>
      <c r="W162" s="78">
        <v>0.75</v>
      </c>
      <c r="X162">
        <v>0.1</v>
      </c>
      <c r="Y162">
        <v>0.99</v>
      </c>
      <c r="Z162" t="str">
        <f>Units!B$35</f>
        <v>fraction</v>
      </c>
      <c r="AA162">
        <f>Units!C$35</f>
        <v>1</v>
      </c>
      <c r="AB162">
        <f>Units!D$35</f>
        <v>1</v>
      </c>
      <c r="AC162" t="str">
        <f>Units!E$35</f>
        <v>fraction</v>
      </c>
      <c r="AD162" t="str">
        <f>Units!F$35</f>
        <v>fraction</v>
      </c>
      <c r="AE162" t="str">
        <f>Units!G$35</f>
        <v>fraction</v>
      </c>
      <c r="AF162" t="str">
        <f>Units!H$35</f>
        <v>fraction</v>
      </c>
    </row>
    <row r="163" spans="1:32" x14ac:dyDescent="0.3">
      <c r="A163" t="s">
        <v>978</v>
      </c>
      <c r="B163" t="s">
        <v>1011</v>
      </c>
      <c r="C163" s="124" t="str">
        <f t="shared" si="52"/>
        <v>UDV.compost.manure_N_remaining</v>
      </c>
      <c r="D163" s="1091">
        <f t="shared" si="89"/>
        <v>0.25</v>
      </c>
      <c r="E163" s="1093" t="str">
        <f t="shared" si="90"/>
        <v>fraction</v>
      </c>
      <c r="F163" s="1095">
        <f t="shared" si="128"/>
        <v>0.25</v>
      </c>
      <c r="H163" s="1101">
        <f t="shared" si="124"/>
        <v>0.25</v>
      </c>
      <c r="I163" s="956" t="str">
        <f t="shared" si="92"/>
        <v>fraction</v>
      </c>
      <c r="J163" t="s">
        <v>660</v>
      </c>
      <c r="L163">
        <f t="shared" si="101"/>
        <v>0.1</v>
      </c>
      <c r="M163">
        <f t="shared" si="102"/>
        <v>0.99</v>
      </c>
      <c r="N163">
        <f t="shared" si="129"/>
        <v>0</v>
      </c>
      <c r="O163" t="s">
        <v>980</v>
      </c>
      <c r="P163" t="s">
        <v>1012</v>
      </c>
      <c r="W163" s="78">
        <v>0.25</v>
      </c>
      <c r="X163">
        <v>0.1</v>
      </c>
      <c r="Y163">
        <v>0.99</v>
      </c>
      <c r="Z163" t="str">
        <f>Units!B$35</f>
        <v>fraction</v>
      </c>
      <c r="AA163">
        <f>Units!C$35</f>
        <v>1</v>
      </c>
      <c r="AB163">
        <f>Units!D$35</f>
        <v>1</v>
      </c>
      <c r="AC163" t="str">
        <f>Units!E$35</f>
        <v>fraction</v>
      </c>
      <c r="AD163" t="str">
        <f>Units!F$35</f>
        <v>fraction</v>
      </c>
      <c r="AE163" t="str">
        <f>Units!G$35</f>
        <v>fraction</v>
      </c>
      <c r="AF163" t="str">
        <f>Units!H$35</f>
        <v>fraction</v>
      </c>
    </row>
    <row r="164" spans="1:32" x14ac:dyDescent="0.3">
      <c r="A164" t="s">
        <v>978</v>
      </c>
      <c r="B164" t="s">
        <v>1013</v>
      </c>
      <c r="C164" s="124" t="str">
        <f t="shared" si="52"/>
        <v>UDV.compost.manure_P_remaining</v>
      </c>
      <c r="D164" s="1091">
        <f t="shared" si="89"/>
        <v>1</v>
      </c>
      <c r="E164" s="1093" t="str">
        <f t="shared" si="90"/>
        <v>fraction</v>
      </c>
      <c r="F164" s="1095">
        <f t="shared" si="128"/>
        <v>1</v>
      </c>
      <c r="H164" s="1101">
        <f t="shared" si="124"/>
        <v>1</v>
      </c>
      <c r="I164" s="956" t="str">
        <f t="shared" si="92"/>
        <v>fraction</v>
      </c>
      <c r="J164" t="s">
        <v>660</v>
      </c>
      <c r="L164">
        <f t="shared" si="101"/>
        <v>0.1</v>
      </c>
      <c r="M164">
        <f t="shared" si="102"/>
        <v>1</v>
      </c>
      <c r="N164">
        <f t="shared" si="129"/>
        <v>0</v>
      </c>
      <c r="O164" t="s">
        <v>980</v>
      </c>
      <c r="P164" t="s">
        <v>1014</v>
      </c>
      <c r="W164" s="78">
        <v>1</v>
      </c>
      <c r="X164">
        <v>0.1</v>
      </c>
      <c r="Y164">
        <v>1</v>
      </c>
      <c r="Z164" t="str">
        <f>Units!B$35</f>
        <v>fraction</v>
      </c>
      <c r="AA164">
        <f>Units!C$35</f>
        <v>1</v>
      </c>
      <c r="AB164">
        <f>Units!D$35</f>
        <v>1</v>
      </c>
      <c r="AC164" t="str">
        <f>Units!E$35</f>
        <v>fraction</v>
      </c>
      <c r="AD164" t="str">
        <f>Units!F$35</f>
        <v>fraction</v>
      </c>
      <c r="AE164" t="str">
        <f>Units!G$35</f>
        <v>fraction</v>
      </c>
      <c r="AF164" t="str">
        <f>Units!H$35</f>
        <v>fraction</v>
      </c>
    </row>
    <row r="165" spans="1:32" x14ac:dyDescent="0.3">
      <c r="A165" t="s">
        <v>978</v>
      </c>
      <c r="B165" t="s">
        <v>1015</v>
      </c>
      <c r="C165" s="124" t="str">
        <f t="shared" si="52"/>
        <v>UDV.compost.manure_K_remaining</v>
      </c>
      <c r="D165" s="1091">
        <f t="shared" si="89"/>
        <v>1</v>
      </c>
      <c r="E165" s="1093" t="str">
        <f t="shared" si="90"/>
        <v>fraction</v>
      </c>
      <c r="F165" s="1095">
        <f t="shared" si="128"/>
        <v>1</v>
      </c>
      <c r="H165" s="1101">
        <f t="shared" si="124"/>
        <v>1</v>
      </c>
      <c r="I165" s="956" t="str">
        <f t="shared" si="92"/>
        <v>fraction</v>
      </c>
      <c r="J165" t="s">
        <v>660</v>
      </c>
      <c r="L165">
        <f t="shared" si="101"/>
        <v>0.1</v>
      </c>
      <c r="M165">
        <f t="shared" si="102"/>
        <v>1</v>
      </c>
      <c r="N165">
        <f t="shared" si="129"/>
        <v>0</v>
      </c>
      <c r="O165" t="s">
        <v>980</v>
      </c>
      <c r="P165" t="s">
        <v>1016</v>
      </c>
      <c r="W165" s="78">
        <v>1</v>
      </c>
      <c r="X165">
        <v>0.1</v>
      </c>
      <c r="Y165">
        <v>1</v>
      </c>
      <c r="Z165" t="str">
        <f>Units!B$35</f>
        <v>fraction</v>
      </c>
      <c r="AA165">
        <f>Units!C$35</f>
        <v>1</v>
      </c>
      <c r="AB165">
        <f>Units!D$35</f>
        <v>1</v>
      </c>
      <c r="AC165" t="str">
        <f>Units!E$35</f>
        <v>fraction</v>
      </c>
      <c r="AD165" t="str">
        <f>Units!F$35</f>
        <v>fraction</v>
      </c>
      <c r="AE165" t="str">
        <f>Units!G$35</f>
        <v>fraction</v>
      </c>
      <c r="AF165" t="str">
        <f>Units!H$35</f>
        <v>fraction</v>
      </c>
    </row>
    <row r="166" spans="1:32" x14ac:dyDescent="0.3">
      <c r="A166" t="s">
        <v>978</v>
      </c>
      <c r="B166" t="s">
        <v>1017</v>
      </c>
      <c r="C166" s="124" t="str">
        <f t="shared" si="52"/>
        <v>UDV.compost.carbon_TS_remaining</v>
      </c>
      <c r="D166" s="1091">
        <f t="shared" si="89"/>
        <v>0.95</v>
      </c>
      <c r="E166" s="1093" t="str">
        <f t="shared" si="90"/>
        <v>fraction</v>
      </c>
      <c r="F166" s="1095">
        <f t="shared" si="128"/>
        <v>0.95</v>
      </c>
      <c r="H166" s="1101">
        <f t="shared" si="124"/>
        <v>0.95</v>
      </c>
      <c r="I166" s="956" t="str">
        <f t="shared" si="92"/>
        <v>fraction</v>
      </c>
      <c r="J166" t="s">
        <v>660</v>
      </c>
      <c r="L166">
        <f t="shared" si="101"/>
        <v>0.1</v>
      </c>
      <c r="M166">
        <f t="shared" si="102"/>
        <v>0.99</v>
      </c>
      <c r="N166">
        <f t="shared" si="129"/>
        <v>0</v>
      </c>
      <c r="O166" t="s">
        <v>980</v>
      </c>
      <c r="P166" t="s">
        <v>1018</v>
      </c>
      <c r="W166" s="78">
        <v>0.95</v>
      </c>
      <c r="X166">
        <v>0.1</v>
      </c>
      <c r="Y166">
        <v>0.99</v>
      </c>
      <c r="Z166" t="str">
        <f>Units!B$35</f>
        <v>fraction</v>
      </c>
      <c r="AA166">
        <f>Units!C$35</f>
        <v>1</v>
      </c>
      <c r="AB166">
        <f>Units!D$35</f>
        <v>1</v>
      </c>
      <c r="AC166" t="str">
        <f>Units!E$35</f>
        <v>fraction</v>
      </c>
      <c r="AD166" t="str">
        <f>Units!F$35</f>
        <v>fraction</v>
      </c>
      <c r="AE166" t="str">
        <f>Units!G$35</f>
        <v>fraction</v>
      </c>
      <c r="AF166" t="str">
        <f>Units!H$35</f>
        <v>fraction</v>
      </c>
    </row>
    <row r="167" spans="1:32" x14ac:dyDescent="0.3">
      <c r="A167" t="s">
        <v>978</v>
      </c>
      <c r="B167" t="s">
        <v>1019</v>
      </c>
      <c r="C167" s="124" t="str">
        <f t="shared" si="52"/>
        <v>UDV.compost.carbon_N_remaining</v>
      </c>
      <c r="D167" s="1091">
        <f t="shared" si="89"/>
        <v>0.95</v>
      </c>
      <c r="E167" s="1093" t="str">
        <f t="shared" si="90"/>
        <v>fraction</v>
      </c>
      <c r="F167" s="1095">
        <f t="shared" si="128"/>
        <v>0.95</v>
      </c>
      <c r="H167" s="1101">
        <f t="shared" si="124"/>
        <v>0.95</v>
      </c>
      <c r="I167" s="956" t="str">
        <f t="shared" si="92"/>
        <v>fraction</v>
      </c>
      <c r="J167" t="s">
        <v>660</v>
      </c>
      <c r="L167">
        <f t="shared" si="101"/>
        <v>0.1</v>
      </c>
      <c r="M167">
        <f t="shared" si="102"/>
        <v>0.99</v>
      </c>
      <c r="N167">
        <f t="shared" si="129"/>
        <v>0</v>
      </c>
      <c r="O167" t="s">
        <v>980</v>
      </c>
      <c r="P167" t="s">
        <v>1020</v>
      </c>
      <c r="W167" s="78">
        <v>0.95</v>
      </c>
      <c r="X167">
        <v>0.1</v>
      </c>
      <c r="Y167">
        <v>0.99</v>
      </c>
      <c r="Z167" t="str">
        <f>Units!B$35</f>
        <v>fraction</v>
      </c>
      <c r="AA167">
        <f>Units!C$35</f>
        <v>1</v>
      </c>
      <c r="AB167">
        <f>Units!D$35</f>
        <v>1</v>
      </c>
      <c r="AC167" t="str">
        <f>Units!E$35</f>
        <v>fraction</v>
      </c>
      <c r="AD167" t="str">
        <f>Units!F$35</f>
        <v>fraction</v>
      </c>
      <c r="AE167" t="str">
        <f>Units!G$35</f>
        <v>fraction</v>
      </c>
      <c r="AF167" t="str">
        <f>Units!H$35</f>
        <v>fraction</v>
      </c>
    </row>
    <row r="168" spans="1:32" x14ac:dyDescent="0.3">
      <c r="A168" t="s">
        <v>978</v>
      </c>
      <c r="B168" t="s">
        <v>1021</v>
      </c>
      <c r="C168" s="124" t="str">
        <f t="shared" si="52"/>
        <v>UDV.compost.carbon_P_remaining</v>
      </c>
      <c r="D168" s="1091">
        <f t="shared" si="89"/>
        <v>1</v>
      </c>
      <c r="E168" s="1093" t="str">
        <f t="shared" si="90"/>
        <v>fraction</v>
      </c>
      <c r="F168" s="1095">
        <f t="shared" si="128"/>
        <v>1</v>
      </c>
      <c r="H168" s="1101">
        <f t="shared" si="124"/>
        <v>1</v>
      </c>
      <c r="I168" s="956" t="str">
        <f t="shared" si="92"/>
        <v>fraction</v>
      </c>
      <c r="J168" t="s">
        <v>660</v>
      </c>
      <c r="L168">
        <f t="shared" si="101"/>
        <v>0.1</v>
      </c>
      <c r="M168">
        <f t="shared" si="102"/>
        <v>1</v>
      </c>
      <c r="N168">
        <f t="shared" si="129"/>
        <v>0</v>
      </c>
      <c r="O168" t="s">
        <v>980</v>
      </c>
      <c r="P168" t="s">
        <v>1022</v>
      </c>
      <c r="W168" s="78">
        <v>1</v>
      </c>
      <c r="X168">
        <v>0.1</v>
      </c>
      <c r="Y168">
        <v>1</v>
      </c>
      <c r="Z168" t="str">
        <f>Units!B$35</f>
        <v>fraction</v>
      </c>
      <c r="AA168">
        <f>Units!C$35</f>
        <v>1</v>
      </c>
      <c r="AB168">
        <f>Units!D$35</f>
        <v>1</v>
      </c>
      <c r="AC168" t="str">
        <f>Units!E$35</f>
        <v>fraction</v>
      </c>
      <c r="AD168" t="str">
        <f>Units!F$35</f>
        <v>fraction</v>
      </c>
      <c r="AE168" t="str">
        <f>Units!G$35</f>
        <v>fraction</v>
      </c>
      <c r="AF168" t="str">
        <f>Units!H$35</f>
        <v>fraction</v>
      </c>
    </row>
    <row r="169" spans="1:32" x14ac:dyDescent="0.3">
      <c r="A169" t="s">
        <v>978</v>
      </c>
      <c r="B169" t="s">
        <v>1023</v>
      </c>
      <c r="C169" s="124" t="str">
        <f t="shared" si="52"/>
        <v>UDV.compost.carbon_K_remaining</v>
      </c>
      <c r="D169" s="1091">
        <f t="shared" si="89"/>
        <v>1</v>
      </c>
      <c r="E169" s="1093" t="str">
        <f t="shared" si="90"/>
        <v>fraction</v>
      </c>
      <c r="F169" s="1095">
        <f t="shared" si="128"/>
        <v>1</v>
      </c>
      <c r="H169" s="1101">
        <f t="shared" si="124"/>
        <v>1</v>
      </c>
      <c r="I169" s="956" t="str">
        <f t="shared" si="92"/>
        <v>fraction</v>
      </c>
      <c r="J169" t="s">
        <v>660</v>
      </c>
      <c r="L169">
        <f t="shared" si="101"/>
        <v>0.1</v>
      </c>
      <c r="M169">
        <f t="shared" si="102"/>
        <v>1</v>
      </c>
      <c r="N169">
        <f t="shared" si="129"/>
        <v>0</v>
      </c>
      <c r="O169" t="s">
        <v>980</v>
      </c>
      <c r="P169" t="s">
        <v>1024</v>
      </c>
      <c r="W169" s="78">
        <v>1</v>
      </c>
      <c r="X169">
        <v>0.1</v>
      </c>
      <c r="Y169">
        <v>1</v>
      </c>
      <c r="Z169" t="str">
        <f>Units!B$35</f>
        <v>fraction</v>
      </c>
      <c r="AA169">
        <f>Units!C$35</f>
        <v>1</v>
      </c>
      <c r="AB169">
        <f>Units!D$35</f>
        <v>1</v>
      </c>
      <c r="AC169" t="str">
        <f>Units!E$35</f>
        <v>fraction</v>
      </c>
      <c r="AD169" t="str">
        <f>Units!F$35</f>
        <v>fraction</v>
      </c>
      <c r="AE169" t="str">
        <f>Units!G$35</f>
        <v>fraction</v>
      </c>
      <c r="AF169" t="str">
        <f>Units!H$35</f>
        <v>fraction</v>
      </c>
    </row>
    <row r="170" spans="1:32" x14ac:dyDescent="0.3">
      <c r="A170" t="s">
        <v>978</v>
      </c>
      <c r="B170" t="s">
        <v>1025</v>
      </c>
      <c r="C170" s="124" t="str">
        <f t="shared" si="52"/>
        <v>UDV.compost.mc_compost</v>
      </c>
      <c r="D170" s="1091">
        <f t="shared" si="89"/>
        <v>0.32500000000000001</v>
      </c>
      <c r="E170" s="1093" t="str">
        <f t="shared" si="90"/>
        <v>fraction</v>
      </c>
      <c r="F170" s="1095">
        <f t="shared" si="128"/>
        <v>0.32500000000000001</v>
      </c>
      <c r="H170" s="1101">
        <f t="shared" si="124"/>
        <v>0.32500000000000001</v>
      </c>
      <c r="I170" s="956" t="str">
        <f t="shared" si="92"/>
        <v>fraction</v>
      </c>
      <c r="J170" t="s">
        <v>660</v>
      </c>
      <c r="L170">
        <f t="shared" si="101"/>
        <v>0.1</v>
      </c>
      <c r="M170">
        <f t="shared" si="102"/>
        <v>0.6</v>
      </c>
      <c r="N170">
        <f t="shared" si="129"/>
        <v>0</v>
      </c>
      <c r="O170" t="s">
        <v>980</v>
      </c>
      <c r="P170" t="s">
        <v>1026</v>
      </c>
      <c r="W170" s="78">
        <v>0.32500000000000001</v>
      </c>
      <c r="X170">
        <v>0.1</v>
      </c>
      <c r="Y170">
        <v>0.6</v>
      </c>
      <c r="Z170" t="str">
        <f>Units!B$35</f>
        <v>fraction</v>
      </c>
      <c r="AA170">
        <f>Units!C$35</f>
        <v>1</v>
      </c>
      <c r="AB170">
        <f>Units!D$35</f>
        <v>1</v>
      </c>
      <c r="AC170" t="str">
        <f>Units!E$35</f>
        <v>fraction</v>
      </c>
      <c r="AD170" t="str">
        <f>Units!F$35</f>
        <v>fraction</v>
      </c>
      <c r="AE170" t="str">
        <f>Units!G$35</f>
        <v>fraction</v>
      </c>
      <c r="AF170" t="str">
        <f>Units!H$35</f>
        <v>fraction</v>
      </c>
    </row>
    <row r="171" spans="1:32" x14ac:dyDescent="0.3">
      <c r="A171" t="s">
        <v>978</v>
      </c>
      <c r="B171" t="s">
        <v>1027</v>
      </c>
      <c r="C171" s="124" t="str">
        <f t="shared" si="52"/>
        <v>UDV.compost.time_storage_to_compost</v>
      </c>
      <c r="D171" s="1091">
        <f t="shared" si="89"/>
        <v>2</v>
      </c>
      <c r="E171" s="1093" t="str">
        <f t="shared" si="90"/>
        <v>min</v>
      </c>
      <c r="F171" s="1095">
        <f t="shared" ref="F171:F177" si="130">IF(OR(G171="",N171=0),H171,G171)</f>
        <v>2</v>
      </c>
      <c r="H171" s="1101">
        <f t="shared" si="124"/>
        <v>2</v>
      </c>
      <c r="I171" s="956" t="str">
        <f t="shared" si="92"/>
        <v>min</v>
      </c>
      <c r="J171" t="s">
        <v>660</v>
      </c>
      <c r="L171">
        <f t="shared" si="101"/>
        <v>0.1</v>
      </c>
      <c r="M171">
        <f t="shared" si="102"/>
        <v>10</v>
      </c>
      <c r="N171">
        <f t="shared" ref="N171:N177" si="131">IF(AND(G171&lt;=M171, G171&gt;=L171),1,0)</f>
        <v>0</v>
      </c>
      <c r="O171" t="s">
        <v>980</v>
      </c>
      <c r="P171" t="s">
        <v>1028</v>
      </c>
      <c r="W171" s="78">
        <v>2</v>
      </c>
      <c r="X171">
        <v>0.1</v>
      </c>
      <c r="Y171">
        <v>10</v>
      </c>
      <c r="Z171" t="str">
        <f>Units!B$112</f>
        <v>min</v>
      </c>
      <c r="AA171">
        <f>Units!C$112</f>
        <v>1</v>
      </c>
      <c r="AB171">
        <f>Units!D$112</f>
        <v>1</v>
      </c>
      <c r="AC171" t="str">
        <f>Units!E$112</f>
        <v>min</v>
      </c>
      <c r="AD171" t="str">
        <f>Units!F$112</f>
        <v>min</v>
      </c>
      <c r="AE171" t="str">
        <f>Units!G$112</f>
        <v>min</v>
      </c>
      <c r="AF171" t="str">
        <f>Units!H$112</f>
        <v>min</v>
      </c>
    </row>
    <row r="172" spans="1:32" x14ac:dyDescent="0.3">
      <c r="A172" t="s">
        <v>978</v>
      </c>
      <c r="B172" t="s">
        <v>1029</v>
      </c>
      <c r="C172" s="124" t="str">
        <f t="shared" si="52"/>
        <v>UDV.compost.time_screen_to_storage</v>
      </c>
      <c r="D172" s="1091">
        <f t="shared" si="89"/>
        <v>2</v>
      </c>
      <c r="E172" s="1093" t="str">
        <f t="shared" si="90"/>
        <v>min</v>
      </c>
      <c r="F172" s="1095">
        <f t="shared" si="130"/>
        <v>2</v>
      </c>
      <c r="H172" s="1101">
        <f t="shared" si="124"/>
        <v>2</v>
      </c>
      <c r="I172" s="956" t="str">
        <f t="shared" si="92"/>
        <v>min</v>
      </c>
      <c r="J172" t="s">
        <v>660</v>
      </c>
      <c r="L172">
        <f t="shared" si="101"/>
        <v>0.1</v>
      </c>
      <c r="M172">
        <f t="shared" si="102"/>
        <v>10</v>
      </c>
      <c r="N172">
        <f t="shared" si="131"/>
        <v>0</v>
      </c>
      <c r="O172" t="s">
        <v>980</v>
      </c>
      <c r="P172" t="s">
        <v>1030</v>
      </c>
      <c r="W172" s="78">
        <v>2</v>
      </c>
      <c r="X172">
        <v>0.1</v>
      </c>
      <c r="Y172">
        <v>10</v>
      </c>
      <c r="Z172" t="str">
        <f>Units!B$112</f>
        <v>min</v>
      </c>
      <c r="AA172">
        <f>Units!C$112</f>
        <v>1</v>
      </c>
      <c r="AB172">
        <f>Units!D$112</f>
        <v>1</v>
      </c>
      <c r="AC172" t="str">
        <f>Units!E$112</f>
        <v>min</v>
      </c>
      <c r="AD172" t="str">
        <f>Units!F$112</f>
        <v>min</v>
      </c>
      <c r="AE172" t="str">
        <f>Units!G$112</f>
        <v>min</v>
      </c>
      <c r="AF172" t="str">
        <f>Units!H$112</f>
        <v>min</v>
      </c>
    </row>
    <row r="173" spans="1:32" x14ac:dyDescent="0.3">
      <c r="A173" t="s">
        <v>978</v>
      </c>
      <c r="B173" t="s">
        <v>1031</v>
      </c>
      <c r="C173" s="124" t="str">
        <f t="shared" si="52"/>
        <v>UDV.compost.volume_day0_to_screening</v>
      </c>
      <c r="D173" s="1091">
        <f t="shared" si="89"/>
        <v>0.85</v>
      </c>
      <c r="E173" s="1093" t="str">
        <f t="shared" si="90"/>
        <v>multiplier</v>
      </c>
      <c r="F173" s="1095">
        <f t="shared" si="130"/>
        <v>0.85</v>
      </c>
      <c r="H173" s="1101">
        <f t="shared" si="124"/>
        <v>0.85</v>
      </c>
      <c r="I173" s="956" t="str">
        <f t="shared" si="92"/>
        <v>multiplier</v>
      </c>
      <c r="J173" t="s">
        <v>660</v>
      </c>
      <c r="L173">
        <f t="shared" si="101"/>
        <v>0.25</v>
      </c>
      <c r="M173">
        <f t="shared" si="102"/>
        <v>2</v>
      </c>
      <c r="N173">
        <f t="shared" si="131"/>
        <v>0</v>
      </c>
      <c r="O173" t="s">
        <v>980</v>
      </c>
      <c r="P173" t="s">
        <v>1032</v>
      </c>
      <c r="W173" s="78">
        <v>0.85</v>
      </c>
      <c r="X173">
        <v>0.25</v>
      </c>
      <c r="Y173">
        <v>2</v>
      </c>
      <c r="Z173" t="str">
        <f>Units!B$94</f>
        <v>multiplier</v>
      </c>
      <c r="AA173">
        <f>Units!C$94</f>
        <v>1</v>
      </c>
      <c r="AB173">
        <f>Units!D$94</f>
        <v>1</v>
      </c>
      <c r="AC173" t="str">
        <f>Units!E$94</f>
        <v>multiplier</v>
      </c>
      <c r="AD173" t="str">
        <f>Units!F$94</f>
        <v>multiplier</v>
      </c>
      <c r="AE173" t="str">
        <f>Units!G$94</f>
        <v>multiplier</v>
      </c>
      <c r="AF173" t="str">
        <f>Units!H$94</f>
        <v>multiplier</v>
      </c>
    </row>
    <row r="174" spans="1:32" x14ac:dyDescent="0.3">
      <c r="A174" t="s">
        <v>978</v>
      </c>
      <c r="B174" t="s">
        <v>1033</v>
      </c>
      <c r="C174" s="124" t="str">
        <f t="shared" si="52"/>
        <v>UDV.compost.screening_rate</v>
      </c>
      <c r="D174" s="1091">
        <f t="shared" si="89"/>
        <v>25</v>
      </c>
      <c r="E174" s="1093" t="str">
        <f t="shared" si="90"/>
        <v>m3/hr</v>
      </c>
      <c r="F174" s="1095">
        <f t="shared" si="130"/>
        <v>882.86666749999995</v>
      </c>
      <c r="H174" s="1101">
        <f t="shared" si="124"/>
        <v>882.86666749999995</v>
      </c>
      <c r="I174" s="956" t="str">
        <f t="shared" si="92"/>
        <v>ft3/hr</v>
      </c>
      <c r="J174" t="s">
        <v>660</v>
      </c>
      <c r="L174">
        <f t="shared" si="101"/>
        <v>176.57300000000001</v>
      </c>
      <c r="M174">
        <f t="shared" si="102"/>
        <v>1765.7339999999999</v>
      </c>
      <c r="N174">
        <f t="shared" si="131"/>
        <v>0</v>
      </c>
      <c r="O174" t="s">
        <v>980</v>
      </c>
      <c r="P174" t="s">
        <v>1034</v>
      </c>
      <c r="W174" s="78">
        <v>25</v>
      </c>
      <c r="X174">
        <v>5</v>
      </c>
      <c r="Y174">
        <v>50</v>
      </c>
      <c r="Z174" t="str">
        <f>Units!B$153</f>
        <v>m3/hr</v>
      </c>
      <c r="AA174">
        <f>Units!C$153</f>
        <v>35.314666699999997</v>
      </c>
      <c r="AB174">
        <f>Units!D$153</f>
        <v>2.8316846609230496E-2</v>
      </c>
      <c r="AC174" t="str">
        <f>Units!E$153</f>
        <v>ft3/hr</v>
      </c>
      <c r="AD174" t="str">
        <f>Units!F$153</f>
        <v>m3/hr</v>
      </c>
      <c r="AE174" t="str">
        <f>Units!G$153</f>
        <v>m3/hr</v>
      </c>
      <c r="AF174" t="str">
        <f>Units!H$153</f>
        <v>ft3/hr</v>
      </c>
    </row>
    <row r="175" spans="1:32" x14ac:dyDescent="0.3">
      <c r="A175" t="s">
        <v>978</v>
      </c>
      <c r="B175" t="s">
        <v>1035</v>
      </c>
      <c r="C175" s="124" t="str">
        <f t="shared" si="52"/>
        <v>UDV.compost.screening_fuel</v>
      </c>
      <c r="D175" s="1091">
        <f t="shared" si="89"/>
        <v>8</v>
      </c>
      <c r="E175" s="1093" t="str">
        <f t="shared" si="90"/>
        <v>gal/hr</v>
      </c>
      <c r="F175" s="1095">
        <f t="shared" si="130"/>
        <v>8</v>
      </c>
      <c r="H175" s="1101">
        <f t="shared" si="124"/>
        <v>8</v>
      </c>
      <c r="I175" s="956" t="str">
        <f t="shared" si="92"/>
        <v>gal/hr</v>
      </c>
      <c r="J175" t="s">
        <v>660</v>
      </c>
      <c r="L175">
        <f t="shared" si="101"/>
        <v>1</v>
      </c>
      <c r="M175">
        <f t="shared" si="102"/>
        <v>20</v>
      </c>
      <c r="N175">
        <f t="shared" si="131"/>
        <v>0</v>
      </c>
      <c r="O175" t="s">
        <v>980</v>
      </c>
      <c r="P175" t="s">
        <v>1036</v>
      </c>
      <c r="W175" s="78">
        <v>8</v>
      </c>
      <c r="X175">
        <v>1</v>
      </c>
      <c r="Y175">
        <v>20</v>
      </c>
      <c r="Z175" t="str">
        <f>Units!B$144</f>
        <v>gal/hr</v>
      </c>
      <c r="AA175">
        <f>Units!C$144</f>
        <v>1</v>
      </c>
      <c r="AB175">
        <f>Units!D$144</f>
        <v>1</v>
      </c>
      <c r="AC175" t="str">
        <f>Units!E$144</f>
        <v>gal/hr</v>
      </c>
      <c r="AD175" t="str">
        <f>Units!F$144</f>
        <v>gal/hr</v>
      </c>
      <c r="AE175" t="str">
        <f>Units!G$144</f>
        <v>L/hr</v>
      </c>
      <c r="AF175" t="str">
        <f>Units!H$144</f>
        <v>gal/hr</v>
      </c>
    </row>
    <row r="176" spans="1:32" x14ac:dyDescent="0.3">
      <c r="A176" t="s">
        <v>978</v>
      </c>
      <c r="B176" t="s">
        <v>1037</v>
      </c>
      <c r="C176" s="124" t="str">
        <f t="shared" si="52"/>
        <v>UDV.compost.volume_day0_to_cured</v>
      </c>
      <c r="D176" s="1091">
        <f t="shared" si="89"/>
        <v>0.65</v>
      </c>
      <c r="E176" s="1093" t="str">
        <f t="shared" si="90"/>
        <v>multiplier</v>
      </c>
      <c r="F176" s="1095">
        <f t="shared" si="130"/>
        <v>0.65</v>
      </c>
      <c r="H176" s="1101">
        <f t="shared" si="124"/>
        <v>0.65</v>
      </c>
      <c r="I176" s="956" t="str">
        <f t="shared" si="92"/>
        <v>multiplier</v>
      </c>
      <c r="J176" t="s">
        <v>660</v>
      </c>
      <c r="L176">
        <f t="shared" si="101"/>
        <v>0.25</v>
      </c>
      <c r="M176">
        <f t="shared" si="102"/>
        <v>2</v>
      </c>
      <c r="N176">
        <f t="shared" si="131"/>
        <v>0</v>
      </c>
      <c r="O176" t="s">
        <v>980</v>
      </c>
      <c r="P176" t="s">
        <v>1038</v>
      </c>
      <c r="W176" s="78">
        <v>0.65</v>
      </c>
      <c r="X176">
        <v>0.25</v>
      </c>
      <c r="Y176">
        <v>2</v>
      </c>
      <c r="Z176" t="str">
        <f>Units!B$94</f>
        <v>multiplier</v>
      </c>
      <c r="AA176">
        <f>Units!C$94</f>
        <v>1</v>
      </c>
      <c r="AB176">
        <f>Units!D$94</f>
        <v>1</v>
      </c>
      <c r="AC176" t="str">
        <f>Units!E$94</f>
        <v>multiplier</v>
      </c>
      <c r="AD176" t="str">
        <f>Units!F$94</f>
        <v>multiplier</v>
      </c>
      <c r="AE176" t="str">
        <f>Units!G$94</f>
        <v>multiplier</v>
      </c>
      <c r="AF176" t="str">
        <f>Units!H$94</f>
        <v>multiplier</v>
      </c>
    </row>
    <row r="177" spans="1:32" x14ac:dyDescent="0.3">
      <c r="A177" t="s">
        <v>978</v>
      </c>
      <c r="B177" t="s">
        <v>1039</v>
      </c>
      <c r="C177" s="124" t="str">
        <f t="shared" si="52"/>
        <v>UDV.compost.time_curing_to_spreader</v>
      </c>
      <c r="D177" s="1091">
        <f t="shared" si="89"/>
        <v>2</v>
      </c>
      <c r="E177" s="1093" t="str">
        <f t="shared" si="90"/>
        <v>min</v>
      </c>
      <c r="F177" s="1095">
        <f t="shared" si="130"/>
        <v>2</v>
      </c>
      <c r="H177" s="1101">
        <f t="shared" si="124"/>
        <v>2</v>
      </c>
      <c r="I177" s="956" t="str">
        <f t="shared" si="92"/>
        <v>min</v>
      </c>
      <c r="J177" t="s">
        <v>660</v>
      </c>
      <c r="L177">
        <f t="shared" si="101"/>
        <v>0.1</v>
      </c>
      <c r="M177">
        <f t="shared" si="102"/>
        <v>10</v>
      </c>
      <c r="N177">
        <f t="shared" si="131"/>
        <v>0</v>
      </c>
      <c r="O177" t="s">
        <v>980</v>
      </c>
      <c r="P177" t="s">
        <v>1040</v>
      </c>
      <c r="W177" s="78">
        <v>2</v>
      </c>
      <c r="X177">
        <v>0.1</v>
      </c>
      <c r="Y177">
        <v>10</v>
      </c>
      <c r="Z177" t="str">
        <f>Units!B$112</f>
        <v>min</v>
      </c>
      <c r="AA177">
        <f>Units!C$112</f>
        <v>1</v>
      </c>
      <c r="AB177">
        <f>Units!D$112</f>
        <v>1</v>
      </c>
      <c r="AC177" t="str">
        <f>Units!E$112</f>
        <v>min</v>
      </c>
      <c r="AD177" t="str">
        <f>Units!F$112</f>
        <v>min</v>
      </c>
      <c r="AE177" t="str">
        <f>Units!G$112</f>
        <v>min</v>
      </c>
      <c r="AF177" t="str">
        <f>Units!H$112</f>
        <v>min</v>
      </c>
    </row>
    <row r="178" spans="1:32" x14ac:dyDescent="0.3">
      <c r="A178" t="s">
        <v>978</v>
      </c>
      <c r="B178" t="s">
        <v>1041</v>
      </c>
      <c r="C178" s="124" t="str">
        <f t="shared" si="52"/>
        <v>UDV.compost.density_bulk</v>
      </c>
      <c r="D178" s="1091">
        <f t="shared" si="89"/>
        <v>349.99999999999994</v>
      </c>
      <c r="E178" s="1093" t="str">
        <f t="shared" si="90"/>
        <v>kg/m3</v>
      </c>
      <c r="F178" s="1095">
        <f t="shared" si="97"/>
        <v>21.849788813001449</v>
      </c>
      <c r="H178" s="1101">
        <f t="shared" si="100"/>
        <v>21.849788813001449</v>
      </c>
      <c r="I178" s="956" t="str">
        <f t="shared" si="92"/>
        <v>lb/ft3</v>
      </c>
      <c r="J178" t="s">
        <v>660</v>
      </c>
      <c r="L178">
        <f t="shared" ref="L178:L186" si="132">ROUNDDOWN($X178*$AA178,3)</f>
        <v>15.606</v>
      </c>
      <c r="M178">
        <f t="shared" ref="M178:M189" si="133">ROUNDUP($Y178*$AA178,3)</f>
        <v>21.85</v>
      </c>
      <c r="N178">
        <f t="shared" si="103"/>
        <v>0</v>
      </c>
      <c r="O178" t="s">
        <v>1042</v>
      </c>
      <c r="P178" t="s">
        <v>1043</v>
      </c>
      <c r="R178" s="711"/>
      <c r="V178" t="str">
        <f t="shared" si="104"/>
        <v/>
      </c>
      <c r="W178" s="78">
        <v>350</v>
      </c>
      <c r="X178">
        <v>250</v>
      </c>
      <c r="Y178">
        <v>350</v>
      </c>
      <c r="Z178" t="str">
        <f>Units!B$89</f>
        <v>kg/m3</v>
      </c>
      <c r="AA178">
        <f>Units!C$89</f>
        <v>6.2427968037147001E-2</v>
      </c>
      <c r="AB178">
        <f>Units!D$89</f>
        <v>16.018461459533043</v>
      </c>
      <c r="AC178" t="str">
        <f>Units!E$89</f>
        <v>lb/ft3</v>
      </c>
      <c r="AD178" t="str">
        <f>Units!F$89</f>
        <v>kg/m3</v>
      </c>
      <c r="AE178" t="str">
        <f>Units!G$89</f>
        <v>kg/m3</v>
      </c>
      <c r="AF178" t="str">
        <f>Units!H$89</f>
        <v>lb/ft3</v>
      </c>
    </row>
    <row r="179" spans="1:32" x14ac:dyDescent="0.3">
      <c r="A179" t="s">
        <v>978</v>
      </c>
      <c r="B179" t="s">
        <v>1044</v>
      </c>
      <c r="C179" s="124" t="str">
        <f t="shared" si="52"/>
        <v>UDV.compost.final_density</v>
      </c>
      <c r="D179" s="1091">
        <f t="shared" si="89"/>
        <v>625</v>
      </c>
      <c r="E179" s="1093" t="str">
        <f t="shared" si="90"/>
        <v>kg/m3</v>
      </c>
      <c r="F179" s="1095">
        <f t="shared" si="97"/>
        <v>39.017480023216876</v>
      </c>
      <c r="H179" s="1101">
        <f t="shared" si="100"/>
        <v>39.017480023216876</v>
      </c>
      <c r="I179" s="956" t="str">
        <f t="shared" si="92"/>
        <v>lb/ft3</v>
      </c>
      <c r="J179" t="s">
        <v>660</v>
      </c>
      <c r="K179" s="128"/>
      <c r="L179">
        <f t="shared" si="132"/>
        <v>26.219000000000001</v>
      </c>
      <c r="M179">
        <f t="shared" si="133"/>
        <v>40.579000000000001</v>
      </c>
      <c r="N179">
        <f t="shared" si="103"/>
        <v>0</v>
      </c>
      <c r="O179" t="s">
        <v>1045</v>
      </c>
      <c r="V179" t="str">
        <f t="shared" si="104"/>
        <v/>
      </c>
      <c r="W179" s="697">
        <v>625</v>
      </c>
      <c r="X179" s="128">
        <v>420</v>
      </c>
      <c r="Y179" s="128">
        <v>650</v>
      </c>
      <c r="Z179" t="str">
        <f>Units!B$89</f>
        <v>kg/m3</v>
      </c>
      <c r="AA179">
        <f>Units!C$89</f>
        <v>6.2427968037147001E-2</v>
      </c>
      <c r="AB179">
        <f>Units!D$89</f>
        <v>16.018461459533043</v>
      </c>
      <c r="AC179" t="str">
        <f>Units!E$89</f>
        <v>lb/ft3</v>
      </c>
      <c r="AD179" t="str">
        <f>Units!F$89</f>
        <v>kg/m3</v>
      </c>
      <c r="AE179" t="str">
        <f>Units!G$89</f>
        <v>kg/m3</v>
      </c>
      <c r="AF179" t="str">
        <f>Units!H$89</f>
        <v>lb/ft3</v>
      </c>
    </row>
    <row r="180" spans="1:32" x14ac:dyDescent="0.3">
      <c r="A180" t="s">
        <v>978</v>
      </c>
      <c r="B180" t="s">
        <v>1046</v>
      </c>
      <c r="C180" s="124" t="str">
        <f t="shared" ref="C180:C251" si="134">_xlfn.CONCAT("UDV.",A180,".",B180)</f>
        <v>UDV.compost.fraction_dry_final</v>
      </c>
      <c r="D180" s="1091">
        <f t="shared" si="89"/>
        <v>0.35</v>
      </c>
      <c r="E180" s="1093" t="str">
        <f t="shared" si="90"/>
        <v>fraction</v>
      </c>
      <c r="F180" s="1095">
        <f t="shared" si="97"/>
        <v>0.35</v>
      </c>
      <c r="H180" s="1101">
        <f t="shared" si="100"/>
        <v>0.35</v>
      </c>
      <c r="I180" s="956" t="str">
        <f t="shared" si="92"/>
        <v>fraction</v>
      </c>
      <c r="J180" t="s">
        <v>660</v>
      </c>
      <c r="L180">
        <f t="shared" si="132"/>
        <v>0.2</v>
      </c>
      <c r="M180">
        <f t="shared" si="133"/>
        <v>0.4</v>
      </c>
      <c r="N180">
        <f t="shared" si="103"/>
        <v>0</v>
      </c>
      <c r="O180" t="s">
        <v>1042</v>
      </c>
      <c r="P180" t="s">
        <v>1047</v>
      </c>
      <c r="R180" s="711"/>
      <c r="V180" t="str">
        <f t="shared" si="104"/>
        <v/>
      </c>
      <c r="W180" s="78">
        <v>0.35</v>
      </c>
      <c r="X180">
        <v>0.2</v>
      </c>
      <c r="Y180">
        <v>0.4</v>
      </c>
      <c r="Z180" t="str">
        <f>Units!B$35</f>
        <v>fraction</v>
      </c>
      <c r="AA180">
        <f>Units!C$35</f>
        <v>1</v>
      </c>
      <c r="AB180">
        <f>Units!D$35</f>
        <v>1</v>
      </c>
      <c r="AC180" t="str">
        <f>Units!E$35</f>
        <v>fraction</v>
      </c>
      <c r="AD180" t="str">
        <f>Units!F$35</f>
        <v>fraction</v>
      </c>
      <c r="AE180" t="str">
        <f>Units!G$35</f>
        <v>fraction</v>
      </c>
      <c r="AF180" t="str">
        <f>Units!H$35</f>
        <v>fraction</v>
      </c>
    </row>
    <row r="181" spans="1:32" s="34" customFormat="1" x14ac:dyDescent="0.3">
      <c r="A181" t="s">
        <v>978</v>
      </c>
      <c r="B181" t="s">
        <v>1048</v>
      </c>
      <c r="C181" s="124" t="str">
        <f t="shared" si="134"/>
        <v>UDV.compost.fraction_volume_loss</v>
      </c>
      <c r="D181" s="1091">
        <f t="shared" si="89"/>
        <v>0.55000000000000004</v>
      </c>
      <c r="E181" s="1093" t="str">
        <f t="shared" si="90"/>
        <v>fraction</v>
      </c>
      <c r="F181" s="1095">
        <f t="shared" si="97"/>
        <v>0.55000000000000004</v>
      </c>
      <c r="G181" s="1098"/>
      <c r="H181" s="1101">
        <f t="shared" si="100"/>
        <v>0.55000000000000004</v>
      </c>
      <c r="I181" s="956" t="str">
        <f t="shared" si="92"/>
        <v>fraction</v>
      </c>
      <c r="J181" t="s">
        <v>660</v>
      </c>
      <c r="K181"/>
      <c r="L181">
        <f t="shared" si="132"/>
        <v>0.3</v>
      </c>
      <c r="M181">
        <f t="shared" si="133"/>
        <v>0.6</v>
      </c>
      <c r="N181">
        <f t="shared" si="103"/>
        <v>0</v>
      </c>
      <c r="O181" t="s">
        <v>1042</v>
      </c>
      <c r="P181" t="s">
        <v>1049</v>
      </c>
      <c r="Q181"/>
      <c r="R181" s="711"/>
      <c r="S181"/>
      <c r="T181" s="127"/>
      <c r="U181"/>
      <c r="V181" t="str">
        <f t="shared" si="104"/>
        <v/>
      </c>
      <c r="W181" s="78">
        <v>0.55000000000000004</v>
      </c>
      <c r="X181">
        <v>0.3</v>
      </c>
      <c r="Y181">
        <v>0.6</v>
      </c>
      <c r="Z181" t="str">
        <f>Units!B$35</f>
        <v>fraction</v>
      </c>
      <c r="AA181">
        <f>Units!C$35</f>
        <v>1</v>
      </c>
      <c r="AB181">
        <f>Units!D$35</f>
        <v>1</v>
      </c>
      <c r="AC181" t="str">
        <f>Units!E$35</f>
        <v>fraction</v>
      </c>
      <c r="AD181" t="str">
        <f>Units!F$35</f>
        <v>fraction</v>
      </c>
      <c r="AE181" t="str">
        <f>Units!G$35</f>
        <v>fraction</v>
      </c>
      <c r="AF181" t="str">
        <f>Units!H$35</f>
        <v>fraction</v>
      </c>
    </row>
    <row r="182" spans="1:32" s="34" customFormat="1" x14ac:dyDescent="0.3">
      <c r="A182" t="s">
        <v>978</v>
      </c>
      <c r="B182" t="s">
        <v>1050</v>
      </c>
      <c r="C182" s="124" t="str">
        <f t="shared" si="134"/>
        <v>UDV.compost.fraction_wet_final</v>
      </c>
      <c r="D182" s="1091">
        <f t="shared" si="89"/>
        <v>0.4</v>
      </c>
      <c r="E182" s="1093" t="str">
        <f t="shared" si="90"/>
        <v>fraction</v>
      </c>
      <c r="F182" s="1095">
        <f t="shared" si="97"/>
        <v>0.4</v>
      </c>
      <c r="G182" s="1098"/>
      <c r="H182" s="1101">
        <f t="shared" si="100"/>
        <v>0.4</v>
      </c>
      <c r="I182" s="956" t="str">
        <f t="shared" si="92"/>
        <v>fraction</v>
      </c>
      <c r="J182" t="s">
        <v>660</v>
      </c>
      <c r="K182"/>
      <c r="L182">
        <f t="shared" si="132"/>
        <v>0.25</v>
      </c>
      <c r="M182">
        <f t="shared" si="133"/>
        <v>0.45</v>
      </c>
      <c r="N182">
        <f t="shared" si="103"/>
        <v>0</v>
      </c>
      <c r="O182" t="s">
        <v>1042</v>
      </c>
      <c r="P182" t="s">
        <v>1051</v>
      </c>
      <c r="Q182"/>
      <c r="R182" s="711"/>
      <c r="S182"/>
      <c r="T182" s="127"/>
      <c r="U182"/>
      <c r="V182" t="str">
        <f t="shared" si="104"/>
        <v/>
      </c>
      <c r="W182" s="78">
        <v>0.4</v>
      </c>
      <c r="X182">
        <v>0.25</v>
      </c>
      <c r="Y182">
        <v>0.45</v>
      </c>
      <c r="Z182" t="str">
        <f>Units!B$35</f>
        <v>fraction</v>
      </c>
      <c r="AA182">
        <f>Units!C$35</f>
        <v>1</v>
      </c>
      <c r="AB182">
        <f>Units!D$35</f>
        <v>1</v>
      </c>
      <c r="AC182" t="str">
        <f>Units!E$35</f>
        <v>fraction</v>
      </c>
      <c r="AD182" t="str">
        <f>Units!F$35</f>
        <v>fraction</v>
      </c>
      <c r="AE182" t="str">
        <f>Units!G$35</f>
        <v>fraction</v>
      </c>
      <c r="AF182" t="str">
        <f>Units!H$35</f>
        <v>fraction</v>
      </c>
    </row>
    <row r="183" spans="1:32" s="34" customFormat="1" x14ac:dyDescent="0.3">
      <c r="A183" t="s">
        <v>978</v>
      </c>
      <c r="B183" t="s">
        <v>1052</v>
      </c>
      <c r="C183" s="124" t="str">
        <f t="shared" si="134"/>
        <v>UDV.compost.K_loss</v>
      </c>
      <c r="D183" s="1091">
        <f t="shared" si="89"/>
        <v>0</v>
      </c>
      <c r="E183" s="1093" t="str">
        <f t="shared" si="90"/>
        <v>fraction</v>
      </c>
      <c r="F183" s="1095">
        <f t="shared" si="97"/>
        <v>0</v>
      </c>
      <c r="G183" s="1098"/>
      <c r="H183" s="1101">
        <f t="shared" si="100"/>
        <v>0</v>
      </c>
      <c r="I183" s="956" t="str">
        <f t="shared" si="92"/>
        <v>fraction</v>
      </c>
      <c r="J183" t="s">
        <v>660</v>
      </c>
      <c r="K183" s="128"/>
      <c r="L183">
        <f t="shared" si="132"/>
        <v>0</v>
      </c>
      <c r="M183">
        <f t="shared" si="133"/>
        <v>0.1</v>
      </c>
      <c r="N183">
        <f t="shared" si="103"/>
        <v>1</v>
      </c>
      <c r="O183" t="s">
        <v>1045</v>
      </c>
      <c r="P183"/>
      <c r="Q183"/>
      <c r="R183" s="696"/>
      <c r="S183"/>
      <c r="T183" s="127"/>
      <c r="U183"/>
      <c r="V183" t="str">
        <f t="shared" si="104"/>
        <v/>
      </c>
      <c r="W183" s="697">
        <v>0</v>
      </c>
      <c r="X183" s="128">
        <v>0</v>
      </c>
      <c r="Y183" s="128">
        <v>0.1</v>
      </c>
      <c r="Z183" t="str">
        <f>Units!B$35</f>
        <v>fraction</v>
      </c>
      <c r="AA183">
        <f>Units!C$35</f>
        <v>1</v>
      </c>
      <c r="AB183">
        <f>Units!D$35</f>
        <v>1</v>
      </c>
      <c r="AC183" t="str">
        <f>Units!E$35</f>
        <v>fraction</v>
      </c>
      <c r="AD183" t="str">
        <f>Units!F$35</f>
        <v>fraction</v>
      </c>
      <c r="AE183" t="str">
        <f>Units!G$35</f>
        <v>fraction</v>
      </c>
      <c r="AF183" t="str">
        <f>Units!H$35</f>
        <v>fraction</v>
      </c>
    </row>
    <row r="184" spans="1:32" s="34" customFormat="1" x14ac:dyDescent="0.3">
      <c r="A184" t="s">
        <v>978</v>
      </c>
      <c r="B184" t="s">
        <v>950</v>
      </c>
      <c r="C184" s="124" t="str">
        <f t="shared" si="134"/>
        <v>UDV.compost.N_loss</v>
      </c>
      <c r="D184" s="1091">
        <f t="shared" si="89"/>
        <v>0.8</v>
      </c>
      <c r="E184" s="1093" t="str">
        <f t="shared" si="90"/>
        <v>fraction</v>
      </c>
      <c r="F184" s="1095">
        <f t="shared" si="97"/>
        <v>0.8</v>
      </c>
      <c r="G184" s="1098"/>
      <c r="H184" s="1101">
        <f t="shared" si="100"/>
        <v>0.8</v>
      </c>
      <c r="I184" s="956" t="str">
        <f t="shared" si="92"/>
        <v>fraction</v>
      </c>
      <c r="J184" t="s">
        <v>660</v>
      </c>
      <c r="K184" s="128"/>
      <c r="L184">
        <f t="shared" si="132"/>
        <v>0.4</v>
      </c>
      <c r="M184">
        <f t="shared" si="133"/>
        <v>0.9</v>
      </c>
      <c r="N184">
        <f t="shared" si="103"/>
        <v>0</v>
      </c>
      <c r="O184" t="s">
        <v>1053</v>
      </c>
      <c r="P184"/>
      <c r="Q184"/>
      <c r="R184" s="696"/>
      <c r="S184"/>
      <c r="T184" s="127"/>
      <c r="U184"/>
      <c r="V184" t="str">
        <f t="shared" si="104"/>
        <v/>
      </c>
      <c r="W184" s="697">
        <v>0.8</v>
      </c>
      <c r="X184" s="128">
        <v>0.4</v>
      </c>
      <c r="Y184" s="128">
        <v>0.9</v>
      </c>
      <c r="Z184" t="str">
        <f>Units!B$35</f>
        <v>fraction</v>
      </c>
      <c r="AA184">
        <f>Units!C$35</f>
        <v>1</v>
      </c>
      <c r="AB184">
        <f>Units!D$35</f>
        <v>1</v>
      </c>
      <c r="AC184" t="str">
        <f>Units!E$35</f>
        <v>fraction</v>
      </c>
      <c r="AD184" t="str">
        <f>Units!F$35</f>
        <v>fraction</v>
      </c>
      <c r="AE184" t="str">
        <f>Units!G$35</f>
        <v>fraction</v>
      </c>
      <c r="AF184" t="str">
        <f>Units!H$35</f>
        <v>fraction</v>
      </c>
    </row>
    <row r="185" spans="1:32" x14ac:dyDescent="0.3">
      <c r="A185" t="s">
        <v>978</v>
      </c>
      <c r="B185" t="s">
        <v>1054</v>
      </c>
      <c r="C185" s="124" t="str">
        <f t="shared" si="134"/>
        <v>UDV.compost.P_loss</v>
      </c>
      <c r="D185" s="1091">
        <f t="shared" si="89"/>
        <v>0</v>
      </c>
      <c r="E185" s="1093" t="str">
        <f t="shared" si="90"/>
        <v>fraction</v>
      </c>
      <c r="F185" s="1095">
        <f t="shared" si="97"/>
        <v>0</v>
      </c>
      <c r="H185" s="1101">
        <f t="shared" si="100"/>
        <v>0</v>
      </c>
      <c r="I185" s="956" t="str">
        <f t="shared" si="92"/>
        <v>fraction</v>
      </c>
      <c r="J185" t="s">
        <v>660</v>
      </c>
      <c r="K185" s="128"/>
      <c r="L185">
        <f t="shared" si="132"/>
        <v>0</v>
      </c>
      <c r="M185">
        <f t="shared" si="133"/>
        <v>0.1</v>
      </c>
      <c r="N185">
        <f t="shared" si="103"/>
        <v>1</v>
      </c>
      <c r="O185" t="s">
        <v>1055</v>
      </c>
      <c r="V185" t="str">
        <f t="shared" si="104"/>
        <v/>
      </c>
      <c r="W185" s="697">
        <v>0</v>
      </c>
      <c r="X185" s="128">
        <v>0</v>
      </c>
      <c r="Y185" s="128">
        <v>0.1</v>
      </c>
      <c r="Z185" t="str">
        <f>Units!B$35</f>
        <v>fraction</v>
      </c>
      <c r="AA185">
        <f>Units!C$35</f>
        <v>1</v>
      </c>
      <c r="AB185">
        <f>Units!D$35</f>
        <v>1</v>
      </c>
      <c r="AC185" t="str">
        <f>Units!E$35</f>
        <v>fraction</v>
      </c>
      <c r="AD185" t="str">
        <f>Units!F$35</f>
        <v>fraction</v>
      </c>
      <c r="AE185" t="str">
        <f>Units!G$35</f>
        <v>fraction</v>
      </c>
      <c r="AF185" t="str">
        <f>Units!H$35</f>
        <v>fraction</v>
      </c>
    </row>
    <row r="186" spans="1:32" x14ac:dyDescent="0.3">
      <c r="A186" t="s">
        <v>978</v>
      </c>
      <c r="B186" t="s">
        <v>1056</v>
      </c>
      <c r="C186" s="124" t="str">
        <f t="shared" si="134"/>
        <v>UDV.compost.time</v>
      </c>
      <c r="D186" s="1091">
        <f t="shared" si="89"/>
        <v>55</v>
      </c>
      <c r="E186" s="1093" t="str">
        <f t="shared" si="90"/>
        <v>day</v>
      </c>
      <c r="F186" s="1095">
        <f t="shared" si="97"/>
        <v>55</v>
      </c>
      <c r="H186" s="1101">
        <f t="shared" si="100"/>
        <v>55</v>
      </c>
      <c r="I186" s="956" t="str">
        <f t="shared" si="92"/>
        <v>day</v>
      </c>
      <c r="J186" t="s">
        <v>660</v>
      </c>
      <c r="L186">
        <f t="shared" si="132"/>
        <v>45</v>
      </c>
      <c r="M186">
        <f t="shared" si="133"/>
        <v>60</v>
      </c>
      <c r="N186">
        <f t="shared" si="103"/>
        <v>0</v>
      </c>
      <c r="O186" t="s">
        <v>1042</v>
      </c>
      <c r="P186" t="s">
        <v>1057</v>
      </c>
      <c r="R186" s="711"/>
      <c r="V186" t="str">
        <f t="shared" si="104"/>
        <v/>
      </c>
      <c r="W186" s="78">
        <v>55</v>
      </c>
      <c r="X186">
        <v>45</v>
      </c>
      <c r="Y186">
        <v>60</v>
      </c>
      <c r="Z186" t="str">
        <f>Units!B$110</f>
        <v>day</v>
      </c>
      <c r="AA186">
        <f>Units!C$110</f>
        <v>1</v>
      </c>
      <c r="AB186">
        <f>Units!D$110</f>
        <v>1</v>
      </c>
      <c r="AC186" t="str">
        <f>Units!E$110</f>
        <v>day</v>
      </c>
      <c r="AD186" t="str">
        <f>Units!F$110</f>
        <v>day</v>
      </c>
      <c r="AE186" t="str">
        <f>Units!G$110</f>
        <v>day</v>
      </c>
      <c r="AF186" t="str">
        <f>Units!H$110</f>
        <v>day</v>
      </c>
    </row>
    <row r="187" spans="1:32" s="34" customFormat="1" x14ac:dyDescent="0.3">
      <c r="A187" t="s">
        <v>978</v>
      </c>
      <c r="B187" t="s">
        <v>1058</v>
      </c>
      <c r="C187" s="124" t="str">
        <f t="shared" si="134"/>
        <v>UDV.compost.emit_CH4</v>
      </c>
      <c r="D187" s="1091">
        <f t="shared" si="89"/>
        <v>4.0000000000000001E-3</v>
      </c>
      <c r="E187" s="1093" t="str">
        <f t="shared" si="90"/>
        <v>kg CH4/day</v>
      </c>
      <c r="F187" s="1095">
        <f t="shared" si="97"/>
        <v>8.8184904799999998E-3</v>
      </c>
      <c r="G187" s="1098"/>
      <c r="H187" s="1101">
        <f t="shared" si="100"/>
        <v>8.8184904799999998E-3</v>
      </c>
      <c r="I187" s="956" t="str">
        <f t="shared" si="92"/>
        <v>lb CH4/day</v>
      </c>
      <c r="J187" t="s">
        <v>736</v>
      </c>
      <c r="K187"/>
      <c r="L187"/>
      <c r="M187">
        <f t="shared" si="133"/>
        <v>9.0000000000000011E-3</v>
      </c>
      <c r="N187">
        <f>IF(AND(G187&lt;=M187),1,0)</f>
        <v>1</v>
      </c>
      <c r="O187" t="s">
        <v>1059</v>
      </c>
      <c r="P187" t="s">
        <v>1060</v>
      </c>
      <c r="Q187"/>
      <c r="R187" s="711"/>
      <c r="S187"/>
      <c r="T187" s="127"/>
      <c r="U187"/>
      <c r="V187" t="str">
        <f t="shared" si="104"/>
        <v/>
      </c>
      <c r="W187" s="78">
        <v>4.0000000000000001E-3</v>
      </c>
      <c r="X187">
        <v>0</v>
      </c>
      <c r="Y187">
        <v>4.0000000000000001E-3</v>
      </c>
      <c r="Z187" t="str">
        <f>Units!B$80</f>
        <v>kg CH4/day</v>
      </c>
      <c r="AA187">
        <f>Units!C$80</f>
        <v>2.2046226199999999</v>
      </c>
      <c r="AB187">
        <f>Units!D$80</f>
        <v>0.45359237038037831</v>
      </c>
      <c r="AC187" t="str">
        <f>Units!E$80</f>
        <v>lb CH4/day</v>
      </c>
      <c r="AD187" t="str">
        <f>Units!F$80</f>
        <v>kg CH4/day</v>
      </c>
      <c r="AE187" t="str">
        <f>Units!G$80</f>
        <v>kg CH4/day</v>
      </c>
      <c r="AF187" t="str">
        <f>Units!H$80</f>
        <v>lb CH4/day</v>
      </c>
    </row>
    <row r="188" spans="1:32" s="34" customFormat="1" x14ac:dyDescent="0.3">
      <c r="A188" t="s">
        <v>978</v>
      </c>
      <c r="B188" t="s">
        <v>1061</v>
      </c>
      <c r="C188" s="124" t="str">
        <f t="shared" si="134"/>
        <v>UDV.compost.emit_CO2</v>
      </c>
      <c r="D188" s="1091">
        <f t="shared" si="89"/>
        <v>0.44</v>
      </c>
      <c r="E188" s="1093" t="str">
        <f t="shared" si="90"/>
        <v>kg CO2/day</v>
      </c>
      <c r="F188" s="1095">
        <f t="shared" si="97"/>
        <v>0.97003395279999993</v>
      </c>
      <c r="G188" s="1098"/>
      <c r="H188" s="1101">
        <f t="shared" si="100"/>
        <v>0.97003395279999993</v>
      </c>
      <c r="I188" s="956" t="str">
        <f t="shared" si="92"/>
        <v>lb CO2/day</v>
      </c>
      <c r="J188" t="s">
        <v>736</v>
      </c>
      <c r="K188"/>
      <c r="L188"/>
      <c r="M188">
        <f t="shared" si="133"/>
        <v>0.97099999999999997</v>
      </c>
      <c r="N188">
        <f>IF(AND(G188&lt;=M188),1,0)</f>
        <v>1</v>
      </c>
      <c r="O188" t="s">
        <v>1059</v>
      </c>
      <c r="P188" t="s">
        <v>1062</v>
      </c>
      <c r="Q188"/>
      <c r="R188" s="711"/>
      <c r="S188"/>
      <c r="T188" s="127"/>
      <c r="U188"/>
      <c r="V188" t="str">
        <f t="shared" si="104"/>
        <v/>
      </c>
      <c r="W188" s="78">
        <v>0.44</v>
      </c>
      <c r="X188">
        <v>0</v>
      </c>
      <c r="Y188">
        <v>0.44</v>
      </c>
      <c r="Z188" t="str">
        <f>Units!B$81</f>
        <v>kg CO2/day</v>
      </c>
      <c r="AA188">
        <f>Units!C$81</f>
        <v>2.2046226199999999</v>
      </c>
      <c r="AB188">
        <f>Units!D$81</f>
        <v>0.45359237038037831</v>
      </c>
      <c r="AC188" t="str">
        <f>Units!E$81</f>
        <v>lb CO2/day</v>
      </c>
      <c r="AD188" t="str">
        <f>Units!F$81</f>
        <v>kg CO2/day</v>
      </c>
      <c r="AE188" t="str">
        <f>Units!G$81</f>
        <v>kg CO2/day</v>
      </c>
      <c r="AF188" t="str">
        <f>Units!H$81</f>
        <v>lb CO2/day</v>
      </c>
    </row>
    <row r="189" spans="1:32" s="34" customFormat="1" x14ac:dyDescent="0.3">
      <c r="A189" t="s">
        <v>978</v>
      </c>
      <c r="B189" t="s">
        <v>1063</v>
      </c>
      <c r="C189" s="124" t="str">
        <f t="shared" si="134"/>
        <v>UDV.compost.emit_N2O</v>
      </c>
      <c r="D189" s="1091">
        <f t="shared" si="89"/>
        <v>2.9999999999999997E-4</v>
      </c>
      <c r="E189" s="1093" t="str">
        <f t="shared" si="90"/>
        <v>kg N2O/day</v>
      </c>
      <c r="F189" s="1095">
        <f t="shared" si="97"/>
        <v>6.6138678599999992E-4</v>
      </c>
      <c r="G189" s="1098"/>
      <c r="H189" s="1101">
        <f t="shared" si="100"/>
        <v>6.6138678599999992E-4</v>
      </c>
      <c r="I189" s="956" t="str">
        <f t="shared" si="92"/>
        <v>lb N2O/day</v>
      </c>
      <c r="J189" t="s">
        <v>736</v>
      </c>
      <c r="K189"/>
      <c r="L189"/>
      <c r="M189">
        <f t="shared" si="133"/>
        <v>1E-3</v>
      </c>
      <c r="N189">
        <f>IF(AND(G189&lt;=M189),1,0)</f>
        <v>1</v>
      </c>
      <c r="O189" t="s">
        <v>1059</v>
      </c>
      <c r="P189" t="s">
        <v>1064</v>
      </c>
      <c r="Q189"/>
      <c r="R189" s="711"/>
      <c r="S189"/>
      <c r="T189" s="127"/>
      <c r="U189"/>
      <c r="V189" t="str">
        <f t="shared" si="104"/>
        <v/>
      </c>
      <c r="W189" s="78">
        <v>2.9999999999999997E-4</v>
      </c>
      <c r="X189">
        <v>0</v>
      </c>
      <c r="Y189">
        <v>2.9999999999999997E-4</v>
      </c>
      <c r="Z189" t="str">
        <f>Units!B$83</f>
        <v>kg N2O/day</v>
      </c>
      <c r="AA189">
        <f>Units!C$83</f>
        <v>2.2046226199999999</v>
      </c>
      <c r="AB189">
        <f>Units!D$83</f>
        <v>0.45359237038037831</v>
      </c>
      <c r="AC189" t="str">
        <f>Units!E$83</f>
        <v>lb N2O/day</v>
      </c>
      <c r="AD189" t="str">
        <f>Units!F$83</f>
        <v>kg N2O/day</v>
      </c>
      <c r="AE189" t="str">
        <f>Units!G$83</f>
        <v>kg N2O/day</v>
      </c>
      <c r="AF189" t="str">
        <f>Units!H$83</f>
        <v>lb N2O/day</v>
      </c>
    </row>
    <row r="190" spans="1:32" x14ac:dyDescent="0.3">
      <c r="A190" t="s">
        <v>1065</v>
      </c>
      <c r="B190" s="128" t="s">
        <v>719</v>
      </c>
      <c r="C190" s="124" t="str">
        <f t="shared" si="134"/>
        <v>UDV.cover_digest.berm_width</v>
      </c>
      <c r="D190" s="944">
        <f t="shared" si="89"/>
        <v>2.5</v>
      </c>
      <c r="E190" s="125" t="str">
        <f t="shared" si="90"/>
        <v>m</v>
      </c>
      <c r="F190" s="1330">
        <f t="shared" si="97"/>
        <v>8.2020997500000004</v>
      </c>
      <c r="G190" s="126"/>
      <c r="H190" s="78">
        <f t="shared" si="100"/>
        <v>8.2020997500000004</v>
      </c>
      <c r="I190" s="1325" t="str">
        <f>$AC190</f>
        <v>ft</v>
      </c>
      <c r="J190" s="128" t="s">
        <v>660</v>
      </c>
      <c r="K190" s="124"/>
      <c r="L190">
        <f t="shared" ref="L190" si="135">ROUNDDOWN($X190*$AA190,3)</f>
        <v>8.202</v>
      </c>
      <c r="M190">
        <f t="shared" ref="M190" si="136">ROUNDUP($Y190*$AA190,3)</f>
        <v>32.808999999999997</v>
      </c>
      <c r="N190">
        <f>IF(AND(M190 - G190 &gt;= 0, G190 - L190 &gt;=0),1,0)</f>
        <v>0</v>
      </c>
      <c r="O190" t="s">
        <v>1066</v>
      </c>
      <c r="P190" t="s">
        <v>1067</v>
      </c>
      <c r="R190" s="711"/>
      <c r="S190" t="s">
        <v>84</v>
      </c>
      <c r="V190" t="str">
        <f t="shared" si="104"/>
        <v/>
      </c>
      <c r="W190">
        <v>2.5</v>
      </c>
      <c r="X190">
        <v>2.5</v>
      </c>
      <c r="Y190">
        <v>10</v>
      </c>
      <c r="Z190" t="str">
        <f>Units!B$48</f>
        <v>m</v>
      </c>
      <c r="AA190">
        <f>Units!C$48</f>
        <v>3.2808399000000001</v>
      </c>
      <c r="AB190">
        <f>Units!D$48</f>
        <v>0.304799999536704</v>
      </c>
      <c r="AC190" t="str">
        <f>Units!E$48</f>
        <v>ft</v>
      </c>
      <c r="AD190" t="str">
        <f>Units!F$48</f>
        <v>m</v>
      </c>
      <c r="AE190" t="str">
        <f>Units!G$48</f>
        <v>m</v>
      </c>
      <c r="AF190" t="str">
        <f>Units!H$48</f>
        <v>ft</v>
      </c>
    </row>
    <row r="191" spans="1:32" x14ac:dyDescent="0.3">
      <c r="A191" t="s">
        <v>1065</v>
      </c>
      <c r="B191" t="s">
        <v>669</v>
      </c>
      <c r="C191" s="124" t="str">
        <f t="shared" si="134"/>
        <v>UDV.cover_digest.CH4_fraction</v>
      </c>
      <c r="D191" s="944">
        <f t="shared" si="89"/>
        <v>0.6</v>
      </c>
      <c r="E191" s="125" t="str">
        <f t="shared" si="90"/>
        <v>fraction</v>
      </c>
      <c r="F191" s="944">
        <f t="shared" si="97"/>
        <v>0.6</v>
      </c>
      <c r="G191" s="126"/>
      <c r="H191">
        <f t="shared" si="100"/>
        <v>0.6</v>
      </c>
      <c r="I191" s="1325" t="str">
        <f t="shared" si="92"/>
        <v>fraction</v>
      </c>
      <c r="J191" t="s">
        <v>660</v>
      </c>
      <c r="K191" s="124"/>
      <c r="L191">
        <f t="shared" ref="L191:L232" si="137">ROUNDDOWN($X191*$AA191,3)</f>
        <v>0.5</v>
      </c>
      <c r="M191">
        <f t="shared" ref="M191:M232" si="138">ROUNDUP($Y191*$AA191,3)</f>
        <v>0.8</v>
      </c>
      <c r="N191">
        <f t="shared" ref="N191:N194" si="139">IF(AND(M191 - G191 &gt;= 0, G191 - L191 &gt;=0),1,0)</f>
        <v>0</v>
      </c>
      <c r="O191" t="s">
        <v>1066</v>
      </c>
      <c r="P191" t="s">
        <v>1068</v>
      </c>
      <c r="R191" s="711"/>
      <c r="V191" t="str">
        <f t="shared" si="104"/>
        <v/>
      </c>
      <c r="W191">
        <v>0.6</v>
      </c>
      <c r="X191">
        <v>0.5</v>
      </c>
      <c r="Y191">
        <v>0.8</v>
      </c>
      <c r="Z191" t="str">
        <f>Units!B$35</f>
        <v>fraction</v>
      </c>
      <c r="AA191">
        <f>Units!C$35</f>
        <v>1</v>
      </c>
      <c r="AB191">
        <f>Units!D$35</f>
        <v>1</v>
      </c>
      <c r="AC191" t="str">
        <f>Units!E$35</f>
        <v>fraction</v>
      </c>
      <c r="AD191" t="str">
        <f>Units!F$35</f>
        <v>fraction</v>
      </c>
      <c r="AE191" t="str">
        <f>Units!G$35</f>
        <v>fraction</v>
      </c>
      <c r="AF191" t="str">
        <f>Units!H$35</f>
        <v>fraction</v>
      </c>
    </row>
    <row r="192" spans="1:32" x14ac:dyDescent="0.3">
      <c r="A192" t="s">
        <v>1065</v>
      </c>
      <c r="B192" t="s">
        <v>722</v>
      </c>
      <c r="C192" s="124" t="str">
        <f t="shared" si="134"/>
        <v>UDV.cover_digest.depth</v>
      </c>
      <c r="D192" s="944">
        <f t="shared" si="89"/>
        <v>4.5720000000000001</v>
      </c>
      <c r="E192" s="125" t="str">
        <f t="shared" si="90"/>
        <v>m</v>
      </c>
      <c r="F192" s="944">
        <f t="shared" si="97"/>
        <v>15</v>
      </c>
      <c r="G192" s="126"/>
      <c r="H192">
        <f t="shared" si="100"/>
        <v>15</v>
      </c>
      <c r="I192" s="1325" t="str">
        <f t="shared" si="92"/>
        <v>ft</v>
      </c>
      <c r="J192" t="s">
        <v>660</v>
      </c>
      <c r="K192" s="124"/>
      <c r="L192">
        <f t="shared" si="137"/>
        <v>6</v>
      </c>
      <c r="M192">
        <f t="shared" si="138"/>
        <v>25</v>
      </c>
      <c r="N192">
        <f t="shared" si="139"/>
        <v>0</v>
      </c>
      <c r="O192" t="s">
        <v>1066</v>
      </c>
      <c r="P192" t="s">
        <v>1069</v>
      </c>
      <c r="R192" s="711"/>
      <c r="S192" t="s">
        <v>84</v>
      </c>
      <c r="V192" t="str">
        <f t="shared" si="104"/>
        <v/>
      </c>
      <c r="W192">
        <f>W33</f>
        <v>15</v>
      </c>
      <c r="X192">
        <v>6</v>
      </c>
      <c r="Y192">
        <v>25</v>
      </c>
      <c r="Z192" t="str">
        <f>Units!B$44</f>
        <v>ft</v>
      </c>
      <c r="AA192">
        <f>Units!C$44</f>
        <v>1</v>
      </c>
      <c r="AB192">
        <f>Units!D$44</f>
        <v>0.30480000000000002</v>
      </c>
      <c r="AC192" t="str">
        <f>Units!E$44</f>
        <v>ft</v>
      </c>
      <c r="AD192" t="str">
        <f>Units!F$44</f>
        <v>m</v>
      </c>
      <c r="AE192" t="str">
        <f>Units!G$44</f>
        <v>m</v>
      </c>
      <c r="AF192" t="str">
        <f>Units!H$44</f>
        <v>ft</v>
      </c>
    </row>
    <row r="193" spans="1:32" x14ac:dyDescent="0.3">
      <c r="A193" t="s">
        <v>1065</v>
      </c>
      <c r="B193" t="s">
        <v>759</v>
      </c>
      <c r="C193" s="124" t="str">
        <f t="shared" si="134"/>
        <v>UDV.cover_digest.freeboard</v>
      </c>
      <c r="D193" s="944">
        <f t="shared" si="89"/>
        <v>0.30480000000000002</v>
      </c>
      <c r="E193" s="125" t="str">
        <f t="shared" si="90"/>
        <v>m</v>
      </c>
      <c r="F193" s="944">
        <f t="shared" si="97"/>
        <v>1</v>
      </c>
      <c r="G193" s="126"/>
      <c r="H193">
        <f t="shared" si="100"/>
        <v>1</v>
      </c>
      <c r="I193" s="1325" t="str">
        <f t="shared" si="92"/>
        <v>ft</v>
      </c>
      <c r="J193" t="s">
        <v>660</v>
      </c>
      <c r="K193" s="124"/>
      <c r="L193">
        <f t="shared" si="137"/>
        <v>1</v>
      </c>
      <c r="M193">
        <f t="shared" si="138"/>
        <v>5</v>
      </c>
      <c r="N193">
        <f t="shared" si="139"/>
        <v>0</v>
      </c>
      <c r="O193" t="s">
        <v>1066</v>
      </c>
      <c r="P193" t="s">
        <v>1070</v>
      </c>
      <c r="R193" s="711"/>
      <c r="S193" t="s">
        <v>84</v>
      </c>
      <c r="V193" t="str">
        <f t="shared" si="104"/>
        <v/>
      </c>
      <c r="W193" s="78">
        <f>W49</f>
        <v>1</v>
      </c>
      <c r="X193">
        <v>1</v>
      </c>
      <c r="Y193">
        <v>5</v>
      </c>
      <c r="Z193" t="str">
        <f>Units!B$44</f>
        <v>ft</v>
      </c>
      <c r="AA193">
        <f>Units!C$44</f>
        <v>1</v>
      </c>
      <c r="AB193">
        <f>Units!D$44</f>
        <v>0.30480000000000002</v>
      </c>
      <c r="AC193" t="str">
        <f>Units!E$44</f>
        <v>ft</v>
      </c>
      <c r="AD193" t="str">
        <f>Units!F$44</f>
        <v>m</v>
      </c>
      <c r="AE193" t="str">
        <f>Units!G$44</f>
        <v>m</v>
      </c>
      <c r="AF193" t="str">
        <f>Units!H$44</f>
        <v>ft</v>
      </c>
    </row>
    <row r="194" spans="1:32" x14ac:dyDescent="0.3">
      <c r="A194" t="s">
        <v>1065</v>
      </c>
      <c r="B194" t="s">
        <v>679</v>
      </c>
      <c r="C194" s="124" t="str">
        <f t="shared" si="134"/>
        <v>UDV.cover_digest.gas_gen</v>
      </c>
      <c r="D194" s="944">
        <f t="shared" si="89"/>
        <v>0.35</v>
      </c>
      <c r="E194" s="125" t="str">
        <f t="shared" si="90"/>
        <v>m3/kg</v>
      </c>
      <c r="F194" s="1330">
        <f t="shared" si="97"/>
        <v>5.6064621821761031</v>
      </c>
      <c r="G194" s="1334"/>
      <c r="H194" s="78">
        <f t="shared" si="100"/>
        <v>5.6064621821761031</v>
      </c>
      <c r="I194" s="1325" t="str">
        <f t="shared" si="92"/>
        <v>ft3/lb</v>
      </c>
      <c r="J194" t="s">
        <v>660</v>
      </c>
      <c r="K194" s="124"/>
      <c r="L194">
        <f t="shared" si="137"/>
        <v>3.524</v>
      </c>
      <c r="M194">
        <f t="shared" si="138"/>
        <v>19.223000000000003</v>
      </c>
      <c r="N194">
        <f t="shared" si="139"/>
        <v>0</v>
      </c>
      <c r="O194" t="s">
        <v>1066</v>
      </c>
      <c r="P194" t="s">
        <v>680</v>
      </c>
      <c r="R194" s="711"/>
      <c r="V194" t="str">
        <f t="shared" si="104"/>
        <v/>
      </c>
      <c r="W194">
        <v>0.35</v>
      </c>
      <c r="X194">
        <v>0.22</v>
      </c>
      <c r="Y194">
        <v>1.2</v>
      </c>
      <c r="Z194" t="str">
        <f>Units!B$140</f>
        <v>m3/kg</v>
      </c>
      <c r="AA194">
        <f>Units!C$140</f>
        <v>16.018463377646011</v>
      </c>
      <c r="AB194">
        <f>Units!D$140</f>
        <v>6.2427960561779849E-2</v>
      </c>
      <c r="AC194" t="str">
        <f>Units!E$140</f>
        <v>ft3/lb</v>
      </c>
      <c r="AD194" t="str">
        <f>Units!F$140</f>
        <v>m3/kg</v>
      </c>
      <c r="AE194" t="str">
        <f>Units!G$140</f>
        <v>m3/kg</v>
      </c>
      <c r="AF194" t="str">
        <f>Units!H$140</f>
        <v>ft3/lb</v>
      </c>
    </row>
    <row r="195" spans="1:32" x14ac:dyDescent="0.3">
      <c r="A195" t="s">
        <v>1065</v>
      </c>
      <c r="B195" t="s">
        <v>687</v>
      </c>
      <c r="C195" s="124" t="str">
        <f t="shared" si="134"/>
        <v>UDV.cover_digest.N_retained</v>
      </c>
      <c r="D195" s="1328">
        <f t="shared" ref="D195" si="140">$F195*$AB195</f>
        <v>0.898408765</v>
      </c>
      <c r="E195" s="125" t="str">
        <f t="shared" ref="E195" si="141">$AD195</f>
        <v>fraction</v>
      </c>
      <c r="F195" s="1328">
        <f t="shared" si="97"/>
        <v>0.898408765</v>
      </c>
      <c r="G195" s="126"/>
      <c r="H195" s="302">
        <f t="shared" si="100"/>
        <v>0.898408765</v>
      </c>
      <c r="I195" s="1325" t="str">
        <f t="shared" ref="I195" si="142">$AC195</f>
        <v>fraction</v>
      </c>
      <c r="J195" t="s">
        <v>688</v>
      </c>
      <c r="K195" s="124"/>
      <c r="L195">
        <f t="shared" si="137"/>
        <v>0</v>
      </c>
      <c r="M195">
        <f t="shared" si="138"/>
        <v>1</v>
      </c>
      <c r="N195">
        <f>IF(AND(M195 - G195 &gt;= 0, G195 - L195 &gt;=0),1,0)</f>
        <v>1</v>
      </c>
      <c r="O195" t="s">
        <v>1066</v>
      </c>
      <c r="P195" t="s">
        <v>689</v>
      </c>
      <c r="R195" s="711"/>
      <c r="S195" t="s">
        <v>84</v>
      </c>
      <c r="W195" s="302" cm="1">
        <f t="array" ref="W195">1-UDV.emit_NH3.lossfrac_cover_digest-UDV.emit_N2O_direct.ef3_cover_digest*UC.N2O_to_N</f>
        <v>0.898408765</v>
      </c>
      <c r="X195">
        <v>0</v>
      </c>
      <c r="Y195">
        <v>1</v>
      </c>
      <c r="Z195" t="str">
        <f>Units!B$35</f>
        <v>fraction</v>
      </c>
      <c r="AA195">
        <f>Units!C$35</f>
        <v>1</v>
      </c>
      <c r="AB195">
        <f>Units!D$35</f>
        <v>1</v>
      </c>
      <c r="AC195" t="str">
        <f>Units!E$35</f>
        <v>fraction</v>
      </c>
      <c r="AD195" t="str">
        <f>Units!F$35</f>
        <v>fraction</v>
      </c>
      <c r="AE195" t="str">
        <f>Units!G$35</f>
        <v>fraction</v>
      </c>
      <c r="AF195" t="str">
        <f>Units!H$35</f>
        <v>fraction</v>
      </c>
    </row>
    <row r="196" spans="1:32" s="1608" customFormat="1" x14ac:dyDescent="0.3">
      <c r="A196" s="1031" t="s">
        <v>1065</v>
      </c>
      <c r="B196" s="1031" t="s">
        <v>1071</v>
      </c>
      <c r="C196" s="1031" t="str">
        <f t="shared" si="134"/>
        <v>UDV.cover_digest.liquid_prop</v>
      </c>
      <c r="D196" s="1031">
        <f t="shared" ref="D196:D232" si="143">$F196*$AB196</f>
        <v>0.05</v>
      </c>
      <c r="E196" s="1031" t="str">
        <f t="shared" ref="E196:E232" si="144">$AD196</f>
        <v>fraction</v>
      </c>
      <c r="F196" s="1031">
        <f t="shared" si="97"/>
        <v>0.05</v>
      </c>
      <c r="G196" s="1031"/>
      <c r="H196" s="1031">
        <f t="shared" si="100"/>
        <v>0.05</v>
      </c>
      <c r="I196" s="1031" t="str">
        <f t="shared" ref="I196:I232" si="145">$AC196</f>
        <v>fraction</v>
      </c>
      <c r="J196" s="1031" t="s">
        <v>660</v>
      </c>
      <c r="K196" s="1031"/>
      <c r="L196">
        <f t="shared" si="137"/>
        <v>0</v>
      </c>
      <c r="M196">
        <f t="shared" si="138"/>
        <v>0.99</v>
      </c>
      <c r="N196" s="1031">
        <f>IF(AND(M196 - G196 &gt;= 0, G196 - L196 &gt;=0),1,0)</f>
        <v>1</v>
      </c>
      <c r="O196" s="1031" t="s">
        <v>1066</v>
      </c>
      <c r="P196" s="1031" t="s">
        <v>1072</v>
      </c>
      <c r="Q196" s="1607" t="s">
        <v>1073</v>
      </c>
      <c r="R196" s="1607"/>
      <c r="S196" s="1607"/>
      <c r="T196" s="1607"/>
      <c r="U196" s="1607"/>
      <c r="V196" s="1031" t="str">
        <f t="shared" si="104"/>
        <v/>
      </c>
      <c r="W196" s="1031">
        <v>0.05</v>
      </c>
      <c r="X196" s="1031">
        <v>0</v>
      </c>
      <c r="Y196" s="1031">
        <v>0.99</v>
      </c>
      <c r="Z196" s="1031" t="str">
        <f>Units!B$35</f>
        <v>fraction</v>
      </c>
      <c r="AA196" s="1031">
        <f>Units!C$35</f>
        <v>1</v>
      </c>
      <c r="AB196" s="1031">
        <f>Units!D$35</f>
        <v>1</v>
      </c>
      <c r="AC196" s="1031" t="str">
        <f>Units!E$35</f>
        <v>fraction</v>
      </c>
      <c r="AD196" s="1031" t="str">
        <f>Units!F$35</f>
        <v>fraction</v>
      </c>
      <c r="AE196" s="1031" t="str">
        <f>Units!G$35</f>
        <v>fraction</v>
      </c>
      <c r="AF196" s="1031" t="str">
        <f>Units!H$35</f>
        <v>fraction</v>
      </c>
    </row>
    <row r="197" spans="1:32" s="1031" customFormat="1" x14ac:dyDescent="0.3">
      <c r="A197" s="1031" t="s">
        <v>1065</v>
      </c>
      <c r="B197" s="1031" t="s">
        <v>1074</v>
      </c>
      <c r="C197" s="1031" t="str">
        <f t="shared" si="134"/>
        <v>UDV.cover_digest.sludge_prop</v>
      </c>
      <c r="D197" s="1031">
        <f t="shared" si="143"/>
        <v>0.95</v>
      </c>
      <c r="E197" s="1031" t="str">
        <f t="shared" si="144"/>
        <v>fraction</v>
      </c>
      <c r="F197" s="1031">
        <f t="shared" si="97"/>
        <v>0.95</v>
      </c>
      <c r="H197" s="1031">
        <f t="shared" si="100"/>
        <v>0.95</v>
      </c>
      <c r="I197" s="1031" t="str">
        <f t="shared" si="145"/>
        <v>fraction</v>
      </c>
      <c r="J197" s="1031" t="s">
        <v>660</v>
      </c>
      <c r="L197">
        <f t="shared" si="137"/>
        <v>0</v>
      </c>
      <c r="M197">
        <f t="shared" si="138"/>
        <v>0.99</v>
      </c>
      <c r="N197" s="1031">
        <f>IF(AND(M197 - G197 &gt;= 0, G197 - L197 &gt;=0),1,0)</f>
        <v>1</v>
      </c>
      <c r="O197" s="1031" t="s">
        <v>1066</v>
      </c>
      <c r="P197" s="1031" t="s">
        <v>1075</v>
      </c>
      <c r="Q197" s="1607" t="s">
        <v>1073</v>
      </c>
      <c r="R197" s="1607"/>
      <c r="S197" s="1607" t="s">
        <v>84</v>
      </c>
      <c r="T197" s="1607"/>
      <c r="U197" s="1607"/>
      <c r="V197" s="1031" t="str">
        <f t="shared" si="104"/>
        <v/>
      </c>
      <c r="W197" s="1031">
        <f>1-UDV.cover_digest.liquid_prop</f>
        <v>0.95</v>
      </c>
      <c r="X197" s="1031">
        <v>0</v>
      </c>
      <c r="Y197" s="1031">
        <v>0.99</v>
      </c>
      <c r="Z197" s="1031" t="str">
        <f>Units!B$35</f>
        <v>fraction</v>
      </c>
      <c r="AA197" s="1031">
        <f>Units!C$35</f>
        <v>1</v>
      </c>
      <c r="AB197" s="1031">
        <f>Units!D$35</f>
        <v>1</v>
      </c>
      <c r="AC197" s="1031" t="str">
        <f>Units!E$35</f>
        <v>fraction</v>
      </c>
      <c r="AD197" s="1031" t="str">
        <f>Units!F$35</f>
        <v>fraction</v>
      </c>
      <c r="AE197" s="1031" t="str">
        <f>Units!G$35</f>
        <v>fraction</v>
      </c>
      <c r="AF197" s="1031" t="str">
        <f>Units!H$35</f>
        <v>fraction</v>
      </c>
    </row>
    <row r="198" spans="1:32" x14ac:dyDescent="0.3">
      <c r="A198" t="s">
        <v>1065</v>
      </c>
      <c r="B198" t="s">
        <v>771</v>
      </c>
      <c r="C198" s="124" t="str">
        <f t="shared" si="134"/>
        <v>UDV.cover_digest.slope</v>
      </c>
      <c r="D198" s="944">
        <f t="shared" si="143"/>
        <v>3</v>
      </c>
      <c r="E198" s="125" t="str">
        <f t="shared" si="144"/>
        <v>H to V</v>
      </c>
      <c r="F198" s="944">
        <f t="shared" si="97"/>
        <v>3</v>
      </c>
      <c r="G198" s="126"/>
      <c r="H198">
        <f t="shared" si="100"/>
        <v>3</v>
      </c>
      <c r="I198" s="1325" t="str">
        <f t="shared" si="145"/>
        <v>H to V</v>
      </c>
      <c r="J198" t="s">
        <v>660</v>
      </c>
      <c r="K198" s="124"/>
      <c r="L198">
        <f t="shared" si="137"/>
        <v>2</v>
      </c>
      <c r="M198">
        <f t="shared" si="138"/>
        <v>5</v>
      </c>
      <c r="N198">
        <f t="shared" ref="N198:N199" si="146">IF(AND(M198 - G198 &gt;= 0, G198 - L198 &gt;=0),1,0)</f>
        <v>0</v>
      </c>
      <c r="O198" t="s">
        <v>1066</v>
      </c>
      <c r="P198" t="s">
        <v>772</v>
      </c>
      <c r="R198" s="711"/>
      <c r="S198" t="s">
        <v>84</v>
      </c>
      <c r="V198" t="str">
        <f t="shared" si="104"/>
        <v/>
      </c>
      <c r="W198">
        <f>W55</f>
        <v>3</v>
      </c>
      <c r="X198">
        <v>2</v>
      </c>
      <c r="Y198">
        <v>5</v>
      </c>
      <c r="Z198" t="str">
        <f>Units!B$108</f>
        <v>H to V</v>
      </c>
      <c r="AA198">
        <f>Units!C$108</f>
        <v>1</v>
      </c>
      <c r="AB198">
        <f>Units!D$108</f>
        <v>1</v>
      </c>
      <c r="AC198" t="str">
        <f>Units!E$108</f>
        <v>H to V</v>
      </c>
      <c r="AD198" t="str">
        <f>Units!F$108</f>
        <v>H to V</v>
      </c>
      <c r="AE198" t="str">
        <f>Units!G$108</f>
        <v>H to V</v>
      </c>
      <c r="AF198" t="str">
        <f>Units!H$108</f>
        <v>H to V</v>
      </c>
    </row>
    <row r="199" spans="1:32" x14ac:dyDescent="0.3">
      <c r="A199" t="s">
        <v>1065</v>
      </c>
      <c r="B199" t="s">
        <v>696</v>
      </c>
      <c r="C199" s="124" t="str">
        <f t="shared" si="134"/>
        <v>UDV.cover_digest.storage_safety_factor</v>
      </c>
      <c r="D199" s="1330">
        <f t="shared" si="143"/>
        <v>1</v>
      </c>
      <c r="E199" s="125" t="str">
        <f t="shared" si="144"/>
        <v>multiplier</v>
      </c>
      <c r="F199" s="1330">
        <f t="shared" si="97"/>
        <v>1</v>
      </c>
      <c r="G199" s="126"/>
      <c r="H199" s="78">
        <f t="shared" si="100"/>
        <v>1</v>
      </c>
      <c r="I199" s="1325" t="str">
        <f t="shared" si="145"/>
        <v>multiplier</v>
      </c>
      <c r="J199" t="s">
        <v>660</v>
      </c>
      <c r="K199" s="124"/>
      <c r="L199">
        <f t="shared" si="137"/>
        <v>1</v>
      </c>
      <c r="M199">
        <f t="shared" si="138"/>
        <v>2</v>
      </c>
      <c r="N199">
        <f t="shared" si="146"/>
        <v>0</v>
      </c>
      <c r="O199" t="s">
        <v>1066</v>
      </c>
      <c r="P199" s="93" t="s">
        <v>697</v>
      </c>
      <c r="R199" s="711"/>
      <c r="W199">
        <v>1</v>
      </c>
      <c r="X199">
        <v>1</v>
      </c>
      <c r="Y199">
        <v>2</v>
      </c>
      <c r="Z199" t="str">
        <f>Units!B$94</f>
        <v>multiplier</v>
      </c>
      <c r="AA199">
        <f>Units!C$94</f>
        <v>1</v>
      </c>
      <c r="AB199">
        <f>Units!D$94</f>
        <v>1</v>
      </c>
      <c r="AC199" t="str">
        <f>Units!E$94</f>
        <v>multiplier</v>
      </c>
      <c r="AD199" t="str">
        <f>Units!F$94</f>
        <v>multiplier</v>
      </c>
      <c r="AE199" t="str">
        <f>Units!G$94</f>
        <v>multiplier</v>
      </c>
      <c r="AF199" t="str">
        <f>Units!H$94</f>
        <v>multiplier</v>
      </c>
    </row>
    <row r="200" spans="1:32" x14ac:dyDescent="0.3">
      <c r="A200" t="s">
        <v>1065</v>
      </c>
      <c r="B200" t="s">
        <v>698</v>
      </c>
      <c r="C200" s="124" t="str">
        <f t="shared" si="134"/>
        <v>UDV.cover_digest.vs_reduced</v>
      </c>
      <c r="D200" s="944">
        <f t="shared" si="143"/>
        <v>0.6</v>
      </c>
      <c r="E200" s="125" t="str">
        <f t="shared" si="144"/>
        <v>fraction</v>
      </c>
      <c r="F200" s="944">
        <f t="shared" si="97"/>
        <v>0.6</v>
      </c>
      <c r="G200" s="126"/>
      <c r="H200">
        <f t="shared" si="100"/>
        <v>0.6</v>
      </c>
      <c r="I200" s="1325" t="str">
        <f t="shared" si="145"/>
        <v>fraction</v>
      </c>
      <c r="J200" t="s">
        <v>660</v>
      </c>
      <c r="K200" s="124"/>
      <c r="L200">
        <f t="shared" si="137"/>
        <v>0.01</v>
      </c>
      <c r="M200">
        <f t="shared" si="138"/>
        <v>0.99</v>
      </c>
      <c r="N200">
        <f t="shared" ref="N200" si="147">IF(AND(M200 - G200 &gt;= 0, G200 - L200 &gt;=0),1,0)</f>
        <v>0</v>
      </c>
      <c r="O200" t="s">
        <v>1066</v>
      </c>
      <c r="P200" t="s">
        <v>1076</v>
      </c>
      <c r="R200" s="711"/>
      <c r="W200">
        <v>0.6</v>
      </c>
      <c r="X200">
        <v>0.01</v>
      </c>
      <c r="Y200">
        <v>0.99</v>
      </c>
      <c r="Z200" t="str">
        <f>Units!B$35</f>
        <v>fraction</v>
      </c>
      <c r="AA200">
        <f>Units!C$35</f>
        <v>1</v>
      </c>
      <c r="AB200">
        <f>Units!D$35</f>
        <v>1</v>
      </c>
      <c r="AC200" t="str">
        <f>Units!E$35</f>
        <v>fraction</v>
      </c>
      <c r="AD200" t="str">
        <f>Units!F$35</f>
        <v>fraction</v>
      </c>
      <c r="AE200" t="str">
        <f>Units!G$35</f>
        <v>fraction</v>
      </c>
      <c r="AF200" t="str">
        <f>Units!H$35</f>
        <v>fraction</v>
      </c>
    </row>
    <row r="201" spans="1:32" x14ac:dyDescent="0.3">
      <c r="A201" t="s">
        <v>1077</v>
      </c>
      <c r="B201" t="s">
        <v>669</v>
      </c>
      <c r="C201" s="124" t="str">
        <f t="shared" si="134"/>
        <v>UDV.cover_lagoon.CH4_fraction</v>
      </c>
      <c r="D201" s="1091">
        <f t="shared" si="143"/>
        <v>0.6</v>
      </c>
      <c r="E201" s="1093" t="str">
        <f t="shared" si="144"/>
        <v>fraction</v>
      </c>
      <c r="F201" s="1095">
        <f t="shared" si="97"/>
        <v>0.6</v>
      </c>
      <c r="H201" s="1101">
        <f t="shared" si="100"/>
        <v>0.6</v>
      </c>
      <c r="I201" s="956" t="str">
        <f t="shared" si="145"/>
        <v>fraction</v>
      </c>
      <c r="J201" t="s">
        <v>660</v>
      </c>
      <c r="L201">
        <f t="shared" si="137"/>
        <v>0.5</v>
      </c>
      <c r="M201">
        <f t="shared" si="138"/>
        <v>0.6</v>
      </c>
      <c r="N201">
        <f>IF(AND(G201&lt;=M201, G201&gt;=L201),1,0)</f>
        <v>0</v>
      </c>
      <c r="O201" t="s">
        <v>1066</v>
      </c>
      <c r="P201" t="s">
        <v>671</v>
      </c>
      <c r="V201" t="str">
        <f t="shared" si="104"/>
        <v/>
      </c>
      <c r="W201" s="78">
        <v>0.6</v>
      </c>
      <c r="X201">
        <v>0.5</v>
      </c>
      <c r="Y201">
        <v>0.6</v>
      </c>
      <c r="Z201" t="str">
        <f>Units!B$35</f>
        <v>fraction</v>
      </c>
      <c r="AA201">
        <f>Units!C$35</f>
        <v>1</v>
      </c>
      <c r="AB201">
        <f>Units!D$35</f>
        <v>1</v>
      </c>
      <c r="AC201" t="str">
        <f>Units!E$35</f>
        <v>fraction</v>
      </c>
      <c r="AD201" t="str">
        <f>Units!F$35</f>
        <v>fraction</v>
      </c>
      <c r="AE201" t="str">
        <f>Units!G$35</f>
        <v>fraction</v>
      </c>
      <c r="AF201" t="str">
        <f>Units!H$35</f>
        <v>fraction</v>
      </c>
    </row>
    <row r="202" spans="1:32" x14ac:dyDescent="0.3">
      <c r="A202" t="s">
        <v>1077</v>
      </c>
      <c r="B202" t="s">
        <v>672</v>
      </c>
      <c r="C202" s="124" t="str">
        <f t="shared" si="134"/>
        <v>UDV.cover_lagoon.CH4_kWhr</v>
      </c>
      <c r="D202" s="1091">
        <f t="shared" si="143"/>
        <v>5.4</v>
      </c>
      <c r="E202" s="1093" t="str">
        <f t="shared" si="144"/>
        <v>kWhr</v>
      </c>
      <c r="F202" s="1095">
        <f t="shared" ref="F202:F225" si="148">IF(OR(G202="",N202=0),H202,G202)</f>
        <v>5.4</v>
      </c>
      <c r="H202" s="1101">
        <f t="shared" si="100"/>
        <v>5.4</v>
      </c>
      <c r="I202" s="956" t="str">
        <f t="shared" si="145"/>
        <v>kWhr</v>
      </c>
      <c r="J202" t="s">
        <v>736</v>
      </c>
      <c r="M202">
        <f t="shared" si="138"/>
        <v>5.4</v>
      </c>
      <c r="N202">
        <f>IF(AND(G202&lt;=M202),1,0)</f>
        <v>1</v>
      </c>
      <c r="O202" t="s">
        <v>1066</v>
      </c>
      <c r="P202" t="s">
        <v>1078</v>
      </c>
      <c r="V202" t="str">
        <f t="shared" si="104"/>
        <v/>
      </c>
      <c r="W202" s="78">
        <v>5.4</v>
      </c>
      <c r="X202">
        <v>0</v>
      </c>
      <c r="Y202">
        <v>5.4</v>
      </c>
      <c r="Z202" t="str">
        <f>Units!B$101</f>
        <v>kWhr</v>
      </c>
      <c r="AA202">
        <f>Units!C$101</f>
        <v>1</v>
      </c>
      <c r="AB202">
        <f>Units!D$101</f>
        <v>1</v>
      </c>
      <c r="AC202" t="str">
        <f>Units!E$101</f>
        <v>kWhr</v>
      </c>
      <c r="AD202" t="str">
        <f>Units!F$101</f>
        <v>kWhr</v>
      </c>
      <c r="AE202" t="str">
        <f>Units!G$101</f>
        <v>kWhr</v>
      </c>
      <c r="AF202" t="str">
        <f>Units!H$101</f>
        <v>kWhr</v>
      </c>
    </row>
    <row r="203" spans="1:32" x14ac:dyDescent="0.3">
      <c r="A203" s="94" t="s">
        <v>1077</v>
      </c>
      <c r="B203" s="94" t="s">
        <v>724</v>
      </c>
      <c r="C203" s="124" t="str">
        <f t="shared" si="134"/>
        <v>UDV.cover_lagoon.effluent_K</v>
      </c>
      <c r="D203" s="1144">
        <f t="shared" si="143"/>
        <v>0.25</v>
      </c>
      <c r="E203" s="1145" t="str">
        <f t="shared" si="144"/>
        <v>fraction</v>
      </c>
      <c r="F203" s="1146">
        <f t="shared" si="148"/>
        <v>0.25</v>
      </c>
      <c r="G203" s="1147"/>
      <c r="H203" s="1148">
        <f t="shared" si="100"/>
        <v>0.25</v>
      </c>
      <c r="I203" s="1149" t="str">
        <f t="shared" si="145"/>
        <v>fraction</v>
      </c>
      <c r="J203" s="34" t="s">
        <v>660</v>
      </c>
      <c r="K203" s="94"/>
      <c r="L203">
        <f t="shared" si="137"/>
        <v>0.2</v>
      </c>
      <c r="M203">
        <f t="shared" si="138"/>
        <v>0.3</v>
      </c>
      <c r="N203" s="34">
        <f>IF(AND(G203&lt;=M203, G203&gt;=L203),1,0)</f>
        <v>0</v>
      </c>
      <c r="O203" t="s">
        <v>1066</v>
      </c>
      <c r="P203" s="34" t="s">
        <v>702</v>
      </c>
      <c r="Q203" s="34"/>
      <c r="R203" s="1150"/>
      <c r="S203" s="34"/>
      <c r="T203" s="1151"/>
      <c r="U203" s="34"/>
      <c r="V203" t="str">
        <f t="shared" si="104"/>
        <v/>
      </c>
      <c r="W203" s="1152">
        <v>0.25</v>
      </c>
      <c r="X203" s="34">
        <v>0.2</v>
      </c>
      <c r="Y203" s="34">
        <v>0.3</v>
      </c>
      <c r="Z203" s="34" t="str">
        <f>Units!B$35</f>
        <v>fraction</v>
      </c>
      <c r="AA203" s="34">
        <f>Units!C$35</f>
        <v>1</v>
      </c>
      <c r="AB203" s="34">
        <f>Units!D$35</f>
        <v>1</v>
      </c>
      <c r="AC203" s="34" t="str">
        <f>Units!E$35</f>
        <v>fraction</v>
      </c>
      <c r="AD203" s="34" t="str">
        <f>Units!F$35</f>
        <v>fraction</v>
      </c>
      <c r="AE203" s="34" t="str">
        <f>Units!G$35</f>
        <v>fraction</v>
      </c>
      <c r="AF203" s="34" t="str">
        <f>Units!H$35</f>
        <v>fraction</v>
      </c>
    </row>
    <row r="204" spans="1:32" x14ac:dyDescent="0.3">
      <c r="A204" s="94" t="s">
        <v>1077</v>
      </c>
      <c r="B204" s="94" t="s">
        <v>726</v>
      </c>
      <c r="C204" s="124" t="str">
        <f t="shared" si="134"/>
        <v>UDV.cover_lagoon.effluent_N</v>
      </c>
      <c r="D204" s="1144">
        <f t="shared" si="143"/>
        <v>0</v>
      </c>
      <c r="E204" s="1145" t="str">
        <f t="shared" si="144"/>
        <v>fraction</v>
      </c>
      <c r="F204" s="1146">
        <f t="shared" si="148"/>
        <v>0</v>
      </c>
      <c r="G204" s="1147"/>
      <c r="H204" s="1148">
        <f t="shared" si="100"/>
        <v>0</v>
      </c>
      <c r="I204" s="1149" t="str">
        <f t="shared" si="145"/>
        <v>fraction</v>
      </c>
      <c r="J204" s="34" t="s">
        <v>660</v>
      </c>
      <c r="K204" s="94"/>
      <c r="L204">
        <f t="shared" si="137"/>
        <v>0</v>
      </c>
      <c r="M204">
        <f t="shared" si="138"/>
        <v>0.4</v>
      </c>
      <c r="N204" s="34">
        <f>IF(AND(G204&lt;=M204, G204&gt;=L204),1,0)</f>
        <v>1</v>
      </c>
      <c r="O204" t="s">
        <v>1066</v>
      </c>
      <c r="P204" s="34" t="s">
        <v>84</v>
      </c>
      <c r="Q204" s="34"/>
      <c r="R204" s="1150"/>
      <c r="S204" s="34"/>
      <c r="T204" s="1151"/>
      <c r="U204" s="34"/>
      <c r="V204" t="str">
        <f t="shared" si="104"/>
        <v/>
      </c>
      <c r="W204" s="1152">
        <v>0</v>
      </c>
      <c r="X204" s="34">
        <v>0</v>
      </c>
      <c r="Y204" s="34">
        <v>0.4</v>
      </c>
      <c r="Z204" s="34" t="str">
        <f>Units!B$35</f>
        <v>fraction</v>
      </c>
      <c r="AA204" s="34">
        <f>Units!C$35</f>
        <v>1</v>
      </c>
      <c r="AB204" s="34">
        <f>Units!D$35</f>
        <v>1</v>
      </c>
      <c r="AC204" s="34" t="str">
        <f>Units!E$35</f>
        <v>fraction</v>
      </c>
      <c r="AD204" s="34" t="str">
        <f>Units!F$35</f>
        <v>fraction</v>
      </c>
      <c r="AE204" s="34" t="str">
        <f>Units!G$35</f>
        <v>fraction</v>
      </c>
      <c r="AF204" s="34" t="str">
        <f>Units!H$35</f>
        <v>fraction</v>
      </c>
    </row>
    <row r="205" spans="1:32" x14ac:dyDescent="0.3">
      <c r="A205" s="94" t="s">
        <v>1077</v>
      </c>
      <c r="B205" s="94" t="s">
        <v>733</v>
      </c>
      <c r="C205" s="124" t="str">
        <f t="shared" si="134"/>
        <v>UDV.cover_lagoon.effluent_P</v>
      </c>
      <c r="D205" s="1144">
        <f t="shared" si="143"/>
        <v>0.2</v>
      </c>
      <c r="E205" s="1145" t="str">
        <f t="shared" si="144"/>
        <v>fraction</v>
      </c>
      <c r="F205" s="1146">
        <f t="shared" si="148"/>
        <v>0.2</v>
      </c>
      <c r="G205" s="1147"/>
      <c r="H205" s="1148">
        <f t="shared" si="100"/>
        <v>0.2</v>
      </c>
      <c r="I205" s="1149" t="str">
        <f t="shared" si="145"/>
        <v>fraction</v>
      </c>
      <c r="J205" s="34" t="s">
        <v>660</v>
      </c>
      <c r="K205" s="94"/>
      <c r="L205">
        <f t="shared" si="137"/>
        <v>0.15</v>
      </c>
      <c r="M205">
        <f t="shared" si="138"/>
        <v>0.3</v>
      </c>
      <c r="N205" s="34">
        <f>IF(AND(G205&lt;=M205, G205&gt;=L205),1,0)</f>
        <v>0</v>
      </c>
      <c r="O205" t="s">
        <v>1066</v>
      </c>
      <c r="P205" s="34" t="s">
        <v>704</v>
      </c>
      <c r="Q205" s="34"/>
      <c r="R205" s="1150"/>
      <c r="S205" s="34"/>
      <c r="T205" s="1151"/>
      <c r="U205" s="34"/>
      <c r="V205" t="str">
        <f t="shared" si="104"/>
        <v/>
      </c>
      <c r="W205" s="1152">
        <v>0.2</v>
      </c>
      <c r="X205" s="34">
        <v>0.15</v>
      </c>
      <c r="Y205" s="34">
        <v>0.3</v>
      </c>
      <c r="Z205" s="34" t="str">
        <f>Units!B$35</f>
        <v>fraction</v>
      </c>
      <c r="AA205" s="34">
        <f>Units!C$35</f>
        <v>1</v>
      </c>
      <c r="AB205" s="34">
        <f>Units!D$35</f>
        <v>1</v>
      </c>
      <c r="AC205" s="34" t="str">
        <f>Units!E$35</f>
        <v>fraction</v>
      </c>
      <c r="AD205" s="34" t="str">
        <f>Units!F$35</f>
        <v>fraction</v>
      </c>
      <c r="AE205" s="34" t="str">
        <f>Units!G$35</f>
        <v>fraction</v>
      </c>
      <c r="AF205" s="34" t="str">
        <f>Units!H$35</f>
        <v>fraction</v>
      </c>
    </row>
    <row r="206" spans="1:32" x14ac:dyDescent="0.3">
      <c r="A206" s="94" t="s">
        <v>1077</v>
      </c>
      <c r="B206" s="128" t="s">
        <v>740</v>
      </c>
      <c r="C206" s="124" t="str">
        <f t="shared" si="134"/>
        <v>UDV.cover_lagoon.effluent_TAN</v>
      </c>
      <c r="D206" s="1091">
        <f t="shared" si="143"/>
        <v>0.3</v>
      </c>
      <c r="E206" s="1093" t="str">
        <f t="shared" si="144"/>
        <v>fraction</v>
      </c>
      <c r="F206" s="1095">
        <f t="shared" si="148"/>
        <v>0.3</v>
      </c>
      <c r="H206" s="1101">
        <f t="shared" si="100"/>
        <v>0.3</v>
      </c>
      <c r="I206" s="956" t="str">
        <f t="shared" si="145"/>
        <v>fraction</v>
      </c>
      <c r="J206" t="s">
        <v>660</v>
      </c>
      <c r="K206" s="128"/>
      <c r="L206">
        <f t="shared" si="137"/>
        <v>0.1</v>
      </c>
      <c r="M206">
        <f t="shared" si="138"/>
        <v>0.4</v>
      </c>
      <c r="N206">
        <f>IF(AND(G206&lt;=M206, G206&gt;=L206),1,0)</f>
        <v>0</v>
      </c>
      <c r="O206" t="s">
        <v>1066</v>
      </c>
      <c r="P206" t="s">
        <v>705</v>
      </c>
      <c r="V206" t="str">
        <f t="shared" si="104"/>
        <v/>
      </c>
      <c r="W206" s="78">
        <v>0.3</v>
      </c>
      <c r="X206">
        <v>0.1</v>
      </c>
      <c r="Y206">
        <v>0.4</v>
      </c>
      <c r="Z206" t="str">
        <f>Units!B$35</f>
        <v>fraction</v>
      </c>
      <c r="AA206">
        <f>Units!C$35</f>
        <v>1</v>
      </c>
      <c r="AB206">
        <f>Units!D$35</f>
        <v>1</v>
      </c>
      <c r="AC206" t="str">
        <f>Units!E$35</f>
        <v>fraction</v>
      </c>
      <c r="AD206" t="str">
        <f>Units!F$35</f>
        <v>fraction</v>
      </c>
      <c r="AE206" t="str">
        <f>Units!G$35</f>
        <v>fraction</v>
      </c>
      <c r="AF206" t="str">
        <f>Units!H$35</f>
        <v>fraction</v>
      </c>
    </row>
    <row r="207" spans="1:32" x14ac:dyDescent="0.3">
      <c r="A207" t="s">
        <v>1077</v>
      </c>
      <c r="B207" t="s">
        <v>742</v>
      </c>
      <c r="C207" s="124" t="str">
        <f t="shared" si="134"/>
        <v>UDV.cover_lagoon.effluent_time</v>
      </c>
      <c r="D207" s="944">
        <f t="shared" si="143"/>
        <v>52.5</v>
      </c>
      <c r="E207" s="125" t="str">
        <f t="shared" si="144"/>
        <v>days</v>
      </c>
      <c r="F207" s="944">
        <f t="shared" si="148"/>
        <v>52.5</v>
      </c>
      <c r="G207" s="126"/>
      <c r="H207">
        <f t="shared" si="100"/>
        <v>52.5</v>
      </c>
      <c r="I207" s="1325" t="str">
        <f t="shared" si="145"/>
        <v>days</v>
      </c>
      <c r="J207" t="s">
        <v>660</v>
      </c>
      <c r="K207" s="124"/>
      <c r="L207">
        <f t="shared" si="137"/>
        <v>20</v>
      </c>
      <c r="M207">
        <f t="shared" si="138"/>
        <v>70</v>
      </c>
      <c r="N207">
        <f>IF(AND(M207 - G207 &gt;= 0, G207 - L207 &gt;=0),1,0)</f>
        <v>0</v>
      </c>
      <c r="O207" t="s">
        <v>1066</v>
      </c>
      <c r="P207" t="s">
        <v>1079</v>
      </c>
      <c r="Q207" t="s">
        <v>739</v>
      </c>
      <c r="R207" s="711"/>
      <c r="S207" t="s">
        <v>84</v>
      </c>
      <c r="V207" t="str">
        <f t="shared" si="104"/>
        <v/>
      </c>
      <c r="W207">
        <f>UDV.cover_digest.HRT</f>
        <v>52.5</v>
      </c>
      <c r="X207">
        <f>X212</f>
        <v>20</v>
      </c>
      <c r="Y207">
        <f>Y212</f>
        <v>70</v>
      </c>
      <c r="Z207" t="str">
        <f>Units!B$111</f>
        <v>days</v>
      </c>
      <c r="AA207">
        <f>Units!C$111</f>
        <v>1</v>
      </c>
      <c r="AB207">
        <f>Units!D$111</f>
        <v>1</v>
      </c>
      <c r="AC207" t="str">
        <f>Units!E$111</f>
        <v>days</v>
      </c>
      <c r="AD207" t="str">
        <f>Units!F$111</f>
        <v>days</v>
      </c>
      <c r="AE207" t="str">
        <f>Units!G$111</f>
        <v>days</v>
      </c>
      <c r="AF207" t="str">
        <f>Units!H$111</f>
        <v>days</v>
      </c>
    </row>
    <row r="208" spans="1:32" x14ac:dyDescent="0.3">
      <c r="A208" s="128" t="s">
        <v>1077</v>
      </c>
      <c r="B208" s="128" t="s">
        <v>745</v>
      </c>
      <c r="C208" s="124" t="str">
        <f t="shared" si="134"/>
        <v>UDV.cover_lagoon.effluent_TS</v>
      </c>
      <c r="D208" s="1091">
        <f t="shared" si="143"/>
        <v>0.55000000000000004</v>
      </c>
      <c r="E208" s="1093" t="str">
        <f t="shared" si="144"/>
        <v>fraction</v>
      </c>
      <c r="F208" s="1095">
        <f t="shared" si="148"/>
        <v>0.55000000000000004</v>
      </c>
      <c r="H208" s="1101">
        <f t="shared" ref="H208:H232" si="149">$W208*$AA208</f>
        <v>0.55000000000000004</v>
      </c>
      <c r="I208" s="956" t="str">
        <f t="shared" si="145"/>
        <v>fraction</v>
      </c>
      <c r="J208" t="s">
        <v>660</v>
      </c>
      <c r="K208" s="128"/>
      <c r="L208">
        <f t="shared" si="137"/>
        <v>0.5</v>
      </c>
      <c r="M208">
        <f t="shared" si="138"/>
        <v>0.85</v>
      </c>
      <c r="N208">
        <f>IF(AND(G208&lt;=M208, G208&gt;=L208),1,0)</f>
        <v>0</v>
      </c>
      <c r="O208" t="s">
        <v>1066</v>
      </c>
      <c r="P208" t="s">
        <v>707</v>
      </c>
      <c r="V208" t="str">
        <f t="shared" si="104"/>
        <v/>
      </c>
      <c r="W208" s="78">
        <v>0.55000000000000004</v>
      </c>
      <c r="X208">
        <v>0.5</v>
      </c>
      <c r="Y208">
        <v>0.85</v>
      </c>
      <c r="Z208" t="str">
        <f>Units!B$35</f>
        <v>fraction</v>
      </c>
      <c r="AA208">
        <f>Units!C$35</f>
        <v>1</v>
      </c>
      <c r="AB208">
        <f>Units!D$35</f>
        <v>1</v>
      </c>
      <c r="AC208" t="str">
        <f>Units!E$35</f>
        <v>fraction</v>
      </c>
      <c r="AD208" t="str">
        <f>Units!F$35</f>
        <v>fraction</v>
      </c>
      <c r="AE208" t="str">
        <f>Units!G$35</f>
        <v>fraction</v>
      </c>
      <c r="AF208" t="str">
        <f>Units!H$35</f>
        <v>fraction</v>
      </c>
    </row>
    <row r="209" spans="1:32" x14ac:dyDescent="0.3">
      <c r="A209" t="s">
        <v>1077</v>
      </c>
      <c r="B209" t="s">
        <v>747</v>
      </c>
      <c r="C209" s="124" t="str">
        <f t="shared" si="134"/>
        <v>UDV.cover_lagoon.effluent_VS</v>
      </c>
      <c r="D209" s="1091">
        <f t="shared" si="143"/>
        <v>0.55000000000000004</v>
      </c>
      <c r="E209" s="1093" t="str">
        <f t="shared" si="144"/>
        <v>fraction</v>
      </c>
      <c r="F209" s="1095">
        <f t="shared" si="148"/>
        <v>0.55000000000000004</v>
      </c>
      <c r="H209" s="1101">
        <f t="shared" si="149"/>
        <v>0.55000000000000004</v>
      </c>
      <c r="I209" s="956" t="str">
        <f t="shared" si="145"/>
        <v>fraction</v>
      </c>
      <c r="J209" t="s">
        <v>660</v>
      </c>
      <c r="L209">
        <f t="shared" si="137"/>
        <v>0.5</v>
      </c>
      <c r="M209">
        <f t="shared" si="138"/>
        <v>0.8</v>
      </c>
      <c r="N209">
        <f>IF(AND(G209&lt;=M209, G209&gt;=L209),1,0)</f>
        <v>0</v>
      </c>
      <c r="O209" t="s">
        <v>1066</v>
      </c>
      <c r="P209" t="s">
        <v>709</v>
      </c>
      <c r="V209" t="str">
        <f t="shared" si="104"/>
        <v/>
      </c>
      <c r="W209" s="78">
        <v>0.55000000000000004</v>
      </c>
      <c r="X209">
        <v>0.5</v>
      </c>
      <c r="Y209">
        <v>0.8</v>
      </c>
      <c r="Z209" t="str">
        <f>Units!B$35</f>
        <v>fraction</v>
      </c>
      <c r="AA209">
        <f>Units!C$35</f>
        <v>1</v>
      </c>
      <c r="AB209">
        <f>Units!D$35</f>
        <v>1</v>
      </c>
      <c r="AC209" t="str">
        <f>Units!E$35</f>
        <v>fraction</v>
      </c>
      <c r="AD209" t="str">
        <f>Units!F$35</f>
        <v>fraction</v>
      </c>
      <c r="AE209" t="str">
        <f>Units!G$35</f>
        <v>fraction</v>
      </c>
      <c r="AF209" t="str">
        <f>Units!H$35</f>
        <v>fraction</v>
      </c>
    </row>
    <row r="210" spans="1:32" x14ac:dyDescent="0.3">
      <c r="A210" t="s">
        <v>1065</v>
      </c>
      <c r="B210" t="s">
        <v>677</v>
      </c>
      <c r="C210" s="124" t="str">
        <f t="shared" si="134"/>
        <v>UDV.cover_digest.gas_fraction</v>
      </c>
      <c r="D210" s="1091">
        <f t="shared" si="143"/>
        <v>0.2</v>
      </c>
      <c r="E210" s="1093" t="str">
        <f t="shared" si="144"/>
        <v>fraction</v>
      </c>
      <c r="F210" s="1095">
        <f t="shared" si="148"/>
        <v>0.2</v>
      </c>
      <c r="H210" s="1101">
        <f t="shared" si="149"/>
        <v>0.2</v>
      </c>
      <c r="I210" s="956" t="str">
        <f t="shared" si="145"/>
        <v>fraction</v>
      </c>
      <c r="J210" t="s">
        <v>660</v>
      </c>
      <c r="L210">
        <f t="shared" si="137"/>
        <v>0.1</v>
      </c>
      <c r="M210">
        <f t="shared" si="138"/>
        <v>0.2</v>
      </c>
      <c r="N210">
        <f>IF(AND(G210&lt;=M210, G210&gt;=L210),1,0)</f>
        <v>0</v>
      </c>
      <c r="O210" t="s">
        <v>1066</v>
      </c>
      <c r="P210" t="s">
        <v>678</v>
      </c>
      <c r="V210" t="str">
        <f t="shared" si="104"/>
        <v/>
      </c>
      <c r="W210" s="78">
        <v>0.2</v>
      </c>
      <c r="X210">
        <v>0.1</v>
      </c>
      <c r="Y210">
        <v>0.2</v>
      </c>
      <c r="Z210" t="str">
        <f>Units!B$35</f>
        <v>fraction</v>
      </c>
      <c r="AA210">
        <f>Units!C$35</f>
        <v>1</v>
      </c>
      <c r="AB210">
        <f>Units!D$35</f>
        <v>1</v>
      </c>
      <c r="AC210" t="str">
        <f>Units!E$35</f>
        <v>fraction</v>
      </c>
      <c r="AD210" t="str">
        <f>Units!F$35</f>
        <v>fraction</v>
      </c>
      <c r="AE210" t="str">
        <f>Units!G$35</f>
        <v>fraction</v>
      </c>
      <c r="AF210" t="str">
        <f>Units!H$35</f>
        <v>fraction</v>
      </c>
    </row>
    <row r="211" spans="1:32" x14ac:dyDescent="0.3">
      <c r="A211" t="s">
        <v>1077</v>
      </c>
      <c r="B211" t="s">
        <v>679</v>
      </c>
      <c r="C211" s="124" t="str">
        <f t="shared" si="134"/>
        <v>UDV.cover_lagoon.gas_gen</v>
      </c>
      <c r="D211" s="1091">
        <f t="shared" si="143"/>
        <v>0.35</v>
      </c>
      <c r="E211" s="1093" t="str">
        <f t="shared" si="144"/>
        <v>m3/kg</v>
      </c>
      <c r="F211" s="1095">
        <f t="shared" si="148"/>
        <v>5.6064621821761031</v>
      </c>
      <c r="H211" s="1101">
        <f t="shared" si="149"/>
        <v>5.6064621821761031</v>
      </c>
      <c r="I211" s="956" t="str">
        <f t="shared" si="145"/>
        <v>ft3/lb</v>
      </c>
      <c r="J211" t="s">
        <v>660</v>
      </c>
      <c r="L211">
        <f t="shared" si="137"/>
        <v>3.524</v>
      </c>
      <c r="M211">
        <f t="shared" si="138"/>
        <v>19.223000000000003</v>
      </c>
      <c r="N211">
        <f>IF(AND(G211&lt;=M211, G211&gt;=L211),1,0)</f>
        <v>0</v>
      </c>
      <c r="O211" t="s">
        <v>1066</v>
      </c>
      <c r="P211" t="s">
        <v>680</v>
      </c>
      <c r="V211" t="str">
        <f t="shared" si="104"/>
        <v/>
      </c>
      <c r="W211" s="78">
        <v>0.35</v>
      </c>
      <c r="X211">
        <v>0.22</v>
      </c>
      <c r="Y211">
        <v>1.2</v>
      </c>
      <c r="Z211" t="str">
        <f>Units!B$140</f>
        <v>m3/kg</v>
      </c>
      <c r="AA211">
        <f>Units!C$140</f>
        <v>16.018463377646011</v>
      </c>
      <c r="AB211">
        <f>Units!D$140</f>
        <v>6.2427960561779849E-2</v>
      </c>
      <c r="AC211" t="str">
        <f>Units!E$140</f>
        <v>ft3/lb</v>
      </c>
      <c r="AD211" t="str">
        <f>Units!F$140</f>
        <v>m3/kg</v>
      </c>
      <c r="AE211" t="str">
        <f>Units!G$140</f>
        <v>m3/kg</v>
      </c>
      <c r="AF211" t="str">
        <f>Units!H$140</f>
        <v>ft3/lb</v>
      </c>
    </row>
    <row r="212" spans="1:32" x14ac:dyDescent="0.3">
      <c r="A212" t="s">
        <v>1065</v>
      </c>
      <c r="B212" t="s">
        <v>681</v>
      </c>
      <c r="C212" s="124" t="str">
        <f t="shared" si="134"/>
        <v>UDV.cover_digest.HRT</v>
      </c>
      <c r="D212" s="1091">
        <f t="shared" si="143"/>
        <v>52.5</v>
      </c>
      <c r="E212" s="1093" t="str">
        <f t="shared" si="144"/>
        <v>day</v>
      </c>
      <c r="F212" s="1095">
        <f t="shared" si="148"/>
        <v>52.5</v>
      </c>
      <c r="H212" s="1101">
        <f t="shared" si="149"/>
        <v>52.5</v>
      </c>
      <c r="I212" s="956" t="str">
        <f t="shared" si="145"/>
        <v>day</v>
      </c>
      <c r="J212" t="s">
        <v>660</v>
      </c>
      <c r="L212">
        <f t="shared" si="137"/>
        <v>20</v>
      </c>
      <c r="M212">
        <f t="shared" si="138"/>
        <v>70</v>
      </c>
      <c r="N212">
        <f>IF(AND(G212&lt;=M212, G212&gt;=L212),1,0)</f>
        <v>0</v>
      </c>
      <c r="O212" t="s">
        <v>1066</v>
      </c>
      <c r="P212" t="s">
        <v>682</v>
      </c>
      <c r="V212" t="str">
        <f t="shared" si="104"/>
        <v/>
      </c>
      <c r="W212" s="78">
        <f>T.Regional_Data!M3</f>
        <v>52.5</v>
      </c>
      <c r="X212">
        <v>20</v>
      </c>
      <c r="Y212">
        <v>70</v>
      </c>
      <c r="Z212" t="str">
        <f>Units!B$110</f>
        <v>day</v>
      </c>
      <c r="AA212">
        <f>Units!C$110</f>
        <v>1</v>
      </c>
      <c r="AB212">
        <f>Units!D$110</f>
        <v>1</v>
      </c>
      <c r="AC212" t="str">
        <f>Units!E$110</f>
        <v>day</v>
      </c>
      <c r="AD212" t="str">
        <f>Units!F$110</f>
        <v>day</v>
      </c>
      <c r="AE212" t="str">
        <f>Units!G$110</f>
        <v>day</v>
      </c>
      <c r="AF212" t="str">
        <f>Units!H$110</f>
        <v>day</v>
      </c>
    </row>
    <row r="213" spans="1:32" x14ac:dyDescent="0.3">
      <c r="A213" t="s">
        <v>1077</v>
      </c>
      <c r="B213" t="s">
        <v>762</v>
      </c>
      <c r="C213" s="124" t="str">
        <f t="shared" si="134"/>
        <v>UDV.cover_lagoon.liquid_events</v>
      </c>
      <c r="D213" s="1331">
        <f t="shared" si="143"/>
        <v>6.9523809523809526</v>
      </c>
      <c r="E213" s="125" t="str">
        <f t="shared" si="144"/>
        <v>events/year</v>
      </c>
      <c r="F213" s="1331">
        <f t="shared" si="148"/>
        <v>6.9523809523809526</v>
      </c>
      <c r="G213" s="1331"/>
      <c r="H213" s="205">
        <f t="shared" si="149"/>
        <v>6.9523809523809526</v>
      </c>
      <c r="I213" s="1325" t="str">
        <f t="shared" si="145"/>
        <v>events/year</v>
      </c>
      <c r="J213" s="944" t="s">
        <v>660</v>
      </c>
      <c r="K213" s="944"/>
      <c r="L213">
        <f t="shared" si="137"/>
        <v>0</v>
      </c>
      <c r="M213">
        <f t="shared" si="138"/>
        <v>0</v>
      </c>
      <c r="N213">
        <f>IF(AND(M213 - G213 &gt;= 0, G213 - L213 &gt;=0),1,0)</f>
        <v>1</v>
      </c>
      <c r="O213" t="s">
        <v>1066</v>
      </c>
      <c r="P213" t="s">
        <v>764</v>
      </c>
      <c r="Q213" s="90"/>
      <c r="R213" s="1326"/>
      <c r="S213" s="90"/>
      <c r="T213" s="1327"/>
      <c r="U213" s="90"/>
      <c r="W213" s="124" cm="1">
        <f t="array" ref="W213">UC.year_to_day/UDV.cover_lagoon.effluent_time</f>
        <v>6.9523809523809526</v>
      </c>
      <c r="X213">
        <v>0</v>
      </c>
      <c r="Z213" t="str">
        <f>Units!B$31</f>
        <v>events/year</v>
      </c>
      <c r="AA213">
        <f>Units!C$31</f>
        <v>1</v>
      </c>
      <c r="AB213">
        <f>Units!D$31</f>
        <v>1</v>
      </c>
      <c r="AC213" t="str">
        <f>Units!E$31</f>
        <v>events/year</v>
      </c>
      <c r="AD213" t="str">
        <f>Units!F$31</f>
        <v>events/year</v>
      </c>
      <c r="AE213" t="str">
        <f>Units!G$31</f>
        <v>events/year</v>
      </c>
      <c r="AF213" t="str">
        <f>Units!H$31</f>
        <v>events/year</v>
      </c>
    </row>
    <row r="214" spans="1:32" x14ac:dyDescent="0.3">
      <c r="A214" t="s">
        <v>1077</v>
      </c>
      <c r="B214" t="s">
        <v>773</v>
      </c>
      <c r="C214" s="124" t="str">
        <f t="shared" si="134"/>
        <v>UDV.cover_lagoon.sludge_accumulation_ratio</v>
      </c>
      <c r="D214" s="1332">
        <f t="shared" si="143"/>
        <v>4.5509988699080168E-3</v>
      </c>
      <c r="E214" s="125" t="str">
        <f t="shared" si="144"/>
        <v>m3/kg TS</v>
      </c>
      <c r="F214" s="944">
        <f t="shared" si="148"/>
        <v>7.2900000000000006E-2</v>
      </c>
      <c r="G214" s="126"/>
      <c r="H214">
        <f t="shared" si="149"/>
        <v>7.2900000000000006E-2</v>
      </c>
      <c r="I214" s="1325" t="str">
        <f t="shared" si="145"/>
        <v>ft3/lb TS</v>
      </c>
      <c r="J214" t="s">
        <v>660</v>
      </c>
      <c r="K214" s="124"/>
      <c r="L214">
        <f t="shared" si="137"/>
        <v>0.02</v>
      </c>
      <c r="M214">
        <f t="shared" si="138"/>
        <v>8.5000000000000006E-2</v>
      </c>
      <c r="N214">
        <f>IF(AND(M214 - G214 &gt;= 0, G214 - L214 &gt;=0),1,0)</f>
        <v>0</v>
      </c>
      <c r="O214" t="s">
        <v>1066</v>
      </c>
      <c r="P214" t="s">
        <v>774</v>
      </c>
      <c r="Q214" t="s">
        <v>775</v>
      </c>
      <c r="R214" s="711"/>
      <c r="V214" t="str">
        <f>IF(OR((M214-L214)&lt;=0,H214&gt;M214,H214&lt;L214),"Fix","")</f>
        <v/>
      </c>
      <c r="W214">
        <v>7.2900000000000006E-2</v>
      </c>
      <c r="X214">
        <v>0.02</v>
      </c>
      <c r="Y214">
        <v>8.5000000000000006E-2</v>
      </c>
      <c r="Z214" t="str">
        <f>Units!B$142</f>
        <v>ft3/lb TS</v>
      </c>
      <c r="AA214">
        <f>Units!C$142</f>
        <v>1</v>
      </c>
      <c r="AB214">
        <f>Units!D$142</f>
        <v>6.2427968037147001E-2</v>
      </c>
      <c r="AC214" t="str">
        <f>Units!E$142</f>
        <v>ft3/lb TS</v>
      </c>
      <c r="AD214" t="str">
        <f>Units!F$142</f>
        <v>m3/kg TS</v>
      </c>
      <c r="AE214" t="str">
        <f>Units!G$142</f>
        <v>m3/kg TS</v>
      </c>
      <c r="AF214" t="str">
        <f>Units!H$142</f>
        <v>ft3/lb TS</v>
      </c>
    </row>
    <row r="215" spans="1:32" x14ac:dyDescent="0.3">
      <c r="A215" t="s">
        <v>1077</v>
      </c>
      <c r="B215" t="s">
        <v>776</v>
      </c>
      <c r="C215" s="124" t="str">
        <f t="shared" si="134"/>
        <v>UDV.cover_lagoon.sludge_events</v>
      </c>
      <c r="D215" s="944">
        <f t="shared" si="143"/>
        <v>0.1</v>
      </c>
      <c r="E215" s="125" t="str">
        <f t="shared" si="144"/>
        <v>events/year</v>
      </c>
      <c r="F215" s="944">
        <f t="shared" si="148"/>
        <v>0.1</v>
      </c>
      <c r="G215" s="944"/>
      <c r="H215">
        <f t="shared" si="149"/>
        <v>0.1</v>
      </c>
      <c r="I215" s="1325" t="str">
        <f t="shared" si="145"/>
        <v>events/year</v>
      </c>
      <c r="J215" s="944" t="s">
        <v>660</v>
      </c>
      <c r="K215" s="944"/>
      <c r="L215">
        <f t="shared" si="137"/>
        <v>0</v>
      </c>
      <c r="M215">
        <f t="shared" si="138"/>
        <v>0</v>
      </c>
      <c r="N215">
        <f>IF(AND(M215 - G215 &gt;= 0, G215 - L215 &gt;=0),1,0)</f>
        <v>1</v>
      </c>
      <c r="O215" t="s">
        <v>1066</v>
      </c>
      <c r="P215" t="s">
        <v>777</v>
      </c>
      <c r="Q215" s="90"/>
      <c r="R215" s="1326"/>
      <c r="S215" s="90"/>
      <c r="T215" s="1327"/>
      <c r="U215" s="90"/>
      <c r="W215" s="124">
        <f>1/UDV.cover_lagoon.sludge_time</f>
        <v>0.1</v>
      </c>
      <c r="X215">
        <v>0</v>
      </c>
      <c r="Z215" t="str">
        <f>Units!B$31</f>
        <v>events/year</v>
      </c>
      <c r="AA215">
        <f>Units!C$31</f>
        <v>1</v>
      </c>
      <c r="AB215">
        <f>Units!D$31</f>
        <v>1</v>
      </c>
      <c r="AC215" t="str">
        <f>Units!E$31</f>
        <v>events/year</v>
      </c>
      <c r="AD215" t="str">
        <f>Units!F$31</f>
        <v>events/year</v>
      </c>
      <c r="AE215" t="str">
        <f>Units!G$31</f>
        <v>events/year</v>
      </c>
      <c r="AF215" t="str">
        <f>Units!H$31</f>
        <v>events/year</v>
      </c>
    </row>
    <row r="216" spans="1:32" x14ac:dyDescent="0.3">
      <c r="A216" t="s">
        <v>1077</v>
      </c>
      <c r="B216" t="s">
        <v>692</v>
      </c>
      <c r="C216" s="124" t="str">
        <f t="shared" si="134"/>
        <v>UDV.cover_lagoon.sludge_fraction</v>
      </c>
      <c r="D216" s="1091">
        <f t="shared" si="143"/>
        <v>0.03</v>
      </c>
      <c r="E216" s="1093" t="str">
        <f t="shared" si="144"/>
        <v>fraction</v>
      </c>
      <c r="F216" s="1095">
        <f t="shared" si="148"/>
        <v>0.03</v>
      </c>
      <c r="H216" s="1101">
        <f t="shared" si="149"/>
        <v>0.03</v>
      </c>
      <c r="I216" s="956" t="str">
        <f t="shared" si="145"/>
        <v>fraction</v>
      </c>
      <c r="J216" t="s">
        <v>660</v>
      </c>
      <c r="L216">
        <f t="shared" si="137"/>
        <v>0.02</v>
      </c>
      <c r="M216">
        <f t="shared" si="138"/>
        <v>0.04</v>
      </c>
      <c r="N216">
        <f t="shared" ref="N216:N222" si="150">IF(AND(G216&lt;=M216, G216&gt;=L216),1,0)</f>
        <v>0</v>
      </c>
      <c r="O216" t="s">
        <v>1066</v>
      </c>
      <c r="P216" t="s">
        <v>693</v>
      </c>
      <c r="V216" t="str">
        <f t="shared" ref="V216:V222" si="151">IF(OR((M216-L216)&lt;=0,H216&gt;M216,H216&lt;L216),"Fix","")</f>
        <v/>
      </c>
      <c r="W216" s="78">
        <v>0.03</v>
      </c>
      <c r="X216">
        <v>0.02</v>
      </c>
      <c r="Y216">
        <v>0.04</v>
      </c>
      <c r="Z216" t="str">
        <f>Units!B$35</f>
        <v>fraction</v>
      </c>
      <c r="AA216">
        <f>Units!C$35</f>
        <v>1</v>
      </c>
      <c r="AB216">
        <f>Units!D$35</f>
        <v>1</v>
      </c>
      <c r="AC216" t="str">
        <f>Units!E$35</f>
        <v>fraction</v>
      </c>
      <c r="AD216" t="str">
        <f>Units!F$35</f>
        <v>fraction</v>
      </c>
      <c r="AE216" t="str">
        <f>Units!G$35</f>
        <v>fraction</v>
      </c>
      <c r="AF216" t="str">
        <f>Units!H$35</f>
        <v>fraction</v>
      </c>
    </row>
    <row r="217" spans="1:32" x14ac:dyDescent="0.3">
      <c r="A217" s="94" t="s">
        <v>1077</v>
      </c>
      <c r="B217" s="94" t="s">
        <v>778</v>
      </c>
      <c r="C217" s="124" t="str">
        <f t="shared" si="134"/>
        <v>UDV.cover_lagoon.sludge_K</v>
      </c>
      <c r="D217" s="1144">
        <f t="shared" si="143"/>
        <v>0.75</v>
      </c>
      <c r="E217" s="1145" t="str">
        <f t="shared" si="144"/>
        <v>g/L</v>
      </c>
      <c r="F217" s="1146">
        <f t="shared" si="148"/>
        <v>6.2590533324006312</v>
      </c>
      <c r="G217" s="1147"/>
      <c r="H217" s="1153">
        <f t="shared" si="149"/>
        <v>6.2590533324006312</v>
      </c>
      <c r="I217" s="1149" t="str">
        <f t="shared" si="145"/>
        <v>lb/1000 gal</v>
      </c>
      <c r="J217" s="94" t="s">
        <v>688</v>
      </c>
      <c r="K217" s="94"/>
      <c r="L217">
        <f t="shared" si="137"/>
        <v>5.8410000000000002</v>
      </c>
      <c r="M217">
        <f t="shared" si="138"/>
        <v>6.6770000000000005</v>
      </c>
      <c r="N217" s="34">
        <f t="shared" si="150"/>
        <v>0</v>
      </c>
      <c r="O217" t="s">
        <v>1066</v>
      </c>
      <c r="P217" s="34" t="s">
        <v>702</v>
      </c>
      <c r="Q217" s="34"/>
      <c r="R217" s="1150"/>
      <c r="S217" s="34" t="s">
        <v>84</v>
      </c>
      <c r="T217" s="1151"/>
      <c r="U217" s="34"/>
      <c r="V217" t="str">
        <f t="shared" si="151"/>
        <v/>
      </c>
      <c r="W217" s="1152">
        <v>0.75</v>
      </c>
      <c r="X217" s="94">
        <v>0.7</v>
      </c>
      <c r="Y217" s="94">
        <v>0.8</v>
      </c>
      <c r="Z217" s="34" t="str">
        <f>Units!B$87</f>
        <v>g/L</v>
      </c>
      <c r="AA217" s="34">
        <f>Units!C$87</f>
        <v>8.3454044432008416</v>
      </c>
      <c r="AB217" s="34">
        <f>Units!D$87</f>
        <v>0.11982642744351579</v>
      </c>
      <c r="AC217" s="34" t="str">
        <f>Units!E$87</f>
        <v>lb/1000 gal</v>
      </c>
      <c r="AD217" s="34" t="str">
        <f>Units!F$87</f>
        <v>g/L</v>
      </c>
      <c r="AE217" s="34" t="str">
        <f>Units!G$87</f>
        <v>g/L</v>
      </c>
      <c r="AF217" s="34" t="str">
        <f>Units!H$87</f>
        <v>lb/1000 gal</v>
      </c>
    </row>
    <row r="218" spans="1:32" x14ac:dyDescent="0.3">
      <c r="A218" s="94" t="s">
        <v>1077</v>
      </c>
      <c r="B218" s="94" t="s">
        <v>781</v>
      </c>
      <c r="C218" s="124" t="str">
        <f t="shared" si="134"/>
        <v>UDV.cover_lagoon.sludge_N</v>
      </c>
      <c r="D218" s="1144">
        <f t="shared" si="143"/>
        <v>1</v>
      </c>
      <c r="E218" s="1145" t="str">
        <f t="shared" si="144"/>
        <v>g/L</v>
      </c>
      <c r="F218" s="1146">
        <f t="shared" si="148"/>
        <v>8.3454044432008416</v>
      </c>
      <c r="G218" s="1147"/>
      <c r="H218" s="1153">
        <f t="shared" si="149"/>
        <v>8.3454044432008416</v>
      </c>
      <c r="I218" s="1149" t="str">
        <f t="shared" si="145"/>
        <v>lb/1000 gal</v>
      </c>
      <c r="J218" s="94" t="s">
        <v>688</v>
      </c>
      <c r="K218" s="94"/>
      <c r="L218">
        <f t="shared" si="137"/>
        <v>8.3000000000000004E-2</v>
      </c>
      <c r="M218">
        <f t="shared" si="138"/>
        <v>8.3460000000000001</v>
      </c>
      <c r="N218" s="34">
        <f t="shared" si="150"/>
        <v>0</v>
      </c>
      <c r="O218" t="s">
        <v>1066</v>
      </c>
      <c r="P218" s="34" t="s">
        <v>84</v>
      </c>
      <c r="Q218" s="34"/>
      <c r="R218" s="1150"/>
      <c r="S218" s="34" t="s">
        <v>84</v>
      </c>
      <c r="T218" s="1151"/>
      <c r="U218" s="34"/>
      <c r="V218" t="str">
        <f t="shared" si="151"/>
        <v/>
      </c>
      <c r="W218" s="1152">
        <f>1-UDV.cover_lagoon.effluent_N</f>
        <v>1</v>
      </c>
      <c r="X218" s="94">
        <v>0.01</v>
      </c>
      <c r="Y218" s="94">
        <v>1</v>
      </c>
      <c r="Z218" s="34" t="str">
        <f>Units!B$87</f>
        <v>g/L</v>
      </c>
      <c r="AA218" s="34">
        <f>Units!C$87</f>
        <v>8.3454044432008416</v>
      </c>
      <c r="AB218" s="34">
        <f>Units!D$87</f>
        <v>0.11982642744351579</v>
      </c>
      <c r="AC218" s="34" t="str">
        <f>Units!E$87</f>
        <v>lb/1000 gal</v>
      </c>
      <c r="AD218" s="34" t="str">
        <f>Units!F$87</f>
        <v>g/L</v>
      </c>
      <c r="AE218" s="34" t="str">
        <f>Units!G$87</f>
        <v>g/L</v>
      </c>
      <c r="AF218" s="34" t="str">
        <f>Units!H$87</f>
        <v>lb/1000 gal</v>
      </c>
    </row>
    <row r="219" spans="1:32" x14ac:dyDescent="0.3">
      <c r="A219" s="94" t="s">
        <v>1077</v>
      </c>
      <c r="B219" s="94" t="s">
        <v>786</v>
      </c>
      <c r="C219" s="124" t="str">
        <f t="shared" si="134"/>
        <v>UDV.cover_lagoon.sludge_P</v>
      </c>
      <c r="D219" s="1144">
        <f t="shared" si="143"/>
        <v>0.8</v>
      </c>
      <c r="E219" s="1145" t="str">
        <f t="shared" si="144"/>
        <v>g/L</v>
      </c>
      <c r="F219" s="1146">
        <f t="shared" si="148"/>
        <v>6.6763235545606738</v>
      </c>
      <c r="G219" s="1147"/>
      <c r="H219" s="1153">
        <f t="shared" si="149"/>
        <v>6.6763235545606738</v>
      </c>
      <c r="I219" s="1149" t="str">
        <f t="shared" si="145"/>
        <v>lb/1000 gal</v>
      </c>
      <c r="J219" s="94" t="s">
        <v>688</v>
      </c>
      <c r="K219" s="94"/>
      <c r="L219">
        <f t="shared" si="137"/>
        <v>5.8410000000000002</v>
      </c>
      <c r="M219">
        <f t="shared" si="138"/>
        <v>7.0940000000000003</v>
      </c>
      <c r="N219" s="34">
        <f t="shared" si="150"/>
        <v>0</v>
      </c>
      <c r="O219" t="s">
        <v>1066</v>
      </c>
      <c r="P219" s="34" t="s">
        <v>704</v>
      </c>
      <c r="Q219" s="34"/>
      <c r="R219" s="1150"/>
      <c r="S219" s="34" t="s">
        <v>84</v>
      </c>
      <c r="T219" s="1151"/>
      <c r="U219" s="34"/>
      <c r="V219" t="str">
        <f t="shared" si="151"/>
        <v/>
      </c>
      <c r="W219" s="1152">
        <v>0.8</v>
      </c>
      <c r="X219" s="94">
        <v>0.7</v>
      </c>
      <c r="Y219" s="94">
        <v>0.85</v>
      </c>
      <c r="Z219" s="34" t="str">
        <f>Units!B$87</f>
        <v>g/L</v>
      </c>
      <c r="AA219" s="34">
        <f>Units!C$87</f>
        <v>8.3454044432008416</v>
      </c>
      <c r="AB219" s="34">
        <f>Units!D$87</f>
        <v>0.11982642744351579</v>
      </c>
      <c r="AC219" s="34" t="str">
        <f>Units!E$87</f>
        <v>lb/1000 gal</v>
      </c>
      <c r="AD219" s="34" t="str">
        <f>Units!F$87</f>
        <v>g/L</v>
      </c>
      <c r="AE219" s="34" t="str">
        <f>Units!G$87</f>
        <v>g/L</v>
      </c>
      <c r="AF219" s="34" t="str">
        <f>Units!H$87</f>
        <v>lb/1000 gal</v>
      </c>
    </row>
    <row r="220" spans="1:32" x14ac:dyDescent="0.3">
      <c r="A220" t="s">
        <v>1077</v>
      </c>
      <c r="B220" t="s">
        <v>694</v>
      </c>
      <c r="C220" s="124" t="str">
        <f t="shared" si="134"/>
        <v>UDV.cover_lagoon.sludge_time</v>
      </c>
      <c r="D220" s="1091">
        <f t="shared" si="143"/>
        <v>10</v>
      </c>
      <c r="E220" s="1093" t="str">
        <f t="shared" si="144"/>
        <v>years</v>
      </c>
      <c r="F220" s="1095">
        <f t="shared" si="148"/>
        <v>10</v>
      </c>
      <c r="H220" s="1101">
        <f t="shared" si="149"/>
        <v>10</v>
      </c>
      <c r="I220" s="956" t="str">
        <f t="shared" si="145"/>
        <v>years</v>
      </c>
      <c r="J220" t="s">
        <v>660</v>
      </c>
      <c r="L220">
        <f t="shared" si="137"/>
        <v>5</v>
      </c>
      <c r="M220">
        <f t="shared" si="138"/>
        <v>10</v>
      </c>
      <c r="N220">
        <f t="shared" si="150"/>
        <v>0</v>
      </c>
      <c r="O220" t="s">
        <v>1066</v>
      </c>
      <c r="P220" t="s">
        <v>695</v>
      </c>
      <c r="V220" t="str">
        <f t="shared" si="151"/>
        <v/>
      </c>
      <c r="W220" s="78">
        <v>10</v>
      </c>
      <c r="X220">
        <v>5</v>
      </c>
      <c r="Y220">
        <v>10</v>
      </c>
      <c r="Z220" t="str">
        <f>Units!B$113</f>
        <v>years</v>
      </c>
      <c r="AA220">
        <f>Units!C$113</f>
        <v>1</v>
      </c>
      <c r="AB220">
        <f>Units!D$113</f>
        <v>1</v>
      </c>
      <c r="AC220" t="str">
        <f>Units!E$113</f>
        <v>years</v>
      </c>
      <c r="AD220" t="str">
        <f>Units!F$113</f>
        <v>years</v>
      </c>
      <c r="AE220" t="str">
        <f>Units!G$113</f>
        <v>years</v>
      </c>
      <c r="AF220" t="str">
        <f>Units!H$113</f>
        <v>years</v>
      </c>
    </row>
    <row r="221" spans="1:32" x14ac:dyDescent="0.3">
      <c r="A221" s="128" t="s">
        <v>1077</v>
      </c>
      <c r="B221" s="128" t="s">
        <v>789</v>
      </c>
      <c r="C221" s="124" t="str">
        <f t="shared" si="134"/>
        <v>UDV.cover_lagoon.sludge_TS</v>
      </c>
      <c r="D221" s="1091">
        <f t="shared" si="143"/>
        <v>0.4</v>
      </c>
      <c r="E221" s="1093" t="str">
        <f t="shared" si="144"/>
        <v>g/L</v>
      </c>
      <c r="F221" s="1095">
        <f t="shared" si="148"/>
        <v>3.3381617772803369</v>
      </c>
      <c r="H221" s="1101">
        <f t="shared" si="149"/>
        <v>3.3381617772803369</v>
      </c>
      <c r="I221" s="956" t="str">
        <f t="shared" si="145"/>
        <v>lb/1000 gal</v>
      </c>
      <c r="J221" t="s">
        <v>660</v>
      </c>
      <c r="K221" s="128"/>
      <c r="L221">
        <f t="shared" si="137"/>
        <v>2.5030000000000001</v>
      </c>
      <c r="M221">
        <f t="shared" si="138"/>
        <v>4.173</v>
      </c>
      <c r="N221">
        <f t="shared" si="150"/>
        <v>0</v>
      </c>
      <c r="O221" t="s">
        <v>1066</v>
      </c>
      <c r="P221" t="s">
        <v>1080</v>
      </c>
      <c r="V221" t="str">
        <f t="shared" si="151"/>
        <v/>
      </c>
      <c r="W221" s="78">
        <v>0.4</v>
      </c>
      <c r="X221" s="128">
        <v>0.3</v>
      </c>
      <c r="Y221" s="128">
        <v>0.5</v>
      </c>
      <c r="Z221" t="str">
        <f>Units!B$87</f>
        <v>g/L</v>
      </c>
      <c r="AA221">
        <f>Units!C$87</f>
        <v>8.3454044432008416</v>
      </c>
      <c r="AB221">
        <f>Units!D$87</f>
        <v>0.11982642744351579</v>
      </c>
      <c r="AC221" t="str">
        <f>Units!E$87</f>
        <v>lb/1000 gal</v>
      </c>
      <c r="AD221" t="str">
        <f>Units!F$87</f>
        <v>g/L</v>
      </c>
      <c r="AE221" t="str">
        <f>Units!G$87</f>
        <v>g/L</v>
      </c>
      <c r="AF221" t="str">
        <f>Units!H$87</f>
        <v>lb/1000 gal</v>
      </c>
    </row>
    <row r="222" spans="1:32" x14ac:dyDescent="0.3">
      <c r="A222" s="128" t="s">
        <v>1065</v>
      </c>
      <c r="B222" s="128" t="s">
        <v>793</v>
      </c>
      <c r="C222" s="124" t="str">
        <f t="shared" si="134"/>
        <v>UDV.cover_digest.VS_loading_rate</v>
      </c>
      <c r="D222" s="1594">
        <f t="shared" si="143"/>
        <v>88.101548577053066</v>
      </c>
      <c r="E222" s="1093" t="str">
        <f t="shared" si="144"/>
        <v>kg VS/1000 m3/day</v>
      </c>
      <c r="F222" s="1095">
        <f t="shared" si="148"/>
        <v>5.5</v>
      </c>
      <c r="H222" s="1105">
        <f t="shared" si="149"/>
        <v>5.5</v>
      </c>
      <c r="I222" s="956" t="str">
        <f t="shared" si="145"/>
        <v>lb VS/1000 ft3/day</v>
      </c>
      <c r="J222" t="s">
        <v>660</v>
      </c>
      <c r="L222">
        <f t="shared" si="137"/>
        <v>1</v>
      </c>
      <c r="M222">
        <f t="shared" si="138"/>
        <v>25</v>
      </c>
      <c r="N222">
        <f t="shared" si="150"/>
        <v>0</v>
      </c>
      <c r="O222" t="s">
        <v>1066</v>
      </c>
      <c r="P222" t="s">
        <v>794</v>
      </c>
      <c r="Q222" t="s">
        <v>1081</v>
      </c>
      <c r="V222" t="str">
        <f t="shared" si="151"/>
        <v/>
      </c>
      <c r="W222">
        <f>T.Regional_Data!L3</f>
        <v>5.5</v>
      </c>
      <c r="X222">
        <v>1</v>
      </c>
      <c r="Y222">
        <v>25</v>
      </c>
      <c r="Z222" t="str">
        <f>Units!B$92</f>
        <v>lb VS/1000 ft3/day</v>
      </c>
      <c r="AA222">
        <f>Units!C$92</f>
        <v>1</v>
      </c>
      <c r="AB222">
        <f>Units!D$92</f>
        <v>16.018463377646011</v>
      </c>
      <c r="AC222" t="str">
        <f>Units!E$92</f>
        <v>lb VS/1000 ft3/day</v>
      </c>
      <c r="AD222" t="str">
        <f>Units!F$92</f>
        <v>kg VS/1000 m3/day</v>
      </c>
      <c r="AE222" t="str">
        <f>Units!G$92</f>
        <v>kg VS/1000 m3/day</v>
      </c>
      <c r="AF222" t="str">
        <f>Units!H$92</f>
        <v>lb VS/1000 ft3/day</v>
      </c>
    </row>
    <row r="223" spans="1:32" x14ac:dyDescent="0.3">
      <c r="A223" t="s">
        <v>1065</v>
      </c>
      <c r="B223" t="s">
        <v>796</v>
      </c>
      <c r="C223" s="124" t="str">
        <f t="shared" si="134"/>
        <v>UDV.cover_digest.VSLR_multiplier</v>
      </c>
      <c r="D223" s="944">
        <f t="shared" si="143"/>
        <v>1</v>
      </c>
      <c r="E223" s="125" t="str">
        <f t="shared" si="144"/>
        <v>multiplier</v>
      </c>
      <c r="F223" s="944">
        <f t="shared" si="148"/>
        <v>1</v>
      </c>
      <c r="G223" s="944"/>
      <c r="H223">
        <f t="shared" si="149"/>
        <v>1</v>
      </c>
      <c r="I223" s="1325" t="str">
        <f t="shared" si="145"/>
        <v>multiplier</v>
      </c>
      <c r="J223" s="944" t="s">
        <v>660</v>
      </c>
      <c r="K223" s="944"/>
      <c r="L223">
        <f t="shared" si="137"/>
        <v>0.25</v>
      </c>
      <c r="M223">
        <f t="shared" si="138"/>
        <v>1</v>
      </c>
      <c r="N223">
        <f>IF(AND(M223 - G223 &gt;= 0, G223 - L223 &gt;=0),1,0)</f>
        <v>0</v>
      </c>
      <c r="O223" t="s">
        <v>1066</v>
      </c>
      <c r="P223" t="s">
        <v>797</v>
      </c>
      <c r="R223" s="711"/>
      <c r="W223">
        <v>1</v>
      </c>
      <c r="X223">
        <v>0.25</v>
      </c>
      <c r="Y223">
        <v>1</v>
      </c>
      <c r="Z223" t="str">
        <f>Units!B$94</f>
        <v>multiplier</v>
      </c>
      <c r="AA223">
        <f>Units!C$94</f>
        <v>1</v>
      </c>
      <c r="AB223">
        <f>Units!D$94</f>
        <v>1</v>
      </c>
      <c r="AC223" t="str">
        <f>Units!E$94</f>
        <v>multiplier</v>
      </c>
      <c r="AD223" t="str">
        <f>Units!F$94</f>
        <v>multiplier</v>
      </c>
      <c r="AE223" t="str">
        <f>Units!G$94</f>
        <v>multiplier</v>
      </c>
      <c r="AF223" t="str">
        <f>Units!H$94</f>
        <v>multiplier</v>
      </c>
    </row>
    <row r="224" spans="1:32" x14ac:dyDescent="0.3">
      <c r="A224" t="s">
        <v>1065</v>
      </c>
      <c r="B224" t="s">
        <v>816</v>
      </c>
      <c r="C224" s="124" t="str">
        <f t="shared" si="134"/>
        <v>UDV.cover_digest.VSLR_odor_multiplier</v>
      </c>
      <c r="D224" s="944">
        <f t="shared" si="143"/>
        <v>1</v>
      </c>
      <c r="E224" s="125" t="str">
        <f t="shared" si="144"/>
        <v>multiplier</v>
      </c>
      <c r="F224" s="944">
        <f t="shared" si="148"/>
        <v>1</v>
      </c>
      <c r="G224" s="944"/>
      <c r="H224">
        <f t="shared" si="149"/>
        <v>1</v>
      </c>
      <c r="I224" s="1325" t="str">
        <f>$AC224</f>
        <v>multiplier</v>
      </c>
      <c r="J224" s="944" t="s">
        <v>660</v>
      </c>
      <c r="K224" s="944"/>
      <c r="L224">
        <f t="shared" si="137"/>
        <v>0.25</v>
      </c>
      <c r="M224">
        <f t="shared" si="138"/>
        <v>1</v>
      </c>
      <c r="N224">
        <f t="shared" ref="N224" si="152">IF(AND(M224 - G224 &gt;= 0, G224 - L224 &gt;=0),1,0)</f>
        <v>0</v>
      </c>
      <c r="O224" t="s">
        <v>1082</v>
      </c>
      <c r="P224" t="s">
        <v>797</v>
      </c>
      <c r="R224" s="711"/>
      <c r="W224">
        <v>1</v>
      </c>
      <c r="X224">
        <v>0.25</v>
      </c>
      <c r="Y224">
        <v>1</v>
      </c>
      <c r="Z224" t="str">
        <f>Units!B$94</f>
        <v>multiplier</v>
      </c>
      <c r="AA224">
        <f>Units!C$94</f>
        <v>1</v>
      </c>
      <c r="AB224">
        <f>Units!D$94</f>
        <v>1</v>
      </c>
      <c r="AC224" t="str">
        <f>Units!E$94</f>
        <v>multiplier</v>
      </c>
      <c r="AD224" t="str">
        <f>Units!F$94</f>
        <v>multiplier</v>
      </c>
      <c r="AE224" t="str">
        <f>Units!G$94</f>
        <v>multiplier</v>
      </c>
      <c r="AF224" t="str">
        <f>Units!H$94</f>
        <v>multiplier</v>
      </c>
    </row>
    <row r="225" spans="1:32" x14ac:dyDescent="0.3">
      <c r="A225" t="s">
        <v>1065</v>
      </c>
      <c r="B225" s="944" t="s">
        <v>817</v>
      </c>
      <c r="C225" s="124" t="str">
        <f t="shared" si="134"/>
        <v>UDV.cover_digest.VSLR_solids_multiplier</v>
      </c>
      <c r="D225" s="944">
        <f t="shared" si="143"/>
        <v>1.5</v>
      </c>
      <c r="E225" s="125" t="str">
        <f t="shared" si="144"/>
        <v>multiplier</v>
      </c>
      <c r="F225" s="944">
        <f t="shared" si="148"/>
        <v>1.5</v>
      </c>
      <c r="G225" s="944"/>
      <c r="H225">
        <f t="shared" si="149"/>
        <v>1.5</v>
      </c>
      <c r="I225" s="1325" t="str">
        <f>$AC225</f>
        <v>multiplier</v>
      </c>
      <c r="J225" s="944" t="s">
        <v>660</v>
      </c>
      <c r="K225" s="944"/>
      <c r="L225">
        <f t="shared" si="137"/>
        <v>1</v>
      </c>
      <c r="M225">
        <f t="shared" si="138"/>
        <v>2</v>
      </c>
      <c r="N225">
        <f t="shared" ref="N225" si="153">IF(AND(M225 - G225 &gt;= 0, G225 - L225 &gt;=0),1,0)</f>
        <v>0</v>
      </c>
      <c r="O225" t="s">
        <v>1066</v>
      </c>
      <c r="P225" t="s">
        <v>818</v>
      </c>
      <c r="R225" s="711"/>
      <c r="W225">
        <v>1.5</v>
      </c>
      <c r="X225">
        <v>1</v>
      </c>
      <c r="Y225">
        <v>2</v>
      </c>
      <c r="Z225" t="str">
        <f>Units!B$94</f>
        <v>multiplier</v>
      </c>
      <c r="AA225">
        <f>Units!C$94</f>
        <v>1</v>
      </c>
      <c r="AB225">
        <f>Units!D$94</f>
        <v>1</v>
      </c>
      <c r="AC225" t="str">
        <f>Units!E$94</f>
        <v>multiplier</v>
      </c>
      <c r="AD225" t="str">
        <f>Units!F$94</f>
        <v>multiplier</v>
      </c>
      <c r="AE225" t="str">
        <f>Units!G$94</f>
        <v>multiplier</v>
      </c>
      <c r="AF225" t="str">
        <f>Units!H$94</f>
        <v>multiplier</v>
      </c>
    </row>
    <row r="226" spans="1:32" x14ac:dyDescent="0.3">
      <c r="A226" t="s">
        <v>1083</v>
      </c>
      <c r="B226" s="1369" t="s">
        <v>1084</v>
      </c>
      <c r="C226" s="124" t="str">
        <f t="shared" si="134"/>
        <v>UDV.crops.acres_available</v>
      </c>
      <c r="D226" s="1091">
        <f t="shared" si="143"/>
        <v>100</v>
      </c>
      <c r="E226" s="1093" t="str">
        <f t="shared" si="144"/>
        <v>acre</v>
      </c>
      <c r="F226" s="1109">
        <f>UI.Farm!BC221</f>
        <v>100</v>
      </c>
      <c r="G226" s="1108" t="str">
        <f>UI.Farm!BD221</f>
        <v/>
      </c>
      <c r="H226" s="1105">
        <f t="shared" si="149"/>
        <v>100</v>
      </c>
      <c r="I226" s="956" t="str">
        <f t="shared" si="145"/>
        <v>acre</v>
      </c>
      <c r="J226" t="s">
        <v>688</v>
      </c>
      <c r="K226" t="s">
        <v>1085</v>
      </c>
      <c r="L226">
        <f t="shared" si="137"/>
        <v>0</v>
      </c>
      <c r="N226">
        <f>IF(OR(NOT(ISNUMBER(G226)),G226&lt;L226),0,1)</f>
        <v>0</v>
      </c>
      <c r="O226" t="s">
        <v>1086</v>
      </c>
      <c r="P226" t="s">
        <v>1087</v>
      </c>
      <c r="Q226" t="s">
        <v>1088</v>
      </c>
      <c r="R226" s="696" t="s">
        <v>84</v>
      </c>
      <c r="S226" t="s">
        <v>84</v>
      </c>
      <c r="V226" t="str">
        <f>IF(OR((M226-L226)&lt;=0,H226&gt;M226,H226&lt;L226),"Fix","")</f>
        <v>Fix</v>
      </c>
      <c r="W226" s="78">
        <v>100</v>
      </c>
      <c r="X226" s="128">
        <v>0</v>
      </c>
      <c r="Y226" s="128"/>
      <c r="Z226" t="str">
        <f>Units!B$2</f>
        <v>acre</v>
      </c>
      <c r="AA226">
        <f>Units!C$2</f>
        <v>1</v>
      </c>
      <c r="AB226">
        <f>Units!D$2</f>
        <v>1</v>
      </c>
      <c r="AC226" t="str">
        <f>Units!E$2</f>
        <v>acre</v>
      </c>
      <c r="AD226" t="str">
        <f>Units!F$2</f>
        <v>acre</v>
      </c>
      <c r="AE226" t="str">
        <f>Units!G$2</f>
        <v>hectare</v>
      </c>
      <c r="AF226" t="str">
        <f>Units!H$2</f>
        <v>acre</v>
      </c>
    </row>
    <row r="227" spans="1:32" x14ac:dyDescent="0.3">
      <c r="A227" t="s">
        <v>1083</v>
      </c>
      <c r="B227" s="128" t="s">
        <v>1089</v>
      </c>
      <c r="C227" s="124" t="str">
        <f t="shared" si="134"/>
        <v>UDV.crops.application_max_irrigation</v>
      </c>
      <c r="D227" s="944">
        <f t="shared" si="143"/>
        <v>10</v>
      </c>
      <c r="E227" s="125" t="str">
        <f t="shared" si="144"/>
        <v>1000 gal/acre</v>
      </c>
      <c r="F227" s="1331">
        <f t="shared" ref="F227:F232" si="154">IF(OR(G227="",N227=0),H227,G227)</f>
        <v>10</v>
      </c>
      <c r="G227" s="1373">
        <v>10</v>
      </c>
      <c r="H227" s="205">
        <f t="shared" si="149"/>
        <v>10</v>
      </c>
      <c r="I227" s="1325" t="str">
        <f t="shared" si="145"/>
        <v>1000 gal/acre</v>
      </c>
      <c r="J227" t="s">
        <v>660</v>
      </c>
      <c r="K227" s="124"/>
      <c r="L227">
        <f t="shared" si="137"/>
        <v>1</v>
      </c>
      <c r="M227">
        <f t="shared" si="138"/>
        <v>40</v>
      </c>
      <c r="N227">
        <f t="shared" ref="N227:N232" si="155">IF(AND(M227 - G227 &gt;= 0, G227 - L227 &gt;=0),1,0)</f>
        <v>1</v>
      </c>
      <c r="O227" t="s">
        <v>1086</v>
      </c>
      <c r="P227" t="s">
        <v>1090</v>
      </c>
      <c r="Q227" t="s">
        <v>1091</v>
      </c>
      <c r="R227" s="711"/>
      <c r="W227">
        <v>10</v>
      </c>
      <c r="X227">
        <v>1</v>
      </c>
      <c r="Y227">
        <v>40</v>
      </c>
      <c r="Z227" t="str">
        <f>Units!B$132</f>
        <v>1000 gal/acre</v>
      </c>
      <c r="AA227">
        <f>Units!C$132</f>
        <v>1</v>
      </c>
      <c r="AB227">
        <f>Units!D$132</f>
        <v>1</v>
      </c>
      <c r="AC227" t="str">
        <f>Units!E$132</f>
        <v>1000 gal/acre</v>
      </c>
      <c r="AD227" t="str">
        <f>Units!F$132</f>
        <v>1000 gal/acre</v>
      </c>
      <c r="AE227" t="str">
        <f>Units!G$132</f>
        <v>1000 L/hectare</v>
      </c>
      <c r="AF227" t="str">
        <f>Units!H$132</f>
        <v>1000 gal/acre</v>
      </c>
    </row>
    <row r="228" spans="1:32" x14ac:dyDescent="0.3">
      <c r="A228" t="s">
        <v>1083</v>
      </c>
      <c r="B228" t="s">
        <v>1092</v>
      </c>
      <c r="C228" s="124" t="str">
        <f t="shared" si="134"/>
        <v>UDV.crops.application_max_liquids</v>
      </c>
      <c r="D228" s="944">
        <f t="shared" si="143"/>
        <v>10</v>
      </c>
      <c r="E228" s="125" t="str">
        <f t="shared" si="144"/>
        <v>1000 gal/acre</v>
      </c>
      <c r="F228" s="1331">
        <f t="shared" si="154"/>
        <v>10</v>
      </c>
      <c r="G228" s="1373"/>
      <c r="H228" s="205">
        <f t="shared" si="149"/>
        <v>10</v>
      </c>
      <c r="I228" s="1325" t="str">
        <f t="shared" si="145"/>
        <v>1000 gal/acre</v>
      </c>
      <c r="J228" t="s">
        <v>660</v>
      </c>
      <c r="K228" s="124"/>
      <c r="L228">
        <f t="shared" si="137"/>
        <v>2.5</v>
      </c>
      <c r="M228">
        <f t="shared" si="138"/>
        <v>40</v>
      </c>
      <c r="N228">
        <f t="shared" si="155"/>
        <v>0</v>
      </c>
      <c r="O228" t="s">
        <v>1086</v>
      </c>
      <c r="P228" t="s">
        <v>1093</v>
      </c>
      <c r="Q228" t="s">
        <v>1091</v>
      </c>
      <c r="R228" s="711"/>
      <c r="W228">
        <v>10</v>
      </c>
      <c r="X228">
        <v>2.5</v>
      </c>
      <c r="Y228">
        <v>40</v>
      </c>
      <c r="Z228" t="str">
        <f>Units!B$132</f>
        <v>1000 gal/acre</v>
      </c>
      <c r="AA228">
        <f>Units!C$132</f>
        <v>1</v>
      </c>
      <c r="AB228">
        <f>Units!D$132</f>
        <v>1</v>
      </c>
      <c r="AC228" t="str">
        <f>Units!E$132</f>
        <v>1000 gal/acre</v>
      </c>
      <c r="AD228" t="str">
        <f>Units!F$132</f>
        <v>1000 gal/acre</v>
      </c>
      <c r="AE228" t="str">
        <f>Units!G$132</f>
        <v>1000 L/hectare</v>
      </c>
      <c r="AF228" t="str">
        <f>Units!H$132</f>
        <v>1000 gal/acre</v>
      </c>
    </row>
    <row r="229" spans="1:32" x14ac:dyDescent="0.3">
      <c r="A229" t="s">
        <v>1083</v>
      </c>
      <c r="B229" t="s">
        <v>1094</v>
      </c>
      <c r="C229" s="124" t="str">
        <f t="shared" si="134"/>
        <v>UDV.crops.application_max_sludge</v>
      </c>
      <c r="D229" s="944">
        <f t="shared" si="143"/>
        <v>10</v>
      </c>
      <c r="E229" s="125" t="str">
        <f t="shared" si="144"/>
        <v>1000 gal/acre</v>
      </c>
      <c r="F229" s="1331">
        <f t="shared" si="154"/>
        <v>10</v>
      </c>
      <c r="G229" s="1373"/>
      <c r="H229" s="205">
        <f t="shared" si="149"/>
        <v>10</v>
      </c>
      <c r="I229" s="1325" t="str">
        <f t="shared" si="145"/>
        <v>1000 gal/acre</v>
      </c>
      <c r="J229" t="s">
        <v>660</v>
      </c>
      <c r="K229" s="124"/>
      <c r="L229">
        <f t="shared" si="137"/>
        <v>2.5</v>
      </c>
      <c r="M229">
        <f t="shared" si="138"/>
        <v>40</v>
      </c>
      <c r="N229">
        <f t="shared" si="155"/>
        <v>0</v>
      </c>
      <c r="O229" t="s">
        <v>1086</v>
      </c>
      <c r="P229" t="s">
        <v>1095</v>
      </c>
      <c r="Q229" t="s">
        <v>1091</v>
      </c>
      <c r="R229" s="711"/>
      <c r="W229">
        <v>10</v>
      </c>
      <c r="X229">
        <v>2.5</v>
      </c>
      <c r="Y229">
        <v>40</v>
      </c>
      <c r="Z229" t="str">
        <f>Units!B$132</f>
        <v>1000 gal/acre</v>
      </c>
      <c r="AA229">
        <f>Units!C$132</f>
        <v>1</v>
      </c>
      <c r="AB229">
        <f>Units!D$132</f>
        <v>1</v>
      </c>
      <c r="AC229" t="str">
        <f>Units!E$132</f>
        <v>1000 gal/acre</v>
      </c>
      <c r="AD229" t="str">
        <f>Units!F$132</f>
        <v>1000 gal/acre</v>
      </c>
      <c r="AE229" t="str">
        <f>Units!G$132</f>
        <v>1000 L/hectare</v>
      </c>
      <c r="AF229" t="str">
        <f>Units!H$132</f>
        <v>1000 gal/acre</v>
      </c>
    </row>
    <row r="230" spans="1:32" x14ac:dyDescent="0.3">
      <c r="A230" t="s">
        <v>1083</v>
      </c>
      <c r="B230" s="128" t="s">
        <v>1096</v>
      </c>
      <c r="C230" s="124" t="str">
        <f t="shared" si="134"/>
        <v>UDV.crops.application_wait_irrigation</v>
      </c>
      <c r="D230" s="1464">
        <f t="shared" si="143"/>
        <v>28</v>
      </c>
      <c r="E230" s="125" t="str">
        <f t="shared" si="144"/>
        <v>days</v>
      </c>
      <c r="F230" s="1331">
        <f t="shared" si="154"/>
        <v>28</v>
      </c>
      <c r="G230" s="1373">
        <v>28</v>
      </c>
      <c r="H230" s="205">
        <f t="shared" si="149"/>
        <v>28</v>
      </c>
      <c r="I230" s="1325" t="str">
        <f t="shared" si="145"/>
        <v>days</v>
      </c>
      <c r="J230" t="s">
        <v>660</v>
      </c>
      <c r="K230" s="124"/>
      <c r="L230">
        <f t="shared" si="137"/>
        <v>1</v>
      </c>
      <c r="M230">
        <f t="shared" si="138"/>
        <v>28</v>
      </c>
      <c r="N230">
        <f t="shared" si="155"/>
        <v>1</v>
      </c>
      <c r="O230" t="s">
        <v>1086</v>
      </c>
      <c r="P230" t="s">
        <v>1097</v>
      </c>
      <c r="R230" s="711"/>
      <c r="W230" s="147">
        <v>28</v>
      </c>
      <c r="X230" s="147">
        <v>1</v>
      </c>
      <c r="Y230" s="147">
        <v>28</v>
      </c>
      <c r="Z230" t="str">
        <f>Units!B$111</f>
        <v>days</v>
      </c>
      <c r="AA230">
        <f>Units!C$111</f>
        <v>1</v>
      </c>
      <c r="AB230">
        <f>Units!D$111</f>
        <v>1</v>
      </c>
      <c r="AC230" t="str">
        <f>Units!E$111</f>
        <v>days</v>
      </c>
      <c r="AD230" t="str">
        <f>Units!F$111</f>
        <v>days</v>
      </c>
      <c r="AE230" t="str">
        <f>Units!G$111</f>
        <v>days</v>
      </c>
      <c r="AF230" t="str">
        <f>Units!H$111</f>
        <v>days</v>
      </c>
    </row>
    <row r="231" spans="1:32" x14ac:dyDescent="0.3">
      <c r="A231" t="s">
        <v>1083</v>
      </c>
      <c r="B231" s="128" t="s">
        <v>1098</v>
      </c>
      <c r="C231" s="124" t="str">
        <f t="shared" si="134"/>
        <v>UDV.crops.application_wait_liquids</v>
      </c>
      <c r="D231" s="1464">
        <f t="shared" si="143"/>
        <v>28</v>
      </c>
      <c r="E231" s="125" t="str">
        <f t="shared" si="144"/>
        <v>days</v>
      </c>
      <c r="F231" s="1331">
        <f t="shared" si="154"/>
        <v>28</v>
      </c>
      <c r="G231" s="1373"/>
      <c r="H231" s="205">
        <f t="shared" si="149"/>
        <v>28</v>
      </c>
      <c r="I231" s="1325" t="str">
        <f t="shared" si="145"/>
        <v>days</v>
      </c>
      <c r="J231" t="s">
        <v>660</v>
      </c>
      <c r="K231" s="124"/>
      <c r="L231">
        <f t="shared" si="137"/>
        <v>7</v>
      </c>
      <c r="M231">
        <f t="shared" si="138"/>
        <v>84</v>
      </c>
      <c r="N231">
        <f t="shared" si="155"/>
        <v>0</v>
      </c>
      <c r="O231" t="s">
        <v>1086</v>
      </c>
      <c r="P231" t="s">
        <v>1099</v>
      </c>
      <c r="R231" s="711"/>
      <c r="W231" s="147">
        <f>4*7</f>
        <v>28</v>
      </c>
      <c r="X231" s="147">
        <v>7</v>
      </c>
      <c r="Y231" s="147">
        <f>12*7</f>
        <v>84</v>
      </c>
      <c r="Z231" t="str">
        <f>Units!B$111</f>
        <v>days</v>
      </c>
      <c r="AA231">
        <f>Units!C$111</f>
        <v>1</v>
      </c>
      <c r="AB231">
        <f>Units!D$111</f>
        <v>1</v>
      </c>
      <c r="AC231" t="str">
        <f>Units!E$111</f>
        <v>days</v>
      </c>
      <c r="AD231" t="str">
        <f>Units!F$111</f>
        <v>days</v>
      </c>
      <c r="AE231" t="str">
        <f>Units!G$111</f>
        <v>days</v>
      </c>
      <c r="AF231" t="str">
        <f>Units!H$111</f>
        <v>days</v>
      </c>
    </row>
    <row r="232" spans="1:32" x14ac:dyDescent="0.3">
      <c r="A232" t="s">
        <v>1083</v>
      </c>
      <c r="B232" s="128" t="s">
        <v>1100</v>
      </c>
      <c r="C232" s="124" t="str">
        <f t="shared" si="134"/>
        <v>UDV.crops.application_wait_sludge</v>
      </c>
      <c r="D232" s="1464">
        <f t="shared" si="143"/>
        <v>28</v>
      </c>
      <c r="E232" s="125" t="str">
        <f t="shared" si="144"/>
        <v>days</v>
      </c>
      <c r="F232" s="1331">
        <f t="shared" si="154"/>
        <v>28</v>
      </c>
      <c r="G232" s="1373"/>
      <c r="H232" s="205">
        <f t="shared" si="149"/>
        <v>28</v>
      </c>
      <c r="I232" s="1325" t="str">
        <f t="shared" si="145"/>
        <v>days</v>
      </c>
      <c r="J232" t="s">
        <v>660</v>
      </c>
      <c r="K232" s="124"/>
      <c r="L232">
        <f t="shared" si="137"/>
        <v>7</v>
      </c>
      <c r="M232">
        <f t="shared" si="138"/>
        <v>84</v>
      </c>
      <c r="N232">
        <f t="shared" si="155"/>
        <v>0</v>
      </c>
      <c r="O232" t="s">
        <v>1086</v>
      </c>
      <c r="P232" t="s">
        <v>1101</v>
      </c>
      <c r="R232" s="711"/>
      <c r="W232" s="147">
        <f>4*7</f>
        <v>28</v>
      </c>
      <c r="X232" s="147">
        <v>7</v>
      </c>
      <c r="Y232" s="147">
        <f>12*7</f>
        <v>84</v>
      </c>
      <c r="Z232" t="str">
        <f>Units!B$111</f>
        <v>days</v>
      </c>
      <c r="AA232">
        <f>Units!C$111</f>
        <v>1</v>
      </c>
      <c r="AB232">
        <f>Units!D$111</f>
        <v>1</v>
      </c>
      <c r="AC232" t="str">
        <f>Units!E$111</f>
        <v>days</v>
      </c>
      <c r="AD232" t="str">
        <f>Units!F$111</f>
        <v>days</v>
      </c>
      <c r="AE232" t="str">
        <f>Units!G$111</f>
        <v>days</v>
      </c>
      <c r="AF232" t="str">
        <f>Units!H$111</f>
        <v>days</v>
      </c>
    </row>
    <row r="233" spans="1:32" x14ac:dyDescent="0.3">
      <c r="A233" t="s">
        <v>1083</v>
      </c>
      <c r="B233" s="1369" t="s">
        <v>1102</v>
      </c>
      <c r="C233" s="124" t="str">
        <f t="shared" si="134"/>
        <v>UDV.crops.apply_for</v>
      </c>
      <c r="D233" s="1091" t="str">
        <f>F233</f>
        <v>N</v>
      </c>
      <c r="E233" s="1093" t="s">
        <v>81</v>
      </c>
      <c r="F233" s="1095" t="str">
        <f>UI.Farm!BC222</f>
        <v>N</v>
      </c>
      <c r="G233" s="1098" t="str">
        <f>UI.Farm!BD222</f>
        <v>N</v>
      </c>
      <c r="H233" s="1104" t="s">
        <v>84</v>
      </c>
      <c r="I233" s="956" t="s">
        <v>81</v>
      </c>
      <c r="J233" t="s">
        <v>838</v>
      </c>
      <c r="K233" t="s">
        <v>1085</v>
      </c>
      <c r="N233">
        <f>IF(G233="",0,1)</f>
        <v>1</v>
      </c>
      <c r="O233" t="s">
        <v>1086</v>
      </c>
      <c r="P233" t="s">
        <v>1103</v>
      </c>
      <c r="Q233" t="s">
        <v>1088</v>
      </c>
      <c r="S233" t="s">
        <v>84</v>
      </c>
      <c r="V233" t="str">
        <f>IF(OR((M233-L233)&lt;=0,H233&gt;M233,H233&lt;L233),"Fix","")</f>
        <v>Fix</v>
      </c>
      <c r="W233" s="78" t="s">
        <v>84</v>
      </c>
      <c r="X233">
        <v>0</v>
      </c>
      <c r="Y233">
        <v>0</v>
      </c>
      <c r="Z233" t="str">
        <f>Units!B$96</f>
        <v>none</v>
      </c>
      <c r="AA233">
        <f>Units!C$96</f>
        <v>1</v>
      </c>
      <c r="AB233">
        <f>Units!D$96</f>
        <v>1</v>
      </c>
      <c r="AC233" t="str">
        <f>Units!E$96</f>
        <v>none</v>
      </c>
      <c r="AD233" t="str">
        <f>Units!F$96</f>
        <v>none</v>
      </c>
      <c r="AE233" t="str">
        <f>Units!G$96</f>
        <v>none</v>
      </c>
      <c r="AF233" t="str">
        <f>Units!H$96</f>
        <v>none</v>
      </c>
    </row>
    <row r="234" spans="1:32" x14ac:dyDescent="0.3">
      <c r="A234" t="s">
        <v>1083</v>
      </c>
      <c r="B234" s="1369" t="s">
        <v>1104</v>
      </c>
      <c r="C234" s="124" t="str">
        <f t="shared" si="134"/>
        <v>UDV.crops.apply_method</v>
      </c>
      <c r="D234" s="1091" t="str">
        <f>F234</f>
        <v>Injection</v>
      </c>
      <c r="E234" s="1093" t="s">
        <v>81</v>
      </c>
      <c r="F234" s="1095" t="str">
        <f>UI.Farm!BC223</f>
        <v>Injection</v>
      </c>
      <c r="G234" s="1098" t="str">
        <f>UI.Farm!BD223</f>
        <v>Injection</v>
      </c>
      <c r="H234" s="1104" t="s">
        <v>86</v>
      </c>
      <c r="I234" s="956" t="s">
        <v>81</v>
      </c>
      <c r="J234" t="s">
        <v>838</v>
      </c>
      <c r="K234" t="s">
        <v>1085</v>
      </c>
      <c r="N234">
        <f>IF(G234="",0,1)</f>
        <v>1</v>
      </c>
      <c r="O234" t="s">
        <v>1086</v>
      </c>
      <c r="P234" t="s">
        <v>1105</v>
      </c>
      <c r="Q234" t="s">
        <v>1088</v>
      </c>
      <c r="S234" t="s">
        <v>84</v>
      </c>
      <c r="V234" t="str">
        <f>IF(OR((M234-L234)&lt;=0,H234&gt;M234,H234&lt;L234),"Fix","")</f>
        <v>Fix</v>
      </c>
      <c r="W234" s="78" t="s">
        <v>86</v>
      </c>
      <c r="X234">
        <v>0</v>
      </c>
      <c r="Y234">
        <v>0</v>
      </c>
      <c r="Z234" t="str">
        <f>Units!B$96</f>
        <v>none</v>
      </c>
      <c r="AA234">
        <f>Units!C$96</f>
        <v>1</v>
      </c>
      <c r="AB234">
        <f>Units!D$96</f>
        <v>1</v>
      </c>
      <c r="AC234" t="str">
        <f>Units!E$96</f>
        <v>none</v>
      </c>
      <c r="AD234" t="str">
        <f>Units!F$96</f>
        <v>none</v>
      </c>
      <c r="AE234" t="str">
        <f>Units!G$96</f>
        <v>none</v>
      </c>
      <c r="AF234" t="str">
        <f>Units!H$96</f>
        <v>none</v>
      </c>
    </row>
    <row r="235" spans="1:32" x14ac:dyDescent="0.3">
      <c r="A235" t="s">
        <v>1083</v>
      </c>
      <c r="B235" t="s">
        <v>1106</v>
      </c>
      <c r="C235" s="124" t="str">
        <f t="shared" si="134"/>
        <v>UDV.crops.K_avail</v>
      </c>
      <c r="D235" s="944">
        <f t="shared" ref="D235:D263" si="156">$F235*$AB235</f>
        <v>1</v>
      </c>
      <c r="E235" s="125" t="str">
        <f t="shared" ref="E235:E263" si="157">$AD235</f>
        <v>fraction</v>
      </c>
      <c r="F235" s="944">
        <f>IF(OR(G235="",N235=0),H235,G235)</f>
        <v>1</v>
      </c>
      <c r="G235" s="126"/>
      <c r="H235">
        <f t="shared" ref="H235:H263" si="158">$W235*$AA235</f>
        <v>1</v>
      </c>
      <c r="I235" s="1325" t="str">
        <f t="shared" ref="I235:I263" si="159">$AC235</f>
        <v>fraction</v>
      </c>
      <c r="J235" t="s">
        <v>688</v>
      </c>
      <c r="K235" s="124"/>
      <c r="L235">
        <f>ROUNDDOWN($X235*$AA235,5)</f>
        <v>1E-4</v>
      </c>
      <c r="M235">
        <f>ROUNDUP($Y235*$AA235,5)</f>
        <v>1</v>
      </c>
      <c r="N235">
        <f>IF(AND(M235 - G235 &gt;= 0, G235 - L235 &gt;=0),1,0)</f>
        <v>0</v>
      </c>
      <c r="O235" t="s">
        <v>1107</v>
      </c>
      <c r="P235" t="s">
        <v>1108</v>
      </c>
      <c r="S235" t="s">
        <v>84</v>
      </c>
      <c r="W235">
        <f>IF(UDV.crops.apply_method="Broadcast",UDV.crops.K2O_avail_surface,UDV.crops.K2O_avail_injection)</f>
        <v>1</v>
      </c>
      <c r="X235">
        <v>1E-4</v>
      </c>
      <c r="Y235">
        <v>1</v>
      </c>
      <c r="Z235" t="str">
        <f>Units!B$35</f>
        <v>fraction</v>
      </c>
      <c r="AA235">
        <f>Units!C$35</f>
        <v>1</v>
      </c>
      <c r="AB235">
        <f>Units!D$35</f>
        <v>1</v>
      </c>
      <c r="AC235" t="str">
        <f>Units!E$35</f>
        <v>fraction</v>
      </c>
      <c r="AD235" t="str">
        <f>Units!F$35</f>
        <v>fraction</v>
      </c>
      <c r="AE235" t="str">
        <f>Units!G$35</f>
        <v>fraction</v>
      </c>
      <c r="AF235" t="str">
        <f>Units!H$35</f>
        <v>fraction</v>
      </c>
    </row>
    <row r="236" spans="1:32" x14ac:dyDescent="0.3">
      <c r="A236" t="s">
        <v>1083</v>
      </c>
      <c r="B236" t="s">
        <v>1109</v>
      </c>
      <c r="C236" s="124" t="str">
        <f t="shared" si="134"/>
        <v>UDV.crops.K_lost</v>
      </c>
      <c r="D236" s="944">
        <f t="shared" si="156"/>
        <v>0</v>
      </c>
      <c r="E236" s="125" t="str">
        <f t="shared" si="157"/>
        <v>fraction</v>
      </c>
      <c r="F236" s="944">
        <f>IF(OR(G236="",N236=0),H236,G236)</f>
        <v>0</v>
      </c>
      <c r="G236" s="126"/>
      <c r="H236">
        <f t="shared" si="158"/>
        <v>0</v>
      </c>
      <c r="I236" s="1325" t="str">
        <f t="shared" si="159"/>
        <v>fraction</v>
      </c>
      <c r="J236" t="s">
        <v>688</v>
      </c>
      <c r="K236" s="124"/>
      <c r="L236">
        <f>ROUNDDOWN($X236*$AA236,5)</f>
        <v>1E-4</v>
      </c>
      <c r="M236">
        <f>ROUNDUP($Y236*$AA236,5)</f>
        <v>1</v>
      </c>
      <c r="N236">
        <f>IF(AND(M236 - G236 &gt;= 0, G236 - L236 &gt;=0),1,0)</f>
        <v>0</v>
      </c>
      <c r="O236" t="s">
        <v>1107</v>
      </c>
      <c r="P236" t="s">
        <v>1110</v>
      </c>
      <c r="S236" t="s">
        <v>84</v>
      </c>
      <c r="W236">
        <f>1-UDV.crops.K_avail</f>
        <v>0</v>
      </c>
      <c r="X236">
        <v>1E-4</v>
      </c>
      <c r="Y236">
        <v>1</v>
      </c>
      <c r="Z236" t="str">
        <f>Units!B$35</f>
        <v>fraction</v>
      </c>
      <c r="AA236">
        <f>Units!C$35</f>
        <v>1</v>
      </c>
      <c r="AB236">
        <f>Units!D$35</f>
        <v>1</v>
      </c>
      <c r="AC236" t="str">
        <f>Units!E$35</f>
        <v>fraction</v>
      </c>
      <c r="AD236" t="str">
        <f>Units!F$35</f>
        <v>fraction</v>
      </c>
      <c r="AE236" t="str">
        <f>Units!G$35</f>
        <v>fraction</v>
      </c>
      <c r="AF236" t="str">
        <f>Units!H$35</f>
        <v>fraction</v>
      </c>
    </row>
    <row r="237" spans="1:32" x14ac:dyDescent="0.3">
      <c r="A237" t="s">
        <v>1083</v>
      </c>
      <c r="B237" s="1369" t="s">
        <v>1111</v>
      </c>
      <c r="C237" s="124" t="str">
        <f t="shared" si="134"/>
        <v>UDV.crops.K_need</v>
      </c>
      <c r="D237" s="1091">
        <f t="shared" si="156"/>
        <v>90</v>
      </c>
      <c r="E237" s="1093" t="str">
        <f t="shared" si="157"/>
        <v>lb K2O/acre</v>
      </c>
      <c r="F237" s="1109">
        <f>UI.Farm!BC226</f>
        <v>90</v>
      </c>
      <c r="G237" s="1098" t="str">
        <f>UI.Farm!BD226</f>
        <v/>
      </c>
      <c r="H237" s="1101">
        <f t="shared" si="158"/>
        <v>90</v>
      </c>
      <c r="I237" s="956" t="str">
        <f t="shared" si="159"/>
        <v>lb K2O/acre</v>
      </c>
      <c r="J237" t="s">
        <v>660</v>
      </c>
      <c r="K237" t="s">
        <v>1085</v>
      </c>
      <c r="L237">
        <f t="shared" ref="L237:L300" si="160">ROUNDDOWN($X237*$AA237,3)</f>
        <v>9</v>
      </c>
      <c r="M237">
        <f t="shared" ref="M237:M300" si="161">ROUNDUP($Y237*$AA237,3)</f>
        <v>300</v>
      </c>
      <c r="N237">
        <f>IF(AND(G237&lt;=M237, G237&gt;=L237),1,0)</f>
        <v>0</v>
      </c>
      <c r="O237" t="s">
        <v>1086</v>
      </c>
      <c r="P237" t="s">
        <v>1112</v>
      </c>
      <c r="Q237" t="s">
        <v>1113</v>
      </c>
      <c r="R237" s="696" t="s">
        <v>84</v>
      </c>
      <c r="V237" t="str">
        <f>IF(OR((M237-L237)&lt;=0,H237&gt;M237,H237&lt;L237),"Fix","")</f>
        <v/>
      </c>
      <c r="W237" s="78">
        <v>90</v>
      </c>
      <c r="X237">
        <v>9</v>
      </c>
      <c r="Y237">
        <v>300</v>
      </c>
      <c r="Z237" t="str">
        <f>Units!B$60</f>
        <v>lb K2O/acre</v>
      </c>
      <c r="AA237">
        <f>Units!C$60</f>
        <v>1</v>
      </c>
      <c r="AB237">
        <f>Units!D$60</f>
        <v>1</v>
      </c>
      <c r="AC237" t="str">
        <f>Units!E$60</f>
        <v>lb K2O/acre</v>
      </c>
      <c r="AD237" t="str">
        <f>Units!F$60</f>
        <v>lb K2O/acre</v>
      </c>
      <c r="AE237" t="str">
        <f>Units!G$60</f>
        <v>kg K2O/hectare</v>
      </c>
      <c r="AF237" t="str">
        <f>Units!H$60</f>
        <v>lb K2O/acre</v>
      </c>
    </row>
    <row r="238" spans="1:32" x14ac:dyDescent="0.3">
      <c r="A238" t="s">
        <v>1083</v>
      </c>
      <c r="B238" t="s">
        <v>1114</v>
      </c>
      <c r="C238" s="124" t="str">
        <f t="shared" si="134"/>
        <v>UDV.crops.K2O_avail_injection</v>
      </c>
      <c r="D238" s="944">
        <f t="shared" si="156"/>
        <v>1</v>
      </c>
      <c r="E238" s="125" t="str">
        <f t="shared" si="157"/>
        <v>fraction</v>
      </c>
      <c r="F238" s="944">
        <f t="shared" ref="F238:F243" si="162">IF(OR(G238="",N238=0),H238,G238)</f>
        <v>1</v>
      </c>
      <c r="G238" s="126"/>
      <c r="H238">
        <f t="shared" si="158"/>
        <v>1</v>
      </c>
      <c r="I238" s="1325" t="str">
        <f t="shared" si="159"/>
        <v>fraction</v>
      </c>
      <c r="J238" t="s">
        <v>660</v>
      </c>
      <c r="K238" s="124"/>
      <c r="L238">
        <f t="shared" si="160"/>
        <v>0.5</v>
      </c>
      <c r="M238">
        <f t="shared" si="161"/>
        <v>1</v>
      </c>
      <c r="N238">
        <f t="shared" ref="N238:N243" si="163">IF(AND(M238 - G238 &gt;= 0, G238 - L238 &gt;=0),1,0)</f>
        <v>0</v>
      </c>
      <c r="O238" t="s">
        <v>1107</v>
      </c>
      <c r="P238" t="s">
        <v>1115</v>
      </c>
      <c r="V238" t="str">
        <f>IF(OR((M238-L238)&lt;=0,H238&gt;M238,H238&lt;L238),"Fix","")</f>
        <v/>
      </c>
      <c r="W238">
        <v>1</v>
      </c>
      <c r="X238">
        <v>0.5</v>
      </c>
      <c r="Y238">
        <v>1</v>
      </c>
      <c r="Z238" t="str">
        <f>Units!B$35</f>
        <v>fraction</v>
      </c>
      <c r="AA238">
        <f>Units!C$35</f>
        <v>1</v>
      </c>
      <c r="AB238">
        <f>Units!D$35</f>
        <v>1</v>
      </c>
      <c r="AC238" t="str">
        <f>Units!E$35</f>
        <v>fraction</v>
      </c>
      <c r="AD238" t="str">
        <f>Units!F$35</f>
        <v>fraction</v>
      </c>
      <c r="AE238" t="str">
        <f>Units!G$35</f>
        <v>fraction</v>
      </c>
      <c r="AF238" t="str">
        <f>Units!H$35</f>
        <v>fraction</v>
      </c>
    </row>
    <row r="239" spans="1:32" x14ac:dyDescent="0.3">
      <c r="A239" t="s">
        <v>1083</v>
      </c>
      <c r="B239" t="s">
        <v>1116</v>
      </c>
      <c r="C239" s="124" t="str">
        <f t="shared" si="134"/>
        <v>UDV.crops.K2O_avail_surface</v>
      </c>
      <c r="D239" s="944">
        <f t="shared" si="156"/>
        <v>1</v>
      </c>
      <c r="E239" s="125" t="str">
        <f t="shared" si="157"/>
        <v>fraction</v>
      </c>
      <c r="F239" s="944">
        <f t="shared" si="162"/>
        <v>1</v>
      </c>
      <c r="G239" s="126"/>
      <c r="H239">
        <f t="shared" si="158"/>
        <v>1</v>
      </c>
      <c r="I239" s="1325" t="str">
        <f t="shared" si="159"/>
        <v>fraction</v>
      </c>
      <c r="J239" t="s">
        <v>660</v>
      </c>
      <c r="K239" s="124"/>
      <c r="L239">
        <f t="shared" si="160"/>
        <v>0.5</v>
      </c>
      <c r="M239">
        <f t="shared" si="161"/>
        <v>1</v>
      </c>
      <c r="N239">
        <f t="shared" si="163"/>
        <v>0</v>
      </c>
      <c r="O239" t="s">
        <v>1107</v>
      </c>
      <c r="P239" t="s">
        <v>1117</v>
      </c>
      <c r="V239" t="str">
        <f>IF(OR((M239-L239)&lt;=0,H239&gt;M239,H239&lt;L239),"Fix","")</f>
        <v/>
      </c>
      <c r="W239">
        <v>1</v>
      </c>
      <c r="X239">
        <v>0.5</v>
      </c>
      <c r="Y239">
        <v>1</v>
      </c>
      <c r="Z239" t="str">
        <f>Units!B$35</f>
        <v>fraction</v>
      </c>
      <c r="AA239">
        <f>Units!C$35</f>
        <v>1</v>
      </c>
      <c r="AB239">
        <f>Units!D$35</f>
        <v>1</v>
      </c>
      <c r="AC239" t="str">
        <f>Units!E$35</f>
        <v>fraction</v>
      </c>
      <c r="AD239" t="str">
        <f>Units!F$35</f>
        <v>fraction</v>
      </c>
      <c r="AE239" t="str">
        <f>Units!G$35</f>
        <v>fraction</v>
      </c>
      <c r="AF239" t="str">
        <f>Units!H$35</f>
        <v>fraction</v>
      </c>
    </row>
    <row r="240" spans="1:32" x14ac:dyDescent="0.3">
      <c r="A240" t="s">
        <v>1083</v>
      </c>
      <c r="B240" t="s">
        <v>1118</v>
      </c>
      <c r="C240" s="124" t="str">
        <f t="shared" si="134"/>
        <v>UDV.crops.N_avail</v>
      </c>
      <c r="D240" s="944">
        <f t="shared" si="156"/>
        <v>0.95</v>
      </c>
      <c r="E240" s="125" t="str">
        <f t="shared" si="157"/>
        <v>fraction</v>
      </c>
      <c r="F240" s="944">
        <f t="shared" si="162"/>
        <v>0.95</v>
      </c>
      <c r="G240" s="126"/>
      <c r="H240">
        <f t="shared" si="158"/>
        <v>0.95</v>
      </c>
      <c r="I240" s="1325" t="str">
        <f t="shared" si="159"/>
        <v>fraction</v>
      </c>
      <c r="J240" t="s">
        <v>688</v>
      </c>
      <c r="K240" s="124"/>
      <c r="L240">
        <f>ROUNDDOWN($X240*$AA240,5)</f>
        <v>1E-4</v>
      </c>
      <c r="M240">
        <f>ROUNDUP($Y240*$AA240,5)</f>
        <v>1</v>
      </c>
      <c r="N240">
        <f t="shared" si="163"/>
        <v>0</v>
      </c>
      <c r="O240" t="s">
        <v>1107</v>
      </c>
      <c r="P240" t="s">
        <v>1119</v>
      </c>
      <c r="S240" t="s">
        <v>84</v>
      </c>
      <c r="W240">
        <f>IF(UDV.crops.apply_method="Broadcast",UDV.crops.N_avail_surface,UDV.crops.N_avail_injection)</f>
        <v>0.95</v>
      </c>
      <c r="X240">
        <v>1E-4</v>
      </c>
      <c r="Y240">
        <v>1</v>
      </c>
      <c r="Z240" t="str">
        <f>Units!B$35</f>
        <v>fraction</v>
      </c>
      <c r="AA240">
        <f>Units!C$35</f>
        <v>1</v>
      </c>
      <c r="AB240">
        <f>Units!D$35</f>
        <v>1</v>
      </c>
      <c r="AC240" t="str">
        <f>Units!E$35</f>
        <v>fraction</v>
      </c>
      <c r="AD240" t="str">
        <f>Units!F$35</f>
        <v>fraction</v>
      </c>
      <c r="AE240" t="str">
        <f>Units!G$35</f>
        <v>fraction</v>
      </c>
      <c r="AF240" t="str">
        <f>Units!H$35</f>
        <v>fraction</v>
      </c>
    </row>
    <row r="241" spans="1:32" x14ac:dyDescent="0.3">
      <c r="A241" t="s">
        <v>1083</v>
      </c>
      <c r="B241" t="s">
        <v>1120</v>
      </c>
      <c r="C241" s="124" t="str">
        <f t="shared" si="134"/>
        <v>UDV.crops.N_avail_injection</v>
      </c>
      <c r="D241" s="944">
        <f t="shared" si="156"/>
        <v>0.95</v>
      </c>
      <c r="E241" s="125" t="str">
        <f t="shared" si="157"/>
        <v>fraction</v>
      </c>
      <c r="F241" s="944">
        <f t="shared" si="162"/>
        <v>0.95</v>
      </c>
      <c r="G241" s="126"/>
      <c r="H241">
        <f t="shared" si="158"/>
        <v>0.95</v>
      </c>
      <c r="I241" s="1325" t="str">
        <f t="shared" si="159"/>
        <v>fraction</v>
      </c>
      <c r="J241" t="s">
        <v>660</v>
      </c>
      <c r="K241" s="124"/>
      <c r="L241">
        <f t="shared" si="160"/>
        <v>0.4</v>
      </c>
      <c r="M241">
        <f t="shared" si="161"/>
        <v>1</v>
      </c>
      <c r="N241">
        <f t="shared" si="163"/>
        <v>0</v>
      </c>
      <c r="O241" t="s">
        <v>1107</v>
      </c>
      <c r="P241" t="s">
        <v>1121</v>
      </c>
      <c r="V241" t="str">
        <f>IF(OR((M241-L241)&lt;=0,H241&gt;M241,H241&lt;L241),"Fix","")</f>
        <v/>
      </c>
      <c r="W241">
        <v>0.95</v>
      </c>
      <c r="X241">
        <v>0.4</v>
      </c>
      <c r="Y241">
        <v>1</v>
      </c>
      <c r="Z241" t="str">
        <f>Units!B$35</f>
        <v>fraction</v>
      </c>
      <c r="AA241">
        <f>Units!C$35</f>
        <v>1</v>
      </c>
      <c r="AB241">
        <f>Units!D$35</f>
        <v>1</v>
      </c>
      <c r="AC241" t="str">
        <f>Units!E$35</f>
        <v>fraction</v>
      </c>
      <c r="AD241" t="str">
        <f>Units!F$35</f>
        <v>fraction</v>
      </c>
      <c r="AE241" t="str">
        <f>Units!G$35</f>
        <v>fraction</v>
      </c>
      <c r="AF241" t="str">
        <f>Units!H$35</f>
        <v>fraction</v>
      </c>
    </row>
    <row r="242" spans="1:32" x14ac:dyDescent="0.3">
      <c r="A242" t="s">
        <v>1083</v>
      </c>
      <c r="B242" t="s">
        <v>1122</v>
      </c>
      <c r="C242" s="124" t="str">
        <f t="shared" si="134"/>
        <v>UDV.crops.N_avail_surface</v>
      </c>
      <c r="D242" s="944">
        <f t="shared" si="156"/>
        <v>0.75</v>
      </c>
      <c r="E242" s="125" t="str">
        <f t="shared" si="157"/>
        <v>fraction</v>
      </c>
      <c r="F242" s="944">
        <f t="shared" si="162"/>
        <v>0.75</v>
      </c>
      <c r="G242" s="126"/>
      <c r="H242">
        <f t="shared" si="158"/>
        <v>0.75</v>
      </c>
      <c r="I242" s="1325" t="str">
        <f t="shared" si="159"/>
        <v>fraction</v>
      </c>
      <c r="J242" t="s">
        <v>660</v>
      </c>
      <c r="K242" s="124"/>
      <c r="L242">
        <f t="shared" si="160"/>
        <v>0.2</v>
      </c>
      <c r="M242">
        <f t="shared" si="161"/>
        <v>0.9</v>
      </c>
      <c r="N242">
        <f t="shared" si="163"/>
        <v>0</v>
      </c>
      <c r="O242" t="s">
        <v>1107</v>
      </c>
      <c r="P242" t="s">
        <v>1123</v>
      </c>
      <c r="V242" t="str">
        <f>IF(OR((M242-L242)&lt;=0,H242&gt;M242,H242&lt;L242),"Fix","")</f>
        <v/>
      </c>
      <c r="W242">
        <v>0.75</v>
      </c>
      <c r="X242">
        <v>0.2</v>
      </c>
      <c r="Y242">
        <v>0.9</v>
      </c>
      <c r="Z242" t="str">
        <f>Units!B$35</f>
        <v>fraction</v>
      </c>
      <c r="AA242">
        <f>Units!C$35</f>
        <v>1</v>
      </c>
      <c r="AB242">
        <f>Units!D$35</f>
        <v>1</v>
      </c>
      <c r="AC242" t="str">
        <f>Units!E$35</f>
        <v>fraction</v>
      </c>
      <c r="AD242" t="str">
        <f>Units!F$35</f>
        <v>fraction</v>
      </c>
      <c r="AE242" t="str">
        <f>Units!G$35</f>
        <v>fraction</v>
      </c>
      <c r="AF242" t="str">
        <f>Units!H$35</f>
        <v>fraction</v>
      </c>
    </row>
    <row r="243" spans="1:32" x14ac:dyDescent="0.3">
      <c r="A243" t="s">
        <v>1083</v>
      </c>
      <c r="B243" t="s">
        <v>1124</v>
      </c>
      <c r="C243" s="124" t="str">
        <f t="shared" si="134"/>
        <v>UDV.crops.N_lost</v>
      </c>
      <c r="D243" s="944">
        <f t="shared" si="156"/>
        <v>5.0000000000000044E-2</v>
      </c>
      <c r="E243" s="125" t="str">
        <f t="shared" si="157"/>
        <v>fraction</v>
      </c>
      <c r="F243" s="944">
        <f t="shared" si="162"/>
        <v>5.0000000000000044E-2</v>
      </c>
      <c r="G243" s="126"/>
      <c r="H243">
        <f t="shared" si="158"/>
        <v>5.0000000000000044E-2</v>
      </c>
      <c r="I243" s="1325" t="str">
        <f t="shared" si="159"/>
        <v>fraction</v>
      </c>
      <c r="J243" t="s">
        <v>688</v>
      </c>
      <c r="K243" s="124"/>
      <c r="L243">
        <f>ROUNDDOWN($X243*$AA243,5)</f>
        <v>1E-4</v>
      </c>
      <c r="M243">
        <f>ROUNDUP($Y243*$AA243,5)</f>
        <v>1</v>
      </c>
      <c r="N243">
        <f t="shared" si="163"/>
        <v>0</v>
      </c>
      <c r="O243" t="s">
        <v>1107</v>
      </c>
      <c r="P243" t="s">
        <v>1125</v>
      </c>
      <c r="S243" t="s">
        <v>84</v>
      </c>
      <c r="W243">
        <f>1-UDV.crops.N_avail</f>
        <v>5.0000000000000044E-2</v>
      </c>
      <c r="X243">
        <v>1E-4</v>
      </c>
      <c r="Y243">
        <v>1</v>
      </c>
      <c r="Z243" t="str">
        <f>Units!B$35</f>
        <v>fraction</v>
      </c>
      <c r="AA243">
        <f>Units!C$35</f>
        <v>1</v>
      </c>
      <c r="AB243">
        <f>Units!D$35</f>
        <v>1</v>
      </c>
      <c r="AC243" t="str">
        <f>Units!E$35</f>
        <v>fraction</v>
      </c>
      <c r="AD243" t="str">
        <f>Units!F$35</f>
        <v>fraction</v>
      </c>
      <c r="AE243" t="str">
        <f>Units!G$35</f>
        <v>fraction</v>
      </c>
      <c r="AF243" t="str">
        <f>Units!H$35</f>
        <v>fraction</v>
      </c>
    </row>
    <row r="244" spans="1:32" x14ac:dyDescent="0.3">
      <c r="A244" t="s">
        <v>1083</v>
      </c>
      <c r="B244" s="1369" t="s">
        <v>1126</v>
      </c>
      <c r="C244" s="124" t="str">
        <f t="shared" si="134"/>
        <v>UDV.crops.N_need</v>
      </c>
      <c r="D244" s="1091">
        <f t="shared" si="156"/>
        <v>195</v>
      </c>
      <c r="E244" s="1093" t="str">
        <f t="shared" si="157"/>
        <v>lb N/acre</v>
      </c>
      <c r="F244" s="1109">
        <f>UI.Farm!BC224</f>
        <v>195</v>
      </c>
      <c r="G244" s="1098" t="str">
        <f>UI.Farm!BD224</f>
        <v/>
      </c>
      <c r="H244" s="1101">
        <f t="shared" si="158"/>
        <v>195</v>
      </c>
      <c r="I244" s="956" t="str">
        <f t="shared" si="159"/>
        <v>lb N/acre</v>
      </c>
      <c r="J244" t="s">
        <v>660</v>
      </c>
      <c r="K244" t="s">
        <v>1085</v>
      </c>
      <c r="L244">
        <f t="shared" si="160"/>
        <v>33</v>
      </c>
      <c r="M244">
        <f t="shared" si="161"/>
        <v>500</v>
      </c>
      <c r="N244">
        <f>IF(AND(G244&lt;=M244, G244&gt;=L244),1,0)</f>
        <v>0</v>
      </c>
      <c r="O244" t="s">
        <v>1086</v>
      </c>
      <c r="P244" t="s">
        <v>1127</v>
      </c>
      <c r="Q244" t="s">
        <v>1113</v>
      </c>
      <c r="R244" s="696" t="s">
        <v>84</v>
      </c>
      <c r="V244" t="str">
        <f>IF(OR((M244-L244)&lt;=0,H244&gt;M244,H244&lt;L244),"Fix","")</f>
        <v/>
      </c>
      <c r="W244" s="78">
        <v>195</v>
      </c>
      <c r="X244">
        <v>33</v>
      </c>
      <c r="Y244">
        <v>500</v>
      </c>
      <c r="Z244" t="str">
        <f>Units!B$61</f>
        <v>lb N/acre</v>
      </c>
      <c r="AA244">
        <f>Units!C$61</f>
        <v>1</v>
      </c>
      <c r="AB244">
        <f>Units!D$61</f>
        <v>1</v>
      </c>
      <c r="AC244" t="str">
        <f>Units!E$61</f>
        <v>lb N/acre</v>
      </c>
      <c r="AD244" t="str">
        <f>Units!F$61</f>
        <v>lb N/acre</v>
      </c>
      <c r="AE244" t="str">
        <f>Units!G$61</f>
        <v>kg N/hectare</v>
      </c>
      <c r="AF244" t="str">
        <f>Units!H$61</f>
        <v>lb N/acre</v>
      </c>
    </row>
    <row r="245" spans="1:32" x14ac:dyDescent="0.3">
      <c r="A245" t="s">
        <v>1083</v>
      </c>
      <c r="B245" t="s">
        <v>1128</v>
      </c>
      <c r="C245" s="124" t="str">
        <f t="shared" si="134"/>
        <v>UDV.crops.P_avail</v>
      </c>
      <c r="D245" s="944">
        <f t="shared" si="156"/>
        <v>0.95</v>
      </c>
      <c r="E245" s="125" t="str">
        <f t="shared" si="157"/>
        <v>fraction</v>
      </c>
      <c r="F245" s="944">
        <f>IF(OR(G245="",N245=0),H245,G245)</f>
        <v>0.95</v>
      </c>
      <c r="G245" s="126"/>
      <c r="H245">
        <f t="shared" si="158"/>
        <v>0.95</v>
      </c>
      <c r="I245" s="1325" t="str">
        <f t="shared" si="159"/>
        <v>fraction</v>
      </c>
      <c r="J245" t="s">
        <v>688</v>
      </c>
      <c r="K245" s="124"/>
      <c r="L245">
        <f>ROUNDDOWN($X245*$AA245,5)</f>
        <v>1E-4</v>
      </c>
      <c r="M245">
        <f>ROUNDUP($Y245*$AA245,5)</f>
        <v>1</v>
      </c>
      <c r="N245">
        <f>IF(AND(M245 - G245 &gt;= 0, G245 - L245 &gt;=0),1,0)</f>
        <v>0</v>
      </c>
      <c r="O245" t="s">
        <v>1107</v>
      </c>
      <c r="P245" t="s">
        <v>1129</v>
      </c>
      <c r="S245" t="s">
        <v>84</v>
      </c>
      <c r="W245">
        <f>IF(UDV.crops.apply_method="Broadcast",UDV.crops.P2O5_avail_surface,UDV.crops.P2O5_avail_injection)</f>
        <v>0.95</v>
      </c>
      <c r="X245">
        <v>1E-4</v>
      </c>
      <c r="Y245">
        <v>1</v>
      </c>
      <c r="Z245" t="str">
        <f>Units!B$35</f>
        <v>fraction</v>
      </c>
      <c r="AA245">
        <f>Units!C$35</f>
        <v>1</v>
      </c>
      <c r="AB245">
        <f>Units!D$35</f>
        <v>1</v>
      </c>
      <c r="AC245" t="str">
        <f>Units!E$35</f>
        <v>fraction</v>
      </c>
      <c r="AD245" t="str">
        <f>Units!F$35</f>
        <v>fraction</v>
      </c>
      <c r="AE245" t="str">
        <f>Units!G$35</f>
        <v>fraction</v>
      </c>
      <c r="AF245" t="str">
        <f>Units!H$35</f>
        <v>fraction</v>
      </c>
    </row>
    <row r="246" spans="1:32" x14ac:dyDescent="0.3">
      <c r="A246" t="s">
        <v>1083</v>
      </c>
      <c r="B246" t="s">
        <v>1130</v>
      </c>
      <c r="C246" s="124" t="str">
        <f t="shared" si="134"/>
        <v>UDV.crops.P_lost</v>
      </c>
      <c r="D246" s="944">
        <f t="shared" si="156"/>
        <v>5.0000000000000044E-2</v>
      </c>
      <c r="E246" s="125" t="str">
        <f t="shared" si="157"/>
        <v>fraction</v>
      </c>
      <c r="F246" s="944">
        <f>IF(OR(G246="",N246=0),H246,G246)</f>
        <v>5.0000000000000044E-2</v>
      </c>
      <c r="G246" s="126"/>
      <c r="H246">
        <f t="shared" si="158"/>
        <v>5.0000000000000044E-2</v>
      </c>
      <c r="I246" s="1325" t="str">
        <f t="shared" si="159"/>
        <v>fraction</v>
      </c>
      <c r="J246" t="s">
        <v>688</v>
      </c>
      <c r="K246" s="124"/>
      <c r="L246">
        <f>ROUNDDOWN($X246*$AA246,5)</f>
        <v>1E-4</v>
      </c>
      <c r="M246">
        <f>ROUNDUP($Y246*$AA246,5)</f>
        <v>1</v>
      </c>
      <c r="N246">
        <f>IF(AND(M246 - G246 &gt;= 0, G246 - L246 &gt;=0),1,0)</f>
        <v>0</v>
      </c>
      <c r="O246" t="s">
        <v>1107</v>
      </c>
      <c r="P246" t="s">
        <v>1131</v>
      </c>
      <c r="S246" t="s">
        <v>84</v>
      </c>
      <c r="W246">
        <f>1-UDV.crops.P_avail</f>
        <v>5.0000000000000044E-2</v>
      </c>
      <c r="X246">
        <v>1E-4</v>
      </c>
      <c r="Y246">
        <v>1</v>
      </c>
      <c r="Z246" t="str">
        <f>Units!B$35</f>
        <v>fraction</v>
      </c>
      <c r="AA246">
        <f>Units!C$35</f>
        <v>1</v>
      </c>
      <c r="AB246">
        <f>Units!D$35</f>
        <v>1</v>
      </c>
      <c r="AC246" t="str">
        <f>Units!E$35</f>
        <v>fraction</v>
      </c>
      <c r="AD246" t="str">
        <f>Units!F$35</f>
        <v>fraction</v>
      </c>
      <c r="AE246" t="str">
        <f>Units!G$35</f>
        <v>fraction</v>
      </c>
      <c r="AF246" t="str">
        <f>Units!H$35</f>
        <v>fraction</v>
      </c>
    </row>
    <row r="247" spans="1:32" x14ac:dyDescent="0.3">
      <c r="A247" t="s">
        <v>1083</v>
      </c>
      <c r="B247" s="1369" t="s">
        <v>1132</v>
      </c>
      <c r="C247" s="124" t="str">
        <f t="shared" si="134"/>
        <v>UDV.crops.P_need</v>
      </c>
      <c r="D247" s="1091">
        <f t="shared" si="156"/>
        <v>55</v>
      </c>
      <c r="E247" s="1093" t="str">
        <f t="shared" si="157"/>
        <v>lb P2O5/acre</v>
      </c>
      <c r="F247" s="1109">
        <f>UI.Farm!BC225</f>
        <v>55</v>
      </c>
      <c r="G247" s="1098" t="str">
        <f>UI.Farm!BD225</f>
        <v/>
      </c>
      <c r="H247" s="1101">
        <f t="shared" si="158"/>
        <v>55</v>
      </c>
      <c r="I247" s="956" t="str">
        <f t="shared" si="159"/>
        <v>lb P2O5/acre</v>
      </c>
      <c r="J247" t="s">
        <v>660</v>
      </c>
      <c r="K247" t="s">
        <v>1085</v>
      </c>
      <c r="L247">
        <f t="shared" si="160"/>
        <v>14</v>
      </c>
      <c r="M247">
        <f t="shared" si="161"/>
        <v>350</v>
      </c>
      <c r="N247">
        <f>IF(AND(G247&lt;=M247, G247&gt;=L247),1,0)</f>
        <v>0</v>
      </c>
      <c r="O247" t="s">
        <v>1086</v>
      </c>
      <c r="P247" t="s">
        <v>1133</v>
      </c>
      <c r="Q247" t="s">
        <v>1113</v>
      </c>
      <c r="R247" s="696" t="s">
        <v>84</v>
      </c>
      <c r="V247" t="str">
        <f t="shared" ref="V247:V252" si="164">IF(OR((M247-L247)&lt;=0,H247&gt;M247,H247&lt;L247),"Fix","")</f>
        <v/>
      </c>
      <c r="W247" s="78">
        <v>55</v>
      </c>
      <c r="X247">
        <v>14</v>
      </c>
      <c r="Y247">
        <v>350</v>
      </c>
      <c r="Z247" t="str">
        <f>Units!B$62</f>
        <v>lb P2O5/acre</v>
      </c>
      <c r="AA247">
        <f>Units!C$62</f>
        <v>1</v>
      </c>
      <c r="AB247">
        <f>Units!D$62</f>
        <v>1</v>
      </c>
      <c r="AC247" t="str">
        <f>Units!E$62</f>
        <v>lb P2O5/acre</v>
      </c>
      <c r="AD247" t="str">
        <f>Units!F$62</f>
        <v>lb P2O5/acre</v>
      </c>
      <c r="AE247" t="str">
        <f>Units!G$62</f>
        <v>kg P2O5/hectare</v>
      </c>
      <c r="AF247" t="str">
        <f>Units!H$62</f>
        <v>lb P2O5/acre</v>
      </c>
    </row>
    <row r="248" spans="1:32" x14ac:dyDescent="0.3">
      <c r="A248" t="s">
        <v>1083</v>
      </c>
      <c r="B248" t="s">
        <v>1134</v>
      </c>
      <c r="C248" s="124" t="str">
        <f t="shared" si="134"/>
        <v>UDV.crops.P2O5_avail_injection</v>
      </c>
      <c r="D248" s="944">
        <f t="shared" si="156"/>
        <v>0.95</v>
      </c>
      <c r="E248" s="125" t="str">
        <f t="shared" si="157"/>
        <v>fraction</v>
      </c>
      <c r="F248" s="944">
        <f t="shared" ref="F248:F296" si="165">IF(OR(G248="",N248=0),H248,G248)</f>
        <v>0.95</v>
      </c>
      <c r="G248" s="126"/>
      <c r="H248">
        <f t="shared" si="158"/>
        <v>0.95</v>
      </c>
      <c r="I248" s="1325" t="str">
        <f t="shared" si="159"/>
        <v>fraction</v>
      </c>
      <c r="J248" t="s">
        <v>660</v>
      </c>
      <c r="K248" s="124"/>
      <c r="L248">
        <f t="shared" si="160"/>
        <v>0.5</v>
      </c>
      <c r="M248">
        <f t="shared" si="161"/>
        <v>1</v>
      </c>
      <c r="N248">
        <f>IF(AND(M248 - G248 &gt;= 0, G248 - L248 &gt;=0),1,0)</f>
        <v>0</v>
      </c>
      <c r="O248" t="s">
        <v>1107</v>
      </c>
      <c r="P248" t="s">
        <v>1135</v>
      </c>
      <c r="V248" t="str">
        <f t="shared" si="164"/>
        <v/>
      </c>
      <c r="W248">
        <v>0.95</v>
      </c>
      <c r="X248">
        <v>0.5</v>
      </c>
      <c r="Y248">
        <v>1</v>
      </c>
      <c r="Z248" t="str">
        <f>Units!B$35</f>
        <v>fraction</v>
      </c>
      <c r="AA248">
        <f>Units!C$35</f>
        <v>1</v>
      </c>
      <c r="AB248">
        <f>Units!D$35</f>
        <v>1</v>
      </c>
      <c r="AC248" t="str">
        <f>Units!E$35</f>
        <v>fraction</v>
      </c>
      <c r="AD248" t="str">
        <f>Units!F$35</f>
        <v>fraction</v>
      </c>
      <c r="AE248" t="str">
        <f>Units!G$35</f>
        <v>fraction</v>
      </c>
      <c r="AF248" t="str">
        <f>Units!H$35</f>
        <v>fraction</v>
      </c>
    </row>
    <row r="249" spans="1:32" x14ac:dyDescent="0.3">
      <c r="A249" t="s">
        <v>1083</v>
      </c>
      <c r="B249" t="s">
        <v>1136</v>
      </c>
      <c r="C249" s="124" t="str">
        <f t="shared" si="134"/>
        <v>UDV.crops.P2O5_avail_surface</v>
      </c>
      <c r="D249" s="944">
        <f t="shared" si="156"/>
        <v>0.95</v>
      </c>
      <c r="E249" s="125" t="str">
        <f t="shared" si="157"/>
        <v>fraction</v>
      </c>
      <c r="F249" s="944">
        <f t="shared" si="165"/>
        <v>0.95</v>
      </c>
      <c r="G249" s="126"/>
      <c r="H249">
        <f t="shared" si="158"/>
        <v>0.95</v>
      </c>
      <c r="I249" s="1325" t="str">
        <f t="shared" si="159"/>
        <v>fraction</v>
      </c>
      <c r="J249" t="s">
        <v>660</v>
      </c>
      <c r="K249" s="124"/>
      <c r="L249">
        <f t="shared" si="160"/>
        <v>0.5</v>
      </c>
      <c r="M249">
        <f t="shared" si="161"/>
        <v>1</v>
      </c>
      <c r="N249">
        <f>IF(AND(M249 - G249 &gt;= 0, G249 - L249 &gt;=0),1,0)</f>
        <v>0</v>
      </c>
      <c r="O249" t="s">
        <v>1107</v>
      </c>
      <c r="P249" t="s">
        <v>1137</v>
      </c>
      <c r="V249" t="str">
        <f t="shared" si="164"/>
        <v/>
      </c>
      <c r="W249">
        <v>0.95</v>
      </c>
      <c r="X249">
        <v>0.5</v>
      </c>
      <c r="Y249">
        <v>1</v>
      </c>
      <c r="Z249" t="str">
        <f>Units!B$35</f>
        <v>fraction</v>
      </c>
      <c r="AA249">
        <f>Units!C$35</f>
        <v>1</v>
      </c>
      <c r="AB249">
        <f>Units!D$35</f>
        <v>1</v>
      </c>
      <c r="AC249" t="str">
        <f>Units!E$35</f>
        <v>fraction</v>
      </c>
      <c r="AD249" t="str">
        <f>Units!F$35</f>
        <v>fraction</v>
      </c>
      <c r="AE249" t="str">
        <f>Units!G$35</f>
        <v>fraction</v>
      </c>
      <c r="AF249" t="str">
        <f>Units!H$35</f>
        <v>fraction</v>
      </c>
    </row>
    <row r="250" spans="1:32" x14ac:dyDescent="0.3">
      <c r="A250" t="s">
        <v>956</v>
      </c>
      <c r="B250" t="s">
        <v>938</v>
      </c>
      <c r="C250" s="124" t="str">
        <f t="shared" si="134"/>
        <v>UDV.density.manure</v>
      </c>
      <c r="D250" s="1091">
        <f t="shared" si="156"/>
        <v>993.99999999999989</v>
      </c>
      <c r="E250" s="1093" t="str">
        <f t="shared" si="157"/>
        <v>kg/m3</v>
      </c>
      <c r="F250" s="1095">
        <f t="shared" si="165"/>
        <v>62.053400228924119</v>
      </c>
      <c r="H250" s="1101">
        <f t="shared" si="158"/>
        <v>62.053400228924119</v>
      </c>
      <c r="I250" s="956" t="str">
        <f t="shared" si="159"/>
        <v>lb/ft3</v>
      </c>
      <c r="J250" t="s">
        <v>660</v>
      </c>
      <c r="L250">
        <f t="shared" si="160"/>
        <v>62.052999999999997</v>
      </c>
      <c r="M250">
        <f t="shared" si="161"/>
        <v>62.427999999999997</v>
      </c>
      <c r="N250">
        <f>IF(AND(G250&lt;=M250, G250&gt;=L250),1,0)</f>
        <v>0</v>
      </c>
      <c r="O250" t="s">
        <v>1138</v>
      </c>
      <c r="P250" t="s">
        <v>1139</v>
      </c>
      <c r="V250" t="str">
        <f t="shared" si="164"/>
        <v/>
      </c>
      <c r="W250" s="78">
        <v>994</v>
      </c>
      <c r="X250">
        <v>994</v>
      </c>
      <c r="Y250">
        <v>1000</v>
      </c>
      <c r="Z250" t="str">
        <f>Units!B$89</f>
        <v>kg/m3</v>
      </c>
      <c r="AA250">
        <f>Units!C$89</f>
        <v>6.2427968037147001E-2</v>
      </c>
      <c r="AB250">
        <f>Units!D$89</f>
        <v>16.018461459533043</v>
      </c>
      <c r="AC250" t="str">
        <f>Units!E$89</f>
        <v>lb/ft3</v>
      </c>
      <c r="AD250" t="str">
        <f>Units!F$89</f>
        <v>kg/m3</v>
      </c>
      <c r="AE250" t="str">
        <f>Units!G$89</f>
        <v>kg/m3</v>
      </c>
      <c r="AF250" t="str">
        <f>Units!H$89</f>
        <v>lb/ft3</v>
      </c>
    </row>
    <row r="251" spans="1:32" x14ac:dyDescent="0.3">
      <c r="A251" t="s">
        <v>1140</v>
      </c>
      <c r="B251" t="s">
        <v>1141</v>
      </c>
      <c r="C251" s="124" t="str">
        <f t="shared" si="134"/>
        <v>UDV.dhl.agitation_trailer</v>
      </c>
      <c r="D251" s="1091">
        <f t="shared" si="156"/>
        <v>6</v>
      </c>
      <c r="E251" s="1093" t="str">
        <f t="shared" si="157"/>
        <v>gal/hr</v>
      </c>
      <c r="F251" s="1095">
        <f t="shared" si="165"/>
        <v>6</v>
      </c>
      <c r="H251" s="1101">
        <f t="shared" si="158"/>
        <v>6</v>
      </c>
      <c r="I251" s="956" t="str">
        <f t="shared" si="159"/>
        <v>gal/hr</v>
      </c>
      <c r="J251" t="s">
        <v>660</v>
      </c>
      <c r="L251">
        <f t="shared" si="160"/>
        <v>6</v>
      </c>
      <c r="M251">
        <f t="shared" si="161"/>
        <v>7</v>
      </c>
      <c r="N251">
        <f>IF(AND(G251&lt;=M251, G251&gt;=L251),1,0)</f>
        <v>0</v>
      </c>
      <c r="O251" t="s">
        <v>1142</v>
      </c>
      <c r="P251" t="s">
        <v>1143</v>
      </c>
      <c r="V251" t="str">
        <f t="shared" si="164"/>
        <v/>
      </c>
      <c r="W251" s="78">
        <v>6</v>
      </c>
      <c r="X251">
        <v>6</v>
      </c>
      <c r="Y251">
        <v>7</v>
      </c>
      <c r="Z251" t="str">
        <f>Units!B$144</f>
        <v>gal/hr</v>
      </c>
      <c r="AA251">
        <f>Units!C$144</f>
        <v>1</v>
      </c>
      <c r="AB251">
        <f>Units!D$144</f>
        <v>1</v>
      </c>
      <c r="AC251" t="str">
        <f>Units!E$144</f>
        <v>gal/hr</v>
      </c>
      <c r="AD251" t="str">
        <f>Units!F$144</f>
        <v>gal/hr</v>
      </c>
      <c r="AE251" t="str">
        <f>Units!G$144</f>
        <v>L/hr</v>
      </c>
      <c r="AF251" t="str">
        <f>Units!H$144</f>
        <v>gal/hr</v>
      </c>
    </row>
    <row r="252" spans="1:32" x14ac:dyDescent="0.3">
      <c r="A252" s="90" t="s">
        <v>1140</v>
      </c>
      <c r="B252" s="90" t="s">
        <v>1144</v>
      </c>
      <c r="C252" s="124" t="str">
        <f t="shared" ref="C252:C331" si="166">_xlfn.CONCAT("UDV.",A252,".",B252)</f>
        <v>UDV.dhl.agitation_trailer_fuel</v>
      </c>
      <c r="D252" s="944">
        <f t="shared" si="156"/>
        <v>6</v>
      </c>
      <c r="E252" s="125" t="str">
        <f t="shared" si="157"/>
        <v>gal/hr</v>
      </c>
      <c r="F252" s="944">
        <f t="shared" si="165"/>
        <v>6</v>
      </c>
      <c r="G252" s="126"/>
      <c r="H252">
        <f t="shared" si="158"/>
        <v>6</v>
      </c>
      <c r="I252" s="1325" t="str">
        <f t="shared" si="159"/>
        <v>gal/hr</v>
      </c>
      <c r="J252" t="s">
        <v>660</v>
      </c>
      <c r="K252" s="124"/>
      <c r="L252">
        <f t="shared" si="160"/>
        <v>6</v>
      </c>
      <c r="M252">
        <f t="shared" si="161"/>
        <v>7</v>
      </c>
      <c r="N252">
        <f>IF(AND(M252 - G252 &gt;= 0, G252 - L252 &gt;=0),1,0)</f>
        <v>0</v>
      </c>
      <c r="O252" t="s">
        <v>1145</v>
      </c>
      <c r="P252" t="s">
        <v>1146</v>
      </c>
      <c r="Q252" t="s">
        <v>1073</v>
      </c>
      <c r="R252" s="711"/>
      <c r="V252" t="str">
        <f t="shared" si="164"/>
        <v/>
      </c>
      <c r="W252">
        <v>6</v>
      </c>
      <c r="X252">
        <v>6</v>
      </c>
      <c r="Y252">
        <v>7</v>
      </c>
      <c r="Z252" t="str">
        <f>Units!B$144</f>
        <v>gal/hr</v>
      </c>
      <c r="AA252">
        <f>Units!C$144</f>
        <v>1</v>
      </c>
      <c r="AB252">
        <f>Units!D$144</f>
        <v>1</v>
      </c>
      <c r="AC252" t="str">
        <f>Units!E$144</f>
        <v>gal/hr</v>
      </c>
      <c r="AD252" t="str">
        <f>Units!F$144</f>
        <v>gal/hr</v>
      </c>
      <c r="AE252" t="str">
        <f>Units!G$144</f>
        <v>L/hr</v>
      </c>
      <c r="AF252" t="str">
        <f>Units!H$144</f>
        <v>gal/hr</v>
      </c>
    </row>
    <row r="253" spans="1:32" x14ac:dyDescent="0.3">
      <c r="A253" s="90" t="s">
        <v>1140</v>
      </c>
      <c r="B253" s="90" t="s">
        <v>1147</v>
      </c>
      <c r="C253" s="124" t="str">
        <f t="shared" si="166"/>
        <v>UDV.dhl.agitation_utilization</v>
      </c>
      <c r="D253" s="944">
        <f t="shared" si="156"/>
        <v>1</v>
      </c>
      <c r="E253" s="125" t="str">
        <f t="shared" si="157"/>
        <v>fraction</v>
      </c>
      <c r="F253" s="944">
        <f t="shared" si="165"/>
        <v>1</v>
      </c>
      <c r="G253" s="126"/>
      <c r="H253">
        <f t="shared" si="158"/>
        <v>1</v>
      </c>
      <c r="I253" s="1325" t="str">
        <f t="shared" si="159"/>
        <v>fraction</v>
      </c>
      <c r="J253" t="s">
        <v>660</v>
      </c>
      <c r="K253" s="124"/>
      <c r="L253">
        <f t="shared" si="160"/>
        <v>0.1</v>
      </c>
      <c r="M253">
        <f t="shared" si="161"/>
        <v>1</v>
      </c>
      <c r="N253">
        <f>IF(AND(M253 - G253 &gt;= 0, G253 - L253 &gt;=0),1,0)</f>
        <v>0</v>
      </c>
      <c r="O253" t="s">
        <v>1145</v>
      </c>
      <c r="P253" t="s">
        <v>1148</v>
      </c>
      <c r="R253" s="711"/>
      <c r="W253">
        <v>1</v>
      </c>
      <c r="X253">
        <v>0.1</v>
      </c>
      <c r="Y253">
        <v>1</v>
      </c>
      <c r="Z253" t="str">
        <f>Units!B$35</f>
        <v>fraction</v>
      </c>
      <c r="AA253">
        <f>Units!C$35</f>
        <v>1</v>
      </c>
      <c r="AB253">
        <f>Units!D$35</f>
        <v>1</v>
      </c>
      <c r="AC253" t="str">
        <f>Units!E$35</f>
        <v>fraction</v>
      </c>
      <c r="AD253" t="str">
        <f>Units!F$35</f>
        <v>fraction</v>
      </c>
      <c r="AE253" t="str">
        <f>Units!G$35</f>
        <v>fraction</v>
      </c>
      <c r="AF253" t="str">
        <f>Units!H$35</f>
        <v>fraction</v>
      </c>
    </row>
    <row r="254" spans="1:32" x14ac:dyDescent="0.3">
      <c r="A254" s="90" t="s">
        <v>1140</v>
      </c>
      <c r="B254" s="90" t="s">
        <v>1149</v>
      </c>
      <c r="C254" s="124" t="str">
        <f t="shared" si="166"/>
        <v>UDV.dhl.application_maneuver_factor</v>
      </c>
      <c r="D254" s="944">
        <f t="shared" si="156"/>
        <v>1.1499999999999999</v>
      </c>
      <c r="E254" s="125" t="str">
        <f t="shared" si="157"/>
        <v>multiplier</v>
      </c>
      <c r="F254" s="944">
        <f t="shared" si="165"/>
        <v>1.1499999999999999</v>
      </c>
      <c r="G254" s="126"/>
      <c r="H254">
        <f t="shared" si="158"/>
        <v>1.1499999999999999</v>
      </c>
      <c r="I254" s="1325" t="str">
        <f t="shared" si="159"/>
        <v>multiplier</v>
      </c>
      <c r="J254" t="s">
        <v>660</v>
      </c>
      <c r="K254" s="124"/>
      <c r="L254">
        <f t="shared" si="160"/>
        <v>1.01</v>
      </c>
      <c r="M254">
        <f t="shared" si="161"/>
        <v>1.3</v>
      </c>
      <c r="N254">
        <f>IF(AND(M254 - G254 &gt;= 0, G254 - L254 &gt;=0),1,0)</f>
        <v>0</v>
      </c>
      <c r="O254" t="s">
        <v>1145</v>
      </c>
      <c r="P254" t="s">
        <v>1150</v>
      </c>
      <c r="R254" s="711"/>
      <c r="W254">
        <v>1.1499999999999999</v>
      </c>
      <c r="X254">
        <v>1.01</v>
      </c>
      <c r="Y254">
        <v>1.3</v>
      </c>
      <c r="Z254" t="str">
        <f>Units!B$94</f>
        <v>multiplier</v>
      </c>
      <c r="AA254">
        <f>Units!C$94</f>
        <v>1</v>
      </c>
      <c r="AB254">
        <f>Units!D$94</f>
        <v>1</v>
      </c>
      <c r="AC254" t="str">
        <f>Units!E$94</f>
        <v>multiplier</v>
      </c>
      <c r="AD254" t="str">
        <f>Units!F$94</f>
        <v>multiplier</v>
      </c>
      <c r="AE254" t="str">
        <f>Units!G$94</f>
        <v>multiplier</v>
      </c>
      <c r="AF254" t="str">
        <f>Units!H$94</f>
        <v>multiplier</v>
      </c>
    </row>
    <row r="255" spans="1:32" x14ac:dyDescent="0.3">
      <c r="A255" s="90" t="s">
        <v>1140</v>
      </c>
      <c r="B255" s="90" t="s">
        <v>1151</v>
      </c>
      <c r="C255" s="124" t="str">
        <f t="shared" si="166"/>
        <v>UDV.dhl.applicator_pump_size</v>
      </c>
      <c r="D255" s="944">
        <f t="shared" si="156"/>
        <v>3000</v>
      </c>
      <c r="E255" s="125" t="str">
        <f t="shared" si="157"/>
        <v>gpm</v>
      </c>
      <c r="F255" s="944">
        <f t="shared" si="165"/>
        <v>3000</v>
      </c>
      <c r="G255" s="126"/>
      <c r="H255">
        <f t="shared" si="158"/>
        <v>3000</v>
      </c>
      <c r="I255" s="1325" t="str">
        <f t="shared" si="159"/>
        <v>gpm</v>
      </c>
      <c r="J255" t="s">
        <v>660</v>
      </c>
      <c r="K255" s="124"/>
      <c r="L255">
        <f t="shared" si="160"/>
        <v>2500</v>
      </c>
      <c r="M255">
        <f t="shared" si="161"/>
        <v>3000</v>
      </c>
      <c r="N255">
        <f>IF(AND(M255 - G255 &gt;= 0, G255 - L255 &gt;=0),1,0)</f>
        <v>0</v>
      </c>
      <c r="O255" t="s">
        <v>1145</v>
      </c>
      <c r="P255" t="s">
        <v>1152</v>
      </c>
      <c r="Q255" t="s">
        <v>1073</v>
      </c>
      <c r="R255" s="711"/>
      <c r="V255" t="str">
        <f>IF(OR((M255-L255)&lt;=0,H255&gt;M255,H255&lt;L255),"Fix","")</f>
        <v/>
      </c>
      <c r="W255">
        <v>3000</v>
      </c>
      <c r="X255">
        <v>2500</v>
      </c>
      <c r="Y255">
        <v>3000</v>
      </c>
      <c r="Z255" t="str">
        <f>Units!B$146</f>
        <v>gpm</v>
      </c>
      <c r="AA255">
        <f>Units!C$146</f>
        <v>1</v>
      </c>
      <c r="AB255">
        <f>Units!D$146</f>
        <v>1</v>
      </c>
      <c r="AC255" t="str">
        <f>Units!E$146</f>
        <v>gpm</v>
      </c>
      <c r="AD255" t="str">
        <f>Units!F$146</f>
        <v>gpm</v>
      </c>
      <c r="AE255" t="str">
        <f>Units!G$146</f>
        <v>L/min</v>
      </c>
      <c r="AF255" t="str">
        <f>Units!H$146</f>
        <v>gpm</v>
      </c>
    </row>
    <row r="256" spans="1:32" x14ac:dyDescent="0.3">
      <c r="A256" t="s">
        <v>1140</v>
      </c>
      <c r="B256" t="s">
        <v>1153</v>
      </c>
      <c r="C256" s="124" t="str">
        <f t="shared" si="166"/>
        <v>UDV.dhl.booster_pump</v>
      </c>
      <c r="D256" s="1091">
        <f t="shared" si="156"/>
        <v>10</v>
      </c>
      <c r="E256" s="1093" t="str">
        <f t="shared" si="157"/>
        <v>gal/hr</v>
      </c>
      <c r="F256" s="1095">
        <f t="shared" si="165"/>
        <v>10</v>
      </c>
      <c r="H256" s="1101">
        <f t="shared" si="158"/>
        <v>10</v>
      </c>
      <c r="I256" s="956" t="str">
        <f t="shared" si="159"/>
        <v>gal/hr</v>
      </c>
      <c r="J256" t="s">
        <v>660</v>
      </c>
      <c r="L256">
        <f t="shared" si="160"/>
        <v>5</v>
      </c>
      <c r="M256">
        <f t="shared" si="161"/>
        <v>10</v>
      </c>
      <c r="N256">
        <f>IF(AND(G256&lt;=M256, G256&gt;=L256),1,0)</f>
        <v>0</v>
      </c>
      <c r="O256" t="s">
        <v>1142</v>
      </c>
      <c r="P256" t="s">
        <v>1154</v>
      </c>
      <c r="V256" t="str">
        <f>IF(OR((M256-L256)&lt;=0,H256&gt;M256,H256&lt;L256),"Fix","")</f>
        <v/>
      </c>
      <c r="W256" s="78">
        <v>10</v>
      </c>
      <c r="X256">
        <v>5</v>
      </c>
      <c r="Y256">
        <v>10</v>
      </c>
      <c r="Z256" t="str">
        <f>Units!B$144</f>
        <v>gal/hr</v>
      </c>
      <c r="AA256">
        <f>Units!C$144</f>
        <v>1</v>
      </c>
      <c r="AB256">
        <f>Units!D$144</f>
        <v>1</v>
      </c>
      <c r="AC256" t="str">
        <f>Units!E$144</f>
        <v>gal/hr</v>
      </c>
      <c r="AD256" t="str">
        <f>Units!F$144</f>
        <v>gal/hr</v>
      </c>
      <c r="AE256" t="str">
        <f>Units!G$144</f>
        <v>L/hr</v>
      </c>
      <c r="AF256" t="str">
        <f>Units!H$144</f>
        <v>gal/hr</v>
      </c>
    </row>
    <row r="257" spans="1:32" x14ac:dyDescent="0.3">
      <c r="A257" s="90" t="s">
        <v>1140</v>
      </c>
      <c r="B257" s="90" t="s">
        <v>1155</v>
      </c>
      <c r="C257" s="124" t="str">
        <f t="shared" si="166"/>
        <v>UDV.dhl.booster_pump_fuel</v>
      </c>
      <c r="D257" s="944">
        <f t="shared" si="156"/>
        <v>10</v>
      </c>
      <c r="E257" s="125" t="str">
        <f t="shared" si="157"/>
        <v>gal/hr</v>
      </c>
      <c r="F257" s="944">
        <f t="shared" si="165"/>
        <v>10</v>
      </c>
      <c r="G257" s="126"/>
      <c r="H257">
        <f t="shared" si="158"/>
        <v>10</v>
      </c>
      <c r="I257" s="1325" t="str">
        <f t="shared" si="159"/>
        <v>gal/hr</v>
      </c>
      <c r="J257" t="s">
        <v>660</v>
      </c>
      <c r="K257" s="124"/>
      <c r="L257">
        <f t="shared" si="160"/>
        <v>5</v>
      </c>
      <c r="M257">
        <f t="shared" si="161"/>
        <v>10</v>
      </c>
      <c r="N257">
        <f>IF(AND(M257 - G257 &gt;= 0, G257 - L257 &gt;=0),1,0)</f>
        <v>0</v>
      </c>
      <c r="O257" t="s">
        <v>1145</v>
      </c>
      <c r="P257" t="s">
        <v>1156</v>
      </c>
      <c r="Q257" t="s">
        <v>1073</v>
      </c>
      <c r="R257" s="711"/>
      <c r="V257" t="str">
        <f>IF(OR((M257-L257)&lt;=0,H257&gt;M257,H257&lt;L257),"Fix","")</f>
        <v/>
      </c>
      <c r="W257">
        <v>10</v>
      </c>
      <c r="X257">
        <v>5</v>
      </c>
      <c r="Y257">
        <v>10</v>
      </c>
      <c r="Z257" t="str">
        <f>Units!B$144</f>
        <v>gal/hr</v>
      </c>
      <c r="AA257">
        <f>Units!C$144</f>
        <v>1</v>
      </c>
      <c r="AB257">
        <f>Units!D$144</f>
        <v>1</v>
      </c>
      <c r="AC257" t="str">
        <f>Units!E$144</f>
        <v>gal/hr</v>
      </c>
      <c r="AD257" t="str">
        <f>Units!F$144</f>
        <v>gal/hr</v>
      </c>
      <c r="AE257" t="str">
        <f>Units!G$144</f>
        <v>L/hr</v>
      </c>
      <c r="AF257" t="str">
        <f>Units!H$144</f>
        <v>gal/hr</v>
      </c>
    </row>
    <row r="258" spans="1:32" x14ac:dyDescent="0.3">
      <c r="A258" s="90" t="s">
        <v>1140</v>
      </c>
      <c r="B258" s="90" t="s">
        <v>1157</v>
      </c>
      <c r="C258" s="124" t="str">
        <f t="shared" si="166"/>
        <v>UDV.dhl.booster_utilization</v>
      </c>
      <c r="D258" s="944">
        <f t="shared" si="156"/>
        <v>0.75</v>
      </c>
      <c r="E258" s="125" t="str">
        <f t="shared" si="157"/>
        <v>fraction</v>
      </c>
      <c r="F258" s="944">
        <f t="shared" si="165"/>
        <v>0.75</v>
      </c>
      <c r="G258" s="126"/>
      <c r="H258">
        <f t="shared" si="158"/>
        <v>0.75</v>
      </c>
      <c r="I258" s="1325" t="str">
        <f t="shared" si="159"/>
        <v>fraction</v>
      </c>
      <c r="J258" t="s">
        <v>660</v>
      </c>
      <c r="K258" s="124"/>
      <c r="L258">
        <f t="shared" si="160"/>
        <v>0.1</v>
      </c>
      <c r="M258">
        <f t="shared" si="161"/>
        <v>1</v>
      </c>
      <c r="N258">
        <f>IF(AND(M258 - G258 &gt;= 0, G258 - L258 &gt;=0),1,0)</f>
        <v>0</v>
      </c>
      <c r="O258" t="s">
        <v>1145</v>
      </c>
      <c r="P258" t="s">
        <v>1158</v>
      </c>
      <c r="R258" s="711"/>
      <c r="W258">
        <v>0.75</v>
      </c>
      <c r="X258">
        <v>0.1</v>
      </c>
      <c r="Y258">
        <v>1</v>
      </c>
      <c r="Z258" t="str">
        <f>Units!B$35</f>
        <v>fraction</v>
      </c>
      <c r="AA258">
        <f>Units!C$35</f>
        <v>1</v>
      </c>
      <c r="AB258">
        <f>Units!D$35</f>
        <v>1</v>
      </c>
      <c r="AC258" t="str">
        <f>Units!E$35</f>
        <v>fraction</v>
      </c>
      <c r="AD258" t="str">
        <f>Units!F$35</f>
        <v>fraction</v>
      </c>
      <c r="AE258" t="str">
        <f>Units!G$35</f>
        <v>fraction</v>
      </c>
      <c r="AF258" t="str">
        <f>Units!H$35</f>
        <v>fraction</v>
      </c>
    </row>
    <row r="259" spans="1:32" x14ac:dyDescent="0.3">
      <c r="A259" t="s">
        <v>1140</v>
      </c>
      <c r="B259" t="s">
        <v>1159</v>
      </c>
      <c r="C259" s="124" t="str">
        <f t="shared" si="166"/>
        <v>UDV.dhl.diesel_powered_pump_size</v>
      </c>
      <c r="D259" s="1091">
        <f t="shared" si="156"/>
        <v>3000</v>
      </c>
      <c r="E259" s="1093" t="str">
        <f t="shared" si="157"/>
        <v>gpm</v>
      </c>
      <c r="F259" s="1095">
        <f t="shared" si="165"/>
        <v>3000</v>
      </c>
      <c r="H259" s="1101">
        <f t="shared" si="158"/>
        <v>3000</v>
      </c>
      <c r="I259" s="956" t="str">
        <f t="shared" si="159"/>
        <v>gpm</v>
      </c>
      <c r="J259" t="s">
        <v>660</v>
      </c>
      <c r="L259">
        <f t="shared" si="160"/>
        <v>2500</v>
      </c>
      <c r="M259">
        <f t="shared" si="161"/>
        <v>3000</v>
      </c>
      <c r="N259">
        <f>IF(AND(G259&lt;=M259, G259&gt;=L259),1,0)</f>
        <v>0</v>
      </c>
      <c r="O259" t="s">
        <v>1142</v>
      </c>
      <c r="P259" t="s">
        <v>1160</v>
      </c>
      <c r="V259" t="str">
        <f>IF(OR((M259-L259)&lt;=0,H259&gt;M259,H259&lt;L259),"Fix","")</f>
        <v/>
      </c>
      <c r="W259" s="78">
        <v>3000</v>
      </c>
      <c r="X259">
        <v>2500</v>
      </c>
      <c r="Y259">
        <v>3000</v>
      </c>
      <c r="Z259" t="str">
        <f>Units!B$146</f>
        <v>gpm</v>
      </c>
      <c r="AA259">
        <f>Units!C$146</f>
        <v>1</v>
      </c>
      <c r="AB259">
        <f>Units!D$146</f>
        <v>1</v>
      </c>
      <c r="AC259" t="str">
        <f>Units!E$146</f>
        <v>gpm</v>
      </c>
      <c r="AD259" t="str">
        <f>Units!F$146</f>
        <v>gpm</v>
      </c>
      <c r="AE259" t="str">
        <f>Units!G$146</f>
        <v>L/min</v>
      </c>
      <c r="AF259" t="str">
        <f>Units!H$146</f>
        <v>gpm</v>
      </c>
    </row>
    <row r="260" spans="1:32" x14ac:dyDescent="0.3">
      <c r="A260" s="90" t="s">
        <v>1140</v>
      </c>
      <c r="B260" s="90" t="s">
        <v>1161</v>
      </c>
      <c r="C260" s="124" t="str">
        <f t="shared" si="166"/>
        <v>UDV.dhl.distance_booster</v>
      </c>
      <c r="D260" s="944">
        <f t="shared" si="156"/>
        <v>2</v>
      </c>
      <c r="E260" s="125" t="str">
        <f t="shared" si="157"/>
        <v>miles</v>
      </c>
      <c r="F260" s="944">
        <f t="shared" si="165"/>
        <v>2</v>
      </c>
      <c r="G260" s="126"/>
      <c r="H260">
        <f t="shared" si="158"/>
        <v>2</v>
      </c>
      <c r="I260" s="1325" t="str">
        <f t="shared" si="159"/>
        <v>miles</v>
      </c>
      <c r="J260" t="s">
        <v>660</v>
      </c>
      <c r="K260" s="124"/>
      <c r="L260">
        <f t="shared" si="160"/>
        <v>1</v>
      </c>
      <c r="M260">
        <f t="shared" si="161"/>
        <v>3</v>
      </c>
      <c r="N260">
        <f>IF(AND(M260 - G260 &gt;= 0, G260 - L260 &gt;=0),1,0)</f>
        <v>0</v>
      </c>
      <c r="O260" t="s">
        <v>1145</v>
      </c>
      <c r="P260" t="s">
        <v>1162</v>
      </c>
      <c r="R260" s="711"/>
      <c r="W260">
        <v>2</v>
      </c>
      <c r="X260">
        <v>1</v>
      </c>
      <c r="Y260">
        <v>3</v>
      </c>
      <c r="Z260" t="str">
        <f>Units!B$49</f>
        <v>miles</v>
      </c>
      <c r="AA260">
        <f>Units!C$49</f>
        <v>1</v>
      </c>
      <c r="AB260">
        <f>Units!D$49</f>
        <v>1</v>
      </c>
      <c r="AC260" t="str">
        <f>Units!E$49</f>
        <v>miles</v>
      </c>
      <c r="AD260" t="str">
        <f>Units!F$49</f>
        <v>miles</v>
      </c>
      <c r="AE260" t="str">
        <f>Units!G$49</f>
        <v>km</v>
      </c>
      <c r="AF260" t="str">
        <f>Units!H$49</f>
        <v>miles</v>
      </c>
    </row>
    <row r="261" spans="1:32" x14ac:dyDescent="0.3">
      <c r="A261" t="s">
        <v>1140</v>
      </c>
      <c r="B261" t="s">
        <v>1163</v>
      </c>
      <c r="C261" s="124" t="str">
        <f t="shared" si="166"/>
        <v>UDV.dhl.hose_mover</v>
      </c>
      <c r="D261" s="1091">
        <f t="shared" si="156"/>
        <v>8</v>
      </c>
      <c r="E261" s="1093" t="str">
        <f t="shared" si="157"/>
        <v>gal/hr</v>
      </c>
      <c r="F261" s="1095">
        <f t="shared" si="165"/>
        <v>8</v>
      </c>
      <c r="H261" s="1101">
        <f t="shared" si="158"/>
        <v>8</v>
      </c>
      <c r="I261" s="956" t="str">
        <f t="shared" si="159"/>
        <v>gal/hr</v>
      </c>
      <c r="J261" t="s">
        <v>660</v>
      </c>
      <c r="L261">
        <f t="shared" si="160"/>
        <v>5</v>
      </c>
      <c r="M261">
        <f t="shared" si="161"/>
        <v>8</v>
      </c>
      <c r="N261">
        <f>IF(AND(G261&lt;=M261, G261&gt;=L261),1,0)</f>
        <v>0</v>
      </c>
      <c r="O261" t="s">
        <v>1142</v>
      </c>
      <c r="P261" t="s">
        <v>1164</v>
      </c>
      <c r="V261" t="str">
        <f>IF(OR((M261-L261)&lt;=0,H261&gt;M261,H261&lt;L261),"Fix","")</f>
        <v/>
      </c>
      <c r="W261" s="78">
        <v>8</v>
      </c>
      <c r="X261">
        <v>5</v>
      </c>
      <c r="Y261">
        <v>8</v>
      </c>
      <c r="Z261" t="str">
        <f>Units!B$144</f>
        <v>gal/hr</v>
      </c>
      <c r="AA261">
        <f>Units!C$144</f>
        <v>1</v>
      </c>
      <c r="AB261">
        <f>Units!D$144</f>
        <v>1</v>
      </c>
      <c r="AC261" t="str">
        <f>Units!E$144</f>
        <v>gal/hr</v>
      </c>
      <c r="AD261" t="str">
        <f>Units!F$144</f>
        <v>gal/hr</v>
      </c>
      <c r="AE261" t="str">
        <f>Units!G$144</f>
        <v>L/hr</v>
      </c>
      <c r="AF261" t="str">
        <f>Units!H$144</f>
        <v>gal/hr</v>
      </c>
    </row>
    <row r="262" spans="1:32" x14ac:dyDescent="0.3">
      <c r="A262" s="90" t="s">
        <v>1140</v>
      </c>
      <c r="B262" s="90" t="s">
        <v>1165</v>
      </c>
      <c r="C262" s="124" t="str">
        <f t="shared" si="166"/>
        <v>UDV.dhl.hose_mover_fuel</v>
      </c>
      <c r="D262" s="944">
        <f t="shared" si="156"/>
        <v>8</v>
      </c>
      <c r="E262" s="125" t="str">
        <f t="shared" si="157"/>
        <v>gal/hr</v>
      </c>
      <c r="F262" s="944">
        <f t="shared" si="165"/>
        <v>8</v>
      </c>
      <c r="G262" s="126"/>
      <c r="H262">
        <f t="shared" si="158"/>
        <v>8</v>
      </c>
      <c r="I262" s="1325" t="str">
        <f t="shared" si="159"/>
        <v>gal/hr</v>
      </c>
      <c r="J262" t="s">
        <v>660</v>
      </c>
      <c r="K262" s="124"/>
      <c r="L262">
        <f t="shared" si="160"/>
        <v>5</v>
      </c>
      <c r="M262">
        <f t="shared" si="161"/>
        <v>8</v>
      </c>
      <c r="N262">
        <f>IF(AND(M262 - G262 &gt;= 0, G262 - L262 &gt;=0),1,0)</f>
        <v>0</v>
      </c>
      <c r="O262" t="s">
        <v>1145</v>
      </c>
      <c r="P262" t="s">
        <v>1166</v>
      </c>
      <c r="Q262" t="s">
        <v>1073</v>
      </c>
      <c r="R262" s="711"/>
      <c r="V262" t="str">
        <f>IF(OR((M262-L262)&lt;=0,H262&gt;M262,H262&lt;L262),"Fix","")</f>
        <v/>
      </c>
      <c r="W262">
        <v>8</v>
      </c>
      <c r="X262">
        <v>5</v>
      </c>
      <c r="Y262">
        <v>8</v>
      </c>
      <c r="Z262" t="str">
        <f>Units!B$144</f>
        <v>gal/hr</v>
      </c>
      <c r="AA262">
        <f>Units!C$144</f>
        <v>1</v>
      </c>
      <c r="AB262">
        <f>Units!D$144</f>
        <v>1</v>
      </c>
      <c r="AC262" t="str">
        <f>Units!E$144</f>
        <v>gal/hr</v>
      </c>
      <c r="AD262" t="str">
        <f>Units!F$144</f>
        <v>gal/hr</v>
      </c>
      <c r="AE262" t="str">
        <f>Units!G$144</f>
        <v>L/hr</v>
      </c>
      <c r="AF262" t="str">
        <f>Units!H$144</f>
        <v>gal/hr</v>
      </c>
    </row>
    <row r="263" spans="1:32" x14ac:dyDescent="0.3">
      <c r="A263" s="90" t="s">
        <v>1140</v>
      </c>
      <c r="B263" s="90" t="s">
        <v>1167</v>
      </c>
      <c r="C263" s="124" t="str">
        <f t="shared" si="166"/>
        <v>UDV.dhl.hose_mover_utilization</v>
      </c>
      <c r="D263" s="944">
        <f t="shared" si="156"/>
        <v>0.75</v>
      </c>
      <c r="E263" s="125" t="str">
        <f t="shared" si="157"/>
        <v>fraction</v>
      </c>
      <c r="F263" s="944">
        <f t="shared" si="165"/>
        <v>0.75</v>
      </c>
      <c r="G263" s="126"/>
      <c r="H263">
        <f t="shared" si="158"/>
        <v>0.75</v>
      </c>
      <c r="I263" s="1325" t="str">
        <f t="shared" si="159"/>
        <v>fraction</v>
      </c>
      <c r="J263" t="s">
        <v>660</v>
      </c>
      <c r="K263" s="124"/>
      <c r="L263">
        <f t="shared" si="160"/>
        <v>0.1</v>
      </c>
      <c r="M263">
        <f t="shared" si="161"/>
        <v>1</v>
      </c>
      <c r="N263">
        <f>IF(AND(M263 - G263 &gt;= 0, G263 - L263 &gt;=0),1,0)</f>
        <v>0</v>
      </c>
      <c r="O263" t="s">
        <v>1145</v>
      </c>
      <c r="P263" t="s">
        <v>1168</v>
      </c>
      <c r="R263" s="711"/>
      <c r="W263">
        <v>0.75</v>
      </c>
      <c r="X263">
        <v>0.1</v>
      </c>
      <c r="Y263">
        <v>1</v>
      </c>
      <c r="Z263" t="str">
        <f>Units!B$35</f>
        <v>fraction</v>
      </c>
      <c r="AA263">
        <f>Units!C$35</f>
        <v>1</v>
      </c>
      <c r="AB263">
        <f>Units!D$35</f>
        <v>1</v>
      </c>
      <c r="AC263" t="str">
        <f>Units!E$35</f>
        <v>fraction</v>
      </c>
      <c r="AD263" t="str">
        <f>Units!F$35</f>
        <v>fraction</v>
      </c>
      <c r="AE263" t="str">
        <f>Units!G$35</f>
        <v>fraction</v>
      </c>
      <c r="AF263" t="str">
        <f>Units!H$35</f>
        <v>fraction</v>
      </c>
    </row>
    <row r="264" spans="1:32" x14ac:dyDescent="0.3">
      <c r="A264" t="s">
        <v>1140</v>
      </c>
      <c r="B264" t="s">
        <v>1169</v>
      </c>
      <c r="C264" s="124" t="str">
        <f t="shared" si="166"/>
        <v>UDV.dhl.lead_pump</v>
      </c>
      <c r="D264" s="1091">
        <f t="shared" ref="D264:D311" si="167">$F264*$AB264</f>
        <v>18</v>
      </c>
      <c r="E264" s="1093" t="str">
        <f t="shared" ref="E264:E311" si="168">$AD264</f>
        <v>gal/hr</v>
      </c>
      <c r="F264" s="1095">
        <f t="shared" si="165"/>
        <v>18</v>
      </c>
      <c r="H264" s="1101">
        <f t="shared" ref="H264:H311" si="169">$W264*$AA264</f>
        <v>18</v>
      </c>
      <c r="I264" s="956" t="str">
        <f t="shared" ref="I264:I311" si="170">$AC264</f>
        <v>gal/hr</v>
      </c>
      <c r="J264" t="s">
        <v>660</v>
      </c>
      <c r="L264">
        <f t="shared" si="160"/>
        <v>18</v>
      </c>
      <c r="M264">
        <f t="shared" si="161"/>
        <v>25</v>
      </c>
      <c r="N264">
        <f>IF(AND(G264&lt;=M264, G264&gt;=L264),1,0)</f>
        <v>0</v>
      </c>
      <c r="O264" t="s">
        <v>1142</v>
      </c>
      <c r="P264" t="s">
        <v>1170</v>
      </c>
      <c r="V264" t="str">
        <f>IF(OR((M264-L264)&lt;=0,H264&gt;M264,H264&lt;L264),"Fix","")</f>
        <v/>
      </c>
      <c r="W264" s="78">
        <v>18</v>
      </c>
      <c r="X264">
        <v>18</v>
      </c>
      <c r="Y264">
        <v>25</v>
      </c>
      <c r="Z264" t="str">
        <f>Units!B$144</f>
        <v>gal/hr</v>
      </c>
      <c r="AA264">
        <f>Units!C$144</f>
        <v>1</v>
      </c>
      <c r="AB264">
        <f>Units!D$144</f>
        <v>1</v>
      </c>
      <c r="AC264" t="str">
        <f>Units!E$144</f>
        <v>gal/hr</v>
      </c>
      <c r="AD264" t="str">
        <f>Units!F$144</f>
        <v>gal/hr</v>
      </c>
      <c r="AE264" t="str">
        <f>Units!G$144</f>
        <v>L/hr</v>
      </c>
      <c r="AF264" t="str">
        <f>Units!H$144</f>
        <v>gal/hr</v>
      </c>
    </row>
    <row r="265" spans="1:32" x14ac:dyDescent="0.3">
      <c r="A265" s="90" t="s">
        <v>1140</v>
      </c>
      <c r="B265" s="90" t="s">
        <v>1171</v>
      </c>
      <c r="C265" s="124" t="str">
        <f t="shared" si="166"/>
        <v>UDV.dhl.lead_pump_fuel</v>
      </c>
      <c r="D265" s="944">
        <f t="shared" si="167"/>
        <v>18</v>
      </c>
      <c r="E265" s="125" t="str">
        <f t="shared" si="168"/>
        <v>gal/hr</v>
      </c>
      <c r="F265" s="944">
        <f t="shared" si="165"/>
        <v>18</v>
      </c>
      <c r="G265" s="126"/>
      <c r="H265">
        <f t="shared" si="169"/>
        <v>18</v>
      </c>
      <c r="I265" s="1325" t="str">
        <f t="shared" si="170"/>
        <v>gal/hr</v>
      </c>
      <c r="J265" t="s">
        <v>660</v>
      </c>
      <c r="K265" s="124"/>
      <c r="L265">
        <f t="shared" si="160"/>
        <v>18</v>
      </c>
      <c r="M265">
        <f t="shared" si="161"/>
        <v>25</v>
      </c>
      <c r="N265">
        <f>IF(AND(M265 - G265 &gt;= 0, G265 - L265 &gt;=0),1,0)</f>
        <v>0</v>
      </c>
      <c r="O265" t="s">
        <v>1145</v>
      </c>
      <c r="P265" t="s">
        <v>1172</v>
      </c>
      <c r="Q265" t="s">
        <v>1073</v>
      </c>
      <c r="R265" s="711"/>
      <c r="V265" t="str">
        <f>IF(OR((M265-L265)&lt;=0,H265&gt;M265,H265&lt;L265),"Fix","")</f>
        <v/>
      </c>
      <c r="W265">
        <v>18</v>
      </c>
      <c r="X265">
        <v>18</v>
      </c>
      <c r="Y265">
        <v>25</v>
      </c>
      <c r="Z265" t="str">
        <f>Units!B$144</f>
        <v>gal/hr</v>
      </c>
      <c r="AA265">
        <f>Units!C$144</f>
        <v>1</v>
      </c>
      <c r="AB265">
        <f>Units!D$144</f>
        <v>1</v>
      </c>
      <c r="AC265" t="str">
        <f>Units!E$144</f>
        <v>gal/hr</v>
      </c>
      <c r="AD265" t="str">
        <f>Units!F$144</f>
        <v>gal/hr</v>
      </c>
      <c r="AE265" t="str">
        <f>Units!G$144</f>
        <v>L/hr</v>
      </c>
      <c r="AF265" t="str">
        <f>Units!H$144</f>
        <v>gal/hr</v>
      </c>
    </row>
    <row r="266" spans="1:32" x14ac:dyDescent="0.3">
      <c r="A266" s="90" t="s">
        <v>1140</v>
      </c>
      <c r="B266" s="90" t="s">
        <v>1173</v>
      </c>
      <c r="C266" s="124" t="str">
        <f t="shared" si="166"/>
        <v>UDV.dhl.lead_utilization</v>
      </c>
      <c r="D266" s="944">
        <f t="shared" si="167"/>
        <v>1</v>
      </c>
      <c r="E266" s="125" t="str">
        <f t="shared" si="168"/>
        <v>fraction</v>
      </c>
      <c r="F266" s="944">
        <f t="shared" si="165"/>
        <v>1</v>
      </c>
      <c r="G266" s="126"/>
      <c r="H266">
        <f t="shared" si="169"/>
        <v>1</v>
      </c>
      <c r="I266" s="1325" t="str">
        <f t="shared" si="170"/>
        <v>fraction</v>
      </c>
      <c r="J266" t="s">
        <v>660</v>
      </c>
      <c r="K266" s="124"/>
      <c r="L266">
        <f t="shared" si="160"/>
        <v>0.1</v>
      </c>
      <c r="M266">
        <f t="shared" si="161"/>
        <v>1</v>
      </c>
      <c r="N266">
        <f>IF(AND(M266 - G266 &gt;= 0, G266 - L266 &gt;=0),1,0)</f>
        <v>0</v>
      </c>
      <c r="O266" t="s">
        <v>1145</v>
      </c>
      <c r="P266" t="s">
        <v>1174</v>
      </c>
      <c r="R266" s="711"/>
      <c r="W266">
        <v>1</v>
      </c>
      <c r="X266">
        <v>0.1</v>
      </c>
      <c r="Y266">
        <v>1</v>
      </c>
      <c r="Z266" t="str">
        <f>Units!B$35</f>
        <v>fraction</v>
      </c>
      <c r="AA266">
        <f>Units!C$35</f>
        <v>1</v>
      </c>
      <c r="AB266">
        <f>Units!D$35</f>
        <v>1</v>
      </c>
      <c r="AC266" t="str">
        <f>Units!E$35</f>
        <v>fraction</v>
      </c>
      <c r="AD266" t="str">
        <f>Units!F$35</f>
        <v>fraction</v>
      </c>
      <c r="AE266" t="str">
        <f>Units!G$35</f>
        <v>fraction</v>
      </c>
      <c r="AF266" t="str">
        <f>Units!H$35</f>
        <v>fraction</v>
      </c>
    </row>
    <row r="267" spans="1:32" x14ac:dyDescent="0.3">
      <c r="A267" t="s">
        <v>1140</v>
      </c>
      <c r="B267" t="s">
        <v>1175</v>
      </c>
      <c r="C267" s="124" t="str">
        <f t="shared" si="166"/>
        <v xml:space="preserve">UDV.dhl.pick_up </v>
      </c>
      <c r="D267" s="1091">
        <f t="shared" si="167"/>
        <v>6</v>
      </c>
      <c r="E267" s="1093" t="str">
        <f t="shared" si="168"/>
        <v>gal/hr</v>
      </c>
      <c r="F267" s="1095">
        <f t="shared" si="165"/>
        <v>6</v>
      </c>
      <c r="H267" s="1101">
        <f t="shared" si="169"/>
        <v>6</v>
      </c>
      <c r="I267" s="956" t="str">
        <f t="shared" si="170"/>
        <v>gal/hr</v>
      </c>
      <c r="J267" t="s">
        <v>660</v>
      </c>
      <c r="L267">
        <f t="shared" si="160"/>
        <v>5</v>
      </c>
      <c r="M267">
        <f t="shared" si="161"/>
        <v>6</v>
      </c>
      <c r="N267">
        <f>IF(AND(G267&lt;=M267, G267&gt;=L267),1,0)</f>
        <v>0</v>
      </c>
      <c r="O267" t="s">
        <v>1142</v>
      </c>
      <c r="P267" t="s">
        <v>1176</v>
      </c>
      <c r="V267" t="str">
        <f>IF(OR((M267-L267)&lt;=0,H267&gt;M267,H267&lt;L267),"Fix","")</f>
        <v/>
      </c>
      <c r="W267" s="78">
        <v>6</v>
      </c>
      <c r="X267">
        <v>5</v>
      </c>
      <c r="Y267">
        <v>6</v>
      </c>
      <c r="Z267" t="str">
        <f>Units!B$144</f>
        <v>gal/hr</v>
      </c>
      <c r="AA267">
        <f>Units!C$144</f>
        <v>1</v>
      </c>
      <c r="AB267">
        <f>Units!D$144</f>
        <v>1</v>
      </c>
      <c r="AC267" t="str">
        <f>Units!E$144</f>
        <v>gal/hr</v>
      </c>
      <c r="AD267" t="str">
        <f>Units!F$144</f>
        <v>gal/hr</v>
      </c>
      <c r="AE267" t="str">
        <f>Units!G$144</f>
        <v>L/hr</v>
      </c>
      <c r="AF267" t="str">
        <f>Units!H$144</f>
        <v>gal/hr</v>
      </c>
    </row>
    <row r="268" spans="1:32" x14ac:dyDescent="0.3">
      <c r="A268" s="90" t="s">
        <v>1140</v>
      </c>
      <c r="B268" s="90" t="s">
        <v>1177</v>
      </c>
      <c r="C268" s="124" t="str">
        <f t="shared" si="166"/>
        <v>UDV.dhl.pickup_fuel</v>
      </c>
      <c r="D268" s="944">
        <f t="shared" si="167"/>
        <v>6</v>
      </c>
      <c r="E268" s="125" t="str">
        <f t="shared" si="168"/>
        <v>gal/hr</v>
      </c>
      <c r="F268" s="944">
        <f t="shared" si="165"/>
        <v>6</v>
      </c>
      <c r="G268" s="126"/>
      <c r="H268">
        <f t="shared" si="169"/>
        <v>6</v>
      </c>
      <c r="I268" s="1325" t="str">
        <f t="shared" si="170"/>
        <v>gal/hr</v>
      </c>
      <c r="J268" t="s">
        <v>660</v>
      </c>
      <c r="K268" s="124"/>
      <c r="L268">
        <f t="shared" si="160"/>
        <v>5</v>
      </c>
      <c r="M268">
        <f t="shared" si="161"/>
        <v>6</v>
      </c>
      <c r="N268">
        <f>IF(AND(M268 - G268 &gt;= 0, G268 - L268 &gt;=0),1,0)</f>
        <v>0</v>
      </c>
      <c r="O268" t="s">
        <v>1145</v>
      </c>
      <c r="P268" t="s">
        <v>1178</v>
      </c>
      <c r="Q268" t="s">
        <v>1073</v>
      </c>
      <c r="R268" s="711"/>
      <c r="V268" t="str">
        <f>IF(OR((M268-L268)&lt;=0,H268&gt;M268,H268&lt;L268),"Fix","")</f>
        <v/>
      </c>
      <c r="W268">
        <v>6</v>
      </c>
      <c r="X268">
        <v>5</v>
      </c>
      <c r="Y268">
        <v>6</v>
      </c>
      <c r="Z268" t="str">
        <f>Units!B$144</f>
        <v>gal/hr</v>
      </c>
      <c r="AA268">
        <f>Units!C$144</f>
        <v>1</v>
      </c>
      <c r="AB268">
        <f>Units!D$144</f>
        <v>1</v>
      </c>
      <c r="AC268" t="str">
        <f>Units!E$144</f>
        <v>gal/hr</v>
      </c>
      <c r="AD268" t="str">
        <f>Units!F$144</f>
        <v>gal/hr</v>
      </c>
      <c r="AE268" t="str">
        <f>Units!G$144</f>
        <v>L/hr</v>
      </c>
      <c r="AF268" t="str">
        <f>Units!H$144</f>
        <v>gal/hr</v>
      </c>
    </row>
    <row r="269" spans="1:32" x14ac:dyDescent="0.3">
      <c r="A269" s="90" t="s">
        <v>1140</v>
      </c>
      <c r="B269" s="90" t="s">
        <v>1179</v>
      </c>
      <c r="C269" s="124" t="str">
        <f t="shared" si="166"/>
        <v>UDV.dhl.pickup_utilization</v>
      </c>
      <c r="D269" s="944">
        <f t="shared" si="167"/>
        <v>0.15</v>
      </c>
      <c r="E269" s="125" t="str">
        <f t="shared" si="168"/>
        <v>fraction</v>
      </c>
      <c r="F269" s="944">
        <f t="shared" si="165"/>
        <v>0.15</v>
      </c>
      <c r="G269" s="126"/>
      <c r="H269">
        <f t="shared" si="169"/>
        <v>0.15</v>
      </c>
      <c r="I269" s="1325" t="str">
        <f t="shared" si="170"/>
        <v>fraction</v>
      </c>
      <c r="J269" t="s">
        <v>660</v>
      </c>
      <c r="K269" s="124"/>
      <c r="L269">
        <f t="shared" si="160"/>
        <v>0.1</v>
      </c>
      <c r="M269">
        <f t="shared" si="161"/>
        <v>1</v>
      </c>
      <c r="N269">
        <f>IF(AND(M269 - G269 &gt;= 0, G269 - L269 &gt;=0),1,0)</f>
        <v>0</v>
      </c>
      <c r="O269" t="s">
        <v>1145</v>
      </c>
      <c r="P269" t="s">
        <v>1180</v>
      </c>
      <c r="R269" s="711"/>
      <c r="W269">
        <v>0.15</v>
      </c>
      <c r="X269">
        <v>0.1</v>
      </c>
      <c r="Y269">
        <v>1</v>
      </c>
      <c r="Z269" t="str">
        <f>Units!B$35</f>
        <v>fraction</v>
      </c>
      <c r="AA269">
        <f>Units!C$35</f>
        <v>1</v>
      </c>
      <c r="AB269">
        <f>Units!D$35</f>
        <v>1</v>
      </c>
      <c r="AC269" t="str">
        <f>Units!E$35</f>
        <v>fraction</v>
      </c>
      <c r="AD269" t="str">
        <f>Units!F$35</f>
        <v>fraction</v>
      </c>
      <c r="AE269" t="str">
        <f>Units!G$35</f>
        <v>fraction</v>
      </c>
      <c r="AF269" t="str">
        <f>Units!H$35</f>
        <v>fraction</v>
      </c>
    </row>
    <row r="270" spans="1:32" x14ac:dyDescent="0.3">
      <c r="A270" s="90" t="s">
        <v>1140</v>
      </c>
      <c r="B270" s="90" t="s">
        <v>1181</v>
      </c>
      <c r="C270" s="124" t="str">
        <f t="shared" si="166"/>
        <v>UDV.dhl.speed_applicator</v>
      </c>
      <c r="D270" s="944">
        <f t="shared" si="167"/>
        <v>5</v>
      </c>
      <c r="E270" s="125" t="str">
        <f t="shared" si="168"/>
        <v>miles/hour</v>
      </c>
      <c r="F270" s="944">
        <f t="shared" si="165"/>
        <v>5</v>
      </c>
      <c r="G270" s="126"/>
      <c r="H270">
        <f t="shared" si="169"/>
        <v>5</v>
      </c>
      <c r="I270" s="1325" t="str">
        <f t="shared" si="170"/>
        <v>miles/hour</v>
      </c>
      <c r="J270" t="s">
        <v>660</v>
      </c>
      <c r="K270" s="124"/>
      <c r="L270">
        <f t="shared" si="160"/>
        <v>1</v>
      </c>
      <c r="M270">
        <f t="shared" si="161"/>
        <v>7</v>
      </c>
      <c r="N270">
        <f>IF(AND(M270 - G270 &gt;= 0, G270 - L270 &gt;=0),1,0)</f>
        <v>0</v>
      </c>
      <c r="O270" t="s">
        <v>1145</v>
      </c>
      <c r="P270" t="s">
        <v>1182</v>
      </c>
      <c r="R270" s="711"/>
      <c r="W270">
        <v>5</v>
      </c>
      <c r="X270">
        <v>1</v>
      </c>
      <c r="Y270">
        <v>7</v>
      </c>
      <c r="Z270" t="str">
        <f>Units!B$51</f>
        <v>miles/hour</v>
      </c>
      <c r="AA270">
        <f>Units!C$51</f>
        <v>1</v>
      </c>
      <c r="AB270">
        <f>Units!D$51</f>
        <v>1</v>
      </c>
      <c r="AC270" t="str">
        <f>Units!E$51</f>
        <v>miles/hour</v>
      </c>
      <c r="AD270" t="str">
        <f>Units!F$51</f>
        <v>miles/hour</v>
      </c>
      <c r="AE270" t="str">
        <f>Units!G$51</f>
        <v>km/hour</v>
      </c>
      <c r="AF270" t="str">
        <f>Units!H$51</f>
        <v>miles/hour</v>
      </c>
    </row>
    <row r="271" spans="1:32" x14ac:dyDescent="0.3">
      <c r="A271" s="90" t="s">
        <v>1140</v>
      </c>
      <c r="B271" s="90" t="s">
        <v>1183</v>
      </c>
      <c r="C271" s="124" t="str">
        <f t="shared" si="166"/>
        <v>UDV.dhl.toolbar_utilization</v>
      </c>
      <c r="D271" s="944">
        <f t="shared" si="167"/>
        <v>0.4</v>
      </c>
      <c r="E271" s="125" t="str">
        <f t="shared" si="168"/>
        <v>fraction</v>
      </c>
      <c r="F271" s="944">
        <f t="shared" si="165"/>
        <v>0.4</v>
      </c>
      <c r="G271" s="126"/>
      <c r="H271">
        <f t="shared" si="169"/>
        <v>0.4</v>
      </c>
      <c r="I271" s="1325" t="str">
        <f t="shared" si="170"/>
        <v>fraction</v>
      </c>
      <c r="J271" t="s">
        <v>660</v>
      </c>
      <c r="K271" s="124"/>
      <c r="L271">
        <f t="shared" si="160"/>
        <v>0.1</v>
      </c>
      <c r="M271">
        <f t="shared" si="161"/>
        <v>1</v>
      </c>
      <c r="N271">
        <f>IF(AND(M271 - G271 &gt;= 0, G271 - L271 &gt;=0),1,0)</f>
        <v>0</v>
      </c>
      <c r="O271" t="s">
        <v>1145</v>
      </c>
      <c r="P271" t="s">
        <v>1184</v>
      </c>
      <c r="R271" s="711"/>
      <c r="W271">
        <v>0.4</v>
      </c>
      <c r="X271">
        <v>0.1</v>
      </c>
      <c r="Y271">
        <v>1</v>
      </c>
      <c r="Z271" t="str">
        <f>Units!B$35</f>
        <v>fraction</v>
      </c>
      <c r="AA271">
        <f>Units!C$35</f>
        <v>1</v>
      </c>
      <c r="AB271">
        <f>Units!D$35</f>
        <v>1</v>
      </c>
      <c r="AC271" t="str">
        <f>Units!E$35</f>
        <v>fraction</v>
      </c>
      <c r="AD271" t="str">
        <f>Units!F$35</f>
        <v>fraction</v>
      </c>
      <c r="AE271" t="str">
        <f>Units!G$35</f>
        <v>fraction</v>
      </c>
      <c r="AF271" t="str">
        <f>Units!H$35</f>
        <v>fraction</v>
      </c>
    </row>
    <row r="272" spans="1:32" x14ac:dyDescent="0.3">
      <c r="A272" t="s">
        <v>1140</v>
      </c>
      <c r="B272" t="s">
        <v>1185</v>
      </c>
      <c r="C272" s="124" t="str">
        <f t="shared" si="166"/>
        <v>UDV.dhl.tractor_applicator</v>
      </c>
      <c r="D272" s="1091">
        <f t="shared" si="167"/>
        <v>15</v>
      </c>
      <c r="E272" s="1093" t="str">
        <f t="shared" si="168"/>
        <v>gal/hr</v>
      </c>
      <c r="F272" s="1095">
        <f t="shared" si="165"/>
        <v>15</v>
      </c>
      <c r="H272" s="1101">
        <f t="shared" si="169"/>
        <v>15</v>
      </c>
      <c r="I272" s="956" t="str">
        <f t="shared" si="170"/>
        <v>gal/hr</v>
      </c>
      <c r="J272" t="s">
        <v>660</v>
      </c>
      <c r="L272">
        <f t="shared" si="160"/>
        <v>15</v>
      </c>
      <c r="M272">
        <f t="shared" si="161"/>
        <v>20</v>
      </c>
      <c r="N272">
        <f>IF(AND(G272&lt;=M272, G272&gt;=L272),1,0)</f>
        <v>0</v>
      </c>
      <c r="O272" t="s">
        <v>1142</v>
      </c>
      <c r="P272" t="s">
        <v>1186</v>
      </c>
      <c r="V272" t="str">
        <f>IF(OR((M272-L272)&lt;=0,H272&gt;M272,H272&lt;L272),"Fix","")</f>
        <v/>
      </c>
      <c r="W272" s="78">
        <v>15</v>
      </c>
      <c r="X272">
        <v>15</v>
      </c>
      <c r="Y272">
        <v>20</v>
      </c>
      <c r="Z272" t="str">
        <f>Units!B$144</f>
        <v>gal/hr</v>
      </c>
      <c r="AA272">
        <f>Units!C$144</f>
        <v>1</v>
      </c>
      <c r="AB272">
        <f>Units!D$144</f>
        <v>1</v>
      </c>
      <c r="AC272" t="str">
        <f>Units!E$144</f>
        <v>gal/hr</v>
      </c>
      <c r="AD272" t="str">
        <f>Units!F$144</f>
        <v>gal/hr</v>
      </c>
      <c r="AE272" t="str">
        <f>Units!G$144</f>
        <v>L/hr</v>
      </c>
      <c r="AF272" t="str">
        <f>Units!H$144</f>
        <v>gal/hr</v>
      </c>
    </row>
    <row r="273" spans="1:32" x14ac:dyDescent="0.3">
      <c r="A273" s="90" t="s">
        <v>1140</v>
      </c>
      <c r="B273" s="90" t="s">
        <v>1187</v>
      </c>
      <c r="C273" s="124" t="str">
        <f t="shared" si="166"/>
        <v>UDV.dhl.tractor_applicator_hp</v>
      </c>
      <c r="D273" s="944">
        <f t="shared" si="167"/>
        <v>580</v>
      </c>
      <c r="E273" s="125" t="str">
        <f t="shared" si="168"/>
        <v>hp</v>
      </c>
      <c r="F273" s="944">
        <f t="shared" si="165"/>
        <v>580</v>
      </c>
      <c r="G273" s="126"/>
      <c r="H273">
        <f t="shared" si="169"/>
        <v>580</v>
      </c>
      <c r="I273" s="1325" t="str">
        <f t="shared" si="170"/>
        <v>hp</v>
      </c>
      <c r="J273" t="s">
        <v>660</v>
      </c>
      <c r="K273" s="124"/>
      <c r="L273">
        <f t="shared" si="160"/>
        <v>450</v>
      </c>
      <c r="M273">
        <f t="shared" si="161"/>
        <v>650</v>
      </c>
      <c r="N273">
        <f>IF(AND(M273 - G273 &gt;= 0, G273 - L273 &gt;=0),1,0)</f>
        <v>0</v>
      </c>
      <c r="O273" t="s">
        <v>1145</v>
      </c>
      <c r="P273" t="s">
        <v>1188</v>
      </c>
      <c r="Q273" t="s">
        <v>1073</v>
      </c>
      <c r="R273" s="711"/>
      <c r="V273" t="str">
        <f>IF(OR((M273-L273)&lt;=0,H273&gt;M273,H273&lt;L273),"Fix","")</f>
        <v/>
      </c>
      <c r="W273">
        <v>580</v>
      </c>
      <c r="X273">
        <v>450</v>
      </c>
      <c r="Y273">
        <v>650</v>
      </c>
      <c r="Z273" t="str">
        <f>Units!B$99</f>
        <v>hp</v>
      </c>
      <c r="AA273">
        <f>Units!C$99</f>
        <v>1</v>
      </c>
      <c r="AB273">
        <f>Units!D$99</f>
        <v>1</v>
      </c>
      <c r="AC273" t="str">
        <f>Units!E$99</f>
        <v>hp</v>
      </c>
      <c r="AD273" t="str">
        <f>Units!F$99</f>
        <v>hp</v>
      </c>
      <c r="AE273" t="str">
        <f>Units!G$99</f>
        <v>hp</v>
      </c>
      <c r="AF273" t="str">
        <f>Units!H$99</f>
        <v>hp</v>
      </c>
    </row>
    <row r="274" spans="1:32" x14ac:dyDescent="0.3">
      <c r="A274" s="90" t="s">
        <v>1140</v>
      </c>
      <c r="B274" s="90" t="s">
        <v>1189</v>
      </c>
      <c r="C274" s="124" t="str">
        <f t="shared" si="166"/>
        <v>UDV.dhl.tractor_pulley_hp</v>
      </c>
      <c r="D274" s="944">
        <f t="shared" si="167"/>
        <v>340</v>
      </c>
      <c r="E274" s="125" t="str">
        <f t="shared" si="168"/>
        <v>hp</v>
      </c>
      <c r="F274" s="944">
        <f t="shared" si="165"/>
        <v>340</v>
      </c>
      <c r="G274" s="126"/>
      <c r="H274">
        <f t="shared" si="169"/>
        <v>340</v>
      </c>
      <c r="I274" s="1325" t="str">
        <f t="shared" si="170"/>
        <v>hp</v>
      </c>
      <c r="J274" t="s">
        <v>660</v>
      </c>
      <c r="K274" s="124"/>
      <c r="L274">
        <f t="shared" si="160"/>
        <v>275</v>
      </c>
      <c r="M274">
        <f t="shared" si="161"/>
        <v>400</v>
      </c>
      <c r="N274">
        <f>IF(AND(M274 - G274 &gt;= 0, G274 - L274 &gt;=0),1,0)</f>
        <v>0</v>
      </c>
      <c r="O274" t="s">
        <v>1145</v>
      </c>
      <c r="P274" t="s">
        <v>1190</v>
      </c>
      <c r="R274" s="711"/>
      <c r="W274">
        <v>340</v>
      </c>
      <c r="X274">
        <v>275</v>
      </c>
      <c r="Y274">
        <v>400</v>
      </c>
      <c r="Z274" t="str">
        <f>Units!B$99</f>
        <v>hp</v>
      </c>
      <c r="AA274">
        <f>Units!C$99</f>
        <v>1</v>
      </c>
      <c r="AB274">
        <f>Units!D$99</f>
        <v>1</v>
      </c>
      <c r="AC274" t="str">
        <f>Units!E$99</f>
        <v>hp</v>
      </c>
      <c r="AD274" t="str">
        <f>Units!F$99</f>
        <v>hp</v>
      </c>
      <c r="AE274" t="str">
        <f>Units!G$99</f>
        <v>hp</v>
      </c>
      <c r="AF274" t="str">
        <f>Units!H$99</f>
        <v>hp</v>
      </c>
    </row>
    <row r="275" spans="1:32" x14ac:dyDescent="0.3">
      <c r="A275" s="90" t="s">
        <v>1140</v>
      </c>
      <c r="B275" s="90" t="s">
        <v>1191</v>
      </c>
      <c r="C275" s="124" t="str">
        <f t="shared" si="166"/>
        <v>UDV.dhl.width_toolbar</v>
      </c>
      <c r="D275" s="944">
        <f t="shared" si="167"/>
        <v>20</v>
      </c>
      <c r="E275" s="125" t="str">
        <f t="shared" si="168"/>
        <v>ft</v>
      </c>
      <c r="F275" s="944">
        <f t="shared" si="165"/>
        <v>20</v>
      </c>
      <c r="G275" s="126"/>
      <c r="H275">
        <f t="shared" si="169"/>
        <v>20</v>
      </c>
      <c r="I275" s="1325" t="str">
        <f t="shared" si="170"/>
        <v>ft</v>
      </c>
      <c r="J275" t="s">
        <v>660</v>
      </c>
      <c r="K275" s="124"/>
      <c r="L275">
        <f t="shared" si="160"/>
        <v>8</v>
      </c>
      <c r="M275">
        <f t="shared" si="161"/>
        <v>25</v>
      </c>
      <c r="N275">
        <f>IF(AND(M275 - G275 &gt;= 0, G275 - L275 &gt;=0),1,0)</f>
        <v>0</v>
      </c>
      <c r="O275" t="s">
        <v>1145</v>
      </c>
      <c r="P275" t="s">
        <v>1192</v>
      </c>
      <c r="R275" s="711"/>
      <c r="W275">
        <v>20</v>
      </c>
      <c r="X275">
        <v>8</v>
      </c>
      <c r="Y275">
        <v>25</v>
      </c>
      <c r="Z275" t="str">
        <f>Units!B$43</f>
        <v>ft</v>
      </c>
      <c r="AA275">
        <f>Units!C$43</f>
        <v>1</v>
      </c>
      <c r="AB275">
        <f>Units!D$43</f>
        <v>1</v>
      </c>
      <c r="AC275" t="str">
        <f>Units!E$43</f>
        <v>ft</v>
      </c>
      <c r="AD275" t="str">
        <f>Units!F$43</f>
        <v>ft</v>
      </c>
      <c r="AE275" t="str">
        <f>Units!G$43</f>
        <v>m</v>
      </c>
      <c r="AF275" t="str">
        <f>Units!H$43</f>
        <v>ft</v>
      </c>
    </row>
    <row r="276" spans="1:32" x14ac:dyDescent="0.3">
      <c r="A276" s="90" t="s">
        <v>1193</v>
      </c>
      <c r="B276" s="90" t="s">
        <v>1194</v>
      </c>
      <c r="C276" s="1491" t="str">
        <f>_xlfn.CONCAT("UDV.",A276,".",B276)</f>
        <v>UDV.dpss.agitation</v>
      </c>
      <c r="D276" s="1492">
        <f>$F276*$AB276</f>
        <v>1</v>
      </c>
      <c r="E276" s="1493" t="str">
        <f>$AD276</f>
        <v>fraction</v>
      </c>
      <c r="F276" s="1494">
        <f>IF(OR(G276="",N276=0),H276,G276)</f>
        <v>1</v>
      </c>
      <c r="G276" s="1495"/>
      <c r="H276" s="1496">
        <f>$W276*$AA276</f>
        <v>1</v>
      </c>
      <c r="I276" s="955" t="str">
        <f>$AC276</f>
        <v>fraction</v>
      </c>
      <c r="J276" s="90" t="s">
        <v>660</v>
      </c>
      <c r="K276" s="90"/>
      <c r="L276">
        <f>ROUNDDOWN($X276*$AA276,3)</f>
        <v>0</v>
      </c>
      <c r="M276">
        <f>ROUNDUP($Y276*$AA276,3)</f>
        <v>1</v>
      </c>
      <c r="N276" s="90">
        <f>IF(AND(G276&lt;=M276, G276&gt;=L276),1,0)</f>
        <v>1</v>
      </c>
      <c r="O276" s="90" t="s">
        <v>1195</v>
      </c>
      <c r="P276" s="90" t="s">
        <v>1196</v>
      </c>
      <c r="Q276" s="90"/>
      <c r="R276" s="1497"/>
      <c r="S276" s="90"/>
      <c r="T276" s="1327"/>
      <c r="U276" s="90"/>
      <c r="V276" s="90" t="str">
        <f>IF(OR((M276-L276)&lt;=0,H276&gt;M276,H276&lt;L276),"Fix","")</f>
        <v/>
      </c>
      <c r="W276" s="755">
        <v>1</v>
      </c>
      <c r="X276" s="90">
        <v>0</v>
      </c>
      <c r="Y276" s="90">
        <v>1</v>
      </c>
      <c r="Z276" s="90" t="str">
        <f>Units!B$35</f>
        <v>fraction</v>
      </c>
      <c r="AA276" s="90">
        <f>Units!C$35</f>
        <v>1</v>
      </c>
      <c r="AB276" s="90">
        <f>Units!D$35</f>
        <v>1</v>
      </c>
      <c r="AC276" s="90" t="str">
        <f>Units!E$35</f>
        <v>fraction</v>
      </c>
      <c r="AD276" s="90" t="str">
        <f>Units!F$35</f>
        <v>fraction</v>
      </c>
      <c r="AE276" s="90" t="str">
        <f>Units!G$35</f>
        <v>fraction</v>
      </c>
      <c r="AF276" s="90" t="str">
        <f>Units!H$35</f>
        <v>fraction</v>
      </c>
    </row>
    <row r="277" spans="1:32" x14ac:dyDescent="0.3">
      <c r="A277" t="s">
        <v>1193</v>
      </c>
      <c r="B277" t="s">
        <v>722</v>
      </c>
      <c r="C277" s="124" t="str">
        <f t="shared" ref="C277:C291" si="171">_xlfn.CONCAT("UDV.",A277,".",B277)</f>
        <v>UDV.dpss.depth</v>
      </c>
      <c r="D277" s="1091">
        <f t="shared" ref="D277:D295" si="172">$F277*$AB277</f>
        <v>3.66</v>
      </c>
      <c r="E277" s="1093" t="str">
        <f t="shared" ref="E277:E295" si="173">$AD277</f>
        <v>m</v>
      </c>
      <c r="F277" s="1095">
        <f t="shared" ref="F277:F291" si="174">IF(OR(G277="",N277=0),H277,G277)</f>
        <v>12.007874034</v>
      </c>
      <c r="H277" s="1101">
        <f t="shared" ref="H277:H295" si="175">$W277*$AA277</f>
        <v>12.007874034</v>
      </c>
      <c r="I277" s="956" t="str">
        <f t="shared" ref="I277:I295" si="176">$AC277</f>
        <v>ft</v>
      </c>
      <c r="J277" t="s">
        <v>660</v>
      </c>
      <c r="L277">
        <f t="shared" si="160"/>
        <v>6.5609999999999999</v>
      </c>
      <c r="M277">
        <f t="shared" si="161"/>
        <v>16.405000000000001</v>
      </c>
      <c r="N277">
        <f t="shared" ref="N277:N291" si="177">IF(AND(G277&lt;=M277, G277&gt;=L277),1,0)</f>
        <v>0</v>
      </c>
      <c r="O277" t="s">
        <v>1195</v>
      </c>
      <c r="P277" s="90" t="s">
        <v>1197</v>
      </c>
      <c r="W277" s="755">
        <v>3.66</v>
      </c>
      <c r="X277" s="90">
        <v>2</v>
      </c>
      <c r="Y277" s="90">
        <v>5</v>
      </c>
      <c r="Z277" t="str">
        <f>Units!B$48</f>
        <v>m</v>
      </c>
      <c r="AA277">
        <f>Units!C$48</f>
        <v>3.2808399000000001</v>
      </c>
      <c r="AB277">
        <f>Units!D$48</f>
        <v>0.304799999536704</v>
      </c>
      <c r="AC277" t="str">
        <f>Units!E$48</f>
        <v>ft</v>
      </c>
      <c r="AD277" t="str">
        <f>Units!F$48</f>
        <v>m</v>
      </c>
      <c r="AE277" t="str">
        <f>Units!G$48</f>
        <v>m</v>
      </c>
      <c r="AF277" t="str">
        <f>Units!H$48</f>
        <v>ft</v>
      </c>
    </row>
    <row r="278" spans="1:32" x14ac:dyDescent="0.3">
      <c r="A278" t="s">
        <v>1193</v>
      </c>
      <c r="B278" t="s">
        <v>681</v>
      </c>
      <c r="C278" s="124" t="str">
        <f t="shared" si="171"/>
        <v>UDV.dpss.HRT</v>
      </c>
      <c r="D278" s="1091">
        <f t="shared" si="172"/>
        <v>365</v>
      </c>
      <c r="E278" s="1093" t="str">
        <f t="shared" si="173"/>
        <v>day</v>
      </c>
      <c r="F278" s="1095">
        <f t="shared" si="174"/>
        <v>365</v>
      </c>
      <c r="H278" s="1101">
        <f t="shared" si="175"/>
        <v>365</v>
      </c>
      <c r="I278" s="956" t="str">
        <f t="shared" si="176"/>
        <v>day</v>
      </c>
      <c r="J278" t="s">
        <v>660</v>
      </c>
      <c r="L278">
        <f t="shared" si="160"/>
        <v>180</v>
      </c>
      <c r="M278">
        <f t="shared" si="161"/>
        <v>365</v>
      </c>
      <c r="N278">
        <f t="shared" si="177"/>
        <v>0</v>
      </c>
      <c r="O278" t="s">
        <v>1195</v>
      </c>
      <c r="P278" t="s">
        <v>761</v>
      </c>
      <c r="V278" t="str">
        <f>IF(OR((M278-L278)&lt;=0,H278&gt;M278,H278&lt;L278),"Fix","")</f>
        <v/>
      </c>
      <c r="W278" s="78">
        <v>365</v>
      </c>
      <c r="X278">
        <f>MAX(180,UDV.dpss.effluent_time)</f>
        <v>180</v>
      </c>
      <c r="Y278">
        <v>365</v>
      </c>
      <c r="Z278" t="str">
        <f>Units!B$110</f>
        <v>day</v>
      </c>
      <c r="AA278">
        <f>Units!C$110</f>
        <v>1</v>
      </c>
      <c r="AB278">
        <f>Units!D$110</f>
        <v>1</v>
      </c>
      <c r="AC278" t="str">
        <f>Units!E$110</f>
        <v>day</v>
      </c>
      <c r="AD278" t="str">
        <f>Units!F$110</f>
        <v>day</v>
      </c>
      <c r="AE278" t="str">
        <f>Units!G$110</f>
        <v>day</v>
      </c>
      <c r="AF278" t="str">
        <f>Units!H$110</f>
        <v>day</v>
      </c>
    </row>
    <row r="279" spans="1:32" x14ac:dyDescent="0.3">
      <c r="A279" t="s">
        <v>1193</v>
      </c>
      <c r="B279" t="s">
        <v>1198</v>
      </c>
      <c r="C279" s="124" t="str">
        <f t="shared" si="171"/>
        <v>UDV.dpss.width</v>
      </c>
      <c r="D279" s="1091">
        <f t="shared" si="172"/>
        <v>25.000000000000004</v>
      </c>
      <c r="E279" s="1093" t="str">
        <f t="shared" si="173"/>
        <v>m</v>
      </c>
      <c r="F279" s="1095">
        <f t="shared" si="174"/>
        <v>82.020997500000007</v>
      </c>
      <c r="H279" s="1101">
        <f t="shared" si="175"/>
        <v>82.020997500000007</v>
      </c>
      <c r="I279" s="956" t="str">
        <f t="shared" si="176"/>
        <v>ft</v>
      </c>
      <c r="J279" t="s">
        <v>660</v>
      </c>
      <c r="L279">
        <f t="shared" si="160"/>
        <v>39.369999999999997</v>
      </c>
      <c r="M279">
        <f t="shared" si="161"/>
        <v>118.111</v>
      </c>
      <c r="N279">
        <f t="shared" si="177"/>
        <v>0</v>
      </c>
      <c r="O279" t="s">
        <v>1195</v>
      </c>
      <c r="P279" s="90" t="s">
        <v>1199</v>
      </c>
      <c r="W279" s="755">
        <v>25</v>
      </c>
      <c r="X279" s="90">
        <v>12</v>
      </c>
      <c r="Y279" s="90">
        <v>36</v>
      </c>
      <c r="Z279" t="str">
        <f>Units!B$48</f>
        <v>m</v>
      </c>
      <c r="AA279">
        <f>Units!C$48</f>
        <v>3.2808399000000001</v>
      </c>
      <c r="AB279">
        <f>Units!D$48</f>
        <v>0.304799999536704</v>
      </c>
      <c r="AC279" t="str">
        <f>Units!E$48</f>
        <v>ft</v>
      </c>
      <c r="AD279" t="str">
        <f>Units!F$48</f>
        <v>m</v>
      </c>
      <c r="AE279" t="str">
        <f>Units!G$48</f>
        <v>m</v>
      </c>
      <c r="AF279" t="str">
        <f>Units!H$48</f>
        <v>ft</v>
      </c>
    </row>
    <row r="280" spans="1:32" x14ac:dyDescent="0.3">
      <c r="A280" s="90" t="s">
        <v>1193</v>
      </c>
      <c r="B280" s="90" t="s">
        <v>724</v>
      </c>
      <c r="C280" s="1491" t="str">
        <f t="shared" si="171"/>
        <v>UDV.dpss.effluent_K</v>
      </c>
      <c r="D280" s="1492">
        <f t="shared" si="172"/>
        <v>1</v>
      </c>
      <c r="E280" s="1493" t="str">
        <f t="shared" si="173"/>
        <v>fraction</v>
      </c>
      <c r="F280" s="1494">
        <f t="shared" si="174"/>
        <v>1</v>
      </c>
      <c r="G280" s="1495"/>
      <c r="H280" s="1496">
        <f t="shared" si="175"/>
        <v>1</v>
      </c>
      <c r="I280" s="955" t="str">
        <f t="shared" si="176"/>
        <v>fraction</v>
      </c>
      <c r="J280" s="90" t="s">
        <v>660</v>
      </c>
      <c r="K280" s="90"/>
      <c r="L280">
        <f t="shared" si="160"/>
        <v>0</v>
      </c>
      <c r="M280">
        <f t="shared" si="161"/>
        <v>1</v>
      </c>
      <c r="N280" s="90">
        <f t="shared" si="177"/>
        <v>1</v>
      </c>
      <c r="O280" s="90" t="s">
        <v>1195</v>
      </c>
      <c r="P280" s="90" t="s">
        <v>1200</v>
      </c>
      <c r="Q280" s="90"/>
      <c r="R280" s="1497"/>
      <c r="S280" s="90"/>
      <c r="T280" s="1327"/>
      <c r="U280" s="90"/>
      <c r="V280" s="90" t="str">
        <f t="shared" ref="V280:V286" si="178">IF(OR((M280-L280)&lt;=0,H280&gt;M280,H280&lt;L280),"Fix","")</f>
        <v/>
      </c>
      <c r="W280" s="755">
        <v>1</v>
      </c>
      <c r="X280" s="90">
        <v>0</v>
      </c>
      <c r="Y280" s="90">
        <v>1</v>
      </c>
      <c r="Z280" s="90" t="str">
        <f>Units!B$35</f>
        <v>fraction</v>
      </c>
      <c r="AA280" s="90">
        <f>Units!C$35</f>
        <v>1</v>
      </c>
      <c r="AB280" s="90">
        <f>Units!D$35</f>
        <v>1</v>
      </c>
      <c r="AC280" s="90" t="str">
        <f>Units!E$35</f>
        <v>fraction</v>
      </c>
      <c r="AD280" s="90" t="str">
        <f>Units!F$35</f>
        <v>fraction</v>
      </c>
      <c r="AE280" s="90" t="str">
        <f>Units!G$35</f>
        <v>fraction</v>
      </c>
      <c r="AF280" s="90" t="str">
        <f>Units!H$35</f>
        <v>fraction</v>
      </c>
    </row>
    <row r="281" spans="1:32" x14ac:dyDescent="0.3">
      <c r="A281" s="90" t="s">
        <v>1193</v>
      </c>
      <c r="B281" s="90" t="s">
        <v>726</v>
      </c>
      <c r="C281" s="1491" t="str">
        <f t="shared" si="171"/>
        <v>UDV.dpss.effluent_N</v>
      </c>
      <c r="D281" s="1492">
        <f t="shared" si="172"/>
        <v>0.74936350600000001</v>
      </c>
      <c r="E281" s="1493" t="str">
        <f t="shared" si="173"/>
        <v>fraction</v>
      </c>
      <c r="F281" s="1494">
        <f t="shared" si="174"/>
        <v>0.74936350600000001</v>
      </c>
      <c r="G281" s="1495"/>
      <c r="H281" s="1496">
        <f t="shared" si="175"/>
        <v>0.74936350600000001</v>
      </c>
      <c r="I281" s="955" t="str">
        <f t="shared" si="176"/>
        <v>fraction</v>
      </c>
      <c r="J281" s="90" t="s">
        <v>688</v>
      </c>
      <c r="K281" s="90"/>
      <c r="L281">
        <f t="shared" si="160"/>
        <v>0</v>
      </c>
      <c r="M281">
        <f t="shared" si="161"/>
        <v>1</v>
      </c>
      <c r="N281" s="90">
        <f t="shared" si="177"/>
        <v>1</v>
      </c>
      <c r="O281" s="90" t="s">
        <v>1195</v>
      </c>
      <c r="P281" s="90" t="s">
        <v>1201</v>
      </c>
      <c r="Q281" s="90"/>
      <c r="R281" s="1497"/>
      <c r="S281" s="90"/>
      <c r="T281" s="1327"/>
      <c r="U281" s="90"/>
      <c r="V281" s="90" t="str">
        <f t="shared" si="178"/>
        <v/>
      </c>
      <c r="W281" s="755">
        <f>1-UDV.emit_NH3.lossfrac_pit_no_air-UDV.emit_N2O_direct.ef3_pit*UC.N2O_to_N</f>
        <v>0.74936350600000001</v>
      </c>
      <c r="X281" s="90">
        <v>0</v>
      </c>
      <c r="Y281" s="90">
        <v>1</v>
      </c>
      <c r="Z281" s="90" t="str">
        <f>Units!B$35</f>
        <v>fraction</v>
      </c>
      <c r="AA281" s="90">
        <f>Units!C$35</f>
        <v>1</v>
      </c>
      <c r="AB281" s="90">
        <f>Units!D$35</f>
        <v>1</v>
      </c>
      <c r="AC281" s="90" t="str">
        <f>Units!E$35</f>
        <v>fraction</v>
      </c>
      <c r="AD281" s="90" t="str">
        <f>Units!F$35</f>
        <v>fraction</v>
      </c>
      <c r="AE281" s="90" t="str">
        <f>Units!G$35</f>
        <v>fraction</v>
      </c>
      <c r="AF281" s="90" t="str">
        <f>Units!H$35</f>
        <v>fraction</v>
      </c>
    </row>
    <row r="282" spans="1:32" x14ac:dyDescent="0.3">
      <c r="A282" s="90" t="s">
        <v>1193</v>
      </c>
      <c r="B282" s="90" t="s">
        <v>733</v>
      </c>
      <c r="C282" s="1491" t="str">
        <f t="shared" si="171"/>
        <v>UDV.dpss.effluent_P</v>
      </c>
      <c r="D282" s="1492">
        <f t="shared" si="172"/>
        <v>1</v>
      </c>
      <c r="E282" s="1493" t="str">
        <f t="shared" si="173"/>
        <v>fraction</v>
      </c>
      <c r="F282" s="1494">
        <f t="shared" si="174"/>
        <v>1</v>
      </c>
      <c r="G282" s="1495"/>
      <c r="H282" s="1496">
        <f t="shared" si="175"/>
        <v>1</v>
      </c>
      <c r="I282" s="955" t="str">
        <f t="shared" si="176"/>
        <v>fraction</v>
      </c>
      <c r="J282" s="90" t="s">
        <v>660</v>
      </c>
      <c r="K282" s="90"/>
      <c r="L282">
        <f t="shared" si="160"/>
        <v>0</v>
      </c>
      <c r="M282">
        <f t="shared" si="161"/>
        <v>1</v>
      </c>
      <c r="N282" s="90">
        <f t="shared" si="177"/>
        <v>1</v>
      </c>
      <c r="O282" s="90" t="s">
        <v>1195</v>
      </c>
      <c r="P282" s="90" t="s">
        <v>1202</v>
      </c>
      <c r="Q282" s="90"/>
      <c r="R282" s="1497"/>
      <c r="S282" s="90"/>
      <c r="T282" s="1327"/>
      <c r="U282" s="90"/>
      <c r="V282" s="90" t="str">
        <f t="shared" si="178"/>
        <v/>
      </c>
      <c r="W282" s="755">
        <v>1</v>
      </c>
      <c r="X282" s="90">
        <v>0</v>
      </c>
      <c r="Y282" s="90">
        <v>1</v>
      </c>
      <c r="Z282" s="90" t="str">
        <f>Units!B$35</f>
        <v>fraction</v>
      </c>
      <c r="AA282" s="90">
        <f>Units!C$35</f>
        <v>1</v>
      </c>
      <c r="AB282" s="90">
        <f>Units!D$35</f>
        <v>1</v>
      </c>
      <c r="AC282" s="90" t="str">
        <f>Units!E$35</f>
        <v>fraction</v>
      </c>
      <c r="AD282" s="90" t="str">
        <f>Units!F$35</f>
        <v>fraction</v>
      </c>
      <c r="AE282" s="90" t="str">
        <f>Units!G$35</f>
        <v>fraction</v>
      </c>
      <c r="AF282" s="90" t="str">
        <f>Units!H$35</f>
        <v>fraction</v>
      </c>
    </row>
    <row r="283" spans="1:32" x14ac:dyDescent="0.3">
      <c r="A283" s="90" t="s">
        <v>1193</v>
      </c>
      <c r="B283" s="90" t="s">
        <v>740</v>
      </c>
      <c r="C283" s="1491" t="str">
        <f t="shared" si="171"/>
        <v>UDV.dpss.effluent_TAN</v>
      </c>
      <c r="D283" s="1492">
        <f t="shared" si="172"/>
        <v>1</v>
      </c>
      <c r="E283" s="1493" t="str">
        <f t="shared" si="173"/>
        <v>fraction</v>
      </c>
      <c r="F283" s="1494">
        <f t="shared" si="174"/>
        <v>1</v>
      </c>
      <c r="G283" s="1495"/>
      <c r="H283" s="1496">
        <f t="shared" si="175"/>
        <v>1</v>
      </c>
      <c r="I283" s="955" t="str">
        <f t="shared" si="176"/>
        <v>fraction</v>
      </c>
      <c r="J283" s="90" t="s">
        <v>660</v>
      </c>
      <c r="K283" s="90"/>
      <c r="L283">
        <f t="shared" si="160"/>
        <v>0</v>
      </c>
      <c r="M283">
        <f t="shared" si="161"/>
        <v>1</v>
      </c>
      <c r="N283" s="90">
        <f t="shared" si="177"/>
        <v>1</v>
      </c>
      <c r="O283" s="90" t="s">
        <v>1195</v>
      </c>
      <c r="P283" s="90" t="s">
        <v>1203</v>
      </c>
      <c r="Q283" s="90"/>
      <c r="R283" s="1497"/>
      <c r="S283" s="90"/>
      <c r="T283" s="1327"/>
      <c r="U283" s="90"/>
      <c r="V283" s="90" t="str">
        <f t="shared" si="178"/>
        <v/>
      </c>
      <c r="W283" s="755">
        <v>1</v>
      </c>
      <c r="X283" s="90">
        <v>0</v>
      </c>
      <c r="Y283" s="90">
        <v>1</v>
      </c>
      <c r="Z283" s="90" t="str">
        <f>Units!B$35</f>
        <v>fraction</v>
      </c>
      <c r="AA283" s="90">
        <f>Units!C$35</f>
        <v>1</v>
      </c>
      <c r="AB283" s="90">
        <f>Units!D$35</f>
        <v>1</v>
      </c>
      <c r="AC283" s="90" t="str">
        <f>Units!E$35</f>
        <v>fraction</v>
      </c>
      <c r="AD283" s="90" t="str">
        <f>Units!F$35</f>
        <v>fraction</v>
      </c>
      <c r="AE283" s="90" t="str">
        <f>Units!G$35</f>
        <v>fraction</v>
      </c>
      <c r="AF283" s="90" t="str">
        <f>Units!H$35</f>
        <v>fraction</v>
      </c>
    </row>
    <row r="284" spans="1:32" x14ac:dyDescent="0.3">
      <c r="A284" s="90" t="s">
        <v>1193</v>
      </c>
      <c r="B284" s="90" t="s">
        <v>745</v>
      </c>
      <c r="C284" s="1491" t="str">
        <f t="shared" si="171"/>
        <v>UDV.dpss.effluent_TS</v>
      </c>
      <c r="D284" s="1492">
        <f t="shared" si="172"/>
        <v>0.7</v>
      </c>
      <c r="E284" s="1493" t="str">
        <f t="shared" si="173"/>
        <v>fraction</v>
      </c>
      <c r="F284" s="1494">
        <f t="shared" si="174"/>
        <v>0.7</v>
      </c>
      <c r="G284" s="1495"/>
      <c r="H284" s="1496">
        <f t="shared" si="175"/>
        <v>0.7</v>
      </c>
      <c r="I284" s="955" t="str">
        <f t="shared" si="176"/>
        <v>fraction</v>
      </c>
      <c r="J284" s="90" t="s">
        <v>660</v>
      </c>
      <c r="K284" s="90"/>
      <c r="L284">
        <f t="shared" si="160"/>
        <v>0</v>
      </c>
      <c r="M284">
        <f t="shared" si="161"/>
        <v>1</v>
      </c>
      <c r="N284" s="90">
        <f t="shared" si="177"/>
        <v>1</v>
      </c>
      <c r="O284" s="90" t="s">
        <v>1195</v>
      </c>
      <c r="P284" s="90" t="s">
        <v>1204</v>
      </c>
      <c r="Q284" s="90"/>
      <c r="R284" s="1497"/>
      <c r="S284" s="90"/>
      <c r="T284" s="1327"/>
      <c r="U284" s="90"/>
      <c r="V284" s="90" t="str">
        <f t="shared" si="178"/>
        <v/>
      </c>
      <c r="W284" s="755">
        <v>0.7</v>
      </c>
      <c r="X284" s="90">
        <v>0</v>
      </c>
      <c r="Y284" s="90">
        <v>1</v>
      </c>
      <c r="Z284" s="90" t="str">
        <f>Units!B$35</f>
        <v>fraction</v>
      </c>
      <c r="AA284" s="90">
        <f>Units!C$35</f>
        <v>1</v>
      </c>
      <c r="AB284" s="90">
        <f>Units!D$35</f>
        <v>1</v>
      </c>
      <c r="AC284" s="90" t="str">
        <f>Units!E$35</f>
        <v>fraction</v>
      </c>
      <c r="AD284" s="90" t="str">
        <f>Units!F$35</f>
        <v>fraction</v>
      </c>
      <c r="AE284" s="90" t="str">
        <f>Units!G$35</f>
        <v>fraction</v>
      </c>
      <c r="AF284" s="90" t="str">
        <f>Units!H$35</f>
        <v>fraction</v>
      </c>
    </row>
    <row r="285" spans="1:32" x14ac:dyDescent="0.3">
      <c r="A285" s="90" t="s">
        <v>1193</v>
      </c>
      <c r="B285" s="90" t="s">
        <v>747</v>
      </c>
      <c r="C285" s="1491" t="str">
        <f t="shared" si="171"/>
        <v>UDV.dpss.effluent_VS</v>
      </c>
      <c r="D285" s="1492">
        <f t="shared" si="172"/>
        <v>0.75</v>
      </c>
      <c r="E285" s="1493" t="str">
        <f t="shared" si="173"/>
        <v>fraction</v>
      </c>
      <c r="F285" s="1494">
        <f t="shared" si="174"/>
        <v>0.75</v>
      </c>
      <c r="G285" s="1495"/>
      <c r="H285" s="1496">
        <f t="shared" si="175"/>
        <v>0.75</v>
      </c>
      <c r="I285" s="955" t="str">
        <f t="shared" si="176"/>
        <v>fraction</v>
      </c>
      <c r="J285" s="90" t="s">
        <v>660</v>
      </c>
      <c r="K285" s="90"/>
      <c r="L285">
        <f t="shared" si="160"/>
        <v>0</v>
      </c>
      <c r="M285">
        <f t="shared" si="161"/>
        <v>1</v>
      </c>
      <c r="N285" s="90">
        <f t="shared" si="177"/>
        <v>1</v>
      </c>
      <c r="O285" s="90" t="s">
        <v>1195</v>
      </c>
      <c r="P285" s="90" t="s">
        <v>1205</v>
      </c>
      <c r="Q285" s="90"/>
      <c r="R285" s="1497"/>
      <c r="S285" s="90"/>
      <c r="T285" s="1327"/>
      <c r="U285" s="90"/>
      <c r="V285" s="90" t="str">
        <f t="shared" si="178"/>
        <v/>
      </c>
      <c r="W285" s="755">
        <v>0.75</v>
      </c>
      <c r="X285" s="90">
        <v>0</v>
      </c>
      <c r="Y285" s="90">
        <v>1</v>
      </c>
      <c r="Z285" s="90" t="str">
        <f>Units!B$35</f>
        <v>fraction</v>
      </c>
      <c r="AA285" s="90">
        <f>Units!C$35</f>
        <v>1</v>
      </c>
      <c r="AB285" s="90">
        <f>Units!D$35</f>
        <v>1</v>
      </c>
      <c r="AC285" s="90" t="str">
        <f>Units!E$35</f>
        <v>fraction</v>
      </c>
      <c r="AD285" s="90" t="str">
        <f>Units!F$35</f>
        <v>fraction</v>
      </c>
      <c r="AE285" s="90" t="str">
        <f>Units!G$35</f>
        <v>fraction</v>
      </c>
      <c r="AF285" s="90" t="str">
        <f>Units!H$35</f>
        <v>fraction</v>
      </c>
    </row>
    <row r="286" spans="1:32" x14ac:dyDescent="0.3">
      <c r="A286" s="944" t="s">
        <v>1193</v>
      </c>
      <c r="B286" s="944" t="s">
        <v>742</v>
      </c>
      <c r="C286" s="124" t="str">
        <f t="shared" si="171"/>
        <v>UDV.dpss.effluent_time</v>
      </c>
      <c r="D286" s="944">
        <f t="shared" si="172"/>
        <v>180</v>
      </c>
      <c r="E286" s="125" t="str">
        <f t="shared" si="173"/>
        <v>days</v>
      </c>
      <c r="F286" s="944">
        <f t="shared" si="174"/>
        <v>180</v>
      </c>
      <c r="G286" s="944"/>
      <c r="H286">
        <f t="shared" si="175"/>
        <v>180</v>
      </c>
      <c r="I286" s="1325" t="str">
        <f t="shared" si="176"/>
        <v>days</v>
      </c>
      <c r="J286" s="944" t="s">
        <v>743</v>
      </c>
      <c r="K286" s="944"/>
      <c r="L286">
        <f t="shared" si="160"/>
        <v>90</v>
      </c>
      <c r="M286">
        <f t="shared" si="161"/>
        <v>365</v>
      </c>
      <c r="N286">
        <f>IF(M286 - G286 &gt;= 0,1,0)</f>
        <v>1</v>
      </c>
      <c r="O286" s="90" t="s">
        <v>1195</v>
      </c>
      <c r="P286" t="s">
        <v>744</v>
      </c>
      <c r="Q286" t="s">
        <v>739</v>
      </c>
      <c r="R286" s="711"/>
      <c r="S286" t="s">
        <v>84</v>
      </c>
      <c r="V286" t="str">
        <f t="shared" si="178"/>
        <v/>
      </c>
      <c r="W286">
        <v>180</v>
      </c>
      <c r="X286">
        <v>90</v>
      </c>
      <c r="Y286">
        <v>365</v>
      </c>
      <c r="Z286" t="str">
        <f>Units!B$111</f>
        <v>days</v>
      </c>
      <c r="AA286">
        <f>Units!C$111</f>
        <v>1</v>
      </c>
      <c r="AB286">
        <f>Units!D$111</f>
        <v>1</v>
      </c>
      <c r="AC286" t="str">
        <f>Units!E$111</f>
        <v>days</v>
      </c>
      <c r="AD286" t="str">
        <f>Units!F$111</f>
        <v>days</v>
      </c>
      <c r="AE286" t="str">
        <f>Units!G$111</f>
        <v>days</v>
      </c>
      <c r="AF286" t="str">
        <f>Units!H$111</f>
        <v>days</v>
      </c>
    </row>
    <row r="287" spans="1:32" x14ac:dyDescent="0.3">
      <c r="A287" s="944" t="s">
        <v>1193</v>
      </c>
      <c r="B287" s="944" t="s">
        <v>1206</v>
      </c>
      <c r="C287" s="124" t="str">
        <f t="shared" si="171"/>
        <v>UDV.dpss.removal_events</v>
      </c>
      <c r="D287" s="944">
        <f t="shared" si="172"/>
        <v>2</v>
      </c>
      <c r="E287" s="125" t="str">
        <f t="shared" si="173"/>
        <v>events/year</v>
      </c>
      <c r="F287" s="944">
        <f t="shared" ref="F287" si="179">IF(OR(G287="",N287=0),H287,G287)</f>
        <v>2</v>
      </c>
      <c r="G287" s="944"/>
      <c r="H287">
        <f t="shared" si="175"/>
        <v>2</v>
      </c>
      <c r="I287" s="1325" t="str">
        <f t="shared" si="176"/>
        <v>events/year</v>
      </c>
      <c r="J287" s="944" t="s">
        <v>660</v>
      </c>
      <c r="K287" s="944"/>
      <c r="L287">
        <f t="shared" si="160"/>
        <v>1</v>
      </c>
      <c r="M287">
        <f t="shared" si="161"/>
        <v>12</v>
      </c>
      <c r="N287">
        <f>IF(M287 - G287 &gt;= 0,1,0)</f>
        <v>1</v>
      </c>
      <c r="O287" s="90" t="s">
        <v>1195</v>
      </c>
      <c r="P287" s="90" t="s">
        <v>1207</v>
      </c>
      <c r="R287" s="711"/>
      <c r="W287">
        <v>2</v>
      </c>
      <c r="X287" s="90">
        <v>1</v>
      </c>
      <c r="Y287" s="90">
        <v>12</v>
      </c>
      <c r="Z287" t="str">
        <f>Units!B$31</f>
        <v>events/year</v>
      </c>
      <c r="AA287">
        <f>Units!C$31</f>
        <v>1</v>
      </c>
      <c r="AB287">
        <f>Units!D$31</f>
        <v>1</v>
      </c>
      <c r="AC287" t="str">
        <f>Units!E$31</f>
        <v>events/year</v>
      </c>
      <c r="AD287" t="str">
        <f>Units!F$31</f>
        <v>events/year</v>
      </c>
      <c r="AE287" t="str">
        <f>Units!G$31</f>
        <v>events/year</v>
      </c>
      <c r="AF287" t="str">
        <f>Units!H$31</f>
        <v>events/year</v>
      </c>
    </row>
    <row r="288" spans="1:32" x14ac:dyDescent="0.3">
      <c r="A288" s="90" t="s">
        <v>1208</v>
      </c>
      <c r="B288" s="90" t="s">
        <v>1194</v>
      </c>
      <c r="C288" s="1491" t="str">
        <f>_xlfn.CONCAT("UDV.",A288,".",B288)</f>
        <v>UDV.dpss_aer.agitation</v>
      </c>
      <c r="D288" s="1492">
        <f>$F288*$AB288</f>
        <v>0</v>
      </c>
      <c r="E288" s="1493" t="str">
        <f>$AD288</f>
        <v>fraction</v>
      </c>
      <c r="F288" s="1494">
        <f>IF(OR(G288="",N288=0),H288,G288)</f>
        <v>0</v>
      </c>
      <c r="G288" s="1495"/>
      <c r="H288" s="1496">
        <f>$W288*$AA288</f>
        <v>0</v>
      </c>
      <c r="I288" s="955" t="str">
        <f>$AC288</f>
        <v>fraction</v>
      </c>
      <c r="J288" s="90" t="s">
        <v>660</v>
      </c>
      <c r="K288" s="90"/>
      <c r="L288">
        <f>ROUNDDOWN($X288*$AA288,3)</f>
        <v>0</v>
      </c>
      <c r="M288">
        <f>ROUNDUP($Y288*$AA288,3)</f>
        <v>1</v>
      </c>
      <c r="N288" s="90">
        <f>IF(AND(G288&lt;=M288, G288&gt;=L288),1,0)</f>
        <v>1</v>
      </c>
      <c r="O288" s="90" t="s">
        <v>1209</v>
      </c>
      <c r="P288" s="90" t="s">
        <v>1196</v>
      </c>
      <c r="Q288" s="90"/>
      <c r="R288" s="1497"/>
      <c r="S288" s="90"/>
      <c r="T288" s="1327"/>
      <c r="U288" s="90"/>
      <c r="V288" s="90" t="str">
        <f>IF(OR((M288-L288)&lt;=0,H288&gt;M288,H288&lt;L288),"Fix","")</f>
        <v/>
      </c>
      <c r="W288" s="755">
        <v>0</v>
      </c>
      <c r="X288" s="90">
        <v>0</v>
      </c>
      <c r="Y288" s="90">
        <v>1</v>
      </c>
      <c r="Z288" s="90" t="str">
        <f>Units!B$35</f>
        <v>fraction</v>
      </c>
      <c r="AA288" s="90">
        <f>Units!C$35</f>
        <v>1</v>
      </c>
      <c r="AB288" s="90">
        <f>Units!D$35</f>
        <v>1</v>
      </c>
      <c r="AC288" s="90" t="str">
        <f>Units!E$35</f>
        <v>fraction</v>
      </c>
      <c r="AD288" s="90" t="str">
        <f>Units!F$35</f>
        <v>fraction</v>
      </c>
      <c r="AE288" s="90" t="str">
        <f>Units!G$35</f>
        <v>fraction</v>
      </c>
      <c r="AF288" s="90" t="str">
        <f>Units!H$35</f>
        <v>fraction</v>
      </c>
    </row>
    <row r="289" spans="1:32" x14ac:dyDescent="0.3">
      <c r="A289" s="90" t="s">
        <v>1208</v>
      </c>
      <c r="B289" s="90" t="s">
        <v>1198</v>
      </c>
      <c r="C289" s="1491" t="str">
        <f t="shared" si="171"/>
        <v>UDV.dpss_aer.width</v>
      </c>
      <c r="D289" s="1492">
        <f t="shared" si="172"/>
        <v>25.000000000000007</v>
      </c>
      <c r="E289" s="1493" t="str">
        <f t="shared" si="173"/>
        <v>m</v>
      </c>
      <c r="F289" s="1498">
        <f t="shared" si="174"/>
        <v>82.020997500000021</v>
      </c>
      <c r="G289" s="1495"/>
      <c r="H289" s="1496">
        <f t="shared" si="175"/>
        <v>82.020997500000021</v>
      </c>
      <c r="I289" s="955" t="str">
        <f t="shared" si="176"/>
        <v>ft</v>
      </c>
      <c r="J289" s="90" t="s">
        <v>660</v>
      </c>
      <c r="K289" s="90"/>
      <c r="L289">
        <f t="shared" si="160"/>
        <v>39.369999999999997</v>
      </c>
      <c r="M289">
        <f t="shared" si="161"/>
        <v>118.111</v>
      </c>
      <c r="N289" s="90">
        <f t="shared" si="177"/>
        <v>0</v>
      </c>
      <c r="O289" s="90" t="s">
        <v>1209</v>
      </c>
      <c r="P289" s="90" t="s">
        <v>1199</v>
      </c>
      <c r="Q289" s="90"/>
      <c r="R289" s="1497"/>
      <c r="S289" s="90" t="s">
        <v>84</v>
      </c>
      <c r="T289" s="1327"/>
      <c r="U289" s="90"/>
      <c r="V289" s="90"/>
      <c r="W289" s="755">
        <f>UDV.dpss.width</f>
        <v>25.000000000000004</v>
      </c>
      <c r="X289" s="90">
        <v>12</v>
      </c>
      <c r="Y289" s="90">
        <v>36</v>
      </c>
      <c r="Z289" s="90" t="str">
        <f>Units!B$48</f>
        <v>m</v>
      </c>
      <c r="AA289" s="90">
        <f>Units!C$48</f>
        <v>3.2808399000000001</v>
      </c>
      <c r="AB289" s="90">
        <f>Units!D$48</f>
        <v>0.304799999536704</v>
      </c>
      <c r="AC289" s="90" t="str">
        <f>Units!E$48</f>
        <v>ft</v>
      </c>
      <c r="AD289" s="90" t="str">
        <f>Units!F$48</f>
        <v>m</v>
      </c>
      <c r="AE289" s="90" t="str">
        <f>Units!G$48</f>
        <v>m</v>
      </c>
      <c r="AF289" s="90" t="str">
        <f>Units!H$48</f>
        <v>ft</v>
      </c>
    </row>
    <row r="290" spans="1:32" x14ac:dyDescent="0.3">
      <c r="A290" t="s">
        <v>1208</v>
      </c>
      <c r="B290" t="s">
        <v>681</v>
      </c>
      <c r="C290" s="124" t="str">
        <f t="shared" ref="C290" si="180">_xlfn.CONCAT("UDV.",A290,".",B290)</f>
        <v>UDV.dpss_aer.HRT</v>
      </c>
      <c r="D290" s="1091">
        <f t="shared" si="172"/>
        <v>365</v>
      </c>
      <c r="E290" s="1093" t="str">
        <f t="shared" si="173"/>
        <v>day</v>
      </c>
      <c r="F290" s="1095">
        <f t="shared" ref="F290" si="181">IF(OR(G290="",N290=0),H290,G290)</f>
        <v>365</v>
      </c>
      <c r="H290" s="1101">
        <f t="shared" si="175"/>
        <v>365</v>
      </c>
      <c r="I290" s="956" t="str">
        <f t="shared" si="176"/>
        <v>day</v>
      </c>
      <c r="J290" t="s">
        <v>660</v>
      </c>
      <c r="L290">
        <f t="shared" si="160"/>
        <v>180</v>
      </c>
      <c r="M290">
        <f t="shared" si="161"/>
        <v>365</v>
      </c>
      <c r="N290">
        <f t="shared" ref="N290" si="182">IF(AND(G290&lt;=M290, G290&gt;=L290),1,0)</f>
        <v>0</v>
      </c>
      <c r="O290" s="90" t="s">
        <v>1209</v>
      </c>
      <c r="P290" t="s">
        <v>761</v>
      </c>
      <c r="V290" t="str">
        <f>IF(OR((M290-L290)&lt;=0,H290&gt;M290,H290&lt;L290),"Fix","")</f>
        <v/>
      </c>
      <c r="W290" s="78">
        <v>365</v>
      </c>
      <c r="X290">
        <f>MAX(180,UDV.dpss_aer.effluent_time)</f>
        <v>180</v>
      </c>
      <c r="Y290">
        <v>365</v>
      </c>
      <c r="Z290" t="str">
        <f>Units!B$110</f>
        <v>day</v>
      </c>
      <c r="AA290">
        <f>Units!C$110</f>
        <v>1</v>
      </c>
      <c r="AB290">
        <f>Units!D$110</f>
        <v>1</v>
      </c>
      <c r="AC290" t="str">
        <f>Units!E$110</f>
        <v>day</v>
      </c>
      <c r="AD290" t="str">
        <f>Units!F$110</f>
        <v>day</v>
      </c>
      <c r="AE290" t="str">
        <f>Units!G$110</f>
        <v>day</v>
      </c>
      <c r="AF290" t="str">
        <f>Units!H$110</f>
        <v>day</v>
      </c>
    </row>
    <row r="291" spans="1:32" x14ac:dyDescent="0.3">
      <c r="A291" s="90" t="s">
        <v>1208</v>
      </c>
      <c r="B291" s="90" t="s">
        <v>722</v>
      </c>
      <c r="C291" s="1491" t="str">
        <f t="shared" si="171"/>
        <v>UDV.dpss_aer.depth</v>
      </c>
      <c r="D291" s="1492">
        <f t="shared" si="172"/>
        <v>3.66</v>
      </c>
      <c r="E291" s="1493" t="str">
        <f t="shared" si="173"/>
        <v>m</v>
      </c>
      <c r="F291" s="1498">
        <f t="shared" si="174"/>
        <v>12.007874034</v>
      </c>
      <c r="G291" s="1495"/>
      <c r="H291" s="1496">
        <f t="shared" si="175"/>
        <v>12.007874034</v>
      </c>
      <c r="I291" s="955" t="str">
        <f t="shared" si="176"/>
        <v>ft</v>
      </c>
      <c r="J291" s="90" t="s">
        <v>660</v>
      </c>
      <c r="K291" s="90"/>
      <c r="L291">
        <f t="shared" si="160"/>
        <v>6.5609999999999999</v>
      </c>
      <c r="M291">
        <f t="shared" si="161"/>
        <v>16.405000000000001</v>
      </c>
      <c r="N291" s="90">
        <f t="shared" si="177"/>
        <v>0</v>
      </c>
      <c r="O291" s="90" t="s">
        <v>1209</v>
      </c>
      <c r="P291" s="90" t="s">
        <v>1197</v>
      </c>
      <c r="Q291" s="90"/>
      <c r="R291" s="1497"/>
      <c r="S291" s="90" t="s">
        <v>84</v>
      </c>
      <c r="T291" s="1327"/>
      <c r="U291" s="90"/>
      <c r="V291" s="90"/>
      <c r="W291" s="755">
        <f>UDV.dpss.depth</f>
        <v>3.66</v>
      </c>
      <c r="X291" s="90">
        <v>2</v>
      </c>
      <c r="Y291" s="90">
        <v>5</v>
      </c>
      <c r="Z291" s="90" t="str">
        <f>Units!B$48</f>
        <v>m</v>
      </c>
      <c r="AA291" s="90">
        <f>Units!C$48</f>
        <v>3.2808399000000001</v>
      </c>
      <c r="AB291" s="90">
        <f>Units!D$48</f>
        <v>0.304799999536704</v>
      </c>
      <c r="AC291" s="90" t="str">
        <f>Units!E$48</f>
        <v>ft</v>
      </c>
      <c r="AD291" s="90" t="str">
        <f>Units!F$48</f>
        <v>m</v>
      </c>
      <c r="AE291" s="90" t="str">
        <f>Units!G$48</f>
        <v>m</v>
      </c>
      <c r="AF291" s="90" t="str">
        <f>Units!H$48</f>
        <v>ft</v>
      </c>
    </row>
    <row r="292" spans="1:32" x14ac:dyDescent="0.3">
      <c r="A292" s="90" t="s">
        <v>1208</v>
      </c>
      <c r="B292" s="90" t="s">
        <v>1210</v>
      </c>
      <c r="C292" s="1491" t="str">
        <f t="shared" ref="C292:C295" si="183">_xlfn.CONCAT("UDV.",A292,".",B292)</f>
        <v>UDV.dpss_aer.drive_per_area</v>
      </c>
      <c r="D292" s="1492">
        <f t="shared" si="172"/>
        <v>929.0304000000001</v>
      </c>
      <c r="E292" s="1493" t="str">
        <f t="shared" si="173"/>
        <v>m2/unit</v>
      </c>
      <c r="F292" s="1498">
        <f t="shared" ref="F292" si="184">IF(OR(G292="",N292=0),H292,G292)</f>
        <v>9999.9999844761605</v>
      </c>
      <c r="G292" s="1495"/>
      <c r="H292" s="1496">
        <f t="shared" si="175"/>
        <v>9999.9999844761605</v>
      </c>
      <c r="I292" s="955" t="str">
        <f t="shared" si="176"/>
        <v>ft2/unit</v>
      </c>
      <c r="J292" s="90" t="s">
        <v>660</v>
      </c>
      <c r="K292" s="90"/>
      <c r="L292">
        <f t="shared" si="160"/>
        <v>7499.9989999999998</v>
      </c>
      <c r="M292">
        <f t="shared" si="161"/>
        <v>12500</v>
      </c>
      <c r="N292" s="90">
        <f t="shared" ref="N292" si="185">IF(AND(G292&lt;=M292, G292&gt;=L292),1,0)</f>
        <v>0</v>
      </c>
      <c r="O292" s="90" t="s">
        <v>1209</v>
      </c>
      <c r="P292" s="90" t="s">
        <v>1211</v>
      </c>
      <c r="Q292" s="90"/>
      <c r="R292" s="1497"/>
      <c r="S292" s="90"/>
      <c r="T292" s="1327"/>
      <c r="U292" s="90"/>
      <c r="V292" s="90"/>
      <c r="W292" s="1613">
        <f>10000*UC.ft2_to_m2</f>
        <v>929.0304000000001</v>
      </c>
      <c r="X292" s="90">
        <f>7500*UC.ft2_to_m2</f>
        <v>696.77280000000007</v>
      </c>
      <c r="Y292" s="90">
        <f>12500*UC.ft2_to_m2</f>
        <v>1161.288</v>
      </c>
      <c r="Z292" s="90" t="str">
        <f>Units!B$10</f>
        <v>m2/unit</v>
      </c>
      <c r="AA292" s="90">
        <f>Units!C$10</f>
        <v>10.7639104</v>
      </c>
      <c r="AB292" s="90">
        <f>Units!D$10</f>
        <v>9.2903040144221197E-2</v>
      </c>
      <c r="AC292" s="90" t="str">
        <f>Units!E$10</f>
        <v>ft2/unit</v>
      </c>
      <c r="AD292" s="90" t="str">
        <f>Units!F$10</f>
        <v>m2/unit</v>
      </c>
      <c r="AE292" s="90" t="str">
        <f>Units!G$10</f>
        <v>m2/unit</v>
      </c>
      <c r="AF292" s="90" t="str">
        <f>Units!H$10</f>
        <v>ft2/unit</v>
      </c>
    </row>
    <row r="293" spans="1:32" x14ac:dyDescent="0.3">
      <c r="A293" s="90" t="s">
        <v>1208</v>
      </c>
      <c r="B293" s="90" t="s">
        <v>1212</v>
      </c>
      <c r="C293" s="1491" t="str">
        <f t="shared" si="183"/>
        <v>UDV.dpss_aer.motor_per_drive</v>
      </c>
      <c r="D293" s="1492">
        <f t="shared" si="172"/>
        <v>2</v>
      </c>
      <c r="E293" s="1493" t="str">
        <f t="shared" si="173"/>
        <v>quantity</v>
      </c>
      <c r="F293" s="1498">
        <f t="shared" ref="F293" si="186">IF(OR(G293="",N293=0),H293,G293)</f>
        <v>2</v>
      </c>
      <c r="G293" s="1495"/>
      <c r="H293" s="1496">
        <f t="shared" si="175"/>
        <v>2</v>
      </c>
      <c r="I293" s="955" t="str">
        <f t="shared" si="176"/>
        <v>quantity</v>
      </c>
      <c r="J293" s="90" t="s">
        <v>660</v>
      </c>
      <c r="K293" s="90"/>
      <c r="L293">
        <f t="shared" si="160"/>
        <v>1</v>
      </c>
      <c r="M293">
        <f t="shared" si="161"/>
        <v>5</v>
      </c>
      <c r="N293" s="90">
        <f t="shared" ref="N293" si="187">IF(AND(G293&lt;=M293, G293&gt;=L293),1,0)</f>
        <v>0</v>
      </c>
      <c r="O293" s="90" t="s">
        <v>1209</v>
      </c>
      <c r="P293" s="90" t="s">
        <v>1213</v>
      </c>
      <c r="Q293" s="90"/>
      <c r="R293" s="1497"/>
      <c r="S293" s="90"/>
      <c r="T293" s="1327"/>
      <c r="U293" s="90"/>
      <c r="V293" s="90"/>
      <c r="W293" s="1613">
        <v>2</v>
      </c>
      <c r="X293" s="90">
        <v>1</v>
      </c>
      <c r="Y293" s="90">
        <v>5</v>
      </c>
      <c r="Z293" s="90" t="str">
        <f>Units!B$106</f>
        <v>quantity</v>
      </c>
      <c r="AA293" s="90">
        <f>Units!C$106</f>
        <v>1</v>
      </c>
      <c r="AB293" s="90">
        <f>Units!D$106</f>
        <v>1</v>
      </c>
      <c r="AC293" s="90" t="str">
        <f>Units!E$106</f>
        <v>quantity</v>
      </c>
      <c r="AD293" s="90" t="str">
        <f>Units!F$106</f>
        <v>quantity</v>
      </c>
      <c r="AE293" s="90" t="str">
        <f>Units!G$106</f>
        <v>quantity</v>
      </c>
      <c r="AF293" s="90" t="str">
        <f>Units!H$106</f>
        <v>quantity</v>
      </c>
    </row>
    <row r="294" spans="1:32" x14ac:dyDescent="0.3">
      <c r="A294" s="90" t="s">
        <v>1208</v>
      </c>
      <c r="B294" s="90" t="s">
        <v>1214</v>
      </c>
      <c r="C294" s="1491" t="str">
        <f t="shared" si="183"/>
        <v>UDV.dpss_aer.drive_motor_hp</v>
      </c>
      <c r="D294" s="1492">
        <f t="shared" si="172"/>
        <v>2.5</v>
      </c>
      <c r="E294" s="1493" t="str">
        <f t="shared" si="173"/>
        <v>hp</v>
      </c>
      <c r="F294" s="1498">
        <f t="shared" ref="F294" si="188">IF(OR(G294="",N294=0),H294,G294)</f>
        <v>2.5</v>
      </c>
      <c r="G294" s="1495"/>
      <c r="H294" s="1496">
        <f t="shared" si="175"/>
        <v>2.5</v>
      </c>
      <c r="I294" s="955" t="str">
        <f t="shared" si="176"/>
        <v>hp</v>
      </c>
      <c r="J294" s="90" t="s">
        <v>660</v>
      </c>
      <c r="K294" s="90"/>
      <c r="L294">
        <f t="shared" si="160"/>
        <v>0.5</v>
      </c>
      <c r="M294">
        <f t="shared" si="161"/>
        <v>5</v>
      </c>
      <c r="N294" s="90">
        <f t="shared" ref="N294" si="189">IF(AND(G294&lt;=M294, G294&gt;=L294),1,0)</f>
        <v>0</v>
      </c>
      <c r="O294" s="90" t="s">
        <v>1209</v>
      </c>
      <c r="P294" s="90" t="s">
        <v>1215</v>
      </c>
      <c r="Q294" s="90"/>
      <c r="R294" s="1497"/>
      <c r="S294" s="90"/>
      <c r="T294" s="1327"/>
      <c r="U294" s="90"/>
      <c r="V294" s="90"/>
      <c r="W294" s="1613">
        <v>2.5</v>
      </c>
      <c r="X294" s="90">
        <v>0.5</v>
      </c>
      <c r="Y294" s="90">
        <v>5</v>
      </c>
      <c r="Z294" s="90" t="str">
        <f>Units!B$99</f>
        <v>hp</v>
      </c>
      <c r="AA294" s="90">
        <f>Units!C$99</f>
        <v>1</v>
      </c>
      <c r="AB294" s="90">
        <f>Units!D$99</f>
        <v>1</v>
      </c>
      <c r="AC294" s="90" t="str">
        <f>Units!E$99</f>
        <v>hp</v>
      </c>
      <c r="AD294" s="90" t="str">
        <f>Units!F$99</f>
        <v>hp</v>
      </c>
      <c r="AE294" s="90" t="str">
        <f>Units!G$99</f>
        <v>hp</v>
      </c>
      <c r="AF294" s="90" t="str">
        <f>Units!H$99</f>
        <v>hp</v>
      </c>
    </row>
    <row r="295" spans="1:32" x14ac:dyDescent="0.3">
      <c r="A295" s="90" t="s">
        <v>1208</v>
      </c>
      <c r="B295" s="90" t="s">
        <v>1216</v>
      </c>
      <c r="C295" s="1491" t="str">
        <f t="shared" si="183"/>
        <v>UDV.dpss_aer.time_aeration</v>
      </c>
      <c r="D295" s="1492">
        <f t="shared" si="172"/>
        <v>16</v>
      </c>
      <c r="E295" s="1493" t="str">
        <f t="shared" si="173"/>
        <v>hr/day</v>
      </c>
      <c r="F295" s="1498">
        <f t="shared" ref="F295" si="190">IF(OR(G295="",N295=0),H295,G295)</f>
        <v>16</v>
      </c>
      <c r="G295" s="1495"/>
      <c r="H295" s="1496">
        <f t="shared" si="175"/>
        <v>16</v>
      </c>
      <c r="I295" s="955" t="str">
        <f t="shared" si="176"/>
        <v>hr/day</v>
      </c>
      <c r="J295" s="90" t="s">
        <v>660</v>
      </c>
      <c r="K295" s="90"/>
      <c r="L295">
        <f t="shared" si="160"/>
        <v>8</v>
      </c>
      <c r="M295">
        <f t="shared" si="161"/>
        <v>20</v>
      </c>
      <c r="N295" s="90">
        <f t="shared" ref="N295" si="191">IF(AND(G295&lt;=M295, G295&gt;=L295),1,0)</f>
        <v>0</v>
      </c>
      <c r="O295" s="90" t="s">
        <v>1209</v>
      </c>
      <c r="P295" s="90" t="s">
        <v>1217</v>
      </c>
      <c r="Q295" s="90"/>
      <c r="R295" s="1497"/>
      <c r="S295" s="90"/>
      <c r="T295" s="1327"/>
      <c r="U295" s="90"/>
      <c r="V295" s="90"/>
      <c r="W295" s="1613">
        <v>16</v>
      </c>
      <c r="X295" s="90">
        <v>8</v>
      </c>
      <c r="Y295" s="90">
        <v>20</v>
      </c>
      <c r="Z295" s="90" t="str">
        <f>Units!B$121</f>
        <v>hr/day</v>
      </c>
      <c r="AA295" s="90">
        <f>Units!C$121</f>
        <v>1</v>
      </c>
      <c r="AB295" s="90">
        <f>Units!D$121</f>
        <v>1</v>
      </c>
      <c r="AC295" s="90" t="str">
        <f>Units!E$121</f>
        <v>hr/day</v>
      </c>
      <c r="AD295" s="90" t="str">
        <f>Units!F$121</f>
        <v>hr/day</v>
      </c>
      <c r="AE295" s="90" t="str">
        <f>Units!G$121</f>
        <v>hr/day</v>
      </c>
      <c r="AF295" s="90" t="str">
        <f>Units!H$121</f>
        <v>hr/day</v>
      </c>
    </row>
    <row r="296" spans="1:32" x14ac:dyDescent="0.3">
      <c r="A296" s="90" t="s">
        <v>1208</v>
      </c>
      <c r="B296" s="90" t="s">
        <v>724</v>
      </c>
      <c r="C296" s="1491" t="str">
        <f t="shared" si="166"/>
        <v>UDV.dpss_aer.effluent_K</v>
      </c>
      <c r="D296" s="1492">
        <f t="shared" si="167"/>
        <v>1</v>
      </c>
      <c r="E296" s="1493" t="str">
        <f t="shared" si="168"/>
        <v>fraction</v>
      </c>
      <c r="F296" s="1494">
        <f t="shared" si="165"/>
        <v>1</v>
      </c>
      <c r="G296" s="1495"/>
      <c r="H296" s="1496">
        <f t="shared" si="169"/>
        <v>1</v>
      </c>
      <c r="I296" s="955" t="str">
        <f t="shared" si="170"/>
        <v>fraction</v>
      </c>
      <c r="J296" s="90" t="s">
        <v>660</v>
      </c>
      <c r="K296" s="90"/>
      <c r="L296">
        <f t="shared" si="160"/>
        <v>0</v>
      </c>
      <c r="M296">
        <f t="shared" si="161"/>
        <v>1</v>
      </c>
      <c r="N296" s="90">
        <f t="shared" ref="N296:N316" si="192">IF(AND(G296&lt;=M296, G296&gt;=L296),1,0)</f>
        <v>1</v>
      </c>
      <c r="O296" s="90" t="s">
        <v>1209</v>
      </c>
      <c r="P296" s="90" t="s">
        <v>1200</v>
      </c>
      <c r="Q296" s="90"/>
      <c r="R296" s="1497"/>
      <c r="S296" s="90"/>
      <c r="T296" s="1327"/>
      <c r="U296" s="90"/>
      <c r="V296" s="90" t="str">
        <f t="shared" ref="V296:V323" si="193">IF(OR((M296-L296)&lt;=0,H296&gt;M296,H296&lt;L296),"Fix","")</f>
        <v/>
      </c>
      <c r="W296" s="755">
        <v>1</v>
      </c>
      <c r="X296" s="90">
        <v>0</v>
      </c>
      <c r="Y296" s="90">
        <v>1</v>
      </c>
      <c r="Z296" s="90" t="str">
        <f>Units!B$35</f>
        <v>fraction</v>
      </c>
      <c r="AA296" s="90">
        <f>Units!C$35</f>
        <v>1</v>
      </c>
      <c r="AB296" s="90">
        <f>Units!D$35</f>
        <v>1</v>
      </c>
      <c r="AC296" s="90" t="str">
        <f>Units!E$35</f>
        <v>fraction</v>
      </c>
      <c r="AD296" s="90" t="str">
        <f>Units!F$35</f>
        <v>fraction</v>
      </c>
      <c r="AE296" s="90" t="str">
        <f>Units!G$35</f>
        <v>fraction</v>
      </c>
      <c r="AF296" s="90" t="str">
        <f>Units!H$35</f>
        <v>fraction</v>
      </c>
    </row>
    <row r="297" spans="1:32" x14ac:dyDescent="0.3">
      <c r="A297" s="90" t="s">
        <v>1208</v>
      </c>
      <c r="B297" s="90" t="s">
        <v>726</v>
      </c>
      <c r="C297" s="1491" t="str">
        <f t="shared" si="166"/>
        <v>UDV.dpss_aer.effluent_N</v>
      </c>
      <c r="D297" s="1492">
        <f>$F297*$AB297</f>
        <v>0.44936350599999997</v>
      </c>
      <c r="E297" s="1493" t="str">
        <f t="shared" si="168"/>
        <v>fraction</v>
      </c>
      <c r="F297" s="1494">
        <f>IF(OR(G297="",N297=0),H297,G297)</f>
        <v>0.44936350599999997</v>
      </c>
      <c r="G297" s="1495"/>
      <c r="H297" s="1496">
        <f t="shared" si="169"/>
        <v>0.44936350599999997</v>
      </c>
      <c r="I297" s="955" t="str">
        <f t="shared" si="170"/>
        <v>fraction</v>
      </c>
      <c r="J297" s="90" t="s">
        <v>688</v>
      </c>
      <c r="K297" s="90"/>
      <c r="L297">
        <f t="shared" si="160"/>
        <v>0</v>
      </c>
      <c r="M297">
        <f t="shared" si="161"/>
        <v>1</v>
      </c>
      <c r="N297" s="90">
        <f t="shared" si="192"/>
        <v>1</v>
      </c>
      <c r="O297" s="90" t="s">
        <v>1209</v>
      </c>
      <c r="P297" s="90" t="s">
        <v>1201</v>
      </c>
      <c r="Q297" s="90"/>
      <c r="R297" s="1497"/>
      <c r="S297" s="90"/>
      <c r="T297" s="1327"/>
      <c r="U297" s="90"/>
      <c r="V297" s="90" t="str">
        <f t="shared" si="193"/>
        <v/>
      </c>
      <c r="W297" s="755">
        <f>1-UDV.emit_NH3.lossfrac_pit_aerated-UDV.emit_N2O_direct.ef3_pit*UC.N2O_to_N</f>
        <v>0.44936350599999997</v>
      </c>
      <c r="X297" s="90">
        <v>0</v>
      </c>
      <c r="Y297" s="90">
        <v>1</v>
      </c>
      <c r="Z297" s="90" t="str">
        <f>Units!B$35</f>
        <v>fraction</v>
      </c>
      <c r="AA297" s="90">
        <f>Units!C$35</f>
        <v>1</v>
      </c>
      <c r="AB297" s="90">
        <f>Units!D$35</f>
        <v>1</v>
      </c>
      <c r="AC297" s="90" t="str">
        <f>Units!E$35</f>
        <v>fraction</v>
      </c>
      <c r="AD297" s="90" t="str">
        <f>Units!F$35</f>
        <v>fraction</v>
      </c>
      <c r="AE297" s="90" t="str">
        <f>Units!G$35</f>
        <v>fraction</v>
      </c>
      <c r="AF297" s="90" t="str">
        <f>Units!H$35</f>
        <v>fraction</v>
      </c>
    </row>
    <row r="298" spans="1:32" x14ac:dyDescent="0.3">
      <c r="A298" s="90" t="s">
        <v>1208</v>
      </c>
      <c r="B298" s="90" t="s">
        <v>733</v>
      </c>
      <c r="C298" s="1491" t="str">
        <f t="shared" si="166"/>
        <v>UDV.dpss_aer.effluent_P</v>
      </c>
      <c r="D298" s="1492">
        <f t="shared" si="167"/>
        <v>1</v>
      </c>
      <c r="E298" s="1493" t="str">
        <f t="shared" si="168"/>
        <v>fraction</v>
      </c>
      <c r="F298" s="1494">
        <f t="shared" ref="F298:F311" si="194">IF(OR(G298="",N298=0),H298,G298)</f>
        <v>1</v>
      </c>
      <c r="G298" s="1495"/>
      <c r="H298" s="1496">
        <f t="shared" si="169"/>
        <v>1</v>
      </c>
      <c r="I298" s="955" t="str">
        <f t="shared" si="170"/>
        <v>fraction</v>
      </c>
      <c r="J298" s="90" t="s">
        <v>660</v>
      </c>
      <c r="K298" s="90"/>
      <c r="L298">
        <f t="shared" si="160"/>
        <v>0</v>
      </c>
      <c r="M298">
        <f t="shared" si="161"/>
        <v>1</v>
      </c>
      <c r="N298" s="90">
        <f t="shared" si="192"/>
        <v>1</v>
      </c>
      <c r="O298" s="90" t="s">
        <v>1209</v>
      </c>
      <c r="P298" s="90" t="s">
        <v>1202</v>
      </c>
      <c r="Q298" s="90"/>
      <c r="R298" s="1497"/>
      <c r="S298" s="90"/>
      <c r="T298" s="1327"/>
      <c r="U298" s="90"/>
      <c r="V298" s="90" t="str">
        <f t="shared" si="193"/>
        <v/>
      </c>
      <c r="W298" s="755">
        <v>1</v>
      </c>
      <c r="X298" s="90">
        <v>0</v>
      </c>
      <c r="Y298" s="90">
        <v>1</v>
      </c>
      <c r="Z298" s="90" t="str">
        <f>Units!B$35</f>
        <v>fraction</v>
      </c>
      <c r="AA298" s="90">
        <f>Units!C$35</f>
        <v>1</v>
      </c>
      <c r="AB298" s="90">
        <f>Units!D$35</f>
        <v>1</v>
      </c>
      <c r="AC298" s="90" t="str">
        <f>Units!E$35</f>
        <v>fraction</v>
      </c>
      <c r="AD298" s="90" t="str">
        <f>Units!F$35</f>
        <v>fraction</v>
      </c>
      <c r="AE298" s="90" t="str">
        <f>Units!G$35</f>
        <v>fraction</v>
      </c>
      <c r="AF298" s="90" t="str">
        <f>Units!H$35</f>
        <v>fraction</v>
      </c>
    </row>
    <row r="299" spans="1:32" x14ac:dyDescent="0.3">
      <c r="A299" s="90" t="s">
        <v>1208</v>
      </c>
      <c r="B299" s="90" t="s">
        <v>740</v>
      </c>
      <c r="C299" s="1491" t="str">
        <f t="shared" si="166"/>
        <v>UDV.dpss_aer.effluent_TAN</v>
      </c>
      <c r="D299" s="1492">
        <f t="shared" si="167"/>
        <v>1</v>
      </c>
      <c r="E299" s="1493" t="str">
        <f t="shared" si="168"/>
        <v>fraction</v>
      </c>
      <c r="F299" s="1494">
        <f t="shared" si="194"/>
        <v>1</v>
      </c>
      <c r="G299" s="1495"/>
      <c r="H299" s="1496">
        <f t="shared" si="169"/>
        <v>1</v>
      </c>
      <c r="I299" s="955" t="str">
        <f t="shared" si="170"/>
        <v>fraction</v>
      </c>
      <c r="J299" s="90" t="s">
        <v>660</v>
      </c>
      <c r="K299" s="90"/>
      <c r="L299">
        <f t="shared" si="160"/>
        <v>0</v>
      </c>
      <c r="M299">
        <f t="shared" si="161"/>
        <v>1</v>
      </c>
      <c r="N299" s="90">
        <f t="shared" si="192"/>
        <v>1</v>
      </c>
      <c r="O299" s="90" t="s">
        <v>1209</v>
      </c>
      <c r="P299" s="90" t="s">
        <v>1203</v>
      </c>
      <c r="Q299" s="90"/>
      <c r="R299" s="1497"/>
      <c r="S299" s="90"/>
      <c r="T299" s="1327"/>
      <c r="U299" s="90"/>
      <c r="V299" s="90" t="str">
        <f t="shared" si="193"/>
        <v/>
      </c>
      <c r="W299" s="755">
        <v>1</v>
      </c>
      <c r="X299" s="90">
        <v>0</v>
      </c>
      <c r="Y299" s="90">
        <v>1</v>
      </c>
      <c r="Z299" s="90" t="str">
        <f>Units!B$35</f>
        <v>fraction</v>
      </c>
      <c r="AA299" s="90">
        <f>Units!C$35</f>
        <v>1</v>
      </c>
      <c r="AB299" s="90">
        <f>Units!D$35</f>
        <v>1</v>
      </c>
      <c r="AC299" s="90" t="str">
        <f>Units!E$35</f>
        <v>fraction</v>
      </c>
      <c r="AD299" s="90" t="str">
        <f>Units!F$35</f>
        <v>fraction</v>
      </c>
      <c r="AE299" s="90" t="str">
        <f>Units!G$35</f>
        <v>fraction</v>
      </c>
      <c r="AF299" s="90" t="str">
        <f>Units!H$35</f>
        <v>fraction</v>
      </c>
    </row>
    <row r="300" spans="1:32" x14ac:dyDescent="0.3">
      <c r="A300" s="90" t="s">
        <v>1208</v>
      </c>
      <c r="B300" s="90" t="s">
        <v>745</v>
      </c>
      <c r="C300" s="1491" t="str">
        <f t="shared" si="166"/>
        <v>UDV.dpss_aer.effluent_TS</v>
      </c>
      <c r="D300" s="1492">
        <f t="shared" si="167"/>
        <v>0.6</v>
      </c>
      <c r="E300" s="1493" t="str">
        <f t="shared" si="168"/>
        <v>fraction</v>
      </c>
      <c r="F300" s="1494">
        <f t="shared" si="194"/>
        <v>0.6</v>
      </c>
      <c r="G300" s="1495"/>
      <c r="H300" s="1496">
        <f t="shared" si="169"/>
        <v>0.6</v>
      </c>
      <c r="I300" s="955" t="str">
        <f t="shared" si="170"/>
        <v>fraction</v>
      </c>
      <c r="J300" s="90" t="s">
        <v>660</v>
      </c>
      <c r="K300" s="90"/>
      <c r="L300">
        <f t="shared" si="160"/>
        <v>0</v>
      </c>
      <c r="M300">
        <f t="shared" si="161"/>
        <v>1</v>
      </c>
      <c r="N300" s="90">
        <f t="shared" si="192"/>
        <v>1</v>
      </c>
      <c r="O300" s="90" t="s">
        <v>1209</v>
      </c>
      <c r="P300" s="90" t="s">
        <v>1204</v>
      </c>
      <c r="Q300" s="90"/>
      <c r="R300" s="1497"/>
      <c r="S300" s="90"/>
      <c r="T300" s="1327"/>
      <c r="U300" s="90"/>
      <c r="V300" s="90" t="str">
        <f t="shared" si="193"/>
        <v/>
      </c>
      <c r="W300" s="755">
        <v>0.6</v>
      </c>
      <c r="X300" s="90">
        <v>0</v>
      </c>
      <c r="Y300" s="90">
        <v>1</v>
      </c>
      <c r="Z300" s="90" t="str">
        <f>Units!B$35</f>
        <v>fraction</v>
      </c>
      <c r="AA300" s="90">
        <f>Units!C$35</f>
        <v>1</v>
      </c>
      <c r="AB300" s="90">
        <f>Units!D$35</f>
        <v>1</v>
      </c>
      <c r="AC300" s="90" t="str">
        <f>Units!E$35</f>
        <v>fraction</v>
      </c>
      <c r="AD300" s="90" t="str">
        <f>Units!F$35</f>
        <v>fraction</v>
      </c>
      <c r="AE300" s="90" t="str">
        <f>Units!G$35</f>
        <v>fraction</v>
      </c>
      <c r="AF300" s="90" t="str">
        <f>Units!H$35</f>
        <v>fraction</v>
      </c>
    </row>
    <row r="301" spans="1:32" x14ac:dyDescent="0.3">
      <c r="A301" s="90" t="s">
        <v>1208</v>
      </c>
      <c r="B301" s="90" t="s">
        <v>747</v>
      </c>
      <c r="C301" s="1491" t="str">
        <f t="shared" si="166"/>
        <v>UDV.dpss_aer.effluent_VS</v>
      </c>
      <c r="D301" s="1492">
        <f t="shared" si="167"/>
        <v>0.7</v>
      </c>
      <c r="E301" s="1493" t="str">
        <f t="shared" si="168"/>
        <v>fraction</v>
      </c>
      <c r="F301" s="1494">
        <f t="shared" si="194"/>
        <v>0.7</v>
      </c>
      <c r="G301" s="1495"/>
      <c r="H301" s="1496">
        <f t="shared" si="169"/>
        <v>0.7</v>
      </c>
      <c r="I301" s="955" t="str">
        <f t="shared" si="170"/>
        <v>fraction</v>
      </c>
      <c r="J301" s="90" t="s">
        <v>660</v>
      </c>
      <c r="K301" s="90"/>
      <c r="L301">
        <f t="shared" ref="L301:L354" si="195">ROUNDDOWN($X301*$AA301,3)</f>
        <v>0</v>
      </c>
      <c r="M301">
        <f t="shared" ref="M301:M354" si="196">ROUNDUP($Y301*$AA301,3)</f>
        <v>1</v>
      </c>
      <c r="N301" s="90">
        <f t="shared" si="192"/>
        <v>1</v>
      </c>
      <c r="O301" s="90" t="s">
        <v>1209</v>
      </c>
      <c r="P301" s="90" t="s">
        <v>1205</v>
      </c>
      <c r="Q301" s="90"/>
      <c r="R301" s="1497"/>
      <c r="S301" s="90"/>
      <c r="T301" s="1327"/>
      <c r="U301" s="90"/>
      <c r="V301" s="90" t="str">
        <f t="shared" si="193"/>
        <v/>
      </c>
      <c r="W301" s="755">
        <v>0.7</v>
      </c>
      <c r="X301" s="90">
        <v>0</v>
      </c>
      <c r="Y301" s="90">
        <v>1</v>
      </c>
      <c r="Z301" s="90" t="str">
        <f>Units!B$35</f>
        <v>fraction</v>
      </c>
      <c r="AA301" s="90">
        <f>Units!C$35</f>
        <v>1</v>
      </c>
      <c r="AB301" s="90">
        <f>Units!D$35</f>
        <v>1</v>
      </c>
      <c r="AC301" s="90" t="str">
        <f>Units!E$35</f>
        <v>fraction</v>
      </c>
      <c r="AD301" s="90" t="str">
        <f>Units!F$35</f>
        <v>fraction</v>
      </c>
      <c r="AE301" s="90" t="str">
        <f>Units!G$35</f>
        <v>fraction</v>
      </c>
      <c r="AF301" s="90" t="str">
        <f>Units!H$35</f>
        <v>fraction</v>
      </c>
    </row>
    <row r="302" spans="1:32" x14ac:dyDescent="0.3">
      <c r="A302" s="944" t="s">
        <v>1208</v>
      </c>
      <c r="B302" s="944" t="s">
        <v>742</v>
      </c>
      <c r="C302" s="124" t="str">
        <f t="shared" si="166"/>
        <v>UDV.dpss_aer.effluent_time</v>
      </c>
      <c r="D302" s="944">
        <f t="shared" si="167"/>
        <v>180</v>
      </c>
      <c r="E302" s="125" t="str">
        <f t="shared" si="168"/>
        <v>days</v>
      </c>
      <c r="F302" s="944">
        <f t="shared" si="194"/>
        <v>180</v>
      </c>
      <c r="G302" s="944"/>
      <c r="H302">
        <f t="shared" si="169"/>
        <v>180</v>
      </c>
      <c r="I302" s="1325" t="str">
        <f t="shared" si="170"/>
        <v>days</v>
      </c>
      <c r="J302" s="944" t="s">
        <v>688</v>
      </c>
      <c r="K302" s="944"/>
      <c r="L302">
        <f t="shared" si="195"/>
        <v>90</v>
      </c>
      <c r="M302">
        <f t="shared" si="196"/>
        <v>365</v>
      </c>
      <c r="N302">
        <f>IF(M302 - G302 &gt;= 0,1,0)</f>
        <v>1</v>
      </c>
      <c r="O302" s="90" t="s">
        <v>1209</v>
      </c>
      <c r="P302" t="s">
        <v>744</v>
      </c>
      <c r="Q302" t="s">
        <v>739</v>
      </c>
      <c r="R302" s="711"/>
      <c r="S302" t="s">
        <v>84</v>
      </c>
      <c r="V302" t="str">
        <f t="shared" si="193"/>
        <v/>
      </c>
      <c r="W302">
        <f>UDV.dpss.effluent_time</f>
        <v>180</v>
      </c>
      <c r="X302">
        <f>X286</f>
        <v>90</v>
      </c>
      <c r="Y302">
        <f>Y286</f>
        <v>365</v>
      </c>
      <c r="Z302" t="str">
        <f>Units!B$111</f>
        <v>days</v>
      </c>
      <c r="AA302">
        <f>Units!C$111</f>
        <v>1</v>
      </c>
      <c r="AB302">
        <f>Units!D$111</f>
        <v>1</v>
      </c>
      <c r="AC302" t="str">
        <f>Units!E$111</f>
        <v>days</v>
      </c>
      <c r="AD302" t="str">
        <f>Units!F$111</f>
        <v>days</v>
      </c>
      <c r="AE302" t="str">
        <f>Units!G$111</f>
        <v>days</v>
      </c>
      <c r="AF302" t="str">
        <f>Units!H$111</f>
        <v>days</v>
      </c>
    </row>
    <row r="303" spans="1:32" x14ac:dyDescent="0.3">
      <c r="A303" s="944" t="s">
        <v>1208</v>
      </c>
      <c r="B303" s="944" t="s">
        <v>1206</v>
      </c>
      <c r="C303" s="124" t="str">
        <f t="shared" si="166"/>
        <v>UDV.dpss_aer.removal_events</v>
      </c>
      <c r="D303" s="944">
        <f t="shared" si="167"/>
        <v>2</v>
      </c>
      <c r="E303" s="125" t="str">
        <f t="shared" si="168"/>
        <v>events/year</v>
      </c>
      <c r="F303" s="944">
        <f t="shared" si="194"/>
        <v>2</v>
      </c>
      <c r="G303" s="944"/>
      <c r="H303">
        <f t="shared" si="169"/>
        <v>2</v>
      </c>
      <c r="I303" s="1325" t="str">
        <f t="shared" si="170"/>
        <v>events/year</v>
      </c>
      <c r="J303" s="944" t="s">
        <v>660</v>
      </c>
      <c r="K303" s="944"/>
      <c r="L303">
        <f t="shared" si="195"/>
        <v>1</v>
      </c>
      <c r="M303">
        <f t="shared" si="196"/>
        <v>12</v>
      </c>
      <c r="N303">
        <f>IF(M303 - G303 &gt;= 0,1,0)</f>
        <v>1</v>
      </c>
      <c r="O303" s="90" t="s">
        <v>1209</v>
      </c>
      <c r="P303" s="90" t="s">
        <v>1207</v>
      </c>
      <c r="R303" s="711"/>
      <c r="W303">
        <v>2</v>
      </c>
      <c r="X303" s="90">
        <v>1</v>
      </c>
      <c r="Y303" s="90">
        <v>12</v>
      </c>
      <c r="Z303" t="str">
        <f>Units!B$31</f>
        <v>events/year</v>
      </c>
      <c r="AA303">
        <f>Units!C$31</f>
        <v>1</v>
      </c>
      <c r="AB303">
        <f>Units!D$31</f>
        <v>1</v>
      </c>
      <c r="AC303" t="str">
        <f>Units!E$31</f>
        <v>events/year</v>
      </c>
      <c r="AD303" t="str">
        <f>Units!F$31</f>
        <v>events/year</v>
      </c>
      <c r="AE303" t="str">
        <f>Units!G$31</f>
        <v>events/year</v>
      </c>
      <c r="AF303" t="str">
        <f>Units!H$31</f>
        <v>events/year</v>
      </c>
    </row>
    <row r="304" spans="1:32" x14ac:dyDescent="0.3">
      <c r="A304" s="710" t="s">
        <v>1218</v>
      </c>
      <c r="B304" t="s">
        <v>1219</v>
      </c>
      <c r="C304" s="124" t="str">
        <f t="shared" si="166"/>
        <v>UDV.econ_agi.diesel_trailer</v>
      </c>
      <c r="D304" s="1091">
        <f t="shared" si="167"/>
        <v>131500</v>
      </c>
      <c r="E304" s="1093" t="str">
        <f t="shared" si="168"/>
        <v>$ (Equipment)</v>
      </c>
      <c r="F304" s="1095">
        <f t="shared" si="194"/>
        <v>131500</v>
      </c>
      <c r="H304" s="1101">
        <f t="shared" si="169"/>
        <v>131500</v>
      </c>
      <c r="I304" s="956" t="str">
        <f t="shared" si="170"/>
        <v>$ (Equipment)</v>
      </c>
      <c r="J304" t="s">
        <v>660</v>
      </c>
      <c r="L304">
        <f t="shared" si="195"/>
        <v>92100</v>
      </c>
      <c r="M304">
        <f t="shared" si="196"/>
        <v>171000</v>
      </c>
      <c r="N304">
        <f t="shared" si="192"/>
        <v>0</v>
      </c>
      <c r="O304" t="s">
        <v>1220</v>
      </c>
      <c r="P304" t="s">
        <v>1221</v>
      </c>
      <c r="Q304" t="s">
        <v>1222</v>
      </c>
      <c r="R304" s="711"/>
      <c r="V304" t="str">
        <f t="shared" si="193"/>
        <v/>
      </c>
      <c r="W304">
        <v>131500</v>
      </c>
      <c r="X304">
        <v>92100</v>
      </c>
      <c r="Y304">
        <v>171000</v>
      </c>
      <c r="Z304" t="str">
        <f>Units!B$15</f>
        <v>$ (Equipment)</v>
      </c>
      <c r="AA304">
        <f>Units!C$15</f>
        <v>1</v>
      </c>
      <c r="AB304">
        <f>Units!D$15</f>
        <v>1</v>
      </c>
      <c r="AC304" t="str">
        <f>Units!E$15</f>
        <v>$ (Equipment)</v>
      </c>
      <c r="AD304" t="str">
        <f>Units!F$15</f>
        <v>$ (Equipment)</v>
      </c>
      <c r="AE304" t="str">
        <f>Units!G$15</f>
        <v>$ (Equipment)</v>
      </c>
      <c r="AF304" t="str">
        <f>Units!H$15</f>
        <v>$ (Equipment)</v>
      </c>
    </row>
    <row r="305" spans="1:32" x14ac:dyDescent="0.3">
      <c r="A305" s="710" t="s">
        <v>1218</v>
      </c>
      <c r="B305" t="s">
        <v>1223</v>
      </c>
      <c r="C305" s="124" t="str">
        <f t="shared" si="166"/>
        <v>UDV.econ_agi.electric</v>
      </c>
      <c r="D305" s="1091">
        <f t="shared" si="167"/>
        <v>12100</v>
      </c>
      <c r="E305" s="1093" t="str">
        <f t="shared" si="168"/>
        <v>$ (Equipment)</v>
      </c>
      <c r="F305" s="1095">
        <f t="shared" si="194"/>
        <v>12100</v>
      </c>
      <c r="H305" s="1101">
        <f t="shared" si="169"/>
        <v>12100</v>
      </c>
      <c r="I305" s="956" t="str">
        <f t="shared" si="170"/>
        <v>$ (Equipment)</v>
      </c>
      <c r="J305" t="s">
        <v>660</v>
      </c>
      <c r="L305">
        <f t="shared" si="195"/>
        <v>9600</v>
      </c>
      <c r="M305">
        <f t="shared" si="196"/>
        <v>14200</v>
      </c>
      <c r="N305">
        <f t="shared" si="192"/>
        <v>0</v>
      </c>
      <c r="O305" t="s">
        <v>1220</v>
      </c>
      <c r="P305" t="s">
        <v>1224</v>
      </c>
      <c r="Q305" t="s">
        <v>1222</v>
      </c>
      <c r="R305" s="711"/>
      <c r="V305" t="str">
        <f t="shared" si="193"/>
        <v/>
      </c>
      <c r="W305">
        <v>12100</v>
      </c>
      <c r="X305">
        <v>9600</v>
      </c>
      <c r="Y305">
        <v>14200</v>
      </c>
      <c r="Z305" t="str">
        <f>Units!B$15</f>
        <v>$ (Equipment)</v>
      </c>
      <c r="AA305">
        <f>Units!C$15</f>
        <v>1</v>
      </c>
      <c r="AB305">
        <f>Units!D$15</f>
        <v>1</v>
      </c>
      <c r="AC305" t="str">
        <f>Units!E$15</f>
        <v>$ (Equipment)</v>
      </c>
      <c r="AD305" t="str">
        <f>Units!F$15</f>
        <v>$ (Equipment)</v>
      </c>
      <c r="AE305" t="str">
        <f>Units!G$15</f>
        <v>$ (Equipment)</v>
      </c>
      <c r="AF305" t="str">
        <f>Units!H$15</f>
        <v>$ (Equipment)</v>
      </c>
    </row>
    <row r="306" spans="1:32" x14ac:dyDescent="0.3">
      <c r="A306" s="710" t="s">
        <v>1218</v>
      </c>
      <c r="B306" t="s">
        <v>1225</v>
      </c>
      <c r="C306" s="124" t="str">
        <f t="shared" si="166"/>
        <v>UDV.econ_agi.pto</v>
      </c>
      <c r="D306" s="1091">
        <f t="shared" si="167"/>
        <v>43500</v>
      </c>
      <c r="E306" s="1093" t="str">
        <f t="shared" si="168"/>
        <v>$ (Equipment)</v>
      </c>
      <c r="F306" s="1095">
        <f t="shared" si="194"/>
        <v>43500</v>
      </c>
      <c r="H306" s="1101">
        <f t="shared" si="169"/>
        <v>43500</v>
      </c>
      <c r="I306" s="956" t="str">
        <f t="shared" si="170"/>
        <v>$ (Equipment)</v>
      </c>
      <c r="J306" t="s">
        <v>660</v>
      </c>
      <c r="L306">
        <f t="shared" si="195"/>
        <v>31400</v>
      </c>
      <c r="M306">
        <f t="shared" si="196"/>
        <v>56700</v>
      </c>
      <c r="N306">
        <f t="shared" si="192"/>
        <v>0</v>
      </c>
      <c r="O306" t="s">
        <v>1220</v>
      </c>
      <c r="P306" t="s">
        <v>1226</v>
      </c>
      <c r="Q306" t="s">
        <v>1222</v>
      </c>
      <c r="R306" s="711"/>
      <c r="V306" t="str">
        <f t="shared" si="193"/>
        <v/>
      </c>
      <c r="W306">
        <v>43500</v>
      </c>
      <c r="X306">
        <v>31400</v>
      </c>
      <c r="Y306">
        <v>56700</v>
      </c>
      <c r="Z306" t="str">
        <f>Units!B$15</f>
        <v>$ (Equipment)</v>
      </c>
      <c r="AA306">
        <f>Units!C$15</f>
        <v>1</v>
      </c>
      <c r="AB306">
        <f>Units!D$15</f>
        <v>1</v>
      </c>
      <c r="AC306" t="str">
        <f>Units!E$15</f>
        <v>$ (Equipment)</v>
      </c>
      <c r="AD306" t="str">
        <f>Units!F$15</f>
        <v>$ (Equipment)</v>
      </c>
      <c r="AE306" t="str">
        <f>Units!G$15</f>
        <v>$ (Equipment)</v>
      </c>
      <c r="AF306" t="str">
        <f>Units!H$15</f>
        <v>$ (Equipment)</v>
      </c>
    </row>
    <row r="307" spans="1:32" x14ac:dyDescent="0.3">
      <c r="A307" s="710" t="s">
        <v>1218</v>
      </c>
      <c r="B307" t="s">
        <v>1227</v>
      </c>
      <c r="C307" s="124" t="str">
        <f t="shared" si="166"/>
        <v>UDV.econ_agi.pump_motor</v>
      </c>
      <c r="D307" s="1091">
        <f t="shared" si="167"/>
        <v>24300</v>
      </c>
      <c r="E307" s="1093" t="str">
        <f t="shared" si="168"/>
        <v>$ (Equipment)</v>
      </c>
      <c r="F307" s="1095">
        <f t="shared" si="194"/>
        <v>24300</v>
      </c>
      <c r="H307" s="1101">
        <f t="shared" si="169"/>
        <v>24300</v>
      </c>
      <c r="I307" s="956" t="str">
        <f t="shared" si="170"/>
        <v>$ (Equipment)</v>
      </c>
      <c r="J307" t="s">
        <v>660</v>
      </c>
      <c r="L307">
        <f t="shared" si="195"/>
        <v>17000</v>
      </c>
      <c r="M307">
        <f t="shared" si="196"/>
        <v>31600</v>
      </c>
      <c r="N307">
        <f t="shared" si="192"/>
        <v>0</v>
      </c>
      <c r="O307" t="s">
        <v>1220</v>
      </c>
      <c r="P307" t="s">
        <v>1228</v>
      </c>
      <c r="Q307" t="s">
        <v>1222</v>
      </c>
      <c r="R307" s="711"/>
      <c r="V307" t="str">
        <f t="shared" si="193"/>
        <v/>
      </c>
      <c r="W307" s="78">
        <v>24300</v>
      </c>
      <c r="X307">
        <v>17000</v>
      </c>
      <c r="Y307">
        <v>31600</v>
      </c>
      <c r="Z307" t="str">
        <f>Units!B$15</f>
        <v>$ (Equipment)</v>
      </c>
      <c r="AA307">
        <f>Units!C$15</f>
        <v>1</v>
      </c>
      <c r="AB307">
        <f>Units!D$15</f>
        <v>1</v>
      </c>
      <c r="AC307" t="str">
        <f>Units!E$15</f>
        <v>$ (Equipment)</v>
      </c>
      <c r="AD307" t="str">
        <f>Units!F$15</f>
        <v>$ (Equipment)</v>
      </c>
      <c r="AE307" t="str">
        <f>Units!G$15</f>
        <v>$ (Equipment)</v>
      </c>
      <c r="AF307" t="str">
        <f>Units!H$15</f>
        <v>$ (Equipment)</v>
      </c>
    </row>
    <row r="308" spans="1:32" x14ac:dyDescent="0.3">
      <c r="A308" s="710" t="s">
        <v>1229</v>
      </c>
      <c r="B308" t="s">
        <v>1230</v>
      </c>
      <c r="C308" s="124" t="str">
        <f t="shared" si="166"/>
        <v>UDV.econ_attachments.scraper</v>
      </c>
      <c r="D308" s="1091">
        <f t="shared" si="167"/>
        <v>1400</v>
      </c>
      <c r="E308" s="1093" t="str">
        <f t="shared" si="168"/>
        <v>$ (Equipment)</v>
      </c>
      <c r="F308" s="1095">
        <f t="shared" si="194"/>
        <v>1400</v>
      </c>
      <c r="H308" s="1101">
        <f t="shared" si="169"/>
        <v>1400</v>
      </c>
      <c r="I308" s="956" t="str">
        <f t="shared" si="170"/>
        <v>$ (Equipment)</v>
      </c>
      <c r="J308" t="s">
        <v>660</v>
      </c>
      <c r="L308">
        <f t="shared" si="195"/>
        <v>1000</v>
      </c>
      <c r="M308">
        <f t="shared" si="196"/>
        <v>1800</v>
      </c>
      <c r="N308">
        <f t="shared" si="192"/>
        <v>0</v>
      </c>
      <c r="O308" t="s">
        <v>1231</v>
      </c>
      <c r="P308" t="s">
        <v>1232</v>
      </c>
      <c r="Q308" t="s">
        <v>1222</v>
      </c>
      <c r="R308" s="711"/>
      <c r="V308" t="str">
        <f t="shared" si="193"/>
        <v/>
      </c>
      <c r="W308">
        <v>1400</v>
      </c>
      <c r="X308">
        <v>1000</v>
      </c>
      <c r="Y308">
        <v>1800</v>
      </c>
      <c r="Z308" t="str">
        <f>Units!B$15</f>
        <v>$ (Equipment)</v>
      </c>
      <c r="AA308">
        <f>Units!C$15</f>
        <v>1</v>
      </c>
      <c r="AB308">
        <f>Units!D$15</f>
        <v>1</v>
      </c>
      <c r="AC308" t="str">
        <f>Units!E$15</f>
        <v>$ (Equipment)</v>
      </c>
      <c r="AD308" t="str">
        <f>Units!F$15</f>
        <v>$ (Equipment)</v>
      </c>
      <c r="AE308" t="str">
        <f>Units!G$15</f>
        <v>$ (Equipment)</v>
      </c>
      <c r="AF308" t="str">
        <f>Units!H$15</f>
        <v>$ (Equipment)</v>
      </c>
    </row>
    <row r="309" spans="1:32" x14ac:dyDescent="0.3">
      <c r="A309" s="710" t="s">
        <v>1233</v>
      </c>
      <c r="B309" t="s">
        <v>1234</v>
      </c>
      <c r="C309" s="124" t="str">
        <f t="shared" si="166"/>
        <v>UDV.econ_auto_scrape.chain</v>
      </c>
      <c r="D309" s="1091">
        <f t="shared" si="167"/>
        <v>11.3</v>
      </c>
      <c r="E309" s="1093" t="str">
        <f t="shared" si="168"/>
        <v>$ (Equipment)</v>
      </c>
      <c r="F309" s="1095">
        <f t="shared" si="194"/>
        <v>11.3</v>
      </c>
      <c r="H309" s="1101">
        <f t="shared" si="169"/>
        <v>11.3</v>
      </c>
      <c r="I309" s="956" t="str">
        <f t="shared" si="170"/>
        <v>$ (Equipment)</v>
      </c>
      <c r="J309" t="s">
        <v>660</v>
      </c>
      <c r="L309">
        <f t="shared" si="195"/>
        <v>8</v>
      </c>
      <c r="M309">
        <f t="shared" si="196"/>
        <v>14.8</v>
      </c>
      <c r="N309">
        <f t="shared" si="192"/>
        <v>0</v>
      </c>
      <c r="O309" t="s">
        <v>1235</v>
      </c>
      <c r="P309" t="s">
        <v>1236</v>
      </c>
      <c r="Q309" t="s">
        <v>1237</v>
      </c>
      <c r="R309" s="711"/>
      <c r="V309" t="str">
        <f t="shared" si="193"/>
        <v/>
      </c>
      <c r="W309">
        <v>11.3</v>
      </c>
      <c r="X309">
        <v>8</v>
      </c>
      <c r="Y309">
        <v>14.8</v>
      </c>
      <c r="Z309" t="str">
        <f>Units!B$15</f>
        <v>$ (Equipment)</v>
      </c>
      <c r="AA309">
        <f>Units!C$15</f>
        <v>1</v>
      </c>
      <c r="AB309">
        <f>Units!D$15</f>
        <v>1</v>
      </c>
      <c r="AC309" t="str">
        <f>Units!E$15</f>
        <v>$ (Equipment)</v>
      </c>
      <c r="AD309" t="str">
        <f>Units!F$15</f>
        <v>$ (Equipment)</v>
      </c>
      <c r="AE309" t="str">
        <f>Units!G$15</f>
        <v>$ (Equipment)</v>
      </c>
      <c r="AF309" t="str">
        <f>Units!H$15</f>
        <v>$ (Equipment)</v>
      </c>
    </row>
    <row r="310" spans="1:32" x14ac:dyDescent="0.3">
      <c r="A310" s="710" t="s">
        <v>1233</v>
      </c>
      <c r="B310" t="s">
        <v>1238</v>
      </c>
      <c r="C310" s="124" t="str">
        <f t="shared" si="166"/>
        <v>UDV.econ_auto_scrape.install</v>
      </c>
      <c r="D310" s="1091">
        <f t="shared" si="167"/>
        <v>0.39</v>
      </c>
      <c r="E310" s="1093" t="str">
        <f t="shared" si="168"/>
        <v>fraction</v>
      </c>
      <c r="F310" s="1095">
        <f t="shared" si="194"/>
        <v>0.39</v>
      </c>
      <c r="H310" s="1101">
        <f t="shared" si="169"/>
        <v>0.39</v>
      </c>
      <c r="I310" s="956" t="str">
        <f t="shared" si="170"/>
        <v>fraction</v>
      </c>
      <c r="J310" t="s">
        <v>660</v>
      </c>
      <c r="L310">
        <f t="shared" si="195"/>
        <v>0.27</v>
      </c>
      <c r="M310">
        <f t="shared" si="196"/>
        <v>0.51</v>
      </c>
      <c r="N310">
        <f t="shared" si="192"/>
        <v>0</v>
      </c>
      <c r="O310" t="s">
        <v>1235</v>
      </c>
      <c r="P310" t="s">
        <v>1239</v>
      </c>
      <c r="Q310" t="s">
        <v>1237</v>
      </c>
      <c r="R310" s="711"/>
      <c r="V310" t="str">
        <f t="shared" si="193"/>
        <v/>
      </c>
      <c r="W310">
        <v>0.39</v>
      </c>
      <c r="X310">
        <v>0.27</v>
      </c>
      <c r="Y310">
        <v>0.51</v>
      </c>
      <c r="Z310" t="str">
        <f>Units!B$35</f>
        <v>fraction</v>
      </c>
      <c r="AA310">
        <f>Units!C$35</f>
        <v>1</v>
      </c>
      <c r="AB310">
        <f>Units!D$35</f>
        <v>1</v>
      </c>
      <c r="AC310" t="str">
        <f>Units!E$35</f>
        <v>fraction</v>
      </c>
      <c r="AD310" t="str">
        <f>Units!F$35</f>
        <v>fraction</v>
      </c>
      <c r="AE310" t="str">
        <f>Units!G$35</f>
        <v>fraction</v>
      </c>
      <c r="AF310" t="str">
        <f>Units!H$35</f>
        <v>fraction</v>
      </c>
    </row>
    <row r="311" spans="1:32" x14ac:dyDescent="0.3">
      <c r="A311" s="710" t="s">
        <v>1240</v>
      </c>
      <c r="B311" t="s">
        <v>1241</v>
      </c>
      <c r="C311" s="124" t="str">
        <f t="shared" si="166"/>
        <v>UDV.econ_box_spreader.one_size</v>
      </c>
      <c r="D311" s="1091">
        <f t="shared" si="167"/>
        <v>65800</v>
      </c>
      <c r="E311" s="1093" t="str">
        <f t="shared" si="168"/>
        <v>$ (Equipment)</v>
      </c>
      <c r="F311" s="1095">
        <f t="shared" si="194"/>
        <v>65800</v>
      </c>
      <c r="H311" s="1101">
        <f t="shared" si="169"/>
        <v>65800</v>
      </c>
      <c r="I311" s="956" t="str">
        <f t="shared" si="170"/>
        <v>$ (Equipment)</v>
      </c>
      <c r="J311" t="s">
        <v>660</v>
      </c>
      <c r="L311">
        <f t="shared" si="195"/>
        <v>46000</v>
      </c>
      <c r="M311">
        <f t="shared" si="196"/>
        <v>85500</v>
      </c>
      <c r="N311">
        <f t="shared" si="192"/>
        <v>0</v>
      </c>
      <c r="O311" t="s">
        <v>1242</v>
      </c>
      <c r="P311" t="s">
        <v>1243</v>
      </c>
      <c r="Q311" t="s">
        <v>1222</v>
      </c>
      <c r="R311" s="711"/>
      <c r="S311" t="s">
        <v>84</v>
      </c>
      <c r="V311" t="str">
        <f t="shared" si="193"/>
        <v/>
      </c>
      <c r="W311">
        <v>65800</v>
      </c>
      <c r="X311">
        <v>46000</v>
      </c>
      <c r="Y311">
        <v>85500</v>
      </c>
      <c r="Z311" t="str">
        <f>Units!B$15</f>
        <v>$ (Equipment)</v>
      </c>
      <c r="AA311">
        <f>Units!C$15</f>
        <v>1</v>
      </c>
      <c r="AB311">
        <f>Units!D$15</f>
        <v>1</v>
      </c>
      <c r="AC311" t="str">
        <f>Units!E$15</f>
        <v>$ (Equipment)</v>
      </c>
      <c r="AD311" t="str">
        <f>Units!F$15</f>
        <v>$ (Equipment)</v>
      </c>
      <c r="AE311" t="str">
        <f>Units!G$15</f>
        <v>$ (Equipment)</v>
      </c>
      <c r="AF311" t="str">
        <f>Units!H$15</f>
        <v>$ (Equipment)</v>
      </c>
    </row>
    <row r="312" spans="1:32" x14ac:dyDescent="0.3">
      <c r="A312" s="710" t="s">
        <v>1244</v>
      </c>
      <c r="B312" t="s">
        <v>1245</v>
      </c>
      <c r="C312" s="124" t="str">
        <f t="shared" si="166"/>
        <v>UDV.econ_build.compost_building</v>
      </c>
      <c r="D312" s="1091">
        <f t="shared" ref="D312:D343" si="197">$F312*$AB312</f>
        <v>42</v>
      </c>
      <c r="E312" s="1093" t="str">
        <f t="shared" ref="E312:E343" si="198">$AD312</f>
        <v>$/ft2</v>
      </c>
      <c r="F312" s="1109">
        <f t="shared" ref="F312:F339" si="199">IF(OR(G312="",N312=0),H312,G312)</f>
        <v>42</v>
      </c>
      <c r="H312" s="1101">
        <f t="shared" ref="H312:H321" si="200">$W312*$AA312</f>
        <v>42</v>
      </c>
      <c r="I312" s="956" t="str">
        <f t="shared" ref="I312:I343" si="201">$AC312</f>
        <v>$/ft2</v>
      </c>
      <c r="J312" t="s">
        <v>660</v>
      </c>
      <c r="L312">
        <f t="shared" si="195"/>
        <v>30</v>
      </c>
      <c r="M312">
        <f t="shared" si="196"/>
        <v>55</v>
      </c>
      <c r="N312">
        <f t="shared" si="192"/>
        <v>0</v>
      </c>
      <c r="O312" t="s">
        <v>1246</v>
      </c>
      <c r="P312" t="s">
        <v>1247</v>
      </c>
      <c r="Q312" t="s">
        <v>1222</v>
      </c>
      <c r="R312" s="711"/>
      <c r="V312" t="str">
        <f t="shared" si="193"/>
        <v/>
      </c>
      <c r="W312" s="78">
        <v>42</v>
      </c>
      <c r="X312">
        <v>30</v>
      </c>
      <c r="Y312">
        <v>55</v>
      </c>
      <c r="Z312" t="str">
        <f>Units!B$17</f>
        <v>$/ft2</v>
      </c>
      <c r="AA312">
        <f>Units!C$17</f>
        <v>1</v>
      </c>
      <c r="AB312">
        <f>Units!D$17</f>
        <v>1</v>
      </c>
      <c r="AC312" t="str">
        <f>Units!E$17</f>
        <v>$/ft2</v>
      </c>
      <c r="AD312" t="str">
        <f>Units!F$17</f>
        <v>$/ft2</v>
      </c>
      <c r="AE312" t="str">
        <f>Units!G$17</f>
        <v>$/m2</v>
      </c>
      <c r="AF312" t="str">
        <f>Units!H$17</f>
        <v>$/ft2</v>
      </c>
    </row>
    <row r="313" spans="1:32" x14ac:dyDescent="0.3">
      <c r="A313" s="710" t="s">
        <v>1244</v>
      </c>
      <c r="B313" t="s">
        <v>1248</v>
      </c>
      <c r="C313" s="124" t="str">
        <f t="shared" si="166"/>
        <v>UDV.econ_build.concrete_sand_lane</v>
      </c>
      <c r="D313" s="1091">
        <f t="shared" si="197"/>
        <v>15.4</v>
      </c>
      <c r="E313" s="1093" t="str">
        <f t="shared" si="198"/>
        <v>$/ft2</v>
      </c>
      <c r="F313" s="1109">
        <f t="shared" si="199"/>
        <v>15.4</v>
      </c>
      <c r="H313" s="1101">
        <f t="shared" si="200"/>
        <v>15.4</v>
      </c>
      <c r="I313" s="956" t="str">
        <f t="shared" si="201"/>
        <v>$/ft2</v>
      </c>
      <c r="J313" t="s">
        <v>660</v>
      </c>
      <c r="L313">
        <f t="shared" si="195"/>
        <v>11</v>
      </c>
      <c r="M313">
        <f t="shared" si="196"/>
        <v>29.4</v>
      </c>
      <c r="N313">
        <f t="shared" si="192"/>
        <v>0</v>
      </c>
      <c r="O313" t="s">
        <v>1246</v>
      </c>
      <c r="P313" t="s">
        <v>1249</v>
      </c>
      <c r="Q313" t="s">
        <v>1222</v>
      </c>
      <c r="R313" s="711"/>
      <c r="V313" t="str">
        <f t="shared" si="193"/>
        <v/>
      </c>
      <c r="W313">
        <v>15.4</v>
      </c>
      <c r="X313">
        <v>11</v>
      </c>
      <c r="Y313">
        <v>29.4</v>
      </c>
      <c r="Z313" t="str">
        <f>Units!B$17</f>
        <v>$/ft2</v>
      </c>
      <c r="AA313">
        <f>Units!C$17</f>
        <v>1</v>
      </c>
      <c r="AB313">
        <f>Units!D$17</f>
        <v>1</v>
      </c>
      <c r="AC313" t="str">
        <f>Units!E$17</f>
        <v>$/ft2</v>
      </c>
      <c r="AD313" t="str">
        <f>Units!F$17</f>
        <v>$/ft2</v>
      </c>
      <c r="AE313" t="str">
        <f>Units!G$17</f>
        <v>$/m2</v>
      </c>
      <c r="AF313" t="str">
        <f>Units!H$17</f>
        <v>$/ft2</v>
      </c>
    </row>
    <row r="314" spans="1:32" x14ac:dyDescent="0.3">
      <c r="A314" s="710" t="s">
        <v>1244</v>
      </c>
      <c r="B314" t="s">
        <v>1250</v>
      </c>
      <c r="C314" s="124" t="str">
        <f t="shared" si="166"/>
        <v>UDV.econ_build.concrete_slab_no_side</v>
      </c>
      <c r="D314" s="1091">
        <f t="shared" si="197"/>
        <v>9.5</v>
      </c>
      <c r="E314" s="1093" t="str">
        <f t="shared" si="198"/>
        <v>$/ft2</v>
      </c>
      <c r="F314" s="1109">
        <f t="shared" si="199"/>
        <v>9.5</v>
      </c>
      <c r="H314" s="1101">
        <f t="shared" si="200"/>
        <v>9.5</v>
      </c>
      <c r="I314" s="956" t="str">
        <f t="shared" si="201"/>
        <v>$/ft2</v>
      </c>
      <c r="J314" t="s">
        <v>660</v>
      </c>
      <c r="L314">
        <f t="shared" si="195"/>
        <v>5.5</v>
      </c>
      <c r="M314">
        <f t="shared" si="196"/>
        <v>21.4</v>
      </c>
      <c r="N314">
        <f t="shared" si="192"/>
        <v>0</v>
      </c>
      <c r="O314" t="s">
        <v>1246</v>
      </c>
      <c r="P314" t="s">
        <v>1251</v>
      </c>
      <c r="Q314" t="s">
        <v>1222</v>
      </c>
      <c r="R314" s="711"/>
      <c r="V314" t="str">
        <f t="shared" si="193"/>
        <v/>
      </c>
      <c r="W314">
        <v>9.5</v>
      </c>
      <c r="X314">
        <v>5.5</v>
      </c>
      <c r="Y314">
        <v>21.4</v>
      </c>
      <c r="Z314" t="str">
        <f>Units!B$17</f>
        <v>$/ft2</v>
      </c>
      <c r="AA314">
        <f>Units!C$17</f>
        <v>1</v>
      </c>
      <c r="AB314">
        <f>Units!D$17</f>
        <v>1</v>
      </c>
      <c r="AC314" t="str">
        <f>Units!E$17</f>
        <v>$/ft2</v>
      </c>
      <c r="AD314" t="str">
        <f>Units!F$17</f>
        <v>$/ft2</v>
      </c>
      <c r="AE314" t="str">
        <f>Units!G$17</f>
        <v>$/m2</v>
      </c>
      <c r="AF314" t="str">
        <f>Units!H$17</f>
        <v>$/ft2</v>
      </c>
    </row>
    <row r="315" spans="1:32" x14ac:dyDescent="0.3">
      <c r="A315" s="710" t="s">
        <v>1244</v>
      </c>
      <c r="B315" t="s">
        <v>1252</v>
      </c>
      <c r="C315" s="124" t="str">
        <f t="shared" si="166"/>
        <v>UDV.econ_build.covered_building_cost</v>
      </c>
      <c r="D315" s="1091">
        <f t="shared" si="197"/>
        <v>34.9</v>
      </c>
      <c r="E315" s="1093" t="str">
        <f t="shared" si="198"/>
        <v>$/ft2</v>
      </c>
      <c r="F315" s="1109">
        <f t="shared" si="199"/>
        <v>34.9</v>
      </c>
      <c r="H315" s="1101">
        <f t="shared" si="200"/>
        <v>34.9</v>
      </c>
      <c r="I315" s="956" t="str">
        <f t="shared" si="201"/>
        <v>$/ft2</v>
      </c>
      <c r="J315" t="s">
        <v>660</v>
      </c>
      <c r="L315">
        <f t="shared" si="195"/>
        <v>16.399999999999999</v>
      </c>
      <c r="M315">
        <f t="shared" si="196"/>
        <v>58.8</v>
      </c>
      <c r="N315">
        <f t="shared" si="192"/>
        <v>0</v>
      </c>
      <c r="O315" t="s">
        <v>1246</v>
      </c>
      <c r="P315" t="s">
        <v>1253</v>
      </c>
      <c r="Q315" t="s">
        <v>1222</v>
      </c>
      <c r="R315" s="711"/>
      <c r="V315" t="str">
        <f t="shared" si="193"/>
        <v/>
      </c>
      <c r="W315">
        <v>34.9</v>
      </c>
      <c r="X315">
        <v>16.399999999999999</v>
      </c>
      <c r="Y315">
        <v>58.8</v>
      </c>
      <c r="Z315" t="str">
        <f>Units!B$17</f>
        <v>$/ft2</v>
      </c>
      <c r="AA315">
        <f>Units!C$17</f>
        <v>1</v>
      </c>
      <c r="AB315">
        <f>Units!D$17</f>
        <v>1</v>
      </c>
      <c r="AC315" t="str">
        <f>Units!E$17</f>
        <v>$/ft2</v>
      </c>
      <c r="AD315" t="str">
        <f>Units!F$17</f>
        <v>$/ft2</v>
      </c>
      <c r="AE315" t="str">
        <f>Units!G$17</f>
        <v>$/m2</v>
      </c>
      <c r="AF315" t="str">
        <f>Units!H$17</f>
        <v>$/ft2</v>
      </c>
    </row>
    <row r="316" spans="1:32" x14ac:dyDescent="0.3">
      <c r="A316" s="710" t="s">
        <v>1244</v>
      </c>
      <c r="B316" t="s">
        <v>1254</v>
      </c>
      <c r="C316" s="124" t="str">
        <f t="shared" si="166"/>
        <v>UDV.econ_build.covered_building_size</v>
      </c>
      <c r="D316" s="1091">
        <f t="shared" si="197"/>
        <v>1000</v>
      </c>
      <c r="E316" s="1093" t="str">
        <f t="shared" si="198"/>
        <v>ft2</v>
      </c>
      <c r="F316" s="1109">
        <f t="shared" si="199"/>
        <v>1000</v>
      </c>
      <c r="H316" s="1101">
        <f t="shared" si="200"/>
        <v>1000</v>
      </c>
      <c r="I316" s="956" t="str">
        <f t="shared" si="201"/>
        <v>ft2</v>
      </c>
      <c r="J316" t="s">
        <v>660</v>
      </c>
      <c r="L316">
        <f t="shared" si="195"/>
        <v>250</v>
      </c>
      <c r="M316">
        <f t="shared" si="196"/>
        <v>10000</v>
      </c>
      <c r="N316">
        <f t="shared" si="192"/>
        <v>0</v>
      </c>
      <c r="O316" t="s">
        <v>1246</v>
      </c>
      <c r="P316" t="s">
        <v>1253</v>
      </c>
      <c r="Q316" t="s">
        <v>1222</v>
      </c>
      <c r="R316" s="711"/>
      <c r="V316" t="str">
        <f t="shared" si="193"/>
        <v/>
      </c>
      <c r="W316">
        <v>1000</v>
      </c>
      <c r="X316">
        <v>250</v>
      </c>
      <c r="Y316">
        <v>10000</v>
      </c>
      <c r="Z316" t="str">
        <f>Units!B$3</f>
        <v>ft2</v>
      </c>
      <c r="AA316">
        <f>Units!C$3</f>
        <v>1</v>
      </c>
      <c r="AB316">
        <f>Units!D$3</f>
        <v>1</v>
      </c>
      <c r="AC316" t="str">
        <f>Units!E$3</f>
        <v>ft2</v>
      </c>
      <c r="AD316" t="str">
        <f>Units!F$3</f>
        <v>ft2</v>
      </c>
      <c r="AE316" t="str">
        <f>Units!G$3</f>
        <v>m2</v>
      </c>
      <c r="AF316" t="str">
        <f>Units!H$3</f>
        <v>ft2</v>
      </c>
    </row>
    <row r="317" spans="1:32" x14ac:dyDescent="0.3">
      <c r="A317" s="710" t="s">
        <v>1244</v>
      </c>
      <c r="B317" t="s">
        <v>1255</v>
      </c>
      <c r="C317" s="124" t="str">
        <f t="shared" si="166"/>
        <v>UDV.econ_build.metal_building</v>
      </c>
      <c r="D317" s="944">
        <f t="shared" si="197"/>
        <v>34.9</v>
      </c>
      <c r="E317" s="125" t="str">
        <f t="shared" si="198"/>
        <v>$/ft2</v>
      </c>
      <c r="F317" s="944">
        <f t="shared" si="199"/>
        <v>34.9</v>
      </c>
      <c r="G317" s="126"/>
      <c r="H317">
        <f t="shared" si="200"/>
        <v>34.9</v>
      </c>
      <c r="I317" s="1325" t="str">
        <f t="shared" si="201"/>
        <v>$/ft2</v>
      </c>
      <c r="J317" t="s">
        <v>660</v>
      </c>
      <c r="K317" s="124"/>
      <c r="L317">
        <f t="shared" si="195"/>
        <v>16.399999999999999</v>
      </c>
      <c r="M317">
        <f t="shared" si="196"/>
        <v>58.8</v>
      </c>
      <c r="N317">
        <f>IF(AND(M317 - G317 &gt;= 0, G317 - L317 &gt;=0),1,0)</f>
        <v>0</v>
      </c>
      <c r="O317" t="s">
        <v>1246</v>
      </c>
      <c r="P317" t="s">
        <v>1256</v>
      </c>
      <c r="Q317" t="s">
        <v>1222</v>
      </c>
      <c r="R317" s="711"/>
      <c r="V317" t="str">
        <f t="shared" si="193"/>
        <v/>
      </c>
      <c r="W317">
        <v>34.9</v>
      </c>
      <c r="X317">
        <v>16.399999999999999</v>
      </c>
      <c r="Y317">
        <v>58.8</v>
      </c>
      <c r="Z317" t="str">
        <f>Units!B$17</f>
        <v>$/ft2</v>
      </c>
      <c r="AA317">
        <f>Units!C$17</f>
        <v>1</v>
      </c>
      <c r="AB317">
        <f>Units!D$17</f>
        <v>1</v>
      </c>
      <c r="AC317" t="str">
        <f>Units!E$17</f>
        <v>$/ft2</v>
      </c>
      <c r="AD317" t="str">
        <f>Units!F$17</f>
        <v>$/ft2</v>
      </c>
      <c r="AE317" t="str">
        <f>Units!G$17</f>
        <v>$/m2</v>
      </c>
      <c r="AF317" t="str">
        <f>Units!H$17</f>
        <v>$/ft2</v>
      </c>
    </row>
    <row r="318" spans="1:32" x14ac:dyDescent="0.3">
      <c r="A318" s="710" t="s">
        <v>1257</v>
      </c>
      <c r="B318" t="s">
        <v>1258</v>
      </c>
      <c r="C318" s="124" t="str">
        <f t="shared" si="166"/>
        <v>UDV.econ_capital.interest_rate</v>
      </c>
      <c r="D318" s="1091">
        <f t="shared" si="197"/>
        <v>5.0999999999999997E-2</v>
      </c>
      <c r="E318" s="1093" t="str">
        <f t="shared" si="198"/>
        <v>fraction</v>
      </c>
      <c r="F318" s="1095">
        <f t="shared" si="199"/>
        <v>5.0999999999999997E-2</v>
      </c>
      <c r="H318" s="1101">
        <f t="shared" si="200"/>
        <v>5.0999999999999997E-2</v>
      </c>
      <c r="I318" s="956" t="str">
        <f t="shared" si="201"/>
        <v>fraction</v>
      </c>
      <c r="J318" t="s">
        <v>660</v>
      </c>
      <c r="L318">
        <f t="shared" si="195"/>
        <v>0.02</v>
      </c>
      <c r="M318">
        <f t="shared" si="196"/>
        <v>0.08</v>
      </c>
      <c r="N318">
        <f t="shared" ref="N318:N350" si="202">IF(AND(G318&lt;=M318, G318&gt;=L318),1,0)</f>
        <v>0</v>
      </c>
      <c r="O318" t="s">
        <v>1259</v>
      </c>
      <c r="P318" t="s">
        <v>1260</v>
      </c>
      <c r="Q318" t="s">
        <v>1261</v>
      </c>
      <c r="R318" s="711"/>
      <c r="V318" t="str">
        <f t="shared" si="193"/>
        <v/>
      </c>
      <c r="W318" s="78">
        <v>5.0999999999999997E-2</v>
      </c>
      <c r="X318">
        <v>0.02</v>
      </c>
      <c r="Y318">
        <v>0.08</v>
      </c>
      <c r="Z318" t="str">
        <f>Units!B$35</f>
        <v>fraction</v>
      </c>
      <c r="AA318">
        <f>Units!C$35</f>
        <v>1</v>
      </c>
      <c r="AB318">
        <f>Units!D$35</f>
        <v>1</v>
      </c>
      <c r="AC318" t="str">
        <f>Units!E$35</f>
        <v>fraction</v>
      </c>
      <c r="AD318" t="str">
        <f>Units!F$35</f>
        <v>fraction</v>
      </c>
      <c r="AE318" t="str">
        <f>Units!G$35</f>
        <v>fraction</v>
      </c>
      <c r="AF318" t="str">
        <f>Units!H$35</f>
        <v>fraction</v>
      </c>
    </row>
    <row r="319" spans="1:32" x14ac:dyDescent="0.3">
      <c r="A319" s="710" t="s">
        <v>1262</v>
      </c>
      <c r="B319" t="s">
        <v>1263</v>
      </c>
      <c r="C319" s="124" t="str">
        <f t="shared" si="166"/>
        <v>UDV.econ_centrifuge.158ft3</v>
      </c>
      <c r="D319" s="1091">
        <f t="shared" si="197"/>
        <v>414200</v>
      </c>
      <c r="E319" s="1093" t="str">
        <f t="shared" si="198"/>
        <v>$ (Equipment)</v>
      </c>
      <c r="F319" s="1095">
        <f t="shared" si="199"/>
        <v>414200</v>
      </c>
      <c r="H319" s="1101">
        <f t="shared" si="200"/>
        <v>414200</v>
      </c>
      <c r="I319" s="956" t="str">
        <f t="shared" si="201"/>
        <v>$ (Equipment)</v>
      </c>
      <c r="J319" t="s">
        <v>660</v>
      </c>
      <c r="L319">
        <f t="shared" si="195"/>
        <v>289900</v>
      </c>
      <c r="M319">
        <f t="shared" si="196"/>
        <v>538400</v>
      </c>
      <c r="N319">
        <f t="shared" si="202"/>
        <v>0</v>
      </c>
      <c r="O319" t="s">
        <v>1264</v>
      </c>
      <c r="P319" t="s">
        <v>1265</v>
      </c>
      <c r="Q319" t="s">
        <v>1222</v>
      </c>
      <c r="R319" s="711"/>
      <c r="V319" t="str">
        <f t="shared" si="193"/>
        <v/>
      </c>
      <c r="W319">
        <v>414200</v>
      </c>
      <c r="X319">
        <v>289900</v>
      </c>
      <c r="Y319">
        <v>538400</v>
      </c>
      <c r="Z319" t="str">
        <f>Units!B$15</f>
        <v>$ (Equipment)</v>
      </c>
      <c r="AA319">
        <f>Units!C$15</f>
        <v>1</v>
      </c>
      <c r="AB319">
        <f>Units!D$15</f>
        <v>1</v>
      </c>
      <c r="AC319" t="str">
        <f>Units!E$15</f>
        <v>$ (Equipment)</v>
      </c>
      <c r="AD319" t="str">
        <f>Units!F$15</f>
        <v>$ (Equipment)</v>
      </c>
      <c r="AE319" t="str">
        <f>Units!G$15</f>
        <v>$ (Equipment)</v>
      </c>
      <c r="AF319" t="str">
        <f>Units!H$15</f>
        <v>$ (Equipment)</v>
      </c>
    </row>
    <row r="320" spans="1:32" x14ac:dyDescent="0.3">
      <c r="A320" s="710" t="s">
        <v>1262</v>
      </c>
      <c r="B320" t="s">
        <v>1266</v>
      </c>
      <c r="C320" s="124" t="str">
        <f t="shared" si="166"/>
        <v>UDV.econ_centrifuge.209ft3</v>
      </c>
      <c r="D320" s="1091">
        <f t="shared" si="197"/>
        <v>536700</v>
      </c>
      <c r="E320" s="1093" t="str">
        <f t="shared" si="198"/>
        <v>$ (Equipment)</v>
      </c>
      <c r="F320" s="1095">
        <f t="shared" si="199"/>
        <v>536700</v>
      </c>
      <c r="H320" s="1101">
        <f t="shared" si="200"/>
        <v>536700</v>
      </c>
      <c r="I320" s="956" t="str">
        <f t="shared" si="201"/>
        <v>$ (Equipment)</v>
      </c>
      <c r="J320" t="s">
        <v>660</v>
      </c>
      <c r="L320">
        <f t="shared" si="195"/>
        <v>375700</v>
      </c>
      <c r="M320">
        <f t="shared" si="196"/>
        <v>697700</v>
      </c>
      <c r="N320">
        <f t="shared" si="202"/>
        <v>0</v>
      </c>
      <c r="O320" t="s">
        <v>1264</v>
      </c>
      <c r="P320" t="s">
        <v>1267</v>
      </c>
      <c r="Q320" t="s">
        <v>1222</v>
      </c>
      <c r="R320" s="711"/>
      <c r="V320" t="str">
        <f t="shared" si="193"/>
        <v/>
      </c>
      <c r="W320">
        <v>536700</v>
      </c>
      <c r="X320">
        <v>375700</v>
      </c>
      <c r="Y320">
        <v>697700</v>
      </c>
      <c r="Z320" t="str">
        <f>Units!B$15</f>
        <v>$ (Equipment)</v>
      </c>
      <c r="AA320">
        <f>Units!C$15</f>
        <v>1</v>
      </c>
      <c r="AB320">
        <f>Units!D$15</f>
        <v>1</v>
      </c>
      <c r="AC320" t="str">
        <f>Units!E$15</f>
        <v>$ (Equipment)</v>
      </c>
      <c r="AD320" t="str">
        <f>Units!F$15</f>
        <v>$ (Equipment)</v>
      </c>
      <c r="AE320" t="str">
        <f>Units!G$15</f>
        <v>$ (Equipment)</v>
      </c>
      <c r="AF320" t="str">
        <f>Units!H$15</f>
        <v>$ (Equipment)</v>
      </c>
    </row>
    <row r="321" spans="1:32" x14ac:dyDescent="0.3">
      <c r="A321" s="710" t="s">
        <v>1262</v>
      </c>
      <c r="B321" t="s">
        <v>1268</v>
      </c>
      <c r="C321" s="124" t="str">
        <f t="shared" si="166"/>
        <v>UDV.econ_centrifuge.452ft3</v>
      </c>
      <c r="D321" s="1091">
        <f t="shared" si="197"/>
        <v>785400</v>
      </c>
      <c r="E321" s="1093" t="str">
        <f t="shared" si="198"/>
        <v>$ (Equipment)</v>
      </c>
      <c r="F321" s="1095">
        <f t="shared" si="199"/>
        <v>785400</v>
      </c>
      <c r="H321" s="1101">
        <f t="shared" si="200"/>
        <v>785400</v>
      </c>
      <c r="I321" s="956" t="str">
        <f t="shared" si="201"/>
        <v>$ (Equipment)</v>
      </c>
      <c r="J321" t="s">
        <v>660</v>
      </c>
      <c r="L321">
        <f t="shared" si="195"/>
        <v>549800</v>
      </c>
      <c r="M321">
        <f t="shared" si="196"/>
        <v>1021000</v>
      </c>
      <c r="N321">
        <f t="shared" si="202"/>
        <v>0</v>
      </c>
      <c r="O321" t="s">
        <v>1264</v>
      </c>
      <c r="P321" t="s">
        <v>1269</v>
      </c>
      <c r="Q321" t="s">
        <v>1222</v>
      </c>
      <c r="R321" s="711"/>
      <c r="V321" t="str">
        <f t="shared" si="193"/>
        <v/>
      </c>
      <c r="W321">
        <v>785400</v>
      </c>
      <c r="X321">
        <v>549800</v>
      </c>
      <c r="Y321">
        <v>1021000</v>
      </c>
      <c r="Z321" t="str">
        <f>Units!B$15</f>
        <v>$ (Equipment)</v>
      </c>
      <c r="AA321">
        <f>Units!C$15</f>
        <v>1</v>
      </c>
      <c r="AB321">
        <f>Units!D$15</f>
        <v>1</v>
      </c>
      <c r="AC321" t="str">
        <f>Units!E$15</f>
        <v>$ (Equipment)</v>
      </c>
      <c r="AD321" t="str">
        <f>Units!F$15</f>
        <v>$ (Equipment)</v>
      </c>
      <c r="AE321" t="str">
        <f>Units!G$15</f>
        <v>$ (Equipment)</v>
      </c>
      <c r="AF321" t="str">
        <f>Units!H$15</f>
        <v>$ (Equipment)</v>
      </c>
    </row>
    <row r="322" spans="1:32" x14ac:dyDescent="0.3">
      <c r="A322" s="132" t="s">
        <v>1270</v>
      </c>
      <c r="B322" s="132" t="s">
        <v>1271</v>
      </c>
      <c r="C322" s="124" t="str">
        <f t="shared" si="166"/>
        <v>UDV.econ_cng.connected</v>
      </c>
      <c r="D322" s="1091">
        <f t="shared" si="197"/>
        <v>0</v>
      </c>
      <c r="E322" s="1093" t="str">
        <f t="shared" si="198"/>
        <v>index</v>
      </c>
      <c r="F322" s="1095">
        <f t="shared" si="199"/>
        <v>0</v>
      </c>
      <c r="H322" s="1104">
        <v>0</v>
      </c>
      <c r="I322" s="956" t="str">
        <f t="shared" si="201"/>
        <v>index</v>
      </c>
      <c r="J322" t="s">
        <v>799</v>
      </c>
      <c r="L322">
        <f t="shared" si="195"/>
        <v>0</v>
      </c>
      <c r="M322">
        <f t="shared" si="196"/>
        <v>1</v>
      </c>
      <c r="N322">
        <f t="shared" si="202"/>
        <v>1</v>
      </c>
      <c r="O322" t="s">
        <v>1272</v>
      </c>
      <c r="P322" t="s">
        <v>1273</v>
      </c>
      <c r="Q322" t="s">
        <v>1237</v>
      </c>
      <c r="R322" s="711"/>
      <c r="S322" t="s">
        <v>84</v>
      </c>
      <c r="V322" t="str">
        <f t="shared" si="193"/>
        <v/>
      </c>
      <c r="W322">
        <v>0</v>
      </c>
      <c r="X322">
        <v>0</v>
      </c>
      <c r="Y322">
        <v>1</v>
      </c>
      <c r="Z322" t="str">
        <f>Units!B$40</f>
        <v>index</v>
      </c>
      <c r="AA322">
        <f>Units!C$40</f>
        <v>1</v>
      </c>
      <c r="AB322">
        <f>Units!D$40</f>
        <v>1</v>
      </c>
      <c r="AC322" t="str">
        <f>Units!E$40</f>
        <v>index</v>
      </c>
      <c r="AD322" t="str">
        <f>Units!F$40</f>
        <v>index</v>
      </c>
      <c r="AE322" t="str">
        <f>Units!G$40</f>
        <v>index</v>
      </c>
      <c r="AF322" t="str">
        <f>Units!H$40</f>
        <v>index</v>
      </c>
    </row>
    <row r="323" spans="1:32" x14ac:dyDescent="0.3">
      <c r="A323" s="710" t="s">
        <v>1270</v>
      </c>
      <c r="B323" t="s">
        <v>1274</v>
      </c>
      <c r="C323" s="124" t="str">
        <f t="shared" si="166"/>
        <v>UDV.econ_cng.on_farm_use_no_grid_pct</v>
      </c>
      <c r="D323" s="1091">
        <f t="shared" si="197"/>
        <v>1</v>
      </c>
      <c r="E323" s="1093" t="str">
        <f t="shared" si="198"/>
        <v>fraction</v>
      </c>
      <c r="F323" s="1095">
        <f t="shared" si="199"/>
        <v>1</v>
      </c>
      <c r="H323" s="1101">
        <f t="shared" ref="H323:H331" si="203">$W323*$AA323</f>
        <v>1</v>
      </c>
      <c r="I323" s="956" t="str">
        <f t="shared" si="201"/>
        <v>fraction</v>
      </c>
      <c r="J323" t="s">
        <v>660</v>
      </c>
      <c r="L323">
        <f t="shared" si="195"/>
        <v>0</v>
      </c>
      <c r="M323">
        <f t="shared" si="196"/>
        <v>1</v>
      </c>
      <c r="N323">
        <f t="shared" si="202"/>
        <v>1</v>
      </c>
      <c r="O323" t="s">
        <v>1272</v>
      </c>
      <c r="P323" t="s">
        <v>1275</v>
      </c>
      <c r="Q323" t="s">
        <v>1237</v>
      </c>
      <c r="R323" s="711"/>
      <c r="V323" t="str">
        <f t="shared" si="193"/>
        <v/>
      </c>
      <c r="W323">
        <v>1</v>
      </c>
      <c r="X323">
        <v>0</v>
      </c>
      <c r="Y323">
        <v>1</v>
      </c>
      <c r="Z323" t="str">
        <f>Units!B$35</f>
        <v>fraction</v>
      </c>
      <c r="AA323">
        <f>Units!C$35</f>
        <v>1</v>
      </c>
      <c r="AB323">
        <f>Units!D$35</f>
        <v>1</v>
      </c>
      <c r="AC323" t="str">
        <f>Units!E$35</f>
        <v>fraction</v>
      </c>
      <c r="AD323" t="str">
        <f>Units!F$35</f>
        <v>fraction</v>
      </c>
      <c r="AE323" t="str">
        <f>Units!G$35</f>
        <v>fraction</v>
      </c>
      <c r="AF323" t="str">
        <f>Units!H$35</f>
        <v>fraction</v>
      </c>
    </row>
    <row r="324" spans="1:32" x14ac:dyDescent="0.3">
      <c r="A324" s="710" t="s">
        <v>1270</v>
      </c>
      <c r="B324" t="s">
        <v>1276</v>
      </c>
      <c r="C324" s="124" t="str">
        <f t="shared" si="166"/>
        <v>UDV.econ_cng.on_farm_use_yes_grid_pct</v>
      </c>
      <c r="D324" s="1091">
        <f t="shared" si="197"/>
        <v>0</v>
      </c>
      <c r="E324" s="1093" t="str">
        <f t="shared" si="198"/>
        <v>fraction</v>
      </c>
      <c r="F324" s="1095">
        <f t="shared" si="199"/>
        <v>0</v>
      </c>
      <c r="H324" s="1101">
        <f t="shared" si="203"/>
        <v>0</v>
      </c>
      <c r="I324" s="956" t="str">
        <f t="shared" si="201"/>
        <v>fraction</v>
      </c>
      <c r="J324" t="s">
        <v>660</v>
      </c>
      <c r="L324">
        <f t="shared" si="195"/>
        <v>0</v>
      </c>
      <c r="M324">
        <f t="shared" si="196"/>
        <v>1</v>
      </c>
      <c r="N324">
        <f t="shared" si="202"/>
        <v>1</v>
      </c>
      <c r="O324" t="s">
        <v>1272</v>
      </c>
      <c r="P324" t="s">
        <v>1277</v>
      </c>
      <c r="Q324" t="s">
        <v>1237</v>
      </c>
      <c r="R324" s="711"/>
      <c r="V324" t="str">
        <f t="shared" ref="V324:V354" si="204">IF(OR((M324-L324)&lt;=0,H324&gt;M324,H324&lt;L324),"Fix","")</f>
        <v/>
      </c>
      <c r="W324">
        <v>0</v>
      </c>
      <c r="X324">
        <v>0</v>
      </c>
      <c r="Y324">
        <v>1</v>
      </c>
      <c r="Z324" t="str">
        <f>Units!B$35</f>
        <v>fraction</v>
      </c>
      <c r="AA324">
        <f>Units!C$35</f>
        <v>1</v>
      </c>
      <c r="AB324">
        <f>Units!D$35</f>
        <v>1</v>
      </c>
      <c r="AC324" t="str">
        <f>Units!E$35</f>
        <v>fraction</v>
      </c>
      <c r="AD324" t="str">
        <f>Units!F$35</f>
        <v>fraction</v>
      </c>
      <c r="AE324" t="str">
        <f>Units!G$35</f>
        <v>fraction</v>
      </c>
      <c r="AF324" t="str">
        <f>Units!H$35</f>
        <v>fraction</v>
      </c>
    </row>
    <row r="325" spans="1:32" x14ac:dyDescent="0.3">
      <c r="A325" s="710" t="s">
        <v>1270</v>
      </c>
      <c r="B325" t="s">
        <v>1278</v>
      </c>
      <c r="C325" s="124" t="str">
        <f t="shared" si="166"/>
        <v>UDV.econ_cng.scrub_effic</v>
      </c>
      <c r="D325" s="1091">
        <f t="shared" si="197"/>
        <v>0.97</v>
      </c>
      <c r="E325" s="1093" t="str">
        <f t="shared" si="198"/>
        <v>fraction</v>
      </c>
      <c r="F325" s="1095">
        <f t="shared" si="199"/>
        <v>0.97</v>
      </c>
      <c r="H325" s="1101">
        <f t="shared" si="203"/>
        <v>0.97</v>
      </c>
      <c r="I325" s="956" t="str">
        <f t="shared" si="201"/>
        <v>fraction</v>
      </c>
      <c r="J325" t="s">
        <v>660</v>
      </c>
      <c r="L325">
        <f t="shared" si="195"/>
        <v>0.8</v>
      </c>
      <c r="M325">
        <f t="shared" si="196"/>
        <v>1</v>
      </c>
      <c r="N325">
        <f t="shared" si="202"/>
        <v>0</v>
      </c>
      <c r="O325" t="s">
        <v>1272</v>
      </c>
      <c r="P325" t="s">
        <v>1279</v>
      </c>
      <c r="Q325" t="s">
        <v>1237</v>
      </c>
      <c r="R325" s="711"/>
      <c r="V325" t="str">
        <f t="shared" si="204"/>
        <v/>
      </c>
      <c r="W325">
        <v>0.97</v>
      </c>
      <c r="X325">
        <v>0.8</v>
      </c>
      <c r="Y325">
        <v>1</v>
      </c>
      <c r="Z325" t="str">
        <f>Units!B$35</f>
        <v>fraction</v>
      </c>
      <c r="AA325">
        <f>Units!C$35</f>
        <v>1</v>
      </c>
      <c r="AB325">
        <f>Units!D$35</f>
        <v>1</v>
      </c>
      <c r="AC325" t="str">
        <f>Units!E$35</f>
        <v>fraction</v>
      </c>
      <c r="AD325" t="str">
        <f>Units!F$35</f>
        <v>fraction</v>
      </c>
      <c r="AE325" t="str">
        <f>Units!G$35</f>
        <v>fraction</v>
      </c>
      <c r="AF325" t="str">
        <f>Units!H$35</f>
        <v>fraction</v>
      </c>
    </row>
    <row r="326" spans="1:32" x14ac:dyDescent="0.3">
      <c r="A326" s="710" t="s">
        <v>1270</v>
      </c>
      <c r="B326" t="s">
        <v>1280</v>
      </c>
      <c r="C326" s="124" t="str">
        <f t="shared" si="166"/>
        <v>UDV.econ_cng.sell_to_grid_no_grid_pct</v>
      </c>
      <c r="D326" s="1091">
        <f t="shared" si="197"/>
        <v>0</v>
      </c>
      <c r="E326" s="1093" t="str">
        <f t="shared" si="198"/>
        <v>fraction</v>
      </c>
      <c r="F326" s="1095">
        <f t="shared" si="199"/>
        <v>0</v>
      </c>
      <c r="H326" s="1101">
        <f t="shared" si="203"/>
        <v>0</v>
      </c>
      <c r="I326" s="956" t="str">
        <f t="shared" si="201"/>
        <v>fraction</v>
      </c>
      <c r="J326" t="s">
        <v>660</v>
      </c>
      <c r="L326">
        <f t="shared" si="195"/>
        <v>0</v>
      </c>
      <c r="M326">
        <f t="shared" si="196"/>
        <v>1</v>
      </c>
      <c r="N326">
        <f t="shared" si="202"/>
        <v>1</v>
      </c>
      <c r="O326" t="s">
        <v>1272</v>
      </c>
      <c r="P326" t="s">
        <v>1281</v>
      </c>
      <c r="Q326" t="s">
        <v>1237</v>
      </c>
      <c r="R326" s="711"/>
      <c r="S326" t="s">
        <v>84</v>
      </c>
      <c r="V326" t="str">
        <f t="shared" si="204"/>
        <v/>
      </c>
      <c r="W326">
        <v>0</v>
      </c>
      <c r="X326">
        <v>0</v>
      </c>
      <c r="Y326">
        <v>1</v>
      </c>
      <c r="Z326" t="str">
        <f>Units!B$35</f>
        <v>fraction</v>
      </c>
      <c r="AA326">
        <f>Units!C$35</f>
        <v>1</v>
      </c>
      <c r="AB326">
        <f>Units!D$35</f>
        <v>1</v>
      </c>
      <c r="AC326" t="str">
        <f>Units!E$35</f>
        <v>fraction</v>
      </c>
      <c r="AD326" t="str">
        <f>Units!F$35</f>
        <v>fraction</v>
      </c>
      <c r="AE326" t="str">
        <f>Units!G$35</f>
        <v>fraction</v>
      </c>
      <c r="AF326" t="str">
        <f>Units!H$35</f>
        <v>fraction</v>
      </c>
    </row>
    <row r="327" spans="1:32" x14ac:dyDescent="0.3">
      <c r="A327" s="710" t="s">
        <v>1270</v>
      </c>
      <c r="B327" t="s">
        <v>1282</v>
      </c>
      <c r="C327" s="124" t="str">
        <f t="shared" si="166"/>
        <v>UDV.econ_cng.sell_to_grid_price</v>
      </c>
      <c r="D327" s="1091">
        <f t="shared" si="197"/>
        <v>0.3</v>
      </c>
      <c r="E327" s="1093" t="str">
        <f t="shared" si="198"/>
        <v>fraction</v>
      </c>
      <c r="F327" s="1095">
        <f t="shared" si="199"/>
        <v>0.3</v>
      </c>
      <c r="H327" s="1101">
        <f t="shared" si="203"/>
        <v>0.3</v>
      </c>
      <c r="I327" s="956" t="str">
        <f t="shared" si="201"/>
        <v>fraction</v>
      </c>
      <c r="J327" t="s">
        <v>660</v>
      </c>
      <c r="L327">
        <f t="shared" si="195"/>
        <v>0.2</v>
      </c>
      <c r="M327">
        <f t="shared" si="196"/>
        <v>0.4</v>
      </c>
      <c r="N327">
        <f t="shared" si="202"/>
        <v>0</v>
      </c>
      <c r="O327" t="s">
        <v>1272</v>
      </c>
      <c r="P327" t="s">
        <v>1283</v>
      </c>
      <c r="Q327" t="s">
        <v>1237</v>
      </c>
      <c r="R327" s="711"/>
      <c r="V327" t="str">
        <f t="shared" si="204"/>
        <v/>
      </c>
      <c r="W327">
        <v>0.3</v>
      </c>
      <c r="X327">
        <v>0.2</v>
      </c>
      <c r="Y327">
        <v>0.4</v>
      </c>
      <c r="Z327" t="str">
        <f>Units!B$35</f>
        <v>fraction</v>
      </c>
      <c r="AA327">
        <f>Units!C$35</f>
        <v>1</v>
      </c>
      <c r="AB327">
        <f>Units!D$35</f>
        <v>1</v>
      </c>
      <c r="AC327" t="str">
        <f>Units!E$35</f>
        <v>fraction</v>
      </c>
      <c r="AD327" t="str">
        <f>Units!F$35</f>
        <v>fraction</v>
      </c>
      <c r="AE327" t="str">
        <f>Units!G$35</f>
        <v>fraction</v>
      </c>
      <c r="AF327" t="str">
        <f>Units!H$35</f>
        <v>fraction</v>
      </c>
    </row>
    <row r="328" spans="1:32" x14ac:dyDescent="0.3">
      <c r="A328" s="710" t="s">
        <v>1270</v>
      </c>
      <c r="B328" t="s">
        <v>1284</v>
      </c>
      <c r="C328" s="124" t="str">
        <f t="shared" si="166"/>
        <v>UDV.econ_cng.sell_to_grid_yes_grid_pct</v>
      </c>
      <c r="D328" s="1091">
        <f t="shared" si="197"/>
        <v>1</v>
      </c>
      <c r="E328" s="1093" t="str">
        <f t="shared" si="198"/>
        <v>fraction</v>
      </c>
      <c r="F328" s="1095">
        <f t="shared" si="199"/>
        <v>1</v>
      </c>
      <c r="H328" s="1101">
        <f t="shared" si="203"/>
        <v>1</v>
      </c>
      <c r="I328" s="956" t="str">
        <f t="shared" si="201"/>
        <v>fraction</v>
      </c>
      <c r="J328" t="s">
        <v>660</v>
      </c>
      <c r="L328">
        <f t="shared" si="195"/>
        <v>0</v>
      </c>
      <c r="M328">
        <f t="shared" si="196"/>
        <v>1</v>
      </c>
      <c r="N328">
        <f t="shared" si="202"/>
        <v>1</v>
      </c>
      <c r="O328" t="s">
        <v>1272</v>
      </c>
      <c r="P328" t="s">
        <v>1285</v>
      </c>
      <c r="Q328" t="s">
        <v>1237</v>
      </c>
      <c r="R328" s="711"/>
      <c r="V328" t="str">
        <f t="shared" si="204"/>
        <v/>
      </c>
      <c r="W328">
        <v>1</v>
      </c>
      <c r="X328">
        <v>0</v>
      </c>
      <c r="Y328">
        <v>1</v>
      </c>
      <c r="Z328" t="str">
        <f>Units!B$35</f>
        <v>fraction</v>
      </c>
      <c r="AA328">
        <f>Units!C$35</f>
        <v>1</v>
      </c>
      <c r="AB328">
        <f>Units!D$35</f>
        <v>1</v>
      </c>
      <c r="AC328" t="str">
        <f>Units!E$35</f>
        <v>fraction</v>
      </c>
      <c r="AD328" t="str">
        <f>Units!F$35</f>
        <v>fraction</v>
      </c>
      <c r="AE328" t="str">
        <f>Units!G$35</f>
        <v>fraction</v>
      </c>
      <c r="AF328" t="str">
        <f>Units!H$35</f>
        <v>fraction</v>
      </c>
    </row>
    <row r="329" spans="1:32" x14ac:dyDescent="0.3">
      <c r="A329" s="710" t="s">
        <v>1286</v>
      </c>
      <c r="B329" t="s">
        <v>1287</v>
      </c>
      <c r="C329" s="124" t="str">
        <f t="shared" si="166"/>
        <v>UDV.econ_compost.wood_chips</v>
      </c>
      <c r="D329" s="1091">
        <f t="shared" si="197"/>
        <v>23</v>
      </c>
      <c r="E329" s="1093" t="str">
        <f t="shared" si="198"/>
        <v>$/yd3</v>
      </c>
      <c r="F329" s="1109">
        <f t="shared" si="199"/>
        <v>23</v>
      </c>
      <c r="H329" s="1101">
        <f t="shared" si="203"/>
        <v>23</v>
      </c>
      <c r="I329" s="956" t="str">
        <f t="shared" si="201"/>
        <v>$/yd3</v>
      </c>
      <c r="J329" t="s">
        <v>660</v>
      </c>
      <c r="L329">
        <f t="shared" si="195"/>
        <v>14</v>
      </c>
      <c r="M329">
        <f t="shared" si="196"/>
        <v>32</v>
      </c>
      <c r="N329">
        <f t="shared" si="202"/>
        <v>0</v>
      </c>
      <c r="O329" t="s">
        <v>1288</v>
      </c>
      <c r="P329" t="s">
        <v>1289</v>
      </c>
      <c r="Q329" t="s">
        <v>1222</v>
      </c>
      <c r="R329" s="711"/>
      <c r="V329" t="str">
        <f t="shared" si="204"/>
        <v/>
      </c>
      <c r="W329" s="78">
        <v>23</v>
      </c>
      <c r="X329">
        <v>14</v>
      </c>
      <c r="Y329">
        <v>32</v>
      </c>
      <c r="Z329" t="str">
        <f>Units!B$29</f>
        <v>$/yd3</v>
      </c>
      <c r="AA329">
        <f>Units!C$29</f>
        <v>1</v>
      </c>
      <c r="AB329">
        <f>Units!D$29</f>
        <v>1</v>
      </c>
      <c r="AC329" t="str">
        <f>Units!E$29</f>
        <v>$/yd3</v>
      </c>
      <c r="AD329" t="str">
        <f>Units!F$29</f>
        <v>$/yd3</v>
      </c>
      <c r="AE329" t="str">
        <f>Units!G$29</f>
        <v>$/m3</v>
      </c>
      <c r="AF329" t="str">
        <f>Units!H$29</f>
        <v>$/yd3</v>
      </c>
    </row>
    <row r="330" spans="1:32" x14ac:dyDescent="0.3">
      <c r="A330" s="710" t="s">
        <v>1290</v>
      </c>
      <c r="B330" t="s">
        <v>1291</v>
      </c>
      <c r="C330" s="124" t="str">
        <f t="shared" si="166"/>
        <v>UDV.econ_compost_vessel.20.0ft</v>
      </c>
      <c r="D330" s="1091">
        <f t="shared" si="197"/>
        <v>191700</v>
      </c>
      <c r="E330" s="1093" t="str">
        <f t="shared" si="198"/>
        <v>$/ft2</v>
      </c>
      <c r="F330" s="1109">
        <f t="shared" si="199"/>
        <v>191700</v>
      </c>
      <c r="H330" s="1101">
        <f t="shared" si="203"/>
        <v>191700</v>
      </c>
      <c r="I330" s="956" t="str">
        <f t="shared" si="201"/>
        <v>$/ft2</v>
      </c>
      <c r="J330" t="s">
        <v>660</v>
      </c>
      <c r="L330">
        <f t="shared" si="195"/>
        <v>134200</v>
      </c>
      <c r="M330">
        <f t="shared" si="196"/>
        <v>249200</v>
      </c>
      <c r="N330">
        <f t="shared" si="202"/>
        <v>0</v>
      </c>
      <c r="O330" t="s">
        <v>1292</v>
      </c>
      <c r="P330" t="s">
        <v>1293</v>
      </c>
      <c r="Q330" t="s">
        <v>1222</v>
      </c>
      <c r="R330" s="711"/>
      <c r="V330" t="str">
        <f t="shared" si="204"/>
        <v/>
      </c>
      <c r="W330" s="78">
        <v>191700</v>
      </c>
      <c r="X330">
        <v>134200</v>
      </c>
      <c r="Y330">
        <v>249200</v>
      </c>
      <c r="Z330" t="str">
        <f>Units!B$17</f>
        <v>$/ft2</v>
      </c>
      <c r="AA330">
        <f>Units!C$17</f>
        <v>1</v>
      </c>
      <c r="AB330">
        <f>Units!D$17</f>
        <v>1</v>
      </c>
      <c r="AC330" t="str">
        <f>Units!E$17</f>
        <v>$/ft2</v>
      </c>
      <c r="AD330" t="str">
        <f>Units!F$17</f>
        <v>$/ft2</v>
      </c>
      <c r="AE330" t="str">
        <f>Units!G$17</f>
        <v>$/m2</v>
      </c>
      <c r="AF330" t="str">
        <f>Units!H$17</f>
        <v>$/ft2</v>
      </c>
    </row>
    <row r="331" spans="1:32" x14ac:dyDescent="0.3">
      <c r="A331" s="710" t="s">
        <v>1290</v>
      </c>
      <c r="B331" t="s">
        <v>1294</v>
      </c>
      <c r="C331" s="124" t="str">
        <f t="shared" si="166"/>
        <v>UDV.econ_compost_vessel.9.8ft</v>
      </c>
      <c r="D331" s="1091">
        <f t="shared" si="197"/>
        <v>128000</v>
      </c>
      <c r="E331" s="1093" t="str">
        <f t="shared" si="198"/>
        <v>$/ft2</v>
      </c>
      <c r="F331" s="1109">
        <f t="shared" si="199"/>
        <v>128000</v>
      </c>
      <c r="H331" s="1101">
        <f t="shared" si="203"/>
        <v>128000</v>
      </c>
      <c r="I331" s="956" t="str">
        <f t="shared" si="201"/>
        <v>$/ft2</v>
      </c>
      <c r="J331" t="s">
        <v>660</v>
      </c>
      <c r="L331">
        <f t="shared" si="195"/>
        <v>89600</v>
      </c>
      <c r="M331">
        <f t="shared" si="196"/>
        <v>166400</v>
      </c>
      <c r="N331">
        <f t="shared" si="202"/>
        <v>0</v>
      </c>
      <c r="O331" t="s">
        <v>1292</v>
      </c>
      <c r="P331" t="s">
        <v>1295</v>
      </c>
      <c r="Q331" t="s">
        <v>1222</v>
      </c>
      <c r="R331" s="711"/>
      <c r="V331" t="str">
        <f t="shared" si="204"/>
        <v/>
      </c>
      <c r="W331" s="78">
        <v>128000</v>
      </c>
      <c r="X331">
        <v>89600</v>
      </c>
      <c r="Y331">
        <v>166400</v>
      </c>
      <c r="Z331" t="str">
        <f>Units!B$17</f>
        <v>$/ft2</v>
      </c>
      <c r="AA331">
        <f>Units!C$17</f>
        <v>1</v>
      </c>
      <c r="AB331">
        <f>Units!D$17</f>
        <v>1</v>
      </c>
      <c r="AC331" t="str">
        <f>Units!E$17</f>
        <v>$/ft2</v>
      </c>
      <c r="AD331" t="str">
        <f>Units!F$17</f>
        <v>$/ft2</v>
      </c>
      <c r="AE331" t="str">
        <f>Units!G$17</f>
        <v>$/m2</v>
      </c>
      <c r="AF331" t="str">
        <f>Units!H$17</f>
        <v>$/ft2</v>
      </c>
    </row>
    <row r="332" spans="1:32" x14ac:dyDescent="0.3">
      <c r="A332" s="132" t="s">
        <v>1296</v>
      </c>
      <c r="B332" s="132" t="s">
        <v>1271</v>
      </c>
      <c r="C332" s="124" t="str">
        <f t="shared" ref="C332:C395" si="205">_xlfn.CONCAT("UDV.",A332,".",B332)</f>
        <v>UDV.econ_elec.connected</v>
      </c>
      <c r="D332" s="1091">
        <f t="shared" si="197"/>
        <v>0</v>
      </c>
      <c r="E332" s="1093" t="str">
        <f t="shared" si="198"/>
        <v>index</v>
      </c>
      <c r="F332" s="1095">
        <f t="shared" si="199"/>
        <v>0</v>
      </c>
      <c r="H332" s="1104">
        <v>0</v>
      </c>
      <c r="I332" s="956" t="str">
        <f t="shared" si="201"/>
        <v>index</v>
      </c>
      <c r="J332" t="s">
        <v>799</v>
      </c>
      <c r="L332">
        <f t="shared" si="195"/>
        <v>0</v>
      </c>
      <c r="M332">
        <f t="shared" si="196"/>
        <v>1</v>
      </c>
      <c r="N332">
        <f t="shared" si="202"/>
        <v>1</v>
      </c>
      <c r="O332" t="s">
        <v>1272</v>
      </c>
      <c r="P332" t="s">
        <v>1297</v>
      </c>
      <c r="Q332" t="s">
        <v>1237</v>
      </c>
      <c r="R332" s="711"/>
      <c r="S332" t="s">
        <v>84</v>
      </c>
      <c r="V332" t="str">
        <f t="shared" si="204"/>
        <v/>
      </c>
      <c r="W332">
        <v>0</v>
      </c>
      <c r="X332">
        <v>0</v>
      </c>
      <c r="Y332">
        <v>1</v>
      </c>
      <c r="Z332" t="str">
        <f>Units!B$40</f>
        <v>index</v>
      </c>
      <c r="AA332">
        <f>Units!C$40</f>
        <v>1</v>
      </c>
      <c r="AB332">
        <f>Units!D$40</f>
        <v>1</v>
      </c>
      <c r="AC332" t="str">
        <f>Units!E$40</f>
        <v>index</v>
      </c>
      <c r="AD332" t="str">
        <f>Units!F$40</f>
        <v>index</v>
      </c>
      <c r="AE332" t="str">
        <f>Units!G$40</f>
        <v>index</v>
      </c>
      <c r="AF332" t="str">
        <f>Units!H$40</f>
        <v>index</v>
      </c>
    </row>
    <row r="333" spans="1:32" x14ac:dyDescent="0.3">
      <c r="A333" s="710" t="s">
        <v>1296</v>
      </c>
      <c r="B333" t="s">
        <v>1298</v>
      </c>
      <c r="C333" s="124" t="str">
        <f t="shared" si="205"/>
        <v>UDV.econ_elec.generation_equipment</v>
      </c>
      <c r="D333" s="1091">
        <f t="shared" si="197"/>
        <v>0.55000000000000004</v>
      </c>
      <c r="E333" s="1093" t="str">
        <f t="shared" si="198"/>
        <v>fraction</v>
      </c>
      <c r="F333" s="1095">
        <f t="shared" si="199"/>
        <v>0.55000000000000004</v>
      </c>
      <c r="H333" s="1101">
        <f t="shared" ref="H333:H354" si="206">$W333*$AA333</f>
        <v>0.55000000000000004</v>
      </c>
      <c r="I333" s="956" t="str">
        <f t="shared" si="201"/>
        <v>fraction</v>
      </c>
      <c r="J333" t="s">
        <v>660</v>
      </c>
      <c r="L333">
        <f t="shared" si="195"/>
        <v>0.5</v>
      </c>
      <c r="M333">
        <f t="shared" si="196"/>
        <v>0.6</v>
      </c>
      <c r="N333">
        <f t="shared" si="202"/>
        <v>0</v>
      </c>
      <c r="O333" t="s">
        <v>1299</v>
      </c>
      <c r="P333" t="s">
        <v>1300</v>
      </c>
      <c r="Q333" t="s">
        <v>1237</v>
      </c>
      <c r="R333" s="711"/>
      <c r="V333" t="str">
        <f t="shared" si="204"/>
        <v/>
      </c>
      <c r="W333">
        <v>0.55000000000000004</v>
      </c>
      <c r="X333">
        <v>0.5</v>
      </c>
      <c r="Y333">
        <v>0.6</v>
      </c>
      <c r="Z333" t="str">
        <f>Units!B$35</f>
        <v>fraction</v>
      </c>
      <c r="AA333">
        <f>Units!C$35</f>
        <v>1</v>
      </c>
      <c r="AB333">
        <f>Units!D$35</f>
        <v>1</v>
      </c>
      <c r="AC333" t="str">
        <f>Units!E$35</f>
        <v>fraction</v>
      </c>
      <c r="AD333" t="str">
        <f>Units!F$35</f>
        <v>fraction</v>
      </c>
      <c r="AE333" t="str">
        <f>Units!G$35</f>
        <v>fraction</v>
      </c>
      <c r="AF333" t="str">
        <f>Units!H$35</f>
        <v>fraction</v>
      </c>
    </row>
    <row r="334" spans="1:32" x14ac:dyDescent="0.3">
      <c r="A334" s="710" t="s">
        <v>1296</v>
      </c>
      <c r="B334" t="s">
        <v>1301</v>
      </c>
      <c r="C334" s="124" t="str">
        <f t="shared" si="205"/>
        <v>UDV.econ_elec.grid_connection</v>
      </c>
      <c r="D334" s="1091">
        <f t="shared" si="197"/>
        <v>283500</v>
      </c>
      <c r="E334" s="1093" t="str">
        <f t="shared" si="198"/>
        <v>$ (Equipment)</v>
      </c>
      <c r="F334" s="1095">
        <f t="shared" si="199"/>
        <v>283500</v>
      </c>
      <c r="H334" s="1101">
        <f t="shared" si="206"/>
        <v>283500</v>
      </c>
      <c r="I334" s="956" t="str">
        <f t="shared" si="201"/>
        <v>$ (Equipment)</v>
      </c>
      <c r="J334" t="s">
        <v>660</v>
      </c>
      <c r="L334">
        <f t="shared" si="195"/>
        <v>198500</v>
      </c>
      <c r="M334">
        <f t="shared" si="196"/>
        <v>368600</v>
      </c>
      <c r="N334">
        <f t="shared" si="202"/>
        <v>0</v>
      </c>
      <c r="O334" t="s">
        <v>1299</v>
      </c>
      <c r="P334" t="s">
        <v>1302</v>
      </c>
      <c r="Q334" t="s">
        <v>1237</v>
      </c>
      <c r="R334" s="711"/>
      <c r="V334" t="str">
        <f t="shared" si="204"/>
        <v/>
      </c>
      <c r="W334">
        <v>283500</v>
      </c>
      <c r="X334">
        <v>198500</v>
      </c>
      <c r="Y334">
        <v>368600</v>
      </c>
      <c r="Z334" t="str">
        <f>Units!B$15</f>
        <v>$ (Equipment)</v>
      </c>
      <c r="AA334">
        <f>Units!C$15</f>
        <v>1</v>
      </c>
      <c r="AB334">
        <f>Units!D$15</f>
        <v>1</v>
      </c>
      <c r="AC334" t="str">
        <f>Units!E$15</f>
        <v>$ (Equipment)</v>
      </c>
      <c r="AD334" t="str">
        <f>Units!F$15</f>
        <v>$ (Equipment)</v>
      </c>
      <c r="AE334" t="str">
        <f>Units!G$15</f>
        <v>$ (Equipment)</v>
      </c>
      <c r="AF334" t="str">
        <f>Units!H$15</f>
        <v>$ (Equipment)</v>
      </c>
    </row>
    <row r="335" spans="1:32" x14ac:dyDescent="0.3">
      <c r="A335" s="710" t="s">
        <v>1296</v>
      </c>
      <c r="B335" t="s">
        <v>1274</v>
      </c>
      <c r="C335" s="124" t="str">
        <f t="shared" si="205"/>
        <v>UDV.econ_elec.on_farm_use_no_grid_pct</v>
      </c>
      <c r="D335" s="1091">
        <f t="shared" si="197"/>
        <v>1</v>
      </c>
      <c r="E335" s="1093" t="str">
        <f t="shared" si="198"/>
        <v>fraction</v>
      </c>
      <c r="F335" s="1095">
        <f t="shared" si="199"/>
        <v>1</v>
      </c>
      <c r="H335" s="1101">
        <f t="shared" si="206"/>
        <v>1</v>
      </c>
      <c r="I335" s="956" t="str">
        <f t="shared" si="201"/>
        <v>fraction</v>
      </c>
      <c r="J335" t="s">
        <v>660</v>
      </c>
      <c r="L335">
        <f t="shared" si="195"/>
        <v>0</v>
      </c>
      <c r="M335">
        <f t="shared" si="196"/>
        <v>1</v>
      </c>
      <c r="N335">
        <f t="shared" si="202"/>
        <v>1</v>
      </c>
      <c r="O335" t="s">
        <v>1272</v>
      </c>
      <c r="P335" t="s">
        <v>1303</v>
      </c>
      <c r="Q335" t="s">
        <v>1237</v>
      </c>
      <c r="R335" s="711"/>
      <c r="V335" t="str">
        <f t="shared" si="204"/>
        <v/>
      </c>
      <c r="W335">
        <v>1</v>
      </c>
      <c r="X335">
        <v>0</v>
      </c>
      <c r="Y335">
        <v>1</v>
      </c>
      <c r="Z335" t="str">
        <f>Units!B$35</f>
        <v>fraction</v>
      </c>
      <c r="AA335">
        <f>Units!C$35</f>
        <v>1</v>
      </c>
      <c r="AB335">
        <f>Units!D$35</f>
        <v>1</v>
      </c>
      <c r="AC335" t="str">
        <f>Units!E$35</f>
        <v>fraction</v>
      </c>
      <c r="AD335" t="str">
        <f>Units!F$35</f>
        <v>fraction</v>
      </c>
      <c r="AE335" t="str">
        <f>Units!G$35</f>
        <v>fraction</v>
      </c>
      <c r="AF335" t="str">
        <f>Units!H$35</f>
        <v>fraction</v>
      </c>
    </row>
    <row r="336" spans="1:32" x14ac:dyDescent="0.3">
      <c r="A336" s="710" t="s">
        <v>1296</v>
      </c>
      <c r="B336" t="s">
        <v>1276</v>
      </c>
      <c r="C336" s="124" t="str">
        <f t="shared" si="205"/>
        <v>UDV.econ_elec.on_farm_use_yes_grid_pct</v>
      </c>
      <c r="D336" s="1091">
        <f t="shared" si="197"/>
        <v>0.8</v>
      </c>
      <c r="E336" s="1093" t="str">
        <f t="shared" si="198"/>
        <v>fraction</v>
      </c>
      <c r="F336" s="1095">
        <f t="shared" si="199"/>
        <v>0.8</v>
      </c>
      <c r="H336" s="1101">
        <f t="shared" si="206"/>
        <v>0.8</v>
      </c>
      <c r="I336" s="956" t="str">
        <f t="shared" si="201"/>
        <v>fraction</v>
      </c>
      <c r="J336" t="s">
        <v>660</v>
      </c>
      <c r="L336">
        <f t="shared" si="195"/>
        <v>0</v>
      </c>
      <c r="M336">
        <f t="shared" si="196"/>
        <v>1</v>
      </c>
      <c r="N336">
        <f t="shared" si="202"/>
        <v>1</v>
      </c>
      <c r="O336" t="s">
        <v>1272</v>
      </c>
      <c r="P336" t="s">
        <v>1304</v>
      </c>
      <c r="Q336" t="s">
        <v>1237</v>
      </c>
      <c r="R336" s="711"/>
      <c r="V336" t="str">
        <f t="shared" si="204"/>
        <v/>
      </c>
      <c r="W336">
        <v>0.8</v>
      </c>
      <c r="X336">
        <v>0</v>
      </c>
      <c r="Y336">
        <v>1</v>
      </c>
      <c r="Z336" t="str">
        <f>Units!B$35</f>
        <v>fraction</v>
      </c>
      <c r="AA336">
        <f>Units!C$35</f>
        <v>1</v>
      </c>
      <c r="AB336">
        <f>Units!D$35</f>
        <v>1</v>
      </c>
      <c r="AC336" t="str">
        <f>Units!E$35</f>
        <v>fraction</v>
      </c>
      <c r="AD336" t="str">
        <f>Units!F$35</f>
        <v>fraction</v>
      </c>
      <c r="AE336" t="str">
        <f>Units!G$35</f>
        <v>fraction</v>
      </c>
      <c r="AF336" t="str">
        <f>Units!H$35</f>
        <v>fraction</v>
      </c>
    </row>
    <row r="337" spans="1:32" x14ac:dyDescent="0.3">
      <c r="A337" s="710" t="s">
        <v>1296</v>
      </c>
      <c r="B337" t="s">
        <v>1280</v>
      </c>
      <c r="C337" s="124" t="str">
        <f t="shared" si="205"/>
        <v>UDV.econ_elec.sell_to_grid_no_grid_pct</v>
      </c>
      <c r="D337" s="1091">
        <f t="shared" si="197"/>
        <v>0</v>
      </c>
      <c r="E337" s="1093" t="str">
        <f t="shared" si="198"/>
        <v>fraction</v>
      </c>
      <c r="F337" s="1095">
        <f t="shared" si="199"/>
        <v>0</v>
      </c>
      <c r="H337" s="1101">
        <f t="shared" si="206"/>
        <v>0</v>
      </c>
      <c r="I337" s="956" t="str">
        <f t="shared" si="201"/>
        <v>fraction</v>
      </c>
      <c r="J337" t="s">
        <v>660</v>
      </c>
      <c r="L337">
        <f t="shared" si="195"/>
        <v>0</v>
      </c>
      <c r="M337">
        <f t="shared" si="196"/>
        <v>1</v>
      </c>
      <c r="N337">
        <f t="shared" si="202"/>
        <v>1</v>
      </c>
      <c r="O337" t="s">
        <v>1272</v>
      </c>
      <c r="P337" t="s">
        <v>1305</v>
      </c>
      <c r="Q337" t="s">
        <v>1237</v>
      </c>
      <c r="R337" s="711"/>
      <c r="S337" t="s">
        <v>84</v>
      </c>
      <c r="V337" t="str">
        <f t="shared" si="204"/>
        <v/>
      </c>
      <c r="W337">
        <v>0</v>
      </c>
      <c r="X337">
        <v>0</v>
      </c>
      <c r="Y337">
        <v>1</v>
      </c>
      <c r="Z337" t="str">
        <f>Units!B$35</f>
        <v>fraction</v>
      </c>
      <c r="AA337">
        <f>Units!C$35</f>
        <v>1</v>
      </c>
      <c r="AB337">
        <f>Units!D$35</f>
        <v>1</v>
      </c>
      <c r="AC337" t="str">
        <f>Units!E$35</f>
        <v>fraction</v>
      </c>
      <c r="AD337" t="str">
        <f>Units!F$35</f>
        <v>fraction</v>
      </c>
      <c r="AE337" t="str">
        <f>Units!G$35</f>
        <v>fraction</v>
      </c>
      <c r="AF337" t="str">
        <f>Units!H$35</f>
        <v>fraction</v>
      </c>
    </row>
    <row r="338" spans="1:32" x14ac:dyDescent="0.3">
      <c r="A338" s="710" t="s">
        <v>1296</v>
      </c>
      <c r="B338" t="s">
        <v>1282</v>
      </c>
      <c r="C338" s="124" t="str">
        <f t="shared" si="205"/>
        <v>UDV.econ_elec.sell_to_grid_price</v>
      </c>
      <c r="D338" s="1091">
        <f t="shared" si="197"/>
        <v>0.6</v>
      </c>
      <c r="E338" s="1093" t="str">
        <f t="shared" si="198"/>
        <v>fraction</v>
      </c>
      <c r="F338" s="1095">
        <f t="shared" si="199"/>
        <v>0.6</v>
      </c>
      <c r="H338" s="1101">
        <f t="shared" si="206"/>
        <v>0.6</v>
      </c>
      <c r="I338" s="956" t="str">
        <f t="shared" si="201"/>
        <v>fraction</v>
      </c>
      <c r="J338" t="s">
        <v>660</v>
      </c>
      <c r="L338">
        <f t="shared" si="195"/>
        <v>0.3</v>
      </c>
      <c r="M338">
        <f t="shared" si="196"/>
        <v>0.7</v>
      </c>
      <c r="N338">
        <f t="shared" si="202"/>
        <v>0</v>
      </c>
      <c r="O338" t="s">
        <v>1272</v>
      </c>
      <c r="P338" t="s">
        <v>1306</v>
      </c>
      <c r="Q338" t="s">
        <v>1237</v>
      </c>
      <c r="R338" s="711"/>
      <c r="V338" t="str">
        <f t="shared" si="204"/>
        <v/>
      </c>
      <c r="W338">
        <v>0.6</v>
      </c>
      <c r="X338">
        <v>0.3</v>
      </c>
      <c r="Y338">
        <v>0.7</v>
      </c>
      <c r="Z338" t="str">
        <f>Units!B$35</f>
        <v>fraction</v>
      </c>
      <c r="AA338">
        <f>Units!C$35</f>
        <v>1</v>
      </c>
      <c r="AB338">
        <f>Units!D$35</f>
        <v>1</v>
      </c>
      <c r="AC338" t="str">
        <f>Units!E$35</f>
        <v>fraction</v>
      </c>
      <c r="AD338" t="str">
        <f>Units!F$35</f>
        <v>fraction</v>
      </c>
      <c r="AE338" t="str">
        <f>Units!G$35</f>
        <v>fraction</v>
      </c>
      <c r="AF338" t="str">
        <f>Units!H$35</f>
        <v>fraction</v>
      </c>
    </row>
    <row r="339" spans="1:32" x14ac:dyDescent="0.3">
      <c r="A339" s="710" t="s">
        <v>1296</v>
      </c>
      <c r="B339" t="s">
        <v>1284</v>
      </c>
      <c r="C339" s="124" t="str">
        <f t="shared" si="205"/>
        <v>UDV.econ_elec.sell_to_grid_yes_grid_pct</v>
      </c>
      <c r="D339" s="1091">
        <f t="shared" si="197"/>
        <v>0.19999999999999996</v>
      </c>
      <c r="E339" s="1093" t="str">
        <f t="shared" si="198"/>
        <v>fraction</v>
      </c>
      <c r="F339" s="1095">
        <f t="shared" si="199"/>
        <v>0.19999999999999996</v>
      </c>
      <c r="H339" s="1101">
        <f t="shared" si="206"/>
        <v>0.19999999999999996</v>
      </c>
      <c r="I339" s="956" t="str">
        <f t="shared" si="201"/>
        <v>fraction</v>
      </c>
      <c r="J339" t="s">
        <v>660</v>
      </c>
      <c r="L339">
        <f t="shared" si="195"/>
        <v>0</v>
      </c>
      <c r="M339">
        <f t="shared" si="196"/>
        <v>1</v>
      </c>
      <c r="N339">
        <f t="shared" si="202"/>
        <v>1</v>
      </c>
      <c r="O339" t="s">
        <v>1272</v>
      </c>
      <c r="P339" t="s">
        <v>1307</v>
      </c>
      <c r="Q339" t="s">
        <v>1237</v>
      </c>
      <c r="R339" s="711"/>
      <c r="V339" t="str">
        <f t="shared" si="204"/>
        <v/>
      </c>
      <c r="W339">
        <v>0.19999999999999996</v>
      </c>
      <c r="X339">
        <v>0</v>
      </c>
      <c r="Y339">
        <v>1</v>
      </c>
      <c r="Z339" t="str">
        <f>Units!B$35</f>
        <v>fraction</v>
      </c>
      <c r="AA339">
        <f>Units!C$35</f>
        <v>1</v>
      </c>
      <c r="AB339">
        <f>Units!D$35</f>
        <v>1</v>
      </c>
      <c r="AC339" t="str">
        <f>Units!E$35</f>
        <v>fraction</v>
      </c>
      <c r="AD339" t="str">
        <f>Units!F$35</f>
        <v>fraction</v>
      </c>
      <c r="AE339" t="str">
        <f>Units!G$35</f>
        <v>fraction</v>
      </c>
      <c r="AF339" t="str">
        <f>Units!H$35</f>
        <v>fraction</v>
      </c>
    </row>
    <row r="340" spans="1:32" x14ac:dyDescent="0.3">
      <c r="A340" s="710" t="s">
        <v>1308</v>
      </c>
      <c r="B340" t="s">
        <v>1309</v>
      </c>
      <c r="C340" s="124" t="str">
        <f t="shared" si="205"/>
        <v>UDV.econ_energy.carbon_credits</v>
      </c>
      <c r="D340" s="1091">
        <f t="shared" si="197"/>
        <v>0</v>
      </c>
      <c r="E340" s="1093" t="str">
        <f t="shared" si="198"/>
        <v>$/credit</v>
      </c>
      <c r="F340" s="1095">
        <f>UI.Farm!BC228</f>
        <v>0</v>
      </c>
      <c r="G340" s="1098" t="str">
        <f>UI.Farm!BD228</f>
        <v/>
      </c>
      <c r="H340" s="1101">
        <f t="shared" si="206"/>
        <v>0</v>
      </c>
      <c r="I340" s="956" t="str">
        <f t="shared" si="201"/>
        <v>$/credit</v>
      </c>
      <c r="J340" t="s">
        <v>660</v>
      </c>
      <c r="K340" t="s">
        <v>1085</v>
      </c>
      <c r="L340">
        <f t="shared" si="195"/>
        <v>0</v>
      </c>
      <c r="M340">
        <f t="shared" si="196"/>
        <v>50</v>
      </c>
      <c r="N340">
        <f t="shared" si="202"/>
        <v>0</v>
      </c>
      <c r="O340" t="s">
        <v>1310</v>
      </c>
      <c r="P340" t="s">
        <v>1311</v>
      </c>
      <c r="Q340" t="s">
        <v>1237</v>
      </c>
      <c r="R340" s="711"/>
      <c r="V340" t="str">
        <f t="shared" si="204"/>
        <v/>
      </c>
      <c r="W340">
        <v>0</v>
      </c>
      <c r="X340">
        <v>0</v>
      </c>
      <c r="Y340">
        <v>50</v>
      </c>
      <c r="Z340" t="str">
        <f>Units!B$18</f>
        <v>$/credit</v>
      </c>
      <c r="AA340">
        <f>Units!C$18</f>
        <v>1</v>
      </c>
      <c r="AB340">
        <f>Units!D$18</f>
        <v>1</v>
      </c>
      <c r="AC340" t="str">
        <f>Units!E$18</f>
        <v>$/credit</v>
      </c>
      <c r="AD340" t="str">
        <f>Units!F$18</f>
        <v>$/credit</v>
      </c>
      <c r="AE340" t="str">
        <f>Units!G$18</f>
        <v>$/credit</v>
      </c>
      <c r="AF340" t="str">
        <f>Units!H$18</f>
        <v>$/credit</v>
      </c>
    </row>
    <row r="341" spans="1:32" x14ac:dyDescent="0.3">
      <c r="A341" s="710" t="s">
        <v>1308</v>
      </c>
      <c r="B341" t="s">
        <v>1312</v>
      </c>
      <c r="C341" s="124" t="str">
        <f t="shared" si="205"/>
        <v>UDV.econ_energy.renewable_energy_credits</v>
      </c>
      <c r="D341" s="1091">
        <f t="shared" si="197"/>
        <v>0</v>
      </c>
      <c r="E341" s="1093" t="str">
        <f t="shared" si="198"/>
        <v>$/MWh</v>
      </c>
      <c r="F341" s="1095">
        <f>IF(OR(G341="",N341=0),H341,G341)</f>
        <v>0</v>
      </c>
      <c r="H341" s="1101">
        <f t="shared" si="206"/>
        <v>0</v>
      </c>
      <c r="I341" s="956" t="str">
        <f t="shared" si="201"/>
        <v>$/MWh</v>
      </c>
      <c r="J341" t="s">
        <v>660</v>
      </c>
      <c r="L341">
        <f t="shared" si="195"/>
        <v>0</v>
      </c>
      <c r="M341">
        <f t="shared" si="196"/>
        <v>100</v>
      </c>
      <c r="N341">
        <f t="shared" si="202"/>
        <v>1</v>
      </c>
      <c r="O341" t="s">
        <v>1310</v>
      </c>
      <c r="P341" t="s">
        <v>1313</v>
      </c>
      <c r="Q341" t="s">
        <v>1237</v>
      </c>
      <c r="R341" s="711"/>
      <c r="V341" t="str">
        <f t="shared" si="204"/>
        <v/>
      </c>
      <c r="W341">
        <v>0</v>
      </c>
      <c r="X341">
        <v>0</v>
      </c>
      <c r="Y341">
        <v>100</v>
      </c>
      <c r="Z341" t="str">
        <f>Units!B$24</f>
        <v>$/MWh</v>
      </c>
      <c r="AA341">
        <f>Units!C$24</f>
        <v>1</v>
      </c>
      <c r="AB341">
        <f>Units!D$24</f>
        <v>1</v>
      </c>
      <c r="AC341" t="str">
        <f>Units!E$24</f>
        <v>$/MWh</v>
      </c>
      <c r="AD341" t="str">
        <f>Units!F$24</f>
        <v>$/MWh</v>
      </c>
      <c r="AE341" t="str">
        <f>Units!G$24</f>
        <v>$/MWh</v>
      </c>
      <c r="AF341" t="str">
        <f>Units!H$24</f>
        <v>$/MWh</v>
      </c>
    </row>
    <row r="342" spans="1:32" x14ac:dyDescent="0.3">
      <c r="A342" s="710" t="s">
        <v>1314</v>
      </c>
      <c r="B342" t="s">
        <v>934</v>
      </c>
      <c r="C342" s="124" t="str">
        <f t="shared" si="205"/>
        <v>UDV.econ_fertilizer.K2O</v>
      </c>
      <c r="D342" s="1091">
        <f t="shared" si="197"/>
        <v>0.45</v>
      </c>
      <c r="E342" s="1093" t="str">
        <f t="shared" si="198"/>
        <v>$/lb</v>
      </c>
      <c r="F342" s="1095">
        <f>UI.OpExpenses!BC111</f>
        <v>0.45</v>
      </c>
      <c r="G342" s="1098" t="str">
        <f>UI.OpExpenses!BD111</f>
        <v/>
      </c>
      <c r="H342" s="1101">
        <f t="shared" si="206"/>
        <v>0.45</v>
      </c>
      <c r="I342" s="956" t="str">
        <f t="shared" si="201"/>
        <v>$/lb</v>
      </c>
      <c r="J342" t="s">
        <v>660</v>
      </c>
      <c r="K342" t="s">
        <v>1315</v>
      </c>
      <c r="L342">
        <f t="shared" si="195"/>
        <v>0.1</v>
      </c>
      <c r="M342">
        <f t="shared" si="196"/>
        <v>1</v>
      </c>
      <c r="N342">
        <f t="shared" si="202"/>
        <v>0</v>
      </c>
      <c r="O342" t="s">
        <v>1316</v>
      </c>
      <c r="P342" t="s">
        <v>1317</v>
      </c>
      <c r="Q342" t="s">
        <v>1222</v>
      </c>
      <c r="R342" s="711"/>
      <c r="V342" t="str">
        <f t="shared" si="204"/>
        <v/>
      </c>
      <c r="W342">
        <v>0.45</v>
      </c>
      <c r="X342">
        <v>0.1</v>
      </c>
      <c r="Y342">
        <v>1</v>
      </c>
      <c r="Z342" t="str">
        <f>Units!B$20</f>
        <v>$/lb</v>
      </c>
      <c r="AA342">
        <f>Units!C$20</f>
        <v>1</v>
      </c>
      <c r="AB342">
        <f>Units!D$20</f>
        <v>1</v>
      </c>
      <c r="AC342" t="str">
        <f>Units!E$20</f>
        <v>$/lb</v>
      </c>
      <c r="AD342" t="str">
        <f>Units!F$20</f>
        <v>$/lb</v>
      </c>
      <c r="AE342" t="str">
        <f>Units!G$20</f>
        <v>$/kg</v>
      </c>
      <c r="AF342" t="str">
        <f>Units!H$20</f>
        <v>$/lb</v>
      </c>
    </row>
    <row r="343" spans="1:32" x14ac:dyDescent="0.3">
      <c r="A343" s="710" t="s">
        <v>1314</v>
      </c>
      <c r="B343" t="s">
        <v>84</v>
      </c>
      <c r="C343" s="124" t="str">
        <f t="shared" si="205"/>
        <v>UDV.econ_fertilizer.N</v>
      </c>
      <c r="D343" s="1091">
        <f t="shared" si="197"/>
        <v>0.53</v>
      </c>
      <c r="E343" s="1093" t="str">
        <f t="shared" si="198"/>
        <v>$/lb</v>
      </c>
      <c r="F343" s="1095">
        <f>UI.OpExpenses!BC109</f>
        <v>0.53</v>
      </c>
      <c r="G343" s="1098" t="str">
        <f>UI.OpExpenses!BD109</f>
        <v/>
      </c>
      <c r="H343" s="1101">
        <f t="shared" si="206"/>
        <v>0.53</v>
      </c>
      <c r="I343" s="956" t="str">
        <f t="shared" si="201"/>
        <v>$/lb</v>
      </c>
      <c r="J343" t="s">
        <v>660</v>
      </c>
      <c r="K343" t="s">
        <v>1315</v>
      </c>
      <c r="L343">
        <f t="shared" si="195"/>
        <v>0.1</v>
      </c>
      <c r="M343">
        <f t="shared" si="196"/>
        <v>1</v>
      </c>
      <c r="N343">
        <f t="shared" si="202"/>
        <v>0</v>
      </c>
      <c r="O343" t="s">
        <v>1316</v>
      </c>
      <c r="P343" t="s">
        <v>1318</v>
      </c>
      <c r="Q343" t="s">
        <v>1222</v>
      </c>
      <c r="R343" s="711"/>
      <c r="V343" t="str">
        <f t="shared" si="204"/>
        <v/>
      </c>
      <c r="W343">
        <v>0.53</v>
      </c>
      <c r="X343">
        <v>0.1</v>
      </c>
      <c r="Y343">
        <v>1</v>
      </c>
      <c r="Z343" t="str">
        <f>Units!B$20</f>
        <v>$/lb</v>
      </c>
      <c r="AA343">
        <f>Units!C$20</f>
        <v>1</v>
      </c>
      <c r="AB343">
        <f>Units!D$20</f>
        <v>1</v>
      </c>
      <c r="AC343" t="str">
        <f>Units!E$20</f>
        <v>$/lb</v>
      </c>
      <c r="AD343" t="str">
        <f>Units!F$20</f>
        <v>$/lb</v>
      </c>
      <c r="AE343" t="str">
        <f>Units!G$20</f>
        <v>$/kg</v>
      </c>
      <c r="AF343" t="str">
        <f>Units!H$20</f>
        <v>$/lb</v>
      </c>
    </row>
    <row r="344" spans="1:32" x14ac:dyDescent="0.3">
      <c r="A344" s="710" t="s">
        <v>1314</v>
      </c>
      <c r="B344" t="s">
        <v>941</v>
      </c>
      <c r="C344" s="124" t="str">
        <f t="shared" si="205"/>
        <v>UDV.econ_fertilizer.P2O5</v>
      </c>
      <c r="D344" s="1091">
        <f t="shared" ref="D344:D354" si="207">$F344*$AB344</f>
        <v>0.53</v>
      </c>
      <c r="E344" s="1093" t="str">
        <f t="shared" ref="E344:E354" si="208">$AD344</f>
        <v>$/lb</v>
      </c>
      <c r="F344" s="1095">
        <f>UI.OpExpenses!BC110</f>
        <v>0.53</v>
      </c>
      <c r="G344" s="1098" t="str">
        <f>UI.OpExpenses!BD110</f>
        <v/>
      </c>
      <c r="H344" s="1101">
        <f t="shared" si="206"/>
        <v>0.53</v>
      </c>
      <c r="I344" s="956" t="str">
        <f t="shared" ref="I344:I354" si="209">$AC344</f>
        <v>$/lb</v>
      </c>
      <c r="J344" t="s">
        <v>660</v>
      </c>
      <c r="K344" t="s">
        <v>1315</v>
      </c>
      <c r="L344">
        <f t="shared" si="195"/>
        <v>0.1</v>
      </c>
      <c r="M344">
        <f t="shared" si="196"/>
        <v>1</v>
      </c>
      <c r="N344">
        <f t="shared" si="202"/>
        <v>0</v>
      </c>
      <c r="O344" t="s">
        <v>1316</v>
      </c>
      <c r="P344" t="s">
        <v>1319</v>
      </c>
      <c r="Q344" t="s">
        <v>1222</v>
      </c>
      <c r="R344" s="711"/>
      <c r="V344" t="str">
        <f t="shared" si="204"/>
        <v/>
      </c>
      <c r="W344">
        <v>0.53</v>
      </c>
      <c r="X344">
        <v>0.1</v>
      </c>
      <c r="Y344">
        <v>1</v>
      </c>
      <c r="Z344" t="str">
        <f>Units!B$20</f>
        <v>$/lb</v>
      </c>
      <c r="AA344">
        <f>Units!C$20</f>
        <v>1</v>
      </c>
      <c r="AB344">
        <f>Units!D$20</f>
        <v>1</v>
      </c>
      <c r="AC344" t="str">
        <f>Units!E$20</f>
        <v>$/lb</v>
      </c>
      <c r="AD344" t="str">
        <f>Units!F$20</f>
        <v>$/lb</v>
      </c>
      <c r="AE344" t="str">
        <f>Units!G$20</f>
        <v>$/kg</v>
      </c>
      <c r="AF344" t="str">
        <f>Units!H$20</f>
        <v>$/lb</v>
      </c>
    </row>
    <row r="345" spans="1:32" x14ac:dyDescent="0.3">
      <c r="A345" s="710" t="s">
        <v>1320</v>
      </c>
      <c r="B345" t="s">
        <v>1321</v>
      </c>
      <c r="C345" s="124" t="str">
        <f t="shared" si="205"/>
        <v>UDV.econ_hose.hose_drag_flex_660ft</v>
      </c>
      <c r="D345" s="1091">
        <f t="shared" si="207"/>
        <v>15200</v>
      </c>
      <c r="E345" s="1093" t="str">
        <f t="shared" si="208"/>
        <v>$ (Equipment)</v>
      </c>
      <c r="F345" s="1095">
        <f>IF(OR(G345="",N345=0),H345,G345)</f>
        <v>15200</v>
      </c>
      <c r="H345" s="1101">
        <f t="shared" si="206"/>
        <v>15200</v>
      </c>
      <c r="I345" s="956" t="str">
        <f t="shared" si="209"/>
        <v>$ (Equipment)</v>
      </c>
      <c r="J345" t="s">
        <v>660</v>
      </c>
      <c r="L345">
        <f t="shared" si="195"/>
        <v>10600</v>
      </c>
      <c r="M345">
        <f t="shared" si="196"/>
        <v>19700</v>
      </c>
      <c r="N345">
        <f t="shared" si="202"/>
        <v>0</v>
      </c>
      <c r="O345" t="s">
        <v>1322</v>
      </c>
      <c r="P345" t="s">
        <v>1323</v>
      </c>
      <c r="Q345" t="s">
        <v>1222</v>
      </c>
      <c r="R345" s="711"/>
      <c r="V345" t="str">
        <f t="shared" si="204"/>
        <v/>
      </c>
      <c r="W345">
        <v>15200</v>
      </c>
      <c r="X345">
        <v>10600</v>
      </c>
      <c r="Y345">
        <v>19700</v>
      </c>
      <c r="Z345" t="str">
        <f>Units!B$15</f>
        <v>$ (Equipment)</v>
      </c>
      <c r="AA345">
        <f>Units!C$15</f>
        <v>1</v>
      </c>
      <c r="AB345">
        <f>Units!D$15</f>
        <v>1</v>
      </c>
      <c r="AC345" t="str">
        <f>Units!E$15</f>
        <v>$ (Equipment)</v>
      </c>
      <c r="AD345" t="str">
        <f>Units!F$15</f>
        <v>$ (Equipment)</v>
      </c>
      <c r="AE345" t="str">
        <f>Units!G$15</f>
        <v>$ (Equipment)</v>
      </c>
      <c r="AF345" t="str">
        <f>Units!H$15</f>
        <v>$ (Equipment)</v>
      </c>
    </row>
    <row r="346" spans="1:32" x14ac:dyDescent="0.3">
      <c r="A346" s="710" t="s">
        <v>1320</v>
      </c>
      <c r="B346" t="s">
        <v>1324</v>
      </c>
      <c r="C346" s="124" t="str">
        <f t="shared" si="205"/>
        <v>UDV.econ_hose.hose_pulley</v>
      </c>
      <c r="D346" s="1091">
        <f t="shared" si="207"/>
        <v>13200</v>
      </c>
      <c r="E346" s="1093" t="str">
        <f t="shared" si="208"/>
        <v>$ (Equipment)</v>
      </c>
      <c r="F346" s="1095">
        <f>IF(OR(G346="",N346=0),H346,G346)</f>
        <v>13200</v>
      </c>
      <c r="H346" s="1101">
        <f t="shared" si="206"/>
        <v>13200</v>
      </c>
      <c r="I346" s="956" t="str">
        <f t="shared" si="209"/>
        <v>$ (Equipment)</v>
      </c>
      <c r="J346" t="s">
        <v>660</v>
      </c>
      <c r="L346">
        <f t="shared" si="195"/>
        <v>9200</v>
      </c>
      <c r="M346">
        <f t="shared" si="196"/>
        <v>17100</v>
      </c>
      <c r="N346">
        <f t="shared" si="202"/>
        <v>0</v>
      </c>
      <c r="O346" t="s">
        <v>1322</v>
      </c>
      <c r="P346" t="s">
        <v>1325</v>
      </c>
      <c r="Q346" t="s">
        <v>1222</v>
      </c>
      <c r="R346" s="711"/>
      <c r="V346" t="str">
        <f t="shared" si="204"/>
        <v/>
      </c>
      <c r="W346">
        <v>13200</v>
      </c>
      <c r="X346">
        <v>9200</v>
      </c>
      <c r="Y346">
        <v>17100</v>
      </c>
      <c r="Z346" t="str">
        <f>Units!B$15</f>
        <v>$ (Equipment)</v>
      </c>
      <c r="AA346">
        <f>Units!C$15</f>
        <v>1</v>
      </c>
      <c r="AB346">
        <f>Units!D$15</f>
        <v>1</v>
      </c>
      <c r="AC346" t="str">
        <f>Units!E$15</f>
        <v>$ (Equipment)</v>
      </c>
      <c r="AD346" t="str">
        <f>Units!F$15</f>
        <v>$ (Equipment)</v>
      </c>
      <c r="AE346" t="str">
        <f>Units!G$15</f>
        <v>$ (Equipment)</v>
      </c>
      <c r="AF346" t="str">
        <f>Units!H$15</f>
        <v>$ (Equipment)</v>
      </c>
    </row>
    <row r="347" spans="1:32" x14ac:dyDescent="0.3">
      <c r="A347" s="710" t="s">
        <v>1320</v>
      </c>
      <c r="B347" t="s">
        <v>1326</v>
      </c>
      <c r="C347" s="124" t="str">
        <f t="shared" si="205"/>
        <v>UDV.econ_hose.hose_reel_hydraulic</v>
      </c>
      <c r="D347" s="1091">
        <f t="shared" si="207"/>
        <v>44500</v>
      </c>
      <c r="E347" s="1093" t="str">
        <f t="shared" si="208"/>
        <v>$ (Equipment)</v>
      </c>
      <c r="F347" s="1095">
        <f>IF(OR(G347="",N347=0),H347,G347)</f>
        <v>44500</v>
      </c>
      <c r="H347" s="1101">
        <f t="shared" si="206"/>
        <v>44500</v>
      </c>
      <c r="I347" s="956" t="str">
        <f t="shared" si="209"/>
        <v>$ (Equipment)</v>
      </c>
      <c r="J347" t="s">
        <v>660</v>
      </c>
      <c r="L347">
        <f t="shared" si="195"/>
        <v>31200</v>
      </c>
      <c r="M347">
        <f t="shared" si="196"/>
        <v>57900</v>
      </c>
      <c r="N347">
        <f t="shared" si="202"/>
        <v>0</v>
      </c>
      <c r="O347" t="s">
        <v>1322</v>
      </c>
      <c r="P347" t="s">
        <v>1327</v>
      </c>
      <c r="Q347" t="s">
        <v>1222</v>
      </c>
      <c r="R347" s="711"/>
      <c r="V347" t="str">
        <f t="shared" si="204"/>
        <v/>
      </c>
      <c r="W347">
        <v>44500</v>
      </c>
      <c r="X347">
        <v>31200</v>
      </c>
      <c r="Y347">
        <v>57900</v>
      </c>
      <c r="Z347" t="str">
        <f>Units!B$15</f>
        <v>$ (Equipment)</v>
      </c>
      <c r="AA347">
        <f>Units!C$15</f>
        <v>1</v>
      </c>
      <c r="AB347">
        <f>Units!D$15</f>
        <v>1</v>
      </c>
      <c r="AC347" t="str">
        <f>Units!E$15</f>
        <v>$ (Equipment)</v>
      </c>
      <c r="AD347" t="str">
        <f>Units!F$15</f>
        <v>$ (Equipment)</v>
      </c>
      <c r="AE347" t="str">
        <f>Units!G$15</f>
        <v>$ (Equipment)</v>
      </c>
      <c r="AF347" t="str">
        <f>Units!H$15</f>
        <v>$ (Equipment)</v>
      </c>
    </row>
    <row r="348" spans="1:32" x14ac:dyDescent="0.3">
      <c r="A348" s="710" t="s">
        <v>1328</v>
      </c>
      <c r="B348" t="s">
        <v>1329</v>
      </c>
      <c r="C348" s="124" t="str">
        <f t="shared" si="205"/>
        <v>UDV.econ_liner.lagoon_geomembrane</v>
      </c>
      <c r="D348" s="1091">
        <f t="shared" si="207"/>
        <v>2.5</v>
      </c>
      <c r="E348" s="1093" t="str">
        <f t="shared" si="208"/>
        <v>$/ft2</v>
      </c>
      <c r="F348" s="1095">
        <f>IF(OR(G348="",N348=0),H348,G348)</f>
        <v>2.5</v>
      </c>
      <c r="H348" s="1101">
        <f t="shared" si="206"/>
        <v>2.5</v>
      </c>
      <c r="I348" s="956" t="str">
        <f t="shared" si="209"/>
        <v>$/ft2</v>
      </c>
      <c r="J348" t="s">
        <v>660</v>
      </c>
      <c r="L348">
        <f t="shared" si="195"/>
        <v>1.5</v>
      </c>
      <c r="M348">
        <f t="shared" si="196"/>
        <v>4</v>
      </c>
      <c r="N348">
        <f t="shared" si="202"/>
        <v>0</v>
      </c>
      <c r="O348" t="s">
        <v>1330</v>
      </c>
      <c r="P348" t="s">
        <v>1331</v>
      </c>
      <c r="Q348" t="s">
        <v>1222</v>
      </c>
      <c r="R348" s="711"/>
      <c r="V348" t="str">
        <f t="shared" si="204"/>
        <v/>
      </c>
      <c r="W348">
        <v>2.5</v>
      </c>
      <c r="X348">
        <v>1.5</v>
      </c>
      <c r="Y348">
        <v>4</v>
      </c>
      <c r="Z348" t="str">
        <f>Units!B$17</f>
        <v>$/ft2</v>
      </c>
      <c r="AA348">
        <f>Units!C$17</f>
        <v>1</v>
      </c>
      <c r="AB348">
        <f>Units!D$17</f>
        <v>1</v>
      </c>
      <c r="AC348" t="str">
        <f>Units!E$17</f>
        <v>$/ft2</v>
      </c>
      <c r="AD348" t="str">
        <f>Units!F$17</f>
        <v>$/ft2</v>
      </c>
      <c r="AE348" t="str">
        <f>Units!G$17</f>
        <v>$/m2</v>
      </c>
      <c r="AF348" t="str">
        <f>Units!H$17</f>
        <v>$/ft2</v>
      </c>
    </row>
    <row r="349" spans="1:32" x14ac:dyDescent="0.3">
      <c r="A349" s="710" t="s">
        <v>1332</v>
      </c>
      <c r="B349" t="s">
        <v>1333</v>
      </c>
      <c r="C349" s="124" t="str">
        <f t="shared" si="205"/>
        <v>UDV.econ_manure.compost_export_cost</v>
      </c>
      <c r="D349" s="1091">
        <f t="shared" si="207"/>
        <v>41.5</v>
      </c>
      <c r="E349" s="1093" t="str">
        <f t="shared" si="208"/>
        <v>$/ton (2000 lb)</v>
      </c>
      <c r="F349" s="1095">
        <f>INDEX(UI.Streams!$BC$141:$BC$165,MATCH($C349,UI.Streams!$BB$141:$BB$165,0))</f>
        <v>41.5</v>
      </c>
      <c r="G349" s="1098">
        <f>INDEX(UI.Streams!$BD$141:$BD$165,MATCH($C349,UI.Streams!$BB$141:$BB$165,0))</f>
        <v>0</v>
      </c>
      <c r="H349" s="1101">
        <f t="shared" si="206"/>
        <v>41.5</v>
      </c>
      <c r="I349" s="956" t="str">
        <f t="shared" si="209"/>
        <v>$/ton (2000 lb)</v>
      </c>
      <c r="J349" t="s">
        <v>660</v>
      </c>
      <c r="K349" t="s">
        <v>1334</v>
      </c>
      <c r="L349">
        <f t="shared" si="195"/>
        <v>0.01</v>
      </c>
      <c r="M349">
        <f t="shared" si="196"/>
        <v>118.4</v>
      </c>
      <c r="N349">
        <f t="shared" si="202"/>
        <v>0</v>
      </c>
      <c r="O349" t="s">
        <v>1335</v>
      </c>
      <c r="P349" t="s">
        <v>1336</v>
      </c>
      <c r="Q349" t="s">
        <v>1337</v>
      </c>
      <c r="R349" s="711"/>
      <c r="V349" t="str">
        <f t="shared" si="204"/>
        <v/>
      </c>
      <c r="W349">
        <v>41.5</v>
      </c>
      <c r="X349">
        <v>0.01</v>
      </c>
      <c r="Y349">
        <v>118.4</v>
      </c>
      <c r="Z349" t="str">
        <f>Units!B$22</f>
        <v>$/ton (2000 lb)</v>
      </c>
      <c r="AA349">
        <f>Units!C$22</f>
        <v>1</v>
      </c>
      <c r="AB349">
        <f>Units!D$22</f>
        <v>1</v>
      </c>
      <c r="AC349" t="str">
        <f>Units!E$22</f>
        <v>$/ton (2000 lb)</v>
      </c>
      <c r="AD349" t="str">
        <f>Units!F$22</f>
        <v>$/ton (2000 lb)</v>
      </c>
      <c r="AE349" t="str">
        <f>Units!G$22</f>
        <v>$/tonne (1000 kg)</v>
      </c>
      <c r="AF349" t="str">
        <f>Units!H$22</f>
        <v>$/ton (2000 lb)</v>
      </c>
    </row>
    <row r="350" spans="1:32" x14ac:dyDescent="0.3">
      <c r="A350" s="710" t="s">
        <v>1332</v>
      </c>
      <c r="B350" t="s">
        <v>1338</v>
      </c>
      <c r="C350" s="124" t="str">
        <f t="shared" si="205"/>
        <v>UDV.econ_manure.compost_export_pct</v>
      </c>
      <c r="D350" s="1091">
        <f t="shared" si="207"/>
        <v>0</v>
      </c>
      <c r="E350" s="1093" t="str">
        <f t="shared" si="208"/>
        <v>% of excess</v>
      </c>
      <c r="F350" s="1095">
        <f>INDEX(UI.Streams!$BC$141:$BC$165,MATCH($C350,UI.Streams!$BB$141:$BB$165,0))</f>
        <v>0</v>
      </c>
      <c r="G350" s="1098">
        <f>INDEX(UI.Streams!$BD$141:$BD$165,MATCH($C350,UI.Streams!$BB$141:$BB$165,0))</f>
        <v>0</v>
      </c>
      <c r="H350" s="1101">
        <f t="shared" si="206"/>
        <v>0</v>
      </c>
      <c r="I350" s="956" t="str">
        <f t="shared" si="209"/>
        <v>% of excess</v>
      </c>
      <c r="J350" t="s">
        <v>660</v>
      </c>
      <c r="K350" t="s">
        <v>1334</v>
      </c>
      <c r="L350">
        <f t="shared" si="195"/>
        <v>0</v>
      </c>
      <c r="M350">
        <f t="shared" si="196"/>
        <v>1</v>
      </c>
      <c r="N350">
        <f t="shared" si="202"/>
        <v>1</v>
      </c>
      <c r="O350" t="s">
        <v>1335</v>
      </c>
      <c r="P350" t="s">
        <v>1339</v>
      </c>
      <c r="Q350" t="s">
        <v>1337</v>
      </c>
      <c r="R350" s="711"/>
      <c r="S350" t="s">
        <v>84</v>
      </c>
      <c r="V350" t="str">
        <f t="shared" si="204"/>
        <v/>
      </c>
      <c r="W350">
        <v>0</v>
      </c>
      <c r="X350">
        <v>0</v>
      </c>
      <c r="Y350">
        <v>1</v>
      </c>
      <c r="Z350" t="str">
        <f>Units!B$34</f>
        <v>% of excess</v>
      </c>
      <c r="AA350">
        <f>Units!C$34</f>
        <v>1</v>
      </c>
      <c r="AB350">
        <f>Units!D$34</f>
        <v>1</v>
      </c>
      <c r="AC350" t="str">
        <f>Units!E$34</f>
        <v>% of excess</v>
      </c>
      <c r="AD350" t="str">
        <f>Units!F$34</f>
        <v>% of excess</v>
      </c>
      <c r="AE350" t="str">
        <f>Units!G$34</f>
        <v>% of excess</v>
      </c>
      <c r="AF350" t="str">
        <f>Units!H$34</f>
        <v>% of excess</v>
      </c>
    </row>
    <row r="351" spans="1:32" x14ac:dyDescent="0.3">
      <c r="A351" s="710" t="s">
        <v>1332</v>
      </c>
      <c r="B351" t="s">
        <v>1340</v>
      </c>
      <c r="C351" s="124" t="str">
        <f t="shared" si="205"/>
        <v>UDV.econ_manure.compost_give_cost</v>
      </c>
      <c r="D351" s="1091">
        <f t="shared" si="207"/>
        <v>0</v>
      </c>
      <c r="E351" s="1093" t="str">
        <f t="shared" si="208"/>
        <v>$/ton (2000 lb)</v>
      </c>
      <c r="F351" s="1095">
        <f>IF(OR(G351="",N351=0),H351,G351)</f>
        <v>0</v>
      </c>
      <c r="H351" s="1101">
        <f t="shared" si="206"/>
        <v>0</v>
      </c>
      <c r="I351" s="956" t="str">
        <f t="shared" si="209"/>
        <v>$/ton (2000 lb)</v>
      </c>
      <c r="J351" t="s">
        <v>660</v>
      </c>
      <c r="L351">
        <f t="shared" si="195"/>
        <v>0</v>
      </c>
      <c r="N351">
        <f>IF(AND(G351&gt;=L351),1,0)</f>
        <v>1</v>
      </c>
      <c r="O351" t="s">
        <v>1335</v>
      </c>
      <c r="P351" t="s">
        <v>1341</v>
      </c>
      <c r="R351" s="711"/>
      <c r="S351" t="s">
        <v>84</v>
      </c>
      <c r="V351" t="str">
        <f t="shared" si="204"/>
        <v>Fix</v>
      </c>
      <c r="W351">
        <v>0</v>
      </c>
      <c r="X351">
        <v>0</v>
      </c>
      <c r="Y351">
        <v>0</v>
      </c>
      <c r="Z351" t="str">
        <f>Units!B$22</f>
        <v>$/ton (2000 lb)</v>
      </c>
      <c r="AA351">
        <f>Units!C$22</f>
        <v>1</v>
      </c>
      <c r="AB351">
        <f>Units!D$22</f>
        <v>1</v>
      </c>
      <c r="AC351" t="str">
        <f>Units!E$22</f>
        <v>$/ton (2000 lb)</v>
      </c>
      <c r="AD351" t="str">
        <f>Units!F$22</f>
        <v>$/ton (2000 lb)</v>
      </c>
      <c r="AE351" t="str">
        <f>Units!G$22</f>
        <v>$/tonne (1000 kg)</v>
      </c>
      <c r="AF351" t="str">
        <f>Units!H$22</f>
        <v>$/ton (2000 lb)</v>
      </c>
    </row>
    <row r="352" spans="1:32" x14ac:dyDescent="0.3">
      <c r="A352" s="710" t="s">
        <v>1332</v>
      </c>
      <c r="B352" t="s">
        <v>1342</v>
      </c>
      <c r="C352" s="124" t="str">
        <f t="shared" si="205"/>
        <v>UDV.econ_manure.compost_give_pct</v>
      </c>
      <c r="D352" s="1091">
        <f t="shared" si="207"/>
        <v>0</v>
      </c>
      <c r="E352" s="1093" t="str">
        <f t="shared" si="208"/>
        <v>% of excess</v>
      </c>
      <c r="F352" s="1095">
        <f>INDEX(UI.Streams!$BC$141:$BC$165,MATCH($C352,UI.Streams!$BB$141:$BB$165,0))</f>
        <v>0</v>
      </c>
      <c r="G352" s="1098">
        <f>INDEX(UI.Streams!$BD$141:$BD$165,MATCH($C352,UI.Streams!$BB$141:$BB$165,0))</f>
        <v>0</v>
      </c>
      <c r="H352" s="1101">
        <f t="shared" si="206"/>
        <v>0</v>
      </c>
      <c r="I352" s="956" t="str">
        <f t="shared" si="209"/>
        <v>% of excess</v>
      </c>
      <c r="J352" t="s">
        <v>660</v>
      </c>
      <c r="K352" t="s">
        <v>1334</v>
      </c>
      <c r="L352">
        <f t="shared" si="195"/>
        <v>0</v>
      </c>
      <c r="M352">
        <f t="shared" si="196"/>
        <v>1</v>
      </c>
      <c r="N352">
        <f>IF(AND(G352&lt;=M352, G352&gt;=L352),1,0)</f>
        <v>1</v>
      </c>
      <c r="O352" t="s">
        <v>1335</v>
      </c>
      <c r="P352" t="s">
        <v>1343</v>
      </c>
      <c r="Q352" t="s">
        <v>1344</v>
      </c>
      <c r="R352" s="711"/>
      <c r="S352" t="s">
        <v>84</v>
      </c>
      <c r="V352" t="str">
        <f t="shared" si="204"/>
        <v/>
      </c>
      <c r="W352">
        <v>0</v>
      </c>
      <c r="X352">
        <v>0</v>
      </c>
      <c r="Y352">
        <v>1</v>
      </c>
      <c r="Z352" t="str">
        <f>Units!B$34</f>
        <v>% of excess</v>
      </c>
      <c r="AA352">
        <f>Units!C$34</f>
        <v>1</v>
      </c>
      <c r="AB352">
        <f>Units!D$34</f>
        <v>1</v>
      </c>
      <c r="AC352" t="str">
        <f>Units!E$34</f>
        <v>% of excess</v>
      </c>
      <c r="AD352" t="str">
        <f>Units!F$34</f>
        <v>% of excess</v>
      </c>
      <c r="AE352" t="str">
        <f>Units!G$34</f>
        <v>% of excess</v>
      </c>
      <c r="AF352" t="str">
        <f>Units!H$34</f>
        <v>% of excess</v>
      </c>
    </row>
    <row r="353" spans="1:32" x14ac:dyDescent="0.3">
      <c r="A353" s="710" t="s">
        <v>1332</v>
      </c>
      <c r="B353" t="s">
        <v>1345</v>
      </c>
      <c r="C353" s="124" t="str">
        <f t="shared" si="205"/>
        <v>UDV.econ_manure.compost_sell_pct</v>
      </c>
      <c r="D353" s="1091">
        <f t="shared" si="207"/>
        <v>1</v>
      </c>
      <c r="E353" s="1093" t="str">
        <f t="shared" si="208"/>
        <v>% of excess</v>
      </c>
      <c r="F353" s="1095">
        <f>INDEX(UI.Streams!$BC$141:$BC$165,MATCH($C353,UI.Streams!$BB$141:$BB$165,0))</f>
        <v>1</v>
      </c>
      <c r="G353" s="1098">
        <f>INDEX(UI.Streams!$BD$141:$BD$165,MATCH($C353,UI.Streams!$BB$141:$BB$165,0))</f>
        <v>0</v>
      </c>
      <c r="H353" s="1101">
        <f t="shared" si="206"/>
        <v>1</v>
      </c>
      <c r="I353" s="956" t="str">
        <f t="shared" si="209"/>
        <v>% of excess</v>
      </c>
      <c r="J353" t="s">
        <v>660</v>
      </c>
      <c r="K353" t="s">
        <v>1334</v>
      </c>
      <c r="L353">
        <f t="shared" si="195"/>
        <v>0</v>
      </c>
      <c r="M353">
        <f t="shared" si="196"/>
        <v>1</v>
      </c>
      <c r="N353">
        <f>IF(AND(G353&lt;=M353, G353&gt;=L353),1,0)</f>
        <v>1</v>
      </c>
      <c r="O353" t="s">
        <v>1335</v>
      </c>
      <c r="P353" t="s">
        <v>1346</v>
      </c>
      <c r="Q353" t="s">
        <v>1344</v>
      </c>
      <c r="R353" s="711"/>
      <c r="S353" t="s">
        <v>84</v>
      </c>
      <c r="V353" t="str">
        <f t="shared" si="204"/>
        <v/>
      </c>
      <c r="W353">
        <v>1</v>
      </c>
      <c r="X353">
        <v>0</v>
      </c>
      <c r="Y353">
        <v>1</v>
      </c>
      <c r="Z353" t="str">
        <f>Units!B$34</f>
        <v>% of excess</v>
      </c>
      <c r="AA353">
        <f>Units!C$34</f>
        <v>1</v>
      </c>
      <c r="AB353">
        <f>Units!D$34</f>
        <v>1</v>
      </c>
      <c r="AC353" t="str">
        <f>Units!E$34</f>
        <v>% of excess</v>
      </c>
      <c r="AD353" t="str">
        <f>Units!F$34</f>
        <v>% of excess</v>
      </c>
      <c r="AE353" t="str">
        <f>Units!G$34</f>
        <v>% of excess</v>
      </c>
      <c r="AF353" t="str">
        <f>Units!H$34</f>
        <v>% of excess</v>
      </c>
    </row>
    <row r="354" spans="1:32" x14ac:dyDescent="0.3">
      <c r="A354" s="710" t="s">
        <v>1332</v>
      </c>
      <c r="B354" t="s">
        <v>1347</v>
      </c>
      <c r="C354" s="124" t="str">
        <f t="shared" si="205"/>
        <v>UDV.econ_manure.compost_sell_price</v>
      </c>
      <c r="D354" s="1091">
        <f t="shared" si="207"/>
        <v>45</v>
      </c>
      <c r="E354" s="1093" t="str">
        <f t="shared" si="208"/>
        <v>$/ton (2000 lb)</v>
      </c>
      <c r="F354" s="1301">
        <f>INDEX(UI.Streams!$BC$141:$BC$165,MATCH($C354,UI.Streams!$BB$141:$BB$165,0))</f>
        <v>45</v>
      </c>
      <c r="G354" s="1098">
        <f>INDEX(UI.Streams!$BD$141:$BD$165,MATCH($C354,UI.Streams!$BB$141:$BB$165,0))</f>
        <v>0</v>
      </c>
      <c r="H354" s="1101">
        <f t="shared" si="206"/>
        <v>45</v>
      </c>
      <c r="I354" s="956" t="str">
        <f t="shared" si="209"/>
        <v>$/ton (2000 lb)</v>
      </c>
      <c r="J354" t="s">
        <v>660</v>
      </c>
      <c r="K354" t="s">
        <v>1334</v>
      </c>
      <c r="L354">
        <f t="shared" si="195"/>
        <v>0.01</v>
      </c>
      <c r="M354">
        <f t="shared" si="196"/>
        <v>80</v>
      </c>
      <c r="N354">
        <f>IF(AND(G354&lt;=M354, G354&gt;=L354),1,0)</f>
        <v>0</v>
      </c>
      <c r="O354" t="s">
        <v>1335</v>
      </c>
      <c r="P354" t="s">
        <v>1348</v>
      </c>
      <c r="Q354" t="s">
        <v>1349</v>
      </c>
      <c r="R354" s="711"/>
      <c r="V354" t="str">
        <f t="shared" si="204"/>
        <v/>
      </c>
      <c r="W354">
        <v>45</v>
      </c>
      <c r="X354">
        <v>0.01</v>
      </c>
      <c r="Y354">
        <v>80</v>
      </c>
      <c r="Z354" t="str">
        <f>Units!B$22</f>
        <v>$/ton (2000 lb)</v>
      </c>
      <c r="AA354">
        <f>Units!C$22</f>
        <v>1</v>
      </c>
      <c r="AB354">
        <f>Units!D$22</f>
        <v>1</v>
      </c>
      <c r="AC354" t="str">
        <f>Units!E$22</f>
        <v>$/ton (2000 lb)</v>
      </c>
      <c r="AD354" t="str">
        <f>Units!F$22</f>
        <v>$/ton (2000 lb)</v>
      </c>
      <c r="AE354" t="str">
        <f>Units!G$22</f>
        <v>$/tonne (1000 kg)</v>
      </c>
      <c r="AF354" t="str">
        <f>Units!H$22</f>
        <v>$/ton (2000 lb)</v>
      </c>
    </row>
    <row r="355" spans="1:32" x14ac:dyDescent="0.3">
      <c r="A355" s="710" t="s">
        <v>1332</v>
      </c>
      <c r="B355" t="s">
        <v>1350</v>
      </c>
      <c r="C355" s="124" t="str">
        <f t="shared" si="205"/>
        <v>UDV.econ_manure.export_concern</v>
      </c>
      <c r="D355" s="1091" t="str">
        <f>F355</f>
        <v>Non-Sludge Year</v>
      </c>
      <c r="E355" s="1093" t="s">
        <v>81</v>
      </c>
      <c r="F355" s="1095" t="str">
        <f>UI.Priorities!BD180</f>
        <v>Non-Sludge Year</v>
      </c>
      <c r="G355" s="1098" t="str">
        <f>UI.Priorities!BE180</f>
        <v>Non-Sludge Year</v>
      </c>
      <c r="H355" s="1101" t="str">
        <f>W355</f>
        <v>Non-Sludge Year</v>
      </c>
      <c r="I355" s="956" t="s">
        <v>81</v>
      </c>
      <c r="J355" t="s">
        <v>838</v>
      </c>
      <c r="K355" t="s">
        <v>1351</v>
      </c>
      <c r="N355">
        <v>1</v>
      </c>
      <c r="O355" t="s">
        <v>1335</v>
      </c>
      <c r="P355" t="s">
        <v>1352</v>
      </c>
      <c r="Q355" s="1182">
        <v>45456</v>
      </c>
      <c r="R355" s="711"/>
      <c r="S355" t="s">
        <v>84</v>
      </c>
      <c r="W355" t="s">
        <v>428</v>
      </c>
      <c r="X355">
        <v>0</v>
      </c>
      <c r="Y355">
        <v>0</v>
      </c>
      <c r="Z355" t="str">
        <f>Units!B$96</f>
        <v>none</v>
      </c>
      <c r="AA355">
        <f>Units!C$96</f>
        <v>1</v>
      </c>
      <c r="AB355">
        <f>Units!D$96</f>
        <v>1</v>
      </c>
      <c r="AC355" t="str">
        <f>Units!E$96</f>
        <v>none</v>
      </c>
      <c r="AD355" t="str">
        <f>Units!F$96</f>
        <v>none</v>
      </c>
      <c r="AE355" t="str">
        <f>Units!G$96</f>
        <v>none</v>
      </c>
      <c r="AF355" t="str">
        <f>Units!H$96</f>
        <v>none</v>
      </c>
    </row>
    <row r="356" spans="1:32" x14ac:dyDescent="0.3">
      <c r="A356" s="710" t="s">
        <v>1332</v>
      </c>
      <c r="B356" t="s">
        <v>1353</v>
      </c>
      <c r="C356" s="124" t="str">
        <f t="shared" si="205"/>
        <v>UDV.econ_manure.liquid_export_cost</v>
      </c>
      <c r="D356" s="1091">
        <f t="shared" ref="D356:D419" si="210">$F356*$AB356</f>
        <v>16.7</v>
      </c>
      <c r="E356" s="1093" t="str">
        <f t="shared" ref="E356:E388" si="211">$AD356</f>
        <v>$/1000 gal</v>
      </c>
      <c r="F356" s="1095">
        <f>INDEX(UI.Streams!$BC$141:$BC$165,MATCH($C356,UI.Streams!$BB$141:$BB$165,0))</f>
        <v>16.7</v>
      </c>
      <c r="G356" s="1098">
        <f>INDEX(UI.Streams!$BD$141:$BD$165,MATCH($C356,UI.Streams!$BB$141:$BB$165,0))</f>
        <v>0</v>
      </c>
      <c r="H356" s="1101">
        <f t="shared" ref="H356:H388" si="212">$W356*$AA356</f>
        <v>16.7</v>
      </c>
      <c r="I356" s="956" t="str">
        <f t="shared" ref="I356:I388" si="213">$AC356</f>
        <v>$/1000 gal</v>
      </c>
      <c r="J356" t="s">
        <v>660</v>
      </c>
      <c r="K356" t="s">
        <v>1334</v>
      </c>
      <c r="L356">
        <f t="shared" ref="L356:L358" si="214">ROUNDDOWN($X356*$AA356,3)</f>
        <v>0</v>
      </c>
      <c r="M356">
        <f t="shared" ref="M356:M357" si="215">ROUNDUP($Y356*$AA356,3)</f>
        <v>60.7</v>
      </c>
      <c r="N356">
        <f t="shared" ref="N356:N361" si="216">IF(AND(G356&lt;=M356, G356&gt;=L356),1,0)</f>
        <v>1</v>
      </c>
      <c r="O356" t="s">
        <v>1335</v>
      </c>
      <c r="P356" t="s">
        <v>1354</v>
      </c>
      <c r="Q356" t="s">
        <v>1222</v>
      </c>
      <c r="R356" s="711"/>
      <c r="V356" t="str">
        <f t="shared" ref="V356:V397" si="217">IF(OR((M356-L356)&lt;=0,H356&gt;M356,H356&lt;L356),"Fix","")</f>
        <v/>
      </c>
      <c r="W356">
        <v>16.7</v>
      </c>
      <c r="X356">
        <v>0</v>
      </c>
      <c r="Y356">
        <v>60.7</v>
      </c>
      <c r="Z356" t="str">
        <f>Units!B$27</f>
        <v>$/1000 gal</v>
      </c>
      <c r="AA356">
        <f>Units!C$27</f>
        <v>1</v>
      </c>
      <c r="AB356">
        <f>Units!D$27</f>
        <v>1</v>
      </c>
      <c r="AC356" t="str">
        <f>Units!E$27</f>
        <v>$/1000 gal</v>
      </c>
      <c r="AD356" t="str">
        <f>Units!F$27</f>
        <v>$/1000 gal</v>
      </c>
      <c r="AE356" t="str">
        <f>Units!G$27</f>
        <v>$/1000 L</v>
      </c>
      <c r="AF356" t="str">
        <f>Units!H$27</f>
        <v>$/1000 gal</v>
      </c>
    </row>
    <row r="357" spans="1:32" x14ac:dyDescent="0.3">
      <c r="A357" s="710" t="s">
        <v>1332</v>
      </c>
      <c r="B357" t="s">
        <v>1355</v>
      </c>
      <c r="C357" s="124" t="str">
        <f t="shared" si="205"/>
        <v>UDV.econ_manure.liquid_export_pct</v>
      </c>
      <c r="D357" s="1091">
        <f t="shared" si="210"/>
        <v>0</v>
      </c>
      <c r="E357" s="1093" t="str">
        <f t="shared" si="211"/>
        <v>% of excess</v>
      </c>
      <c r="F357" s="1095">
        <f>INDEX(UI.Streams!$BC$141:$BC$165,MATCH($C357,UI.Streams!$BB$141:$BB$165,0))</f>
        <v>0</v>
      </c>
      <c r="G357" s="1098">
        <f>INDEX(UI.Streams!$BD$141:$BD$165,MATCH($C357,UI.Streams!$BB$141:$BB$165,0))</f>
        <v>0</v>
      </c>
      <c r="H357" s="1101">
        <f t="shared" si="212"/>
        <v>0</v>
      </c>
      <c r="I357" s="956" t="str">
        <f t="shared" si="213"/>
        <v>% of excess</v>
      </c>
      <c r="J357" t="s">
        <v>660</v>
      </c>
      <c r="K357" t="s">
        <v>1334</v>
      </c>
      <c r="L357">
        <f t="shared" si="214"/>
        <v>0</v>
      </c>
      <c r="M357">
        <f t="shared" si="215"/>
        <v>1</v>
      </c>
      <c r="N357">
        <f t="shared" si="216"/>
        <v>1</v>
      </c>
      <c r="O357" t="s">
        <v>1335</v>
      </c>
      <c r="P357" t="s">
        <v>1356</v>
      </c>
      <c r="Q357" t="s">
        <v>1222</v>
      </c>
      <c r="R357" s="711"/>
      <c r="S357" t="s">
        <v>84</v>
      </c>
      <c r="V357" t="str">
        <f t="shared" si="217"/>
        <v/>
      </c>
      <c r="W357">
        <v>0</v>
      </c>
      <c r="X357">
        <v>0</v>
      </c>
      <c r="Y357">
        <v>1</v>
      </c>
      <c r="Z357" t="str">
        <f>Units!B$34</f>
        <v>% of excess</v>
      </c>
      <c r="AA357">
        <f>Units!C$34</f>
        <v>1</v>
      </c>
      <c r="AB357">
        <f>Units!D$34</f>
        <v>1</v>
      </c>
      <c r="AC357" t="str">
        <f>Units!E$34</f>
        <v>% of excess</v>
      </c>
      <c r="AD357" t="str">
        <f>Units!F$34</f>
        <v>% of excess</v>
      </c>
      <c r="AE357" t="str">
        <f>Units!G$34</f>
        <v>% of excess</v>
      </c>
      <c r="AF357" t="str">
        <f>Units!H$34</f>
        <v>% of excess</v>
      </c>
    </row>
    <row r="358" spans="1:32" x14ac:dyDescent="0.3">
      <c r="A358" s="710" t="s">
        <v>1332</v>
      </c>
      <c r="B358" t="s">
        <v>1357</v>
      </c>
      <c r="C358" s="124" t="str">
        <f t="shared" si="205"/>
        <v>UDV.econ_manure.liquid_give_cost</v>
      </c>
      <c r="D358" s="1091">
        <f t="shared" si="210"/>
        <v>0</v>
      </c>
      <c r="E358" s="1093" t="str">
        <f t="shared" si="211"/>
        <v>$/1000 gal</v>
      </c>
      <c r="F358" s="1095">
        <f>IF(OR(G358="",N358=0),H358,G358)</f>
        <v>0</v>
      </c>
      <c r="H358" s="1101">
        <f t="shared" si="212"/>
        <v>0</v>
      </c>
      <c r="I358" s="956" t="str">
        <f t="shared" si="213"/>
        <v>$/1000 gal</v>
      </c>
      <c r="J358" t="s">
        <v>660</v>
      </c>
      <c r="L358">
        <f t="shared" si="214"/>
        <v>0</v>
      </c>
      <c r="N358">
        <f t="shared" si="216"/>
        <v>1</v>
      </c>
      <c r="O358" t="s">
        <v>1335</v>
      </c>
      <c r="P358" t="s">
        <v>1358</v>
      </c>
      <c r="Q358" t="s">
        <v>1222</v>
      </c>
      <c r="R358" s="711"/>
      <c r="S358" t="s">
        <v>84</v>
      </c>
      <c r="V358" t="str">
        <f t="shared" si="217"/>
        <v>Fix</v>
      </c>
      <c r="W358">
        <v>0</v>
      </c>
      <c r="X358">
        <v>0</v>
      </c>
      <c r="Y358">
        <v>0</v>
      </c>
      <c r="Z358" t="str">
        <f>Units!B$27</f>
        <v>$/1000 gal</v>
      </c>
      <c r="AA358">
        <f>Units!C$27</f>
        <v>1</v>
      </c>
      <c r="AB358">
        <f>Units!D$27</f>
        <v>1</v>
      </c>
      <c r="AC358" t="str">
        <f>Units!E$27</f>
        <v>$/1000 gal</v>
      </c>
      <c r="AD358" t="str">
        <f>Units!F$27</f>
        <v>$/1000 gal</v>
      </c>
      <c r="AE358" t="str">
        <f>Units!G$27</f>
        <v>$/1000 L</v>
      </c>
      <c r="AF358" t="str">
        <f>Units!H$27</f>
        <v>$/1000 gal</v>
      </c>
    </row>
    <row r="359" spans="1:32" x14ac:dyDescent="0.3">
      <c r="A359" s="710" t="s">
        <v>1332</v>
      </c>
      <c r="B359" t="s">
        <v>1359</v>
      </c>
      <c r="C359" s="124" t="str">
        <f t="shared" si="205"/>
        <v>UDV.econ_manure.liquid_give_pct</v>
      </c>
      <c r="D359" s="1091">
        <f t="shared" si="210"/>
        <v>1</v>
      </c>
      <c r="E359" s="1093" t="str">
        <f t="shared" si="211"/>
        <v>% of excess</v>
      </c>
      <c r="F359" s="1095">
        <f>INDEX(UI.Streams!$BC$141:$BC$165,MATCH($C359,UI.Streams!$BB$141:$BB$165,0))</f>
        <v>1</v>
      </c>
      <c r="G359" s="1098">
        <f>INDEX(UI.Streams!$BD$141:$BD$165,MATCH($C359,UI.Streams!$BB$141:$BB$165,0))</f>
        <v>0</v>
      </c>
      <c r="H359" s="1101">
        <f t="shared" si="212"/>
        <v>1</v>
      </c>
      <c r="I359" s="956" t="str">
        <f t="shared" si="213"/>
        <v>% of excess</v>
      </c>
      <c r="J359" t="s">
        <v>660</v>
      </c>
      <c r="K359" t="s">
        <v>1334</v>
      </c>
      <c r="L359">
        <f t="shared" ref="L359:L362" si="218">ROUNDDOWN($X359*$AA359,3)</f>
        <v>0</v>
      </c>
      <c r="M359">
        <f t="shared" ref="M359:M361" si="219">ROUNDUP($Y359*$AA359,3)</f>
        <v>1</v>
      </c>
      <c r="N359">
        <f t="shared" si="216"/>
        <v>1</v>
      </c>
      <c r="O359" t="s">
        <v>1335</v>
      </c>
      <c r="P359" t="s">
        <v>1360</v>
      </c>
      <c r="Q359" t="s">
        <v>1222</v>
      </c>
      <c r="R359" s="711"/>
      <c r="S359" t="s">
        <v>84</v>
      </c>
      <c r="V359" t="str">
        <f t="shared" si="217"/>
        <v/>
      </c>
      <c r="W359">
        <v>1</v>
      </c>
      <c r="X359">
        <v>0</v>
      </c>
      <c r="Y359">
        <v>1</v>
      </c>
      <c r="Z359" t="str">
        <f>Units!B$34</f>
        <v>% of excess</v>
      </c>
      <c r="AA359">
        <f>Units!C$34</f>
        <v>1</v>
      </c>
      <c r="AB359">
        <f>Units!D$34</f>
        <v>1</v>
      </c>
      <c r="AC359" t="str">
        <f>Units!E$34</f>
        <v>% of excess</v>
      </c>
      <c r="AD359" t="str">
        <f>Units!F$34</f>
        <v>% of excess</v>
      </c>
      <c r="AE359" t="str">
        <f>Units!G$34</f>
        <v>% of excess</v>
      </c>
      <c r="AF359" t="str">
        <f>Units!H$34</f>
        <v>% of excess</v>
      </c>
    </row>
    <row r="360" spans="1:32" x14ac:dyDescent="0.3">
      <c r="A360" s="710" t="s">
        <v>1332</v>
      </c>
      <c r="B360" t="s">
        <v>1361</v>
      </c>
      <c r="C360" s="124" t="str">
        <f t="shared" si="205"/>
        <v>UDV.econ_manure.liquid_sell_pct</v>
      </c>
      <c r="D360" s="1091">
        <f t="shared" si="210"/>
        <v>0</v>
      </c>
      <c r="E360" s="1093" t="str">
        <f t="shared" si="211"/>
        <v>% of excess</v>
      </c>
      <c r="F360" s="1095">
        <f>INDEX(UI.Streams!$BC$141:$BC$165,MATCH($C360,UI.Streams!$BB$141:$BB$165,0))</f>
        <v>0</v>
      </c>
      <c r="G360" s="1098">
        <f>INDEX(UI.Streams!$BD$141:$BD$165,MATCH($C360,UI.Streams!$BB$141:$BB$165,0))</f>
        <v>0</v>
      </c>
      <c r="H360" s="1101">
        <f t="shared" si="212"/>
        <v>0</v>
      </c>
      <c r="I360" s="956" t="str">
        <f t="shared" si="213"/>
        <v>% of excess</v>
      </c>
      <c r="J360" t="s">
        <v>660</v>
      </c>
      <c r="K360" t="s">
        <v>1334</v>
      </c>
      <c r="L360">
        <f t="shared" si="218"/>
        <v>0</v>
      </c>
      <c r="M360">
        <f t="shared" si="219"/>
        <v>1</v>
      </c>
      <c r="N360">
        <f t="shared" si="216"/>
        <v>1</v>
      </c>
      <c r="O360" t="s">
        <v>1335</v>
      </c>
      <c r="P360" t="s">
        <v>1362</v>
      </c>
      <c r="Q360" t="s">
        <v>1222</v>
      </c>
      <c r="R360" s="711"/>
      <c r="S360" t="s">
        <v>84</v>
      </c>
      <c r="V360" t="str">
        <f t="shared" si="217"/>
        <v/>
      </c>
      <c r="W360">
        <v>0</v>
      </c>
      <c r="X360">
        <v>0</v>
      </c>
      <c r="Y360">
        <v>1</v>
      </c>
      <c r="Z360" t="str">
        <f>Units!B$34</f>
        <v>% of excess</v>
      </c>
      <c r="AA360">
        <f>Units!C$34</f>
        <v>1</v>
      </c>
      <c r="AB360">
        <f>Units!D$34</f>
        <v>1</v>
      </c>
      <c r="AC360" t="str">
        <f>Units!E$34</f>
        <v>% of excess</v>
      </c>
      <c r="AD360" t="str">
        <f>Units!F$34</f>
        <v>% of excess</v>
      </c>
      <c r="AE360" t="str">
        <f>Units!G$34</f>
        <v>% of excess</v>
      </c>
      <c r="AF360" t="str">
        <f>Units!H$34</f>
        <v>% of excess</v>
      </c>
    </row>
    <row r="361" spans="1:32" x14ac:dyDescent="0.3">
      <c r="A361" s="710" t="s">
        <v>1332</v>
      </c>
      <c r="B361" t="s">
        <v>1363</v>
      </c>
      <c r="C361" s="124" t="str">
        <f t="shared" si="205"/>
        <v>UDV.econ_manure.liquid_sell_price</v>
      </c>
      <c r="D361" s="1091">
        <f t="shared" si="210"/>
        <v>3.5</v>
      </c>
      <c r="E361" s="1093" t="str">
        <f t="shared" si="211"/>
        <v>$/1000 gal</v>
      </c>
      <c r="F361" s="1095">
        <f>INDEX(UI.Streams!$BC$141:$BC$165,MATCH($C361,UI.Streams!$BB$141:$BB$165,0))</f>
        <v>3.5</v>
      </c>
      <c r="G361" s="1098">
        <f>INDEX(UI.Streams!$BD$141:$BD$165,MATCH($C361,UI.Streams!$BB$141:$BB$165,0))</f>
        <v>0</v>
      </c>
      <c r="H361" s="1101">
        <f t="shared" si="212"/>
        <v>3.5</v>
      </c>
      <c r="I361" s="956" t="str">
        <f t="shared" si="213"/>
        <v>$/1000 gal</v>
      </c>
      <c r="J361" t="s">
        <v>660</v>
      </c>
      <c r="K361" t="s">
        <v>1334</v>
      </c>
      <c r="L361">
        <f t="shared" si="218"/>
        <v>0.01</v>
      </c>
      <c r="M361">
        <f t="shared" si="219"/>
        <v>16</v>
      </c>
      <c r="N361">
        <f t="shared" si="216"/>
        <v>0</v>
      </c>
      <c r="O361" t="s">
        <v>1335</v>
      </c>
      <c r="P361" t="s">
        <v>1364</v>
      </c>
      <c r="Q361" t="s">
        <v>1222</v>
      </c>
      <c r="R361" s="711"/>
      <c r="V361" t="str">
        <f t="shared" si="217"/>
        <v/>
      </c>
      <c r="W361">
        <v>3.5</v>
      </c>
      <c r="X361">
        <v>0.01</v>
      </c>
      <c r="Y361">
        <v>16</v>
      </c>
      <c r="Z361" t="str">
        <f>Units!B$27</f>
        <v>$/1000 gal</v>
      </c>
      <c r="AA361">
        <f>Units!C$27</f>
        <v>1</v>
      </c>
      <c r="AB361">
        <f>Units!D$27</f>
        <v>1</v>
      </c>
      <c r="AC361" t="str">
        <f>Units!E$27</f>
        <v>$/1000 gal</v>
      </c>
      <c r="AD361" t="str">
        <f>Units!F$27</f>
        <v>$/1000 gal</v>
      </c>
      <c r="AE361" t="str">
        <f>Units!G$27</f>
        <v>$/1000 L</v>
      </c>
      <c r="AF361" t="str">
        <f>Units!H$27</f>
        <v>$/1000 gal</v>
      </c>
    </row>
    <row r="362" spans="1:32" x14ac:dyDescent="0.3">
      <c r="A362" s="710" t="s">
        <v>1332</v>
      </c>
      <c r="B362" t="s">
        <v>1365</v>
      </c>
      <c r="C362" s="124" t="str">
        <f t="shared" si="205"/>
        <v>UDV.econ_manure.liquid_to_ton</v>
      </c>
      <c r="D362" s="1091">
        <f t="shared" si="210"/>
        <v>4.25</v>
      </c>
      <c r="E362" s="1093" t="str">
        <f t="shared" si="211"/>
        <v>conversion</v>
      </c>
      <c r="F362" s="1095">
        <f>IF(OR(G362="",N362=0),H362,G362)</f>
        <v>4.25</v>
      </c>
      <c r="H362" s="1101">
        <f t="shared" si="212"/>
        <v>4.25</v>
      </c>
      <c r="I362" s="956" t="str">
        <f t="shared" si="213"/>
        <v>conversion</v>
      </c>
      <c r="J362" t="s">
        <v>673</v>
      </c>
      <c r="L362">
        <f t="shared" si="218"/>
        <v>0</v>
      </c>
      <c r="N362">
        <f>IF(AND(G362&gt;=L362),1,0)</f>
        <v>1</v>
      </c>
      <c r="O362" t="s">
        <v>1335</v>
      </c>
      <c r="P362" t="s">
        <v>1366</v>
      </c>
      <c r="R362" s="711"/>
      <c r="S362" t="s">
        <v>84</v>
      </c>
      <c r="V362" t="str">
        <f t="shared" si="217"/>
        <v>Fix</v>
      </c>
      <c r="W362" s="78">
        <v>4.25</v>
      </c>
      <c r="X362">
        <v>0</v>
      </c>
      <c r="Z362" t="str">
        <f>Units!B$93</f>
        <v>conversion</v>
      </c>
      <c r="AA362">
        <f>Units!C$93</f>
        <v>1</v>
      </c>
      <c r="AB362">
        <f>Units!D$93</f>
        <v>1</v>
      </c>
      <c r="AC362" t="str">
        <f>Units!E$93</f>
        <v>conversion</v>
      </c>
      <c r="AD362" t="str">
        <f>Units!F$93</f>
        <v>conversion</v>
      </c>
      <c r="AE362" t="str">
        <f>Units!G$93</f>
        <v>conversion</v>
      </c>
      <c r="AF362" t="str">
        <f>Units!H$93</f>
        <v>conversion</v>
      </c>
    </row>
    <row r="363" spans="1:32" x14ac:dyDescent="0.3">
      <c r="A363" s="710" t="s">
        <v>1332</v>
      </c>
      <c r="B363" t="s">
        <v>1367</v>
      </c>
      <c r="C363" s="124" t="str">
        <f t="shared" si="205"/>
        <v>UDV.econ_manure.sep_solids_export_cost</v>
      </c>
      <c r="D363" s="1091">
        <f t="shared" si="210"/>
        <v>41.5</v>
      </c>
      <c r="E363" s="1093" t="str">
        <f t="shared" si="211"/>
        <v>$/ton (2000 lb)</v>
      </c>
      <c r="F363" s="1095">
        <f>INDEX(UI.Streams!$BC$141:$BC$165,MATCH($C363,UI.Streams!$BB$141:$BB$165,0))</f>
        <v>41.5</v>
      </c>
      <c r="G363" s="1098">
        <f>INDEX(UI.Streams!$BD$141:$BD$165,MATCH($C363,UI.Streams!$BB$141:$BB$165,0))</f>
        <v>0</v>
      </c>
      <c r="H363" s="1101">
        <f t="shared" si="212"/>
        <v>41.5</v>
      </c>
      <c r="I363" s="956" t="str">
        <f t="shared" si="213"/>
        <v>$/ton (2000 lb)</v>
      </c>
      <c r="J363" t="s">
        <v>660</v>
      </c>
      <c r="K363" t="s">
        <v>1334</v>
      </c>
      <c r="L363">
        <f t="shared" ref="L363:L365" si="220">ROUNDDOWN($X363*$AA363,3)</f>
        <v>0.01</v>
      </c>
      <c r="M363">
        <f t="shared" ref="M363:M364" si="221">ROUNDUP($Y363*$AA363,3)</f>
        <v>118.4</v>
      </c>
      <c r="N363">
        <f>IF(AND(G363&lt;=M363, G363&gt;=L363),1,0)</f>
        <v>0</v>
      </c>
      <c r="O363" t="s">
        <v>1335</v>
      </c>
      <c r="P363" t="s">
        <v>1368</v>
      </c>
      <c r="Q363" t="s">
        <v>1222</v>
      </c>
      <c r="R363" s="711"/>
      <c r="V363" t="str">
        <f t="shared" si="217"/>
        <v/>
      </c>
      <c r="W363">
        <v>41.5</v>
      </c>
      <c r="X363">
        <v>0.01</v>
      </c>
      <c r="Y363">
        <v>118.4</v>
      </c>
      <c r="Z363" t="str">
        <f>Units!B$22</f>
        <v>$/ton (2000 lb)</v>
      </c>
      <c r="AA363">
        <f>Units!C$22</f>
        <v>1</v>
      </c>
      <c r="AB363">
        <f>Units!D$22</f>
        <v>1</v>
      </c>
      <c r="AC363" t="str">
        <f>Units!E$22</f>
        <v>$/ton (2000 lb)</v>
      </c>
      <c r="AD363" t="str">
        <f>Units!F$22</f>
        <v>$/ton (2000 lb)</v>
      </c>
      <c r="AE363" t="str">
        <f>Units!G$22</f>
        <v>$/tonne (1000 kg)</v>
      </c>
      <c r="AF363" t="str">
        <f>Units!H$22</f>
        <v>$/ton (2000 lb)</v>
      </c>
    </row>
    <row r="364" spans="1:32" x14ac:dyDescent="0.3">
      <c r="A364" s="710" t="s">
        <v>1332</v>
      </c>
      <c r="B364" t="s">
        <v>1369</v>
      </c>
      <c r="C364" s="124" t="str">
        <f t="shared" si="205"/>
        <v>UDV.econ_manure.sep_solids_export_pct</v>
      </c>
      <c r="D364" s="1091">
        <f t="shared" si="210"/>
        <v>0</v>
      </c>
      <c r="E364" s="1093" t="str">
        <f t="shared" si="211"/>
        <v>% of excess</v>
      </c>
      <c r="F364" s="1095">
        <f>INDEX(UI.Streams!$BC$141:$BC$165,MATCH($C364,UI.Streams!$BB$141:$BB$165,0))</f>
        <v>0</v>
      </c>
      <c r="G364" s="1098">
        <f>INDEX(UI.Streams!$BD$141:$BD$165,MATCH($C364,UI.Streams!$BB$141:$BB$165,0))</f>
        <v>0</v>
      </c>
      <c r="H364" s="1101">
        <f t="shared" si="212"/>
        <v>0</v>
      </c>
      <c r="I364" s="956" t="str">
        <f t="shared" si="213"/>
        <v>% of excess</v>
      </c>
      <c r="J364" t="s">
        <v>660</v>
      </c>
      <c r="K364" t="s">
        <v>1334</v>
      </c>
      <c r="L364">
        <f t="shared" si="220"/>
        <v>0</v>
      </c>
      <c r="M364">
        <f t="shared" si="221"/>
        <v>1</v>
      </c>
      <c r="N364">
        <f>IF(AND(G364&lt;=M364, G364&gt;=L364),1,0)</f>
        <v>1</v>
      </c>
      <c r="O364" t="s">
        <v>1335</v>
      </c>
      <c r="P364" t="s">
        <v>1370</v>
      </c>
      <c r="Q364" t="s">
        <v>1222</v>
      </c>
      <c r="R364" s="711"/>
      <c r="S364" t="s">
        <v>84</v>
      </c>
      <c r="V364" t="str">
        <f t="shared" si="217"/>
        <v/>
      </c>
      <c r="W364">
        <v>0</v>
      </c>
      <c r="X364">
        <v>0</v>
      </c>
      <c r="Y364">
        <v>1</v>
      </c>
      <c r="Z364" t="str">
        <f>Units!B$34</f>
        <v>% of excess</v>
      </c>
      <c r="AA364">
        <f>Units!C$34</f>
        <v>1</v>
      </c>
      <c r="AB364">
        <f>Units!D$34</f>
        <v>1</v>
      </c>
      <c r="AC364" t="str">
        <f>Units!E$34</f>
        <v>% of excess</v>
      </c>
      <c r="AD364" t="str">
        <f>Units!F$34</f>
        <v>% of excess</v>
      </c>
      <c r="AE364" t="str">
        <f>Units!G$34</f>
        <v>% of excess</v>
      </c>
      <c r="AF364" t="str">
        <f>Units!H$34</f>
        <v>% of excess</v>
      </c>
    </row>
    <row r="365" spans="1:32" x14ac:dyDescent="0.3">
      <c r="A365" s="710" t="s">
        <v>1332</v>
      </c>
      <c r="B365" t="s">
        <v>1371</v>
      </c>
      <c r="C365" s="124" t="str">
        <f t="shared" si="205"/>
        <v>UDV.econ_manure.sep_solids_give_cost</v>
      </c>
      <c r="D365" s="1091">
        <f t="shared" si="210"/>
        <v>0</v>
      </c>
      <c r="E365" s="1093" t="str">
        <f t="shared" si="211"/>
        <v>$/ton (2000 lb)</v>
      </c>
      <c r="F365" s="1095">
        <f>IF(OR(G365="",N365=0),H365,G365)</f>
        <v>0</v>
      </c>
      <c r="H365" s="1101">
        <f t="shared" si="212"/>
        <v>0</v>
      </c>
      <c r="I365" s="956" t="str">
        <f t="shared" si="213"/>
        <v>$/ton (2000 lb)</v>
      </c>
      <c r="J365" t="s">
        <v>660</v>
      </c>
      <c r="L365">
        <f t="shared" si="220"/>
        <v>0</v>
      </c>
      <c r="N365">
        <f>IF(AND(G365&gt;=L365),1,0)</f>
        <v>1</v>
      </c>
      <c r="O365" t="s">
        <v>1335</v>
      </c>
      <c r="P365" t="s">
        <v>1372</v>
      </c>
      <c r="Q365" t="s">
        <v>1222</v>
      </c>
      <c r="R365" s="711"/>
      <c r="S365" t="s">
        <v>84</v>
      </c>
      <c r="V365" t="str">
        <f t="shared" si="217"/>
        <v>Fix</v>
      </c>
      <c r="W365">
        <v>0</v>
      </c>
      <c r="X365">
        <v>0</v>
      </c>
      <c r="Y365">
        <v>0</v>
      </c>
      <c r="Z365" t="str">
        <f>Units!B$22</f>
        <v>$/ton (2000 lb)</v>
      </c>
      <c r="AA365">
        <f>Units!C$22</f>
        <v>1</v>
      </c>
      <c r="AB365">
        <f>Units!D$22</f>
        <v>1</v>
      </c>
      <c r="AC365" t="str">
        <f>Units!E$22</f>
        <v>$/ton (2000 lb)</v>
      </c>
      <c r="AD365" t="str">
        <f>Units!F$22</f>
        <v>$/ton (2000 lb)</v>
      </c>
      <c r="AE365" t="str">
        <f>Units!G$22</f>
        <v>$/tonne (1000 kg)</v>
      </c>
      <c r="AF365" t="str">
        <f>Units!H$22</f>
        <v>$/ton (2000 lb)</v>
      </c>
    </row>
    <row r="366" spans="1:32" x14ac:dyDescent="0.3">
      <c r="A366" s="710" t="s">
        <v>1332</v>
      </c>
      <c r="B366" t="s">
        <v>1373</v>
      </c>
      <c r="C366" s="124" t="str">
        <f t="shared" si="205"/>
        <v>UDV.econ_manure.sep_solids_give_pct</v>
      </c>
      <c r="D366" s="1091">
        <f t="shared" si="210"/>
        <v>0</v>
      </c>
      <c r="E366" s="1093" t="str">
        <f t="shared" si="211"/>
        <v>% of excess</v>
      </c>
      <c r="F366" s="1095">
        <f>INDEX(UI.Streams!$BC$141:$BC$165,MATCH($C366,UI.Streams!$BB$141:$BB$165,0))</f>
        <v>0</v>
      </c>
      <c r="G366" s="1098">
        <f>INDEX(UI.Streams!$BD$141:$BD$165,MATCH($C366,UI.Streams!$BB$141:$BB$165,0))</f>
        <v>0</v>
      </c>
      <c r="H366" s="1101">
        <f t="shared" si="212"/>
        <v>0</v>
      </c>
      <c r="I366" s="956" t="str">
        <f t="shared" si="213"/>
        <v>% of excess</v>
      </c>
      <c r="J366" t="s">
        <v>660</v>
      </c>
      <c r="K366" t="s">
        <v>1334</v>
      </c>
      <c r="L366">
        <f t="shared" ref="L366:L370" si="222">ROUNDDOWN($X366*$AA366,3)</f>
        <v>0</v>
      </c>
      <c r="M366">
        <f t="shared" ref="M366:M370" si="223">ROUNDUP($Y366*$AA366,3)</f>
        <v>1</v>
      </c>
      <c r="N366">
        <f>IF(AND(G366&lt;=M366, G366&gt;=L366),1,0)</f>
        <v>1</v>
      </c>
      <c r="O366" t="s">
        <v>1335</v>
      </c>
      <c r="P366" t="s">
        <v>1374</v>
      </c>
      <c r="Q366" t="s">
        <v>1222</v>
      </c>
      <c r="R366" s="711"/>
      <c r="S366" t="s">
        <v>84</v>
      </c>
      <c r="V366" t="str">
        <f t="shared" si="217"/>
        <v/>
      </c>
      <c r="W366">
        <v>0</v>
      </c>
      <c r="X366">
        <v>0</v>
      </c>
      <c r="Y366">
        <v>1</v>
      </c>
      <c r="Z366" t="str">
        <f>Units!B$34</f>
        <v>% of excess</v>
      </c>
      <c r="AA366">
        <f>Units!C$34</f>
        <v>1</v>
      </c>
      <c r="AB366">
        <f>Units!D$34</f>
        <v>1</v>
      </c>
      <c r="AC366" t="str">
        <f>Units!E$34</f>
        <v>% of excess</v>
      </c>
      <c r="AD366" t="str">
        <f>Units!F$34</f>
        <v>% of excess</v>
      </c>
      <c r="AE366" t="str">
        <f>Units!G$34</f>
        <v>% of excess</v>
      </c>
      <c r="AF366" t="str">
        <f>Units!H$34</f>
        <v>% of excess</v>
      </c>
    </row>
    <row r="367" spans="1:32" x14ac:dyDescent="0.3">
      <c r="A367" s="710" t="s">
        <v>1332</v>
      </c>
      <c r="B367" t="s">
        <v>1375</v>
      </c>
      <c r="C367" s="124" t="str">
        <f t="shared" si="205"/>
        <v>UDV.econ_manure.sep_solids_sell_pct</v>
      </c>
      <c r="D367" s="1091">
        <f t="shared" si="210"/>
        <v>1</v>
      </c>
      <c r="E367" s="1093" t="str">
        <f t="shared" si="211"/>
        <v>% of excess</v>
      </c>
      <c r="F367" s="1095">
        <f>INDEX(UI.Streams!$BC$141:$BC$165,MATCH($C367,UI.Streams!$BB$141:$BB$165,0))</f>
        <v>1</v>
      </c>
      <c r="G367" s="1098">
        <f>INDEX(UI.Streams!$BD$141:$BD$165,MATCH($C367,UI.Streams!$BB$141:$BB$165,0))</f>
        <v>0</v>
      </c>
      <c r="H367" s="1101">
        <f t="shared" si="212"/>
        <v>1</v>
      </c>
      <c r="I367" s="956" t="str">
        <f t="shared" si="213"/>
        <v>% of excess</v>
      </c>
      <c r="J367" t="s">
        <v>660</v>
      </c>
      <c r="K367" t="s">
        <v>1334</v>
      </c>
      <c r="L367">
        <f t="shared" si="222"/>
        <v>0</v>
      </c>
      <c r="M367">
        <f t="shared" si="223"/>
        <v>1</v>
      </c>
      <c r="N367">
        <f>IF(AND(G367&lt;=M367, G367&gt;=L367),1,0)</f>
        <v>1</v>
      </c>
      <c r="O367" t="s">
        <v>1335</v>
      </c>
      <c r="P367" t="s">
        <v>1376</v>
      </c>
      <c r="Q367" t="s">
        <v>1222</v>
      </c>
      <c r="R367" s="711"/>
      <c r="S367" t="s">
        <v>84</v>
      </c>
      <c r="V367" t="str">
        <f t="shared" si="217"/>
        <v/>
      </c>
      <c r="W367">
        <v>1</v>
      </c>
      <c r="X367">
        <v>0</v>
      </c>
      <c r="Y367">
        <v>1</v>
      </c>
      <c r="Z367" t="str">
        <f>Units!B$34</f>
        <v>% of excess</v>
      </c>
      <c r="AA367">
        <f>Units!C$34</f>
        <v>1</v>
      </c>
      <c r="AB367">
        <f>Units!D$34</f>
        <v>1</v>
      </c>
      <c r="AC367" t="str">
        <f>Units!E$34</f>
        <v>% of excess</v>
      </c>
      <c r="AD367" t="str">
        <f>Units!F$34</f>
        <v>% of excess</v>
      </c>
      <c r="AE367" t="str">
        <f>Units!G$34</f>
        <v>% of excess</v>
      </c>
      <c r="AF367" t="str">
        <f>Units!H$34</f>
        <v>% of excess</v>
      </c>
    </row>
    <row r="368" spans="1:32" x14ac:dyDescent="0.3">
      <c r="A368" s="710" t="s">
        <v>1332</v>
      </c>
      <c r="B368" t="s">
        <v>1377</v>
      </c>
      <c r="C368" s="124" t="str">
        <f t="shared" si="205"/>
        <v>UDV.econ_manure.sep_solids_sell_price</v>
      </c>
      <c r="D368" s="1091">
        <f t="shared" si="210"/>
        <v>26.5</v>
      </c>
      <c r="E368" s="1093" t="str">
        <f t="shared" si="211"/>
        <v>$/ton (2000 lb)</v>
      </c>
      <c r="F368" s="1095">
        <f>INDEX(UI.Streams!$BC$141:$BC$165,MATCH($C368,UI.Streams!$BB$141:$BB$165,0))</f>
        <v>26.5</v>
      </c>
      <c r="G368" s="1098">
        <f>INDEX(UI.Streams!$BD$141:$BD$165,MATCH($C368,UI.Streams!$BB$141:$BB$165,0))</f>
        <v>0</v>
      </c>
      <c r="H368" s="1101">
        <f t="shared" si="212"/>
        <v>26.5</v>
      </c>
      <c r="I368" s="956" t="str">
        <f t="shared" si="213"/>
        <v>$/ton (2000 lb)</v>
      </c>
      <c r="J368" t="s">
        <v>660</v>
      </c>
      <c r="K368" t="s">
        <v>1334</v>
      </c>
      <c r="L368">
        <f t="shared" si="222"/>
        <v>0.01</v>
      </c>
      <c r="M368">
        <f t="shared" si="223"/>
        <v>188.5</v>
      </c>
      <c r="N368">
        <f>IF(AND(G368&lt;=M368, G368&gt;=L368),1,0)</f>
        <v>0</v>
      </c>
      <c r="O368" t="s">
        <v>1335</v>
      </c>
      <c r="P368" t="s">
        <v>1378</v>
      </c>
      <c r="Q368" t="s">
        <v>1222</v>
      </c>
      <c r="R368" s="711"/>
      <c r="V368" t="str">
        <f t="shared" si="217"/>
        <v/>
      </c>
      <c r="W368">
        <v>26.5</v>
      </c>
      <c r="X368">
        <v>0.01</v>
      </c>
      <c r="Y368">
        <v>188.5</v>
      </c>
      <c r="Z368" t="str">
        <f>Units!B$22</f>
        <v>$/ton (2000 lb)</v>
      </c>
      <c r="AA368">
        <f>Units!C$22</f>
        <v>1</v>
      </c>
      <c r="AB368">
        <f>Units!D$22</f>
        <v>1</v>
      </c>
      <c r="AC368" t="str">
        <f>Units!E$22</f>
        <v>$/ton (2000 lb)</v>
      </c>
      <c r="AD368" t="str">
        <f>Units!F$22</f>
        <v>$/ton (2000 lb)</v>
      </c>
      <c r="AE368" t="str">
        <f>Units!G$22</f>
        <v>$/tonne (1000 kg)</v>
      </c>
      <c r="AF368" t="str">
        <f>Units!H$22</f>
        <v>$/ton (2000 lb)</v>
      </c>
    </row>
    <row r="369" spans="1:32" x14ac:dyDescent="0.3">
      <c r="A369" s="710" t="s">
        <v>1332</v>
      </c>
      <c r="B369" t="s">
        <v>1379</v>
      </c>
      <c r="C369" s="124" t="str">
        <f t="shared" si="205"/>
        <v>UDV.econ_manure.set_solids_export_cost</v>
      </c>
      <c r="D369" s="1091">
        <f t="shared" si="210"/>
        <v>41.5</v>
      </c>
      <c r="E369" s="1093" t="str">
        <f t="shared" si="211"/>
        <v>$/ton (2000 lb)</v>
      </c>
      <c r="F369" s="1095">
        <f t="shared" ref="F369:F373" si="224">IF(OR(G369="",N369=0),H369,G369)</f>
        <v>41.5</v>
      </c>
      <c r="H369" s="1101">
        <f t="shared" si="212"/>
        <v>41.5</v>
      </c>
      <c r="I369" s="956" t="str">
        <f t="shared" si="213"/>
        <v>$/ton (2000 lb)</v>
      </c>
      <c r="J369" t="s">
        <v>660</v>
      </c>
      <c r="L369">
        <f t="shared" si="222"/>
        <v>0.01</v>
      </c>
      <c r="M369">
        <f t="shared" si="223"/>
        <v>118.4</v>
      </c>
      <c r="N369">
        <f>IF(AND(G369&lt;=M369, G369&gt;=L369),1,0)</f>
        <v>0</v>
      </c>
      <c r="O369" t="s">
        <v>1335</v>
      </c>
      <c r="P369" t="s">
        <v>1380</v>
      </c>
      <c r="Q369" t="s">
        <v>1222</v>
      </c>
      <c r="R369" s="711"/>
      <c r="V369" t="str">
        <f t="shared" si="217"/>
        <v/>
      </c>
      <c r="W369">
        <v>41.5</v>
      </c>
      <c r="X369">
        <v>0.01</v>
      </c>
      <c r="Y369">
        <v>118.4</v>
      </c>
      <c r="Z369" t="str">
        <f>Units!B$22</f>
        <v>$/ton (2000 lb)</v>
      </c>
      <c r="AA369">
        <f>Units!C$22</f>
        <v>1</v>
      </c>
      <c r="AB369">
        <f>Units!D$22</f>
        <v>1</v>
      </c>
      <c r="AC369" t="str">
        <f>Units!E$22</f>
        <v>$/ton (2000 lb)</v>
      </c>
      <c r="AD369" t="str">
        <f>Units!F$22</f>
        <v>$/ton (2000 lb)</v>
      </c>
      <c r="AE369" t="str">
        <f>Units!G$22</f>
        <v>$/tonne (1000 kg)</v>
      </c>
      <c r="AF369" t="str">
        <f>Units!H$22</f>
        <v>$/ton (2000 lb)</v>
      </c>
    </row>
    <row r="370" spans="1:32" x14ac:dyDescent="0.3">
      <c r="A370" s="710" t="s">
        <v>1332</v>
      </c>
      <c r="B370" t="s">
        <v>1381</v>
      </c>
      <c r="C370" s="124" t="str">
        <f t="shared" si="205"/>
        <v>UDV.econ_manure.set_solids_export_pct</v>
      </c>
      <c r="D370" s="1091">
        <f t="shared" si="210"/>
        <v>0</v>
      </c>
      <c r="E370" s="1093" t="str">
        <f t="shared" si="211"/>
        <v>% of excess</v>
      </c>
      <c r="F370" s="1095">
        <f t="shared" si="224"/>
        <v>0</v>
      </c>
      <c r="H370" s="1101">
        <f t="shared" si="212"/>
        <v>0</v>
      </c>
      <c r="I370" s="956" t="str">
        <f t="shared" si="213"/>
        <v>% of excess</v>
      </c>
      <c r="J370" t="s">
        <v>660</v>
      </c>
      <c r="L370">
        <f t="shared" si="222"/>
        <v>0</v>
      </c>
      <c r="M370">
        <f t="shared" si="223"/>
        <v>1</v>
      </c>
      <c r="N370">
        <f>IF(AND(G370&lt;=M370, G370&gt;=L370),1,0)</f>
        <v>1</v>
      </c>
      <c r="O370" t="s">
        <v>1335</v>
      </c>
      <c r="P370" t="s">
        <v>1382</v>
      </c>
      <c r="Q370" t="s">
        <v>1222</v>
      </c>
      <c r="R370" s="711"/>
      <c r="S370" t="s">
        <v>84</v>
      </c>
      <c r="V370" t="str">
        <f t="shared" si="217"/>
        <v/>
      </c>
      <c r="W370">
        <v>0</v>
      </c>
      <c r="X370">
        <v>0</v>
      </c>
      <c r="Y370">
        <v>1</v>
      </c>
      <c r="Z370" t="str">
        <f>Units!B$34</f>
        <v>% of excess</v>
      </c>
      <c r="AA370">
        <f>Units!C$34</f>
        <v>1</v>
      </c>
      <c r="AB370">
        <f>Units!D$34</f>
        <v>1</v>
      </c>
      <c r="AC370" t="str">
        <f>Units!E$34</f>
        <v>% of excess</v>
      </c>
      <c r="AD370" t="str">
        <f>Units!F$34</f>
        <v>% of excess</v>
      </c>
      <c r="AE370" t="str">
        <f>Units!G$34</f>
        <v>% of excess</v>
      </c>
      <c r="AF370" t="str">
        <f>Units!H$34</f>
        <v>% of excess</v>
      </c>
    </row>
    <row r="371" spans="1:32" x14ac:dyDescent="0.3">
      <c r="A371" s="710" t="s">
        <v>1332</v>
      </c>
      <c r="B371" t="s">
        <v>1383</v>
      </c>
      <c r="C371" s="124" t="str">
        <f t="shared" si="205"/>
        <v>UDV.econ_manure.set_solids_give_cost</v>
      </c>
      <c r="D371" s="1091">
        <f t="shared" si="210"/>
        <v>0</v>
      </c>
      <c r="E371" s="1093" t="str">
        <f t="shared" si="211"/>
        <v>$/ton (2000 lb)</v>
      </c>
      <c r="F371" s="1095">
        <f>IF(OR(G371="",N371=0),H371,G371)</f>
        <v>0</v>
      </c>
      <c r="H371" s="1101">
        <f t="shared" si="212"/>
        <v>0</v>
      </c>
      <c r="I371" s="956" t="str">
        <f t="shared" si="213"/>
        <v>$/ton (2000 lb)</v>
      </c>
      <c r="J371" t="s">
        <v>660</v>
      </c>
      <c r="L371">
        <f t="shared" ref="L371:L377" si="225">ROUNDDOWN($X371*$AA371,3)</f>
        <v>0</v>
      </c>
      <c r="N371">
        <f>IF(AND(G371&gt;=L371),1,0)</f>
        <v>1</v>
      </c>
      <c r="O371" t="s">
        <v>1335</v>
      </c>
      <c r="P371" t="s">
        <v>1384</v>
      </c>
      <c r="Q371" t="s">
        <v>1222</v>
      </c>
      <c r="R371" s="711"/>
      <c r="S371" t="s">
        <v>84</v>
      </c>
      <c r="V371" t="str">
        <f t="shared" si="217"/>
        <v>Fix</v>
      </c>
      <c r="W371">
        <v>0</v>
      </c>
      <c r="X371">
        <v>0</v>
      </c>
      <c r="Y371">
        <v>0</v>
      </c>
      <c r="Z371" t="str">
        <f>Units!B$22</f>
        <v>$/ton (2000 lb)</v>
      </c>
      <c r="AA371">
        <f>Units!C$22</f>
        <v>1</v>
      </c>
      <c r="AB371">
        <f>Units!D$22</f>
        <v>1</v>
      </c>
      <c r="AC371" t="str">
        <f>Units!E$22</f>
        <v>$/ton (2000 lb)</v>
      </c>
      <c r="AD371" t="str">
        <f>Units!F$22</f>
        <v>$/ton (2000 lb)</v>
      </c>
      <c r="AE371" t="str">
        <f>Units!G$22</f>
        <v>$/tonne (1000 kg)</v>
      </c>
      <c r="AF371" t="str">
        <f>Units!H$22</f>
        <v>$/ton (2000 lb)</v>
      </c>
    </row>
    <row r="372" spans="1:32" x14ac:dyDescent="0.3">
      <c r="A372" s="710" t="s">
        <v>1332</v>
      </c>
      <c r="B372" t="s">
        <v>1385</v>
      </c>
      <c r="C372" s="124" t="str">
        <f t="shared" si="205"/>
        <v>UDV.econ_manure.set_solids_give_pct</v>
      </c>
      <c r="D372" s="1091">
        <f t="shared" si="210"/>
        <v>0</v>
      </c>
      <c r="E372" s="1093" t="str">
        <f t="shared" si="211"/>
        <v>% of excess</v>
      </c>
      <c r="F372" s="1095">
        <f t="shared" si="224"/>
        <v>0</v>
      </c>
      <c r="H372" s="1101">
        <f t="shared" si="212"/>
        <v>0</v>
      </c>
      <c r="I372" s="956" t="str">
        <f t="shared" si="213"/>
        <v>% of excess</v>
      </c>
      <c r="J372" t="s">
        <v>660</v>
      </c>
      <c r="L372">
        <f t="shared" si="225"/>
        <v>0</v>
      </c>
      <c r="M372">
        <f t="shared" ref="M372:M376" si="226">ROUNDUP($Y372*$AA372,3)</f>
        <v>1</v>
      </c>
      <c r="N372">
        <f t="shared" ref="N372:N380" si="227">IF(AND(G372&lt;=M372, G372&gt;=L372),1,0)</f>
        <v>1</v>
      </c>
      <c r="O372" t="s">
        <v>1335</v>
      </c>
      <c r="P372" t="s">
        <v>1386</v>
      </c>
      <c r="Q372" t="s">
        <v>1222</v>
      </c>
      <c r="R372" s="711"/>
      <c r="S372" t="s">
        <v>84</v>
      </c>
      <c r="V372" t="str">
        <f t="shared" si="217"/>
        <v/>
      </c>
      <c r="W372">
        <v>0</v>
      </c>
      <c r="X372">
        <v>0</v>
      </c>
      <c r="Y372">
        <v>1</v>
      </c>
      <c r="Z372" t="str">
        <f>Units!B$34</f>
        <v>% of excess</v>
      </c>
      <c r="AA372">
        <f>Units!C$34</f>
        <v>1</v>
      </c>
      <c r="AB372">
        <f>Units!D$34</f>
        <v>1</v>
      </c>
      <c r="AC372" t="str">
        <f>Units!E$34</f>
        <v>% of excess</v>
      </c>
      <c r="AD372" t="str">
        <f>Units!F$34</f>
        <v>% of excess</v>
      </c>
      <c r="AE372" t="str">
        <f>Units!G$34</f>
        <v>% of excess</v>
      </c>
      <c r="AF372" t="str">
        <f>Units!H$34</f>
        <v>% of excess</v>
      </c>
    </row>
    <row r="373" spans="1:32" x14ac:dyDescent="0.3">
      <c r="A373" s="710" t="s">
        <v>1332</v>
      </c>
      <c r="B373" t="s">
        <v>1387</v>
      </c>
      <c r="C373" s="124" t="str">
        <f t="shared" si="205"/>
        <v>UDV.econ_manure.set_solids_sell_pct</v>
      </c>
      <c r="D373" s="1091">
        <f t="shared" si="210"/>
        <v>1</v>
      </c>
      <c r="E373" s="1093" t="str">
        <f t="shared" si="211"/>
        <v>% of excess</v>
      </c>
      <c r="F373" s="1095">
        <f t="shared" si="224"/>
        <v>1</v>
      </c>
      <c r="H373" s="1101">
        <f t="shared" si="212"/>
        <v>1</v>
      </c>
      <c r="I373" s="956" t="str">
        <f t="shared" si="213"/>
        <v>% of excess</v>
      </c>
      <c r="J373" t="s">
        <v>660</v>
      </c>
      <c r="L373">
        <f t="shared" si="225"/>
        <v>0</v>
      </c>
      <c r="M373">
        <f t="shared" si="226"/>
        <v>1</v>
      </c>
      <c r="N373">
        <f t="shared" si="227"/>
        <v>1</v>
      </c>
      <c r="O373" t="s">
        <v>1335</v>
      </c>
      <c r="P373" t="s">
        <v>1388</v>
      </c>
      <c r="Q373" t="s">
        <v>1222</v>
      </c>
      <c r="R373" s="711"/>
      <c r="S373" t="s">
        <v>84</v>
      </c>
      <c r="V373" t="str">
        <f t="shared" si="217"/>
        <v/>
      </c>
      <c r="W373">
        <v>1</v>
      </c>
      <c r="X373">
        <v>0</v>
      </c>
      <c r="Y373">
        <v>1</v>
      </c>
      <c r="Z373" t="str">
        <f>Units!B$34</f>
        <v>% of excess</v>
      </c>
      <c r="AA373">
        <f>Units!C$34</f>
        <v>1</v>
      </c>
      <c r="AB373">
        <f>Units!D$34</f>
        <v>1</v>
      </c>
      <c r="AC373" t="str">
        <f>Units!E$34</f>
        <v>% of excess</v>
      </c>
      <c r="AD373" t="str">
        <f>Units!F$34</f>
        <v>% of excess</v>
      </c>
      <c r="AE373" t="str">
        <f>Units!G$34</f>
        <v>% of excess</v>
      </c>
      <c r="AF373" t="str">
        <f>Units!H$34</f>
        <v>% of excess</v>
      </c>
    </row>
    <row r="374" spans="1:32" x14ac:dyDescent="0.3">
      <c r="A374" s="710" t="s">
        <v>1332</v>
      </c>
      <c r="B374" t="s">
        <v>1389</v>
      </c>
      <c r="C374" s="124" t="str">
        <f t="shared" si="205"/>
        <v>UDV.econ_manure.set_solids_sell_price</v>
      </c>
      <c r="D374" s="1091">
        <f t="shared" si="210"/>
        <v>2.5</v>
      </c>
      <c r="E374" s="1093" t="str">
        <f t="shared" si="211"/>
        <v>$/ton (2000 lb)</v>
      </c>
      <c r="F374" s="1095">
        <f>IF(OR(G374="",N374=0),H374,G374)</f>
        <v>2.5</v>
      </c>
      <c r="H374" s="1101">
        <f t="shared" si="212"/>
        <v>2.5</v>
      </c>
      <c r="I374" s="956" t="str">
        <f t="shared" si="213"/>
        <v>$/ton (2000 lb)</v>
      </c>
      <c r="J374" t="s">
        <v>660</v>
      </c>
      <c r="L374">
        <f t="shared" si="225"/>
        <v>0.01</v>
      </c>
      <c r="M374">
        <f t="shared" si="226"/>
        <v>14.5</v>
      </c>
      <c r="N374">
        <f t="shared" si="227"/>
        <v>0</v>
      </c>
      <c r="O374" t="s">
        <v>1335</v>
      </c>
      <c r="P374" t="s">
        <v>1390</v>
      </c>
      <c r="Q374" t="s">
        <v>1222</v>
      </c>
      <c r="R374" s="711"/>
      <c r="V374" t="str">
        <f t="shared" si="217"/>
        <v/>
      </c>
      <c r="W374">
        <v>2.5</v>
      </c>
      <c r="X374">
        <v>0.01</v>
      </c>
      <c r="Y374">
        <v>14.5</v>
      </c>
      <c r="Z374" t="str">
        <f>Units!B$22</f>
        <v>$/ton (2000 lb)</v>
      </c>
      <c r="AA374">
        <f>Units!C$22</f>
        <v>1</v>
      </c>
      <c r="AB374">
        <f>Units!D$22</f>
        <v>1</v>
      </c>
      <c r="AC374" t="str">
        <f>Units!E$22</f>
        <v>$/ton (2000 lb)</v>
      </c>
      <c r="AD374" t="str">
        <f>Units!F$22</f>
        <v>$/ton (2000 lb)</v>
      </c>
      <c r="AE374" t="str">
        <f>Units!G$22</f>
        <v>$/tonne (1000 kg)</v>
      </c>
      <c r="AF374" t="str">
        <f>Units!H$22</f>
        <v>$/ton (2000 lb)</v>
      </c>
    </row>
    <row r="375" spans="1:32" x14ac:dyDescent="0.3">
      <c r="A375" s="710" t="s">
        <v>1332</v>
      </c>
      <c r="B375" t="s">
        <v>1391</v>
      </c>
      <c r="C375" s="124" t="str">
        <f t="shared" si="205"/>
        <v>UDV.econ_manure.sludge_export_cost</v>
      </c>
      <c r="D375" s="1091">
        <f t="shared" si="210"/>
        <v>16.7</v>
      </c>
      <c r="E375" s="1093" t="str">
        <f t="shared" si="211"/>
        <v>$/1000 gal</v>
      </c>
      <c r="F375" s="1095">
        <f>INDEX(UI.Streams!$BC$141:$BC$165,MATCH($C375,UI.Streams!$BB$141:$BB$165,0))</f>
        <v>16.7</v>
      </c>
      <c r="G375" s="1098">
        <f>INDEX(UI.Streams!$BD$141:$BD$165,MATCH($C375,UI.Streams!$BB$141:$BB$165,0))</f>
        <v>0</v>
      </c>
      <c r="H375" s="1101">
        <f t="shared" si="212"/>
        <v>16.7</v>
      </c>
      <c r="I375" s="956" t="str">
        <f t="shared" si="213"/>
        <v>$/1000 gal</v>
      </c>
      <c r="J375" t="s">
        <v>660</v>
      </c>
      <c r="K375" t="s">
        <v>1334</v>
      </c>
      <c r="L375">
        <f t="shared" si="225"/>
        <v>0.01</v>
      </c>
      <c r="M375">
        <f t="shared" si="226"/>
        <v>60.7</v>
      </c>
      <c r="N375">
        <f t="shared" si="227"/>
        <v>0</v>
      </c>
      <c r="O375" t="s">
        <v>1335</v>
      </c>
      <c r="P375" t="s">
        <v>1392</v>
      </c>
      <c r="Q375" t="s">
        <v>1222</v>
      </c>
      <c r="R375" s="711"/>
      <c r="V375" t="str">
        <f t="shared" si="217"/>
        <v/>
      </c>
      <c r="W375">
        <v>16.7</v>
      </c>
      <c r="X375">
        <v>0.01</v>
      </c>
      <c r="Y375">
        <v>60.7</v>
      </c>
      <c r="Z375" t="str">
        <f>Units!B$27</f>
        <v>$/1000 gal</v>
      </c>
      <c r="AA375">
        <f>Units!C$27</f>
        <v>1</v>
      </c>
      <c r="AB375">
        <f>Units!D$27</f>
        <v>1</v>
      </c>
      <c r="AC375" t="str">
        <f>Units!E$27</f>
        <v>$/1000 gal</v>
      </c>
      <c r="AD375" t="str">
        <f>Units!F$27</f>
        <v>$/1000 gal</v>
      </c>
      <c r="AE375" t="str">
        <f>Units!G$27</f>
        <v>$/1000 L</v>
      </c>
      <c r="AF375" t="str">
        <f>Units!H$27</f>
        <v>$/1000 gal</v>
      </c>
    </row>
    <row r="376" spans="1:32" x14ac:dyDescent="0.3">
      <c r="A376" s="710" t="s">
        <v>1332</v>
      </c>
      <c r="B376" t="s">
        <v>1393</v>
      </c>
      <c r="C376" s="124" t="str">
        <f t="shared" si="205"/>
        <v>UDV.econ_manure.sludge_export_pct</v>
      </c>
      <c r="D376" s="1091">
        <f t="shared" si="210"/>
        <v>0</v>
      </c>
      <c r="E376" s="1093" t="str">
        <f t="shared" si="211"/>
        <v>% of excess</v>
      </c>
      <c r="F376" s="1095">
        <f>INDEX(UI.Streams!$BC$141:$BC$165,MATCH($C376,UI.Streams!$BB$141:$BB$165,0))</f>
        <v>0</v>
      </c>
      <c r="G376" s="1098">
        <f>INDEX(UI.Streams!$BD$141:$BD$165,MATCH($C376,UI.Streams!$BB$141:$BB$165,0))</f>
        <v>0</v>
      </c>
      <c r="H376" s="1101">
        <f t="shared" si="212"/>
        <v>0</v>
      </c>
      <c r="I376" s="956" t="str">
        <f t="shared" si="213"/>
        <v>% of excess</v>
      </c>
      <c r="J376" t="s">
        <v>660</v>
      </c>
      <c r="K376" t="s">
        <v>1334</v>
      </c>
      <c r="L376">
        <f t="shared" si="225"/>
        <v>0</v>
      </c>
      <c r="M376">
        <f t="shared" si="226"/>
        <v>1</v>
      </c>
      <c r="N376">
        <f t="shared" si="227"/>
        <v>1</v>
      </c>
      <c r="O376" t="s">
        <v>1335</v>
      </c>
      <c r="P376" t="s">
        <v>1394</v>
      </c>
      <c r="Q376" t="s">
        <v>1222</v>
      </c>
      <c r="R376" s="711"/>
      <c r="S376" t="s">
        <v>84</v>
      </c>
      <c r="V376" t="str">
        <f t="shared" si="217"/>
        <v/>
      </c>
      <c r="W376">
        <v>0</v>
      </c>
      <c r="X376">
        <v>0</v>
      </c>
      <c r="Y376">
        <v>1</v>
      </c>
      <c r="Z376" t="str">
        <f>Units!B$34</f>
        <v>% of excess</v>
      </c>
      <c r="AA376">
        <f>Units!C$34</f>
        <v>1</v>
      </c>
      <c r="AB376">
        <f>Units!D$34</f>
        <v>1</v>
      </c>
      <c r="AC376" t="str">
        <f>Units!E$34</f>
        <v>% of excess</v>
      </c>
      <c r="AD376" t="str">
        <f>Units!F$34</f>
        <v>% of excess</v>
      </c>
      <c r="AE376" t="str">
        <f>Units!G$34</f>
        <v>% of excess</v>
      </c>
      <c r="AF376" t="str">
        <f>Units!H$34</f>
        <v>% of excess</v>
      </c>
    </row>
    <row r="377" spans="1:32" x14ac:dyDescent="0.3">
      <c r="A377" s="710" t="s">
        <v>1332</v>
      </c>
      <c r="B377" t="s">
        <v>1395</v>
      </c>
      <c r="C377" s="124" t="str">
        <f t="shared" si="205"/>
        <v>UDV.econ_manure.sludge_give_cost</v>
      </c>
      <c r="D377" s="1091">
        <f t="shared" si="210"/>
        <v>0</v>
      </c>
      <c r="E377" s="1093" t="str">
        <f t="shared" si="211"/>
        <v>$/1000 gal</v>
      </c>
      <c r="F377" s="1095">
        <f>IF(OR(G377="",N377=0),H377,G377)</f>
        <v>0</v>
      </c>
      <c r="H377" s="1101">
        <f t="shared" si="212"/>
        <v>0</v>
      </c>
      <c r="I377" s="956" t="str">
        <f t="shared" si="213"/>
        <v>$/1000 gal</v>
      </c>
      <c r="J377" t="s">
        <v>660</v>
      </c>
      <c r="L377">
        <f t="shared" si="225"/>
        <v>0</v>
      </c>
      <c r="N377">
        <f t="shared" si="227"/>
        <v>1</v>
      </c>
      <c r="O377" t="s">
        <v>1335</v>
      </c>
      <c r="P377" t="s">
        <v>1396</v>
      </c>
      <c r="Q377" t="s">
        <v>1222</v>
      </c>
      <c r="R377" s="711"/>
      <c r="S377" t="s">
        <v>84</v>
      </c>
      <c r="V377" t="str">
        <f t="shared" si="217"/>
        <v>Fix</v>
      </c>
      <c r="W377">
        <v>0</v>
      </c>
      <c r="X377">
        <v>0</v>
      </c>
      <c r="Y377">
        <v>0</v>
      </c>
      <c r="Z377" t="str">
        <f>Units!B$27</f>
        <v>$/1000 gal</v>
      </c>
      <c r="AA377">
        <f>Units!C$27</f>
        <v>1</v>
      </c>
      <c r="AB377">
        <f>Units!D$27</f>
        <v>1</v>
      </c>
      <c r="AC377" t="str">
        <f>Units!E$27</f>
        <v>$/1000 gal</v>
      </c>
      <c r="AD377" t="str">
        <f>Units!F$27</f>
        <v>$/1000 gal</v>
      </c>
      <c r="AE377" t="str">
        <f>Units!G$27</f>
        <v>$/1000 L</v>
      </c>
      <c r="AF377" t="str">
        <f>Units!H$27</f>
        <v>$/1000 gal</v>
      </c>
    </row>
    <row r="378" spans="1:32" x14ac:dyDescent="0.3">
      <c r="A378" s="710" t="s">
        <v>1332</v>
      </c>
      <c r="B378" t="s">
        <v>1397</v>
      </c>
      <c r="C378" s="124" t="str">
        <f t="shared" si="205"/>
        <v>UDV.econ_manure.sludge_give_pct</v>
      </c>
      <c r="D378" s="1091">
        <f t="shared" si="210"/>
        <v>1</v>
      </c>
      <c r="E378" s="1093" t="str">
        <f t="shared" si="211"/>
        <v>% of excess</v>
      </c>
      <c r="F378" s="1095">
        <f>INDEX(UI.Streams!$BC$141:$BC$165,MATCH($C378,UI.Streams!$BB$141:$BB$165,0))</f>
        <v>1</v>
      </c>
      <c r="G378" s="1098">
        <f>INDEX(UI.Streams!$BD$141:$BD$165,MATCH($C378,UI.Streams!$BB$141:$BB$165,0))</f>
        <v>0</v>
      </c>
      <c r="H378" s="1101">
        <f t="shared" si="212"/>
        <v>1</v>
      </c>
      <c r="I378" s="956" t="str">
        <f t="shared" si="213"/>
        <v>% of excess</v>
      </c>
      <c r="J378" t="s">
        <v>660</v>
      </c>
      <c r="K378" t="s">
        <v>1334</v>
      </c>
      <c r="L378">
        <f t="shared" ref="L378:L381" si="228">ROUNDDOWN($X378*$AA378,3)</f>
        <v>0</v>
      </c>
      <c r="M378">
        <f t="shared" ref="M378:M380" si="229">ROUNDUP($Y378*$AA378,3)</f>
        <v>1</v>
      </c>
      <c r="N378">
        <f t="shared" si="227"/>
        <v>1</v>
      </c>
      <c r="O378" t="s">
        <v>1335</v>
      </c>
      <c r="P378" t="s">
        <v>1398</v>
      </c>
      <c r="Q378" t="s">
        <v>1222</v>
      </c>
      <c r="R378" s="711"/>
      <c r="S378" t="s">
        <v>84</v>
      </c>
      <c r="V378" t="str">
        <f t="shared" si="217"/>
        <v/>
      </c>
      <c r="W378">
        <v>1</v>
      </c>
      <c r="X378">
        <v>0</v>
      </c>
      <c r="Y378">
        <v>1</v>
      </c>
      <c r="Z378" t="str">
        <f>Units!B$34</f>
        <v>% of excess</v>
      </c>
      <c r="AA378">
        <f>Units!C$34</f>
        <v>1</v>
      </c>
      <c r="AB378">
        <f>Units!D$34</f>
        <v>1</v>
      </c>
      <c r="AC378" t="str">
        <f>Units!E$34</f>
        <v>% of excess</v>
      </c>
      <c r="AD378" t="str">
        <f>Units!F$34</f>
        <v>% of excess</v>
      </c>
      <c r="AE378" t="str">
        <f>Units!G$34</f>
        <v>% of excess</v>
      </c>
      <c r="AF378" t="str">
        <f>Units!H$34</f>
        <v>% of excess</v>
      </c>
    </row>
    <row r="379" spans="1:32" x14ac:dyDescent="0.3">
      <c r="A379" s="710" t="s">
        <v>1332</v>
      </c>
      <c r="B379" t="s">
        <v>1399</v>
      </c>
      <c r="C379" s="124" t="str">
        <f t="shared" si="205"/>
        <v>UDV.econ_manure.sludge_sell_pct</v>
      </c>
      <c r="D379" s="1091">
        <f t="shared" si="210"/>
        <v>0</v>
      </c>
      <c r="E379" s="1093" t="str">
        <f t="shared" si="211"/>
        <v>% of excess</v>
      </c>
      <c r="F379" s="1095">
        <f>INDEX(UI.Streams!$BC$141:$BC$165,MATCH($C379,UI.Streams!$BB$141:$BB$165,0))</f>
        <v>0</v>
      </c>
      <c r="G379" s="1098">
        <f>INDEX(UI.Streams!$BD$141:$BD$165,MATCH($C379,UI.Streams!$BB$141:$BB$165,0))</f>
        <v>0</v>
      </c>
      <c r="H379" s="1101">
        <f t="shared" si="212"/>
        <v>0</v>
      </c>
      <c r="I379" s="956" t="str">
        <f t="shared" si="213"/>
        <v>% of excess</v>
      </c>
      <c r="J379" t="s">
        <v>660</v>
      </c>
      <c r="K379" t="s">
        <v>1334</v>
      </c>
      <c r="L379">
        <f t="shared" si="228"/>
        <v>0</v>
      </c>
      <c r="M379">
        <f t="shared" si="229"/>
        <v>1</v>
      </c>
      <c r="N379">
        <f t="shared" si="227"/>
        <v>1</v>
      </c>
      <c r="O379" t="s">
        <v>1335</v>
      </c>
      <c r="P379" t="s">
        <v>1400</v>
      </c>
      <c r="Q379" t="s">
        <v>1222</v>
      </c>
      <c r="R379" s="711"/>
      <c r="S379" t="s">
        <v>84</v>
      </c>
      <c r="V379" t="str">
        <f t="shared" si="217"/>
        <v/>
      </c>
      <c r="W379">
        <v>0</v>
      </c>
      <c r="X379">
        <v>0</v>
      </c>
      <c r="Y379">
        <v>1</v>
      </c>
      <c r="Z379" t="str">
        <f>Units!B$34</f>
        <v>% of excess</v>
      </c>
      <c r="AA379">
        <f>Units!C$34</f>
        <v>1</v>
      </c>
      <c r="AB379">
        <f>Units!D$34</f>
        <v>1</v>
      </c>
      <c r="AC379" t="str">
        <f>Units!E$34</f>
        <v>% of excess</v>
      </c>
      <c r="AD379" t="str">
        <f>Units!F$34</f>
        <v>% of excess</v>
      </c>
      <c r="AE379" t="str">
        <f>Units!G$34</f>
        <v>% of excess</v>
      </c>
      <c r="AF379" t="str">
        <f>Units!H$34</f>
        <v>% of excess</v>
      </c>
    </row>
    <row r="380" spans="1:32" x14ac:dyDescent="0.3">
      <c r="A380" s="710" t="s">
        <v>1332</v>
      </c>
      <c r="B380" t="s">
        <v>1401</v>
      </c>
      <c r="C380" s="124" t="str">
        <f t="shared" si="205"/>
        <v>UDV.econ_manure.sludge_sell_price</v>
      </c>
      <c r="D380" s="1091">
        <f t="shared" si="210"/>
        <v>40</v>
      </c>
      <c r="E380" s="1093" t="str">
        <f t="shared" si="211"/>
        <v>$/1000 gal</v>
      </c>
      <c r="F380" s="1095">
        <f>INDEX(UI.Streams!$BC$141:$BC$165,MATCH($C380,UI.Streams!$BB$141:$BB$165,0))</f>
        <v>40</v>
      </c>
      <c r="G380" s="1098">
        <f>INDEX(UI.Streams!$BD$141:$BD$165,MATCH($C380,UI.Streams!$BB$141:$BB$165,0))</f>
        <v>0</v>
      </c>
      <c r="H380" s="1101">
        <f t="shared" si="212"/>
        <v>40</v>
      </c>
      <c r="I380" s="956" t="str">
        <f t="shared" si="213"/>
        <v>$/1000 gal</v>
      </c>
      <c r="J380" t="s">
        <v>660</v>
      </c>
      <c r="K380" t="s">
        <v>1334</v>
      </c>
      <c r="L380">
        <f t="shared" si="228"/>
        <v>0.01</v>
      </c>
      <c r="M380">
        <f t="shared" si="229"/>
        <v>534</v>
      </c>
      <c r="N380">
        <f t="shared" si="227"/>
        <v>0</v>
      </c>
      <c r="O380" t="s">
        <v>1335</v>
      </c>
      <c r="P380" t="s">
        <v>1402</v>
      </c>
      <c r="Q380" t="s">
        <v>1222</v>
      </c>
      <c r="R380" s="711"/>
      <c r="V380" t="str">
        <f t="shared" si="217"/>
        <v/>
      </c>
      <c r="W380">
        <v>40</v>
      </c>
      <c r="X380">
        <v>0.01</v>
      </c>
      <c r="Y380">
        <v>534</v>
      </c>
      <c r="Z380" t="str">
        <f>Units!B$27</f>
        <v>$/1000 gal</v>
      </c>
      <c r="AA380">
        <f>Units!C$27</f>
        <v>1</v>
      </c>
      <c r="AB380">
        <f>Units!D$27</f>
        <v>1</v>
      </c>
      <c r="AC380" t="str">
        <f>Units!E$27</f>
        <v>$/1000 gal</v>
      </c>
      <c r="AD380" t="str">
        <f>Units!F$27</f>
        <v>$/1000 gal</v>
      </c>
      <c r="AE380" t="str">
        <f>Units!G$27</f>
        <v>$/1000 L</v>
      </c>
      <c r="AF380" t="str">
        <f>Units!H$27</f>
        <v>$/1000 gal</v>
      </c>
    </row>
    <row r="381" spans="1:32" x14ac:dyDescent="0.3">
      <c r="A381" s="710" t="s">
        <v>1332</v>
      </c>
      <c r="B381" t="s">
        <v>1403</v>
      </c>
      <c r="C381" s="124" t="str">
        <f t="shared" si="205"/>
        <v>UDV.econ_manure.sludge_to_ton</v>
      </c>
      <c r="D381" s="1091">
        <f t="shared" si="210"/>
        <v>4.45</v>
      </c>
      <c r="E381" s="1093" t="str">
        <f t="shared" si="211"/>
        <v>conversion</v>
      </c>
      <c r="F381" s="1095">
        <f>IF(OR(G381="",N381=0),H381,G381)</f>
        <v>4.45</v>
      </c>
      <c r="H381" s="1101">
        <f t="shared" si="212"/>
        <v>4.45</v>
      </c>
      <c r="I381" s="956" t="str">
        <f t="shared" si="213"/>
        <v>conversion</v>
      </c>
      <c r="J381" t="s">
        <v>1404</v>
      </c>
      <c r="L381">
        <f t="shared" si="228"/>
        <v>0</v>
      </c>
      <c r="N381">
        <f>IF(AND(G381&gt;=L381),1,0)</f>
        <v>1</v>
      </c>
      <c r="O381" t="s">
        <v>1335</v>
      </c>
      <c r="P381" t="s">
        <v>1405</v>
      </c>
      <c r="R381" s="711"/>
      <c r="S381" t="s">
        <v>84</v>
      </c>
      <c r="V381" t="str">
        <f t="shared" si="217"/>
        <v>Fix</v>
      </c>
      <c r="W381" s="78">
        <v>4.45</v>
      </c>
      <c r="X381">
        <v>0</v>
      </c>
      <c r="Z381" t="str">
        <f>Units!B$93</f>
        <v>conversion</v>
      </c>
      <c r="AA381">
        <f>Units!C$93</f>
        <v>1</v>
      </c>
      <c r="AB381">
        <f>Units!D$93</f>
        <v>1</v>
      </c>
      <c r="AC381" t="str">
        <f>Units!E$93</f>
        <v>conversion</v>
      </c>
      <c r="AD381" t="str">
        <f>Units!F$93</f>
        <v>conversion</v>
      </c>
      <c r="AE381" t="str">
        <f>Units!G$93</f>
        <v>conversion</v>
      </c>
      <c r="AF381" t="str">
        <f>Units!H$93</f>
        <v>conversion</v>
      </c>
    </row>
    <row r="382" spans="1:32" x14ac:dyDescent="0.3">
      <c r="A382" s="710" t="s">
        <v>1332</v>
      </c>
      <c r="B382" t="s">
        <v>1406</v>
      </c>
      <c r="C382" s="124" t="str">
        <f t="shared" si="205"/>
        <v>UDV.econ_manure.slurry_export_cost</v>
      </c>
      <c r="D382" s="1091">
        <f t="shared" si="210"/>
        <v>16.7</v>
      </c>
      <c r="E382" s="1093" t="str">
        <f t="shared" si="211"/>
        <v>$/1000 gal</v>
      </c>
      <c r="F382" s="1095">
        <f>INDEX(UI.Streams!$BC$141:$BC$165,MATCH($C382,UI.Streams!$BB$141:$BB$165,0))</f>
        <v>16.7</v>
      </c>
      <c r="G382" s="1098">
        <f>INDEX(UI.Streams!$BD$141:$BD$165,MATCH($C382,UI.Streams!$BB$141:$BB$165,0))</f>
        <v>0</v>
      </c>
      <c r="H382" s="1101">
        <f t="shared" si="212"/>
        <v>16.7</v>
      </c>
      <c r="I382" s="956" t="str">
        <f t="shared" si="213"/>
        <v>$/1000 gal</v>
      </c>
      <c r="J382" t="s">
        <v>660</v>
      </c>
      <c r="K382" t="s">
        <v>1334</v>
      </c>
      <c r="L382">
        <f t="shared" ref="L382:L384" si="230">ROUNDDOWN($X382*$AA382,3)</f>
        <v>0.01</v>
      </c>
      <c r="M382">
        <f t="shared" ref="M382:M383" si="231">ROUNDUP($Y382*$AA382,3)</f>
        <v>60.7</v>
      </c>
      <c r="N382">
        <f t="shared" ref="N382:N387" si="232">IF(AND(G382&lt;=M382, G382&gt;=L382),1,0)</f>
        <v>0</v>
      </c>
      <c r="O382" t="s">
        <v>1335</v>
      </c>
      <c r="P382" t="s">
        <v>1407</v>
      </c>
      <c r="Q382" t="s">
        <v>1222</v>
      </c>
      <c r="R382" s="711"/>
      <c r="V382" t="str">
        <f t="shared" si="217"/>
        <v/>
      </c>
      <c r="W382">
        <v>16.7</v>
      </c>
      <c r="X382">
        <v>0.01</v>
      </c>
      <c r="Y382">
        <v>60.7</v>
      </c>
      <c r="Z382" t="str">
        <f>Units!B$27</f>
        <v>$/1000 gal</v>
      </c>
      <c r="AA382">
        <f>Units!C$27</f>
        <v>1</v>
      </c>
      <c r="AB382">
        <f>Units!D$27</f>
        <v>1</v>
      </c>
      <c r="AC382" t="str">
        <f>Units!E$27</f>
        <v>$/1000 gal</v>
      </c>
      <c r="AD382" t="str">
        <f>Units!F$27</f>
        <v>$/1000 gal</v>
      </c>
      <c r="AE382" t="str">
        <f>Units!G$27</f>
        <v>$/1000 L</v>
      </c>
      <c r="AF382" t="str">
        <f>Units!H$27</f>
        <v>$/1000 gal</v>
      </c>
    </row>
    <row r="383" spans="1:32" x14ac:dyDescent="0.3">
      <c r="A383" s="710" t="s">
        <v>1332</v>
      </c>
      <c r="B383" t="s">
        <v>1408</v>
      </c>
      <c r="C383" s="124" t="str">
        <f t="shared" si="205"/>
        <v>UDV.econ_manure.slurry_export_pct</v>
      </c>
      <c r="D383" s="1091">
        <f t="shared" si="210"/>
        <v>0</v>
      </c>
      <c r="E383" s="1093" t="str">
        <f t="shared" si="211"/>
        <v>% of excess</v>
      </c>
      <c r="F383" s="1095">
        <f>INDEX(UI.Streams!$BC$141:$BC$165,MATCH($C383,UI.Streams!$BB$141:$BB$165,0))</f>
        <v>0</v>
      </c>
      <c r="G383" s="1098">
        <f>INDEX(UI.Streams!$BD$141:$BD$165,MATCH($C383,UI.Streams!$BB$141:$BB$165,0))</f>
        <v>0</v>
      </c>
      <c r="H383" s="1101">
        <f t="shared" si="212"/>
        <v>0</v>
      </c>
      <c r="I383" s="956" t="str">
        <f t="shared" si="213"/>
        <v>% of excess</v>
      </c>
      <c r="J383" t="s">
        <v>660</v>
      </c>
      <c r="K383" t="s">
        <v>1334</v>
      </c>
      <c r="L383">
        <f t="shared" si="230"/>
        <v>0</v>
      </c>
      <c r="M383">
        <f t="shared" si="231"/>
        <v>1</v>
      </c>
      <c r="N383">
        <f t="shared" si="232"/>
        <v>1</v>
      </c>
      <c r="O383" t="s">
        <v>1335</v>
      </c>
      <c r="P383" t="s">
        <v>1409</v>
      </c>
      <c r="Q383" t="s">
        <v>1222</v>
      </c>
      <c r="R383" s="711"/>
      <c r="S383" t="s">
        <v>84</v>
      </c>
      <c r="V383" t="str">
        <f t="shared" si="217"/>
        <v/>
      </c>
      <c r="W383">
        <v>0</v>
      </c>
      <c r="X383">
        <v>0</v>
      </c>
      <c r="Y383">
        <v>1</v>
      </c>
      <c r="Z383" t="str">
        <f>Units!B$34</f>
        <v>% of excess</v>
      </c>
      <c r="AA383">
        <f>Units!C$34</f>
        <v>1</v>
      </c>
      <c r="AB383">
        <f>Units!D$34</f>
        <v>1</v>
      </c>
      <c r="AC383" t="str">
        <f>Units!E$34</f>
        <v>% of excess</v>
      </c>
      <c r="AD383" t="str">
        <f>Units!F$34</f>
        <v>% of excess</v>
      </c>
      <c r="AE383" t="str">
        <f>Units!G$34</f>
        <v>% of excess</v>
      </c>
      <c r="AF383" t="str">
        <f>Units!H$34</f>
        <v>% of excess</v>
      </c>
    </row>
    <row r="384" spans="1:32" x14ac:dyDescent="0.3">
      <c r="A384" s="710" t="s">
        <v>1332</v>
      </c>
      <c r="B384" t="s">
        <v>1410</v>
      </c>
      <c r="C384" s="124" t="str">
        <f t="shared" si="205"/>
        <v>UDV.econ_manure.slurry_give_cost</v>
      </c>
      <c r="D384" s="1091">
        <f t="shared" si="210"/>
        <v>0</v>
      </c>
      <c r="E384" s="1093" t="str">
        <f t="shared" si="211"/>
        <v>$/1000 gal</v>
      </c>
      <c r="F384" s="1095">
        <f>IF(OR(G384="",N384=0),H384,G384)</f>
        <v>0</v>
      </c>
      <c r="H384" s="1101">
        <f t="shared" si="212"/>
        <v>0</v>
      </c>
      <c r="I384" s="956" t="str">
        <f t="shared" si="213"/>
        <v>$/1000 gal</v>
      </c>
      <c r="J384" t="s">
        <v>660</v>
      </c>
      <c r="L384">
        <f t="shared" si="230"/>
        <v>0</v>
      </c>
      <c r="N384">
        <f t="shared" si="232"/>
        <v>1</v>
      </c>
      <c r="O384" t="s">
        <v>1335</v>
      </c>
      <c r="P384" t="s">
        <v>1411</v>
      </c>
      <c r="Q384" t="s">
        <v>1222</v>
      </c>
      <c r="R384" s="711"/>
      <c r="S384" t="s">
        <v>84</v>
      </c>
      <c r="V384" t="str">
        <f t="shared" si="217"/>
        <v>Fix</v>
      </c>
      <c r="W384">
        <v>0</v>
      </c>
      <c r="X384">
        <v>0</v>
      </c>
      <c r="Y384">
        <v>0</v>
      </c>
      <c r="Z384" t="str">
        <f>Units!B$27</f>
        <v>$/1000 gal</v>
      </c>
      <c r="AA384">
        <f>Units!C$27</f>
        <v>1</v>
      </c>
      <c r="AB384">
        <f>Units!D$27</f>
        <v>1</v>
      </c>
      <c r="AC384" t="str">
        <f>Units!E$27</f>
        <v>$/1000 gal</v>
      </c>
      <c r="AD384" t="str">
        <f>Units!F$27</f>
        <v>$/1000 gal</v>
      </c>
      <c r="AE384" t="str">
        <f>Units!G$27</f>
        <v>$/1000 L</v>
      </c>
      <c r="AF384" t="str">
        <f>Units!H$27</f>
        <v>$/1000 gal</v>
      </c>
    </row>
    <row r="385" spans="1:32" x14ac:dyDescent="0.3">
      <c r="A385" s="710" t="s">
        <v>1332</v>
      </c>
      <c r="B385" t="s">
        <v>1412</v>
      </c>
      <c r="C385" s="124" t="str">
        <f t="shared" si="205"/>
        <v>UDV.econ_manure.slurry_give_pct</v>
      </c>
      <c r="D385" s="1091">
        <f t="shared" si="210"/>
        <v>1</v>
      </c>
      <c r="E385" s="1093" t="str">
        <f t="shared" si="211"/>
        <v>% of excess</v>
      </c>
      <c r="F385" s="1095">
        <f>INDEX(UI.Streams!$BC$141:$BC$165,MATCH($C385,UI.Streams!$BB$141:$BB$165,0))</f>
        <v>1</v>
      </c>
      <c r="G385" s="1098">
        <f>INDEX(UI.Streams!$BD$141:$BD$165,MATCH($C385,UI.Streams!$BB$141:$BB$165,0))</f>
        <v>0</v>
      </c>
      <c r="H385" s="1101">
        <f t="shared" si="212"/>
        <v>1</v>
      </c>
      <c r="I385" s="956" t="str">
        <f t="shared" si="213"/>
        <v>% of excess</v>
      </c>
      <c r="J385" t="s">
        <v>660</v>
      </c>
      <c r="K385" t="s">
        <v>1334</v>
      </c>
      <c r="L385">
        <f t="shared" ref="L385:L388" si="233">ROUNDDOWN($X385*$AA385,3)</f>
        <v>0</v>
      </c>
      <c r="M385">
        <f t="shared" ref="M385:M387" si="234">ROUNDUP($Y385*$AA385,3)</f>
        <v>1</v>
      </c>
      <c r="N385">
        <f t="shared" si="232"/>
        <v>1</v>
      </c>
      <c r="O385" t="s">
        <v>1335</v>
      </c>
      <c r="P385" t="s">
        <v>1413</v>
      </c>
      <c r="Q385" t="s">
        <v>1222</v>
      </c>
      <c r="R385" s="711"/>
      <c r="S385" t="s">
        <v>84</v>
      </c>
      <c r="V385" t="str">
        <f t="shared" si="217"/>
        <v/>
      </c>
      <c r="W385">
        <v>1</v>
      </c>
      <c r="X385">
        <v>0</v>
      </c>
      <c r="Y385">
        <v>1</v>
      </c>
      <c r="Z385" t="str">
        <f>Units!B$34</f>
        <v>% of excess</v>
      </c>
      <c r="AA385">
        <f>Units!C$34</f>
        <v>1</v>
      </c>
      <c r="AB385">
        <f>Units!D$34</f>
        <v>1</v>
      </c>
      <c r="AC385" t="str">
        <f>Units!E$34</f>
        <v>% of excess</v>
      </c>
      <c r="AD385" t="str">
        <f>Units!F$34</f>
        <v>% of excess</v>
      </c>
      <c r="AE385" t="str">
        <f>Units!G$34</f>
        <v>% of excess</v>
      </c>
      <c r="AF385" t="str">
        <f>Units!H$34</f>
        <v>% of excess</v>
      </c>
    </row>
    <row r="386" spans="1:32" x14ac:dyDescent="0.3">
      <c r="A386" s="710" t="s">
        <v>1332</v>
      </c>
      <c r="B386" t="s">
        <v>1414</v>
      </c>
      <c r="C386" s="124" t="str">
        <f t="shared" si="205"/>
        <v>UDV.econ_manure.slurry_sell_pct</v>
      </c>
      <c r="D386" s="1091">
        <f t="shared" si="210"/>
        <v>0</v>
      </c>
      <c r="E386" s="1093" t="str">
        <f t="shared" si="211"/>
        <v>% of excess</v>
      </c>
      <c r="F386" s="1095">
        <f>INDEX(UI.Streams!$BC$141:$BC$165,MATCH($C386,UI.Streams!$BB$141:$BB$165,0))</f>
        <v>0</v>
      </c>
      <c r="G386" s="1098">
        <f>INDEX(UI.Streams!$BD$141:$BD$165,MATCH($C386,UI.Streams!$BB$141:$BB$165,0))</f>
        <v>0</v>
      </c>
      <c r="H386" s="1101">
        <f t="shared" si="212"/>
        <v>0</v>
      </c>
      <c r="I386" s="956" t="str">
        <f t="shared" si="213"/>
        <v>% of excess</v>
      </c>
      <c r="J386" t="s">
        <v>660</v>
      </c>
      <c r="K386" t="s">
        <v>1334</v>
      </c>
      <c r="L386">
        <f t="shared" si="233"/>
        <v>0</v>
      </c>
      <c r="M386">
        <f t="shared" si="234"/>
        <v>1</v>
      </c>
      <c r="N386">
        <f t="shared" si="232"/>
        <v>1</v>
      </c>
      <c r="O386" t="s">
        <v>1335</v>
      </c>
      <c r="P386" t="s">
        <v>1415</v>
      </c>
      <c r="Q386" t="s">
        <v>1222</v>
      </c>
      <c r="R386" s="711"/>
      <c r="S386" t="s">
        <v>84</v>
      </c>
      <c r="V386" t="str">
        <f t="shared" si="217"/>
        <v/>
      </c>
      <c r="W386">
        <v>0</v>
      </c>
      <c r="X386">
        <v>0</v>
      </c>
      <c r="Y386">
        <v>1</v>
      </c>
      <c r="Z386" t="str">
        <f>Units!B$34</f>
        <v>% of excess</v>
      </c>
      <c r="AA386">
        <f>Units!C$34</f>
        <v>1</v>
      </c>
      <c r="AB386">
        <f>Units!D$34</f>
        <v>1</v>
      </c>
      <c r="AC386" t="str">
        <f>Units!E$34</f>
        <v>% of excess</v>
      </c>
      <c r="AD386" t="str">
        <f>Units!F$34</f>
        <v>% of excess</v>
      </c>
      <c r="AE386" t="str">
        <f>Units!G$34</f>
        <v>% of excess</v>
      </c>
      <c r="AF386" t="str">
        <f>Units!H$34</f>
        <v>% of excess</v>
      </c>
    </row>
    <row r="387" spans="1:32" x14ac:dyDescent="0.3">
      <c r="A387" s="710" t="s">
        <v>1332</v>
      </c>
      <c r="B387" t="s">
        <v>1416</v>
      </c>
      <c r="C387" s="124" t="str">
        <f t="shared" si="205"/>
        <v>UDV.econ_manure.slurry_sell_price</v>
      </c>
      <c r="D387" s="1091">
        <f t="shared" si="210"/>
        <v>6</v>
      </c>
      <c r="E387" s="1093" t="str">
        <f t="shared" si="211"/>
        <v>$/1000 gal</v>
      </c>
      <c r="F387" s="1095">
        <f>INDEX(UI.Streams!$BC$141:$BC$165,MATCH($C387,UI.Streams!$BB$141:$BB$165,0))</f>
        <v>6</v>
      </c>
      <c r="G387" s="1098">
        <f>INDEX(UI.Streams!$BD$141:$BD$165,MATCH($C387,UI.Streams!$BB$141:$BB$165,0))</f>
        <v>0</v>
      </c>
      <c r="H387" s="1101">
        <f t="shared" si="212"/>
        <v>6</v>
      </c>
      <c r="I387" s="956" t="str">
        <f t="shared" si="213"/>
        <v>$/1000 gal</v>
      </c>
      <c r="J387" t="s">
        <v>660</v>
      </c>
      <c r="K387" t="s">
        <v>1334</v>
      </c>
      <c r="L387">
        <f t="shared" si="233"/>
        <v>0.01</v>
      </c>
      <c r="M387">
        <f t="shared" si="234"/>
        <v>30</v>
      </c>
      <c r="N387">
        <f t="shared" si="232"/>
        <v>0</v>
      </c>
      <c r="O387" t="s">
        <v>1335</v>
      </c>
      <c r="P387" t="s">
        <v>1417</v>
      </c>
      <c r="Q387" t="s">
        <v>1222</v>
      </c>
      <c r="R387" s="711"/>
      <c r="V387" t="str">
        <f t="shared" si="217"/>
        <v/>
      </c>
      <c r="W387">
        <v>6</v>
      </c>
      <c r="X387">
        <v>0.01</v>
      </c>
      <c r="Y387">
        <v>30</v>
      </c>
      <c r="Z387" t="str">
        <f>Units!B$27</f>
        <v>$/1000 gal</v>
      </c>
      <c r="AA387">
        <f>Units!C$27</f>
        <v>1</v>
      </c>
      <c r="AB387">
        <f>Units!D$27</f>
        <v>1</v>
      </c>
      <c r="AC387" t="str">
        <f>Units!E$27</f>
        <v>$/1000 gal</v>
      </c>
      <c r="AD387" t="str">
        <f>Units!F$27</f>
        <v>$/1000 gal</v>
      </c>
      <c r="AE387" t="str">
        <f>Units!G$27</f>
        <v>$/1000 L</v>
      </c>
      <c r="AF387" t="str">
        <f>Units!H$27</f>
        <v>$/1000 gal</v>
      </c>
    </row>
    <row r="388" spans="1:32" x14ac:dyDescent="0.3">
      <c r="A388" s="710" t="s">
        <v>1332</v>
      </c>
      <c r="B388" t="s">
        <v>1418</v>
      </c>
      <c r="C388" s="124" t="str">
        <f t="shared" si="205"/>
        <v>UDV.econ_manure.slurry_to_ton</v>
      </c>
      <c r="D388" s="1091">
        <f t="shared" si="210"/>
        <v>4.3499999999999996</v>
      </c>
      <c r="E388" s="1093" t="str">
        <f t="shared" si="211"/>
        <v>conversion</v>
      </c>
      <c r="F388" s="1095">
        <f t="shared" ref="F388:F427" si="235">IF(OR(G388="",N388=0),H388,G388)</f>
        <v>4.3499999999999996</v>
      </c>
      <c r="H388" s="1101">
        <f t="shared" si="212"/>
        <v>4.3499999999999996</v>
      </c>
      <c r="I388" s="956" t="str">
        <f t="shared" si="213"/>
        <v>conversion</v>
      </c>
      <c r="J388" t="s">
        <v>1404</v>
      </c>
      <c r="L388">
        <f t="shared" si="233"/>
        <v>0</v>
      </c>
      <c r="N388">
        <f>IF(AND(G388&gt;=L388),1,0)</f>
        <v>1</v>
      </c>
      <c r="O388" t="s">
        <v>1335</v>
      </c>
      <c r="P388" t="s">
        <v>1419</v>
      </c>
      <c r="R388" s="711"/>
      <c r="S388" t="s">
        <v>84</v>
      </c>
      <c r="V388" t="str">
        <f t="shared" si="217"/>
        <v>Fix</v>
      </c>
      <c r="W388" s="78">
        <v>4.3499999999999996</v>
      </c>
      <c r="X388">
        <v>0</v>
      </c>
      <c r="Z388" t="str">
        <f>Units!B$93</f>
        <v>conversion</v>
      </c>
      <c r="AA388">
        <f>Units!C$93</f>
        <v>1</v>
      </c>
      <c r="AB388">
        <f>Units!D$93</f>
        <v>1</v>
      </c>
      <c r="AC388" t="str">
        <f>Units!E$93</f>
        <v>conversion</v>
      </c>
      <c r="AD388" t="str">
        <f>Units!F$93</f>
        <v>conversion</v>
      </c>
      <c r="AE388" t="str">
        <f>Units!G$93</f>
        <v>conversion</v>
      </c>
      <c r="AF388" t="str">
        <f>Units!H$93</f>
        <v>conversion</v>
      </c>
    </row>
    <row r="389" spans="1:32" x14ac:dyDescent="0.3">
      <c r="A389" t="s">
        <v>1420</v>
      </c>
      <c r="B389" t="s">
        <v>1421</v>
      </c>
      <c r="C389" s="124" t="str">
        <f t="shared" si="205"/>
        <v>UDV.econ_methane.fate</v>
      </c>
      <c r="D389" s="1091">
        <f t="shared" si="210"/>
        <v>0</v>
      </c>
      <c r="E389" s="1093" t="s">
        <v>1422</v>
      </c>
      <c r="F389" s="1095">
        <f t="shared" si="235"/>
        <v>0</v>
      </c>
      <c r="H389" s="1104">
        <v>0</v>
      </c>
      <c r="I389" s="956" t="s">
        <v>1422</v>
      </c>
      <c r="J389" t="s">
        <v>799</v>
      </c>
      <c r="L389">
        <v>0</v>
      </c>
      <c r="M389">
        <v>2</v>
      </c>
      <c r="N389">
        <v>1</v>
      </c>
      <c r="O389" t="s">
        <v>1272</v>
      </c>
      <c r="P389" t="s">
        <v>1423</v>
      </c>
      <c r="Q389" t="s">
        <v>1237</v>
      </c>
      <c r="S389" t="s">
        <v>84</v>
      </c>
      <c r="V389" t="str">
        <f t="shared" si="217"/>
        <v/>
      </c>
      <c r="W389">
        <v>0</v>
      </c>
      <c r="X389">
        <v>0</v>
      </c>
      <c r="Y389">
        <v>2</v>
      </c>
      <c r="Z389" t="str">
        <f>Units!B$40</f>
        <v>index</v>
      </c>
      <c r="AA389">
        <f>Units!C$40</f>
        <v>1</v>
      </c>
      <c r="AB389">
        <f>Units!D$40</f>
        <v>1</v>
      </c>
      <c r="AC389" t="str">
        <f>Units!E$40</f>
        <v>index</v>
      </c>
      <c r="AD389" t="str">
        <f>Units!F$40</f>
        <v>index</v>
      </c>
      <c r="AE389" t="str">
        <f>Units!G$40</f>
        <v>index</v>
      </c>
      <c r="AF389" t="str">
        <f>Units!H$40</f>
        <v>index</v>
      </c>
    </row>
    <row r="390" spans="1:32" x14ac:dyDescent="0.3">
      <c r="A390" s="710" t="s">
        <v>1424</v>
      </c>
      <c r="B390" t="s">
        <v>1425</v>
      </c>
      <c r="C390" s="124" t="str">
        <f t="shared" si="205"/>
        <v>UDV.econ_motor.100hp</v>
      </c>
      <c r="D390" s="944">
        <f t="shared" si="210"/>
        <v>6580</v>
      </c>
      <c r="E390" s="125" t="str">
        <f t="shared" ref="E390:E421" si="236">$AD390</f>
        <v>$ (Equipment)</v>
      </c>
      <c r="F390" s="944">
        <f t="shared" si="235"/>
        <v>6580</v>
      </c>
      <c r="G390" s="126"/>
      <c r="H390">
        <f t="shared" ref="H390:H421" si="237">$W390*$AA390</f>
        <v>6580</v>
      </c>
      <c r="I390" s="1325" t="str">
        <f t="shared" ref="I390:I421" si="238">$AC390</f>
        <v>$ (Equipment)</v>
      </c>
      <c r="J390" t="s">
        <v>660</v>
      </c>
      <c r="K390" s="124"/>
      <c r="L390">
        <f t="shared" ref="L390:L453" si="239">ROUNDDOWN($X390*$AA390,3)</f>
        <v>4600</v>
      </c>
      <c r="M390">
        <f t="shared" ref="M390:M453" si="240">ROUNDUP($Y390*$AA390,3)</f>
        <v>8550</v>
      </c>
      <c r="N390">
        <f>IF(AND(M390 - G390 &gt;= 0, G390 - L390 &gt;=0),1,0)</f>
        <v>0</v>
      </c>
      <c r="O390" t="s">
        <v>1426</v>
      </c>
      <c r="P390" t="s">
        <v>1427</v>
      </c>
      <c r="Q390" t="s">
        <v>1222</v>
      </c>
      <c r="R390" s="711"/>
      <c r="V390" t="str">
        <f t="shared" si="217"/>
        <v/>
      </c>
      <c r="W390">
        <v>6580</v>
      </c>
      <c r="X390">
        <v>4600</v>
      </c>
      <c r="Y390">
        <v>8550</v>
      </c>
      <c r="Z390" t="str">
        <f>Units!B$15</f>
        <v>$ (Equipment)</v>
      </c>
      <c r="AA390">
        <f>Units!C$15</f>
        <v>1</v>
      </c>
      <c r="AB390">
        <f>Units!D$15</f>
        <v>1</v>
      </c>
      <c r="AC390" t="str">
        <f>Units!E$15</f>
        <v>$ (Equipment)</v>
      </c>
      <c r="AD390" t="str">
        <f>Units!F$15</f>
        <v>$ (Equipment)</v>
      </c>
      <c r="AE390" t="str">
        <f>Units!G$15</f>
        <v>$ (Equipment)</v>
      </c>
      <c r="AF390" t="str">
        <f>Units!H$15</f>
        <v>$ (Equipment)</v>
      </c>
    </row>
    <row r="391" spans="1:32" x14ac:dyDescent="0.3">
      <c r="A391" s="710" t="s">
        <v>1424</v>
      </c>
      <c r="B391" t="s">
        <v>1428</v>
      </c>
      <c r="C391" s="124" t="str">
        <f t="shared" si="205"/>
        <v>UDV.econ_motor.10hp</v>
      </c>
      <c r="D391" s="1091">
        <f t="shared" si="210"/>
        <v>1160</v>
      </c>
      <c r="E391" s="1093" t="str">
        <f t="shared" si="236"/>
        <v>$ (Equipment)</v>
      </c>
      <c r="F391" s="1095">
        <f t="shared" si="235"/>
        <v>1160</v>
      </c>
      <c r="H391" s="1101">
        <f t="shared" si="237"/>
        <v>1160</v>
      </c>
      <c r="I391" s="956" t="str">
        <f t="shared" si="238"/>
        <v>$ (Equipment)</v>
      </c>
      <c r="J391" t="s">
        <v>660</v>
      </c>
      <c r="L391">
        <f t="shared" si="239"/>
        <v>810</v>
      </c>
      <c r="M391">
        <f t="shared" si="240"/>
        <v>1510</v>
      </c>
      <c r="N391">
        <f t="shared" ref="N391:N397" si="241">IF(AND(G391&lt;=M391, G391&gt;=L391),1,0)</f>
        <v>0</v>
      </c>
      <c r="O391" t="s">
        <v>1426</v>
      </c>
      <c r="P391" t="s">
        <v>1429</v>
      </c>
      <c r="Q391" t="s">
        <v>1222</v>
      </c>
      <c r="R391" s="711"/>
      <c r="V391" t="str">
        <f t="shared" si="217"/>
        <v/>
      </c>
      <c r="W391">
        <v>1160</v>
      </c>
      <c r="X391">
        <v>810</v>
      </c>
      <c r="Y391">
        <v>1510</v>
      </c>
      <c r="Z391" t="str">
        <f>Units!B$15</f>
        <v>$ (Equipment)</v>
      </c>
      <c r="AA391">
        <f>Units!C$15</f>
        <v>1</v>
      </c>
      <c r="AB391">
        <f>Units!D$15</f>
        <v>1</v>
      </c>
      <c r="AC391" t="str">
        <f>Units!E$15</f>
        <v>$ (Equipment)</v>
      </c>
      <c r="AD391" t="str">
        <f>Units!F$15</f>
        <v>$ (Equipment)</v>
      </c>
      <c r="AE391" t="str">
        <f>Units!G$15</f>
        <v>$ (Equipment)</v>
      </c>
      <c r="AF391" t="str">
        <f>Units!H$15</f>
        <v>$ (Equipment)</v>
      </c>
    </row>
    <row r="392" spans="1:32" x14ac:dyDescent="0.3">
      <c r="A392" s="710" t="s">
        <v>1424</v>
      </c>
      <c r="B392" t="s">
        <v>1430</v>
      </c>
      <c r="C392" s="124" t="str">
        <f t="shared" si="205"/>
        <v>UDV.econ_motor.11hp</v>
      </c>
      <c r="D392" s="1091">
        <f t="shared" si="210"/>
        <v>1210</v>
      </c>
      <c r="E392" s="1093" t="str">
        <f t="shared" si="236"/>
        <v>$ (Equipment)</v>
      </c>
      <c r="F392" s="1095">
        <f t="shared" si="235"/>
        <v>1210</v>
      </c>
      <c r="H392" s="1101">
        <f t="shared" si="237"/>
        <v>1210</v>
      </c>
      <c r="I392" s="956" t="str">
        <f t="shared" si="238"/>
        <v>$ (Equipment)</v>
      </c>
      <c r="J392" t="s">
        <v>660</v>
      </c>
      <c r="L392">
        <f t="shared" si="239"/>
        <v>850</v>
      </c>
      <c r="M392">
        <f t="shared" si="240"/>
        <v>1580</v>
      </c>
      <c r="N392">
        <f t="shared" si="241"/>
        <v>0</v>
      </c>
      <c r="O392" t="s">
        <v>1426</v>
      </c>
      <c r="P392" t="s">
        <v>1431</v>
      </c>
      <c r="Q392" t="s">
        <v>1222</v>
      </c>
      <c r="R392" s="711"/>
      <c r="V392" t="str">
        <f t="shared" si="217"/>
        <v/>
      </c>
      <c r="W392">
        <v>1210</v>
      </c>
      <c r="X392">
        <v>850</v>
      </c>
      <c r="Y392">
        <v>1580</v>
      </c>
      <c r="Z392" t="str">
        <f>Units!B$15</f>
        <v>$ (Equipment)</v>
      </c>
      <c r="AA392">
        <f>Units!C$15</f>
        <v>1</v>
      </c>
      <c r="AB392">
        <f>Units!D$15</f>
        <v>1</v>
      </c>
      <c r="AC392" t="str">
        <f>Units!E$15</f>
        <v>$ (Equipment)</v>
      </c>
      <c r="AD392" t="str">
        <f>Units!F$15</f>
        <v>$ (Equipment)</v>
      </c>
      <c r="AE392" t="str">
        <f>Units!G$15</f>
        <v>$ (Equipment)</v>
      </c>
      <c r="AF392" t="str">
        <f>Units!H$15</f>
        <v>$ (Equipment)</v>
      </c>
    </row>
    <row r="393" spans="1:32" x14ac:dyDescent="0.3">
      <c r="A393" s="710" t="s">
        <v>1424</v>
      </c>
      <c r="B393" t="s">
        <v>1432</v>
      </c>
      <c r="C393" s="124" t="str">
        <f t="shared" si="205"/>
        <v>UDV.econ_motor.12hp</v>
      </c>
      <c r="D393" s="1091">
        <f t="shared" si="210"/>
        <v>1320</v>
      </c>
      <c r="E393" s="1093" t="str">
        <f t="shared" si="236"/>
        <v>$ (Equipment)</v>
      </c>
      <c r="F393" s="1095">
        <f t="shared" si="235"/>
        <v>1320</v>
      </c>
      <c r="H393" s="1101">
        <f t="shared" si="237"/>
        <v>1320</v>
      </c>
      <c r="I393" s="956" t="str">
        <f t="shared" si="238"/>
        <v>$ (Equipment)</v>
      </c>
      <c r="J393" t="s">
        <v>660</v>
      </c>
      <c r="L393">
        <f t="shared" si="239"/>
        <v>920</v>
      </c>
      <c r="M393">
        <f t="shared" si="240"/>
        <v>1710</v>
      </c>
      <c r="N393">
        <f t="shared" si="241"/>
        <v>0</v>
      </c>
      <c r="O393" t="s">
        <v>1426</v>
      </c>
      <c r="P393" t="s">
        <v>1433</v>
      </c>
      <c r="Q393" t="s">
        <v>1222</v>
      </c>
      <c r="R393" s="711"/>
      <c r="V393" t="str">
        <f t="shared" si="217"/>
        <v/>
      </c>
      <c r="W393">
        <v>1320</v>
      </c>
      <c r="X393">
        <v>920</v>
      </c>
      <c r="Y393">
        <v>1710</v>
      </c>
      <c r="Z393" t="str">
        <f>Units!B$15</f>
        <v>$ (Equipment)</v>
      </c>
      <c r="AA393">
        <f>Units!C$15</f>
        <v>1</v>
      </c>
      <c r="AB393">
        <f>Units!D$15</f>
        <v>1</v>
      </c>
      <c r="AC393" t="str">
        <f>Units!E$15</f>
        <v>$ (Equipment)</v>
      </c>
      <c r="AD393" t="str">
        <f>Units!F$15</f>
        <v>$ (Equipment)</v>
      </c>
      <c r="AE393" t="str">
        <f>Units!G$15</f>
        <v>$ (Equipment)</v>
      </c>
      <c r="AF393" t="str">
        <f>Units!H$15</f>
        <v>$ (Equipment)</v>
      </c>
    </row>
    <row r="394" spans="1:32" x14ac:dyDescent="0.3">
      <c r="A394" s="710" t="s">
        <v>1424</v>
      </c>
      <c r="B394" t="s">
        <v>1434</v>
      </c>
      <c r="C394" s="124" t="str">
        <f t="shared" si="205"/>
        <v>UDV.econ_motor.15hp</v>
      </c>
      <c r="D394" s="1091">
        <f t="shared" si="210"/>
        <v>1470</v>
      </c>
      <c r="E394" s="1093" t="str">
        <f t="shared" si="236"/>
        <v>$ (Equipment)</v>
      </c>
      <c r="F394" s="1095">
        <f t="shared" si="235"/>
        <v>1470</v>
      </c>
      <c r="H394" s="1101">
        <f t="shared" si="237"/>
        <v>1470</v>
      </c>
      <c r="I394" s="956" t="str">
        <f t="shared" si="238"/>
        <v>$ (Equipment)</v>
      </c>
      <c r="J394" t="s">
        <v>660</v>
      </c>
      <c r="L394">
        <f t="shared" si="239"/>
        <v>1030</v>
      </c>
      <c r="M394">
        <f t="shared" si="240"/>
        <v>1910</v>
      </c>
      <c r="N394">
        <f t="shared" si="241"/>
        <v>0</v>
      </c>
      <c r="O394" t="s">
        <v>1426</v>
      </c>
      <c r="P394" t="s">
        <v>1435</v>
      </c>
      <c r="Q394" t="s">
        <v>1222</v>
      </c>
      <c r="R394" s="711"/>
      <c r="V394" t="str">
        <f t="shared" si="217"/>
        <v/>
      </c>
      <c r="W394">
        <v>1470</v>
      </c>
      <c r="X394">
        <v>1030</v>
      </c>
      <c r="Y394">
        <v>1910</v>
      </c>
      <c r="Z394" t="str">
        <f>Units!B$15</f>
        <v>$ (Equipment)</v>
      </c>
      <c r="AA394">
        <f>Units!C$15</f>
        <v>1</v>
      </c>
      <c r="AB394">
        <f>Units!D$15</f>
        <v>1</v>
      </c>
      <c r="AC394" t="str">
        <f>Units!E$15</f>
        <v>$ (Equipment)</v>
      </c>
      <c r="AD394" t="str">
        <f>Units!F$15</f>
        <v>$ (Equipment)</v>
      </c>
      <c r="AE394" t="str">
        <f>Units!G$15</f>
        <v>$ (Equipment)</v>
      </c>
      <c r="AF394" t="str">
        <f>Units!H$15</f>
        <v>$ (Equipment)</v>
      </c>
    </row>
    <row r="395" spans="1:32" x14ac:dyDescent="0.3">
      <c r="A395" s="710" t="s">
        <v>1424</v>
      </c>
      <c r="B395" t="s">
        <v>1436</v>
      </c>
      <c r="C395" s="124" t="str">
        <f t="shared" si="205"/>
        <v>UDV.econ_motor.1hp</v>
      </c>
      <c r="D395" s="1091">
        <f t="shared" si="210"/>
        <v>620</v>
      </c>
      <c r="E395" s="1093" t="str">
        <f t="shared" si="236"/>
        <v>$ (Equipment)</v>
      </c>
      <c r="F395" s="1095">
        <f t="shared" si="235"/>
        <v>620</v>
      </c>
      <c r="H395" s="1101">
        <f t="shared" si="237"/>
        <v>620</v>
      </c>
      <c r="I395" s="956" t="str">
        <f t="shared" si="238"/>
        <v>$ (Equipment)</v>
      </c>
      <c r="J395" t="s">
        <v>660</v>
      </c>
      <c r="L395">
        <f t="shared" si="239"/>
        <v>430</v>
      </c>
      <c r="M395">
        <f t="shared" si="240"/>
        <v>800</v>
      </c>
      <c r="N395">
        <f t="shared" si="241"/>
        <v>0</v>
      </c>
      <c r="O395" t="s">
        <v>1437</v>
      </c>
      <c r="P395" t="s">
        <v>1438</v>
      </c>
      <c r="Q395" t="s">
        <v>1237</v>
      </c>
      <c r="R395" s="711"/>
      <c r="V395" t="str">
        <f t="shared" si="217"/>
        <v/>
      </c>
      <c r="W395">
        <v>620</v>
      </c>
      <c r="X395">
        <v>430</v>
      </c>
      <c r="Y395">
        <v>800</v>
      </c>
      <c r="Z395" t="str">
        <f>Units!B$15</f>
        <v>$ (Equipment)</v>
      </c>
      <c r="AA395">
        <f>Units!C$15</f>
        <v>1</v>
      </c>
      <c r="AB395">
        <f>Units!D$15</f>
        <v>1</v>
      </c>
      <c r="AC395" t="str">
        <f>Units!E$15</f>
        <v>$ (Equipment)</v>
      </c>
      <c r="AD395" t="str">
        <f>Units!F$15</f>
        <v>$ (Equipment)</v>
      </c>
      <c r="AE395" t="str">
        <f>Units!G$15</f>
        <v>$ (Equipment)</v>
      </c>
      <c r="AF395" t="str">
        <f>Units!H$15</f>
        <v>$ (Equipment)</v>
      </c>
    </row>
    <row r="396" spans="1:32" x14ac:dyDescent="0.3">
      <c r="A396" s="710" t="s">
        <v>1424</v>
      </c>
      <c r="B396" t="s">
        <v>1439</v>
      </c>
      <c r="C396" s="124" t="str">
        <f t="shared" ref="C396:C475" si="242">_xlfn.CONCAT("UDV.",A396,".",B396)</f>
        <v>UDV.econ_motor.26hp</v>
      </c>
      <c r="D396" s="1091">
        <f t="shared" si="210"/>
        <v>2120</v>
      </c>
      <c r="E396" s="1093" t="str">
        <f t="shared" si="236"/>
        <v>$ (Equipment)</v>
      </c>
      <c r="F396" s="1095">
        <f t="shared" si="235"/>
        <v>2120</v>
      </c>
      <c r="H396" s="1101">
        <f t="shared" si="237"/>
        <v>2120</v>
      </c>
      <c r="I396" s="956" t="str">
        <f t="shared" si="238"/>
        <v>$ (Equipment)</v>
      </c>
      <c r="J396" t="s">
        <v>660</v>
      </c>
      <c r="L396">
        <f t="shared" si="239"/>
        <v>1490</v>
      </c>
      <c r="M396">
        <f t="shared" si="240"/>
        <v>2760</v>
      </c>
      <c r="N396">
        <f t="shared" si="241"/>
        <v>0</v>
      </c>
      <c r="O396" t="s">
        <v>1426</v>
      </c>
      <c r="P396" t="s">
        <v>1440</v>
      </c>
      <c r="Q396" t="s">
        <v>1222</v>
      </c>
      <c r="R396" s="711"/>
      <c r="V396" t="str">
        <f t="shared" si="217"/>
        <v/>
      </c>
      <c r="W396">
        <v>2120</v>
      </c>
      <c r="X396">
        <v>1490</v>
      </c>
      <c r="Y396">
        <v>2760</v>
      </c>
      <c r="Z396" t="str">
        <f>Units!B$15</f>
        <v>$ (Equipment)</v>
      </c>
      <c r="AA396">
        <f>Units!C$15</f>
        <v>1</v>
      </c>
      <c r="AB396">
        <f>Units!D$15</f>
        <v>1</v>
      </c>
      <c r="AC396" t="str">
        <f>Units!E$15</f>
        <v>$ (Equipment)</v>
      </c>
      <c r="AD396" t="str">
        <f>Units!F$15</f>
        <v>$ (Equipment)</v>
      </c>
      <c r="AE396" t="str">
        <f>Units!G$15</f>
        <v>$ (Equipment)</v>
      </c>
      <c r="AF396" t="str">
        <f>Units!H$15</f>
        <v>$ (Equipment)</v>
      </c>
    </row>
    <row r="397" spans="1:32" x14ac:dyDescent="0.3">
      <c r="A397" s="710" t="s">
        <v>1424</v>
      </c>
      <c r="B397" t="s">
        <v>1441</v>
      </c>
      <c r="C397" s="124" t="str">
        <f t="shared" si="242"/>
        <v>UDV.econ_motor.2hp</v>
      </c>
      <c r="D397" s="1091">
        <f t="shared" si="210"/>
        <v>680</v>
      </c>
      <c r="E397" s="1093" t="str">
        <f t="shared" si="236"/>
        <v>$ (Equipment)</v>
      </c>
      <c r="F397" s="1095">
        <f t="shared" si="235"/>
        <v>680</v>
      </c>
      <c r="H397" s="1101">
        <f t="shared" si="237"/>
        <v>680</v>
      </c>
      <c r="I397" s="956" t="str">
        <f t="shared" si="238"/>
        <v>$ (Equipment)</v>
      </c>
      <c r="J397" t="s">
        <v>660</v>
      </c>
      <c r="L397">
        <f t="shared" si="239"/>
        <v>470</v>
      </c>
      <c r="M397">
        <f t="shared" si="240"/>
        <v>880</v>
      </c>
      <c r="N397">
        <f t="shared" si="241"/>
        <v>0</v>
      </c>
      <c r="O397" t="s">
        <v>1426</v>
      </c>
      <c r="P397" t="s">
        <v>1442</v>
      </c>
      <c r="Q397" t="s">
        <v>1222</v>
      </c>
      <c r="R397" s="711"/>
      <c r="V397" t="str">
        <f t="shared" si="217"/>
        <v/>
      </c>
      <c r="W397">
        <v>680</v>
      </c>
      <c r="X397">
        <v>470</v>
      </c>
      <c r="Y397">
        <v>880</v>
      </c>
      <c r="Z397" t="str">
        <f>Units!B$15</f>
        <v>$ (Equipment)</v>
      </c>
      <c r="AA397">
        <f>Units!C$15</f>
        <v>1</v>
      </c>
      <c r="AB397">
        <f>Units!D$15</f>
        <v>1</v>
      </c>
      <c r="AC397" t="str">
        <f>Units!E$15</f>
        <v>$ (Equipment)</v>
      </c>
      <c r="AD397" t="str">
        <f>Units!F$15</f>
        <v>$ (Equipment)</v>
      </c>
      <c r="AE397" t="str">
        <f>Units!G$15</f>
        <v>$ (Equipment)</v>
      </c>
      <c r="AF397" t="str">
        <f>Units!H$15</f>
        <v>$ (Equipment)</v>
      </c>
    </row>
    <row r="398" spans="1:32" x14ac:dyDescent="0.3">
      <c r="A398" s="710" t="s">
        <v>1424</v>
      </c>
      <c r="B398" t="s">
        <v>1443</v>
      </c>
      <c r="C398" s="124" t="str">
        <f t="shared" si="242"/>
        <v>UDV.econ_motor.35hp</v>
      </c>
      <c r="D398" s="944">
        <f t="shared" si="210"/>
        <v>2680</v>
      </c>
      <c r="E398" s="125" t="str">
        <f t="shared" si="236"/>
        <v>$ (Equipment)</v>
      </c>
      <c r="F398" s="944">
        <f t="shared" si="235"/>
        <v>2680</v>
      </c>
      <c r="G398" s="126"/>
      <c r="H398">
        <f t="shared" si="237"/>
        <v>2680</v>
      </c>
      <c r="I398" s="1325" t="str">
        <f t="shared" si="238"/>
        <v>$ (Equipment)</v>
      </c>
      <c r="J398" t="s">
        <v>660</v>
      </c>
      <c r="K398" s="124"/>
      <c r="L398">
        <f t="shared" si="239"/>
        <v>1920</v>
      </c>
      <c r="M398">
        <f t="shared" si="240"/>
        <v>3490</v>
      </c>
      <c r="N398">
        <f>IF(AND(M398 - G398 &gt;= 0, G398 - L398 &gt;=0),1,0)</f>
        <v>0</v>
      </c>
      <c r="O398" t="s">
        <v>1426</v>
      </c>
      <c r="P398" t="s">
        <v>1444</v>
      </c>
      <c r="Q398" t="s">
        <v>1222</v>
      </c>
      <c r="R398" s="711"/>
      <c r="W398">
        <v>2680</v>
      </c>
      <c r="X398">
        <v>1920</v>
      </c>
      <c r="Y398">
        <v>3490</v>
      </c>
      <c r="Z398" t="str">
        <f>Units!B$15</f>
        <v>$ (Equipment)</v>
      </c>
      <c r="AA398">
        <f>Units!C$15</f>
        <v>1</v>
      </c>
      <c r="AB398">
        <f>Units!D$15</f>
        <v>1</v>
      </c>
      <c r="AC398" t="str">
        <f>Units!E$15</f>
        <v>$ (Equipment)</v>
      </c>
      <c r="AD398" t="str">
        <f>Units!F$15</f>
        <v>$ (Equipment)</v>
      </c>
      <c r="AE398" t="str">
        <f>Units!G$15</f>
        <v>$ (Equipment)</v>
      </c>
      <c r="AF398" t="str">
        <f>Units!H$15</f>
        <v>$ (Equipment)</v>
      </c>
    </row>
    <row r="399" spans="1:32" x14ac:dyDescent="0.3">
      <c r="A399" s="710" t="s">
        <v>1424</v>
      </c>
      <c r="B399" t="s">
        <v>1445</v>
      </c>
      <c r="C399" s="124" t="str">
        <f t="shared" si="242"/>
        <v>UDV.econ_motor.3hp</v>
      </c>
      <c r="D399" s="1091">
        <f t="shared" si="210"/>
        <v>740</v>
      </c>
      <c r="E399" s="1093" t="str">
        <f t="shared" si="236"/>
        <v>$ (Equipment)</v>
      </c>
      <c r="F399" s="1095">
        <f t="shared" si="235"/>
        <v>740</v>
      </c>
      <c r="H399" s="1101">
        <f t="shared" si="237"/>
        <v>740</v>
      </c>
      <c r="I399" s="956" t="str">
        <f t="shared" si="238"/>
        <v>$ (Equipment)</v>
      </c>
      <c r="J399" t="s">
        <v>660</v>
      </c>
      <c r="L399">
        <f t="shared" si="239"/>
        <v>520</v>
      </c>
      <c r="M399">
        <f t="shared" si="240"/>
        <v>960</v>
      </c>
      <c r="N399">
        <f t="shared" ref="N399:N430" si="243">IF(AND(G399&lt;=M399, G399&gt;=L399),1,0)</f>
        <v>0</v>
      </c>
      <c r="O399" t="s">
        <v>1426</v>
      </c>
      <c r="P399" t="s">
        <v>1446</v>
      </c>
      <c r="Q399" t="s">
        <v>1222</v>
      </c>
      <c r="R399" s="711"/>
      <c r="V399" t="str">
        <f t="shared" ref="V399:V430" si="244">IF(OR((M399-L399)&lt;=0,H399&gt;M399,H399&lt;L399),"Fix","")</f>
        <v/>
      </c>
      <c r="W399">
        <v>740</v>
      </c>
      <c r="X399">
        <v>520</v>
      </c>
      <c r="Y399">
        <v>960</v>
      </c>
      <c r="Z399" t="str">
        <f>Units!B$15</f>
        <v>$ (Equipment)</v>
      </c>
      <c r="AA399">
        <f>Units!C$15</f>
        <v>1</v>
      </c>
      <c r="AB399">
        <f>Units!D$15</f>
        <v>1</v>
      </c>
      <c r="AC399" t="str">
        <f>Units!E$15</f>
        <v>$ (Equipment)</v>
      </c>
      <c r="AD399" t="str">
        <f>Units!F$15</f>
        <v>$ (Equipment)</v>
      </c>
      <c r="AE399" t="str">
        <f>Units!G$15</f>
        <v>$ (Equipment)</v>
      </c>
      <c r="AF399" t="str">
        <f>Units!H$15</f>
        <v>$ (Equipment)</v>
      </c>
    </row>
    <row r="400" spans="1:32" x14ac:dyDescent="0.3">
      <c r="A400" s="710" t="s">
        <v>1424</v>
      </c>
      <c r="B400" t="s">
        <v>1447</v>
      </c>
      <c r="C400" s="124" t="str">
        <f t="shared" si="242"/>
        <v>UDV.econ_motor.4hp</v>
      </c>
      <c r="D400" s="1091">
        <f t="shared" si="210"/>
        <v>800</v>
      </c>
      <c r="E400" s="1093" t="str">
        <f t="shared" si="236"/>
        <v>$ (Equipment)</v>
      </c>
      <c r="F400" s="1095">
        <f t="shared" si="235"/>
        <v>800</v>
      </c>
      <c r="H400" s="1101">
        <f t="shared" si="237"/>
        <v>800</v>
      </c>
      <c r="I400" s="956" t="str">
        <f t="shared" si="238"/>
        <v>$ (Equipment)</v>
      </c>
      <c r="J400" t="s">
        <v>660</v>
      </c>
      <c r="L400">
        <f t="shared" si="239"/>
        <v>560</v>
      </c>
      <c r="M400">
        <f t="shared" si="240"/>
        <v>1040</v>
      </c>
      <c r="N400">
        <f t="shared" si="243"/>
        <v>0</v>
      </c>
      <c r="O400" t="s">
        <v>1426</v>
      </c>
      <c r="P400" t="s">
        <v>1448</v>
      </c>
      <c r="Q400" t="s">
        <v>1222</v>
      </c>
      <c r="R400" s="711"/>
      <c r="V400" t="str">
        <f t="shared" si="244"/>
        <v/>
      </c>
      <c r="W400">
        <v>800</v>
      </c>
      <c r="X400">
        <v>560</v>
      </c>
      <c r="Y400">
        <v>1040</v>
      </c>
      <c r="Z400" t="str">
        <f>Units!B$15</f>
        <v>$ (Equipment)</v>
      </c>
      <c r="AA400">
        <f>Units!C$15</f>
        <v>1</v>
      </c>
      <c r="AB400">
        <f>Units!D$15</f>
        <v>1</v>
      </c>
      <c r="AC400" t="str">
        <f>Units!E$15</f>
        <v>$ (Equipment)</v>
      </c>
      <c r="AD400" t="str">
        <f>Units!F$15</f>
        <v>$ (Equipment)</v>
      </c>
      <c r="AE400" t="str">
        <f>Units!G$15</f>
        <v>$ (Equipment)</v>
      </c>
      <c r="AF400" t="str">
        <f>Units!H$15</f>
        <v>$ (Equipment)</v>
      </c>
    </row>
    <row r="401" spans="1:32" x14ac:dyDescent="0.3">
      <c r="A401" s="710" t="s">
        <v>1424</v>
      </c>
      <c r="B401" t="s">
        <v>1449</v>
      </c>
      <c r="C401" s="124" t="str">
        <f t="shared" si="242"/>
        <v>UDV.econ_motor.5hp</v>
      </c>
      <c r="D401" s="1091">
        <f t="shared" si="210"/>
        <v>850</v>
      </c>
      <c r="E401" s="1093" t="str">
        <f t="shared" si="236"/>
        <v>$ (Equipment)</v>
      </c>
      <c r="F401" s="1095">
        <f t="shared" si="235"/>
        <v>850</v>
      </c>
      <c r="H401" s="1101">
        <f t="shared" si="237"/>
        <v>850</v>
      </c>
      <c r="I401" s="956" t="str">
        <f t="shared" si="238"/>
        <v>$ (Equipment)</v>
      </c>
      <c r="J401" t="s">
        <v>660</v>
      </c>
      <c r="L401">
        <f t="shared" si="239"/>
        <v>590</v>
      </c>
      <c r="M401">
        <f t="shared" si="240"/>
        <v>1100</v>
      </c>
      <c r="N401">
        <f t="shared" si="243"/>
        <v>0</v>
      </c>
      <c r="O401" t="s">
        <v>1426</v>
      </c>
      <c r="P401" t="s">
        <v>1450</v>
      </c>
      <c r="Q401" t="s">
        <v>1222</v>
      </c>
      <c r="R401" s="711"/>
      <c r="V401" t="str">
        <f t="shared" si="244"/>
        <v/>
      </c>
      <c r="W401">
        <v>850</v>
      </c>
      <c r="X401">
        <v>590</v>
      </c>
      <c r="Y401">
        <v>1100</v>
      </c>
      <c r="Z401" t="str">
        <f>Units!B$15</f>
        <v>$ (Equipment)</v>
      </c>
      <c r="AA401">
        <f>Units!C$15</f>
        <v>1</v>
      </c>
      <c r="AB401">
        <f>Units!D$15</f>
        <v>1</v>
      </c>
      <c r="AC401" t="str">
        <f>Units!E$15</f>
        <v>$ (Equipment)</v>
      </c>
      <c r="AD401" t="str">
        <f>Units!F$15</f>
        <v>$ (Equipment)</v>
      </c>
      <c r="AE401" t="str">
        <f>Units!G$15</f>
        <v>$ (Equipment)</v>
      </c>
      <c r="AF401" t="str">
        <f>Units!H$15</f>
        <v>$ (Equipment)</v>
      </c>
    </row>
    <row r="402" spans="1:32" x14ac:dyDescent="0.3">
      <c r="A402" s="710" t="s">
        <v>1424</v>
      </c>
      <c r="B402" t="s">
        <v>1451</v>
      </c>
      <c r="C402" s="124" t="str">
        <f t="shared" si="242"/>
        <v>UDV.econ_motor.6hp</v>
      </c>
      <c r="D402" s="1091">
        <f t="shared" si="210"/>
        <v>910</v>
      </c>
      <c r="E402" s="1093" t="str">
        <f t="shared" si="236"/>
        <v>$ (Equipment)</v>
      </c>
      <c r="F402" s="1095">
        <f t="shared" si="235"/>
        <v>910</v>
      </c>
      <c r="H402" s="1101">
        <f t="shared" si="237"/>
        <v>910</v>
      </c>
      <c r="I402" s="956" t="str">
        <f t="shared" si="238"/>
        <v>$ (Equipment)</v>
      </c>
      <c r="J402" t="s">
        <v>660</v>
      </c>
      <c r="L402">
        <f t="shared" si="239"/>
        <v>640</v>
      </c>
      <c r="M402">
        <f t="shared" si="240"/>
        <v>1180</v>
      </c>
      <c r="N402">
        <f t="shared" si="243"/>
        <v>0</v>
      </c>
      <c r="O402" t="s">
        <v>1426</v>
      </c>
      <c r="P402" t="s">
        <v>1452</v>
      </c>
      <c r="Q402" t="s">
        <v>1222</v>
      </c>
      <c r="R402" s="711"/>
      <c r="V402" t="str">
        <f t="shared" si="244"/>
        <v/>
      </c>
      <c r="W402">
        <v>910</v>
      </c>
      <c r="X402">
        <v>640</v>
      </c>
      <c r="Y402">
        <v>1180</v>
      </c>
      <c r="Z402" t="str">
        <f>Units!B$15</f>
        <v>$ (Equipment)</v>
      </c>
      <c r="AA402">
        <f>Units!C$15</f>
        <v>1</v>
      </c>
      <c r="AB402">
        <f>Units!D$15</f>
        <v>1</v>
      </c>
      <c r="AC402" t="str">
        <f>Units!E$15</f>
        <v>$ (Equipment)</v>
      </c>
      <c r="AD402" t="str">
        <f>Units!F$15</f>
        <v>$ (Equipment)</v>
      </c>
      <c r="AE402" t="str">
        <f>Units!G$15</f>
        <v>$ (Equipment)</v>
      </c>
      <c r="AF402" t="str">
        <f>Units!H$15</f>
        <v>$ (Equipment)</v>
      </c>
    </row>
    <row r="403" spans="1:32" x14ac:dyDescent="0.3">
      <c r="A403" s="710" t="s">
        <v>1424</v>
      </c>
      <c r="B403" t="s">
        <v>1453</v>
      </c>
      <c r="C403" s="124" t="str">
        <f t="shared" si="242"/>
        <v>UDV.econ_motor.75hp</v>
      </c>
      <c r="D403" s="1091">
        <f t="shared" si="210"/>
        <v>5110</v>
      </c>
      <c r="E403" s="1093" t="str">
        <f t="shared" si="236"/>
        <v>$ (Equipment)</v>
      </c>
      <c r="F403" s="1095">
        <f t="shared" si="235"/>
        <v>5110</v>
      </c>
      <c r="H403" s="1101">
        <f t="shared" si="237"/>
        <v>5110</v>
      </c>
      <c r="I403" s="956" t="str">
        <f t="shared" si="238"/>
        <v>$ (Equipment)</v>
      </c>
      <c r="J403" t="s">
        <v>660</v>
      </c>
      <c r="L403">
        <f t="shared" si="239"/>
        <v>3580</v>
      </c>
      <c r="M403">
        <f t="shared" si="240"/>
        <v>6640</v>
      </c>
      <c r="N403">
        <f t="shared" si="243"/>
        <v>0</v>
      </c>
      <c r="O403" t="s">
        <v>1426</v>
      </c>
      <c r="P403" t="s">
        <v>1454</v>
      </c>
      <c r="Q403" t="s">
        <v>1222</v>
      </c>
      <c r="R403" s="711"/>
      <c r="V403" t="str">
        <f t="shared" si="244"/>
        <v/>
      </c>
      <c r="W403">
        <v>5110</v>
      </c>
      <c r="X403">
        <v>3580</v>
      </c>
      <c r="Y403">
        <v>6640</v>
      </c>
      <c r="Z403" t="str">
        <f>Units!B$15</f>
        <v>$ (Equipment)</v>
      </c>
      <c r="AA403">
        <f>Units!C$15</f>
        <v>1</v>
      </c>
      <c r="AB403">
        <f>Units!D$15</f>
        <v>1</v>
      </c>
      <c r="AC403" t="str">
        <f>Units!E$15</f>
        <v>$ (Equipment)</v>
      </c>
      <c r="AD403" t="str">
        <f>Units!F$15</f>
        <v>$ (Equipment)</v>
      </c>
      <c r="AE403" t="str">
        <f>Units!G$15</f>
        <v>$ (Equipment)</v>
      </c>
      <c r="AF403" t="str">
        <f>Units!H$15</f>
        <v>$ (Equipment)</v>
      </c>
    </row>
    <row r="404" spans="1:32" x14ac:dyDescent="0.3">
      <c r="A404" s="710" t="s">
        <v>1424</v>
      </c>
      <c r="B404" t="s">
        <v>1455</v>
      </c>
      <c r="C404" s="124" t="str">
        <f t="shared" si="242"/>
        <v>UDV.econ_motor.7hp</v>
      </c>
      <c r="D404" s="1091">
        <f t="shared" si="210"/>
        <v>970</v>
      </c>
      <c r="E404" s="1093" t="str">
        <f t="shared" si="236"/>
        <v>$ (Equipment)</v>
      </c>
      <c r="F404" s="1095">
        <f t="shared" si="235"/>
        <v>970</v>
      </c>
      <c r="H404" s="1101">
        <f t="shared" si="237"/>
        <v>970</v>
      </c>
      <c r="I404" s="956" t="str">
        <f t="shared" si="238"/>
        <v>$ (Equipment)</v>
      </c>
      <c r="J404" t="s">
        <v>660</v>
      </c>
      <c r="L404">
        <f t="shared" si="239"/>
        <v>680</v>
      </c>
      <c r="M404">
        <f t="shared" si="240"/>
        <v>1260</v>
      </c>
      <c r="N404">
        <f t="shared" si="243"/>
        <v>0</v>
      </c>
      <c r="O404" t="s">
        <v>1426</v>
      </c>
      <c r="P404" t="s">
        <v>1456</v>
      </c>
      <c r="Q404" t="s">
        <v>1222</v>
      </c>
      <c r="R404" s="711"/>
      <c r="V404" t="str">
        <f t="shared" si="244"/>
        <v/>
      </c>
      <c r="W404">
        <v>970</v>
      </c>
      <c r="X404">
        <v>680</v>
      </c>
      <c r="Y404">
        <v>1260</v>
      </c>
      <c r="Z404" t="str">
        <f>Units!B$15</f>
        <v>$ (Equipment)</v>
      </c>
      <c r="AA404">
        <f>Units!C$15</f>
        <v>1</v>
      </c>
      <c r="AB404">
        <f>Units!D$15</f>
        <v>1</v>
      </c>
      <c r="AC404" t="str">
        <f>Units!E$15</f>
        <v>$ (Equipment)</v>
      </c>
      <c r="AD404" t="str">
        <f>Units!F$15</f>
        <v>$ (Equipment)</v>
      </c>
      <c r="AE404" t="str">
        <f>Units!G$15</f>
        <v>$ (Equipment)</v>
      </c>
      <c r="AF404" t="str">
        <f>Units!H$15</f>
        <v>$ (Equipment)</v>
      </c>
    </row>
    <row r="405" spans="1:32" x14ac:dyDescent="0.3">
      <c r="A405" s="710" t="s">
        <v>1424</v>
      </c>
      <c r="B405" t="s">
        <v>1457</v>
      </c>
      <c r="C405" s="124" t="str">
        <f t="shared" si="242"/>
        <v>UDV.econ_motor.8hp</v>
      </c>
      <c r="D405" s="1091">
        <f t="shared" si="210"/>
        <v>1060</v>
      </c>
      <c r="E405" s="1093" t="str">
        <f t="shared" si="236"/>
        <v>$ (Equipment)</v>
      </c>
      <c r="F405" s="1095">
        <f t="shared" si="235"/>
        <v>1060</v>
      </c>
      <c r="H405" s="1101">
        <f t="shared" si="237"/>
        <v>1060</v>
      </c>
      <c r="I405" s="956" t="str">
        <f t="shared" si="238"/>
        <v>$ (Equipment)</v>
      </c>
      <c r="J405" t="s">
        <v>660</v>
      </c>
      <c r="L405">
        <f t="shared" si="239"/>
        <v>740</v>
      </c>
      <c r="M405">
        <f t="shared" si="240"/>
        <v>1380</v>
      </c>
      <c r="N405">
        <f t="shared" si="243"/>
        <v>0</v>
      </c>
      <c r="O405" t="s">
        <v>1426</v>
      </c>
      <c r="P405" t="s">
        <v>1458</v>
      </c>
      <c r="Q405" t="s">
        <v>1222</v>
      </c>
      <c r="R405" s="711"/>
      <c r="V405" t="str">
        <f t="shared" si="244"/>
        <v/>
      </c>
      <c r="W405">
        <v>1060</v>
      </c>
      <c r="X405">
        <v>740</v>
      </c>
      <c r="Y405">
        <v>1380</v>
      </c>
      <c r="Z405" t="str">
        <f>Units!B$15</f>
        <v>$ (Equipment)</v>
      </c>
      <c r="AA405">
        <f>Units!C$15</f>
        <v>1</v>
      </c>
      <c r="AB405">
        <f>Units!D$15</f>
        <v>1</v>
      </c>
      <c r="AC405" t="str">
        <f>Units!E$15</f>
        <v>$ (Equipment)</v>
      </c>
      <c r="AD405" t="str">
        <f>Units!F$15</f>
        <v>$ (Equipment)</v>
      </c>
      <c r="AE405" t="str">
        <f>Units!G$15</f>
        <v>$ (Equipment)</v>
      </c>
      <c r="AF405" t="str">
        <f>Units!H$15</f>
        <v>$ (Equipment)</v>
      </c>
    </row>
    <row r="406" spans="1:32" x14ac:dyDescent="0.3">
      <c r="A406" s="710" t="s">
        <v>1424</v>
      </c>
      <c r="B406" t="s">
        <v>1459</v>
      </c>
      <c r="C406" s="124" t="str">
        <f t="shared" si="242"/>
        <v>UDV.econ_motor.9hp</v>
      </c>
      <c r="D406" s="1091">
        <f t="shared" si="210"/>
        <v>1110</v>
      </c>
      <c r="E406" s="1093" t="str">
        <f t="shared" si="236"/>
        <v>$ (Equipment)</v>
      </c>
      <c r="F406" s="1095">
        <f t="shared" si="235"/>
        <v>1110</v>
      </c>
      <c r="H406" s="1101">
        <f t="shared" si="237"/>
        <v>1110</v>
      </c>
      <c r="I406" s="956" t="str">
        <f t="shared" si="238"/>
        <v>$ (Equipment)</v>
      </c>
      <c r="J406" t="s">
        <v>660</v>
      </c>
      <c r="L406">
        <f t="shared" si="239"/>
        <v>780</v>
      </c>
      <c r="M406">
        <f t="shared" si="240"/>
        <v>1450</v>
      </c>
      <c r="N406">
        <f t="shared" si="243"/>
        <v>0</v>
      </c>
      <c r="O406" t="s">
        <v>1426</v>
      </c>
      <c r="P406" t="s">
        <v>1460</v>
      </c>
      <c r="Q406" t="s">
        <v>1222</v>
      </c>
      <c r="R406" s="711"/>
      <c r="V406" t="str">
        <f t="shared" si="244"/>
        <v/>
      </c>
      <c r="W406">
        <v>1110</v>
      </c>
      <c r="X406">
        <v>780</v>
      </c>
      <c r="Y406">
        <v>1450</v>
      </c>
      <c r="Z406" t="str">
        <f>Units!B$15</f>
        <v>$ (Equipment)</v>
      </c>
      <c r="AA406">
        <f>Units!C$15</f>
        <v>1</v>
      </c>
      <c r="AB406">
        <f>Units!D$15</f>
        <v>1</v>
      </c>
      <c r="AC406" t="str">
        <f>Units!E$15</f>
        <v>$ (Equipment)</v>
      </c>
      <c r="AD406" t="str">
        <f>Units!F$15</f>
        <v>$ (Equipment)</v>
      </c>
      <c r="AE406" t="str">
        <f>Units!G$15</f>
        <v>$ (Equipment)</v>
      </c>
      <c r="AF406" t="str">
        <f>Units!H$15</f>
        <v>$ (Equipment)</v>
      </c>
    </row>
    <row r="407" spans="1:32" x14ac:dyDescent="0.3">
      <c r="A407" s="710" t="s">
        <v>1461</v>
      </c>
      <c r="B407" t="s">
        <v>1462</v>
      </c>
      <c r="C407" s="124" t="str">
        <f t="shared" si="242"/>
        <v>UDV.econ_pipe.12in_underground_flush</v>
      </c>
      <c r="D407" s="1091">
        <f t="shared" si="210"/>
        <v>32</v>
      </c>
      <c r="E407" s="1093" t="str">
        <f t="shared" si="236"/>
        <v>$/ft</v>
      </c>
      <c r="F407" s="1095">
        <f t="shared" si="235"/>
        <v>32</v>
      </c>
      <c r="H407" s="1101">
        <f t="shared" si="237"/>
        <v>32</v>
      </c>
      <c r="I407" s="956" t="str">
        <f t="shared" si="238"/>
        <v>$/ft</v>
      </c>
      <c r="J407" t="s">
        <v>660</v>
      </c>
      <c r="L407">
        <f t="shared" si="239"/>
        <v>15</v>
      </c>
      <c r="M407">
        <f t="shared" si="240"/>
        <v>67</v>
      </c>
      <c r="N407">
        <f t="shared" si="243"/>
        <v>0</v>
      </c>
      <c r="O407" t="s">
        <v>1463</v>
      </c>
      <c r="P407" t="s">
        <v>1464</v>
      </c>
      <c r="Q407" t="s">
        <v>1222</v>
      </c>
      <c r="R407" s="711"/>
      <c r="V407" t="str">
        <f t="shared" si="244"/>
        <v/>
      </c>
      <c r="W407" s="78">
        <v>32</v>
      </c>
      <c r="X407">
        <v>15</v>
      </c>
      <c r="Y407">
        <v>67</v>
      </c>
      <c r="Z407" t="str">
        <f>Units!B$19</f>
        <v>$/ft</v>
      </c>
      <c r="AA407">
        <f>Units!C$19</f>
        <v>1</v>
      </c>
      <c r="AB407">
        <f>Units!D$19</f>
        <v>1</v>
      </c>
      <c r="AC407" t="str">
        <f>Units!E$19</f>
        <v>$/ft</v>
      </c>
      <c r="AD407" t="str">
        <f>Units!F$19</f>
        <v>$/ft</v>
      </c>
      <c r="AE407" t="str">
        <f>Units!G$19</f>
        <v>$/m</v>
      </c>
      <c r="AF407" t="str">
        <f>Units!H$19</f>
        <v>$/ft</v>
      </c>
    </row>
    <row r="408" spans="1:32" x14ac:dyDescent="0.3">
      <c r="A408" s="710" t="s">
        <v>1461</v>
      </c>
      <c r="B408" t="s">
        <v>938</v>
      </c>
      <c r="C408" s="124" t="str">
        <f t="shared" si="242"/>
        <v>UDV.econ_pipe.manure</v>
      </c>
      <c r="D408" s="1091">
        <f t="shared" si="210"/>
        <v>9</v>
      </c>
      <c r="E408" s="1093" t="str">
        <f t="shared" si="236"/>
        <v>$/ft</v>
      </c>
      <c r="F408" s="1095">
        <f t="shared" si="235"/>
        <v>9</v>
      </c>
      <c r="H408" s="1101">
        <f t="shared" si="237"/>
        <v>9</v>
      </c>
      <c r="I408" s="956" t="str">
        <f t="shared" si="238"/>
        <v>$/ft</v>
      </c>
      <c r="J408" t="s">
        <v>660</v>
      </c>
      <c r="L408">
        <f t="shared" si="239"/>
        <v>5</v>
      </c>
      <c r="M408">
        <f t="shared" si="240"/>
        <v>13</v>
      </c>
      <c r="N408">
        <f t="shared" si="243"/>
        <v>0</v>
      </c>
      <c r="O408" t="s">
        <v>1465</v>
      </c>
      <c r="P408" t="s">
        <v>1466</v>
      </c>
      <c r="Q408" t="s">
        <v>1222</v>
      </c>
      <c r="R408" s="711"/>
      <c r="V408" t="str">
        <f t="shared" si="244"/>
        <v/>
      </c>
      <c r="W408">
        <v>9</v>
      </c>
      <c r="X408">
        <v>5</v>
      </c>
      <c r="Y408">
        <v>13</v>
      </c>
      <c r="Z408" t="str">
        <f>Units!B$19</f>
        <v>$/ft</v>
      </c>
      <c r="AA408">
        <f>Units!C$19</f>
        <v>1</v>
      </c>
      <c r="AB408">
        <f>Units!D$19</f>
        <v>1</v>
      </c>
      <c r="AC408" t="str">
        <f>Units!E$19</f>
        <v>$/ft</v>
      </c>
      <c r="AD408" t="str">
        <f>Units!F$19</f>
        <v>$/ft</v>
      </c>
      <c r="AE408" t="str">
        <f>Units!G$19</f>
        <v>$/m</v>
      </c>
      <c r="AF408" t="str">
        <f>Units!H$19</f>
        <v>$/ft</v>
      </c>
    </row>
    <row r="409" spans="1:32" x14ac:dyDescent="0.3">
      <c r="A409" s="710" t="s">
        <v>1467</v>
      </c>
      <c r="B409" t="s">
        <v>1468</v>
      </c>
      <c r="C409" s="124" t="str">
        <f t="shared" si="242"/>
        <v>UDV.econ_power.drive_unit</v>
      </c>
      <c r="D409" s="1091">
        <f t="shared" si="210"/>
        <v>12400</v>
      </c>
      <c r="E409" s="1093" t="str">
        <f t="shared" si="236"/>
        <v>$ (Equipment)</v>
      </c>
      <c r="F409" s="1095">
        <f t="shared" si="235"/>
        <v>12400</v>
      </c>
      <c r="H409" s="1101">
        <f t="shared" si="237"/>
        <v>12400</v>
      </c>
      <c r="I409" s="956" t="str">
        <f t="shared" si="238"/>
        <v>$ (Equipment)</v>
      </c>
      <c r="J409" t="s">
        <v>660</v>
      </c>
      <c r="L409">
        <f t="shared" si="239"/>
        <v>8700</v>
      </c>
      <c r="M409">
        <f t="shared" si="240"/>
        <v>16200</v>
      </c>
      <c r="N409">
        <f t="shared" si="243"/>
        <v>0</v>
      </c>
      <c r="O409" t="s">
        <v>1437</v>
      </c>
      <c r="P409" t="s">
        <v>1469</v>
      </c>
      <c r="Q409" t="s">
        <v>1237</v>
      </c>
      <c r="R409" s="711"/>
      <c r="V409" t="str">
        <f t="shared" si="244"/>
        <v/>
      </c>
      <c r="W409">
        <v>12400</v>
      </c>
      <c r="X409">
        <v>8700</v>
      </c>
      <c r="Y409">
        <v>16200</v>
      </c>
      <c r="Z409" t="str">
        <f>Units!B$15</f>
        <v>$ (Equipment)</v>
      </c>
      <c r="AA409">
        <f>Units!C$15</f>
        <v>1</v>
      </c>
      <c r="AB409">
        <f>Units!D$15</f>
        <v>1</v>
      </c>
      <c r="AC409" t="str">
        <f>Units!E$15</f>
        <v>$ (Equipment)</v>
      </c>
      <c r="AD409" t="str">
        <f>Units!F$15</f>
        <v>$ (Equipment)</v>
      </c>
      <c r="AE409" t="str">
        <f>Units!G$15</f>
        <v>$ (Equipment)</v>
      </c>
      <c r="AF409" t="str">
        <f>Units!H$15</f>
        <v>$ (Equipment)</v>
      </c>
    </row>
    <row r="410" spans="1:32" x14ac:dyDescent="0.3">
      <c r="A410" s="710" t="s">
        <v>1470</v>
      </c>
      <c r="B410" t="s">
        <v>1471</v>
      </c>
      <c r="C410" s="124" t="str">
        <f t="shared" si="242"/>
        <v>UDV.econ_pump.diesel_booster</v>
      </c>
      <c r="D410" s="1091">
        <f t="shared" si="210"/>
        <v>197300</v>
      </c>
      <c r="E410" s="1093" t="str">
        <f t="shared" si="236"/>
        <v>$ (Equipment)</v>
      </c>
      <c r="F410" s="1095">
        <f t="shared" si="235"/>
        <v>197300</v>
      </c>
      <c r="H410" s="1101">
        <f t="shared" si="237"/>
        <v>197300</v>
      </c>
      <c r="I410" s="956" t="str">
        <f t="shared" si="238"/>
        <v>$ (Equipment)</v>
      </c>
      <c r="J410" t="s">
        <v>660</v>
      </c>
      <c r="L410">
        <f t="shared" si="239"/>
        <v>138100</v>
      </c>
      <c r="M410">
        <f t="shared" si="240"/>
        <v>256500</v>
      </c>
      <c r="N410">
        <f t="shared" si="243"/>
        <v>0</v>
      </c>
      <c r="O410" t="s">
        <v>1472</v>
      </c>
      <c r="P410" t="s">
        <v>1473</v>
      </c>
      <c r="Q410" t="s">
        <v>1222</v>
      </c>
      <c r="R410" s="711"/>
      <c r="V410" t="str">
        <f t="shared" si="244"/>
        <v/>
      </c>
      <c r="W410">
        <v>197300</v>
      </c>
      <c r="X410">
        <v>138100</v>
      </c>
      <c r="Y410">
        <v>256500</v>
      </c>
      <c r="Z410" t="str">
        <f>Units!B$15</f>
        <v>$ (Equipment)</v>
      </c>
      <c r="AA410">
        <f>Units!C$15</f>
        <v>1</v>
      </c>
      <c r="AB410">
        <f>Units!D$15</f>
        <v>1</v>
      </c>
      <c r="AC410" t="str">
        <f>Units!E$15</f>
        <v>$ (Equipment)</v>
      </c>
      <c r="AD410" t="str">
        <f>Units!F$15</f>
        <v>$ (Equipment)</v>
      </c>
      <c r="AE410" t="str">
        <f>Units!G$15</f>
        <v>$ (Equipment)</v>
      </c>
      <c r="AF410" t="str">
        <f>Units!H$15</f>
        <v>$ (Equipment)</v>
      </c>
    </row>
    <row r="411" spans="1:32" x14ac:dyDescent="0.3">
      <c r="A411" s="710" t="s">
        <v>1470</v>
      </c>
      <c r="B411" t="s">
        <v>1474</v>
      </c>
      <c r="C411" s="124" t="str">
        <f t="shared" si="242"/>
        <v>UDV.econ_pump.diesel_lead</v>
      </c>
      <c r="D411" s="1091">
        <f t="shared" si="210"/>
        <v>293400</v>
      </c>
      <c r="E411" s="1093" t="str">
        <f t="shared" si="236"/>
        <v>$ (Equipment)</v>
      </c>
      <c r="F411" s="1095">
        <f t="shared" si="235"/>
        <v>293400</v>
      </c>
      <c r="H411" s="1101">
        <f t="shared" si="237"/>
        <v>293400</v>
      </c>
      <c r="I411" s="956" t="str">
        <f t="shared" si="238"/>
        <v>$ (Equipment)</v>
      </c>
      <c r="J411" t="s">
        <v>660</v>
      </c>
      <c r="L411">
        <f t="shared" si="239"/>
        <v>205400</v>
      </c>
      <c r="M411">
        <f t="shared" si="240"/>
        <v>381400</v>
      </c>
      <c r="N411">
        <f t="shared" si="243"/>
        <v>0</v>
      </c>
      <c r="O411" t="s">
        <v>1472</v>
      </c>
      <c r="P411" t="s">
        <v>1475</v>
      </c>
      <c r="Q411" t="s">
        <v>1222</v>
      </c>
      <c r="R411" s="711"/>
      <c r="V411" t="str">
        <f t="shared" si="244"/>
        <v/>
      </c>
      <c r="W411">
        <v>293400</v>
      </c>
      <c r="X411">
        <v>205400</v>
      </c>
      <c r="Y411">
        <v>381400</v>
      </c>
      <c r="Z411" t="str">
        <f>Units!B$15</f>
        <v>$ (Equipment)</v>
      </c>
      <c r="AA411">
        <f>Units!C$15</f>
        <v>1</v>
      </c>
      <c r="AB411">
        <f>Units!D$15</f>
        <v>1</v>
      </c>
      <c r="AC411" t="str">
        <f>Units!E$15</f>
        <v>$ (Equipment)</v>
      </c>
      <c r="AD411" t="str">
        <f>Units!F$15</f>
        <v>$ (Equipment)</v>
      </c>
      <c r="AE411" t="str">
        <f>Units!G$15</f>
        <v>$ (Equipment)</v>
      </c>
      <c r="AF411" t="str">
        <f>Units!H$15</f>
        <v>$ (Equipment)</v>
      </c>
    </row>
    <row r="412" spans="1:32" x14ac:dyDescent="0.3">
      <c r="A412" s="710" t="s">
        <v>1470</v>
      </c>
      <c r="B412" t="s">
        <v>1476</v>
      </c>
      <c r="C412" s="124" t="str">
        <f t="shared" si="242"/>
        <v>UDV.econ_pump.non_pto_flush</v>
      </c>
      <c r="D412" s="1091">
        <f t="shared" si="210"/>
        <v>10800</v>
      </c>
      <c r="E412" s="1093" t="str">
        <f t="shared" si="236"/>
        <v>$ (Equipment)</v>
      </c>
      <c r="F412" s="1095">
        <f t="shared" si="235"/>
        <v>10800</v>
      </c>
      <c r="H412" s="1101">
        <f t="shared" si="237"/>
        <v>10800</v>
      </c>
      <c r="I412" s="956" t="str">
        <f t="shared" si="238"/>
        <v>$ (Equipment)</v>
      </c>
      <c r="J412" t="s">
        <v>660</v>
      </c>
      <c r="L412">
        <f t="shared" si="239"/>
        <v>9300</v>
      </c>
      <c r="M412">
        <f t="shared" si="240"/>
        <v>12400</v>
      </c>
      <c r="N412">
        <f t="shared" si="243"/>
        <v>0</v>
      </c>
      <c r="O412" t="s">
        <v>1472</v>
      </c>
      <c r="P412" t="s">
        <v>1477</v>
      </c>
      <c r="Q412" t="s">
        <v>1222</v>
      </c>
      <c r="R412" s="711"/>
      <c r="V412" t="str">
        <f t="shared" si="244"/>
        <v/>
      </c>
      <c r="W412">
        <v>10800</v>
      </c>
      <c r="X412">
        <v>9300</v>
      </c>
      <c r="Y412">
        <v>12400</v>
      </c>
      <c r="Z412" t="str">
        <f>Units!B$15</f>
        <v>$ (Equipment)</v>
      </c>
      <c r="AA412">
        <f>Units!C$15</f>
        <v>1</v>
      </c>
      <c r="AB412">
        <f>Units!D$15</f>
        <v>1</v>
      </c>
      <c r="AC412" t="str">
        <f>Units!E$15</f>
        <v>$ (Equipment)</v>
      </c>
      <c r="AD412" t="str">
        <f>Units!F$15</f>
        <v>$ (Equipment)</v>
      </c>
      <c r="AE412" t="str">
        <f>Units!G$15</f>
        <v>$ (Equipment)</v>
      </c>
      <c r="AF412" t="str">
        <f>Units!H$15</f>
        <v>$ (Equipment)</v>
      </c>
    </row>
    <row r="413" spans="1:32" x14ac:dyDescent="0.3">
      <c r="A413" s="710" t="s">
        <v>1470</v>
      </c>
      <c r="B413" t="s">
        <v>1478</v>
      </c>
      <c r="C413" s="124" t="str">
        <f t="shared" si="242"/>
        <v>UDV.econ_pump.side_mount_double</v>
      </c>
      <c r="D413" s="1091">
        <f t="shared" si="210"/>
        <v>85200</v>
      </c>
      <c r="E413" s="1093" t="str">
        <f t="shared" si="236"/>
        <v>$ (Equipment)</v>
      </c>
      <c r="F413" s="1095">
        <f t="shared" si="235"/>
        <v>85200</v>
      </c>
      <c r="H413" s="1101">
        <f t="shared" si="237"/>
        <v>85200</v>
      </c>
      <c r="I413" s="956" t="str">
        <f t="shared" si="238"/>
        <v>$ (Equipment)</v>
      </c>
      <c r="J413" t="s">
        <v>660</v>
      </c>
      <c r="L413">
        <f t="shared" si="239"/>
        <v>59600</v>
      </c>
      <c r="M413">
        <f t="shared" si="240"/>
        <v>110700</v>
      </c>
      <c r="N413">
        <f t="shared" si="243"/>
        <v>0</v>
      </c>
      <c r="O413" t="s">
        <v>1472</v>
      </c>
      <c r="P413" t="s">
        <v>1479</v>
      </c>
      <c r="Q413" t="s">
        <v>1222</v>
      </c>
      <c r="R413" s="711"/>
      <c r="V413" t="str">
        <f t="shared" si="244"/>
        <v/>
      </c>
      <c r="W413" s="78">
        <v>85200</v>
      </c>
      <c r="X413">
        <v>59600</v>
      </c>
      <c r="Y413">
        <v>110700</v>
      </c>
      <c r="Z413" t="str">
        <f>Units!B$15</f>
        <v>$ (Equipment)</v>
      </c>
      <c r="AA413">
        <f>Units!C$15</f>
        <v>1</v>
      </c>
      <c r="AB413">
        <f>Units!D$15</f>
        <v>1</v>
      </c>
      <c r="AC413" t="str">
        <f>Units!E$15</f>
        <v>$ (Equipment)</v>
      </c>
      <c r="AD413" t="str">
        <f>Units!F$15</f>
        <v>$ (Equipment)</v>
      </c>
      <c r="AE413" t="str">
        <f>Units!G$15</f>
        <v>$ (Equipment)</v>
      </c>
      <c r="AF413" t="str">
        <f>Units!H$15</f>
        <v>$ (Equipment)</v>
      </c>
    </row>
    <row r="414" spans="1:32" s="1031" customFormat="1" x14ac:dyDescent="0.3">
      <c r="A414" s="710" t="s">
        <v>1470</v>
      </c>
      <c r="B414" t="s">
        <v>1480</v>
      </c>
      <c r="C414" s="124" t="str">
        <f t="shared" si="242"/>
        <v>UDV.econ_pump.side_mount_quad</v>
      </c>
      <c r="D414" s="1091">
        <f t="shared" si="210"/>
        <v>101200</v>
      </c>
      <c r="E414" s="1093" t="str">
        <f t="shared" si="236"/>
        <v>$ (Equipment)</v>
      </c>
      <c r="F414" s="1095">
        <f t="shared" si="235"/>
        <v>101200</v>
      </c>
      <c r="G414" s="1098"/>
      <c r="H414" s="1101">
        <f t="shared" si="237"/>
        <v>101200</v>
      </c>
      <c r="I414" s="956" t="str">
        <f t="shared" si="238"/>
        <v>$ (Equipment)</v>
      </c>
      <c r="J414" t="s">
        <v>660</v>
      </c>
      <c r="K414"/>
      <c r="L414">
        <f t="shared" si="239"/>
        <v>70800</v>
      </c>
      <c r="M414">
        <f t="shared" si="240"/>
        <v>131500</v>
      </c>
      <c r="N414">
        <f t="shared" si="243"/>
        <v>0</v>
      </c>
      <c r="O414" t="s">
        <v>1472</v>
      </c>
      <c r="P414" t="s">
        <v>1481</v>
      </c>
      <c r="Q414" t="s">
        <v>1222</v>
      </c>
      <c r="R414" s="711"/>
      <c r="S414"/>
      <c r="T414" s="127"/>
      <c r="U414"/>
      <c r="V414" t="str">
        <f t="shared" si="244"/>
        <v/>
      </c>
      <c r="W414" s="78">
        <v>101200</v>
      </c>
      <c r="X414">
        <v>70800</v>
      </c>
      <c r="Y414">
        <v>131500</v>
      </c>
      <c r="Z414" t="str">
        <f>Units!B$15</f>
        <v>$ (Equipment)</v>
      </c>
      <c r="AA414">
        <f>Units!C$15</f>
        <v>1</v>
      </c>
      <c r="AB414">
        <f>Units!D$15</f>
        <v>1</v>
      </c>
      <c r="AC414" t="str">
        <f>Units!E$15</f>
        <v>$ (Equipment)</v>
      </c>
      <c r="AD414" t="str">
        <f>Units!F$15</f>
        <v>$ (Equipment)</v>
      </c>
      <c r="AE414" t="str">
        <f>Units!G$15</f>
        <v>$ (Equipment)</v>
      </c>
      <c r="AF414" t="str">
        <f>Units!H$15</f>
        <v>$ (Equipment)</v>
      </c>
    </row>
    <row r="415" spans="1:32" s="1031" customFormat="1" x14ac:dyDescent="0.3">
      <c r="A415" s="710" t="s">
        <v>1470</v>
      </c>
      <c r="B415" t="s">
        <v>1482</v>
      </c>
      <c r="C415" s="124" t="str">
        <f t="shared" si="242"/>
        <v>UDV.econ_pump.side_mount_single</v>
      </c>
      <c r="D415" s="1091">
        <f t="shared" si="210"/>
        <v>51200</v>
      </c>
      <c r="E415" s="1093" t="str">
        <f t="shared" si="236"/>
        <v>$ (Equipment)</v>
      </c>
      <c r="F415" s="1095">
        <f t="shared" si="235"/>
        <v>51200</v>
      </c>
      <c r="G415" s="1098"/>
      <c r="H415" s="1101">
        <f t="shared" si="237"/>
        <v>51200</v>
      </c>
      <c r="I415" s="956" t="str">
        <f t="shared" si="238"/>
        <v>$ (Equipment)</v>
      </c>
      <c r="J415" t="s">
        <v>660</v>
      </c>
      <c r="K415"/>
      <c r="L415">
        <f t="shared" si="239"/>
        <v>35800</v>
      </c>
      <c r="M415">
        <f t="shared" si="240"/>
        <v>66500</v>
      </c>
      <c r="N415">
        <f t="shared" si="243"/>
        <v>0</v>
      </c>
      <c r="O415" t="s">
        <v>1472</v>
      </c>
      <c r="P415" t="s">
        <v>1483</v>
      </c>
      <c r="Q415" t="s">
        <v>1222</v>
      </c>
      <c r="R415" s="711"/>
      <c r="S415"/>
      <c r="T415" s="127"/>
      <c r="U415"/>
      <c r="V415" t="str">
        <f t="shared" si="244"/>
        <v/>
      </c>
      <c r="W415" s="78">
        <v>51200</v>
      </c>
      <c r="X415">
        <v>35800</v>
      </c>
      <c r="Y415">
        <v>66500</v>
      </c>
      <c r="Z415" t="str">
        <f>Units!B$15</f>
        <v>$ (Equipment)</v>
      </c>
      <c r="AA415">
        <f>Units!C$15</f>
        <v>1</v>
      </c>
      <c r="AB415">
        <f>Units!D$15</f>
        <v>1</v>
      </c>
      <c r="AC415" t="str">
        <f>Units!E$15</f>
        <v>$ (Equipment)</v>
      </c>
      <c r="AD415" t="str">
        <f>Units!F$15</f>
        <v>$ (Equipment)</v>
      </c>
      <c r="AE415" t="str">
        <f>Units!G$15</f>
        <v>$ (Equipment)</v>
      </c>
      <c r="AF415" t="str">
        <f>Units!H$15</f>
        <v>$ (Equipment)</v>
      </c>
    </row>
    <row r="416" spans="1:32" x14ac:dyDescent="0.3">
      <c r="A416" s="710" t="s">
        <v>1470</v>
      </c>
      <c r="B416" t="s">
        <v>1484</v>
      </c>
      <c r="C416" s="124" t="str">
        <f t="shared" si="242"/>
        <v>UDV.econ_pump.tractor_pto</v>
      </c>
      <c r="D416" s="1091">
        <f t="shared" si="210"/>
        <v>26500</v>
      </c>
      <c r="E416" s="1093" t="str">
        <f t="shared" si="236"/>
        <v>$ (Equipment)</v>
      </c>
      <c r="F416" s="1095">
        <f t="shared" si="235"/>
        <v>26500</v>
      </c>
      <c r="H416" s="1101">
        <f t="shared" si="237"/>
        <v>26500</v>
      </c>
      <c r="I416" s="956" t="str">
        <f t="shared" si="238"/>
        <v>$ (Equipment)</v>
      </c>
      <c r="J416" t="s">
        <v>660</v>
      </c>
      <c r="L416">
        <f t="shared" si="239"/>
        <v>18600</v>
      </c>
      <c r="M416">
        <f t="shared" si="240"/>
        <v>34500</v>
      </c>
      <c r="N416">
        <f t="shared" si="243"/>
        <v>0</v>
      </c>
      <c r="O416" t="s">
        <v>1472</v>
      </c>
      <c r="P416" t="s">
        <v>1485</v>
      </c>
      <c r="Q416" t="s">
        <v>1222</v>
      </c>
      <c r="R416" s="711"/>
      <c r="V416" t="str">
        <f t="shared" si="244"/>
        <v/>
      </c>
      <c r="W416">
        <v>26500</v>
      </c>
      <c r="X416">
        <v>18600</v>
      </c>
      <c r="Y416">
        <v>34500</v>
      </c>
      <c r="Z416" t="str">
        <f>Units!B$15</f>
        <v>$ (Equipment)</v>
      </c>
      <c r="AA416">
        <f>Units!C$15</f>
        <v>1</v>
      </c>
      <c r="AB416">
        <f>Units!D$15</f>
        <v>1</v>
      </c>
      <c r="AC416" t="str">
        <f>Units!E$15</f>
        <v>$ (Equipment)</v>
      </c>
      <c r="AD416" t="str">
        <f>Units!F$15</f>
        <v>$ (Equipment)</v>
      </c>
      <c r="AE416" t="str">
        <f>Units!G$15</f>
        <v>$ (Equipment)</v>
      </c>
      <c r="AF416" t="str">
        <f>Units!H$15</f>
        <v>$ (Equipment)</v>
      </c>
    </row>
    <row r="417" spans="1:32" x14ac:dyDescent="0.3">
      <c r="A417" s="710" t="s">
        <v>1486</v>
      </c>
      <c r="B417" t="s">
        <v>1487</v>
      </c>
      <c r="C417" s="124" t="str">
        <f t="shared" si="242"/>
        <v>UDV.econ_rds.138ft</v>
      </c>
      <c r="D417" s="1091">
        <f t="shared" si="210"/>
        <v>81900</v>
      </c>
      <c r="E417" s="1093" t="str">
        <f t="shared" si="236"/>
        <v>$ (Equipment)</v>
      </c>
      <c r="F417" s="1095">
        <f t="shared" si="235"/>
        <v>81900</v>
      </c>
      <c r="H417" s="1101">
        <f t="shared" si="237"/>
        <v>81900</v>
      </c>
      <c r="I417" s="956" t="str">
        <f t="shared" si="238"/>
        <v>$ (Equipment)</v>
      </c>
      <c r="J417" t="s">
        <v>660</v>
      </c>
      <c r="L417">
        <f t="shared" si="239"/>
        <v>57400</v>
      </c>
      <c r="M417">
        <f t="shared" si="240"/>
        <v>106500</v>
      </c>
      <c r="N417">
        <f t="shared" si="243"/>
        <v>0</v>
      </c>
      <c r="O417" t="s">
        <v>1488</v>
      </c>
      <c r="P417" t="s">
        <v>1489</v>
      </c>
      <c r="Q417" t="s">
        <v>1222</v>
      </c>
      <c r="R417" s="711"/>
      <c r="V417" t="str">
        <f t="shared" si="244"/>
        <v/>
      </c>
      <c r="W417">
        <v>81900</v>
      </c>
      <c r="X417">
        <v>57400</v>
      </c>
      <c r="Y417">
        <v>106500</v>
      </c>
      <c r="Z417" t="str">
        <f>Units!B$15</f>
        <v>$ (Equipment)</v>
      </c>
      <c r="AA417">
        <f>Units!C$15</f>
        <v>1</v>
      </c>
      <c r="AB417">
        <f>Units!D$15</f>
        <v>1</v>
      </c>
      <c r="AC417" t="str">
        <f>Units!E$15</f>
        <v>$ (Equipment)</v>
      </c>
      <c r="AD417" t="str">
        <f>Units!F$15</f>
        <v>$ (Equipment)</v>
      </c>
      <c r="AE417" t="str">
        <f>Units!G$15</f>
        <v>$ (Equipment)</v>
      </c>
      <c r="AF417" t="str">
        <f>Units!H$15</f>
        <v>$ (Equipment)</v>
      </c>
    </row>
    <row r="418" spans="1:32" x14ac:dyDescent="0.3">
      <c r="A418" s="710" t="s">
        <v>1486</v>
      </c>
      <c r="B418" t="s">
        <v>1490</v>
      </c>
      <c r="C418" s="124" t="str">
        <f t="shared" si="242"/>
        <v>UDV.econ_rds.188ft</v>
      </c>
      <c r="D418" s="1091">
        <f t="shared" si="210"/>
        <v>99300</v>
      </c>
      <c r="E418" s="1093" t="str">
        <f t="shared" si="236"/>
        <v>$ (Equipment)</v>
      </c>
      <c r="F418" s="1095">
        <f t="shared" si="235"/>
        <v>99300</v>
      </c>
      <c r="H418" s="1101">
        <f t="shared" si="237"/>
        <v>99300</v>
      </c>
      <c r="I418" s="956" t="str">
        <f t="shared" si="238"/>
        <v>$ (Equipment)</v>
      </c>
      <c r="J418" t="s">
        <v>660</v>
      </c>
      <c r="L418">
        <f t="shared" si="239"/>
        <v>69500</v>
      </c>
      <c r="M418">
        <f t="shared" si="240"/>
        <v>129100</v>
      </c>
      <c r="N418">
        <f t="shared" si="243"/>
        <v>0</v>
      </c>
      <c r="O418" t="s">
        <v>1488</v>
      </c>
      <c r="P418" t="s">
        <v>1491</v>
      </c>
      <c r="Q418" t="s">
        <v>1222</v>
      </c>
      <c r="R418" s="711"/>
      <c r="V418" t="str">
        <f t="shared" si="244"/>
        <v/>
      </c>
      <c r="W418">
        <v>99300</v>
      </c>
      <c r="X418">
        <v>69500</v>
      </c>
      <c r="Y418">
        <v>129100</v>
      </c>
      <c r="Z418" t="str">
        <f>Units!B$15</f>
        <v>$ (Equipment)</v>
      </c>
      <c r="AA418">
        <f>Units!C$15</f>
        <v>1</v>
      </c>
      <c r="AB418">
        <f>Units!D$15</f>
        <v>1</v>
      </c>
      <c r="AC418" t="str">
        <f>Units!E$15</f>
        <v>$ (Equipment)</v>
      </c>
      <c r="AD418" t="str">
        <f>Units!F$15</f>
        <v>$ (Equipment)</v>
      </c>
      <c r="AE418" t="str">
        <f>Units!G$15</f>
        <v>$ (Equipment)</v>
      </c>
      <c r="AF418" t="str">
        <f>Units!H$15</f>
        <v>$ (Equipment)</v>
      </c>
    </row>
    <row r="419" spans="1:32" x14ac:dyDescent="0.3">
      <c r="A419" s="710" t="s">
        <v>1486</v>
      </c>
      <c r="B419" t="s">
        <v>1492</v>
      </c>
      <c r="C419" s="124" t="str">
        <f t="shared" si="242"/>
        <v>UDV.econ_rds.94ft</v>
      </c>
      <c r="D419" s="1091">
        <f t="shared" si="210"/>
        <v>50300</v>
      </c>
      <c r="E419" s="1093" t="str">
        <f t="shared" si="236"/>
        <v>$ (Equipment)</v>
      </c>
      <c r="F419" s="1095">
        <f t="shared" si="235"/>
        <v>50300</v>
      </c>
      <c r="H419" s="1101">
        <f t="shared" si="237"/>
        <v>50300</v>
      </c>
      <c r="I419" s="956" t="str">
        <f t="shared" si="238"/>
        <v>$ (Equipment)</v>
      </c>
      <c r="J419" t="s">
        <v>660</v>
      </c>
      <c r="L419">
        <f t="shared" si="239"/>
        <v>35200</v>
      </c>
      <c r="M419">
        <f t="shared" si="240"/>
        <v>65400</v>
      </c>
      <c r="N419">
        <f t="shared" si="243"/>
        <v>0</v>
      </c>
      <c r="O419" t="s">
        <v>1488</v>
      </c>
      <c r="P419" t="s">
        <v>1493</v>
      </c>
      <c r="Q419" t="s">
        <v>1222</v>
      </c>
      <c r="R419" s="711"/>
      <c r="V419" t="str">
        <f t="shared" si="244"/>
        <v/>
      </c>
      <c r="W419">
        <v>50300</v>
      </c>
      <c r="X419">
        <v>35200</v>
      </c>
      <c r="Y419">
        <v>65400</v>
      </c>
      <c r="Z419" t="str">
        <f>Units!B$15</f>
        <v>$ (Equipment)</v>
      </c>
      <c r="AA419">
        <f>Units!C$15</f>
        <v>1</v>
      </c>
      <c r="AB419">
        <f>Units!D$15</f>
        <v>1</v>
      </c>
      <c r="AC419" t="str">
        <f>Units!E$15</f>
        <v>$ (Equipment)</v>
      </c>
      <c r="AD419" t="str">
        <f>Units!F$15</f>
        <v>$ (Equipment)</v>
      </c>
      <c r="AE419" t="str">
        <f>Units!G$15</f>
        <v>$ (Equipment)</v>
      </c>
      <c r="AF419" t="str">
        <f>Units!H$15</f>
        <v>$ (Equipment)</v>
      </c>
    </row>
    <row r="420" spans="1:32" x14ac:dyDescent="0.3">
      <c r="A420" s="710" t="s">
        <v>1494</v>
      </c>
      <c r="B420" t="s">
        <v>1495</v>
      </c>
      <c r="C420" s="124" t="str">
        <f t="shared" si="242"/>
        <v>UDV.econ_roller_press.24in</v>
      </c>
      <c r="D420" s="1091">
        <f t="shared" ref="D420:D532" si="245">$F420*$AB420</f>
        <v>49700</v>
      </c>
      <c r="E420" s="1093" t="str">
        <f t="shared" si="236"/>
        <v>$ (Equipment)</v>
      </c>
      <c r="F420" s="1095">
        <f t="shared" si="235"/>
        <v>49700</v>
      </c>
      <c r="H420" s="1101">
        <f t="shared" si="237"/>
        <v>49700</v>
      </c>
      <c r="I420" s="956" t="str">
        <f t="shared" si="238"/>
        <v>$ (Equipment)</v>
      </c>
      <c r="J420" t="s">
        <v>660</v>
      </c>
      <c r="L420">
        <f t="shared" si="239"/>
        <v>34800</v>
      </c>
      <c r="M420">
        <f t="shared" si="240"/>
        <v>64600</v>
      </c>
      <c r="N420">
        <f t="shared" si="243"/>
        <v>0</v>
      </c>
      <c r="O420" t="s">
        <v>1496</v>
      </c>
      <c r="P420" t="s">
        <v>1497</v>
      </c>
      <c r="Q420" t="s">
        <v>1222</v>
      </c>
      <c r="R420" s="711"/>
      <c r="V420" t="str">
        <f t="shared" si="244"/>
        <v/>
      </c>
      <c r="W420">
        <v>49700</v>
      </c>
      <c r="X420">
        <v>34800</v>
      </c>
      <c r="Y420">
        <v>64600</v>
      </c>
      <c r="Z420" t="str">
        <f>Units!B$15</f>
        <v>$ (Equipment)</v>
      </c>
      <c r="AA420">
        <f>Units!C$15</f>
        <v>1</v>
      </c>
      <c r="AB420">
        <f>Units!D$15</f>
        <v>1</v>
      </c>
      <c r="AC420" t="str">
        <f>Units!E$15</f>
        <v>$ (Equipment)</v>
      </c>
      <c r="AD420" t="str">
        <f>Units!F$15</f>
        <v>$ (Equipment)</v>
      </c>
      <c r="AE420" t="str">
        <f>Units!G$15</f>
        <v>$ (Equipment)</v>
      </c>
      <c r="AF420" t="str">
        <f>Units!H$15</f>
        <v>$ (Equipment)</v>
      </c>
    </row>
    <row r="421" spans="1:32" x14ac:dyDescent="0.3">
      <c r="A421" s="710" t="s">
        <v>1494</v>
      </c>
      <c r="B421" t="s">
        <v>1498</v>
      </c>
      <c r="C421" s="124" t="str">
        <f t="shared" si="242"/>
        <v>UDV.econ_roller_press.36in</v>
      </c>
      <c r="D421" s="1091">
        <f t="shared" si="245"/>
        <v>54600</v>
      </c>
      <c r="E421" s="1093" t="str">
        <f t="shared" si="236"/>
        <v>$ (Equipment)</v>
      </c>
      <c r="F421" s="1095">
        <f t="shared" si="235"/>
        <v>54600</v>
      </c>
      <c r="H421" s="1101">
        <f t="shared" si="237"/>
        <v>54600</v>
      </c>
      <c r="I421" s="956" t="str">
        <f t="shared" si="238"/>
        <v>$ (Equipment)</v>
      </c>
      <c r="J421" t="s">
        <v>660</v>
      </c>
      <c r="L421">
        <f t="shared" si="239"/>
        <v>38200</v>
      </c>
      <c r="M421">
        <f t="shared" si="240"/>
        <v>71000</v>
      </c>
      <c r="N421">
        <f t="shared" si="243"/>
        <v>0</v>
      </c>
      <c r="O421" t="s">
        <v>1496</v>
      </c>
      <c r="P421" t="s">
        <v>1499</v>
      </c>
      <c r="Q421" t="s">
        <v>1222</v>
      </c>
      <c r="R421" s="711"/>
      <c r="V421" t="str">
        <f t="shared" si="244"/>
        <v/>
      </c>
      <c r="W421">
        <v>54600</v>
      </c>
      <c r="X421">
        <v>38200</v>
      </c>
      <c r="Y421">
        <v>71000</v>
      </c>
      <c r="Z421" t="str">
        <f>Units!B$15</f>
        <v>$ (Equipment)</v>
      </c>
      <c r="AA421">
        <f>Units!C$15</f>
        <v>1</v>
      </c>
      <c r="AB421">
        <f>Units!D$15</f>
        <v>1</v>
      </c>
      <c r="AC421" t="str">
        <f>Units!E$15</f>
        <v>$ (Equipment)</v>
      </c>
      <c r="AD421" t="str">
        <f>Units!F$15</f>
        <v>$ (Equipment)</v>
      </c>
      <c r="AE421" t="str">
        <f>Units!G$15</f>
        <v>$ (Equipment)</v>
      </c>
      <c r="AF421" t="str">
        <f>Units!H$15</f>
        <v>$ (Equipment)</v>
      </c>
    </row>
    <row r="422" spans="1:32" x14ac:dyDescent="0.3">
      <c r="A422" s="710" t="s">
        <v>1494</v>
      </c>
      <c r="B422" t="s">
        <v>1500</v>
      </c>
      <c r="C422" s="124" t="str">
        <f t="shared" si="242"/>
        <v>UDV.econ_roller_press.48in</v>
      </c>
      <c r="D422" s="1091">
        <f t="shared" si="245"/>
        <v>62100</v>
      </c>
      <c r="E422" s="1093" t="str">
        <f t="shared" ref="E422:E453" si="246">$AD422</f>
        <v>$ (Equipment)</v>
      </c>
      <c r="F422" s="1095">
        <f t="shared" si="235"/>
        <v>62100</v>
      </c>
      <c r="H422" s="1101">
        <f t="shared" ref="H422:H453" si="247">$W422*$AA422</f>
        <v>62100</v>
      </c>
      <c r="I422" s="956" t="str">
        <f t="shared" ref="I422:I453" si="248">$AC422</f>
        <v>$ (Equipment)</v>
      </c>
      <c r="J422" t="s">
        <v>660</v>
      </c>
      <c r="L422">
        <f t="shared" si="239"/>
        <v>43500</v>
      </c>
      <c r="M422">
        <f t="shared" si="240"/>
        <v>80800</v>
      </c>
      <c r="N422">
        <f t="shared" si="243"/>
        <v>0</v>
      </c>
      <c r="O422" t="s">
        <v>1496</v>
      </c>
      <c r="P422" t="s">
        <v>1501</v>
      </c>
      <c r="Q422" t="s">
        <v>1222</v>
      </c>
      <c r="R422" s="711"/>
      <c r="V422" t="str">
        <f t="shared" si="244"/>
        <v/>
      </c>
      <c r="W422">
        <v>62100</v>
      </c>
      <c r="X422">
        <v>43500</v>
      </c>
      <c r="Y422">
        <v>80800</v>
      </c>
      <c r="Z422" t="str">
        <f>Units!B$15</f>
        <v>$ (Equipment)</v>
      </c>
      <c r="AA422">
        <f>Units!C$15</f>
        <v>1</v>
      </c>
      <c r="AB422">
        <f>Units!D$15</f>
        <v>1</v>
      </c>
      <c r="AC422" t="str">
        <f>Units!E$15</f>
        <v>$ (Equipment)</v>
      </c>
      <c r="AD422" t="str">
        <f>Units!F$15</f>
        <v>$ (Equipment)</v>
      </c>
      <c r="AE422" t="str">
        <f>Units!G$15</f>
        <v>$ (Equipment)</v>
      </c>
      <c r="AF422" t="str">
        <f>Units!H$15</f>
        <v>$ (Equipment)</v>
      </c>
    </row>
    <row r="423" spans="1:32" x14ac:dyDescent="0.3">
      <c r="A423" s="710" t="s">
        <v>1494</v>
      </c>
      <c r="B423" t="s">
        <v>1502</v>
      </c>
      <c r="C423" s="124" t="str">
        <f t="shared" si="242"/>
        <v>UDV.econ_roller_press.72in</v>
      </c>
      <c r="D423" s="1091">
        <f t="shared" si="245"/>
        <v>74600</v>
      </c>
      <c r="E423" s="1093" t="str">
        <f t="shared" si="246"/>
        <v>$ (Equipment)</v>
      </c>
      <c r="F423" s="1095">
        <f t="shared" si="235"/>
        <v>74600</v>
      </c>
      <c r="H423" s="1101">
        <f t="shared" si="247"/>
        <v>74600</v>
      </c>
      <c r="I423" s="956" t="str">
        <f t="shared" si="248"/>
        <v>$ (Equipment)</v>
      </c>
      <c r="J423" t="s">
        <v>660</v>
      </c>
      <c r="L423">
        <f t="shared" si="239"/>
        <v>52200</v>
      </c>
      <c r="M423">
        <f t="shared" si="240"/>
        <v>96900</v>
      </c>
      <c r="N423">
        <f t="shared" si="243"/>
        <v>0</v>
      </c>
      <c r="O423" t="s">
        <v>1496</v>
      </c>
      <c r="P423" t="s">
        <v>1503</v>
      </c>
      <c r="Q423" t="s">
        <v>1222</v>
      </c>
      <c r="R423" s="711"/>
      <c r="V423" t="str">
        <f t="shared" si="244"/>
        <v/>
      </c>
      <c r="W423">
        <v>74600</v>
      </c>
      <c r="X423">
        <v>52200</v>
      </c>
      <c r="Y423">
        <v>96900</v>
      </c>
      <c r="Z423" t="str">
        <f>Units!B$15</f>
        <v>$ (Equipment)</v>
      </c>
      <c r="AA423">
        <f>Units!C$15</f>
        <v>1</v>
      </c>
      <c r="AB423">
        <f>Units!D$15</f>
        <v>1</v>
      </c>
      <c r="AC423" t="str">
        <f>Units!E$15</f>
        <v>$ (Equipment)</v>
      </c>
      <c r="AD423" t="str">
        <f>Units!F$15</f>
        <v>$ (Equipment)</v>
      </c>
      <c r="AE423" t="str">
        <f>Units!G$15</f>
        <v>$ (Equipment)</v>
      </c>
      <c r="AF423" t="str">
        <f>Units!H$15</f>
        <v>$ (Equipment)</v>
      </c>
    </row>
    <row r="424" spans="1:32" x14ac:dyDescent="0.3">
      <c r="A424" s="710" t="s">
        <v>1504</v>
      </c>
      <c r="B424" t="s">
        <v>1505</v>
      </c>
      <c r="C424" s="124" t="str">
        <f t="shared" si="242"/>
        <v>UDV.econ_screw_press.double_15hp</v>
      </c>
      <c r="D424" s="1091">
        <f t="shared" si="245"/>
        <v>113800</v>
      </c>
      <c r="E424" s="1093" t="str">
        <f t="shared" si="246"/>
        <v>$ (Equipment)</v>
      </c>
      <c r="F424" s="1095">
        <f t="shared" si="235"/>
        <v>113800</v>
      </c>
      <c r="H424" s="1101">
        <f t="shared" si="247"/>
        <v>113800</v>
      </c>
      <c r="I424" s="956" t="str">
        <f t="shared" si="248"/>
        <v>$ (Equipment)</v>
      </c>
      <c r="J424" t="s">
        <v>660</v>
      </c>
      <c r="L424">
        <f t="shared" si="239"/>
        <v>79700</v>
      </c>
      <c r="M424">
        <f t="shared" si="240"/>
        <v>148000</v>
      </c>
      <c r="N424">
        <f t="shared" si="243"/>
        <v>0</v>
      </c>
      <c r="O424" t="s">
        <v>1506</v>
      </c>
      <c r="P424" t="s">
        <v>1507</v>
      </c>
      <c r="Q424" t="s">
        <v>1222</v>
      </c>
      <c r="R424" s="711"/>
      <c r="V424" t="str">
        <f t="shared" si="244"/>
        <v/>
      </c>
      <c r="W424" s="78">
        <v>113800</v>
      </c>
      <c r="X424">
        <v>79700</v>
      </c>
      <c r="Y424">
        <v>148000</v>
      </c>
      <c r="Z424" t="str">
        <f>Units!B$15</f>
        <v>$ (Equipment)</v>
      </c>
      <c r="AA424">
        <f>Units!C$15</f>
        <v>1</v>
      </c>
      <c r="AB424">
        <f>Units!D$15</f>
        <v>1</v>
      </c>
      <c r="AC424" t="str">
        <f>Units!E$15</f>
        <v>$ (Equipment)</v>
      </c>
      <c r="AD424" t="str">
        <f>Units!F$15</f>
        <v>$ (Equipment)</v>
      </c>
      <c r="AE424" t="str">
        <f>Units!G$15</f>
        <v>$ (Equipment)</v>
      </c>
      <c r="AF424" t="str">
        <f>Units!H$15</f>
        <v>$ (Equipment)</v>
      </c>
    </row>
    <row r="425" spans="1:32" x14ac:dyDescent="0.3">
      <c r="A425" s="710" t="s">
        <v>1504</v>
      </c>
      <c r="B425" t="s">
        <v>1508</v>
      </c>
      <c r="C425" s="124" t="str">
        <f t="shared" si="242"/>
        <v>UDV.econ_screw_press.single_10hp</v>
      </c>
      <c r="D425" s="1091">
        <f t="shared" si="245"/>
        <v>50100</v>
      </c>
      <c r="E425" s="1093" t="str">
        <f t="shared" si="246"/>
        <v>$ (Equipment)</v>
      </c>
      <c r="F425" s="1095">
        <f t="shared" si="235"/>
        <v>50100</v>
      </c>
      <c r="H425" s="1101">
        <f t="shared" si="247"/>
        <v>50100</v>
      </c>
      <c r="I425" s="956" t="str">
        <f t="shared" si="248"/>
        <v>$ (Equipment)</v>
      </c>
      <c r="J425" t="s">
        <v>660</v>
      </c>
      <c r="L425">
        <f t="shared" si="239"/>
        <v>35100</v>
      </c>
      <c r="M425">
        <f t="shared" si="240"/>
        <v>65100</v>
      </c>
      <c r="N425">
        <f t="shared" si="243"/>
        <v>0</v>
      </c>
      <c r="O425" t="s">
        <v>1506</v>
      </c>
      <c r="P425" t="s">
        <v>1509</v>
      </c>
      <c r="Q425" t="s">
        <v>1222</v>
      </c>
      <c r="R425" s="711"/>
      <c r="V425" t="str">
        <f t="shared" si="244"/>
        <v/>
      </c>
      <c r="W425" s="78">
        <v>50100</v>
      </c>
      <c r="X425">
        <v>35100</v>
      </c>
      <c r="Y425">
        <v>65100</v>
      </c>
      <c r="Z425" t="str">
        <f>Units!B$15</f>
        <v>$ (Equipment)</v>
      </c>
      <c r="AA425">
        <f>Units!C$15</f>
        <v>1</v>
      </c>
      <c r="AB425">
        <f>Units!D$15</f>
        <v>1</v>
      </c>
      <c r="AC425" t="str">
        <f>Units!E$15</f>
        <v>$ (Equipment)</v>
      </c>
      <c r="AD425" t="str">
        <f>Units!F$15</f>
        <v>$ (Equipment)</v>
      </c>
      <c r="AE425" t="str">
        <f>Units!G$15</f>
        <v>$ (Equipment)</v>
      </c>
      <c r="AF425" t="str">
        <f>Units!H$15</f>
        <v>$ (Equipment)</v>
      </c>
    </row>
    <row r="426" spans="1:32" x14ac:dyDescent="0.3">
      <c r="A426" s="710" t="s">
        <v>1504</v>
      </c>
      <c r="B426" t="s">
        <v>1510</v>
      </c>
      <c r="C426" s="124" t="str">
        <f t="shared" si="242"/>
        <v>UDV.econ_screw_press.single_15hp</v>
      </c>
      <c r="D426" s="1091">
        <f t="shared" si="245"/>
        <v>59500</v>
      </c>
      <c r="E426" s="1093" t="str">
        <f t="shared" si="246"/>
        <v>$ (Equipment)</v>
      </c>
      <c r="F426" s="1095">
        <f t="shared" si="235"/>
        <v>59500</v>
      </c>
      <c r="H426" s="1101">
        <f t="shared" si="247"/>
        <v>59500</v>
      </c>
      <c r="I426" s="956" t="str">
        <f t="shared" si="248"/>
        <v>$ (Equipment)</v>
      </c>
      <c r="J426" t="s">
        <v>660</v>
      </c>
      <c r="L426">
        <f t="shared" si="239"/>
        <v>41600</v>
      </c>
      <c r="M426">
        <f t="shared" si="240"/>
        <v>77300</v>
      </c>
      <c r="N426">
        <f t="shared" si="243"/>
        <v>0</v>
      </c>
      <c r="O426" t="s">
        <v>1506</v>
      </c>
      <c r="P426" t="s">
        <v>1511</v>
      </c>
      <c r="Q426" t="s">
        <v>1222</v>
      </c>
      <c r="R426" s="711"/>
      <c r="V426" t="str">
        <f t="shared" si="244"/>
        <v/>
      </c>
      <c r="W426" s="78">
        <v>59500</v>
      </c>
      <c r="X426">
        <v>41600</v>
      </c>
      <c r="Y426">
        <v>77300</v>
      </c>
      <c r="Z426" t="str">
        <f>Units!B$15</f>
        <v>$ (Equipment)</v>
      </c>
      <c r="AA426">
        <f>Units!C$15</f>
        <v>1</v>
      </c>
      <c r="AB426">
        <f>Units!D$15</f>
        <v>1</v>
      </c>
      <c r="AC426" t="str">
        <f>Units!E$15</f>
        <v>$ (Equipment)</v>
      </c>
      <c r="AD426" t="str">
        <f>Units!F$15</f>
        <v>$ (Equipment)</v>
      </c>
      <c r="AE426" t="str">
        <f>Units!G$15</f>
        <v>$ (Equipment)</v>
      </c>
      <c r="AF426" t="str">
        <f>Units!H$15</f>
        <v>$ (Equipment)</v>
      </c>
    </row>
    <row r="427" spans="1:32" x14ac:dyDescent="0.3">
      <c r="A427" s="710" t="s">
        <v>1512</v>
      </c>
      <c r="B427" t="s">
        <v>1513</v>
      </c>
      <c r="C427" s="124" t="str">
        <f t="shared" si="242"/>
        <v>UDV.econ_skid_steer.loader</v>
      </c>
      <c r="D427" s="1091">
        <f t="shared" si="245"/>
        <v>59700</v>
      </c>
      <c r="E427" s="1093" t="str">
        <f t="shared" si="246"/>
        <v>$ (Equipment)</v>
      </c>
      <c r="F427" s="1095">
        <f t="shared" si="235"/>
        <v>59700</v>
      </c>
      <c r="H427" s="1101">
        <f t="shared" si="247"/>
        <v>59700</v>
      </c>
      <c r="I427" s="956" t="str">
        <f t="shared" si="248"/>
        <v>$ (Equipment)</v>
      </c>
      <c r="J427" t="s">
        <v>660</v>
      </c>
      <c r="L427">
        <f t="shared" si="239"/>
        <v>49600</v>
      </c>
      <c r="M427">
        <f t="shared" si="240"/>
        <v>90000</v>
      </c>
      <c r="N427">
        <f t="shared" si="243"/>
        <v>0</v>
      </c>
      <c r="O427" t="s">
        <v>1514</v>
      </c>
      <c r="P427" t="s">
        <v>348</v>
      </c>
      <c r="Q427" t="s">
        <v>1222</v>
      </c>
      <c r="R427" s="711"/>
      <c r="S427" t="s">
        <v>84</v>
      </c>
      <c r="V427" t="str">
        <f t="shared" si="244"/>
        <v/>
      </c>
      <c r="W427">
        <v>59700</v>
      </c>
      <c r="X427">
        <v>49600</v>
      </c>
      <c r="Y427">
        <v>90000</v>
      </c>
      <c r="Z427" t="str">
        <f>Units!B$15</f>
        <v>$ (Equipment)</v>
      </c>
      <c r="AA427">
        <f>Units!C$15</f>
        <v>1</v>
      </c>
      <c r="AB427">
        <f>Units!D$15</f>
        <v>1</v>
      </c>
      <c r="AC427" t="str">
        <f>Units!E$15</f>
        <v>$ (Equipment)</v>
      </c>
      <c r="AD427" t="str">
        <f>Units!F$15</f>
        <v>$ (Equipment)</v>
      </c>
      <c r="AE427" t="str">
        <f>Units!G$15</f>
        <v>$ (Equipment)</v>
      </c>
      <c r="AF427" t="str">
        <f>Units!H$15</f>
        <v>$ (Equipment)</v>
      </c>
    </row>
    <row r="428" spans="1:32" x14ac:dyDescent="0.3">
      <c r="A428" s="710" t="s">
        <v>1515</v>
      </c>
      <c r="B428" t="s">
        <v>1516</v>
      </c>
      <c r="C428" s="124" t="str">
        <f t="shared" si="242"/>
        <v>UDV.econ_slope_screen.32ft</v>
      </c>
      <c r="D428" s="1091">
        <f t="shared" si="245"/>
        <v>24400</v>
      </c>
      <c r="E428" s="1093" t="str">
        <f t="shared" si="246"/>
        <v>$ (Equipment)</v>
      </c>
      <c r="F428" s="1095">
        <f>IF(OR(G428="",N428=0),H428,G428)</f>
        <v>24400</v>
      </c>
      <c r="H428" s="1101">
        <f t="shared" si="247"/>
        <v>24400</v>
      </c>
      <c r="I428" s="956" t="str">
        <f t="shared" si="248"/>
        <v>$ (Equipment)</v>
      </c>
      <c r="J428" t="s">
        <v>660</v>
      </c>
      <c r="L428">
        <f t="shared" si="239"/>
        <v>17100</v>
      </c>
      <c r="M428">
        <f t="shared" si="240"/>
        <v>31700</v>
      </c>
      <c r="N428">
        <f t="shared" si="243"/>
        <v>0</v>
      </c>
      <c r="O428" t="s">
        <v>1517</v>
      </c>
      <c r="P428" t="s">
        <v>1518</v>
      </c>
      <c r="Q428" t="s">
        <v>1222</v>
      </c>
      <c r="R428" s="711"/>
      <c r="V428" t="str">
        <f t="shared" si="244"/>
        <v/>
      </c>
      <c r="W428">
        <v>24400</v>
      </c>
      <c r="X428">
        <v>17100</v>
      </c>
      <c r="Y428">
        <v>31700</v>
      </c>
      <c r="Z428" t="str">
        <f>Units!B$15</f>
        <v>$ (Equipment)</v>
      </c>
      <c r="AA428">
        <f>Units!C$15</f>
        <v>1</v>
      </c>
      <c r="AB428">
        <f>Units!D$15</f>
        <v>1</v>
      </c>
      <c r="AC428" t="str">
        <f>Units!E$15</f>
        <v>$ (Equipment)</v>
      </c>
      <c r="AD428" t="str">
        <f>Units!F$15</f>
        <v>$ (Equipment)</v>
      </c>
      <c r="AE428" t="str">
        <f>Units!G$15</f>
        <v>$ (Equipment)</v>
      </c>
      <c r="AF428" t="str">
        <f>Units!H$15</f>
        <v>$ (Equipment)</v>
      </c>
    </row>
    <row r="429" spans="1:32" x14ac:dyDescent="0.3">
      <c r="A429" s="710" t="s">
        <v>1515</v>
      </c>
      <c r="B429" t="s">
        <v>1519</v>
      </c>
      <c r="C429" s="124" t="str">
        <f t="shared" si="242"/>
        <v>UDV.econ_slope_screen.64ft</v>
      </c>
      <c r="D429" s="1091">
        <f t="shared" si="245"/>
        <v>47200</v>
      </c>
      <c r="E429" s="1093" t="str">
        <f t="shared" si="246"/>
        <v>$ (Equipment)</v>
      </c>
      <c r="F429" s="1095">
        <f>IF(OR(G429="",N429=0),H429,G429)</f>
        <v>47200</v>
      </c>
      <c r="H429" s="1101">
        <f t="shared" si="247"/>
        <v>47200</v>
      </c>
      <c r="I429" s="956" t="str">
        <f t="shared" si="248"/>
        <v>$ (Equipment)</v>
      </c>
      <c r="J429" t="s">
        <v>660</v>
      </c>
      <c r="L429">
        <f t="shared" si="239"/>
        <v>33100</v>
      </c>
      <c r="M429">
        <f t="shared" si="240"/>
        <v>61400</v>
      </c>
      <c r="N429">
        <f t="shared" si="243"/>
        <v>0</v>
      </c>
      <c r="O429" t="s">
        <v>1517</v>
      </c>
      <c r="P429" t="s">
        <v>1520</v>
      </c>
      <c r="Q429" t="s">
        <v>1222</v>
      </c>
      <c r="R429" s="711"/>
      <c r="V429" t="str">
        <f t="shared" si="244"/>
        <v/>
      </c>
      <c r="W429">
        <v>47200</v>
      </c>
      <c r="X429">
        <v>33100</v>
      </c>
      <c r="Y429">
        <v>61400</v>
      </c>
      <c r="Z429" t="str">
        <f>Units!B$15</f>
        <v>$ (Equipment)</v>
      </c>
      <c r="AA429">
        <f>Units!C$15</f>
        <v>1</v>
      </c>
      <c r="AB429">
        <f>Units!D$15</f>
        <v>1</v>
      </c>
      <c r="AC429" t="str">
        <f>Units!E$15</f>
        <v>$ (Equipment)</v>
      </c>
      <c r="AD429" t="str">
        <f>Units!F$15</f>
        <v>$ (Equipment)</v>
      </c>
      <c r="AE429" t="str">
        <f>Units!G$15</f>
        <v>$ (Equipment)</v>
      </c>
      <c r="AF429" t="str">
        <f>Units!H$15</f>
        <v>$ (Equipment)</v>
      </c>
    </row>
    <row r="430" spans="1:32" x14ac:dyDescent="0.3">
      <c r="A430" s="710" t="s">
        <v>1515</v>
      </c>
      <c r="B430" t="s">
        <v>1521</v>
      </c>
      <c r="C430" s="124" t="str">
        <f t="shared" si="242"/>
        <v>UDV.econ_slope_screen.96ft</v>
      </c>
      <c r="D430" s="1091">
        <f t="shared" si="245"/>
        <v>64800</v>
      </c>
      <c r="E430" s="1093" t="str">
        <f t="shared" si="246"/>
        <v>$ (Equipment)</v>
      </c>
      <c r="F430" s="1095">
        <f>IF(OR(G430="",N430=0),H430,G430)</f>
        <v>64800</v>
      </c>
      <c r="H430" s="1101">
        <f t="shared" si="247"/>
        <v>64800</v>
      </c>
      <c r="I430" s="956" t="str">
        <f t="shared" si="248"/>
        <v>$ (Equipment)</v>
      </c>
      <c r="J430" t="s">
        <v>660</v>
      </c>
      <c r="L430">
        <f t="shared" si="239"/>
        <v>45400</v>
      </c>
      <c r="M430">
        <f t="shared" si="240"/>
        <v>84300</v>
      </c>
      <c r="N430">
        <f t="shared" si="243"/>
        <v>0</v>
      </c>
      <c r="O430" t="s">
        <v>1517</v>
      </c>
      <c r="P430" t="s">
        <v>1522</v>
      </c>
      <c r="Q430" t="s">
        <v>1222</v>
      </c>
      <c r="R430" s="711"/>
      <c r="V430" t="str">
        <f t="shared" si="244"/>
        <v/>
      </c>
      <c r="W430">
        <v>64800</v>
      </c>
      <c r="X430">
        <v>45400</v>
      </c>
      <c r="Y430">
        <v>84300</v>
      </c>
      <c r="Z430" t="str">
        <f>Units!B$15</f>
        <v>$ (Equipment)</v>
      </c>
      <c r="AA430">
        <f>Units!C$15</f>
        <v>1</v>
      </c>
      <c r="AB430">
        <f>Units!D$15</f>
        <v>1</v>
      </c>
      <c r="AC430" t="str">
        <f>Units!E$15</f>
        <v>$ (Equipment)</v>
      </c>
      <c r="AD430" t="str">
        <f>Units!F$15</f>
        <v>$ (Equipment)</v>
      </c>
      <c r="AE430" t="str">
        <f>Units!G$15</f>
        <v>$ (Equipment)</v>
      </c>
      <c r="AF430" t="str">
        <f>Units!H$15</f>
        <v>$ (Equipment)</v>
      </c>
    </row>
    <row r="431" spans="1:32" x14ac:dyDescent="0.3">
      <c r="A431" s="710" t="s">
        <v>1523</v>
      </c>
      <c r="B431" t="s">
        <v>1524</v>
      </c>
      <c r="C431" s="124" t="str">
        <f t="shared" si="242"/>
        <v>UDV.econ_tanker.cost</v>
      </c>
      <c r="D431" s="1091">
        <f t="shared" si="245"/>
        <v>136600</v>
      </c>
      <c r="E431" s="1093" t="str">
        <f t="shared" si="246"/>
        <v>$ (Equipment)</v>
      </c>
      <c r="F431" s="1095">
        <f t="shared" ref="F431:F434" si="249">IF(OR(G431="",N431=0),H431,G431)</f>
        <v>136600</v>
      </c>
      <c r="H431" s="1101">
        <f t="shared" si="247"/>
        <v>136600</v>
      </c>
      <c r="I431" s="956" t="str">
        <f t="shared" si="248"/>
        <v>$ (Equipment)</v>
      </c>
      <c r="J431" t="s">
        <v>1525</v>
      </c>
      <c r="L431">
        <f t="shared" si="239"/>
        <v>95600</v>
      </c>
      <c r="M431">
        <f t="shared" si="240"/>
        <v>177500</v>
      </c>
      <c r="N431">
        <f t="shared" ref="N431:N447" si="250">IF(AND(G431&lt;=M431, G431&gt;=L431),1,0)</f>
        <v>0</v>
      </c>
      <c r="O431" t="s">
        <v>1526</v>
      </c>
      <c r="P431" t="s">
        <v>1527</v>
      </c>
      <c r="Q431" t="s">
        <v>1222</v>
      </c>
      <c r="R431" s="711"/>
      <c r="V431" t="str">
        <f t="shared" ref="V431:V457" si="251">IF(OR((M431-L431)&lt;=0,H431&gt;M431,H431&lt;L431),"Fix","")</f>
        <v/>
      </c>
      <c r="W431">
        <v>136600</v>
      </c>
      <c r="X431">
        <v>95600</v>
      </c>
      <c r="Y431">
        <v>177500</v>
      </c>
      <c r="Z431" t="str">
        <f>Units!B$15</f>
        <v>$ (Equipment)</v>
      </c>
      <c r="AA431">
        <f>Units!C$15</f>
        <v>1</v>
      </c>
      <c r="AB431">
        <f>Units!D$15</f>
        <v>1</v>
      </c>
      <c r="AC431" t="str">
        <f>Units!E$15</f>
        <v>$ (Equipment)</v>
      </c>
      <c r="AD431" t="str">
        <f>Units!F$15</f>
        <v>$ (Equipment)</v>
      </c>
      <c r="AE431" t="str">
        <f>Units!G$15</f>
        <v>$ (Equipment)</v>
      </c>
      <c r="AF431" t="str">
        <f>Units!H$15</f>
        <v>$ (Equipment)</v>
      </c>
    </row>
    <row r="432" spans="1:32" x14ac:dyDescent="0.3">
      <c r="A432" s="710" t="s">
        <v>1528</v>
      </c>
      <c r="B432" t="s">
        <v>1529</v>
      </c>
      <c r="C432" s="124" t="str">
        <f t="shared" si="242"/>
        <v>UDV.econ_toolbar.boom</v>
      </c>
      <c r="D432" s="1091">
        <f t="shared" si="245"/>
        <v>80900</v>
      </c>
      <c r="E432" s="1093" t="str">
        <f t="shared" si="246"/>
        <v>$ (Equipment)</v>
      </c>
      <c r="F432" s="1095">
        <f t="shared" si="249"/>
        <v>80900</v>
      </c>
      <c r="H432" s="1101">
        <f t="shared" si="247"/>
        <v>80900</v>
      </c>
      <c r="I432" s="956" t="str">
        <f t="shared" si="248"/>
        <v>$ (Equipment)</v>
      </c>
      <c r="J432" t="s">
        <v>660</v>
      </c>
      <c r="L432">
        <f t="shared" si="239"/>
        <v>56700</v>
      </c>
      <c r="M432">
        <f t="shared" si="240"/>
        <v>105200</v>
      </c>
      <c r="N432">
        <f t="shared" si="250"/>
        <v>0</v>
      </c>
      <c r="O432" t="s">
        <v>1530</v>
      </c>
      <c r="P432" t="s">
        <v>1531</v>
      </c>
      <c r="Q432" t="s">
        <v>1222</v>
      </c>
      <c r="R432" s="711"/>
      <c r="S432" t="s">
        <v>84</v>
      </c>
      <c r="V432" t="str">
        <f t="shared" si="251"/>
        <v/>
      </c>
      <c r="W432">
        <v>80900</v>
      </c>
      <c r="X432">
        <v>56700</v>
      </c>
      <c r="Y432">
        <v>105200</v>
      </c>
      <c r="Z432" t="str">
        <f>Units!B$15</f>
        <v>$ (Equipment)</v>
      </c>
      <c r="AA432">
        <f>Units!C$15</f>
        <v>1</v>
      </c>
      <c r="AB432">
        <f>Units!D$15</f>
        <v>1</v>
      </c>
      <c r="AC432" t="str">
        <f>Units!E$15</f>
        <v>$ (Equipment)</v>
      </c>
      <c r="AD432" t="str">
        <f>Units!F$15</f>
        <v>$ (Equipment)</v>
      </c>
      <c r="AE432" t="str">
        <f>Units!G$15</f>
        <v>$ (Equipment)</v>
      </c>
      <c r="AF432" t="str">
        <f>Units!H$15</f>
        <v>$ (Equipment)</v>
      </c>
    </row>
    <row r="433" spans="1:32" x14ac:dyDescent="0.3">
      <c r="A433" s="710" t="s">
        <v>1528</v>
      </c>
      <c r="B433" t="s">
        <v>1532</v>
      </c>
      <c r="C433" s="124" t="str">
        <f t="shared" si="242"/>
        <v>UDV.econ_toolbar.injection</v>
      </c>
      <c r="D433" s="1091">
        <f t="shared" si="245"/>
        <v>80900</v>
      </c>
      <c r="E433" s="1093" t="str">
        <f t="shared" si="246"/>
        <v>$ (Equipment)</v>
      </c>
      <c r="F433" s="1095">
        <f t="shared" si="249"/>
        <v>80900</v>
      </c>
      <c r="H433" s="1101">
        <f t="shared" si="247"/>
        <v>80900</v>
      </c>
      <c r="I433" s="956" t="str">
        <f t="shared" si="248"/>
        <v>$ (Equipment)</v>
      </c>
      <c r="J433" t="s">
        <v>660</v>
      </c>
      <c r="L433">
        <f t="shared" si="239"/>
        <v>56700</v>
      </c>
      <c r="M433">
        <f t="shared" si="240"/>
        <v>105200</v>
      </c>
      <c r="N433">
        <f t="shared" si="250"/>
        <v>0</v>
      </c>
      <c r="O433" t="s">
        <v>1530</v>
      </c>
      <c r="P433" t="s">
        <v>1533</v>
      </c>
      <c r="Q433" t="s">
        <v>1222</v>
      </c>
      <c r="R433" s="711"/>
      <c r="S433" t="s">
        <v>84</v>
      </c>
      <c r="V433" t="str">
        <f t="shared" si="251"/>
        <v/>
      </c>
      <c r="W433">
        <v>80900</v>
      </c>
      <c r="X433">
        <v>56700</v>
      </c>
      <c r="Y433">
        <v>105200</v>
      </c>
      <c r="Z433" t="str">
        <f>Units!B$15</f>
        <v>$ (Equipment)</v>
      </c>
      <c r="AA433">
        <f>Units!C$15</f>
        <v>1</v>
      </c>
      <c r="AB433">
        <f>Units!D$15</f>
        <v>1</v>
      </c>
      <c r="AC433" t="str">
        <f>Units!E$15</f>
        <v>$ (Equipment)</v>
      </c>
      <c r="AD433" t="str">
        <f>Units!F$15</f>
        <v>$ (Equipment)</v>
      </c>
      <c r="AE433" t="str">
        <f>Units!G$15</f>
        <v>$ (Equipment)</v>
      </c>
      <c r="AF433" t="str">
        <f>Units!H$15</f>
        <v>$ (Equipment)</v>
      </c>
    </row>
    <row r="434" spans="1:32" x14ac:dyDescent="0.3">
      <c r="A434" s="710" t="s">
        <v>1528</v>
      </c>
      <c r="B434" t="s">
        <v>1513</v>
      </c>
      <c r="C434" s="124" t="str">
        <f t="shared" si="242"/>
        <v>UDV.econ_toolbar.loader</v>
      </c>
      <c r="D434" s="1091">
        <f t="shared" si="245"/>
        <v>7500</v>
      </c>
      <c r="E434" s="1093" t="str">
        <f t="shared" si="246"/>
        <v>$ (Equipment)</v>
      </c>
      <c r="F434" s="1095">
        <f t="shared" si="249"/>
        <v>7500</v>
      </c>
      <c r="H434" s="1101">
        <f t="shared" si="247"/>
        <v>7500</v>
      </c>
      <c r="I434" s="956" t="str">
        <f t="shared" si="248"/>
        <v>$ (Equipment)</v>
      </c>
      <c r="J434" t="s">
        <v>660</v>
      </c>
      <c r="L434">
        <f t="shared" si="239"/>
        <v>4000</v>
      </c>
      <c r="M434">
        <f t="shared" si="240"/>
        <v>9500</v>
      </c>
      <c r="N434">
        <f t="shared" si="250"/>
        <v>0</v>
      </c>
      <c r="O434" t="s">
        <v>1534</v>
      </c>
      <c r="P434" t="s">
        <v>1535</v>
      </c>
      <c r="Q434" t="s">
        <v>1222</v>
      </c>
      <c r="R434" s="711"/>
      <c r="S434" t="s">
        <v>84</v>
      </c>
      <c r="V434" t="str">
        <f t="shared" si="251"/>
        <v/>
      </c>
      <c r="W434">
        <v>7500</v>
      </c>
      <c r="X434">
        <v>4000</v>
      </c>
      <c r="Y434">
        <v>9500</v>
      </c>
      <c r="Z434" t="str">
        <f>Units!B$15</f>
        <v>$ (Equipment)</v>
      </c>
      <c r="AA434">
        <f>Units!C$15</f>
        <v>1</v>
      </c>
      <c r="AB434">
        <f>Units!D$15</f>
        <v>1</v>
      </c>
      <c r="AC434" t="str">
        <f>Units!E$15</f>
        <v>$ (Equipment)</v>
      </c>
      <c r="AD434" t="str">
        <f>Units!F$15</f>
        <v>$ (Equipment)</v>
      </c>
      <c r="AE434" t="str">
        <f>Units!G$15</f>
        <v>$ (Equipment)</v>
      </c>
      <c r="AF434" t="str">
        <f>Units!H$15</f>
        <v>$ (Equipment)</v>
      </c>
    </row>
    <row r="435" spans="1:32" x14ac:dyDescent="0.3">
      <c r="A435" s="710" t="s">
        <v>1528</v>
      </c>
      <c r="B435" t="s">
        <v>1536</v>
      </c>
      <c r="C435" s="124" t="str">
        <f t="shared" si="242"/>
        <v>UDV.econ_toolbar.rake</v>
      </c>
      <c r="D435" s="1091">
        <f t="shared" si="245"/>
        <v>1800</v>
      </c>
      <c r="E435" s="1093" t="str">
        <f t="shared" si="246"/>
        <v>$ (Equipment)</v>
      </c>
      <c r="F435" s="1095">
        <f>IF(OR(G435="",N435=0),H435,G435)</f>
        <v>1800</v>
      </c>
      <c r="H435" s="1101">
        <f t="shared" si="247"/>
        <v>1800</v>
      </c>
      <c r="I435" s="956" t="str">
        <f t="shared" si="248"/>
        <v>$ (Equipment)</v>
      </c>
      <c r="J435" t="s">
        <v>660</v>
      </c>
      <c r="L435">
        <f t="shared" si="239"/>
        <v>1600</v>
      </c>
      <c r="M435">
        <f t="shared" si="240"/>
        <v>2000</v>
      </c>
      <c r="N435">
        <f t="shared" si="250"/>
        <v>0</v>
      </c>
      <c r="O435" t="s">
        <v>1537</v>
      </c>
      <c r="P435" t="s">
        <v>1538</v>
      </c>
      <c r="Q435" t="s">
        <v>1222</v>
      </c>
      <c r="R435" s="711"/>
      <c r="S435" t="s">
        <v>84</v>
      </c>
      <c r="V435" t="str">
        <f t="shared" si="251"/>
        <v/>
      </c>
      <c r="W435">
        <v>1800</v>
      </c>
      <c r="X435">
        <v>1600</v>
      </c>
      <c r="Y435">
        <v>2000</v>
      </c>
      <c r="Z435" t="str">
        <f>Units!B$15</f>
        <v>$ (Equipment)</v>
      </c>
      <c r="AA435">
        <f>Units!C$15</f>
        <v>1</v>
      </c>
      <c r="AB435">
        <f>Units!D$15</f>
        <v>1</v>
      </c>
      <c r="AC435" t="str">
        <f>Units!E$15</f>
        <v>$ (Equipment)</v>
      </c>
      <c r="AD435" t="str">
        <f>Units!F$15</f>
        <v>$ (Equipment)</v>
      </c>
      <c r="AE435" t="str">
        <f>Units!G$15</f>
        <v>$ (Equipment)</v>
      </c>
      <c r="AF435" t="str">
        <f>Units!H$15</f>
        <v>$ (Equipment)</v>
      </c>
    </row>
    <row r="436" spans="1:32" x14ac:dyDescent="0.3">
      <c r="A436" s="710" t="s">
        <v>1528</v>
      </c>
      <c r="B436" t="s">
        <v>1539</v>
      </c>
      <c r="C436" s="124" t="str">
        <f t="shared" si="242"/>
        <v>UDV.econ_toolbar.rotary_tiller_13ft</v>
      </c>
      <c r="D436" s="1091">
        <f t="shared" si="245"/>
        <v>14200</v>
      </c>
      <c r="E436" s="1093" t="str">
        <f t="shared" si="246"/>
        <v>$ (Equipment)</v>
      </c>
      <c r="F436" s="1095">
        <f>IF(OR(G436="",N436=0),H436,G436)</f>
        <v>14200</v>
      </c>
      <c r="H436" s="1101">
        <f t="shared" si="247"/>
        <v>14200</v>
      </c>
      <c r="I436" s="956" t="str">
        <f t="shared" si="248"/>
        <v>$ (Equipment)</v>
      </c>
      <c r="J436" t="s">
        <v>660</v>
      </c>
      <c r="L436">
        <f t="shared" si="239"/>
        <v>9900</v>
      </c>
      <c r="M436">
        <f t="shared" si="240"/>
        <v>18400</v>
      </c>
      <c r="N436">
        <f t="shared" si="250"/>
        <v>0</v>
      </c>
      <c r="O436" t="s">
        <v>1540</v>
      </c>
      <c r="P436" t="s">
        <v>1541</v>
      </c>
      <c r="Q436" t="s">
        <v>1222</v>
      </c>
      <c r="R436" s="711"/>
      <c r="V436" t="str">
        <f t="shared" si="251"/>
        <v/>
      </c>
      <c r="W436">
        <v>14200</v>
      </c>
      <c r="X436">
        <v>9900</v>
      </c>
      <c r="Y436">
        <v>18400</v>
      </c>
      <c r="Z436" t="str">
        <f>Units!B$15</f>
        <v>$ (Equipment)</v>
      </c>
      <c r="AA436">
        <f>Units!C$15</f>
        <v>1</v>
      </c>
      <c r="AB436">
        <f>Units!D$15</f>
        <v>1</v>
      </c>
      <c r="AC436" t="str">
        <f>Units!E$15</f>
        <v>$ (Equipment)</v>
      </c>
      <c r="AD436" t="str">
        <f>Units!F$15</f>
        <v>$ (Equipment)</v>
      </c>
      <c r="AE436" t="str">
        <f>Units!G$15</f>
        <v>$ (Equipment)</v>
      </c>
      <c r="AF436" t="str">
        <f>Units!H$15</f>
        <v>$ (Equipment)</v>
      </c>
    </row>
    <row r="437" spans="1:32" x14ac:dyDescent="0.3">
      <c r="A437" s="710" t="s">
        <v>1528</v>
      </c>
      <c r="B437" t="s">
        <v>1542</v>
      </c>
      <c r="C437" s="124" t="str">
        <f t="shared" si="242"/>
        <v>UDV.econ_toolbar.rotary_tiller_20ft</v>
      </c>
      <c r="D437" s="1091">
        <f t="shared" si="245"/>
        <v>23300</v>
      </c>
      <c r="E437" s="1093" t="str">
        <f t="shared" si="246"/>
        <v>$ (Equipment)</v>
      </c>
      <c r="F437" s="1095">
        <f>IF(OR(G437="",N437=0),H437,G437)</f>
        <v>23300</v>
      </c>
      <c r="H437" s="1101">
        <f t="shared" si="247"/>
        <v>23300</v>
      </c>
      <c r="I437" s="956" t="str">
        <f t="shared" si="248"/>
        <v>$ (Equipment)</v>
      </c>
      <c r="J437" t="s">
        <v>660</v>
      </c>
      <c r="L437">
        <f t="shared" si="239"/>
        <v>16300</v>
      </c>
      <c r="M437">
        <f t="shared" si="240"/>
        <v>30200</v>
      </c>
      <c r="N437">
        <f t="shared" si="250"/>
        <v>0</v>
      </c>
      <c r="O437" t="s">
        <v>1540</v>
      </c>
      <c r="P437" t="s">
        <v>1543</v>
      </c>
      <c r="Q437" t="s">
        <v>1222</v>
      </c>
      <c r="R437" s="711"/>
      <c r="V437" t="str">
        <f t="shared" si="251"/>
        <v/>
      </c>
      <c r="W437">
        <v>23300</v>
      </c>
      <c r="X437">
        <v>16300</v>
      </c>
      <c r="Y437">
        <v>30200</v>
      </c>
      <c r="Z437" t="str">
        <f>Units!B$15</f>
        <v>$ (Equipment)</v>
      </c>
      <c r="AA437">
        <f>Units!C$15</f>
        <v>1</v>
      </c>
      <c r="AB437">
        <f>Units!D$15</f>
        <v>1</v>
      </c>
      <c r="AC437" t="str">
        <f>Units!E$15</f>
        <v>$ (Equipment)</v>
      </c>
      <c r="AD437" t="str">
        <f>Units!F$15</f>
        <v>$ (Equipment)</v>
      </c>
      <c r="AE437" t="str">
        <f>Units!G$15</f>
        <v>$ (Equipment)</v>
      </c>
      <c r="AF437" t="str">
        <f>Units!H$15</f>
        <v>$ (Equipment)</v>
      </c>
    </row>
    <row r="438" spans="1:32" x14ac:dyDescent="0.3">
      <c r="A438" s="710" t="s">
        <v>1528</v>
      </c>
      <c r="B438" t="s">
        <v>1544</v>
      </c>
      <c r="C438" s="124" t="str">
        <f t="shared" si="242"/>
        <v>UDV.econ_toolbar.rotary_tiller_6ft</v>
      </c>
      <c r="D438" s="1091">
        <f t="shared" si="245"/>
        <v>7100</v>
      </c>
      <c r="E438" s="1093" t="str">
        <f t="shared" si="246"/>
        <v>$ (Equipment)</v>
      </c>
      <c r="F438" s="1095">
        <f>IF(OR(G438="",N438=0),H438,G438)</f>
        <v>7100</v>
      </c>
      <c r="H438" s="1101">
        <f t="shared" si="247"/>
        <v>7100</v>
      </c>
      <c r="I438" s="956" t="str">
        <f t="shared" si="248"/>
        <v>$ (Equipment)</v>
      </c>
      <c r="J438" t="s">
        <v>660</v>
      </c>
      <c r="L438">
        <f t="shared" si="239"/>
        <v>5000</v>
      </c>
      <c r="M438">
        <f t="shared" si="240"/>
        <v>9200</v>
      </c>
      <c r="N438">
        <f t="shared" si="250"/>
        <v>0</v>
      </c>
      <c r="O438" t="s">
        <v>1540</v>
      </c>
      <c r="P438" t="s">
        <v>1545</v>
      </c>
      <c r="Q438" t="s">
        <v>1222</v>
      </c>
      <c r="R438" s="711"/>
      <c r="V438" t="str">
        <f t="shared" si="251"/>
        <v/>
      </c>
      <c r="W438">
        <v>7100</v>
      </c>
      <c r="X438">
        <v>5000</v>
      </c>
      <c r="Y438">
        <v>9200</v>
      </c>
      <c r="Z438" t="str">
        <f>Units!B$15</f>
        <v>$ (Equipment)</v>
      </c>
      <c r="AA438">
        <f>Units!C$15</f>
        <v>1</v>
      </c>
      <c r="AB438">
        <f>Units!D$15</f>
        <v>1</v>
      </c>
      <c r="AC438" t="str">
        <f>Units!E$15</f>
        <v>$ (Equipment)</v>
      </c>
      <c r="AD438" t="str">
        <f>Units!F$15</f>
        <v>$ (Equipment)</v>
      </c>
      <c r="AE438" t="str">
        <f>Units!G$15</f>
        <v>$ (Equipment)</v>
      </c>
      <c r="AF438" t="str">
        <f>Units!H$15</f>
        <v>$ (Equipment)</v>
      </c>
    </row>
    <row r="439" spans="1:32" x14ac:dyDescent="0.3">
      <c r="A439" s="710" t="s">
        <v>1546</v>
      </c>
      <c r="B439" t="s">
        <v>1547</v>
      </c>
      <c r="C439" s="124" t="str">
        <f t="shared" si="242"/>
        <v>UDV.econ_tractor.160hp</v>
      </c>
      <c r="D439" s="1091">
        <f t="shared" si="245"/>
        <v>283300</v>
      </c>
      <c r="E439" s="1093" t="str">
        <f t="shared" si="246"/>
        <v>$ (Equipment)</v>
      </c>
      <c r="F439" s="1095">
        <f t="shared" ref="F439:F445" si="252">IF(OR(G439="",N439=0),H439,G439)</f>
        <v>283300</v>
      </c>
      <c r="H439" s="1101">
        <f t="shared" si="247"/>
        <v>283300</v>
      </c>
      <c r="I439" s="956" t="str">
        <f t="shared" si="248"/>
        <v>$ (Equipment)</v>
      </c>
      <c r="J439" t="s">
        <v>660</v>
      </c>
      <c r="L439">
        <f t="shared" si="239"/>
        <v>198300</v>
      </c>
      <c r="M439">
        <f t="shared" si="240"/>
        <v>368200</v>
      </c>
      <c r="N439">
        <f t="shared" si="250"/>
        <v>0</v>
      </c>
      <c r="O439" t="s">
        <v>1548</v>
      </c>
      <c r="P439" t="s">
        <v>1549</v>
      </c>
      <c r="Q439" t="s">
        <v>1222</v>
      </c>
      <c r="R439" s="711"/>
      <c r="S439" t="s">
        <v>84</v>
      </c>
      <c r="V439" t="str">
        <f t="shared" si="251"/>
        <v/>
      </c>
      <c r="W439">
        <v>283300</v>
      </c>
      <c r="X439">
        <v>198300</v>
      </c>
      <c r="Y439">
        <v>368200</v>
      </c>
      <c r="Z439" t="str">
        <f>Units!B$15</f>
        <v>$ (Equipment)</v>
      </c>
      <c r="AA439">
        <f>Units!C$15</f>
        <v>1</v>
      </c>
      <c r="AB439">
        <f>Units!D$15</f>
        <v>1</v>
      </c>
      <c r="AC439" t="str">
        <f>Units!E$15</f>
        <v>$ (Equipment)</v>
      </c>
      <c r="AD439" t="str">
        <f>Units!F$15</f>
        <v>$ (Equipment)</v>
      </c>
      <c r="AE439" t="str">
        <f>Units!G$15</f>
        <v>$ (Equipment)</v>
      </c>
      <c r="AF439" t="str">
        <f>Units!H$15</f>
        <v>$ (Equipment)</v>
      </c>
    </row>
    <row r="440" spans="1:32" x14ac:dyDescent="0.3">
      <c r="A440" s="710" t="s">
        <v>1546</v>
      </c>
      <c r="B440" t="s">
        <v>1550</v>
      </c>
      <c r="C440" s="124" t="str">
        <f t="shared" si="242"/>
        <v>UDV.econ_tractor.180hp</v>
      </c>
      <c r="D440" s="1091">
        <f t="shared" si="245"/>
        <v>313600</v>
      </c>
      <c r="E440" s="1093" t="str">
        <f t="shared" si="246"/>
        <v>$ (Equipment)</v>
      </c>
      <c r="F440" s="1095">
        <f t="shared" si="252"/>
        <v>313600</v>
      </c>
      <c r="H440" s="1101">
        <f t="shared" si="247"/>
        <v>313600</v>
      </c>
      <c r="I440" s="956" t="str">
        <f t="shared" si="248"/>
        <v>$ (Equipment)</v>
      </c>
      <c r="J440" t="s">
        <v>660</v>
      </c>
      <c r="L440">
        <f t="shared" si="239"/>
        <v>219500</v>
      </c>
      <c r="M440">
        <f t="shared" si="240"/>
        <v>407700</v>
      </c>
      <c r="N440">
        <f t="shared" si="250"/>
        <v>0</v>
      </c>
      <c r="O440" t="s">
        <v>1548</v>
      </c>
      <c r="P440" t="s">
        <v>1551</v>
      </c>
      <c r="Q440" t="s">
        <v>1222</v>
      </c>
      <c r="R440" s="711"/>
      <c r="S440" t="s">
        <v>84</v>
      </c>
      <c r="V440" t="str">
        <f t="shared" si="251"/>
        <v/>
      </c>
      <c r="W440">
        <v>313600</v>
      </c>
      <c r="X440">
        <v>219500</v>
      </c>
      <c r="Y440">
        <v>407700</v>
      </c>
      <c r="Z440" t="str">
        <f>Units!B$15</f>
        <v>$ (Equipment)</v>
      </c>
      <c r="AA440">
        <f>Units!C$15</f>
        <v>1</v>
      </c>
      <c r="AB440">
        <f>Units!D$15</f>
        <v>1</v>
      </c>
      <c r="AC440" t="str">
        <f>Units!E$15</f>
        <v>$ (Equipment)</v>
      </c>
      <c r="AD440" t="str">
        <f>Units!F$15</f>
        <v>$ (Equipment)</v>
      </c>
      <c r="AE440" t="str">
        <f>Units!G$15</f>
        <v>$ (Equipment)</v>
      </c>
      <c r="AF440" t="str">
        <f>Units!H$15</f>
        <v>$ (Equipment)</v>
      </c>
    </row>
    <row r="441" spans="1:32" x14ac:dyDescent="0.3">
      <c r="A441" s="710" t="s">
        <v>1546</v>
      </c>
      <c r="B441" t="s">
        <v>1552</v>
      </c>
      <c r="C441" s="124" t="str">
        <f t="shared" si="242"/>
        <v>UDV.econ_tractor.250hp</v>
      </c>
      <c r="D441" s="1091">
        <f t="shared" si="245"/>
        <v>404700</v>
      </c>
      <c r="E441" s="1093" t="str">
        <f t="shared" si="246"/>
        <v>$ (Equipment)</v>
      </c>
      <c r="F441" s="1095">
        <f t="shared" si="252"/>
        <v>404700</v>
      </c>
      <c r="H441" s="1101">
        <f t="shared" si="247"/>
        <v>404700</v>
      </c>
      <c r="I441" s="956" t="str">
        <f t="shared" si="248"/>
        <v>$ (Equipment)</v>
      </c>
      <c r="J441" t="s">
        <v>660</v>
      </c>
      <c r="L441">
        <f t="shared" si="239"/>
        <v>283300</v>
      </c>
      <c r="M441">
        <f t="shared" si="240"/>
        <v>526100</v>
      </c>
      <c r="N441">
        <f t="shared" si="250"/>
        <v>0</v>
      </c>
      <c r="O441" t="s">
        <v>1548</v>
      </c>
      <c r="P441" t="s">
        <v>1553</v>
      </c>
      <c r="Q441" t="s">
        <v>1222</v>
      </c>
      <c r="R441" s="711"/>
      <c r="S441" t="s">
        <v>84</v>
      </c>
      <c r="V441" t="str">
        <f t="shared" si="251"/>
        <v/>
      </c>
      <c r="W441">
        <v>404700</v>
      </c>
      <c r="X441">
        <v>283300</v>
      </c>
      <c r="Y441">
        <v>526100</v>
      </c>
      <c r="Z441" t="str">
        <f>Units!B$15</f>
        <v>$ (Equipment)</v>
      </c>
      <c r="AA441">
        <f>Units!C$15</f>
        <v>1</v>
      </c>
      <c r="AB441">
        <f>Units!D$15</f>
        <v>1</v>
      </c>
      <c r="AC441" t="str">
        <f>Units!E$15</f>
        <v>$ (Equipment)</v>
      </c>
      <c r="AD441" t="str">
        <f>Units!F$15</f>
        <v>$ (Equipment)</v>
      </c>
      <c r="AE441" t="str">
        <f>Units!G$15</f>
        <v>$ (Equipment)</v>
      </c>
      <c r="AF441" t="str">
        <f>Units!H$15</f>
        <v>$ (Equipment)</v>
      </c>
    </row>
    <row r="442" spans="1:32" x14ac:dyDescent="0.3">
      <c r="A442" s="710" t="s">
        <v>1546</v>
      </c>
      <c r="B442" t="s">
        <v>1554</v>
      </c>
      <c r="C442" s="124" t="str">
        <f t="shared" si="242"/>
        <v>UDV.econ_tractor.340hp</v>
      </c>
      <c r="D442" s="1091">
        <f t="shared" si="245"/>
        <v>490700</v>
      </c>
      <c r="E442" s="1093" t="str">
        <f t="shared" si="246"/>
        <v>$ (Equipment)</v>
      </c>
      <c r="F442" s="1095">
        <f t="shared" si="252"/>
        <v>490700</v>
      </c>
      <c r="H442" s="1101">
        <f t="shared" si="247"/>
        <v>490700</v>
      </c>
      <c r="I442" s="956" t="str">
        <f t="shared" si="248"/>
        <v>$ (Equipment)</v>
      </c>
      <c r="J442" t="s">
        <v>660</v>
      </c>
      <c r="L442">
        <f t="shared" si="239"/>
        <v>343500</v>
      </c>
      <c r="M442">
        <f t="shared" si="240"/>
        <v>637900</v>
      </c>
      <c r="N442">
        <f t="shared" si="250"/>
        <v>0</v>
      </c>
      <c r="O442" t="s">
        <v>1548</v>
      </c>
      <c r="P442" t="s">
        <v>1555</v>
      </c>
      <c r="Q442" t="s">
        <v>1222</v>
      </c>
      <c r="R442" s="711"/>
      <c r="S442" t="s">
        <v>84</v>
      </c>
      <c r="V442" t="str">
        <f t="shared" si="251"/>
        <v/>
      </c>
      <c r="W442">
        <v>490700</v>
      </c>
      <c r="X442">
        <v>343500</v>
      </c>
      <c r="Y442">
        <v>637900</v>
      </c>
      <c r="Z442" t="str">
        <f>Units!B$15</f>
        <v>$ (Equipment)</v>
      </c>
      <c r="AA442">
        <f>Units!C$15</f>
        <v>1</v>
      </c>
      <c r="AB442">
        <f>Units!D$15</f>
        <v>1</v>
      </c>
      <c r="AC442" t="str">
        <f>Units!E$15</f>
        <v>$ (Equipment)</v>
      </c>
      <c r="AD442" t="str">
        <f>Units!F$15</f>
        <v>$ (Equipment)</v>
      </c>
      <c r="AE442" t="str">
        <f>Units!G$15</f>
        <v>$ (Equipment)</v>
      </c>
      <c r="AF442" t="str">
        <f>Units!H$15</f>
        <v>$ (Equipment)</v>
      </c>
    </row>
    <row r="443" spans="1:32" s="34" customFormat="1" x14ac:dyDescent="0.3">
      <c r="A443" s="710" t="s">
        <v>1546</v>
      </c>
      <c r="B443" t="s">
        <v>1556</v>
      </c>
      <c r="C443" s="124" t="str">
        <f t="shared" si="242"/>
        <v>UDV.econ_tractor.580hp</v>
      </c>
      <c r="D443" s="1091">
        <f t="shared" si="245"/>
        <v>637400</v>
      </c>
      <c r="E443" s="1093" t="str">
        <f t="shared" si="246"/>
        <v>$ (Equipment)</v>
      </c>
      <c r="F443" s="1095">
        <f t="shared" si="252"/>
        <v>637400</v>
      </c>
      <c r="G443" s="1098"/>
      <c r="H443" s="1101">
        <f t="shared" si="247"/>
        <v>637400</v>
      </c>
      <c r="I443" s="956" t="str">
        <f t="shared" si="248"/>
        <v>$ (Equipment)</v>
      </c>
      <c r="J443" t="s">
        <v>660</v>
      </c>
      <c r="K443"/>
      <c r="L443">
        <f t="shared" si="239"/>
        <v>446100</v>
      </c>
      <c r="M443">
        <f t="shared" si="240"/>
        <v>828600</v>
      </c>
      <c r="N443">
        <f t="shared" si="250"/>
        <v>0</v>
      </c>
      <c r="O443" t="s">
        <v>1548</v>
      </c>
      <c r="P443" t="s">
        <v>1557</v>
      </c>
      <c r="Q443" t="s">
        <v>1222</v>
      </c>
      <c r="R443" s="711"/>
      <c r="S443" t="s">
        <v>84</v>
      </c>
      <c r="T443" s="127"/>
      <c r="U443"/>
      <c r="V443" t="str">
        <f t="shared" si="251"/>
        <v/>
      </c>
      <c r="W443">
        <v>637400</v>
      </c>
      <c r="X443">
        <v>446100</v>
      </c>
      <c r="Y443">
        <v>828600</v>
      </c>
      <c r="Z443" t="str">
        <f>Units!B$15</f>
        <v>$ (Equipment)</v>
      </c>
      <c r="AA443">
        <f>Units!C$15</f>
        <v>1</v>
      </c>
      <c r="AB443">
        <f>Units!D$15</f>
        <v>1</v>
      </c>
      <c r="AC443" t="str">
        <f>Units!E$15</f>
        <v>$ (Equipment)</v>
      </c>
      <c r="AD443" t="str">
        <f>Units!F$15</f>
        <v>$ (Equipment)</v>
      </c>
      <c r="AE443" t="str">
        <f>Units!G$15</f>
        <v>$ (Equipment)</v>
      </c>
      <c r="AF443" t="str">
        <f>Units!H$15</f>
        <v>$ (Equipment)</v>
      </c>
    </row>
    <row r="444" spans="1:32" s="34" customFormat="1" x14ac:dyDescent="0.3">
      <c r="A444" s="710" t="s">
        <v>1546</v>
      </c>
      <c r="B444" t="s">
        <v>1558</v>
      </c>
      <c r="C444" s="124" t="str">
        <f t="shared" si="242"/>
        <v>UDV.econ_tractor.85hp</v>
      </c>
      <c r="D444" s="1091">
        <f t="shared" si="245"/>
        <v>111300</v>
      </c>
      <c r="E444" s="1093" t="str">
        <f t="shared" si="246"/>
        <v>$ (Equipment)</v>
      </c>
      <c r="F444" s="1095">
        <f t="shared" si="252"/>
        <v>111300</v>
      </c>
      <c r="G444" s="1098"/>
      <c r="H444" s="1101">
        <f t="shared" si="247"/>
        <v>111300</v>
      </c>
      <c r="I444" s="956" t="str">
        <f t="shared" si="248"/>
        <v>$ (Equipment)</v>
      </c>
      <c r="J444" t="s">
        <v>660</v>
      </c>
      <c r="K444"/>
      <c r="L444">
        <f t="shared" si="239"/>
        <v>77900</v>
      </c>
      <c r="M444">
        <f t="shared" si="240"/>
        <v>144700</v>
      </c>
      <c r="N444">
        <f t="shared" si="250"/>
        <v>0</v>
      </c>
      <c r="O444" t="s">
        <v>1548</v>
      </c>
      <c r="P444" t="s">
        <v>1559</v>
      </c>
      <c r="Q444" t="s">
        <v>1222</v>
      </c>
      <c r="R444" s="711"/>
      <c r="S444" t="s">
        <v>84</v>
      </c>
      <c r="T444" s="127"/>
      <c r="U444"/>
      <c r="V444" t="str">
        <f t="shared" si="251"/>
        <v/>
      </c>
      <c r="W444">
        <v>111300</v>
      </c>
      <c r="X444">
        <v>77900</v>
      </c>
      <c r="Y444">
        <v>144700</v>
      </c>
      <c r="Z444" t="str">
        <f>Units!B$15</f>
        <v>$ (Equipment)</v>
      </c>
      <c r="AA444">
        <f>Units!C$15</f>
        <v>1</v>
      </c>
      <c r="AB444">
        <f>Units!D$15</f>
        <v>1</v>
      </c>
      <c r="AC444" t="str">
        <f>Units!E$15</f>
        <v>$ (Equipment)</v>
      </c>
      <c r="AD444" t="str">
        <f>Units!F$15</f>
        <v>$ (Equipment)</v>
      </c>
      <c r="AE444" t="str">
        <f>Units!G$15</f>
        <v>$ (Equipment)</v>
      </c>
      <c r="AF444" t="str">
        <f>Units!H$15</f>
        <v>$ (Equipment)</v>
      </c>
    </row>
    <row r="445" spans="1:32" s="34" customFormat="1" x14ac:dyDescent="0.3">
      <c r="A445" s="710" t="s">
        <v>1546</v>
      </c>
      <c r="B445" t="s">
        <v>1560</v>
      </c>
      <c r="C445" s="124" t="str">
        <f t="shared" si="242"/>
        <v>UDV.econ_tractor.94hp</v>
      </c>
      <c r="D445" s="1091">
        <f t="shared" si="245"/>
        <v>136600</v>
      </c>
      <c r="E445" s="1093" t="str">
        <f t="shared" si="246"/>
        <v>$ (Equipment)</v>
      </c>
      <c r="F445" s="1095">
        <f t="shared" si="252"/>
        <v>136600</v>
      </c>
      <c r="G445" s="1098"/>
      <c r="H445" s="1101">
        <f t="shared" si="247"/>
        <v>136600</v>
      </c>
      <c r="I445" s="956" t="str">
        <f t="shared" si="248"/>
        <v>$ (Equipment)</v>
      </c>
      <c r="J445" t="s">
        <v>660</v>
      </c>
      <c r="K445"/>
      <c r="L445">
        <f t="shared" si="239"/>
        <v>95600</v>
      </c>
      <c r="M445">
        <f t="shared" si="240"/>
        <v>177500</v>
      </c>
      <c r="N445">
        <f t="shared" si="250"/>
        <v>0</v>
      </c>
      <c r="O445" t="s">
        <v>1548</v>
      </c>
      <c r="P445" t="s">
        <v>1561</v>
      </c>
      <c r="Q445" t="s">
        <v>1222</v>
      </c>
      <c r="R445" s="711"/>
      <c r="S445" t="s">
        <v>84</v>
      </c>
      <c r="T445" s="127"/>
      <c r="U445"/>
      <c r="V445" t="str">
        <f t="shared" si="251"/>
        <v/>
      </c>
      <c r="W445">
        <v>136600</v>
      </c>
      <c r="X445">
        <v>95600</v>
      </c>
      <c r="Y445">
        <v>177500</v>
      </c>
      <c r="Z445" t="str">
        <f>Units!B$15</f>
        <v>$ (Equipment)</v>
      </c>
      <c r="AA445">
        <f>Units!C$15</f>
        <v>1</v>
      </c>
      <c r="AB445">
        <f>Units!D$15</f>
        <v>1</v>
      </c>
      <c r="AC445" t="str">
        <f>Units!E$15</f>
        <v>$ (Equipment)</v>
      </c>
      <c r="AD445" t="str">
        <f>Units!F$15</f>
        <v>$ (Equipment)</v>
      </c>
      <c r="AE445" t="str">
        <f>Units!G$15</f>
        <v>$ (Equipment)</v>
      </c>
      <c r="AF445" t="str">
        <f>Units!H$15</f>
        <v>$ (Equipment)</v>
      </c>
    </row>
    <row r="446" spans="1:32" s="34" customFormat="1" x14ac:dyDescent="0.3">
      <c r="A446" s="710" t="s">
        <v>1562</v>
      </c>
      <c r="B446" t="s">
        <v>1234</v>
      </c>
      <c r="C446" s="124" t="str">
        <f t="shared" si="242"/>
        <v>UDV.econ_transfer_channel.chain</v>
      </c>
      <c r="D446" s="1091">
        <f t="shared" si="245"/>
        <v>51</v>
      </c>
      <c r="E446" s="1093" t="str">
        <f t="shared" si="246"/>
        <v>$/ft</v>
      </c>
      <c r="F446" s="1095">
        <f t="shared" ref="F446:F453" si="253">IF(OR(G446="",N446=0),H446,G446)</f>
        <v>51</v>
      </c>
      <c r="G446" s="1098"/>
      <c r="H446" s="1101">
        <f t="shared" si="247"/>
        <v>51</v>
      </c>
      <c r="I446" s="956" t="str">
        <f t="shared" si="248"/>
        <v>$/ft</v>
      </c>
      <c r="J446" t="s">
        <v>660</v>
      </c>
      <c r="K446"/>
      <c r="L446">
        <f t="shared" si="239"/>
        <v>35</v>
      </c>
      <c r="M446">
        <f t="shared" si="240"/>
        <v>66</v>
      </c>
      <c r="N446">
        <f t="shared" si="250"/>
        <v>0</v>
      </c>
      <c r="O446" t="s">
        <v>1563</v>
      </c>
      <c r="P446" t="s">
        <v>1564</v>
      </c>
      <c r="Q446" t="s">
        <v>1237</v>
      </c>
      <c r="R446" s="711"/>
      <c r="S446"/>
      <c r="T446" s="127"/>
      <c r="U446"/>
      <c r="V446" t="str">
        <f t="shared" si="251"/>
        <v/>
      </c>
      <c r="W446">
        <v>51</v>
      </c>
      <c r="X446">
        <v>35</v>
      </c>
      <c r="Y446">
        <v>66</v>
      </c>
      <c r="Z446" t="str">
        <f>Units!B$19</f>
        <v>$/ft</v>
      </c>
      <c r="AA446">
        <f>Units!C$19</f>
        <v>1</v>
      </c>
      <c r="AB446">
        <f>Units!D$19</f>
        <v>1</v>
      </c>
      <c r="AC446" t="str">
        <f>Units!E$19</f>
        <v>$/ft</v>
      </c>
      <c r="AD446" t="str">
        <f>Units!F$19</f>
        <v>$/ft</v>
      </c>
      <c r="AE446" t="str">
        <f>Units!G$19</f>
        <v>$/m</v>
      </c>
      <c r="AF446" t="str">
        <f>Units!H$19</f>
        <v>$/ft</v>
      </c>
    </row>
    <row r="447" spans="1:32" x14ac:dyDescent="0.3">
      <c r="A447" s="710" t="s">
        <v>1562</v>
      </c>
      <c r="B447" t="s">
        <v>1238</v>
      </c>
      <c r="C447" s="124" t="str">
        <f t="shared" si="242"/>
        <v>UDV.econ_transfer_channel.install</v>
      </c>
      <c r="D447" s="1091">
        <f t="shared" si="245"/>
        <v>0.74</v>
      </c>
      <c r="E447" s="1093" t="str">
        <f t="shared" si="246"/>
        <v>fraction</v>
      </c>
      <c r="F447" s="1095">
        <f t="shared" si="253"/>
        <v>0.74</v>
      </c>
      <c r="H447" s="1101">
        <f t="shared" si="247"/>
        <v>0.74</v>
      </c>
      <c r="I447" s="956" t="str">
        <f t="shared" si="248"/>
        <v>fraction</v>
      </c>
      <c r="J447" t="s">
        <v>660</v>
      </c>
      <c r="L447">
        <f t="shared" si="239"/>
        <v>0.52</v>
      </c>
      <c r="M447">
        <f t="shared" si="240"/>
        <v>0.96</v>
      </c>
      <c r="N447">
        <f t="shared" si="250"/>
        <v>0</v>
      </c>
      <c r="O447" t="s">
        <v>1563</v>
      </c>
      <c r="P447" t="s">
        <v>1565</v>
      </c>
      <c r="Q447" t="s">
        <v>1237</v>
      </c>
      <c r="R447" s="711"/>
      <c r="V447" t="str">
        <f t="shared" si="251"/>
        <v/>
      </c>
      <c r="W447">
        <v>0.74</v>
      </c>
      <c r="X447">
        <v>0.52</v>
      </c>
      <c r="Y447">
        <v>0.96</v>
      </c>
      <c r="Z447" t="str">
        <f>Units!B$35</f>
        <v>fraction</v>
      </c>
      <c r="AA447">
        <f>Units!C$35</f>
        <v>1</v>
      </c>
      <c r="AB447">
        <f>Units!D$35</f>
        <v>1</v>
      </c>
      <c r="AC447" t="str">
        <f>Units!E$35</f>
        <v>fraction</v>
      </c>
      <c r="AD447" t="str">
        <f>Units!F$35</f>
        <v>fraction</v>
      </c>
      <c r="AE447" t="str">
        <f>Units!G$35</f>
        <v>fraction</v>
      </c>
      <c r="AF447" t="str">
        <f>Units!H$35</f>
        <v>fraction</v>
      </c>
    </row>
    <row r="448" spans="1:32" x14ac:dyDescent="0.3">
      <c r="A448" s="710" t="s">
        <v>1562</v>
      </c>
      <c r="B448" t="s">
        <v>1566</v>
      </c>
      <c r="C448" s="124" t="str">
        <f t="shared" si="242"/>
        <v>UDV.econ_transfer_channel.pipe_and_install</v>
      </c>
      <c r="D448" s="944">
        <f t="shared" si="245"/>
        <v>35</v>
      </c>
      <c r="E448" s="125" t="str">
        <f t="shared" si="246"/>
        <v>$/ft</v>
      </c>
      <c r="F448" s="944">
        <f t="shared" si="253"/>
        <v>35</v>
      </c>
      <c r="G448" s="126"/>
      <c r="H448">
        <f t="shared" si="247"/>
        <v>35</v>
      </c>
      <c r="I448" s="1325" t="str">
        <f t="shared" si="248"/>
        <v>$/ft</v>
      </c>
      <c r="J448" t="s">
        <v>660</v>
      </c>
      <c r="K448" s="124"/>
      <c r="L448">
        <f t="shared" si="239"/>
        <v>15</v>
      </c>
      <c r="M448">
        <f t="shared" si="240"/>
        <v>66</v>
      </c>
      <c r="N448">
        <f>IF(AND(M448 - G448 &gt;= 0, G448 - L448 &gt;=0),1,0)</f>
        <v>0</v>
      </c>
      <c r="O448" t="s">
        <v>1567</v>
      </c>
      <c r="P448" t="s">
        <v>1568</v>
      </c>
      <c r="Q448" t="s">
        <v>1222</v>
      </c>
      <c r="R448" s="711"/>
      <c r="V448" t="str">
        <f t="shared" si="251"/>
        <v/>
      </c>
      <c r="W448">
        <v>35</v>
      </c>
      <c r="X448">
        <v>15</v>
      </c>
      <c r="Y448">
        <v>66</v>
      </c>
      <c r="Z448" t="str">
        <f>Units!B$19</f>
        <v>$/ft</v>
      </c>
      <c r="AA448">
        <f>Units!C$19</f>
        <v>1</v>
      </c>
      <c r="AB448">
        <f>Units!D$19</f>
        <v>1</v>
      </c>
      <c r="AC448" t="str">
        <f>Units!E$19</f>
        <v>$/ft</v>
      </c>
      <c r="AD448" t="str">
        <f>Units!F$19</f>
        <v>$/ft</v>
      </c>
      <c r="AE448" t="str">
        <f>Units!G$19</f>
        <v>$/m</v>
      </c>
      <c r="AF448" t="str">
        <f>Units!H$19</f>
        <v>$/ft</v>
      </c>
    </row>
    <row r="449" spans="1:32" x14ac:dyDescent="0.3">
      <c r="A449" s="710" t="s">
        <v>1569</v>
      </c>
      <c r="B449" t="s">
        <v>1291</v>
      </c>
      <c r="C449" s="124" t="str">
        <f t="shared" si="242"/>
        <v>UDV.econ_transfer_trolley.20.0ft</v>
      </c>
      <c r="D449" s="1091">
        <f t="shared" si="245"/>
        <v>32000</v>
      </c>
      <c r="E449" s="1093" t="str">
        <f t="shared" si="246"/>
        <v>$/ft2</v>
      </c>
      <c r="F449" s="1109">
        <f t="shared" si="253"/>
        <v>32000</v>
      </c>
      <c r="H449" s="1101">
        <f t="shared" si="247"/>
        <v>32000</v>
      </c>
      <c r="I449" s="956" t="str">
        <f t="shared" si="248"/>
        <v>$/ft2</v>
      </c>
      <c r="J449" t="s">
        <v>660</v>
      </c>
      <c r="L449">
        <f t="shared" si="239"/>
        <v>22400</v>
      </c>
      <c r="M449">
        <f t="shared" si="240"/>
        <v>41600</v>
      </c>
      <c r="N449">
        <f>IF(AND(G449&lt;=M449, G449&gt;=L449),1,0)</f>
        <v>0</v>
      </c>
      <c r="O449" t="s">
        <v>1570</v>
      </c>
      <c r="P449" t="s">
        <v>1571</v>
      </c>
      <c r="Q449" t="s">
        <v>1222</v>
      </c>
      <c r="R449" s="711"/>
      <c r="V449" t="str">
        <f t="shared" si="251"/>
        <v/>
      </c>
      <c r="W449" s="78">
        <v>32000</v>
      </c>
      <c r="X449">
        <v>22400</v>
      </c>
      <c r="Y449">
        <v>41600</v>
      </c>
      <c r="Z449" t="str">
        <f>Units!B$17</f>
        <v>$/ft2</v>
      </c>
      <c r="AA449">
        <f>Units!C$17</f>
        <v>1</v>
      </c>
      <c r="AB449">
        <f>Units!D$17</f>
        <v>1</v>
      </c>
      <c r="AC449" t="str">
        <f>Units!E$17</f>
        <v>$/ft2</v>
      </c>
      <c r="AD449" t="str">
        <f>Units!F$17</f>
        <v>$/ft2</v>
      </c>
      <c r="AE449" t="str">
        <f>Units!G$17</f>
        <v>$/m2</v>
      </c>
      <c r="AF449" t="str">
        <f>Units!H$17</f>
        <v>$/ft2</v>
      </c>
    </row>
    <row r="450" spans="1:32" s="128" customFormat="1" x14ac:dyDescent="0.3">
      <c r="A450" s="710" t="s">
        <v>1569</v>
      </c>
      <c r="B450" t="s">
        <v>1294</v>
      </c>
      <c r="C450" s="124" t="str">
        <f t="shared" si="242"/>
        <v>UDV.econ_transfer_trolley.9.8ft</v>
      </c>
      <c r="D450" s="1091">
        <f t="shared" si="245"/>
        <v>21300</v>
      </c>
      <c r="E450" s="1093" t="str">
        <f t="shared" si="246"/>
        <v>$/ft2</v>
      </c>
      <c r="F450" s="1109">
        <f t="shared" si="253"/>
        <v>21300</v>
      </c>
      <c r="G450" s="1098"/>
      <c r="H450" s="1101">
        <f t="shared" si="247"/>
        <v>21300</v>
      </c>
      <c r="I450" s="956" t="str">
        <f t="shared" si="248"/>
        <v>$/ft2</v>
      </c>
      <c r="J450" t="s">
        <v>660</v>
      </c>
      <c r="K450"/>
      <c r="L450">
        <f t="shared" si="239"/>
        <v>14900</v>
      </c>
      <c r="M450">
        <f t="shared" si="240"/>
        <v>27800</v>
      </c>
      <c r="N450">
        <f>IF(AND(G450&lt;=M450, G450&gt;=L450),1,0)</f>
        <v>0</v>
      </c>
      <c r="O450" t="s">
        <v>1570</v>
      </c>
      <c r="P450" t="s">
        <v>1572</v>
      </c>
      <c r="Q450" t="s">
        <v>1222</v>
      </c>
      <c r="R450" s="711"/>
      <c r="S450"/>
      <c r="T450" s="127"/>
      <c r="U450"/>
      <c r="V450" t="str">
        <f t="shared" si="251"/>
        <v/>
      </c>
      <c r="W450" s="78">
        <v>21300</v>
      </c>
      <c r="X450">
        <v>14900</v>
      </c>
      <c r="Y450">
        <v>27800</v>
      </c>
      <c r="Z450" t="str">
        <f>Units!B$17</f>
        <v>$/ft2</v>
      </c>
      <c r="AA450">
        <f>Units!C$17</f>
        <v>1</v>
      </c>
      <c r="AB450">
        <f>Units!D$17</f>
        <v>1</v>
      </c>
      <c r="AC450" t="str">
        <f>Units!E$17</f>
        <v>$/ft2</v>
      </c>
      <c r="AD450" t="str">
        <f>Units!F$17</f>
        <v>$/ft2</v>
      </c>
      <c r="AE450" t="str">
        <f>Units!G$17</f>
        <v>$/m2</v>
      </c>
      <c r="AF450" t="str">
        <f>Units!H$17</f>
        <v>$/ft2</v>
      </c>
    </row>
    <row r="451" spans="1:32" x14ac:dyDescent="0.3">
      <c r="A451" s="710" t="s">
        <v>1573</v>
      </c>
      <c r="B451" t="s">
        <v>1574</v>
      </c>
      <c r="C451" s="124" t="str">
        <f t="shared" si="242"/>
        <v>UDV.econ_truck.pickup</v>
      </c>
      <c r="D451" s="1091">
        <f t="shared" si="245"/>
        <v>58700</v>
      </c>
      <c r="E451" s="1093" t="str">
        <f t="shared" si="246"/>
        <v>$ (Equipment)</v>
      </c>
      <c r="F451" s="1109">
        <f t="shared" si="253"/>
        <v>58700</v>
      </c>
      <c r="H451" s="1101">
        <f t="shared" si="247"/>
        <v>58700</v>
      </c>
      <c r="I451" s="956" t="str">
        <f t="shared" si="248"/>
        <v>$ (Equipment)</v>
      </c>
      <c r="J451" t="s">
        <v>660</v>
      </c>
      <c r="L451">
        <f t="shared" si="239"/>
        <v>33400</v>
      </c>
      <c r="M451">
        <f t="shared" si="240"/>
        <v>84000</v>
      </c>
      <c r="N451">
        <f>IF(AND(G451&lt;=M451, G451&gt;=L451),1,0)</f>
        <v>0</v>
      </c>
      <c r="O451" t="s">
        <v>1575</v>
      </c>
      <c r="P451" t="s">
        <v>1576</v>
      </c>
      <c r="Q451" t="s">
        <v>1222</v>
      </c>
      <c r="R451" s="711"/>
      <c r="S451" t="s">
        <v>84</v>
      </c>
      <c r="V451" t="str">
        <f t="shared" si="251"/>
        <v/>
      </c>
      <c r="W451">
        <v>58700</v>
      </c>
      <c r="X451">
        <v>33400</v>
      </c>
      <c r="Y451">
        <v>84000</v>
      </c>
      <c r="Z451" t="str">
        <f>Units!B$15</f>
        <v>$ (Equipment)</v>
      </c>
      <c r="AA451">
        <f>Units!C$15</f>
        <v>1</v>
      </c>
      <c r="AB451">
        <f>Units!D$15</f>
        <v>1</v>
      </c>
      <c r="AC451" t="str">
        <f>Units!E$15</f>
        <v>$ (Equipment)</v>
      </c>
      <c r="AD451" t="str">
        <f>Units!F$15</f>
        <v>$ (Equipment)</v>
      </c>
      <c r="AE451" t="str">
        <f>Units!G$15</f>
        <v>$ (Equipment)</v>
      </c>
      <c r="AF451" t="str">
        <f>Units!H$15</f>
        <v>$ (Equipment)</v>
      </c>
    </row>
    <row r="452" spans="1:32" x14ac:dyDescent="0.3">
      <c r="A452" t="s">
        <v>1577</v>
      </c>
      <c r="B452" t="s">
        <v>84</v>
      </c>
      <c r="C452" s="124" t="str">
        <f t="shared" si="242"/>
        <v>UDV.effluent_AD_pond.N</v>
      </c>
      <c r="D452" s="944">
        <f t="shared" si="245"/>
        <v>0.35</v>
      </c>
      <c r="E452" s="125" t="str">
        <f t="shared" si="246"/>
        <v>fraction</v>
      </c>
      <c r="F452" s="944">
        <f t="shared" si="253"/>
        <v>0.35</v>
      </c>
      <c r="G452" s="126"/>
      <c r="H452">
        <f t="shared" si="247"/>
        <v>0.35</v>
      </c>
      <c r="I452" s="1325" t="str">
        <f t="shared" si="248"/>
        <v>fraction</v>
      </c>
      <c r="J452" t="s">
        <v>660</v>
      </c>
      <c r="K452" s="124"/>
      <c r="L452">
        <f t="shared" si="239"/>
        <v>0.1</v>
      </c>
      <c r="M452">
        <f t="shared" si="240"/>
        <v>0.5</v>
      </c>
      <c r="N452">
        <f>IF(AND(M452 - G452 &gt;= 0, G452 - L452 &gt;=0),1,0)</f>
        <v>0</v>
      </c>
      <c r="O452" t="s">
        <v>1578</v>
      </c>
      <c r="P452" t="s">
        <v>1579</v>
      </c>
      <c r="R452" s="711"/>
      <c r="V452" t="str">
        <f t="shared" si="251"/>
        <v/>
      </c>
      <c r="W452">
        <v>0.35</v>
      </c>
      <c r="X452">
        <v>0.1</v>
      </c>
      <c r="Y452">
        <v>0.5</v>
      </c>
      <c r="Z452" t="str">
        <f>Units!B$35</f>
        <v>fraction</v>
      </c>
      <c r="AA452">
        <f>Units!C$35</f>
        <v>1</v>
      </c>
      <c r="AB452">
        <f>Units!D$35</f>
        <v>1</v>
      </c>
      <c r="AC452" t="str">
        <f>Units!E$35</f>
        <v>fraction</v>
      </c>
      <c r="AD452" t="str">
        <f>Units!F$35</f>
        <v>fraction</v>
      </c>
      <c r="AE452" t="str">
        <f>Units!G$35</f>
        <v>fraction</v>
      </c>
      <c r="AF452" t="str">
        <f>Units!H$35</f>
        <v>fraction</v>
      </c>
    </row>
    <row r="453" spans="1:32" x14ac:dyDescent="0.3">
      <c r="A453" t="s">
        <v>1580</v>
      </c>
      <c r="B453" t="s">
        <v>84</v>
      </c>
      <c r="C453" s="124" t="str">
        <f t="shared" si="242"/>
        <v>UDV.effluent_CL_pond.N</v>
      </c>
      <c r="D453" s="944">
        <f t="shared" si="245"/>
        <v>0.35</v>
      </c>
      <c r="E453" s="125" t="str">
        <f t="shared" si="246"/>
        <v>fraction</v>
      </c>
      <c r="F453" s="944">
        <f t="shared" si="253"/>
        <v>0.35</v>
      </c>
      <c r="G453" s="126"/>
      <c r="H453">
        <f t="shared" si="247"/>
        <v>0.35</v>
      </c>
      <c r="I453" s="1325" t="str">
        <f t="shared" si="248"/>
        <v>fraction</v>
      </c>
      <c r="J453" t="s">
        <v>660</v>
      </c>
      <c r="K453" s="124"/>
      <c r="L453">
        <f t="shared" si="239"/>
        <v>0.1</v>
      </c>
      <c r="M453">
        <f t="shared" si="240"/>
        <v>0.5</v>
      </c>
      <c r="N453">
        <f>IF(AND(M453 - G453 &gt;= 0, G453 - L453 &gt;=0),1,0)</f>
        <v>0</v>
      </c>
      <c r="O453" t="s">
        <v>1578</v>
      </c>
      <c r="P453" t="s">
        <v>1579</v>
      </c>
      <c r="R453" s="711"/>
      <c r="V453" t="str">
        <f t="shared" si="251"/>
        <v/>
      </c>
      <c r="W453">
        <v>0.35</v>
      </c>
      <c r="X453">
        <v>0.1</v>
      </c>
      <c r="Y453">
        <v>0.5</v>
      </c>
      <c r="Z453" t="str">
        <f>Units!B$35</f>
        <v>fraction</v>
      </c>
      <c r="AA453">
        <f>Units!C$35</f>
        <v>1</v>
      </c>
      <c r="AB453">
        <f>Units!D$35</f>
        <v>1</v>
      </c>
      <c r="AC453" t="str">
        <f>Units!E$35</f>
        <v>fraction</v>
      </c>
      <c r="AD453" t="str">
        <f>Units!F$35</f>
        <v>fraction</v>
      </c>
      <c r="AE453" t="str">
        <f>Units!G$35</f>
        <v>fraction</v>
      </c>
      <c r="AF453" t="str">
        <f>Units!H$35</f>
        <v>fraction</v>
      </c>
    </row>
    <row r="454" spans="1:32" x14ac:dyDescent="0.3">
      <c r="A454" t="s">
        <v>1581</v>
      </c>
      <c r="B454" t="s">
        <v>1582</v>
      </c>
      <c r="C454" s="124" t="str">
        <f t="shared" si="242"/>
        <v>UDV.electricity.avg_cost</v>
      </c>
      <c r="D454" s="1594">
        <f t="shared" si="245"/>
        <v>6.8591666666666662E-2</v>
      </c>
      <c r="E454" s="1093" t="str">
        <f t="shared" ref="E454:E534" si="254">$AD454</f>
        <v>$/kWh</v>
      </c>
      <c r="F454" s="1095">
        <f>UI.OpExpenses!BC106</f>
        <v>6.8591666666666662E-2</v>
      </c>
      <c r="G454" s="1098" t="str">
        <f>UI.OpExpenses!BD106</f>
        <v/>
      </c>
      <c r="H454" s="1101">
        <f t="shared" ref="H454:H534" si="255">$W454*$AA454</f>
        <v>6.8591666666666662E-2</v>
      </c>
      <c r="I454" s="956" t="str">
        <f t="shared" ref="I454:I534" si="256">$AC454</f>
        <v>$/kWh</v>
      </c>
      <c r="J454" t="s">
        <v>688</v>
      </c>
      <c r="K454" t="s">
        <v>1315</v>
      </c>
      <c r="L454">
        <f>ROUNDDOWN($X454*$AA454,5)</f>
        <v>1.2619999999999999E-2</v>
      </c>
      <c r="M454">
        <f>ROUNDUP($Y454*$AA454,5)</f>
        <v>1.8839999999999999</v>
      </c>
      <c r="N454">
        <f>IF(AND(G454&lt;=M454, G454&gt;=L454),1,0)</f>
        <v>0</v>
      </c>
      <c r="O454" t="s">
        <v>1583</v>
      </c>
      <c r="P454" t="s">
        <v>1584</v>
      </c>
      <c r="R454" s="696" t="s">
        <v>84</v>
      </c>
      <c r="V454" t="str">
        <f t="shared" si="251"/>
        <v/>
      </c>
      <c r="W454" s="78">
        <f>INDEX('Utilities&amp;Labor'!$E$4:$E$54,MATCH(UDV.u.state,'Utilities&amp;Labor'!$A$4:$A$54,0))</f>
        <v>6.8591666666666662E-2</v>
      </c>
      <c r="X454">
        <f>MIN('Utilities&amp;Labor'!$C$4:$C$54)*0.25</f>
        <v>1.2624999999999999E-2</v>
      </c>
      <c r="Y454">
        <f>MAX('Utilities&amp;Labor'!$D$4:$D$54)*5</f>
        <v>1.8840000000000001</v>
      </c>
      <c r="Z454" t="str">
        <f>Units!B$23</f>
        <v>$/kWh</v>
      </c>
      <c r="AA454">
        <f>Units!C$23</f>
        <v>1</v>
      </c>
      <c r="AB454">
        <f>Units!D$23</f>
        <v>1</v>
      </c>
      <c r="AC454" t="str">
        <f>Units!E$23</f>
        <v>$/kWh</v>
      </c>
      <c r="AD454" t="str">
        <f>Units!F$23</f>
        <v>$/kWh</v>
      </c>
      <c r="AE454" t="str">
        <f>Units!G$23</f>
        <v>$/kWh</v>
      </c>
      <c r="AF454" t="str">
        <f>Units!H$23</f>
        <v>$/kWh</v>
      </c>
    </row>
    <row r="455" spans="1:32" x14ac:dyDescent="0.3">
      <c r="A455" t="s">
        <v>1058</v>
      </c>
      <c r="B455" t="s">
        <v>1585</v>
      </c>
      <c r="C455" s="124" t="str">
        <f t="shared" si="242"/>
        <v>UDV.emit_CH4.combustion_ratio</v>
      </c>
      <c r="D455" s="944">
        <f t="shared" si="245"/>
        <v>2.75</v>
      </c>
      <c r="E455" s="125" t="str">
        <f t="shared" si="254"/>
        <v>kg CO2/kg CH4</v>
      </c>
      <c r="F455" s="944">
        <f t="shared" ref="F455:F456" si="257">IF(OR(G455="",N455=0),H455,G455)</f>
        <v>2.75</v>
      </c>
      <c r="G455" s="126"/>
      <c r="H455">
        <f t="shared" si="255"/>
        <v>2.75</v>
      </c>
      <c r="I455" s="1325" t="str">
        <f t="shared" si="256"/>
        <v>lb CO2/lb CH4</v>
      </c>
      <c r="J455" t="s">
        <v>743</v>
      </c>
      <c r="K455" s="124"/>
      <c r="N455">
        <f>IF(ISNUMBER(G455),1,0)</f>
        <v>0</v>
      </c>
      <c r="O455" t="s">
        <v>1586</v>
      </c>
      <c r="P455" t="s">
        <v>1587</v>
      </c>
      <c r="R455" s="711"/>
      <c r="S455" t="s">
        <v>84</v>
      </c>
      <c r="W455">
        <v>2.75</v>
      </c>
      <c r="Z455" t="str">
        <f>Units!B$74</f>
        <v>kg CO2/kg CH4</v>
      </c>
      <c r="AA455">
        <f>Units!C$74</f>
        <v>1</v>
      </c>
      <c r="AB455">
        <f>Units!D$74</f>
        <v>1</v>
      </c>
      <c r="AC455" t="str">
        <f>Units!E$74</f>
        <v>lb CO2/lb CH4</v>
      </c>
      <c r="AD455" t="str">
        <f>Units!F$74</f>
        <v>kg CO2/kg CH4</v>
      </c>
      <c r="AE455" t="str">
        <f>Units!G$74</f>
        <v>kg CO2/kg CH4</v>
      </c>
      <c r="AF455" t="str">
        <f>Units!H$74</f>
        <v>lb CO2/lb CH4</v>
      </c>
    </row>
    <row r="456" spans="1:32" x14ac:dyDescent="0.3">
      <c r="A456" t="s">
        <v>1058</v>
      </c>
      <c r="B456" t="s">
        <v>956</v>
      </c>
      <c r="C456" s="124" t="str">
        <f t="shared" si="242"/>
        <v>UDV.emit_CH4.density</v>
      </c>
      <c r="D456" s="944">
        <f t="shared" si="245"/>
        <v>0.66199999999999992</v>
      </c>
      <c r="E456" s="125" t="str">
        <f t="shared" si="254"/>
        <v>kg/m3</v>
      </c>
      <c r="F456" s="1330">
        <f t="shared" si="257"/>
        <v>4.1327314840591316E-2</v>
      </c>
      <c r="G456" s="1334"/>
      <c r="H456" s="78">
        <f t="shared" si="255"/>
        <v>4.1327314840591316E-2</v>
      </c>
      <c r="I456" s="1325" t="str">
        <f t="shared" si="256"/>
        <v>lb/ft3</v>
      </c>
      <c r="J456" t="s">
        <v>743</v>
      </c>
      <c r="K456" s="124"/>
      <c r="N456">
        <f>IF(ISNUMBER(G456),1,0)</f>
        <v>0</v>
      </c>
      <c r="O456" t="s">
        <v>1586</v>
      </c>
      <c r="P456" t="s">
        <v>1588</v>
      </c>
      <c r="R456" s="711"/>
      <c r="V456" t="str">
        <f t="shared" ref="V456" si="258">IF(OR((M456-L456)&lt;=0,H456&gt;M456,H456&lt;L456),"Fix","")</f>
        <v>Fix</v>
      </c>
      <c r="W456">
        <v>0.66200000000000003</v>
      </c>
      <c r="Z456" t="str">
        <f>Units!B$89</f>
        <v>kg/m3</v>
      </c>
      <c r="AA456">
        <f>Units!C$89</f>
        <v>6.2427968037147001E-2</v>
      </c>
      <c r="AB456">
        <f>Units!D$89</f>
        <v>16.018461459533043</v>
      </c>
      <c r="AC456" t="str">
        <f>Units!E$89</f>
        <v>lb/ft3</v>
      </c>
      <c r="AD456" t="str">
        <f>Units!F$89</f>
        <v>kg/m3</v>
      </c>
      <c r="AE456" t="str">
        <f>Units!G$89</f>
        <v>kg/m3</v>
      </c>
      <c r="AF456" t="str">
        <f>Units!H$89</f>
        <v>lb/ft3</v>
      </c>
    </row>
    <row r="457" spans="1:32" x14ac:dyDescent="0.3">
      <c r="A457" t="s">
        <v>1058</v>
      </c>
      <c r="B457" t="s">
        <v>1589</v>
      </c>
      <c r="C457" s="124" t="str">
        <f t="shared" si="242"/>
        <v>UDV.emit_CH4.BD</v>
      </c>
      <c r="D457" s="1091">
        <f t="shared" si="245"/>
        <v>0.47999999999999993</v>
      </c>
      <c r="E457" s="1093" t="str">
        <f t="shared" si="254"/>
        <v>m3 CH4 / kg VS</v>
      </c>
      <c r="F457" s="1095">
        <f t="shared" ref="F457:F535" si="259">IF(OR(G457="",N457=0),H457,G457)</f>
        <v>37.370646251798753</v>
      </c>
      <c r="H457" s="1101">
        <f t="shared" si="255"/>
        <v>37.370646251798753</v>
      </c>
      <c r="I457" s="956" t="str">
        <f t="shared" si="256"/>
        <v>ft3 CH4 / lb VS</v>
      </c>
      <c r="J457" s="132" t="s">
        <v>736</v>
      </c>
      <c r="K457" s="132"/>
      <c r="M457">
        <f t="shared" ref="M457" si="260">ROUNDUP($Y457*$AA457,3)</f>
        <v>50.606999999999999</v>
      </c>
      <c r="N457">
        <f>IF(AND(G457&lt;=M457),1,0)</f>
        <v>1</v>
      </c>
      <c r="O457" t="s">
        <v>1586</v>
      </c>
      <c r="P457" t="s">
        <v>1590</v>
      </c>
      <c r="Q457" s="8" t="s">
        <v>1591</v>
      </c>
      <c r="V457" t="str">
        <f t="shared" si="251"/>
        <v/>
      </c>
      <c r="W457" s="78">
        <v>0.48</v>
      </c>
      <c r="X457">
        <v>0</v>
      </c>
      <c r="Y457">
        <v>0.65</v>
      </c>
      <c r="Z457" t="str">
        <f>Units!B$139</f>
        <v>m3 CH4 / kg VS</v>
      </c>
      <c r="AA457">
        <f>Units!C$139</f>
        <v>77.855513024580745</v>
      </c>
      <c r="AB457">
        <f>Units!D$139</f>
        <v>1.2844305575178438E-2</v>
      </c>
      <c r="AC457" t="str">
        <f>Units!E$139</f>
        <v>ft3 CH4 / lb VS</v>
      </c>
      <c r="AD457" t="str">
        <f>Units!F$139</f>
        <v>m3 CH4 / kg VS</v>
      </c>
      <c r="AE457" t="str">
        <f>Units!G$139</f>
        <v>m3 CH4 / kg VS</v>
      </c>
      <c r="AF457" t="str">
        <f>Units!H$139</f>
        <v>ft3 CH4 / lb VS</v>
      </c>
    </row>
    <row r="458" spans="1:32" x14ac:dyDescent="0.3">
      <c r="A458" t="s">
        <v>1058</v>
      </c>
      <c r="B458" t="s">
        <v>1592</v>
      </c>
      <c r="C458" s="124" t="str">
        <f t="shared" si="242"/>
        <v>UDV.emit_CH4.CO2e_cf</v>
      </c>
      <c r="D458" s="944">
        <f t="shared" si="245"/>
        <v>30</v>
      </c>
      <c r="E458" s="125" t="str">
        <f t="shared" si="254"/>
        <v>kg CO2e/kg CH4</v>
      </c>
      <c r="F458" s="944">
        <f t="shared" si="259"/>
        <v>30</v>
      </c>
      <c r="G458" s="126"/>
      <c r="H458">
        <f t="shared" si="255"/>
        <v>30</v>
      </c>
      <c r="I458" s="1325" t="str">
        <f t="shared" si="256"/>
        <v>lb CO2e/lb CH4</v>
      </c>
      <c r="J458" t="s">
        <v>743</v>
      </c>
      <c r="K458" s="124"/>
      <c r="N458">
        <f>IF(ISNUMBER(G458),1,0)</f>
        <v>0</v>
      </c>
      <c r="O458" t="s">
        <v>1586</v>
      </c>
      <c r="P458" t="s">
        <v>1593</v>
      </c>
      <c r="R458" s="711"/>
      <c r="S458" t="s">
        <v>84</v>
      </c>
      <c r="W458">
        <v>30</v>
      </c>
      <c r="Z458" t="str">
        <f>Units!B$75</f>
        <v>kg CO2e/kg CH4</v>
      </c>
      <c r="AA458">
        <f>Units!C$75</f>
        <v>1</v>
      </c>
      <c r="AB458">
        <f>Units!D$75</f>
        <v>1</v>
      </c>
      <c r="AC458" t="str">
        <f>Units!E$75</f>
        <v>lb CO2e/lb CH4</v>
      </c>
      <c r="AD458" t="str">
        <f>Units!F$75</f>
        <v>kg CO2e/kg CH4</v>
      </c>
      <c r="AE458" t="str">
        <f>Units!G$75</f>
        <v>kg CO2e/kg CH4</v>
      </c>
      <c r="AF458" t="str">
        <f>Units!H$75</f>
        <v>lb CO2e/lb CH4</v>
      </c>
    </row>
    <row r="459" spans="1:32" x14ac:dyDescent="0.3">
      <c r="A459" t="s">
        <v>1058</v>
      </c>
      <c r="B459" t="s">
        <v>1594</v>
      </c>
      <c r="C459" s="124" t="str">
        <f t="shared" si="242"/>
        <v>UDV.emit_CH4.IPCC</v>
      </c>
      <c r="D459" s="1091">
        <f t="shared" si="245"/>
        <v>0.66199999999999992</v>
      </c>
      <c r="E459" s="1093" t="str">
        <f t="shared" si="254"/>
        <v>kg/m3</v>
      </c>
      <c r="F459" s="1095">
        <f t="shared" si="259"/>
        <v>4.1327314840591316E-2</v>
      </c>
      <c r="H459" s="1101">
        <f t="shared" si="255"/>
        <v>4.1327314840591316E-2</v>
      </c>
      <c r="I459" s="956" t="str">
        <f t="shared" si="256"/>
        <v>lb/ft3</v>
      </c>
      <c r="J459" t="s">
        <v>673</v>
      </c>
      <c r="N459">
        <f>IF(AND(G459&lt;=M459, G459&gt;=L459),1,0)</f>
        <v>1</v>
      </c>
      <c r="O459" t="s">
        <v>1586</v>
      </c>
      <c r="P459" t="s">
        <v>1595</v>
      </c>
      <c r="V459" t="str">
        <f t="shared" ref="V459:V478" si="261">IF(OR((M459-L459)&lt;=0,H459&gt;M459,H459&lt;L459),"Fix","")</f>
        <v>Fix</v>
      </c>
      <c r="W459" s="78">
        <v>0.66200000000000003</v>
      </c>
      <c r="X459">
        <v>0</v>
      </c>
      <c r="Z459" t="str">
        <f>Units!B$89</f>
        <v>kg/m3</v>
      </c>
      <c r="AA459">
        <f>Units!C$89</f>
        <v>6.2427968037147001E-2</v>
      </c>
      <c r="AB459">
        <f>Units!D$89</f>
        <v>16.018461459533043</v>
      </c>
      <c r="AC459" t="str">
        <f>Units!E$89</f>
        <v>lb/ft3</v>
      </c>
      <c r="AD459" t="str">
        <f>Units!F$89</f>
        <v>kg/m3</v>
      </c>
      <c r="AE459" t="str">
        <f>Units!G$89</f>
        <v>kg/m3</v>
      </c>
      <c r="AF459" t="str">
        <f>Units!H$89</f>
        <v>lb/ft3</v>
      </c>
    </row>
    <row r="460" spans="1:32" x14ac:dyDescent="0.3">
      <c r="A460" t="s">
        <v>1058</v>
      </c>
      <c r="B460" t="s">
        <v>1596</v>
      </c>
      <c r="C460" s="124" t="str">
        <f t="shared" si="242"/>
        <v>UDV.emit_CH4.MCF</v>
      </c>
      <c r="D460" s="1091">
        <f t="shared" si="245"/>
        <v>0.79</v>
      </c>
      <c r="E460" s="1093" t="str">
        <f t="shared" si="254"/>
        <v>fraction</v>
      </c>
      <c r="F460" s="1095">
        <f t="shared" si="259"/>
        <v>0.79</v>
      </c>
      <c r="H460" s="1101">
        <f t="shared" si="255"/>
        <v>0.79</v>
      </c>
      <c r="I460" s="956" t="str">
        <f t="shared" si="256"/>
        <v>fraction</v>
      </c>
      <c r="J460" t="s">
        <v>736</v>
      </c>
      <c r="L460">
        <f t="shared" ref="L460:L474" si="262">ROUNDDOWN($X460*$AA460,3)</f>
        <v>0</v>
      </c>
      <c r="M460">
        <f t="shared" ref="M460:M476" si="263">ROUNDUP($Y460*$AA460,3)</f>
        <v>0.99</v>
      </c>
      <c r="N460">
        <f t="shared" ref="N460:N468" si="264">IF(AND(G460&lt;=M460),1,0)</f>
        <v>1</v>
      </c>
      <c r="O460" t="s">
        <v>1586</v>
      </c>
      <c r="P460" t="s">
        <v>1597</v>
      </c>
      <c r="V460" t="str">
        <f t="shared" si="261"/>
        <v/>
      </c>
      <c r="W460" s="78">
        <v>0.79</v>
      </c>
      <c r="X460">
        <v>0</v>
      </c>
      <c r="Y460">
        <v>0.99</v>
      </c>
      <c r="Z460" t="str">
        <f>Units!B$35</f>
        <v>fraction</v>
      </c>
      <c r="AA460">
        <f>Units!C$35</f>
        <v>1</v>
      </c>
      <c r="AB460">
        <f>Units!D$35</f>
        <v>1</v>
      </c>
      <c r="AC460" t="str">
        <f>Units!E$35</f>
        <v>fraction</v>
      </c>
      <c r="AD460" t="str">
        <f>Units!F$35</f>
        <v>fraction</v>
      </c>
      <c r="AE460" t="str">
        <f>Units!G$35</f>
        <v>fraction</v>
      </c>
      <c r="AF460" t="str">
        <f>Units!H$35</f>
        <v>fraction</v>
      </c>
    </row>
    <row r="461" spans="1:32" x14ac:dyDescent="0.3">
      <c r="A461" s="128" t="s">
        <v>1058</v>
      </c>
      <c r="B461" t="s">
        <v>1598</v>
      </c>
      <c r="C461" s="124" t="str">
        <f t="shared" ref="C461:C471" si="265">_xlfn.CONCAT("UDV.",A461,".",B461)</f>
        <v>UDV.emit_CH4.MCF_anaer_lagoon</v>
      </c>
      <c r="D461" s="1091">
        <f t="shared" si="245"/>
        <v>0.6</v>
      </c>
      <c r="E461" s="1093" t="str">
        <f t="shared" si="254"/>
        <v>fraction</v>
      </c>
      <c r="F461" s="1095">
        <f t="shared" ref="F461:F471" si="266">IF(OR(G461="",N461=0),H461,G461)</f>
        <v>0.6</v>
      </c>
      <c r="H461" s="1101">
        <f t="shared" si="255"/>
        <v>0.6</v>
      </c>
      <c r="I461" s="956" t="str">
        <f t="shared" si="256"/>
        <v>fraction</v>
      </c>
      <c r="J461" t="s">
        <v>688</v>
      </c>
      <c r="L461">
        <f t="shared" si="262"/>
        <v>0</v>
      </c>
      <c r="M461">
        <f t="shared" si="263"/>
        <v>0.99</v>
      </c>
      <c r="N461">
        <f t="shared" si="264"/>
        <v>1</v>
      </c>
      <c r="O461" t="s">
        <v>1586</v>
      </c>
      <c r="P461" t="s">
        <v>1599</v>
      </c>
      <c r="V461" t="str">
        <f t="shared" ref="V461:V471" si="267">IF(OR((M461-L461)&lt;=0,H461&gt;M461,H461&lt;L461),"Fix","")</f>
        <v/>
      </c>
      <c r="W461" s="78">
        <f>T.MCF!B49</f>
        <v>0.6</v>
      </c>
      <c r="X461">
        <v>0</v>
      </c>
      <c r="Y461">
        <v>0.99</v>
      </c>
      <c r="Z461" t="str">
        <f>Units!B$35</f>
        <v>fraction</v>
      </c>
      <c r="AA461">
        <f>Units!C$35</f>
        <v>1</v>
      </c>
      <c r="AB461">
        <f>Units!D$35</f>
        <v>1</v>
      </c>
      <c r="AC461" t="str">
        <f>Units!E$35</f>
        <v>fraction</v>
      </c>
      <c r="AD461" t="str">
        <f>Units!F$35</f>
        <v>fraction</v>
      </c>
      <c r="AE461" t="str">
        <f>Units!G$35</f>
        <v>fraction</v>
      </c>
      <c r="AF461" t="str">
        <f>Units!H$35</f>
        <v>fraction</v>
      </c>
    </row>
    <row r="462" spans="1:32" x14ac:dyDescent="0.3">
      <c r="A462" s="128" t="s">
        <v>1058</v>
      </c>
      <c r="B462" t="s">
        <v>1600</v>
      </c>
      <c r="C462" s="124" t="str">
        <f t="shared" si="265"/>
        <v>UDV.emit_CH4.MCF_slurry_dpss</v>
      </c>
      <c r="D462" s="1091">
        <f t="shared" si="245"/>
        <v>0.31094801</v>
      </c>
      <c r="E462" s="1093" t="str">
        <f t="shared" si="254"/>
        <v>fraction</v>
      </c>
      <c r="F462" s="1095">
        <f t="shared" si="266"/>
        <v>0.31094801</v>
      </c>
      <c r="H462" s="1101">
        <f t="shared" si="255"/>
        <v>0.31094801</v>
      </c>
      <c r="I462" s="956" t="str">
        <f t="shared" si="256"/>
        <v>fraction</v>
      </c>
      <c r="J462" t="s">
        <v>688</v>
      </c>
      <c r="L462">
        <f t="shared" si="262"/>
        <v>0</v>
      </c>
      <c r="M462">
        <f t="shared" si="263"/>
        <v>0.99</v>
      </c>
      <c r="N462">
        <f t="shared" si="264"/>
        <v>1</v>
      </c>
      <c r="O462" t="s">
        <v>1586</v>
      </c>
      <c r="P462" t="s">
        <v>1601</v>
      </c>
      <c r="V462" t="str">
        <f t="shared" si="267"/>
        <v/>
      </c>
      <c r="W462" s="78">
        <f>T.MCF!B50</f>
        <v>0.31094801</v>
      </c>
      <c r="X462">
        <v>0</v>
      </c>
      <c r="Y462">
        <v>0.99</v>
      </c>
      <c r="Z462" t="str">
        <f>Units!B$35</f>
        <v>fraction</v>
      </c>
      <c r="AA462">
        <f>Units!C$35</f>
        <v>1</v>
      </c>
      <c r="AB462">
        <f>Units!D$35</f>
        <v>1</v>
      </c>
      <c r="AC462" t="str">
        <f>Units!E$35</f>
        <v>fraction</v>
      </c>
      <c r="AD462" t="str">
        <f>Units!F$35</f>
        <v>fraction</v>
      </c>
      <c r="AE462" t="str">
        <f>Units!G$35</f>
        <v>fraction</v>
      </c>
      <c r="AF462" t="str">
        <f>Units!H$35</f>
        <v>fraction</v>
      </c>
    </row>
    <row r="463" spans="1:32" x14ac:dyDescent="0.3">
      <c r="A463" s="128" t="s">
        <v>1058</v>
      </c>
      <c r="B463" t="s">
        <v>1602</v>
      </c>
      <c r="C463" s="124" t="str">
        <f t="shared" ref="C463:C468" si="268">_xlfn.CONCAT("UDV.",A463,".",B463)</f>
        <v>UDV.emit_CH4.MCF_slurry_dpss_aerated</v>
      </c>
      <c r="D463" s="1091">
        <f t="shared" ref="D463:D468" si="269">$F463*$AB463</f>
        <v>0.155474005</v>
      </c>
      <c r="E463" s="1093" t="str">
        <f t="shared" ref="E463:E468" si="270">$AD463</f>
        <v>fraction</v>
      </c>
      <c r="F463" s="1095">
        <f t="shared" ref="F463:F468" si="271">IF(OR(G463="",N463=0),H463,G463)</f>
        <v>0.155474005</v>
      </c>
      <c r="H463" s="1101">
        <f t="shared" ref="H463:H468" si="272">$W463*$AA463</f>
        <v>0.155474005</v>
      </c>
      <c r="I463" s="956" t="str">
        <f t="shared" ref="I463:I468" si="273">$AC463</f>
        <v>fraction</v>
      </c>
      <c r="J463" t="s">
        <v>688</v>
      </c>
      <c r="L463">
        <f t="shared" si="262"/>
        <v>0</v>
      </c>
      <c r="M463">
        <f t="shared" ref="M463:M468" si="274">ROUNDUP($Y463*$AA463,3)</f>
        <v>0.99</v>
      </c>
      <c r="N463">
        <f t="shared" si="264"/>
        <v>1</v>
      </c>
      <c r="O463" t="s">
        <v>1586</v>
      </c>
      <c r="P463" t="s">
        <v>1603</v>
      </c>
      <c r="V463" t="str">
        <f t="shared" ref="V463:V468" si="275">IF(OR((M463-L463)&lt;=0,H463&gt;M463,H463&lt;L463),"Fix","")</f>
        <v/>
      </c>
      <c r="W463" s="78">
        <f>T.MCF!B62</f>
        <v>0.155474005</v>
      </c>
      <c r="X463">
        <v>0</v>
      </c>
      <c r="Y463">
        <v>0.99</v>
      </c>
      <c r="Z463" t="str">
        <f>Units!B$35</f>
        <v>fraction</v>
      </c>
      <c r="AA463">
        <f>Units!C$35</f>
        <v>1</v>
      </c>
      <c r="AB463">
        <f>Units!D$35</f>
        <v>1</v>
      </c>
      <c r="AC463" t="str">
        <f>Units!E$35</f>
        <v>fraction</v>
      </c>
      <c r="AD463" t="str">
        <f>Units!F$35</f>
        <v>fraction</v>
      </c>
      <c r="AE463" t="str">
        <f>Units!G$35</f>
        <v>fraction</v>
      </c>
      <c r="AF463" t="str">
        <f>Units!H$35</f>
        <v>fraction</v>
      </c>
    </row>
    <row r="464" spans="1:32" x14ac:dyDescent="0.3">
      <c r="A464" s="128" t="s">
        <v>1058</v>
      </c>
      <c r="B464" t="s">
        <v>1604</v>
      </c>
      <c r="C464" s="124" t="str">
        <f t="shared" si="268"/>
        <v>UDV.emit_CH4.MCF_shallow_flush</v>
      </c>
      <c r="D464" s="1091">
        <f t="shared" si="269"/>
        <v>2.9721110000000002E-2</v>
      </c>
      <c r="E464" s="1093" t="str">
        <f t="shared" si="270"/>
        <v>fraction</v>
      </c>
      <c r="F464" s="1095">
        <f t="shared" si="271"/>
        <v>2.9721110000000002E-2</v>
      </c>
      <c r="H464" s="1101">
        <f t="shared" si="272"/>
        <v>2.9721110000000002E-2</v>
      </c>
      <c r="I464" s="956" t="str">
        <f t="shared" si="273"/>
        <v>fraction</v>
      </c>
      <c r="J464" t="s">
        <v>688</v>
      </c>
      <c r="L464">
        <f t="shared" si="262"/>
        <v>0</v>
      </c>
      <c r="M464">
        <f t="shared" si="274"/>
        <v>0.99</v>
      </c>
      <c r="N464">
        <f t="shared" si="264"/>
        <v>1</v>
      </c>
      <c r="O464" t="s">
        <v>1586</v>
      </c>
      <c r="P464" t="s">
        <v>1605</v>
      </c>
      <c r="V464" t="str">
        <f t="shared" si="275"/>
        <v/>
      </c>
      <c r="W464" s="78">
        <f>T.MCF!B51</f>
        <v>2.9721110000000002E-2</v>
      </c>
      <c r="X464">
        <v>0</v>
      </c>
      <c r="Y464">
        <v>0.99</v>
      </c>
      <c r="Z464" t="str">
        <f>Units!B$35</f>
        <v>fraction</v>
      </c>
      <c r="AA464">
        <f>Units!C$35</f>
        <v>1</v>
      </c>
      <c r="AB464">
        <f>Units!D$35</f>
        <v>1</v>
      </c>
      <c r="AC464" t="str">
        <f>Units!E$35</f>
        <v>fraction</v>
      </c>
      <c r="AD464" t="str">
        <f>Units!F$35</f>
        <v>fraction</v>
      </c>
      <c r="AE464" t="str">
        <f>Units!G$35</f>
        <v>fraction</v>
      </c>
      <c r="AF464" t="str">
        <f>Units!H$35</f>
        <v>fraction</v>
      </c>
    </row>
    <row r="465" spans="1:32" x14ac:dyDescent="0.3">
      <c r="A465" s="128" t="s">
        <v>1058</v>
      </c>
      <c r="B465" t="s">
        <v>1606</v>
      </c>
      <c r="C465" s="124" t="str">
        <f t="shared" si="268"/>
        <v>UDV.emit_CH4.MCF_shallow_scrape</v>
      </c>
      <c r="D465" s="1091">
        <f t="shared" si="269"/>
        <v>2.9721110000000002E-2</v>
      </c>
      <c r="E465" s="1093" t="str">
        <f t="shared" si="270"/>
        <v>fraction</v>
      </c>
      <c r="F465" s="1095">
        <f t="shared" si="271"/>
        <v>2.9721110000000002E-2</v>
      </c>
      <c r="H465" s="1101">
        <f t="shared" si="272"/>
        <v>2.9721110000000002E-2</v>
      </c>
      <c r="I465" s="956" t="str">
        <f t="shared" si="273"/>
        <v>fraction</v>
      </c>
      <c r="J465" t="s">
        <v>688</v>
      </c>
      <c r="L465">
        <f t="shared" si="262"/>
        <v>0</v>
      </c>
      <c r="M465">
        <f t="shared" si="274"/>
        <v>0.99</v>
      </c>
      <c r="N465">
        <f t="shared" si="264"/>
        <v>1</v>
      </c>
      <c r="O465" t="s">
        <v>1586</v>
      </c>
      <c r="P465" t="s">
        <v>1607</v>
      </c>
      <c r="V465" t="str">
        <f t="shared" si="275"/>
        <v/>
      </c>
      <c r="W465" s="78">
        <f>T.MCF!B52</f>
        <v>2.9721110000000002E-2</v>
      </c>
      <c r="X465">
        <v>0</v>
      </c>
      <c r="Y465">
        <v>0.99</v>
      </c>
      <c r="Z465" t="str">
        <f>Units!B$35</f>
        <v>fraction</v>
      </c>
      <c r="AA465">
        <f>Units!C$35</f>
        <v>1</v>
      </c>
      <c r="AB465">
        <f>Units!D$35</f>
        <v>1</v>
      </c>
      <c r="AC465" t="str">
        <f>Units!E$35</f>
        <v>fraction</v>
      </c>
      <c r="AD465" t="str">
        <f>Units!F$35</f>
        <v>fraction</v>
      </c>
      <c r="AE465" t="str">
        <f>Units!G$35</f>
        <v>fraction</v>
      </c>
      <c r="AF465" t="str">
        <f>Units!H$35</f>
        <v>fraction</v>
      </c>
    </row>
    <row r="466" spans="1:32" x14ac:dyDescent="0.3">
      <c r="A466" s="128" t="s">
        <v>1058</v>
      </c>
      <c r="B466" t="s">
        <v>1608</v>
      </c>
      <c r="C466" s="124" t="str">
        <f t="shared" si="268"/>
        <v>UDV.emit_CH4.MCF_shallow_scrape_compost</v>
      </c>
      <c r="D466" s="1091">
        <f t="shared" si="269"/>
        <v>4.6738810000000006E-2</v>
      </c>
      <c r="E466" s="1093" t="str">
        <f t="shared" si="270"/>
        <v>fraction</v>
      </c>
      <c r="F466" s="1095">
        <f t="shared" si="271"/>
        <v>4.6738810000000006E-2</v>
      </c>
      <c r="H466" s="1101">
        <f t="shared" si="272"/>
        <v>4.6738810000000006E-2</v>
      </c>
      <c r="I466" s="956" t="str">
        <f t="shared" si="273"/>
        <v>fraction</v>
      </c>
      <c r="J466" t="s">
        <v>688</v>
      </c>
      <c r="L466">
        <f t="shared" si="262"/>
        <v>0</v>
      </c>
      <c r="M466">
        <f t="shared" si="274"/>
        <v>0.99</v>
      </c>
      <c r="N466">
        <f t="shared" si="264"/>
        <v>1</v>
      </c>
      <c r="O466" t="s">
        <v>1586</v>
      </c>
      <c r="P466" t="s">
        <v>1609</v>
      </c>
      <c r="V466" t="str">
        <f t="shared" si="275"/>
        <v/>
      </c>
      <c r="W466" s="78">
        <f>T.MCF!B53</f>
        <v>4.6738810000000006E-2</v>
      </c>
      <c r="X466">
        <v>0</v>
      </c>
      <c r="Y466">
        <v>0.99</v>
      </c>
      <c r="Z466" t="str">
        <f>Units!B$35</f>
        <v>fraction</v>
      </c>
      <c r="AA466">
        <f>Units!C$35</f>
        <v>1</v>
      </c>
      <c r="AB466">
        <f>Units!D$35</f>
        <v>1</v>
      </c>
      <c r="AC466" t="str">
        <f>Units!E$35</f>
        <v>fraction</v>
      </c>
      <c r="AD466" t="str">
        <f>Units!F$35</f>
        <v>fraction</v>
      </c>
      <c r="AE466" t="str">
        <f>Units!G$35</f>
        <v>fraction</v>
      </c>
      <c r="AF466" t="str">
        <f>Units!H$35</f>
        <v>fraction</v>
      </c>
    </row>
    <row r="467" spans="1:32" x14ac:dyDescent="0.3">
      <c r="A467" s="128" t="s">
        <v>1058</v>
      </c>
      <c r="B467" t="s">
        <v>1610</v>
      </c>
      <c r="C467" s="124" t="str">
        <f t="shared" si="268"/>
        <v>UDV.emit_CH4.MCF_shallow_plug</v>
      </c>
      <c r="D467" s="1091">
        <f t="shared" si="269"/>
        <v>3.8291210000000006E-2</v>
      </c>
      <c r="E467" s="1093" t="str">
        <f t="shared" si="270"/>
        <v>fraction</v>
      </c>
      <c r="F467" s="1095">
        <f t="shared" si="271"/>
        <v>3.8291210000000006E-2</v>
      </c>
      <c r="H467" s="1101">
        <f t="shared" si="272"/>
        <v>3.8291210000000006E-2</v>
      </c>
      <c r="I467" s="956" t="str">
        <f t="shared" si="273"/>
        <v>fraction</v>
      </c>
      <c r="J467" t="s">
        <v>688</v>
      </c>
      <c r="L467">
        <f t="shared" si="262"/>
        <v>0</v>
      </c>
      <c r="M467">
        <f t="shared" si="274"/>
        <v>0.99</v>
      </c>
      <c r="N467">
        <f t="shared" si="264"/>
        <v>1</v>
      </c>
      <c r="O467" t="s">
        <v>1586</v>
      </c>
      <c r="P467" t="s">
        <v>1611</v>
      </c>
      <c r="V467" t="str">
        <f t="shared" si="275"/>
        <v/>
      </c>
      <c r="W467" s="78">
        <f>T.MCF!B54</f>
        <v>3.8291210000000006E-2</v>
      </c>
      <c r="X467">
        <v>0</v>
      </c>
      <c r="Y467">
        <v>0.99</v>
      </c>
      <c r="Z467" t="str">
        <f>Units!B$35</f>
        <v>fraction</v>
      </c>
      <c r="AA467">
        <f>Units!C$35</f>
        <v>1</v>
      </c>
      <c r="AB467">
        <f>Units!D$35</f>
        <v>1</v>
      </c>
      <c r="AC467" t="str">
        <f>Units!E$35</f>
        <v>fraction</v>
      </c>
      <c r="AD467" t="str">
        <f>Units!F$35</f>
        <v>fraction</v>
      </c>
      <c r="AE467" t="str">
        <f>Units!G$35</f>
        <v>fraction</v>
      </c>
      <c r="AF467" t="str">
        <f>Units!H$35</f>
        <v>fraction</v>
      </c>
    </row>
    <row r="468" spans="1:32" x14ac:dyDescent="0.3">
      <c r="A468" s="128" t="s">
        <v>1058</v>
      </c>
      <c r="B468" t="s">
        <v>1612</v>
      </c>
      <c r="C468" s="124" t="str">
        <f t="shared" si="268"/>
        <v>UDV.emit_CH4.MCF_storage_tank</v>
      </c>
      <c r="D468" s="1091">
        <f t="shared" si="269"/>
        <v>0.20562750999999999</v>
      </c>
      <c r="E468" s="1093" t="str">
        <f t="shared" si="270"/>
        <v>fraction</v>
      </c>
      <c r="F468" s="1095">
        <f t="shared" si="271"/>
        <v>0.20562750999999999</v>
      </c>
      <c r="H468" s="1101">
        <f t="shared" si="272"/>
        <v>0.20562750999999999</v>
      </c>
      <c r="I468" s="956" t="str">
        <f t="shared" si="273"/>
        <v>fraction</v>
      </c>
      <c r="J468" t="s">
        <v>688</v>
      </c>
      <c r="L468">
        <f t="shared" si="262"/>
        <v>0</v>
      </c>
      <c r="M468">
        <f t="shared" si="274"/>
        <v>0.99</v>
      </c>
      <c r="N468">
        <f t="shared" si="264"/>
        <v>1</v>
      </c>
      <c r="O468" t="s">
        <v>1586</v>
      </c>
      <c r="P468" t="s">
        <v>1613</v>
      </c>
      <c r="V468" t="str">
        <f t="shared" si="275"/>
        <v/>
      </c>
      <c r="W468" s="78">
        <f>T.MCF!B55</f>
        <v>0.20562750999999999</v>
      </c>
      <c r="X468">
        <v>0</v>
      </c>
      <c r="Y468">
        <v>0.99</v>
      </c>
      <c r="Z468" t="str">
        <f>Units!B$35</f>
        <v>fraction</v>
      </c>
      <c r="AA468">
        <f>Units!C$35</f>
        <v>1</v>
      </c>
      <c r="AB468">
        <f>Units!D$35</f>
        <v>1</v>
      </c>
      <c r="AC468" t="str">
        <f>Units!E$35</f>
        <v>fraction</v>
      </c>
      <c r="AD468" t="str">
        <f>Units!F$35</f>
        <v>fraction</v>
      </c>
      <c r="AE468" t="str">
        <f>Units!G$35</f>
        <v>fraction</v>
      </c>
      <c r="AF468" t="str">
        <f>Units!H$35</f>
        <v>fraction</v>
      </c>
    </row>
    <row r="469" spans="1:32" x14ac:dyDescent="0.3">
      <c r="A469" s="128" t="s">
        <v>1058</v>
      </c>
      <c r="B469" t="s">
        <v>1614</v>
      </c>
      <c r="C469" s="124" t="str">
        <f t="shared" si="265"/>
        <v>UDV.emit_CH4.MCF_solids</v>
      </c>
      <c r="D469" s="1091">
        <f t="shared" si="245"/>
        <v>0.02</v>
      </c>
      <c r="E469" s="1093" t="str">
        <f t="shared" si="254"/>
        <v>fraction</v>
      </c>
      <c r="F469" s="1095">
        <f t="shared" si="266"/>
        <v>0.02</v>
      </c>
      <c r="H469" s="1101">
        <f t="shared" si="255"/>
        <v>0.02</v>
      </c>
      <c r="I469" s="956" t="str">
        <f t="shared" si="256"/>
        <v>fraction</v>
      </c>
      <c r="J469" t="s">
        <v>688</v>
      </c>
      <c r="L469">
        <f t="shared" si="262"/>
        <v>0</v>
      </c>
      <c r="M469">
        <f t="shared" si="263"/>
        <v>0.99</v>
      </c>
      <c r="N469">
        <f t="shared" ref="N469:N476" si="276">IF(AND(G469&lt;=M469),1,0)</f>
        <v>1</v>
      </c>
      <c r="O469" t="s">
        <v>1586</v>
      </c>
      <c r="P469" t="s">
        <v>1615</v>
      </c>
      <c r="V469" t="str">
        <f t="shared" si="267"/>
        <v/>
      </c>
      <c r="W469" s="78">
        <f>T.MCF!B56</f>
        <v>0.02</v>
      </c>
      <c r="X469">
        <v>0</v>
      </c>
      <c r="Y469">
        <v>0.99</v>
      </c>
      <c r="Z469" t="str">
        <f>Units!B$35</f>
        <v>fraction</v>
      </c>
      <c r="AA469">
        <f>Units!C$35</f>
        <v>1</v>
      </c>
      <c r="AB469">
        <f>Units!D$35</f>
        <v>1</v>
      </c>
      <c r="AC469" t="str">
        <f>Units!E$35</f>
        <v>fraction</v>
      </c>
      <c r="AD469" t="str">
        <f>Units!F$35</f>
        <v>fraction</v>
      </c>
      <c r="AE469" t="str">
        <f>Units!G$35</f>
        <v>fraction</v>
      </c>
      <c r="AF469" t="str">
        <f>Units!H$35</f>
        <v>fraction</v>
      </c>
    </row>
    <row r="470" spans="1:32" x14ac:dyDescent="0.3">
      <c r="A470" s="128" t="s">
        <v>1058</v>
      </c>
      <c r="B470" t="s">
        <v>1616</v>
      </c>
      <c r="C470" s="124" t="str">
        <f t="shared" si="265"/>
        <v>UDV.emit_CH4.MCF_solids_cover_compact</v>
      </c>
      <c r="D470" s="1091">
        <f t="shared" si="245"/>
        <v>0.02</v>
      </c>
      <c r="E470" s="1093" t="str">
        <f t="shared" si="254"/>
        <v>fraction</v>
      </c>
      <c r="F470" s="1095">
        <f t="shared" si="266"/>
        <v>0.02</v>
      </c>
      <c r="H470" s="1101">
        <f t="shared" si="255"/>
        <v>0.02</v>
      </c>
      <c r="I470" s="956" t="str">
        <f t="shared" si="256"/>
        <v>fraction</v>
      </c>
      <c r="J470" t="s">
        <v>688</v>
      </c>
      <c r="L470">
        <f t="shared" si="262"/>
        <v>0</v>
      </c>
      <c r="M470">
        <f t="shared" si="263"/>
        <v>0.99</v>
      </c>
      <c r="N470">
        <f t="shared" si="276"/>
        <v>1</v>
      </c>
      <c r="O470" t="s">
        <v>1586</v>
      </c>
      <c r="P470" t="s">
        <v>1617</v>
      </c>
      <c r="V470" t="str">
        <f t="shared" si="267"/>
        <v/>
      </c>
      <c r="W470" s="78">
        <f>T.MCF!B57</f>
        <v>0.02</v>
      </c>
      <c r="X470">
        <v>0</v>
      </c>
      <c r="Y470">
        <v>0.99</v>
      </c>
      <c r="Z470" t="str">
        <f>Units!B$35</f>
        <v>fraction</v>
      </c>
      <c r="AA470">
        <f>Units!C$35</f>
        <v>1</v>
      </c>
      <c r="AB470">
        <f>Units!D$35</f>
        <v>1</v>
      </c>
      <c r="AC470" t="str">
        <f>Units!E$35</f>
        <v>fraction</v>
      </c>
      <c r="AD470" t="str">
        <f>Units!F$35</f>
        <v>fraction</v>
      </c>
      <c r="AE470" t="str">
        <f>Units!G$35</f>
        <v>fraction</v>
      </c>
      <c r="AF470" t="str">
        <f>Units!H$35</f>
        <v>fraction</v>
      </c>
    </row>
    <row r="471" spans="1:32" x14ac:dyDescent="0.3">
      <c r="A471" s="128" t="s">
        <v>1058</v>
      </c>
      <c r="B471" t="s">
        <v>1618</v>
      </c>
      <c r="C471" s="124" t="str">
        <f t="shared" si="265"/>
        <v>UDV.emit_CH4.MCF_windrow_compost_intense</v>
      </c>
      <c r="D471" s="1091">
        <f t="shared" si="245"/>
        <v>5.0000000000000001E-3</v>
      </c>
      <c r="E471" s="1093" t="str">
        <f t="shared" si="254"/>
        <v>fraction</v>
      </c>
      <c r="F471" s="1095">
        <f t="shared" si="266"/>
        <v>5.0000000000000001E-3</v>
      </c>
      <c r="H471" s="1101">
        <f t="shared" si="255"/>
        <v>5.0000000000000001E-3</v>
      </c>
      <c r="I471" s="956" t="str">
        <f t="shared" si="256"/>
        <v>fraction</v>
      </c>
      <c r="J471" t="s">
        <v>688</v>
      </c>
      <c r="L471">
        <f t="shared" si="262"/>
        <v>0</v>
      </c>
      <c r="M471">
        <f t="shared" si="263"/>
        <v>0.99</v>
      </c>
      <c r="N471">
        <f t="shared" si="276"/>
        <v>1</v>
      </c>
      <c r="O471" t="s">
        <v>1586</v>
      </c>
      <c r="P471" t="s">
        <v>1619</v>
      </c>
      <c r="V471" t="str">
        <f t="shared" si="267"/>
        <v/>
      </c>
      <c r="W471" s="78">
        <f>T.MCF!B58</f>
        <v>5.0000000000000001E-3</v>
      </c>
      <c r="X471">
        <v>0</v>
      </c>
      <c r="Y471">
        <v>0.99</v>
      </c>
      <c r="Z471" t="str">
        <f>Units!B$35</f>
        <v>fraction</v>
      </c>
      <c r="AA471">
        <f>Units!C$35</f>
        <v>1</v>
      </c>
      <c r="AB471">
        <f>Units!D$35</f>
        <v>1</v>
      </c>
      <c r="AC471" t="str">
        <f>Units!E$35</f>
        <v>fraction</v>
      </c>
      <c r="AD471" t="str">
        <f>Units!F$35</f>
        <v>fraction</v>
      </c>
      <c r="AE471" t="str">
        <f>Units!G$35</f>
        <v>fraction</v>
      </c>
      <c r="AF471" t="str">
        <f>Units!H$35</f>
        <v>fraction</v>
      </c>
    </row>
    <row r="472" spans="1:32" x14ac:dyDescent="0.3">
      <c r="A472" s="128" t="s">
        <v>1058</v>
      </c>
      <c r="B472" t="s">
        <v>1620</v>
      </c>
      <c r="C472" s="124" t="str">
        <f t="shared" ref="C472" si="277">_xlfn.CONCAT("UDV.",A472,".",B472)</f>
        <v>UDV.emit_CH4.MCF_windrow_compost_passive</v>
      </c>
      <c r="D472" s="1091">
        <f t="shared" si="245"/>
        <v>0.01</v>
      </c>
      <c r="E472" s="1093" t="str">
        <f t="shared" si="254"/>
        <v>fraction</v>
      </c>
      <c r="F472" s="1095">
        <f t="shared" ref="F472" si="278">IF(OR(G472="",N472=0),H472,G472)</f>
        <v>0.01</v>
      </c>
      <c r="H472" s="1101">
        <f t="shared" si="255"/>
        <v>0.01</v>
      </c>
      <c r="I472" s="956" t="str">
        <f t="shared" si="256"/>
        <v>fraction</v>
      </c>
      <c r="J472" t="s">
        <v>688</v>
      </c>
      <c r="L472">
        <f t="shared" si="262"/>
        <v>0</v>
      </c>
      <c r="M472">
        <f t="shared" si="263"/>
        <v>0.99</v>
      </c>
      <c r="N472">
        <f t="shared" si="276"/>
        <v>1</v>
      </c>
      <c r="O472" t="s">
        <v>1586</v>
      </c>
      <c r="P472" t="s">
        <v>1621</v>
      </c>
      <c r="V472" t="str">
        <f t="shared" ref="V472" si="279">IF(OR((M472-L472)&lt;=0,H472&gt;M472,H472&lt;L472),"Fix","")</f>
        <v/>
      </c>
      <c r="W472" s="78">
        <f>T.MCF!B59</f>
        <v>0.01</v>
      </c>
      <c r="X472">
        <v>0</v>
      </c>
      <c r="Y472">
        <v>0.99</v>
      </c>
      <c r="Z472" t="str">
        <f>Units!B$35</f>
        <v>fraction</v>
      </c>
      <c r="AA472">
        <f>Units!C$35</f>
        <v>1</v>
      </c>
      <c r="AB472">
        <f>Units!D$35</f>
        <v>1</v>
      </c>
      <c r="AC472" t="str">
        <f>Units!E$35</f>
        <v>fraction</v>
      </c>
      <c r="AD472" t="str">
        <f>Units!F$35</f>
        <v>fraction</v>
      </c>
      <c r="AE472" t="str">
        <f>Units!G$35</f>
        <v>fraction</v>
      </c>
      <c r="AF472" t="str">
        <f>Units!H$35</f>
        <v>fraction</v>
      </c>
    </row>
    <row r="473" spans="1:32" x14ac:dyDescent="0.3">
      <c r="A473" s="128" t="s">
        <v>1058</v>
      </c>
      <c r="B473" t="s">
        <v>1622</v>
      </c>
      <c r="C473" s="124" t="str">
        <f>_xlfn.CONCAT("UDV.",A473,".",B473)</f>
        <v>UDV.emit_CH4.MCF_anaer_digest</v>
      </c>
      <c r="D473" s="1091">
        <f>$F473*$AB473</f>
        <v>1.41E-2</v>
      </c>
      <c r="E473" s="1093" t="str">
        <f>$AD473</f>
        <v>fraction</v>
      </c>
      <c r="F473" s="1095">
        <f>IF(OR(G473="",N473=0),H473,G473)</f>
        <v>1.41E-2</v>
      </c>
      <c r="H473" s="1101">
        <f>$W473*$AA473</f>
        <v>1.41E-2</v>
      </c>
      <c r="I473" s="956" t="str">
        <f>$AC473</f>
        <v>fraction</v>
      </c>
      <c r="J473" t="s">
        <v>688</v>
      </c>
      <c r="L473">
        <f t="shared" si="262"/>
        <v>0</v>
      </c>
      <c r="M473">
        <f>ROUNDUP($Y473*$AA473,3)</f>
        <v>0.99</v>
      </c>
      <c r="N473">
        <f>IF(AND(G473&lt;=M473),1,0)</f>
        <v>1</v>
      </c>
      <c r="O473" t="s">
        <v>1586</v>
      </c>
      <c r="P473" t="s">
        <v>1623</v>
      </c>
      <c r="V473" t="str">
        <f>IF(OR((M473-L473)&lt;=0,H473&gt;M473,H473&lt;L473),"Fix","")</f>
        <v/>
      </c>
      <c r="W473" s="78">
        <f>T.MCF!B60</f>
        <v>1.41E-2</v>
      </c>
      <c r="X473">
        <v>0</v>
      </c>
      <c r="Y473">
        <v>0.99</v>
      </c>
      <c r="Z473" t="str">
        <f>Units!B$35</f>
        <v>fraction</v>
      </c>
      <c r="AA473">
        <f>Units!C$35</f>
        <v>1</v>
      </c>
      <c r="AB473">
        <f>Units!D$35</f>
        <v>1</v>
      </c>
      <c r="AC473" t="str">
        <f>Units!E$35</f>
        <v>fraction</v>
      </c>
      <c r="AD473" t="str">
        <f>Units!F$35</f>
        <v>fraction</v>
      </c>
      <c r="AE473" t="str">
        <f>Units!G$35</f>
        <v>fraction</v>
      </c>
      <c r="AF473" t="str">
        <f>Units!H$35</f>
        <v>fraction</v>
      </c>
    </row>
    <row r="474" spans="1:32" x14ac:dyDescent="0.3">
      <c r="A474" s="128" t="s">
        <v>1058</v>
      </c>
      <c r="B474" t="s">
        <v>1624</v>
      </c>
      <c r="C474" s="124" t="str">
        <f>_xlfn.CONCAT("UDV.",A474,".",B474)</f>
        <v>UDV.emit_CH4.MCF_cover_digest</v>
      </c>
      <c r="D474" s="1091">
        <f>$F474*$AB474</f>
        <v>0.1</v>
      </c>
      <c r="E474" s="1093" t="str">
        <f>$AD474</f>
        <v>fraction</v>
      </c>
      <c r="F474" s="1095">
        <f>IF(OR(G474="",N474=0),H474,G474)</f>
        <v>0.1</v>
      </c>
      <c r="H474" s="1101">
        <f>$W474*$AA474</f>
        <v>0.1</v>
      </c>
      <c r="I474" s="956" t="str">
        <f>$AC474</f>
        <v>fraction</v>
      </c>
      <c r="J474" t="s">
        <v>688</v>
      </c>
      <c r="L474">
        <f t="shared" si="262"/>
        <v>0</v>
      </c>
      <c r="M474">
        <f>ROUNDUP($Y474*$AA474,3)</f>
        <v>0.99</v>
      </c>
      <c r="N474">
        <f>IF(AND(G474&lt;=M474),1,0)</f>
        <v>1</v>
      </c>
      <c r="O474" t="s">
        <v>1586</v>
      </c>
      <c r="P474" t="s">
        <v>1625</v>
      </c>
      <c r="V474" t="str">
        <f>IF(OR((M474-L474)&lt;=0,H474&gt;M474,H474&lt;L474),"Fix","")</f>
        <v/>
      </c>
      <c r="W474" s="78">
        <f>T.MCF!B61</f>
        <v>0.1</v>
      </c>
      <c r="X474">
        <v>0</v>
      </c>
      <c r="Y474">
        <v>0.99</v>
      </c>
      <c r="Z474" t="str">
        <f>Units!B$35</f>
        <v>fraction</v>
      </c>
      <c r="AA474">
        <f>Units!C$35</f>
        <v>1</v>
      </c>
      <c r="AB474">
        <f>Units!D$35</f>
        <v>1</v>
      </c>
      <c r="AC474" t="str">
        <f>Units!E$35</f>
        <v>fraction</v>
      </c>
      <c r="AD474" t="str">
        <f>Units!F$35</f>
        <v>fraction</v>
      </c>
      <c r="AE474" t="str">
        <f>Units!G$35</f>
        <v>fraction</v>
      </c>
      <c r="AF474" t="str">
        <f>Units!H$35</f>
        <v>fraction</v>
      </c>
    </row>
    <row r="475" spans="1:32" x14ac:dyDescent="0.3">
      <c r="A475" t="s">
        <v>1058</v>
      </c>
      <c r="B475" t="s">
        <v>1626</v>
      </c>
      <c r="C475" s="124" t="str">
        <f t="shared" si="242"/>
        <v>UDV.emit_CH4.MS</v>
      </c>
      <c r="D475" s="1091">
        <f t="shared" si="245"/>
        <v>0.9</v>
      </c>
      <c r="E475" s="1093" t="str">
        <f t="shared" si="254"/>
        <v>fraction</v>
      </c>
      <c r="F475" s="1095">
        <f t="shared" si="259"/>
        <v>0.9</v>
      </c>
      <c r="H475" s="1101">
        <f t="shared" si="255"/>
        <v>0.9</v>
      </c>
      <c r="I475" s="956" t="str">
        <f t="shared" si="256"/>
        <v>fraction</v>
      </c>
      <c r="J475" t="s">
        <v>736</v>
      </c>
      <c r="M475">
        <f t="shared" si="263"/>
        <v>0.9</v>
      </c>
      <c r="N475">
        <f t="shared" si="276"/>
        <v>1</v>
      </c>
      <c r="O475" t="s">
        <v>1586</v>
      </c>
      <c r="P475" t="s">
        <v>1627</v>
      </c>
      <c r="V475" t="str">
        <f t="shared" si="261"/>
        <v/>
      </c>
      <c r="W475" s="78">
        <v>0.9</v>
      </c>
      <c r="X475">
        <v>0</v>
      </c>
      <c r="Y475">
        <v>0.9</v>
      </c>
      <c r="Z475" t="str">
        <f>Units!B$35</f>
        <v>fraction</v>
      </c>
      <c r="AA475">
        <f>Units!C$35</f>
        <v>1</v>
      </c>
      <c r="AB475">
        <f>Units!D$35</f>
        <v>1</v>
      </c>
      <c r="AC475" t="str">
        <f>Units!E$35</f>
        <v>fraction</v>
      </c>
      <c r="AD475" t="str">
        <f>Units!F$35</f>
        <v>fraction</v>
      </c>
      <c r="AE475" t="str">
        <f>Units!G$35</f>
        <v>fraction</v>
      </c>
      <c r="AF475" t="str">
        <f>Units!H$35</f>
        <v>fraction</v>
      </c>
    </row>
    <row r="476" spans="1:32" x14ac:dyDescent="0.3">
      <c r="A476" t="s">
        <v>1058</v>
      </c>
      <c r="B476" t="s">
        <v>1628</v>
      </c>
      <c r="C476" s="124" t="str">
        <f t="shared" ref="C476:C575" si="280">_xlfn.CONCAT("UDV.",A476,".",B476)</f>
        <v>UDV.emit_CH4.VS_days</v>
      </c>
      <c r="D476" s="1091">
        <f t="shared" si="245"/>
        <v>365</v>
      </c>
      <c r="E476" s="1093" t="str">
        <f t="shared" si="254"/>
        <v>day/year</v>
      </c>
      <c r="F476" s="1095">
        <f t="shared" si="259"/>
        <v>365</v>
      </c>
      <c r="H476" s="1101">
        <f t="shared" si="255"/>
        <v>365</v>
      </c>
      <c r="I476" s="956" t="str">
        <f t="shared" si="256"/>
        <v>day/year</v>
      </c>
      <c r="J476" t="s">
        <v>736</v>
      </c>
      <c r="M476">
        <f t="shared" si="263"/>
        <v>365</v>
      </c>
      <c r="N476">
        <f t="shared" si="276"/>
        <v>1</v>
      </c>
      <c r="O476" t="s">
        <v>1586</v>
      </c>
      <c r="P476" t="s">
        <v>1629</v>
      </c>
      <c r="V476" t="str">
        <f t="shared" si="261"/>
        <v/>
      </c>
      <c r="W476" s="78">
        <v>365</v>
      </c>
      <c r="X476">
        <v>0</v>
      </c>
      <c r="Y476">
        <v>365</v>
      </c>
      <c r="Z476" t="str">
        <f>Units!B$120</f>
        <v>day/year</v>
      </c>
      <c r="AA476">
        <f>Units!C$120</f>
        <v>1</v>
      </c>
      <c r="AB476">
        <f>Units!D$120</f>
        <v>1</v>
      </c>
      <c r="AC476" t="str">
        <f>Units!E$120</f>
        <v>day/year</v>
      </c>
      <c r="AD476" t="str">
        <f>Units!F$120</f>
        <v>day/year</v>
      </c>
      <c r="AE476" t="str">
        <f>Units!G$120</f>
        <v>day/year</v>
      </c>
      <c r="AF476" t="str">
        <f>Units!H$120</f>
        <v>day/year</v>
      </c>
    </row>
    <row r="477" spans="1:32" x14ac:dyDescent="0.3">
      <c r="A477" t="s">
        <v>1630</v>
      </c>
      <c r="B477" t="s">
        <v>1631</v>
      </c>
      <c r="C477" s="124" t="str">
        <f t="shared" si="280"/>
        <v>UDV.emit_gas.FA</v>
      </c>
      <c r="D477" s="1330">
        <f t="shared" si="245"/>
        <v>6.8992993968534089E-2</v>
      </c>
      <c r="E477" s="1333" t="str">
        <f t="shared" si="254"/>
        <v>mg/L</v>
      </c>
      <c r="F477" s="1330">
        <f t="shared" si="259"/>
        <v>5.7577443841473326E-4</v>
      </c>
      <c r="G477" s="1334"/>
      <c r="H477" s="78">
        <f t="shared" si="255"/>
        <v>5.7577443841473326E-4</v>
      </c>
      <c r="I477" s="1325" t="str">
        <f t="shared" si="256"/>
        <v>lb/1000 gal</v>
      </c>
      <c r="J477" t="s">
        <v>1404</v>
      </c>
      <c r="K477" s="124"/>
      <c r="L477">
        <f t="shared" ref="L477:L478" si="281">ROUNDDOWN($X477*$AA477,3)</f>
        <v>0</v>
      </c>
      <c r="N477">
        <f>IF(ISNUMBER(G477),1,0)</f>
        <v>0</v>
      </c>
      <c r="O477" t="s">
        <v>1586</v>
      </c>
      <c r="P477" t="s">
        <v>1632</v>
      </c>
      <c r="R477" s="711"/>
      <c r="V477" t="str">
        <f t="shared" si="261"/>
        <v>Fix</v>
      </c>
      <c r="W477">
        <v>6.8992993968534089E-2</v>
      </c>
      <c r="X477">
        <v>0</v>
      </c>
      <c r="Z477" t="str">
        <f>Units!B$90</f>
        <v>mg/L</v>
      </c>
      <c r="AA477">
        <f>Units!C$90</f>
        <v>8.3454044432008413E-3</v>
      </c>
      <c r="AB477">
        <f>Units!D$90</f>
        <v>119.8264274435158</v>
      </c>
      <c r="AC477" t="str">
        <f>Units!E$90</f>
        <v>lb/1000 gal</v>
      </c>
      <c r="AD477" t="str">
        <f>Units!F$90</f>
        <v>mg/L</v>
      </c>
      <c r="AE477" t="str">
        <f>Units!G$90</f>
        <v>mg/L</v>
      </c>
      <c r="AF477" t="str">
        <f>Units!H$90</f>
        <v>lb/1000 gal</v>
      </c>
    </row>
    <row r="478" spans="1:32" x14ac:dyDescent="0.3">
      <c r="A478" t="s">
        <v>1630</v>
      </c>
      <c r="B478" t="s">
        <v>1633</v>
      </c>
      <c r="C478" s="124" t="str">
        <f t="shared" si="280"/>
        <v>UDV.emit_gas.FA_head</v>
      </c>
      <c r="D478" s="1330">
        <f t="shared" si="245"/>
        <v>25.389421780420545</v>
      </c>
      <c r="E478" s="1333" t="str">
        <f t="shared" si="254"/>
        <v>kg/head/year</v>
      </c>
      <c r="F478" s="1330">
        <f t="shared" si="259"/>
        <v>55.974093565835801</v>
      </c>
      <c r="G478" s="1334"/>
      <c r="H478" s="78">
        <f t="shared" si="255"/>
        <v>55.974093565835801</v>
      </c>
      <c r="I478" s="1325" t="str">
        <f t="shared" si="256"/>
        <v>lb/head/year</v>
      </c>
      <c r="J478" t="s">
        <v>1404</v>
      </c>
      <c r="K478" s="124"/>
      <c r="L478">
        <f t="shared" si="281"/>
        <v>0</v>
      </c>
      <c r="N478">
        <f>IF(ISNUMBER(G478),1,0)</f>
        <v>0</v>
      </c>
      <c r="O478" t="s">
        <v>1586</v>
      </c>
      <c r="P478" t="s">
        <v>1634</v>
      </c>
      <c r="R478" s="711"/>
      <c r="V478" t="str">
        <f t="shared" si="261"/>
        <v>Fix</v>
      </c>
      <c r="W478">
        <v>25.389421780420545</v>
      </c>
      <c r="X478">
        <v>0</v>
      </c>
      <c r="Z478" t="str">
        <f>Units!B$70</f>
        <v>kg/head/year</v>
      </c>
      <c r="AA478">
        <f>Units!C$70</f>
        <v>2.2046226199999999</v>
      </c>
      <c r="AB478">
        <f>Units!D$70</f>
        <v>0.45359237038037831</v>
      </c>
      <c r="AC478" t="str">
        <f>Units!E$70</f>
        <v>lb/head/year</v>
      </c>
      <c r="AD478" t="str">
        <f>Units!F$70</f>
        <v>kg/head/year</v>
      </c>
      <c r="AE478" t="str">
        <f>Units!G$70</f>
        <v>kg/head/year</v>
      </c>
      <c r="AF478" t="str">
        <f>Units!H$70</f>
        <v>lb/head/year</v>
      </c>
    </row>
    <row r="479" spans="1:32" x14ac:dyDescent="0.3">
      <c r="A479" t="s">
        <v>1635</v>
      </c>
      <c r="B479" t="s">
        <v>1592</v>
      </c>
      <c r="C479" s="124" t="str">
        <f t="shared" si="280"/>
        <v>UDV.emit_N2O_direct.CO2e_cf</v>
      </c>
      <c r="D479" s="944">
        <f t="shared" si="245"/>
        <v>310</v>
      </c>
      <c r="E479" s="125" t="str">
        <f t="shared" si="254"/>
        <v>kg CO2e/kg N2O</v>
      </c>
      <c r="F479" s="944">
        <f t="shared" si="259"/>
        <v>310</v>
      </c>
      <c r="G479" s="126"/>
      <c r="H479">
        <f t="shared" si="255"/>
        <v>310</v>
      </c>
      <c r="I479" s="1325" t="str">
        <f t="shared" si="256"/>
        <v>lb CO2e/lb N2O</v>
      </c>
      <c r="J479" t="s">
        <v>743</v>
      </c>
      <c r="K479" s="124"/>
      <c r="N479">
        <f>IF(ISNUMBER(G479),1,0)</f>
        <v>0</v>
      </c>
      <c r="O479" t="s">
        <v>1586</v>
      </c>
      <c r="P479" t="s">
        <v>1636</v>
      </c>
      <c r="R479" s="711"/>
      <c r="S479" t="s">
        <v>84</v>
      </c>
      <c r="W479">
        <v>310</v>
      </c>
      <c r="Z479" t="str">
        <f>Units!B$76</f>
        <v>kg CO2e/kg N2O</v>
      </c>
      <c r="AA479">
        <f>Units!C$76</f>
        <v>1</v>
      </c>
      <c r="AB479">
        <f>Units!D$76</f>
        <v>1</v>
      </c>
      <c r="AC479" t="str">
        <f>Units!E$76</f>
        <v>lb CO2e/lb N2O</v>
      </c>
      <c r="AD479" t="str">
        <f>Units!F$76</f>
        <v>kg CO2e/kg N2O</v>
      </c>
      <c r="AE479" t="str">
        <f>Units!G$76</f>
        <v>kg CO2e/kg N2O</v>
      </c>
      <c r="AF479" t="str">
        <f>Units!H$76</f>
        <v>lb CO2e/lb N2O</v>
      </c>
    </row>
    <row r="480" spans="1:32" x14ac:dyDescent="0.3">
      <c r="A480" t="s">
        <v>1635</v>
      </c>
      <c r="B480" t="s">
        <v>1637</v>
      </c>
      <c r="C480" s="124" t="str">
        <f t="shared" si="280"/>
        <v>UDV.emit_N2O_direct.EF</v>
      </c>
      <c r="D480" s="1091">
        <f t="shared" si="245"/>
        <v>2E-3</v>
      </c>
      <c r="E480" s="1093" t="str">
        <f t="shared" si="254"/>
        <v>kg N2O-N/kg N</v>
      </c>
      <c r="F480" s="1095">
        <f t="shared" si="259"/>
        <v>2E-3</v>
      </c>
      <c r="H480" s="1101">
        <f t="shared" si="255"/>
        <v>2E-3</v>
      </c>
      <c r="I480" s="956" t="str">
        <f t="shared" si="256"/>
        <v>lb N2O-N/lb N</v>
      </c>
      <c r="J480" t="s">
        <v>736</v>
      </c>
      <c r="M480">
        <f t="shared" ref="M480:M578" si="282">ROUNDUP($Y480*$AA480,3)</f>
        <v>2E-3</v>
      </c>
      <c r="N480">
        <f>IF(AND(G480&lt;=M480),1,0)</f>
        <v>1</v>
      </c>
      <c r="O480" t="s">
        <v>1586</v>
      </c>
      <c r="P480" t="s">
        <v>1638</v>
      </c>
      <c r="V480" t="str">
        <f t="shared" ref="V480:V520" si="283">IF(OR((M480-L480)&lt;=0,H480&gt;M480,H480&lt;L480),"Fix","")</f>
        <v/>
      </c>
      <c r="W480" s="78">
        <v>2E-3</v>
      </c>
      <c r="X480">
        <v>0</v>
      </c>
      <c r="Y480">
        <v>2E-3</v>
      </c>
      <c r="Z480" t="str">
        <f>Units!B$77</f>
        <v>kg N2O-N/kg N</v>
      </c>
      <c r="AA480">
        <f>Units!C$77</f>
        <v>1</v>
      </c>
      <c r="AB480">
        <f>Units!D$77</f>
        <v>1</v>
      </c>
      <c r="AC480" t="str">
        <f>Units!E$77</f>
        <v>lb N2O-N/lb N</v>
      </c>
      <c r="AD480" t="str">
        <f>Units!F$77</f>
        <v>kg N2O-N/kg N</v>
      </c>
      <c r="AE480" t="str">
        <f>Units!G$77</f>
        <v>kg N2O-N/kg N</v>
      </c>
      <c r="AF480" t="str">
        <f>Units!H$77</f>
        <v>lb N2O-N/lb N</v>
      </c>
    </row>
    <row r="481" spans="1:32" x14ac:dyDescent="0.3">
      <c r="A481" t="s">
        <v>1635</v>
      </c>
      <c r="B481" t="s">
        <v>1639</v>
      </c>
      <c r="C481" s="124" t="str">
        <f t="shared" si="280"/>
        <v>UDV.emit_N2O_direct.fraction_MMS</v>
      </c>
      <c r="D481" s="1091">
        <f t="shared" si="245"/>
        <v>1</v>
      </c>
      <c r="E481" s="1093" t="str">
        <f t="shared" si="254"/>
        <v>fraction</v>
      </c>
      <c r="F481" s="1095">
        <f t="shared" si="259"/>
        <v>1</v>
      </c>
      <c r="H481" s="1101">
        <f t="shared" si="255"/>
        <v>1</v>
      </c>
      <c r="I481" s="956" t="str">
        <f t="shared" si="256"/>
        <v>fraction</v>
      </c>
      <c r="J481" t="s">
        <v>673</v>
      </c>
      <c r="M481">
        <f t="shared" si="282"/>
        <v>1</v>
      </c>
      <c r="N481">
        <f>IF(AND(G481&lt;=M481, G481&gt;=L481),1,0)</f>
        <v>1</v>
      </c>
      <c r="O481" t="s">
        <v>1586</v>
      </c>
      <c r="P481" t="s">
        <v>1640</v>
      </c>
      <c r="V481" t="str">
        <f t="shared" si="283"/>
        <v/>
      </c>
      <c r="W481" s="78">
        <v>1</v>
      </c>
      <c r="X481">
        <v>0</v>
      </c>
      <c r="Y481">
        <v>1</v>
      </c>
      <c r="Z481" t="str">
        <f>Units!B$35</f>
        <v>fraction</v>
      </c>
      <c r="AA481">
        <f>Units!C$35</f>
        <v>1</v>
      </c>
      <c r="AB481">
        <f>Units!D$35</f>
        <v>1</v>
      </c>
      <c r="AC481" t="str">
        <f>Units!E$35</f>
        <v>fraction</v>
      </c>
      <c r="AD481" t="str">
        <f>Units!F$35</f>
        <v>fraction</v>
      </c>
      <c r="AE481" t="str">
        <f>Units!G$35</f>
        <v>fraction</v>
      </c>
      <c r="AF481" t="str">
        <f>Units!H$35</f>
        <v>fraction</v>
      </c>
    </row>
    <row r="482" spans="1:32" x14ac:dyDescent="0.3">
      <c r="A482" t="s">
        <v>1635</v>
      </c>
      <c r="B482" t="s">
        <v>1641</v>
      </c>
      <c r="C482" s="124" t="str">
        <f t="shared" si="280"/>
        <v>UDV.emit_N2O_direct.N_days</v>
      </c>
      <c r="D482" s="1091">
        <f t="shared" si="245"/>
        <v>365</v>
      </c>
      <c r="E482" s="1093" t="str">
        <f t="shared" si="254"/>
        <v>kg N/head/year</v>
      </c>
      <c r="F482" s="1095">
        <f t="shared" si="259"/>
        <v>804.68725629999994</v>
      </c>
      <c r="H482" s="1101">
        <f t="shared" si="255"/>
        <v>804.68725629999994</v>
      </c>
      <c r="I482" s="956" t="str">
        <f t="shared" si="256"/>
        <v>lb N/head/year</v>
      </c>
      <c r="J482" t="s">
        <v>736</v>
      </c>
      <c r="M482">
        <f t="shared" si="282"/>
        <v>804.68799999999999</v>
      </c>
      <c r="N482">
        <f t="shared" ref="N482:N490" si="284">IF(AND(G482&lt;=M482),1,0)</f>
        <v>1</v>
      </c>
      <c r="O482" t="s">
        <v>1586</v>
      </c>
      <c r="P482" t="s">
        <v>1642</v>
      </c>
      <c r="V482" t="str">
        <f t="shared" si="283"/>
        <v/>
      </c>
      <c r="W482" s="78">
        <v>365</v>
      </c>
      <c r="X482">
        <v>0</v>
      </c>
      <c r="Y482">
        <v>365</v>
      </c>
      <c r="Z482" t="str">
        <f>Units!B$66</f>
        <v>kg N/head/year</v>
      </c>
      <c r="AA482">
        <f>Units!C$66</f>
        <v>2.2046226199999999</v>
      </c>
      <c r="AB482">
        <f>Units!D$66</f>
        <v>0.45359237038037831</v>
      </c>
      <c r="AC482" t="str">
        <f>Units!E$66</f>
        <v>lb N/head/year</v>
      </c>
      <c r="AD482" t="str">
        <f>Units!F$66</f>
        <v>kg N/head/year</v>
      </c>
      <c r="AE482" t="str">
        <f>Units!G$66</f>
        <v>kg N/head/year</v>
      </c>
      <c r="AF482" t="str">
        <f>Units!H$66</f>
        <v>lb N/head/year</v>
      </c>
    </row>
    <row r="483" spans="1:32" x14ac:dyDescent="0.3">
      <c r="A483" t="s">
        <v>1635</v>
      </c>
      <c r="B483" t="s">
        <v>1643</v>
      </c>
      <c r="C483" s="124" t="str">
        <f t="shared" si="280"/>
        <v>UDV.emit_N2O_direct.N_to_N2O</v>
      </c>
      <c r="D483" s="1091">
        <f t="shared" si="245"/>
        <v>1.5713999999999999</v>
      </c>
      <c r="E483" s="1093" t="str">
        <f t="shared" si="254"/>
        <v>kg N2O-N/kg N2O</v>
      </c>
      <c r="F483" s="1095">
        <f t="shared" si="259"/>
        <v>1.5713999999999999</v>
      </c>
      <c r="H483" s="1101">
        <f t="shared" si="255"/>
        <v>1.5713999999999999</v>
      </c>
      <c r="I483" s="956" t="str">
        <f t="shared" si="256"/>
        <v>lb N2O-N/lb N2O</v>
      </c>
      <c r="J483" t="s">
        <v>736</v>
      </c>
      <c r="M483">
        <f t="shared" si="282"/>
        <v>1.5719999999999998</v>
      </c>
      <c r="N483">
        <f t="shared" si="284"/>
        <v>1</v>
      </c>
      <c r="O483" t="s">
        <v>1586</v>
      </c>
      <c r="P483" t="s">
        <v>1644</v>
      </c>
      <c r="V483" t="str">
        <f t="shared" si="283"/>
        <v/>
      </c>
      <c r="W483" s="78">
        <v>1.5713999999999999</v>
      </c>
      <c r="X483">
        <v>0</v>
      </c>
      <c r="Y483">
        <v>1.5714285714285714</v>
      </c>
      <c r="Z483" t="str">
        <f>Units!B$78</f>
        <v>kg N2O-N/kg N2O</v>
      </c>
      <c r="AA483">
        <f>Units!C$78</f>
        <v>1</v>
      </c>
      <c r="AB483">
        <f>Units!D$78</f>
        <v>1</v>
      </c>
      <c r="AC483" t="str">
        <f>Units!E$78</f>
        <v>lb N2O-N/lb N2O</v>
      </c>
      <c r="AD483" t="str">
        <f>Units!F$78</f>
        <v>kg N2O-N/kg N2O</v>
      </c>
      <c r="AE483" t="str">
        <f>Units!G$78</f>
        <v>kg N2O-N/kg N2O</v>
      </c>
      <c r="AF483" t="str">
        <f>Units!H$78</f>
        <v>lb N2O-N/lb N2O</v>
      </c>
    </row>
    <row r="484" spans="1:32" s="1031" customFormat="1" x14ac:dyDescent="0.3">
      <c r="A484" s="1031" t="s">
        <v>1645</v>
      </c>
      <c r="B484" s="1031" t="s">
        <v>1646</v>
      </c>
      <c r="C484" s="1031" t="str">
        <f t="shared" si="280"/>
        <v>UDV.emit_N2O_indirect.CO2E</v>
      </c>
      <c r="D484" s="1031">
        <f t="shared" si="245"/>
        <v>0</v>
      </c>
      <c r="E484" s="1031" t="str">
        <f t="shared" si="254"/>
        <v>kg CO2E/head/year</v>
      </c>
      <c r="F484" s="1031">
        <f t="shared" si="259"/>
        <v>0</v>
      </c>
      <c r="H484" s="296">
        <f t="shared" si="255"/>
        <v>0</v>
      </c>
      <c r="I484" s="1031" t="str">
        <f t="shared" si="256"/>
        <v>lb CO2E/head/year</v>
      </c>
      <c r="J484" s="1031" t="s">
        <v>736</v>
      </c>
      <c r="M484" s="1031">
        <f t="shared" si="282"/>
        <v>683.43399999999997</v>
      </c>
      <c r="N484" s="1031">
        <f t="shared" si="284"/>
        <v>1</v>
      </c>
      <c r="O484" s="1031" t="s">
        <v>1586</v>
      </c>
      <c r="P484" s="1031" t="s">
        <v>1647</v>
      </c>
      <c r="V484" s="1031" t="str">
        <f t="shared" si="283"/>
        <v/>
      </c>
      <c r="W484" s="296">
        <v>0</v>
      </c>
      <c r="X484" s="1031">
        <v>0</v>
      </c>
      <c r="Y484" s="1031">
        <v>310</v>
      </c>
      <c r="Z484" s="1031" t="str">
        <f>Units!B$65</f>
        <v>kg CO2E/head/year</v>
      </c>
      <c r="AA484" s="1031">
        <f>Units!C$65</f>
        <v>2.2046226199999999</v>
      </c>
      <c r="AB484" s="1031">
        <f>Units!D$65</f>
        <v>0.45359237038037831</v>
      </c>
      <c r="AC484" s="1031" t="str">
        <f>Units!E$65</f>
        <v>lb CO2E/head/year</v>
      </c>
      <c r="AD484" s="1031" t="str">
        <f>Units!F$65</f>
        <v>kg CO2E/head/year</v>
      </c>
      <c r="AE484" s="1031" t="str">
        <f>Units!G$65</f>
        <v>kg CO2E/head/year</v>
      </c>
      <c r="AF484" s="1031" t="str">
        <f>Units!H$65</f>
        <v>lb CO2E/head/year</v>
      </c>
    </row>
    <row r="485" spans="1:32" x14ac:dyDescent="0.3">
      <c r="A485" t="s">
        <v>1645</v>
      </c>
      <c r="B485" t="s">
        <v>1637</v>
      </c>
      <c r="C485" s="124" t="str">
        <f t="shared" si="280"/>
        <v>UDV.emit_N2O_indirect.EF</v>
      </c>
      <c r="D485" s="1091">
        <f t="shared" si="245"/>
        <v>0.01</v>
      </c>
      <c r="E485" s="1093" t="str">
        <f t="shared" si="254"/>
        <v>kg N2O-N/(kg NH3 + kg NOx)</v>
      </c>
      <c r="F485" s="1095">
        <f t="shared" si="259"/>
        <v>0.01</v>
      </c>
      <c r="H485" s="1101">
        <f t="shared" si="255"/>
        <v>0.01</v>
      </c>
      <c r="I485" s="956" t="str">
        <f t="shared" si="256"/>
        <v>lb N2O-N/(lb NH3 + lb NOx)</v>
      </c>
      <c r="J485" t="s">
        <v>736</v>
      </c>
      <c r="M485">
        <f t="shared" si="282"/>
        <v>0.01</v>
      </c>
      <c r="N485">
        <f t="shared" si="284"/>
        <v>1</v>
      </c>
      <c r="O485" t="s">
        <v>1586</v>
      </c>
      <c r="P485" t="s">
        <v>1648</v>
      </c>
      <c r="V485" t="str">
        <f t="shared" si="283"/>
        <v/>
      </c>
      <c r="W485" s="78">
        <v>0.01</v>
      </c>
      <c r="X485">
        <v>0</v>
      </c>
      <c r="Y485">
        <v>0.01</v>
      </c>
      <c r="Z485" t="str">
        <f>Units!B$79</f>
        <v>kg N2O-N/(kg NH3 + kg NOx)</v>
      </c>
      <c r="AA485">
        <f>Units!C$79</f>
        <v>1</v>
      </c>
      <c r="AB485">
        <f>Units!D$79</f>
        <v>1</v>
      </c>
      <c r="AC485" t="str">
        <f>Units!E$79</f>
        <v>lb N2O-N/(lb NH3 + lb NOx)</v>
      </c>
      <c r="AD485" t="str">
        <f>Units!F$79</f>
        <v>kg N2O-N/(kg NH3 + kg NOx)</v>
      </c>
      <c r="AE485" t="str">
        <f>Units!G$79</f>
        <v>kg N2O-N/(kg NH3 + kg NOx)</v>
      </c>
      <c r="AF485" t="str">
        <f>Units!H$79</f>
        <v>lb N2O-N/(lb NH3 + lb NOx)</v>
      </c>
    </row>
    <row r="486" spans="1:32" x14ac:dyDescent="0.3">
      <c r="A486" t="s">
        <v>1645</v>
      </c>
      <c r="B486" t="s">
        <v>1649</v>
      </c>
      <c r="C486" s="124" t="str">
        <f t="shared" si="280"/>
        <v>UDV.emit_N2O_indirect.fraction_NH4</v>
      </c>
      <c r="D486" s="1091">
        <f t="shared" si="245"/>
        <v>0.25</v>
      </c>
      <c r="E486" s="1093" t="str">
        <f t="shared" si="254"/>
        <v>fraction</v>
      </c>
      <c r="F486" s="1095">
        <f t="shared" si="259"/>
        <v>0.25</v>
      </c>
      <c r="H486" s="1101">
        <f t="shared" si="255"/>
        <v>0.25</v>
      </c>
      <c r="I486" s="956" t="str">
        <f t="shared" si="256"/>
        <v>fraction</v>
      </c>
      <c r="J486" t="s">
        <v>736</v>
      </c>
      <c r="M486">
        <f t="shared" si="282"/>
        <v>0.25</v>
      </c>
      <c r="N486">
        <f t="shared" si="284"/>
        <v>1</v>
      </c>
      <c r="O486" t="s">
        <v>1586</v>
      </c>
      <c r="P486" t="s">
        <v>1650</v>
      </c>
      <c r="V486" t="str">
        <f t="shared" si="283"/>
        <v/>
      </c>
      <c r="W486" s="78">
        <v>0.25</v>
      </c>
      <c r="X486">
        <v>0</v>
      </c>
      <c r="Y486">
        <v>0.25</v>
      </c>
      <c r="Z486" t="str">
        <f>Units!B$35</f>
        <v>fraction</v>
      </c>
      <c r="AA486">
        <f>Units!C$35</f>
        <v>1</v>
      </c>
      <c r="AB486">
        <f>Units!D$35</f>
        <v>1</v>
      </c>
      <c r="AC486" t="str">
        <f>Units!E$35</f>
        <v>fraction</v>
      </c>
      <c r="AD486" t="str">
        <f>Units!F$35</f>
        <v>fraction</v>
      </c>
      <c r="AE486" t="str">
        <f>Units!G$35</f>
        <v>fraction</v>
      </c>
      <c r="AF486" t="str">
        <f>Units!H$35</f>
        <v>fraction</v>
      </c>
    </row>
    <row r="487" spans="1:32" x14ac:dyDescent="0.3">
      <c r="A487" t="s">
        <v>1645</v>
      </c>
      <c r="B487" t="s">
        <v>1641</v>
      </c>
      <c r="C487" s="124" t="str">
        <f t="shared" si="280"/>
        <v>UDV.emit_N2O_indirect.N_days</v>
      </c>
      <c r="D487" s="1091">
        <f t="shared" si="245"/>
        <v>365</v>
      </c>
      <c r="E487" s="1093" t="str">
        <f t="shared" si="254"/>
        <v>kg N/head/year</v>
      </c>
      <c r="F487" s="1095">
        <f t="shared" si="259"/>
        <v>804.68725629999994</v>
      </c>
      <c r="H487" s="1101">
        <f t="shared" si="255"/>
        <v>804.68725629999994</v>
      </c>
      <c r="I487" s="956" t="str">
        <f t="shared" si="256"/>
        <v>lb N/head/year</v>
      </c>
      <c r="J487" t="s">
        <v>736</v>
      </c>
      <c r="M487">
        <f t="shared" si="282"/>
        <v>804.68799999999999</v>
      </c>
      <c r="N487">
        <f t="shared" si="284"/>
        <v>1</v>
      </c>
      <c r="O487" t="s">
        <v>1586</v>
      </c>
      <c r="P487" t="s">
        <v>1642</v>
      </c>
      <c r="V487" t="str">
        <f t="shared" si="283"/>
        <v/>
      </c>
      <c r="W487" s="78">
        <v>365</v>
      </c>
      <c r="X487">
        <v>0</v>
      </c>
      <c r="Y487">
        <v>365</v>
      </c>
      <c r="Z487" t="str">
        <f>Units!B$66</f>
        <v>kg N/head/year</v>
      </c>
      <c r="AA487">
        <f>Units!C$66</f>
        <v>2.2046226199999999</v>
      </c>
      <c r="AB487">
        <f>Units!D$66</f>
        <v>0.45359237038037831</v>
      </c>
      <c r="AC487" t="str">
        <f>Units!E$66</f>
        <v>lb N/head/year</v>
      </c>
      <c r="AD487" t="str">
        <f>Units!F$66</f>
        <v>kg N/head/year</v>
      </c>
      <c r="AE487" t="str">
        <f>Units!G$66</f>
        <v>kg N/head/year</v>
      </c>
      <c r="AF487" t="str">
        <f>Units!H$66</f>
        <v>lb N/head/year</v>
      </c>
    </row>
    <row r="488" spans="1:32" x14ac:dyDescent="0.3">
      <c r="A488" t="s">
        <v>1645</v>
      </c>
      <c r="B488" t="s">
        <v>1643</v>
      </c>
      <c r="C488" s="124" t="str">
        <f t="shared" si="280"/>
        <v>UDV.emit_N2O_indirect.N_to_N2O</v>
      </c>
      <c r="D488" s="1091">
        <f t="shared" si="245"/>
        <v>1.5713999999999999</v>
      </c>
      <c r="E488" s="1093" t="str">
        <f t="shared" si="254"/>
        <v>kg N2O-N/kg N2O</v>
      </c>
      <c r="F488" s="1095">
        <f t="shared" si="259"/>
        <v>1.5713999999999999</v>
      </c>
      <c r="H488" s="1101">
        <f t="shared" si="255"/>
        <v>1.5713999999999999</v>
      </c>
      <c r="I488" s="956" t="str">
        <f t="shared" si="256"/>
        <v>lb N2O-N/lb N2O</v>
      </c>
      <c r="J488" t="s">
        <v>736</v>
      </c>
      <c r="M488">
        <f t="shared" si="282"/>
        <v>1.5719999999999998</v>
      </c>
      <c r="N488">
        <f t="shared" si="284"/>
        <v>1</v>
      </c>
      <c r="O488" t="s">
        <v>1586</v>
      </c>
      <c r="P488" t="s">
        <v>1644</v>
      </c>
      <c r="V488" t="str">
        <f t="shared" si="283"/>
        <v/>
      </c>
      <c r="W488" s="78">
        <v>1.5713999999999999</v>
      </c>
      <c r="X488">
        <v>0</v>
      </c>
      <c r="Y488">
        <v>1.5714285714285714</v>
      </c>
      <c r="Z488" t="str">
        <f>Units!B$78</f>
        <v>kg N2O-N/kg N2O</v>
      </c>
      <c r="AA488">
        <f>Units!C$78</f>
        <v>1</v>
      </c>
      <c r="AB488">
        <f>Units!D$78</f>
        <v>1</v>
      </c>
      <c r="AC488" t="str">
        <f>Units!E$78</f>
        <v>lb N2O-N/lb N2O</v>
      </c>
      <c r="AD488" t="str">
        <f>Units!F$78</f>
        <v>kg N2O-N/kg N2O</v>
      </c>
      <c r="AE488" t="str">
        <f>Units!G$78</f>
        <v>kg N2O-N/kg N2O</v>
      </c>
      <c r="AF488" t="str">
        <f>Units!H$78</f>
        <v>lb N2O-N/lb N2O</v>
      </c>
    </row>
    <row r="489" spans="1:32" x14ac:dyDescent="0.3">
      <c r="A489" t="s">
        <v>1651</v>
      </c>
      <c r="B489" t="s">
        <v>1652</v>
      </c>
      <c r="C489" s="124" t="str">
        <f t="shared" si="280"/>
        <v>UDV.emit_NH3_N_proportion.TAN_days</v>
      </c>
      <c r="D489" s="1091">
        <f t="shared" si="245"/>
        <v>365</v>
      </c>
      <c r="E489" s="1093" t="str">
        <f t="shared" si="254"/>
        <v>kg N/head/year</v>
      </c>
      <c r="F489" s="1095">
        <f t="shared" si="259"/>
        <v>804.68725629999994</v>
      </c>
      <c r="H489" s="1101">
        <f t="shared" si="255"/>
        <v>804.68725629999994</v>
      </c>
      <c r="I489" s="956" t="str">
        <f t="shared" si="256"/>
        <v>lb N/head/year</v>
      </c>
      <c r="J489" t="s">
        <v>736</v>
      </c>
      <c r="M489">
        <f t="shared" si="282"/>
        <v>804.68799999999999</v>
      </c>
      <c r="N489">
        <f t="shared" si="284"/>
        <v>1</v>
      </c>
      <c r="O489" t="s">
        <v>1586</v>
      </c>
      <c r="P489" t="s">
        <v>1642</v>
      </c>
      <c r="V489" t="str">
        <f t="shared" si="283"/>
        <v/>
      </c>
      <c r="W489" s="78">
        <v>365</v>
      </c>
      <c r="X489">
        <v>0</v>
      </c>
      <c r="Y489">
        <v>365</v>
      </c>
      <c r="Z489" t="str">
        <f>Units!B$66</f>
        <v>kg N/head/year</v>
      </c>
      <c r="AA489">
        <f>Units!C$66</f>
        <v>2.2046226199999999</v>
      </c>
      <c r="AB489">
        <f>Units!D$66</f>
        <v>0.45359237038037831</v>
      </c>
      <c r="AC489" t="str">
        <f>Units!E$66</f>
        <v>lb N/head/year</v>
      </c>
      <c r="AD489" t="str">
        <f>Units!F$66</f>
        <v>kg N/head/year</v>
      </c>
      <c r="AE489" t="str">
        <f>Units!G$66</f>
        <v>kg N/head/year</v>
      </c>
      <c r="AF489" t="str">
        <f>Units!H$66</f>
        <v>lb N/head/year</v>
      </c>
    </row>
    <row r="490" spans="1:32" x14ac:dyDescent="0.3">
      <c r="A490" t="s">
        <v>1653</v>
      </c>
      <c r="B490" t="s">
        <v>1637</v>
      </c>
      <c r="C490" s="124" t="str">
        <f t="shared" si="280"/>
        <v>UDV.emit_NH3_N_proportion_TAN.EF</v>
      </c>
      <c r="D490" s="1091">
        <f t="shared" si="245"/>
        <v>0.11</v>
      </c>
      <c r="E490" s="1093" t="str">
        <f t="shared" si="254"/>
        <v>kg NH3-N</v>
      </c>
      <c r="F490" s="1095">
        <f t="shared" si="259"/>
        <v>0.24250848819999998</v>
      </c>
      <c r="H490" s="1101">
        <f t="shared" si="255"/>
        <v>0.24250848819999998</v>
      </c>
      <c r="I490" s="956" t="str">
        <f t="shared" si="256"/>
        <v>lb NH3-N</v>
      </c>
      <c r="J490" t="s">
        <v>736</v>
      </c>
      <c r="M490">
        <f t="shared" si="282"/>
        <v>0.24299999999999999</v>
      </c>
      <c r="N490">
        <f t="shared" si="284"/>
        <v>1</v>
      </c>
      <c r="O490" t="s">
        <v>1586</v>
      </c>
      <c r="P490" t="s">
        <v>1654</v>
      </c>
      <c r="V490" t="str">
        <f t="shared" si="283"/>
        <v/>
      </c>
      <c r="W490" s="78">
        <v>0.11</v>
      </c>
      <c r="X490">
        <v>0</v>
      </c>
      <c r="Y490">
        <v>0.11</v>
      </c>
      <c r="Z490" t="str">
        <f>Units!B$55</f>
        <v>kg NH3-N</v>
      </c>
      <c r="AA490">
        <f>Units!C$55</f>
        <v>2.2046226199999999</v>
      </c>
      <c r="AB490">
        <f>Units!D$55</f>
        <v>0.45359237038037831</v>
      </c>
      <c r="AC490" t="str">
        <f>Units!E$55</f>
        <v>lb NH3-N</v>
      </c>
      <c r="AD490" t="str">
        <f>Units!F$55</f>
        <v>kg NH3-N</v>
      </c>
      <c r="AE490" t="str">
        <f>Units!G$55</f>
        <v>kg NH3-N</v>
      </c>
      <c r="AF490" t="str">
        <f>Units!H$55</f>
        <v>lb NH3-N</v>
      </c>
    </row>
    <row r="491" spans="1:32" x14ac:dyDescent="0.3">
      <c r="A491" t="s">
        <v>1645</v>
      </c>
      <c r="B491" t="s">
        <v>1655</v>
      </c>
      <c r="C491" s="124" t="str">
        <f t="shared" si="280"/>
        <v>UDV.emit_N2O_indirect.ef4</v>
      </c>
      <c r="D491" s="944">
        <f t="shared" si="245"/>
        <v>1.4E-2</v>
      </c>
      <c r="E491" s="125" t="str">
        <f t="shared" si="254"/>
        <v>kg N2O-N/(kg NH3 + kg NOx)</v>
      </c>
      <c r="F491" s="944">
        <f t="shared" si="259"/>
        <v>1.4E-2</v>
      </c>
      <c r="G491" s="126"/>
      <c r="H491">
        <f t="shared" si="255"/>
        <v>1.4E-2</v>
      </c>
      <c r="I491" s="1325" t="str">
        <f t="shared" si="256"/>
        <v>lb N2O-N/(lb NH3 + lb NOx)</v>
      </c>
      <c r="J491" t="s">
        <v>688</v>
      </c>
      <c r="K491" s="124"/>
      <c r="L491">
        <f t="shared" ref="L491" si="285">ROUNDDOWN($X491*$AA491,3)</f>
        <v>0</v>
      </c>
      <c r="M491">
        <f t="shared" si="282"/>
        <v>0.1</v>
      </c>
      <c r="N491">
        <f t="shared" ref="N491" si="286">IF(G491&lt;=M491,1,0)</f>
        <v>1</v>
      </c>
      <c r="O491" t="s">
        <v>1586</v>
      </c>
      <c r="P491" t="s">
        <v>1656</v>
      </c>
      <c r="R491" s="711"/>
      <c r="V491" t="str">
        <f t="shared" si="283"/>
        <v/>
      </c>
      <c r="W491">
        <f>IF(ISNUMBER(SEARCH("Moist", UDV.u.state_climate_zone)),0.014, 0.005)</f>
        <v>1.4E-2</v>
      </c>
      <c r="X491">
        <v>0</v>
      </c>
      <c r="Y491">
        <v>0.1</v>
      </c>
      <c r="Z491" t="s">
        <v>1657</v>
      </c>
      <c r="AA491">
        <v>1</v>
      </c>
      <c r="AB491">
        <v>1</v>
      </c>
      <c r="AC491" t="s">
        <v>1658</v>
      </c>
      <c r="AD491" t="s">
        <v>1657</v>
      </c>
      <c r="AE491" t="s">
        <v>1657</v>
      </c>
      <c r="AF491" t="s">
        <v>1658</v>
      </c>
    </row>
    <row r="492" spans="1:32" s="34" customFormat="1" x14ac:dyDescent="0.3">
      <c r="A492" t="s">
        <v>1635</v>
      </c>
      <c r="B492" t="s">
        <v>1659</v>
      </c>
      <c r="C492" s="124" t="str">
        <f t="shared" si="280"/>
        <v>UDV.emit_N2O_direct.ef3_anaer_digest</v>
      </c>
      <c r="D492" s="1328">
        <f t="shared" si="245"/>
        <v>5.9999999999999995E-4</v>
      </c>
      <c r="E492" s="2281" t="str">
        <f t="shared" si="254"/>
        <v>kg N2O-N/kg N</v>
      </c>
      <c r="F492" s="1328">
        <f t="shared" si="259"/>
        <v>5.9999999999999995E-4</v>
      </c>
      <c r="G492" s="2282"/>
      <c r="H492" s="302">
        <f t="shared" si="255"/>
        <v>5.9999999999999995E-4</v>
      </c>
      <c r="I492" s="1325" t="str">
        <f t="shared" si="256"/>
        <v>lb N2O-N/lb N</v>
      </c>
      <c r="J492" t="s">
        <v>660</v>
      </c>
      <c r="K492" s="124"/>
      <c r="L492">
        <f t="shared" ref="L492:L505" si="287">ROUNDDOWN($X492*$AA492,3)</f>
        <v>0</v>
      </c>
      <c r="M492">
        <f t="shared" si="282"/>
        <v>0.1</v>
      </c>
      <c r="N492">
        <f t="shared" ref="N492:N505" si="288">IF(AND(M492 - G492 &gt;= 0, G492 - L492 &gt;=0),1,0)</f>
        <v>1</v>
      </c>
      <c r="O492" t="s">
        <v>1660</v>
      </c>
      <c r="P492" t="s">
        <v>1661</v>
      </c>
      <c r="Q492" t="s">
        <v>1662</v>
      </c>
      <c r="R492" s="711"/>
      <c r="S492"/>
      <c r="T492" s="127"/>
      <c r="U492"/>
      <c r="V492"/>
      <c r="W492">
        <v>5.9999999999999995E-4</v>
      </c>
      <c r="X492">
        <v>0</v>
      </c>
      <c r="Y492">
        <v>0.1</v>
      </c>
      <c r="Z492" t="s">
        <v>1663</v>
      </c>
      <c r="AA492">
        <v>1</v>
      </c>
      <c r="AB492">
        <v>1</v>
      </c>
      <c r="AC492" t="s">
        <v>1664</v>
      </c>
      <c r="AD492" t="s">
        <v>1663</v>
      </c>
      <c r="AE492" t="s">
        <v>1663</v>
      </c>
      <c r="AF492" t="s">
        <v>1664</v>
      </c>
    </row>
    <row r="493" spans="1:32" s="34" customFormat="1" x14ac:dyDescent="0.3">
      <c r="A493" t="s">
        <v>1635</v>
      </c>
      <c r="B493" t="s">
        <v>1665</v>
      </c>
      <c r="C493" s="124" t="str">
        <f t="shared" si="280"/>
        <v>UDV.emit_N2O_direct.ef3_cover_digest</v>
      </c>
      <c r="D493" s="1328">
        <f t="shared" si="245"/>
        <v>5.0000000000000001E-3</v>
      </c>
      <c r="E493" s="2281" t="str">
        <f t="shared" si="254"/>
        <v>kg N2O-N/kg N</v>
      </c>
      <c r="F493" s="1328">
        <f t="shared" si="259"/>
        <v>5.0000000000000001E-3</v>
      </c>
      <c r="G493" s="2282"/>
      <c r="H493" s="302">
        <f t="shared" si="255"/>
        <v>5.0000000000000001E-3</v>
      </c>
      <c r="I493" s="1325" t="str">
        <f t="shared" si="256"/>
        <v>lb N2O-N/lb N</v>
      </c>
      <c r="J493" t="s">
        <v>660</v>
      </c>
      <c r="K493" s="124"/>
      <c r="L493">
        <f t="shared" si="287"/>
        <v>0</v>
      </c>
      <c r="M493">
        <f t="shared" si="282"/>
        <v>0.1</v>
      </c>
      <c r="N493">
        <f t="shared" si="288"/>
        <v>1</v>
      </c>
      <c r="O493" t="s">
        <v>1660</v>
      </c>
      <c r="P493" t="s">
        <v>1666</v>
      </c>
      <c r="Q493" t="s">
        <v>1662</v>
      </c>
      <c r="R493" s="711"/>
      <c r="S493"/>
      <c r="T493" s="127"/>
      <c r="U493"/>
      <c r="V493"/>
      <c r="W493">
        <v>5.0000000000000001E-3</v>
      </c>
      <c r="X493">
        <v>0</v>
      </c>
      <c r="Y493">
        <v>0.1</v>
      </c>
      <c r="Z493" t="s">
        <v>1663</v>
      </c>
      <c r="AA493">
        <v>1</v>
      </c>
      <c r="AB493">
        <v>1</v>
      </c>
      <c r="AC493" t="s">
        <v>1664</v>
      </c>
      <c r="AD493" t="s">
        <v>1663</v>
      </c>
      <c r="AE493" t="s">
        <v>1663</v>
      </c>
      <c r="AF493" t="s">
        <v>1664</v>
      </c>
    </row>
    <row r="494" spans="1:32" s="34" customFormat="1" x14ac:dyDescent="0.3">
      <c r="A494" t="s">
        <v>1635</v>
      </c>
      <c r="B494" t="s">
        <v>1667</v>
      </c>
      <c r="C494" s="124" t="str">
        <f t="shared" si="280"/>
        <v>UDV.emit_N2O_direct.ef3_anaer_lagoon</v>
      </c>
      <c r="D494" s="1328">
        <f t="shared" si="245"/>
        <v>0</v>
      </c>
      <c r="E494" s="2281" t="str">
        <f t="shared" si="254"/>
        <v>kg N2O-N/kg N</v>
      </c>
      <c r="F494" s="1328">
        <f t="shared" si="259"/>
        <v>0</v>
      </c>
      <c r="G494" s="2282"/>
      <c r="H494" s="302">
        <f t="shared" si="255"/>
        <v>0</v>
      </c>
      <c r="I494" s="1325" t="str">
        <f t="shared" si="256"/>
        <v>lb N2O-N/lb N</v>
      </c>
      <c r="J494" t="s">
        <v>660</v>
      </c>
      <c r="K494" s="124"/>
      <c r="L494">
        <f t="shared" si="287"/>
        <v>0</v>
      </c>
      <c r="M494">
        <f t="shared" si="282"/>
        <v>0.1</v>
      </c>
      <c r="N494">
        <f t="shared" si="288"/>
        <v>1</v>
      </c>
      <c r="O494" t="s">
        <v>1660</v>
      </c>
      <c r="P494" t="s">
        <v>1668</v>
      </c>
      <c r="Q494" t="s">
        <v>1662</v>
      </c>
      <c r="R494" s="711"/>
      <c r="S494"/>
      <c r="T494" s="127"/>
      <c r="U494"/>
      <c r="V494"/>
      <c r="W494">
        <v>0</v>
      </c>
      <c r="X494">
        <v>0</v>
      </c>
      <c r="Y494">
        <v>0.1</v>
      </c>
      <c r="Z494" t="s">
        <v>1663</v>
      </c>
      <c r="AA494">
        <v>1</v>
      </c>
      <c r="AB494">
        <v>1</v>
      </c>
      <c r="AC494" t="s">
        <v>1664</v>
      </c>
      <c r="AD494" t="s">
        <v>1663</v>
      </c>
      <c r="AE494" t="s">
        <v>1663</v>
      </c>
      <c r="AF494" t="s">
        <v>1664</v>
      </c>
    </row>
    <row r="495" spans="1:32" s="34" customFormat="1" x14ac:dyDescent="0.3">
      <c r="A495" t="s">
        <v>1635</v>
      </c>
      <c r="B495" t="s">
        <v>1669</v>
      </c>
      <c r="C495" s="124" t="str">
        <f t="shared" ref="C495" si="289">_xlfn.CONCAT("UDV.",A495,".",B495)</f>
        <v>UDV.emit_N2O_direct.ef3_pit</v>
      </c>
      <c r="D495" s="1328">
        <f t="shared" si="245"/>
        <v>2E-3</v>
      </c>
      <c r="E495" s="2281" t="str">
        <f t="shared" si="254"/>
        <v>kg N2O-N/kg N</v>
      </c>
      <c r="F495" s="1328">
        <f t="shared" ref="F495" si="290">IF(OR(G495="",N495=0),H495,G495)</f>
        <v>2E-3</v>
      </c>
      <c r="G495" s="2282"/>
      <c r="H495" s="302">
        <f t="shared" si="255"/>
        <v>2E-3</v>
      </c>
      <c r="I495" s="1325" t="str">
        <f t="shared" si="256"/>
        <v>lb N2O-N/lb N</v>
      </c>
      <c r="J495" t="s">
        <v>660</v>
      </c>
      <c r="K495" s="124"/>
      <c r="L495">
        <f t="shared" si="287"/>
        <v>0</v>
      </c>
      <c r="M495">
        <f t="shared" si="282"/>
        <v>0.1</v>
      </c>
      <c r="N495">
        <f t="shared" ref="N495" si="291">IF(AND(M495 - G495 &gt;= 0, G495 - L495 &gt;=0),1,0)</f>
        <v>1</v>
      </c>
      <c r="O495" t="s">
        <v>1660</v>
      </c>
      <c r="P495" t="s">
        <v>1670</v>
      </c>
      <c r="Q495"/>
      <c r="R495" s="711"/>
      <c r="S495"/>
      <c r="T495" s="127"/>
      <c r="U495"/>
      <c r="V495"/>
      <c r="W495">
        <v>2E-3</v>
      </c>
      <c r="X495">
        <v>0</v>
      </c>
      <c r="Y495">
        <v>0.1</v>
      </c>
      <c r="Z495" t="s">
        <v>1663</v>
      </c>
      <c r="AA495">
        <v>1</v>
      </c>
      <c r="AB495">
        <v>1</v>
      </c>
      <c r="AC495" t="s">
        <v>1664</v>
      </c>
      <c r="AD495" t="s">
        <v>1663</v>
      </c>
      <c r="AE495" t="s">
        <v>1663</v>
      </c>
      <c r="AF495" t="s">
        <v>1664</v>
      </c>
    </row>
    <row r="496" spans="1:32" s="34" customFormat="1" x14ac:dyDescent="0.3">
      <c r="A496" t="s">
        <v>1635</v>
      </c>
      <c r="B496" t="s">
        <v>1671</v>
      </c>
      <c r="C496" s="124" t="str">
        <f>_xlfn.CONCAT("UDV.",A496,".",B496)</f>
        <v>UDV.emit_N2O_direct.ef3_pit_aerated</v>
      </c>
      <c r="D496" s="1328">
        <f>$F496*$AB496</f>
        <v>3.5000000000000001E-3</v>
      </c>
      <c r="E496" s="2281" t="str">
        <f>$AD496</f>
        <v>kg N2O-N/kg N</v>
      </c>
      <c r="F496" s="1328">
        <f>IF(OR(G496="",N496=0),H496,G496)</f>
        <v>3.5000000000000001E-3</v>
      </c>
      <c r="G496" s="2282"/>
      <c r="H496" s="302">
        <f>$W496*$AA496</f>
        <v>3.5000000000000001E-3</v>
      </c>
      <c r="I496" s="1325" t="str">
        <f>$AC496</f>
        <v>lb N2O-N/lb N</v>
      </c>
      <c r="J496" t="s">
        <v>660</v>
      </c>
      <c r="K496" s="124"/>
      <c r="L496">
        <f>ROUNDDOWN($X496*$AA496,3)</f>
        <v>0</v>
      </c>
      <c r="M496">
        <f>ROUNDUP($Y496*$AA496,3)</f>
        <v>0.1</v>
      </c>
      <c r="N496">
        <f>IF(AND(M496 - G496 &gt;= 0, G496 - L496 &gt;=0),1,0)</f>
        <v>1</v>
      </c>
      <c r="O496" t="s">
        <v>1660</v>
      </c>
      <c r="P496" t="s">
        <v>1672</v>
      </c>
      <c r="Q496"/>
      <c r="R496" s="711"/>
      <c r="S496"/>
      <c r="T496" s="127"/>
      <c r="U496"/>
      <c r="V496"/>
      <c r="W496">
        <f>(0.005 + 0.002)/2</f>
        <v>3.5000000000000001E-3</v>
      </c>
      <c r="X496">
        <v>0</v>
      </c>
      <c r="Y496">
        <v>0.1</v>
      </c>
      <c r="Z496" t="s">
        <v>1663</v>
      </c>
      <c r="AA496">
        <v>1</v>
      </c>
      <c r="AB496">
        <v>1</v>
      </c>
      <c r="AC496" t="s">
        <v>1664</v>
      </c>
      <c r="AD496" t="s">
        <v>1663</v>
      </c>
      <c r="AE496" t="s">
        <v>1663</v>
      </c>
      <c r="AF496" t="s">
        <v>1664</v>
      </c>
    </row>
    <row r="497" spans="1:32" s="34" customFormat="1" x14ac:dyDescent="0.3">
      <c r="A497" t="s">
        <v>1635</v>
      </c>
      <c r="B497" t="s">
        <v>1673</v>
      </c>
      <c r="C497" s="124" t="str">
        <f t="shared" si="280"/>
        <v>UDV.emit_N2O_direct.ef3_pond_crust</v>
      </c>
      <c r="D497" s="1328">
        <f t="shared" si="245"/>
        <v>5.0000000000000001E-3</v>
      </c>
      <c r="E497" s="2281" t="str">
        <f t="shared" si="254"/>
        <v>kg N2O-N/kg N</v>
      </c>
      <c r="F497" s="1328">
        <f t="shared" si="259"/>
        <v>5.0000000000000001E-3</v>
      </c>
      <c r="G497" s="2282"/>
      <c r="H497" s="302">
        <f t="shared" si="255"/>
        <v>5.0000000000000001E-3</v>
      </c>
      <c r="I497" s="1325" t="str">
        <f t="shared" si="256"/>
        <v>lb N2O-N/lb N</v>
      </c>
      <c r="J497" t="s">
        <v>660</v>
      </c>
      <c r="K497" s="124"/>
      <c r="L497">
        <f t="shared" si="287"/>
        <v>0</v>
      </c>
      <c r="M497">
        <f t="shared" si="282"/>
        <v>0.1</v>
      </c>
      <c r="N497">
        <f t="shared" si="288"/>
        <v>1</v>
      </c>
      <c r="O497" t="s">
        <v>1660</v>
      </c>
      <c r="P497" t="s">
        <v>1674</v>
      </c>
      <c r="Q497"/>
      <c r="R497" s="711"/>
      <c r="S497"/>
      <c r="T497" s="127"/>
      <c r="U497"/>
      <c r="V497"/>
      <c r="W497">
        <v>5.0000000000000001E-3</v>
      </c>
      <c r="X497">
        <v>0</v>
      </c>
      <c r="Y497">
        <v>0.1</v>
      </c>
      <c r="Z497" t="s">
        <v>1663</v>
      </c>
      <c r="AA497">
        <v>1</v>
      </c>
      <c r="AB497">
        <v>1</v>
      </c>
      <c r="AC497" t="s">
        <v>1664</v>
      </c>
      <c r="AD497" t="s">
        <v>1663</v>
      </c>
      <c r="AE497" t="s">
        <v>1663</v>
      </c>
      <c r="AF497" t="s">
        <v>1664</v>
      </c>
    </row>
    <row r="498" spans="1:32" s="34" customFormat="1" x14ac:dyDescent="0.3">
      <c r="A498" t="s">
        <v>1635</v>
      </c>
      <c r="B498" t="s">
        <v>1675</v>
      </c>
      <c r="C498" s="124" t="str">
        <f t="shared" si="280"/>
        <v>UDV.emit_N2O_direct.ef3_pond_no_crust</v>
      </c>
      <c r="D498" s="1328">
        <f t="shared" si="245"/>
        <v>0</v>
      </c>
      <c r="E498" s="2281" t="str">
        <f t="shared" si="254"/>
        <v>kg N2O-N/kg N</v>
      </c>
      <c r="F498" s="1328">
        <f t="shared" si="259"/>
        <v>0</v>
      </c>
      <c r="G498" s="2282"/>
      <c r="H498" s="302">
        <f t="shared" si="255"/>
        <v>0</v>
      </c>
      <c r="I498" s="1325" t="str">
        <f t="shared" si="256"/>
        <v>lb N2O-N/lb N</v>
      </c>
      <c r="J498" t="s">
        <v>660</v>
      </c>
      <c r="K498" s="124"/>
      <c r="L498">
        <f t="shared" si="287"/>
        <v>0</v>
      </c>
      <c r="M498">
        <f t="shared" si="282"/>
        <v>0.1</v>
      </c>
      <c r="N498">
        <f t="shared" si="288"/>
        <v>1</v>
      </c>
      <c r="O498" t="s">
        <v>1660</v>
      </c>
      <c r="P498" t="s">
        <v>1676</v>
      </c>
      <c r="Q498"/>
      <c r="R498" s="711"/>
      <c r="S498"/>
      <c r="T498" s="127"/>
      <c r="U498"/>
      <c r="V498"/>
      <c r="W498">
        <v>0</v>
      </c>
      <c r="X498">
        <v>0</v>
      </c>
      <c r="Y498">
        <v>0.1</v>
      </c>
      <c r="Z498" t="s">
        <v>1663</v>
      </c>
      <c r="AA498">
        <v>1</v>
      </c>
      <c r="AB498">
        <v>1</v>
      </c>
      <c r="AC498" t="s">
        <v>1664</v>
      </c>
      <c r="AD498" t="s">
        <v>1663</v>
      </c>
      <c r="AE498" t="s">
        <v>1663</v>
      </c>
      <c r="AF498" t="s">
        <v>1664</v>
      </c>
    </row>
    <row r="499" spans="1:32" s="34" customFormat="1" x14ac:dyDescent="0.3">
      <c r="A499" t="s">
        <v>1635</v>
      </c>
      <c r="B499" t="s">
        <v>1677</v>
      </c>
      <c r="C499" s="124" t="str">
        <f t="shared" si="280"/>
        <v>UDV.emit_N2O_direct.ef3_solids</v>
      </c>
      <c r="D499" s="1328">
        <f t="shared" si="245"/>
        <v>0.01</v>
      </c>
      <c r="E499" s="2281" t="str">
        <f t="shared" si="254"/>
        <v>kg N2O-N/kg N</v>
      </c>
      <c r="F499" s="1328">
        <f t="shared" si="259"/>
        <v>0.01</v>
      </c>
      <c r="G499" s="2282"/>
      <c r="H499" s="302">
        <f t="shared" si="255"/>
        <v>0.01</v>
      </c>
      <c r="I499" s="1325" t="str">
        <f t="shared" si="256"/>
        <v>lb N2O-N/lb N</v>
      </c>
      <c r="J499" t="s">
        <v>660</v>
      </c>
      <c r="K499" s="124"/>
      <c r="L499">
        <f t="shared" si="287"/>
        <v>0</v>
      </c>
      <c r="M499">
        <f t="shared" si="282"/>
        <v>0.1</v>
      </c>
      <c r="N499">
        <f t="shared" si="288"/>
        <v>1</v>
      </c>
      <c r="O499" t="s">
        <v>1660</v>
      </c>
      <c r="P499" t="s">
        <v>1678</v>
      </c>
      <c r="Q499"/>
      <c r="R499" s="711"/>
      <c r="S499"/>
      <c r="T499" s="127"/>
      <c r="U499"/>
      <c r="V499"/>
      <c r="W499">
        <v>0.01</v>
      </c>
      <c r="X499">
        <v>0</v>
      </c>
      <c r="Y499">
        <v>0.1</v>
      </c>
      <c r="Z499" t="s">
        <v>1663</v>
      </c>
      <c r="AA499">
        <v>1</v>
      </c>
      <c r="AB499">
        <v>1</v>
      </c>
      <c r="AC499" t="s">
        <v>1664</v>
      </c>
      <c r="AD499" t="s">
        <v>1663</v>
      </c>
      <c r="AE499" t="s">
        <v>1663</v>
      </c>
      <c r="AF499" t="s">
        <v>1664</v>
      </c>
    </row>
    <row r="500" spans="1:32" s="34" customFormat="1" x14ac:dyDescent="0.3">
      <c r="A500" t="s">
        <v>1635</v>
      </c>
      <c r="B500" t="s">
        <v>1679</v>
      </c>
      <c r="C500" s="124" t="str">
        <f t="shared" si="280"/>
        <v>UDV.emit_N2O_direct.ef3_shallow_flush</v>
      </c>
      <c r="D500" s="1328">
        <f t="shared" si="245"/>
        <v>2E-3</v>
      </c>
      <c r="E500" s="2281" t="str">
        <f t="shared" si="254"/>
        <v>kg N2O-N/kg N</v>
      </c>
      <c r="F500" s="1328">
        <f t="shared" si="259"/>
        <v>2E-3</v>
      </c>
      <c r="G500" s="2282"/>
      <c r="H500" s="302">
        <f t="shared" si="255"/>
        <v>2E-3</v>
      </c>
      <c r="I500" s="1325" t="str">
        <f t="shared" si="256"/>
        <v>lb N2O-N/lb N</v>
      </c>
      <c r="J500" t="s">
        <v>660</v>
      </c>
      <c r="K500" s="124"/>
      <c r="L500">
        <f t="shared" si="287"/>
        <v>0</v>
      </c>
      <c r="M500">
        <f t="shared" si="282"/>
        <v>0.1</v>
      </c>
      <c r="N500">
        <f t="shared" si="288"/>
        <v>1</v>
      </c>
      <c r="O500" t="s">
        <v>1660</v>
      </c>
      <c r="P500" t="s">
        <v>1680</v>
      </c>
      <c r="Q500"/>
      <c r="R500" s="711"/>
      <c r="S500"/>
      <c r="T500" s="127"/>
      <c r="U500"/>
      <c r="V500"/>
      <c r="W500">
        <v>2E-3</v>
      </c>
      <c r="X500">
        <v>0</v>
      </c>
      <c r="Y500">
        <v>0.1</v>
      </c>
      <c r="Z500" t="s">
        <v>1663</v>
      </c>
      <c r="AA500">
        <v>1</v>
      </c>
      <c r="AB500">
        <v>1</v>
      </c>
      <c r="AC500" t="s">
        <v>1664</v>
      </c>
      <c r="AD500" t="s">
        <v>1663</v>
      </c>
      <c r="AE500" t="s">
        <v>1663</v>
      </c>
      <c r="AF500" t="s">
        <v>1664</v>
      </c>
    </row>
    <row r="501" spans="1:32" s="34" customFormat="1" x14ac:dyDescent="0.3">
      <c r="A501" t="s">
        <v>1635</v>
      </c>
      <c r="B501" t="s">
        <v>1681</v>
      </c>
      <c r="C501" s="124" t="str">
        <f t="shared" ref="C501:C502" si="292">_xlfn.CONCAT("UDV.",A501,".",B501)</f>
        <v>UDV.emit_N2O_direct.ef3_shallow_scrape</v>
      </c>
      <c r="D501" s="1328">
        <f t="shared" si="245"/>
        <v>2E-3</v>
      </c>
      <c r="E501" s="2281" t="str">
        <f t="shared" si="254"/>
        <v>kg N2O-N/kg N</v>
      </c>
      <c r="F501" s="1328">
        <f t="shared" ref="F501:F502" si="293">IF(OR(G501="",N501=0),H501,G501)</f>
        <v>2E-3</v>
      </c>
      <c r="G501" s="2282"/>
      <c r="H501" s="302">
        <f t="shared" si="255"/>
        <v>2E-3</v>
      </c>
      <c r="I501" s="1325" t="str">
        <f t="shared" si="256"/>
        <v>lb N2O-N/lb N</v>
      </c>
      <c r="J501" t="s">
        <v>660</v>
      </c>
      <c r="K501" s="124"/>
      <c r="L501">
        <f t="shared" si="287"/>
        <v>0</v>
      </c>
      <c r="M501">
        <f t="shared" si="282"/>
        <v>0.1</v>
      </c>
      <c r="N501">
        <f t="shared" ref="N501:N502" si="294">IF(AND(M501 - G501 &gt;= 0, G501 - L501 &gt;=0),1,0)</f>
        <v>1</v>
      </c>
      <c r="O501" t="s">
        <v>1660</v>
      </c>
      <c r="P501" t="s">
        <v>1680</v>
      </c>
      <c r="Q501"/>
      <c r="R501" s="711"/>
      <c r="S501"/>
      <c r="T501" s="127"/>
      <c r="U501"/>
      <c r="V501"/>
      <c r="W501">
        <v>2E-3</v>
      </c>
      <c r="X501">
        <v>0</v>
      </c>
      <c r="Y501">
        <v>0.1</v>
      </c>
      <c r="Z501" t="s">
        <v>1663</v>
      </c>
      <c r="AA501">
        <v>1</v>
      </c>
      <c r="AB501">
        <v>1</v>
      </c>
      <c r="AC501" t="s">
        <v>1664</v>
      </c>
      <c r="AD501" t="s">
        <v>1663</v>
      </c>
      <c r="AE501" t="s">
        <v>1663</v>
      </c>
      <c r="AF501" t="s">
        <v>1664</v>
      </c>
    </row>
    <row r="502" spans="1:32" s="34" customFormat="1" x14ac:dyDescent="0.3">
      <c r="A502" t="s">
        <v>1635</v>
      </c>
      <c r="B502" t="s">
        <v>1682</v>
      </c>
      <c r="C502" s="124" t="str">
        <f t="shared" si="292"/>
        <v>UDV.emit_N2O_direct.ef3_shallow_plug</v>
      </c>
      <c r="D502" s="1328">
        <f t="shared" si="245"/>
        <v>2E-3</v>
      </c>
      <c r="E502" s="2281" t="str">
        <f t="shared" si="254"/>
        <v>kg N2O-N/kg N</v>
      </c>
      <c r="F502" s="1328">
        <f t="shared" si="293"/>
        <v>2E-3</v>
      </c>
      <c r="G502" s="2282"/>
      <c r="H502" s="302">
        <f t="shared" si="255"/>
        <v>2E-3</v>
      </c>
      <c r="I502" s="1325" t="str">
        <f t="shared" si="256"/>
        <v>lb N2O-N/lb N</v>
      </c>
      <c r="J502" t="s">
        <v>660</v>
      </c>
      <c r="K502" s="124"/>
      <c r="L502">
        <f t="shared" si="287"/>
        <v>0</v>
      </c>
      <c r="M502">
        <f t="shared" si="282"/>
        <v>0.1</v>
      </c>
      <c r="N502">
        <f t="shared" si="294"/>
        <v>1</v>
      </c>
      <c r="O502" t="s">
        <v>1660</v>
      </c>
      <c r="P502" t="s">
        <v>1680</v>
      </c>
      <c r="Q502"/>
      <c r="R502" s="711"/>
      <c r="S502"/>
      <c r="T502" s="127"/>
      <c r="U502"/>
      <c r="V502"/>
      <c r="W502">
        <v>2E-3</v>
      </c>
      <c r="X502">
        <v>0</v>
      </c>
      <c r="Y502">
        <v>0.1</v>
      </c>
      <c r="Z502" t="s">
        <v>1663</v>
      </c>
      <c r="AA502">
        <v>1</v>
      </c>
      <c r="AB502">
        <v>1</v>
      </c>
      <c r="AC502" t="s">
        <v>1664</v>
      </c>
      <c r="AD502" t="s">
        <v>1663</v>
      </c>
      <c r="AE502" t="s">
        <v>1663</v>
      </c>
      <c r="AF502" t="s">
        <v>1664</v>
      </c>
    </row>
    <row r="503" spans="1:32" s="34" customFormat="1" x14ac:dyDescent="0.3">
      <c r="A503" t="s">
        <v>1635</v>
      </c>
      <c r="B503" t="s">
        <v>1683</v>
      </c>
      <c r="C503" s="124" t="str">
        <f t="shared" ref="C503" si="295">_xlfn.CONCAT("UDV.",A503,".",B503)</f>
        <v>UDV.emit_N2O_direct.ef3_storage_tank</v>
      </c>
      <c r="D503" s="1328">
        <f t="shared" si="245"/>
        <v>5.0000000000000001E-3</v>
      </c>
      <c r="E503" s="2281" t="str">
        <f t="shared" si="254"/>
        <v>kg N2O-N/kg N</v>
      </c>
      <c r="F503" s="1328">
        <f t="shared" ref="F503" si="296">IF(OR(G503="",N503=0),H503,G503)</f>
        <v>5.0000000000000001E-3</v>
      </c>
      <c r="G503" s="2282"/>
      <c r="H503" s="302">
        <f t="shared" si="255"/>
        <v>5.0000000000000001E-3</v>
      </c>
      <c r="I503" s="1325" t="str">
        <f t="shared" si="256"/>
        <v>lb N2O-N/lb N</v>
      </c>
      <c r="J503" t="s">
        <v>660</v>
      </c>
      <c r="K503" s="124"/>
      <c r="L503">
        <f t="shared" si="287"/>
        <v>0</v>
      </c>
      <c r="M503">
        <f t="shared" si="282"/>
        <v>0.1</v>
      </c>
      <c r="N503">
        <f t="shared" ref="N503" si="297">IF(AND(M503 - G503 &gt;= 0, G503 - L503 &gt;=0),1,0)</f>
        <v>1</v>
      </c>
      <c r="O503" t="s">
        <v>1660</v>
      </c>
      <c r="P503" t="s">
        <v>1684</v>
      </c>
      <c r="Q503"/>
      <c r="R503" s="711"/>
      <c r="S503"/>
      <c r="T503" s="127"/>
      <c r="U503"/>
      <c r="V503"/>
      <c r="W503">
        <v>5.0000000000000001E-3</v>
      </c>
      <c r="X503">
        <v>0</v>
      </c>
      <c r="Y503">
        <v>0.1</v>
      </c>
      <c r="Z503" t="s">
        <v>1663</v>
      </c>
      <c r="AA503">
        <v>1</v>
      </c>
      <c r="AB503">
        <v>1</v>
      </c>
      <c r="AC503" t="s">
        <v>1664</v>
      </c>
      <c r="AD503" t="s">
        <v>1663</v>
      </c>
      <c r="AE503" t="s">
        <v>1663</v>
      </c>
      <c r="AF503" t="s">
        <v>1664</v>
      </c>
    </row>
    <row r="504" spans="1:32" s="34" customFormat="1" x14ac:dyDescent="0.3">
      <c r="A504" t="s">
        <v>1635</v>
      </c>
      <c r="B504" t="s">
        <v>1685</v>
      </c>
      <c r="C504" s="124" t="str">
        <f t="shared" si="280"/>
        <v>UDV.emit_N2O_direct.ef3_windrow</v>
      </c>
      <c r="D504" s="1328">
        <f t="shared" si="245"/>
        <v>5.0000000000000001E-3</v>
      </c>
      <c r="E504" s="2281" t="str">
        <f t="shared" si="254"/>
        <v>kg N2O-N/kg N</v>
      </c>
      <c r="F504" s="1328">
        <f t="shared" si="259"/>
        <v>5.0000000000000001E-3</v>
      </c>
      <c r="G504" s="2282"/>
      <c r="H504" s="302">
        <f t="shared" si="255"/>
        <v>5.0000000000000001E-3</v>
      </c>
      <c r="I504" s="1325" t="str">
        <f t="shared" si="256"/>
        <v>lb N2O-N/lb N</v>
      </c>
      <c r="J504" t="s">
        <v>660</v>
      </c>
      <c r="K504" s="124"/>
      <c r="L504">
        <f t="shared" si="287"/>
        <v>0</v>
      </c>
      <c r="M504">
        <f t="shared" si="282"/>
        <v>0.1</v>
      </c>
      <c r="N504">
        <f t="shared" si="288"/>
        <v>1</v>
      </c>
      <c r="O504" t="s">
        <v>1660</v>
      </c>
      <c r="P504" t="s">
        <v>1686</v>
      </c>
      <c r="Q504"/>
      <c r="R504" s="711"/>
      <c r="S504"/>
      <c r="T504" s="127"/>
      <c r="U504"/>
      <c r="V504"/>
      <c r="W504">
        <v>5.0000000000000001E-3</v>
      </c>
      <c r="X504">
        <v>0</v>
      </c>
      <c r="Y504">
        <v>0.1</v>
      </c>
      <c r="Z504" t="s">
        <v>1663</v>
      </c>
      <c r="AA504">
        <v>1</v>
      </c>
      <c r="AB504">
        <v>1</v>
      </c>
      <c r="AC504" t="s">
        <v>1664</v>
      </c>
      <c r="AD504" t="s">
        <v>1663</v>
      </c>
      <c r="AE504" t="s">
        <v>1663</v>
      </c>
      <c r="AF504" t="s">
        <v>1664</v>
      </c>
    </row>
    <row r="505" spans="1:32" s="34" customFormat="1" x14ac:dyDescent="0.3">
      <c r="A505" t="s">
        <v>1635</v>
      </c>
      <c r="B505" t="s">
        <v>1687</v>
      </c>
      <c r="C505" s="124" t="str">
        <f t="shared" si="280"/>
        <v>UDV.emit_N2O_direct.ef3_bedded_pack</v>
      </c>
      <c r="D505" s="1328">
        <f t="shared" si="245"/>
        <v>7.0000000000000007E-2</v>
      </c>
      <c r="E505" s="2281" t="str">
        <f t="shared" si="254"/>
        <v>kg N2O-N/kg N</v>
      </c>
      <c r="F505" s="1328">
        <f t="shared" si="259"/>
        <v>7.0000000000000007E-2</v>
      </c>
      <c r="G505" s="2282"/>
      <c r="H505" s="302">
        <f t="shared" si="255"/>
        <v>7.0000000000000007E-2</v>
      </c>
      <c r="I505" s="1325" t="str">
        <f t="shared" si="256"/>
        <v>lb N2O-N/lb N</v>
      </c>
      <c r="J505" t="s">
        <v>660</v>
      </c>
      <c r="K505" s="124"/>
      <c r="L505">
        <f t="shared" si="287"/>
        <v>0</v>
      </c>
      <c r="M505">
        <f t="shared" si="282"/>
        <v>0.1</v>
      </c>
      <c r="N505">
        <f t="shared" si="288"/>
        <v>1</v>
      </c>
      <c r="O505" t="s">
        <v>1660</v>
      </c>
      <c r="P505" t="s">
        <v>1688</v>
      </c>
      <c r="Q505"/>
      <c r="R505" s="711"/>
      <c r="S505"/>
      <c r="T505" s="127"/>
      <c r="U505"/>
      <c r="V505"/>
      <c r="W505">
        <v>7.0000000000000007E-2</v>
      </c>
      <c r="X505">
        <v>0</v>
      </c>
      <c r="Y505">
        <v>0.1</v>
      </c>
      <c r="Z505" t="s">
        <v>1663</v>
      </c>
      <c r="AA505">
        <v>1</v>
      </c>
      <c r="AB505">
        <v>1</v>
      </c>
      <c r="AC505" t="s">
        <v>1664</v>
      </c>
      <c r="AD505" t="s">
        <v>1663</v>
      </c>
      <c r="AE505" t="s">
        <v>1663</v>
      </c>
      <c r="AF505" t="s">
        <v>1664</v>
      </c>
    </row>
    <row r="506" spans="1:32" s="34" customFormat="1" x14ac:dyDescent="0.3">
      <c r="A506" t="s">
        <v>1689</v>
      </c>
      <c r="B506" t="s">
        <v>1690</v>
      </c>
      <c r="C506" s="124" t="str">
        <f t="shared" si="280"/>
        <v>UDV.emit_NH3.lossfrac_anaer_digest</v>
      </c>
      <c r="D506" s="1328">
        <f t="shared" si="245"/>
        <v>7.4999999999999997E-2</v>
      </c>
      <c r="E506" s="2281" t="str">
        <f t="shared" si="254"/>
        <v>fraction</v>
      </c>
      <c r="F506" s="1328">
        <f t="shared" si="259"/>
        <v>7.4999999999999997E-2</v>
      </c>
      <c r="G506" s="2282"/>
      <c r="H506" s="302">
        <f t="shared" si="255"/>
        <v>7.4999999999999997E-2</v>
      </c>
      <c r="I506" s="1325" t="str">
        <f t="shared" si="256"/>
        <v>fraction</v>
      </c>
      <c r="J506" t="s">
        <v>660</v>
      </c>
      <c r="K506" s="124"/>
      <c r="L506">
        <f>ROUNDDOWN($X506*$AA506,3)</f>
        <v>0.01</v>
      </c>
      <c r="M506">
        <f>ROUNDUP($Y506*$AA506,3)</f>
        <v>0.95</v>
      </c>
      <c r="N506">
        <f>IF(AND(M506 - G506 &gt;= 0, G506 - L506 &gt;=0),1,0)</f>
        <v>0</v>
      </c>
      <c r="O506" t="s">
        <v>1691</v>
      </c>
      <c r="P506" t="s">
        <v>1692</v>
      </c>
      <c r="Q506" t="s">
        <v>1693</v>
      </c>
      <c r="R506" s="711"/>
      <c r="S506"/>
      <c r="T506" s="127"/>
      <c r="U506"/>
      <c r="V506"/>
      <c r="W506">
        <v>7.4999999999999997E-2</v>
      </c>
      <c r="X506">
        <v>0.01</v>
      </c>
      <c r="Y506">
        <v>0.95</v>
      </c>
      <c r="Z506" t="s">
        <v>1694</v>
      </c>
      <c r="AA506">
        <v>1</v>
      </c>
      <c r="AB506">
        <v>1</v>
      </c>
      <c r="AC506" t="s">
        <v>1694</v>
      </c>
      <c r="AD506" t="s">
        <v>1694</v>
      </c>
      <c r="AE506" t="s">
        <v>1694</v>
      </c>
      <c r="AF506" t="s">
        <v>1694</v>
      </c>
    </row>
    <row r="507" spans="1:32" s="34" customFormat="1" x14ac:dyDescent="0.3">
      <c r="A507" t="s">
        <v>1689</v>
      </c>
      <c r="B507" t="s">
        <v>1695</v>
      </c>
      <c r="C507" s="124" t="str">
        <f t="shared" si="280"/>
        <v>UDV.emit_NH3.lossfrac_cover_digest</v>
      </c>
      <c r="D507" s="1328">
        <f t="shared" si="245"/>
        <v>0.1</v>
      </c>
      <c r="E507" s="2281" t="str">
        <f t="shared" si="254"/>
        <v>fraction</v>
      </c>
      <c r="F507" s="1328">
        <f t="shared" si="259"/>
        <v>0.1</v>
      </c>
      <c r="G507" s="2282"/>
      <c r="H507" s="302">
        <f t="shared" si="255"/>
        <v>0.1</v>
      </c>
      <c r="I507" s="1325" t="str">
        <f t="shared" si="256"/>
        <v>fraction</v>
      </c>
      <c r="J507" t="s">
        <v>688</v>
      </c>
      <c r="K507" s="124"/>
      <c r="L507">
        <f t="shared" ref="L507:L519" si="298">ROUNDDOWN($X507*$AA507,3)</f>
        <v>0.01</v>
      </c>
      <c r="M507">
        <f t="shared" ref="M507:M519" si="299">ROUNDUP($Y507*$AA507,3)</f>
        <v>0.95</v>
      </c>
      <c r="N507">
        <f t="shared" ref="N507:N519" si="300">IF(AND(M507 - G507 &gt;= 0, G507 - L507 &gt;=0),1,0)</f>
        <v>0</v>
      </c>
      <c r="O507" t="s">
        <v>1691</v>
      </c>
      <c r="P507" t="s">
        <v>1696</v>
      </c>
      <c r="Q507" t="s">
        <v>1693</v>
      </c>
      <c r="R507" s="711"/>
      <c r="S507"/>
      <c r="T507" s="127"/>
      <c r="U507"/>
      <c r="V507"/>
      <c r="W507">
        <v>0.1</v>
      </c>
      <c r="X507">
        <v>0.01</v>
      </c>
      <c r="Y507">
        <v>0.95</v>
      </c>
      <c r="Z507" t="s">
        <v>1694</v>
      </c>
      <c r="AA507">
        <v>1</v>
      </c>
      <c r="AB507">
        <v>1</v>
      </c>
      <c r="AC507" t="s">
        <v>1694</v>
      </c>
      <c r="AD507" t="s">
        <v>1694</v>
      </c>
      <c r="AE507" t="s">
        <v>1694</v>
      </c>
      <c r="AF507" t="s">
        <v>1694</v>
      </c>
    </row>
    <row r="508" spans="1:32" s="34" customFormat="1" x14ac:dyDescent="0.3">
      <c r="A508" t="s">
        <v>1689</v>
      </c>
      <c r="B508" t="s">
        <v>1697</v>
      </c>
      <c r="C508" s="124" t="str">
        <f t="shared" si="280"/>
        <v>UDV.emit_NH3.lossfrac_anaer_lagoon</v>
      </c>
      <c r="D508" s="1328">
        <f t="shared" si="245"/>
        <v>0.5</v>
      </c>
      <c r="E508" s="2281" t="str">
        <f t="shared" si="254"/>
        <v>fraction</v>
      </c>
      <c r="F508" s="1328">
        <f t="shared" si="259"/>
        <v>0.5</v>
      </c>
      <c r="G508" s="2282"/>
      <c r="H508" s="302">
        <f t="shared" si="255"/>
        <v>0.5</v>
      </c>
      <c r="I508" s="1325" t="str">
        <f t="shared" si="256"/>
        <v>fraction</v>
      </c>
      <c r="J508" t="s">
        <v>688</v>
      </c>
      <c r="K508" s="124"/>
      <c r="L508">
        <f t="shared" si="298"/>
        <v>0.01</v>
      </c>
      <c r="M508">
        <f t="shared" si="299"/>
        <v>0.95</v>
      </c>
      <c r="N508">
        <f t="shared" si="300"/>
        <v>0</v>
      </c>
      <c r="O508" t="s">
        <v>1691</v>
      </c>
      <c r="P508" t="s">
        <v>1698</v>
      </c>
      <c r="Q508" t="s">
        <v>1693</v>
      </c>
      <c r="R508" s="711"/>
      <c r="S508"/>
      <c r="T508" s="127"/>
      <c r="U508"/>
      <c r="V508"/>
      <c r="W508">
        <v>0.5</v>
      </c>
      <c r="X508">
        <v>0.01</v>
      </c>
      <c r="Y508">
        <v>0.95</v>
      </c>
      <c r="Z508" t="s">
        <v>1694</v>
      </c>
      <c r="AA508">
        <v>1</v>
      </c>
      <c r="AB508">
        <v>1</v>
      </c>
      <c r="AC508" t="s">
        <v>1694</v>
      </c>
      <c r="AD508" t="s">
        <v>1694</v>
      </c>
      <c r="AE508" t="s">
        <v>1694</v>
      </c>
      <c r="AF508" t="s">
        <v>1694</v>
      </c>
    </row>
    <row r="509" spans="1:32" s="34" customFormat="1" x14ac:dyDescent="0.3">
      <c r="A509" t="s">
        <v>1689</v>
      </c>
      <c r="B509" t="s">
        <v>1699</v>
      </c>
      <c r="C509" s="124" t="str">
        <f t="shared" si="280"/>
        <v>UDV.emit_NH3.lossfrac_pit_aerated</v>
      </c>
      <c r="D509" s="1328">
        <f t="shared" si="245"/>
        <v>0.55000000000000004</v>
      </c>
      <c r="E509" s="2281" t="str">
        <f t="shared" si="254"/>
        <v>fraction</v>
      </c>
      <c r="F509" s="1328">
        <f t="shared" si="259"/>
        <v>0.55000000000000004</v>
      </c>
      <c r="G509" s="2282"/>
      <c r="H509" s="302">
        <f t="shared" si="255"/>
        <v>0.55000000000000004</v>
      </c>
      <c r="I509" s="1325" t="str">
        <f t="shared" si="256"/>
        <v>fraction</v>
      </c>
      <c r="J509" t="s">
        <v>688</v>
      </c>
      <c r="K509" s="124"/>
      <c r="L509">
        <f t="shared" si="298"/>
        <v>0.01</v>
      </c>
      <c r="M509">
        <f t="shared" si="299"/>
        <v>0.95</v>
      </c>
      <c r="N509">
        <f t="shared" si="300"/>
        <v>0</v>
      </c>
      <c r="O509" t="s">
        <v>1691</v>
      </c>
      <c r="P509" t="s">
        <v>1700</v>
      </c>
      <c r="Q509" t="s">
        <v>1693</v>
      </c>
      <c r="R509" s="711"/>
      <c r="S509"/>
      <c r="T509" s="127"/>
      <c r="U509"/>
      <c r="V509"/>
      <c r="W509">
        <f>(0.25+0.85)/2</f>
        <v>0.55000000000000004</v>
      </c>
      <c r="X509">
        <v>0.01</v>
      </c>
      <c r="Y509">
        <v>0.95</v>
      </c>
      <c r="Z509" t="s">
        <v>1694</v>
      </c>
      <c r="AA509">
        <v>1</v>
      </c>
      <c r="AB509">
        <v>1</v>
      </c>
      <c r="AC509" t="s">
        <v>1694</v>
      </c>
      <c r="AD509" t="s">
        <v>1694</v>
      </c>
      <c r="AE509" t="s">
        <v>1694</v>
      </c>
      <c r="AF509" t="s">
        <v>1694</v>
      </c>
    </row>
    <row r="510" spans="1:32" s="34" customFormat="1" x14ac:dyDescent="0.3">
      <c r="A510" t="s">
        <v>1689</v>
      </c>
      <c r="B510" t="s">
        <v>1701</v>
      </c>
      <c r="C510" s="124" t="str">
        <f t="shared" ref="C510" si="301">_xlfn.CONCAT("UDV.",A510,".",B510)</f>
        <v>UDV.emit_NH3.lossfrac_pit_no_air</v>
      </c>
      <c r="D510" s="1328">
        <f t="shared" si="245"/>
        <v>0.25</v>
      </c>
      <c r="E510" s="2281" t="str">
        <f t="shared" si="254"/>
        <v>fraction</v>
      </c>
      <c r="F510" s="1328">
        <f t="shared" ref="F510" si="302">IF(OR(G510="",N510=0),H510,G510)</f>
        <v>0.25</v>
      </c>
      <c r="G510" s="2282"/>
      <c r="H510" s="302">
        <f t="shared" si="255"/>
        <v>0.25</v>
      </c>
      <c r="I510" s="1325" t="str">
        <f t="shared" si="256"/>
        <v>fraction</v>
      </c>
      <c r="J510" t="s">
        <v>688</v>
      </c>
      <c r="K510" s="124"/>
      <c r="L510">
        <f t="shared" si="298"/>
        <v>0.01</v>
      </c>
      <c r="M510">
        <f t="shared" si="299"/>
        <v>0.95</v>
      </c>
      <c r="N510">
        <f t="shared" ref="N510" si="303">IF(AND(M510 - G510 &gt;= 0, G510 - L510 &gt;=0),1,0)</f>
        <v>0</v>
      </c>
      <c r="O510" t="s">
        <v>1691</v>
      </c>
      <c r="P510" t="s">
        <v>1702</v>
      </c>
      <c r="Q510" t="s">
        <v>1693</v>
      </c>
      <c r="R510" s="711"/>
      <c r="S510"/>
      <c r="T510" s="127"/>
      <c r="U510"/>
      <c r="V510"/>
      <c r="W510">
        <v>0.25</v>
      </c>
      <c r="X510">
        <v>0.01</v>
      </c>
      <c r="Y510">
        <v>0.95</v>
      </c>
      <c r="Z510" t="s">
        <v>1694</v>
      </c>
      <c r="AA510">
        <v>1</v>
      </c>
      <c r="AB510">
        <v>1</v>
      </c>
      <c r="AC510" t="s">
        <v>1694</v>
      </c>
      <c r="AD510" t="s">
        <v>1694</v>
      </c>
      <c r="AE510" t="s">
        <v>1694</v>
      </c>
      <c r="AF510" t="s">
        <v>1694</v>
      </c>
    </row>
    <row r="511" spans="1:32" s="34" customFormat="1" x14ac:dyDescent="0.3">
      <c r="A511" t="s">
        <v>1689</v>
      </c>
      <c r="B511" t="s">
        <v>1703</v>
      </c>
      <c r="C511" s="124" t="str">
        <f t="shared" si="280"/>
        <v>UDV.emit_NH3.lossfrac_pond_crust</v>
      </c>
      <c r="D511" s="1328">
        <f t="shared" si="245"/>
        <v>0.3</v>
      </c>
      <c r="E511" s="2281" t="str">
        <f t="shared" si="254"/>
        <v>fraction</v>
      </c>
      <c r="F511" s="1328">
        <f t="shared" si="259"/>
        <v>0.3</v>
      </c>
      <c r="G511" s="2282"/>
      <c r="H511" s="302">
        <f t="shared" si="255"/>
        <v>0.3</v>
      </c>
      <c r="I511" s="1325" t="str">
        <f t="shared" si="256"/>
        <v>fraction</v>
      </c>
      <c r="J511" t="s">
        <v>688</v>
      </c>
      <c r="K511" s="124"/>
      <c r="L511">
        <f t="shared" si="298"/>
        <v>0.01</v>
      </c>
      <c r="M511">
        <f t="shared" si="299"/>
        <v>0.95</v>
      </c>
      <c r="N511">
        <f t="shared" si="300"/>
        <v>0</v>
      </c>
      <c r="O511" t="s">
        <v>1691</v>
      </c>
      <c r="P511" t="s">
        <v>1704</v>
      </c>
      <c r="Q511"/>
      <c r="R511" s="711"/>
      <c r="S511"/>
      <c r="T511" s="127"/>
      <c r="U511"/>
      <c r="V511"/>
      <c r="W511">
        <v>0.3</v>
      </c>
      <c r="X511">
        <v>0.01</v>
      </c>
      <c r="Y511">
        <v>0.95</v>
      </c>
      <c r="Z511" t="s">
        <v>1694</v>
      </c>
      <c r="AA511">
        <v>1</v>
      </c>
      <c r="AB511">
        <v>1</v>
      </c>
      <c r="AC511" t="s">
        <v>1694</v>
      </c>
      <c r="AD511" t="s">
        <v>1694</v>
      </c>
      <c r="AE511" t="s">
        <v>1694</v>
      </c>
      <c r="AF511" t="s">
        <v>1694</v>
      </c>
    </row>
    <row r="512" spans="1:32" s="34" customFormat="1" x14ac:dyDescent="0.3">
      <c r="A512" t="s">
        <v>1689</v>
      </c>
      <c r="B512" t="s">
        <v>1705</v>
      </c>
      <c r="C512" s="124" t="str">
        <f t="shared" si="280"/>
        <v>UDV.emit_NH3.lossfrac_pond_no_crust</v>
      </c>
      <c r="D512" s="1328">
        <f t="shared" si="245"/>
        <v>0.48</v>
      </c>
      <c r="E512" s="2281" t="str">
        <f t="shared" si="254"/>
        <v>fraction</v>
      </c>
      <c r="F512" s="1328">
        <f t="shared" si="259"/>
        <v>0.48</v>
      </c>
      <c r="G512" s="2282"/>
      <c r="H512" s="302">
        <f t="shared" si="255"/>
        <v>0.48</v>
      </c>
      <c r="I512" s="1325" t="str">
        <f t="shared" si="256"/>
        <v>fraction</v>
      </c>
      <c r="J512" t="s">
        <v>688</v>
      </c>
      <c r="K512" s="124"/>
      <c r="L512">
        <f t="shared" si="298"/>
        <v>0.01</v>
      </c>
      <c r="M512">
        <f t="shared" si="299"/>
        <v>0.95</v>
      </c>
      <c r="N512">
        <f t="shared" si="300"/>
        <v>0</v>
      </c>
      <c r="O512" t="s">
        <v>1691</v>
      </c>
      <c r="P512" t="s">
        <v>1706</v>
      </c>
      <c r="Q512"/>
      <c r="R512" s="711"/>
      <c r="S512"/>
      <c r="T512" s="127"/>
      <c r="U512"/>
      <c r="V512"/>
      <c r="W512">
        <v>0.48</v>
      </c>
      <c r="X512">
        <v>0.01</v>
      </c>
      <c r="Y512">
        <v>0.95</v>
      </c>
      <c r="Z512" t="s">
        <v>1694</v>
      </c>
      <c r="AA512">
        <v>1</v>
      </c>
      <c r="AB512">
        <v>1</v>
      </c>
      <c r="AC512" t="s">
        <v>1694</v>
      </c>
      <c r="AD512" t="s">
        <v>1694</v>
      </c>
      <c r="AE512" t="s">
        <v>1694</v>
      </c>
      <c r="AF512" t="s">
        <v>1694</v>
      </c>
    </row>
    <row r="513" spans="1:32" s="34" customFormat="1" x14ac:dyDescent="0.3">
      <c r="A513" t="s">
        <v>1689</v>
      </c>
      <c r="B513" t="s">
        <v>1707</v>
      </c>
      <c r="C513" s="124" t="str">
        <f t="shared" si="280"/>
        <v>UDV.emit_NH3.lossfrac_shallow_flush</v>
      </c>
      <c r="D513" s="1328">
        <f t="shared" si="245"/>
        <v>0.3</v>
      </c>
      <c r="E513" s="2281" t="str">
        <f t="shared" si="254"/>
        <v>fraction</v>
      </c>
      <c r="F513" s="1328">
        <f t="shared" si="259"/>
        <v>0.3</v>
      </c>
      <c r="G513" s="2282"/>
      <c r="H513" s="302">
        <f t="shared" si="255"/>
        <v>0.3</v>
      </c>
      <c r="I513" s="1325" t="str">
        <f t="shared" si="256"/>
        <v>fraction</v>
      </c>
      <c r="J513" t="s">
        <v>688</v>
      </c>
      <c r="K513" s="124"/>
      <c r="L513">
        <f t="shared" si="298"/>
        <v>0.01</v>
      </c>
      <c r="M513">
        <f t="shared" si="299"/>
        <v>0.95</v>
      </c>
      <c r="N513">
        <f t="shared" si="300"/>
        <v>0</v>
      </c>
      <c r="O513" t="s">
        <v>1691</v>
      </c>
      <c r="P513" t="s">
        <v>1708</v>
      </c>
      <c r="Q513" t="s">
        <v>1693</v>
      </c>
      <c r="R513" s="711"/>
      <c r="S513"/>
      <c r="T513" s="127"/>
      <c r="U513"/>
      <c r="V513"/>
      <c r="W513">
        <v>0.3</v>
      </c>
      <c r="X513">
        <v>0.01</v>
      </c>
      <c r="Y513">
        <v>0.95</v>
      </c>
      <c r="Z513" t="s">
        <v>1694</v>
      </c>
      <c r="AA513">
        <v>1</v>
      </c>
      <c r="AB513">
        <v>1</v>
      </c>
      <c r="AC513" t="s">
        <v>1694</v>
      </c>
      <c r="AD513" t="s">
        <v>1694</v>
      </c>
      <c r="AE513" t="s">
        <v>1694</v>
      </c>
      <c r="AF513" t="s">
        <v>1694</v>
      </c>
    </row>
    <row r="514" spans="1:32" s="34" customFormat="1" x14ac:dyDescent="0.3">
      <c r="A514" t="s">
        <v>1689</v>
      </c>
      <c r="B514" t="s">
        <v>1709</v>
      </c>
      <c r="C514" s="124" t="str">
        <f t="shared" ref="C514:C516" si="304">_xlfn.CONCAT("UDV.",A514,".",B514)</f>
        <v>UDV.emit_NH3.lossfrac_shallow_scrape</v>
      </c>
      <c r="D514" s="1328">
        <f t="shared" si="245"/>
        <v>0.2</v>
      </c>
      <c r="E514" s="2281" t="str">
        <f t="shared" si="254"/>
        <v>fraction</v>
      </c>
      <c r="F514" s="1328">
        <f t="shared" ref="F514:F516" si="305">IF(OR(G514="",N514=0),H514,G514)</f>
        <v>0.2</v>
      </c>
      <c r="G514" s="2282"/>
      <c r="H514" s="302">
        <f t="shared" si="255"/>
        <v>0.2</v>
      </c>
      <c r="I514" s="1325" t="str">
        <f t="shared" si="256"/>
        <v>fraction</v>
      </c>
      <c r="J514" t="s">
        <v>688</v>
      </c>
      <c r="K514" s="124"/>
      <c r="L514">
        <f t="shared" si="298"/>
        <v>0.01</v>
      </c>
      <c r="M514">
        <f t="shared" si="299"/>
        <v>0.95</v>
      </c>
      <c r="N514">
        <f t="shared" ref="N514:N516" si="306">IF(AND(M514 - G514 &gt;= 0, G514 - L514 &gt;=0),1,0)</f>
        <v>0</v>
      </c>
      <c r="O514" t="s">
        <v>1691</v>
      </c>
      <c r="P514" t="s">
        <v>1710</v>
      </c>
      <c r="Q514" t="s">
        <v>1693</v>
      </c>
      <c r="R514" s="711"/>
      <c r="S514"/>
      <c r="T514" s="127"/>
      <c r="U514"/>
      <c r="V514"/>
      <c r="W514">
        <v>0.2</v>
      </c>
      <c r="X514">
        <v>0.01</v>
      </c>
      <c r="Y514">
        <v>0.95</v>
      </c>
      <c r="Z514" t="s">
        <v>1694</v>
      </c>
      <c r="AA514">
        <v>1</v>
      </c>
      <c r="AB514">
        <v>1</v>
      </c>
      <c r="AC514" t="s">
        <v>1694</v>
      </c>
      <c r="AD514" t="s">
        <v>1694</v>
      </c>
      <c r="AE514" t="s">
        <v>1694</v>
      </c>
      <c r="AF514" t="s">
        <v>1694</v>
      </c>
    </row>
    <row r="515" spans="1:32" s="34" customFormat="1" x14ac:dyDescent="0.3">
      <c r="A515" t="s">
        <v>1689</v>
      </c>
      <c r="B515" t="s">
        <v>1711</v>
      </c>
      <c r="C515" s="124" t="str">
        <f t="shared" si="304"/>
        <v>UDV.emit_NH3.lossfrac_shallow_plug</v>
      </c>
      <c r="D515" s="1328">
        <f t="shared" si="245"/>
        <v>0.25</v>
      </c>
      <c r="E515" s="2281" t="str">
        <f t="shared" si="254"/>
        <v>fraction</v>
      </c>
      <c r="F515" s="1328">
        <f t="shared" si="305"/>
        <v>0.25</v>
      </c>
      <c r="G515" s="2282"/>
      <c r="H515" s="302">
        <f t="shared" si="255"/>
        <v>0.25</v>
      </c>
      <c r="I515" s="1325" t="str">
        <f t="shared" si="256"/>
        <v>fraction</v>
      </c>
      <c r="J515" t="s">
        <v>688</v>
      </c>
      <c r="K515" s="124"/>
      <c r="L515">
        <f t="shared" si="298"/>
        <v>0.01</v>
      </c>
      <c r="M515">
        <f t="shared" si="299"/>
        <v>0.95</v>
      </c>
      <c r="N515">
        <f t="shared" si="306"/>
        <v>0</v>
      </c>
      <c r="O515" t="s">
        <v>1691</v>
      </c>
      <c r="P515" t="s">
        <v>1712</v>
      </c>
      <c r="Q515" t="s">
        <v>1693</v>
      </c>
      <c r="R515" s="711"/>
      <c r="S515"/>
      <c r="T515" s="127"/>
      <c r="U515"/>
      <c r="V515"/>
      <c r="W515">
        <v>0.25</v>
      </c>
      <c r="X515">
        <v>0.01</v>
      </c>
      <c r="Y515">
        <v>0.95</v>
      </c>
      <c r="Z515" t="s">
        <v>1694</v>
      </c>
      <c r="AA515">
        <v>1</v>
      </c>
      <c r="AB515">
        <v>1</v>
      </c>
      <c r="AC515" t="s">
        <v>1694</v>
      </c>
      <c r="AD515" t="s">
        <v>1694</v>
      </c>
      <c r="AE515" t="s">
        <v>1694</v>
      </c>
      <c r="AF515" t="s">
        <v>1694</v>
      </c>
    </row>
    <row r="516" spans="1:32" s="34" customFormat="1" x14ac:dyDescent="0.3">
      <c r="A516" t="s">
        <v>1689</v>
      </c>
      <c r="B516" t="s">
        <v>1713</v>
      </c>
      <c r="C516" s="124" t="str">
        <f t="shared" si="304"/>
        <v>UDV.emit_NH3.lossfrac_storage_tank</v>
      </c>
      <c r="D516" s="1328">
        <f t="shared" si="245"/>
        <v>0.3</v>
      </c>
      <c r="E516" s="2281" t="str">
        <f t="shared" si="254"/>
        <v>fraction</v>
      </c>
      <c r="F516" s="1328">
        <f t="shared" si="305"/>
        <v>0.3</v>
      </c>
      <c r="G516" s="2282"/>
      <c r="H516" s="302">
        <f t="shared" si="255"/>
        <v>0.3</v>
      </c>
      <c r="I516" s="1325" t="str">
        <f t="shared" si="256"/>
        <v>fraction</v>
      </c>
      <c r="J516" t="s">
        <v>688</v>
      </c>
      <c r="K516" s="124"/>
      <c r="L516">
        <f t="shared" si="298"/>
        <v>0.01</v>
      </c>
      <c r="M516">
        <f t="shared" si="299"/>
        <v>0.95</v>
      </c>
      <c r="N516">
        <f t="shared" si="306"/>
        <v>0</v>
      </c>
      <c r="O516" t="s">
        <v>1691</v>
      </c>
      <c r="P516" t="s">
        <v>1714</v>
      </c>
      <c r="Q516"/>
      <c r="R516" s="711"/>
      <c r="S516"/>
      <c r="T516" s="127"/>
      <c r="U516"/>
      <c r="V516"/>
      <c r="W516">
        <v>0.3</v>
      </c>
      <c r="X516">
        <v>0.01</v>
      </c>
      <c r="Y516">
        <v>0.95</v>
      </c>
      <c r="Z516" t="s">
        <v>1694</v>
      </c>
      <c r="AA516">
        <v>1</v>
      </c>
      <c r="AB516">
        <v>1</v>
      </c>
      <c r="AC516" t="s">
        <v>1694</v>
      </c>
      <c r="AD516" t="s">
        <v>1694</v>
      </c>
      <c r="AE516" t="s">
        <v>1694</v>
      </c>
      <c r="AF516" t="s">
        <v>1694</v>
      </c>
    </row>
    <row r="517" spans="1:32" s="34" customFormat="1" x14ac:dyDescent="0.3">
      <c r="A517" t="s">
        <v>1689</v>
      </c>
      <c r="B517" t="s">
        <v>1715</v>
      </c>
      <c r="C517" s="124" t="str">
        <f t="shared" si="280"/>
        <v>UDV.emit_NH3.lossfrac_solids</v>
      </c>
      <c r="D517" s="1328">
        <f t="shared" si="245"/>
        <v>0.45</v>
      </c>
      <c r="E517" s="2281" t="str">
        <f t="shared" si="254"/>
        <v>fraction</v>
      </c>
      <c r="F517" s="1328">
        <f t="shared" si="259"/>
        <v>0.45</v>
      </c>
      <c r="G517" s="2282"/>
      <c r="H517" s="302">
        <f t="shared" si="255"/>
        <v>0.45</v>
      </c>
      <c r="I517" s="1325" t="str">
        <f t="shared" si="256"/>
        <v>fraction</v>
      </c>
      <c r="J517" t="s">
        <v>660</v>
      </c>
      <c r="K517" s="124"/>
      <c r="L517">
        <f t="shared" si="298"/>
        <v>0.01</v>
      </c>
      <c r="M517">
        <f t="shared" si="299"/>
        <v>0.95</v>
      </c>
      <c r="N517">
        <f t="shared" si="300"/>
        <v>0</v>
      </c>
      <c r="O517" t="s">
        <v>1691</v>
      </c>
      <c r="P517" t="s">
        <v>1716</v>
      </c>
      <c r="Q517"/>
      <c r="R517" s="711"/>
      <c r="S517"/>
      <c r="T517" s="127"/>
      <c r="U517"/>
      <c r="V517"/>
      <c r="W517">
        <v>0.45</v>
      </c>
      <c r="X517">
        <v>0.01</v>
      </c>
      <c r="Y517">
        <v>0.95</v>
      </c>
      <c r="Z517" t="s">
        <v>1694</v>
      </c>
      <c r="AA517">
        <v>1</v>
      </c>
      <c r="AB517">
        <v>1</v>
      </c>
      <c r="AC517" t="s">
        <v>1694</v>
      </c>
      <c r="AD517" t="s">
        <v>1694</v>
      </c>
      <c r="AE517" t="s">
        <v>1694</v>
      </c>
      <c r="AF517" t="s">
        <v>1694</v>
      </c>
    </row>
    <row r="518" spans="1:32" s="34" customFormat="1" x14ac:dyDescent="0.3">
      <c r="A518" t="s">
        <v>1689</v>
      </c>
      <c r="B518" t="s">
        <v>1717</v>
      </c>
      <c r="C518" s="124" t="str">
        <f t="shared" si="280"/>
        <v>UDV.emit_NH3.lossfrac_windrow</v>
      </c>
      <c r="D518" s="1328">
        <f t="shared" si="245"/>
        <v>0.65</v>
      </c>
      <c r="E518" s="2281" t="str">
        <f t="shared" si="254"/>
        <v>fraction</v>
      </c>
      <c r="F518" s="1328">
        <f t="shared" si="259"/>
        <v>0.65</v>
      </c>
      <c r="G518" s="2282"/>
      <c r="H518" s="302">
        <f t="shared" si="255"/>
        <v>0.65</v>
      </c>
      <c r="I518" s="1325" t="str">
        <f t="shared" si="256"/>
        <v>fraction</v>
      </c>
      <c r="J518" t="s">
        <v>660</v>
      </c>
      <c r="K518" s="124"/>
      <c r="L518">
        <f t="shared" si="298"/>
        <v>0.01</v>
      </c>
      <c r="M518">
        <f t="shared" si="299"/>
        <v>0.95</v>
      </c>
      <c r="N518">
        <f t="shared" si="300"/>
        <v>0</v>
      </c>
      <c r="O518" t="s">
        <v>1691</v>
      </c>
      <c r="P518" t="s">
        <v>1718</v>
      </c>
      <c r="Q518"/>
      <c r="R518" s="711"/>
      <c r="S518"/>
      <c r="T518" s="127"/>
      <c r="U518"/>
      <c r="V518"/>
      <c r="W518">
        <v>0.65</v>
      </c>
      <c r="X518">
        <v>0.01</v>
      </c>
      <c r="Y518">
        <v>0.95</v>
      </c>
      <c r="Z518" t="s">
        <v>1694</v>
      </c>
      <c r="AA518">
        <v>1</v>
      </c>
      <c r="AB518">
        <v>1</v>
      </c>
      <c r="AC518" t="s">
        <v>1694</v>
      </c>
      <c r="AD518" t="s">
        <v>1694</v>
      </c>
      <c r="AE518" t="s">
        <v>1694</v>
      </c>
      <c r="AF518" t="s">
        <v>1694</v>
      </c>
    </row>
    <row r="519" spans="1:32" s="34" customFormat="1" x14ac:dyDescent="0.3">
      <c r="A519" t="s">
        <v>1689</v>
      </c>
      <c r="B519" t="s">
        <v>1719</v>
      </c>
      <c r="C519" s="124" t="str">
        <f t="shared" si="280"/>
        <v>UDV.emit_NH3.lossfrac_bedded_pack</v>
      </c>
      <c r="D519" s="1328">
        <f t="shared" si="245"/>
        <v>0.45</v>
      </c>
      <c r="E519" s="2281" t="str">
        <f t="shared" si="254"/>
        <v>fraction</v>
      </c>
      <c r="F519" s="1328">
        <f t="shared" si="259"/>
        <v>0.45</v>
      </c>
      <c r="G519" s="2282"/>
      <c r="H519" s="302">
        <f t="shared" si="255"/>
        <v>0.45</v>
      </c>
      <c r="I519" s="1325" t="str">
        <f t="shared" si="256"/>
        <v>fraction</v>
      </c>
      <c r="J519" t="s">
        <v>660</v>
      </c>
      <c r="K519" s="124"/>
      <c r="L519">
        <f t="shared" si="298"/>
        <v>0.01</v>
      </c>
      <c r="M519">
        <f t="shared" si="299"/>
        <v>0.95</v>
      </c>
      <c r="N519">
        <f t="shared" si="300"/>
        <v>0</v>
      </c>
      <c r="O519" t="s">
        <v>1691</v>
      </c>
      <c r="P519" t="s">
        <v>1720</v>
      </c>
      <c r="Q519"/>
      <c r="R519" s="711"/>
      <c r="S519"/>
      <c r="T519" s="127"/>
      <c r="U519"/>
      <c r="V519"/>
      <c r="W519">
        <v>0.45</v>
      </c>
      <c r="X519">
        <v>0.01</v>
      </c>
      <c r="Y519">
        <v>0.95</v>
      </c>
      <c r="Z519" t="s">
        <v>1694</v>
      </c>
      <c r="AA519">
        <v>1</v>
      </c>
      <c r="AB519">
        <v>1</v>
      </c>
      <c r="AC519" t="s">
        <v>1694</v>
      </c>
      <c r="AD519" t="s">
        <v>1694</v>
      </c>
      <c r="AE519" t="s">
        <v>1694</v>
      </c>
      <c r="AF519" t="s">
        <v>1694</v>
      </c>
    </row>
    <row r="520" spans="1:32" x14ac:dyDescent="0.3">
      <c r="A520" t="s">
        <v>1721</v>
      </c>
      <c r="B520" t="s">
        <v>675</v>
      </c>
      <c r="C520" s="124" t="str">
        <f t="shared" si="280"/>
        <v>UDV.energy.CH4_MJ</v>
      </c>
      <c r="D520" s="1091">
        <f t="shared" si="245"/>
        <v>37.000000000000007</v>
      </c>
      <c r="E520" s="1093" t="str">
        <f t="shared" si="254"/>
        <v>MJ/m3</v>
      </c>
      <c r="F520" s="1095">
        <f t="shared" si="259"/>
        <v>993.04631964058922</v>
      </c>
      <c r="H520" s="1101">
        <f t="shared" si="255"/>
        <v>993.04631964058922</v>
      </c>
      <c r="I520" s="956" t="str">
        <f t="shared" si="256"/>
        <v>BTU/ft3</v>
      </c>
      <c r="J520" t="s">
        <v>660</v>
      </c>
      <c r="L520">
        <f t="shared" ref="L520:L586" si="307">ROUNDDOWN($X520*$AA520,3)</f>
        <v>912.529</v>
      </c>
      <c r="M520">
        <f t="shared" si="282"/>
        <v>1019.886</v>
      </c>
      <c r="N520">
        <f>IF(AND(G520&lt;=M520, G520&gt;=L520),1,0)</f>
        <v>0</v>
      </c>
      <c r="O520" t="s">
        <v>1722</v>
      </c>
      <c r="P520" t="s">
        <v>1723</v>
      </c>
      <c r="V520" t="str">
        <f t="shared" si="283"/>
        <v/>
      </c>
      <c r="W520" s="78">
        <v>37</v>
      </c>
      <c r="X520">
        <v>34</v>
      </c>
      <c r="Y520">
        <v>38</v>
      </c>
      <c r="Z520" t="str">
        <f>Units!B$104</f>
        <v>MJ/m3</v>
      </c>
      <c r="AA520">
        <f>Units!C$104</f>
        <v>26.839089720015924</v>
      </c>
      <c r="AB520">
        <f>Units!D$104</f>
        <v>3.7259087786953707E-2</v>
      </c>
      <c r="AC520" t="str">
        <f>Units!E$104</f>
        <v>BTU/ft3</v>
      </c>
      <c r="AD520" t="str">
        <f>Units!F$104</f>
        <v>MJ/m3</v>
      </c>
      <c r="AE520" t="str">
        <f>Units!G$104</f>
        <v>MJ/m3</v>
      </c>
      <c r="AF520" t="str">
        <f>Units!H$104</f>
        <v>BTU/ft3</v>
      </c>
    </row>
    <row r="521" spans="1:32" x14ac:dyDescent="0.3">
      <c r="A521" s="944" t="s">
        <v>1721</v>
      </c>
      <c r="B521" s="944" t="s">
        <v>1724</v>
      </c>
      <c r="C521" s="124" t="str">
        <f t="shared" si="280"/>
        <v>UDV.energy.CH4_MMBTU</v>
      </c>
      <c r="D521" s="1328">
        <f t="shared" si="245"/>
        <v>993.04631964058933</v>
      </c>
      <c r="E521" s="125" t="str">
        <f t="shared" si="254"/>
        <v>MMBTU/1000 ft3</v>
      </c>
      <c r="F521" s="944">
        <f t="shared" si="259"/>
        <v>993.04631964058933</v>
      </c>
      <c r="G521" s="126"/>
      <c r="H521">
        <f t="shared" si="255"/>
        <v>993.04631964058933</v>
      </c>
      <c r="I521" s="1325" t="str">
        <f t="shared" si="256"/>
        <v>MMBTU/1000 ft3</v>
      </c>
      <c r="J521" t="s">
        <v>688</v>
      </c>
      <c r="K521" s="124"/>
      <c r="L521">
        <f t="shared" si="307"/>
        <v>912.529</v>
      </c>
      <c r="M521">
        <f t="shared" si="282"/>
        <v>1019.886</v>
      </c>
      <c r="N521">
        <f>IF(AND(M521 - G521 &gt;= 0, G521 - L521 &gt;=0),1,0)</f>
        <v>0</v>
      </c>
      <c r="O521" t="s">
        <v>1725</v>
      </c>
      <c r="P521" t="s">
        <v>1723</v>
      </c>
      <c r="R521" s="711"/>
      <c r="S521" t="s">
        <v>84</v>
      </c>
      <c r="W521">
        <f>UDV.energy.CH4_MJ</f>
        <v>37.000000000000007</v>
      </c>
      <c r="X521">
        <f>X520</f>
        <v>34</v>
      </c>
      <c r="Y521">
        <f>Y520</f>
        <v>38</v>
      </c>
      <c r="Z521" t="str">
        <f>Units!B$105</f>
        <v>MJ/m3</v>
      </c>
      <c r="AA521">
        <f>Units!C$105</f>
        <v>26.839089720015924</v>
      </c>
      <c r="AB521">
        <f>Units!D$105</f>
        <v>1</v>
      </c>
      <c r="AC521" t="str">
        <f>Units!E$105</f>
        <v>MMBTU/1000 ft3</v>
      </c>
      <c r="AD521" t="str">
        <f>Units!F$105</f>
        <v>MMBTU/1000 ft3</v>
      </c>
      <c r="AE521" t="str">
        <f>Units!G$105</f>
        <v>MJ/m3</v>
      </c>
      <c r="AF521" t="str">
        <f>Units!H$105</f>
        <v>MMBTU/1000 ft3</v>
      </c>
    </row>
    <row r="522" spans="1:32" x14ac:dyDescent="0.3">
      <c r="A522" t="s">
        <v>1721</v>
      </c>
      <c r="B522" t="s">
        <v>1726</v>
      </c>
      <c r="C522" s="124" t="str">
        <f t="shared" si="280"/>
        <v>UDV.energy.CH4_to_energy</v>
      </c>
      <c r="D522" s="1091">
        <f t="shared" si="245"/>
        <v>1</v>
      </c>
      <c r="E522" s="1093" t="str">
        <f t="shared" si="254"/>
        <v>fraction</v>
      </c>
      <c r="F522" s="1095">
        <f t="shared" si="259"/>
        <v>1</v>
      </c>
      <c r="H522" s="1101">
        <f t="shared" si="255"/>
        <v>1</v>
      </c>
      <c r="I522" s="956" t="str">
        <f t="shared" si="256"/>
        <v>fraction</v>
      </c>
      <c r="J522" t="s">
        <v>660</v>
      </c>
      <c r="K522" s="128"/>
      <c r="L522">
        <f t="shared" si="307"/>
        <v>1E-3</v>
      </c>
      <c r="M522">
        <f t="shared" si="282"/>
        <v>1</v>
      </c>
      <c r="N522">
        <f t="shared" ref="N522:N566" si="308">IF(AND(G522&lt;=M522, G522&gt;=L522),1,0)</f>
        <v>0</v>
      </c>
      <c r="O522" t="s">
        <v>1725</v>
      </c>
      <c r="P522" t="s">
        <v>1727</v>
      </c>
      <c r="V522" t="str">
        <f>IF(OR((M522-L522)&lt;=0,H522&gt;M522,H522&lt;L522),"Fix","")</f>
        <v/>
      </c>
      <c r="W522" s="78">
        <v>1</v>
      </c>
      <c r="X522">
        <v>1E-3</v>
      </c>
      <c r="Y522">
        <v>1</v>
      </c>
      <c r="Z522" t="str">
        <f>Units!B$35</f>
        <v>fraction</v>
      </c>
      <c r="AA522">
        <f>Units!C$35</f>
        <v>1</v>
      </c>
      <c r="AB522">
        <f>Units!D$35</f>
        <v>1</v>
      </c>
      <c r="AC522" t="str">
        <f>Units!E$35</f>
        <v>fraction</v>
      </c>
      <c r="AD522" t="str">
        <f>Units!F$35</f>
        <v>fraction</v>
      </c>
      <c r="AE522" t="str">
        <f>Units!G$35</f>
        <v>fraction</v>
      </c>
      <c r="AF522" t="str">
        <f>Units!H$35</f>
        <v>fraction</v>
      </c>
    </row>
    <row r="523" spans="1:32" x14ac:dyDescent="0.3">
      <c r="A523" t="s">
        <v>1728</v>
      </c>
      <c r="B523" t="s">
        <v>84</v>
      </c>
      <c r="C523" s="124" t="str">
        <f t="shared" si="280"/>
        <v>UDV.fac_lagoon_AD_sludge.N</v>
      </c>
      <c r="D523" s="1091">
        <f t="shared" si="245"/>
        <v>-1</v>
      </c>
      <c r="E523" s="1093" t="str">
        <f t="shared" si="254"/>
        <v>fraction</v>
      </c>
      <c r="F523" s="1095">
        <f t="shared" si="259"/>
        <v>-1</v>
      </c>
      <c r="H523" s="1105">
        <f t="shared" si="255"/>
        <v>-1</v>
      </c>
      <c r="I523" s="956" t="str">
        <f t="shared" si="256"/>
        <v>fraction</v>
      </c>
      <c r="J523" s="128" t="s">
        <v>688</v>
      </c>
      <c r="K523" s="128"/>
      <c r="L523">
        <f t="shared" si="307"/>
        <v>0.1</v>
      </c>
      <c r="M523">
        <f t="shared" si="282"/>
        <v>0.9</v>
      </c>
      <c r="N523">
        <f t="shared" si="308"/>
        <v>0</v>
      </c>
      <c r="O523" t="s">
        <v>1729</v>
      </c>
      <c r="P523" t="s">
        <v>1730</v>
      </c>
      <c r="Q523" t="s">
        <v>1731</v>
      </c>
      <c r="S523" t="s">
        <v>84</v>
      </c>
      <c r="V523" t="str">
        <f>IF(OR((M523-L523)&lt;=0,H523&gt;M523,H523&lt;L523),"Fix","")</f>
        <v>Fix</v>
      </c>
      <c r="W523" s="78" cm="1">
        <f t="array" ref="W523">1-UDV.fac_lagoon_AD_eff.N</f>
        <v>-1</v>
      </c>
      <c r="X523" s="128">
        <v>0.1</v>
      </c>
      <c r="Y523" s="128">
        <v>0.9</v>
      </c>
      <c r="Z523" t="str">
        <f>Units!B$35</f>
        <v>fraction</v>
      </c>
      <c r="AA523">
        <f>Units!C$35</f>
        <v>1</v>
      </c>
      <c r="AB523">
        <f>Units!D$35</f>
        <v>1</v>
      </c>
      <c r="AC523" t="s">
        <v>1694</v>
      </c>
      <c r="AD523" t="s">
        <v>1694</v>
      </c>
      <c r="AE523" t="s">
        <v>1694</v>
      </c>
      <c r="AF523" t="s">
        <v>1694</v>
      </c>
    </row>
    <row r="524" spans="1:32" x14ac:dyDescent="0.3">
      <c r="A524" t="s">
        <v>1732</v>
      </c>
      <c r="B524" t="s">
        <v>84</v>
      </c>
      <c r="C524" s="124" t="str">
        <f t="shared" si="280"/>
        <v>UDV.fac_lagoon_CL_eff.N</v>
      </c>
      <c r="D524" s="1091">
        <f t="shared" si="245"/>
        <v>0.7</v>
      </c>
      <c r="E524" s="1093" t="str">
        <f t="shared" si="254"/>
        <v>fraction</v>
      </c>
      <c r="F524" s="1095">
        <f t="shared" si="259"/>
        <v>0.7</v>
      </c>
      <c r="H524" s="1101">
        <f t="shared" si="255"/>
        <v>0.7</v>
      </c>
      <c r="I524" s="956" t="str">
        <f t="shared" si="256"/>
        <v>fraction</v>
      </c>
      <c r="J524" t="s">
        <v>660</v>
      </c>
      <c r="K524" s="128"/>
      <c r="L524">
        <f t="shared" si="307"/>
        <v>0.4</v>
      </c>
      <c r="M524">
        <f t="shared" si="282"/>
        <v>0.9</v>
      </c>
      <c r="N524">
        <f t="shared" si="308"/>
        <v>0</v>
      </c>
      <c r="O524" t="s">
        <v>1733</v>
      </c>
      <c r="P524" t="s">
        <v>1734</v>
      </c>
      <c r="V524" t="str">
        <f>IF(OR((M524-L524)&lt;=0,H524&gt;M524,H524&lt;L524),"Fix","")</f>
        <v/>
      </c>
      <c r="W524" s="78">
        <v>0.7</v>
      </c>
      <c r="X524">
        <v>0.4</v>
      </c>
      <c r="Y524">
        <v>0.9</v>
      </c>
      <c r="Z524" t="str">
        <f>Units!B$35</f>
        <v>fraction</v>
      </c>
      <c r="AA524">
        <f>Units!C$35</f>
        <v>1</v>
      </c>
      <c r="AB524">
        <v>1</v>
      </c>
      <c r="AC524" t="s">
        <v>1694</v>
      </c>
      <c r="AD524" t="s">
        <v>1694</v>
      </c>
      <c r="AE524" t="s">
        <v>1694</v>
      </c>
      <c r="AF524" t="s">
        <v>1694</v>
      </c>
    </row>
    <row r="525" spans="1:32" x14ac:dyDescent="0.3">
      <c r="A525" t="s">
        <v>1735</v>
      </c>
      <c r="B525" t="s">
        <v>84</v>
      </c>
      <c r="C525" s="124" t="str">
        <f t="shared" si="280"/>
        <v>UDV.fac_lagoon_CL_sludge.N</v>
      </c>
      <c r="D525" s="1091">
        <f t="shared" si="245"/>
        <v>0.30000000000000004</v>
      </c>
      <c r="E525" s="1093" t="str">
        <f t="shared" si="254"/>
        <v>fraction</v>
      </c>
      <c r="F525" s="1095">
        <f t="shared" si="259"/>
        <v>0.30000000000000004</v>
      </c>
      <c r="H525" s="1105">
        <f t="shared" si="255"/>
        <v>0.30000000000000004</v>
      </c>
      <c r="I525" s="956" t="str">
        <f t="shared" si="256"/>
        <v>fraction</v>
      </c>
      <c r="J525" s="128" t="s">
        <v>688</v>
      </c>
      <c r="K525" s="128"/>
      <c r="L525">
        <f t="shared" si="307"/>
        <v>0.1</v>
      </c>
      <c r="M525">
        <f t="shared" si="282"/>
        <v>0.8</v>
      </c>
      <c r="N525">
        <f t="shared" si="308"/>
        <v>0</v>
      </c>
      <c r="O525" t="s">
        <v>1736</v>
      </c>
      <c r="P525" t="s">
        <v>1737</v>
      </c>
      <c r="Q525" t="s">
        <v>1731</v>
      </c>
      <c r="S525" t="s">
        <v>84</v>
      </c>
      <c r="V525" t="str">
        <f>IF(OR((M525-L525)&lt;=0,H525&gt;M525,H525&lt;L525),"Fix","")</f>
        <v/>
      </c>
      <c r="W525" s="78">
        <f>1-UDV.fac_lagoon_CL_eff.N</f>
        <v>0.30000000000000004</v>
      </c>
      <c r="X525" s="128">
        <v>0.1</v>
      </c>
      <c r="Y525" s="128">
        <v>0.8</v>
      </c>
      <c r="Z525" t="str">
        <f>Units!B$35</f>
        <v>fraction</v>
      </c>
      <c r="AA525">
        <f>Units!C$35</f>
        <v>1</v>
      </c>
      <c r="AB525">
        <f>Units!D$35</f>
        <v>1</v>
      </c>
      <c r="AC525" t="s">
        <v>1694</v>
      </c>
      <c r="AD525" t="s">
        <v>1694</v>
      </c>
      <c r="AE525" t="s">
        <v>1694</v>
      </c>
      <c r="AF525" t="s">
        <v>1694</v>
      </c>
    </row>
    <row r="526" spans="1:32" x14ac:dyDescent="0.3">
      <c r="A526" t="s">
        <v>1738</v>
      </c>
      <c r="B526" t="s">
        <v>1739</v>
      </c>
      <c r="C526" s="124" t="str">
        <f t="shared" si="280"/>
        <v>UDV.flush_waste.max_pump_time</v>
      </c>
      <c r="D526" s="1417">
        <f t="shared" si="245"/>
        <v>12</v>
      </c>
      <c r="E526" t="str">
        <f t="shared" si="254"/>
        <v>hr/unit</v>
      </c>
      <c r="F526" s="1337">
        <f t="shared" si="259"/>
        <v>12</v>
      </c>
      <c r="G526" s="126"/>
      <c r="H526" s="1418">
        <f t="shared" si="255"/>
        <v>12</v>
      </c>
      <c r="I526" s="1325" t="str">
        <f t="shared" si="256"/>
        <v>hr/unit</v>
      </c>
      <c r="J526" t="s">
        <v>660</v>
      </c>
      <c r="K526" s="124"/>
      <c r="L526">
        <f t="shared" si="307"/>
        <v>6</v>
      </c>
      <c r="M526">
        <f t="shared" si="282"/>
        <v>18</v>
      </c>
      <c r="N526">
        <f t="shared" si="308"/>
        <v>0</v>
      </c>
      <c r="O526" t="s">
        <v>1740</v>
      </c>
      <c r="P526" t="s">
        <v>1741</v>
      </c>
      <c r="R526" s="711"/>
      <c r="W526">
        <v>12</v>
      </c>
      <c r="X526">
        <v>6</v>
      </c>
      <c r="Y526">
        <v>18</v>
      </c>
      <c r="Z526" t="str">
        <f>Units!B$123</f>
        <v>hr/unit</v>
      </c>
      <c r="AA526">
        <f>Units!C$123</f>
        <v>1</v>
      </c>
      <c r="AB526">
        <f>Units!D$123</f>
        <v>1</v>
      </c>
      <c r="AC526" t="str">
        <f>Units!E$123</f>
        <v>hr/unit</v>
      </c>
      <c r="AD526" t="str">
        <f>Units!F$123</f>
        <v>hr/unit</v>
      </c>
      <c r="AE526" t="str">
        <f>Units!G$123</f>
        <v>hr/unit</v>
      </c>
      <c r="AF526" t="str">
        <f>Units!H$123</f>
        <v>hr/unit</v>
      </c>
    </row>
    <row r="527" spans="1:32" x14ac:dyDescent="0.3">
      <c r="A527" t="s">
        <v>1738</v>
      </c>
      <c r="B527" t="s">
        <v>1739</v>
      </c>
      <c r="C527" s="124" t="str">
        <f t="shared" si="280"/>
        <v>UDV.flush_waste.max_pump_time</v>
      </c>
      <c r="D527" s="1417">
        <f t="shared" si="245"/>
        <v>12</v>
      </c>
      <c r="E527" t="str">
        <f t="shared" si="254"/>
        <v>hr/unit</v>
      </c>
      <c r="F527" s="1337">
        <f t="shared" si="259"/>
        <v>12</v>
      </c>
      <c r="G527" s="126"/>
      <c r="H527" s="1418">
        <f t="shared" si="255"/>
        <v>12</v>
      </c>
      <c r="I527" s="1325" t="str">
        <f t="shared" si="256"/>
        <v>hr/unit</v>
      </c>
      <c r="J527" t="s">
        <v>660</v>
      </c>
      <c r="K527" s="124"/>
      <c r="L527">
        <f t="shared" si="307"/>
        <v>6</v>
      </c>
      <c r="M527">
        <f t="shared" si="282"/>
        <v>18</v>
      </c>
      <c r="N527">
        <f t="shared" si="308"/>
        <v>0</v>
      </c>
      <c r="O527" t="s">
        <v>1740</v>
      </c>
      <c r="P527" t="s">
        <v>1741</v>
      </c>
      <c r="R527" s="711"/>
      <c r="W527">
        <v>12</v>
      </c>
      <c r="X527">
        <v>6</v>
      </c>
      <c r="Y527">
        <v>18</v>
      </c>
      <c r="Z527" t="str">
        <f>Units!B$123</f>
        <v>hr/unit</v>
      </c>
      <c r="AA527">
        <f>Units!C$123</f>
        <v>1</v>
      </c>
      <c r="AB527">
        <f>Units!D$123</f>
        <v>1</v>
      </c>
      <c r="AC527" t="str">
        <f>Units!E$123</f>
        <v>hr/unit</v>
      </c>
      <c r="AD527" t="str">
        <f>Units!F$123</f>
        <v>hr/unit</v>
      </c>
      <c r="AE527" t="str">
        <f>Units!G$123</f>
        <v>hr/unit</v>
      </c>
      <c r="AF527" t="str">
        <f>Units!H$123</f>
        <v>hr/unit</v>
      </c>
    </row>
    <row r="528" spans="1:32" x14ac:dyDescent="0.3">
      <c r="A528" t="s">
        <v>1742</v>
      </c>
      <c r="B528" t="s">
        <v>1743</v>
      </c>
      <c r="C528" s="124" t="str">
        <f t="shared" si="280"/>
        <v>UDV.handling_manure.distance_pump_to_barn</v>
      </c>
      <c r="D528" s="1417">
        <f t="shared" si="245"/>
        <v>800</v>
      </c>
      <c r="E528" t="str">
        <f t="shared" si="254"/>
        <v>ft</v>
      </c>
      <c r="F528" s="1337">
        <f t="shared" ref="F528" si="309">IF(OR(G528="",N528=0),H528,G528)</f>
        <v>800</v>
      </c>
      <c r="G528" s="126"/>
      <c r="H528" s="1418">
        <f t="shared" si="255"/>
        <v>800</v>
      </c>
      <c r="I528" s="1325" t="str">
        <f t="shared" si="256"/>
        <v>ft</v>
      </c>
      <c r="J528" t="s">
        <v>688</v>
      </c>
      <c r="K528" s="124"/>
      <c r="L528">
        <f t="shared" si="307"/>
        <v>1</v>
      </c>
      <c r="M528">
        <f t="shared" si="282"/>
        <v>6000</v>
      </c>
      <c r="N528">
        <f t="shared" ref="N528" si="310">IF(AND(G528&lt;=M528, G528&gt;=L528),1,0)</f>
        <v>0</v>
      </c>
      <c r="O528" t="s">
        <v>1740</v>
      </c>
      <c r="P528" t="s">
        <v>1744</v>
      </c>
      <c r="R528" s="711"/>
      <c r="W528" s="78">
        <f>UDV.handling_manure.distance_pump_to_split + UDV.handling_manure.distance_split_to_barn</f>
        <v>800</v>
      </c>
      <c r="X528">
        <v>1</v>
      </c>
      <c r="Y528">
        <v>6000</v>
      </c>
      <c r="Z528" t="str">
        <f>Units!B$43</f>
        <v>ft</v>
      </c>
      <c r="AA528">
        <f>Units!C$43</f>
        <v>1</v>
      </c>
      <c r="AB528">
        <f>Units!D$43</f>
        <v>1</v>
      </c>
      <c r="AC528" t="str">
        <f>Units!E$43</f>
        <v>ft</v>
      </c>
      <c r="AD528" t="str">
        <f>Units!F$43</f>
        <v>ft</v>
      </c>
      <c r="AE528" t="str">
        <f>Units!G$43</f>
        <v>m</v>
      </c>
      <c r="AF528" t="str">
        <f>Units!H$43</f>
        <v>ft</v>
      </c>
    </row>
    <row r="529" spans="1:32" x14ac:dyDescent="0.3">
      <c r="A529" t="s">
        <v>1742</v>
      </c>
      <c r="B529" t="s">
        <v>1745</v>
      </c>
      <c r="C529" s="124" t="str">
        <f t="shared" si="280"/>
        <v>UDV.handling_manure.distance_pump_to_split</v>
      </c>
      <c r="D529" s="1417">
        <f t="shared" si="245"/>
        <v>600</v>
      </c>
      <c r="E529" t="str">
        <f t="shared" si="254"/>
        <v>ft</v>
      </c>
      <c r="F529" s="1337">
        <f t="shared" ref="F529:F530" si="311">IF(OR(G529="",N529=0),H529,G529)</f>
        <v>600</v>
      </c>
      <c r="G529" s="126"/>
      <c r="H529" s="1418">
        <f t="shared" si="255"/>
        <v>600</v>
      </c>
      <c r="I529" s="1325" t="str">
        <f t="shared" si="256"/>
        <v>ft</v>
      </c>
      <c r="J529" t="s">
        <v>660</v>
      </c>
      <c r="K529" s="124"/>
      <c r="L529">
        <f t="shared" si="307"/>
        <v>1</v>
      </c>
      <c r="M529">
        <f t="shared" si="282"/>
        <v>3000</v>
      </c>
      <c r="N529">
        <f t="shared" ref="N529:N530" si="312">IF(AND(G529&lt;=M529, G529&gt;=L529),1,0)</f>
        <v>0</v>
      </c>
      <c r="O529" t="s">
        <v>1740</v>
      </c>
      <c r="P529" t="s">
        <v>1746</v>
      </c>
      <c r="R529" s="711"/>
      <c r="W529" s="78">
        <v>600</v>
      </c>
      <c r="X529">
        <v>1</v>
      </c>
      <c r="Y529">
        <v>3000</v>
      </c>
      <c r="Z529" t="str">
        <f>Units!B$43</f>
        <v>ft</v>
      </c>
      <c r="AA529">
        <f>Units!C$43</f>
        <v>1</v>
      </c>
      <c r="AB529">
        <f>Units!D$43</f>
        <v>1</v>
      </c>
      <c r="AC529" t="str">
        <f>Units!E$43</f>
        <v>ft</v>
      </c>
      <c r="AD529" t="str">
        <f>Units!F$43</f>
        <v>ft</v>
      </c>
      <c r="AE529" t="str">
        <f>Units!G$43</f>
        <v>m</v>
      </c>
      <c r="AF529" t="str">
        <f>Units!H$43</f>
        <v>ft</v>
      </c>
    </row>
    <row r="530" spans="1:32" x14ac:dyDescent="0.3">
      <c r="A530" t="s">
        <v>1742</v>
      </c>
      <c r="B530" t="s">
        <v>1747</v>
      </c>
      <c r="C530" s="124" t="str">
        <f t="shared" si="280"/>
        <v>UDV.handling_manure.distance_split_to_barn</v>
      </c>
      <c r="D530" s="1417">
        <f t="shared" si="245"/>
        <v>200</v>
      </c>
      <c r="E530" t="str">
        <f t="shared" si="254"/>
        <v>ft</v>
      </c>
      <c r="F530" s="1337">
        <f t="shared" si="311"/>
        <v>200</v>
      </c>
      <c r="G530" s="126"/>
      <c r="H530" s="1418">
        <f t="shared" si="255"/>
        <v>200</v>
      </c>
      <c r="I530" s="1325" t="str">
        <f t="shared" si="256"/>
        <v>ft</v>
      </c>
      <c r="J530" t="s">
        <v>660</v>
      </c>
      <c r="K530" s="124"/>
      <c r="L530">
        <f t="shared" si="307"/>
        <v>1</v>
      </c>
      <c r="M530">
        <f t="shared" si="282"/>
        <v>3000</v>
      </c>
      <c r="N530">
        <f t="shared" si="312"/>
        <v>0</v>
      </c>
      <c r="O530" t="s">
        <v>1740</v>
      </c>
      <c r="P530" t="s">
        <v>1748</v>
      </c>
      <c r="R530" s="711"/>
      <c r="W530" s="78">
        <v>200</v>
      </c>
      <c r="X530">
        <v>1</v>
      </c>
      <c r="Y530">
        <v>3000</v>
      </c>
      <c r="Z530" t="str">
        <f>Units!B$43</f>
        <v>ft</v>
      </c>
      <c r="AA530">
        <f>Units!C$43</f>
        <v>1</v>
      </c>
      <c r="AB530">
        <f>Units!D$43</f>
        <v>1</v>
      </c>
      <c r="AC530" t="str">
        <f>Units!E$43</f>
        <v>ft</v>
      </c>
      <c r="AD530" t="str">
        <f>Units!F$43</f>
        <v>ft</v>
      </c>
      <c r="AE530" t="str">
        <f>Units!G$43</f>
        <v>m</v>
      </c>
      <c r="AF530" t="str">
        <f>Units!H$43</f>
        <v>ft</v>
      </c>
    </row>
    <row r="531" spans="1:32" x14ac:dyDescent="0.3">
      <c r="A531" t="s">
        <v>1742</v>
      </c>
      <c r="B531" t="s">
        <v>1749</v>
      </c>
      <c r="C531" s="124" t="str">
        <f t="shared" si="280"/>
        <v>UDV.handling_manure.head_per_barn</v>
      </c>
      <c r="D531" s="1417">
        <f t="shared" si="245"/>
        <v>2400</v>
      </c>
      <c r="E531" t="str">
        <f t="shared" si="254"/>
        <v>head</v>
      </c>
      <c r="F531" s="1337">
        <f t="shared" ref="F531" si="313">IF(OR(G531="",N531=0),H531,G531)</f>
        <v>2400</v>
      </c>
      <c r="G531" s="126"/>
      <c r="H531" s="1418">
        <f t="shared" si="255"/>
        <v>2400</v>
      </c>
      <c r="I531" s="1325" t="str">
        <f t="shared" si="256"/>
        <v>head</v>
      </c>
      <c r="J531" t="s">
        <v>660</v>
      </c>
      <c r="K531" s="124"/>
      <c r="L531">
        <f t="shared" si="307"/>
        <v>100</v>
      </c>
      <c r="M531">
        <f t="shared" si="282"/>
        <v>12000</v>
      </c>
      <c r="N531">
        <f t="shared" ref="N531" si="314">IF(AND(G531&lt;=M531, G531&gt;=L531),1,0)</f>
        <v>0</v>
      </c>
      <c r="O531" t="s">
        <v>1740</v>
      </c>
      <c r="P531" t="s">
        <v>1750</v>
      </c>
      <c r="R531" s="711"/>
      <c r="W531" s="78">
        <v>2400</v>
      </c>
      <c r="X531">
        <v>100</v>
      </c>
      <c r="Y531">
        <v>12000</v>
      </c>
      <c r="Z531" t="str">
        <f>Units!B$37</f>
        <v>head</v>
      </c>
      <c r="AA531">
        <f>Units!C$37</f>
        <v>1</v>
      </c>
      <c r="AB531">
        <f>Units!D$37</f>
        <v>1</v>
      </c>
      <c r="AC531" t="str">
        <f>Units!E$37</f>
        <v>head</v>
      </c>
      <c r="AD531" t="str">
        <f>Units!F$37</f>
        <v>head</v>
      </c>
      <c r="AE531" t="str">
        <f>Units!G$37</f>
        <v>head</v>
      </c>
      <c r="AF531" t="str">
        <f>Units!H$37</f>
        <v>head</v>
      </c>
    </row>
    <row r="532" spans="1:32" x14ac:dyDescent="0.3">
      <c r="A532" t="s">
        <v>1738</v>
      </c>
      <c r="B532" t="s">
        <v>1751</v>
      </c>
      <c r="C532" s="124" t="str">
        <f t="shared" si="280"/>
        <v>UDV.flush_waste.tank_flushes</v>
      </c>
      <c r="D532" s="1417">
        <f t="shared" si="245"/>
        <v>3</v>
      </c>
      <c r="E532" t="str">
        <f t="shared" si="254"/>
        <v>quantity/day</v>
      </c>
      <c r="F532" s="1337">
        <f t="shared" si="259"/>
        <v>3</v>
      </c>
      <c r="G532" s="126"/>
      <c r="H532" s="1418">
        <f t="shared" si="255"/>
        <v>3</v>
      </c>
      <c r="I532" s="1325" t="str">
        <f t="shared" si="256"/>
        <v>quantity/day</v>
      </c>
      <c r="J532" t="s">
        <v>660</v>
      </c>
      <c r="K532" s="124"/>
      <c r="L532">
        <f t="shared" si="307"/>
        <v>1</v>
      </c>
      <c r="M532">
        <f t="shared" si="282"/>
        <v>5</v>
      </c>
      <c r="N532">
        <f t="shared" si="308"/>
        <v>0</v>
      </c>
      <c r="O532" t="s">
        <v>1740</v>
      </c>
      <c r="P532" t="s">
        <v>1752</v>
      </c>
      <c r="Q532" t="s">
        <v>1753</v>
      </c>
      <c r="R532" s="711"/>
      <c r="W532">
        <v>3</v>
      </c>
      <c r="X532">
        <v>1</v>
      </c>
      <c r="Y532">
        <v>5</v>
      </c>
      <c r="Z532" t="str">
        <f>Units!B$107</f>
        <v>quantity/day</v>
      </c>
      <c r="AA532">
        <f>Units!C$107</f>
        <v>1</v>
      </c>
      <c r="AB532">
        <f>Units!D$107</f>
        <v>1</v>
      </c>
      <c r="AC532" t="str">
        <f>Units!E$107</f>
        <v>quantity/day</v>
      </c>
      <c r="AD532" t="str">
        <f>Units!F$107</f>
        <v>quantity/day</v>
      </c>
      <c r="AE532" t="str">
        <f>Units!G$107</f>
        <v>quantity/day</v>
      </c>
      <c r="AF532" t="str">
        <f>Units!H$107</f>
        <v>quantity/day</v>
      </c>
    </row>
    <row r="533" spans="1:32" x14ac:dyDescent="0.3">
      <c r="A533" t="s">
        <v>1738</v>
      </c>
      <c r="B533" t="s">
        <v>1751</v>
      </c>
      <c r="C533" s="124" t="str">
        <f t="shared" si="280"/>
        <v>UDV.flush_waste.tank_flushes</v>
      </c>
      <c r="D533" s="1417">
        <f t="shared" ref="D533:D638" si="315">$F533*$AB533</f>
        <v>3</v>
      </c>
      <c r="E533" t="str">
        <f t="shared" si="254"/>
        <v>quantity/day</v>
      </c>
      <c r="F533" s="1337">
        <f t="shared" si="259"/>
        <v>3</v>
      </c>
      <c r="G533" s="126"/>
      <c r="H533" s="1418">
        <f t="shared" si="255"/>
        <v>3</v>
      </c>
      <c r="I533" s="1325" t="str">
        <f t="shared" si="256"/>
        <v>quantity/day</v>
      </c>
      <c r="J533" t="s">
        <v>660</v>
      </c>
      <c r="K533" s="124"/>
      <c r="L533">
        <f t="shared" si="307"/>
        <v>1</v>
      </c>
      <c r="M533">
        <f t="shared" si="282"/>
        <v>5</v>
      </c>
      <c r="N533">
        <f t="shared" si="308"/>
        <v>0</v>
      </c>
      <c r="O533" t="s">
        <v>1740</v>
      </c>
      <c r="P533" t="s">
        <v>1752</v>
      </c>
      <c r="Q533" t="s">
        <v>1753</v>
      </c>
      <c r="R533" s="711"/>
      <c r="W533">
        <v>3</v>
      </c>
      <c r="X533">
        <v>1</v>
      </c>
      <c r="Y533">
        <v>5</v>
      </c>
      <c r="Z533" t="str">
        <f>Units!B$107</f>
        <v>quantity/day</v>
      </c>
      <c r="AA533">
        <f>Units!C$107</f>
        <v>1</v>
      </c>
      <c r="AB533">
        <f>Units!D$107</f>
        <v>1</v>
      </c>
      <c r="AC533" t="str">
        <f>Units!E$107</f>
        <v>quantity/day</v>
      </c>
      <c r="AD533" t="str">
        <f>Units!F$107</f>
        <v>quantity/day</v>
      </c>
      <c r="AE533" t="str">
        <f>Units!G$107</f>
        <v>quantity/day</v>
      </c>
      <c r="AF533" t="str">
        <f>Units!H$107</f>
        <v>quantity/day</v>
      </c>
    </row>
    <row r="534" spans="1:32" x14ac:dyDescent="0.3">
      <c r="A534" t="s">
        <v>1738</v>
      </c>
      <c r="B534" t="s">
        <v>1754</v>
      </c>
      <c r="C534" s="124" t="str">
        <f t="shared" si="280"/>
        <v>UDV.flush_waste.tank_volume</v>
      </c>
      <c r="D534" s="1417">
        <f t="shared" si="315"/>
        <v>20000</v>
      </c>
      <c r="E534" t="str">
        <f t="shared" si="254"/>
        <v>gal</v>
      </c>
      <c r="F534" s="1337">
        <f t="shared" si="259"/>
        <v>20000</v>
      </c>
      <c r="G534" s="126"/>
      <c r="H534" s="1419">
        <f t="shared" si="255"/>
        <v>20000</v>
      </c>
      <c r="I534" s="1325" t="str">
        <f t="shared" si="256"/>
        <v>gal</v>
      </c>
      <c r="J534" t="s">
        <v>660</v>
      </c>
      <c r="K534" s="124"/>
      <c r="L534">
        <f t="shared" si="307"/>
        <v>10000</v>
      </c>
      <c r="M534">
        <f t="shared" si="282"/>
        <v>30000</v>
      </c>
      <c r="N534">
        <f t="shared" si="308"/>
        <v>0</v>
      </c>
      <c r="O534" t="s">
        <v>1740</v>
      </c>
      <c r="P534" t="s">
        <v>1755</v>
      </c>
      <c r="Q534" t="s">
        <v>1753</v>
      </c>
      <c r="R534" s="711"/>
      <c r="W534">
        <v>20000</v>
      </c>
      <c r="X534">
        <v>10000</v>
      </c>
      <c r="Y534">
        <v>30000</v>
      </c>
      <c r="Z534" t="str">
        <f>Units!B$129</f>
        <v>gal</v>
      </c>
      <c r="AA534">
        <f>Units!C$129</f>
        <v>1</v>
      </c>
      <c r="AB534">
        <f>Units!D$129</f>
        <v>1</v>
      </c>
      <c r="AC534" t="str">
        <f>Units!E$129</f>
        <v>gal</v>
      </c>
      <c r="AD534" t="str">
        <f>Units!F$129</f>
        <v>gal</v>
      </c>
      <c r="AE534" t="str">
        <f>Units!G$129</f>
        <v>L</v>
      </c>
      <c r="AF534" t="str">
        <f>Units!H$129</f>
        <v>gal</v>
      </c>
    </row>
    <row r="535" spans="1:32" x14ac:dyDescent="0.3">
      <c r="A535" t="s">
        <v>1738</v>
      </c>
      <c r="B535" t="s">
        <v>1754</v>
      </c>
      <c r="C535" s="124" t="str">
        <f t="shared" si="280"/>
        <v>UDV.flush_waste.tank_volume</v>
      </c>
      <c r="D535" s="1417">
        <f t="shared" si="315"/>
        <v>20000</v>
      </c>
      <c r="E535" t="str">
        <f t="shared" ref="E535:E569" si="316">$AD535</f>
        <v>gal</v>
      </c>
      <c r="F535" s="1337">
        <f t="shared" si="259"/>
        <v>20000</v>
      </c>
      <c r="G535" s="126"/>
      <c r="H535" s="1419">
        <f t="shared" ref="H535:H562" si="317">$W535*$AA535</f>
        <v>20000</v>
      </c>
      <c r="I535" s="1325" t="str">
        <f t="shared" ref="I535:I569" si="318">$AC535</f>
        <v>gal</v>
      </c>
      <c r="J535" t="s">
        <v>660</v>
      </c>
      <c r="K535" s="124"/>
      <c r="L535">
        <f t="shared" si="307"/>
        <v>10000</v>
      </c>
      <c r="M535">
        <f t="shared" si="282"/>
        <v>30000</v>
      </c>
      <c r="N535">
        <f t="shared" si="308"/>
        <v>0</v>
      </c>
      <c r="O535" t="s">
        <v>1740</v>
      </c>
      <c r="P535" t="s">
        <v>1755</v>
      </c>
      <c r="Q535" t="s">
        <v>1753</v>
      </c>
      <c r="R535" s="711"/>
      <c r="W535">
        <v>20000</v>
      </c>
      <c r="X535">
        <v>10000</v>
      </c>
      <c r="Y535">
        <v>30000</v>
      </c>
      <c r="Z535" t="str">
        <f>Units!B$129</f>
        <v>gal</v>
      </c>
      <c r="AA535">
        <f>Units!C$129</f>
        <v>1</v>
      </c>
      <c r="AB535">
        <f>Units!D$129</f>
        <v>1</v>
      </c>
      <c r="AC535" t="str">
        <f>Units!E$129</f>
        <v>gal</v>
      </c>
      <c r="AD535" t="str">
        <f>Units!F$129</f>
        <v>gal</v>
      </c>
      <c r="AE535" t="str">
        <f>Units!G$129</f>
        <v>L</v>
      </c>
      <c r="AF535" t="str">
        <f>Units!H$129</f>
        <v>gal</v>
      </c>
    </row>
    <row r="536" spans="1:32" x14ac:dyDescent="0.3">
      <c r="A536" s="944" t="s">
        <v>1756</v>
      </c>
      <c r="B536" t="s">
        <v>971</v>
      </c>
      <c r="C536" s="124" t="str">
        <f t="shared" si="280"/>
        <v>UDV.front_end_loader.hp</v>
      </c>
      <c r="D536" s="944">
        <f>$F536*$AB536</f>
        <v>94</v>
      </c>
      <c r="E536" s="125" t="str">
        <f>$AD536</f>
        <v>hp</v>
      </c>
      <c r="F536" s="944">
        <f>IF(OR(G536="",N536=0),H536,G536)</f>
        <v>94</v>
      </c>
      <c r="G536" s="126"/>
      <c r="H536">
        <f>$W536*$AA536</f>
        <v>94</v>
      </c>
      <c r="I536" s="1325" t="str">
        <f>$AC536</f>
        <v>hp</v>
      </c>
      <c r="J536" t="s">
        <v>660</v>
      </c>
      <c r="K536" s="124"/>
      <c r="L536">
        <f t="shared" ref="L536:L538" si="319">ROUNDDOWN($X536*$AA536,2)</f>
        <v>50</v>
      </c>
      <c r="M536">
        <f t="shared" ref="M536:M538" si="320">ROUNDUP($Y536*$AA536,2)</f>
        <v>125</v>
      </c>
      <c r="N536">
        <f>IF(AND(M536 - G536 &gt;= 0, G536 - L536 &gt;=0),1,0)</f>
        <v>0</v>
      </c>
      <c r="O536" s="944" t="s">
        <v>1757</v>
      </c>
      <c r="P536" t="s">
        <v>1758</v>
      </c>
      <c r="R536" s="711"/>
      <c r="S536" t="s">
        <v>84</v>
      </c>
      <c r="W536">
        <v>94</v>
      </c>
      <c r="X536">
        <v>50</v>
      </c>
      <c r="Y536">
        <v>125</v>
      </c>
      <c r="Z536" s="1325" t="str">
        <f>Units!B$99</f>
        <v>hp</v>
      </c>
      <c r="AA536" s="1325">
        <f>Units!C$99</f>
        <v>1</v>
      </c>
      <c r="AB536" s="1325">
        <f>Units!D$99</f>
        <v>1</v>
      </c>
      <c r="AC536" s="1325" t="str">
        <f>Units!E$99</f>
        <v>hp</v>
      </c>
      <c r="AD536" s="1325" t="str">
        <f>Units!F$99</f>
        <v>hp</v>
      </c>
      <c r="AE536" s="1325" t="str">
        <f>Units!G$99</f>
        <v>hp</v>
      </c>
      <c r="AF536" s="1325" t="str">
        <f>Units!H$99</f>
        <v>hp</v>
      </c>
    </row>
    <row r="537" spans="1:32" x14ac:dyDescent="0.3">
      <c r="A537" s="944" t="s">
        <v>1756</v>
      </c>
      <c r="B537" t="s">
        <v>1759</v>
      </c>
      <c r="C537" s="124" t="str">
        <f t="shared" si="280"/>
        <v>UDV.front_end_loader.bucket_capacity</v>
      </c>
      <c r="D537" s="1330">
        <f>$F537*$AB537</f>
        <v>0.95569357499999996</v>
      </c>
      <c r="E537" s="125" t="str">
        <f>$AD537</f>
        <v>m3</v>
      </c>
      <c r="F537" s="944">
        <f>IF(OR(G537="",N537=0),H537,G537)</f>
        <v>1.25</v>
      </c>
      <c r="G537" s="126"/>
      <c r="H537">
        <f>$W537*$AA537</f>
        <v>1.25</v>
      </c>
      <c r="I537" s="1325" t="str">
        <f>$AC537</f>
        <v>yd3</v>
      </c>
      <c r="J537" t="s">
        <v>660</v>
      </c>
      <c r="K537" s="124"/>
      <c r="L537">
        <f t="shared" si="319"/>
        <v>0</v>
      </c>
      <c r="M537">
        <f t="shared" si="320"/>
        <v>3.78</v>
      </c>
      <c r="N537">
        <f>IF(AND(M537 - G537 &gt;= 0, G537 - L537 &gt;=0),1,0)</f>
        <v>1</v>
      </c>
      <c r="O537" s="944" t="s">
        <v>1757</v>
      </c>
      <c r="P537" t="s">
        <v>1760</v>
      </c>
      <c r="R537" s="711"/>
      <c r="W537">
        <v>1.25</v>
      </c>
      <c r="X537">
        <f t="shared" ref="X537:Y538" si="321">X554</f>
        <v>0</v>
      </c>
      <c r="Y537">
        <f t="shared" si="321"/>
        <v>3.78</v>
      </c>
      <c r="Z537" s="1325" t="str">
        <f>Units!B$126</f>
        <v>yd3</v>
      </c>
      <c r="AA537" s="1325">
        <f>Units!C$126</f>
        <v>1</v>
      </c>
      <c r="AB537" s="1325">
        <f>Units!D$126</f>
        <v>0.76455485999999995</v>
      </c>
      <c r="AC537" s="1325" t="str">
        <f>Units!E$126</f>
        <v>yd3</v>
      </c>
      <c r="AD537" s="1325" t="str">
        <f>Units!F$126</f>
        <v>m3</v>
      </c>
      <c r="AE537" s="1325" t="str">
        <f>Units!G$126</f>
        <v>m3</v>
      </c>
      <c r="AF537" s="1325" t="str">
        <f>Units!H$126</f>
        <v>yd3</v>
      </c>
    </row>
    <row r="538" spans="1:32" x14ac:dyDescent="0.3">
      <c r="A538" s="944" t="s">
        <v>1756</v>
      </c>
      <c r="B538" t="s">
        <v>1761</v>
      </c>
      <c r="C538" s="124" t="str">
        <f t="shared" si="280"/>
        <v>UDV.front_end_loader.bucket_fill_rate</v>
      </c>
      <c r="D538" s="944">
        <f>$F538*$AB538</f>
        <v>0.9</v>
      </c>
      <c r="E538" s="125" t="str">
        <f>$AD538</f>
        <v>fraction</v>
      </c>
      <c r="F538" s="944">
        <f>IF(OR(G538="",N538=0),H538,G538)</f>
        <v>0.9</v>
      </c>
      <c r="G538" s="126"/>
      <c r="H538">
        <f>$W538*$AA538</f>
        <v>0.9</v>
      </c>
      <c r="I538" s="1325" t="str">
        <f>$AC538</f>
        <v>fraction</v>
      </c>
      <c r="J538" t="s">
        <v>660</v>
      </c>
      <c r="K538" s="124"/>
      <c r="L538">
        <f t="shared" si="319"/>
        <v>0</v>
      </c>
      <c r="M538">
        <f t="shared" si="320"/>
        <v>3.78</v>
      </c>
      <c r="N538">
        <f>IF(AND(M538 - G538 &gt;= 0, G538 - L538 &gt;=0),1,0)</f>
        <v>1</v>
      </c>
      <c r="O538" s="944" t="s">
        <v>1757</v>
      </c>
      <c r="P538" t="s">
        <v>1762</v>
      </c>
      <c r="R538" s="711"/>
      <c r="W538">
        <v>0.9</v>
      </c>
      <c r="X538">
        <f t="shared" si="321"/>
        <v>0</v>
      </c>
      <c r="Y538">
        <f t="shared" si="321"/>
        <v>3.78</v>
      </c>
      <c r="Z538" s="1325" t="str">
        <f>Units!B$35</f>
        <v>fraction</v>
      </c>
      <c r="AA538" s="1325">
        <f>Units!C$35</f>
        <v>1</v>
      </c>
      <c r="AB538" s="1325">
        <f>Units!D$35</f>
        <v>1</v>
      </c>
      <c r="AC538" s="1325" t="str">
        <f>Units!E$35</f>
        <v>fraction</v>
      </c>
      <c r="AD538" s="1325" t="str">
        <f>Units!F$35</f>
        <v>fraction</v>
      </c>
      <c r="AE538" s="1325" t="str">
        <f>Units!G$35</f>
        <v>fraction</v>
      </c>
      <c r="AF538" s="1325" t="str">
        <f>Units!H$35</f>
        <v>fraction</v>
      </c>
    </row>
    <row r="539" spans="1:32" x14ac:dyDescent="0.3">
      <c r="A539" t="s">
        <v>1763</v>
      </c>
      <c r="B539" t="s">
        <v>1764</v>
      </c>
      <c r="C539" s="124" t="str">
        <f t="shared" si="280"/>
        <v>UDV.fuel.diesel_avg_cost</v>
      </c>
      <c r="D539" s="1737">
        <f t="shared" si="315"/>
        <v>3.6964905660377356</v>
      </c>
      <c r="E539" s="1093" t="str">
        <f t="shared" si="316"/>
        <v>$/gal</v>
      </c>
      <c r="F539" s="1095">
        <f>UI.OpExpenses!BC107</f>
        <v>3.6964905660377356</v>
      </c>
      <c r="G539" s="1098" t="str">
        <f>UI.OpExpenses!BD107</f>
        <v/>
      </c>
      <c r="H539" s="1101">
        <f t="shared" si="317"/>
        <v>3.6964905660377356</v>
      </c>
      <c r="I539" s="956" t="str">
        <f t="shared" si="318"/>
        <v>$/gal</v>
      </c>
      <c r="J539" t="s">
        <v>660</v>
      </c>
      <c r="K539" t="s">
        <v>1315</v>
      </c>
      <c r="L539">
        <f t="shared" si="307"/>
        <v>0.25</v>
      </c>
      <c r="M539">
        <f t="shared" si="282"/>
        <v>15</v>
      </c>
      <c r="N539">
        <f t="shared" si="308"/>
        <v>0</v>
      </c>
      <c r="O539" t="s">
        <v>1765</v>
      </c>
      <c r="P539" t="s">
        <v>1766</v>
      </c>
      <c r="R539" s="696" t="s">
        <v>84</v>
      </c>
      <c r="V539" t="str">
        <f t="shared" ref="V539:V566" si="322">IF(OR((M539-L539)&lt;=0,H539&gt;M539,H539&lt;L539),"Fix","")</f>
        <v/>
      </c>
      <c r="W539" s="78">
        <f>INDEX('Utilities&amp;Labor'!$K$4:$K$54,MATCH(UDV.u.state,'Utilities&amp;Labor'!$A$4:$A$54,0))</f>
        <v>3.6964905660377356</v>
      </c>
      <c r="X539">
        <v>0.25</v>
      </c>
      <c r="Y539">
        <v>15</v>
      </c>
      <c r="Z539" t="str">
        <f>Units!B$28</f>
        <v>$/gal</v>
      </c>
      <c r="AA539">
        <f>Units!C$28</f>
        <v>1</v>
      </c>
      <c r="AB539">
        <f>Units!D$28</f>
        <v>1</v>
      </c>
      <c r="AC539" t="str">
        <f>Units!E$28</f>
        <v>$/gal</v>
      </c>
      <c r="AD539" t="str">
        <f>Units!F$28</f>
        <v>$/gal</v>
      </c>
      <c r="AE539" t="str">
        <f>Units!G$28</f>
        <v>$/L</v>
      </c>
      <c r="AF539" t="str">
        <f>Units!H$28</f>
        <v>$/gal</v>
      </c>
    </row>
    <row r="540" spans="1:32" x14ac:dyDescent="0.3">
      <c r="A540" t="s">
        <v>1763</v>
      </c>
      <c r="B540" t="s">
        <v>1767</v>
      </c>
      <c r="C540" s="124" t="str">
        <f t="shared" si="280"/>
        <v>UDV.fuel.gasoline_avg_cost</v>
      </c>
      <c r="D540" s="1737">
        <f t="shared" si="315"/>
        <v>3.2422641509433965</v>
      </c>
      <c r="E540" s="1093" t="str">
        <f t="shared" si="316"/>
        <v>$/gal</v>
      </c>
      <c r="F540" s="1095">
        <f>UI.OpExpenses!BC108</f>
        <v>3.2422641509433965</v>
      </c>
      <c r="G540" s="1098" t="str">
        <f>UI.OpExpenses!BD108</f>
        <v/>
      </c>
      <c r="H540" s="1101">
        <f t="shared" si="317"/>
        <v>3.2422641509433965</v>
      </c>
      <c r="I540" s="956" t="str">
        <f t="shared" si="318"/>
        <v>$/gal</v>
      </c>
      <c r="J540" t="s">
        <v>660</v>
      </c>
      <c r="K540" t="s">
        <v>1315</v>
      </c>
      <c r="L540">
        <f t="shared" si="307"/>
        <v>0.25</v>
      </c>
      <c r="M540">
        <f t="shared" si="282"/>
        <v>15</v>
      </c>
      <c r="N540">
        <f t="shared" si="308"/>
        <v>0</v>
      </c>
      <c r="O540" t="s">
        <v>1765</v>
      </c>
      <c r="P540" t="s">
        <v>1768</v>
      </c>
      <c r="R540" s="696" t="s">
        <v>84</v>
      </c>
      <c r="V540" t="str">
        <f t="shared" si="322"/>
        <v/>
      </c>
      <c r="W540" s="78">
        <f>INDEX('Utilities&amp;Labor'!$N$4:$N$54,MATCH(UDV.u.state,'Utilities&amp;Labor'!$A$4:$A$54,0))</f>
        <v>3.2422641509433965</v>
      </c>
      <c r="X540">
        <v>0.25</v>
      </c>
      <c r="Y540">
        <v>15</v>
      </c>
      <c r="Z540" t="str">
        <f>Units!B$28</f>
        <v>$/gal</v>
      </c>
      <c r="AA540">
        <f>Units!C$28</f>
        <v>1</v>
      </c>
      <c r="AB540">
        <f>Units!D$28</f>
        <v>1</v>
      </c>
      <c r="AC540" t="str">
        <f>Units!E$28</f>
        <v>$/gal</v>
      </c>
      <c r="AD540" t="str">
        <f>Units!F$28</f>
        <v>$/gal</v>
      </c>
      <c r="AE540" t="str">
        <f>Units!G$28</f>
        <v>$/L</v>
      </c>
      <c r="AF540" t="str">
        <f>Units!H$28</f>
        <v>$/gal</v>
      </c>
    </row>
    <row r="541" spans="1:32" x14ac:dyDescent="0.3">
      <c r="A541" t="s">
        <v>1763</v>
      </c>
      <c r="B541" t="s">
        <v>1769</v>
      </c>
      <c r="C541" s="124" t="str">
        <f t="shared" si="280"/>
        <v>UDV.fuel.naturalgas_avg_cost</v>
      </c>
      <c r="D541" s="1091">
        <f t="shared" si="315"/>
        <v>5.544999999999999</v>
      </c>
      <c r="E541" s="1093" t="str">
        <f t="shared" si="316"/>
        <v>$/1000 ft3</v>
      </c>
      <c r="F541" s="1095">
        <f t="shared" ref="F541:F562" si="323">IF(OR(G541="",N541=0),H541,G541)</f>
        <v>5.544999999999999</v>
      </c>
      <c r="H541" s="1101">
        <f t="shared" si="317"/>
        <v>5.544999999999999</v>
      </c>
      <c r="I541" s="956" t="str">
        <f t="shared" si="318"/>
        <v>$/1000 ft3</v>
      </c>
      <c r="J541" t="s">
        <v>660</v>
      </c>
      <c r="L541">
        <f t="shared" si="307"/>
        <v>1</v>
      </c>
      <c r="M541">
        <f t="shared" si="282"/>
        <v>45</v>
      </c>
      <c r="N541">
        <f t="shared" si="308"/>
        <v>0</v>
      </c>
      <c r="O541" t="s">
        <v>1765</v>
      </c>
      <c r="P541" t="s">
        <v>1770</v>
      </c>
      <c r="R541" s="696" t="s">
        <v>84</v>
      </c>
      <c r="V541" t="str">
        <f t="shared" si="322"/>
        <v/>
      </c>
      <c r="W541" s="78">
        <f>INDEX('Utilities&amp;Labor'!$H$4:$H$54,MATCH(UDV.u.state,'Utilities&amp;Labor'!$A$4:$A$54,0))</f>
        <v>5.544999999999999</v>
      </c>
      <c r="X541">
        <v>1</v>
      </c>
      <c r="Y541">
        <v>45</v>
      </c>
      <c r="Z541" t="str">
        <f>Units!B$26</f>
        <v>$/1000 ft3</v>
      </c>
      <c r="AA541">
        <f>Units!C$26</f>
        <v>1</v>
      </c>
      <c r="AB541">
        <f>Units!D$26</f>
        <v>1</v>
      </c>
      <c r="AC541" t="str">
        <f>Units!E$26</f>
        <v>$/1000 ft3</v>
      </c>
      <c r="AD541" t="str">
        <f>Units!F$26</f>
        <v>$/1000 ft3</v>
      </c>
      <c r="AE541" t="str">
        <f>Units!G$26</f>
        <v>$/1000 L</v>
      </c>
      <c r="AF541" t="str">
        <f>Units!H$26</f>
        <v>$/1000 ft3</v>
      </c>
    </row>
    <row r="542" spans="1:32" x14ac:dyDescent="0.3">
      <c r="A542" t="s">
        <v>1763</v>
      </c>
      <c r="B542" t="s">
        <v>1771</v>
      </c>
      <c r="C542" s="124" t="str">
        <f t="shared" si="280"/>
        <v>UDV.fuel.propane_avg_cost</v>
      </c>
      <c r="D542" s="1737">
        <f t="shared" si="315"/>
        <v>0.89796874999999987</v>
      </c>
      <c r="E542" s="1093" t="str">
        <f t="shared" si="316"/>
        <v>$/gal</v>
      </c>
      <c r="F542" s="1095">
        <f t="shared" si="323"/>
        <v>0.89796874999999987</v>
      </c>
      <c r="H542" s="1101">
        <f t="shared" si="317"/>
        <v>0.89796874999999987</v>
      </c>
      <c r="I542" s="956" t="str">
        <f t="shared" si="318"/>
        <v>$/gal</v>
      </c>
      <c r="J542" t="s">
        <v>660</v>
      </c>
      <c r="L542">
        <f t="shared" si="307"/>
        <v>0.25</v>
      </c>
      <c r="M542">
        <f t="shared" si="282"/>
        <v>15</v>
      </c>
      <c r="N542">
        <f t="shared" si="308"/>
        <v>0</v>
      </c>
      <c r="O542" t="s">
        <v>1765</v>
      </c>
      <c r="P542" t="s">
        <v>1772</v>
      </c>
      <c r="R542" s="696" t="s">
        <v>84</v>
      </c>
      <c r="V542" t="str">
        <f t="shared" si="322"/>
        <v/>
      </c>
      <c r="W542" s="78">
        <f>INDEX('Utilities&amp;Labor'!$Q$4:$Q$54,MATCH(UDV.u.state,'Utilities&amp;Labor'!$A$4:$A$54,0))</f>
        <v>0.89796874999999987</v>
      </c>
      <c r="X542">
        <v>0.25</v>
      </c>
      <c r="Y542">
        <v>15</v>
      </c>
      <c r="Z542" t="str">
        <f>Units!B$28</f>
        <v>$/gal</v>
      </c>
      <c r="AA542">
        <f>Units!C$28</f>
        <v>1</v>
      </c>
      <c r="AB542">
        <f>Units!D$28</f>
        <v>1</v>
      </c>
      <c r="AC542" t="str">
        <f>Units!E$28</f>
        <v>$/gal</v>
      </c>
      <c r="AD542" t="str">
        <f>Units!F$28</f>
        <v>$/gal</v>
      </c>
      <c r="AE542" t="str">
        <f>Units!G$28</f>
        <v>$/L</v>
      </c>
      <c r="AF542" t="str">
        <f>Units!H$28</f>
        <v>$/gal</v>
      </c>
    </row>
    <row r="543" spans="1:32" x14ac:dyDescent="0.3">
      <c r="A543" t="s">
        <v>1742</v>
      </c>
      <c r="B543" t="s">
        <v>1773</v>
      </c>
      <c r="C543" s="124" t="str">
        <f t="shared" si="280"/>
        <v>UDV.handling_manure.a_deeppit</v>
      </c>
      <c r="D543" s="1091">
        <f t="shared" si="315"/>
        <v>0</v>
      </c>
      <c r="E543" s="1093" t="str">
        <f t="shared" si="316"/>
        <v>L/head/day</v>
      </c>
      <c r="F543" s="1095">
        <f t="shared" si="323"/>
        <v>0</v>
      </c>
      <c r="H543" s="1102">
        <f t="shared" si="317"/>
        <v>0</v>
      </c>
      <c r="I543" s="956" t="str">
        <f t="shared" si="318"/>
        <v>gal/head/day</v>
      </c>
      <c r="J543" s="132" t="s">
        <v>688</v>
      </c>
      <c r="K543" s="132"/>
      <c r="L543">
        <f t="shared" si="307"/>
        <v>0</v>
      </c>
      <c r="M543">
        <f t="shared" si="282"/>
        <v>0.999</v>
      </c>
      <c r="N543">
        <f t="shared" si="308"/>
        <v>1</v>
      </c>
      <c r="O543" t="s">
        <v>1774</v>
      </c>
      <c r="P543" t="s">
        <v>1775</v>
      </c>
      <c r="Q543" s="643" t="s">
        <v>1776</v>
      </c>
      <c r="R543" s="696" t="s">
        <v>84</v>
      </c>
      <c r="S543" t="s">
        <v>84</v>
      </c>
      <c r="V543" t="str">
        <f t="shared" si="322"/>
        <v/>
      </c>
      <c r="W543" s="78">
        <f>Regressions!AD99</f>
        <v>0</v>
      </c>
      <c r="X543" s="78">
        <f>Regressions!AB99</f>
        <v>0</v>
      </c>
      <c r="Y543" s="78">
        <f>Regressions!AC99</f>
        <v>3.78</v>
      </c>
      <c r="Z543" t="str">
        <f>Units!B$138</f>
        <v>L/head/day</v>
      </c>
      <c r="AA543">
        <f>Units!C$138</f>
        <v>0.26417204999999999</v>
      </c>
      <c r="AB543">
        <f>Units!D$138</f>
        <v>3.7854118177907163</v>
      </c>
      <c r="AC543" t="str">
        <f>Units!E$138</f>
        <v>gal/head/day</v>
      </c>
      <c r="AD543" t="str">
        <f>Units!F$138</f>
        <v>L/head/day</v>
      </c>
      <c r="AE543" t="str">
        <f>Units!G$138</f>
        <v>L/head/day</v>
      </c>
      <c r="AF543" t="str">
        <f>Units!H$138</f>
        <v>gal/head/day</v>
      </c>
    </row>
    <row r="544" spans="1:32" x14ac:dyDescent="0.3">
      <c r="A544" t="s">
        <v>1742</v>
      </c>
      <c r="B544" t="s">
        <v>1777</v>
      </c>
      <c r="C544" s="124" t="str">
        <f t="shared" si="280"/>
        <v>UDV.handling_manure.a_flush</v>
      </c>
      <c r="D544" s="1091">
        <f t="shared" si="315"/>
        <v>15.139999999999999</v>
      </c>
      <c r="E544" s="1093" t="str">
        <f t="shared" si="316"/>
        <v>L/head/day</v>
      </c>
      <c r="F544" s="1095">
        <f t="shared" si="323"/>
        <v>3.9995648369999999</v>
      </c>
      <c r="H544" s="1102">
        <f t="shared" si="317"/>
        <v>3.9995648369999999</v>
      </c>
      <c r="I544" s="956" t="str">
        <f t="shared" si="318"/>
        <v>gal/head/day</v>
      </c>
      <c r="J544" s="132" t="s">
        <v>688</v>
      </c>
      <c r="K544" s="132"/>
      <c r="L544">
        <f t="shared" si="307"/>
        <v>3.9620000000000002</v>
      </c>
      <c r="M544">
        <f t="shared" si="282"/>
        <v>7.9260000000000002</v>
      </c>
      <c r="N544">
        <f t="shared" si="308"/>
        <v>0</v>
      </c>
      <c r="O544" t="s">
        <v>1774</v>
      </c>
      <c r="P544" t="s">
        <v>1778</v>
      </c>
      <c r="Q544" s="643" t="s">
        <v>1776</v>
      </c>
      <c r="R544" s="696" t="s">
        <v>84</v>
      </c>
      <c r="S544" t="s">
        <v>84</v>
      </c>
      <c r="V544" t="str">
        <f t="shared" si="322"/>
        <v/>
      </c>
      <c r="W544" s="78">
        <f>Regressions!AD100</f>
        <v>15.14</v>
      </c>
      <c r="X544" s="78">
        <f>Regressions!AB100</f>
        <v>15</v>
      </c>
      <c r="Y544" s="78">
        <f>Regressions!AC100</f>
        <v>30</v>
      </c>
      <c r="Z544" t="str">
        <f>Units!B$138</f>
        <v>L/head/day</v>
      </c>
      <c r="AA544">
        <f>Units!C$138</f>
        <v>0.26417204999999999</v>
      </c>
      <c r="AB544">
        <f>Units!D$138</f>
        <v>3.7854118177907163</v>
      </c>
      <c r="AC544" t="str">
        <f>Units!E$138</f>
        <v>gal/head/day</v>
      </c>
      <c r="AD544" t="str">
        <f>Units!F$138</f>
        <v>L/head/day</v>
      </c>
      <c r="AE544" t="str">
        <f>Units!G$138</f>
        <v>L/head/day</v>
      </c>
      <c r="AF544" t="str">
        <f>Units!H$138</f>
        <v>gal/head/day</v>
      </c>
    </row>
    <row r="545" spans="1:32" x14ac:dyDescent="0.3">
      <c r="A545" t="s">
        <v>1742</v>
      </c>
      <c r="B545" t="s">
        <v>1779</v>
      </c>
      <c r="C545" s="124" t="str">
        <f t="shared" si="280"/>
        <v>UDV.handling_manure.a_pullplug</v>
      </c>
      <c r="D545" s="1091">
        <f t="shared" si="315"/>
        <v>32.4</v>
      </c>
      <c r="E545" s="1093" t="str">
        <f t="shared" si="316"/>
        <v>L/head/day</v>
      </c>
      <c r="F545" s="1095">
        <f t="shared" si="323"/>
        <v>8.5591744199999997</v>
      </c>
      <c r="H545" s="1102">
        <f t="shared" si="317"/>
        <v>8.5591744199999997</v>
      </c>
      <c r="I545" s="956" t="str">
        <f t="shared" si="318"/>
        <v>gal/head/day</v>
      </c>
      <c r="J545" s="132" t="s">
        <v>688</v>
      </c>
      <c r="K545" s="132"/>
      <c r="L545">
        <f t="shared" si="307"/>
        <v>0</v>
      </c>
      <c r="M545">
        <f t="shared" si="282"/>
        <v>10.567</v>
      </c>
      <c r="N545">
        <f t="shared" si="308"/>
        <v>1</v>
      </c>
      <c r="O545" t="s">
        <v>1774</v>
      </c>
      <c r="P545" t="s">
        <v>1780</v>
      </c>
      <c r="Q545" s="643" t="s">
        <v>1776</v>
      </c>
      <c r="R545" s="696" t="s">
        <v>84</v>
      </c>
      <c r="S545" t="s">
        <v>84</v>
      </c>
      <c r="V545" t="str">
        <f t="shared" si="322"/>
        <v/>
      </c>
      <c r="W545" s="78">
        <f>Regressions!AD101</f>
        <v>32.4</v>
      </c>
      <c r="X545" s="78">
        <f>Regressions!AB101</f>
        <v>0</v>
      </c>
      <c r="Y545" s="78">
        <f>Regressions!AC101</f>
        <v>40</v>
      </c>
      <c r="Z545" t="str">
        <f>Units!B$138</f>
        <v>L/head/day</v>
      </c>
      <c r="AA545">
        <f>Units!C$138</f>
        <v>0.26417204999999999</v>
      </c>
      <c r="AB545">
        <f>Units!D$138</f>
        <v>3.7854118177907163</v>
      </c>
      <c r="AC545" t="str">
        <f>Units!E$138</f>
        <v>gal/head/day</v>
      </c>
      <c r="AD545" t="str">
        <f>Units!F$138</f>
        <v>L/head/day</v>
      </c>
      <c r="AE545" t="str">
        <f>Units!G$138</f>
        <v>L/head/day</v>
      </c>
      <c r="AF545" t="str">
        <f>Units!H$138</f>
        <v>gal/head/day</v>
      </c>
    </row>
    <row r="546" spans="1:32" x14ac:dyDescent="0.3">
      <c r="A546" t="s">
        <v>1742</v>
      </c>
      <c r="B546" t="s">
        <v>1781</v>
      </c>
      <c r="C546" s="124" t="str">
        <f t="shared" si="280"/>
        <v>UDV.handling_manure.a_scrape</v>
      </c>
      <c r="D546" s="1091">
        <f t="shared" si="315"/>
        <v>0</v>
      </c>
      <c r="E546" s="1093" t="str">
        <f t="shared" si="316"/>
        <v>L/head/day</v>
      </c>
      <c r="F546" s="1095">
        <f t="shared" si="323"/>
        <v>0</v>
      </c>
      <c r="H546" s="1102">
        <f t="shared" si="317"/>
        <v>0</v>
      </c>
      <c r="I546" s="956" t="str">
        <f t="shared" si="318"/>
        <v>gal/head/day</v>
      </c>
      <c r="J546" s="132" t="s">
        <v>688</v>
      </c>
      <c r="K546" s="132"/>
      <c r="L546">
        <f t="shared" si="307"/>
        <v>0</v>
      </c>
      <c r="M546">
        <f t="shared" si="282"/>
        <v>0.999</v>
      </c>
      <c r="N546">
        <f t="shared" si="308"/>
        <v>1</v>
      </c>
      <c r="O546" t="s">
        <v>1774</v>
      </c>
      <c r="P546" t="s">
        <v>1782</v>
      </c>
      <c r="Q546" s="643" t="s">
        <v>1776</v>
      </c>
      <c r="R546" s="696" t="s">
        <v>84</v>
      </c>
      <c r="S546" t="s">
        <v>84</v>
      </c>
      <c r="V546" t="str">
        <f t="shared" si="322"/>
        <v/>
      </c>
      <c r="W546" s="78">
        <f>Regressions!AD102</f>
        <v>0</v>
      </c>
      <c r="X546" s="78">
        <f>Regressions!AB102</f>
        <v>0</v>
      </c>
      <c r="Y546" s="78">
        <f>Regressions!AC102</f>
        <v>3.78</v>
      </c>
      <c r="Z546" t="str">
        <f>Units!B$138</f>
        <v>L/head/day</v>
      </c>
      <c r="AA546">
        <f>Units!C$138</f>
        <v>0.26417204999999999</v>
      </c>
      <c r="AB546">
        <f>Units!D$138</f>
        <v>3.7854118177907163</v>
      </c>
      <c r="AC546" t="str">
        <f>Units!E$138</f>
        <v>gal/head/day</v>
      </c>
      <c r="AD546" t="str">
        <f>Units!F$138</f>
        <v>L/head/day</v>
      </c>
      <c r="AE546" t="str">
        <f>Units!G$138</f>
        <v>L/head/day</v>
      </c>
      <c r="AF546" t="str">
        <f>Units!H$138</f>
        <v>gal/head/day</v>
      </c>
    </row>
    <row r="547" spans="1:32" x14ac:dyDescent="0.3">
      <c r="A547" t="s">
        <v>1742</v>
      </c>
      <c r="B547" t="s">
        <v>1783</v>
      </c>
      <c r="C547" s="124" t="str">
        <f t="shared" si="280"/>
        <v>UDV.handling_manure.b_deeppit</v>
      </c>
      <c r="D547" s="1091">
        <f t="shared" si="315"/>
        <v>0</v>
      </c>
      <c r="E547" s="1093" t="str">
        <f t="shared" si="316"/>
        <v>L/head/day</v>
      </c>
      <c r="F547" s="1095">
        <f t="shared" si="323"/>
        <v>0</v>
      </c>
      <c r="H547" s="1102">
        <f t="shared" si="317"/>
        <v>0</v>
      </c>
      <c r="I547" s="956" t="str">
        <f t="shared" si="318"/>
        <v>gal/head/day</v>
      </c>
      <c r="J547" s="132" t="s">
        <v>688</v>
      </c>
      <c r="K547" s="132"/>
      <c r="L547">
        <f t="shared" si="307"/>
        <v>0</v>
      </c>
      <c r="M547">
        <f t="shared" si="282"/>
        <v>0.999</v>
      </c>
      <c r="N547">
        <f t="shared" si="308"/>
        <v>1</v>
      </c>
      <c r="O547" t="s">
        <v>1774</v>
      </c>
      <c r="P547" t="s">
        <v>1784</v>
      </c>
      <c r="Q547" s="643" t="s">
        <v>1776</v>
      </c>
      <c r="R547" s="696" t="s">
        <v>84</v>
      </c>
      <c r="S547" t="s">
        <v>84</v>
      </c>
      <c r="V547" t="str">
        <f t="shared" si="322"/>
        <v/>
      </c>
      <c r="W547" s="78">
        <f>Regressions!AD103</f>
        <v>0</v>
      </c>
      <c r="X547" s="78">
        <f>Regressions!AB103</f>
        <v>0</v>
      </c>
      <c r="Y547" s="78">
        <f>Regressions!AC103</f>
        <v>3.78</v>
      </c>
      <c r="Z547" t="str">
        <f>Units!B$138</f>
        <v>L/head/day</v>
      </c>
      <c r="AA547">
        <f>Units!C$138</f>
        <v>0.26417204999999999</v>
      </c>
      <c r="AB547">
        <f>Units!D$138</f>
        <v>3.7854118177907163</v>
      </c>
      <c r="AC547" t="str">
        <f>Units!E$138</f>
        <v>gal/head/day</v>
      </c>
      <c r="AD547" t="str">
        <f>Units!F$138</f>
        <v>L/head/day</v>
      </c>
      <c r="AE547" t="str">
        <f>Units!G$138</f>
        <v>L/head/day</v>
      </c>
      <c r="AF547" t="str">
        <f>Units!H$138</f>
        <v>gal/head/day</v>
      </c>
    </row>
    <row r="548" spans="1:32" x14ac:dyDescent="0.3">
      <c r="A548" t="s">
        <v>1742</v>
      </c>
      <c r="B548" t="s">
        <v>1785</v>
      </c>
      <c r="C548" s="124" t="str">
        <f t="shared" si="280"/>
        <v>UDV.handling_manure.b_flush</v>
      </c>
      <c r="D548" s="1091">
        <f t="shared" si="315"/>
        <v>56.78</v>
      </c>
      <c r="E548" s="1093" t="str">
        <f t="shared" si="316"/>
        <v>L/head/day</v>
      </c>
      <c r="F548" s="1095">
        <f t="shared" si="323"/>
        <v>14.999688999</v>
      </c>
      <c r="H548" s="1102">
        <f t="shared" si="317"/>
        <v>14.999688999</v>
      </c>
      <c r="I548" s="956" t="str">
        <f t="shared" si="318"/>
        <v>gal/head/day</v>
      </c>
      <c r="J548" s="132" t="s">
        <v>688</v>
      </c>
      <c r="K548" s="132"/>
      <c r="L548">
        <f t="shared" si="307"/>
        <v>3.9620000000000002</v>
      </c>
      <c r="M548">
        <f t="shared" si="282"/>
        <v>15.058</v>
      </c>
      <c r="N548">
        <f t="shared" si="308"/>
        <v>0</v>
      </c>
      <c r="O548" t="s">
        <v>1774</v>
      </c>
      <c r="P548" t="s">
        <v>1786</v>
      </c>
      <c r="Q548" s="643" t="s">
        <v>1776</v>
      </c>
      <c r="R548" s="696" t="s">
        <v>84</v>
      </c>
      <c r="S548" t="s">
        <v>84</v>
      </c>
      <c r="V548" t="str">
        <f t="shared" si="322"/>
        <v/>
      </c>
      <c r="W548" s="78">
        <f>Regressions!AD104</f>
        <v>56.78</v>
      </c>
      <c r="X548" s="78">
        <f>Regressions!AB104</f>
        <v>15</v>
      </c>
      <c r="Y548" s="78">
        <f>Regressions!AC104</f>
        <v>57</v>
      </c>
      <c r="Z548" t="str">
        <f>Units!B$138</f>
        <v>L/head/day</v>
      </c>
      <c r="AA548">
        <f>Units!C$138</f>
        <v>0.26417204999999999</v>
      </c>
      <c r="AB548">
        <f>Units!D$138</f>
        <v>3.7854118177907163</v>
      </c>
      <c r="AC548" t="str">
        <f>Units!E$138</f>
        <v>gal/head/day</v>
      </c>
      <c r="AD548" t="str">
        <f>Units!F$138</f>
        <v>L/head/day</v>
      </c>
      <c r="AE548" t="str">
        <f>Units!G$138</f>
        <v>L/head/day</v>
      </c>
      <c r="AF548" t="str">
        <f>Units!H$138</f>
        <v>gal/head/day</v>
      </c>
    </row>
    <row r="549" spans="1:32" x14ac:dyDescent="0.3">
      <c r="A549" t="s">
        <v>1742</v>
      </c>
      <c r="B549" t="s">
        <v>1787</v>
      </c>
      <c r="C549" s="124" t="str">
        <f t="shared" si="280"/>
        <v>UDV.handling_manure.b_pullplug</v>
      </c>
      <c r="D549" s="1091">
        <f t="shared" si="315"/>
        <v>32.4</v>
      </c>
      <c r="E549" s="1093" t="str">
        <f t="shared" si="316"/>
        <v>L/head/day</v>
      </c>
      <c r="F549" s="1095">
        <f t="shared" si="323"/>
        <v>8.5591744199999997</v>
      </c>
      <c r="H549" s="1102">
        <f t="shared" si="317"/>
        <v>8.5591744199999997</v>
      </c>
      <c r="I549" s="956" t="str">
        <f t="shared" si="318"/>
        <v>gal/head/day</v>
      </c>
      <c r="J549" s="132" t="s">
        <v>688</v>
      </c>
      <c r="K549" s="132"/>
      <c r="L549">
        <f t="shared" si="307"/>
        <v>0</v>
      </c>
      <c r="M549">
        <f t="shared" si="282"/>
        <v>10.567</v>
      </c>
      <c r="N549">
        <f t="shared" si="308"/>
        <v>1</v>
      </c>
      <c r="O549" t="s">
        <v>1774</v>
      </c>
      <c r="P549" t="s">
        <v>1788</v>
      </c>
      <c r="Q549" s="643" t="s">
        <v>1776</v>
      </c>
      <c r="R549" s="696" t="s">
        <v>84</v>
      </c>
      <c r="S549" t="s">
        <v>84</v>
      </c>
      <c r="V549" t="str">
        <f t="shared" si="322"/>
        <v/>
      </c>
      <c r="W549" s="78">
        <f>Regressions!AD105</f>
        <v>32.4</v>
      </c>
      <c r="X549" s="78">
        <f>Regressions!AB105</f>
        <v>0</v>
      </c>
      <c r="Y549" s="78">
        <f>Regressions!AC105</f>
        <v>40</v>
      </c>
      <c r="Z549" t="str">
        <f>Units!B$138</f>
        <v>L/head/day</v>
      </c>
      <c r="AA549">
        <f>Units!C$138</f>
        <v>0.26417204999999999</v>
      </c>
      <c r="AB549">
        <f>Units!D$138</f>
        <v>3.7854118177907163</v>
      </c>
      <c r="AC549" t="str">
        <f>Units!E$138</f>
        <v>gal/head/day</v>
      </c>
      <c r="AD549" t="str">
        <f>Units!F$138</f>
        <v>L/head/day</v>
      </c>
      <c r="AE549" t="str">
        <f>Units!G$138</f>
        <v>L/head/day</v>
      </c>
      <c r="AF549" t="str">
        <f>Units!H$138</f>
        <v>gal/head/day</v>
      </c>
    </row>
    <row r="550" spans="1:32" x14ac:dyDescent="0.3">
      <c r="A550" t="s">
        <v>1742</v>
      </c>
      <c r="B550" t="s">
        <v>1789</v>
      </c>
      <c r="C550" s="124" t="str">
        <f t="shared" si="280"/>
        <v>UDV.handling_manure.b_scrape</v>
      </c>
      <c r="D550" s="1091">
        <f t="shared" si="315"/>
        <v>0</v>
      </c>
      <c r="E550" s="1093" t="str">
        <f t="shared" si="316"/>
        <v>L/head/day</v>
      </c>
      <c r="F550" s="1095">
        <f t="shared" si="323"/>
        <v>0</v>
      </c>
      <c r="H550" s="1102">
        <f t="shared" si="317"/>
        <v>0</v>
      </c>
      <c r="I550" s="956" t="str">
        <f t="shared" si="318"/>
        <v>gal/head/day</v>
      </c>
      <c r="J550" s="132" t="s">
        <v>688</v>
      </c>
      <c r="K550" s="132"/>
      <c r="L550">
        <f t="shared" si="307"/>
        <v>0</v>
      </c>
      <c r="M550">
        <f t="shared" si="282"/>
        <v>0.999</v>
      </c>
      <c r="N550">
        <f t="shared" si="308"/>
        <v>1</v>
      </c>
      <c r="O550" t="s">
        <v>1774</v>
      </c>
      <c r="P550" t="s">
        <v>1790</v>
      </c>
      <c r="Q550" s="643" t="s">
        <v>1776</v>
      </c>
      <c r="R550" s="696" t="s">
        <v>84</v>
      </c>
      <c r="S550" t="s">
        <v>84</v>
      </c>
      <c r="V550" t="str">
        <f t="shared" si="322"/>
        <v/>
      </c>
      <c r="W550" s="78">
        <f>Regressions!AD106</f>
        <v>0</v>
      </c>
      <c r="X550" s="78">
        <f>Regressions!AB106</f>
        <v>0</v>
      </c>
      <c r="Y550" s="78">
        <f>Regressions!AC106</f>
        <v>3.78</v>
      </c>
      <c r="Z550" t="str">
        <f>Units!B$138</f>
        <v>L/head/day</v>
      </c>
      <c r="AA550">
        <f>Units!C$138</f>
        <v>0.26417204999999999</v>
      </c>
      <c r="AB550">
        <f>Units!D$138</f>
        <v>3.7854118177907163</v>
      </c>
      <c r="AC550" t="str">
        <f>Units!E$138</f>
        <v>gal/head/day</v>
      </c>
      <c r="AD550" t="str">
        <f>Units!F$138</f>
        <v>L/head/day</v>
      </c>
      <c r="AE550" t="str">
        <f>Units!G$138</f>
        <v>L/head/day</v>
      </c>
      <c r="AF550" t="str">
        <f>Units!H$138</f>
        <v>gal/head/day</v>
      </c>
    </row>
    <row r="551" spans="1:32" x14ac:dyDescent="0.3">
      <c r="A551" t="s">
        <v>1742</v>
      </c>
      <c r="B551" t="s">
        <v>1791</v>
      </c>
      <c r="C551" s="124" t="str">
        <f t="shared" si="280"/>
        <v>UDV.handling_manure.c_deeppit</v>
      </c>
      <c r="D551" s="1091">
        <f t="shared" si="315"/>
        <v>0</v>
      </c>
      <c r="E551" s="1093" t="str">
        <f t="shared" si="316"/>
        <v>L/head/day</v>
      </c>
      <c r="F551" s="1095">
        <f t="shared" si="323"/>
        <v>0</v>
      </c>
      <c r="H551" s="1102">
        <f t="shared" si="317"/>
        <v>0</v>
      </c>
      <c r="I551" s="956" t="str">
        <f t="shared" si="318"/>
        <v>gal/head/day</v>
      </c>
      <c r="J551" s="132" t="s">
        <v>688</v>
      </c>
      <c r="K551" s="132"/>
      <c r="L551">
        <f t="shared" si="307"/>
        <v>0</v>
      </c>
      <c r="M551">
        <f t="shared" si="282"/>
        <v>0.999</v>
      </c>
      <c r="N551">
        <f t="shared" si="308"/>
        <v>1</v>
      </c>
      <c r="O551" t="s">
        <v>1774</v>
      </c>
      <c r="P551" t="s">
        <v>1792</v>
      </c>
      <c r="Q551" s="643" t="s">
        <v>1776</v>
      </c>
      <c r="R551" s="696" t="s">
        <v>84</v>
      </c>
      <c r="S551" t="s">
        <v>84</v>
      </c>
      <c r="V551" t="str">
        <f t="shared" si="322"/>
        <v/>
      </c>
      <c r="W551" s="78">
        <f>Regressions!AD107</f>
        <v>0</v>
      </c>
      <c r="X551" s="78">
        <f>Regressions!AB107</f>
        <v>0</v>
      </c>
      <c r="Y551" s="78">
        <f>Regressions!AC107</f>
        <v>3.78</v>
      </c>
      <c r="Z551" t="str">
        <f>Units!B$138</f>
        <v>L/head/day</v>
      </c>
      <c r="AA551">
        <f>Units!C$138</f>
        <v>0.26417204999999999</v>
      </c>
      <c r="AB551">
        <f>Units!D$138</f>
        <v>3.7854118177907163</v>
      </c>
      <c r="AC551" t="str">
        <f>Units!E$138</f>
        <v>gal/head/day</v>
      </c>
      <c r="AD551" t="str">
        <f>Units!F$138</f>
        <v>L/head/day</v>
      </c>
      <c r="AE551" t="str">
        <f>Units!G$138</f>
        <v>L/head/day</v>
      </c>
      <c r="AF551" t="str">
        <f>Units!H$138</f>
        <v>gal/head/day</v>
      </c>
    </row>
    <row r="552" spans="1:32" x14ac:dyDescent="0.3">
      <c r="A552" t="s">
        <v>1742</v>
      </c>
      <c r="B552" t="s">
        <v>1793</v>
      </c>
      <c r="C552" s="124" t="str">
        <f t="shared" si="280"/>
        <v>UDV.handling_manure.c_flush</v>
      </c>
      <c r="D552" s="1091">
        <f t="shared" si="315"/>
        <v>94.64</v>
      </c>
      <c r="E552" s="1093" t="str">
        <f t="shared" si="316"/>
        <v>L/head/day</v>
      </c>
      <c r="F552" s="1095">
        <f t="shared" si="323"/>
        <v>25.001242812000001</v>
      </c>
      <c r="H552" s="1102">
        <f t="shared" si="317"/>
        <v>25.001242812000001</v>
      </c>
      <c r="I552" s="956" t="str">
        <f t="shared" si="318"/>
        <v>gal/head/day</v>
      </c>
      <c r="J552" s="132" t="s">
        <v>688</v>
      </c>
      <c r="K552" s="132"/>
      <c r="L552">
        <f t="shared" si="307"/>
        <v>3.9620000000000002</v>
      </c>
      <c r="M552">
        <f t="shared" si="282"/>
        <v>25.002000000000002</v>
      </c>
      <c r="N552">
        <f t="shared" si="308"/>
        <v>0</v>
      </c>
      <c r="O552" t="s">
        <v>1774</v>
      </c>
      <c r="P552" t="s">
        <v>1794</v>
      </c>
      <c r="Q552" s="643" t="s">
        <v>1776</v>
      </c>
      <c r="R552" s="696" t="s">
        <v>84</v>
      </c>
      <c r="S552" t="s">
        <v>84</v>
      </c>
      <c r="V552" t="str">
        <f t="shared" si="322"/>
        <v/>
      </c>
      <c r="W552" s="78">
        <f>Regressions!AD108</f>
        <v>94.64</v>
      </c>
      <c r="X552" s="78">
        <f>Regressions!AB108</f>
        <v>15</v>
      </c>
      <c r="Y552" s="78">
        <f>Regressions!AC108</f>
        <v>94.64</v>
      </c>
      <c r="Z552" t="str">
        <f>Units!B$138</f>
        <v>L/head/day</v>
      </c>
      <c r="AA552">
        <f>Units!C$138</f>
        <v>0.26417204999999999</v>
      </c>
      <c r="AB552">
        <f>Units!D$138</f>
        <v>3.7854118177907163</v>
      </c>
      <c r="AC552" t="str">
        <f>Units!E$138</f>
        <v>gal/head/day</v>
      </c>
      <c r="AD552" t="str">
        <f>Units!F$138</f>
        <v>L/head/day</v>
      </c>
      <c r="AE552" t="str">
        <f>Units!G$138</f>
        <v>L/head/day</v>
      </c>
      <c r="AF552" t="str">
        <f>Units!H$138</f>
        <v>gal/head/day</v>
      </c>
    </row>
    <row r="553" spans="1:32" x14ac:dyDescent="0.3">
      <c r="A553" t="s">
        <v>1742</v>
      </c>
      <c r="B553" t="s">
        <v>1795</v>
      </c>
      <c r="C553" s="124" t="str">
        <f t="shared" si="280"/>
        <v>UDV.handling_manure.c_pullplug</v>
      </c>
      <c r="D553" s="1091">
        <f t="shared" si="315"/>
        <v>32.4</v>
      </c>
      <c r="E553" s="1093" t="str">
        <f t="shared" si="316"/>
        <v>L/head/day</v>
      </c>
      <c r="F553" s="1095">
        <f t="shared" si="323"/>
        <v>8.5591744199999997</v>
      </c>
      <c r="H553" s="1102">
        <f t="shared" si="317"/>
        <v>8.5591744199999997</v>
      </c>
      <c r="I553" s="956" t="str">
        <f t="shared" si="318"/>
        <v>gal/head/day</v>
      </c>
      <c r="J553" s="132" t="s">
        <v>688</v>
      </c>
      <c r="K553" s="132"/>
      <c r="L553">
        <f t="shared" si="307"/>
        <v>0</v>
      </c>
      <c r="M553">
        <f t="shared" si="282"/>
        <v>10.567</v>
      </c>
      <c r="N553">
        <f t="shared" si="308"/>
        <v>1</v>
      </c>
      <c r="O553" t="s">
        <v>1774</v>
      </c>
      <c r="P553" t="s">
        <v>1796</v>
      </c>
      <c r="Q553" s="643" t="s">
        <v>1776</v>
      </c>
      <c r="R553" s="696" t="s">
        <v>84</v>
      </c>
      <c r="S553" t="s">
        <v>84</v>
      </c>
      <c r="V553" t="str">
        <f t="shared" si="322"/>
        <v/>
      </c>
      <c r="W553" s="78">
        <f>Regressions!AD109</f>
        <v>32.4</v>
      </c>
      <c r="X553" s="78">
        <f>Regressions!AB109</f>
        <v>0</v>
      </c>
      <c r="Y553" s="78">
        <f>Regressions!AC109</f>
        <v>40</v>
      </c>
      <c r="Z553" t="str">
        <f>Units!B$138</f>
        <v>L/head/day</v>
      </c>
      <c r="AA553">
        <f>Units!C$138</f>
        <v>0.26417204999999999</v>
      </c>
      <c r="AB553">
        <f>Units!D$138</f>
        <v>3.7854118177907163</v>
      </c>
      <c r="AC553" t="str">
        <f>Units!E$138</f>
        <v>gal/head/day</v>
      </c>
      <c r="AD553" t="str">
        <f>Units!F$138</f>
        <v>L/head/day</v>
      </c>
      <c r="AE553" t="str">
        <f>Units!G$138</f>
        <v>L/head/day</v>
      </c>
      <c r="AF553" t="str">
        <f>Units!H$138</f>
        <v>gal/head/day</v>
      </c>
    </row>
    <row r="554" spans="1:32" x14ac:dyDescent="0.3">
      <c r="A554" t="s">
        <v>1742</v>
      </c>
      <c r="B554" t="s">
        <v>1797</v>
      </c>
      <c r="C554" s="124" t="str">
        <f t="shared" si="280"/>
        <v>UDV.handling_manure.c_scrape</v>
      </c>
      <c r="D554" s="1091">
        <f t="shared" si="315"/>
        <v>0</v>
      </c>
      <c r="E554" s="1093" t="str">
        <f t="shared" si="316"/>
        <v>L/head/day</v>
      </c>
      <c r="F554" s="1095">
        <f t="shared" si="323"/>
        <v>0</v>
      </c>
      <c r="H554" s="1102">
        <f t="shared" si="317"/>
        <v>0</v>
      </c>
      <c r="I554" s="956" t="str">
        <f t="shared" si="318"/>
        <v>gal/head/day</v>
      </c>
      <c r="J554" s="132" t="s">
        <v>688</v>
      </c>
      <c r="K554" s="132"/>
      <c r="L554">
        <f t="shared" si="307"/>
        <v>0</v>
      </c>
      <c r="M554">
        <f t="shared" si="282"/>
        <v>0.999</v>
      </c>
      <c r="N554">
        <f t="shared" si="308"/>
        <v>1</v>
      </c>
      <c r="O554" t="s">
        <v>1774</v>
      </c>
      <c r="P554" t="s">
        <v>1798</v>
      </c>
      <c r="Q554" s="643" t="s">
        <v>1776</v>
      </c>
      <c r="R554" s="696" t="s">
        <v>84</v>
      </c>
      <c r="S554" t="s">
        <v>84</v>
      </c>
      <c r="V554" t="str">
        <f t="shared" si="322"/>
        <v/>
      </c>
      <c r="W554" s="78">
        <f>Regressions!AD110</f>
        <v>0</v>
      </c>
      <c r="X554" s="78">
        <f>Regressions!AB110</f>
        <v>0</v>
      </c>
      <c r="Y554" s="78">
        <f>Regressions!AC110</f>
        <v>3.78</v>
      </c>
      <c r="Z554" t="str">
        <f>Units!B$138</f>
        <v>L/head/day</v>
      </c>
      <c r="AA554">
        <f>Units!C$138</f>
        <v>0.26417204999999999</v>
      </c>
      <c r="AB554">
        <f>Units!D$138</f>
        <v>3.7854118177907163</v>
      </c>
      <c r="AC554" t="str">
        <f>Units!E$138</f>
        <v>gal/head/day</v>
      </c>
      <c r="AD554" t="str">
        <f>Units!F$138</f>
        <v>L/head/day</v>
      </c>
      <c r="AE554" t="str">
        <f>Units!G$138</f>
        <v>L/head/day</v>
      </c>
      <c r="AF554" t="str">
        <f>Units!H$138</f>
        <v>gal/head/day</v>
      </c>
    </row>
    <row r="555" spans="1:32" x14ac:dyDescent="0.3">
      <c r="A555" t="s">
        <v>1742</v>
      </c>
      <c r="B555" t="s">
        <v>1799</v>
      </c>
      <c r="C555" s="124" t="str">
        <f t="shared" si="280"/>
        <v>UDV.handling_manure.d_deeppit</v>
      </c>
      <c r="D555" s="1091">
        <f t="shared" si="315"/>
        <v>0</v>
      </c>
      <c r="E555" s="1093" t="str">
        <f t="shared" si="316"/>
        <v>L/head/day</v>
      </c>
      <c r="F555" s="1095">
        <f t="shared" si="323"/>
        <v>0</v>
      </c>
      <c r="H555" s="1102">
        <f t="shared" si="317"/>
        <v>0</v>
      </c>
      <c r="I555" s="956" t="str">
        <f t="shared" si="318"/>
        <v>gal/head/day</v>
      </c>
      <c r="J555" s="132" t="s">
        <v>688</v>
      </c>
      <c r="K555" s="132"/>
      <c r="L555">
        <f t="shared" si="307"/>
        <v>0</v>
      </c>
      <c r="M555">
        <f t="shared" si="282"/>
        <v>0.999</v>
      </c>
      <c r="N555">
        <f t="shared" si="308"/>
        <v>1</v>
      </c>
      <c r="O555" t="s">
        <v>1774</v>
      </c>
      <c r="P555" t="s">
        <v>1800</v>
      </c>
      <c r="Q555" s="643" t="s">
        <v>1776</v>
      </c>
      <c r="R555" s="696" t="s">
        <v>84</v>
      </c>
      <c r="S555" t="s">
        <v>84</v>
      </c>
      <c r="V555" t="str">
        <f t="shared" si="322"/>
        <v/>
      </c>
      <c r="W555" s="78">
        <f>Regressions!AD111</f>
        <v>0</v>
      </c>
      <c r="X555" s="78">
        <f>Regressions!AB111</f>
        <v>0</v>
      </c>
      <c r="Y555" s="78">
        <f>Regressions!AC111</f>
        <v>3.78</v>
      </c>
      <c r="Z555" t="str">
        <f>Units!B$138</f>
        <v>L/head/day</v>
      </c>
      <c r="AA555">
        <f>Units!C$138</f>
        <v>0.26417204999999999</v>
      </c>
      <c r="AB555">
        <f>Units!D$138</f>
        <v>3.7854118177907163</v>
      </c>
      <c r="AC555" t="str">
        <f>Units!E$138</f>
        <v>gal/head/day</v>
      </c>
      <c r="AD555" t="str">
        <f>Units!F$138</f>
        <v>L/head/day</v>
      </c>
      <c r="AE555" t="str">
        <f>Units!G$138</f>
        <v>L/head/day</v>
      </c>
      <c r="AF555" t="str">
        <f>Units!H$138</f>
        <v>gal/head/day</v>
      </c>
    </row>
    <row r="556" spans="1:32" x14ac:dyDescent="0.3">
      <c r="A556" t="s">
        <v>1742</v>
      </c>
      <c r="B556" t="s">
        <v>1801</v>
      </c>
      <c r="C556" s="124" t="str">
        <f t="shared" si="280"/>
        <v>UDV.handling_manure.d_flush</v>
      </c>
      <c r="D556" s="1091">
        <f t="shared" si="315"/>
        <v>132.5</v>
      </c>
      <c r="E556" s="1093" t="str">
        <f t="shared" si="316"/>
        <v>L/head/day</v>
      </c>
      <c r="F556" s="1095">
        <f t="shared" si="323"/>
        <v>35.002796625000002</v>
      </c>
      <c r="H556" s="1102">
        <f t="shared" si="317"/>
        <v>35.002796625000002</v>
      </c>
      <c r="I556" s="956" t="str">
        <f t="shared" si="318"/>
        <v>gal/head/day</v>
      </c>
      <c r="J556" s="132" t="s">
        <v>688</v>
      </c>
      <c r="K556" s="132"/>
      <c r="L556">
        <f t="shared" si="307"/>
        <v>3.9620000000000002</v>
      </c>
      <c r="M556">
        <f t="shared" si="282"/>
        <v>35.003</v>
      </c>
      <c r="N556">
        <f t="shared" si="308"/>
        <v>0</v>
      </c>
      <c r="O556" t="s">
        <v>1774</v>
      </c>
      <c r="P556" t="s">
        <v>1802</v>
      </c>
      <c r="Q556" s="643" t="s">
        <v>1776</v>
      </c>
      <c r="R556" s="696" t="s">
        <v>84</v>
      </c>
      <c r="S556" t="s">
        <v>84</v>
      </c>
      <c r="V556" t="str">
        <f t="shared" si="322"/>
        <v/>
      </c>
      <c r="W556" s="78">
        <f>Regressions!AD112</f>
        <v>132.5</v>
      </c>
      <c r="X556" s="78">
        <f>Regressions!AB112</f>
        <v>15</v>
      </c>
      <c r="Y556" s="78">
        <f>Regressions!AC112</f>
        <v>132.5</v>
      </c>
      <c r="Z556" t="str">
        <f>Units!B$138</f>
        <v>L/head/day</v>
      </c>
      <c r="AA556">
        <f>Units!C$138</f>
        <v>0.26417204999999999</v>
      </c>
      <c r="AB556">
        <f>Units!D$138</f>
        <v>3.7854118177907163</v>
      </c>
      <c r="AC556" t="str">
        <f>Units!E$138</f>
        <v>gal/head/day</v>
      </c>
      <c r="AD556" t="str">
        <f>Units!F$138</f>
        <v>L/head/day</v>
      </c>
      <c r="AE556" t="str">
        <f>Units!G$138</f>
        <v>L/head/day</v>
      </c>
      <c r="AF556" t="str">
        <f>Units!H$138</f>
        <v>gal/head/day</v>
      </c>
    </row>
    <row r="557" spans="1:32" x14ac:dyDescent="0.3">
      <c r="A557" t="s">
        <v>1742</v>
      </c>
      <c r="B557" t="s">
        <v>1803</v>
      </c>
      <c r="C557" s="124" t="str">
        <f t="shared" si="280"/>
        <v>UDV.handling_manure.d_pullplug</v>
      </c>
      <c r="D557" s="1091">
        <f t="shared" si="315"/>
        <v>32.4</v>
      </c>
      <c r="E557" s="1093" t="str">
        <f t="shared" si="316"/>
        <v>L/head/day</v>
      </c>
      <c r="F557" s="1095">
        <f t="shared" si="323"/>
        <v>8.5591744199999997</v>
      </c>
      <c r="H557" s="1102">
        <f t="shared" si="317"/>
        <v>8.5591744199999997</v>
      </c>
      <c r="I557" s="956" t="str">
        <f t="shared" si="318"/>
        <v>gal/head/day</v>
      </c>
      <c r="J557" s="132" t="s">
        <v>688</v>
      </c>
      <c r="K557" s="132"/>
      <c r="L557">
        <f t="shared" si="307"/>
        <v>0</v>
      </c>
      <c r="M557">
        <f t="shared" si="282"/>
        <v>10.567</v>
      </c>
      <c r="N557">
        <f t="shared" si="308"/>
        <v>1</v>
      </c>
      <c r="O557" t="s">
        <v>1774</v>
      </c>
      <c r="P557" t="s">
        <v>1804</v>
      </c>
      <c r="Q557" s="643" t="s">
        <v>1776</v>
      </c>
      <c r="R557" s="696" t="s">
        <v>84</v>
      </c>
      <c r="S557" t="s">
        <v>84</v>
      </c>
      <c r="V557" t="str">
        <f t="shared" si="322"/>
        <v/>
      </c>
      <c r="W557" s="78">
        <f>Regressions!AD113</f>
        <v>32.4</v>
      </c>
      <c r="X557" s="78">
        <f>Regressions!AB113</f>
        <v>0</v>
      </c>
      <c r="Y557" s="78">
        <f>Regressions!AC113</f>
        <v>40</v>
      </c>
      <c r="Z557" t="str">
        <f>Units!B$138</f>
        <v>L/head/day</v>
      </c>
      <c r="AA557">
        <f>Units!C$138</f>
        <v>0.26417204999999999</v>
      </c>
      <c r="AB557">
        <f>Units!D$138</f>
        <v>3.7854118177907163</v>
      </c>
      <c r="AC557" t="str">
        <f>Units!E$138</f>
        <v>gal/head/day</v>
      </c>
      <c r="AD557" t="str">
        <f>Units!F$138</f>
        <v>L/head/day</v>
      </c>
      <c r="AE557" t="str">
        <f>Units!G$138</f>
        <v>L/head/day</v>
      </c>
      <c r="AF557" t="str">
        <f>Units!H$138</f>
        <v>gal/head/day</v>
      </c>
    </row>
    <row r="558" spans="1:32" x14ac:dyDescent="0.3">
      <c r="A558" t="s">
        <v>1742</v>
      </c>
      <c r="B558" t="s">
        <v>1805</v>
      </c>
      <c r="C558" s="124" t="str">
        <f t="shared" si="280"/>
        <v>UDV.handling_manure.d_scrape</v>
      </c>
      <c r="D558" s="1091">
        <f t="shared" si="315"/>
        <v>0</v>
      </c>
      <c r="E558" s="1093" t="str">
        <f t="shared" si="316"/>
        <v>L/head/day</v>
      </c>
      <c r="F558" s="1095">
        <f t="shared" si="323"/>
        <v>0</v>
      </c>
      <c r="H558" s="1102">
        <f t="shared" si="317"/>
        <v>0</v>
      </c>
      <c r="I558" s="956" t="str">
        <f t="shared" si="318"/>
        <v>gal/head/day</v>
      </c>
      <c r="J558" s="132" t="s">
        <v>688</v>
      </c>
      <c r="K558" s="132"/>
      <c r="L558">
        <f t="shared" si="307"/>
        <v>0</v>
      </c>
      <c r="M558">
        <f t="shared" si="282"/>
        <v>0.999</v>
      </c>
      <c r="N558">
        <f t="shared" si="308"/>
        <v>1</v>
      </c>
      <c r="O558" t="s">
        <v>1774</v>
      </c>
      <c r="P558" t="s">
        <v>1806</v>
      </c>
      <c r="Q558" s="643" t="s">
        <v>1776</v>
      </c>
      <c r="R558" s="696" t="s">
        <v>84</v>
      </c>
      <c r="S558" t="s">
        <v>84</v>
      </c>
      <c r="V558" t="str">
        <f t="shared" si="322"/>
        <v/>
      </c>
      <c r="W558" s="78">
        <f>Regressions!AD114</f>
        <v>0</v>
      </c>
      <c r="X558" s="78">
        <f>Regressions!AB114</f>
        <v>0</v>
      </c>
      <c r="Y558" s="78">
        <f>Regressions!AC114</f>
        <v>3.78</v>
      </c>
      <c r="Z558" t="str">
        <f>Units!B$138</f>
        <v>L/head/day</v>
      </c>
      <c r="AA558">
        <f>Units!C$138</f>
        <v>0.26417204999999999</v>
      </c>
      <c r="AB558">
        <f>Units!D$138</f>
        <v>3.7854118177907163</v>
      </c>
      <c r="AC558" t="str">
        <f>Units!E$138</f>
        <v>gal/head/day</v>
      </c>
      <c r="AD558" t="str">
        <f>Units!F$138</f>
        <v>L/head/day</v>
      </c>
      <c r="AE558" t="str">
        <f>Units!G$138</f>
        <v>L/head/day</v>
      </c>
      <c r="AF558" t="str">
        <f>Units!H$138</f>
        <v>gal/head/day</v>
      </c>
    </row>
    <row r="559" spans="1:32" x14ac:dyDescent="0.3">
      <c r="A559" t="s">
        <v>1742</v>
      </c>
      <c r="B559" t="s">
        <v>1807</v>
      </c>
      <c r="C559" s="124" t="str">
        <f t="shared" si="280"/>
        <v>UDV.handling_manure.e_deeppit</v>
      </c>
      <c r="D559" s="1091">
        <f t="shared" si="315"/>
        <v>0</v>
      </c>
      <c r="E559" s="1093" t="str">
        <f t="shared" si="316"/>
        <v>L/head/day</v>
      </c>
      <c r="F559" s="1095">
        <f t="shared" si="323"/>
        <v>0</v>
      </c>
      <c r="H559" s="1102">
        <f t="shared" si="317"/>
        <v>0</v>
      </c>
      <c r="I559" s="956" t="str">
        <f t="shared" si="318"/>
        <v>gal/head/day</v>
      </c>
      <c r="J559" s="132" t="s">
        <v>688</v>
      </c>
      <c r="K559" s="132"/>
      <c r="L559">
        <f t="shared" si="307"/>
        <v>0</v>
      </c>
      <c r="M559">
        <f t="shared" si="282"/>
        <v>0.999</v>
      </c>
      <c r="N559">
        <f t="shared" si="308"/>
        <v>1</v>
      </c>
      <c r="O559" t="s">
        <v>1774</v>
      </c>
      <c r="P559" t="s">
        <v>1808</v>
      </c>
      <c r="Q559" s="643" t="s">
        <v>1776</v>
      </c>
      <c r="R559" s="696" t="s">
        <v>84</v>
      </c>
      <c r="S559" t="s">
        <v>84</v>
      </c>
      <c r="V559" t="str">
        <f t="shared" si="322"/>
        <v/>
      </c>
      <c r="W559" s="78">
        <f>Regressions!AD115</f>
        <v>0</v>
      </c>
      <c r="X559" s="78">
        <f>Regressions!AB115</f>
        <v>0</v>
      </c>
      <c r="Y559" s="78">
        <f>Regressions!AC115</f>
        <v>3.78</v>
      </c>
      <c r="Z559" t="str">
        <f>Units!B$138</f>
        <v>L/head/day</v>
      </c>
      <c r="AA559">
        <f>Units!C$138</f>
        <v>0.26417204999999999</v>
      </c>
      <c r="AB559">
        <f>Units!D$138</f>
        <v>3.7854118177907163</v>
      </c>
      <c r="AC559" t="str">
        <f>Units!E$138</f>
        <v>gal/head/day</v>
      </c>
      <c r="AD559" t="str">
        <f>Units!F$138</f>
        <v>L/head/day</v>
      </c>
      <c r="AE559" t="str">
        <f>Units!G$138</f>
        <v>L/head/day</v>
      </c>
      <c r="AF559" t="str">
        <f>Units!H$138</f>
        <v>gal/head/day</v>
      </c>
    </row>
    <row r="560" spans="1:32" x14ac:dyDescent="0.3">
      <c r="A560" t="s">
        <v>1742</v>
      </c>
      <c r="B560" t="s">
        <v>1809</v>
      </c>
      <c r="C560" s="124" t="str">
        <f t="shared" si="280"/>
        <v>UDV.handling_manure.e_flush</v>
      </c>
      <c r="D560" s="1091">
        <f t="shared" si="315"/>
        <v>56.78</v>
      </c>
      <c r="E560" s="1093" t="str">
        <f t="shared" si="316"/>
        <v>L/head/day</v>
      </c>
      <c r="F560" s="1095">
        <f t="shared" si="323"/>
        <v>14.999688999</v>
      </c>
      <c r="H560" s="1102">
        <f t="shared" si="317"/>
        <v>14.999688999</v>
      </c>
      <c r="I560" s="956" t="str">
        <f t="shared" si="318"/>
        <v>gal/head/day</v>
      </c>
      <c r="J560" s="132" t="s">
        <v>688</v>
      </c>
      <c r="K560" s="132"/>
      <c r="L560">
        <f t="shared" si="307"/>
        <v>3.9620000000000002</v>
      </c>
      <c r="M560">
        <f t="shared" si="282"/>
        <v>15.058</v>
      </c>
      <c r="N560">
        <f t="shared" si="308"/>
        <v>0</v>
      </c>
      <c r="O560" t="s">
        <v>1774</v>
      </c>
      <c r="P560" t="s">
        <v>1810</v>
      </c>
      <c r="Q560" s="643" t="s">
        <v>1776</v>
      </c>
      <c r="R560" s="696" t="s">
        <v>84</v>
      </c>
      <c r="S560" t="s">
        <v>84</v>
      </c>
      <c r="V560" t="str">
        <f t="shared" si="322"/>
        <v/>
      </c>
      <c r="W560" s="78">
        <f>Regressions!AD116</f>
        <v>56.78</v>
      </c>
      <c r="X560" s="78">
        <f>Regressions!AB116</f>
        <v>15</v>
      </c>
      <c r="Y560" s="78">
        <f>Regressions!AC116</f>
        <v>57</v>
      </c>
      <c r="Z560" t="str">
        <f>Units!B$138</f>
        <v>L/head/day</v>
      </c>
      <c r="AA560">
        <f>Units!C$138</f>
        <v>0.26417204999999999</v>
      </c>
      <c r="AB560">
        <f>Units!D$138</f>
        <v>3.7854118177907163</v>
      </c>
      <c r="AC560" t="str">
        <f>Units!E$138</f>
        <v>gal/head/day</v>
      </c>
      <c r="AD560" t="str">
        <f>Units!F$138</f>
        <v>L/head/day</v>
      </c>
      <c r="AE560" t="str">
        <f>Units!G$138</f>
        <v>L/head/day</v>
      </c>
      <c r="AF560" t="str">
        <f>Units!H$138</f>
        <v>gal/head/day</v>
      </c>
    </row>
    <row r="561" spans="1:32" x14ac:dyDescent="0.3">
      <c r="A561" t="s">
        <v>1742</v>
      </c>
      <c r="B561" t="s">
        <v>1811</v>
      </c>
      <c r="C561" s="124" t="str">
        <f t="shared" si="280"/>
        <v>UDV.handling_manure.e_pullplug</v>
      </c>
      <c r="D561" s="1091">
        <f t="shared" si="315"/>
        <v>32.4</v>
      </c>
      <c r="E561" s="1093" t="str">
        <f t="shared" si="316"/>
        <v>L/head/day</v>
      </c>
      <c r="F561" s="1095">
        <f t="shared" si="323"/>
        <v>8.5591744199999997</v>
      </c>
      <c r="H561" s="1102">
        <f t="shared" si="317"/>
        <v>8.5591744199999997</v>
      </c>
      <c r="I561" s="956" t="str">
        <f t="shared" si="318"/>
        <v>gal/head/day</v>
      </c>
      <c r="J561" s="132" t="s">
        <v>688</v>
      </c>
      <c r="K561" s="132"/>
      <c r="L561">
        <f t="shared" si="307"/>
        <v>0</v>
      </c>
      <c r="M561">
        <f t="shared" si="282"/>
        <v>10.567</v>
      </c>
      <c r="N561">
        <f t="shared" si="308"/>
        <v>1</v>
      </c>
      <c r="O561" t="s">
        <v>1774</v>
      </c>
      <c r="P561" t="s">
        <v>1812</v>
      </c>
      <c r="Q561" s="643" t="s">
        <v>1776</v>
      </c>
      <c r="R561" s="696" t="s">
        <v>84</v>
      </c>
      <c r="S561" t="s">
        <v>84</v>
      </c>
      <c r="V561" t="str">
        <f t="shared" si="322"/>
        <v/>
      </c>
      <c r="W561" s="78">
        <f>Regressions!AD117</f>
        <v>32.4</v>
      </c>
      <c r="X561" s="78">
        <f>Regressions!AB117</f>
        <v>0</v>
      </c>
      <c r="Y561" s="78">
        <f>Regressions!AC117</f>
        <v>40</v>
      </c>
      <c r="Z561" t="str">
        <f>Units!B$138</f>
        <v>L/head/day</v>
      </c>
      <c r="AA561">
        <f>Units!C$138</f>
        <v>0.26417204999999999</v>
      </c>
      <c r="AB561">
        <f>Units!D$138</f>
        <v>3.7854118177907163</v>
      </c>
      <c r="AC561" t="str">
        <f>Units!E$138</f>
        <v>gal/head/day</v>
      </c>
      <c r="AD561" t="str">
        <f>Units!F$138</f>
        <v>L/head/day</v>
      </c>
      <c r="AE561" t="str">
        <f>Units!G$138</f>
        <v>L/head/day</v>
      </c>
      <c r="AF561" t="str">
        <f>Units!H$138</f>
        <v>gal/head/day</v>
      </c>
    </row>
    <row r="562" spans="1:32" x14ac:dyDescent="0.3">
      <c r="A562" t="s">
        <v>1742</v>
      </c>
      <c r="B562" t="s">
        <v>1813</v>
      </c>
      <c r="C562" s="124" t="str">
        <f t="shared" si="280"/>
        <v>UDV.handling_manure.e_scrape</v>
      </c>
      <c r="D562" s="1091">
        <f t="shared" si="315"/>
        <v>0</v>
      </c>
      <c r="E562" s="1093" t="str">
        <f t="shared" si="316"/>
        <v>L/head/day</v>
      </c>
      <c r="F562" s="1095">
        <f t="shared" si="323"/>
        <v>0</v>
      </c>
      <c r="H562" s="1102">
        <f t="shared" si="317"/>
        <v>0</v>
      </c>
      <c r="I562" s="956" t="str">
        <f t="shared" si="318"/>
        <v>gal/head/day</v>
      </c>
      <c r="J562" s="132" t="s">
        <v>688</v>
      </c>
      <c r="K562" s="132"/>
      <c r="L562">
        <f t="shared" si="307"/>
        <v>0</v>
      </c>
      <c r="M562">
        <f t="shared" si="282"/>
        <v>0.999</v>
      </c>
      <c r="N562">
        <f t="shared" si="308"/>
        <v>1</v>
      </c>
      <c r="O562" t="s">
        <v>1774</v>
      </c>
      <c r="P562" t="s">
        <v>1814</v>
      </c>
      <c r="Q562" s="643" t="s">
        <v>1776</v>
      </c>
      <c r="R562" s="696" t="s">
        <v>84</v>
      </c>
      <c r="S562" t="s">
        <v>84</v>
      </c>
      <c r="V562" t="str">
        <f t="shared" si="322"/>
        <v/>
      </c>
      <c r="W562" s="78">
        <f>Regressions!AD118</f>
        <v>0</v>
      </c>
      <c r="X562" s="78">
        <f>Regressions!AB118</f>
        <v>0</v>
      </c>
      <c r="Y562" s="78">
        <f>Regressions!AC118</f>
        <v>3.78</v>
      </c>
      <c r="Z562" t="str">
        <f>Units!B$138</f>
        <v>L/head/day</v>
      </c>
      <c r="AA562">
        <f>Units!C$138</f>
        <v>0.26417204999999999</v>
      </c>
      <c r="AB562">
        <f>Units!D$138</f>
        <v>3.7854118177907163</v>
      </c>
      <c r="AC562" t="str">
        <f>Units!E$138</f>
        <v>gal/head/day</v>
      </c>
      <c r="AD562" t="str">
        <f>Units!F$138</f>
        <v>L/head/day</v>
      </c>
      <c r="AE562" t="str">
        <f>Units!G$138</f>
        <v>L/head/day</v>
      </c>
      <c r="AF562" t="str">
        <f>Units!H$138</f>
        <v>gal/head/day</v>
      </c>
    </row>
    <row r="563" spans="1:32" x14ac:dyDescent="0.3">
      <c r="A563" t="s">
        <v>1742</v>
      </c>
      <c r="B563" t="s">
        <v>1815</v>
      </c>
      <c r="C563" s="124" t="str">
        <f t="shared" si="280"/>
        <v>UDV.handling_manure.flow_deeppit</v>
      </c>
      <c r="D563" s="1091">
        <f t="shared" si="315"/>
        <v>0</v>
      </c>
      <c r="E563" s="1093" t="str">
        <f t="shared" si="316"/>
        <v>L/day</v>
      </c>
      <c r="F563" s="1095">
        <f>UI.Manure!BC241</f>
        <v>0</v>
      </c>
      <c r="G563" s="1098" t="str">
        <f>UI.Manure!BD241</f>
        <v/>
      </c>
      <c r="H563" s="1101">
        <f>$W563*$AA563</f>
        <v>0</v>
      </c>
      <c r="I563" s="956" t="str">
        <f t="shared" si="318"/>
        <v>gal/day</v>
      </c>
      <c r="J563" t="s">
        <v>688</v>
      </c>
      <c r="K563" t="s">
        <v>825</v>
      </c>
      <c r="L563">
        <f t="shared" si="307"/>
        <v>0</v>
      </c>
      <c r="M563">
        <f t="shared" si="282"/>
        <v>499.286</v>
      </c>
      <c r="N563">
        <f t="shared" si="308"/>
        <v>0</v>
      </c>
      <c r="O563" t="s">
        <v>1774</v>
      </c>
      <c r="P563" t="s">
        <v>1816</v>
      </c>
      <c r="Q563" t="s">
        <v>1817</v>
      </c>
      <c r="V563" t="str">
        <f t="shared" si="322"/>
        <v/>
      </c>
      <c r="W563" s="78">
        <f>Regressions!AD139</f>
        <v>0</v>
      </c>
      <c r="X563">
        <f>Regressions!AB139</f>
        <v>0</v>
      </c>
      <c r="Y563">
        <f>Regressions!AC139</f>
        <v>1890</v>
      </c>
      <c r="Z563" t="str">
        <f>Units!B$150</f>
        <v>L/day</v>
      </c>
      <c r="AA563">
        <f>Units!C$150</f>
        <v>0.26417204999999999</v>
      </c>
      <c r="AB563">
        <f>Units!D$150</f>
        <v>3.7854118177907163</v>
      </c>
      <c r="AC563" t="str">
        <f>Units!E$150</f>
        <v>gal/day</v>
      </c>
      <c r="AD563" t="str">
        <f>Units!F$150</f>
        <v>L/day</v>
      </c>
      <c r="AE563" t="str">
        <f>Units!G$150</f>
        <v>L/day</v>
      </c>
      <c r="AF563" t="str">
        <f>Units!H$150</f>
        <v>gal/day</v>
      </c>
    </row>
    <row r="564" spans="1:32" x14ac:dyDescent="0.3">
      <c r="A564" t="s">
        <v>1742</v>
      </c>
      <c r="B564" t="s">
        <v>1818</v>
      </c>
      <c r="C564" s="124" t="str">
        <f t="shared" si="280"/>
        <v>UDV.handling_manure.flow_flush</v>
      </c>
      <c r="D564" s="1091">
        <f t="shared" si="315"/>
        <v>28390</v>
      </c>
      <c r="E564" s="1093" t="str">
        <f t="shared" si="316"/>
        <v>L/day</v>
      </c>
      <c r="F564" s="1095">
        <f>UI.Manure!BC238</f>
        <v>7499.8444995</v>
      </c>
      <c r="G564" s="1098" t="str">
        <f>UI.Manure!BD238</f>
        <v/>
      </c>
      <c r="H564" s="1101">
        <f>$W564*$AA564</f>
        <v>7499.8444995</v>
      </c>
      <c r="I564" s="956" t="str">
        <f t="shared" si="318"/>
        <v>gal/day</v>
      </c>
      <c r="J564" t="s">
        <v>688</v>
      </c>
      <c r="K564" t="s">
        <v>1085</v>
      </c>
      <c r="L564">
        <f t="shared" si="307"/>
        <v>1981.29</v>
      </c>
      <c r="M564">
        <f t="shared" si="282"/>
        <v>7528.9040000000005</v>
      </c>
      <c r="N564">
        <f t="shared" si="308"/>
        <v>0</v>
      </c>
      <c r="O564" t="s">
        <v>1774</v>
      </c>
      <c r="P564" t="s">
        <v>1819</v>
      </c>
      <c r="Q564" t="s">
        <v>1817</v>
      </c>
      <c r="V564" t="str">
        <f t="shared" si="322"/>
        <v/>
      </c>
      <c r="W564" s="78">
        <f>Regressions!AD140</f>
        <v>28390</v>
      </c>
      <c r="X564">
        <f>Regressions!AB140</f>
        <v>7500</v>
      </c>
      <c r="Y564">
        <f>Regressions!AC140</f>
        <v>28500</v>
      </c>
      <c r="Z564" t="str">
        <f>Units!B$150</f>
        <v>L/day</v>
      </c>
      <c r="AA564">
        <f>Units!C$150</f>
        <v>0.26417204999999999</v>
      </c>
      <c r="AB564">
        <f>Units!D$150</f>
        <v>3.7854118177907163</v>
      </c>
      <c r="AC564" t="str">
        <f>Units!E$150</f>
        <v>gal/day</v>
      </c>
      <c r="AD564" t="str">
        <f>Units!F$150</f>
        <v>L/day</v>
      </c>
      <c r="AE564" t="str">
        <f>Units!G$150</f>
        <v>L/day</v>
      </c>
      <c r="AF564" t="str">
        <f>Units!H$150</f>
        <v>gal/day</v>
      </c>
    </row>
    <row r="565" spans="1:32" x14ac:dyDescent="0.3">
      <c r="A565" t="s">
        <v>1742</v>
      </c>
      <c r="B565" t="s">
        <v>1820</v>
      </c>
      <c r="C565" s="124" t="str">
        <f t="shared" si="280"/>
        <v>UDV.handling_manure.flow_pullplug</v>
      </c>
      <c r="D565" s="1091">
        <f t="shared" si="315"/>
        <v>16199.999999999998</v>
      </c>
      <c r="E565" s="1093" t="str">
        <f t="shared" si="316"/>
        <v>L/event</v>
      </c>
      <c r="F565" s="1095">
        <f>UI.Manure!BC240</f>
        <v>4279.5872099999997</v>
      </c>
      <c r="G565" s="1098" t="str">
        <f>UI.Manure!BD240</f>
        <v/>
      </c>
      <c r="H565" s="1101">
        <f>$W565*$AA565</f>
        <v>4279.5872099999997</v>
      </c>
      <c r="I565" s="956" t="str">
        <f t="shared" si="318"/>
        <v>gal/event</v>
      </c>
      <c r="J565" t="s">
        <v>688</v>
      </c>
      <c r="K565" t="s">
        <v>825</v>
      </c>
      <c r="L565">
        <f t="shared" si="307"/>
        <v>0</v>
      </c>
      <c r="M565">
        <f t="shared" si="282"/>
        <v>5283.4409999999998</v>
      </c>
      <c r="N565">
        <f t="shared" si="308"/>
        <v>0</v>
      </c>
      <c r="O565" t="s">
        <v>1774</v>
      </c>
      <c r="P565" t="s">
        <v>1821</v>
      </c>
      <c r="Q565" t="s">
        <v>1817</v>
      </c>
      <c r="V565" t="str">
        <f t="shared" si="322"/>
        <v/>
      </c>
      <c r="W565" s="78">
        <f>Regressions!AD141</f>
        <v>16200</v>
      </c>
      <c r="X565">
        <f>Regressions!AB141</f>
        <v>0</v>
      </c>
      <c r="Y565">
        <f>Regressions!AC141</f>
        <v>20000</v>
      </c>
      <c r="Z565" t="str">
        <f>Units!B$134</f>
        <v>L/event</v>
      </c>
      <c r="AA565">
        <f>Units!C$134</f>
        <v>0.26417204999999999</v>
      </c>
      <c r="AB565">
        <f>Units!D$134</f>
        <v>3.7854118177907163</v>
      </c>
      <c r="AC565" t="str">
        <f>Units!E$134</f>
        <v>gal/event</v>
      </c>
      <c r="AD565" t="str">
        <f>Units!F$134</f>
        <v>L/event</v>
      </c>
      <c r="AE565" t="str">
        <f>Units!G$134</f>
        <v>L/event</v>
      </c>
      <c r="AF565" t="str">
        <f>Units!H$134</f>
        <v>gal/event</v>
      </c>
    </row>
    <row r="566" spans="1:32" x14ac:dyDescent="0.3">
      <c r="A566" t="s">
        <v>1742</v>
      </c>
      <c r="B566" t="s">
        <v>1822</v>
      </c>
      <c r="C566" s="124" t="str">
        <f t="shared" si="280"/>
        <v>UDV.handling_manure.flow_scrape</v>
      </c>
      <c r="D566" s="1091">
        <f t="shared" si="315"/>
        <v>0</v>
      </c>
      <c r="E566" s="1093" t="str">
        <f t="shared" si="316"/>
        <v>L/day</v>
      </c>
      <c r="F566" s="1095">
        <f>UI.Manure!BC239</f>
        <v>0</v>
      </c>
      <c r="G566" s="1098" t="str">
        <f>UI.Manure!BD239</f>
        <v/>
      </c>
      <c r="H566" s="1101">
        <f t="shared" ref="H566:H587" si="324">$W566*$AA566</f>
        <v>0</v>
      </c>
      <c r="I566" s="956" t="str">
        <f t="shared" si="318"/>
        <v>gal/day</v>
      </c>
      <c r="J566" t="s">
        <v>688</v>
      </c>
      <c r="K566" t="s">
        <v>1085</v>
      </c>
      <c r="L566">
        <f t="shared" si="307"/>
        <v>0</v>
      </c>
      <c r="M566">
        <f t="shared" si="282"/>
        <v>499.286</v>
      </c>
      <c r="N566">
        <f t="shared" si="308"/>
        <v>0</v>
      </c>
      <c r="O566" t="s">
        <v>1774</v>
      </c>
      <c r="P566" t="s">
        <v>1823</v>
      </c>
      <c r="Q566" t="s">
        <v>1817</v>
      </c>
      <c r="V566" t="str">
        <f t="shared" si="322"/>
        <v/>
      </c>
      <c r="W566" s="78">
        <f>Regressions!AD142</f>
        <v>0</v>
      </c>
      <c r="X566">
        <f>Regressions!AB142</f>
        <v>0</v>
      </c>
      <c r="Y566">
        <f>Regressions!AC142</f>
        <v>1890</v>
      </c>
      <c r="Z566" t="str">
        <f>Units!B$150</f>
        <v>L/day</v>
      </c>
      <c r="AA566">
        <f>Units!C$150</f>
        <v>0.26417204999999999</v>
      </c>
      <c r="AB566">
        <f>Units!D$150</f>
        <v>3.7854118177907163</v>
      </c>
      <c r="AC566" t="str">
        <f>Units!E$150</f>
        <v>gal/day</v>
      </c>
      <c r="AD566" t="str">
        <f>Units!F$150</f>
        <v>L/day</v>
      </c>
      <c r="AE566" t="str">
        <f>Units!G$150</f>
        <v>L/day</v>
      </c>
      <c r="AF566" t="str">
        <f>Units!H$150</f>
        <v>gal/day</v>
      </c>
    </row>
    <row r="567" spans="1:32" x14ac:dyDescent="0.3">
      <c r="A567" t="s">
        <v>1824</v>
      </c>
      <c r="B567" s="944" t="s">
        <v>1825</v>
      </c>
      <c r="C567" s="124" t="str">
        <f t="shared" si="280"/>
        <v>UDV.incline_removal.density_dry</v>
      </c>
      <c r="D567" s="944">
        <f t="shared" si="315"/>
        <v>209.99999999999997</v>
      </c>
      <c r="E567" s="125" t="str">
        <f t="shared" si="316"/>
        <v>kg/m3</v>
      </c>
      <c r="F567" s="944">
        <f t="shared" ref="F567:F580" si="325">IF(OR(G567="",N567=0),H567,G567)</f>
        <v>13.10987328780087</v>
      </c>
      <c r="G567" s="126"/>
      <c r="H567">
        <f t="shared" si="324"/>
        <v>13.10987328780087</v>
      </c>
      <c r="I567" s="1325" t="str">
        <f t="shared" si="318"/>
        <v>lb/ft3</v>
      </c>
      <c r="J567" t="s">
        <v>660</v>
      </c>
      <c r="K567" s="124"/>
      <c r="L567">
        <f t="shared" si="307"/>
        <v>12.484999999999999</v>
      </c>
      <c r="M567">
        <f t="shared" si="282"/>
        <v>31.214000000000002</v>
      </c>
      <c r="N567">
        <f>IF(AND(M567 - G567 &gt;= 0, G567 - L567 &gt;=0),1,0)</f>
        <v>0</v>
      </c>
      <c r="O567" s="944" t="s">
        <v>1826</v>
      </c>
      <c r="P567" t="s">
        <v>1827</v>
      </c>
      <c r="R567" s="711"/>
      <c r="W567">
        <v>210</v>
      </c>
      <c r="X567">
        <v>200</v>
      </c>
      <c r="Y567">
        <v>500</v>
      </c>
      <c r="Z567" s="1325" t="str">
        <f>Units!B$89</f>
        <v>kg/m3</v>
      </c>
      <c r="AA567" s="1325">
        <f>Units!C$89</f>
        <v>6.2427968037147001E-2</v>
      </c>
      <c r="AB567" s="1325">
        <f>Units!D$89</f>
        <v>16.018461459533043</v>
      </c>
      <c r="AC567" s="1325" t="str">
        <f>Units!E$89</f>
        <v>lb/ft3</v>
      </c>
      <c r="AD567" s="1325" t="str">
        <f>Units!F$89</f>
        <v>kg/m3</v>
      </c>
      <c r="AE567" s="1325" t="str">
        <f>Units!G$89</f>
        <v>kg/m3</v>
      </c>
      <c r="AF567" s="1325" t="str">
        <f>Units!H$89</f>
        <v>lb/ft3</v>
      </c>
    </row>
    <row r="568" spans="1:32" x14ac:dyDescent="0.3">
      <c r="A568" t="s">
        <v>1824</v>
      </c>
      <c r="B568" s="944" t="s">
        <v>1828</v>
      </c>
      <c r="C568" s="124" t="str">
        <f t="shared" si="280"/>
        <v>UDV.incline_removal.density_wet</v>
      </c>
      <c r="D568" s="944">
        <f t="shared" si="315"/>
        <v>349.99999999999994</v>
      </c>
      <c r="E568" s="125" t="str">
        <f t="shared" si="316"/>
        <v>kg/m3</v>
      </c>
      <c r="F568" s="944">
        <f t="shared" si="325"/>
        <v>21.849788813001449</v>
      </c>
      <c r="G568" s="126"/>
      <c r="H568">
        <f t="shared" si="324"/>
        <v>21.849788813001449</v>
      </c>
      <c r="I568" s="1325" t="str">
        <f t="shared" si="318"/>
        <v>lb/ft3</v>
      </c>
      <c r="J568" t="s">
        <v>660</v>
      </c>
      <c r="K568" s="124"/>
      <c r="L568">
        <f t="shared" si="307"/>
        <v>12.484999999999999</v>
      </c>
      <c r="M568">
        <f t="shared" si="282"/>
        <v>31.214000000000002</v>
      </c>
      <c r="N568">
        <f>IF(AND(M568 - G568 &gt;= 0, G568 - L568 &gt;=0),1,0)</f>
        <v>0</v>
      </c>
      <c r="O568" s="944" t="s">
        <v>1826</v>
      </c>
      <c r="P568" t="s">
        <v>1829</v>
      </c>
      <c r="R568" s="711"/>
      <c r="W568">
        <v>350</v>
      </c>
      <c r="X568">
        <v>200</v>
      </c>
      <c r="Y568">
        <v>500</v>
      </c>
      <c r="Z568" s="1325" t="str">
        <f>Units!B$89</f>
        <v>kg/m3</v>
      </c>
      <c r="AA568" s="1325">
        <f>Units!C$89</f>
        <v>6.2427968037147001E-2</v>
      </c>
      <c r="AB568" s="1325">
        <f>Units!D$89</f>
        <v>16.018461459533043</v>
      </c>
      <c r="AC568" s="1325" t="str">
        <f>Units!E$89</f>
        <v>lb/ft3</v>
      </c>
      <c r="AD568" s="1325" t="str">
        <f>Units!F$89</f>
        <v>kg/m3</v>
      </c>
      <c r="AE568" s="1325" t="str">
        <f>Units!G$89</f>
        <v>kg/m3</v>
      </c>
      <c r="AF568" s="1325" t="str">
        <f>Units!H$89</f>
        <v>lb/ft3</v>
      </c>
    </row>
    <row r="569" spans="1:32" x14ac:dyDescent="0.3">
      <c r="A569" t="s">
        <v>1824</v>
      </c>
      <c r="B569" s="944" t="s">
        <v>1830</v>
      </c>
      <c r="C569" s="124" t="str">
        <f t="shared" si="280"/>
        <v>UDV.incline_removal.fraction_solar_dry</v>
      </c>
      <c r="D569" s="944">
        <f t="shared" si="315"/>
        <v>0.9</v>
      </c>
      <c r="E569" s="125" t="str">
        <f t="shared" si="316"/>
        <v>fraction</v>
      </c>
      <c r="F569" s="944">
        <f t="shared" si="325"/>
        <v>0.9</v>
      </c>
      <c r="G569" s="126"/>
      <c r="H569">
        <f t="shared" si="324"/>
        <v>0.9</v>
      </c>
      <c r="I569" s="1325" t="str">
        <f t="shared" si="318"/>
        <v>fraction</v>
      </c>
      <c r="J569" t="s">
        <v>660</v>
      </c>
      <c r="K569" s="124"/>
      <c r="L569">
        <f t="shared" si="307"/>
        <v>0.7</v>
      </c>
      <c r="M569">
        <f t="shared" si="282"/>
        <v>0.99</v>
      </c>
      <c r="N569">
        <f>IF(AND(M569 - G569 &gt;= 0, G569 - L569 &gt;=0),1,0)</f>
        <v>0</v>
      </c>
      <c r="O569" s="944" t="s">
        <v>1826</v>
      </c>
      <c r="P569" t="s">
        <v>1831</v>
      </c>
      <c r="Q569" t="s">
        <v>1832</v>
      </c>
      <c r="R569" s="711"/>
      <c r="W569">
        <v>0.9</v>
      </c>
      <c r="X569">
        <v>0.7</v>
      </c>
      <c r="Y569">
        <v>0.99</v>
      </c>
      <c r="Z569" t="str">
        <f>Units!B$35</f>
        <v>fraction</v>
      </c>
      <c r="AA569">
        <f>Units!C$35</f>
        <v>1</v>
      </c>
      <c r="AB569">
        <f>Units!D$35</f>
        <v>1</v>
      </c>
      <c r="AC569" t="str">
        <f>Units!E$35</f>
        <v>fraction</v>
      </c>
      <c r="AD569" t="str">
        <f>Units!F$35</f>
        <v>fraction</v>
      </c>
      <c r="AE569" t="str">
        <f>Units!G$35</f>
        <v>fraction</v>
      </c>
      <c r="AF569" t="str">
        <f>Units!H$35</f>
        <v>fraction</v>
      </c>
    </row>
    <row r="570" spans="1:32" x14ac:dyDescent="0.3">
      <c r="A570" t="s">
        <v>1824</v>
      </c>
      <c r="B570" t="s">
        <v>702</v>
      </c>
      <c r="C570" s="124" t="str">
        <f t="shared" si="280"/>
        <v>UDV.incline_removal.K</v>
      </c>
      <c r="D570" s="1091">
        <f t="shared" si="315"/>
        <v>0.3</v>
      </c>
      <c r="E570" s="1093" t="str">
        <f t="shared" ref="E570:E640" si="326">$AD570</f>
        <v>fraction</v>
      </c>
      <c r="F570" s="1095">
        <f t="shared" si="325"/>
        <v>0.3</v>
      </c>
      <c r="H570" s="1101">
        <f t="shared" si="324"/>
        <v>0.3</v>
      </c>
      <c r="I570" s="956" t="str">
        <f t="shared" ref="I570:I640" si="327">$AC570</f>
        <v>fraction</v>
      </c>
      <c r="J570" t="s">
        <v>660</v>
      </c>
      <c r="L570">
        <f t="shared" si="307"/>
        <v>9.9000000000000005E-2</v>
      </c>
      <c r="M570">
        <f t="shared" si="282"/>
        <v>0.51</v>
      </c>
      <c r="N570">
        <f>IF(AND(G570&lt;=M570, G570&gt;=L570),1,0)</f>
        <v>0</v>
      </c>
      <c r="O570" t="s">
        <v>1833</v>
      </c>
      <c r="P570" t="s">
        <v>702</v>
      </c>
      <c r="R570" s="711"/>
      <c r="V570" t="str">
        <f t="shared" ref="V570:V582" si="328">IF(OR((M570-L570)&lt;=0,H570&gt;M570,H570&lt;L570),"Fix","")</f>
        <v/>
      </c>
      <c r="W570" s="78">
        <v>0.3</v>
      </c>
      <c r="X570">
        <v>9.9000000000000005E-2</v>
      </c>
      <c r="Y570">
        <v>0.51</v>
      </c>
      <c r="Z570" t="str">
        <f>Units!B$35</f>
        <v>fraction</v>
      </c>
      <c r="AA570">
        <f>Units!C$35</f>
        <v>1</v>
      </c>
      <c r="AB570">
        <f>Units!D$35</f>
        <v>1</v>
      </c>
      <c r="AC570" t="str">
        <f>Units!E$35</f>
        <v>fraction</v>
      </c>
      <c r="AD570" t="str">
        <f>Units!F$35</f>
        <v>fraction</v>
      </c>
      <c r="AE570" t="str">
        <f>Units!G$35</f>
        <v>fraction</v>
      </c>
      <c r="AF570" t="str">
        <f>Units!H$35</f>
        <v>fraction</v>
      </c>
    </row>
    <row r="571" spans="1:32" x14ac:dyDescent="0.3">
      <c r="A571" t="s">
        <v>1824</v>
      </c>
      <c r="B571" t="s">
        <v>704</v>
      </c>
      <c r="C571" s="124" t="str">
        <f t="shared" si="280"/>
        <v>UDV.incline_removal.P</v>
      </c>
      <c r="D571" s="1091">
        <f t="shared" si="315"/>
        <v>0.35</v>
      </c>
      <c r="E571" s="1093" t="str">
        <f t="shared" si="326"/>
        <v>fraction</v>
      </c>
      <c r="F571" s="1095">
        <f t="shared" si="325"/>
        <v>0.35</v>
      </c>
      <c r="H571" s="1101">
        <f t="shared" si="324"/>
        <v>0.35</v>
      </c>
      <c r="I571" s="956" t="str">
        <f t="shared" si="327"/>
        <v>fraction</v>
      </c>
      <c r="J571" t="s">
        <v>660</v>
      </c>
      <c r="L571">
        <f t="shared" si="307"/>
        <v>0.11</v>
      </c>
      <c r="M571">
        <f t="shared" si="282"/>
        <v>0.53</v>
      </c>
      <c r="N571">
        <f>IF(AND(G571&lt;=M571, G571&gt;=L571),1,0)</f>
        <v>0</v>
      </c>
      <c r="O571" t="s">
        <v>1833</v>
      </c>
      <c r="P571" t="s">
        <v>704</v>
      </c>
      <c r="R571" s="711"/>
      <c r="V571" t="str">
        <f t="shared" si="328"/>
        <v/>
      </c>
      <c r="W571" s="78">
        <v>0.35</v>
      </c>
      <c r="X571">
        <v>0.11</v>
      </c>
      <c r="Y571">
        <v>0.53</v>
      </c>
      <c r="Z571" t="str">
        <f>Units!B$35</f>
        <v>fraction</v>
      </c>
      <c r="AA571">
        <f>Units!C$35</f>
        <v>1</v>
      </c>
      <c r="AB571">
        <f>Units!D$35</f>
        <v>1</v>
      </c>
      <c r="AC571" t="str">
        <f>Units!E$35</f>
        <v>fraction</v>
      </c>
      <c r="AD571" t="str">
        <f>Units!F$35</f>
        <v>fraction</v>
      </c>
      <c r="AE571" t="str">
        <f>Units!G$35</f>
        <v>fraction</v>
      </c>
      <c r="AF571" t="str">
        <f>Units!H$35</f>
        <v>fraction</v>
      </c>
    </row>
    <row r="572" spans="1:32" x14ac:dyDescent="0.3">
      <c r="A572" s="944" t="s">
        <v>1824</v>
      </c>
      <c r="B572" s="944" t="s">
        <v>705</v>
      </c>
      <c r="C572" s="124" t="str">
        <f t="shared" si="280"/>
        <v>UDV.incline_removal.TAN</v>
      </c>
      <c r="D572" s="944">
        <f t="shared" si="315"/>
        <v>0</v>
      </c>
      <c r="E572" s="125" t="str">
        <f t="shared" si="326"/>
        <v>fraction</v>
      </c>
      <c r="F572" s="944">
        <f t="shared" si="325"/>
        <v>0</v>
      </c>
      <c r="G572" s="126"/>
      <c r="H572">
        <f t="shared" si="324"/>
        <v>0</v>
      </c>
      <c r="I572" s="1325" t="str">
        <f t="shared" si="327"/>
        <v>fraction</v>
      </c>
      <c r="J572" t="s">
        <v>660</v>
      </c>
      <c r="K572" s="124"/>
      <c r="L572">
        <f t="shared" si="307"/>
        <v>0</v>
      </c>
      <c r="M572">
        <f t="shared" si="282"/>
        <v>1</v>
      </c>
      <c r="N572">
        <f>IF(AND(M572 - G572 &gt;= 0, G572 - L572 &gt;=0),1,0)</f>
        <v>1</v>
      </c>
      <c r="O572" s="944" t="s">
        <v>1833</v>
      </c>
      <c r="P572" s="944" t="s">
        <v>705</v>
      </c>
      <c r="Q572" s="1335"/>
      <c r="R572" s="1335"/>
      <c r="S572" s="1335"/>
      <c r="T572" s="1335"/>
      <c r="U572" s="34"/>
      <c r="V572" t="str">
        <f t="shared" si="328"/>
        <v/>
      </c>
      <c r="W572" s="1335">
        <v>0</v>
      </c>
      <c r="X572" s="1335">
        <v>0</v>
      </c>
      <c r="Y572" s="1335">
        <v>1</v>
      </c>
      <c r="Z572" s="34" t="str">
        <f>Units!B$35</f>
        <v>fraction</v>
      </c>
      <c r="AA572" s="34">
        <f>Units!C$35</f>
        <v>1</v>
      </c>
      <c r="AB572" s="34">
        <f>Units!D$35</f>
        <v>1</v>
      </c>
      <c r="AC572" s="34" t="str">
        <f>Units!E$35</f>
        <v>fraction</v>
      </c>
      <c r="AD572" s="34" t="str">
        <f>Units!F$35</f>
        <v>fraction</v>
      </c>
      <c r="AE572" s="34" t="str">
        <f>Units!G$35</f>
        <v>fraction</v>
      </c>
      <c r="AF572" s="34" t="str">
        <f>Units!H$35</f>
        <v>fraction</v>
      </c>
    </row>
    <row r="573" spans="1:32" x14ac:dyDescent="0.3">
      <c r="A573" t="s">
        <v>1824</v>
      </c>
      <c r="B573" t="s">
        <v>1834</v>
      </c>
      <c r="C573" s="124" t="str">
        <f t="shared" si="280"/>
        <v>UDV.incline_removal.TKN</v>
      </c>
      <c r="D573" s="1091">
        <f t="shared" si="315"/>
        <v>0.2</v>
      </c>
      <c r="E573" s="1093" t="str">
        <f t="shared" si="326"/>
        <v>fraction</v>
      </c>
      <c r="F573" s="1095">
        <f t="shared" si="325"/>
        <v>0.2</v>
      </c>
      <c r="H573" s="1101">
        <f t="shared" si="324"/>
        <v>0.2</v>
      </c>
      <c r="I573" s="956" t="str">
        <f t="shared" si="327"/>
        <v>fraction</v>
      </c>
      <c r="J573" t="s">
        <v>660</v>
      </c>
      <c r="L573">
        <f t="shared" si="307"/>
        <v>0.17</v>
      </c>
      <c r="M573">
        <f t="shared" si="282"/>
        <v>0.49</v>
      </c>
      <c r="N573">
        <f t="shared" ref="N573:N642" si="329">IF(AND(G573&lt;=M573, G573&gt;=L573),1,0)</f>
        <v>0</v>
      </c>
      <c r="O573" t="s">
        <v>1833</v>
      </c>
      <c r="P573" t="s">
        <v>1834</v>
      </c>
      <c r="R573" s="711"/>
      <c r="V573" t="str">
        <f t="shared" si="328"/>
        <v/>
      </c>
      <c r="W573" s="78">
        <v>0.2</v>
      </c>
      <c r="X573">
        <v>0.17</v>
      </c>
      <c r="Y573">
        <v>0.49</v>
      </c>
      <c r="Z573" t="str">
        <f>Units!B$35</f>
        <v>fraction</v>
      </c>
      <c r="AA573">
        <f>Units!C$35</f>
        <v>1</v>
      </c>
      <c r="AB573">
        <f>Units!D$35</f>
        <v>1</v>
      </c>
      <c r="AC573" t="str">
        <f>Units!E$35</f>
        <v>fraction</v>
      </c>
      <c r="AD573" t="str">
        <f>Units!F$35</f>
        <v>fraction</v>
      </c>
      <c r="AE573" t="str">
        <f>Units!G$35</f>
        <v>fraction</v>
      </c>
      <c r="AF573" t="str">
        <f>Units!H$35</f>
        <v>fraction</v>
      </c>
    </row>
    <row r="574" spans="1:32" x14ac:dyDescent="0.3">
      <c r="A574" t="s">
        <v>1824</v>
      </c>
      <c r="B574" t="s">
        <v>706</v>
      </c>
      <c r="C574" s="124" t="str">
        <f t="shared" si="280"/>
        <v>UDV.incline_removal.TS</v>
      </c>
      <c r="D574" s="1091">
        <f t="shared" si="315"/>
        <v>0.2</v>
      </c>
      <c r="E574" s="1093" t="str">
        <f t="shared" si="326"/>
        <v>fraction</v>
      </c>
      <c r="F574" s="1095">
        <f t="shared" si="325"/>
        <v>0.2</v>
      </c>
      <c r="H574" s="1101">
        <f t="shared" si="324"/>
        <v>0.2</v>
      </c>
      <c r="I574" s="956" t="str">
        <f t="shared" si="327"/>
        <v>fraction</v>
      </c>
      <c r="J574" t="s">
        <v>660</v>
      </c>
      <c r="L574">
        <f t="shared" si="307"/>
        <v>0.15</v>
      </c>
      <c r="M574">
        <f t="shared" si="282"/>
        <v>0.4</v>
      </c>
      <c r="N574">
        <f t="shared" si="329"/>
        <v>0</v>
      </c>
      <c r="O574" t="s">
        <v>1833</v>
      </c>
      <c r="P574" t="s">
        <v>1835</v>
      </c>
      <c r="R574" s="711"/>
      <c r="V574" t="str">
        <f t="shared" si="328"/>
        <v/>
      </c>
      <c r="W574" s="78">
        <v>0.2</v>
      </c>
      <c r="X574">
        <v>0.15</v>
      </c>
      <c r="Y574">
        <v>0.4</v>
      </c>
      <c r="Z574" t="str">
        <f>Units!B$35</f>
        <v>fraction</v>
      </c>
      <c r="AA574">
        <f>Units!C$35</f>
        <v>1</v>
      </c>
      <c r="AB574">
        <f>Units!D$35</f>
        <v>1</v>
      </c>
      <c r="AC574" t="str">
        <f>Units!E$35</f>
        <v>fraction</v>
      </c>
      <c r="AD574" t="str">
        <f>Units!F$35</f>
        <v>fraction</v>
      </c>
      <c r="AE574" t="str">
        <f>Units!G$35</f>
        <v>fraction</v>
      </c>
      <c r="AF574" t="str">
        <f>Units!H$35</f>
        <v>fraction</v>
      </c>
    </row>
    <row r="575" spans="1:32" x14ac:dyDescent="0.3">
      <c r="A575" t="s">
        <v>1824</v>
      </c>
      <c r="B575" t="s">
        <v>708</v>
      </c>
      <c r="C575" s="124" t="str">
        <f t="shared" si="280"/>
        <v>UDV.incline_removal.VS</v>
      </c>
      <c r="D575" s="1091">
        <f t="shared" si="315"/>
        <v>0.85</v>
      </c>
      <c r="E575" s="1093" t="str">
        <f t="shared" si="326"/>
        <v>fraction</v>
      </c>
      <c r="F575" s="1095">
        <f t="shared" si="325"/>
        <v>0.85</v>
      </c>
      <c r="H575" s="1101">
        <f t="shared" si="324"/>
        <v>0.85</v>
      </c>
      <c r="I575" s="956" t="str">
        <f t="shared" si="327"/>
        <v>fraction</v>
      </c>
      <c r="J575" t="s">
        <v>660</v>
      </c>
      <c r="L575">
        <f t="shared" si="307"/>
        <v>0.85</v>
      </c>
      <c r="M575">
        <f t="shared" si="282"/>
        <v>0.85</v>
      </c>
      <c r="N575">
        <f t="shared" si="329"/>
        <v>0</v>
      </c>
      <c r="O575" t="s">
        <v>1833</v>
      </c>
      <c r="P575" t="s">
        <v>1836</v>
      </c>
      <c r="R575" s="711"/>
      <c r="V575" t="str">
        <f t="shared" si="328"/>
        <v>Fix</v>
      </c>
      <c r="W575" s="78">
        <v>0.85</v>
      </c>
      <c r="X575">
        <v>0.85</v>
      </c>
      <c r="Y575">
        <v>0.85</v>
      </c>
      <c r="Z575" t="str">
        <f>Units!B$35</f>
        <v>fraction</v>
      </c>
      <c r="AA575">
        <f>Units!C$35</f>
        <v>1</v>
      </c>
      <c r="AB575">
        <f>Units!D$35</f>
        <v>1</v>
      </c>
      <c r="AC575" t="str">
        <f>Units!E$35</f>
        <v>fraction</v>
      </c>
      <c r="AD575" t="str">
        <f>Units!F$35</f>
        <v>fraction</v>
      </c>
      <c r="AE575" t="str">
        <f>Units!G$35</f>
        <v>fraction</v>
      </c>
      <c r="AF575" t="str">
        <f>Units!H$35</f>
        <v>fraction</v>
      </c>
    </row>
    <row r="576" spans="1:32" x14ac:dyDescent="0.3">
      <c r="A576" t="s">
        <v>1824</v>
      </c>
      <c r="B576" t="s">
        <v>1837</v>
      </c>
      <c r="C576" s="124" t="str">
        <f t="shared" ref="C576:C675" si="330">_xlfn.CONCAT("UDV.",A576,".",B576)</f>
        <v>UDV.incline_removal.wet_solids</v>
      </c>
      <c r="D576" s="1091">
        <f t="shared" si="315"/>
        <v>0.2</v>
      </c>
      <c r="E576" s="1093" t="str">
        <f t="shared" si="326"/>
        <v>fraction</v>
      </c>
      <c r="F576" s="1095">
        <f t="shared" si="325"/>
        <v>0.2</v>
      </c>
      <c r="H576" s="1101">
        <f t="shared" si="324"/>
        <v>0.2</v>
      </c>
      <c r="I576" s="956" t="str">
        <f t="shared" si="327"/>
        <v>fraction</v>
      </c>
      <c r="J576" t="s">
        <v>673</v>
      </c>
      <c r="N576">
        <f t="shared" si="329"/>
        <v>1</v>
      </c>
      <c r="O576" t="s">
        <v>1838</v>
      </c>
      <c r="P576" t="s">
        <v>1839</v>
      </c>
      <c r="R576" s="711"/>
      <c r="V576" t="str">
        <f t="shared" si="328"/>
        <v>Fix</v>
      </c>
      <c r="W576" s="78">
        <v>0.2</v>
      </c>
      <c r="X576">
        <v>0</v>
      </c>
      <c r="Y576">
        <v>0</v>
      </c>
      <c r="Z576" t="str">
        <f>Units!B$35</f>
        <v>fraction</v>
      </c>
      <c r="AA576">
        <f>Units!C$35</f>
        <v>1</v>
      </c>
      <c r="AB576">
        <f>Units!D$35</f>
        <v>1</v>
      </c>
      <c r="AC576" t="str">
        <f>Units!E$35</f>
        <v>fraction</v>
      </c>
      <c r="AD576" t="str">
        <f>Units!F$35</f>
        <v>fraction</v>
      </c>
      <c r="AE576" t="str">
        <f>Units!G$35</f>
        <v>fraction</v>
      </c>
      <c r="AF576" t="str">
        <f>Units!H$35</f>
        <v>fraction</v>
      </c>
    </row>
    <row r="577" spans="1:32" x14ac:dyDescent="0.3">
      <c r="A577" t="s">
        <v>1840</v>
      </c>
      <c r="B577" s="944" t="s">
        <v>1841</v>
      </c>
      <c r="C577" s="124" t="str">
        <f t="shared" si="330"/>
        <v>UDV.irrigation.fraction_applied</v>
      </c>
      <c r="D577" s="944">
        <f t="shared" si="315"/>
        <v>0.9</v>
      </c>
      <c r="E577" s="125" t="str">
        <f t="shared" si="326"/>
        <v>fraction</v>
      </c>
      <c r="F577" s="1330">
        <f t="shared" si="325"/>
        <v>0.9</v>
      </c>
      <c r="G577" s="1334"/>
      <c r="H577" s="78">
        <f t="shared" si="324"/>
        <v>0.9</v>
      </c>
      <c r="I577" s="1325" t="str">
        <f t="shared" si="327"/>
        <v>fraction</v>
      </c>
      <c r="J577" t="s">
        <v>660</v>
      </c>
      <c r="K577" s="124"/>
      <c r="L577">
        <f t="shared" si="307"/>
        <v>0</v>
      </c>
      <c r="M577">
        <f t="shared" si="282"/>
        <v>1</v>
      </c>
      <c r="N577">
        <f t="shared" ref="N577:N580" si="331">IF(AND(M577 - G577 &gt;= 0, G577 - L577 &gt;=0),1,0)</f>
        <v>1</v>
      </c>
      <c r="O577" s="944" t="s">
        <v>1842</v>
      </c>
      <c r="P577" t="s">
        <v>1843</v>
      </c>
      <c r="R577" s="711"/>
      <c r="W577">
        <v>0.9</v>
      </c>
      <c r="X577">
        <v>0</v>
      </c>
      <c r="Y577">
        <v>1</v>
      </c>
      <c r="Z577" t="str">
        <f>Units!B$35</f>
        <v>fraction</v>
      </c>
      <c r="AA577">
        <f>Units!C$35</f>
        <v>1</v>
      </c>
      <c r="AB577">
        <f>Units!D$35</f>
        <v>1</v>
      </c>
      <c r="AC577" t="str">
        <f>Units!E$35</f>
        <v>fraction</v>
      </c>
      <c r="AD577" t="str">
        <f>Units!F$35</f>
        <v>fraction</v>
      </c>
      <c r="AE577" t="str">
        <f>Units!G$35</f>
        <v>fraction</v>
      </c>
      <c r="AF577" t="str">
        <f>Units!H$35</f>
        <v>fraction</v>
      </c>
    </row>
    <row r="578" spans="1:32" x14ac:dyDescent="0.3">
      <c r="A578" t="s">
        <v>1840</v>
      </c>
      <c r="B578" s="944" t="s">
        <v>1844</v>
      </c>
      <c r="C578" s="124" t="str">
        <f t="shared" si="330"/>
        <v>UDV.irrigation.allocation</v>
      </c>
      <c r="D578" s="944">
        <f t="shared" si="315"/>
        <v>1</v>
      </c>
      <c r="E578" s="125" t="str">
        <f t="shared" si="326"/>
        <v>fraction</v>
      </c>
      <c r="F578" s="1330">
        <f t="shared" si="325"/>
        <v>1</v>
      </c>
      <c r="G578" s="1334"/>
      <c r="H578" s="78">
        <f t="shared" si="324"/>
        <v>1</v>
      </c>
      <c r="I578" s="1325" t="str">
        <f t="shared" si="327"/>
        <v>fraction</v>
      </c>
      <c r="J578" t="s">
        <v>660</v>
      </c>
      <c r="K578" s="124"/>
      <c r="L578">
        <f t="shared" si="307"/>
        <v>0</v>
      </c>
      <c r="M578">
        <f t="shared" si="282"/>
        <v>1</v>
      </c>
      <c r="N578">
        <f t="shared" si="331"/>
        <v>1</v>
      </c>
      <c r="O578" s="944" t="s">
        <v>1842</v>
      </c>
      <c r="P578" t="s">
        <v>1845</v>
      </c>
      <c r="R578" s="711"/>
      <c r="S578" t="s">
        <v>84</v>
      </c>
      <c r="W578">
        <v>1</v>
      </c>
      <c r="X578">
        <v>0</v>
      </c>
      <c r="Y578">
        <v>1</v>
      </c>
      <c r="Z578" t="str">
        <f>Units!B$35</f>
        <v>fraction</v>
      </c>
      <c r="AA578">
        <f>Units!C$35</f>
        <v>1</v>
      </c>
      <c r="AB578">
        <f>Units!D$35</f>
        <v>1</v>
      </c>
      <c r="AC578" t="str">
        <f>Units!E$35</f>
        <v>fraction</v>
      </c>
      <c r="AD578" t="str">
        <f>Units!F$35</f>
        <v>fraction</v>
      </c>
      <c r="AE578" t="str">
        <f>Units!G$35</f>
        <v>fraction</v>
      </c>
      <c r="AF578" t="str">
        <f>Units!H$35</f>
        <v>fraction</v>
      </c>
    </row>
    <row r="579" spans="1:32" x14ac:dyDescent="0.3">
      <c r="A579" t="s">
        <v>1840</v>
      </c>
      <c r="B579" s="944" t="s">
        <v>1846</v>
      </c>
      <c r="C579" s="124" t="str">
        <f t="shared" si="330"/>
        <v>UDV.irrigation.pump_flowrate</v>
      </c>
      <c r="D579" s="944">
        <f t="shared" si="315"/>
        <v>45000</v>
      </c>
      <c r="E579" s="125" t="str">
        <f t="shared" si="326"/>
        <v>gal/hr</v>
      </c>
      <c r="F579" s="1330">
        <f t="shared" si="325"/>
        <v>750</v>
      </c>
      <c r="G579" s="1334"/>
      <c r="H579" s="78">
        <f t="shared" si="324"/>
        <v>750</v>
      </c>
      <c r="I579" s="1325" t="str">
        <f t="shared" si="327"/>
        <v>gal/min</v>
      </c>
      <c r="J579" t="s">
        <v>660</v>
      </c>
      <c r="K579" s="124"/>
      <c r="L579">
        <f t="shared" si="307"/>
        <v>425</v>
      </c>
      <c r="M579">
        <f t="shared" ref="M579:M638" si="332">ROUNDUP($Y579*$AA579,3)</f>
        <v>1000</v>
      </c>
      <c r="N579">
        <f t="shared" si="331"/>
        <v>0</v>
      </c>
      <c r="O579" s="944" t="s">
        <v>1842</v>
      </c>
      <c r="P579" t="s">
        <v>1847</v>
      </c>
      <c r="Q579" t="s">
        <v>1848</v>
      </c>
      <c r="R579" s="711"/>
      <c r="W579">
        <v>750</v>
      </c>
      <c r="X579">
        <v>425</v>
      </c>
      <c r="Y579">
        <v>1000</v>
      </c>
      <c r="Z579" t="str">
        <f>Units!B$148</f>
        <v>gal/min</v>
      </c>
      <c r="AA579">
        <f>Units!C$148</f>
        <v>1</v>
      </c>
      <c r="AB579">
        <f>Units!D$148</f>
        <v>60</v>
      </c>
      <c r="AC579" t="str">
        <f>Units!E$148</f>
        <v>gal/min</v>
      </c>
      <c r="AD579" t="str">
        <f>Units!F$148</f>
        <v>gal/hr</v>
      </c>
      <c r="AE579" t="str">
        <f>Units!G$148</f>
        <v>L/min</v>
      </c>
      <c r="AF579" t="str">
        <f>Units!H$148</f>
        <v>gal/min</v>
      </c>
    </row>
    <row r="580" spans="1:32" x14ac:dyDescent="0.3">
      <c r="A580" t="s">
        <v>1840</v>
      </c>
      <c r="B580" s="944" t="s">
        <v>1849</v>
      </c>
      <c r="C580" s="124" t="str">
        <f t="shared" si="330"/>
        <v>UDV.irrigation.pump_power</v>
      </c>
      <c r="D580" s="944">
        <f t="shared" si="315"/>
        <v>100</v>
      </c>
      <c r="E580" s="125" t="str">
        <f t="shared" si="326"/>
        <v>hp</v>
      </c>
      <c r="F580" s="1330">
        <f t="shared" si="325"/>
        <v>100</v>
      </c>
      <c r="G580" s="1334"/>
      <c r="H580" s="78">
        <f t="shared" si="324"/>
        <v>100</v>
      </c>
      <c r="I580" s="1325" t="str">
        <f t="shared" si="327"/>
        <v>hp</v>
      </c>
      <c r="J580" t="s">
        <v>660</v>
      </c>
      <c r="K580" s="124"/>
      <c r="L580">
        <f t="shared" si="307"/>
        <v>11</v>
      </c>
      <c r="M580">
        <f t="shared" si="332"/>
        <v>186</v>
      </c>
      <c r="N580">
        <f t="shared" si="331"/>
        <v>0</v>
      </c>
      <c r="O580" s="944" t="s">
        <v>1842</v>
      </c>
      <c r="P580" t="s">
        <v>1850</v>
      </c>
      <c r="Q580" t="s">
        <v>1848</v>
      </c>
      <c r="R580" s="711"/>
      <c r="W580">
        <v>100</v>
      </c>
      <c r="X580">
        <v>11</v>
      </c>
      <c r="Y580">
        <v>186</v>
      </c>
      <c r="Z580" t="str">
        <f>Units!B$99</f>
        <v>hp</v>
      </c>
      <c r="AA580">
        <f>Units!C$99</f>
        <v>1</v>
      </c>
      <c r="AB580">
        <f>Units!D$99</f>
        <v>1</v>
      </c>
      <c r="AC580" t="str">
        <f>Units!E$99</f>
        <v>hp</v>
      </c>
      <c r="AD580" t="str">
        <f>Units!F$99</f>
        <v>hp</v>
      </c>
      <c r="AE580" t="str">
        <f>Units!G$99</f>
        <v>hp</v>
      </c>
      <c r="AF580" t="str">
        <f>Units!H$99</f>
        <v>hp</v>
      </c>
    </row>
    <row r="581" spans="1:32" x14ac:dyDescent="0.3">
      <c r="A581" s="710" t="s">
        <v>1851</v>
      </c>
      <c r="B581" t="s">
        <v>1852</v>
      </c>
      <c r="C581" s="124" t="str">
        <f t="shared" si="330"/>
        <v>UDV.labor.non_specialized_cost</v>
      </c>
      <c r="D581" s="1091">
        <f t="shared" si="315"/>
        <v>23.66</v>
      </c>
      <c r="E581" s="1093" t="str">
        <f t="shared" si="326"/>
        <v>$/hr</v>
      </c>
      <c r="F581" s="1095">
        <f>UI.OpExpenses!BC105</f>
        <v>23.66</v>
      </c>
      <c r="G581" s="1098" t="str">
        <f>UI.OpExpenses!BD105</f>
        <v/>
      </c>
      <c r="H581" s="1101">
        <f t="shared" si="324"/>
        <v>23.66</v>
      </c>
      <c r="I581" s="956" t="str">
        <f t="shared" si="327"/>
        <v>$/hr</v>
      </c>
      <c r="J581" t="s">
        <v>660</v>
      </c>
      <c r="K581" t="s">
        <v>1315</v>
      </c>
      <c r="L581">
        <f t="shared" si="307"/>
        <v>10</v>
      </c>
      <c r="M581">
        <f t="shared" si="332"/>
        <v>75</v>
      </c>
      <c r="N581">
        <f t="shared" si="329"/>
        <v>0</v>
      </c>
      <c r="O581" t="s">
        <v>1853</v>
      </c>
      <c r="P581" t="s">
        <v>1854</v>
      </c>
      <c r="R581" s="696" t="s">
        <v>84</v>
      </c>
      <c r="V581" t="str">
        <f t="shared" si="328"/>
        <v/>
      </c>
      <c r="W581" s="78">
        <f>INDEX('Utilities&amp;Labor'!$R$4:$R$54,MATCH(UDV.u.state,'Utilities&amp;Labor'!$A$4:$A$54,0))</f>
        <v>23.66</v>
      </c>
      <c r="X581" s="78">
        <v>10</v>
      </c>
      <c r="Y581">
        <v>75</v>
      </c>
      <c r="Z581" t="str">
        <f>Units!B$25</f>
        <v>$/hr</v>
      </c>
      <c r="AA581">
        <f>Units!C$25</f>
        <v>1</v>
      </c>
      <c r="AB581">
        <f>Units!D$25</f>
        <v>1</v>
      </c>
      <c r="AC581" t="str">
        <f>Units!E$25</f>
        <v>$/hr</v>
      </c>
      <c r="AD581" t="str">
        <f>Units!F$25</f>
        <v>$/hr</v>
      </c>
      <c r="AE581" t="str">
        <f>Units!G$25</f>
        <v>$/hr</v>
      </c>
      <c r="AF581" t="str">
        <f>Units!H$25</f>
        <v>$/hr</v>
      </c>
    </row>
    <row r="582" spans="1:32" x14ac:dyDescent="0.3">
      <c r="A582" t="s">
        <v>1851</v>
      </c>
      <c r="B582" t="s">
        <v>1855</v>
      </c>
      <c r="C582" s="124" t="str">
        <f t="shared" si="330"/>
        <v>UDV.labor.specialized_cost</v>
      </c>
      <c r="D582" s="1091">
        <f t="shared" si="315"/>
        <v>48.82</v>
      </c>
      <c r="E582" s="1093" t="str">
        <f t="shared" si="326"/>
        <v>$/hr</v>
      </c>
      <c r="F582" s="1095">
        <f>IF(OR(G582="",N582=0),H582,G582)</f>
        <v>48.82</v>
      </c>
      <c r="H582" s="1101">
        <f t="shared" si="324"/>
        <v>48.82</v>
      </c>
      <c r="I582" s="956" t="str">
        <f t="shared" si="327"/>
        <v>$/hr</v>
      </c>
      <c r="J582" t="s">
        <v>660</v>
      </c>
      <c r="L582">
        <f t="shared" si="307"/>
        <v>7.25</v>
      </c>
      <c r="M582">
        <f t="shared" si="332"/>
        <v>146.46</v>
      </c>
      <c r="N582">
        <f t="shared" si="329"/>
        <v>0</v>
      </c>
      <c r="O582" t="s">
        <v>1853</v>
      </c>
      <c r="P582" t="s">
        <v>1856</v>
      </c>
      <c r="R582" s="696" t="s">
        <v>84</v>
      </c>
      <c r="V582" t="str">
        <f t="shared" si="328"/>
        <v/>
      </c>
      <c r="W582" s="78">
        <f>INDEX('Utilities&amp;Labor'!$S$4:$S$54,MATCH(UDV.u.state,'Utilities&amp;Labor'!$A$4:$A$54,0))</f>
        <v>48.82</v>
      </c>
      <c r="X582" s="78">
        <v>7.25</v>
      </c>
      <c r="Y582">
        <f>W582*3</f>
        <v>146.46</v>
      </c>
      <c r="Z582" t="str">
        <f>Units!B$25</f>
        <v>$/hr</v>
      </c>
      <c r="AA582">
        <f>Units!C$25</f>
        <v>1</v>
      </c>
      <c r="AB582">
        <f>Units!D$25</f>
        <v>1</v>
      </c>
      <c r="AC582" t="str">
        <f>Units!E$25</f>
        <v>$/hr</v>
      </c>
      <c r="AD582" t="str">
        <f>Units!F$25</f>
        <v>$/hr</v>
      </c>
      <c r="AE582" t="str">
        <f>Units!G$25</f>
        <v>$/hr</v>
      </c>
      <c r="AF582" t="str">
        <f>Units!H$25</f>
        <v>$/hr</v>
      </c>
    </row>
    <row r="583" spans="1:32" x14ac:dyDescent="0.3">
      <c r="A583" t="s">
        <v>1857</v>
      </c>
      <c r="B583" s="944" t="s">
        <v>1840</v>
      </c>
      <c r="C583" s="124" t="str">
        <f t="shared" si="330"/>
        <v>UDV.OPEX_labor.irrigation</v>
      </c>
      <c r="D583" s="1329">
        <f t="shared" si="315"/>
        <v>0.1</v>
      </c>
      <c r="E583" t="str">
        <f t="shared" si="326"/>
        <v>hr/acre</v>
      </c>
      <c r="F583" s="944">
        <f t="shared" ref="F583" si="333">IF(OR(G583="",N583=0),H583,G583)</f>
        <v>0.1</v>
      </c>
      <c r="G583" s="126"/>
      <c r="H583" s="1336">
        <f t="shared" si="324"/>
        <v>0.1</v>
      </c>
      <c r="I583" s="1325" t="str">
        <f t="shared" si="327"/>
        <v>hr/acre</v>
      </c>
      <c r="J583" t="s">
        <v>660</v>
      </c>
      <c r="K583" s="124"/>
      <c r="L583">
        <f t="shared" si="307"/>
        <v>0.01</v>
      </c>
      <c r="M583">
        <f t="shared" si="332"/>
        <v>0.5</v>
      </c>
      <c r="N583">
        <f t="shared" si="329"/>
        <v>0</v>
      </c>
      <c r="O583" t="s">
        <v>1858</v>
      </c>
      <c r="P583" t="s">
        <v>1859</v>
      </c>
      <c r="R583" s="711"/>
      <c r="W583">
        <v>0.1</v>
      </c>
      <c r="X583">
        <v>0.01</v>
      </c>
      <c r="Y583">
        <v>0.5</v>
      </c>
      <c r="Z583" t="str">
        <f>Units!B$115</f>
        <v>hr/acre</v>
      </c>
      <c r="AA583">
        <f>Units!C$115</f>
        <v>1</v>
      </c>
      <c r="AB583">
        <f>Units!D$115</f>
        <v>1</v>
      </c>
      <c r="AC583" t="str">
        <f>Units!E$115</f>
        <v>hr/acre</v>
      </c>
      <c r="AD583" t="str">
        <f>Units!F$115</f>
        <v>hr/acre</v>
      </c>
      <c r="AE583" t="str">
        <f>Units!G$115</f>
        <v>hr/hectare</v>
      </c>
      <c r="AF583" t="str">
        <f>Units!H$115</f>
        <v>hr/acre</v>
      </c>
    </row>
    <row r="584" spans="1:32" x14ac:dyDescent="0.3">
      <c r="A584" t="s">
        <v>1857</v>
      </c>
      <c r="B584" t="s">
        <v>1860</v>
      </c>
      <c r="C584" s="124" t="str">
        <f t="shared" si="330"/>
        <v>UDV.OPEX_labor.tractor_active</v>
      </c>
      <c r="D584" s="1329">
        <f t="shared" si="315"/>
        <v>1.1000000000000001</v>
      </c>
      <c r="E584" t="str">
        <f t="shared" si="326"/>
        <v>multiplier</v>
      </c>
      <c r="F584" s="944">
        <f>IF(OR(G584="",N584=0),H584,G584)</f>
        <v>1.1000000000000001</v>
      </c>
      <c r="G584" s="126"/>
      <c r="H584" s="1336">
        <f t="shared" si="324"/>
        <v>1.1000000000000001</v>
      </c>
      <c r="I584" s="1325" t="str">
        <f t="shared" si="327"/>
        <v>multiplier</v>
      </c>
      <c r="J584" t="s">
        <v>660</v>
      </c>
      <c r="K584" s="124"/>
      <c r="L584">
        <f t="shared" si="307"/>
        <v>1</v>
      </c>
      <c r="M584">
        <f t="shared" si="332"/>
        <v>2</v>
      </c>
      <c r="N584">
        <f t="shared" si="329"/>
        <v>0</v>
      </c>
      <c r="O584" t="s">
        <v>1858</v>
      </c>
      <c r="P584" t="s">
        <v>1861</v>
      </c>
      <c r="Q584" t="s">
        <v>1261</v>
      </c>
      <c r="R584" s="711"/>
      <c r="S584" t="s">
        <v>84</v>
      </c>
      <c r="W584">
        <v>1.1000000000000001</v>
      </c>
      <c r="X584">
        <v>1</v>
      </c>
      <c r="Y584">
        <v>2</v>
      </c>
      <c r="Z584" t="str">
        <f>Units!B$94</f>
        <v>multiplier</v>
      </c>
      <c r="AA584">
        <f>Units!C$94</f>
        <v>1</v>
      </c>
      <c r="AB584">
        <f>Units!D$94</f>
        <v>1</v>
      </c>
      <c r="AC584" t="str">
        <f>Units!E$94</f>
        <v>multiplier</v>
      </c>
      <c r="AD584" t="str">
        <f>Units!F$94</f>
        <v>multiplier</v>
      </c>
      <c r="AE584" t="str">
        <f>Units!G$94</f>
        <v>multiplier</v>
      </c>
      <c r="AF584" t="str">
        <f>Units!H$94</f>
        <v>multiplier</v>
      </c>
    </row>
    <row r="585" spans="1:32" x14ac:dyDescent="0.3">
      <c r="A585" t="s">
        <v>1857</v>
      </c>
      <c r="B585" t="s">
        <v>1862</v>
      </c>
      <c r="C585" s="124" t="str">
        <f t="shared" si="330"/>
        <v>UDV.OPEX_labor.tractor_stationary</v>
      </c>
      <c r="D585" s="1329">
        <f t="shared" si="315"/>
        <v>0.1</v>
      </c>
      <c r="E585" t="str">
        <f t="shared" si="326"/>
        <v>multiplier</v>
      </c>
      <c r="F585" s="944">
        <f>IF(OR(G585="",N585=0),H585,G585)</f>
        <v>0.1</v>
      </c>
      <c r="G585" s="126"/>
      <c r="H585" s="1336">
        <f t="shared" si="324"/>
        <v>0.1</v>
      </c>
      <c r="I585" s="1325" t="str">
        <f t="shared" si="327"/>
        <v>multiplier</v>
      </c>
      <c r="J585" t="s">
        <v>660</v>
      </c>
      <c r="K585" s="124"/>
      <c r="L585">
        <f t="shared" si="307"/>
        <v>0</v>
      </c>
      <c r="M585">
        <f t="shared" si="332"/>
        <v>1</v>
      </c>
      <c r="N585">
        <f t="shared" si="329"/>
        <v>1</v>
      </c>
      <c r="O585" t="s">
        <v>1858</v>
      </c>
      <c r="P585" t="s">
        <v>1863</v>
      </c>
      <c r="Q585" t="s">
        <v>1261</v>
      </c>
      <c r="R585" s="711"/>
      <c r="S585" t="s">
        <v>84</v>
      </c>
      <c r="W585">
        <v>0.1</v>
      </c>
      <c r="X585">
        <v>0</v>
      </c>
      <c r="Y585">
        <v>1</v>
      </c>
      <c r="Z585" t="str">
        <f>Units!B$94</f>
        <v>multiplier</v>
      </c>
      <c r="AA585">
        <f>Units!C$94</f>
        <v>1</v>
      </c>
      <c r="AB585">
        <f>Units!D$94</f>
        <v>1</v>
      </c>
      <c r="AC585" t="str">
        <f>Units!E$94</f>
        <v>multiplier</v>
      </c>
      <c r="AD585" t="str">
        <f>Units!F$94</f>
        <v>multiplier</v>
      </c>
      <c r="AE585" t="str">
        <f>Units!G$94</f>
        <v>multiplier</v>
      </c>
      <c r="AF585" t="str">
        <f>Units!H$94</f>
        <v>multiplier</v>
      </c>
    </row>
    <row r="586" spans="1:32" s="34" customFormat="1" x14ac:dyDescent="0.3">
      <c r="A586" s="710" t="s">
        <v>1851</v>
      </c>
      <c r="B586" t="s">
        <v>1864</v>
      </c>
      <c r="C586" s="124" t="str">
        <f t="shared" si="330"/>
        <v>UDV.labor.tractor_x</v>
      </c>
      <c r="D586" s="1091">
        <f t="shared" si="315"/>
        <v>1.1000000000000001</v>
      </c>
      <c r="E586" s="1093" t="str">
        <f t="shared" si="326"/>
        <v>multiplier</v>
      </c>
      <c r="F586" s="1095">
        <f>IF(OR(G586="",N586=0),H586,G586)</f>
        <v>1.1000000000000001</v>
      </c>
      <c r="G586" s="1098"/>
      <c r="H586" s="1101">
        <f t="shared" si="324"/>
        <v>1.1000000000000001</v>
      </c>
      <c r="I586" s="956" t="str">
        <f t="shared" si="327"/>
        <v>multiplier</v>
      </c>
      <c r="J586" t="s">
        <v>660</v>
      </c>
      <c r="K586"/>
      <c r="L586">
        <f t="shared" si="307"/>
        <v>1</v>
      </c>
      <c r="M586">
        <f t="shared" si="332"/>
        <v>2</v>
      </c>
      <c r="N586">
        <f t="shared" si="329"/>
        <v>0</v>
      </c>
      <c r="O586" t="s">
        <v>1865</v>
      </c>
      <c r="P586" t="s">
        <v>1866</v>
      </c>
      <c r="Q586" t="s">
        <v>1261</v>
      </c>
      <c r="R586" s="711"/>
      <c r="S586" t="s">
        <v>84</v>
      </c>
      <c r="T586" s="127"/>
      <c r="U586"/>
      <c r="V586" t="str">
        <f>IF(OR((M586-L586)&lt;=0,H586&gt;M586,H586&lt;L586),"Fix","")</f>
        <v/>
      </c>
      <c r="W586" s="78">
        <v>1.1000000000000001</v>
      </c>
      <c r="X586">
        <v>1</v>
      </c>
      <c r="Y586">
        <v>2</v>
      </c>
      <c r="Z586" t="str">
        <f>Units!B$94</f>
        <v>multiplier</v>
      </c>
      <c r="AA586">
        <f>Units!C$94</f>
        <v>1</v>
      </c>
      <c r="AB586">
        <f>Units!D$94</f>
        <v>1</v>
      </c>
      <c r="AC586" t="str">
        <f>Units!E$94</f>
        <v>multiplier</v>
      </c>
      <c r="AD586" t="str">
        <f>Units!F$94</f>
        <v>multiplier</v>
      </c>
      <c r="AE586" t="str">
        <f>Units!G$94</f>
        <v>multiplier</v>
      </c>
      <c r="AF586" t="str">
        <f>Units!H$94</f>
        <v>multiplier</v>
      </c>
    </row>
    <row r="587" spans="1:32" x14ac:dyDescent="0.3">
      <c r="A587" t="s">
        <v>1867</v>
      </c>
      <c r="B587" t="s">
        <v>1868</v>
      </c>
      <c r="C587" s="124" t="str">
        <f t="shared" si="330"/>
        <v>UDV.land_application.agitation_tractor_power</v>
      </c>
      <c r="D587" s="1329">
        <f t="shared" si="315"/>
        <v>160</v>
      </c>
      <c r="E587" t="str">
        <f t="shared" si="326"/>
        <v>hp</v>
      </c>
      <c r="F587" s="944">
        <f>IF(OR(G587="",N587=0),H587,G587)</f>
        <v>160</v>
      </c>
      <c r="G587" s="126"/>
      <c r="H587" s="1336">
        <f t="shared" si="324"/>
        <v>160</v>
      </c>
      <c r="I587" s="1325" t="str">
        <f t="shared" si="327"/>
        <v>hp</v>
      </c>
      <c r="J587" t="s">
        <v>660</v>
      </c>
      <c r="K587" s="124"/>
      <c r="L587">
        <f t="shared" ref="L587:L638" si="334">ROUNDDOWN($X587*$AA587,3)</f>
        <v>120</v>
      </c>
      <c r="M587">
        <f t="shared" si="332"/>
        <v>340</v>
      </c>
      <c r="N587">
        <f t="shared" si="329"/>
        <v>0</v>
      </c>
      <c r="O587" t="s">
        <v>1869</v>
      </c>
      <c r="P587" t="s">
        <v>1870</v>
      </c>
      <c r="R587" s="711"/>
      <c r="W587">
        <v>160</v>
      </c>
      <c r="X587">
        <v>120</v>
      </c>
      <c r="Y587">
        <v>340</v>
      </c>
      <c r="Z587" t="str">
        <f>Units!B$99</f>
        <v>hp</v>
      </c>
      <c r="AA587">
        <f>Units!C$99</f>
        <v>1</v>
      </c>
      <c r="AB587">
        <f>Units!D$99</f>
        <v>1</v>
      </c>
      <c r="AC587" t="str">
        <f>Units!E$99</f>
        <v>hp</v>
      </c>
      <c r="AD587" t="str">
        <f>Units!F$99</f>
        <v>hp</v>
      </c>
      <c r="AE587" t="str">
        <f>Units!G$99</f>
        <v>hp</v>
      </c>
      <c r="AF587" t="str">
        <f>Units!H$99</f>
        <v>hp</v>
      </c>
    </row>
    <row r="588" spans="1:32" x14ac:dyDescent="0.3">
      <c r="A588" t="s">
        <v>1867</v>
      </c>
      <c r="B588" t="s">
        <v>1871</v>
      </c>
      <c r="C588" s="124" t="str">
        <f t="shared" si="330"/>
        <v>UDV.land_application.avg_distance</v>
      </c>
      <c r="D588" s="1091">
        <f t="shared" si="315"/>
        <v>1</v>
      </c>
      <c r="E588" s="1093" t="str">
        <f t="shared" si="326"/>
        <v>miles</v>
      </c>
      <c r="F588" s="1095">
        <f>UI.Tractor!BC89</f>
        <v>1</v>
      </c>
      <c r="G588" s="1098">
        <f>UI.Tractor!BD89</f>
        <v>1</v>
      </c>
      <c r="H588" s="1104">
        <v>2</v>
      </c>
      <c r="I588" s="956" t="str">
        <f t="shared" si="327"/>
        <v>miles</v>
      </c>
      <c r="J588" t="s">
        <v>799</v>
      </c>
      <c r="K588" t="s">
        <v>1872</v>
      </c>
      <c r="L588">
        <f t="shared" si="334"/>
        <v>0.1</v>
      </c>
      <c r="M588">
        <f t="shared" si="332"/>
        <v>10</v>
      </c>
      <c r="N588">
        <f t="shared" si="329"/>
        <v>1</v>
      </c>
      <c r="O588" t="s">
        <v>1869</v>
      </c>
      <c r="P588" t="s">
        <v>1873</v>
      </c>
      <c r="Q588" t="s">
        <v>1874</v>
      </c>
      <c r="R588" s="696" t="s">
        <v>84</v>
      </c>
      <c r="S588" t="s">
        <v>84</v>
      </c>
      <c r="V588" t="str">
        <f>IF(OR((M588-L588)&lt;=0,H588&gt;M588,H588&lt;L588),"Fix","")</f>
        <v/>
      </c>
      <c r="W588" s="78">
        <v>2</v>
      </c>
      <c r="X588">
        <v>0.1</v>
      </c>
      <c r="Y588">
        <v>10</v>
      </c>
      <c r="Z588" t="str">
        <f>Units!B$49</f>
        <v>miles</v>
      </c>
      <c r="AA588">
        <f>Units!C$49</f>
        <v>1</v>
      </c>
      <c r="AB588">
        <f>Units!D$49</f>
        <v>1</v>
      </c>
      <c r="AC588" t="str">
        <f>Units!E$49</f>
        <v>miles</v>
      </c>
      <c r="AD588" t="str">
        <f>Units!F$49</f>
        <v>miles</v>
      </c>
      <c r="AE588" t="str">
        <f>Units!G$49</f>
        <v>km</v>
      </c>
      <c r="AF588" t="str">
        <f>Units!H$49</f>
        <v>miles</v>
      </c>
    </row>
    <row r="589" spans="1:32" x14ac:dyDescent="0.3">
      <c r="A589" t="s">
        <v>1867</v>
      </c>
      <c r="B589" t="s">
        <v>1875</v>
      </c>
      <c r="C589" s="124" t="str">
        <f t="shared" si="330"/>
        <v>UDV.land_application.field_maneuver_time</v>
      </c>
      <c r="D589" s="1329">
        <f t="shared" si="315"/>
        <v>4</v>
      </c>
      <c r="E589" t="str">
        <f t="shared" si="326"/>
        <v>min</v>
      </c>
      <c r="F589" s="944">
        <f>IF(OR(G589="",N589=0),H589,G589)</f>
        <v>4</v>
      </c>
      <c r="G589" s="126"/>
      <c r="H589" s="1336">
        <f>$W589*$AA589</f>
        <v>4</v>
      </c>
      <c r="I589" s="1325" t="str">
        <f t="shared" si="327"/>
        <v>min</v>
      </c>
      <c r="J589" t="s">
        <v>660</v>
      </c>
      <c r="K589" s="124"/>
      <c r="L589">
        <f t="shared" si="334"/>
        <v>1</v>
      </c>
      <c r="M589">
        <f t="shared" si="332"/>
        <v>10</v>
      </c>
      <c r="N589">
        <f t="shared" si="329"/>
        <v>0</v>
      </c>
      <c r="O589" t="s">
        <v>1869</v>
      </c>
      <c r="P589" t="s">
        <v>1876</v>
      </c>
      <c r="R589" s="711"/>
      <c r="W589">
        <v>4</v>
      </c>
      <c r="X589">
        <v>1</v>
      </c>
      <c r="Y589">
        <v>10</v>
      </c>
      <c r="Z589" t="str">
        <f>Units!B$112</f>
        <v>min</v>
      </c>
      <c r="AA589">
        <f>Units!C$112</f>
        <v>1</v>
      </c>
      <c r="AB589">
        <f>Units!D$112</f>
        <v>1</v>
      </c>
      <c r="AC589" t="str">
        <f>Units!E$112</f>
        <v>min</v>
      </c>
      <c r="AD589" t="str">
        <f>Units!F$112</f>
        <v>min</v>
      </c>
      <c r="AE589" t="str">
        <f>Units!G$112</f>
        <v>min</v>
      </c>
      <c r="AF589" t="str">
        <f>Units!H$112</f>
        <v>min</v>
      </c>
    </row>
    <row r="590" spans="1:32" x14ac:dyDescent="0.3">
      <c r="A590" t="s">
        <v>1867</v>
      </c>
      <c r="B590" t="s">
        <v>1877</v>
      </c>
      <c r="C590" s="124" t="str">
        <f t="shared" si="330"/>
        <v>UDV.land_application.max_distance</v>
      </c>
      <c r="D590" s="1329">
        <f t="shared" si="315"/>
        <v>2</v>
      </c>
      <c r="E590" t="str">
        <f t="shared" si="326"/>
        <v>miles</v>
      </c>
      <c r="F590" s="1337">
        <f>UI.Tractor!BC90</f>
        <v>2</v>
      </c>
      <c r="G590" s="126">
        <f>UI.Tractor!BD90</f>
        <v>2</v>
      </c>
      <c r="H590" s="1336">
        <f>$W590*$AA590</f>
        <v>4</v>
      </c>
      <c r="I590" s="1325" t="str">
        <f t="shared" si="327"/>
        <v>miles</v>
      </c>
      <c r="J590" t="s">
        <v>799</v>
      </c>
      <c r="K590" s="124" t="s">
        <v>1872</v>
      </c>
      <c r="L590">
        <f t="shared" si="334"/>
        <v>1</v>
      </c>
      <c r="M590">
        <f t="shared" si="332"/>
        <v>10</v>
      </c>
      <c r="N590">
        <f t="shared" si="329"/>
        <v>1</v>
      </c>
      <c r="O590" t="s">
        <v>1869</v>
      </c>
      <c r="P590" t="s">
        <v>1878</v>
      </c>
      <c r="R590" s="711"/>
      <c r="S590" t="s">
        <v>84</v>
      </c>
      <c r="W590">
        <f>MAX(4,UDV.land_application.avg_distance)</f>
        <v>4</v>
      </c>
      <c r="X590">
        <f>MAX(0.1,UDV.land_application.avg_distance)</f>
        <v>1</v>
      </c>
      <c r="Y590">
        <v>10</v>
      </c>
      <c r="Z590" t="str">
        <f>Units!B$49</f>
        <v>miles</v>
      </c>
      <c r="AA590">
        <f>Units!C$49</f>
        <v>1</v>
      </c>
      <c r="AB590">
        <f>Units!D$49</f>
        <v>1</v>
      </c>
      <c r="AC590" t="str">
        <f>Units!E$49</f>
        <v>miles</v>
      </c>
      <c r="AD590" t="str">
        <f>Units!F$49</f>
        <v>miles</v>
      </c>
      <c r="AE590" t="str">
        <f>Units!G$49</f>
        <v>km</v>
      </c>
      <c r="AF590" t="str">
        <f>Units!H$49</f>
        <v>miles</v>
      </c>
    </row>
    <row r="591" spans="1:32" x14ac:dyDescent="0.3">
      <c r="A591" t="s">
        <v>1867</v>
      </c>
      <c r="B591" t="s">
        <v>1879</v>
      </c>
      <c r="C591" s="124" t="str">
        <f t="shared" si="330"/>
        <v>UDV.land_application.storage_agitation_max_time</v>
      </c>
      <c r="D591" s="1329">
        <f t="shared" si="315"/>
        <v>3</v>
      </c>
      <c r="E591" t="str">
        <f t="shared" si="326"/>
        <v>hr/day</v>
      </c>
      <c r="F591" s="944">
        <f t="shared" ref="F591:F599" si="335">IF(OR(G591="",N591=0),H591,G591)</f>
        <v>3</v>
      </c>
      <c r="G591" s="126"/>
      <c r="H591" s="1336">
        <f t="shared" ref="H591:H599" si="336">$W591*$AA591</f>
        <v>3</v>
      </c>
      <c r="I591" s="1325" t="str">
        <f t="shared" si="327"/>
        <v>hr/day</v>
      </c>
      <c r="J591" t="s">
        <v>660</v>
      </c>
      <c r="K591" s="124"/>
      <c r="L591">
        <f t="shared" si="334"/>
        <v>0</v>
      </c>
      <c r="M591">
        <f t="shared" si="332"/>
        <v>24</v>
      </c>
      <c r="N591">
        <f t="shared" si="329"/>
        <v>1</v>
      </c>
      <c r="O591" t="s">
        <v>1869</v>
      </c>
      <c r="P591" t="s">
        <v>1880</v>
      </c>
      <c r="R591" s="711"/>
      <c r="W591">
        <v>3</v>
      </c>
      <c r="X591">
        <v>0</v>
      </c>
      <c r="Y591">
        <v>24</v>
      </c>
      <c r="Z591" t="str">
        <f>Units!B$121</f>
        <v>hr/day</v>
      </c>
      <c r="AA591">
        <f>Units!C$121</f>
        <v>1</v>
      </c>
      <c r="AB591">
        <f>Units!D$121</f>
        <v>1</v>
      </c>
      <c r="AC591" t="str">
        <f>Units!E$121</f>
        <v>hr/day</v>
      </c>
      <c r="AD591" t="str">
        <f>Units!F$121</f>
        <v>hr/day</v>
      </c>
      <c r="AE591" t="str">
        <f>Units!G$121</f>
        <v>hr/day</v>
      </c>
      <c r="AF591" t="str">
        <f>Units!H$121</f>
        <v>hr/day</v>
      </c>
    </row>
    <row r="592" spans="1:32" x14ac:dyDescent="0.3">
      <c r="A592" t="s">
        <v>1867</v>
      </c>
      <c r="B592" t="s">
        <v>1881</v>
      </c>
      <c r="C592" s="124" t="str">
        <f t="shared" si="330"/>
        <v>UDV.land_application.storage_maneuver_time</v>
      </c>
      <c r="D592" s="1329">
        <f t="shared" si="315"/>
        <v>3.5</v>
      </c>
      <c r="E592" t="str">
        <f t="shared" si="326"/>
        <v>min</v>
      </c>
      <c r="F592" s="944">
        <f t="shared" si="335"/>
        <v>3.5</v>
      </c>
      <c r="G592" s="126"/>
      <c r="H592" s="1336">
        <f t="shared" si="336"/>
        <v>3.5</v>
      </c>
      <c r="I592" s="1325" t="str">
        <f t="shared" si="327"/>
        <v>min</v>
      </c>
      <c r="J592" t="s">
        <v>660</v>
      </c>
      <c r="K592" s="124"/>
      <c r="L592">
        <f t="shared" si="334"/>
        <v>1</v>
      </c>
      <c r="M592">
        <f t="shared" si="332"/>
        <v>10</v>
      </c>
      <c r="N592">
        <f t="shared" si="329"/>
        <v>0</v>
      </c>
      <c r="O592" t="s">
        <v>1869</v>
      </c>
      <c r="P592" t="s">
        <v>1882</v>
      </c>
      <c r="R592" s="711"/>
      <c r="W592">
        <v>3.5</v>
      </c>
      <c r="X592">
        <v>1</v>
      </c>
      <c r="Y592">
        <v>10</v>
      </c>
      <c r="Z592" t="str">
        <f>Units!B$112</f>
        <v>min</v>
      </c>
      <c r="AA592">
        <f>Units!C$112</f>
        <v>1</v>
      </c>
      <c r="AB592">
        <f>Units!D$112</f>
        <v>1</v>
      </c>
      <c r="AC592" t="str">
        <f>Units!E$112</f>
        <v>min</v>
      </c>
      <c r="AD592" t="str">
        <f>Units!F$112</f>
        <v>min</v>
      </c>
      <c r="AE592" t="str">
        <f>Units!G$112</f>
        <v>min</v>
      </c>
      <c r="AF592" t="str">
        <f>Units!H$112</f>
        <v>min</v>
      </c>
    </row>
    <row r="593" spans="1:32" x14ac:dyDescent="0.3">
      <c r="A593" t="s">
        <v>1867</v>
      </c>
      <c r="B593" t="s">
        <v>1883</v>
      </c>
      <c r="C593" s="124" t="str">
        <f t="shared" si="330"/>
        <v>UDV.land_application.storage_pump_max_time</v>
      </c>
      <c r="D593" s="1329">
        <f t="shared" si="315"/>
        <v>12</v>
      </c>
      <c r="E593" t="str">
        <f t="shared" si="326"/>
        <v>hr/day</v>
      </c>
      <c r="F593" s="944">
        <f t="shared" si="335"/>
        <v>12</v>
      </c>
      <c r="G593" s="126"/>
      <c r="H593" s="1336">
        <f t="shared" si="336"/>
        <v>12</v>
      </c>
      <c r="I593" s="1325" t="str">
        <f t="shared" si="327"/>
        <v>hr/day</v>
      </c>
      <c r="J593" t="s">
        <v>660</v>
      </c>
      <c r="K593" s="124"/>
      <c r="L593">
        <f t="shared" si="334"/>
        <v>1</v>
      </c>
      <c r="M593">
        <f t="shared" si="332"/>
        <v>24</v>
      </c>
      <c r="N593">
        <f t="shared" si="329"/>
        <v>0</v>
      </c>
      <c r="O593" t="s">
        <v>1869</v>
      </c>
      <c r="P593" t="s">
        <v>1884</v>
      </c>
      <c r="R593" s="711"/>
      <c r="W593">
        <f>UDV.tractor.max_usage_daily</f>
        <v>12</v>
      </c>
      <c r="X593">
        <v>1</v>
      </c>
      <c r="Y593">
        <v>24</v>
      </c>
      <c r="Z593" t="str">
        <f>Units!B$121</f>
        <v>hr/day</v>
      </c>
      <c r="AA593">
        <f>Units!C$121</f>
        <v>1</v>
      </c>
      <c r="AB593">
        <f>Units!D$121</f>
        <v>1</v>
      </c>
      <c r="AC593" t="str">
        <f>Units!E$121</f>
        <v>hr/day</v>
      </c>
      <c r="AD593" t="str">
        <f>Units!F$121</f>
        <v>hr/day</v>
      </c>
      <c r="AE593" t="str">
        <f>Units!G$121</f>
        <v>hr/day</v>
      </c>
      <c r="AF593" t="str">
        <f>Units!H$121</f>
        <v>hr/day</v>
      </c>
    </row>
    <row r="594" spans="1:32" x14ac:dyDescent="0.3">
      <c r="A594" t="s">
        <v>1867</v>
      </c>
      <c r="B594" t="s">
        <v>1885</v>
      </c>
      <c r="C594" s="124" t="str">
        <f t="shared" si="330"/>
        <v>UDV.land_application.storage_to_tanker_load_rate</v>
      </c>
      <c r="D594" s="1329">
        <f t="shared" si="315"/>
        <v>2000</v>
      </c>
      <c r="E594" t="str">
        <f t="shared" si="326"/>
        <v>gal/min</v>
      </c>
      <c r="F594" s="944">
        <f t="shared" si="335"/>
        <v>2000</v>
      </c>
      <c r="G594" s="126"/>
      <c r="H594" s="1336">
        <f t="shared" si="336"/>
        <v>2000</v>
      </c>
      <c r="I594" s="1325" t="str">
        <f t="shared" si="327"/>
        <v>gal/min</v>
      </c>
      <c r="J594" t="s">
        <v>660</v>
      </c>
      <c r="K594" s="124"/>
      <c r="L594">
        <f t="shared" si="334"/>
        <v>500</v>
      </c>
      <c r="M594">
        <f t="shared" si="332"/>
        <v>2250</v>
      </c>
      <c r="N594">
        <f t="shared" si="329"/>
        <v>0</v>
      </c>
      <c r="O594" t="s">
        <v>1869</v>
      </c>
      <c r="P594" t="s">
        <v>1886</v>
      </c>
      <c r="R594" s="711"/>
      <c r="W594">
        <v>2000</v>
      </c>
      <c r="X594">
        <v>500</v>
      </c>
      <c r="Y594">
        <v>2250</v>
      </c>
      <c r="Z594" t="str">
        <f>Units!B$147</f>
        <v>gal/min</v>
      </c>
      <c r="AA594">
        <f>Units!C$147</f>
        <v>1</v>
      </c>
      <c r="AB594">
        <f>Units!D$147</f>
        <v>1</v>
      </c>
      <c r="AC594" t="str">
        <f>Units!E$147</f>
        <v>gal/min</v>
      </c>
      <c r="AD594" t="str">
        <f>Units!F$147</f>
        <v>gal/min</v>
      </c>
      <c r="AE594" t="str">
        <f>Units!G$147</f>
        <v>L/min</v>
      </c>
      <c r="AF594" t="str">
        <f>Units!H$147</f>
        <v>gal/min</v>
      </c>
    </row>
    <row r="595" spans="1:32" x14ac:dyDescent="0.3">
      <c r="A595" t="s">
        <v>1867</v>
      </c>
      <c r="B595" t="s">
        <v>1887</v>
      </c>
      <c r="C595" s="124" t="str">
        <f t="shared" si="330"/>
        <v>UDV.land_application.tanker_loaded_speed</v>
      </c>
      <c r="D595" s="1329">
        <f t="shared" si="315"/>
        <v>14</v>
      </c>
      <c r="E595" t="str">
        <f t="shared" si="326"/>
        <v>miles/hour</v>
      </c>
      <c r="F595" s="944">
        <f t="shared" si="335"/>
        <v>14</v>
      </c>
      <c r="G595" s="126"/>
      <c r="H595" s="1336">
        <f t="shared" si="336"/>
        <v>14</v>
      </c>
      <c r="I595" s="1325" t="str">
        <f t="shared" si="327"/>
        <v>miles/hour</v>
      </c>
      <c r="J595" t="s">
        <v>660</v>
      </c>
      <c r="K595" s="124"/>
      <c r="L595">
        <f t="shared" si="334"/>
        <v>5</v>
      </c>
      <c r="M595">
        <f t="shared" si="332"/>
        <v>40</v>
      </c>
      <c r="N595">
        <f t="shared" si="329"/>
        <v>0</v>
      </c>
      <c r="O595" t="s">
        <v>1869</v>
      </c>
      <c r="P595" t="s">
        <v>1888</v>
      </c>
      <c r="R595" s="711"/>
      <c r="W595">
        <v>14</v>
      </c>
      <c r="X595">
        <v>5</v>
      </c>
      <c r="Y595">
        <v>40</v>
      </c>
      <c r="Z595" t="str">
        <f>Units!B$51</f>
        <v>miles/hour</v>
      </c>
      <c r="AA595">
        <f>Units!C$51</f>
        <v>1</v>
      </c>
      <c r="AB595">
        <f>Units!D$51</f>
        <v>1</v>
      </c>
      <c r="AC595" t="str">
        <f>Units!E$51</f>
        <v>miles/hour</v>
      </c>
      <c r="AD595" t="str">
        <f>Units!F$51</f>
        <v>miles/hour</v>
      </c>
      <c r="AE595" t="str">
        <f>Units!G$51</f>
        <v>km/hour</v>
      </c>
      <c r="AF595" t="str">
        <f>Units!H$51</f>
        <v>miles/hour</v>
      </c>
    </row>
    <row r="596" spans="1:32" x14ac:dyDescent="0.3">
      <c r="A596" t="s">
        <v>1867</v>
      </c>
      <c r="B596" t="s">
        <v>1889</v>
      </c>
      <c r="C596" s="124" t="str">
        <f t="shared" si="330"/>
        <v>UDV.land_application.tanker_pump_power</v>
      </c>
      <c r="D596" s="1329">
        <f t="shared" si="315"/>
        <v>180</v>
      </c>
      <c r="E596" t="str">
        <f t="shared" si="326"/>
        <v>hp</v>
      </c>
      <c r="F596" s="944">
        <f t="shared" si="335"/>
        <v>180</v>
      </c>
      <c r="G596" s="126"/>
      <c r="H596" s="1336">
        <f t="shared" si="336"/>
        <v>180</v>
      </c>
      <c r="I596" s="1325" t="str">
        <f t="shared" si="327"/>
        <v>hp</v>
      </c>
      <c r="J596" t="s">
        <v>660</v>
      </c>
      <c r="K596" s="124"/>
      <c r="L596">
        <f t="shared" si="334"/>
        <v>150</v>
      </c>
      <c r="M596">
        <f t="shared" si="332"/>
        <v>250</v>
      </c>
      <c r="N596">
        <f t="shared" si="329"/>
        <v>0</v>
      </c>
      <c r="O596" t="s">
        <v>1869</v>
      </c>
      <c r="P596" t="s">
        <v>1890</v>
      </c>
      <c r="R596" s="711"/>
      <c r="W596">
        <v>180</v>
      </c>
      <c r="X596">
        <v>150</v>
      </c>
      <c r="Y596">
        <v>250</v>
      </c>
      <c r="Z596" t="str">
        <f>Units!B$99</f>
        <v>hp</v>
      </c>
      <c r="AA596">
        <f>Units!C$99</f>
        <v>1</v>
      </c>
      <c r="AB596">
        <f>Units!D$99</f>
        <v>1</v>
      </c>
      <c r="AC596" t="str">
        <f>Units!E$99</f>
        <v>hp</v>
      </c>
      <c r="AD596" t="str">
        <f>Units!F$99</f>
        <v>hp</v>
      </c>
      <c r="AE596" t="str">
        <f>Units!G$99</f>
        <v>hp</v>
      </c>
      <c r="AF596" t="str">
        <f>Units!H$99</f>
        <v>hp</v>
      </c>
    </row>
    <row r="597" spans="1:32" x14ac:dyDescent="0.3">
      <c r="A597" t="s">
        <v>1867</v>
      </c>
      <c r="B597" t="s">
        <v>1891</v>
      </c>
      <c r="C597" s="124" t="str">
        <f t="shared" si="330"/>
        <v>UDV.land_application.tanker_tractor_power</v>
      </c>
      <c r="D597" s="1329">
        <f t="shared" si="315"/>
        <v>250</v>
      </c>
      <c r="E597" t="str">
        <f t="shared" si="326"/>
        <v>hp</v>
      </c>
      <c r="F597" s="944">
        <f t="shared" si="335"/>
        <v>250</v>
      </c>
      <c r="G597" s="126">
        <f>INDEX(T.Electricity!$F$4:$F$7,MATCH(UDV.land_application.tanker_volume,T.Electricity!$E$4:$E$7,0))</f>
        <v>250</v>
      </c>
      <c r="H597" s="1336">
        <f t="shared" si="336"/>
        <v>250</v>
      </c>
      <c r="I597" s="1325" t="str">
        <f t="shared" si="327"/>
        <v>hp</v>
      </c>
      <c r="J597" t="s">
        <v>1525</v>
      </c>
      <c r="K597" s="124"/>
      <c r="L597">
        <f t="shared" si="334"/>
        <v>120</v>
      </c>
      <c r="M597">
        <f t="shared" si="332"/>
        <v>340</v>
      </c>
      <c r="N597">
        <f t="shared" si="329"/>
        <v>1</v>
      </c>
      <c r="O597" t="s">
        <v>1869</v>
      </c>
      <c r="P597" t="s">
        <v>1892</v>
      </c>
      <c r="Q597" t="s">
        <v>1874</v>
      </c>
      <c r="R597" s="711" t="s">
        <v>84</v>
      </c>
      <c r="S597" t="s">
        <v>84</v>
      </c>
      <c r="V597" t="str">
        <f>IF(OR((M597-L597)&lt;=0,H597&gt;M597,H597&lt;L597),"Fix","")</f>
        <v/>
      </c>
      <c r="W597">
        <v>250</v>
      </c>
      <c r="X597">
        <v>120</v>
      </c>
      <c r="Y597">
        <v>340</v>
      </c>
      <c r="Z597" t="str">
        <f>Units!B$99</f>
        <v>hp</v>
      </c>
      <c r="AA597">
        <f>Units!C$99</f>
        <v>1</v>
      </c>
      <c r="AB597">
        <f>Units!D$99</f>
        <v>1</v>
      </c>
      <c r="AC597" t="str">
        <f>Units!E$99</f>
        <v>hp</v>
      </c>
      <c r="AD597" t="str">
        <f>Units!F$99</f>
        <v>hp</v>
      </c>
      <c r="AE597" t="str">
        <f>Units!G$99</f>
        <v>hp</v>
      </c>
      <c r="AF597" t="str">
        <f>Units!H$99</f>
        <v>hp</v>
      </c>
    </row>
    <row r="598" spans="1:32" x14ac:dyDescent="0.3">
      <c r="A598" t="s">
        <v>1867</v>
      </c>
      <c r="B598" t="s">
        <v>1893</v>
      </c>
      <c r="C598" s="124" t="str">
        <f t="shared" si="330"/>
        <v>UDV.land_application.tanker_unload_rate</v>
      </c>
      <c r="D598" s="1329">
        <f t="shared" si="315"/>
        <v>1300</v>
      </c>
      <c r="E598" t="str">
        <f t="shared" si="326"/>
        <v>gal/min</v>
      </c>
      <c r="F598" s="944">
        <f t="shared" si="335"/>
        <v>1300</v>
      </c>
      <c r="G598" s="126"/>
      <c r="H598" s="1336">
        <f t="shared" si="336"/>
        <v>1300</v>
      </c>
      <c r="I598" s="1325" t="str">
        <f t="shared" si="327"/>
        <v>gal/min</v>
      </c>
      <c r="J598" t="s">
        <v>660</v>
      </c>
      <c r="K598" s="124"/>
      <c r="L598">
        <f t="shared" si="334"/>
        <v>500</v>
      </c>
      <c r="M598">
        <f t="shared" si="332"/>
        <v>1600</v>
      </c>
      <c r="N598">
        <f t="shared" si="329"/>
        <v>0</v>
      </c>
      <c r="O598" t="s">
        <v>1869</v>
      </c>
      <c r="P598" t="s">
        <v>1894</v>
      </c>
      <c r="R598" s="711"/>
      <c r="W598">
        <v>1300</v>
      </c>
      <c r="X598">
        <v>500</v>
      </c>
      <c r="Y598">
        <v>1600</v>
      </c>
      <c r="Z598" t="str">
        <f>Units!B$147</f>
        <v>gal/min</v>
      </c>
      <c r="AA598">
        <f>Units!C$147</f>
        <v>1</v>
      </c>
      <c r="AB598">
        <f>Units!D$147</f>
        <v>1</v>
      </c>
      <c r="AC598" t="str">
        <f>Units!E$147</f>
        <v>gal/min</v>
      </c>
      <c r="AD598" t="str">
        <f>Units!F$147</f>
        <v>gal/min</v>
      </c>
      <c r="AE598" t="str">
        <f>Units!G$147</f>
        <v>L/min</v>
      </c>
      <c r="AF598" t="str">
        <f>Units!H$147</f>
        <v>gal/min</v>
      </c>
    </row>
    <row r="599" spans="1:32" x14ac:dyDescent="0.3">
      <c r="A599" t="s">
        <v>1867</v>
      </c>
      <c r="B599" t="s">
        <v>1895</v>
      </c>
      <c r="C599" s="124" t="str">
        <f t="shared" si="330"/>
        <v>UDV.land_application.tanker_unloaded_speed</v>
      </c>
      <c r="D599" s="1329">
        <f t="shared" si="315"/>
        <v>17</v>
      </c>
      <c r="E599" t="str">
        <f t="shared" si="326"/>
        <v>miles/hour</v>
      </c>
      <c r="F599" s="944">
        <f t="shared" si="335"/>
        <v>17</v>
      </c>
      <c r="G599" s="126"/>
      <c r="H599" s="1336">
        <f t="shared" si="336"/>
        <v>17</v>
      </c>
      <c r="I599" s="1325" t="str">
        <f t="shared" si="327"/>
        <v>miles/hour</v>
      </c>
      <c r="J599" t="s">
        <v>660</v>
      </c>
      <c r="K599" s="124"/>
      <c r="L599">
        <f t="shared" si="334"/>
        <v>5</v>
      </c>
      <c r="M599">
        <f t="shared" si="332"/>
        <v>40</v>
      </c>
      <c r="N599">
        <f t="shared" si="329"/>
        <v>0</v>
      </c>
      <c r="O599" t="s">
        <v>1869</v>
      </c>
      <c r="P599" t="s">
        <v>1896</v>
      </c>
      <c r="R599" s="711"/>
      <c r="W599">
        <v>17</v>
      </c>
      <c r="X599">
        <v>5</v>
      </c>
      <c r="Y599">
        <v>40</v>
      </c>
      <c r="Z599" t="str">
        <f>Units!B$51</f>
        <v>miles/hour</v>
      </c>
      <c r="AA599">
        <f>Units!C$51</f>
        <v>1</v>
      </c>
      <c r="AB599">
        <f>Units!D$51</f>
        <v>1</v>
      </c>
      <c r="AC599" t="str">
        <f>Units!E$51</f>
        <v>miles/hour</v>
      </c>
      <c r="AD599" t="str">
        <f>Units!F$51</f>
        <v>miles/hour</v>
      </c>
      <c r="AE599" t="str">
        <f>Units!G$51</f>
        <v>km/hour</v>
      </c>
      <c r="AF599" t="str">
        <f>Units!H$51</f>
        <v>miles/hour</v>
      </c>
    </row>
    <row r="600" spans="1:32" x14ac:dyDescent="0.3">
      <c r="A600" t="s">
        <v>1867</v>
      </c>
      <c r="B600" t="s">
        <v>1897</v>
      </c>
      <c r="C600" s="124" t="str">
        <f t="shared" si="330"/>
        <v>UDV.land_application.tanker_volume</v>
      </c>
      <c r="D600" s="1091">
        <f t="shared" si="315"/>
        <v>6000</v>
      </c>
      <c r="E600" s="1093" t="str">
        <f t="shared" si="326"/>
        <v>gal (tank size)</v>
      </c>
      <c r="F600" s="1095">
        <f>UI.Tractor!BC91</f>
        <v>6000</v>
      </c>
      <c r="G600" s="1098">
        <f>UI.Tractor!BD91</f>
        <v>6000</v>
      </c>
      <c r="H600" s="1104">
        <v>9000</v>
      </c>
      <c r="I600" s="956" t="str">
        <f t="shared" si="327"/>
        <v>gal (tank size)</v>
      </c>
      <c r="J600" t="s">
        <v>799</v>
      </c>
      <c r="K600" t="s">
        <v>1872</v>
      </c>
      <c r="L600">
        <f t="shared" si="334"/>
        <v>3000</v>
      </c>
      <c r="M600">
        <f t="shared" si="332"/>
        <v>9000</v>
      </c>
      <c r="N600">
        <f t="shared" si="329"/>
        <v>1</v>
      </c>
      <c r="O600" t="s">
        <v>1869</v>
      </c>
      <c r="P600" t="s">
        <v>1898</v>
      </c>
      <c r="Q600" t="s">
        <v>1874</v>
      </c>
      <c r="R600" s="696" t="s">
        <v>84</v>
      </c>
      <c r="S600" t="s">
        <v>84</v>
      </c>
      <c r="V600" t="str">
        <f>IF(OR((M600-L600)&lt;=0,H600&gt;M600,H600&lt;L600),"Fix","")</f>
        <v/>
      </c>
      <c r="W600" s="78">
        <v>9000</v>
      </c>
      <c r="X600">
        <v>3000</v>
      </c>
      <c r="Y600">
        <v>9000</v>
      </c>
      <c r="Z600" t="str">
        <f>Units!B$130</f>
        <v>gal (tank size)</v>
      </c>
      <c r="AA600">
        <f>Units!C$130</f>
        <v>1</v>
      </c>
      <c r="AB600">
        <f>Units!D$130</f>
        <v>1</v>
      </c>
      <c r="AC600" t="str">
        <f>Units!E$130</f>
        <v>gal (tank size)</v>
      </c>
      <c r="AD600" t="str">
        <f>Units!F$130</f>
        <v>gal (tank size)</v>
      </c>
      <c r="AE600" t="str">
        <f>Units!G$130</f>
        <v>gal (tank size)</v>
      </c>
      <c r="AF600" t="str">
        <f>Units!H$130</f>
        <v>gal (tank size)</v>
      </c>
    </row>
    <row r="601" spans="1:32" x14ac:dyDescent="0.3">
      <c r="A601" t="s">
        <v>1899</v>
      </c>
      <c r="B601" t="s">
        <v>1900</v>
      </c>
      <c r="C601" s="124" t="str">
        <f>_xlfn.CONCAT("UDV.",A601,".",B601)</f>
        <v>UDV.lca.MJ_per_kg_oil_eq</v>
      </c>
      <c r="D601" s="1328">
        <f>$F601*$AB601</f>
        <v>41.87</v>
      </c>
      <c r="E601" s="125" t="str">
        <f>$AD601</f>
        <v>multiplier</v>
      </c>
      <c r="F601" s="1328">
        <f>IF(OR(G601="",N601=0),H601,G601)</f>
        <v>41.87</v>
      </c>
      <c r="G601" s="2137"/>
      <c r="H601" s="302">
        <f>$W601*$AA601</f>
        <v>41.87</v>
      </c>
      <c r="I601" s="1325" t="str">
        <f>$AC601</f>
        <v>multiplier</v>
      </c>
      <c r="J601" t="s">
        <v>660</v>
      </c>
      <c r="K601" s="124"/>
      <c r="L601">
        <f>ROUNDDOWN($X601*$AA601,8)</f>
        <v>4.1870000000000003</v>
      </c>
      <c r="M601">
        <f>ROUNDUP($Y601*$AA601,6)</f>
        <v>83.74</v>
      </c>
      <c r="N601">
        <f>IF(AND(M601 - G601 &gt;= 0, G601 - L601 &gt;=0),1,0)</f>
        <v>0</v>
      </c>
      <c r="O601" t="s">
        <v>1901</v>
      </c>
      <c r="P601" t="s">
        <v>1902</v>
      </c>
      <c r="W601" s="78">
        <v>41.87</v>
      </c>
      <c r="X601">
        <f>W601*0.1</f>
        <v>4.1870000000000003</v>
      </c>
      <c r="Y601">
        <f>W601*2</f>
        <v>83.74</v>
      </c>
      <c r="Z601" t="str">
        <f>Units!B$94</f>
        <v>multiplier</v>
      </c>
      <c r="AA601">
        <f>Units!C$94</f>
        <v>1</v>
      </c>
      <c r="AB601">
        <f>Units!D$94</f>
        <v>1</v>
      </c>
      <c r="AC601" t="str">
        <f>Units!E$94</f>
        <v>multiplier</v>
      </c>
      <c r="AD601" t="str">
        <f>Units!F$94</f>
        <v>multiplier</v>
      </c>
      <c r="AE601" t="str">
        <f>Units!G$94</f>
        <v>multiplier</v>
      </c>
      <c r="AF601" t="str">
        <f>Units!H$94</f>
        <v>multiplier</v>
      </c>
    </row>
    <row r="602" spans="1:32" x14ac:dyDescent="0.3">
      <c r="A602" t="s">
        <v>1899</v>
      </c>
      <c r="B602" t="s">
        <v>1903</v>
      </c>
      <c r="C602" s="124" t="str">
        <f>_xlfn.CONCAT("UDV.",A602,".",B602)</f>
        <v>UDV.lca.MJ_per_gal_diesel</v>
      </c>
      <c r="D602" s="1328">
        <f>$F602*$AB602</f>
        <v>144.94</v>
      </c>
      <c r="E602" s="125" t="str">
        <f>$AD602</f>
        <v>multiplier</v>
      </c>
      <c r="F602" s="1328">
        <f>IF(OR(G602="",N602=0),H602,G602)</f>
        <v>144.94</v>
      </c>
      <c r="G602" s="2137"/>
      <c r="H602" s="302">
        <f>$W602*$AA602</f>
        <v>144.94</v>
      </c>
      <c r="I602" s="1325" t="str">
        <f>$AC602</f>
        <v>multiplier</v>
      </c>
      <c r="J602" t="s">
        <v>660</v>
      </c>
      <c r="K602" s="124"/>
      <c r="L602">
        <f>ROUNDDOWN($X602*$AA602,8)</f>
        <v>14.494</v>
      </c>
      <c r="M602">
        <f>ROUNDUP($Y602*$AA602,6)</f>
        <v>289.88</v>
      </c>
      <c r="N602">
        <f>IF(AND(M602 - G602 &gt;= 0, G602 - L602 &gt;=0),1,0)</f>
        <v>0</v>
      </c>
      <c r="O602" t="s">
        <v>1901</v>
      </c>
      <c r="P602" t="s">
        <v>1904</v>
      </c>
      <c r="W602" s="78">
        <v>144.94</v>
      </c>
      <c r="X602">
        <f>W602*0.1</f>
        <v>14.494</v>
      </c>
      <c r="Y602">
        <f>W602*2</f>
        <v>289.88</v>
      </c>
      <c r="Z602" t="str">
        <f>Units!B$94</f>
        <v>multiplier</v>
      </c>
      <c r="AA602">
        <f>Units!C$94</f>
        <v>1</v>
      </c>
      <c r="AB602">
        <f>Units!D$94</f>
        <v>1</v>
      </c>
      <c r="AC602" t="str">
        <f>Units!E$94</f>
        <v>multiplier</v>
      </c>
      <c r="AD602" t="str">
        <f>Units!F$94</f>
        <v>multiplier</v>
      </c>
      <c r="AE602" t="str">
        <f>Units!G$94</f>
        <v>multiplier</v>
      </c>
      <c r="AF602" t="str">
        <f>Units!H$94</f>
        <v>multiplier</v>
      </c>
    </row>
    <row r="603" spans="1:32" x14ac:dyDescent="0.3">
      <c r="A603" t="s">
        <v>1899</v>
      </c>
      <c r="B603" t="s">
        <v>1905</v>
      </c>
      <c r="C603" s="124" t="str">
        <f t="shared" si="330"/>
        <v>UDV.lca.diesel_combustion_gwp</v>
      </c>
      <c r="D603" s="2136">
        <f t="shared" si="315"/>
        <v>10.18</v>
      </c>
      <c r="E603" s="125" t="str">
        <f t="shared" si="326"/>
        <v>kg</v>
      </c>
      <c r="F603" s="2136">
        <f t="shared" ref="F603:F651" si="337">IF(OR(G603="",N603=0),H603,G603)</f>
        <v>22.443058271599998</v>
      </c>
      <c r="G603" s="2137"/>
      <c r="H603" s="1154">
        <f t="shared" ref="H603:H635" si="338">$W603*$AA603</f>
        <v>22.443058271599998</v>
      </c>
      <c r="I603" s="1325" t="str">
        <f t="shared" si="327"/>
        <v>lb</v>
      </c>
      <c r="J603" t="s">
        <v>660</v>
      </c>
      <c r="K603" s="124"/>
      <c r="L603">
        <f t="shared" ref="L603:L623" si="339">ROUNDDOWN($X603*$AA603,8)</f>
        <v>2.2443058200000001</v>
      </c>
      <c r="M603">
        <f t="shared" ref="M603:M623" si="340">ROUNDUP($Y603*$AA603,6)</f>
        <v>44.886116999999999</v>
      </c>
      <c r="N603">
        <f t="shared" ref="N603:N630" si="341">IF(AND(M603 - G603 &gt;= 0, G603 - L603 &gt;=0),1,0)</f>
        <v>0</v>
      </c>
      <c r="O603" t="s">
        <v>1901</v>
      </c>
      <c r="P603" t="s">
        <v>1906</v>
      </c>
      <c r="R603" s="711"/>
      <c r="W603">
        <v>10.18</v>
      </c>
      <c r="X603">
        <f t="shared" ref="X603:X630" si="342">W603*0.1</f>
        <v>1.018</v>
      </c>
      <c r="Y603">
        <f t="shared" ref="Y603:Y630" si="343">W603*2</f>
        <v>20.36</v>
      </c>
      <c r="Z603" t="str">
        <f>Units!B$56</f>
        <v>kg</v>
      </c>
      <c r="AA603">
        <f>Units!C$56</f>
        <v>2.2046226199999999</v>
      </c>
      <c r="AB603">
        <f>Units!D$56</f>
        <v>0.45359237038037831</v>
      </c>
      <c r="AC603" t="str">
        <f>Units!E$56</f>
        <v>lb</v>
      </c>
      <c r="AD603" t="str">
        <f>Units!F$56</f>
        <v>kg</v>
      </c>
      <c r="AE603" t="str">
        <f>Units!G$56</f>
        <v>kg</v>
      </c>
      <c r="AF603" t="str">
        <f>Units!H$56</f>
        <v>lb</v>
      </c>
    </row>
    <row r="604" spans="1:32" x14ac:dyDescent="0.3">
      <c r="A604" t="s">
        <v>1899</v>
      </c>
      <c r="B604" t="s">
        <v>1907</v>
      </c>
      <c r="C604" s="124" t="str">
        <f t="shared" si="330"/>
        <v>UDV.lca.electricity_gwp</v>
      </c>
      <c r="D604" s="2136">
        <f t="shared" si="315"/>
        <v>0.35847898140858953</v>
      </c>
      <c r="E604" s="125" t="str">
        <f t="shared" si="326"/>
        <v>kg</v>
      </c>
      <c r="F604" s="2136">
        <f>IF(OR(G604="",N604=0),H604,G604)</f>
        <v>0.79031087120793586</v>
      </c>
      <c r="G604" s="2137"/>
      <c r="H604" s="1154">
        <f t="shared" si="338"/>
        <v>0.79031087120793586</v>
      </c>
      <c r="I604" s="1325" t="str">
        <f t="shared" si="327"/>
        <v>lb</v>
      </c>
      <c r="J604" t="s">
        <v>660</v>
      </c>
      <c r="K604" s="124"/>
      <c r="L604">
        <f t="shared" si="339"/>
        <v>7.9031080000000004E-2</v>
      </c>
      <c r="M604">
        <f t="shared" si="340"/>
        <v>1.580622</v>
      </c>
      <c r="N604">
        <f t="shared" si="341"/>
        <v>0</v>
      </c>
      <c r="O604" t="s">
        <v>1901</v>
      </c>
      <c r="P604" t="s">
        <v>1908</v>
      </c>
      <c r="R604" s="711"/>
      <c r="W604">
        <f>T.Electricity!L58</f>
        <v>0.35847898140858953</v>
      </c>
      <c r="X604">
        <f t="shared" si="342"/>
        <v>3.5847898140858953E-2</v>
      </c>
      <c r="Y604">
        <f t="shared" si="343"/>
        <v>0.71695796281717905</v>
      </c>
      <c r="Z604" t="str">
        <f>Units!B$56</f>
        <v>kg</v>
      </c>
      <c r="AA604">
        <f>Units!C$56</f>
        <v>2.2046226199999999</v>
      </c>
      <c r="AB604">
        <f>Units!D$56</f>
        <v>0.45359237038037831</v>
      </c>
      <c r="AC604" t="str">
        <f>Units!E$56</f>
        <v>lb</v>
      </c>
      <c r="AD604" t="str">
        <f>Units!F$56</f>
        <v>kg</v>
      </c>
      <c r="AE604" t="str">
        <f>Units!G$56</f>
        <v>kg</v>
      </c>
      <c r="AF604" t="str">
        <f>Units!H$56</f>
        <v>lb</v>
      </c>
    </row>
    <row r="605" spans="1:32" x14ac:dyDescent="0.3">
      <c r="A605" t="s">
        <v>1899</v>
      </c>
      <c r="B605" t="s">
        <v>1909</v>
      </c>
      <c r="C605" s="124" t="str">
        <f t="shared" si="330"/>
        <v>UDV.lca.diesel_gwp</v>
      </c>
      <c r="D605" s="2136">
        <f t="shared" si="315"/>
        <v>4.4999999999999998E-2</v>
      </c>
      <c r="E605" s="125" t="str">
        <f t="shared" si="326"/>
        <v>kg</v>
      </c>
      <c r="F605" s="2136">
        <f t="shared" si="337"/>
        <v>9.9208017899999987E-2</v>
      </c>
      <c r="G605" s="2137"/>
      <c r="H605" s="1154">
        <f t="shared" si="338"/>
        <v>9.9208017899999987E-2</v>
      </c>
      <c r="I605" s="1325" t="str">
        <f t="shared" si="327"/>
        <v>lb</v>
      </c>
      <c r="J605" t="s">
        <v>660</v>
      </c>
      <c r="K605" s="124"/>
      <c r="L605">
        <f t="shared" si="339"/>
        <v>9.9208000000000005E-3</v>
      </c>
      <c r="M605">
        <f t="shared" si="340"/>
        <v>0.19841700000000001</v>
      </c>
      <c r="N605">
        <f t="shared" si="341"/>
        <v>0</v>
      </c>
      <c r="O605" t="s">
        <v>1901</v>
      </c>
      <c r="P605" t="s">
        <v>1910</v>
      </c>
      <c r="R605" s="711"/>
      <c r="W605">
        <v>4.4999999999999998E-2</v>
      </c>
      <c r="X605">
        <f t="shared" si="342"/>
        <v>4.4999999999999997E-3</v>
      </c>
      <c r="Y605">
        <f t="shared" si="343"/>
        <v>0.09</v>
      </c>
      <c r="Z605" t="str">
        <f>Units!B$56</f>
        <v>kg</v>
      </c>
      <c r="AA605">
        <f>Units!C$56</f>
        <v>2.2046226199999999</v>
      </c>
      <c r="AB605">
        <f>Units!D$56</f>
        <v>0.45359237038037831</v>
      </c>
      <c r="AC605" t="str">
        <f>Units!E$56</f>
        <v>lb</v>
      </c>
      <c r="AD605" t="str">
        <f>Units!F$56</f>
        <v>kg</v>
      </c>
      <c r="AE605" t="str">
        <f>Units!G$56</f>
        <v>kg</v>
      </c>
      <c r="AF605" t="str">
        <f>Units!H$56</f>
        <v>lb</v>
      </c>
    </row>
    <row r="606" spans="1:32" x14ac:dyDescent="0.3">
      <c r="A606" t="s">
        <v>1899</v>
      </c>
      <c r="B606" t="s">
        <v>1911</v>
      </c>
      <c r="C606" s="124" t="str">
        <f t="shared" si="330"/>
        <v>UDV.lca.water_gwp</v>
      </c>
      <c r="D606" s="2136">
        <f t="shared" si="315"/>
        <v>4.4999999999999999E-4</v>
      </c>
      <c r="E606" s="125" t="str">
        <f t="shared" si="326"/>
        <v>kg</v>
      </c>
      <c r="F606" s="2136">
        <f t="shared" si="337"/>
        <v>9.9208017899999994E-4</v>
      </c>
      <c r="G606" s="2137"/>
      <c r="H606" s="1154">
        <f t="shared" si="338"/>
        <v>9.9208017899999994E-4</v>
      </c>
      <c r="I606" s="1325" t="str">
        <f t="shared" si="327"/>
        <v>lb</v>
      </c>
      <c r="J606" t="s">
        <v>660</v>
      </c>
      <c r="K606" s="124"/>
      <c r="L606">
        <f t="shared" si="339"/>
        <v>9.9199999999999999E-5</v>
      </c>
      <c r="M606">
        <f t="shared" si="340"/>
        <v>1.9850000000000002E-3</v>
      </c>
      <c r="N606">
        <f t="shared" si="341"/>
        <v>0</v>
      </c>
      <c r="O606" t="s">
        <v>1901</v>
      </c>
      <c r="P606" t="s">
        <v>1912</v>
      </c>
      <c r="R606" s="711"/>
      <c r="W606">
        <v>4.4999999999999999E-4</v>
      </c>
      <c r="X606">
        <f t="shared" si="342"/>
        <v>4.5000000000000003E-5</v>
      </c>
      <c r="Y606">
        <f t="shared" si="343"/>
        <v>8.9999999999999998E-4</v>
      </c>
      <c r="Z606" t="str">
        <f>Units!B$56</f>
        <v>kg</v>
      </c>
      <c r="AA606">
        <f>Units!C$56</f>
        <v>2.2046226199999999</v>
      </c>
      <c r="AB606">
        <f>Units!D$56</f>
        <v>0.45359237038037831</v>
      </c>
      <c r="AC606" t="str">
        <f>Units!E$56</f>
        <v>lb</v>
      </c>
      <c r="AD606" t="str">
        <f>Units!F$56</f>
        <v>kg</v>
      </c>
      <c r="AE606" t="str">
        <f>Units!G$56</f>
        <v>kg</v>
      </c>
      <c r="AF606" t="str">
        <f>Units!H$56</f>
        <v>lb</v>
      </c>
    </row>
    <row r="607" spans="1:32" x14ac:dyDescent="0.3">
      <c r="A607" t="s">
        <v>1899</v>
      </c>
      <c r="B607" t="s">
        <v>1913</v>
      </c>
      <c r="C607" s="124" t="str">
        <f t="shared" si="330"/>
        <v>UDV.lca.urea_gwp</v>
      </c>
      <c r="D607" s="2136">
        <f t="shared" si="315"/>
        <v>1.1990000000000001</v>
      </c>
      <c r="E607" s="125" t="str">
        <f t="shared" si="326"/>
        <v>kg</v>
      </c>
      <c r="F607" s="2136">
        <f t="shared" si="337"/>
        <v>2.6433425213800001</v>
      </c>
      <c r="G607" s="2137"/>
      <c r="H607" s="1154">
        <f t="shared" si="338"/>
        <v>2.6433425213800001</v>
      </c>
      <c r="I607" s="1325" t="str">
        <f t="shared" si="327"/>
        <v>lb</v>
      </c>
      <c r="J607" t="s">
        <v>660</v>
      </c>
      <c r="K607" s="124"/>
      <c r="L607">
        <f t="shared" si="339"/>
        <v>0.26433424999999999</v>
      </c>
      <c r="M607">
        <f t="shared" si="340"/>
        <v>5.2866860000000004</v>
      </c>
      <c r="N607">
        <f t="shared" si="341"/>
        <v>0</v>
      </c>
      <c r="O607" t="s">
        <v>1901</v>
      </c>
      <c r="P607" t="s">
        <v>1914</v>
      </c>
      <c r="R607" s="711"/>
      <c r="W607">
        <v>1.1990000000000001</v>
      </c>
      <c r="X607">
        <f t="shared" si="342"/>
        <v>0.11990000000000001</v>
      </c>
      <c r="Y607">
        <f t="shared" si="343"/>
        <v>2.3980000000000001</v>
      </c>
      <c r="Z607" t="str">
        <f>Units!B$56</f>
        <v>kg</v>
      </c>
      <c r="AA607">
        <f>Units!C$56</f>
        <v>2.2046226199999999</v>
      </c>
      <c r="AB607">
        <f>Units!D$56</f>
        <v>0.45359237038037831</v>
      </c>
      <c r="AC607" t="str">
        <f>Units!E$56</f>
        <v>lb</v>
      </c>
      <c r="AD607" t="str">
        <f>Units!F$56</f>
        <v>kg</v>
      </c>
      <c r="AE607" t="str">
        <f>Units!G$56</f>
        <v>kg</v>
      </c>
      <c r="AF607" t="str">
        <f>Units!H$56</f>
        <v>lb</v>
      </c>
    </row>
    <row r="608" spans="1:32" x14ac:dyDescent="0.3">
      <c r="A608" t="s">
        <v>1899</v>
      </c>
      <c r="B608" t="s">
        <v>1915</v>
      </c>
      <c r="C608" s="124" t="str">
        <f t="shared" si="330"/>
        <v>UDV.lca.P2O5_gwp</v>
      </c>
      <c r="D608" s="2136">
        <f t="shared" si="315"/>
        <v>0.86599999999999999</v>
      </c>
      <c r="E608" s="125" t="str">
        <f t="shared" si="326"/>
        <v>kg</v>
      </c>
      <c r="F608" s="2136">
        <f t="shared" si="337"/>
        <v>1.9092031889199998</v>
      </c>
      <c r="G608" s="2137"/>
      <c r="H608" s="1154">
        <f t="shared" si="338"/>
        <v>1.9092031889199998</v>
      </c>
      <c r="I608" s="1325" t="str">
        <f t="shared" si="327"/>
        <v>lb</v>
      </c>
      <c r="J608" t="s">
        <v>660</v>
      </c>
      <c r="K608" s="124"/>
      <c r="L608">
        <f t="shared" si="339"/>
        <v>0.19092031000000001</v>
      </c>
      <c r="M608">
        <f t="shared" si="340"/>
        <v>3.8184070000000001</v>
      </c>
      <c r="N608">
        <f t="shared" si="341"/>
        <v>0</v>
      </c>
      <c r="O608" t="s">
        <v>1901</v>
      </c>
      <c r="P608" t="s">
        <v>1916</v>
      </c>
      <c r="R608" s="711"/>
      <c r="W608">
        <v>0.86599999999999999</v>
      </c>
      <c r="X608">
        <f t="shared" si="342"/>
        <v>8.660000000000001E-2</v>
      </c>
      <c r="Y608">
        <f t="shared" si="343"/>
        <v>1.732</v>
      </c>
      <c r="Z608" t="str">
        <f>Units!B$56</f>
        <v>kg</v>
      </c>
      <c r="AA608">
        <f>Units!C$56</f>
        <v>2.2046226199999999</v>
      </c>
      <c r="AB608">
        <f>Units!D$56</f>
        <v>0.45359237038037831</v>
      </c>
      <c r="AC608" t="str">
        <f>Units!E$56</f>
        <v>lb</v>
      </c>
      <c r="AD608" t="str">
        <f>Units!F$56</f>
        <v>kg</v>
      </c>
      <c r="AE608" t="str">
        <f>Units!G$56</f>
        <v>kg</v>
      </c>
      <c r="AF608" t="str">
        <f>Units!H$56</f>
        <v>lb</v>
      </c>
    </row>
    <row r="609" spans="1:32" x14ac:dyDescent="0.3">
      <c r="A609" t="s">
        <v>1899</v>
      </c>
      <c r="B609" t="s">
        <v>1917</v>
      </c>
      <c r="C609" s="124" t="str">
        <f t="shared" si="330"/>
        <v>UDV.lca.K2O_gwp</v>
      </c>
      <c r="D609" s="2136">
        <f t="shared" si="315"/>
        <v>0.437</v>
      </c>
      <c r="E609" s="125" t="str">
        <f t="shared" si="326"/>
        <v>kg</v>
      </c>
      <c r="F609" s="2136">
        <f t="shared" si="337"/>
        <v>0.96342008493999998</v>
      </c>
      <c r="G609" s="2137"/>
      <c r="H609" s="1154">
        <f t="shared" si="338"/>
        <v>0.96342008493999998</v>
      </c>
      <c r="I609" s="1325" t="str">
        <f t="shared" si="327"/>
        <v>lb</v>
      </c>
      <c r="J609" t="s">
        <v>660</v>
      </c>
      <c r="K609" s="124"/>
      <c r="L609">
        <f t="shared" si="339"/>
        <v>9.6341999999999997E-2</v>
      </c>
      <c r="M609">
        <f t="shared" si="340"/>
        <v>1.926841</v>
      </c>
      <c r="N609">
        <f t="shared" si="341"/>
        <v>0</v>
      </c>
      <c r="O609" t="s">
        <v>1901</v>
      </c>
      <c r="P609" t="s">
        <v>1918</v>
      </c>
      <c r="R609" s="711"/>
      <c r="W609">
        <v>0.437</v>
      </c>
      <c r="X609">
        <f t="shared" si="342"/>
        <v>4.3700000000000003E-2</v>
      </c>
      <c r="Y609">
        <f t="shared" si="343"/>
        <v>0.874</v>
      </c>
      <c r="Z609" t="str">
        <f>Units!B$56</f>
        <v>kg</v>
      </c>
      <c r="AA609">
        <f>Units!C$56</f>
        <v>2.2046226199999999</v>
      </c>
      <c r="AB609">
        <f>Units!D$56</f>
        <v>0.45359237038037831</v>
      </c>
      <c r="AC609" t="str">
        <f>Units!E$56</f>
        <v>lb</v>
      </c>
      <c r="AD609" t="str">
        <f>Units!F$56</f>
        <v>kg</v>
      </c>
      <c r="AE609" t="str">
        <f>Units!G$56</f>
        <v>kg</v>
      </c>
      <c r="AF609" t="str">
        <f>Units!H$56</f>
        <v>lb</v>
      </c>
    </row>
    <row r="610" spans="1:32" x14ac:dyDescent="0.3">
      <c r="A610" t="s">
        <v>1899</v>
      </c>
      <c r="B610" t="s">
        <v>1919</v>
      </c>
      <c r="C610" s="124" t="str">
        <f t="shared" si="330"/>
        <v>UDV.lca.sand_gwp</v>
      </c>
      <c r="D610" s="2136">
        <f t="shared" si="315"/>
        <v>4.5999999999999991E-3</v>
      </c>
      <c r="E610" s="125" t="str">
        <f t="shared" si="326"/>
        <v>kg</v>
      </c>
      <c r="F610" s="2136">
        <f t="shared" si="337"/>
        <v>1.0141264051999999E-2</v>
      </c>
      <c r="G610" s="2137"/>
      <c r="H610" s="1154">
        <f t="shared" si="338"/>
        <v>1.0141264051999999E-2</v>
      </c>
      <c r="I610" s="1325" t="str">
        <f t="shared" si="327"/>
        <v>lb</v>
      </c>
      <c r="J610" t="s">
        <v>660</v>
      </c>
      <c r="K610" s="124"/>
      <c r="L610">
        <f t="shared" si="339"/>
        <v>1.0141200000000001E-3</v>
      </c>
      <c r="M610">
        <f t="shared" si="340"/>
        <v>2.0283000000000002E-2</v>
      </c>
      <c r="N610">
        <f t="shared" si="341"/>
        <v>0</v>
      </c>
      <c r="O610" t="s">
        <v>1901</v>
      </c>
      <c r="P610" t="s">
        <v>1920</v>
      </c>
      <c r="R610" s="711"/>
      <c r="W610">
        <v>4.5999999999999999E-3</v>
      </c>
      <c r="X610">
        <f t="shared" si="342"/>
        <v>4.6000000000000001E-4</v>
      </c>
      <c r="Y610">
        <f t="shared" si="343"/>
        <v>9.1999999999999998E-3</v>
      </c>
      <c r="Z610" t="str">
        <f>Units!B$56</f>
        <v>kg</v>
      </c>
      <c r="AA610">
        <f>Units!C$56</f>
        <v>2.2046226199999999</v>
      </c>
      <c r="AB610">
        <f>Units!D$56</f>
        <v>0.45359237038037831</v>
      </c>
      <c r="AC610" t="str">
        <f>Units!E$56</f>
        <v>lb</v>
      </c>
      <c r="AD610" t="str">
        <f>Units!F$56</f>
        <v>kg</v>
      </c>
      <c r="AE610" t="str">
        <f>Units!G$56</f>
        <v>kg</v>
      </c>
      <c r="AF610" t="str">
        <f>Units!H$56</f>
        <v>lb</v>
      </c>
    </row>
    <row r="611" spans="1:32" x14ac:dyDescent="0.3">
      <c r="A611" t="s">
        <v>1899</v>
      </c>
      <c r="B611" t="s">
        <v>1921</v>
      </c>
      <c r="C611" s="124" t="str">
        <f t="shared" si="330"/>
        <v>UDV.lca.electricity_ef</v>
      </c>
      <c r="D611" s="2136">
        <f t="shared" si="315"/>
        <v>4.58E-2</v>
      </c>
      <c r="E611" s="125" t="str">
        <f t="shared" si="326"/>
        <v>kg</v>
      </c>
      <c r="F611" s="2136">
        <f t="shared" si="337"/>
        <v>0.10097171599599999</v>
      </c>
      <c r="G611" s="2137"/>
      <c r="H611" s="1154">
        <f t="shared" si="338"/>
        <v>0.10097171599599999</v>
      </c>
      <c r="I611" s="1325" t="str">
        <f t="shared" si="327"/>
        <v>lb</v>
      </c>
      <c r="J611" t="s">
        <v>660</v>
      </c>
      <c r="K611" s="124"/>
      <c r="L611">
        <f t="shared" si="339"/>
        <v>1.0097170000000001E-2</v>
      </c>
      <c r="M611">
        <f t="shared" si="340"/>
        <v>0.20194400000000001</v>
      </c>
      <c r="N611">
        <f t="shared" si="341"/>
        <v>0</v>
      </c>
      <c r="O611" t="s">
        <v>1901</v>
      </c>
      <c r="P611" t="s">
        <v>1922</v>
      </c>
      <c r="R611" s="711"/>
      <c r="W611">
        <v>4.58E-2</v>
      </c>
      <c r="X611">
        <f t="shared" si="342"/>
        <v>4.5799999999999999E-3</v>
      </c>
      <c r="Y611">
        <f t="shared" si="343"/>
        <v>9.1600000000000001E-2</v>
      </c>
      <c r="Z611" t="str">
        <f>Units!B$56</f>
        <v>kg</v>
      </c>
      <c r="AA611">
        <f>Units!C$56</f>
        <v>2.2046226199999999</v>
      </c>
      <c r="AB611">
        <f>Units!D$56</f>
        <v>0.45359237038037831</v>
      </c>
      <c r="AC611" t="str">
        <f>Units!E$56</f>
        <v>lb</v>
      </c>
      <c r="AD611" t="str">
        <f>Units!F$56</f>
        <v>kg</v>
      </c>
      <c r="AE611" t="str">
        <f>Units!G$56</f>
        <v>kg</v>
      </c>
      <c r="AF611" t="str">
        <f>Units!H$56</f>
        <v>lb</v>
      </c>
    </row>
    <row r="612" spans="1:32" x14ac:dyDescent="0.3">
      <c r="A612" t="s">
        <v>1899</v>
      </c>
      <c r="B612" t="s">
        <v>1923</v>
      </c>
      <c r="C612" s="124" t="str">
        <f t="shared" si="330"/>
        <v>UDV.lca.diesel_ef</v>
      </c>
      <c r="D612" s="2136">
        <f t="shared" si="315"/>
        <v>3.8699999999999998E-2</v>
      </c>
      <c r="E612" s="125" t="str">
        <f t="shared" si="326"/>
        <v>kg</v>
      </c>
      <c r="F612" s="2136">
        <f t="shared" si="337"/>
        <v>8.5318895393999991E-2</v>
      </c>
      <c r="G612" s="2137"/>
      <c r="H612" s="1154">
        <f t="shared" si="338"/>
        <v>8.5318895393999991E-2</v>
      </c>
      <c r="I612" s="1325" t="str">
        <f t="shared" si="327"/>
        <v>lb</v>
      </c>
      <c r="J612" t="s">
        <v>660</v>
      </c>
      <c r="K612" s="124"/>
      <c r="L612">
        <f t="shared" si="339"/>
        <v>8.5318800000000004E-3</v>
      </c>
      <c r="M612">
        <f t="shared" si="340"/>
        <v>0.17063800000000001</v>
      </c>
      <c r="N612">
        <f t="shared" si="341"/>
        <v>0</v>
      </c>
      <c r="O612" t="s">
        <v>1901</v>
      </c>
      <c r="P612" t="s">
        <v>1924</v>
      </c>
      <c r="R612" s="711"/>
      <c r="W612">
        <v>3.8699999999999998E-2</v>
      </c>
      <c r="X612">
        <f t="shared" si="342"/>
        <v>3.8700000000000002E-3</v>
      </c>
      <c r="Y612">
        <f t="shared" si="343"/>
        <v>7.7399999999999997E-2</v>
      </c>
      <c r="Z612" t="str">
        <f>Units!B$56</f>
        <v>kg</v>
      </c>
      <c r="AA612">
        <f>Units!C$56</f>
        <v>2.2046226199999999</v>
      </c>
      <c r="AB612">
        <f>Units!D$56</f>
        <v>0.45359237038037831</v>
      </c>
      <c r="AC612" t="str">
        <f>Units!E$56</f>
        <v>lb</v>
      </c>
      <c r="AD612" t="str">
        <f>Units!F$56</f>
        <v>kg</v>
      </c>
      <c r="AE612" t="str">
        <f>Units!G$56</f>
        <v>kg</v>
      </c>
      <c r="AF612" t="str">
        <f>Units!H$56</f>
        <v>lb</v>
      </c>
    </row>
    <row r="613" spans="1:32" x14ac:dyDescent="0.3">
      <c r="A613" t="s">
        <v>1899</v>
      </c>
      <c r="B613" t="s">
        <v>1925</v>
      </c>
      <c r="C613" s="124" t="str">
        <f t="shared" si="330"/>
        <v>UDV.lca.water_ef</v>
      </c>
      <c r="D613" s="2136">
        <f t="shared" si="315"/>
        <v>1.6000000000000001E-4</v>
      </c>
      <c r="E613" s="125" t="str">
        <f t="shared" si="326"/>
        <v>kg</v>
      </c>
      <c r="F613" s="2136">
        <f t="shared" si="337"/>
        <v>3.527396192E-4</v>
      </c>
      <c r="G613" s="2137"/>
      <c r="H613" s="1154">
        <f t="shared" si="338"/>
        <v>3.527396192E-4</v>
      </c>
      <c r="I613" s="1325" t="str">
        <f t="shared" si="327"/>
        <v>lb</v>
      </c>
      <c r="J613" t="s">
        <v>660</v>
      </c>
      <c r="K613" s="124"/>
      <c r="L613">
        <f t="shared" si="339"/>
        <v>3.5269999999999999E-5</v>
      </c>
      <c r="M613">
        <f t="shared" si="340"/>
        <v>7.0600000000000003E-4</v>
      </c>
      <c r="N613">
        <f t="shared" si="341"/>
        <v>0</v>
      </c>
      <c r="O613" t="s">
        <v>1901</v>
      </c>
      <c r="P613" t="s">
        <v>1926</v>
      </c>
      <c r="R613" s="711"/>
      <c r="W613">
        <v>1.6000000000000001E-4</v>
      </c>
      <c r="X613">
        <f t="shared" si="342"/>
        <v>1.6000000000000003E-5</v>
      </c>
      <c r="Y613">
        <f t="shared" si="343"/>
        <v>3.2000000000000003E-4</v>
      </c>
      <c r="Z613" t="str">
        <f>Units!B$56</f>
        <v>kg</v>
      </c>
      <c r="AA613">
        <f>Units!C$56</f>
        <v>2.2046226199999999</v>
      </c>
      <c r="AB613">
        <f>Units!D$56</f>
        <v>0.45359237038037831</v>
      </c>
      <c r="AC613" t="str">
        <f>Units!E$56</f>
        <v>lb</v>
      </c>
      <c r="AD613" t="str">
        <f>Units!F$56</f>
        <v>kg</v>
      </c>
      <c r="AE613" t="str">
        <f>Units!G$56</f>
        <v>kg</v>
      </c>
      <c r="AF613" t="str">
        <f>Units!H$56</f>
        <v>lb</v>
      </c>
    </row>
    <row r="614" spans="1:32" x14ac:dyDescent="0.3">
      <c r="A614" t="s">
        <v>1899</v>
      </c>
      <c r="B614" t="s">
        <v>1927</v>
      </c>
      <c r="C614" s="124" t="str">
        <f t="shared" si="330"/>
        <v>UDV.lca.urea_ef</v>
      </c>
      <c r="D614" s="2136">
        <f t="shared" si="315"/>
        <v>1.6283543740533697</v>
      </c>
      <c r="E614" s="125" t="str">
        <f t="shared" si="326"/>
        <v>kg</v>
      </c>
      <c r="F614" s="2136">
        <f t="shared" si="337"/>
        <v>3.589906886414</v>
      </c>
      <c r="G614" s="2137"/>
      <c r="H614" s="1154">
        <f t="shared" si="338"/>
        <v>3.589906886414</v>
      </c>
      <c r="I614" s="1325" t="str">
        <f t="shared" si="327"/>
        <v>lb</v>
      </c>
      <c r="J614" t="s">
        <v>660</v>
      </c>
      <c r="K614" s="124"/>
      <c r="L614">
        <f t="shared" si="339"/>
        <v>0.35899068000000001</v>
      </c>
      <c r="M614">
        <f t="shared" si="340"/>
        <v>7.1798140000000004</v>
      </c>
      <c r="N614">
        <f t="shared" si="341"/>
        <v>0</v>
      </c>
      <c r="O614" t="s">
        <v>1901</v>
      </c>
      <c r="P614" t="s">
        <v>1928</v>
      </c>
      <c r="R614" s="711"/>
      <c r="W614">
        <v>1.6283543740533699</v>
      </c>
      <c r="X614">
        <f t="shared" si="342"/>
        <v>0.16283543740533701</v>
      </c>
      <c r="Y614">
        <f t="shared" si="343"/>
        <v>3.2567087481067398</v>
      </c>
      <c r="Z614" t="str">
        <f>Units!B$56</f>
        <v>kg</v>
      </c>
      <c r="AA614">
        <f>Units!C$56</f>
        <v>2.2046226199999999</v>
      </c>
      <c r="AB614">
        <f>Units!D$56</f>
        <v>0.45359237038037831</v>
      </c>
      <c r="AC614" t="str">
        <f>Units!E$56</f>
        <v>lb</v>
      </c>
      <c r="AD614" t="str">
        <f>Units!F$56</f>
        <v>kg</v>
      </c>
      <c r="AE614" t="str">
        <f>Units!G$56</f>
        <v>kg</v>
      </c>
      <c r="AF614" t="str">
        <f>Units!H$56</f>
        <v>lb</v>
      </c>
    </row>
    <row r="615" spans="1:32" x14ac:dyDescent="0.3">
      <c r="A615" t="s">
        <v>1899</v>
      </c>
      <c r="B615" t="s">
        <v>1929</v>
      </c>
      <c r="C615" s="124" t="str">
        <f t="shared" si="330"/>
        <v>UDV.lca.P2O5_ef</v>
      </c>
      <c r="D615" s="2136">
        <f t="shared" si="315"/>
        <v>0.51152721707443105</v>
      </c>
      <c r="E615" s="125" t="str">
        <f t="shared" si="326"/>
        <v>kg</v>
      </c>
      <c r="F615" s="2136">
        <f t="shared" si="337"/>
        <v>1.1277244735079408</v>
      </c>
      <c r="G615" s="2137"/>
      <c r="H615" s="1154">
        <f t="shared" si="338"/>
        <v>1.1277244735079408</v>
      </c>
      <c r="I615" s="1325" t="str">
        <f t="shared" si="327"/>
        <v>lb</v>
      </c>
      <c r="J615" t="s">
        <v>660</v>
      </c>
      <c r="K615" s="124"/>
      <c r="L615">
        <f t="shared" si="339"/>
        <v>0.11277244</v>
      </c>
      <c r="M615">
        <f t="shared" si="340"/>
        <v>2.255449</v>
      </c>
      <c r="N615">
        <f t="shared" si="341"/>
        <v>0</v>
      </c>
      <c r="O615" t="s">
        <v>1901</v>
      </c>
      <c r="P615" t="s">
        <v>1930</v>
      </c>
      <c r="R615" s="711"/>
      <c r="W615">
        <v>0.51152721707443105</v>
      </c>
      <c r="X615">
        <f t="shared" si="342"/>
        <v>5.1152721707443109E-2</v>
      </c>
      <c r="Y615">
        <f t="shared" si="343"/>
        <v>1.0230544341488621</v>
      </c>
      <c r="Z615" t="str">
        <f>Units!B$56</f>
        <v>kg</v>
      </c>
      <c r="AA615">
        <f>Units!C$56</f>
        <v>2.2046226199999999</v>
      </c>
      <c r="AB615">
        <f>Units!D$56</f>
        <v>0.45359237038037831</v>
      </c>
      <c r="AC615" t="str">
        <f>Units!E$56</f>
        <v>lb</v>
      </c>
      <c r="AD615" t="str">
        <f>Units!F$56</f>
        <v>kg</v>
      </c>
      <c r="AE615" t="str">
        <f>Units!G$56</f>
        <v>kg</v>
      </c>
      <c r="AF615" t="str">
        <f>Units!H$56</f>
        <v>lb</v>
      </c>
    </row>
    <row r="616" spans="1:32" x14ac:dyDescent="0.3">
      <c r="A616" t="s">
        <v>1899</v>
      </c>
      <c r="B616" t="s">
        <v>1931</v>
      </c>
      <c r="C616" s="124" t="str">
        <f t="shared" si="330"/>
        <v>UDV.lca.K2O_ef</v>
      </c>
      <c r="D616" s="2136">
        <f t="shared" si="315"/>
        <v>0.18504237837511697</v>
      </c>
      <c r="E616" s="125" t="str">
        <f t="shared" si="326"/>
        <v>kg</v>
      </c>
      <c r="F616" s="2136">
        <f t="shared" si="337"/>
        <v>0.40794861302438173</v>
      </c>
      <c r="G616" s="2137"/>
      <c r="H616" s="1154">
        <f t="shared" si="338"/>
        <v>0.40794861302438173</v>
      </c>
      <c r="I616" s="1325" t="str">
        <f t="shared" si="327"/>
        <v>lb</v>
      </c>
      <c r="J616" t="s">
        <v>660</v>
      </c>
      <c r="K616" s="124"/>
      <c r="L616">
        <f t="shared" si="339"/>
        <v>4.0794860000000002E-2</v>
      </c>
      <c r="M616">
        <f t="shared" si="340"/>
        <v>0.81589800000000001</v>
      </c>
      <c r="N616">
        <f t="shared" si="341"/>
        <v>0</v>
      </c>
      <c r="O616" t="s">
        <v>1901</v>
      </c>
      <c r="P616" t="s">
        <v>1932</v>
      </c>
      <c r="R616" s="711"/>
      <c r="W616">
        <v>0.185042378375117</v>
      </c>
      <c r="X616">
        <f t="shared" si="342"/>
        <v>1.8504237837511702E-2</v>
      </c>
      <c r="Y616">
        <f t="shared" si="343"/>
        <v>0.370084756750234</v>
      </c>
      <c r="Z616" t="str">
        <f>Units!B$56</f>
        <v>kg</v>
      </c>
      <c r="AA616">
        <f>Units!C$56</f>
        <v>2.2046226199999999</v>
      </c>
      <c r="AB616">
        <f>Units!D$56</f>
        <v>0.45359237038037831</v>
      </c>
      <c r="AC616" t="str">
        <f>Units!E$56</f>
        <v>lb</v>
      </c>
      <c r="AD616" t="str">
        <f>Units!F$56</f>
        <v>kg</v>
      </c>
      <c r="AE616" t="str">
        <f>Units!G$56</f>
        <v>kg</v>
      </c>
      <c r="AF616" t="str">
        <f>Units!H$56</f>
        <v>lb</v>
      </c>
    </row>
    <row r="617" spans="1:32" x14ac:dyDescent="0.3">
      <c r="A617" t="s">
        <v>1899</v>
      </c>
      <c r="B617" t="s">
        <v>1933</v>
      </c>
      <c r="C617" s="124" t="str">
        <f t="shared" si="330"/>
        <v>UDV.lca.sand_ef</v>
      </c>
      <c r="D617" s="2136">
        <f t="shared" si="315"/>
        <v>2.3999999999999998E-3</v>
      </c>
      <c r="E617" s="125" t="str">
        <f t="shared" si="326"/>
        <v>kg</v>
      </c>
      <c r="F617" s="2136">
        <f t="shared" si="337"/>
        <v>5.2910942879999994E-3</v>
      </c>
      <c r="G617" s="2137"/>
      <c r="H617" s="1154">
        <f t="shared" si="338"/>
        <v>5.2910942879999994E-3</v>
      </c>
      <c r="I617" s="1325" t="str">
        <f t="shared" si="327"/>
        <v>lb</v>
      </c>
      <c r="J617" t="s">
        <v>660</v>
      </c>
      <c r="K617" s="124"/>
      <c r="L617">
        <f t="shared" si="339"/>
        <v>5.2910000000000001E-4</v>
      </c>
      <c r="M617">
        <f t="shared" si="340"/>
        <v>1.0582999999999999E-2</v>
      </c>
      <c r="N617">
        <f t="shared" si="341"/>
        <v>0</v>
      </c>
      <c r="O617" t="s">
        <v>1901</v>
      </c>
      <c r="P617" t="s">
        <v>1934</v>
      </c>
      <c r="R617" s="711"/>
      <c r="W617">
        <v>2.3999999999999998E-3</v>
      </c>
      <c r="X617">
        <f t="shared" si="342"/>
        <v>2.3999999999999998E-4</v>
      </c>
      <c r="Y617">
        <f t="shared" si="343"/>
        <v>4.7999999999999996E-3</v>
      </c>
      <c r="Z617" t="str">
        <f>Units!B$56</f>
        <v>kg</v>
      </c>
      <c r="AA617">
        <f>Units!C$56</f>
        <v>2.2046226199999999</v>
      </c>
      <c r="AB617">
        <f>Units!D$56</f>
        <v>0.45359237038037831</v>
      </c>
      <c r="AC617" t="str">
        <f>Units!E$56</f>
        <v>lb</v>
      </c>
      <c r="AD617" t="str">
        <f>Units!F$56</f>
        <v>kg</v>
      </c>
      <c r="AE617" t="str">
        <f>Units!G$56</f>
        <v>kg</v>
      </c>
      <c r="AF617" t="str">
        <f>Units!H$56</f>
        <v>lb</v>
      </c>
    </row>
    <row r="618" spans="1:32" x14ac:dyDescent="0.3">
      <c r="A618" t="s">
        <v>1899</v>
      </c>
      <c r="B618" t="s">
        <v>1935</v>
      </c>
      <c r="C618" s="124" t="str">
        <f t="shared" si="330"/>
        <v>UDV.lca.electricity_wf</v>
      </c>
      <c r="D618" s="2136">
        <f t="shared" si="315"/>
        <v>1.6000000000000001E-3</v>
      </c>
      <c r="E618" s="125" t="str">
        <f t="shared" si="326"/>
        <v>m3</v>
      </c>
      <c r="F618" s="2136">
        <f t="shared" si="337"/>
        <v>5.6503466719999999E-2</v>
      </c>
      <c r="G618" s="2137"/>
      <c r="H618" s="1154">
        <f t="shared" si="338"/>
        <v>5.6503466719999999E-2</v>
      </c>
      <c r="I618" s="1325" t="str">
        <f t="shared" si="327"/>
        <v>ft3</v>
      </c>
      <c r="J618" t="s">
        <v>660</v>
      </c>
      <c r="K618" s="124"/>
      <c r="L618">
        <f t="shared" si="339"/>
        <v>5.6503400000000002E-3</v>
      </c>
      <c r="M618">
        <f t="shared" si="340"/>
        <v>0.113007</v>
      </c>
      <c r="N618">
        <f t="shared" si="341"/>
        <v>0</v>
      </c>
      <c r="O618" t="s">
        <v>1901</v>
      </c>
      <c r="P618" t="s">
        <v>1936</v>
      </c>
      <c r="R618" s="711"/>
      <c r="W618">
        <v>1.6000000000000001E-3</v>
      </c>
      <c r="X618">
        <f t="shared" si="342"/>
        <v>1.6000000000000001E-4</v>
      </c>
      <c r="Y618">
        <f t="shared" si="343"/>
        <v>3.2000000000000002E-3</v>
      </c>
      <c r="Z618" t="str">
        <f>Units!B$131</f>
        <v>m3</v>
      </c>
      <c r="AA618">
        <f>Units!C$131</f>
        <v>35.314666699999997</v>
      </c>
      <c r="AB618">
        <f>Units!D$131</f>
        <v>2.8316846609230496E-2</v>
      </c>
      <c r="AC618" t="str">
        <f>Units!E$131</f>
        <v>ft3</v>
      </c>
      <c r="AD618" t="str">
        <f>Units!F$131</f>
        <v>m3</v>
      </c>
      <c r="AE618" t="str">
        <f>Units!G$131</f>
        <v>m3</v>
      </c>
      <c r="AF618" t="str">
        <f>Units!H$131</f>
        <v>ft3</v>
      </c>
    </row>
    <row r="619" spans="1:32" x14ac:dyDescent="0.3">
      <c r="A619" t="s">
        <v>1899</v>
      </c>
      <c r="B619" t="s">
        <v>1937</v>
      </c>
      <c r="C619" s="124" t="str">
        <f t="shared" si="330"/>
        <v>UDV.lca.diesel_wf</v>
      </c>
      <c r="D619" s="2136">
        <f t="shared" si="315"/>
        <v>4.4999999999999993E-4</v>
      </c>
      <c r="E619" s="125" t="str">
        <f t="shared" si="326"/>
        <v>m3</v>
      </c>
      <c r="F619" s="2136">
        <f t="shared" si="337"/>
        <v>1.5891600014999997E-2</v>
      </c>
      <c r="G619" s="2137"/>
      <c r="H619" s="1154">
        <f t="shared" si="338"/>
        <v>1.5891600014999997E-2</v>
      </c>
      <c r="I619" s="1325" t="str">
        <f t="shared" si="327"/>
        <v>ft3</v>
      </c>
      <c r="J619" t="s">
        <v>660</v>
      </c>
      <c r="K619" s="124"/>
      <c r="L619">
        <f t="shared" si="339"/>
        <v>1.5891600000000001E-3</v>
      </c>
      <c r="M619">
        <f t="shared" si="340"/>
        <v>3.1784E-2</v>
      </c>
      <c r="N619">
        <f t="shared" si="341"/>
        <v>0</v>
      </c>
      <c r="O619" t="s">
        <v>1901</v>
      </c>
      <c r="P619" t="s">
        <v>1938</v>
      </c>
      <c r="R619" s="711"/>
      <c r="W619">
        <v>4.4999999999999999E-4</v>
      </c>
      <c r="X619">
        <f t="shared" si="342"/>
        <v>4.5000000000000003E-5</v>
      </c>
      <c r="Y619">
        <f t="shared" si="343"/>
        <v>8.9999999999999998E-4</v>
      </c>
      <c r="Z619" t="str">
        <f>Units!B$131</f>
        <v>m3</v>
      </c>
      <c r="AA619">
        <f>Units!C$131</f>
        <v>35.314666699999997</v>
      </c>
      <c r="AB619">
        <f>Units!D$131</f>
        <v>2.8316846609230496E-2</v>
      </c>
      <c r="AC619" t="str">
        <f>Units!E$131</f>
        <v>ft3</v>
      </c>
      <c r="AD619" t="str">
        <f>Units!F$131</f>
        <v>m3</v>
      </c>
      <c r="AE619" t="str">
        <f>Units!G$131</f>
        <v>m3</v>
      </c>
      <c r="AF619" t="str">
        <f>Units!H$131</f>
        <v>ft3</v>
      </c>
    </row>
    <row r="620" spans="1:32" x14ac:dyDescent="0.3">
      <c r="A620" t="s">
        <v>1899</v>
      </c>
      <c r="B620" t="s">
        <v>1939</v>
      </c>
      <c r="C620" s="124" t="str">
        <f t="shared" si="330"/>
        <v>UDV.lca.water_wf</v>
      </c>
      <c r="D620" s="2136">
        <f t="shared" si="315"/>
        <v>1.00124E-3</v>
      </c>
      <c r="E620" s="125" t="str">
        <f t="shared" si="326"/>
        <v>m3</v>
      </c>
      <c r="F620" s="2136">
        <f t="shared" si="337"/>
        <v>3.5358456886707995E-2</v>
      </c>
      <c r="G620" s="2137"/>
      <c r="H620" s="1154">
        <f t="shared" si="338"/>
        <v>3.5358456886707995E-2</v>
      </c>
      <c r="I620" s="1325" t="str">
        <f t="shared" si="327"/>
        <v>ft3</v>
      </c>
      <c r="J620" t="s">
        <v>660</v>
      </c>
      <c r="K620" s="124"/>
      <c r="L620">
        <f t="shared" si="339"/>
        <v>3.5358400000000002E-3</v>
      </c>
      <c r="M620">
        <f t="shared" si="340"/>
        <v>7.0717000000000002E-2</v>
      </c>
      <c r="N620">
        <f t="shared" si="341"/>
        <v>0</v>
      </c>
      <c r="O620" t="s">
        <v>1901</v>
      </c>
      <c r="P620" t="s">
        <v>1940</v>
      </c>
      <c r="R620" s="711"/>
      <c r="W620">
        <v>1.00124E-3</v>
      </c>
      <c r="X620">
        <f t="shared" si="342"/>
        <v>1.0012400000000001E-4</v>
      </c>
      <c r="Y620">
        <f t="shared" si="343"/>
        <v>2.0024800000000001E-3</v>
      </c>
      <c r="Z620" t="str">
        <f>Units!B$131</f>
        <v>m3</v>
      </c>
      <c r="AA620">
        <f>Units!C$131</f>
        <v>35.314666699999997</v>
      </c>
      <c r="AB620">
        <f>Units!D$131</f>
        <v>2.8316846609230496E-2</v>
      </c>
      <c r="AC620" t="str">
        <f>Units!E$131</f>
        <v>ft3</v>
      </c>
      <c r="AD620" t="str">
        <f>Units!F$131</f>
        <v>m3</v>
      </c>
      <c r="AE620" t="str">
        <f>Units!G$131</f>
        <v>m3</v>
      </c>
      <c r="AF620" t="str">
        <f>Units!H$131</f>
        <v>ft3</v>
      </c>
    </row>
    <row r="621" spans="1:32" x14ac:dyDescent="0.3">
      <c r="A621" t="s">
        <v>1899</v>
      </c>
      <c r="B621" t="s">
        <v>1941</v>
      </c>
      <c r="C621" s="124" t="str">
        <f t="shared" si="330"/>
        <v>UDV.lca.urea_wf</v>
      </c>
      <c r="D621" s="2136">
        <f t="shared" si="315"/>
        <v>2.99425931E-3</v>
      </c>
      <c r="E621" s="125" t="str">
        <f t="shared" si="326"/>
        <v>m3</v>
      </c>
      <c r="F621" s="2136">
        <f t="shared" si="337"/>
        <v>0.10574126954602196</v>
      </c>
      <c r="G621" s="2137"/>
      <c r="H621" s="1154">
        <f t="shared" si="338"/>
        <v>0.10574126954602196</v>
      </c>
      <c r="I621" s="1325" t="str">
        <f t="shared" si="327"/>
        <v>ft3</v>
      </c>
      <c r="J621" t="s">
        <v>660</v>
      </c>
      <c r="K621" s="124"/>
      <c r="L621">
        <f t="shared" si="339"/>
        <v>1.0574119999999999E-2</v>
      </c>
      <c r="M621">
        <f t="shared" si="340"/>
        <v>0.211483</v>
      </c>
      <c r="N621">
        <f t="shared" si="341"/>
        <v>0</v>
      </c>
      <c r="O621" t="s">
        <v>1901</v>
      </c>
      <c r="P621" t="s">
        <v>1942</v>
      </c>
      <c r="R621" s="711"/>
      <c r="W621">
        <v>2.99425931E-3</v>
      </c>
      <c r="X621">
        <f t="shared" si="342"/>
        <v>2.9942593100000005E-4</v>
      </c>
      <c r="Y621">
        <f t="shared" si="343"/>
        <v>5.9885186200000001E-3</v>
      </c>
      <c r="Z621" t="str">
        <f>Units!B$131</f>
        <v>m3</v>
      </c>
      <c r="AA621">
        <f>Units!C$131</f>
        <v>35.314666699999997</v>
      </c>
      <c r="AB621">
        <f>Units!D$131</f>
        <v>2.8316846609230496E-2</v>
      </c>
      <c r="AC621" t="str">
        <f>Units!E$131</f>
        <v>ft3</v>
      </c>
      <c r="AD621" t="str">
        <f>Units!F$131</f>
        <v>m3</v>
      </c>
      <c r="AE621" t="str">
        <f>Units!G$131</f>
        <v>m3</v>
      </c>
      <c r="AF621" t="str">
        <f>Units!H$131</f>
        <v>ft3</v>
      </c>
    </row>
    <row r="622" spans="1:32" x14ac:dyDescent="0.3">
      <c r="A622" t="s">
        <v>1899</v>
      </c>
      <c r="B622" t="s">
        <v>1943</v>
      </c>
      <c r="C622" s="124" t="str">
        <f t="shared" si="330"/>
        <v>UDV.lca.P2O5_wf</v>
      </c>
      <c r="D622" s="2136">
        <f t="shared" si="315"/>
        <v>3.7097017999999997E-4</v>
      </c>
      <c r="E622" s="125" t="str">
        <f t="shared" si="326"/>
        <v>m3</v>
      </c>
      <c r="F622" s="2136">
        <f t="shared" si="337"/>
        <v>1.3100688262339004E-2</v>
      </c>
      <c r="G622" s="2137"/>
      <c r="H622" s="1154">
        <f t="shared" si="338"/>
        <v>1.3100688262339004E-2</v>
      </c>
      <c r="I622" s="1325" t="str">
        <f t="shared" si="327"/>
        <v>ft3</v>
      </c>
      <c r="J622" t="s">
        <v>660</v>
      </c>
      <c r="K622" s="124"/>
      <c r="L622">
        <f t="shared" si="339"/>
        <v>1.31006E-3</v>
      </c>
      <c r="M622">
        <f t="shared" si="340"/>
        <v>2.6202E-2</v>
      </c>
      <c r="N622">
        <f t="shared" si="341"/>
        <v>0</v>
      </c>
      <c r="O622" t="s">
        <v>1901</v>
      </c>
      <c r="P622" t="s">
        <v>1944</v>
      </c>
      <c r="R622" s="711"/>
      <c r="W622">
        <v>3.7097017999999997E-4</v>
      </c>
      <c r="X622">
        <f t="shared" si="342"/>
        <v>3.7097017999999997E-5</v>
      </c>
      <c r="Y622">
        <f t="shared" si="343"/>
        <v>7.4194035999999993E-4</v>
      </c>
      <c r="Z622" t="str">
        <f>Units!B$131</f>
        <v>m3</v>
      </c>
      <c r="AA622">
        <f>Units!C$131</f>
        <v>35.314666699999997</v>
      </c>
      <c r="AB622">
        <f>Units!D$131</f>
        <v>2.8316846609230496E-2</v>
      </c>
      <c r="AC622" t="str">
        <f>Units!E$131</f>
        <v>ft3</v>
      </c>
      <c r="AD622" t="str">
        <f>Units!F$131</f>
        <v>m3</v>
      </c>
      <c r="AE622" t="str">
        <f>Units!G$131</f>
        <v>m3</v>
      </c>
      <c r="AF622" t="str">
        <f>Units!H$131</f>
        <v>ft3</v>
      </c>
    </row>
    <row r="623" spans="1:32" x14ac:dyDescent="0.3">
      <c r="A623" t="s">
        <v>1899</v>
      </c>
      <c r="B623" t="s">
        <v>1945</v>
      </c>
      <c r="C623" s="124" t="str">
        <f t="shared" si="330"/>
        <v>UDV.lca.K2O_wf</v>
      </c>
      <c r="D623" s="2136">
        <f t="shared" si="315"/>
        <v>2.2674605899999996E-3</v>
      </c>
      <c r="E623" s="125" t="str">
        <f t="shared" si="326"/>
        <v>m3</v>
      </c>
      <c r="F623" s="2136">
        <f t="shared" si="337"/>
        <v>8.0074614991235332E-2</v>
      </c>
      <c r="G623" s="2137"/>
      <c r="H623" s="1154">
        <f t="shared" si="338"/>
        <v>8.0074614991235332E-2</v>
      </c>
      <c r="I623" s="1325" t="str">
        <f t="shared" si="327"/>
        <v>ft3</v>
      </c>
      <c r="J623" t="s">
        <v>660</v>
      </c>
      <c r="K623" s="124"/>
      <c r="L623">
        <f t="shared" si="339"/>
        <v>8.0074599999999992E-3</v>
      </c>
      <c r="M623">
        <f t="shared" si="340"/>
        <v>0.16015000000000001</v>
      </c>
      <c r="N623">
        <f t="shared" si="341"/>
        <v>0</v>
      </c>
      <c r="O623" t="s">
        <v>1901</v>
      </c>
      <c r="P623" t="s">
        <v>1946</v>
      </c>
      <c r="R623" s="711"/>
      <c r="W623">
        <v>2.2674605899999996E-3</v>
      </c>
      <c r="X623">
        <f t="shared" si="342"/>
        <v>2.2674605899999998E-4</v>
      </c>
      <c r="Y623">
        <f t="shared" si="343"/>
        <v>4.5349211799999992E-3</v>
      </c>
      <c r="Z623" t="str">
        <f>Units!B$131</f>
        <v>m3</v>
      </c>
      <c r="AA623">
        <f>Units!C$131</f>
        <v>35.314666699999997</v>
      </c>
      <c r="AB623">
        <f>Units!D$131</f>
        <v>2.8316846609230496E-2</v>
      </c>
      <c r="AC623" t="str">
        <f>Units!E$131</f>
        <v>ft3</v>
      </c>
      <c r="AD623" t="str">
        <f>Units!F$131</f>
        <v>m3</v>
      </c>
      <c r="AE623" t="str">
        <f>Units!G$131</f>
        <v>m3</v>
      </c>
      <c r="AF623" t="str">
        <f>Units!H$131</f>
        <v>ft3</v>
      </c>
    </row>
    <row r="624" spans="1:32" x14ac:dyDescent="0.3">
      <c r="A624" t="s">
        <v>1899</v>
      </c>
      <c r="B624" t="s">
        <v>1947</v>
      </c>
      <c r="C624" s="124" t="str">
        <f t="shared" si="330"/>
        <v>UDV.lca.sand_wf</v>
      </c>
      <c r="D624" s="2136">
        <f t="shared" si="315"/>
        <v>1.7000000000000001E-4</v>
      </c>
      <c r="E624" s="125" t="str">
        <f t="shared" si="326"/>
        <v>m3</v>
      </c>
      <c r="F624" s="2136">
        <f t="shared" si="337"/>
        <v>6.0034933389999994E-3</v>
      </c>
      <c r="G624" s="2137"/>
      <c r="H624" s="1154">
        <f t="shared" si="338"/>
        <v>6.0034933389999994E-3</v>
      </c>
      <c r="I624" s="1325" t="str">
        <f t="shared" si="327"/>
        <v>ft3</v>
      </c>
      <c r="J624" t="s">
        <v>660</v>
      </c>
      <c r="K624" s="124"/>
      <c r="L624">
        <f t="shared" ref="L624:L635" si="344">ROUNDDOWN($X624*$AA624,8)</f>
        <v>6.0033999999999999E-4</v>
      </c>
      <c r="M624">
        <f t="shared" ref="M624:M635" si="345">ROUNDUP($Y624*$AA624,6)</f>
        <v>1.2006999999999999E-2</v>
      </c>
      <c r="N624">
        <f t="shared" si="341"/>
        <v>0</v>
      </c>
      <c r="O624" t="s">
        <v>1901</v>
      </c>
      <c r="P624" t="s">
        <v>1948</v>
      </c>
      <c r="R624" s="711"/>
      <c r="W624">
        <v>1.7000000000000001E-4</v>
      </c>
      <c r="X624">
        <f t="shared" si="342"/>
        <v>1.7000000000000003E-5</v>
      </c>
      <c r="Y624">
        <f t="shared" si="343"/>
        <v>3.4000000000000002E-4</v>
      </c>
      <c r="Z624" t="str">
        <f>Units!B$131</f>
        <v>m3</v>
      </c>
      <c r="AA624">
        <f>Units!C$131</f>
        <v>35.314666699999997</v>
      </c>
      <c r="AB624">
        <f>Units!D$131</f>
        <v>2.8316846609230496E-2</v>
      </c>
      <c r="AC624" t="str">
        <f>Units!E$131</f>
        <v>ft3</v>
      </c>
      <c r="AD624" t="str">
        <f>Units!F$131</f>
        <v>m3</v>
      </c>
      <c r="AE624" t="str">
        <f>Units!G$131</f>
        <v>m3</v>
      </c>
      <c r="AF624" t="str">
        <f>Units!H$131</f>
        <v>ft3</v>
      </c>
    </row>
    <row r="625" spans="1:32" x14ac:dyDescent="0.3">
      <c r="A625" t="s">
        <v>1899</v>
      </c>
      <c r="B625" t="s">
        <v>1949</v>
      </c>
      <c r="C625" s="124" t="str">
        <f t="shared" ref="C625:C635" si="346">_xlfn.CONCAT("UDV.",A625,".",B625)</f>
        <v>UDV.lca.electricity_land</v>
      </c>
      <c r="D625" s="2136">
        <f t="shared" si="315"/>
        <v>1.6369999974587474E-3</v>
      </c>
      <c r="E625" s="125" t="str">
        <f t="shared" si="326"/>
        <v>m2</v>
      </c>
      <c r="F625" s="2136">
        <f t="shared" si="337"/>
        <v>1.7620521324799999E-2</v>
      </c>
      <c r="G625" s="2137"/>
      <c r="H625" s="1154">
        <f t="shared" si="338"/>
        <v>1.7620521324799999E-2</v>
      </c>
      <c r="I625" s="1325" t="str">
        <f t="shared" si="327"/>
        <v>ft2</v>
      </c>
      <c r="J625" t="s">
        <v>660</v>
      </c>
      <c r="K625" s="124"/>
      <c r="L625">
        <f t="shared" si="344"/>
        <v>1.76205E-3</v>
      </c>
      <c r="M625">
        <f t="shared" si="345"/>
        <v>3.5242000000000002E-2</v>
      </c>
      <c r="N625">
        <f t="shared" si="341"/>
        <v>0</v>
      </c>
      <c r="O625" t="s">
        <v>1901</v>
      </c>
      <c r="P625" t="s">
        <v>1950</v>
      </c>
      <c r="R625" s="711"/>
      <c r="W625">
        <v>1.637E-3</v>
      </c>
      <c r="X625">
        <f t="shared" si="342"/>
        <v>1.6370000000000002E-4</v>
      </c>
      <c r="Y625">
        <f t="shared" si="343"/>
        <v>3.274E-3</v>
      </c>
      <c r="Z625" t="str">
        <f>Units!B$5</f>
        <v>m2</v>
      </c>
      <c r="AA625">
        <f>Units!C$5</f>
        <v>10.7639104</v>
      </c>
      <c r="AB625">
        <f>Units!D$5</f>
        <v>9.2903040000000006E-2</v>
      </c>
      <c r="AC625" t="str">
        <f>Units!E$5</f>
        <v>ft2</v>
      </c>
      <c r="AD625" t="str">
        <f>Units!F$5</f>
        <v>m2</v>
      </c>
      <c r="AE625" t="str">
        <f>Units!G$5</f>
        <v>m2</v>
      </c>
      <c r="AF625" t="str">
        <f>Units!H$5</f>
        <v>ft2</v>
      </c>
    </row>
    <row r="626" spans="1:32" x14ac:dyDescent="0.3">
      <c r="A626" t="s">
        <v>1899</v>
      </c>
      <c r="B626" t="s">
        <v>1951</v>
      </c>
      <c r="C626" s="124" t="str">
        <f t="shared" si="346"/>
        <v>UDV.lca.diesel_land</v>
      </c>
      <c r="D626" s="2136">
        <f t="shared" si="315"/>
        <v>1.1649999981914728E-2</v>
      </c>
      <c r="E626" s="125" t="str">
        <f t="shared" si="326"/>
        <v>m2</v>
      </c>
      <c r="F626" s="2136">
        <f t="shared" si="337"/>
        <v>0.12539955616000001</v>
      </c>
      <c r="G626" s="2137"/>
      <c r="H626" s="1154">
        <f t="shared" si="338"/>
        <v>0.12539955616000001</v>
      </c>
      <c r="I626" s="1325" t="str">
        <f t="shared" si="327"/>
        <v>ft2</v>
      </c>
      <c r="J626" t="s">
        <v>660</v>
      </c>
      <c r="K626" s="124"/>
      <c r="L626">
        <f t="shared" si="344"/>
        <v>1.2539949999999999E-2</v>
      </c>
      <c r="M626">
        <f t="shared" si="345"/>
        <v>0.25079999999999997</v>
      </c>
      <c r="N626">
        <f t="shared" si="341"/>
        <v>0</v>
      </c>
      <c r="O626" t="s">
        <v>1901</v>
      </c>
      <c r="P626" t="s">
        <v>1952</v>
      </c>
      <c r="R626" s="711"/>
      <c r="W626">
        <v>1.1650000000000001E-2</v>
      </c>
      <c r="X626">
        <f t="shared" si="342"/>
        <v>1.165E-3</v>
      </c>
      <c r="Y626">
        <f t="shared" si="343"/>
        <v>2.3300000000000001E-2</v>
      </c>
      <c r="Z626" t="str">
        <f>Units!B$5</f>
        <v>m2</v>
      </c>
      <c r="AA626">
        <f>Units!C$5</f>
        <v>10.7639104</v>
      </c>
      <c r="AB626">
        <f>Units!D$5</f>
        <v>9.2903040000000006E-2</v>
      </c>
      <c r="AC626" t="str">
        <f>Units!E$5</f>
        <v>ft2</v>
      </c>
      <c r="AD626" t="str">
        <f>Units!F$5</f>
        <v>m2</v>
      </c>
      <c r="AE626" t="str">
        <f>Units!G$5</f>
        <v>m2</v>
      </c>
      <c r="AF626" t="str">
        <f>Units!H$5</f>
        <v>ft2</v>
      </c>
    </row>
    <row r="627" spans="1:32" x14ac:dyDescent="0.3">
      <c r="A627" t="s">
        <v>1899</v>
      </c>
      <c r="B627" t="s">
        <v>1953</v>
      </c>
      <c r="C627" s="124" t="str">
        <f t="shared" si="346"/>
        <v>UDV.lca.water_land</v>
      </c>
      <c r="D627" s="2136">
        <f t="shared" si="315"/>
        <v>2.2436966245169217E-5</v>
      </c>
      <c r="E627" s="125" t="str">
        <f t="shared" si="326"/>
        <v>m2</v>
      </c>
      <c r="F627" s="2136">
        <f t="shared" si="337"/>
        <v>2.4150949468574134E-4</v>
      </c>
      <c r="G627" s="2137"/>
      <c r="H627" s="1154">
        <f t="shared" si="338"/>
        <v>2.4150949468574134E-4</v>
      </c>
      <c r="I627" s="1325" t="str">
        <f t="shared" si="327"/>
        <v>ft2</v>
      </c>
      <c r="J627" t="s">
        <v>660</v>
      </c>
      <c r="K627" s="124"/>
      <c r="L627">
        <f t="shared" si="344"/>
        <v>2.4150000000000001E-5</v>
      </c>
      <c r="M627">
        <f t="shared" si="345"/>
        <v>4.84E-4</v>
      </c>
      <c r="N627">
        <f t="shared" si="341"/>
        <v>0</v>
      </c>
      <c r="O627" t="s">
        <v>1901</v>
      </c>
      <c r="P627" t="s">
        <v>1954</v>
      </c>
      <c r="R627" s="711"/>
      <c r="W627">
        <v>2.2436966280000001E-5</v>
      </c>
      <c r="X627">
        <f t="shared" si="342"/>
        <v>2.2436966280000003E-6</v>
      </c>
      <c r="Y627">
        <f t="shared" si="343"/>
        <v>4.4873932560000002E-5</v>
      </c>
      <c r="Z627" t="str">
        <f>Units!B$5</f>
        <v>m2</v>
      </c>
      <c r="AA627">
        <f>Units!C$5</f>
        <v>10.7639104</v>
      </c>
      <c r="AB627">
        <f>Units!D$5</f>
        <v>9.2903040000000006E-2</v>
      </c>
      <c r="AC627" t="str">
        <f>Units!E$5</f>
        <v>ft2</v>
      </c>
      <c r="AD627" t="str">
        <f>Units!F$5</f>
        <v>m2</v>
      </c>
      <c r="AE627" t="str">
        <f>Units!G$5</f>
        <v>m2</v>
      </c>
      <c r="AF627" t="str">
        <f>Units!H$5</f>
        <v>ft2</v>
      </c>
    </row>
    <row r="628" spans="1:32" x14ac:dyDescent="0.3">
      <c r="A628" t="s">
        <v>1899</v>
      </c>
      <c r="B628" t="s">
        <v>1955</v>
      </c>
      <c r="C628" s="124" t="str">
        <f t="shared" si="346"/>
        <v>UDV.lca.urea_land</v>
      </c>
      <c r="D628" s="2136">
        <f t="shared" si="315"/>
        <v>-0.21571699966512442</v>
      </c>
      <c r="E628" s="125" t="str">
        <f t="shared" si="326"/>
        <v>m2</v>
      </c>
      <c r="F628" s="2136">
        <f t="shared" si="337"/>
        <v>-2.3219584597568002</v>
      </c>
      <c r="G628" s="2137"/>
      <c r="H628" s="1154">
        <f t="shared" si="338"/>
        <v>-2.3219584597568002</v>
      </c>
      <c r="I628" s="1325" t="str">
        <f t="shared" si="327"/>
        <v>ft2</v>
      </c>
      <c r="J628" t="s">
        <v>660</v>
      </c>
      <c r="K628" s="124"/>
      <c r="L628">
        <f t="shared" si="344"/>
        <v>-0.23219583999999999</v>
      </c>
      <c r="M628">
        <f t="shared" si="345"/>
        <v>-4.6439170000000001</v>
      </c>
      <c r="N628">
        <f t="shared" si="341"/>
        <v>0</v>
      </c>
      <c r="O628" t="s">
        <v>1901</v>
      </c>
      <c r="P628" t="s">
        <v>1956</v>
      </c>
      <c r="R628" s="711"/>
      <c r="W628">
        <v>-0.21571699999999999</v>
      </c>
      <c r="X628">
        <f t="shared" si="342"/>
        <v>-2.1571699999999999E-2</v>
      </c>
      <c r="Y628">
        <f t="shared" si="343"/>
        <v>-0.43143399999999998</v>
      </c>
      <c r="Z628" t="str">
        <f>Units!B$5</f>
        <v>m2</v>
      </c>
      <c r="AA628">
        <f>Units!C$5</f>
        <v>10.7639104</v>
      </c>
      <c r="AB628">
        <f>Units!D$5</f>
        <v>9.2903040000000006E-2</v>
      </c>
      <c r="AC628" t="str">
        <f>Units!E$5</f>
        <v>ft2</v>
      </c>
      <c r="AD628" t="str">
        <f>Units!F$5</f>
        <v>m2</v>
      </c>
      <c r="AE628" t="str">
        <f>Units!G$5</f>
        <v>m2</v>
      </c>
      <c r="AF628" t="str">
        <f>Units!H$5</f>
        <v>ft2</v>
      </c>
    </row>
    <row r="629" spans="1:32" x14ac:dyDescent="0.3">
      <c r="A629" t="s">
        <v>1899</v>
      </c>
      <c r="B629" t="s">
        <v>1957</v>
      </c>
      <c r="C629" s="124" t="str">
        <f t="shared" si="346"/>
        <v>UDV.lca.P2O5_land</v>
      </c>
      <c r="D629" s="2136">
        <f t="shared" si="315"/>
        <v>0.37769725341366883</v>
      </c>
      <c r="E629" s="125" t="str">
        <f t="shared" si="326"/>
        <v>m2</v>
      </c>
      <c r="F629" s="2136">
        <f t="shared" si="337"/>
        <v>4.0654994003820413</v>
      </c>
      <c r="G629" s="2137"/>
      <c r="H629" s="1154">
        <f t="shared" si="338"/>
        <v>4.0654994003820413</v>
      </c>
      <c r="I629" s="1325" t="str">
        <f t="shared" si="327"/>
        <v>ft2</v>
      </c>
      <c r="J629" t="s">
        <v>660</v>
      </c>
      <c r="K629" s="124"/>
      <c r="L629">
        <f t="shared" si="344"/>
        <v>0.40654994</v>
      </c>
      <c r="M629">
        <f t="shared" si="345"/>
        <v>8.1309989999999992</v>
      </c>
      <c r="N629">
        <f t="shared" si="341"/>
        <v>0</v>
      </c>
      <c r="O629" t="s">
        <v>1901</v>
      </c>
      <c r="P629" t="s">
        <v>1958</v>
      </c>
      <c r="R629" s="711"/>
      <c r="W629">
        <v>0.37769725399999998</v>
      </c>
      <c r="X629">
        <f t="shared" si="342"/>
        <v>3.7769725400000002E-2</v>
      </c>
      <c r="Y629">
        <f t="shared" si="343"/>
        <v>0.75539450799999996</v>
      </c>
      <c r="Z629" t="str">
        <f>Units!B$5</f>
        <v>m2</v>
      </c>
      <c r="AA629">
        <f>Units!C$5</f>
        <v>10.7639104</v>
      </c>
      <c r="AB629">
        <f>Units!D$5</f>
        <v>9.2903040000000006E-2</v>
      </c>
      <c r="AC629" t="str">
        <f>Units!E$5</f>
        <v>ft2</v>
      </c>
      <c r="AD629" t="str">
        <f>Units!F$5</f>
        <v>m2</v>
      </c>
      <c r="AE629" t="str">
        <f>Units!G$5</f>
        <v>m2</v>
      </c>
      <c r="AF629" t="str">
        <f>Units!H$5</f>
        <v>ft2</v>
      </c>
    </row>
    <row r="630" spans="1:32" x14ac:dyDescent="0.3">
      <c r="A630" t="s">
        <v>1899</v>
      </c>
      <c r="B630" t="s">
        <v>1959</v>
      </c>
      <c r="C630" s="124" t="str">
        <f t="shared" si="346"/>
        <v>UDV.lca.K2O_land</v>
      </c>
      <c r="D630" s="2136">
        <f t="shared" si="315"/>
        <v>1.9833782869210354E-2</v>
      </c>
      <c r="E630" s="125" t="str">
        <f t="shared" si="326"/>
        <v>m2</v>
      </c>
      <c r="F630" s="2136">
        <f t="shared" si="337"/>
        <v>0.21348906202865217</v>
      </c>
      <c r="G630" s="2137"/>
      <c r="H630" s="1154">
        <f t="shared" si="338"/>
        <v>0.21348906202865217</v>
      </c>
      <c r="I630" s="1325" t="str">
        <f t="shared" si="327"/>
        <v>ft2</v>
      </c>
      <c r="J630" t="s">
        <v>660</v>
      </c>
      <c r="K630" s="124"/>
      <c r="L630">
        <f t="shared" si="344"/>
        <v>2.1348900000000001E-2</v>
      </c>
      <c r="M630">
        <f t="shared" si="345"/>
        <v>0.426979</v>
      </c>
      <c r="N630">
        <f t="shared" si="341"/>
        <v>0</v>
      </c>
      <c r="O630" t="s">
        <v>1901</v>
      </c>
      <c r="P630" t="s">
        <v>1960</v>
      </c>
      <c r="R630" s="711"/>
      <c r="W630">
        <v>1.9833782899999999E-2</v>
      </c>
      <c r="X630">
        <f t="shared" si="342"/>
        <v>1.9833782900000002E-3</v>
      </c>
      <c r="Y630">
        <f t="shared" si="343"/>
        <v>3.9667565799999999E-2</v>
      </c>
      <c r="Z630" t="str">
        <f>Units!B$5</f>
        <v>m2</v>
      </c>
      <c r="AA630">
        <f>Units!C$5</f>
        <v>10.7639104</v>
      </c>
      <c r="AB630">
        <f>Units!D$5</f>
        <v>9.2903040000000006E-2</v>
      </c>
      <c r="AC630" t="str">
        <f>Units!E$5</f>
        <v>ft2</v>
      </c>
      <c r="AD630" t="str">
        <f>Units!F$5</f>
        <v>m2</v>
      </c>
      <c r="AE630" t="str">
        <f>Units!G$5</f>
        <v>m2</v>
      </c>
      <c r="AF630" t="str">
        <f>Units!H$5</f>
        <v>ft2</v>
      </c>
    </row>
    <row r="631" spans="1:32" x14ac:dyDescent="0.3">
      <c r="A631" t="s">
        <v>1899</v>
      </c>
      <c r="B631" t="s">
        <v>1961</v>
      </c>
      <c r="C631" s="124" t="str">
        <f t="shared" si="346"/>
        <v>UDV.lca.sand_land</v>
      </c>
      <c r="D631" s="2136">
        <f t="shared" si="315"/>
        <v>7.1456499889072079E-4</v>
      </c>
      <c r="E631" s="125" t="str">
        <f t="shared" si="326"/>
        <v>m2</v>
      </c>
      <c r="F631" s="2136">
        <f t="shared" ref="F631" si="347">IF(OR(G631="",N631=0),H631,G631)</f>
        <v>7.6915136349760002E-3</v>
      </c>
      <c r="G631" s="2137"/>
      <c r="H631" s="1154">
        <f t="shared" si="338"/>
        <v>7.6915136349760002E-3</v>
      </c>
      <c r="I631" s="1325" t="str">
        <f t="shared" si="327"/>
        <v>ft2</v>
      </c>
      <c r="J631" t="s">
        <v>660</v>
      </c>
      <c r="K631" s="124"/>
      <c r="L631">
        <f t="shared" si="344"/>
        <v>7.6915000000000002E-4</v>
      </c>
      <c r="M631">
        <f t="shared" si="345"/>
        <v>1.5384E-2</v>
      </c>
      <c r="N631">
        <f t="shared" ref="N631" si="348">IF(AND(M631 - G631 &gt;= 0, G631 - L631 &gt;=0),1,0)</f>
        <v>0</v>
      </c>
      <c r="O631" t="s">
        <v>1901</v>
      </c>
      <c r="P631" t="s">
        <v>1962</v>
      </c>
      <c r="R631" s="711"/>
      <c r="W631">
        <v>7.1456500000000001E-4</v>
      </c>
      <c r="X631">
        <f t="shared" ref="X631:X634" si="349">W631*0.1</f>
        <v>7.1456500000000009E-5</v>
      </c>
      <c r="Y631">
        <f t="shared" ref="Y631" si="350">W631*2</f>
        <v>1.42913E-3</v>
      </c>
      <c r="Z631" t="str">
        <f>Units!B$5</f>
        <v>m2</v>
      </c>
      <c r="AA631">
        <f>Units!C$5</f>
        <v>10.7639104</v>
      </c>
      <c r="AB631">
        <f>Units!D$5</f>
        <v>9.2903040000000006E-2</v>
      </c>
      <c r="AC631" t="str">
        <f>Units!E$5</f>
        <v>ft2</v>
      </c>
      <c r="AD631" t="str">
        <f>Units!F$5</f>
        <v>m2</v>
      </c>
      <c r="AE631" t="str">
        <f>Units!G$5</f>
        <v>m2</v>
      </c>
      <c r="AF631" t="str">
        <f>Units!H$5</f>
        <v>ft2</v>
      </c>
    </row>
    <row r="632" spans="1:32" x14ac:dyDescent="0.3">
      <c r="A632" t="s">
        <v>1899</v>
      </c>
      <c r="B632" t="s">
        <v>1963</v>
      </c>
      <c r="C632" s="124" t="str">
        <f t="shared" si="346"/>
        <v>UDV.lca.urea_n_content</v>
      </c>
      <c r="D632" s="2136">
        <f t="shared" si="315"/>
        <v>0.7</v>
      </c>
      <c r="E632" s="125" t="str">
        <f t="shared" si="326"/>
        <v>fraction</v>
      </c>
      <c r="F632" s="2136">
        <f t="shared" ref="F632:F634" si="351">IF(OR(G632="",N632=0),H632,G632)</f>
        <v>0.7</v>
      </c>
      <c r="G632" s="2137"/>
      <c r="H632" s="1154">
        <f t="shared" si="338"/>
        <v>0.7</v>
      </c>
      <c r="I632" s="1325" t="str">
        <f t="shared" si="327"/>
        <v>fraction</v>
      </c>
      <c r="J632" t="s">
        <v>660</v>
      </c>
      <c r="K632" s="124"/>
      <c r="L632">
        <f t="shared" si="344"/>
        <v>7.0000000000000007E-2</v>
      </c>
      <c r="M632">
        <f t="shared" si="345"/>
        <v>1</v>
      </c>
      <c r="N632">
        <f t="shared" ref="N632:N634" si="352">IF(AND(M632 - G632 &gt;= 0, G632 - L632 &gt;=0),1,0)</f>
        <v>0</v>
      </c>
      <c r="O632" t="s">
        <v>1901</v>
      </c>
      <c r="P632" t="s">
        <v>1964</v>
      </c>
      <c r="R632" s="711"/>
      <c r="W632">
        <v>0.7</v>
      </c>
      <c r="X632">
        <f t="shared" si="349"/>
        <v>6.9999999999999993E-2</v>
      </c>
      <c r="Y632">
        <v>1</v>
      </c>
      <c r="Z632" t="str">
        <f>Units!B$35</f>
        <v>fraction</v>
      </c>
      <c r="AA632">
        <f>Units!C$35</f>
        <v>1</v>
      </c>
      <c r="AB632">
        <f>Units!D$35</f>
        <v>1</v>
      </c>
      <c r="AC632" t="str">
        <f>Units!E$35</f>
        <v>fraction</v>
      </c>
      <c r="AD632" t="str">
        <f>Units!F$35</f>
        <v>fraction</v>
      </c>
      <c r="AE632" t="str">
        <f>Units!G$35</f>
        <v>fraction</v>
      </c>
      <c r="AF632" t="str">
        <f>Units!H$35</f>
        <v>fraction</v>
      </c>
    </row>
    <row r="633" spans="1:32" x14ac:dyDescent="0.3">
      <c r="A633" t="s">
        <v>1899</v>
      </c>
      <c r="B633" t="s">
        <v>1965</v>
      </c>
      <c r="C633" s="124" t="str">
        <f t="shared" si="346"/>
        <v>UDV.lca.P2O5_TSP</v>
      </c>
      <c r="D633" s="2136">
        <f t="shared" si="315"/>
        <v>0.9</v>
      </c>
      <c r="E633" s="125" t="str">
        <f t="shared" si="326"/>
        <v>fraction</v>
      </c>
      <c r="F633" s="2136">
        <f t="shared" si="351"/>
        <v>0.9</v>
      </c>
      <c r="G633" s="2137"/>
      <c r="H633" s="1154">
        <f t="shared" si="338"/>
        <v>0.9</v>
      </c>
      <c r="I633" s="1325" t="str">
        <f t="shared" si="327"/>
        <v>fraction</v>
      </c>
      <c r="J633" t="s">
        <v>660</v>
      </c>
      <c r="K633" s="124"/>
      <c r="L633">
        <f t="shared" si="344"/>
        <v>0.09</v>
      </c>
      <c r="M633">
        <f t="shared" si="345"/>
        <v>1</v>
      </c>
      <c r="N633">
        <f t="shared" si="352"/>
        <v>0</v>
      </c>
      <c r="O633" t="s">
        <v>1901</v>
      </c>
      <c r="P633" t="s">
        <v>1966</v>
      </c>
      <c r="R633" s="711"/>
      <c r="W633">
        <v>0.9</v>
      </c>
      <c r="X633">
        <f t="shared" si="349"/>
        <v>9.0000000000000011E-2</v>
      </c>
      <c r="Y633">
        <v>1</v>
      </c>
      <c r="Z633" t="str">
        <f>Units!B$35</f>
        <v>fraction</v>
      </c>
      <c r="AA633">
        <f>Units!C$35</f>
        <v>1</v>
      </c>
      <c r="AB633">
        <f>Units!D$35</f>
        <v>1</v>
      </c>
      <c r="AC633" t="str">
        <f>Units!E$35</f>
        <v>fraction</v>
      </c>
      <c r="AD633" t="str">
        <f>Units!F$35</f>
        <v>fraction</v>
      </c>
      <c r="AE633" t="str">
        <f>Units!G$35</f>
        <v>fraction</v>
      </c>
      <c r="AF633" t="str">
        <f>Units!H$35</f>
        <v>fraction</v>
      </c>
    </row>
    <row r="634" spans="1:32" x14ac:dyDescent="0.3">
      <c r="A634" t="s">
        <v>1899</v>
      </c>
      <c r="B634" t="s">
        <v>1967</v>
      </c>
      <c r="C634" s="124" t="str">
        <f t="shared" si="346"/>
        <v>UDV.lca.K2O_KCI</v>
      </c>
      <c r="D634" s="2136">
        <f t="shared" si="315"/>
        <v>1</v>
      </c>
      <c r="E634" s="125" t="str">
        <f t="shared" si="326"/>
        <v>fraction</v>
      </c>
      <c r="F634" s="2136">
        <f t="shared" si="351"/>
        <v>1</v>
      </c>
      <c r="G634" s="2137"/>
      <c r="H634" s="1154">
        <f t="shared" si="338"/>
        <v>1</v>
      </c>
      <c r="I634" s="1325" t="str">
        <f t="shared" si="327"/>
        <v>fraction</v>
      </c>
      <c r="J634" t="s">
        <v>660</v>
      </c>
      <c r="K634" s="124"/>
      <c r="L634">
        <f t="shared" si="344"/>
        <v>0.1</v>
      </c>
      <c r="M634">
        <f t="shared" si="345"/>
        <v>1</v>
      </c>
      <c r="N634">
        <f t="shared" si="352"/>
        <v>0</v>
      </c>
      <c r="O634" t="s">
        <v>1901</v>
      </c>
      <c r="P634" t="s">
        <v>1968</v>
      </c>
      <c r="R634" s="711"/>
      <c r="W634">
        <v>1</v>
      </c>
      <c r="X634">
        <f t="shared" si="349"/>
        <v>0.1</v>
      </c>
      <c r="Y634">
        <v>1</v>
      </c>
      <c r="Z634" t="str">
        <f>Units!B$35</f>
        <v>fraction</v>
      </c>
      <c r="AA634">
        <f>Units!C$35</f>
        <v>1</v>
      </c>
      <c r="AB634">
        <f>Units!D$35</f>
        <v>1</v>
      </c>
      <c r="AC634" t="str">
        <f>Units!E$35</f>
        <v>fraction</v>
      </c>
      <c r="AD634" t="str">
        <f>Units!F$35</f>
        <v>fraction</v>
      </c>
      <c r="AE634" t="str">
        <f>Units!G$35</f>
        <v>fraction</v>
      </c>
      <c r="AF634" t="str">
        <f>Units!H$35</f>
        <v>fraction</v>
      </c>
    </row>
    <row r="635" spans="1:32" x14ac:dyDescent="0.3">
      <c r="A635" t="s">
        <v>1899</v>
      </c>
      <c r="B635" t="s">
        <v>7469</v>
      </c>
      <c r="C635" s="124" t="str">
        <f t="shared" si="346"/>
        <v>UDV.lca.CO2_toggle</v>
      </c>
      <c r="D635" s="2136">
        <f t="shared" si="315"/>
        <v>0</v>
      </c>
      <c r="E635" s="125" t="str">
        <f t="shared" si="326"/>
        <v>fraction</v>
      </c>
      <c r="F635" s="2136">
        <f t="shared" ref="F635" si="353">IF(OR(G635="",N635=0),H635,G635)</f>
        <v>0</v>
      </c>
      <c r="G635" s="2137"/>
      <c r="H635" s="1154">
        <f t="shared" si="338"/>
        <v>0</v>
      </c>
      <c r="I635" s="1325" t="str">
        <f t="shared" si="327"/>
        <v>fraction</v>
      </c>
      <c r="J635" t="s">
        <v>660</v>
      </c>
      <c r="K635" s="124"/>
      <c r="L635">
        <f t="shared" si="344"/>
        <v>0</v>
      </c>
      <c r="M635">
        <f t="shared" si="345"/>
        <v>1</v>
      </c>
      <c r="N635">
        <f t="shared" ref="N635" si="354">IF(AND(M635 - G635 &gt;= 0, G635 - L635 &gt;=0),1,0)</f>
        <v>1</v>
      </c>
      <c r="O635" t="s">
        <v>1901</v>
      </c>
      <c r="P635" t="s">
        <v>7470</v>
      </c>
      <c r="R635" s="711"/>
      <c r="W635">
        <v>0</v>
      </c>
      <c r="X635">
        <v>0</v>
      </c>
      <c r="Y635">
        <v>1</v>
      </c>
      <c r="Z635" t="str">
        <f>Units!B$35</f>
        <v>fraction</v>
      </c>
      <c r="AA635">
        <f>Units!C$35</f>
        <v>1</v>
      </c>
      <c r="AB635">
        <f>Units!D$35</f>
        <v>1</v>
      </c>
      <c r="AC635" t="str">
        <f>Units!E$35</f>
        <v>fraction</v>
      </c>
      <c r="AD635" t="str">
        <f>Units!F$35</f>
        <v>fraction</v>
      </c>
      <c r="AE635" t="str">
        <f>Units!G$35</f>
        <v>fraction</v>
      </c>
      <c r="AF635" t="str">
        <f>Units!H$35</f>
        <v>fraction</v>
      </c>
    </row>
    <row r="636" spans="1:32" x14ac:dyDescent="0.3">
      <c r="A636" t="s">
        <v>938</v>
      </c>
      <c r="B636" t="s">
        <v>1969</v>
      </c>
      <c r="C636" s="124" t="str">
        <f t="shared" si="330"/>
        <v>UDV.manure.removal_factor</v>
      </c>
      <c r="D636" s="1091">
        <f t="shared" si="315"/>
        <v>1</v>
      </c>
      <c r="E636" s="1093" t="str">
        <f t="shared" si="326"/>
        <v>fraction</v>
      </c>
      <c r="F636" s="1095">
        <f t="shared" si="337"/>
        <v>1</v>
      </c>
      <c r="H636" s="1101">
        <f t="shared" ref="H636:H650" si="355">$W636*$AA636</f>
        <v>1</v>
      </c>
      <c r="I636" s="956" t="str">
        <f t="shared" si="327"/>
        <v>fraction</v>
      </c>
      <c r="J636" t="s">
        <v>660</v>
      </c>
      <c r="L636">
        <f t="shared" si="334"/>
        <v>0.7</v>
      </c>
      <c r="M636">
        <f t="shared" si="332"/>
        <v>1</v>
      </c>
      <c r="N636">
        <f t="shared" si="329"/>
        <v>0</v>
      </c>
      <c r="O636" t="s">
        <v>1970</v>
      </c>
      <c r="P636" t="s">
        <v>1971</v>
      </c>
      <c r="V636" t="str">
        <f>IF(OR((M636-L636)&lt;=0,H636&gt;M636,H636&lt;L636),"Fix","")</f>
        <v/>
      </c>
      <c r="W636" s="78">
        <v>1</v>
      </c>
      <c r="X636">
        <v>0.7</v>
      </c>
      <c r="Y636">
        <v>1</v>
      </c>
      <c r="Z636" t="str">
        <f>Units!B$35</f>
        <v>fraction</v>
      </c>
      <c r="AA636">
        <f>Units!C$35</f>
        <v>1</v>
      </c>
      <c r="AB636">
        <f>Units!D$35</f>
        <v>1</v>
      </c>
      <c r="AC636" t="str">
        <f>Units!E$35</f>
        <v>fraction</v>
      </c>
      <c r="AD636" t="str">
        <f>Units!F$35</f>
        <v>fraction</v>
      </c>
      <c r="AE636" t="str">
        <f>Units!G$35</f>
        <v>fraction</v>
      </c>
      <c r="AF636" t="str">
        <f>Units!H$35</f>
        <v>fraction</v>
      </c>
    </row>
    <row r="637" spans="1:32" x14ac:dyDescent="0.3">
      <c r="A637" t="s">
        <v>1972</v>
      </c>
      <c r="B637" t="s">
        <v>1973</v>
      </c>
      <c r="C637" s="124" t="str">
        <f t="shared" si="330"/>
        <v>UDV.manure_transfer_channel.length_per_animal</v>
      </c>
      <c r="D637" s="1329">
        <f t="shared" si="315"/>
        <v>0.1066</v>
      </c>
      <c r="E637" t="str">
        <f t="shared" si="326"/>
        <v>m/head</v>
      </c>
      <c r="F637" s="1420">
        <f t="shared" si="337"/>
        <v>0.34973753334000002</v>
      </c>
      <c r="G637" s="126"/>
      <c r="H637" s="1421">
        <f t="shared" si="355"/>
        <v>0.34973753334000002</v>
      </c>
      <c r="I637" s="1325" t="str">
        <f t="shared" si="327"/>
        <v>ft/head</v>
      </c>
      <c r="J637" t="s">
        <v>660</v>
      </c>
      <c r="K637" s="124"/>
      <c r="L637">
        <f t="shared" si="334"/>
        <v>0.16400000000000001</v>
      </c>
      <c r="M637">
        <f t="shared" si="332"/>
        <v>0.65700000000000003</v>
      </c>
      <c r="N637">
        <f t="shared" si="329"/>
        <v>0</v>
      </c>
      <c r="O637" t="s">
        <v>1974</v>
      </c>
      <c r="P637" t="s">
        <v>1975</v>
      </c>
      <c r="R637" s="711"/>
      <c r="W637">
        <v>0.1066</v>
      </c>
      <c r="X637">
        <v>0.05</v>
      </c>
      <c r="Y637">
        <v>0.2</v>
      </c>
      <c r="Z637" t="str">
        <f>Units!B$54</f>
        <v>m/head</v>
      </c>
      <c r="AA637">
        <f>Units!C$54</f>
        <v>3.2808399000000001</v>
      </c>
      <c r="AB637">
        <f>Units!D$54</f>
        <v>0.304799999536704</v>
      </c>
      <c r="AC637" t="str">
        <f>Units!E$54</f>
        <v>ft/head</v>
      </c>
      <c r="AD637" t="str">
        <f>Units!F$54</f>
        <v>m/head</v>
      </c>
      <c r="AE637" t="str">
        <f>Units!G$54</f>
        <v>m/head</v>
      </c>
      <c r="AF637" t="str">
        <f>Units!H$54</f>
        <v>ft/head</v>
      </c>
    </row>
    <row r="638" spans="1:32" x14ac:dyDescent="0.3">
      <c r="A638" t="s">
        <v>1976</v>
      </c>
      <c r="B638" t="s">
        <v>1977</v>
      </c>
      <c r="C638" s="124" t="str">
        <f t="shared" si="330"/>
        <v>UDV.pullplug.time_recharge</v>
      </c>
      <c r="D638" s="1329">
        <f t="shared" si="315"/>
        <v>7</v>
      </c>
      <c r="E638" t="str">
        <f t="shared" si="326"/>
        <v>days</v>
      </c>
      <c r="F638" s="1420">
        <f t="shared" ref="F638" si="356">IF(OR(G638="",N638=0),H638,G638)</f>
        <v>7</v>
      </c>
      <c r="G638" s="126"/>
      <c r="H638" s="1421">
        <f t="shared" si="355"/>
        <v>7</v>
      </c>
      <c r="I638" s="1325" t="str">
        <f t="shared" si="327"/>
        <v>days</v>
      </c>
      <c r="J638" t="s">
        <v>660</v>
      </c>
      <c r="K638" s="124"/>
      <c r="L638">
        <f t="shared" si="334"/>
        <v>2</v>
      </c>
      <c r="M638">
        <f t="shared" si="332"/>
        <v>14</v>
      </c>
      <c r="N638">
        <f t="shared" ref="N638" si="357">IF(AND(G638&lt;=M638, G638&gt;=L638),1,0)</f>
        <v>0</v>
      </c>
      <c r="O638" t="s">
        <v>1978</v>
      </c>
      <c r="P638" t="s">
        <v>1979</v>
      </c>
      <c r="R638" s="711"/>
      <c r="W638">
        <v>7</v>
      </c>
      <c r="X638">
        <v>2</v>
      </c>
      <c r="Y638">
        <v>14</v>
      </c>
      <c r="Z638" t="str">
        <f>Units!B$111</f>
        <v>days</v>
      </c>
      <c r="AA638">
        <f>Units!C$111</f>
        <v>1</v>
      </c>
      <c r="AB638">
        <f>Units!D$111</f>
        <v>1</v>
      </c>
      <c r="AC638" t="str">
        <f>Units!E$111</f>
        <v>days</v>
      </c>
      <c r="AD638" t="str">
        <f>Units!F$111</f>
        <v>days</v>
      </c>
      <c r="AE638" t="str">
        <f>Units!G$111</f>
        <v>days</v>
      </c>
      <c r="AF638" t="str">
        <f>Units!H$111</f>
        <v>days</v>
      </c>
    </row>
    <row r="639" spans="1:32" x14ac:dyDescent="0.3">
      <c r="A639" t="s">
        <v>1980</v>
      </c>
      <c r="B639" t="s">
        <v>1981</v>
      </c>
      <c r="C639" s="124" t="str">
        <f t="shared" si="330"/>
        <v>UDV.rain.drainage_area</v>
      </c>
      <c r="D639" s="1091">
        <f t="shared" ref="D639:D650" si="358">$F639*$AB639</f>
        <v>0</v>
      </c>
      <c r="E639" s="1093" t="str">
        <f t="shared" si="326"/>
        <v>m2</v>
      </c>
      <c r="F639" s="1095">
        <f t="shared" si="337"/>
        <v>0</v>
      </c>
      <c r="H639" s="1101">
        <f t="shared" si="355"/>
        <v>0</v>
      </c>
      <c r="I639" s="956" t="str">
        <f t="shared" si="327"/>
        <v>ft2</v>
      </c>
      <c r="J639" t="s">
        <v>660</v>
      </c>
      <c r="L639">
        <f t="shared" ref="L639:L675" si="359">ROUNDDOWN($X639*$AA639,3)</f>
        <v>0</v>
      </c>
      <c r="M639">
        <f t="shared" ref="M639:M675" si="360">ROUNDUP($Y639*$AA639,3)</f>
        <v>9.9999999999999997E+98</v>
      </c>
      <c r="N639">
        <f t="shared" si="329"/>
        <v>1</v>
      </c>
      <c r="O639" t="s">
        <v>1982</v>
      </c>
      <c r="P639" t="s">
        <v>1983</v>
      </c>
      <c r="S639" t="s">
        <v>84</v>
      </c>
      <c r="V639" t="str">
        <f>IF(OR((M639-L639)&lt;=0,H639&gt;M639,H639&lt;L639),"Fix","")</f>
        <v/>
      </c>
      <c r="W639">
        <v>0</v>
      </c>
      <c r="X639">
        <v>0</v>
      </c>
      <c r="Y639">
        <v>9.9999999999999997E+98</v>
      </c>
      <c r="Z639" s="132" t="str">
        <f>Units!B$4</f>
        <v>ft2</v>
      </c>
      <c r="AA639" s="132">
        <f>Units!C$4</f>
        <v>1</v>
      </c>
      <c r="AB639" s="132">
        <f>Units!D$4</f>
        <v>9.2903040000000006E-2</v>
      </c>
      <c r="AC639" s="132" t="str">
        <f>Units!E$4</f>
        <v>ft2</v>
      </c>
      <c r="AD639" s="132" t="str">
        <f>Units!F$4</f>
        <v>m2</v>
      </c>
      <c r="AE639" s="132" t="str">
        <f>Units!G$4</f>
        <v>m2</v>
      </c>
      <c r="AF639" s="132" t="str">
        <f>Units!H$4</f>
        <v>ft2</v>
      </c>
    </row>
    <row r="640" spans="1:32" x14ac:dyDescent="0.3">
      <c r="A640" t="s">
        <v>1980</v>
      </c>
      <c r="B640" t="s">
        <v>1984</v>
      </c>
      <c r="C640" s="124" t="str">
        <f t="shared" si="330"/>
        <v>UDV.rain.evaporation</v>
      </c>
      <c r="D640" s="1091">
        <f t="shared" si="358"/>
        <v>0.91262199999999993</v>
      </c>
      <c r="E640" s="1093" t="str">
        <f t="shared" si="326"/>
        <v>m</v>
      </c>
      <c r="F640" s="1095">
        <f t="shared" si="337"/>
        <v>35.93</v>
      </c>
      <c r="H640" s="1101">
        <f t="shared" si="355"/>
        <v>35.93</v>
      </c>
      <c r="I640" s="956" t="str">
        <f t="shared" si="327"/>
        <v>inches</v>
      </c>
      <c r="J640" t="s">
        <v>660</v>
      </c>
      <c r="L640">
        <f t="shared" si="359"/>
        <v>0</v>
      </c>
      <c r="M640">
        <f t="shared" si="360"/>
        <v>275</v>
      </c>
      <c r="N640">
        <f t="shared" si="329"/>
        <v>1</v>
      </c>
      <c r="O640" t="s">
        <v>1982</v>
      </c>
      <c r="P640" t="s">
        <v>1985</v>
      </c>
      <c r="S640" t="s">
        <v>84</v>
      </c>
      <c r="V640" t="str">
        <f>IF(OR((M640-L640)&lt;=0,H640&gt;M640,H640&lt;L640),"Fix","")</f>
        <v/>
      </c>
      <c r="W640">
        <f>T.Regional_Data!E3</f>
        <v>35.93</v>
      </c>
      <c r="X640">
        <v>0</v>
      </c>
      <c r="Y640">
        <v>275</v>
      </c>
      <c r="Z640" s="132" t="str">
        <f>Units!B$47</f>
        <v>inches</v>
      </c>
      <c r="AA640" s="132">
        <f>Units!C$47</f>
        <v>1</v>
      </c>
      <c r="AB640" s="132">
        <f>Units!D$47</f>
        <v>2.5399999999999999E-2</v>
      </c>
      <c r="AC640" s="132" t="str">
        <f>Units!E$47</f>
        <v>inches</v>
      </c>
      <c r="AD640" s="132" t="str">
        <f>Units!F$47</f>
        <v>m</v>
      </c>
      <c r="AE640" s="132" t="str">
        <f>Units!G$47</f>
        <v>cm</v>
      </c>
      <c r="AF640" s="132" t="str">
        <f>Units!H$47</f>
        <v>inches</v>
      </c>
    </row>
    <row r="641" spans="1:33" x14ac:dyDescent="0.3">
      <c r="A641" t="s">
        <v>1980</v>
      </c>
      <c r="B641" t="s">
        <v>1986</v>
      </c>
      <c r="C641" s="124" t="str">
        <f t="shared" si="330"/>
        <v>UDV.rain.regular</v>
      </c>
      <c r="D641" s="1091">
        <f t="shared" si="358"/>
        <v>0.78079599999999971</v>
      </c>
      <c r="E641" s="1093" t="str">
        <f t="shared" ref="E641:E650" si="361">$AD641</f>
        <v>m</v>
      </c>
      <c r="F641" s="1095">
        <f t="shared" si="337"/>
        <v>30.739999999999991</v>
      </c>
      <c r="H641" s="1101">
        <f t="shared" si="355"/>
        <v>30.739999999999991</v>
      </c>
      <c r="I641" s="956" t="str">
        <f t="shared" ref="I641:I650" si="362">$AC641</f>
        <v>inches</v>
      </c>
      <c r="J641" t="s">
        <v>660</v>
      </c>
      <c r="L641">
        <f t="shared" si="359"/>
        <v>0</v>
      </c>
      <c r="M641">
        <f t="shared" si="360"/>
        <v>275</v>
      </c>
      <c r="N641">
        <f t="shared" si="329"/>
        <v>1</v>
      </c>
      <c r="O641" t="s">
        <v>1982</v>
      </c>
      <c r="P641" t="s">
        <v>1987</v>
      </c>
      <c r="S641" t="s">
        <v>84</v>
      </c>
      <c r="V641" t="str">
        <f>IF(OR((M641-L641)&lt;=0,H641&gt;M641,H641&lt;L641),"Fix","")</f>
        <v/>
      </c>
      <c r="W641">
        <f>T.Regional_Data!D3</f>
        <v>30.739999999999991</v>
      </c>
      <c r="X641">
        <v>0</v>
      </c>
      <c r="Y641">
        <v>275</v>
      </c>
      <c r="Z641" s="132" t="str">
        <f>Units!B$47</f>
        <v>inches</v>
      </c>
      <c r="AA641" s="132">
        <f>Units!C$47</f>
        <v>1</v>
      </c>
      <c r="AB641" s="132">
        <f>Units!D$47</f>
        <v>2.5399999999999999E-2</v>
      </c>
      <c r="AC641" s="132" t="str">
        <f>Units!E$47</f>
        <v>inches</v>
      </c>
      <c r="AD641" s="132" t="str">
        <f>Units!F$47</f>
        <v>m</v>
      </c>
      <c r="AE641" s="132" t="str">
        <f>Units!G$47</f>
        <v>cm</v>
      </c>
      <c r="AF641" s="132" t="str">
        <f>Units!H$47</f>
        <v>inches</v>
      </c>
    </row>
    <row r="642" spans="1:33" x14ac:dyDescent="0.3">
      <c r="A642" t="s">
        <v>1980</v>
      </c>
      <c r="B642" t="s">
        <v>1988</v>
      </c>
      <c r="C642" s="124" t="str">
        <f t="shared" si="330"/>
        <v>UDV.rain.storm2524</v>
      </c>
      <c r="D642" s="1091">
        <f t="shared" si="358"/>
        <v>0.14427199999999998</v>
      </c>
      <c r="E642" s="1093" t="str">
        <f t="shared" si="361"/>
        <v>m</v>
      </c>
      <c r="F642" s="1095">
        <f t="shared" si="337"/>
        <v>5.68</v>
      </c>
      <c r="H642" s="1101">
        <f t="shared" si="355"/>
        <v>5.68</v>
      </c>
      <c r="I642" s="956" t="str">
        <f t="shared" si="362"/>
        <v>inches</v>
      </c>
      <c r="J642" t="s">
        <v>660</v>
      </c>
      <c r="L642">
        <f t="shared" si="359"/>
        <v>0</v>
      </c>
      <c r="M642">
        <f t="shared" si="360"/>
        <v>36</v>
      </c>
      <c r="N642">
        <f t="shared" si="329"/>
        <v>1</v>
      </c>
      <c r="O642" t="s">
        <v>1982</v>
      </c>
      <c r="P642" t="s">
        <v>1989</v>
      </c>
      <c r="S642" t="s">
        <v>84</v>
      </c>
      <c r="V642" t="str">
        <f>IF(OR((M642-L642)&lt;=0,H642&gt;M642,H642&lt;L642),"Fix","")</f>
        <v/>
      </c>
      <c r="W642">
        <f>T.Regional_Data!C3</f>
        <v>5.68</v>
      </c>
      <c r="X642">
        <v>0</v>
      </c>
      <c r="Y642">
        <v>36</v>
      </c>
      <c r="Z642" s="132" t="str">
        <f>Units!B$47</f>
        <v>inches</v>
      </c>
      <c r="AA642" s="132">
        <f>Units!C$47</f>
        <v>1</v>
      </c>
      <c r="AB642" s="132">
        <f>Units!D$47</f>
        <v>2.5399999999999999E-2</v>
      </c>
      <c r="AC642" s="132" t="str">
        <f>Units!E$47</f>
        <v>inches</v>
      </c>
      <c r="AD642" s="132" t="str">
        <f>Units!F$47</f>
        <v>m</v>
      </c>
      <c r="AE642" s="132" t="str">
        <f>Units!G$47</f>
        <v>cm</v>
      </c>
      <c r="AF642" s="132" t="str">
        <f>Units!H$47</f>
        <v>inches</v>
      </c>
    </row>
    <row r="643" spans="1:33" x14ac:dyDescent="0.3">
      <c r="A643" t="s">
        <v>1990</v>
      </c>
      <c r="B643" t="s">
        <v>1991</v>
      </c>
      <c r="C643" s="124" t="str">
        <f t="shared" si="330"/>
        <v>UDV.reception_pit.agitation_motor_hp</v>
      </c>
      <c r="D643" s="944">
        <f t="shared" si="358"/>
        <v>15</v>
      </c>
      <c r="E643" s="125" t="str">
        <f t="shared" si="361"/>
        <v>hp</v>
      </c>
      <c r="F643" s="944">
        <f t="shared" si="337"/>
        <v>15</v>
      </c>
      <c r="G643" s="126"/>
      <c r="H643">
        <f t="shared" si="355"/>
        <v>15</v>
      </c>
      <c r="I643" s="1325" t="str">
        <f t="shared" si="362"/>
        <v>hp</v>
      </c>
      <c r="J643" t="s">
        <v>660</v>
      </c>
      <c r="K643" s="124"/>
      <c r="L643">
        <f t="shared" si="359"/>
        <v>5</v>
      </c>
      <c r="M643">
        <f t="shared" si="360"/>
        <v>25</v>
      </c>
      <c r="N643">
        <f t="shared" ref="N643:N649" si="363">IF(AND(M643 - G643 &gt;= 0, G643 - L643 &gt;=0),1,0)</f>
        <v>0</v>
      </c>
      <c r="O643" t="s">
        <v>1992</v>
      </c>
      <c r="P643" t="s">
        <v>1993</v>
      </c>
      <c r="W643">
        <v>15</v>
      </c>
      <c r="X643">
        <v>5</v>
      </c>
      <c r="Y643">
        <v>25</v>
      </c>
      <c r="Z643" t="str">
        <f>Units!B$99</f>
        <v>hp</v>
      </c>
      <c r="AA643">
        <f>Units!C$99</f>
        <v>1</v>
      </c>
      <c r="AB643">
        <f>Units!D$99</f>
        <v>1</v>
      </c>
      <c r="AC643" t="str">
        <f>Units!E$99</f>
        <v>hp</v>
      </c>
      <c r="AD643" t="str">
        <f>Units!F$99</f>
        <v>hp</v>
      </c>
      <c r="AE643" t="str">
        <f>Units!G$99</f>
        <v>hp</v>
      </c>
      <c r="AF643" t="str">
        <f>Units!H$99</f>
        <v>hp</v>
      </c>
    </row>
    <row r="644" spans="1:33" x14ac:dyDescent="0.3">
      <c r="A644" t="s">
        <v>1990</v>
      </c>
      <c r="B644" t="s">
        <v>1994</v>
      </c>
      <c r="C644" s="124" t="str">
        <f t="shared" si="330"/>
        <v>UDV.reception_pit.concrete_thickness</v>
      </c>
      <c r="D644" s="944">
        <f t="shared" si="358"/>
        <v>0.15240000000000001</v>
      </c>
      <c r="E644" s="125" t="str">
        <f t="shared" si="361"/>
        <v>m</v>
      </c>
      <c r="F644" s="944">
        <f t="shared" si="337"/>
        <v>0.5</v>
      </c>
      <c r="G644" s="126"/>
      <c r="H644">
        <f t="shared" si="355"/>
        <v>0.5</v>
      </c>
      <c r="I644" s="1325" t="str">
        <f t="shared" si="362"/>
        <v>ft</v>
      </c>
      <c r="J644" t="s">
        <v>660</v>
      </c>
      <c r="K644" s="124"/>
      <c r="L644">
        <f t="shared" si="359"/>
        <v>0.1</v>
      </c>
      <c r="M644">
        <f t="shared" si="360"/>
        <v>3</v>
      </c>
      <c r="N644">
        <f t="shared" si="363"/>
        <v>0</v>
      </c>
      <c r="O644" t="s">
        <v>1992</v>
      </c>
      <c r="P644" t="s">
        <v>1995</v>
      </c>
      <c r="W644">
        <v>0.5</v>
      </c>
      <c r="X644">
        <v>0.1</v>
      </c>
      <c r="Y644">
        <v>3</v>
      </c>
      <c r="Z644" t="str">
        <f>Units!B$44</f>
        <v>ft</v>
      </c>
      <c r="AA644">
        <f>Units!C$44</f>
        <v>1</v>
      </c>
      <c r="AB644">
        <f>Units!D$44</f>
        <v>0.30480000000000002</v>
      </c>
      <c r="AC644" t="str">
        <f>Units!E$44</f>
        <v>ft</v>
      </c>
      <c r="AD644" t="str">
        <f>Units!F$44</f>
        <v>m</v>
      </c>
      <c r="AE644" t="str">
        <f>Units!G$44</f>
        <v>m</v>
      </c>
      <c r="AF644" t="str">
        <f>Units!H$44</f>
        <v>ft</v>
      </c>
    </row>
    <row r="645" spans="1:33" x14ac:dyDescent="0.3">
      <c r="A645" t="s">
        <v>1990</v>
      </c>
      <c r="B645" t="s">
        <v>722</v>
      </c>
      <c r="C645" s="124" t="str">
        <f t="shared" si="330"/>
        <v>UDV.reception_pit.depth</v>
      </c>
      <c r="D645" s="944">
        <f t="shared" si="358"/>
        <v>3.6570000000000005</v>
      </c>
      <c r="E645" s="125" t="str">
        <f t="shared" si="361"/>
        <v>m</v>
      </c>
      <c r="F645" s="1331">
        <f t="shared" si="337"/>
        <v>11.998031514300001</v>
      </c>
      <c r="G645" s="1373"/>
      <c r="H645" s="205">
        <f t="shared" si="355"/>
        <v>11.998031514300001</v>
      </c>
      <c r="I645" s="1325" t="str">
        <f t="shared" si="362"/>
        <v>ft</v>
      </c>
      <c r="J645" t="s">
        <v>660</v>
      </c>
      <c r="K645" s="124"/>
      <c r="L645">
        <f t="shared" si="359"/>
        <v>3.28</v>
      </c>
      <c r="M645">
        <f t="shared" si="360"/>
        <v>16.405000000000001</v>
      </c>
      <c r="N645">
        <f t="shared" si="363"/>
        <v>0</v>
      </c>
      <c r="O645" t="s">
        <v>1992</v>
      </c>
      <c r="P645" t="s">
        <v>1996</v>
      </c>
      <c r="W645">
        <f>MIN(IF(UDV.animal.total&gt;500,IF(UDV.animal.total&gt;2500,4.5,4),3.657),UDV.storage_facilities.max_depth*UC.ft_to_m)</f>
        <v>3.657</v>
      </c>
      <c r="X645">
        <v>1</v>
      </c>
      <c r="Y645">
        <v>5</v>
      </c>
      <c r="Z645" t="str">
        <f>Units!B$48</f>
        <v>m</v>
      </c>
      <c r="AA645">
        <f>Units!C$48</f>
        <v>3.2808399000000001</v>
      </c>
      <c r="AB645">
        <f>Units!D$48</f>
        <v>0.304799999536704</v>
      </c>
      <c r="AC645" t="str">
        <f>Units!E$48</f>
        <v>ft</v>
      </c>
      <c r="AD645" t="str">
        <f>Units!F$48</f>
        <v>m</v>
      </c>
      <c r="AE645" t="str">
        <f>Units!G$48</f>
        <v>m</v>
      </c>
      <c r="AF645" t="str">
        <f>Units!H$48</f>
        <v>ft</v>
      </c>
    </row>
    <row r="646" spans="1:33" x14ac:dyDescent="0.3">
      <c r="A646" t="s">
        <v>1990</v>
      </c>
      <c r="B646" t="s">
        <v>1846</v>
      </c>
      <c r="C646" s="124" t="str">
        <f t="shared" si="330"/>
        <v>UDV.reception_pit.pump_flowrate</v>
      </c>
      <c r="D646" s="944">
        <f t="shared" si="358"/>
        <v>375</v>
      </c>
      <c r="E646" s="125" t="str">
        <f t="shared" si="361"/>
        <v>gal/min</v>
      </c>
      <c r="F646" s="944">
        <f t="shared" si="337"/>
        <v>375</v>
      </c>
      <c r="G646" s="126"/>
      <c r="H646">
        <f t="shared" si="355"/>
        <v>375</v>
      </c>
      <c r="I646" s="1325" t="str">
        <f t="shared" si="362"/>
        <v>gal/min</v>
      </c>
      <c r="J646" t="s">
        <v>660</v>
      </c>
      <c r="K646" s="124"/>
      <c r="L646">
        <f t="shared" si="359"/>
        <v>200</v>
      </c>
      <c r="M646">
        <f t="shared" si="360"/>
        <v>500</v>
      </c>
      <c r="N646">
        <f t="shared" si="363"/>
        <v>0</v>
      </c>
      <c r="O646" t="s">
        <v>1992</v>
      </c>
      <c r="P646" t="s">
        <v>1997</v>
      </c>
      <c r="W646">
        <v>375</v>
      </c>
      <c r="X646">
        <v>200</v>
      </c>
      <c r="Y646">
        <v>500</v>
      </c>
      <c r="Z646" t="str">
        <f>Units!B$147</f>
        <v>gal/min</v>
      </c>
      <c r="AA646">
        <f>Units!C$147</f>
        <v>1</v>
      </c>
      <c r="AB646">
        <f>Units!D$147</f>
        <v>1</v>
      </c>
      <c r="AC646" t="str">
        <f>Units!E$147</f>
        <v>gal/min</v>
      </c>
      <c r="AD646" t="str">
        <f>Units!F$147</f>
        <v>gal/min</v>
      </c>
      <c r="AE646" t="str">
        <f>Units!G$147</f>
        <v>L/min</v>
      </c>
      <c r="AF646" t="str">
        <f>Units!H$147</f>
        <v>gal/min</v>
      </c>
    </row>
    <row r="647" spans="1:33" x14ac:dyDescent="0.3">
      <c r="A647" t="s">
        <v>1990</v>
      </c>
      <c r="B647" t="s">
        <v>1998</v>
      </c>
      <c r="C647" s="124" t="str">
        <f t="shared" si="330"/>
        <v>UDV.reception_pit.pump_hours</v>
      </c>
      <c r="D647" s="944">
        <f t="shared" si="358"/>
        <v>12</v>
      </c>
      <c r="E647" s="125" t="str">
        <f t="shared" si="361"/>
        <v>hr/day</v>
      </c>
      <c r="F647" s="944">
        <f t="shared" si="337"/>
        <v>12</v>
      </c>
      <c r="G647" s="126"/>
      <c r="H647">
        <f t="shared" si="355"/>
        <v>12</v>
      </c>
      <c r="I647" s="1325" t="str">
        <f t="shared" si="362"/>
        <v>hr/day</v>
      </c>
      <c r="J647" t="s">
        <v>660</v>
      </c>
      <c r="K647" s="124"/>
      <c r="L647">
        <f t="shared" si="359"/>
        <v>4</v>
      </c>
      <c r="M647">
        <f t="shared" si="360"/>
        <v>16</v>
      </c>
      <c r="N647">
        <f t="shared" si="363"/>
        <v>0</v>
      </c>
      <c r="O647" t="s">
        <v>1992</v>
      </c>
      <c r="P647" t="s">
        <v>1999</v>
      </c>
      <c r="W647">
        <v>12</v>
      </c>
      <c r="X647">
        <v>4</v>
      </c>
      <c r="Y647">
        <v>16</v>
      </c>
      <c r="Z647" t="str">
        <f>Units!B$121</f>
        <v>hr/day</v>
      </c>
      <c r="AA647">
        <f>Units!C$121</f>
        <v>1</v>
      </c>
      <c r="AB647">
        <f>Units!D$121</f>
        <v>1</v>
      </c>
      <c r="AC647" t="str">
        <f>Units!E$121</f>
        <v>hr/day</v>
      </c>
      <c r="AD647" t="str">
        <f>Units!F$121</f>
        <v>hr/day</v>
      </c>
      <c r="AE647" t="str">
        <f>Units!G$121</f>
        <v>hr/day</v>
      </c>
      <c r="AF647" t="str">
        <f>Units!H$121</f>
        <v>hr/day</v>
      </c>
    </row>
    <row r="648" spans="1:33" x14ac:dyDescent="0.3">
      <c r="A648" t="s">
        <v>1990</v>
      </c>
      <c r="B648" t="s">
        <v>2000</v>
      </c>
      <c r="C648" s="124" t="str">
        <f t="shared" si="330"/>
        <v>UDV.reception_pit.removal_time</v>
      </c>
      <c r="D648" s="944">
        <f t="shared" si="358"/>
        <v>1</v>
      </c>
      <c r="E648" s="125" t="str">
        <f t="shared" si="361"/>
        <v>days</v>
      </c>
      <c r="F648" s="944">
        <f t="shared" si="337"/>
        <v>1</v>
      </c>
      <c r="G648" s="126"/>
      <c r="H648">
        <f t="shared" si="355"/>
        <v>1</v>
      </c>
      <c r="I648" s="1325" t="str">
        <f t="shared" si="362"/>
        <v>days</v>
      </c>
      <c r="J648" t="s">
        <v>660</v>
      </c>
      <c r="K648" s="124"/>
      <c r="L648">
        <f t="shared" si="359"/>
        <v>0.25</v>
      </c>
      <c r="M648">
        <f t="shared" si="360"/>
        <v>4</v>
      </c>
      <c r="N648">
        <f t="shared" si="363"/>
        <v>0</v>
      </c>
      <c r="O648" t="s">
        <v>1992</v>
      </c>
      <c r="P648" t="s">
        <v>2001</v>
      </c>
      <c r="W648">
        <v>1</v>
      </c>
      <c r="X648">
        <v>0.25</v>
      </c>
      <c r="Y648">
        <v>4</v>
      </c>
      <c r="Z648" t="str">
        <f>Units!B$111</f>
        <v>days</v>
      </c>
      <c r="AA648">
        <f>Units!C$111</f>
        <v>1</v>
      </c>
      <c r="AB648">
        <f>Units!D$111</f>
        <v>1</v>
      </c>
      <c r="AC648" t="str">
        <f>Units!E$111</f>
        <v>days</v>
      </c>
      <c r="AD648" t="str">
        <f>Units!F$111</f>
        <v>days</v>
      </c>
      <c r="AE648" t="str">
        <f>Units!G$111</f>
        <v>days</v>
      </c>
      <c r="AF648" t="str">
        <f>Units!H$111</f>
        <v>days</v>
      </c>
    </row>
    <row r="649" spans="1:33" x14ac:dyDescent="0.3">
      <c r="A649" t="s">
        <v>1990</v>
      </c>
      <c r="B649" t="s">
        <v>1198</v>
      </c>
      <c r="C649" s="124" t="str">
        <f t="shared" si="330"/>
        <v>UDV.reception_pit.width</v>
      </c>
      <c r="D649" s="944">
        <f t="shared" si="358"/>
        <v>20</v>
      </c>
      <c r="E649" s="125" t="str">
        <f t="shared" si="361"/>
        <v>m</v>
      </c>
      <c r="F649" s="1331">
        <f t="shared" si="337"/>
        <v>65.616798000000003</v>
      </c>
      <c r="G649" s="1373"/>
      <c r="H649" s="205">
        <f t="shared" si="355"/>
        <v>65.616798000000003</v>
      </c>
      <c r="I649" s="1325" t="str">
        <f t="shared" si="362"/>
        <v>ft</v>
      </c>
      <c r="J649" t="s">
        <v>660</v>
      </c>
      <c r="K649" s="124"/>
      <c r="L649">
        <f t="shared" si="359"/>
        <v>16.404</v>
      </c>
      <c r="M649">
        <f t="shared" si="360"/>
        <v>114.83</v>
      </c>
      <c r="N649">
        <f t="shared" si="363"/>
        <v>0</v>
      </c>
      <c r="O649" t="s">
        <v>1992</v>
      </c>
      <c r="P649" t="s">
        <v>2002</v>
      </c>
      <c r="W649">
        <v>20</v>
      </c>
      <c r="X649">
        <v>5</v>
      </c>
      <c r="Y649">
        <v>35</v>
      </c>
      <c r="Z649" t="str">
        <f>Units!B$48</f>
        <v>m</v>
      </c>
      <c r="AA649">
        <f>Units!C$48</f>
        <v>3.2808399000000001</v>
      </c>
      <c r="AB649">
        <f>Units!D$48</f>
        <v>0.304799999536704</v>
      </c>
      <c r="AC649" t="str">
        <f>Units!E$48</f>
        <v>ft</v>
      </c>
      <c r="AD649" t="str">
        <f>Units!F$48</f>
        <v>m</v>
      </c>
      <c r="AE649" t="str">
        <f>Units!G$48</f>
        <v>m</v>
      </c>
      <c r="AF649" t="str">
        <f>Units!H$48</f>
        <v>ft</v>
      </c>
    </row>
    <row r="650" spans="1:33" x14ac:dyDescent="0.3">
      <c r="A650" t="s">
        <v>2003</v>
      </c>
      <c r="B650" t="s">
        <v>2004</v>
      </c>
      <c r="C650" s="124" t="str">
        <f t="shared" si="330"/>
        <v>UDV.recharge_event.draining_pullplug</v>
      </c>
      <c r="D650" s="1091">
        <f t="shared" si="358"/>
        <v>1</v>
      </c>
      <c r="E650" s="1093" t="str">
        <f t="shared" si="361"/>
        <v>events/month</v>
      </c>
      <c r="F650" s="1095">
        <f t="shared" si="337"/>
        <v>1</v>
      </c>
      <c r="H650" s="1102">
        <f t="shared" si="355"/>
        <v>1</v>
      </c>
      <c r="I650" s="956" t="str">
        <f t="shared" si="362"/>
        <v>events/month</v>
      </c>
      <c r="J650" t="s">
        <v>688</v>
      </c>
      <c r="L650">
        <f t="shared" si="359"/>
        <v>1</v>
      </c>
      <c r="M650">
        <f t="shared" si="360"/>
        <v>4</v>
      </c>
      <c r="N650">
        <f>IF(AND(G650&lt;=M650, G650&gt;=L650),1,0)</f>
        <v>0</v>
      </c>
      <c r="O650" t="s">
        <v>2005</v>
      </c>
      <c r="P650" t="s">
        <v>2006</v>
      </c>
      <c r="S650" t="s">
        <v>84</v>
      </c>
      <c r="V650" t="str">
        <f t="shared" ref="V650:V660" si="364">IF(OR((M650-L650)&lt;=0,H650&gt;M650,H650&lt;L650),"Fix","")</f>
        <v/>
      </c>
      <c r="W650" s="78">
        <f>Regressions!AD130</f>
        <v>1</v>
      </c>
      <c r="X650">
        <f>Regressions!AB130</f>
        <v>1</v>
      </c>
      <c r="Y650">
        <f>Regressions!AC130</f>
        <v>4</v>
      </c>
      <c r="Z650" t="str">
        <f>Units!B$32</f>
        <v>events/month</v>
      </c>
      <c r="AA650">
        <f>Units!C$32</f>
        <v>1</v>
      </c>
      <c r="AB650">
        <f>Units!D$32</f>
        <v>1</v>
      </c>
      <c r="AC650" t="str">
        <f>Units!E$32</f>
        <v>events/month</v>
      </c>
      <c r="AD650" t="str">
        <f>Units!F$32</f>
        <v>events/month</v>
      </c>
      <c r="AE650" t="str">
        <f>Units!G$32</f>
        <v>events/month</v>
      </c>
      <c r="AF650" t="str">
        <f>Units!H$32</f>
        <v>events/month</v>
      </c>
    </row>
    <row r="651" spans="1:33" x14ac:dyDescent="0.3">
      <c r="A651" t="s">
        <v>2003</v>
      </c>
      <c r="B651" t="s">
        <v>2007</v>
      </c>
      <c r="C651" s="124" t="str">
        <f t="shared" si="330"/>
        <v>UDV.recharge_event.water_type_pullplug</v>
      </c>
      <c r="D651" s="1091" t="str">
        <f>F651</f>
        <v>Fresh</v>
      </c>
      <c r="E651" s="1093" t="s">
        <v>2008</v>
      </c>
      <c r="F651" s="1095" t="str">
        <f t="shared" si="337"/>
        <v>Fresh</v>
      </c>
      <c r="H651" s="1104" t="s">
        <v>2009</v>
      </c>
      <c r="I651" s="956" t="s">
        <v>2008</v>
      </c>
      <c r="J651" t="s">
        <v>838</v>
      </c>
      <c r="N651">
        <f>IF(G651="",0,1)</f>
        <v>0</v>
      </c>
      <c r="O651" t="s">
        <v>2005</v>
      </c>
      <c r="P651" t="s">
        <v>2010</v>
      </c>
      <c r="Q651" s="643" t="s">
        <v>2011</v>
      </c>
      <c r="S651" t="s">
        <v>84</v>
      </c>
      <c r="V651" t="str">
        <f t="shared" si="364"/>
        <v>Fix</v>
      </c>
      <c r="W651" s="78" t="s">
        <v>2009</v>
      </c>
      <c r="X651">
        <v>0</v>
      </c>
      <c r="Y651">
        <v>0</v>
      </c>
      <c r="Z651" t="str">
        <f>Units!B$124</f>
        <v>type</v>
      </c>
      <c r="AA651">
        <f>Units!C$124</f>
        <v>1</v>
      </c>
      <c r="AB651">
        <f>Units!D$124</f>
        <v>1</v>
      </c>
      <c r="AC651" t="str">
        <f>Units!E$124</f>
        <v>type</v>
      </c>
      <c r="AD651" t="str">
        <f>Units!F$124</f>
        <v>type</v>
      </c>
      <c r="AE651" t="str">
        <f>Units!G$124</f>
        <v>type</v>
      </c>
      <c r="AF651" t="str">
        <f>Units!H$124</f>
        <v>type</v>
      </c>
    </row>
    <row r="652" spans="1:33" x14ac:dyDescent="0.3">
      <c r="A652" t="s">
        <v>2012</v>
      </c>
      <c r="B652" t="s">
        <v>961</v>
      </c>
      <c r="C652" s="124" t="str">
        <f t="shared" si="330"/>
        <v>UDV.rfw.fraction_recycled</v>
      </c>
      <c r="D652" s="1091">
        <f t="shared" ref="D652:D676" si="365">$F652*$AB652</f>
        <v>1</v>
      </c>
      <c r="E652" s="1093" t="str">
        <f t="shared" ref="E652:E676" si="366">$AD652</f>
        <v>fraction</v>
      </c>
      <c r="F652" s="1095">
        <f>UI.Manure!BC237</f>
        <v>1</v>
      </c>
      <c r="G652" s="1098" t="str">
        <f>UI.Manure!BD237</f>
        <v/>
      </c>
      <c r="H652" s="1101">
        <f t="shared" ref="H652:H676" si="367">$W652*$AA652</f>
        <v>1</v>
      </c>
      <c r="I652" s="956" t="str">
        <f t="shared" ref="I652:I676" si="368">$AC652</f>
        <v>fraction</v>
      </c>
      <c r="J652" t="s">
        <v>660</v>
      </c>
      <c r="K652" t="s">
        <v>825</v>
      </c>
      <c r="L652">
        <f t="shared" si="359"/>
        <v>0</v>
      </c>
      <c r="M652">
        <f t="shared" si="360"/>
        <v>1</v>
      </c>
      <c r="N652">
        <f>IF(AND(G652&lt;=M652, G652&gt;=L652),1,0)</f>
        <v>0</v>
      </c>
      <c r="O652" t="s">
        <v>2013</v>
      </c>
      <c r="P652" t="s">
        <v>2014</v>
      </c>
      <c r="S652" t="s">
        <v>84</v>
      </c>
      <c r="V652" t="str">
        <f t="shared" si="364"/>
        <v/>
      </c>
      <c r="W652" s="78">
        <v>1</v>
      </c>
      <c r="X652">
        <v>0</v>
      </c>
      <c r="Y652">
        <v>1</v>
      </c>
      <c r="Z652" t="str">
        <f>Units!B$35</f>
        <v>fraction</v>
      </c>
      <c r="AA652">
        <f>Units!C$35</f>
        <v>1</v>
      </c>
      <c r="AB652">
        <f>Units!D$35</f>
        <v>1</v>
      </c>
      <c r="AC652" t="str">
        <f>Units!E$35</f>
        <v>fraction</v>
      </c>
      <c r="AD652" t="str">
        <f>Units!F$35</f>
        <v>fraction</v>
      </c>
      <c r="AE652" t="str">
        <f>Units!G$35</f>
        <v>fraction</v>
      </c>
      <c r="AF652" t="str">
        <f>Units!H$35</f>
        <v>fraction</v>
      </c>
    </row>
    <row r="653" spans="1:33" x14ac:dyDescent="0.3">
      <c r="A653" s="944" t="s">
        <v>2012</v>
      </c>
      <c r="B653" s="944" t="s">
        <v>702</v>
      </c>
      <c r="C653" s="124" t="str">
        <f t="shared" si="330"/>
        <v>UDV.rfw.K</v>
      </c>
      <c r="D653" s="944">
        <f t="shared" si="365"/>
        <v>0.13999999999999999</v>
      </c>
      <c r="E653" s="125" t="str">
        <f t="shared" si="366"/>
        <v>g/L</v>
      </c>
      <c r="F653" s="1330">
        <f t="shared" ref="F653:F704" si="369">IF(OR(G653="",N653=0),H653,G653)</f>
        <v>1.1683566220481179</v>
      </c>
      <c r="G653" s="1334"/>
      <c r="H653" s="78">
        <f t="shared" si="367"/>
        <v>1.1683566220481179</v>
      </c>
      <c r="I653" s="1325" t="str">
        <f t="shared" si="368"/>
        <v>lb/1000 gal</v>
      </c>
      <c r="J653" t="s">
        <v>660</v>
      </c>
      <c r="K653" s="124"/>
      <c r="L653">
        <f t="shared" si="359"/>
        <v>1.0840000000000001</v>
      </c>
      <c r="M653">
        <f t="shared" si="360"/>
        <v>5.984</v>
      </c>
      <c r="N653">
        <f>IF(AND(M653 - G653 &gt;= 0, G653 - L653 &gt;=0),1,0)</f>
        <v>0</v>
      </c>
      <c r="O653" t="s">
        <v>2013</v>
      </c>
      <c r="P653" t="s">
        <v>2015</v>
      </c>
      <c r="R653" s="711"/>
      <c r="S653" t="s">
        <v>84</v>
      </c>
      <c r="V653" t="str">
        <f t="shared" si="364"/>
        <v/>
      </c>
      <c r="W653">
        <v>0.14000000000000001</v>
      </c>
      <c r="X653">
        <v>0.13</v>
      </c>
      <c r="Y653">
        <v>0.71699999999999997</v>
      </c>
      <c r="Z653" t="str">
        <f>Units!B$87</f>
        <v>g/L</v>
      </c>
      <c r="AA653">
        <f>Units!C$87</f>
        <v>8.3454044432008416</v>
      </c>
      <c r="AB653">
        <f>Units!D$87</f>
        <v>0.11982642744351579</v>
      </c>
      <c r="AC653" t="str">
        <f>Units!E$87</f>
        <v>lb/1000 gal</v>
      </c>
      <c r="AD653" t="str">
        <f>Units!F$87</f>
        <v>g/L</v>
      </c>
      <c r="AE653" t="str">
        <f>Units!G$87</f>
        <v>g/L</v>
      </c>
      <c r="AF653" t="str">
        <f>Units!H$87</f>
        <v>lb/1000 gal</v>
      </c>
    </row>
    <row r="654" spans="1:33" x14ac:dyDescent="0.3">
      <c r="A654" t="s">
        <v>2012</v>
      </c>
      <c r="B654" t="s">
        <v>934</v>
      </c>
      <c r="C654" s="124" t="str">
        <f t="shared" si="330"/>
        <v>UDV.rfw.K2O</v>
      </c>
      <c r="D654" s="1091">
        <f t="shared" si="365"/>
        <v>0.4</v>
      </c>
      <c r="E654" s="1093" t="str">
        <f t="shared" si="366"/>
        <v>g/L</v>
      </c>
      <c r="F654" s="1095">
        <f t="shared" si="369"/>
        <v>3.3381617772803369</v>
      </c>
      <c r="H654" s="1101">
        <f t="shared" si="367"/>
        <v>3.3381617772803369</v>
      </c>
      <c r="I654" s="956" t="str">
        <f t="shared" si="368"/>
        <v>lb/1000 gal</v>
      </c>
      <c r="J654" t="s">
        <v>660</v>
      </c>
      <c r="L654">
        <f t="shared" si="359"/>
        <v>2.3780000000000001</v>
      </c>
      <c r="M654">
        <f t="shared" si="360"/>
        <v>5.984</v>
      </c>
      <c r="N654">
        <f>IF(AND(G654&lt;=M654, G654&gt;=L654),1,0)</f>
        <v>0</v>
      </c>
      <c r="O654" t="s">
        <v>2013</v>
      </c>
      <c r="P654" t="s">
        <v>2015</v>
      </c>
      <c r="S654" t="s">
        <v>84</v>
      </c>
      <c r="V654" t="str">
        <f t="shared" si="364"/>
        <v/>
      </c>
      <c r="W654" s="78">
        <v>0.4</v>
      </c>
      <c r="X654">
        <v>0.28499999999999998</v>
      </c>
      <c r="Y654">
        <v>0.71699999999999997</v>
      </c>
      <c r="Z654" t="str">
        <f>Units!B$87</f>
        <v>g/L</v>
      </c>
      <c r="AA654">
        <f>Units!C$87</f>
        <v>8.3454044432008416</v>
      </c>
      <c r="AB654">
        <f>Units!D$87</f>
        <v>0.11982642744351579</v>
      </c>
      <c r="AC654" t="str">
        <f>Units!E$87</f>
        <v>lb/1000 gal</v>
      </c>
      <c r="AD654" t="str">
        <f>Units!F$87</f>
        <v>g/L</v>
      </c>
      <c r="AE654" t="str">
        <f>Units!G$87</f>
        <v>g/L</v>
      </c>
      <c r="AF654" t="str">
        <f>Units!H$87</f>
        <v>lb/1000 gal</v>
      </c>
    </row>
    <row r="655" spans="1:33" x14ac:dyDescent="0.3">
      <c r="A655" t="s">
        <v>2012</v>
      </c>
      <c r="B655" t="s">
        <v>84</v>
      </c>
      <c r="C655" s="124" t="str">
        <f t="shared" si="330"/>
        <v>UDV.rfw.N</v>
      </c>
      <c r="D655" s="1091">
        <f t="shared" si="365"/>
        <v>0.24</v>
      </c>
      <c r="E655" s="1093" t="str">
        <f t="shared" si="366"/>
        <v>g/L</v>
      </c>
      <c r="F655" s="1095">
        <f t="shared" si="369"/>
        <v>2.002897066368202</v>
      </c>
      <c r="H655" s="1101">
        <f t="shared" si="367"/>
        <v>2.002897066368202</v>
      </c>
      <c r="I655" s="956" t="str">
        <f t="shared" si="368"/>
        <v>lb/1000 gal</v>
      </c>
      <c r="J655" t="s">
        <v>660</v>
      </c>
      <c r="L655">
        <f t="shared" si="359"/>
        <v>1.0009999999999999</v>
      </c>
      <c r="M655">
        <f t="shared" si="360"/>
        <v>5.008</v>
      </c>
      <c r="N655">
        <f>IF(AND(G655&lt;=M655, G655&gt;=L655),1,0)</f>
        <v>0</v>
      </c>
      <c r="O655" t="s">
        <v>2013</v>
      </c>
      <c r="P655" t="s">
        <v>2016</v>
      </c>
      <c r="S655" t="s">
        <v>84</v>
      </c>
      <c r="V655" t="str">
        <f t="shared" si="364"/>
        <v/>
      </c>
      <c r="W655" s="78">
        <v>0.24</v>
      </c>
      <c r="X655">
        <v>0.12</v>
      </c>
      <c r="Y655">
        <v>0.6</v>
      </c>
      <c r="Z655" t="str">
        <f>Units!B$87</f>
        <v>g/L</v>
      </c>
      <c r="AA655">
        <f>Units!C$87</f>
        <v>8.3454044432008416</v>
      </c>
      <c r="AB655">
        <f>Units!D$87</f>
        <v>0.11982642744351579</v>
      </c>
      <c r="AC655" t="str">
        <f>Units!E$87</f>
        <v>lb/1000 gal</v>
      </c>
      <c r="AD655" t="str">
        <f>Units!F$87</f>
        <v>g/L</v>
      </c>
      <c r="AE655" t="str">
        <f>Units!G$87</f>
        <v>g/L</v>
      </c>
      <c r="AF655" t="str">
        <f>Units!H$87</f>
        <v>lb/1000 gal</v>
      </c>
    </row>
    <row r="656" spans="1:33" x14ac:dyDescent="0.3">
      <c r="A656" t="s">
        <v>2012</v>
      </c>
      <c r="B656" t="s">
        <v>704</v>
      </c>
      <c r="C656" s="124" t="str">
        <f t="shared" si="330"/>
        <v>UDV.rfw.P</v>
      </c>
      <c r="D656" s="944">
        <f t="shared" si="365"/>
        <v>0.04</v>
      </c>
      <c r="E656" s="125" t="str">
        <f t="shared" si="366"/>
        <v>g/L</v>
      </c>
      <c r="F656" s="1330">
        <f t="shared" si="369"/>
        <v>0.33381617772803368</v>
      </c>
      <c r="G656" s="1334"/>
      <c r="H656" s="78">
        <f t="shared" si="367"/>
        <v>0.33381617772803368</v>
      </c>
      <c r="I656" s="1325" t="str">
        <f t="shared" si="368"/>
        <v>lb/1000 gal</v>
      </c>
      <c r="J656" t="s">
        <v>660</v>
      </c>
      <c r="K656" s="124"/>
      <c r="L656">
        <f t="shared" si="359"/>
        <v>0.33300000000000002</v>
      </c>
      <c r="M656">
        <f t="shared" si="360"/>
        <v>1.236</v>
      </c>
      <c r="N656">
        <f>IF(AND(M656 - G656 &gt;= 0, G656 - L656 &gt;=0),1,0)</f>
        <v>0</v>
      </c>
      <c r="O656" t="s">
        <v>2013</v>
      </c>
      <c r="P656" t="s">
        <v>2017</v>
      </c>
      <c r="R656" s="711"/>
      <c r="S656" t="s">
        <v>84</v>
      </c>
      <c r="V656" t="str">
        <f t="shared" si="364"/>
        <v/>
      </c>
      <c r="W656">
        <v>0.04</v>
      </c>
      <c r="X656">
        <v>0.04</v>
      </c>
      <c r="Y656">
        <v>0.14799999999999999</v>
      </c>
      <c r="Z656" t="str">
        <f>Units!B$87</f>
        <v>g/L</v>
      </c>
      <c r="AA656">
        <f>Units!C$87</f>
        <v>8.3454044432008416</v>
      </c>
      <c r="AB656">
        <f>Units!D$87</f>
        <v>0.11982642744351579</v>
      </c>
      <c r="AC656" t="str">
        <f>Units!E$87</f>
        <v>lb/1000 gal</v>
      </c>
      <c r="AD656" t="str">
        <f>Units!F$87</f>
        <v>g/L</v>
      </c>
      <c r="AE656" t="str">
        <f>Units!G$87</f>
        <v>g/L</v>
      </c>
      <c r="AF656" t="str">
        <f>Units!H$87</f>
        <v>lb/1000 gal</v>
      </c>
      <c r="AG656">
        <f>Units!I$87</f>
        <v>1</v>
      </c>
    </row>
    <row r="657" spans="1:32" x14ac:dyDescent="0.3">
      <c r="A657" t="s">
        <v>2012</v>
      </c>
      <c r="B657" t="s">
        <v>941</v>
      </c>
      <c r="C657" s="124" t="str">
        <f t="shared" si="330"/>
        <v>UDV.rfw.P2O5</v>
      </c>
      <c r="D657" s="1091">
        <f t="shared" si="365"/>
        <v>0.04</v>
      </c>
      <c r="E657" s="1093" t="str">
        <f t="shared" si="366"/>
        <v>g/L</v>
      </c>
      <c r="F657" s="1095">
        <f t="shared" si="369"/>
        <v>0.33381617772803368</v>
      </c>
      <c r="H657" s="1101">
        <f t="shared" si="367"/>
        <v>0.33381617772803368</v>
      </c>
      <c r="I657" s="956" t="str">
        <f t="shared" si="368"/>
        <v>lb/1000 gal</v>
      </c>
      <c r="J657" t="s">
        <v>660</v>
      </c>
      <c r="L657">
        <f t="shared" si="359"/>
        <v>0.33300000000000002</v>
      </c>
      <c r="M657">
        <f t="shared" si="360"/>
        <v>1.236</v>
      </c>
      <c r="N657">
        <f>IF(AND(G657&lt;=M657, G657&gt;=L657),1,0)</f>
        <v>0</v>
      </c>
      <c r="O657" t="s">
        <v>2013</v>
      </c>
      <c r="P657" t="s">
        <v>2017</v>
      </c>
      <c r="S657" t="s">
        <v>84</v>
      </c>
      <c r="V657" t="str">
        <f t="shared" si="364"/>
        <v/>
      </c>
      <c r="W657" s="78">
        <v>0.04</v>
      </c>
      <c r="X657">
        <v>0.04</v>
      </c>
      <c r="Y657">
        <v>0.14799999999999999</v>
      </c>
      <c r="Z657" t="str">
        <f>Units!B$87</f>
        <v>g/L</v>
      </c>
      <c r="AA657">
        <f>Units!C$87</f>
        <v>8.3454044432008416</v>
      </c>
      <c r="AB657">
        <f>Units!D$87</f>
        <v>0.11982642744351579</v>
      </c>
      <c r="AC657" t="str">
        <f>Units!E$87</f>
        <v>lb/1000 gal</v>
      </c>
      <c r="AD657" t="str">
        <f>Units!F$87</f>
        <v>g/L</v>
      </c>
      <c r="AE657" t="str">
        <f>Units!G$87</f>
        <v>g/L</v>
      </c>
      <c r="AF657" t="str">
        <f>Units!H$87</f>
        <v>lb/1000 gal</v>
      </c>
    </row>
    <row r="658" spans="1:32" x14ac:dyDescent="0.3">
      <c r="A658" t="s">
        <v>2012</v>
      </c>
      <c r="B658" t="s">
        <v>705</v>
      </c>
      <c r="C658" s="124" t="str">
        <f t="shared" si="330"/>
        <v>UDV.rfw.TAN</v>
      </c>
      <c r="D658" s="1091">
        <f t="shared" si="365"/>
        <v>0.2</v>
      </c>
      <c r="E658" s="1093" t="str">
        <f t="shared" si="366"/>
        <v>g/L</v>
      </c>
      <c r="F658" s="1095">
        <f t="shared" si="369"/>
        <v>1.6690808886401685</v>
      </c>
      <c r="H658" s="1101">
        <f t="shared" si="367"/>
        <v>1.6690808886401685</v>
      </c>
      <c r="I658" s="956" t="str">
        <f t="shared" si="368"/>
        <v>lb/1000 gal</v>
      </c>
      <c r="J658" t="s">
        <v>660</v>
      </c>
      <c r="L658">
        <f t="shared" si="359"/>
        <v>1.2509999999999999</v>
      </c>
      <c r="M658">
        <f t="shared" si="360"/>
        <v>2.504</v>
      </c>
      <c r="N658">
        <f>IF(AND(G658&lt;=M658, G658&gt;=L658),1,0)</f>
        <v>0</v>
      </c>
      <c r="O658" t="s">
        <v>2013</v>
      </c>
      <c r="P658" t="s">
        <v>2018</v>
      </c>
      <c r="S658" t="s">
        <v>84</v>
      </c>
      <c r="V658" t="str">
        <f t="shared" si="364"/>
        <v/>
      </c>
      <c r="W658" s="78">
        <v>0.2</v>
      </c>
      <c r="X658">
        <v>0.15</v>
      </c>
      <c r="Y658">
        <v>0.3</v>
      </c>
      <c r="Z658" t="str">
        <f>Units!B$87</f>
        <v>g/L</v>
      </c>
      <c r="AA658">
        <f>Units!C$87</f>
        <v>8.3454044432008416</v>
      </c>
      <c r="AB658">
        <f>Units!D$87</f>
        <v>0.11982642744351579</v>
      </c>
      <c r="AC658" t="str">
        <f>Units!E$87</f>
        <v>lb/1000 gal</v>
      </c>
      <c r="AD658" t="str">
        <f>Units!F$87</f>
        <v>g/L</v>
      </c>
      <c r="AE658" t="str">
        <f>Units!G$87</f>
        <v>g/L</v>
      </c>
      <c r="AF658" t="str">
        <f>Units!H$87</f>
        <v>lb/1000 gal</v>
      </c>
    </row>
    <row r="659" spans="1:32" x14ac:dyDescent="0.3">
      <c r="A659" t="s">
        <v>2012</v>
      </c>
      <c r="B659" t="s">
        <v>706</v>
      </c>
      <c r="C659" s="124" t="str">
        <f t="shared" si="330"/>
        <v>UDV.rfw.TS</v>
      </c>
      <c r="D659" s="1091">
        <f t="shared" si="365"/>
        <v>0.5</v>
      </c>
      <c r="E659" s="1093" t="str">
        <f t="shared" si="366"/>
        <v>g/L</v>
      </c>
      <c r="F659" s="1095">
        <f t="shared" si="369"/>
        <v>4.1727022216004208</v>
      </c>
      <c r="H659" s="1101">
        <f t="shared" si="367"/>
        <v>4.1727022216004208</v>
      </c>
      <c r="I659" s="956" t="str">
        <f t="shared" si="368"/>
        <v>lb/1000 gal</v>
      </c>
      <c r="J659" t="s">
        <v>660</v>
      </c>
      <c r="L659">
        <f t="shared" si="359"/>
        <v>0.41699999999999998</v>
      </c>
      <c r="M659">
        <f t="shared" si="360"/>
        <v>12.519</v>
      </c>
      <c r="N659">
        <f>IF(AND(G659&lt;=M659, G659&gt;=L659),1,0)</f>
        <v>0</v>
      </c>
      <c r="O659" t="s">
        <v>2013</v>
      </c>
      <c r="P659" t="s">
        <v>2019</v>
      </c>
      <c r="S659" t="s">
        <v>84</v>
      </c>
      <c r="V659" t="str">
        <f t="shared" si="364"/>
        <v/>
      </c>
      <c r="W659" s="78">
        <v>0.5</v>
      </c>
      <c r="X659">
        <v>0.05</v>
      </c>
      <c r="Y659">
        <v>1.5</v>
      </c>
      <c r="Z659" t="str">
        <f>Units!B$87</f>
        <v>g/L</v>
      </c>
      <c r="AA659">
        <f>Units!C$87</f>
        <v>8.3454044432008416</v>
      </c>
      <c r="AB659">
        <f>Units!D$87</f>
        <v>0.11982642744351579</v>
      </c>
      <c r="AC659" t="str">
        <f>Units!E$87</f>
        <v>lb/1000 gal</v>
      </c>
      <c r="AD659" t="str">
        <f>Units!F$87</f>
        <v>g/L</v>
      </c>
      <c r="AE659" t="str">
        <f>Units!G$87</f>
        <v>g/L</v>
      </c>
      <c r="AF659" t="str">
        <f>Units!H$87</f>
        <v>lb/1000 gal</v>
      </c>
    </row>
    <row r="660" spans="1:32" x14ac:dyDescent="0.3">
      <c r="A660" t="s">
        <v>2012</v>
      </c>
      <c r="B660" t="s">
        <v>708</v>
      </c>
      <c r="C660" s="124" t="str">
        <f t="shared" si="330"/>
        <v>UDV.rfw.VS</v>
      </c>
      <c r="D660" s="1091">
        <f t="shared" si="365"/>
        <v>0.85</v>
      </c>
      <c r="E660" s="1093" t="str">
        <f t="shared" si="366"/>
        <v>fraction</v>
      </c>
      <c r="F660" s="1095">
        <f t="shared" si="369"/>
        <v>0.85</v>
      </c>
      <c r="H660" s="1101">
        <f t="shared" si="367"/>
        <v>0.85</v>
      </c>
      <c r="I660" s="956" t="str">
        <f t="shared" si="368"/>
        <v>fraction</v>
      </c>
      <c r="J660" t="s">
        <v>660</v>
      </c>
      <c r="L660">
        <f t="shared" si="359"/>
        <v>0.85</v>
      </c>
      <c r="M660">
        <f t="shared" si="360"/>
        <v>0.95</v>
      </c>
      <c r="N660">
        <f>IF(AND(G660&lt;=M660, G660&gt;=L660),1,0)</f>
        <v>0</v>
      </c>
      <c r="O660" t="s">
        <v>2013</v>
      </c>
      <c r="P660" t="s">
        <v>2020</v>
      </c>
      <c r="S660" t="s">
        <v>84</v>
      </c>
      <c r="V660" t="str">
        <f t="shared" si="364"/>
        <v/>
      </c>
      <c r="W660" s="78">
        <v>0.85</v>
      </c>
      <c r="X660">
        <v>0.85</v>
      </c>
      <c r="Y660">
        <v>0.95</v>
      </c>
      <c r="Z660" t="str">
        <f>Units!B$35</f>
        <v>fraction</v>
      </c>
      <c r="AA660">
        <f>Units!C$35</f>
        <v>1</v>
      </c>
      <c r="AB660">
        <f>Units!D$35</f>
        <v>1</v>
      </c>
      <c r="AC660" t="str">
        <f>Units!E$35</f>
        <v>fraction</v>
      </c>
      <c r="AD660" t="str">
        <f>Units!F$35</f>
        <v>fraction</v>
      </c>
      <c r="AE660" t="str">
        <f>Units!G$35</f>
        <v>fraction</v>
      </c>
      <c r="AF660" t="str">
        <f>Units!H$35</f>
        <v>fraction</v>
      </c>
    </row>
    <row r="661" spans="1:32" s="1031" customFormat="1" x14ac:dyDescent="0.3">
      <c r="A661" s="1031" t="s">
        <v>2021</v>
      </c>
      <c r="B661" s="1031" t="s">
        <v>2022</v>
      </c>
      <c r="C661" s="1031" t="str">
        <f t="shared" si="330"/>
        <v>UDV.scrape_auto.head_per_alley</v>
      </c>
      <c r="D661" s="1031">
        <f t="shared" si="365"/>
        <v>100</v>
      </c>
      <c r="E661" s="1031" t="str">
        <f t="shared" si="366"/>
        <v>quantity</v>
      </c>
      <c r="F661" s="1031">
        <f t="shared" si="369"/>
        <v>100</v>
      </c>
      <c r="H661" s="1031">
        <f t="shared" si="367"/>
        <v>100</v>
      </c>
      <c r="I661" s="1031" t="str">
        <f t="shared" si="368"/>
        <v>quantity</v>
      </c>
      <c r="J661" s="1031" t="s">
        <v>660</v>
      </c>
      <c r="L661">
        <f t="shared" si="359"/>
        <v>25</v>
      </c>
      <c r="M661">
        <f t="shared" si="360"/>
        <v>500</v>
      </c>
      <c r="N661" s="1031">
        <f t="shared" ref="N661:N691" si="370">IF(AND(M661 - G661 &gt;= 0, G661 - L661 &gt;=0),1,0)</f>
        <v>0</v>
      </c>
      <c r="O661" s="1031" t="s">
        <v>2023</v>
      </c>
      <c r="P661" s="1031" t="s">
        <v>2024</v>
      </c>
      <c r="W661" s="1031">
        <v>100</v>
      </c>
      <c r="X661" s="1031">
        <v>25</v>
      </c>
      <c r="Y661" s="1031">
        <v>500</v>
      </c>
      <c r="Z661" s="1031" t="str">
        <f>Units!B$106</f>
        <v>quantity</v>
      </c>
      <c r="AA661" s="1031">
        <f>Units!C$106</f>
        <v>1</v>
      </c>
      <c r="AB661" s="1031">
        <f>Units!D$106</f>
        <v>1</v>
      </c>
      <c r="AC661" s="1031" t="str">
        <f>Units!E$106</f>
        <v>quantity</v>
      </c>
      <c r="AD661" s="1031" t="str">
        <f>Units!F$106</f>
        <v>quantity</v>
      </c>
      <c r="AE661" s="1031" t="str">
        <f>Units!G$106</f>
        <v>quantity</v>
      </c>
      <c r="AF661" s="1031" t="str">
        <f>Units!H$106</f>
        <v>quantity</v>
      </c>
    </row>
    <row r="662" spans="1:32" s="1031" customFormat="1" x14ac:dyDescent="0.3">
      <c r="A662" s="1031" t="s">
        <v>2021</v>
      </c>
      <c r="B662" s="1031" t="s">
        <v>2025</v>
      </c>
      <c r="C662" s="1031" t="str">
        <f t="shared" si="330"/>
        <v>UDV.scrape_auto.interval</v>
      </c>
      <c r="D662" s="1031">
        <f t="shared" si="365"/>
        <v>1</v>
      </c>
      <c r="E662" s="1031" t="str">
        <f t="shared" si="366"/>
        <v>cycle/day</v>
      </c>
      <c r="F662" s="1031">
        <f t="shared" si="369"/>
        <v>1</v>
      </c>
      <c r="H662" s="1031">
        <f t="shared" si="367"/>
        <v>1</v>
      </c>
      <c r="I662" s="1031" t="str">
        <f t="shared" si="368"/>
        <v>cycle/day</v>
      </c>
      <c r="J662" s="1031" t="s">
        <v>660</v>
      </c>
      <c r="L662">
        <f t="shared" si="359"/>
        <v>0.25</v>
      </c>
      <c r="M662">
        <f t="shared" si="360"/>
        <v>2</v>
      </c>
      <c r="N662" s="1031">
        <f t="shared" si="370"/>
        <v>0</v>
      </c>
      <c r="O662" s="1031" t="s">
        <v>2023</v>
      </c>
      <c r="P662" s="1031" t="s">
        <v>2026</v>
      </c>
      <c r="W662" s="1031">
        <v>1</v>
      </c>
      <c r="X662" s="1031">
        <v>0.25</v>
      </c>
      <c r="Y662" s="1031">
        <v>2</v>
      </c>
      <c r="Z662" s="1031" t="str">
        <f>Units!B$30</f>
        <v>cycle/day</v>
      </c>
      <c r="AA662" s="1031">
        <f>Units!C$30</f>
        <v>1</v>
      </c>
      <c r="AB662" s="1031">
        <f>Units!D$30</f>
        <v>1</v>
      </c>
      <c r="AC662" s="1031" t="str">
        <f>Units!E$30</f>
        <v>cycle/day</v>
      </c>
      <c r="AD662" s="1031" t="str">
        <f>Units!F$30</f>
        <v>cycle/day</v>
      </c>
      <c r="AE662" s="1031" t="str">
        <f>Units!G$30</f>
        <v>cycle/day</v>
      </c>
      <c r="AF662" s="1031" t="str">
        <f>Units!H$30</f>
        <v>cycle/day</v>
      </c>
    </row>
    <row r="663" spans="1:32" x14ac:dyDescent="0.3">
      <c r="A663" t="s">
        <v>2021</v>
      </c>
      <c r="B663" t="s">
        <v>2027</v>
      </c>
      <c r="C663" t="str">
        <f t="shared" si="330"/>
        <v>UDV.scrape_auto.tc_length_per_driver</v>
      </c>
      <c r="D663">
        <f t="shared" si="365"/>
        <v>10.700000000000001</v>
      </c>
      <c r="E663" t="str">
        <f t="shared" si="366"/>
        <v>m</v>
      </c>
      <c r="F663" s="78">
        <f t="shared" si="369"/>
        <v>35.104986930000003</v>
      </c>
      <c r="G663"/>
      <c r="H663" s="78">
        <f t="shared" si="367"/>
        <v>35.104986930000003</v>
      </c>
      <c r="I663" t="str">
        <f t="shared" si="368"/>
        <v>ft</v>
      </c>
      <c r="J663" t="s">
        <v>660</v>
      </c>
      <c r="L663">
        <f t="shared" si="359"/>
        <v>16.404</v>
      </c>
      <c r="M663">
        <f t="shared" si="360"/>
        <v>49.213000000000001</v>
      </c>
      <c r="N663">
        <f t="shared" si="370"/>
        <v>0</v>
      </c>
      <c r="O663" t="s">
        <v>2023</v>
      </c>
      <c r="P663" t="s">
        <v>2028</v>
      </c>
      <c r="R663"/>
      <c r="T663"/>
      <c r="W663">
        <v>10.7</v>
      </c>
      <c r="X663">
        <v>5</v>
      </c>
      <c r="Y663">
        <v>15</v>
      </c>
      <c r="Z663" t="str">
        <f>Units!B$48</f>
        <v>m</v>
      </c>
      <c r="AA663">
        <f>Units!C$48</f>
        <v>3.2808399000000001</v>
      </c>
      <c r="AB663">
        <f>Units!D$48</f>
        <v>0.304799999536704</v>
      </c>
      <c r="AC663" t="str">
        <f>Units!E$48</f>
        <v>ft</v>
      </c>
      <c r="AD663" t="str">
        <f>Units!F$48</f>
        <v>m</v>
      </c>
      <c r="AE663" t="str">
        <f>Units!G$48</f>
        <v>m</v>
      </c>
      <c r="AF663" t="str">
        <f>Units!H$48</f>
        <v>ft</v>
      </c>
    </row>
    <row r="664" spans="1:32" x14ac:dyDescent="0.3">
      <c r="A664" t="s">
        <v>2021</v>
      </c>
      <c r="B664" t="s">
        <v>2029</v>
      </c>
      <c r="C664" t="str">
        <f t="shared" si="330"/>
        <v>UDV.scrape_auto.tc_length_per_motor</v>
      </c>
      <c r="D664">
        <f t="shared" si="365"/>
        <v>200.00000000000003</v>
      </c>
      <c r="E664" t="str">
        <f t="shared" si="366"/>
        <v>m</v>
      </c>
      <c r="F664" s="78">
        <f t="shared" si="369"/>
        <v>656.16798000000006</v>
      </c>
      <c r="G664"/>
      <c r="H664" s="78">
        <f t="shared" si="367"/>
        <v>656.16798000000006</v>
      </c>
      <c r="I664" t="str">
        <f t="shared" si="368"/>
        <v>ft</v>
      </c>
      <c r="J664" t="s">
        <v>660</v>
      </c>
      <c r="L664">
        <f t="shared" si="359"/>
        <v>492.125</v>
      </c>
      <c r="M664">
        <f t="shared" si="360"/>
        <v>820.20999999999992</v>
      </c>
      <c r="N664">
        <f t="shared" si="370"/>
        <v>0</v>
      </c>
      <c r="O664" t="s">
        <v>2023</v>
      </c>
      <c r="P664" t="s">
        <v>2030</v>
      </c>
      <c r="R664"/>
      <c r="T664"/>
      <c r="W664">
        <v>200</v>
      </c>
      <c r="X664">
        <v>150</v>
      </c>
      <c r="Y664">
        <v>250</v>
      </c>
      <c r="Z664" t="str">
        <f>Units!B$48</f>
        <v>m</v>
      </c>
      <c r="AA664">
        <f>Units!C$48</f>
        <v>3.2808399000000001</v>
      </c>
      <c r="AB664">
        <f>Units!D$48</f>
        <v>0.304799999536704</v>
      </c>
      <c r="AC664" t="str">
        <f>Units!E$48</f>
        <v>ft</v>
      </c>
      <c r="AD664" t="str">
        <f>Units!F$48</f>
        <v>m</v>
      </c>
      <c r="AE664" t="str">
        <f>Units!G$48</f>
        <v>m</v>
      </c>
      <c r="AF664" t="str">
        <f>Units!H$48</f>
        <v>ft</v>
      </c>
    </row>
    <row r="665" spans="1:32" x14ac:dyDescent="0.3">
      <c r="A665" t="s">
        <v>2021</v>
      </c>
      <c r="B665" t="s">
        <v>2031</v>
      </c>
      <c r="C665" s="124" t="str">
        <f t="shared" si="330"/>
        <v>UDV.scrape_auto.scrape_per_day</v>
      </c>
      <c r="D665" s="944">
        <f t="shared" si="365"/>
        <v>12</v>
      </c>
      <c r="E665" s="125" t="str">
        <f t="shared" si="366"/>
        <v>occurrences/event</v>
      </c>
      <c r="F665" s="944">
        <f t="shared" si="369"/>
        <v>12</v>
      </c>
      <c r="G665" s="126"/>
      <c r="H665">
        <f t="shared" si="367"/>
        <v>12</v>
      </c>
      <c r="I665" s="1325" t="str">
        <f t="shared" si="368"/>
        <v>occurrences/event</v>
      </c>
      <c r="J665" t="s">
        <v>660</v>
      </c>
      <c r="K665" s="124"/>
      <c r="L665">
        <f t="shared" si="359"/>
        <v>1</v>
      </c>
      <c r="M665">
        <f t="shared" si="360"/>
        <v>15</v>
      </c>
      <c r="N665">
        <f t="shared" si="370"/>
        <v>0</v>
      </c>
      <c r="O665" t="s">
        <v>2023</v>
      </c>
      <c r="P665" t="s">
        <v>2032</v>
      </c>
      <c r="W665">
        <v>12</v>
      </c>
      <c r="X665">
        <v>1</v>
      </c>
      <c r="Y665">
        <v>15</v>
      </c>
      <c r="Z665" t="str">
        <f>Units!B$98</f>
        <v>occurrences/event</v>
      </c>
      <c r="AA665">
        <f>Units!C$98</f>
        <v>1</v>
      </c>
      <c r="AB665">
        <f>Units!D$98</f>
        <v>1</v>
      </c>
      <c r="AC665" t="str">
        <f>Units!E$98</f>
        <v>occurrences/event</v>
      </c>
      <c r="AD665" t="str">
        <f>Units!F$98</f>
        <v>occurrences/event</v>
      </c>
      <c r="AE665" t="str">
        <f>Units!G$98</f>
        <v>occurrences/event</v>
      </c>
      <c r="AF665" t="str">
        <f>Units!H$98</f>
        <v>occurrences/event</v>
      </c>
    </row>
    <row r="666" spans="1:32" x14ac:dyDescent="0.3">
      <c r="A666" t="s">
        <v>2021</v>
      </c>
      <c r="B666" t="s">
        <v>2033</v>
      </c>
      <c r="C666" s="124" t="str">
        <f t="shared" si="330"/>
        <v>UDV.scrape_auto.size_motor</v>
      </c>
      <c r="D666" s="944">
        <f t="shared" si="365"/>
        <v>1.5</v>
      </c>
      <c r="E666" s="125" t="str">
        <f t="shared" si="366"/>
        <v>hp</v>
      </c>
      <c r="F666" s="944">
        <f t="shared" si="369"/>
        <v>1.5</v>
      </c>
      <c r="G666" s="126"/>
      <c r="H666">
        <f t="shared" si="367"/>
        <v>1.5</v>
      </c>
      <c r="I666" s="1325" t="str">
        <f t="shared" si="368"/>
        <v>hp</v>
      </c>
      <c r="J666" t="s">
        <v>660</v>
      </c>
      <c r="K666" s="124"/>
      <c r="L666">
        <f t="shared" si="359"/>
        <v>1</v>
      </c>
      <c r="M666">
        <f t="shared" si="360"/>
        <v>1.5</v>
      </c>
      <c r="N666">
        <f t="shared" si="370"/>
        <v>0</v>
      </c>
      <c r="O666" t="s">
        <v>2023</v>
      </c>
      <c r="P666" t="s">
        <v>2034</v>
      </c>
      <c r="W666">
        <v>1.5</v>
      </c>
      <c r="X666">
        <v>1</v>
      </c>
      <c r="Y666">
        <v>1.5</v>
      </c>
      <c r="Z666" t="str">
        <f>Units!B$99</f>
        <v>hp</v>
      </c>
      <c r="AA666">
        <f>Units!C$99</f>
        <v>1</v>
      </c>
      <c r="AB666">
        <f>Units!D$99</f>
        <v>1</v>
      </c>
      <c r="AC666" t="str">
        <f>Units!E$99</f>
        <v>hp</v>
      </c>
      <c r="AD666" t="str">
        <f>Units!F$99</f>
        <v>hp</v>
      </c>
      <c r="AE666" t="str">
        <f>Units!G$99</f>
        <v>hp</v>
      </c>
      <c r="AF666" t="str">
        <f>Units!H$99</f>
        <v>hp</v>
      </c>
    </row>
    <row r="667" spans="1:32" x14ac:dyDescent="0.3">
      <c r="A667" t="s">
        <v>2021</v>
      </c>
      <c r="B667" t="s">
        <v>2035</v>
      </c>
      <c r="C667" s="124" t="str">
        <f t="shared" si="330"/>
        <v>UDV.scrape_auto.speed</v>
      </c>
      <c r="D667" s="944">
        <f t="shared" si="365"/>
        <v>2.1</v>
      </c>
      <c r="E667" s="125" t="str">
        <f t="shared" si="366"/>
        <v>m/min</v>
      </c>
      <c r="F667" s="944">
        <f t="shared" si="369"/>
        <v>6.8897637900000008</v>
      </c>
      <c r="G667" s="126"/>
      <c r="H667">
        <f t="shared" si="367"/>
        <v>6.8897637900000008</v>
      </c>
      <c r="I667" s="1325" t="str">
        <f t="shared" si="368"/>
        <v>ft/min</v>
      </c>
      <c r="J667" t="s">
        <v>660</v>
      </c>
      <c r="K667" s="124"/>
      <c r="L667">
        <f t="shared" si="359"/>
        <v>3.28</v>
      </c>
      <c r="M667">
        <f t="shared" si="360"/>
        <v>98.426000000000002</v>
      </c>
      <c r="N667">
        <f t="shared" si="370"/>
        <v>0</v>
      </c>
      <c r="O667" t="s">
        <v>2023</v>
      </c>
      <c r="P667" t="s">
        <v>2036</v>
      </c>
      <c r="W667">
        <v>2.1</v>
      </c>
      <c r="X667">
        <v>1</v>
      </c>
      <c r="Y667">
        <v>30</v>
      </c>
      <c r="Z667" t="str">
        <f>Units!B$52</f>
        <v>m/min</v>
      </c>
      <c r="AA667">
        <f>Units!C$52</f>
        <v>3.2808399000000001</v>
      </c>
      <c r="AB667">
        <f>Units!D$52</f>
        <v>0.304799999536704</v>
      </c>
      <c r="AC667" t="str">
        <f>Units!E$52</f>
        <v>ft/min</v>
      </c>
      <c r="AD667" t="str">
        <f>Units!F$52</f>
        <v>m/min</v>
      </c>
      <c r="AE667" t="str">
        <f>Units!G$52</f>
        <v>m/min</v>
      </c>
      <c r="AF667" t="str">
        <f>Units!H$52</f>
        <v>ft/min</v>
      </c>
    </row>
    <row r="668" spans="1:32" x14ac:dyDescent="0.3">
      <c r="A668" t="s">
        <v>2021</v>
      </c>
      <c r="B668" t="s">
        <v>2037</v>
      </c>
      <c r="C668" s="124" t="str">
        <f t="shared" si="330"/>
        <v>UDV.scrape_auto.length_per_head</v>
      </c>
      <c r="D668" s="944">
        <f t="shared" si="365"/>
        <v>0.23</v>
      </c>
      <c r="E668" s="125" t="str">
        <f t="shared" si="366"/>
        <v>m/head</v>
      </c>
      <c r="F668" s="944">
        <f t="shared" ref="F668" si="371">IF(OR(G668="",N668=0),H668,G668)</f>
        <v>0.75459317700000006</v>
      </c>
      <c r="G668" s="126"/>
      <c r="H668">
        <f t="shared" si="367"/>
        <v>0.75459317700000006</v>
      </c>
      <c r="I668" s="1325" t="str">
        <f t="shared" si="368"/>
        <v>ft/head</v>
      </c>
      <c r="J668" t="s">
        <v>660</v>
      </c>
      <c r="K668" s="124"/>
      <c r="L668">
        <f t="shared" si="359"/>
        <v>0.49199999999999999</v>
      </c>
      <c r="M668">
        <f t="shared" si="360"/>
        <v>1.1489999999999998</v>
      </c>
      <c r="N668">
        <f t="shared" ref="N668" si="372">IF(AND(M668 - G668 &gt;= 0, G668 - L668 &gt;=0),1,0)</f>
        <v>0</v>
      </c>
      <c r="O668" t="s">
        <v>2023</v>
      </c>
      <c r="P668" t="s">
        <v>2038</v>
      </c>
      <c r="W668">
        <v>0.23</v>
      </c>
      <c r="X668">
        <v>0.15</v>
      </c>
      <c r="Y668">
        <v>0.35</v>
      </c>
      <c r="Z668" t="str">
        <f>Units!B$54</f>
        <v>m/head</v>
      </c>
      <c r="AA668">
        <f>Units!C$54</f>
        <v>3.2808399000000001</v>
      </c>
      <c r="AB668">
        <f>Units!D$54</f>
        <v>0.304799999536704</v>
      </c>
      <c r="AC668" t="str">
        <f>Units!E$54</f>
        <v>ft/head</v>
      </c>
      <c r="AD668" t="str">
        <f>Units!F$54</f>
        <v>m/head</v>
      </c>
      <c r="AE668" t="str">
        <f>Units!G$54</f>
        <v>m/head</v>
      </c>
      <c r="AF668" t="str">
        <f>Units!H$54</f>
        <v>ft/head</v>
      </c>
    </row>
    <row r="669" spans="1:32" x14ac:dyDescent="0.3">
      <c r="A669" t="s">
        <v>2021</v>
      </c>
      <c r="B669" t="s">
        <v>2039</v>
      </c>
      <c r="C669" s="124" t="str">
        <f t="shared" si="330"/>
        <v>UDV.scrape_auto.length_per_driver</v>
      </c>
      <c r="D669" s="944">
        <f t="shared" si="365"/>
        <v>65</v>
      </c>
      <c r="E669" s="125" t="str">
        <f t="shared" si="366"/>
        <v>m</v>
      </c>
      <c r="F669" s="944">
        <f t="shared" ref="F669" si="373">IF(OR(G669="",N669=0),H669,G669)</f>
        <v>213.2545935</v>
      </c>
      <c r="G669" s="126"/>
      <c r="H669">
        <f t="shared" si="367"/>
        <v>213.2545935</v>
      </c>
      <c r="I669" s="1325" t="str">
        <f t="shared" si="368"/>
        <v>ft</v>
      </c>
      <c r="J669" t="s">
        <v>660</v>
      </c>
      <c r="K669" s="124"/>
      <c r="L669">
        <f t="shared" si="359"/>
        <v>82.02</v>
      </c>
      <c r="M669">
        <f t="shared" si="360"/>
        <v>328.084</v>
      </c>
      <c r="N669">
        <f t="shared" ref="N669" si="374">IF(AND(M669 - G669 &gt;= 0, G669 - L669 &gt;=0),1,0)</f>
        <v>0</v>
      </c>
      <c r="O669" t="s">
        <v>2023</v>
      </c>
      <c r="P669" t="s">
        <v>2040</v>
      </c>
      <c r="W669">
        <v>65</v>
      </c>
      <c r="X669">
        <v>25</v>
      </c>
      <c r="Y669">
        <v>100</v>
      </c>
      <c r="Z669" t="str">
        <f>Units!B$48</f>
        <v>m</v>
      </c>
      <c r="AA669">
        <f>Units!C$48</f>
        <v>3.2808399000000001</v>
      </c>
      <c r="AB669">
        <f>Units!D$48</f>
        <v>0.304799999536704</v>
      </c>
      <c r="AC669" t="str">
        <f>Units!E$48</f>
        <v>ft</v>
      </c>
      <c r="AD669" t="str">
        <f>Units!F$48</f>
        <v>m</v>
      </c>
      <c r="AE669" t="str">
        <f>Units!G$48</f>
        <v>m</v>
      </c>
      <c r="AF669" t="str">
        <f>Units!H$48</f>
        <v>ft</v>
      </c>
    </row>
    <row r="670" spans="1:32" s="1031" customFormat="1" x14ac:dyDescent="0.3">
      <c r="A670" s="1031" t="s">
        <v>2021</v>
      </c>
      <c r="B670" s="1031" t="s">
        <v>2041</v>
      </c>
      <c r="C670" s="1031" t="str">
        <f t="shared" si="330"/>
        <v>UDV.scrape_auto.motors_per_driver</v>
      </c>
      <c r="D670" s="1031">
        <f t="shared" si="365"/>
        <v>1</v>
      </c>
      <c r="E670" s="1031" t="str">
        <f t="shared" si="366"/>
        <v>quantity</v>
      </c>
      <c r="F670" s="1031">
        <f t="shared" ref="F670:F672" si="375">IF(OR(G670="",N670=0),H670,G670)</f>
        <v>1</v>
      </c>
      <c r="H670" s="1031">
        <f t="shared" si="367"/>
        <v>1</v>
      </c>
      <c r="I670" s="1031" t="str">
        <f t="shared" si="368"/>
        <v>quantity</v>
      </c>
      <c r="J670" s="1031" t="s">
        <v>660</v>
      </c>
      <c r="L670">
        <f t="shared" si="359"/>
        <v>1</v>
      </c>
      <c r="M670">
        <f t="shared" si="360"/>
        <v>4</v>
      </c>
      <c r="N670" s="1031">
        <f t="shared" ref="N670:N672" si="376">IF(AND(M670 - G670 &gt;= 0, G670 - L670 &gt;=0),1,0)</f>
        <v>0</v>
      </c>
      <c r="O670" s="1031" t="s">
        <v>2023</v>
      </c>
      <c r="P670" s="1031" t="s">
        <v>1213</v>
      </c>
      <c r="W670" s="1031">
        <v>1</v>
      </c>
      <c r="X670" s="1031">
        <v>1</v>
      </c>
      <c r="Y670" s="1031">
        <v>4</v>
      </c>
      <c r="Z670" s="1031" t="str">
        <f>Units!B$106</f>
        <v>quantity</v>
      </c>
      <c r="AA670" s="1031">
        <f>Units!C$106</f>
        <v>1</v>
      </c>
      <c r="AB670" s="1031">
        <f>Units!D$106</f>
        <v>1</v>
      </c>
      <c r="AC670" s="1031" t="str">
        <f>Units!E$106</f>
        <v>quantity</v>
      </c>
      <c r="AD670" s="1031" t="str">
        <f>Units!F$106</f>
        <v>quantity</v>
      </c>
      <c r="AE670" s="1031" t="str">
        <f>Units!G$106</f>
        <v>quantity</v>
      </c>
      <c r="AF670" s="1031" t="str">
        <f>Units!H$106</f>
        <v>quantity</v>
      </c>
    </row>
    <row r="671" spans="1:32" s="1031" customFormat="1" x14ac:dyDescent="0.3">
      <c r="A671" s="1031" t="s">
        <v>2021</v>
      </c>
      <c r="B671" s="1031" t="s">
        <v>2042</v>
      </c>
      <c r="C671" s="1031" t="str">
        <f t="shared" si="330"/>
        <v>UDV.scrape_auto.lanes_per_driver</v>
      </c>
      <c r="D671" s="1031">
        <f t="shared" si="365"/>
        <v>2</v>
      </c>
      <c r="E671" s="1031" t="str">
        <f t="shared" si="366"/>
        <v>quantity</v>
      </c>
      <c r="F671" s="1031">
        <f t="shared" si="375"/>
        <v>2</v>
      </c>
      <c r="H671" s="1031">
        <f t="shared" si="367"/>
        <v>2</v>
      </c>
      <c r="I671" s="1031" t="str">
        <f t="shared" si="368"/>
        <v>quantity</v>
      </c>
      <c r="J671" s="1031" t="s">
        <v>660</v>
      </c>
      <c r="L671">
        <f t="shared" si="359"/>
        <v>1</v>
      </c>
      <c r="M671">
        <f t="shared" si="360"/>
        <v>4</v>
      </c>
      <c r="N671" s="1031">
        <f t="shared" si="376"/>
        <v>0</v>
      </c>
      <c r="O671" s="1031" t="s">
        <v>2023</v>
      </c>
      <c r="P671" s="1031" t="s">
        <v>2043</v>
      </c>
      <c r="W671" s="1031">
        <v>2</v>
      </c>
      <c r="X671" s="1031">
        <v>1</v>
      </c>
      <c r="Y671" s="1031">
        <v>4</v>
      </c>
      <c r="Z671" s="1031" t="str">
        <f>Units!B$106</f>
        <v>quantity</v>
      </c>
      <c r="AA671" s="1031">
        <f>Units!C$106</f>
        <v>1</v>
      </c>
      <c r="AB671" s="1031">
        <f>Units!D$106</f>
        <v>1</v>
      </c>
      <c r="AC671" s="1031" t="str">
        <f>Units!E$106</f>
        <v>quantity</v>
      </c>
      <c r="AD671" s="1031" t="str">
        <f>Units!F$106</f>
        <v>quantity</v>
      </c>
      <c r="AE671" s="1031" t="str">
        <f>Units!G$106</f>
        <v>quantity</v>
      </c>
      <c r="AF671" s="1031" t="str">
        <f>Units!H$106</f>
        <v>quantity</v>
      </c>
    </row>
    <row r="672" spans="1:32" x14ac:dyDescent="0.3">
      <c r="A672" t="s">
        <v>2021</v>
      </c>
      <c r="B672" t="s">
        <v>2044</v>
      </c>
      <c r="C672" s="124" t="str">
        <f t="shared" si="330"/>
        <v>UDV.scrape_auto.scrapers_per_driver</v>
      </c>
      <c r="D672" s="944">
        <f t="shared" si="365"/>
        <v>1</v>
      </c>
      <c r="E672" s="125" t="str">
        <f t="shared" si="366"/>
        <v>quantity</v>
      </c>
      <c r="F672" s="944">
        <f t="shared" si="375"/>
        <v>1</v>
      </c>
      <c r="G672" s="126"/>
      <c r="H672">
        <f t="shared" si="367"/>
        <v>1</v>
      </c>
      <c r="I672" s="1325" t="str">
        <f t="shared" si="368"/>
        <v>quantity</v>
      </c>
      <c r="J672" t="s">
        <v>660</v>
      </c>
      <c r="K672" s="124"/>
      <c r="L672">
        <f t="shared" si="359"/>
        <v>1</v>
      </c>
      <c r="M672">
        <f t="shared" si="360"/>
        <v>2</v>
      </c>
      <c r="N672">
        <f t="shared" si="376"/>
        <v>0</v>
      </c>
      <c r="O672" t="s">
        <v>2023</v>
      </c>
      <c r="P672" t="s">
        <v>2045</v>
      </c>
      <c r="W672">
        <v>1</v>
      </c>
      <c r="X672">
        <v>1</v>
      </c>
      <c r="Y672">
        <v>2</v>
      </c>
      <c r="Z672" t="str">
        <f>Units!B$106</f>
        <v>quantity</v>
      </c>
      <c r="AA672">
        <f>Units!C$106</f>
        <v>1</v>
      </c>
      <c r="AB672">
        <f>Units!D$106</f>
        <v>1</v>
      </c>
      <c r="AC672" t="str">
        <f>Units!E$106</f>
        <v>quantity</v>
      </c>
      <c r="AD672" t="str">
        <f>Units!F$106</f>
        <v>quantity</v>
      </c>
      <c r="AE672" t="str">
        <f>Units!G$106</f>
        <v>quantity</v>
      </c>
      <c r="AF672" t="str">
        <f>Units!H$106</f>
        <v>quantity</v>
      </c>
    </row>
    <row r="673" spans="1:32" x14ac:dyDescent="0.3">
      <c r="A673" t="s">
        <v>2021</v>
      </c>
      <c r="B673" t="s">
        <v>2046</v>
      </c>
      <c r="C673" s="124" t="str">
        <f t="shared" si="330"/>
        <v>UDV.scrape_auto.tc_scrape_per_day</v>
      </c>
      <c r="D673" s="944">
        <f t="shared" si="365"/>
        <v>3</v>
      </c>
      <c r="E673" s="125" t="str">
        <f t="shared" si="366"/>
        <v>quantity</v>
      </c>
      <c r="F673" s="944">
        <f t="shared" ref="F673" si="377">IF(OR(G673="",N673=0),H673,G673)</f>
        <v>3</v>
      </c>
      <c r="G673" s="126"/>
      <c r="H673">
        <f t="shared" si="367"/>
        <v>3</v>
      </c>
      <c r="I673" s="1325" t="str">
        <f t="shared" si="368"/>
        <v>quantity</v>
      </c>
      <c r="J673" t="s">
        <v>660</v>
      </c>
      <c r="K673" s="124"/>
      <c r="L673">
        <f t="shared" si="359"/>
        <v>1</v>
      </c>
      <c r="M673">
        <f t="shared" si="360"/>
        <v>12</v>
      </c>
      <c r="N673">
        <f t="shared" ref="N673" si="378">IF(AND(M673 - G673 &gt;= 0, G673 - L673 &gt;=0),1,0)</f>
        <v>0</v>
      </c>
      <c r="O673" t="s">
        <v>2023</v>
      </c>
      <c r="P673" t="s">
        <v>2047</v>
      </c>
      <c r="W673">
        <v>3</v>
      </c>
      <c r="X673">
        <v>1</v>
      </c>
      <c r="Y673">
        <v>12</v>
      </c>
      <c r="Z673" t="str">
        <f>Units!B$106</f>
        <v>quantity</v>
      </c>
      <c r="AA673">
        <f>Units!C$106</f>
        <v>1</v>
      </c>
      <c r="AB673">
        <f>Units!D$106</f>
        <v>1</v>
      </c>
      <c r="AC673" t="str">
        <f>Units!E$106</f>
        <v>quantity</v>
      </c>
      <c r="AD673" t="str">
        <f>Units!F$106</f>
        <v>quantity</v>
      </c>
      <c r="AE673" t="str">
        <f>Units!G$106</f>
        <v>quantity</v>
      </c>
      <c r="AF673" t="str">
        <f>Units!H$106</f>
        <v>quantity</v>
      </c>
    </row>
    <row r="674" spans="1:32" s="1031" customFormat="1" x14ac:dyDescent="0.3">
      <c r="A674" s="1031" t="s">
        <v>2021</v>
      </c>
      <c r="B674" s="1031" t="s">
        <v>2048</v>
      </c>
      <c r="C674" s="1031" t="str">
        <f t="shared" si="330"/>
        <v>UDV.scrape_auto.stalls_per_width</v>
      </c>
      <c r="D674" s="1031">
        <f t="shared" si="365"/>
        <v>2</v>
      </c>
      <c r="E674" s="1031" t="str">
        <f t="shared" si="366"/>
        <v>stalls/alley</v>
      </c>
      <c r="F674" s="1031">
        <f t="shared" si="369"/>
        <v>2</v>
      </c>
      <c r="H674" s="1031">
        <f t="shared" si="367"/>
        <v>2</v>
      </c>
      <c r="I674" s="1031" t="str">
        <f t="shared" si="368"/>
        <v>stalls/alley</v>
      </c>
      <c r="J674" s="1031" t="s">
        <v>660</v>
      </c>
      <c r="L674">
        <f t="shared" si="359"/>
        <v>1</v>
      </c>
      <c r="M674">
        <f t="shared" si="360"/>
        <v>2</v>
      </c>
      <c r="N674" s="1031">
        <f t="shared" si="370"/>
        <v>0</v>
      </c>
      <c r="O674" s="1031" t="s">
        <v>2023</v>
      </c>
      <c r="P674" s="1031" t="s">
        <v>2049</v>
      </c>
      <c r="W674" s="1031">
        <v>2</v>
      </c>
      <c r="X674" s="1031">
        <v>1</v>
      </c>
      <c r="Y674" s="1031">
        <v>2</v>
      </c>
      <c r="Z674" s="1031" t="str">
        <f>Units!B$109</f>
        <v>stalls/alley</v>
      </c>
      <c r="AA674" s="1031">
        <f>Units!C$109</f>
        <v>1</v>
      </c>
      <c r="AB674" s="1031">
        <f>Units!D$109</f>
        <v>1</v>
      </c>
      <c r="AC674" s="1031" t="str">
        <f>Units!E$109</f>
        <v>stalls/alley</v>
      </c>
      <c r="AD674" s="1031" t="str">
        <f>Units!F$109</f>
        <v>stalls/alley</v>
      </c>
      <c r="AE674" s="1031" t="str">
        <f>Units!G$109</f>
        <v>stalls/alley</v>
      </c>
      <c r="AF674" s="1031" t="str">
        <f>Units!H$109</f>
        <v>stalls/alley</v>
      </c>
    </row>
    <row r="675" spans="1:32" s="1031" customFormat="1" x14ac:dyDescent="0.3">
      <c r="A675" s="1031" t="s">
        <v>2021</v>
      </c>
      <c r="B675" s="1031" t="s">
        <v>2050</v>
      </c>
      <c r="C675" s="1031" t="str">
        <f t="shared" si="330"/>
        <v>UDV.scrape_auto.width_stall</v>
      </c>
      <c r="D675" s="1031">
        <f t="shared" si="365"/>
        <v>2.44</v>
      </c>
      <c r="E675" s="1031" t="str">
        <f t="shared" si="366"/>
        <v>m/head</v>
      </c>
      <c r="F675" s="1031">
        <f t="shared" si="369"/>
        <v>8.0052493560000002</v>
      </c>
      <c r="H675" s="1031">
        <f t="shared" si="367"/>
        <v>8.0052493560000002</v>
      </c>
      <c r="I675" s="1031" t="str">
        <f t="shared" si="368"/>
        <v>ft/head</v>
      </c>
      <c r="J675" s="1031" t="s">
        <v>660</v>
      </c>
      <c r="L675">
        <f t="shared" si="359"/>
        <v>6.5609999999999999</v>
      </c>
      <c r="M675">
        <f t="shared" si="360"/>
        <v>16.405000000000001</v>
      </c>
      <c r="N675" s="1031">
        <f t="shared" si="370"/>
        <v>0</v>
      </c>
      <c r="O675" s="1031" t="s">
        <v>2023</v>
      </c>
      <c r="P675" s="1031" t="s">
        <v>2051</v>
      </c>
      <c r="W675" s="1031">
        <v>2.44</v>
      </c>
      <c r="X675" s="1031">
        <v>2</v>
      </c>
      <c r="Y675" s="1031">
        <v>5</v>
      </c>
      <c r="Z675" s="1031" t="str">
        <f>Units!B$54</f>
        <v>m/head</v>
      </c>
      <c r="AA675" s="1031">
        <f>Units!C$54</f>
        <v>3.2808399000000001</v>
      </c>
      <c r="AB675" s="1031">
        <f>Units!D$54</f>
        <v>0.304799999536704</v>
      </c>
      <c r="AC675" s="1031" t="str">
        <f>Units!E$54</f>
        <v>ft/head</v>
      </c>
      <c r="AD675" s="1031" t="str">
        <f>Units!F$54</f>
        <v>m/head</v>
      </c>
      <c r="AE675" s="1031" t="str">
        <f>Units!G$54</f>
        <v>m/head</v>
      </c>
      <c r="AF675" s="1031" t="str">
        <f>Units!H$54</f>
        <v>ft/head</v>
      </c>
    </row>
    <row r="676" spans="1:32" x14ac:dyDescent="0.3">
      <c r="A676" s="944" t="s">
        <v>2052</v>
      </c>
      <c r="B676" t="s">
        <v>1759</v>
      </c>
      <c r="C676" s="124" t="str">
        <f t="shared" ref="C676:C765" si="379">_xlfn.CONCAT("UDV.",A676,".",B676)</f>
        <v>UDV.separated_solids.bucket_capacity</v>
      </c>
      <c r="D676" s="1341">
        <f t="shared" si="365"/>
        <v>0.95569357499999996</v>
      </c>
      <c r="E676" s="125" t="str">
        <f t="shared" si="366"/>
        <v>m3</v>
      </c>
      <c r="F676" s="944">
        <f t="shared" si="369"/>
        <v>1.25</v>
      </c>
      <c r="G676" s="126"/>
      <c r="H676">
        <f t="shared" si="367"/>
        <v>1.25</v>
      </c>
      <c r="I676" s="1325" t="str">
        <f t="shared" si="368"/>
        <v>yd3</v>
      </c>
      <c r="J676" t="s">
        <v>660</v>
      </c>
      <c r="K676" s="124"/>
      <c r="L676">
        <f t="shared" ref="L676:L702" si="380">ROUNDDOWN($X676*$AA676,3)</f>
        <v>0.75</v>
      </c>
      <c r="M676">
        <f t="shared" ref="M676:M702" si="381">ROUNDUP($Y676*$AA676,3)</f>
        <v>1.5</v>
      </c>
      <c r="N676">
        <f t="shared" si="370"/>
        <v>0</v>
      </c>
      <c r="O676" s="944" t="s">
        <v>2053</v>
      </c>
      <c r="P676" t="s">
        <v>1760</v>
      </c>
      <c r="R676" s="711"/>
      <c r="W676">
        <v>1.25</v>
      </c>
      <c r="X676">
        <v>0.75</v>
      </c>
      <c r="Y676">
        <v>1.5</v>
      </c>
      <c r="Z676" s="1325" t="str">
        <f>Units!B$126</f>
        <v>yd3</v>
      </c>
      <c r="AA676" s="1325">
        <f>Units!C$126</f>
        <v>1</v>
      </c>
      <c r="AB676" s="1325">
        <f>Units!D$126</f>
        <v>0.76455485999999995</v>
      </c>
      <c r="AC676" s="1325" t="str">
        <f>Units!E$126</f>
        <v>yd3</v>
      </c>
      <c r="AD676" s="1325" t="str">
        <f>Units!F$126</f>
        <v>m3</v>
      </c>
      <c r="AE676" s="1325" t="str">
        <f>Units!G$126</f>
        <v>m3</v>
      </c>
      <c r="AF676" s="1325" t="str">
        <f>Units!H$126</f>
        <v>yd3</v>
      </c>
    </row>
    <row r="677" spans="1:32" x14ac:dyDescent="0.3">
      <c r="A677" s="944" t="s">
        <v>2052</v>
      </c>
      <c r="B677" t="s">
        <v>1761</v>
      </c>
      <c r="C677" s="124" t="str">
        <f t="shared" si="379"/>
        <v>UDV.separated_solids.bucket_fill_rate</v>
      </c>
      <c r="D677" s="564">
        <f t="shared" ref="D677:D709" si="382">$F677*$AB677</f>
        <v>0.9</v>
      </c>
      <c r="E677" s="125" t="str">
        <f t="shared" ref="E677:E709" si="383">$AD677</f>
        <v>fraction</v>
      </c>
      <c r="F677" s="944">
        <f t="shared" si="369"/>
        <v>0.9</v>
      </c>
      <c r="G677" s="126"/>
      <c r="H677">
        <f t="shared" ref="H677:H709" si="384">$W677*$AA677</f>
        <v>0.9</v>
      </c>
      <c r="I677" s="1325" t="str">
        <f t="shared" ref="I677:I709" si="385">$AC677</f>
        <v>fraction</v>
      </c>
      <c r="J677" t="s">
        <v>660</v>
      </c>
      <c r="K677" s="124"/>
      <c r="L677">
        <f t="shared" si="380"/>
        <v>0.5</v>
      </c>
      <c r="M677">
        <f t="shared" si="381"/>
        <v>1</v>
      </c>
      <c r="N677">
        <f t="shared" si="370"/>
        <v>0</v>
      </c>
      <c r="O677" s="944" t="s">
        <v>2053</v>
      </c>
      <c r="P677" t="s">
        <v>1762</v>
      </c>
      <c r="R677" s="711"/>
      <c r="W677">
        <v>0.9</v>
      </c>
      <c r="X677">
        <v>0.5</v>
      </c>
      <c r="Y677">
        <v>1</v>
      </c>
      <c r="Z677" s="1325" t="str">
        <f>Units!B$35</f>
        <v>fraction</v>
      </c>
      <c r="AA677" s="1325">
        <f>Units!C$35</f>
        <v>1</v>
      </c>
      <c r="AB677" s="1325">
        <f>Units!D$35</f>
        <v>1</v>
      </c>
      <c r="AC677" s="1325" t="str">
        <f>Units!E$35</f>
        <v>fraction</v>
      </c>
      <c r="AD677" s="1325" t="str">
        <f>Units!F$35</f>
        <v>fraction</v>
      </c>
      <c r="AE677" s="1325" t="str">
        <f>Units!G$35</f>
        <v>fraction</v>
      </c>
      <c r="AF677" s="1325" t="str">
        <f>Units!H$35</f>
        <v>fraction</v>
      </c>
    </row>
    <row r="678" spans="1:32" x14ac:dyDescent="0.3">
      <c r="A678" s="944" t="s">
        <v>2052</v>
      </c>
      <c r="B678" s="944" t="s">
        <v>1994</v>
      </c>
      <c r="C678" s="124" t="str">
        <f t="shared" si="379"/>
        <v>UDV.separated_solids.concrete_thickness</v>
      </c>
      <c r="D678" s="1330">
        <f t="shared" si="382"/>
        <v>0.15240000000000001</v>
      </c>
      <c r="E678" s="125" t="str">
        <f t="shared" si="383"/>
        <v>m</v>
      </c>
      <c r="F678" s="944">
        <f t="shared" si="369"/>
        <v>0.5</v>
      </c>
      <c r="G678" s="126"/>
      <c r="H678">
        <f t="shared" si="384"/>
        <v>0.5</v>
      </c>
      <c r="I678" s="1325" t="str">
        <f t="shared" si="385"/>
        <v>ft</v>
      </c>
      <c r="J678" t="s">
        <v>660</v>
      </c>
      <c r="K678" s="124"/>
      <c r="L678">
        <f t="shared" si="380"/>
        <v>0.1</v>
      </c>
      <c r="M678">
        <f t="shared" si="381"/>
        <v>10</v>
      </c>
      <c r="N678">
        <f t="shared" si="370"/>
        <v>0</v>
      </c>
      <c r="O678" s="944" t="s">
        <v>2053</v>
      </c>
      <c r="P678" t="s">
        <v>2054</v>
      </c>
      <c r="R678" s="711"/>
      <c r="W678">
        <v>0.5</v>
      </c>
      <c r="X678">
        <v>0.1</v>
      </c>
      <c r="Y678">
        <v>10</v>
      </c>
      <c r="Z678" s="1325" t="str">
        <f>Units!B$44</f>
        <v>ft</v>
      </c>
      <c r="AA678" s="1325">
        <f>Units!C$44</f>
        <v>1</v>
      </c>
      <c r="AB678" s="1325">
        <f>Units!D$44</f>
        <v>0.30480000000000002</v>
      </c>
      <c r="AC678" s="1325" t="str">
        <f>Units!E$44</f>
        <v>ft</v>
      </c>
      <c r="AD678" s="1325" t="str">
        <f>Units!F$44</f>
        <v>m</v>
      </c>
      <c r="AE678" s="1325" t="str">
        <f>Units!G$44</f>
        <v>m</v>
      </c>
      <c r="AF678" s="1325" t="str">
        <f>Units!H$44</f>
        <v>ft</v>
      </c>
    </row>
    <row r="679" spans="1:32" x14ac:dyDescent="0.3">
      <c r="A679" s="944" t="s">
        <v>2052</v>
      </c>
      <c r="B679" s="944" t="s">
        <v>2055</v>
      </c>
      <c r="C679" s="124" t="str">
        <f t="shared" si="379"/>
        <v>UDV.separated_solids.density_solids</v>
      </c>
      <c r="D679" s="944">
        <f t="shared" si="382"/>
        <v>349.99999999999994</v>
      </c>
      <c r="E679" s="125" t="str">
        <f t="shared" si="383"/>
        <v>kg/m3</v>
      </c>
      <c r="F679" s="1330">
        <f t="shared" si="369"/>
        <v>21.849788813001449</v>
      </c>
      <c r="G679" s="1334"/>
      <c r="H679" s="78">
        <f t="shared" si="384"/>
        <v>21.849788813001449</v>
      </c>
      <c r="I679" s="1325" t="str">
        <f t="shared" si="385"/>
        <v>lb/ft3</v>
      </c>
      <c r="J679" t="s">
        <v>660</v>
      </c>
      <c r="K679" s="124"/>
      <c r="L679">
        <f t="shared" si="380"/>
        <v>12.484999999999999</v>
      </c>
      <c r="M679">
        <f t="shared" si="381"/>
        <v>31.214000000000002</v>
      </c>
      <c r="N679">
        <f t="shared" si="370"/>
        <v>0</v>
      </c>
      <c r="O679" s="944" t="s">
        <v>2053</v>
      </c>
      <c r="P679" t="s">
        <v>2056</v>
      </c>
      <c r="R679" s="711"/>
      <c r="S679" t="s">
        <v>84</v>
      </c>
      <c r="W679">
        <v>350</v>
      </c>
      <c r="X679">
        <v>200</v>
      </c>
      <c r="Y679">
        <v>500</v>
      </c>
      <c r="Z679" s="1325" t="str">
        <f>Units!B$89</f>
        <v>kg/m3</v>
      </c>
      <c r="AA679" s="1325">
        <f>Units!C$89</f>
        <v>6.2427968037147001E-2</v>
      </c>
      <c r="AB679" s="1325">
        <f>Units!D$89</f>
        <v>16.018461459533043</v>
      </c>
      <c r="AC679" s="1325" t="str">
        <f>Units!E$89</f>
        <v>lb/ft3</v>
      </c>
      <c r="AD679" s="1325" t="str">
        <f>Units!F$89</f>
        <v>kg/m3</v>
      </c>
      <c r="AE679" s="1325" t="str">
        <f>Units!G$89</f>
        <v>kg/m3</v>
      </c>
      <c r="AF679" s="1325" t="str">
        <f>Units!H$89</f>
        <v>lb/ft3</v>
      </c>
    </row>
    <row r="680" spans="1:32" x14ac:dyDescent="0.3">
      <c r="A680" s="944" t="s">
        <v>2052</v>
      </c>
      <c r="B680" s="944" t="s">
        <v>2057</v>
      </c>
      <c r="C680" s="124" t="str">
        <f t="shared" si="379"/>
        <v>UDV.separated_solids.excess_pile_height</v>
      </c>
      <c r="D680" s="944">
        <f t="shared" si="382"/>
        <v>3.65</v>
      </c>
      <c r="E680" s="125" t="str">
        <f t="shared" si="383"/>
        <v>m</v>
      </c>
      <c r="F680" s="1330">
        <f t="shared" si="369"/>
        <v>11.975065635</v>
      </c>
      <c r="G680" s="1334"/>
      <c r="H680" s="78">
        <f t="shared" si="384"/>
        <v>11.975065635</v>
      </c>
      <c r="I680" s="1325" t="str">
        <f t="shared" si="385"/>
        <v>ft</v>
      </c>
      <c r="J680" t="s">
        <v>660</v>
      </c>
      <c r="K680" s="124"/>
      <c r="L680">
        <f t="shared" si="380"/>
        <v>3.28</v>
      </c>
      <c r="M680">
        <f t="shared" si="381"/>
        <v>16.405000000000001</v>
      </c>
      <c r="N680">
        <f t="shared" si="370"/>
        <v>0</v>
      </c>
      <c r="O680" s="944" t="s">
        <v>2053</v>
      </c>
      <c r="P680" t="s">
        <v>2058</v>
      </c>
      <c r="R680" s="711"/>
      <c r="W680">
        <v>3.65</v>
      </c>
      <c r="X680">
        <v>1</v>
      </c>
      <c r="Y680">
        <v>5</v>
      </c>
      <c r="Z680" s="1325" t="str">
        <f>Units!B$48</f>
        <v>m</v>
      </c>
      <c r="AA680" s="1325">
        <f>Units!C$48</f>
        <v>3.2808399000000001</v>
      </c>
      <c r="AB680" s="1325">
        <f>Units!D$48</f>
        <v>0.304799999536704</v>
      </c>
      <c r="AC680" s="1325" t="str">
        <f>Units!E$48</f>
        <v>ft</v>
      </c>
      <c r="AD680" s="1325" t="str">
        <f>Units!F$48</f>
        <v>m</v>
      </c>
      <c r="AE680" s="1325" t="str">
        <f>Units!G$48</f>
        <v>m</v>
      </c>
      <c r="AF680" s="1325" t="str">
        <f>Units!H$48</f>
        <v>ft</v>
      </c>
    </row>
    <row r="681" spans="1:32" x14ac:dyDescent="0.3">
      <c r="A681" s="944" t="s">
        <v>2052</v>
      </c>
      <c r="B681" s="944" t="s">
        <v>2059</v>
      </c>
      <c r="C681" s="124" t="str">
        <f t="shared" si="379"/>
        <v>UDV.separated_solids.interval_land_application</v>
      </c>
      <c r="D681" s="944">
        <f t="shared" si="382"/>
        <v>90</v>
      </c>
      <c r="E681" s="125" t="str">
        <f t="shared" si="383"/>
        <v>days</v>
      </c>
      <c r="F681" s="944">
        <f t="shared" si="369"/>
        <v>90</v>
      </c>
      <c r="G681" s="126"/>
      <c r="H681">
        <f t="shared" si="384"/>
        <v>90</v>
      </c>
      <c r="I681" s="1325" t="str">
        <f t="shared" si="385"/>
        <v>days</v>
      </c>
      <c r="J681" t="s">
        <v>660</v>
      </c>
      <c r="K681" s="124"/>
      <c r="L681">
        <f t="shared" si="380"/>
        <v>14</v>
      </c>
      <c r="M681">
        <f t="shared" si="381"/>
        <v>180</v>
      </c>
      <c r="N681">
        <f t="shared" si="370"/>
        <v>0</v>
      </c>
      <c r="O681" s="944" t="s">
        <v>2053</v>
      </c>
      <c r="P681" t="s">
        <v>2060</v>
      </c>
      <c r="R681" s="711"/>
      <c r="W681">
        <v>90</v>
      </c>
      <c r="X681">
        <v>14</v>
      </c>
      <c r="Y681">
        <v>180</v>
      </c>
      <c r="Z681" s="1325" t="str">
        <f>Units!B$111</f>
        <v>days</v>
      </c>
      <c r="AA681" s="1325">
        <f>Units!C$111</f>
        <v>1</v>
      </c>
      <c r="AB681" s="1325">
        <f>Units!D$111</f>
        <v>1</v>
      </c>
      <c r="AC681" s="1325" t="str">
        <f>Units!E$111</f>
        <v>days</v>
      </c>
      <c r="AD681" s="1325" t="str">
        <f>Units!F$111</f>
        <v>days</v>
      </c>
      <c r="AE681" s="1325" t="str">
        <f>Units!G$111</f>
        <v>days</v>
      </c>
      <c r="AF681" s="1325" t="str">
        <f>Units!H$111</f>
        <v>days</v>
      </c>
    </row>
    <row r="682" spans="1:32" x14ac:dyDescent="0.3">
      <c r="A682" s="944" t="s">
        <v>2052</v>
      </c>
      <c r="B682" t="s">
        <v>2061</v>
      </c>
      <c r="C682" s="124" t="str">
        <f t="shared" si="379"/>
        <v>UDV.separated_solids.interval_solids_moving</v>
      </c>
      <c r="D682" s="944">
        <f t="shared" si="382"/>
        <v>1</v>
      </c>
      <c r="E682" s="125" t="str">
        <f t="shared" si="383"/>
        <v>days</v>
      </c>
      <c r="F682" s="944">
        <f t="shared" si="369"/>
        <v>1</v>
      </c>
      <c r="G682" s="126"/>
      <c r="H682">
        <f t="shared" si="384"/>
        <v>1</v>
      </c>
      <c r="I682" s="1325" t="str">
        <f t="shared" si="385"/>
        <v>days</v>
      </c>
      <c r="J682" t="s">
        <v>660</v>
      </c>
      <c r="K682" s="124"/>
      <c r="L682">
        <f t="shared" si="380"/>
        <v>0.5</v>
      </c>
      <c r="M682">
        <f t="shared" si="381"/>
        <v>10</v>
      </c>
      <c r="N682">
        <f t="shared" si="370"/>
        <v>0</v>
      </c>
      <c r="O682" s="944" t="s">
        <v>2053</v>
      </c>
      <c r="P682" s="90" t="s">
        <v>2062</v>
      </c>
      <c r="R682" s="711"/>
      <c r="W682">
        <v>1</v>
      </c>
      <c r="X682">
        <v>0.5</v>
      </c>
      <c r="Y682">
        <v>10</v>
      </c>
      <c r="Z682" s="1325" t="str">
        <f>Units!B$111</f>
        <v>days</v>
      </c>
      <c r="AA682" s="1325">
        <f>Units!C$111</f>
        <v>1</v>
      </c>
      <c r="AB682" s="1325">
        <f>Units!D$111</f>
        <v>1</v>
      </c>
      <c r="AC682" s="1325" t="str">
        <f>Units!E$111</f>
        <v>days</v>
      </c>
      <c r="AD682" s="1325" t="str">
        <f>Units!F$111</f>
        <v>days</v>
      </c>
      <c r="AE682" s="1325" t="str">
        <f>Units!G$111</f>
        <v>days</v>
      </c>
      <c r="AF682" s="1325" t="str">
        <f>Units!H$111</f>
        <v>days</v>
      </c>
    </row>
    <row r="683" spans="1:32" x14ac:dyDescent="0.3">
      <c r="A683" s="944" t="s">
        <v>2052</v>
      </c>
      <c r="B683" t="s">
        <v>687</v>
      </c>
      <c r="C683" s="124" t="str">
        <f t="shared" ref="C683" si="386">_xlfn.CONCAT("UDV.",A683,".",B683)</f>
        <v>UDV.separated_solids.N_retained</v>
      </c>
      <c r="D683" s="1328">
        <f t="shared" si="382"/>
        <v>0.54681753</v>
      </c>
      <c r="E683" s="125" t="str">
        <f t="shared" si="383"/>
        <v>fraction</v>
      </c>
      <c r="F683" s="1328">
        <f t="shared" ref="F683" si="387">IF(OR(G683="",N683=0),H683,G683)</f>
        <v>0.54681753</v>
      </c>
      <c r="G683" s="126"/>
      <c r="H683" s="302">
        <f t="shared" si="384"/>
        <v>0.54681753</v>
      </c>
      <c r="I683" s="1325" t="str">
        <f t="shared" si="385"/>
        <v>fraction</v>
      </c>
      <c r="J683" t="s">
        <v>688</v>
      </c>
      <c r="K683" s="124"/>
      <c r="L683">
        <f t="shared" si="380"/>
        <v>0</v>
      </c>
      <c r="M683">
        <f t="shared" si="381"/>
        <v>1</v>
      </c>
      <c r="N683">
        <f t="shared" ref="N683" si="388">IF(AND(M683 - G683 &gt;= 0, G683 - L683 &gt;=0),1,0)</f>
        <v>1</v>
      </c>
      <c r="O683" s="944" t="s">
        <v>2053</v>
      </c>
      <c r="P683" s="90" t="s">
        <v>2063</v>
      </c>
      <c r="R683" s="711"/>
      <c r="W683" s="302">
        <f>1-UDV.emit_NH3.lossfrac_solids-UDV.emit_N2O_direct.ef3_solids*UC.N2O_to_N</f>
        <v>0.54681753</v>
      </c>
      <c r="X683">
        <v>0</v>
      </c>
      <c r="Y683">
        <v>1</v>
      </c>
      <c r="Z683" s="1325" t="str">
        <f>Units!B$35</f>
        <v>fraction</v>
      </c>
      <c r="AA683" s="1325">
        <f>Units!C$35</f>
        <v>1</v>
      </c>
      <c r="AB683" s="1325">
        <f>Units!D$35</f>
        <v>1</v>
      </c>
      <c r="AC683" s="1325" t="str">
        <f>Units!E$35</f>
        <v>fraction</v>
      </c>
      <c r="AD683" s="1325" t="str">
        <f>Units!F$35</f>
        <v>fraction</v>
      </c>
      <c r="AE683" s="1325" t="str">
        <f>Units!G$35</f>
        <v>fraction</v>
      </c>
      <c r="AF683" s="1325" t="str">
        <f>Units!H$35</f>
        <v>fraction</v>
      </c>
    </row>
    <row r="684" spans="1:32" x14ac:dyDescent="0.3">
      <c r="A684" s="944" t="s">
        <v>2052</v>
      </c>
      <c r="B684" s="944" t="s">
        <v>2064</v>
      </c>
      <c r="C684" s="124" t="str">
        <f t="shared" si="379"/>
        <v>UDV.separated_solids.spreader_capacity</v>
      </c>
      <c r="D684" s="944">
        <f t="shared" si="382"/>
        <v>370</v>
      </c>
      <c r="E684" s="125" t="str">
        <f t="shared" si="383"/>
        <v>bushel</v>
      </c>
      <c r="F684" s="944">
        <f t="shared" si="369"/>
        <v>370</v>
      </c>
      <c r="G684" s="126"/>
      <c r="H684">
        <f t="shared" si="384"/>
        <v>370</v>
      </c>
      <c r="I684" s="1325" t="str">
        <f t="shared" si="385"/>
        <v>bushel</v>
      </c>
      <c r="J684" t="s">
        <v>660</v>
      </c>
      <c r="K684" s="124"/>
      <c r="L684">
        <f t="shared" si="380"/>
        <v>250</v>
      </c>
      <c r="M684">
        <f t="shared" si="381"/>
        <v>500</v>
      </c>
      <c r="N684">
        <f t="shared" si="370"/>
        <v>0</v>
      </c>
      <c r="O684" s="944" t="s">
        <v>2053</v>
      </c>
      <c r="P684" t="s">
        <v>975</v>
      </c>
      <c r="R684" s="711"/>
      <c r="W684">
        <v>370</v>
      </c>
      <c r="X684">
        <v>250</v>
      </c>
      <c r="Y684">
        <v>500</v>
      </c>
      <c r="Z684" s="1325" t="str">
        <f>Units!B$125</f>
        <v>bushel</v>
      </c>
      <c r="AA684" s="1325">
        <f>Units!C$125</f>
        <v>1</v>
      </c>
      <c r="AB684" s="1325">
        <f>Units!D$125</f>
        <v>1</v>
      </c>
      <c r="AC684" s="1325" t="str">
        <f>Units!E$125</f>
        <v>bushel</v>
      </c>
      <c r="AD684" s="1325" t="str">
        <f>Units!F$125</f>
        <v>bushel</v>
      </c>
      <c r="AE684" s="1325" t="str">
        <f>Units!G$125</f>
        <v>bushel</v>
      </c>
      <c r="AF684" s="1325" t="str">
        <f>Units!H$125</f>
        <v>bushel</v>
      </c>
    </row>
    <row r="685" spans="1:32" x14ac:dyDescent="0.3">
      <c r="A685" s="944" t="s">
        <v>2052</v>
      </c>
      <c r="B685" s="944" t="s">
        <v>2065</v>
      </c>
      <c r="C685" s="124" t="str">
        <f t="shared" si="379"/>
        <v>UDV.separated_solids.storage_days</v>
      </c>
      <c r="D685" s="944">
        <f t="shared" si="382"/>
        <v>14</v>
      </c>
      <c r="E685" s="125" t="str">
        <f t="shared" si="383"/>
        <v>days</v>
      </c>
      <c r="F685" s="944">
        <f t="shared" si="369"/>
        <v>14</v>
      </c>
      <c r="G685" s="126"/>
      <c r="H685">
        <f t="shared" si="384"/>
        <v>14</v>
      </c>
      <c r="I685" s="1325" t="str">
        <f t="shared" si="385"/>
        <v>days</v>
      </c>
      <c r="J685" t="s">
        <v>660</v>
      </c>
      <c r="K685" s="124"/>
      <c r="L685">
        <f t="shared" si="380"/>
        <v>7</v>
      </c>
      <c r="M685">
        <f t="shared" si="381"/>
        <v>60</v>
      </c>
      <c r="N685">
        <f t="shared" si="370"/>
        <v>0</v>
      </c>
      <c r="O685" s="944" t="s">
        <v>2053</v>
      </c>
      <c r="P685" t="s">
        <v>2066</v>
      </c>
      <c r="R685" s="711"/>
      <c r="S685" t="s">
        <v>84</v>
      </c>
      <c r="W685">
        <v>14</v>
      </c>
      <c r="X685">
        <v>7</v>
      </c>
      <c r="Y685">
        <v>60</v>
      </c>
      <c r="Z685" s="1325" t="str">
        <f>Units!B$111</f>
        <v>days</v>
      </c>
      <c r="AA685" s="1325">
        <f>Units!C$111</f>
        <v>1</v>
      </c>
      <c r="AB685" s="1325">
        <f>Units!D$111</f>
        <v>1</v>
      </c>
      <c r="AC685" s="1325" t="str">
        <f>Units!E$111</f>
        <v>days</v>
      </c>
      <c r="AD685" s="1325" t="str">
        <f>Units!F$111</f>
        <v>days</v>
      </c>
      <c r="AE685" s="1325" t="str">
        <f>Units!G$111</f>
        <v>days</v>
      </c>
      <c r="AF685" s="1325" t="str">
        <f>Units!H$111</f>
        <v>days</v>
      </c>
    </row>
    <row r="686" spans="1:32" x14ac:dyDescent="0.3">
      <c r="A686" s="944" t="s">
        <v>2052</v>
      </c>
      <c r="B686" s="944" t="s">
        <v>696</v>
      </c>
      <c r="C686" s="124" t="str">
        <f t="shared" si="379"/>
        <v>UDV.separated_solids.storage_safety_factor</v>
      </c>
      <c r="D686" s="944">
        <f t="shared" si="382"/>
        <v>1.1000000000000001</v>
      </c>
      <c r="E686" s="125" t="str">
        <f t="shared" si="383"/>
        <v>multiplier</v>
      </c>
      <c r="F686" s="944">
        <f t="shared" si="369"/>
        <v>1.1000000000000001</v>
      </c>
      <c r="G686" s="126"/>
      <c r="H686">
        <f t="shared" si="384"/>
        <v>1.1000000000000001</v>
      </c>
      <c r="I686" s="1325" t="str">
        <f t="shared" si="385"/>
        <v>multiplier</v>
      </c>
      <c r="J686" t="s">
        <v>660</v>
      </c>
      <c r="K686" s="124"/>
      <c r="L686">
        <f t="shared" si="380"/>
        <v>1</v>
      </c>
      <c r="M686">
        <f t="shared" si="381"/>
        <v>3</v>
      </c>
      <c r="N686">
        <f t="shared" si="370"/>
        <v>0</v>
      </c>
      <c r="O686" s="944" t="s">
        <v>2053</v>
      </c>
      <c r="P686" t="s">
        <v>2067</v>
      </c>
      <c r="R686" s="711"/>
      <c r="S686" t="s">
        <v>84</v>
      </c>
      <c r="W686">
        <v>1.1000000000000001</v>
      </c>
      <c r="X686">
        <v>1</v>
      </c>
      <c r="Y686">
        <v>3</v>
      </c>
      <c r="Z686" s="1325" t="str">
        <f>Units!B$94</f>
        <v>multiplier</v>
      </c>
      <c r="AA686" s="1325">
        <f>Units!C$94</f>
        <v>1</v>
      </c>
      <c r="AB686" s="1325">
        <f>Units!D$94</f>
        <v>1</v>
      </c>
      <c r="AC686" s="1325" t="str">
        <f>Units!E$94</f>
        <v>multiplier</v>
      </c>
      <c r="AD686" s="1325" t="str">
        <f>Units!F$94</f>
        <v>multiplier</v>
      </c>
      <c r="AE686" s="1325" t="str">
        <f>Units!G$94</f>
        <v>multiplier</v>
      </c>
      <c r="AF686" s="1325" t="str">
        <f>Units!H$94</f>
        <v>multiplier</v>
      </c>
    </row>
    <row r="687" spans="1:32" x14ac:dyDescent="0.3">
      <c r="A687" s="944" t="s">
        <v>2052</v>
      </c>
      <c r="B687" s="944" t="s">
        <v>2068</v>
      </c>
      <c r="C687" s="124" t="str">
        <f t="shared" si="379"/>
        <v>UDV.separated_solids.time_separator_to_storage</v>
      </c>
      <c r="D687" s="944">
        <f t="shared" si="382"/>
        <v>2</v>
      </c>
      <c r="E687" s="125" t="str">
        <f t="shared" si="383"/>
        <v>min/action</v>
      </c>
      <c r="F687" s="944">
        <f t="shared" si="369"/>
        <v>2</v>
      </c>
      <c r="G687" s="126"/>
      <c r="H687">
        <f t="shared" si="384"/>
        <v>2</v>
      </c>
      <c r="I687" s="1325" t="str">
        <f t="shared" si="385"/>
        <v>min/action</v>
      </c>
      <c r="J687" t="s">
        <v>660</v>
      </c>
      <c r="K687" s="124"/>
      <c r="L687">
        <f t="shared" si="380"/>
        <v>0.25</v>
      </c>
      <c r="M687">
        <f t="shared" si="381"/>
        <v>10</v>
      </c>
      <c r="N687">
        <f t="shared" si="370"/>
        <v>0</v>
      </c>
      <c r="O687" s="944" t="s">
        <v>2053</v>
      </c>
      <c r="P687" t="s">
        <v>2069</v>
      </c>
      <c r="R687" s="711"/>
      <c r="W687">
        <v>2</v>
      </c>
      <c r="X687">
        <v>0.25</v>
      </c>
      <c r="Y687">
        <v>10</v>
      </c>
      <c r="Z687" s="1325" t="str">
        <f>Units!B$114</f>
        <v>min/action</v>
      </c>
      <c r="AA687" s="1325">
        <f>Units!C$114</f>
        <v>1</v>
      </c>
      <c r="AB687" s="1325">
        <f>Units!D$114</f>
        <v>1</v>
      </c>
      <c r="AC687" s="1325" t="str">
        <f>Units!E$114</f>
        <v>min/action</v>
      </c>
      <c r="AD687" s="1325" t="str">
        <f>Units!F$114</f>
        <v>min/action</v>
      </c>
      <c r="AE687" s="1325" t="str">
        <f>Units!G$114</f>
        <v>min/action</v>
      </c>
      <c r="AF687" s="1325" t="str">
        <f>Units!H$114</f>
        <v>min/action</v>
      </c>
    </row>
    <row r="688" spans="1:32" x14ac:dyDescent="0.3">
      <c r="A688" s="944" t="s">
        <v>2052</v>
      </c>
      <c r="B688" s="944" t="s">
        <v>976</v>
      </c>
      <c r="C688" s="124" t="str">
        <f t="shared" si="379"/>
        <v>UDV.separated_solids.time_spreader_to_field</v>
      </c>
      <c r="D688" s="944">
        <f t="shared" si="382"/>
        <v>10</v>
      </c>
      <c r="E688" s="125" t="str">
        <f t="shared" si="383"/>
        <v>min/action</v>
      </c>
      <c r="F688" s="944">
        <f t="shared" si="369"/>
        <v>10</v>
      </c>
      <c r="G688" s="126"/>
      <c r="H688">
        <f t="shared" si="384"/>
        <v>10</v>
      </c>
      <c r="I688" s="1325" t="str">
        <f t="shared" si="385"/>
        <v>min/action</v>
      </c>
      <c r="J688" t="s">
        <v>660</v>
      </c>
      <c r="K688" s="124"/>
      <c r="L688">
        <f t="shared" si="380"/>
        <v>2.5</v>
      </c>
      <c r="M688">
        <f t="shared" si="381"/>
        <v>60</v>
      </c>
      <c r="N688">
        <f t="shared" si="370"/>
        <v>0</v>
      </c>
      <c r="O688" s="944" t="s">
        <v>2053</v>
      </c>
      <c r="P688" s="20" t="s">
        <v>977</v>
      </c>
      <c r="R688" s="711"/>
      <c r="W688">
        <v>10</v>
      </c>
      <c r="X688">
        <v>2.5</v>
      </c>
      <c r="Y688">
        <v>60</v>
      </c>
      <c r="Z688" s="1325" t="str">
        <f>Units!B$114</f>
        <v>min/action</v>
      </c>
      <c r="AA688" s="1325">
        <f>Units!C$114</f>
        <v>1</v>
      </c>
      <c r="AB688" s="1325">
        <f>Units!D$114</f>
        <v>1</v>
      </c>
      <c r="AC688" s="1325" t="str">
        <f>Units!E$114</f>
        <v>min/action</v>
      </c>
      <c r="AD688" s="1325" t="str">
        <f>Units!F$114</f>
        <v>min/action</v>
      </c>
      <c r="AE688" s="1325" t="str">
        <f>Units!G$114</f>
        <v>min/action</v>
      </c>
      <c r="AF688" s="1325" t="str">
        <f>Units!H$114</f>
        <v>min/action</v>
      </c>
    </row>
    <row r="689" spans="1:32" x14ac:dyDescent="0.3">
      <c r="A689" s="944" t="s">
        <v>2052</v>
      </c>
      <c r="B689" s="944" t="s">
        <v>2070</v>
      </c>
      <c r="C689" s="124" t="str">
        <f t="shared" si="379"/>
        <v>UDV.separated_solids.time_storage_to_spreader</v>
      </c>
      <c r="D689" s="944">
        <f t="shared" si="382"/>
        <v>0.5</v>
      </c>
      <c r="E689" s="125" t="str">
        <f t="shared" si="383"/>
        <v>min/action</v>
      </c>
      <c r="F689" s="944">
        <f t="shared" si="369"/>
        <v>0.5</v>
      </c>
      <c r="G689" s="126"/>
      <c r="H689">
        <f t="shared" si="384"/>
        <v>0.5</v>
      </c>
      <c r="I689" s="1325" t="str">
        <f t="shared" si="385"/>
        <v>min/action</v>
      </c>
      <c r="J689" t="s">
        <v>660</v>
      </c>
      <c r="K689" s="124"/>
      <c r="L689">
        <f t="shared" si="380"/>
        <v>0.25</v>
      </c>
      <c r="M689">
        <f t="shared" si="381"/>
        <v>10</v>
      </c>
      <c r="N689">
        <f t="shared" si="370"/>
        <v>0</v>
      </c>
      <c r="O689" s="944" t="s">
        <v>2053</v>
      </c>
      <c r="P689" t="s">
        <v>2071</v>
      </c>
      <c r="R689" s="711"/>
      <c r="W689">
        <v>0.5</v>
      </c>
      <c r="X689">
        <v>0.25</v>
      </c>
      <c r="Y689">
        <v>10</v>
      </c>
      <c r="Z689" s="1325" t="str">
        <f>Units!B$114</f>
        <v>min/action</v>
      </c>
      <c r="AA689" s="1325">
        <f>Units!C$114</f>
        <v>1</v>
      </c>
      <c r="AB689" s="1325">
        <f>Units!D$114</f>
        <v>1</v>
      </c>
      <c r="AC689" s="1325" t="str">
        <f>Units!E$114</f>
        <v>min/action</v>
      </c>
      <c r="AD689" s="1325" t="str">
        <f>Units!F$114</f>
        <v>min/action</v>
      </c>
      <c r="AE689" s="1325" t="str">
        <f>Units!G$114</f>
        <v>min/action</v>
      </c>
      <c r="AF689" s="1325" t="str">
        <f>Units!H$114</f>
        <v>min/action</v>
      </c>
    </row>
    <row r="690" spans="1:32" x14ac:dyDescent="0.3">
      <c r="A690" s="944" t="s">
        <v>2052</v>
      </c>
      <c r="B690" t="s">
        <v>2072</v>
      </c>
      <c r="C690" s="124" t="str">
        <f t="shared" si="379"/>
        <v>UDV.separated_solids.tractor_mover_hp</v>
      </c>
      <c r="D690" s="564">
        <f t="shared" si="382"/>
        <v>94</v>
      </c>
      <c r="E690" s="125" t="str">
        <f t="shared" si="383"/>
        <v>hp</v>
      </c>
      <c r="F690" s="944">
        <f t="shared" si="369"/>
        <v>94</v>
      </c>
      <c r="G690" s="126"/>
      <c r="H690">
        <f t="shared" si="384"/>
        <v>94</v>
      </c>
      <c r="I690" s="1325" t="str">
        <f t="shared" si="385"/>
        <v>hp</v>
      </c>
      <c r="J690" t="s">
        <v>660</v>
      </c>
      <c r="K690" s="124"/>
      <c r="L690">
        <f t="shared" si="380"/>
        <v>50</v>
      </c>
      <c r="M690">
        <f t="shared" si="381"/>
        <v>125</v>
      </c>
      <c r="N690">
        <f t="shared" si="370"/>
        <v>0</v>
      </c>
      <c r="O690" s="944" t="s">
        <v>2053</v>
      </c>
      <c r="P690" t="s">
        <v>1758</v>
      </c>
      <c r="R690" s="711"/>
      <c r="S690" t="s">
        <v>84</v>
      </c>
      <c r="W690">
        <v>94</v>
      </c>
      <c r="X690">
        <v>50</v>
      </c>
      <c r="Y690">
        <v>125</v>
      </c>
      <c r="Z690" s="1325" t="str">
        <f>Units!B$99</f>
        <v>hp</v>
      </c>
      <c r="AA690" s="1325">
        <f>Units!C$99</f>
        <v>1</v>
      </c>
      <c r="AB690" s="1325">
        <f>Units!D$99</f>
        <v>1</v>
      </c>
      <c r="AC690" s="1325" t="str">
        <f>Units!E$99</f>
        <v>hp</v>
      </c>
      <c r="AD690" s="1325" t="str">
        <f>Units!F$99</f>
        <v>hp</v>
      </c>
      <c r="AE690" s="1325" t="str">
        <f>Units!G$99</f>
        <v>hp</v>
      </c>
      <c r="AF690" s="1325" t="str">
        <f>Units!H$99</f>
        <v>hp</v>
      </c>
    </row>
    <row r="691" spans="1:32" x14ac:dyDescent="0.3">
      <c r="A691" s="944" t="s">
        <v>2052</v>
      </c>
      <c r="B691" s="944" t="s">
        <v>2073</v>
      </c>
      <c r="C691" s="124" t="str">
        <f t="shared" si="379"/>
        <v>UDV.separated_solids.tractor_spreader_hp</v>
      </c>
      <c r="D691" s="944">
        <f t="shared" si="382"/>
        <v>85</v>
      </c>
      <c r="E691" s="125" t="str">
        <f t="shared" si="383"/>
        <v>hp</v>
      </c>
      <c r="F691" s="944">
        <f t="shared" si="369"/>
        <v>85</v>
      </c>
      <c r="G691" s="126"/>
      <c r="H691">
        <f t="shared" si="384"/>
        <v>85</v>
      </c>
      <c r="I691" s="1325" t="str">
        <f t="shared" si="385"/>
        <v>hp</v>
      </c>
      <c r="J691" t="s">
        <v>660</v>
      </c>
      <c r="K691" s="124"/>
      <c r="L691">
        <f t="shared" si="380"/>
        <v>50</v>
      </c>
      <c r="M691">
        <f t="shared" si="381"/>
        <v>125</v>
      </c>
      <c r="N691">
        <f t="shared" si="370"/>
        <v>0</v>
      </c>
      <c r="O691" s="944" t="s">
        <v>2053</v>
      </c>
      <c r="P691" t="s">
        <v>973</v>
      </c>
      <c r="R691" s="711"/>
      <c r="S691" t="s">
        <v>84</v>
      </c>
      <c r="W691">
        <v>85</v>
      </c>
      <c r="X691">
        <v>50</v>
      </c>
      <c r="Y691">
        <v>125</v>
      </c>
      <c r="Z691" s="1325" t="str">
        <f>Units!B$99</f>
        <v>hp</v>
      </c>
      <c r="AA691" s="1325">
        <f>Units!C$99</f>
        <v>1</v>
      </c>
      <c r="AB691" s="1325">
        <f>Units!D$99</f>
        <v>1</v>
      </c>
      <c r="AC691" s="1325" t="str">
        <f>Units!E$99</f>
        <v>hp</v>
      </c>
      <c r="AD691" s="1325" t="str">
        <f>Units!F$99</f>
        <v>hp</v>
      </c>
      <c r="AE691" s="1325" t="str">
        <f>Units!G$99</f>
        <v>hp</v>
      </c>
      <c r="AF691" s="1325" t="str">
        <f>Units!H$99</f>
        <v>hp</v>
      </c>
    </row>
    <row r="692" spans="1:32" x14ac:dyDescent="0.3">
      <c r="A692" s="944" t="s">
        <v>2074</v>
      </c>
      <c r="B692" s="944" t="s">
        <v>2075</v>
      </c>
      <c r="C692" s="124" t="str">
        <f t="shared" si="379"/>
        <v>UDV.shallow_pit.length</v>
      </c>
      <c r="D692" s="944">
        <f t="shared" si="382"/>
        <v>50.240000000000009</v>
      </c>
      <c r="E692" s="125" t="str">
        <f t="shared" si="383"/>
        <v>m</v>
      </c>
      <c r="F692" s="1330">
        <f t="shared" ref="F692" si="389">IF(OR(G692="",N692=0),H692,G692)</f>
        <v>164.82939657600002</v>
      </c>
      <c r="G692" s="126"/>
      <c r="H692" s="78">
        <f t="shared" si="384"/>
        <v>164.82939657600002</v>
      </c>
      <c r="I692" s="1325" t="str">
        <f t="shared" si="385"/>
        <v>ft</v>
      </c>
      <c r="J692" t="s">
        <v>660</v>
      </c>
      <c r="K692" s="124"/>
      <c r="L692" s="78">
        <f t="shared" si="380"/>
        <v>82.02</v>
      </c>
      <c r="M692" s="78">
        <f t="shared" si="381"/>
        <v>246.06300000000002</v>
      </c>
      <c r="N692">
        <f t="shared" ref="N692" si="390">IF(AND(M692 - G692 &gt;= 0, G692 - L692 &gt;=0),1,0)</f>
        <v>0</v>
      </c>
      <c r="O692" s="944" t="s">
        <v>2076</v>
      </c>
      <c r="P692" t="s">
        <v>2077</v>
      </c>
      <c r="R692" s="711"/>
      <c r="W692">
        <v>50.24</v>
      </c>
      <c r="X692">
        <v>25</v>
      </c>
      <c r="Y692">
        <v>75</v>
      </c>
      <c r="Z692" s="1325" t="str">
        <f>Units!B$48</f>
        <v>m</v>
      </c>
      <c r="AA692" s="1325">
        <f>Units!C$48</f>
        <v>3.2808399000000001</v>
      </c>
      <c r="AB692" s="1325">
        <f>Units!D$48</f>
        <v>0.304799999536704</v>
      </c>
      <c r="AC692" s="1325" t="str">
        <f>Units!E$48</f>
        <v>ft</v>
      </c>
      <c r="AD692" s="1325" t="str">
        <f>Units!F$48</f>
        <v>m</v>
      </c>
      <c r="AE692" s="1325" t="str">
        <f>Units!G$48</f>
        <v>m</v>
      </c>
      <c r="AF692" s="1325" t="str">
        <f>Units!H$48</f>
        <v>ft</v>
      </c>
    </row>
    <row r="693" spans="1:32" x14ac:dyDescent="0.3">
      <c r="A693" s="944" t="s">
        <v>2074</v>
      </c>
      <c r="B693" s="944" t="s">
        <v>722</v>
      </c>
      <c r="C693" s="124" t="str">
        <f t="shared" si="379"/>
        <v>UDV.shallow_pit.depth</v>
      </c>
      <c r="D693" s="944">
        <f t="shared" si="382"/>
        <v>1.8200000000000003</v>
      </c>
      <c r="E693" s="125" t="str">
        <f t="shared" si="383"/>
        <v>m</v>
      </c>
      <c r="F693" s="1330">
        <f t="shared" ref="F693:F702" si="391">IF(OR(G693="",N693=0),H693,G693)</f>
        <v>5.9711286180000007</v>
      </c>
      <c r="G693" s="126"/>
      <c r="H693" s="78">
        <f t="shared" si="384"/>
        <v>5.9711286180000007</v>
      </c>
      <c r="I693" s="1325" t="str">
        <f t="shared" si="385"/>
        <v>ft</v>
      </c>
      <c r="J693" t="s">
        <v>660</v>
      </c>
      <c r="K693" s="124"/>
      <c r="L693" s="78">
        <f t="shared" si="380"/>
        <v>4.9210000000000003</v>
      </c>
      <c r="M693" s="78">
        <f t="shared" si="381"/>
        <v>8.2029999999999994</v>
      </c>
      <c r="N693">
        <f t="shared" ref="N693:N702" si="392">IF(AND(M693 - G693 &gt;= 0, G693 - L693 &gt;=0),1,0)</f>
        <v>0</v>
      </c>
      <c r="O693" s="944" t="s">
        <v>2076</v>
      </c>
      <c r="P693" t="s">
        <v>1996</v>
      </c>
      <c r="R693" s="711"/>
      <c r="W693">
        <v>1.82</v>
      </c>
      <c r="X693">
        <v>1.5</v>
      </c>
      <c r="Y693">
        <v>2.5</v>
      </c>
      <c r="Z693" s="1325" t="str">
        <f>Units!B$48</f>
        <v>m</v>
      </c>
      <c r="AA693" s="1325">
        <f>Units!C$48</f>
        <v>3.2808399000000001</v>
      </c>
      <c r="AB693" s="1325">
        <f>Units!D$48</f>
        <v>0.304799999536704</v>
      </c>
      <c r="AC693" s="1325" t="str">
        <f>Units!E$48</f>
        <v>ft</v>
      </c>
      <c r="AD693" s="1325" t="str">
        <f>Units!F$48</f>
        <v>m</v>
      </c>
      <c r="AE693" s="1325" t="str">
        <f>Units!G$48</f>
        <v>m</v>
      </c>
      <c r="AF693" s="1325" t="str">
        <f>Units!H$48</f>
        <v>ft</v>
      </c>
    </row>
    <row r="694" spans="1:32" x14ac:dyDescent="0.3">
      <c r="A694" s="944" t="s">
        <v>2074</v>
      </c>
      <c r="B694" s="944" t="s">
        <v>2078</v>
      </c>
      <c r="C694" s="124" t="str">
        <f t="shared" si="379"/>
        <v>UDV.shallow_pit.plug_N_remaining</v>
      </c>
      <c r="D694" s="1328">
        <f t="shared" si="382"/>
        <v>0.74936350600000001</v>
      </c>
      <c r="E694" s="125" t="str">
        <f t="shared" si="383"/>
        <v>fraction</v>
      </c>
      <c r="F694" s="1328">
        <f t="shared" ref="F694" si="393">IF(OR(G694="",N694=0),H694,G694)</f>
        <v>0.74936350600000001</v>
      </c>
      <c r="G694" s="126"/>
      <c r="H694" s="302">
        <f t="shared" si="384"/>
        <v>0.74936350600000001</v>
      </c>
      <c r="I694" s="1325" t="str">
        <f t="shared" si="385"/>
        <v>fraction</v>
      </c>
      <c r="J694" t="s">
        <v>688</v>
      </c>
      <c r="K694" s="124"/>
      <c r="L694">
        <f t="shared" si="380"/>
        <v>0</v>
      </c>
      <c r="M694">
        <f t="shared" si="381"/>
        <v>1</v>
      </c>
      <c r="N694">
        <f t="shared" si="392"/>
        <v>1</v>
      </c>
      <c r="O694" s="944" t="s">
        <v>2076</v>
      </c>
      <c r="P694" t="s">
        <v>2079</v>
      </c>
      <c r="R694" s="711"/>
      <c r="W694" s="302">
        <f>1-UDV.emit_NH3.lossfrac_shallow_plug-UDV.emit_N2O_direct.ef3_shallow_plug*UC.N2O_to_N</f>
        <v>0.74936350600000001</v>
      </c>
      <c r="X694">
        <v>0</v>
      </c>
      <c r="Y694">
        <v>1</v>
      </c>
      <c r="Z694" s="1325" t="str">
        <f>Units!B$35</f>
        <v>fraction</v>
      </c>
      <c r="AA694" s="1325">
        <f>Units!C$35</f>
        <v>1</v>
      </c>
      <c r="AB694" s="1325">
        <f>Units!D$35</f>
        <v>1</v>
      </c>
      <c r="AC694" s="1325" t="str">
        <f>Units!E$35</f>
        <v>fraction</v>
      </c>
      <c r="AD694" s="1325" t="str">
        <f>Units!F$35</f>
        <v>fraction</v>
      </c>
      <c r="AE694" s="1325" t="str">
        <f>Units!G$35</f>
        <v>fraction</v>
      </c>
      <c r="AF694" s="1325" t="str">
        <f>Units!H$35</f>
        <v>fraction</v>
      </c>
    </row>
    <row r="695" spans="1:32" x14ac:dyDescent="0.3">
      <c r="A695" s="944" t="s">
        <v>2074</v>
      </c>
      <c r="B695" s="944" t="s">
        <v>2080</v>
      </c>
      <c r="C695" s="124" t="str">
        <f t="shared" si="379"/>
        <v>UDV.shallow_pit.plug_waste_storage</v>
      </c>
      <c r="D695" s="944">
        <f t="shared" si="382"/>
        <v>14</v>
      </c>
      <c r="E695" s="125" t="str">
        <f t="shared" si="383"/>
        <v>days</v>
      </c>
      <c r="F695" s="944">
        <f t="shared" si="391"/>
        <v>14</v>
      </c>
      <c r="G695" s="126"/>
      <c r="H695">
        <f t="shared" si="384"/>
        <v>14</v>
      </c>
      <c r="I695" s="1325" t="str">
        <f t="shared" si="385"/>
        <v>days</v>
      </c>
      <c r="J695" t="s">
        <v>660</v>
      </c>
      <c r="K695" s="124"/>
      <c r="L695">
        <f t="shared" si="380"/>
        <v>1</v>
      </c>
      <c r="M695">
        <f t="shared" si="381"/>
        <v>28</v>
      </c>
      <c r="N695">
        <f t="shared" si="392"/>
        <v>0</v>
      </c>
      <c r="O695" s="944" t="s">
        <v>2076</v>
      </c>
      <c r="P695" t="s">
        <v>2081</v>
      </c>
      <c r="R695" s="711"/>
      <c r="W695">
        <v>14</v>
      </c>
      <c r="X695">
        <v>1</v>
      </c>
      <c r="Y695">
        <v>28</v>
      </c>
      <c r="Z695" s="1325" t="str">
        <f>Units!B$111</f>
        <v>days</v>
      </c>
      <c r="AA695" s="1325">
        <f>Units!C$111</f>
        <v>1</v>
      </c>
      <c r="AB695" s="1325">
        <f>Units!D$111</f>
        <v>1</v>
      </c>
      <c r="AC695" s="1325" t="str">
        <f>Units!E$111</f>
        <v>days</v>
      </c>
      <c r="AD695" s="1325" t="str">
        <f>Units!F$111</f>
        <v>days</v>
      </c>
      <c r="AE695" s="1325" t="str">
        <f>Units!G$111</f>
        <v>days</v>
      </c>
      <c r="AF695" s="1325" t="str">
        <f>Units!H$111</f>
        <v>days</v>
      </c>
    </row>
    <row r="696" spans="1:32" x14ac:dyDescent="0.3">
      <c r="A696" s="944" t="s">
        <v>2074</v>
      </c>
      <c r="B696" s="944" t="s">
        <v>2082</v>
      </c>
      <c r="C696" s="124" t="str">
        <f t="shared" si="379"/>
        <v>UDV.shallow_pit.plug_liquids_storage</v>
      </c>
      <c r="D696" s="944">
        <f t="shared" si="382"/>
        <v>14</v>
      </c>
      <c r="E696" s="125" t="str">
        <f t="shared" si="383"/>
        <v>days</v>
      </c>
      <c r="F696" s="944">
        <f t="shared" si="391"/>
        <v>14</v>
      </c>
      <c r="G696" s="126"/>
      <c r="H696">
        <f t="shared" si="384"/>
        <v>14</v>
      </c>
      <c r="I696" s="1325" t="str">
        <f t="shared" si="385"/>
        <v>days</v>
      </c>
      <c r="J696" t="s">
        <v>660</v>
      </c>
      <c r="K696" s="124"/>
      <c r="L696">
        <f t="shared" si="380"/>
        <v>1</v>
      </c>
      <c r="M696">
        <f t="shared" si="381"/>
        <v>28</v>
      </c>
      <c r="N696">
        <f t="shared" si="392"/>
        <v>0</v>
      </c>
      <c r="O696" s="944" t="s">
        <v>2076</v>
      </c>
      <c r="P696" t="s">
        <v>2083</v>
      </c>
      <c r="R696" s="711"/>
      <c r="W696">
        <f>UDV.shallow_pit.plug_waste_storage</f>
        <v>14</v>
      </c>
      <c r="X696">
        <v>1</v>
      </c>
      <c r="Y696">
        <v>28</v>
      </c>
      <c r="Z696" s="1325" t="str">
        <f>Units!B$111</f>
        <v>days</v>
      </c>
      <c r="AA696" s="1325">
        <f>Units!C$111</f>
        <v>1</v>
      </c>
      <c r="AB696" s="1325">
        <f>Units!D$111</f>
        <v>1</v>
      </c>
      <c r="AC696" s="1325" t="str">
        <f>Units!E$111</f>
        <v>days</v>
      </c>
      <c r="AD696" s="1325" t="str">
        <f>Units!F$111</f>
        <v>days</v>
      </c>
      <c r="AE696" s="1325" t="str">
        <f>Units!G$111</f>
        <v>days</v>
      </c>
      <c r="AF696" s="1325" t="str">
        <f>Units!H$111</f>
        <v>days</v>
      </c>
    </row>
    <row r="697" spans="1:32" x14ac:dyDescent="0.3">
      <c r="A697" s="944" t="s">
        <v>2074</v>
      </c>
      <c r="B697" s="944" t="s">
        <v>2084</v>
      </c>
      <c r="C697" s="124" t="str">
        <f t="shared" ref="C697" si="394">_xlfn.CONCAT("UDV.",A697,".",B697)</f>
        <v>UDV.shallow_pit.flush_N_remaining</v>
      </c>
      <c r="D697" s="1328">
        <f t="shared" si="382"/>
        <v>0.69936350599999997</v>
      </c>
      <c r="E697" s="125" t="str">
        <f t="shared" si="383"/>
        <v>fraction</v>
      </c>
      <c r="F697" s="1328">
        <f t="shared" si="391"/>
        <v>0.69936350599999997</v>
      </c>
      <c r="G697" s="126"/>
      <c r="H697" s="302">
        <f t="shared" si="384"/>
        <v>0.69936350599999997</v>
      </c>
      <c r="I697" s="1325" t="str">
        <f t="shared" si="385"/>
        <v>fraction</v>
      </c>
      <c r="J697" t="s">
        <v>688</v>
      </c>
      <c r="K697" s="124"/>
      <c r="L697">
        <f t="shared" si="380"/>
        <v>0</v>
      </c>
      <c r="M697">
        <f t="shared" si="381"/>
        <v>1</v>
      </c>
      <c r="N697">
        <f t="shared" ref="N697" si="395">IF(AND(M697 - G697 &gt;= 0, G697 - L697 &gt;=0),1,0)</f>
        <v>1</v>
      </c>
      <c r="O697" s="944" t="s">
        <v>2076</v>
      </c>
      <c r="P697" t="s">
        <v>2079</v>
      </c>
      <c r="R697" s="711"/>
      <c r="W697" s="302">
        <f>1-UDV.emit_NH3.lossfrac_shallow_flush-UDV.emit_N2O_direct.ef3_shallow_flush*UC.N2O_to_N</f>
        <v>0.69936350599999997</v>
      </c>
      <c r="X697">
        <v>0</v>
      </c>
      <c r="Y697">
        <v>1</v>
      </c>
      <c r="Z697" s="1325" t="str">
        <f>Units!B$35</f>
        <v>fraction</v>
      </c>
      <c r="AA697" s="1325">
        <f>Units!C$35</f>
        <v>1</v>
      </c>
      <c r="AB697" s="1325">
        <f>Units!D$35</f>
        <v>1</v>
      </c>
      <c r="AC697" s="1325" t="str">
        <f>Units!E$35</f>
        <v>fraction</v>
      </c>
      <c r="AD697" s="1325" t="str">
        <f>Units!F$35</f>
        <v>fraction</v>
      </c>
      <c r="AE697" s="1325" t="str">
        <f>Units!G$35</f>
        <v>fraction</v>
      </c>
      <c r="AF697" s="1325" t="str">
        <f>Units!H$35</f>
        <v>fraction</v>
      </c>
    </row>
    <row r="698" spans="1:32" x14ac:dyDescent="0.3">
      <c r="A698" s="944" t="s">
        <v>2074</v>
      </c>
      <c r="B698" s="944" t="s">
        <v>2085</v>
      </c>
      <c r="C698" s="124" t="str">
        <f t="shared" si="379"/>
        <v>UDV.shallow_pit.flush_waste_storage</v>
      </c>
      <c r="D698" s="944">
        <f t="shared" si="382"/>
        <v>7</v>
      </c>
      <c r="E698" s="125" t="str">
        <f t="shared" si="383"/>
        <v>days</v>
      </c>
      <c r="F698" s="944">
        <f t="shared" si="391"/>
        <v>7</v>
      </c>
      <c r="G698" s="126"/>
      <c r="H698">
        <f t="shared" si="384"/>
        <v>7</v>
      </c>
      <c r="I698" s="1325" t="str">
        <f t="shared" si="385"/>
        <v>days</v>
      </c>
      <c r="J698" t="s">
        <v>660</v>
      </c>
      <c r="K698" s="124"/>
      <c r="L698">
        <f t="shared" si="380"/>
        <v>1</v>
      </c>
      <c r="M698">
        <f t="shared" si="381"/>
        <v>28</v>
      </c>
      <c r="N698">
        <f t="shared" si="392"/>
        <v>0</v>
      </c>
      <c r="O698" s="944" t="s">
        <v>2076</v>
      </c>
      <c r="P698" t="s">
        <v>2086</v>
      </c>
      <c r="R698" s="711"/>
      <c r="W698">
        <v>7</v>
      </c>
      <c r="X698">
        <v>1</v>
      </c>
      <c r="Y698">
        <v>28</v>
      </c>
      <c r="Z698" s="1325" t="str">
        <f>Units!B$111</f>
        <v>days</v>
      </c>
      <c r="AA698" s="1325">
        <f>Units!C$111</f>
        <v>1</v>
      </c>
      <c r="AB698" s="1325">
        <f>Units!D$111</f>
        <v>1</v>
      </c>
      <c r="AC698" s="1325" t="str">
        <f>Units!E$111</f>
        <v>days</v>
      </c>
      <c r="AD698" s="1325" t="str">
        <f>Units!F$111</f>
        <v>days</v>
      </c>
      <c r="AE698" s="1325" t="str">
        <f>Units!G$111</f>
        <v>days</v>
      </c>
      <c r="AF698" s="1325" t="str">
        <f>Units!H$111</f>
        <v>days</v>
      </c>
    </row>
    <row r="699" spans="1:32" x14ac:dyDescent="0.3">
      <c r="A699" s="944" t="s">
        <v>2074</v>
      </c>
      <c r="B699" s="944" t="s">
        <v>2087</v>
      </c>
      <c r="C699" s="124" t="str">
        <f t="shared" si="379"/>
        <v>UDV.shallow_pit.flush_liquids_storage</v>
      </c>
      <c r="D699" s="944">
        <f t="shared" si="382"/>
        <v>1</v>
      </c>
      <c r="E699" s="125" t="str">
        <f t="shared" si="383"/>
        <v>days</v>
      </c>
      <c r="F699" s="944">
        <f t="shared" si="391"/>
        <v>1</v>
      </c>
      <c r="G699" s="126"/>
      <c r="H699">
        <f t="shared" si="384"/>
        <v>1</v>
      </c>
      <c r="I699" s="1325" t="str">
        <f t="shared" si="385"/>
        <v>days</v>
      </c>
      <c r="J699" t="s">
        <v>660</v>
      </c>
      <c r="K699" s="124"/>
      <c r="L699">
        <f t="shared" si="380"/>
        <v>1</v>
      </c>
      <c r="M699">
        <f t="shared" si="381"/>
        <v>7</v>
      </c>
      <c r="N699">
        <f t="shared" si="392"/>
        <v>0</v>
      </c>
      <c r="O699" s="944" t="s">
        <v>2076</v>
      </c>
      <c r="P699" t="s">
        <v>2088</v>
      </c>
      <c r="R699" s="711"/>
      <c r="W699">
        <v>1</v>
      </c>
      <c r="X699">
        <v>1</v>
      </c>
      <c r="Y699">
        <v>7</v>
      </c>
      <c r="Z699" s="1325" t="str">
        <f>Units!B$111</f>
        <v>days</v>
      </c>
      <c r="AA699" s="1325">
        <f>Units!C$111</f>
        <v>1</v>
      </c>
      <c r="AB699" s="1325">
        <f>Units!D$111</f>
        <v>1</v>
      </c>
      <c r="AC699" s="1325" t="str">
        <f>Units!E$111</f>
        <v>days</v>
      </c>
      <c r="AD699" s="1325" t="str">
        <f>Units!F$111</f>
        <v>days</v>
      </c>
      <c r="AE699" s="1325" t="str">
        <f>Units!G$111</f>
        <v>days</v>
      </c>
      <c r="AF699" s="1325" t="str">
        <f>Units!H$111</f>
        <v>days</v>
      </c>
    </row>
    <row r="700" spans="1:32" x14ac:dyDescent="0.3">
      <c r="A700" s="944" t="s">
        <v>2074</v>
      </c>
      <c r="B700" s="944" t="s">
        <v>2089</v>
      </c>
      <c r="C700" s="124" t="str">
        <f t="shared" ref="C700" si="396">_xlfn.CONCAT("UDV.",A700,".",B700)</f>
        <v>UDV.shallow_pit.scrape_N_remaining</v>
      </c>
      <c r="D700" s="1328">
        <f t="shared" si="382"/>
        <v>0.79936350600000006</v>
      </c>
      <c r="E700" s="125" t="str">
        <f t="shared" si="383"/>
        <v>fraction</v>
      </c>
      <c r="F700" s="1328">
        <f t="shared" si="391"/>
        <v>0.79936350600000006</v>
      </c>
      <c r="G700" s="126"/>
      <c r="H700" s="302">
        <f t="shared" si="384"/>
        <v>0.79936350600000006</v>
      </c>
      <c r="I700" s="1325" t="str">
        <f t="shared" si="385"/>
        <v>fraction</v>
      </c>
      <c r="J700" t="s">
        <v>688</v>
      </c>
      <c r="K700" s="124"/>
      <c r="L700">
        <f t="shared" si="380"/>
        <v>0</v>
      </c>
      <c r="M700">
        <f t="shared" si="381"/>
        <v>1</v>
      </c>
      <c r="N700">
        <f t="shared" ref="N700" si="397">IF(AND(M700 - G700 &gt;= 0, G700 - L700 &gt;=0),1,0)</f>
        <v>1</v>
      </c>
      <c r="O700" s="944" t="s">
        <v>2076</v>
      </c>
      <c r="P700" t="s">
        <v>2079</v>
      </c>
      <c r="R700" s="711"/>
      <c r="W700" s="302">
        <f>1-UDV.emit_NH3.lossfrac_shallow_scrape-UDV.emit_N2O_direct.ef3_shallow_scrape*UC.N2O_to_N</f>
        <v>0.79936350600000006</v>
      </c>
      <c r="X700">
        <v>0</v>
      </c>
      <c r="Y700">
        <v>1</v>
      </c>
      <c r="Z700" s="1325" t="str">
        <f>Units!B$35</f>
        <v>fraction</v>
      </c>
      <c r="AA700" s="1325">
        <f>Units!C$35</f>
        <v>1</v>
      </c>
      <c r="AB700" s="1325">
        <f>Units!D$35</f>
        <v>1</v>
      </c>
      <c r="AC700" s="1325" t="str">
        <f>Units!E$35</f>
        <v>fraction</v>
      </c>
      <c r="AD700" s="1325" t="str">
        <f>Units!F$35</f>
        <v>fraction</v>
      </c>
      <c r="AE700" s="1325" t="str">
        <f>Units!G$35</f>
        <v>fraction</v>
      </c>
      <c r="AF700" s="1325" t="str">
        <f>Units!H$35</f>
        <v>fraction</v>
      </c>
    </row>
    <row r="701" spans="1:32" x14ac:dyDescent="0.3">
      <c r="A701" s="944" t="s">
        <v>2074</v>
      </c>
      <c r="B701" s="944" t="s">
        <v>2090</v>
      </c>
      <c r="C701" s="124" t="str">
        <f t="shared" si="379"/>
        <v>UDV.shallow_pit.scrape_waste_storage</v>
      </c>
      <c r="D701" s="944">
        <f t="shared" si="382"/>
        <v>7</v>
      </c>
      <c r="E701" s="125" t="str">
        <f t="shared" si="383"/>
        <v>days</v>
      </c>
      <c r="F701" s="944">
        <f t="shared" si="391"/>
        <v>7</v>
      </c>
      <c r="G701" s="126"/>
      <c r="H701">
        <f t="shared" si="384"/>
        <v>7</v>
      </c>
      <c r="I701" s="1325" t="str">
        <f t="shared" si="385"/>
        <v>days</v>
      </c>
      <c r="J701" t="s">
        <v>660</v>
      </c>
      <c r="K701" s="124"/>
      <c r="L701">
        <f t="shared" si="380"/>
        <v>1</v>
      </c>
      <c r="M701">
        <f t="shared" si="381"/>
        <v>30</v>
      </c>
      <c r="N701">
        <f t="shared" si="392"/>
        <v>0</v>
      </c>
      <c r="O701" s="944" t="s">
        <v>2076</v>
      </c>
      <c r="P701" t="s">
        <v>2091</v>
      </c>
      <c r="R701" s="711"/>
      <c r="W701">
        <v>7</v>
      </c>
      <c r="X701">
        <v>1</v>
      </c>
      <c r="Y701">
        <v>30</v>
      </c>
      <c r="Z701" s="1325" t="str">
        <f>Units!B$111</f>
        <v>days</v>
      </c>
      <c r="AA701" s="1325">
        <f>Units!C$111</f>
        <v>1</v>
      </c>
      <c r="AB701" s="1325">
        <f>Units!D$111</f>
        <v>1</v>
      </c>
      <c r="AC701" s="1325" t="str">
        <f>Units!E$111</f>
        <v>days</v>
      </c>
      <c r="AD701" s="1325" t="str">
        <f>Units!F$111</f>
        <v>days</v>
      </c>
      <c r="AE701" s="1325" t="str">
        <f>Units!G$111</f>
        <v>days</v>
      </c>
      <c r="AF701" s="1325" t="str">
        <f>Units!H$111</f>
        <v>days</v>
      </c>
    </row>
    <row r="702" spans="1:32" x14ac:dyDescent="0.3">
      <c r="A702" s="944" t="s">
        <v>2074</v>
      </c>
      <c r="B702" s="944" t="s">
        <v>2092</v>
      </c>
      <c r="C702" s="124" t="str">
        <f t="shared" si="379"/>
        <v>UDV.shallow_pit.scrape_liquids_storage</v>
      </c>
      <c r="D702" s="944">
        <f t="shared" si="382"/>
        <v>7</v>
      </c>
      <c r="E702" s="125" t="str">
        <f t="shared" si="383"/>
        <v>days</v>
      </c>
      <c r="F702" s="944">
        <f t="shared" si="391"/>
        <v>7</v>
      </c>
      <c r="G702" s="126"/>
      <c r="H702">
        <f t="shared" si="384"/>
        <v>7</v>
      </c>
      <c r="I702" s="1325" t="str">
        <f t="shared" si="385"/>
        <v>days</v>
      </c>
      <c r="J702" t="s">
        <v>660</v>
      </c>
      <c r="K702" s="124"/>
      <c r="L702">
        <f t="shared" si="380"/>
        <v>1</v>
      </c>
      <c r="M702">
        <f t="shared" si="381"/>
        <v>30</v>
      </c>
      <c r="N702">
        <f t="shared" si="392"/>
        <v>0</v>
      </c>
      <c r="O702" s="944" t="s">
        <v>2076</v>
      </c>
      <c r="P702" t="s">
        <v>2093</v>
      </c>
      <c r="R702" s="711"/>
      <c r="W702">
        <f>UDV.shallow_pit.scrape_waste_storage</f>
        <v>7</v>
      </c>
      <c r="X702">
        <v>1</v>
      </c>
      <c r="Y702">
        <v>30</v>
      </c>
      <c r="Z702" s="1325" t="str">
        <f>Units!B$111</f>
        <v>days</v>
      </c>
      <c r="AA702" s="1325">
        <f>Units!C$111</f>
        <v>1</v>
      </c>
      <c r="AB702" s="1325">
        <f>Units!D$111</f>
        <v>1</v>
      </c>
      <c r="AC702" s="1325" t="str">
        <f>Units!E$111</f>
        <v>days</v>
      </c>
      <c r="AD702" s="1325" t="str">
        <f>Units!F$111</f>
        <v>days</v>
      </c>
      <c r="AE702" s="1325" t="str">
        <f>Units!G$111</f>
        <v>days</v>
      </c>
      <c r="AF702" s="1325" t="str">
        <f>Units!H$111</f>
        <v>days</v>
      </c>
    </row>
    <row r="703" spans="1:32" x14ac:dyDescent="0.3">
      <c r="A703" s="944" t="s">
        <v>2074</v>
      </c>
      <c r="B703" s="944" t="s">
        <v>2094</v>
      </c>
      <c r="C703" s="124" t="str">
        <f t="shared" si="379"/>
        <v>UDV.shallow_pit.scrape_compost_storage</v>
      </c>
      <c r="D703" s="944">
        <f t="shared" si="382"/>
        <v>21</v>
      </c>
      <c r="E703" s="125" t="str">
        <f t="shared" si="383"/>
        <v>days</v>
      </c>
      <c r="F703" s="944">
        <f t="shared" ref="F703" si="398">IF(OR(G703="",N703=0),H703,G703)</f>
        <v>21</v>
      </c>
      <c r="G703" s="126"/>
      <c r="H703">
        <f t="shared" si="384"/>
        <v>21</v>
      </c>
      <c r="I703" s="1325" t="str">
        <f t="shared" si="385"/>
        <v>days</v>
      </c>
      <c r="J703" t="s">
        <v>660</v>
      </c>
      <c r="K703" s="124"/>
      <c r="L703">
        <f t="shared" ref="L703:L708" si="399">ROUNDDOWN($X703*$AA703,3)</f>
        <v>1</v>
      </c>
      <c r="M703">
        <f t="shared" ref="M703:M707" si="400">ROUNDUP($Y703*$AA703,3)</f>
        <v>30</v>
      </c>
      <c r="N703">
        <f t="shared" ref="N703" si="401">IF(AND(M703 - G703 &gt;= 0, G703 - L703 &gt;=0),1,0)</f>
        <v>0</v>
      </c>
      <c r="O703" s="944" t="s">
        <v>2076</v>
      </c>
      <c r="P703" t="s">
        <v>2095</v>
      </c>
      <c r="R703" s="711"/>
      <c r="W703">
        <v>21</v>
      </c>
      <c r="X703">
        <v>1</v>
      </c>
      <c r="Y703">
        <v>30</v>
      </c>
      <c r="Z703" s="1325" t="str">
        <f>Units!B$111</f>
        <v>days</v>
      </c>
      <c r="AA703" s="1325">
        <f>Units!C$111</f>
        <v>1</v>
      </c>
      <c r="AB703" s="1325">
        <f>Units!D$111</f>
        <v>1</v>
      </c>
      <c r="AC703" s="1325" t="str">
        <f>Units!E$111</f>
        <v>days</v>
      </c>
      <c r="AD703" s="1325" t="str">
        <f>Units!F$111</f>
        <v>days</v>
      </c>
      <c r="AE703" s="1325" t="str">
        <f>Units!G$111</f>
        <v>days</v>
      </c>
      <c r="AF703" s="1325" t="str">
        <f>Units!H$111</f>
        <v>days</v>
      </c>
    </row>
    <row r="704" spans="1:32" x14ac:dyDescent="0.3">
      <c r="A704" t="s">
        <v>2096</v>
      </c>
      <c r="B704" t="s">
        <v>2097</v>
      </c>
      <c r="C704" s="124" t="str">
        <f t="shared" si="379"/>
        <v>UDV.sprinkler.adj_water_used</v>
      </c>
      <c r="D704" s="1091">
        <f t="shared" si="382"/>
        <v>0.16371638975342462</v>
      </c>
      <c r="E704" s="1093" t="str">
        <f t="shared" si="383"/>
        <v>L/head/day</v>
      </c>
      <c r="F704" s="1095">
        <f t="shared" si="369"/>
        <v>4.3249294299761175E-2</v>
      </c>
      <c r="H704" s="1102">
        <f t="shared" si="384"/>
        <v>4.3249294299761175E-2</v>
      </c>
      <c r="I704" s="956" t="str">
        <f t="shared" si="385"/>
        <v>gal/head/day</v>
      </c>
      <c r="J704" t="s">
        <v>2098</v>
      </c>
      <c r="L704">
        <f t="shared" si="399"/>
        <v>0</v>
      </c>
      <c r="N704">
        <f>IF(ISNUMBER(G704),1,0)</f>
        <v>0</v>
      </c>
      <c r="O704" t="s">
        <v>2099</v>
      </c>
      <c r="P704" t="s">
        <v>2100</v>
      </c>
      <c r="R704" s="696" t="s">
        <v>84</v>
      </c>
      <c r="S704" t="s">
        <v>84</v>
      </c>
      <c r="V704" t="str">
        <f>IF(OR((M704-L704)&lt;=0,H704&gt;M704,H704&lt;L704),"Fix","")</f>
        <v>Fix</v>
      </c>
      <c r="W704" s="78">
        <f>Regressions!J96</f>
        <v>0.16371638975342462</v>
      </c>
      <c r="X704">
        <v>0</v>
      </c>
      <c r="Z704" t="str">
        <f>Units!B$138</f>
        <v>L/head/day</v>
      </c>
      <c r="AA704">
        <f>Units!C$138</f>
        <v>0.26417204999999999</v>
      </c>
      <c r="AB704">
        <f>Units!D$138</f>
        <v>3.7854118177907163</v>
      </c>
      <c r="AC704" t="str">
        <f>Units!E$138</f>
        <v>gal/head/day</v>
      </c>
      <c r="AD704" t="str">
        <f>Units!F$138</f>
        <v>L/head/day</v>
      </c>
      <c r="AE704" t="str">
        <f>Units!G$138</f>
        <v>L/head/day</v>
      </c>
      <c r="AF704" t="str">
        <f>Units!H$138</f>
        <v>gal/head/day</v>
      </c>
    </row>
    <row r="705" spans="1:32" x14ac:dyDescent="0.3">
      <c r="A705" t="s">
        <v>2096</v>
      </c>
      <c r="B705" t="s">
        <v>2101</v>
      </c>
      <c r="C705" s="124" t="str">
        <f t="shared" si="379"/>
        <v>UDV.sprinkler.cycles</v>
      </c>
      <c r="D705" s="1091">
        <f t="shared" si="382"/>
        <v>6</v>
      </c>
      <c r="E705" s="1093" t="str">
        <f t="shared" si="383"/>
        <v>cycle/day</v>
      </c>
      <c r="F705" s="1095">
        <f>UI.Farm!BC219</f>
        <v>6</v>
      </c>
      <c r="G705" s="1098" t="str">
        <f>UI.Farm!BD219</f>
        <v/>
      </c>
      <c r="H705" s="1102">
        <f t="shared" si="384"/>
        <v>6</v>
      </c>
      <c r="I705" s="956" t="str">
        <f t="shared" si="385"/>
        <v>cycle/day</v>
      </c>
      <c r="J705" s="132" t="s">
        <v>688</v>
      </c>
      <c r="K705" t="s">
        <v>1085</v>
      </c>
      <c r="L705">
        <f t="shared" si="399"/>
        <v>0</v>
      </c>
      <c r="M705">
        <f t="shared" si="400"/>
        <v>288</v>
      </c>
      <c r="N705">
        <f>IF(AND(G705&lt;=M705, G705&gt;=L705),1,0)</f>
        <v>0</v>
      </c>
      <c r="O705" t="s">
        <v>2102</v>
      </c>
      <c r="P705" t="s">
        <v>2103</v>
      </c>
      <c r="S705" t="s">
        <v>84</v>
      </c>
      <c r="V705" t="str">
        <f>IF(OR((M705-L705)&lt;=0,H705&gt;M705,H705&lt;L705),"Fix","")</f>
        <v/>
      </c>
      <c r="W705" s="78">
        <f>6*UDV.sprinkler.used</f>
        <v>6</v>
      </c>
      <c r="X705">
        <v>0</v>
      </c>
      <c r="Y705">
        <v>288</v>
      </c>
      <c r="Z705" t="str">
        <f>Units!B$30</f>
        <v>cycle/day</v>
      </c>
      <c r="AA705">
        <f>Units!C$30</f>
        <v>1</v>
      </c>
      <c r="AB705">
        <f>Units!D$30</f>
        <v>1</v>
      </c>
      <c r="AC705" t="str">
        <f>Units!E$30</f>
        <v>cycle/day</v>
      </c>
      <c r="AD705" t="str">
        <f>Units!F$30</f>
        <v>cycle/day</v>
      </c>
      <c r="AE705" t="str">
        <f>Units!G$30</f>
        <v>cycle/day</v>
      </c>
      <c r="AF705" t="str">
        <f>Units!H$30</f>
        <v>cycle/day</v>
      </c>
    </row>
    <row r="706" spans="1:32" x14ac:dyDescent="0.3">
      <c r="A706" t="s">
        <v>2096</v>
      </c>
      <c r="B706" t="s">
        <v>2104</v>
      </c>
      <c r="C706" s="124" t="str">
        <f t="shared" si="379"/>
        <v>UDV.sprinkler.evaporative_cooling</v>
      </c>
      <c r="D706" s="1091">
        <f t="shared" si="382"/>
        <v>0.8</v>
      </c>
      <c r="E706" s="1093" t="str">
        <f t="shared" si="383"/>
        <v>fraction</v>
      </c>
      <c r="F706" s="1095">
        <f>IF(OR(G706="",N706=0),H706,G706)</f>
        <v>0.8</v>
      </c>
      <c r="H706" s="1101">
        <f t="shared" si="384"/>
        <v>0.8</v>
      </c>
      <c r="I706" s="956" t="str">
        <f t="shared" si="385"/>
        <v>fraction</v>
      </c>
      <c r="J706" t="s">
        <v>660</v>
      </c>
      <c r="L706">
        <f t="shared" si="399"/>
        <v>0.01</v>
      </c>
      <c r="M706">
        <f t="shared" si="400"/>
        <v>1</v>
      </c>
      <c r="N706">
        <f>IF(AND(G706&lt;=M706, G706&gt;=L706),1,0)</f>
        <v>0</v>
      </c>
      <c r="O706" t="s">
        <v>2099</v>
      </c>
      <c r="P706" t="s">
        <v>2105</v>
      </c>
      <c r="Q706" t="s">
        <v>2106</v>
      </c>
      <c r="W706" s="78">
        <v>0.8</v>
      </c>
      <c r="X706">
        <v>0.01</v>
      </c>
      <c r="Y706">
        <v>1</v>
      </c>
      <c r="Z706" t="str">
        <f>Units!B$35</f>
        <v>fraction</v>
      </c>
      <c r="AA706">
        <f>Units!C$35</f>
        <v>1</v>
      </c>
      <c r="AB706">
        <f>Units!D$35</f>
        <v>1</v>
      </c>
      <c r="AC706" t="str">
        <f>Units!E$35</f>
        <v>fraction</v>
      </c>
      <c r="AD706" t="str">
        <f>Units!F$35</f>
        <v>fraction</v>
      </c>
      <c r="AE706" t="str">
        <f>Units!G$35</f>
        <v>fraction</v>
      </c>
      <c r="AF706" t="str">
        <f>Units!H$35</f>
        <v>fraction</v>
      </c>
    </row>
    <row r="707" spans="1:32" x14ac:dyDescent="0.3">
      <c r="A707" t="s">
        <v>2096</v>
      </c>
      <c r="B707" t="s">
        <v>2107</v>
      </c>
      <c r="C707" s="124" t="str">
        <f t="shared" si="379"/>
        <v>UDV.sprinkler.flow</v>
      </c>
      <c r="D707" s="1091">
        <f t="shared" si="382"/>
        <v>0.1</v>
      </c>
      <c r="E707" s="1093" t="str">
        <f t="shared" si="383"/>
        <v>gal/head/min</v>
      </c>
      <c r="F707" s="1095">
        <f>UI.Farm!BC220</f>
        <v>0.1</v>
      </c>
      <c r="G707" s="1098" t="str">
        <f>UI.Farm!BD220</f>
        <v/>
      </c>
      <c r="H707" s="1102">
        <f t="shared" si="384"/>
        <v>0.1</v>
      </c>
      <c r="I707" s="956" t="str">
        <f t="shared" si="385"/>
        <v>gal/head/min</v>
      </c>
      <c r="J707" s="132" t="s">
        <v>688</v>
      </c>
      <c r="K707" t="s">
        <v>1085</v>
      </c>
      <c r="L707">
        <f t="shared" si="399"/>
        <v>0</v>
      </c>
      <c r="M707">
        <f t="shared" si="400"/>
        <v>3</v>
      </c>
      <c r="N707">
        <f>IF(AND(G707&lt;=M707, G707&gt;=L707),1,0)</f>
        <v>0</v>
      </c>
      <c r="O707" t="s">
        <v>2102</v>
      </c>
      <c r="P707" t="s">
        <v>2108</v>
      </c>
      <c r="V707" t="str">
        <f>IF(OR((M707-L707)&lt;=0,H707&gt;M707,H707&lt;L707),"Fix","")</f>
        <v/>
      </c>
      <c r="W707" s="78">
        <f>0.1*UDV.sprinkler.used</f>
        <v>0.1</v>
      </c>
      <c r="X707">
        <v>0</v>
      </c>
      <c r="Y707">
        <v>3</v>
      </c>
      <c r="Z707" t="str">
        <f>Units!B$136</f>
        <v>gal/head/min</v>
      </c>
      <c r="AA707">
        <f>Units!C$136</f>
        <v>1</v>
      </c>
      <c r="AB707">
        <f>Units!D$136</f>
        <v>1</v>
      </c>
      <c r="AC707" t="str">
        <f>Units!E$136</f>
        <v>gal/head/min</v>
      </c>
      <c r="AD707" t="str">
        <f>Units!F$136</f>
        <v>gal/head/min</v>
      </c>
      <c r="AE707" t="str">
        <f>Units!G$136</f>
        <v>L/head/min</v>
      </c>
      <c r="AF707" t="str">
        <f>Units!H$136</f>
        <v>gal/head/min</v>
      </c>
    </row>
    <row r="708" spans="1:32" x14ac:dyDescent="0.3">
      <c r="A708" t="s">
        <v>2096</v>
      </c>
      <c r="B708" t="s">
        <v>2109</v>
      </c>
      <c r="C708" s="124" t="str">
        <f t="shared" si="379"/>
        <v>UDV.sprinkler.fresh_water_used</v>
      </c>
      <c r="D708" s="1091">
        <f t="shared" si="382"/>
        <v>0.81858194876712342</v>
      </c>
      <c r="E708" s="1093" t="str">
        <f t="shared" si="383"/>
        <v>L/head/day</v>
      </c>
      <c r="F708" s="1095">
        <f>IF(OR(G708="",N708=0),H708,G708)</f>
        <v>0.21624647149880596</v>
      </c>
      <c r="H708" s="1102">
        <f t="shared" si="384"/>
        <v>0.21624647149880596</v>
      </c>
      <c r="I708" s="956" t="str">
        <f t="shared" si="385"/>
        <v>gal/head/day</v>
      </c>
      <c r="J708" t="s">
        <v>2098</v>
      </c>
      <c r="L708">
        <f t="shared" si="399"/>
        <v>0</v>
      </c>
      <c r="N708">
        <f>IF(ISNUMBER(G708),1,0)</f>
        <v>0</v>
      </c>
      <c r="O708" t="s">
        <v>2099</v>
      </c>
      <c r="P708" t="s">
        <v>2110</v>
      </c>
      <c r="S708" t="s">
        <v>84</v>
      </c>
      <c r="W708" s="78">
        <f>Regressions!J97</f>
        <v>0.81858194876712342</v>
      </c>
      <c r="X708">
        <v>0</v>
      </c>
      <c r="Z708" t="str">
        <f>Units!B$138</f>
        <v>L/head/day</v>
      </c>
      <c r="AA708">
        <f>Units!C$138</f>
        <v>0.26417204999999999</v>
      </c>
      <c r="AB708">
        <f>Units!D$138</f>
        <v>3.7854118177907163</v>
      </c>
      <c r="AC708" t="str">
        <f>Units!E$138</f>
        <v>gal/head/day</v>
      </c>
      <c r="AD708" t="str">
        <f>Units!F$138</f>
        <v>L/head/day</v>
      </c>
      <c r="AE708" t="str">
        <f>Units!G$138</f>
        <v>L/head/day</v>
      </c>
      <c r="AF708" t="str">
        <f>Units!H$138</f>
        <v>gal/head/day</v>
      </c>
    </row>
    <row r="709" spans="1:32" x14ac:dyDescent="0.3">
      <c r="A709" t="s">
        <v>2096</v>
      </c>
      <c r="B709" t="s">
        <v>2111</v>
      </c>
      <c r="C709" s="124" t="str">
        <f t="shared" si="379"/>
        <v>UDV.sprinkler.on_time</v>
      </c>
      <c r="D709" s="1091">
        <f t="shared" si="382"/>
        <v>3</v>
      </c>
      <c r="E709" s="1093" t="str">
        <f t="shared" si="383"/>
        <v>min/cycle</v>
      </c>
      <c r="F709" s="1095">
        <f>UI.Farm!BC218</f>
        <v>3</v>
      </c>
      <c r="G709" s="1098" t="str">
        <f>UI.Farm!BD218</f>
        <v/>
      </c>
      <c r="H709" s="1102">
        <f t="shared" si="384"/>
        <v>3</v>
      </c>
      <c r="I709" s="956" t="str">
        <f t="shared" si="385"/>
        <v>min/cycle</v>
      </c>
      <c r="J709" s="132" t="s">
        <v>688</v>
      </c>
      <c r="K709" t="s">
        <v>1085</v>
      </c>
      <c r="L709">
        <f t="shared" ref="L709" si="402">ROUNDDOWN($X709*$AA709,3)</f>
        <v>0</v>
      </c>
      <c r="M709">
        <f t="shared" ref="M709" si="403">ROUNDUP($Y709*$AA709,3)</f>
        <v>5</v>
      </c>
      <c r="N709">
        <f>IF(AND(G709&lt;=M709, G709&gt;=L709),1,0)</f>
        <v>0</v>
      </c>
      <c r="O709" t="s">
        <v>2102</v>
      </c>
      <c r="P709" t="s">
        <v>2112</v>
      </c>
      <c r="S709" t="s">
        <v>84</v>
      </c>
      <c r="V709" t="str">
        <f>IF(OR((M709-L709)&lt;=0,H709&gt;M709,H709&lt;L709),"Fix","")</f>
        <v/>
      </c>
      <c r="W709" s="78">
        <f>3*UDV.sprinkler.used</f>
        <v>3</v>
      </c>
      <c r="X709">
        <v>0</v>
      </c>
      <c r="Y709">
        <v>5</v>
      </c>
      <c r="Z709" t="str">
        <f>Units!B$116</f>
        <v>min/cycle</v>
      </c>
      <c r="AA709">
        <f>Units!C$116</f>
        <v>1</v>
      </c>
      <c r="AB709">
        <f>Units!D$116</f>
        <v>1</v>
      </c>
      <c r="AC709" t="str">
        <f>Units!E$116</f>
        <v>min/cycle</v>
      </c>
      <c r="AD709" t="str">
        <f>Units!F$116</f>
        <v>min/cycle</v>
      </c>
      <c r="AE709" t="str">
        <f>Units!G$116</f>
        <v>min/cycle</v>
      </c>
      <c r="AF709" t="str">
        <f>Units!H$116</f>
        <v>min/cycle</v>
      </c>
    </row>
    <row r="710" spans="1:32" x14ac:dyDescent="0.3">
      <c r="A710" t="s">
        <v>2096</v>
      </c>
      <c r="B710" t="s">
        <v>2113</v>
      </c>
      <c r="C710" s="124" t="str">
        <f t="shared" si="379"/>
        <v>UDV.sprinkler.used</v>
      </c>
      <c r="D710" s="1338">
        <f>IF(F710="Yes",1,0)</f>
        <v>1</v>
      </c>
      <c r="E710" s="125" t="s">
        <v>836</v>
      </c>
      <c r="F710" s="1337" t="str">
        <f>UI.Farm!BC217</f>
        <v>Yes</v>
      </c>
      <c r="G710" s="126" t="str">
        <f>UI.Farm!BD217</f>
        <v>Yes</v>
      </c>
      <c r="H710" t="str">
        <f>$W710</f>
        <v>Yes</v>
      </c>
      <c r="I710" s="1325" t="s">
        <v>837</v>
      </c>
      <c r="J710" t="s">
        <v>838</v>
      </c>
      <c r="K710" s="124" t="s">
        <v>1085</v>
      </c>
      <c r="N710">
        <f>IF(COUNTIF(DROPS.YES_NO,G710),1,0)</f>
        <v>1</v>
      </c>
      <c r="O710" t="s">
        <v>2099</v>
      </c>
      <c r="P710" t="s">
        <v>2114</v>
      </c>
      <c r="Q710" t="s">
        <v>2115</v>
      </c>
      <c r="R710" s="711"/>
      <c r="W710" t="s">
        <v>73</v>
      </c>
      <c r="Z710" t="str">
        <f>Units!B$12</f>
        <v>Yes or No</v>
      </c>
      <c r="AA710">
        <f>Units!C$12</f>
        <v>1</v>
      </c>
      <c r="AB710">
        <f>Units!D$12</f>
        <v>1</v>
      </c>
      <c r="AC710" t="str">
        <f>Units!E$12</f>
        <v>Yes or No</v>
      </c>
      <c r="AD710" t="str">
        <f>Units!F$12</f>
        <v>1 or 0</v>
      </c>
      <c r="AE710" t="str">
        <f>Units!G$12</f>
        <v>Yes or No</v>
      </c>
      <c r="AF710" t="str">
        <f>Units!H$12</f>
        <v>Yes or No</v>
      </c>
    </row>
    <row r="711" spans="1:32" x14ac:dyDescent="0.3">
      <c r="A711" s="944" t="s">
        <v>2116</v>
      </c>
      <c r="B711" s="944" t="s">
        <v>2117</v>
      </c>
      <c r="C711" s="124" t="str">
        <f t="shared" si="379"/>
        <v>UDV.storage_facilities.max_depth</v>
      </c>
      <c r="D711" s="944">
        <f t="shared" ref="D711:D740" si="404">$F711*$AB711</f>
        <v>25</v>
      </c>
      <c r="E711" s="125" t="str">
        <f t="shared" ref="E711:E755" si="405">$AD711</f>
        <v>ft</v>
      </c>
      <c r="F711" s="944">
        <f>UI.Manure!BC236</f>
        <v>25</v>
      </c>
      <c r="G711" s="126" t="str">
        <f>UI.Manure!BD236</f>
        <v/>
      </c>
      <c r="H711">
        <f t="shared" ref="H711:H740" si="406">$W711*$AA711</f>
        <v>25</v>
      </c>
      <c r="I711" s="1325" t="str">
        <f t="shared" ref="I711:I740" si="407">$AC711</f>
        <v>ft</v>
      </c>
      <c r="J711" t="s">
        <v>660</v>
      </c>
      <c r="K711" s="124" t="s">
        <v>825</v>
      </c>
      <c r="L711">
        <f t="shared" ref="L711:L722" si="408">ROUNDDOWN($X711*$AA711,3)</f>
        <v>6</v>
      </c>
      <c r="M711">
        <f t="shared" ref="M711:M722" si="409">ROUNDUP($Y711*$AA711,3)</f>
        <v>50</v>
      </c>
      <c r="N711">
        <f>IF(AND(G711&lt;=M711, G711&gt;=L711),1,0)</f>
        <v>0</v>
      </c>
      <c r="O711" t="s">
        <v>2118</v>
      </c>
      <c r="P711" t="s">
        <v>2119</v>
      </c>
      <c r="R711" s="711"/>
      <c r="W711">
        <v>25</v>
      </c>
      <c r="X711">
        <v>6</v>
      </c>
      <c r="Y711">
        <v>50</v>
      </c>
      <c r="Z711" t="str">
        <f>Units!B$43</f>
        <v>ft</v>
      </c>
      <c r="AA711">
        <f>Units!C$43</f>
        <v>1</v>
      </c>
      <c r="AB711">
        <f>Units!D$43</f>
        <v>1</v>
      </c>
      <c r="AC711" t="str">
        <f>Units!E$43</f>
        <v>ft</v>
      </c>
      <c r="AD711" t="str">
        <f>Units!F$43</f>
        <v>ft</v>
      </c>
      <c r="AE711" t="str">
        <f>Units!G$43</f>
        <v>m</v>
      </c>
      <c r="AF711" t="str">
        <f>Units!H$43</f>
        <v>ft</v>
      </c>
    </row>
    <row r="712" spans="1:32" x14ac:dyDescent="0.3">
      <c r="A712" t="s">
        <v>2120</v>
      </c>
      <c r="B712" t="s">
        <v>765</v>
      </c>
      <c r="C712" s="124" t="str">
        <f t="shared" si="379"/>
        <v>UDV.storage_pond.pump_and_motor_efficiency</v>
      </c>
      <c r="D712" s="944">
        <f t="shared" si="404"/>
        <v>0.7</v>
      </c>
      <c r="E712" s="125" t="str">
        <f t="shared" si="405"/>
        <v>fraction</v>
      </c>
      <c r="F712" s="944">
        <f t="shared" ref="F712:F735" si="410">IF(OR(G712="",N712=0),H712,G712)</f>
        <v>0.7</v>
      </c>
      <c r="G712" s="126"/>
      <c r="H712">
        <f t="shared" si="406"/>
        <v>0.7</v>
      </c>
      <c r="I712" s="1325" t="str">
        <f t="shared" si="407"/>
        <v>fraction</v>
      </c>
      <c r="J712" t="s">
        <v>660</v>
      </c>
      <c r="K712" s="124"/>
      <c r="L712">
        <f t="shared" si="408"/>
        <v>0.1</v>
      </c>
      <c r="M712">
        <f t="shared" si="409"/>
        <v>1</v>
      </c>
      <c r="N712">
        <f>IF(AND(M712 - G712 &gt;= 0, G712 - L712 &gt;=0),1,0)</f>
        <v>0</v>
      </c>
      <c r="O712" t="s">
        <v>2121</v>
      </c>
      <c r="P712" t="s">
        <v>766</v>
      </c>
      <c r="R712" s="711"/>
      <c r="W712">
        <v>0.7</v>
      </c>
      <c r="X712">
        <v>0.1</v>
      </c>
      <c r="Y712">
        <v>1</v>
      </c>
      <c r="Z712" t="str">
        <f>Units!B$35</f>
        <v>fraction</v>
      </c>
      <c r="AA712">
        <f>Units!C$35</f>
        <v>1</v>
      </c>
      <c r="AB712">
        <f>Units!D$35</f>
        <v>1</v>
      </c>
      <c r="AC712" t="str">
        <f>Units!E$35</f>
        <v>fraction</v>
      </c>
      <c r="AD712" t="str">
        <f>Units!F$35</f>
        <v>fraction</v>
      </c>
      <c r="AE712" t="str">
        <f>Units!G$35</f>
        <v>fraction</v>
      </c>
      <c r="AF712" t="str">
        <f>Units!H$35</f>
        <v>fraction</v>
      </c>
    </row>
    <row r="713" spans="1:32" x14ac:dyDescent="0.3">
      <c r="A713" t="s">
        <v>2120</v>
      </c>
      <c r="B713" t="s">
        <v>767</v>
      </c>
      <c r="C713" s="124" t="str">
        <f t="shared" si="379"/>
        <v>UDV.storage_pond.recycle_pump_flowrate</v>
      </c>
      <c r="D713" s="944">
        <f t="shared" si="404"/>
        <v>150</v>
      </c>
      <c r="E713" s="125" t="str">
        <f t="shared" si="405"/>
        <v>gpm</v>
      </c>
      <c r="F713" s="944">
        <f t="shared" si="410"/>
        <v>150</v>
      </c>
      <c r="G713" s="126"/>
      <c r="H713">
        <f t="shared" si="406"/>
        <v>150</v>
      </c>
      <c r="I713" s="1325" t="str">
        <f t="shared" si="407"/>
        <v>gpm</v>
      </c>
      <c r="J713" t="s">
        <v>660</v>
      </c>
      <c r="K713" s="124"/>
      <c r="L713">
        <f t="shared" si="408"/>
        <v>75</v>
      </c>
      <c r="M713">
        <f t="shared" si="409"/>
        <v>200</v>
      </c>
      <c r="N713">
        <f>IF(AND(M713 - G713 &gt;= 0, G713 - L713 &gt;=0),1,0)</f>
        <v>0</v>
      </c>
      <c r="O713" t="s">
        <v>2121</v>
      </c>
      <c r="P713" t="s">
        <v>768</v>
      </c>
      <c r="R713" s="711"/>
      <c r="W713">
        <v>150</v>
      </c>
      <c r="X713">
        <v>75</v>
      </c>
      <c r="Y713">
        <v>200</v>
      </c>
      <c r="Z713" t="str">
        <f>Units!B$146</f>
        <v>gpm</v>
      </c>
      <c r="AA713">
        <f>Units!C$146</f>
        <v>1</v>
      </c>
      <c r="AB713">
        <f>Units!D$146</f>
        <v>1</v>
      </c>
      <c r="AC713" t="str">
        <f>Units!E$146</f>
        <v>gpm</v>
      </c>
      <c r="AD713" t="str">
        <f>Units!F$146</f>
        <v>gpm</v>
      </c>
      <c r="AE713" t="str">
        <f>Units!G$146</f>
        <v>L/min</v>
      </c>
      <c r="AF713" t="str">
        <f>Units!H$146</f>
        <v>gpm</v>
      </c>
    </row>
    <row r="714" spans="1:32" x14ac:dyDescent="0.3">
      <c r="A714" t="s">
        <v>2120</v>
      </c>
      <c r="B714" t="s">
        <v>769</v>
      </c>
      <c r="C714" s="124" t="str">
        <f t="shared" si="379"/>
        <v>UDV.storage_pond.recycle_pump_headloss</v>
      </c>
      <c r="D714" s="944">
        <f t="shared" si="404"/>
        <v>92</v>
      </c>
      <c r="E714" s="125" t="str">
        <f t="shared" si="405"/>
        <v>ft</v>
      </c>
      <c r="F714" s="944">
        <f t="shared" si="410"/>
        <v>92</v>
      </c>
      <c r="G714" s="126"/>
      <c r="H714">
        <f t="shared" si="406"/>
        <v>92</v>
      </c>
      <c r="I714" s="1325" t="str">
        <f t="shared" si="407"/>
        <v>ft</v>
      </c>
      <c r="J714" t="s">
        <v>660</v>
      </c>
      <c r="K714" s="124"/>
      <c r="L714">
        <f t="shared" si="408"/>
        <v>50</v>
      </c>
      <c r="M714">
        <f t="shared" si="409"/>
        <v>150</v>
      </c>
      <c r="N714">
        <f>IF(AND(M714 - G714 &gt;= 0, G714 - L714 &gt;=0),1,0)</f>
        <v>0</v>
      </c>
      <c r="O714" t="s">
        <v>2121</v>
      </c>
      <c r="P714" t="s">
        <v>770</v>
      </c>
      <c r="R714" s="711"/>
      <c r="W714">
        <v>92</v>
      </c>
      <c r="X714">
        <v>50</v>
      </c>
      <c r="Y714">
        <v>150</v>
      </c>
      <c r="Z714" t="str">
        <f>Units!B$43</f>
        <v>ft</v>
      </c>
      <c r="AA714">
        <f>Units!C$43</f>
        <v>1</v>
      </c>
      <c r="AB714">
        <f>Units!D$43</f>
        <v>1</v>
      </c>
      <c r="AC714" t="str">
        <f>Units!E$43</f>
        <v>ft</v>
      </c>
      <c r="AD714" t="str">
        <f>Units!F$43</f>
        <v>ft</v>
      </c>
      <c r="AE714" t="str">
        <f>Units!G$43</f>
        <v>m</v>
      </c>
      <c r="AF714" t="str">
        <f>Units!H$43</f>
        <v>ft</v>
      </c>
    </row>
    <row r="715" spans="1:32" x14ac:dyDescent="0.3">
      <c r="A715" t="s">
        <v>2122</v>
      </c>
      <c r="B715" t="s">
        <v>681</v>
      </c>
      <c r="C715" s="124" t="str">
        <f t="shared" si="379"/>
        <v>UDV.storage_tank.HRT</v>
      </c>
      <c r="D715" s="1091">
        <f t="shared" si="404"/>
        <v>180</v>
      </c>
      <c r="E715" s="1093" t="str">
        <f t="shared" si="405"/>
        <v>day</v>
      </c>
      <c r="F715" s="1095">
        <f t="shared" si="410"/>
        <v>180</v>
      </c>
      <c r="H715" s="1101">
        <f t="shared" si="406"/>
        <v>180</v>
      </c>
      <c r="I715" s="956" t="str">
        <f t="shared" si="407"/>
        <v>day</v>
      </c>
      <c r="J715" t="s">
        <v>660</v>
      </c>
      <c r="L715">
        <f t="shared" si="408"/>
        <v>90</v>
      </c>
      <c r="M715">
        <f t="shared" si="409"/>
        <v>210</v>
      </c>
      <c r="N715">
        <f t="shared" ref="N715:N735" si="411">IF(AND(G715&lt;=M715, G715&gt;=L715),1,0)</f>
        <v>0</v>
      </c>
      <c r="O715" t="s">
        <v>2123</v>
      </c>
      <c r="P715" t="s">
        <v>2124</v>
      </c>
      <c r="V715" t="str">
        <f t="shared" ref="V715:V735" si="412">IF(OR((M715-L715)&lt;=0,H715&gt;M715,H715&lt;L715),"Fix","")</f>
        <v/>
      </c>
      <c r="W715" s="78">
        <v>180</v>
      </c>
      <c r="X715">
        <v>90</v>
      </c>
      <c r="Y715">
        <v>210</v>
      </c>
      <c r="Z715" t="str">
        <f>Units!B$110</f>
        <v>day</v>
      </c>
      <c r="AA715">
        <f>Units!C$110</f>
        <v>1</v>
      </c>
      <c r="AB715">
        <f>Units!D$110</f>
        <v>1</v>
      </c>
      <c r="AC715" t="str">
        <f>Units!E$110</f>
        <v>day</v>
      </c>
      <c r="AD715" t="str">
        <f>Units!F$110</f>
        <v>day</v>
      </c>
      <c r="AE715" t="str">
        <f>Units!G$110</f>
        <v>day</v>
      </c>
      <c r="AF715" t="str">
        <f>Units!H$110</f>
        <v>day</v>
      </c>
    </row>
    <row r="716" spans="1:32" x14ac:dyDescent="0.3">
      <c r="A716" t="s">
        <v>2122</v>
      </c>
      <c r="B716" t="s">
        <v>803</v>
      </c>
      <c r="C716" s="124" t="str">
        <f t="shared" si="379"/>
        <v>UDV.storage_tank.effluent_TS_lost</v>
      </c>
      <c r="D716" s="1091">
        <f t="shared" si="404"/>
        <v>0.1</v>
      </c>
      <c r="E716" s="1093" t="str">
        <f t="shared" si="405"/>
        <v>fraction</v>
      </c>
      <c r="F716" s="1095">
        <f t="shared" ref="F716:F723" si="413">IF(OR(G716="",N716=0),H716,G716)</f>
        <v>0.1</v>
      </c>
      <c r="H716" s="1101">
        <f t="shared" si="406"/>
        <v>0.1</v>
      </c>
      <c r="I716" s="956" t="str">
        <f t="shared" si="407"/>
        <v>fraction</v>
      </c>
      <c r="J716" t="s">
        <v>660</v>
      </c>
      <c r="L716">
        <f t="shared" si="408"/>
        <v>0</v>
      </c>
      <c r="M716">
        <f t="shared" si="409"/>
        <v>0.99</v>
      </c>
      <c r="N716">
        <f t="shared" ref="N716:N722" si="414">IF(AND(G716&lt;=M716, G716&gt;=L716),1,0)</f>
        <v>1</v>
      </c>
      <c r="O716" t="s">
        <v>2123</v>
      </c>
      <c r="P716" t="s">
        <v>2125</v>
      </c>
      <c r="W716" s="78">
        <v>0.1</v>
      </c>
      <c r="X716">
        <v>0</v>
      </c>
      <c r="Y716">
        <v>0.99</v>
      </c>
      <c r="Z716" t="str">
        <f>Units!B$35</f>
        <v>fraction</v>
      </c>
      <c r="AA716">
        <f>Units!C$35</f>
        <v>1</v>
      </c>
      <c r="AB716">
        <f>Units!D$35</f>
        <v>1</v>
      </c>
      <c r="AC716" t="str">
        <f>Units!E$35</f>
        <v>fraction</v>
      </c>
      <c r="AD716" t="str">
        <f>Units!F$35</f>
        <v>fraction</v>
      </c>
      <c r="AE716" t="str">
        <f>Units!G$35</f>
        <v>fraction</v>
      </c>
      <c r="AF716" t="str">
        <f>Units!H$35</f>
        <v>fraction</v>
      </c>
    </row>
    <row r="717" spans="1:32" x14ac:dyDescent="0.3">
      <c r="A717" t="s">
        <v>2122</v>
      </c>
      <c r="B717" t="s">
        <v>805</v>
      </c>
      <c r="C717" s="124" t="str">
        <f t="shared" si="379"/>
        <v>UDV.storage_tank.effluent_TS_target</v>
      </c>
      <c r="D717" s="1091">
        <f t="shared" si="404"/>
        <v>0.03</v>
      </c>
      <c r="E717" s="1093" t="str">
        <f t="shared" si="405"/>
        <v>fraction</v>
      </c>
      <c r="F717" s="1095">
        <f t="shared" si="413"/>
        <v>0.03</v>
      </c>
      <c r="H717" s="1101">
        <f t="shared" si="406"/>
        <v>0.03</v>
      </c>
      <c r="I717" s="956" t="str">
        <f t="shared" si="407"/>
        <v>fraction</v>
      </c>
      <c r="J717" t="s">
        <v>660</v>
      </c>
      <c r="L717">
        <f t="shared" si="408"/>
        <v>0.01</v>
      </c>
      <c r="M717">
        <f t="shared" si="409"/>
        <v>0.15</v>
      </c>
      <c r="N717">
        <f t="shared" si="414"/>
        <v>0</v>
      </c>
      <c r="O717" t="s">
        <v>2123</v>
      </c>
      <c r="P717" t="s">
        <v>2126</v>
      </c>
      <c r="W717" s="78">
        <v>0.03</v>
      </c>
      <c r="X717">
        <v>0.01</v>
      </c>
      <c r="Y717">
        <v>0.15</v>
      </c>
      <c r="Z717" t="str">
        <f>Units!B$35</f>
        <v>fraction</v>
      </c>
      <c r="AA717">
        <f>Units!C$35</f>
        <v>1</v>
      </c>
      <c r="AB717">
        <f>Units!D$35</f>
        <v>1</v>
      </c>
      <c r="AC717" t="str">
        <f>Units!E$35</f>
        <v>fraction</v>
      </c>
      <c r="AD717" t="str">
        <f>Units!F$35</f>
        <v>fraction</v>
      </c>
      <c r="AE717" t="str">
        <f>Units!G$35</f>
        <v>fraction</v>
      </c>
      <c r="AF717" t="str">
        <f>Units!H$35</f>
        <v>fraction</v>
      </c>
    </row>
    <row r="718" spans="1:32" x14ac:dyDescent="0.3">
      <c r="A718" t="s">
        <v>2122</v>
      </c>
      <c r="B718" t="s">
        <v>722</v>
      </c>
      <c r="C718" s="124" t="str">
        <f t="shared" si="379"/>
        <v>UDV.storage_tank.depth</v>
      </c>
      <c r="D718" s="1091">
        <f t="shared" si="404"/>
        <v>8</v>
      </c>
      <c r="E718" s="1093" t="str">
        <f t="shared" si="405"/>
        <v>m</v>
      </c>
      <c r="F718" s="1095">
        <f t="shared" si="413"/>
        <v>26.246719200000001</v>
      </c>
      <c r="H718" s="1101">
        <f t="shared" si="406"/>
        <v>26.246719200000001</v>
      </c>
      <c r="I718" s="956" t="str">
        <f t="shared" si="407"/>
        <v>ft</v>
      </c>
      <c r="J718" t="s">
        <v>660</v>
      </c>
      <c r="L718">
        <f t="shared" si="408"/>
        <v>0</v>
      </c>
      <c r="M718">
        <f t="shared" si="409"/>
        <v>0</v>
      </c>
      <c r="N718">
        <f t="shared" si="414"/>
        <v>1</v>
      </c>
      <c r="O718" t="s">
        <v>2123</v>
      </c>
      <c r="P718" t="s">
        <v>2127</v>
      </c>
      <c r="W718" s="78">
        <v>8</v>
      </c>
      <c r="Z718" t="str">
        <f>Units!B$48</f>
        <v>m</v>
      </c>
      <c r="AA718">
        <f>Units!C$48</f>
        <v>3.2808399000000001</v>
      </c>
      <c r="AB718">
        <f>Units!D$48</f>
        <v>0.304799999536704</v>
      </c>
      <c r="AC718" t="str">
        <f>Units!E$48</f>
        <v>ft</v>
      </c>
      <c r="AD718" t="str">
        <f>Units!F$48</f>
        <v>m</v>
      </c>
      <c r="AE718" t="str">
        <f>Units!G$48</f>
        <v>m</v>
      </c>
      <c r="AF718" t="str">
        <f>Units!H$48</f>
        <v>ft</v>
      </c>
    </row>
    <row r="719" spans="1:32" x14ac:dyDescent="0.3">
      <c r="A719" t="s">
        <v>2122</v>
      </c>
      <c r="B719" t="s">
        <v>2128</v>
      </c>
      <c r="C719" s="124" t="str">
        <f t="shared" si="379"/>
        <v>UDV.storage_tank.depth_freeboard</v>
      </c>
      <c r="D719" s="1091">
        <f t="shared" si="404"/>
        <v>1</v>
      </c>
      <c r="E719" s="1093" t="str">
        <f t="shared" si="405"/>
        <v>m</v>
      </c>
      <c r="F719" s="1095">
        <f t="shared" si="413"/>
        <v>3.2808399000000001</v>
      </c>
      <c r="H719" s="1101">
        <f t="shared" si="406"/>
        <v>3.2808399000000001</v>
      </c>
      <c r="I719" s="956" t="str">
        <f t="shared" si="407"/>
        <v>ft</v>
      </c>
      <c r="J719" t="s">
        <v>660</v>
      </c>
      <c r="L719">
        <f t="shared" si="408"/>
        <v>1.0820000000000001</v>
      </c>
      <c r="M719">
        <f t="shared" si="409"/>
        <v>9.843</v>
      </c>
      <c r="N719">
        <f t="shared" si="414"/>
        <v>0</v>
      </c>
      <c r="O719" t="s">
        <v>2123</v>
      </c>
      <c r="P719" t="s">
        <v>2129</v>
      </c>
      <c r="W719" s="78">
        <v>1</v>
      </c>
      <c r="X719">
        <v>0.33</v>
      </c>
      <c r="Y719">
        <v>3</v>
      </c>
      <c r="Z719" t="str">
        <f>Units!B$48</f>
        <v>m</v>
      </c>
      <c r="AA719">
        <f>Units!C$48</f>
        <v>3.2808399000000001</v>
      </c>
      <c r="AB719">
        <f>Units!D$48</f>
        <v>0.304799999536704</v>
      </c>
      <c r="AC719" t="str">
        <f>Units!E$48</f>
        <v>ft</v>
      </c>
      <c r="AD719" t="str">
        <f>Units!F$48</f>
        <v>m</v>
      </c>
      <c r="AE719" t="str">
        <f>Units!G$48</f>
        <v>m</v>
      </c>
      <c r="AF719" t="str">
        <f>Units!H$48</f>
        <v>ft</v>
      </c>
    </row>
    <row r="720" spans="1:32" x14ac:dyDescent="0.3">
      <c r="A720" t="s">
        <v>2122</v>
      </c>
      <c r="B720" t="s">
        <v>2130</v>
      </c>
      <c r="C720" s="124" t="str">
        <f t="shared" si="379"/>
        <v>UDV.storage_tank.max_radius</v>
      </c>
      <c r="D720" s="1091">
        <f t="shared" si="404"/>
        <v>25.000000000000004</v>
      </c>
      <c r="E720" s="1093" t="str">
        <f t="shared" si="405"/>
        <v>m</v>
      </c>
      <c r="F720" s="1095">
        <f t="shared" si="413"/>
        <v>82.020997500000007</v>
      </c>
      <c r="H720" s="1101">
        <f t="shared" si="406"/>
        <v>82.020997500000007</v>
      </c>
      <c r="I720" s="956" t="str">
        <f t="shared" si="407"/>
        <v>ft</v>
      </c>
      <c r="J720" t="s">
        <v>660</v>
      </c>
      <c r="L720">
        <f t="shared" si="408"/>
        <v>6.5609999999999999</v>
      </c>
      <c r="M720">
        <f t="shared" si="409"/>
        <v>164.042</v>
      </c>
      <c r="N720">
        <f t="shared" si="414"/>
        <v>0</v>
      </c>
      <c r="O720" t="s">
        <v>2123</v>
      </c>
      <c r="P720" t="s">
        <v>2131</v>
      </c>
      <c r="W720" s="78">
        <v>25</v>
      </c>
      <c r="X720">
        <v>2</v>
      </c>
      <c r="Y720">
        <v>50</v>
      </c>
      <c r="Z720" t="str">
        <f>Units!B$48</f>
        <v>m</v>
      </c>
      <c r="AA720">
        <f>Units!C$48</f>
        <v>3.2808399000000001</v>
      </c>
      <c r="AB720">
        <f>Units!D$48</f>
        <v>0.304799999536704</v>
      </c>
      <c r="AC720" t="str">
        <f>Units!E$48</f>
        <v>ft</v>
      </c>
      <c r="AD720" t="str">
        <f>Units!F$48</f>
        <v>m</v>
      </c>
      <c r="AE720" t="str">
        <f>Units!G$48</f>
        <v>m</v>
      </c>
      <c r="AF720" t="str">
        <f>Units!H$48</f>
        <v>ft</v>
      </c>
    </row>
    <row r="721" spans="1:33" x14ac:dyDescent="0.3">
      <c r="A721" t="s">
        <v>2122</v>
      </c>
      <c r="B721" t="s">
        <v>2132</v>
      </c>
      <c r="C721" s="124" t="str">
        <f t="shared" si="379"/>
        <v>UDV.storage_tank.min_radius</v>
      </c>
      <c r="D721" s="1091">
        <f t="shared" si="404"/>
        <v>1</v>
      </c>
      <c r="E721" s="1093" t="str">
        <f t="shared" si="405"/>
        <v>m</v>
      </c>
      <c r="F721" s="1095">
        <f t="shared" si="413"/>
        <v>3.2808399000000001</v>
      </c>
      <c r="H721" s="1101">
        <f t="shared" si="406"/>
        <v>3.2808399000000001</v>
      </c>
      <c r="I721" s="956" t="str">
        <f t="shared" si="407"/>
        <v>ft</v>
      </c>
      <c r="J721" t="s">
        <v>660</v>
      </c>
      <c r="L721">
        <f t="shared" si="408"/>
        <v>3.28</v>
      </c>
      <c r="M721">
        <f t="shared" si="409"/>
        <v>6.5620000000000003</v>
      </c>
      <c r="N721">
        <f t="shared" si="414"/>
        <v>0</v>
      </c>
      <c r="O721" t="s">
        <v>2123</v>
      </c>
      <c r="P721" t="s">
        <v>2133</v>
      </c>
      <c r="W721" s="78">
        <v>1</v>
      </c>
      <c r="X721">
        <v>1</v>
      </c>
      <c r="Y721">
        <v>2</v>
      </c>
      <c r="Z721" t="str">
        <f>Units!B$48</f>
        <v>m</v>
      </c>
      <c r="AA721">
        <f>Units!C$48</f>
        <v>3.2808399000000001</v>
      </c>
      <c r="AB721">
        <f>Units!D$48</f>
        <v>0.304799999536704</v>
      </c>
      <c r="AC721" t="str">
        <f>Units!E$48</f>
        <v>ft</v>
      </c>
      <c r="AD721" t="str">
        <f>Units!F$48</f>
        <v>m</v>
      </c>
      <c r="AE721" t="str">
        <f>Units!G$48</f>
        <v>m</v>
      </c>
      <c r="AF721" t="str">
        <f>Units!H$48</f>
        <v>ft</v>
      </c>
    </row>
    <row r="722" spans="1:33" x14ac:dyDescent="0.3">
      <c r="A722" t="s">
        <v>2122</v>
      </c>
      <c r="B722" t="s">
        <v>2134</v>
      </c>
      <c r="C722" s="124" t="str">
        <f t="shared" si="379"/>
        <v>UDV.storage_tank.depth_residual</v>
      </c>
      <c r="D722" s="1091">
        <f t="shared" si="404"/>
        <v>0.30480000000000002</v>
      </c>
      <c r="E722" s="1093" t="str">
        <f t="shared" si="405"/>
        <v>m</v>
      </c>
      <c r="F722" s="1095">
        <f t="shared" si="413"/>
        <v>1.0000000015200001</v>
      </c>
      <c r="H722" s="1101">
        <f t="shared" si="406"/>
        <v>1.0000000015200001</v>
      </c>
      <c r="I722" s="956" t="str">
        <f t="shared" si="407"/>
        <v>ft</v>
      </c>
      <c r="J722" t="s">
        <v>660</v>
      </c>
      <c r="L722">
        <f t="shared" si="408"/>
        <v>0</v>
      </c>
      <c r="M722">
        <f t="shared" si="409"/>
        <v>6.5620000000000003</v>
      </c>
      <c r="N722">
        <f t="shared" si="414"/>
        <v>1</v>
      </c>
      <c r="O722" t="s">
        <v>2123</v>
      </c>
      <c r="P722" t="s">
        <v>2135</v>
      </c>
      <c r="W722" s="78">
        <v>0.30480000000000002</v>
      </c>
      <c r="X722">
        <v>0</v>
      </c>
      <c r="Y722">
        <v>2</v>
      </c>
      <c r="Z722" t="str">
        <f>Units!B$48</f>
        <v>m</v>
      </c>
      <c r="AA722">
        <f>Units!C$48</f>
        <v>3.2808399000000001</v>
      </c>
      <c r="AB722">
        <f>Units!D$48</f>
        <v>0.304799999536704</v>
      </c>
      <c r="AC722" t="str">
        <f>Units!E$48</f>
        <v>ft</v>
      </c>
      <c r="AD722" t="str">
        <f>Units!F$48</f>
        <v>m</v>
      </c>
      <c r="AE722" t="str">
        <f>Units!G$48</f>
        <v>m</v>
      </c>
      <c r="AF722" t="str">
        <f>Units!H$48</f>
        <v>ft</v>
      </c>
    </row>
    <row r="723" spans="1:33" x14ac:dyDescent="0.3">
      <c r="A723" t="s">
        <v>2122</v>
      </c>
      <c r="B723" t="s">
        <v>2136</v>
      </c>
      <c r="C723" s="124" t="str">
        <f t="shared" si="379"/>
        <v>UDV.storage_tank.agi_type</v>
      </c>
      <c r="D723" s="1091" t="str">
        <f>F723</f>
        <v>single</v>
      </c>
      <c r="E723" s="1093" t="str">
        <f t="shared" si="405"/>
        <v>type</v>
      </c>
      <c r="F723" s="1095" t="str">
        <f t="shared" si="413"/>
        <v>single</v>
      </c>
      <c r="G723" s="1098" t="s">
        <v>2137</v>
      </c>
      <c r="H723" s="1101" t="str">
        <f>W723</f>
        <v>single</v>
      </c>
      <c r="I723" s="956" t="str">
        <f t="shared" si="407"/>
        <v>type</v>
      </c>
      <c r="J723" t="s">
        <v>838</v>
      </c>
      <c r="N723">
        <f>IF(COUNTIF(DROPS.storage_tank.agi_type,G723),1,0)</f>
        <v>1</v>
      </c>
      <c r="O723" t="s">
        <v>2123</v>
      </c>
      <c r="P723" t="s">
        <v>2138</v>
      </c>
      <c r="W723" s="78" t="s">
        <v>2137</v>
      </c>
      <c r="Z723" t="str">
        <f>Units!B$124</f>
        <v>type</v>
      </c>
      <c r="AA723">
        <f>Units!C$124</f>
        <v>1</v>
      </c>
      <c r="AB723">
        <f>Units!D$124</f>
        <v>1</v>
      </c>
      <c r="AC723" t="str">
        <f>Units!E$124</f>
        <v>type</v>
      </c>
      <c r="AD723" t="str">
        <f>Units!F$124</f>
        <v>type</v>
      </c>
      <c r="AE723" t="str">
        <f>Units!G$124</f>
        <v>type</v>
      </c>
      <c r="AF723" t="str">
        <f>Units!H$124</f>
        <v>type</v>
      </c>
    </row>
    <row r="724" spans="1:33" x14ac:dyDescent="0.3">
      <c r="A724" t="s">
        <v>2122</v>
      </c>
      <c r="B724" t="s">
        <v>1206</v>
      </c>
      <c r="C724" s="124" t="str">
        <f t="shared" si="379"/>
        <v>UDV.storage_tank.removal_events</v>
      </c>
      <c r="D724" s="1769">
        <f t="shared" si="404"/>
        <v>2.0277777777777777</v>
      </c>
      <c r="E724" s="1093" t="str">
        <f t="shared" si="405"/>
        <v>events/year</v>
      </c>
      <c r="F724" s="1109">
        <f t="shared" ref="F724" si="415">IF(OR(G724="",N724=0),H724,G724)</f>
        <v>2.0277777777777777</v>
      </c>
      <c r="H724" s="1101">
        <f t="shared" si="406"/>
        <v>2.0277777777777777</v>
      </c>
      <c r="I724" s="956" t="str">
        <f t="shared" si="407"/>
        <v>events/year</v>
      </c>
      <c r="J724" t="s">
        <v>688</v>
      </c>
      <c r="L724">
        <f t="shared" ref="L724:L746" si="416">ROUNDDOWN($X724*$AA724,3)</f>
        <v>0.01</v>
      </c>
      <c r="M724">
        <f t="shared" ref="M724:M746" si="417">ROUNDUP($Y724*$AA724,3)</f>
        <v>24</v>
      </c>
      <c r="N724">
        <f t="shared" ref="N724" si="418">IF(AND(G724&lt;=M724, G724&gt;=L724),1,0)</f>
        <v>0</v>
      </c>
      <c r="O724" t="s">
        <v>2123</v>
      </c>
      <c r="P724" t="s">
        <v>2139</v>
      </c>
      <c r="W724" s="78">
        <f>UC.year_to_day/UDV.storage_tank.HRT</f>
        <v>2.0277777777777777</v>
      </c>
      <c r="X724">
        <v>0.01</v>
      </c>
      <c r="Y724">
        <v>24</v>
      </c>
      <c r="Z724" t="str">
        <f>Units!B$31</f>
        <v>events/year</v>
      </c>
      <c r="AA724">
        <f>Units!C$31</f>
        <v>1</v>
      </c>
      <c r="AB724">
        <f>Units!D$31</f>
        <v>1</v>
      </c>
      <c r="AC724" t="str">
        <f>Units!E$31</f>
        <v>events/year</v>
      </c>
      <c r="AD724" t="str">
        <f>Units!F$31</f>
        <v>events/year</v>
      </c>
      <c r="AE724" t="str">
        <f>Units!G$31</f>
        <v>events/year</v>
      </c>
      <c r="AF724" t="str">
        <f>Units!H$31</f>
        <v>events/year</v>
      </c>
    </row>
    <row r="725" spans="1:33" x14ac:dyDescent="0.3">
      <c r="A725" t="s">
        <v>2122</v>
      </c>
      <c r="B725" t="s">
        <v>2140</v>
      </c>
      <c r="C725" s="124" t="str">
        <f t="shared" si="379"/>
        <v>UDV.storage_tank.effluent_N_retained</v>
      </c>
      <c r="D725" s="1769">
        <f t="shared" si="404"/>
        <v>0.69840876499999993</v>
      </c>
      <c r="E725" s="1093" t="str">
        <f t="shared" si="405"/>
        <v>fraction</v>
      </c>
      <c r="F725" s="1109">
        <f t="shared" ref="F725:F727" si="419">IF(OR(G725="",N725=0),H725,G725)</f>
        <v>0.69840876499999993</v>
      </c>
      <c r="H725" s="1101">
        <f t="shared" si="406"/>
        <v>0.69840876499999993</v>
      </c>
      <c r="I725" s="956" t="str">
        <f t="shared" si="407"/>
        <v>fraction</v>
      </c>
      <c r="J725" t="s">
        <v>660</v>
      </c>
      <c r="L725">
        <f t="shared" si="416"/>
        <v>0.01</v>
      </c>
      <c r="M725">
        <f t="shared" si="417"/>
        <v>1</v>
      </c>
      <c r="N725">
        <f t="shared" ref="N725:N727" si="420">IF(AND(G725&lt;=M725, G725&gt;=L725),1,0)</f>
        <v>0</v>
      </c>
      <c r="O725" t="s">
        <v>2123</v>
      </c>
      <c r="P725" t="s">
        <v>2141</v>
      </c>
      <c r="W725" s="78">
        <f>1-UDV.emit_NH3.lossfrac_storage_tank-UDV.emit_N2O_direct.ef3_storage_tank*UC.N2O_to_N</f>
        <v>0.69840876499999993</v>
      </c>
      <c r="X725">
        <v>0.01</v>
      </c>
      <c r="Y725">
        <v>1</v>
      </c>
      <c r="Z725" t="str">
        <f>Units!B$35</f>
        <v>fraction</v>
      </c>
      <c r="AA725">
        <f>Units!C$35</f>
        <v>1</v>
      </c>
      <c r="AB725">
        <f>Units!D$35</f>
        <v>1</v>
      </c>
      <c r="AC725" t="str">
        <f>Units!E$35</f>
        <v>fraction</v>
      </c>
      <c r="AD725" t="str">
        <f>Units!F$35</f>
        <v>fraction</v>
      </c>
      <c r="AE725" t="str">
        <f>Units!G$35</f>
        <v>fraction</v>
      </c>
      <c r="AF725" t="str">
        <f>Units!H$35</f>
        <v>fraction</v>
      </c>
    </row>
    <row r="726" spans="1:33" x14ac:dyDescent="0.3">
      <c r="A726" t="s">
        <v>2122</v>
      </c>
      <c r="B726" t="s">
        <v>2142</v>
      </c>
      <c r="C726" s="124" t="str">
        <f t="shared" si="379"/>
        <v>UDV.storage_tank.effluent_P_retained</v>
      </c>
      <c r="D726" s="1091">
        <f t="shared" si="404"/>
        <v>1</v>
      </c>
      <c r="E726" s="1093" t="str">
        <f t="shared" si="405"/>
        <v>fraction</v>
      </c>
      <c r="F726" s="1095">
        <f t="shared" si="419"/>
        <v>1</v>
      </c>
      <c r="H726" s="1101">
        <f t="shared" si="406"/>
        <v>1</v>
      </c>
      <c r="I726" s="956" t="str">
        <f t="shared" si="407"/>
        <v>fraction</v>
      </c>
      <c r="J726" t="s">
        <v>660</v>
      </c>
      <c r="L726">
        <f t="shared" si="416"/>
        <v>0.01</v>
      </c>
      <c r="M726">
        <f t="shared" si="417"/>
        <v>1</v>
      </c>
      <c r="N726">
        <f t="shared" si="420"/>
        <v>0</v>
      </c>
      <c r="O726" t="s">
        <v>2123</v>
      </c>
      <c r="P726" t="s">
        <v>2143</v>
      </c>
      <c r="W726" s="78">
        <v>1</v>
      </c>
      <c r="X726">
        <v>0.01</v>
      </c>
      <c r="Y726">
        <v>1</v>
      </c>
      <c r="Z726" t="str">
        <f>Units!B$35</f>
        <v>fraction</v>
      </c>
      <c r="AA726">
        <f>Units!C$35</f>
        <v>1</v>
      </c>
      <c r="AB726">
        <f>Units!D$35</f>
        <v>1</v>
      </c>
      <c r="AC726" t="str">
        <f>Units!E$35</f>
        <v>fraction</v>
      </c>
      <c r="AD726" t="str">
        <f>Units!F$35</f>
        <v>fraction</v>
      </c>
      <c r="AE726" t="str">
        <f>Units!G$35</f>
        <v>fraction</v>
      </c>
      <c r="AF726" t="str">
        <f>Units!H$35</f>
        <v>fraction</v>
      </c>
    </row>
    <row r="727" spans="1:33" x14ac:dyDescent="0.3">
      <c r="A727" t="s">
        <v>2122</v>
      </c>
      <c r="B727" t="s">
        <v>2144</v>
      </c>
      <c r="C727" s="124" t="str">
        <f t="shared" si="379"/>
        <v>UDV.storage_tank.effluent_K_retained</v>
      </c>
      <c r="D727" s="1091">
        <f t="shared" si="404"/>
        <v>1</v>
      </c>
      <c r="E727" s="1093" t="str">
        <f t="shared" si="405"/>
        <v>fraction</v>
      </c>
      <c r="F727" s="1095">
        <f t="shared" si="419"/>
        <v>1</v>
      </c>
      <c r="H727" s="1101">
        <f t="shared" si="406"/>
        <v>1</v>
      </c>
      <c r="I727" s="956" t="str">
        <f t="shared" si="407"/>
        <v>fraction</v>
      </c>
      <c r="J727" t="s">
        <v>660</v>
      </c>
      <c r="L727">
        <f t="shared" si="416"/>
        <v>0.01</v>
      </c>
      <c r="M727">
        <f t="shared" si="417"/>
        <v>1</v>
      </c>
      <c r="N727">
        <f t="shared" si="420"/>
        <v>0</v>
      </c>
      <c r="O727" t="s">
        <v>2123</v>
      </c>
      <c r="P727" t="s">
        <v>2145</v>
      </c>
      <c r="W727" s="78">
        <v>1</v>
      </c>
      <c r="X727">
        <v>0.01</v>
      </c>
      <c r="Y727">
        <v>1</v>
      </c>
      <c r="Z727" t="str">
        <f>Units!B$35</f>
        <v>fraction</v>
      </c>
      <c r="AA727">
        <f>Units!C$35</f>
        <v>1</v>
      </c>
      <c r="AB727">
        <f>Units!D$35</f>
        <v>1</v>
      </c>
      <c r="AC727" t="str">
        <f>Units!E$35</f>
        <v>fraction</v>
      </c>
      <c r="AD727" t="str">
        <f>Units!F$35</f>
        <v>fraction</v>
      </c>
      <c r="AE727" t="str">
        <f>Units!G$35</f>
        <v>fraction</v>
      </c>
      <c r="AF727" t="str">
        <f>Units!H$35</f>
        <v>fraction</v>
      </c>
    </row>
    <row r="728" spans="1:33" x14ac:dyDescent="0.3">
      <c r="A728" s="34" t="s">
        <v>2146</v>
      </c>
      <c r="B728" s="34" t="s">
        <v>702</v>
      </c>
      <c r="C728" s="124" t="str">
        <f t="shared" si="379"/>
        <v>UDV.storage_tank_eff.K</v>
      </c>
      <c r="D728" s="1144">
        <f t="shared" si="404"/>
        <v>0</v>
      </c>
      <c r="E728" s="1145" t="str">
        <f t="shared" si="405"/>
        <v>fraction</v>
      </c>
      <c r="F728" s="1146">
        <f t="shared" si="410"/>
        <v>0</v>
      </c>
      <c r="G728" s="1147"/>
      <c r="H728" s="1148">
        <f t="shared" si="406"/>
        <v>0</v>
      </c>
      <c r="I728" s="1149" t="str">
        <f t="shared" si="407"/>
        <v>fraction</v>
      </c>
      <c r="J728" s="34" t="s">
        <v>660</v>
      </c>
      <c r="K728" s="94"/>
      <c r="L728">
        <f t="shared" si="416"/>
        <v>0</v>
      </c>
      <c r="M728">
        <f t="shared" si="417"/>
        <v>0.3</v>
      </c>
      <c r="N728" s="34">
        <f t="shared" si="411"/>
        <v>1</v>
      </c>
      <c r="O728" s="34" t="s">
        <v>2147</v>
      </c>
      <c r="P728" s="34" t="s">
        <v>2148</v>
      </c>
      <c r="Q728" s="34"/>
      <c r="R728" s="1150"/>
      <c r="S728" s="34"/>
      <c r="T728" s="1151"/>
      <c r="U728" s="34"/>
      <c r="V728" t="str">
        <f t="shared" si="412"/>
        <v/>
      </c>
      <c r="W728" s="1152">
        <v>0</v>
      </c>
      <c r="X728" s="34">
        <v>0</v>
      </c>
      <c r="Y728" s="34">
        <v>0.3</v>
      </c>
      <c r="Z728" s="34" t="str">
        <f>Units!B$35</f>
        <v>fraction</v>
      </c>
      <c r="AA728" s="34">
        <f>Units!C$35</f>
        <v>1</v>
      </c>
      <c r="AB728" s="34">
        <f>Units!D$35</f>
        <v>1</v>
      </c>
      <c r="AC728" s="34" t="str">
        <f>Units!E$35</f>
        <v>fraction</v>
      </c>
      <c r="AD728" s="34" t="str">
        <f>Units!F$35</f>
        <v>fraction</v>
      </c>
      <c r="AE728" s="34" t="str">
        <f>Units!G$35</f>
        <v>fraction</v>
      </c>
      <c r="AF728" s="34" t="str">
        <f>Units!H$35</f>
        <v>fraction</v>
      </c>
      <c r="AG728" s="34"/>
    </row>
    <row r="729" spans="1:33" x14ac:dyDescent="0.3">
      <c r="A729" s="34" t="s">
        <v>2146</v>
      </c>
      <c r="B729" s="34" t="s">
        <v>84</v>
      </c>
      <c r="C729" s="124" t="str">
        <f t="shared" si="379"/>
        <v>UDV.storage_tank_eff.N</v>
      </c>
      <c r="D729" s="1144">
        <f t="shared" si="404"/>
        <v>0.3</v>
      </c>
      <c r="E729" s="1145" t="str">
        <f t="shared" si="405"/>
        <v>fraction</v>
      </c>
      <c r="F729" s="1146">
        <f t="shared" si="410"/>
        <v>0.3</v>
      </c>
      <c r="G729" s="1147"/>
      <c r="H729" s="1148">
        <f t="shared" si="406"/>
        <v>0.3</v>
      </c>
      <c r="I729" s="1149" t="str">
        <f t="shared" si="407"/>
        <v>fraction</v>
      </c>
      <c r="J729" s="34" t="s">
        <v>660</v>
      </c>
      <c r="K729" s="94"/>
      <c r="L729">
        <f t="shared" si="416"/>
        <v>0.2</v>
      </c>
      <c r="M729">
        <f t="shared" si="417"/>
        <v>0.4</v>
      </c>
      <c r="N729" s="34">
        <f t="shared" si="411"/>
        <v>0</v>
      </c>
      <c r="O729" s="34" t="s">
        <v>2147</v>
      </c>
      <c r="P729" s="34" t="s">
        <v>201</v>
      </c>
      <c r="Q729" s="34"/>
      <c r="R729" s="1150"/>
      <c r="S729" s="34"/>
      <c r="T729" s="1151"/>
      <c r="U729" s="34"/>
      <c r="V729" t="str">
        <f t="shared" si="412"/>
        <v/>
      </c>
      <c r="W729" s="1152">
        <v>0.3</v>
      </c>
      <c r="X729" s="34">
        <v>0.2</v>
      </c>
      <c r="Y729" s="34">
        <v>0.4</v>
      </c>
      <c r="Z729" s="34" t="str">
        <f>Units!B$35</f>
        <v>fraction</v>
      </c>
      <c r="AA729" s="34">
        <f>Units!C$35</f>
        <v>1</v>
      </c>
      <c r="AB729" s="34">
        <f>Units!D$35</f>
        <v>1</v>
      </c>
      <c r="AC729" s="34" t="str">
        <f>Units!E$35</f>
        <v>fraction</v>
      </c>
      <c r="AD729" s="34" t="str">
        <f>Units!F$35</f>
        <v>fraction</v>
      </c>
      <c r="AE729" s="34" t="str">
        <f>Units!G$35</f>
        <v>fraction</v>
      </c>
      <c r="AF729" s="34" t="str">
        <f>Units!H$35</f>
        <v>fraction</v>
      </c>
      <c r="AG729" s="34"/>
    </row>
    <row r="730" spans="1:33" x14ac:dyDescent="0.3">
      <c r="A730" s="34" t="s">
        <v>2146</v>
      </c>
      <c r="B730" s="34" t="s">
        <v>704</v>
      </c>
      <c r="C730" s="124" t="str">
        <f t="shared" si="379"/>
        <v>UDV.storage_tank_eff.P</v>
      </c>
      <c r="D730" s="1144">
        <f t="shared" si="404"/>
        <v>0</v>
      </c>
      <c r="E730" s="1145" t="str">
        <f t="shared" si="405"/>
        <v>fraction</v>
      </c>
      <c r="F730" s="1146">
        <f t="shared" si="410"/>
        <v>0</v>
      </c>
      <c r="G730" s="1147"/>
      <c r="H730" s="1148">
        <f t="shared" si="406"/>
        <v>0</v>
      </c>
      <c r="I730" s="1149" t="str">
        <f t="shared" si="407"/>
        <v>fraction</v>
      </c>
      <c r="J730" s="34" t="s">
        <v>660</v>
      </c>
      <c r="K730" s="94"/>
      <c r="L730">
        <f t="shared" si="416"/>
        <v>0</v>
      </c>
      <c r="M730">
        <f t="shared" si="417"/>
        <v>0.6</v>
      </c>
      <c r="N730" s="34">
        <f t="shared" si="411"/>
        <v>1</v>
      </c>
      <c r="O730" s="34" t="s">
        <v>2147</v>
      </c>
      <c r="P730" s="34" t="s">
        <v>512</v>
      </c>
      <c r="Q730" s="34"/>
      <c r="R730" s="1150"/>
      <c r="S730" s="34"/>
      <c r="T730" s="1151"/>
      <c r="U730" s="34"/>
      <c r="V730" t="str">
        <f t="shared" si="412"/>
        <v/>
      </c>
      <c r="W730" s="1152">
        <v>0</v>
      </c>
      <c r="X730" s="34">
        <v>0</v>
      </c>
      <c r="Y730" s="34">
        <v>0.6</v>
      </c>
      <c r="Z730" s="34" t="str">
        <f>Units!B$35</f>
        <v>fraction</v>
      </c>
      <c r="AA730" s="34">
        <f>Units!C$35</f>
        <v>1</v>
      </c>
      <c r="AB730" s="34">
        <f>Units!D$35</f>
        <v>1</v>
      </c>
      <c r="AC730" s="34" t="str">
        <f>Units!E$35</f>
        <v>fraction</v>
      </c>
      <c r="AD730" s="34" t="str">
        <f>Units!F$35</f>
        <v>fraction</v>
      </c>
      <c r="AE730" s="34" t="str">
        <f>Units!G$35</f>
        <v>fraction</v>
      </c>
      <c r="AF730" s="34" t="str">
        <f>Units!H$35</f>
        <v>fraction</v>
      </c>
      <c r="AG730" s="34"/>
    </row>
    <row r="731" spans="1:33" x14ac:dyDescent="0.3">
      <c r="A731" s="34" t="s">
        <v>2146</v>
      </c>
      <c r="B731" s="34" t="s">
        <v>705</v>
      </c>
      <c r="C731" s="124" t="str">
        <f t="shared" si="379"/>
        <v>UDV.storage_tank_eff.TAN</v>
      </c>
      <c r="D731" s="1144">
        <f t="shared" si="404"/>
        <v>0.3</v>
      </c>
      <c r="E731" s="1145" t="str">
        <f t="shared" si="405"/>
        <v>fraction</v>
      </c>
      <c r="F731" s="1146">
        <f t="shared" si="410"/>
        <v>0.3</v>
      </c>
      <c r="G731" s="1147"/>
      <c r="H731" s="1148">
        <f t="shared" si="406"/>
        <v>0.3</v>
      </c>
      <c r="I731" s="1149" t="str">
        <f t="shared" si="407"/>
        <v>fraction</v>
      </c>
      <c r="J731" s="34" t="s">
        <v>660</v>
      </c>
      <c r="K731" s="34"/>
      <c r="L731">
        <f t="shared" si="416"/>
        <v>0.1</v>
      </c>
      <c r="M731">
        <f t="shared" si="417"/>
        <v>0.4</v>
      </c>
      <c r="N731" s="34">
        <f t="shared" si="411"/>
        <v>0</v>
      </c>
      <c r="O731" s="34" t="s">
        <v>2147</v>
      </c>
      <c r="P731" s="34" t="s">
        <v>705</v>
      </c>
      <c r="Q731" s="34"/>
      <c r="R731" s="1150"/>
      <c r="S731" s="34"/>
      <c r="T731" s="1151"/>
      <c r="U731" s="34"/>
      <c r="V731" t="str">
        <f t="shared" si="412"/>
        <v/>
      </c>
      <c r="W731" s="1152">
        <v>0.3</v>
      </c>
      <c r="X731" s="34">
        <v>0.1</v>
      </c>
      <c r="Y731" s="34">
        <v>0.4</v>
      </c>
      <c r="Z731" s="34" t="str">
        <f>Units!B$35</f>
        <v>fraction</v>
      </c>
      <c r="AA731" s="34">
        <f>Units!C$35</f>
        <v>1</v>
      </c>
      <c r="AB731" s="34">
        <f>Units!D$35</f>
        <v>1</v>
      </c>
      <c r="AC731" s="34" t="str">
        <f>Units!E$35</f>
        <v>fraction</v>
      </c>
      <c r="AD731" s="34" t="str">
        <f>Units!F$35</f>
        <v>fraction</v>
      </c>
      <c r="AE731" s="34" t="str">
        <f>Units!G$35</f>
        <v>fraction</v>
      </c>
      <c r="AF731" s="34" t="str">
        <f>Units!H$35</f>
        <v>fraction</v>
      </c>
      <c r="AG731" s="34"/>
    </row>
    <row r="732" spans="1:33" x14ac:dyDescent="0.3">
      <c r="A732" t="s">
        <v>2146</v>
      </c>
      <c r="B732" t="s">
        <v>706</v>
      </c>
      <c r="C732" s="124" t="str">
        <f t="shared" si="379"/>
        <v>UDV.storage_tank_eff.TS</v>
      </c>
      <c r="D732" s="1091">
        <f t="shared" si="404"/>
        <v>0.77500000000000002</v>
      </c>
      <c r="E732" s="1093" t="str">
        <f t="shared" si="405"/>
        <v>fraction</v>
      </c>
      <c r="F732" s="1095">
        <f t="shared" si="410"/>
        <v>0.77500000000000002</v>
      </c>
      <c r="H732" s="1101">
        <f t="shared" si="406"/>
        <v>0.77500000000000002</v>
      </c>
      <c r="I732" s="956" t="str">
        <f t="shared" si="407"/>
        <v>fraction</v>
      </c>
      <c r="J732" t="s">
        <v>660</v>
      </c>
      <c r="L732">
        <f t="shared" si="416"/>
        <v>0.7</v>
      </c>
      <c r="M732">
        <f t="shared" si="417"/>
        <v>0.85</v>
      </c>
      <c r="N732">
        <f t="shared" si="411"/>
        <v>0</v>
      </c>
      <c r="O732" t="s">
        <v>2147</v>
      </c>
      <c r="P732" t="s">
        <v>706</v>
      </c>
      <c r="V732" t="str">
        <f t="shared" si="412"/>
        <v/>
      </c>
      <c r="W732" s="78">
        <v>0.77500000000000002</v>
      </c>
      <c r="X732">
        <v>0.7</v>
      </c>
      <c r="Y732">
        <v>0.85</v>
      </c>
      <c r="Z732" t="str">
        <f>Units!B$35</f>
        <v>fraction</v>
      </c>
      <c r="AA732">
        <f>Units!C$35</f>
        <v>1</v>
      </c>
      <c r="AB732">
        <f>Units!D$35</f>
        <v>1</v>
      </c>
      <c r="AC732" t="str">
        <f>Units!E$35</f>
        <v>fraction</v>
      </c>
      <c r="AD732" t="str">
        <f>Units!F$35</f>
        <v>fraction</v>
      </c>
      <c r="AE732" t="str">
        <f>Units!G$35</f>
        <v>fraction</v>
      </c>
      <c r="AF732" t="str">
        <f>Units!H$35</f>
        <v>fraction</v>
      </c>
    </row>
    <row r="733" spans="1:33" x14ac:dyDescent="0.3">
      <c r="A733" t="s">
        <v>2146</v>
      </c>
      <c r="B733" t="s">
        <v>708</v>
      </c>
      <c r="C733" s="124" t="str">
        <f t="shared" si="379"/>
        <v>UDV.storage_tank_eff.VS</v>
      </c>
      <c r="D733" s="1091">
        <f t="shared" si="404"/>
        <v>0.75</v>
      </c>
      <c r="E733" s="1093" t="str">
        <f t="shared" si="405"/>
        <v>fraction</v>
      </c>
      <c r="F733" s="1095">
        <f t="shared" si="410"/>
        <v>0.75</v>
      </c>
      <c r="H733" s="1101">
        <f t="shared" si="406"/>
        <v>0.75</v>
      </c>
      <c r="I733" s="956" t="str">
        <f t="shared" si="407"/>
        <v>fraction</v>
      </c>
      <c r="J733" t="s">
        <v>660</v>
      </c>
      <c r="L733">
        <f t="shared" si="416"/>
        <v>0.5</v>
      </c>
      <c r="M733">
        <f t="shared" si="417"/>
        <v>0.9</v>
      </c>
      <c r="N733">
        <f t="shared" si="411"/>
        <v>0</v>
      </c>
      <c r="O733" t="s">
        <v>2147</v>
      </c>
      <c r="P733" t="s">
        <v>708</v>
      </c>
      <c r="V733" t="str">
        <f t="shared" si="412"/>
        <v/>
      </c>
      <c r="W733" s="78">
        <v>0.75</v>
      </c>
      <c r="X733">
        <v>0.5</v>
      </c>
      <c r="Y733">
        <v>0.9</v>
      </c>
      <c r="Z733" t="str">
        <f>Units!B$35</f>
        <v>fraction</v>
      </c>
      <c r="AA733">
        <f>Units!C$35</f>
        <v>1</v>
      </c>
      <c r="AB733">
        <f>Units!D$35</f>
        <v>1</v>
      </c>
      <c r="AC733" t="str">
        <f>Units!E$35</f>
        <v>fraction</v>
      </c>
      <c r="AD733" t="str">
        <f>Units!F$35</f>
        <v>fraction</v>
      </c>
      <c r="AE733" t="str">
        <f>Units!G$35</f>
        <v>fraction</v>
      </c>
      <c r="AF733" t="str">
        <f>Units!H$35</f>
        <v>fraction</v>
      </c>
    </row>
    <row r="734" spans="1:33" x14ac:dyDescent="0.3">
      <c r="A734" s="710" t="s">
        <v>2149</v>
      </c>
      <c r="B734" s="710" t="s">
        <v>2150</v>
      </c>
      <c r="C734" s="124" t="str">
        <f t="shared" si="379"/>
        <v>UDV.tractor.application_time_non_sludge</v>
      </c>
      <c r="D734" s="1091">
        <f t="shared" si="404"/>
        <v>50</v>
      </c>
      <c r="E734" s="1093" t="str">
        <f t="shared" si="405"/>
        <v>day/year</v>
      </c>
      <c r="F734" s="1095">
        <f>UI.Farm!BC227</f>
        <v>50</v>
      </c>
      <c r="G734" s="1098" t="str">
        <f>UI.Farm!BD227</f>
        <v/>
      </c>
      <c r="H734" s="1101">
        <f t="shared" si="406"/>
        <v>50</v>
      </c>
      <c r="I734" s="956" t="str">
        <f t="shared" si="407"/>
        <v>day/year</v>
      </c>
      <c r="J734" t="s">
        <v>660</v>
      </c>
      <c r="K734" t="s">
        <v>1085</v>
      </c>
      <c r="L734">
        <f t="shared" si="416"/>
        <v>10</v>
      </c>
      <c r="M734">
        <f t="shared" si="417"/>
        <v>365</v>
      </c>
      <c r="N734">
        <f t="shared" si="411"/>
        <v>0</v>
      </c>
      <c r="O734" t="s">
        <v>2151</v>
      </c>
      <c r="P734" t="s">
        <v>2152</v>
      </c>
      <c r="S734" t="s">
        <v>84</v>
      </c>
      <c r="V734" t="str">
        <f t="shared" si="412"/>
        <v/>
      </c>
      <c r="W734" s="78">
        <v>50</v>
      </c>
      <c r="X734">
        <v>10</v>
      </c>
      <c r="Y734">
        <v>365</v>
      </c>
      <c r="Z734" t="str">
        <f>Units!B$120</f>
        <v>day/year</v>
      </c>
      <c r="AA734">
        <f>Units!C$120</f>
        <v>1</v>
      </c>
      <c r="AB734">
        <f>Units!D$120</f>
        <v>1</v>
      </c>
      <c r="AC734" t="str">
        <f>Units!E$120</f>
        <v>day/year</v>
      </c>
      <c r="AD734" t="str">
        <f>Units!F$120</f>
        <v>day/year</v>
      </c>
      <c r="AE734" t="str">
        <f>Units!G$120</f>
        <v>day/year</v>
      </c>
      <c r="AF734" t="str">
        <f>Units!H$120</f>
        <v>day/year</v>
      </c>
    </row>
    <row r="735" spans="1:33" x14ac:dyDescent="0.3">
      <c r="A735" s="710" t="s">
        <v>2149</v>
      </c>
      <c r="B735" s="710" t="s">
        <v>2153</v>
      </c>
      <c r="C735" s="124" t="str">
        <f t="shared" si="379"/>
        <v>UDV.tractor.application_time_sludge</v>
      </c>
      <c r="D735" s="1091">
        <f t="shared" si="404"/>
        <v>15</v>
      </c>
      <c r="E735" s="1093" t="str">
        <f t="shared" si="405"/>
        <v>day/year</v>
      </c>
      <c r="F735" s="1095">
        <f t="shared" si="410"/>
        <v>15</v>
      </c>
      <c r="H735" s="1101">
        <f t="shared" si="406"/>
        <v>15</v>
      </c>
      <c r="I735" s="956" t="str">
        <f t="shared" si="407"/>
        <v>day/year</v>
      </c>
      <c r="J735" t="s">
        <v>660</v>
      </c>
      <c r="L735">
        <f t="shared" si="416"/>
        <v>0</v>
      </c>
      <c r="M735">
        <f t="shared" si="417"/>
        <v>365</v>
      </c>
      <c r="N735">
        <f t="shared" si="411"/>
        <v>1</v>
      </c>
      <c r="O735" t="s">
        <v>2151</v>
      </c>
      <c r="P735" t="s">
        <v>2154</v>
      </c>
      <c r="S735" t="s">
        <v>84</v>
      </c>
      <c r="V735" t="str">
        <f t="shared" si="412"/>
        <v/>
      </c>
      <c r="W735" s="128">
        <f>UDV.tractor.application_time_non_sludge*UDV.tractor.application_time_sludge_multiplier</f>
        <v>15</v>
      </c>
      <c r="X735" s="128">
        <v>1.0000000000000001E-5</v>
      </c>
      <c r="Y735">
        <v>365</v>
      </c>
      <c r="Z735" t="str">
        <f>Units!B$120</f>
        <v>day/year</v>
      </c>
      <c r="AA735">
        <f>Units!C$120</f>
        <v>1</v>
      </c>
      <c r="AB735">
        <f>Units!D$120</f>
        <v>1</v>
      </c>
      <c r="AC735" t="str">
        <f>Units!E$120</f>
        <v>day/year</v>
      </c>
      <c r="AD735" t="str">
        <f>Units!F$120</f>
        <v>day/year</v>
      </c>
      <c r="AE735" t="str">
        <f>Units!G$120</f>
        <v>day/year</v>
      </c>
      <c r="AF735" t="str">
        <f>Units!H$120</f>
        <v>day/year</v>
      </c>
    </row>
    <row r="736" spans="1:33" x14ac:dyDescent="0.3">
      <c r="A736" s="128" t="s">
        <v>2149</v>
      </c>
      <c r="B736" s="1339" t="s">
        <v>2155</v>
      </c>
      <c r="C736" s="124" t="str">
        <f t="shared" si="379"/>
        <v>UDV.tractor.application_time_sludge_multiplier</v>
      </c>
      <c r="D736" s="944">
        <f t="shared" si="404"/>
        <v>0.3</v>
      </c>
      <c r="E736" s="125" t="str">
        <f t="shared" si="405"/>
        <v>multiplier</v>
      </c>
      <c r="F736" s="944">
        <f>IF(OR(G736="",N736=0),H736,G736)</f>
        <v>0.3</v>
      </c>
      <c r="G736" s="128"/>
      <c r="H736">
        <f t="shared" si="406"/>
        <v>0.3</v>
      </c>
      <c r="I736" s="1325" t="str">
        <f t="shared" si="407"/>
        <v>multiplier</v>
      </c>
      <c r="J736" s="128" t="s">
        <v>660</v>
      </c>
      <c r="K736" s="128"/>
      <c r="L736">
        <f t="shared" si="416"/>
        <v>0.01</v>
      </c>
      <c r="M736">
        <f t="shared" si="417"/>
        <v>1</v>
      </c>
      <c r="N736">
        <f>IF(AND(G736&gt;=L736,G736&lt;=M736),1,0)</f>
        <v>0</v>
      </c>
      <c r="O736" s="128" t="s">
        <v>2151</v>
      </c>
      <c r="P736" s="128" t="s">
        <v>2156</v>
      </c>
      <c r="Q736" s="128"/>
      <c r="R736" s="128"/>
      <c r="S736" s="128"/>
      <c r="T736" s="128"/>
      <c r="W736" s="128">
        <v>0.3</v>
      </c>
      <c r="X736" s="128">
        <v>0.01</v>
      </c>
      <c r="Y736" s="128">
        <v>1</v>
      </c>
      <c r="Z736" s="128" t="str">
        <f>Units!B$94</f>
        <v>multiplier</v>
      </c>
      <c r="AA736" s="128">
        <f>Units!C$94</f>
        <v>1</v>
      </c>
      <c r="AB736" s="128">
        <f>Units!D$94</f>
        <v>1</v>
      </c>
      <c r="AC736" s="128" t="str">
        <f>Units!E$94</f>
        <v>multiplier</v>
      </c>
      <c r="AD736" s="128" t="str">
        <f>Units!F$94</f>
        <v>multiplier</v>
      </c>
      <c r="AE736" s="128" t="str">
        <f>Units!G$94</f>
        <v>multiplier</v>
      </c>
      <c r="AF736" s="128" t="str">
        <f>Units!H$94</f>
        <v>multiplier</v>
      </c>
      <c r="AG736" s="128"/>
    </row>
    <row r="737" spans="1:32" x14ac:dyDescent="0.3">
      <c r="A737" s="710" t="s">
        <v>2149</v>
      </c>
      <c r="B737" s="1340" t="s">
        <v>2157</v>
      </c>
      <c r="C737" s="124" t="str">
        <f t="shared" si="379"/>
        <v>UDV.tractor.fuel_efficiency</v>
      </c>
      <c r="D737" s="944">
        <f t="shared" si="404"/>
        <v>4.3999999999999997E-2</v>
      </c>
      <c r="E737" s="125" t="str">
        <f t="shared" si="405"/>
        <v>gal/hr/hp</v>
      </c>
      <c r="F737" s="944">
        <f>IF(OR(G737="",N737=0),H737,G737)</f>
        <v>4.3999999999999997E-2</v>
      </c>
      <c r="G737" s="126"/>
      <c r="H737">
        <f t="shared" si="406"/>
        <v>4.3999999999999997E-2</v>
      </c>
      <c r="I737" s="1325" t="str">
        <f t="shared" si="407"/>
        <v>gal/hr/hp</v>
      </c>
      <c r="J737" t="s">
        <v>660</v>
      </c>
      <c r="K737" s="124"/>
      <c r="L737">
        <f t="shared" si="416"/>
        <v>0.04</v>
      </c>
      <c r="M737">
        <f t="shared" si="417"/>
        <v>0.06</v>
      </c>
      <c r="N737">
        <f>IF(AND(M737 - G737 &gt;= 0, G737 - L737 &gt;=0),1,0)</f>
        <v>0</v>
      </c>
      <c r="O737" t="s">
        <v>2151</v>
      </c>
      <c r="P737" t="s">
        <v>2158</v>
      </c>
      <c r="R737" s="711"/>
      <c r="W737">
        <v>4.3999999999999997E-2</v>
      </c>
      <c r="X737">
        <v>0.04</v>
      </c>
      <c r="Y737">
        <v>0.06</v>
      </c>
      <c r="Z737" s="1325" t="str">
        <f>Units!B$154</f>
        <v>gal/hr/hp</v>
      </c>
      <c r="AA737" s="1325">
        <f>Units!C$154</f>
        <v>1</v>
      </c>
      <c r="AB737" s="1325">
        <f>Units!D$154</f>
        <v>1</v>
      </c>
      <c r="AC737" s="1325" t="str">
        <f>Units!E$154</f>
        <v>gal/hr/hp</v>
      </c>
      <c r="AD737" s="1325" t="str">
        <f>Units!F$154</f>
        <v>gal/hr/hp</v>
      </c>
      <c r="AE737" s="1325" t="str">
        <f>Units!G$154</f>
        <v>L/hr/hp</v>
      </c>
      <c r="AF737" s="1325" t="str">
        <f>Units!H$154</f>
        <v>gal/hr/hp</v>
      </c>
    </row>
    <row r="738" spans="1:32" x14ac:dyDescent="0.3">
      <c r="A738" s="710" t="s">
        <v>2149</v>
      </c>
      <c r="B738" s="710" t="s">
        <v>2159</v>
      </c>
      <c r="C738" s="124" t="str">
        <f t="shared" si="379"/>
        <v>UDV.tractor.max_usage_daily</v>
      </c>
      <c r="D738" s="1091">
        <f t="shared" si="404"/>
        <v>12</v>
      </c>
      <c r="E738" s="1093" t="str">
        <f t="shared" si="405"/>
        <v>hr/day</v>
      </c>
      <c r="F738" s="1095">
        <f>UI.Tractor!BC93</f>
        <v>12</v>
      </c>
      <c r="G738" s="1098" t="str">
        <f>UI.Tractor!BD93</f>
        <v/>
      </c>
      <c r="H738" s="1101">
        <f t="shared" si="406"/>
        <v>12</v>
      </c>
      <c r="I738" s="956" t="str">
        <f t="shared" si="407"/>
        <v>hr/day</v>
      </c>
      <c r="J738" t="s">
        <v>660</v>
      </c>
      <c r="K738" t="s">
        <v>1872</v>
      </c>
      <c r="L738">
        <f t="shared" si="416"/>
        <v>8</v>
      </c>
      <c r="M738">
        <f t="shared" si="417"/>
        <v>24</v>
      </c>
      <c r="N738">
        <f>IF(AND(G738&lt;=M738, G738&gt;=L738),1,0)</f>
        <v>0</v>
      </c>
      <c r="O738" t="s">
        <v>2151</v>
      </c>
      <c r="P738" t="s">
        <v>2160</v>
      </c>
      <c r="Q738" t="s">
        <v>1337</v>
      </c>
      <c r="S738" t="s">
        <v>84</v>
      </c>
      <c r="V738" t="str">
        <f t="shared" ref="V738:V760" si="421">IF(OR((M738-L738)&lt;=0,H738&gt;M738,H738&lt;L738),"Fix","")</f>
        <v/>
      </c>
      <c r="W738" s="78">
        <v>12</v>
      </c>
      <c r="X738">
        <v>8</v>
      </c>
      <c r="Y738">
        <v>24</v>
      </c>
      <c r="Z738" t="str">
        <f>Units!B$121</f>
        <v>hr/day</v>
      </c>
      <c r="AA738">
        <f>Units!C$121</f>
        <v>1</v>
      </c>
      <c r="AB738">
        <f>Units!D$121</f>
        <v>1</v>
      </c>
      <c r="AC738" t="str">
        <f>Units!E$121</f>
        <v>hr/day</v>
      </c>
      <c r="AD738" t="str">
        <f>Units!F$121</f>
        <v>hr/day</v>
      </c>
      <c r="AE738" t="str">
        <f>Units!G$121</f>
        <v>hr/day</v>
      </c>
      <c r="AF738" t="str">
        <f>Units!H$121</f>
        <v>hr/day</v>
      </c>
    </row>
    <row r="739" spans="1:32" x14ac:dyDescent="0.3">
      <c r="A739" s="710" t="s">
        <v>2149</v>
      </c>
      <c r="B739" s="710" t="s">
        <v>2161</v>
      </c>
      <c r="C739" s="124" t="str">
        <f t="shared" si="379"/>
        <v>UDV.tractor.max_usage_yearly</v>
      </c>
      <c r="D739" s="1091">
        <f t="shared" si="404"/>
        <v>2000</v>
      </c>
      <c r="E739" s="1093" t="str">
        <f t="shared" si="405"/>
        <v>hr/year</v>
      </c>
      <c r="F739" s="1095">
        <f>UI.Tractor!BC94</f>
        <v>2000</v>
      </c>
      <c r="G739" s="1098" t="str">
        <f>UI.Tractor!BD94</f>
        <v/>
      </c>
      <c r="H739" s="1101">
        <f t="shared" si="406"/>
        <v>2000</v>
      </c>
      <c r="I739" s="956" t="str">
        <f t="shared" si="407"/>
        <v>hr/year</v>
      </c>
      <c r="J739" t="s">
        <v>660</v>
      </c>
      <c r="K739" t="s">
        <v>1872</v>
      </c>
      <c r="L739">
        <f t="shared" si="416"/>
        <v>1500</v>
      </c>
      <c r="M739">
        <f t="shared" si="417"/>
        <v>8760</v>
      </c>
      <c r="N739">
        <f>IF(AND(G739&lt;=M739, G739&gt;=L739),1,0)</f>
        <v>0</v>
      </c>
      <c r="O739" t="s">
        <v>2151</v>
      </c>
      <c r="P739" t="s">
        <v>2162</v>
      </c>
      <c r="Q739" t="s">
        <v>1337</v>
      </c>
      <c r="S739" t="s">
        <v>84</v>
      </c>
      <c r="V739" t="str">
        <f t="shared" si="421"/>
        <v/>
      </c>
      <c r="W739" s="78">
        <v>2000</v>
      </c>
      <c r="X739">
        <v>1500</v>
      </c>
      <c r="Y739">
        <v>8760</v>
      </c>
      <c r="Z739" t="str">
        <f>Units!B$122</f>
        <v>hr/year</v>
      </c>
      <c r="AA739">
        <f>Units!C$122</f>
        <v>1</v>
      </c>
      <c r="AB739">
        <f>Units!D$122</f>
        <v>1</v>
      </c>
      <c r="AC739" t="str">
        <f>Units!E$122</f>
        <v>hr/year</v>
      </c>
      <c r="AD739" t="str">
        <f>Units!F$122</f>
        <v>hr/year</v>
      </c>
      <c r="AE739" t="str">
        <f>Units!G$122</f>
        <v>hr/year</v>
      </c>
      <c r="AF739" t="str">
        <f>Units!H$122</f>
        <v>hr/year</v>
      </c>
    </row>
    <row r="740" spans="1:32" x14ac:dyDescent="0.3">
      <c r="A740" s="710" t="s">
        <v>2149</v>
      </c>
      <c r="B740" s="710" t="s">
        <v>2163</v>
      </c>
      <c r="C740" s="124" t="str">
        <f t="shared" si="379"/>
        <v>UDV.tractor.min_usage_yearly</v>
      </c>
      <c r="D740" s="1091">
        <f t="shared" si="404"/>
        <v>1000</v>
      </c>
      <c r="E740" s="1093" t="str">
        <f t="shared" si="405"/>
        <v>hr/year</v>
      </c>
      <c r="F740" s="1095">
        <f>UI.Tractor!BC92</f>
        <v>1000</v>
      </c>
      <c r="G740" s="1098" t="str">
        <f>UI.Tractor!BD92</f>
        <v/>
      </c>
      <c r="H740" s="1101">
        <f t="shared" si="406"/>
        <v>1000</v>
      </c>
      <c r="I740" s="956" t="str">
        <f t="shared" si="407"/>
        <v>hr/year</v>
      </c>
      <c r="J740" t="s">
        <v>660</v>
      </c>
      <c r="K740" t="s">
        <v>1872</v>
      </c>
      <c r="L740">
        <f t="shared" si="416"/>
        <v>600</v>
      </c>
      <c r="M740">
        <f t="shared" si="417"/>
        <v>2000</v>
      </c>
      <c r="N740">
        <f>IF(AND(G740&lt;=M740, G740&gt;=L740),1,0)</f>
        <v>0</v>
      </c>
      <c r="O740" t="s">
        <v>2151</v>
      </c>
      <c r="P740" t="s">
        <v>2164</v>
      </c>
      <c r="Q740" t="s">
        <v>1337</v>
      </c>
      <c r="S740" t="s">
        <v>84</v>
      </c>
      <c r="V740" t="str">
        <f t="shared" si="421"/>
        <v/>
      </c>
      <c r="W740" s="78">
        <v>1000</v>
      </c>
      <c r="X740">
        <v>600</v>
      </c>
      <c r="Y740">
        <v>2000</v>
      </c>
      <c r="Z740" t="str">
        <f>Units!B$122</f>
        <v>hr/year</v>
      </c>
      <c r="AA740">
        <f>Units!C$122</f>
        <v>1</v>
      </c>
      <c r="AB740">
        <f>Units!D$122</f>
        <v>1</v>
      </c>
      <c r="AC740" t="str">
        <f>Units!E$122</f>
        <v>hr/year</v>
      </c>
      <c r="AD740" t="str">
        <f>Units!F$122</f>
        <v>hr/year</v>
      </c>
      <c r="AE740" t="str">
        <f>Units!G$122</f>
        <v>hr/year</v>
      </c>
      <c r="AF740" t="str">
        <f>Units!H$122</f>
        <v>hr/year</v>
      </c>
    </row>
    <row r="741" spans="1:32" x14ac:dyDescent="0.3">
      <c r="A741" t="s">
        <v>2165</v>
      </c>
      <c r="B741" t="s">
        <v>2166</v>
      </c>
      <c r="C741" s="124" t="str">
        <f t="shared" si="379"/>
        <v>UDV.u.env_results_type</v>
      </c>
      <c r="D741" s="1091" t="str">
        <f t="shared" ref="D741:D757" si="422">F741</f>
        <v>Farm</v>
      </c>
      <c r="E741" s="1093" t="str">
        <f t="shared" si="405"/>
        <v>type</v>
      </c>
      <c r="F741" s="1095" t="str">
        <f>UI.Priorities!BD181</f>
        <v>Farm</v>
      </c>
      <c r="G741" s="1098" t="str">
        <f>UI.Priorities!BE181</f>
        <v>Farm</v>
      </c>
      <c r="H741" s="1101" t="str">
        <f>W741</f>
        <v>Farm</v>
      </c>
      <c r="I741" s="956" t="str">
        <f t="shared" ref="I741:I755" si="423">$AC741</f>
        <v>type</v>
      </c>
      <c r="J741" t="s">
        <v>838</v>
      </c>
      <c r="K741" t="s">
        <v>1351</v>
      </c>
      <c r="L741">
        <f t="shared" si="416"/>
        <v>0</v>
      </c>
      <c r="M741">
        <f t="shared" si="417"/>
        <v>0</v>
      </c>
      <c r="N741">
        <f>IF(ISNUMBER(MATCH(G741,DROPS.u.env_results_type,0)),1,0)</f>
        <v>1</v>
      </c>
      <c r="O741" t="s">
        <v>2167</v>
      </c>
      <c r="P741" t="s">
        <v>2168</v>
      </c>
      <c r="S741" t="s">
        <v>84</v>
      </c>
      <c r="V741" t="str">
        <f t="shared" si="421"/>
        <v>Fix</v>
      </c>
      <c r="W741" s="78" t="s">
        <v>431</v>
      </c>
      <c r="X741">
        <v>0</v>
      </c>
      <c r="Y741">
        <v>0</v>
      </c>
      <c r="Z741" t="str">
        <f>Units!B$124</f>
        <v>type</v>
      </c>
      <c r="AA741">
        <f>Units!C$124</f>
        <v>1</v>
      </c>
      <c r="AB741">
        <f>Units!D$124</f>
        <v>1</v>
      </c>
      <c r="AC741" t="str">
        <f>Units!E$124</f>
        <v>type</v>
      </c>
      <c r="AD741" t="str">
        <f>Units!F$124</f>
        <v>type</v>
      </c>
      <c r="AE741" t="str">
        <f>Units!G$124</f>
        <v>type</v>
      </c>
      <c r="AF741" t="str">
        <f>Units!H$124</f>
        <v>type</v>
      </c>
    </row>
    <row r="742" spans="1:32" x14ac:dyDescent="0.3">
      <c r="A742" t="s">
        <v>2165</v>
      </c>
      <c r="B742" s="710" t="s">
        <v>2169</v>
      </c>
      <c r="C742" s="124" t="str">
        <f t="shared" si="379"/>
        <v>UDV.u.alt1_rank</v>
      </c>
      <c r="D742" s="1769">
        <f ca="1">F742</f>
        <v>1</v>
      </c>
      <c r="E742" s="1093" t="str">
        <f t="shared" si="405"/>
        <v>type</v>
      </c>
      <c r="F742" s="1109">
        <f ca="1">H742</f>
        <v>1</v>
      </c>
      <c r="H742" s="1101">
        <f ca="1">W742</f>
        <v>1</v>
      </c>
      <c r="I742" s="956" t="str">
        <f t="shared" si="423"/>
        <v>type</v>
      </c>
      <c r="J742" t="s">
        <v>688</v>
      </c>
      <c r="L742">
        <f t="shared" si="416"/>
        <v>1</v>
      </c>
      <c r="M742">
        <f t="shared" ca="1" si="417"/>
        <v>27</v>
      </c>
      <c r="O742" t="s">
        <v>2167</v>
      </c>
      <c r="P742" t="s">
        <v>2170</v>
      </c>
      <c r="V742" t="str">
        <f t="shared" ca="1" si="421"/>
        <v/>
      </c>
      <c r="W742" s="78">
        <f ca="1">INDEX(SC.Table.Rank, MATCH(UDV.u.farm_alt1,SC.Table.True_Scenario_Properties,0))</f>
        <v>1</v>
      </c>
      <c r="X742">
        <v>1</v>
      </c>
      <c r="Y742">
        <f ca="1">MAX(SC.Table.Rank)</f>
        <v>27</v>
      </c>
      <c r="Z742" t="str">
        <f>Units!B$124</f>
        <v>type</v>
      </c>
      <c r="AA742">
        <f>Units!C$124</f>
        <v>1</v>
      </c>
      <c r="AB742">
        <f>Units!D$124</f>
        <v>1</v>
      </c>
      <c r="AC742" t="str">
        <f>Units!E$124</f>
        <v>type</v>
      </c>
      <c r="AD742" t="str">
        <f>Units!F$124</f>
        <v>type</v>
      </c>
      <c r="AE742" t="str">
        <f>Units!G$124</f>
        <v>type</v>
      </c>
      <c r="AF742" t="str">
        <f>Units!H$124</f>
        <v>type</v>
      </c>
    </row>
    <row r="743" spans="1:32" x14ac:dyDescent="0.3">
      <c r="A743" t="s">
        <v>2165</v>
      </c>
      <c r="B743" s="710" t="s">
        <v>2171</v>
      </c>
      <c r="C743" s="124" t="str">
        <f t="shared" si="379"/>
        <v>UDV.u.alt2_rank</v>
      </c>
      <c r="D743" s="1769">
        <f t="shared" ref="D743:D746" ca="1" si="424">F743</f>
        <v>2</v>
      </c>
      <c r="E743" s="1093" t="str">
        <f t="shared" si="405"/>
        <v>type</v>
      </c>
      <c r="F743" s="1109">
        <f t="shared" ref="F743:F746" ca="1" si="425">H743</f>
        <v>2</v>
      </c>
      <c r="H743" s="1101">
        <f t="shared" ref="H743:H746" ca="1" si="426">W743</f>
        <v>2</v>
      </c>
      <c r="I743" s="956" t="str">
        <f t="shared" si="423"/>
        <v>type</v>
      </c>
      <c r="J743" t="s">
        <v>688</v>
      </c>
      <c r="L743">
        <f t="shared" si="416"/>
        <v>1</v>
      </c>
      <c r="M743">
        <f t="shared" ca="1" si="417"/>
        <v>27</v>
      </c>
      <c r="O743" t="s">
        <v>2167</v>
      </c>
      <c r="P743" t="s">
        <v>2172</v>
      </c>
      <c r="W743" s="78">
        <f ca="1">INDEX(SC.Table.Rank, MATCH(UDV.u.farm_alt2,SC.Table.True_Scenario_Properties,0))</f>
        <v>2</v>
      </c>
      <c r="X743">
        <v>1</v>
      </c>
      <c r="Y743">
        <f ca="1">MAX(SC.Table.Rank)</f>
        <v>27</v>
      </c>
      <c r="Z743" t="str">
        <f>Units!B$124</f>
        <v>type</v>
      </c>
      <c r="AA743">
        <f>Units!C$124</f>
        <v>1</v>
      </c>
      <c r="AB743">
        <f>Units!D$124</f>
        <v>1</v>
      </c>
      <c r="AC743" t="str">
        <f>Units!E$124</f>
        <v>type</v>
      </c>
      <c r="AD743" t="str">
        <f>Units!F$124</f>
        <v>type</v>
      </c>
      <c r="AE743" t="str">
        <f>Units!G$124</f>
        <v>type</v>
      </c>
      <c r="AF743" t="str">
        <f>Units!H$124</f>
        <v>type</v>
      </c>
    </row>
    <row r="744" spans="1:32" x14ac:dyDescent="0.3">
      <c r="A744" t="s">
        <v>2165</v>
      </c>
      <c r="B744" s="710" t="s">
        <v>2173</v>
      </c>
      <c r="C744" s="124" t="str">
        <f t="shared" si="379"/>
        <v>UDV.u.alt3_rank</v>
      </c>
      <c r="D744" s="1769">
        <f t="shared" ca="1" si="424"/>
        <v>3</v>
      </c>
      <c r="E744" s="1093" t="str">
        <f t="shared" si="405"/>
        <v>type</v>
      </c>
      <c r="F744" s="1109">
        <f t="shared" ca="1" si="425"/>
        <v>3</v>
      </c>
      <c r="H744" s="1101">
        <f t="shared" ca="1" si="426"/>
        <v>3</v>
      </c>
      <c r="I744" s="956" t="str">
        <f t="shared" si="423"/>
        <v>type</v>
      </c>
      <c r="J744" t="s">
        <v>688</v>
      </c>
      <c r="L744">
        <f t="shared" si="416"/>
        <v>1</v>
      </c>
      <c r="M744">
        <f t="shared" ca="1" si="417"/>
        <v>27</v>
      </c>
      <c r="O744" t="s">
        <v>2167</v>
      </c>
      <c r="P744" t="s">
        <v>2174</v>
      </c>
      <c r="W744" s="78">
        <f ca="1">INDEX(SC.Table.Rank, MATCH(UDV.u.farm_alt3,SC.Table.True_Scenario_Properties,0))</f>
        <v>3</v>
      </c>
      <c r="X744">
        <v>1</v>
      </c>
      <c r="Y744">
        <f ca="1">MAX(SC.Table.Rank)</f>
        <v>27</v>
      </c>
      <c r="Z744" t="str">
        <f>Units!B$124</f>
        <v>type</v>
      </c>
      <c r="AA744">
        <f>Units!C$124</f>
        <v>1</v>
      </c>
      <c r="AB744">
        <f>Units!D$124</f>
        <v>1</v>
      </c>
      <c r="AC744" t="str">
        <f>Units!E$124</f>
        <v>type</v>
      </c>
      <c r="AD744" t="str">
        <f>Units!F$124</f>
        <v>type</v>
      </c>
      <c r="AE744" t="str">
        <f>Units!G$124</f>
        <v>type</v>
      </c>
      <c r="AF744" t="str">
        <f>Units!H$124</f>
        <v>type</v>
      </c>
    </row>
    <row r="745" spans="1:32" x14ac:dyDescent="0.3">
      <c r="A745" t="s">
        <v>2165</v>
      </c>
      <c r="B745" s="710" t="s">
        <v>2175</v>
      </c>
      <c r="C745" s="124" t="str">
        <f t="shared" si="379"/>
        <v>UDV.u.alt4_rank</v>
      </c>
      <c r="D745" s="1769">
        <f t="shared" ca="1" si="424"/>
        <v>4</v>
      </c>
      <c r="E745" s="1093" t="str">
        <f t="shared" si="405"/>
        <v>type</v>
      </c>
      <c r="F745" s="1109">
        <f t="shared" ca="1" si="425"/>
        <v>4</v>
      </c>
      <c r="H745" s="1101">
        <f t="shared" ca="1" si="426"/>
        <v>4</v>
      </c>
      <c r="I745" s="956" t="str">
        <f t="shared" si="423"/>
        <v>type</v>
      </c>
      <c r="J745" t="s">
        <v>688</v>
      </c>
      <c r="L745">
        <f t="shared" si="416"/>
        <v>1</v>
      </c>
      <c r="M745">
        <f t="shared" ca="1" si="417"/>
        <v>27</v>
      </c>
      <c r="O745" t="s">
        <v>2167</v>
      </c>
      <c r="P745" t="s">
        <v>2176</v>
      </c>
      <c r="W745" s="78">
        <f ca="1">INDEX(SC.Table.Rank, MATCH(UDV.u.farm_alt4,SC.Table.True_Scenario_Properties,0))</f>
        <v>4</v>
      </c>
      <c r="X745">
        <v>1</v>
      </c>
      <c r="Y745">
        <f ca="1">MAX(SC.Table.Rank)</f>
        <v>27</v>
      </c>
      <c r="Z745" t="str">
        <f>Units!B$124</f>
        <v>type</v>
      </c>
      <c r="AA745">
        <f>Units!C$124</f>
        <v>1</v>
      </c>
      <c r="AB745">
        <f>Units!D$124</f>
        <v>1</v>
      </c>
      <c r="AC745" t="str">
        <f>Units!E$124</f>
        <v>type</v>
      </c>
      <c r="AD745" t="str">
        <f>Units!F$124</f>
        <v>type</v>
      </c>
      <c r="AE745" t="str">
        <f>Units!G$124</f>
        <v>type</v>
      </c>
      <c r="AF745" t="str">
        <f>Units!H$124</f>
        <v>type</v>
      </c>
    </row>
    <row r="746" spans="1:32" x14ac:dyDescent="0.3">
      <c r="A746" t="s">
        <v>2165</v>
      </c>
      <c r="B746" s="710" t="s">
        <v>2177</v>
      </c>
      <c r="C746" s="124" t="str">
        <f t="shared" si="379"/>
        <v>UDV.u.baseline_rank</v>
      </c>
      <c r="D746" s="1769">
        <f t="shared" ca="1" si="424"/>
        <v>1</v>
      </c>
      <c r="E746" s="1093" t="str">
        <f t="shared" si="405"/>
        <v>type</v>
      </c>
      <c r="F746" s="1109">
        <f t="shared" ca="1" si="425"/>
        <v>1</v>
      </c>
      <c r="H746" s="1101">
        <f t="shared" ca="1" si="426"/>
        <v>1</v>
      </c>
      <c r="I746" s="956" t="str">
        <f t="shared" si="423"/>
        <v>type</v>
      </c>
      <c r="J746" t="s">
        <v>688</v>
      </c>
      <c r="L746">
        <f t="shared" si="416"/>
        <v>1</v>
      </c>
      <c r="M746">
        <f t="shared" ca="1" si="417"/>
        <v>27</v>
      </c>
      <c r="O746" t="s">
        <v>2167</v>
      </c>
      <c r="P746" t="s">
        <v>2178</v>
      </c>
      <c r="W746" s="78">
        <f ca="1">INDEX(SC.Table.Rank, MATCH(UDV.u.farm_baseline,SC.Table.True_Scenario_Properties,0))</f>
        <v>1</v>
      </c>
      <c r="X746">
        <v>1</v>
      </c>
      <c r="Y746">
        <f ca="1">MAX(SC.Table.Rank)</f>
        <v>27</v>
      </c>
      <c r="Z746" t="str">
        <f>Units!B$124</f>
        <v>type</v>
      </c>
      <c r="AA746">
        <f>Units!C$124</f>
        <v>1</v>
      </c>
      <c r="AB746">
        <f>Units!D$124</f>
        <v>1</v>
      </c>
      <c r="AC746" t="str">
        <f>Units!E$124</f>
        <v>type</v>
      </c>
      <c r="AD746" t="str">
        <f>Units!F$124</f>
        <v>type</v>
      </c>
      <c r="AE746" t="str">
        <f>Units!G$124</f>
        <v>type</v>
      </c>
      <c r="AF746" t="str">
        <f>Units!H$124</f>
        <v>type</v>
      </c>
    </row>
    <row r="747" spans="1:32" x14ac:dyDescent="0.3">
      <c r="A747" s="710" t="s">
        <v>2165</v>
      </c>
      <c r="B747" s="710" t="s">
        <v>2179</v>
      </c>
      <c r="C747" s="124" t="str">
        <f t="shared" si="379"/>
        <v>UDV.u.farm_alt1</v>
      </c>
      <c r="D747" s="1091" t="str">
        <f t="shared" ca="1" si="422"/>
        <v>Deep pit, tanker</v>
      </c>
      <c r="E747" s="1093" t="str">
        <f t="shared" si="405"/>
        <v>type</v>
      </c>
      <c r="F747" s="1095" t="str">
        <f ca="1">UI.Choice!BC104</f>
        <v>Deep pit, tanker</v>
      </c>
      <c r="G747" s="1098" t="str">
        <f>UI.Choice!BD104</f>
        <v>Top ranked scenario</v>
      </c>
      <c r="H747" s="1101" t="str">
        <f t="shared" ref="H747:H754" si="427">W747</f>
        <v>Top ranked scenario</v>
      </c>
      <c r="I747" s="956" t="str">
        <f t="shared" si="423"/>
        <v>type</v>
      </c>
      <c r="J747" t="s">
        <v>838</v>
      </c>
      <c r="K747" t="s">
        <v>2180</v>
      </c>
      <c r="N747">
        <v>1</v>
      </c>
      <c r="O747" t="s">
        <v>2167</v>
      </c>
      <c r="P747" t="s">
        <v>2181</v>
      </c>
      <c r="S747" t="s">
        <v>84</v>
      </c>
      <c r="V747" t="str">
        <f t="shared" si="421"/>
        <v>Fix</v>
      </c>
      <c r="W747" s="78" t="s">
        <v>552</v>
      </c>
      <c r="X747">
        <v>0</v>
      </c>
      <c r="Y747">
        <v>0</v>
      </c>
      <c r="Z747" t="str">
        <f>Units!B$124</f>
        <v>type</v>
      </c>
      <c r="AA747">
        <f>Units!C$124</f>
        <v>1</v>
      </c>
      <c r="AB747">
        <f>Units!D$124</f>
        <v>1</v>
      </c>
      <c r="AC747" t="str">
        <f>Units!E$124</f>
        <v>type</v>
      </c>
      <c r="AD747" t="str">
        <f>Units!F$124</f>
        <v>type</v>
      </c>
      <c r="AE747" t="str">
        <f>Units!G$124</f>
        <v>type</v>
      </c>
      <c r="AF747" t="str">
        <f>Units!H$124</f>
        <v>type</v>
      </c>
    </row>
    <row r="748" spans="1:32" x14ac:dyDescent="0.3">
      <c r="A748" s="710" t="s">
        <v>2165</v>
      </c>
      <c r="B748" s="710" t="s">
        <v>2182</v>
      </c>
      <c r="C748" s="124" t="str">
        <f t="shared" si="379"/>
        <v>UDV.u.farm_alt2</v>
      </c>
      <c r="D748" s="1091" t="str">
        <f t="shared" ca="1" si="422"/>
        <v>Deep pit, aeration, tanker</v>
      </c>
      <c r="E748" s="1093" t="str">
        <f t="shared" si="405"/>
        <v>type</v>
      </c>
      <c r="F748" s="1095" t="str">
        <f ca="1">UI.Choice!BC105</f>
        <v>Deep pit, aeration, tanker</v>
      </c>
      <c r="G748" s="1098" t="str">
        <f>UI.Choice!BD105</f>
        <v>Second ranked scenario</v>
      </c>
      <c r="H748" s="1101" t="str">
        <f t="shared" si="427"/>
        <v>Second ranked scenario</v>
      </c>
      <c r="I748" s="956" t="str">
        <f t="shared" si="423"/>
        <v>type</v>
      </c>
      <c r="J748" t="s">
        <v>838</v>
      </c>
      <c r="K748" t="s">
        <v>2180</v>
      </c>
      <c r="N748">
        <v>1</v>
      </c>
      <c r="O748" t="s">
        <v>2167</v>
      </c>
      <c r="P748" t="s">
        <v>2183</v>
      </c>
      <c r="S748" t="s">
        <v>84</v>
      </c>
      <c r="V748" t="str">
        <f t="shared" si="421"/>
        <v>Fix</v>
      </c>
      <c r="W748" s="78" t="s">
        <v>553</v>
      </c>
      <c r="X748">
        <v>0</v>
      </c>
      <c r="Y748">
        <v>0</v>
      </c>
      <c r="Z748" t="str">
        <f>Units!B$124</f>
        <v>type</v>
      </c>
      <c r="AA748">
        <f>Units!C$124</f>
        <v>1</v>
      </c>
      <c r="AB748">
        <f>Units!D$124</f>
        <v>1</v>
      </c>
      <c r="AC748" t="str">
        <f>Units!E$124</f>
        <v>type</v>
      </c>
      <c r="AD748" t="str">
        <f>Units!F$124</f>
        <v>type</v>
      </c>
      <c r="AE748" t="str">
        <f>Units!G$124</f>
        <v>type</v>
      </c>
      <c r="AF748" t="str">
        <f>Units!H$124</f>
        <v>type</v>
      </c>
    </row>
    <row r="749" spans="1:32" x14ac:dyDescent="0.3">
      <c r="A749" s="710" t="s">
        <v>2165</v>
      </c>
      <c r="B749" s="710" t="s">
        <v>2184</v>
      </c>
      <c r="C749" s="124" t="str">
        <f t="shared" si="379"/>
        <v>UDV.u.farm_alt3</v>
      </c>
      <c r="D749" s="1091" t="str">
        <f t="shared" ca="1" si="422"/>
        <v>Deep pit, drag hose</v>
      </c>
      <c r="E749" s="1093" t="str">
        <f t="shared" si="405"/>
        <v>type</v>
      </c>
      <c r="F749" s="1095" t="str">
        <f ca="1">UI.Choice!BC106</f>
        <v>Deep pit, drag hose</v>
      </c>
      <c r="G749" s="1098" t="str">
        <f>UI.Choice!BD106</f>
        <v>Third ranked scenario</v>
      </c>
      <c r="H749" s="1101" t="str">
        <f t="shared" si="427"/>
        <v>Third ranked scenario</v>
      </c>
      <c r="I749" s="956" t="str">
        <f t="shared" si="423"/>
        <v>type</v>
      </c>
      <c r="J749" t="s">
        <v>838</v>
      </c>
      <c r="K749" t="s">
        <v>2180</v>
      </c>
      <c r="N749">
        <v>1</v>
      </c>
      <c r="O749" t="s">
        <v>2167</v>
      </c>
      <c r="P749" t="s">
        <v>2185</v>
      </c>
      <c r="S749" t="s">
        <v>84</v>
      </c>
      <c r="V749" t="str">
        <f t="shared" si="421"/>
        <v>Fix</v>
      </c>
      <c r="W749" s="78" t="s">
        <v>554</v>
      </c>
      <c r="X749">
        <v>0</v>
      </c>
      <c r="Y749">
        <v>0</v>
      </c>
      <c r="Z749" t="str">
        <f>Units!B$124</f>
        <v>type</v>
      </c>
      <c r="AA749">
        <f>Units!C$124</f>
        <v>1</v>
      </c>
      <c r="AB749">
        <f>Units!D$124</f>
        <v>1</v>
      </c>
      <c r="AC749" t="str">
        <f>Units!E$124</f>
        <v>type</v>
      </c>
      <c r="AD749" t="str">
        <f>Units!F$124</f>
        <v>type</v>
      </c>
      <c r="AE749" t="str">
        <f>Units!G$124</f>
        <v>type</v>
      </c>
      <c r="AF749" t="str">
        <f>Units!H$124</f>
        <v>type</v>
      </c>
    </row>
    <row r="750" spans="1:32" x14ac:dyDescent="0.3">
      <c r="A750" s="710" t="s">
        <v>2165</v>
      </c>
      <c r="B750" s="710" t="s">
        <v>2186</v>
      </c>
      <c r="C750" s="124" t="str">
        <f t="shared" si="379"/>
        <v>UDV.u.farm_alt4</v>
      </c>
      <c r="D750" s="1091" t="str">
        <f t="shared" ca="1" si="422"/>
        <v>Deep pit, aeration, drag hose</v>
      </c>
      <c r="E750" s="1093" t="str">
        <f t="shared" si="405"/>
        <v>type</v>
      </c>
      <c r="F750" s="1095" t="str">
        <f ca="1">UI.Choice!BC107</f>
        <v>Deep pit, aeration, drag hose</v>
      </c>
      <c r="G750" s="1098" t="str">
        <f>UI.Choice!BD107</f>
        <v>Fourth ranked scenario</v>
      </c>
      <c r="H750" s="1101" t="str">
        <f t="shared" si="427"/>
        <v>Fourth ranked scenario</v>
      </c>
      <c r="I750" s="956" t="str">
        <f t="shared" si="423"/>
        <v>type</v>
      </c>
      <c r="J750" t="s">
        <v>838</v>
      </c>
      <c r="K750" t="s">
        <v>2180</v>
      </c>
      <c r="N750">
        <v>1</v>
      </c>
      <c r="O750" t="s">
        <v>2167</v>
      </c>
      <c r="P750" t="s">
        <v>2187</v>
      </c>
      <c r="S750" t="s">
        <v>84</v>
      </c>
      <c r="V750" t="str">
        <f t="shared" si="421"/>
        <v>Fix</v>
      </c>
      <c r="W750" s="78" t="s">
        <v>555</v>
      </c>
      <c r="X750">
        <v>0</v>
      </c>
      <c r="Y750">
        <v>0</v>
      </c>
      <c r="Z750" t="str">
        <f>Units!B$124</f>
        <v>type</v>
      </c>
      <c r="AA750">
        <f>Units!C$124</f>
        <v>1</v>
      </c>
      <c r="AB750">
        <f>Units!D$124</f>
        <v>1</v>
      </c>
      <c r="AC750" t="str">
        <f>Units!E$124</f>
        <v>type</v>
      </c>
      <c r="AD750" t="str">
        <f>Units!F$124</f>
        <v>type</v>
      </c>
      <c r="AE750" t="str">
        <f>Units!G$124</f>
        <v>type</v>
      </c>
      <c r="AF750" t="str">
        <f>Units!H$124</f>
        <v>type</v>
      </c>
    </row>
    <row r="751" spans="1:32" x14ac:dyDescent="0.3">
      <c r="A751" s="710" t="s">
        <v>2165</v>
      </c>
      <c r="B751" s="710" t="s">
        <v>2188</v>
      </c>
      <c r="C751" s="124" t="str">
        <f t="shared" si="379"/>
        <v>UDV.u.farm_baseline</v>
      </c>
      <c r="D751" s="1091" t="str">
        <f t="shared" si="422"/>
        <v>Deep pit, tanker</v>
      </c>
      <c r="E751" s="1093" t="str">
        <f t="shared" si="405"/>
        <v>type</v>
      </c>
      <c r="F751" s="1095" t="str">
        <f>UI.Farm!BC215</f>
        <v>Deep pit, tanker</v>
      </c>
      <c r="G751" s="1098" t="str">
        <f>UI.Farm!BD215</f>
        <v>Deep pit, tanker</v>
      </c>
      <c r="H751" s="1101" t="str">
        <f t="shared" si="427"/>
        <v>Fifth ranked scenario</v>
      </c>
      <c r="I751" s="956" t="str">
        <f t="shared" si="423"/>
        <v>type</v>
      </c>
      <c r="J751" t="s">
        <v>838</v>
      </c>
      <c r="K751" t="s">
        <v>1085</v>
      </c>
      <c r="N751">
        <v>1</v>
      </c>
      <c r="O751" t="s">
        <v>2167</v>
      </c>
      <c r="P751" t="s">
        <v>2189</v>
      </c>
      <c r="Q751" t="s">
        <v>2190</v>
      </c>
      <c r="S751" t="s">
        <v>84</v>
      </c>
      <c r="V751" t="str">
        <f t="shared" si="421"/>
        <v>Fix</v>
      </c>
      <c r="W751" s="78" t="s">
        <v>2191</v>
      </c>
      <c r="X751">
        <v>0</v>
      </c>
      <c r="Y751">
        <v>0</v>
      </c>
      <c r="Z751" t="str">
        <f>Units!B$124</f>
        <v>type</v>
      </c>
      <c r="AA751">
        <f>Units!C$124</f>
        <v>1</v>
      </c>
      <c r="AB751">
        <f>Units!D$124</f>
        <v>1</v>
      </c>
      <c r="AC751" t="str">
        <f>Units!E$124</f>
        <v>type</v>
      </c>
      <c r="AD751" t="str">
        <f>Units!F$124</f>
        <v>type</v>
      </c>
      <c r="AE751" t="str">
        <f>Units!G$124</f>
        <v>type</v>
      </c>
      <c r="AF751" t="str">
        <f>Units!H$124</f>
        <v>type</v>
      </c>
    </row>
    <row r="752" spans="1:32" x14ac:dyDescent="0.3">
      <c r="A752" s="710" t="s">
        <v>2165</v>
      </c>
      <c r="B752" s="710" t="s">
        <v>2192</v>
      </c>
      <c r="C752" s="124" t="str">
        <f t="shared" si="379"/>
        <v>UDV.u.farm_name</v>
      </c>
      <c r="D752" s="1091" t="str">
        <f t="shared" si="422"/>
        <v>Wean to Finish Test Farm</v>
      </c>
      <c r="E752" s="1093" t="str">
        <f t="shared" si="405"/>
        <v>name</v>
      </c>
      <c r="F752" s="1095" t="str">
        <f>UI.Farm!BC214</f>
        <v>Wean to Finish Test Farm</v>
      </c>
      <c r="G752" s="1098" t="str">
        <f>UI.Farm!BD214</f>
        <v>Wean to Finish Test Farm</v>
      </c>
      <c r="H752" s="1101" t="str">
        <f t="shared" si="427"/>
        <v>Example Farm</v>
      </c>
      <c r="I752" s="956" t="str">
        <f t="shared" si="423"/>
        <v>name</v>
      </c>
      <c r="J752" t="s">
        <v>2193</v>
      </c>
      <c r="K752" t="s">
        <v>1085</v>
      </c>
      <c r="N752">
        <v>1</v>
      </c>
      <c r="O752" t="s">
        <v>2167</v>
      </c>
      <c r="P752" t="s">
        <v>2194</v>
      </c>
      <c r="Q752" t="s">
        <v>2195</v>
      </c>
      <c r="S752" t="s">
        <v>84</v>
      </c>
      <c r="V752" t="str">
        <f t="shared" si="421"/>
        <v>Fix</v>
      </c>
      <c r="W752" s="78" t="s">
        <v>2196</v>
      </c>
      <c r="X752">
        <v>0</v>
      </c>
      <c r="Y752">
        <v>0</v>
      </c>
      <c r="Z752" t="str">
        <f>Units!B$95</f>
        <v>name</v>
      </c>
      <c r="AA752">
        <f>Units!C$95</f>
        <v>1</v>
      </c>
      <c r="AB752">
        <f>Units!D$95</f>
        <v>1</v>
      </c>
      <c r="AC752" t="str">
        <f>Units!E$95</f>
        <v>name</v>
      </c>
      <c r="AD752" t="str">
        <f>Units!F$95</f>
        <v>name</v>
      </c>
      <c r="AE752" t="str">
        <f>Units!G$95</f>
        <v>name</v>
      </c>
      <c r="AF752" t="str">
        <f>Units!H$95</f>
        <v>name</v>
      </c>
    </row>
    <row r="753" spans="1:32" x14ac:dyDescent="0.3">
      <c r="A753" t="s">
        <v>2165</v>
      </c>
      <c r="B753" t="s">
        <v>2197</v>
      </c>
      <c r="C753" s="124" t="str">
        <f t="shared" si="379"/>
        <v>UDV.u.state</v>
      </c>
      <c r="D753" s="1091" t="str">
        <f t="shared" si="422"/>
        <v>Iowa</v>
      </c>
      <c r="E753" s="1093" t="str">
        <f t="shared" si="405"/>
        <v>state index</v>
      </c>
      <c r="F753" s="1095" t="str">
        <f>IF(OR(G753="",N753=0),H753,G753)</f>
        <v>Iowa</v>
      </c>
      <c r="H753" s="1101" t="str">
        <f t="shared" si="427"/>
        <v>Iowa</v>
      </c>
      <c r="I753" s="956" t="str">
        <f t="shared" si="423"/>
        <v>state index</v>
      </c>
      <c r="J753" t="s">
        <v>838</v>
      </c>
      <c r="N753">
        <f>IF(G753="",0,1)</f>
        <v>0</v>
      </c>
      <c r="O753" t="s">
        <v>2167</v>
      </c>
      <c r="P753" t="s">
        <v>2198</v>
      </c>
      <c r="Q753" t="s">
        <v>2190</v>
      </c>
      <c r="R753" s="696" t="s">
        <v>84</v>
      </c>
      <c r="S753" t="s">
        <v>84</v>
      </c>
      <c r="V753" t="str">
        <f t="shared" si="421"/>
        <v>Fix</v>
      </c>
      <c r="W753" s="78" t="str">
        <f>TRIM(LEFT(UDV.u.state_region,SEARCH("(",UDV.u.state_region)-1))</f>
        <v>Iowa</v>
      </c>
      <c r="X753">
        <v>0</v>
      </c>
      <c r="Y753">
        <v>0</v>
      </c>
      <c r="Z753" t="str">
        <f>Units!B$41</f>
        <v>state index</v>
      </c>
      <c r="AA753">
        <f>Units!C$41</f>
        <v>1</v>
      </c>
      <c r="AB753">
        <f>Units!D$41</f>
        <v>1</v>
      </c>
      <c r="AC753" t="str">
        <f>Units!E$41</f>
        <v>state index</v>
      </c>
      <c r="AD753" t="str">
        <f>Units!F$41</f>
        <v>state index</v>
      </c>
      <c r="AE753" t="str">
        <f>Units!G$41</f>
        <v>state index</v>
      </c>
      <c r="AF753" t="str">
        <f>Units!H$41</f>
        <v>state index</v>
      </c>
    </row>
    <row r="754" spans="1:32" x14ac:dyDescent="0.3">
      <c r="A754" t="s">
        <v>2165</v>
      </c>
      <c r="B754" t="s">
        <v>2199</v>
      </c>
      <c r="C754" s="124" t="str">
        <f t="shared" si="379"/>
        <v>UDV.u.state_abrv</v>
      </c>
      <c r="D754" s="1091" t="str">
        <f t="shared" si="422"/>
        <v>IA</v>
      </c>
      <c r="E754" s="1093" t="str">
        <f t="shared" si="405"/>
        <v>state index</v>
      </c>
      <c r="F754" s="1095" t="str">
        <f>IF(OR(G754="",N754=0),H754,G754)</f>
        <v>IA</v>
      </c>
      <c r="H754" s="1101" t="str">
        <f t="shared" si="427"/>
        <v>IA</v>
      </c>
      <c r="I754" s="956" t="str">
        <f t="shared" si="423"/>
        <v>state index</v>
      </c>
      <c r="J754" t="s">
        <v>2193</v>
      </c>
      <c r="N754">
        <f>IF(G754="",0,1)</f>
        <v>0</v>
      </c>
      <c r="O754" t="s">
        <v>2167</v>
      </c>
      <c r="P754" t="s">
        <v>2200</v>
      </c>
      <c r="R754" s="696" t="s">
        <v>84</v>
      </c>
      <c r="S754" t="s">
        <v>84</v>
      </c>
      <c r="V754" t="str">
        <f t="shared" si="421"/>
        <v>Fix</v>
      </c>
      <c r="W754" s="78" t="str">
        <f>INDEX(T.Electricity!$C$4:$C$54,MATCH(UDV.u.state,T.Electricity!$B$4:$B$54,0))</f>
        <v>IA</v>
      </c>
      <c r="X754">
        <v>0</v>
      </c>
      <c r="Y754">
        <v>0</v>
      </c>
      <c r="Z754" t="str">
        <f>Units!B$41</f>
        <v>state index</v>
      </c>
      <c r="AA754">
        <f>Units!C$41</f>
        <v>1</v>
      </c>
      <c r="AB754">
        <f>Units!D$41</f>
        <v>1</v>
      </c>
      <c r="AC754" t="str">
        <f>Units!E$41</f>
        <v>state index</v>
      </c>
      <c r="AD754" t="str">
        <f>Units!F$41</f>
        <v>state index</v>
      </c>
      <c r="AE754" t="str">
        <f>Units!G$41</f>
        <v>state index</v>
      </c>
      <c r="AF754" t="str">
        <f>Units!H$41</f>
        <v>state index</v>
      </c>
    </row>
    <row r="755" spans="1:32" x14ac:dyDescent="0.3">
      <c r="A755" t="s">
        <v>2165</v>
      </c>
      <c r="B755" t="s">
        <v>2201</v>
      </c>
      <c r="C755" s="124" t="str">
        <f t="shared" si="379"/>
        <v>UDV.u.state_region</v>
      </c>
      <c r="D755" s="1155" t="str">
        <f t="shared" si="422"/>
        <v>Iowa (Northwest)</v>
      </c>
      <c r="E755" s="1093" t="str">
        <f t="shared" si="405"/>
        <v>state index</v>
      </c>
      <c r="F755" s="1095" t="str">
        <f>UI.Farm!BC216</f>
        <v>Iowa (Northwest)</v>
      </c>
      <c r="G755" s="1098" t="str">
        <f>UI.Farm!BD216</f>
        <v>Iowa (Northwest)</v>
      </c>
      <c r="H755" s="1102" t="str">
        <f>W755</f>
        <v>Arkansas (Northwest)</v>
      </c>
      <c r="I755" s="956" t="str">
        <f t="shared" si="423"/>
        <v>state index</v>
      </c>
      <c r="J755" t="s">
        <v>838</v>
      </c>
      <c r="K755" t="s">
        <v>1085</v>
      </c>
      <c r="N755">
        <f>IF(G755="",0,1)</f>
        <v>1</v>
      </c>
      <c r="O755" t="s">
        <v>2167</v>
      </c>
      <c r="P755" t="s">
        <v>2202</v>
      </c>
      <c r="S755" t="s">
        <v>84</v>
      </c>
      <c r="V755" t="str">
        <f t="shared" si="421"/>
        <v>Fix</v>
      </c>
      <c r="W755" s="78" t="str">
        <f>INDEX(DROPS.u.state_region,16)</f>
        <v>Arkansas (Northwest)</v>
      </c>
      <c r="X755" t="str">
        <f>TRIM(LEFT(W755,SEARCH("(",W755)-1))</f>
        <v>Arkansas</v>
      </c>
      <c r="Y755" t="s">
        <v>2203</v>
      </c>
      <c r="Z755" t="str">
        <f>Units!B$41</f>
        <v>state index</v>
      </c>
      <c r="AA755">
        <f>Units!C$41</f>
        <v>1</v>
      </c>
      <c r="AB755">
        <f>Units!D$41</f>
        <v>1</v>
      </c>
      <c r="AC755" t="str">
        <f>Units!E$41</f>
        <v>state index</v>
      </c>
      <c r="AD755" t="str">
        <f>Units!F$41</f>
        <v>state index</v>
      </c>
      <c r="AE755" t="str">
        <f>Units!G$41</f>
        <v>state index</v>
      </c>
      <c r="AF755" t="str">
        <f>Units!H$41</f>
        <v>state index</v>
      </c>
    </row>
    <row r="756" spans="1:32" x14ac:dyDescent="0.3">
      <c r="A756" t="s">
        <v>2165</v>
      </c>
      <c r="B756" t="s">
        <v>2204</v>
      </c>
      <c r="C756" s="124" t="str">
        <f t="shared" si="379"/>
        <v>UDV.u.state_temp_days</v>
      </c>
      <c r="D756" s="1091">
        <f>$F756*$AB756</f>
        <v>43.85</v>
      </c>
      <c r="E756" s="1093" t="str">
        <f>$AD756</f>
        <v>day</v>
      </c>
      <c r="F756" s="1095">
        <f>IF(OR(G756="",N756=0),H756,G756)</f>
        <v>43.85</v>
      </c>
      <c r="H756" s="1102">
        <f>$W756*$AA756</f>
        <v>43.85</v>
      </c>
      <c r="I756" s="956" t="str">
        <f>$AC756</f>
        <v>day</v>
      </c>
      <c r="J756" t="s">
        <v>688</v>
      </c>
      <c r="L756">
        <f t="shared" ref="L756:L758" si="428">ROUNDDOWN($X756*$AA756,3)</f>
        <v>0</v>
      </c>
      <c r="M756">
        <f t="shared" ref="M756:M758" si="429">ROUNDUP($Y756*$AA756,3)</f>
        <v>365</v>
      </c>
      <c r="N756">
        <f>IF(AND(G756&lt;=M756, G756&gt;=L756),1,0)</f>
        <v>1</v>
      </c>
      <c r="O756" t="s">
        <v>2167</v>
      </c>
      <c r="P756" t="s">
        <v>2205</v>
      </c>
      <c r="R756" s="696" t="s">
        <v>84</v>
      </c>
      <c r="S756" t="s">
        <v>84</v>
      </c>
      <c r="V756" t="str">
        <f t="shared" si="421"/>
        <v/>
      </c>
      <c r="W756" s="78">
        <f>T.Regional_Data!F3</f>
        <v>43.85</v>
      </c>
      <c r="X756">
        <v>0</v>
      </c>
      <c r="Y756">
        <v>365</v>
      </c>
      <c r="Z756" t="str">
        <f>Units!B$110</f>
        <v>day</v>
      </c>
      <c r="AA756">
        <f>Units!C$110</f>
        <v>1</v>
      </c>
      <c r="AB756">
        <f>Units!D$110</f>
        <v>1</v>
      </c>
      <c r="AC756" t="str">
        <f>Units!E$110</f>
        <v>day</v>
      </c>
      <c r="AD756" t="str">
        <f>Units!F$110</f>
        <v>day</v>
      </c>
      <c r="AE756" t="str">
        <f>Units!G$110</f>
        <v>day</v>
      </c>
      <c r="AF756" t="str">
        <f>Units!H$110</f>
        <v>day</v>
      </c>
    </row>
    <row r="757" spans="1:32" x14ac:dyDescent="0.3">
      <c r="A757" t="s">
        <v>2165</v>
      </c>
      <c r="B757" t="s">
        <v>2206</v>
      </c>
      <c r="C757" s="124" t="str">
        <f t="shared" si="379"/>
        <v>UDV.u.state_climate_zone</v>
      </c>
      <c r="D757" s="1091" t="str">
        <f t="shared" si="422"/>
        <v>CoolTempMoist</v>
      </c>
      <c r="F757" s="1095" t="str">
        <f>IF(OR(G757="",N757=0),H757,G757)</f>
        <v>CoolTempMoist</v>
      </c>
      <c r="H757" s="1102" t="str">
        <f>W757</f>
        <v>CoolTempMoist</v>
      </c>
      <c r="I757" s="956" t="str">
        <f>$AC757</f>
        <v>type</v>
      </c>
      <c r="J757" t="s">
        <v>2193</v>
      </c>
      <c r="N757">
        <f>IF(G757="",0,1)</f>
        <v>0</v>
      </c>
      <c r="O757" t="s">
        <v>2167</v>
      </c>
      <c r="P757" t="s">
        <v>2207</v>
      </c>
      <c r="W757" s="78" t="str">
        <f>T.Regional_Data!G3</f>
        <v>CoolTempMoist</v>
      </c>
      <c r="Z757" t="str">
        <f>Units!B$124</f>
        <v>type</v>
      </c>
      <c r="AA757">
        <f>Units!C$124</f>
        <v>1</v>
      </c>
      <c r="AB757">
        <f>Units!D$124</f>
        <v>1</v>
      </c>
      <c r="AC757" t="str">
        <f>Units!E$124</f>
        <v>type</v>
      </c>
      <c r="AD757" t="str">
        <f>Units!F$124</f>
        <v>type</v>
      </c>
      <c r="AE757" t="str">
        <f>Units!G$124</f>
        <v>type</v>
      </c>
      <c r="AF757" t="str">
        <f>Units!H$124</f>
        <v>type</v>
      </c>
    </row>
    <row r="758" spans="1:32" x14ac:dyDescent="0.3">
      <c r="A758" t="s">
        <v>2165</v>
      </c>
      <c r="B758" t="s">
        <v>2208</v>
      </c>
      <c r="C758" s="124" t="str">
        <f t="shared" si="379"/>
        <v>UDV.u.unit_index</v>
      </c>
      <c r="D758" s="1091">
        <f>$F758</f>
        <v>2</v>
      </c>
      <c r="E758" s="1093" t="str">
        <f>$AD758</f>
        <v>index</v>
      </c>
      <c r="F758" s="1095">
        <f>IF(OR(G758="",N758=0),H758,G758)</f>
        <v>2</v>
      </c>
      <c r="G758" s="1098">
        <f>IF(UDV.u.unit_system="Metric",1,2)</f>
        <v>2</v>
      </c>
      <c r="H758" s="1104">
        <v>1</v>
      </c>
      <c r="I758" s="956" t="s">
        <v>2209</v>
      </c>
      <c r="J758" t="s">
        <v>688</v>
      </c>
      <c r="L758">
        <f t="shared" si="428"/>
        <v>1</v>
      </c>
      <c r="M758">
        <f t="shared" si="429"/>
        <v>2</v>
      </c>
      <c r="N758">
        <f>IF(ISNUMBER(G758),1,0)</f>
        <v>1</v>
      </c>
      <c r="O758" t="s">
        <v>2167</v>
      </c>
      <c r="P758" t="s">
        <v>2210</v>
      </c>
      <c r="S758" t="s">
        <v>84</v>
      </c>
      <c r="V758" t="str">
        <f t="shared" si="421"/>
        <v/>
      </c>
      <c r="W758" s="78">
        <v>1</v>
      </c>
      <c r="X758">
        <v>1</v>
      </c>
      <c r="Y758">
        <v>2</v>
      </c>
      <c r="Z758" t="str">
        <f>Units!B$40</f>
        <v>index</v>
      </c>
      <c r="AA758">
        <f>Units!C$40</f>
        <v>1</v>
      </c>
      <c r="AB758">
        <f>Units!D$40</f>
        <v>1</v>
      </c>
      <c r="AC758" t="str">
        <f>Units!E$40</f>
        <v>index</v>
      </c>
      <c r="AD758" t="str">
        <f>Units!F$40</f>
        <v>index</v>
      </c>
      <c r="AE758" t="str">
        <f>Units!G$40</f>
        <v>index</v>
      </c>
      <c r="AF758" t="str">
        <f>Units!H$40</f>
        <v>index</v>
      </c>
    </row>
    <row r="759" spans="1:32" x14ac:dyDescent="0.3">
      <c r="A759" t="s">
        <v>2165</v>
      </c>
      <c r="B759" t="s">
        <v>2211</v>
      </c>
      <c r="C759" s="124" t="str">
        <f t="shared" si="379"/>
        <v>UDV.u.unit_system</v>
      </c>
      <c r="D759" s="1091" t="str">
        <f>F759</f>
        <v>US Customary</v>
      </c>
      <c r="E759" s="1093" t="s">
        <v>2008</v>
      </c>
      <c r="F759" s="1095" t="str">
        <f>Units!D257</f>
        <v>US Customary</v>
      </c>
      <c r="H759" s="1104" t="s">
        <v>2212</v>
      </c>
      <c r="I759" s="956" t="s">
        <v>2008</v>
      </c>
      <c r="J759" t="s">
        <v>838</v>
      </c>
      <c r="N759">
        <v>1</v>
      </c>
      <c r="O759" t="s">
        <v>2167</v>
      </c>
      <c r="P759" t="s">
        <v>2213</v>
      </c>
      <c r="S759" t="s">
        <v>84</v>
      </c>
      <c r="V759" t="str">
        <f t="shared" si="421"/>
        <v>Fix</v>
      </c>
      <c r="W759" s="78" t="s">
        <v>2212</v>
      </c>
      <c r="X759">
        <v>0</v>
      </c>
      <c r="Y759">
        <v>0</v>
      </c>
      <c r="Z759" t="str">
        <f>Units!B$124</f>
        <v>type</v>
      </c>
      <c r="AA759">
        <f>Units!C$124</f>
        <v>1</v>
      </c>
      <c r="AB759">
        <f>Units!D$124</f>
        <v>1</v>
      </c>
      <c r="AC759" t="str">
        <f>Units!E$124</f>
        <v>type</v>
      </c>
      <c r="AD759" t="str">
        <f>Units!F$124</f>
        <v>type</v>
      </c>
      <c r="AE759" t="str">
        <f>Units!G$124</f>
        <v>type</v>
      </c>
      <c r="AF759" t="str">
        <f>Units!H$124</f>
        <v>type</v>
      </c>
    </row>
    <row r="760" spans="1:32" x14ac:dyDescent="0.3">
      <c r="A760" t="s">
        <v>2214</v>
      </c>
      <c r="B760" t="s">
        <v>1582</v>
      </c>
      <c r="C760" s="124" t="str">
        <f t="shared" si="379"/>
        <v>UDV.water.avg_cost</v>
      </c>
      <c r="D760" s="1091">
        <f t="shared" ref="D760:D779" si="430">$F760*$AB760</f>
        <v>3.858144828221536</v>
      </c>
      <c r="E760" s="1093" t="str">
        <f>$AD760</f>
        <v>$/1000 gal</v>
      </c>
      <c r="F760" s="1095">
        <f>UI.OpExpenses!BC112</f>
        <v>3.858144828221536</v>
      </c>
      <c r="G760" s="1098" t="str">
        <f>UI.OpExpenses!BD112</f>
        <v/>
      </c>
      <c r="H760" s="1102">
        <f t="shared" ref="H760:H779" si="431">$W760*$AA760</f>
        <v>3.858144828221536</v>
      </c>
      <c r="I760" s="956" t="str">
        <f>$AC760</f>
        <v>$/1000 gal</v>
      </c>
      <c r="J760" t="s">
        <v>688</v>
      </c>
      <c r="K760" t="s">
        <v>1315</v>
      </c>
      <c r="L760">
        <f t="shared" ref="L760:L761" si="432">ROUNDDOWN($X760*$AA760,3)</f>
        <v>6.0000000000000001E-3</v>
      </c>
      <c r="M760">
        <f t="shared" ref="M760" si="433">ROUNDUP($Y760*$AA760,3)</f>
        <v>14.536999999999999</v>
      </c>
      <c r="N760">
        <f>IF(AND(G760&lt;=M760, G760&gt;=L760),1,0)</f>
        <v>0</v>
      </c>
      <c r="O760" t="s">
        <v>2215</v>
      </c>
      <c r="P760" t="s">
        <v>2216</v>
      </c>
      <c r="R760" s="696" t="s">
        <v>84</v>
      </c>
      <c r="V760" t="str">
        <f t="shared" si="421"/>
        <v/>
      </c>
      <c r="W760" s="78">
        <f>INDEX('Utilities&amp;Labor'!$B$4:$B$54,MATCH(UDV.u.state,'Utilities&amp;Labor'!$A$4:$A$54))</f>
        <v>3.858144828221536</v>
      </c>
      <c r="X760">
        <f>MIN('Utilities&amp;Labor'!$B$4:$B$54)*0.25</f>
        <v>6.7258545927295693E-3</v>
      </c>
      <c r="Y760">
        <f>MAX('Utilities&amp;Labor'!$B$4:$B$54)*2</f>
        <v>14.536698620389917</v>
      </c>
      <c r="Z760" t="str">
        <f>Units!B$27</f>
        <v>$/1000 gal</v>
      </c>
      <c r="AA760">
        <f>Units!C$27</f>
        <v>1</v>
      </c>
      <c r="AB760">
        <f>Units!D$27</f>
        <v>1</v>
      </c>
      <c r="AC760" t="str">
        <f>Units!E$27</f>
        <v>$/1000 gal</v>
      </c>
      <c r="AD760" t="str">
        <f>Units!F$27</f>
        <v>$/1000 gal</v>
      </c>
      <c r="AE760" t="str">
        <f>Units!G$27</f>
        <v>$/1000 L</v>
      </c>
      <c r="AF760" t="str">
        <f>Units!H$27</f>
        <v>$/1000 gal</v>
      </c>
    </row>
    <row r="761" spans="1:32" x14ac:dyDescent="0.3">
      <c r="A761" t="s">
        <v>2214</v>
      </c>
      <c r="B761" t="s">
        <v>2217</v>
      </c>
      <c r="C761" s="124" t="str">
        <f t="shared" si="379"/>
        <v>UDV.water.irrigation_amount</v>
      </c>
      <c r="D761" s="1091">
        <f t="shared" si="430"/>
        <v>0</v>
      </c>
      <c r="E761" s="1093" t="str">
        <f>$AD761</f>
        <v>L/hectare</v>
      </c>
      <c r="H761" s="1102">
        <f t="shared" si="431"/>
        <v>0</v>
      </c>
      <c r="I761" s="956" t="str">
        <f>$AC761</f>
        <v>gal/acre</v>
      </c>
      <c r="J761" t="s">
        <v>1404</v>
      </c>
      <c r="L761">
        <f t="shared" si="432"/>
        <v>0</v>
      </c>
      <c r="N761">
        <f>IF(AND(G761&gt;=L761),1,0)</f>
        <v>1</v>
      </c>
      <c r="O761" t="s">
        <v>2215</v>
      </c>
      <c r="P761" t="s">
        <v>2218</v>
      </c>
      <c r="S761" t="s">
        <v>84</v>
      </c>
      <c r="W761" s="78">
        <v>0</v>
      </c>
      <c r="X761">
        <v>0</v>
      </c>
      <c r="Z761" t="str">
        <f>Units!B$133</f>
        <v>L/hectare</v>
      </c>
      <c r="AA761">
        <f>Units!C$133</f>
        <v>0.10690663512436201</v>
      </c>
      <c r="AB761">
        <f>Units!D$133</f>
        <v>9.353956364230557</v>
      </c>
      <c r="AC761" t="str">
        <f>Units!E$133</f>
        <v>gal/acre</v>
      </c>
      <c r="AD761" t="str">
        <f>Units!F$133</f>
        <v>L/hectare</v>
      </c>
      <c r="AE761" t="str">
        <f>Units!G$133</f>
        <v>L/hectare</v>
      </c>
      <c r="AF761" t="str">
        <f>Units!H$133</f>
        <v>gal/acre</v>
      </c>
    </row>
    <row r="762" spans="1:32" x14ac:dyDescent="0.3">
      <c r="A762" t="s">
        <v>2219</v>
      </c>
      <c r="B762" t="s">
        <v>2220</v>
      </c>
      <c r="C762" s="124" t="str">
        <f t="shared" si="379"/>
        <v>UDV.weight.cost_capex</v>
      </c>
      <c r="D762" s="1091">
        <f t="shared" si="430"/>
        <v>0.20512820512820512</v>
      </c>
      <c r="E762" s="1093" t="s">
        <v>1694</v>
      </c>
      <c r="F762" s="1095">
        <f t="shared" ref="F762:F779" si="434">IF(OR(G762="",N762=0),H762,G762)</f>
        <v>0.20512820512820512</v>
      </c>
      <c r="G762" s="1098">
        <f>UI.Priorities!BG187</f>
        <v>0.20512820512820512</v>
      </c>
      <c r="H762" s="1102">
        <f t="shared" si="431"/>
        <v>5.5555555555555552E-2</v>
      </c>
      <c r="I762" s="956" t="s">
        <v>1694</v>
      </c>
      <c r="J762" t="s">
        <v>1422</v>
      </c>
      <c r="K762" t="s">
        <v>1351</v>
      </c>
      <c r="L762">
        <f>ROUNDDOWN($X762*$AA762,10)</f>
        <v>1.0000000000000001E-9</v>
      </c>
      <c r="M762">
        <f t="shared" ref="M762:M779" si="435">ROUNDUP($Y762*$AA762,3)</f>
        <v>1.01</v>
      </c>
      <c r="N762">
        <f t="shared" ref="N762:N775" si="436">IF(OR(G762=0,G762=""),0,1)</f>
        <v>1</v>
      </c>
      <c r="O762" t="s">
        <v>2221</v>
      </c>
      <c r="P762" t="s">
        <v>2222</v>
      </c>
      <c r="Q762" s="643" t="s">
        <v>2223</v>
      </c>
      <c r="S762" t="s">
        <v>84</v>
      </c>
      <c r="V762" t="str">
        <f t="shared" ref="V762:V779" si="437">IF(OR((M762-L762)&lt;=0,H762&gt;M762,H762&lt;L762),"Fix","")</f>
        <v/>
      </c>
      <c r="W762" s="1104">
        <v>5.5555555555555552E-2</v>
      </c>
      <c r="X762">
        <v>1.0000000000000001E-9</v>
      </c>
      <c r="Y762">
        <v>1.01</v>
      </c>
      <c r="Z762" t="str">
        <f>Units!B$35</f>
        <v>fraction</v>
      </c>
      <c r="AA762">
        <f>Units!C$35</f>
        <v>1</v>
      </c>
      <c r="AB762">
        <f>Units!D$35</f>
        <v>1</v>
      </c>
      <c r="AC762" t="str">
        <f>Units!E$35</f>
        <v>fraction</v>
      </c>
      <c r="AD762" t="str">
        <f>Units!F$35</f>
        <v>fraction</v>
      </c>
      <c r="AE762" t="str">
        <f>Units!G$35</f>
        <v>fraction</v>
      </c>
      <c r="AF762" t="str">
        <f>Units!H$35</f>
        <v>fraction</v>
      </c>
    </row>
    <row r="763" spans="1:32" x14ac:dyDescent="0.3">
      <c r="A763" t="s">
        <v>2219</v>
      </c>
      <c r="B763" t="s">
        <v>2224</v>
      </c>
      <c r="C763" s="124" t="str">
        <f t="shared" si="379"/>
        <v>UDV.weight.cost_fert</v>
      </c>
      <c r="D763" s="1091">
        <f t="shared" si="430"/>
        <v>2.564102564102564E-2</v>
      </c>
      <c r="E763" s="1093" t="s">
        <v>1694</v>
      </c>
      <c r="F763" s="1095">
        <f t="shared" si="434"/>
        <v>2.564102564102564E-2</v>
      </c>
      <c r="G763" s="1098">
        <f>UI.Priorities!BG190</f>
        <v>2.564102564102564E-2</v>
      </c>
      <c r="H763" s="1102">
        <f t="shared" si="431"/>
        <v>5.5555555555555552E-2</v>
      </c>
      <c r="I763" s="956" t="s">
        <v>1694</v>
      </c>
      <c r="J763" t="s">
        <v>1422</v>
      </c>
      <c r="K763" t="s">
        <v>1351</v>
      </c>
      <c r="L763">
        <f t="shared" ref="L763:L779" si="438">ROUNDDOWN($X763*$AA763,10)</f>
        <v>1.0000000000000001E-9</v>
      </c>
      <c r="M763">
        <f t="shared" si="435"/>
        <v>1.01</v>
      </c>
      <c r="N763">
        <f t="shared" si="436"/>
        <v>1</v>
      </c>
      <c r="O763" t="s">
        <v>2221</v>
      </c>
      <c r="P763" t="s">
        <v>2225</v>
      </c>
      <c r="Q763" s="643" t="s">
        <v>2223</v>
      </c>
      <c r="S763" t="s">
        <v>84</v>
      </c>
      <c r="V763" t="str">
        <f t="shared" si="437"/>
        <v/>
      </c>
      <c r="W763" s="1104">
        <v>5.5555555555555552E-2</v>
      </c>
      <c r="X763">
        <v>1.0000000000000001E-9</v>
      </c>
      <c r="Y763">
        <v>1.01</v>
      </c>
      <c r="Z763" t="str">
        <f>Units!B$35</f>
        <v>fraction</v>
      </c>
      <c r="AA763">
        <f>Units!C$35</f>
        <v>1</v>
      </c>
      <c r="AB763">
        <f>Units!D$35</f>
        <v>1</v>
      </c>
      <c r="AC763" t="str">
        <f>Units!E$35</f>
        <v>fraction</v>
      </c>
      <c r="AD763" t="str">
        <f>Units!F$35</f>
        <v>fraction</v>
      </c>
      <c r="AE763" t="str">
        <f>Units!G$35</f>
        <v>fraction</v>
      </c>
      <c r="AF763" t="str">
        <f>Units!H$35</f>
        <v>fraction</v>
      </c>
    </row>
    <row r="764" spans="1:32" x14ac:dyDescent="0.3">
      <c r="A764" t="s">
        <v>2219</v>
      </c>
      <c r="B764" t="s">
        <v>2226</v>
      </c>
      <c r="C764" s="124" t="str">
        <f t="shared" si="379"/>
        <v>UDV.weight.cost_net</v>
      </c>
      <c r="D764" s="1091">
        <f t="shared" si="430"/>
        <v>0.20512820512820512</v>
      </c>
      <c r="E764" s="1093" t="s">
        <v>1694</v>
      </c>
      <c r="F764" s="1095">
        <f t="shared" si="434"/>
        <v>0.20512820512820512</v>
      </c>
      <c r="G764" s="1098">
        <f>UI.Priorities!BG189</f>
        <v>0.20512820512820512</v>
      </c>
      <c r="H764" s="1102">
        <f t="shared" si="431"/>
        <v>5.5555555555555552E-2</v>
      </c>
      <c r="I764" s="956" t="s">
        <v>1694</v>
      </c>
      <c r="J764" t="s">
        <v>1422</v>
      </c>
      <c r="K764" t="s">
        <v>1351</v>
      </c>
      <c r="L764">
        <f t="shared" si="438"/>
        <v>1.0000000000000001E-9</v>
      </c>
      <c r="M764">
        <f t="shared" si="435"/>
        <v>1.01</v>
      </c>
      <c r="N764">
        <f t="shared" si="436"/>
        <v>1</v>
      </c>
      <c r="O764" t="s">
        <v>2221</v>
      </c>
      <c r="P764" t="s">
        <v>2227</v>
      </c>
      <c r="Q764" s="643" t="s">
        <v>2223</v>
      </c>
      <c r="S764" t="s">
        <v>84</v>
      </c>
      <c r="V764" t="str">
        <f t="shared" si="437"/>
        <v/>
      </c>
      <c r="W764" s="1104">
        <v>5.5555555555555552E-2</v>
      </c>
      <c r="X764">
        <v>1.0000000000000001E-9</v>
      </c>
      <c r="Y764">
        <v>1.01</v>
      </c>
      <c r="Z764" t="str">
        <f>Units!B$35</f>
        <v>fraction</v>
      </c>
      <c r="AA764">
        <f>Units!C$35</f>
        <v>1</v>
      </c>
      <c r="AB764">
        <f>Units!D$35</f>
        <v>1</v>
      </c>
      <c r="AC764" t="str">
        <f>Units!E$35</f>
        <v>fraction</v>
      </c>
      <c r="AD764" t="str">
        <f>Units!F$35</f>
        <v>fraction</v>
      </c>
      <c r="AE764" t="str">
        <f>Units!G$35</f>
        <v>fraction</v>
      </c>
      <c r="AF764" t="str">
        <f>Units!H$35</f>
        <v>fraction</v>
      </c>
    </row>
    <row r="765" spans="1:32" x14ac:dyDescent="0.3">
      <c r="A765" t="s">
        <v>2219</v>
      </c>
      <c r="B765" t="s">
        <v>2228</v>
      </c>
      <c r="C765" s="124" t="str">
        <f t="shared" si="379"/>
        <v>UDV.weight.cost_opex</v>
      </c>
      <c r="D765" s="1091">
        <f t="shared" si="430"/>
        <v>0.20512820512820512</v>
      </c>
      <c r="E765" s="1093" t="s">
        <v>1694</v>
      </c>
      <c r="F765" s="1095">
        <f t="shared" si="434"/>
        <v>0.20512820512820512</v>
      </c>
      <c r="G765" s="1098">
        <f>UI.Priorities!BG188</f>
        <v>0.20512820512820512</v>
      </c>
      <c r="H765" s="1102">
        <f t="shared" si="431"/>
        <v>5.5555555555555552E-2</v>
      </c>
      <c r="I765" s="956" t="s">
        <v>1694</v>
      </c>
      <c r="J765" t="s">
        <v>1422</v>
      </c>
      <c r="K765" t="s">
        <v>1351</v>
      </c>
      <c r="L765">
        <f t="shared" si="438"/>
        <v>1.0000000000000001E-9</v>
      </c>
      <c r="M765">
        <f t="shared" si="435"/>
        <v>1.01</v>
      </c>
      <c r="N765">
        <f t="shared" si="436"/>
        <v>1</v>
      </c>
      <c r="O765" t="s">
        <v>2221</v>
      </c>
      <c r="P765" t="s">
        <v>2229</v>
      </c>
      <c r="Q765" s="643" t="s">
        <v>2223</v>
      </c>
      <c r="S765" t="s">
        <v>84</v>
      </c>
      <c r="V765" t="str">
        <f t="shared" si="437"/>
        <v/>
      </c>
      <c r="W765" s="1104">
        <v>5.5555555555555552E-2</v>
      </c>
      <c r="X765">
        <v>1.0000000000000001E-9</v>
      </c>
      <c r="Y765">
        <v>1.01</v>
      </c>
      <c r="Z765" t="str">
        <f>Units!B$35</f>
        <v>fraction</v>
      </c>
      <c r="AA765">
        <f>Units!C$35</f>
        <v>1</v>
      </c>
      <c r="AB765">
        <f>Units!D$35</f>
        <v>1</v>
      </c>
      <c r="AC765" t="str">
        <f>Units!E$35</f>
        <v>fraction</v>
      </c>
      <c r="AD765" t="str">
        <f>Units!F$35</f>
        <v>fraction</v>
      </c>
      <c r="AE765" t="str">
        <f>Units!G$35</f>
        <v>fraction</v>
      </c>
      <c r="AF765" t="str">
        <f>Units!H$35</f>
        <v>fraction</v>
      </c>
    </row>
    <row r="766" spans="1:32" x14ac:dyDescent="0.3">
      <c r="A766" t="s">
        <v>2219</v>
      </c>
      <c r="B766" t="s">
        <v>2230</v>
      </c>
      <c r="C766" s="124" t="str">
        <f t="shared" ref="C766:C779" si="439">_xlfn.CONCAT("UDV.",A766,".",B766)</f>
        <v>UDV.weight.cost_revenues</v>
      </c>
      <c r="D766" s="1091">
        <f t="shared" si="430"/>
        <v>2.564102564102564E-2</v>
      </c>
      <c r="E766" s="1093" t="s">
        <v>1694</v>
      </c>
      <c r="F766" s="1095">
        <f t="shared" si="434"/>
        <v>2.564102564102564E-2</v>
      </c>
      <c r="G766" s="1098">
        <f>UI.Priorities!BG192</f>
        <v>2.564102564102564E-2</v>
      </c>
      <c r="H766" s="1102">
        <f t="shared" si="431"/>
        <v>5.5555555555555552E-2</v>
      </c>
      <c r="I766" s="956" t="s">
        <v>1694</v>
      </c>
      <c r="J766" t="s">
        <v>1422</v>
      </c>
      <c r="K766" t="s">
        <v>1351</v>
      </c>
      <c r="L766">
        <f t="shared" si="438"/>
        <v>1.0000000000000001E-9</v>
      </c>
      <c r="M766">
        <f t="shared" si="435"/>
        <v>1.01</v>
      </c>
      <c r="N766">
        <f t="shared" si="436"/>
        <v>1</v>
      </c>
      <c r="O766" t="s">
        <v>2221</v>
      </c>
      <c r="P766" t="s">
        <v>2231</v>
      </c>
      <c r="Q766" s="643" t="s">
        <v>2223</v>
      </c>
      <c r="S766" t="s">
        <v>84</v>
      </c>
      <c r="V766" t="str">
        <f t="shared" si="437"/>
        <v/>
      </c>
      <c r="W766" s="1104">
        <v>5.5555555555555552E-2</v>
      </c>
      <c r="X766">
        <v>1.0000000000000001E-9</v>
      </c>
      <c r="Y766">
        <v>1.01</v>
      </c>
      <c r="Z766" t="str">
        <f>Units!B$35</f>
        <v>fraction</v>
      </c>
      <c r="AA766">
        <f>Units!C$35</f>
        <v>1</v>
      </c>
      <c r="AB766">
        <f>Units!D$35</f>
        <v>1</v>
      </c>
      <c r="AC766" t="str">
        <f>Units!E$35</f>
        <v>fraction</v>
      </c>
      <c r="AD766" t="str">
        <f>Units!F$35</f>
        <v>fraction</v>
      </c>
      <c r="AE766" t="str">
        <f>Units!G$35</f>
        <v>fraction</v>
      </c>
      <c r="AF766" t="str">
        <f>Units!H$35</f>
        <v>fraction</v>
      </c>
    </row>
    <row r="767" spans="1:32" x14ac:dyDescent="0.3">
      <c r="A767" t="s">
        <v>2219</v>
      </c>
      <c r="B767" t="s">
        <v>2232</v>
      </c>
      <c r="C767" s="124" t="str">
        <f t="shared" si="439"/>
        <v>UDV.weight.cost_savings</v>
      </c>
      <c r="D767" s="1091">
        <f t="shared" si="430"/>
        <v>2.564102564102564E-2</v>
      </c>
      <c r="E767" s="1093" t="s">
        <v>1694</v>
      </c>
      <c r="F767" s="1095">
        <f t="shared" si="434"/>
        <v>2.564102564102564E-2</v>
      </c>
      <c r="G767" s="1098">
        <f>UI.Priorities!BG191</f>
        <v>2.564102564102564E-2</v>
      </c>
      <c r="H767" s="1102">
        <f t="shared" si="431"/>
        <v>5.5555555555555552E-2</v>
      </c>
      <c r="I767" s="956" t="s">
        <v>1694</v>
      </c>
      <c r="J767" t="s">
        <v>1422</v>
      </c>
      <c r="K767" t="s">
        <v>1351</v>
      </c>
      <c r="L767">
        <f t="shared" si="438"/>
        <v>1.0000000000000001E-9</v>
      </c>
      <c r="M767">
        <f t="shared" si="435"/>
        <v>1.01</v>
      </c>
      <c r="N767">
        <f t="shared" si="436"/>
        <v>1</v>
      </c>
      <c r="O767" t="s">
        <v>2221</v>
      </c>
      <c r="P767" t="s">
        <v>2233</v>
      </c>
      <c r="Q767" s="643" t="s">
        <v>2223</v>
      </c>
      <c r="S767" t="s">
        <v>84</v>
      </c>
      <c r="V767" t="str">
        <f t="shared" si="437"/>
        <v/>
      </c>
      <c r="W767" s="1104">
        <v>5.5555555555555552E-2</v>
      </c>
      <c r="X767">
        <v>1.0000000000000001E-9</v>
      </c>
      <c r="Y767">
        <v>1.01</v>
      </c>
      <c r="Z767" t="str">
        <f>Units!B$35</f>
        <v>fraction</v>
      </c>
      <c r="AA767">
        <f>Units!C$35</f>
        <v>1</v>
      </c>
      <c r="AB767">
        <f>Units!D$35</f>
        <v>1</v>
      </c>
      <c r="AC767" t="str">
        <f>Units!E$35</f>
        <v>fraction</v>
      </c>
      <c r="AD767" t="str">
        <f>Units!F$35</f>
        <v>fraction</v>
      </c>
      <c r="AE767" t="str">
        <f>Units!G$35</f>
        <v>fraction</v>
      </c>
      <c r="AF767" t="str">
        <f>Units!H$35</f>
        <v>fraction</v>
      </c>
    </row>
    <row r="768" spans="1:32" x14ac:dyDescent="0.3">
      <c r="A768" t="s">
        <v>2219</v>
      </c>
      <c r="B768" t="s">
        <v>2234</v>
      </c>
      <c r="C768" s="124" t="str">
        <f t="shared" si="439"/>
        <v>UDV.weight.env_carbon</v>
      </c>
      <c r="D768" s="1091">
        <f t="shared" si="430"/>
        <v>2.564102564102564E-2</v>
      </c>
      <c r="E768" s="1093" t="s">
        <v>1694</v>
      </c>
      <c r="F768" s="1095">
        <f t="shared" si="434"/>
        <v>2.564102564102564E-2</v>
      </c>
      <c r="G768" s="1098">
        <f>UI.Priorities!BG193</f>
        <v>2.564102564102564E-2</v>
      </c>
      <c r="H768" s="1102">
        <f t="shared" si="431"/>
        <v>5.5555555555555552E-2</v>
      </c>
      <c r="I768" s="956" t="s">
        <v>1694</v>
      </c>
      <c r="J768" t="s">
        <v>1422</v>
      </c>
      <c r="K768" t="s">
        <v>1351</v>
      </c>
      <c r="L768">
        <f t="shared" si="438"/>
        <v>1.0000000000000001E-9</v>
      </c>
      <c r="M768">
        <f t="shared" si="435"/>
        <v>1.01</v>
      </c>
      <c r="N768">
        <f t="shared" si="436"/>
        <v>1</v>
      </c>
      <c r="O768" t="s">
        <v>2221</v>
      </c>
      <c r="P768" t="s">
        <v>2235</v>
      </c>
      <c r="Q768" s="643" t="s">
        <v>2223</v>
      </c>
      <c r="S768" t="s">
        <v>84</v>
      </c>
      <c r="V768" t="str">
        <f t="shared" si="437"/>
        <v/>
      </c>
      <c r="W768" s="1104">
        <v>5.5555555555555552E-2</v>
      </c>
      <c r="X768">
        <v>1.0000000000000001E-9</v>
      </c>
      <c r="Y768">
        <v>1.01</v>
      </c>
      <c r="Z768" t="str">
        <f>Units!B$35</f>
        <v>fraction</v>
      </c>
      <c r="AA768">
        <f>Units!C$35</f>
        <v>1</v>
      </c>
      <c r="AB768">
        <f>Units!D$35</f>
        <v>1</v>
      </c>
      <c r="AC768" t="str">
        <f>Units!E$35</f>
        <v>fraction</v>
      </c>
      <c r="AD768" t="str">
        <f>Units!F$35</f>
        <v>fraction</v>
      </c>
      <c r="AE768" t="str">
        <f>Units!G$35</f>
        <v>fraction</v>
      </c>
      <c r="AF768" t="str">
        <f>Units!H$35</f>
        <v>fraction</v>
      </c>
    </row>
    <row r="769" spans="1:32" x14ac:dyDescent="0.3">
      <c r="A769" t="s">
        <v>2219</v>
      </c>
      <c r="B769" t="s">
        <v>2236</v>
      </c>
      <c r="C769" s="124" t="str">
        <f t="shared" si="439"/>
        <v>UDV.weight.env_energy</v>
      </c>
      <c r="D769" s="1091">
        <f t="shared" si="430"/>
        <v>2.564102564102564E-2</v>
      </c>
      <c r="E769" s="1093" t="s">
        <v>1694</v>
      </c>
      <c r="F769" s="1095">
        <f t="shared" si="434"/>
        <v>2.564102564102564E-2</v>
      </c>
      <c r="G769" s="1098">
        <f>UI.Priorities!BG194</f>
        <v>2.564102564102564E-2</v>
      </c>
      <c r="H769" s="1102">
        <f t="shared" si="431"/>
        <v>5.5555555555555552E-2</v>
      </c>
      <c r="I769" s="956" t="s">
        <v>1694</v>
      </c>
      <c r="J769" t="s">
        <v>1422</v>
      </c>
      <c r="K769" t="s">
        <v>1351</v>
      </c>
      <c r="L769">
        <f t="shared" si="438"/>
        <v>1.0000000000000001E-9</v>
      </c>
      <c r="M769">
        <f t="shared" si="435"/>
        <v>1.01</v>
      </c>
      <c r="N769">
        <f t="shared" si="436"/>
        <v>1</v>
      </c>
      <c r="O769" t="s">
        <v>2221</v>
      </c>
      <c r="P769" t="s">
        <v>2237</v>
      </c>
      <c r="Q769" s="643" t="s">
        <v>2223</v>
      </c>
      <c r="S769" t="s">
        <v>84</v>
      </c>
      <c r="V769" t="str">
        <f t="shared" si="437"/>
        <v/>
      </c>
      <c r="W769" s="1104">
        <v>5.5555555555555552E-2</v>
      </c>
      <c r="X769">
        <v>1.0000000000000001E-9</v>
      </c>
      <c r="Y769">
        <v>1.01</v>
      </c>
      <c r="Z769" t="str">
        <f>Units!B$35</f>
        <v>fraction</v>
      </c>
      <c r="AA769">
        <f>Units!C$35</f>
        <v>1</v>
      </c>
      <c r="AB769">
        <f>Units!D$35</f>
        <v>1</v>
      </c>
      <c r="AC769" t="str">
        <f>Units!E$35</f>
        <v>fraction</v>
      </c>
      <c r="AD769" t="str">
        <f>Units!F$35</f>
        <v>fraction</v>
      </c>
      <c r="AE769" t="str">
        <f>Units!G$35</f>
        <v>fraction</v>
      </c>
      <c r="AF769" t="str">
        <f>Units!H$35</f>
        <v>fraction</v>
      </c>
    </row>
    <row r="770" spans="1:32" x14ac:dyDescent="0.3">
      <c r="A770" t="s">
        <v>2219</v>
      </c>
      <c r="B770" t="s">
        <v>2238</v>
      </c>
      <c r="C770" s="124" t="str">
        <f t="shared" si="439"/>
        <v>UDV.weight.env_land</v>
      </c>
      <c r="D770" s="1091">
        <f t="shared" si="430"/>
        <v>2.564102564102564E-2</v>
      </c>
      <c r="E770" s="1093" t="s">
        <v>1694</v>
      </c>
      <c r="F770" s="1095">
        <f t="shared" si="434"/>
        <v>2.564102564102564E-2</v>
      </c>
      <c r="G770" s="1098">
        <f>UI.Priorities!BG195</f>
        <v>2.564102564102564E-2</v>
      </c>
      <c r="H770" s="1102">
        <f t="shared" si="431"/>
        <v>5.5555555555555552E-2</v>
      </c>
      <c r="I770" s="956" t="s">
        <v>1694</v>
      </c>
      <c r="J770" t="s">
        <v>1422</v>
      </c>
      <c r="K770" t="s">
        <v>1351</v>
      </c>
      <c r="L770">
        <f t="shared" si="438"/>
        <v>1.0000000000000001E-9</v>
      </c>
      <c r="M770">
        <f t="shared" si="435"/>
        <v>1.01</v>
      </c>
      <c r="N770">
        <f t="shared" si="436"/>
        <v>1</v>
      </c>
      <c r="O770" t="s">
        <v>2221</v>
      </c>
      <c r="P770" t="s">
        <v>2239</v>
      </c>
      <c r="Q770" s="643" t="s">
        <v>2223</v>
      </c>
      <c r="S770" t="s">
        <v>84</v>
      </c>
      <c r="V770" t="str">
        <f t="shared" si="437"/>
        <v/>
      </c>
      <c r="W770" s="1104">
        <v>5.5555555555555552E-2</v>
      </c>
      <c r="X770">
        <v>1.0000000000000001E-9</v>
      </c>
      <c r="Y770">
        <v>1.01</v>
      </c>
      <c r="Z770" t="str">
        <f>Units!B$35</f>
        <v>fraction</v>
      </c>
      <c r="AA770">
        <f>Units!C$35</f>
        <v>1</v>
      </c>
      <c r="AB770">
        <f>Units!D$35</f>
        <v>1</v>
      </c>
      <c r="AC770" t="str">
        <f>Units!E$35</f>
        <v>fraction</v>
      </c>
      <c r="AD770" t="str">
        <f>Units!F$35</f>
        <v>fraction</v>
      </c>
      <c r="AE770" t="str">
        <f>Units!G$35</f>
        <v>fraction</v>
      </c>
      <c r="AF770" t="str">
        <f>Units!H$35</f>
        <v>fraction</v>
      </c>
    </row>
    <row r="771" spans="1:32" x14ac:dyDescent="0.3">
      <c r="A771" t="s">
        <v>2219</v>
      </c>
      <c r="B771" t="s">
        <v>2240</v>
      </c>
      <c r="C771" s="124" t="str">
        <f t="shared" si="439"/>
        <v>UDV.weight.env_nitrogen</v>
      </c>
      <c r="D771" s="1091">
        <f t="shared" si="430"/>
        <v>2.564102564102564E-2</v>
      </c>
      <c r="E771" s="1093" t="s">
        <v>1694</v>
      </c>
      <c r="F771" s="1095">
        <f t="shared" si="434"/>
        <v>2.564102564102564E-2</v>
      </c>
      <c r="G771" s="1098">
        <f>UI.Priorities!BG197</f>
        <v>2.564102564102564E-2</v>
      </c>
      <c r="H771" s="1102">
        <f t="shared" si="431"/>
        <v>5.5555555555555552E-2</v>
      </c>
      <c r="I771" s="956" t="s">
        <v>1694</v>
      </c>
      <c r="J771" t="s">
        <v>1422</v>
      </c>
      <c r="K771" t="s">
        <v>1351</v>
      </c>
      <c r="L771">
        <f t="shared" si="438"/>
        <v>1.0000000000000001E-9</v>
      </c>
      <c r="M771">
        <f t="shared" si="435"/>
        <v>1.01</v>
      </c>
      <c r="N771">
        <f t="shared" si="436"/>
        <v>1</v>
      </c>
      <c r="O771" t="s">
        <v>2221</v>
      </c>
      <c r="P771" t="s">
        <v>2241</v>
      </c>
      <c r="Q771" s="643" t="s">
        <v>2223</v>
      </c>
      <c r="S771" t="s">
        <v>84</v>
      </c>
      <c r="V771" t="str">
        <f t="shared" si="437"/>
        <v/>
      </c>
      <c r="W771" s="1104">
        <v>5.5555555555555552E-2</v>
      </c>
      <c r="X771">
        <v>1.0000000000000001E-9</v>
      </c>
      <c r="Y771">
        <v>1.01</v>
      </c>
      <c r="Z771" t="str">
        <f>Units!B$35</f>
        <v>fraction</v>
      </c>
      <c r="AA771">
        <f>Units!C$35</f>
        <v>1</v>
      </c>
      <c r="AB771">
        <f>Units!D$35</f>
        <v>1</v>
      </c>
      <c r="AC771" t="str">
        <f>Units!E$35</f>
        <v>fraction</v>
      </c>
      <c r="AD771" t="str">
        <f>Units!F$35</f>
        <v>fraction</v>
      </c>
      <c r="AE771" t="str">
        <f>Units!G$35</f>
        <v>fraction</v>
      </c>
      <c r="AF771" t="str">
        <f>Units!H$35</f>
        <v>fraction</v>
      </c>
    </row>
    <row r="772" spans="1:32" x14ac:dyDescent="0.3">
      <c r="A772" t="s">
        <v>2219</v>
      </c>
      <c r="B772" t="s">
        <v>2242</v>
      </c>
      <c r="C772" s="124" t="str">
        <f t="shared" si="439"/>
        <v>UDV.weight.env_phos</v>
      </c>
      <c r="D772" s="1091">
        <f t="shared" si="430"/>
        <v>2.564102564102564E-2</v>
      </c>
      <c r="E772" s="1093" t="s">
        <v>1694</v>
      </c>
      <c r="F772" s="1095">
        <f t="shared" si="434"/>
        <v>2.564102564102564E-2</v>
      </c>
      <c r="G772" s="1098">
        <f>UI.Priorities!BG198</f>
        <v>2.564102564102564E-2</v>
      </c>
      <c r="H772" s="1102">
        <f t="shared" si="431"/>
        <v>5.5555555555555552E-2</v>
      </c>
      <c r="I772" s="956" t="s">
        <v>1694</v>
      </c>
      <c r="J772" t="s">
        <v>1422</v>
      </c>
      <c r="K772" t="s">
        <v>1351</v>
      </c>
      <c r="L772">
        <f t="shared" si="438"/>
        <v>1.0000000000000001E-9</v>
      </c>
      <c r="M772">
        <f t="shared" si="435"/>
        <v>1.01</v>
      </c>
      <c r="N772">
        <f t="shared" si="436"/>
        <v>1</v>
      </c>
      <c r="O772" t="s">
        <v>2221</v>
      </c>
      <c r="P772" t="s">
        <v>2243</v>
      </c>
      <c r="Q772" s="643" t="s">
        <v>2223</v>
      </c>
      <c r="S772" t="s">
        <v>84</v>
      </c>
      <c r="V772" t="str">
        <f t="shared" si="437"/>
        <v/>
      </c>
      <c r="W772" s="1104">
        <v>5.5555555555555552E-2</v>
      </c>
      <c r="X772">
        <v>1.0000000000000001E-9</v>
      </c>
      <c r="Y772">
        <v>1.01</v>
      </c>
      <c r="Z772" t="str">
        <f>Units!B$35</f>
        <v>fraction</v>
      </c>
      <c r="AA772">
        <f>Units!C$35</f>
        <v>1</v>
      </c>
      <c r="AB772">
        <f>Units!D$35</f>
        <v>1</v>
      </c>
      <c r="AC772" t="str">
        <f>Units!E$35</f>
        <v>fraction</v>
      </c>
      <c r="AD772" t="str">
        <f>Units!F$35</f>
        <v>fraction</v>
      </c>
      <c r="AE772" t="str">
        <f>Units!G$35</f>
        <v>fraction</v>
      </c>
      <c r="AF772" t="str">
        <f>Units!H$35</f>
        <v>fraction</v>
      </c>
    </row>
    <row r="773" spans="1:32" x14ac:dyDescent="0.3">
      <c r="A773" t="s">
        <v>2219</v>
      </c>
      <c r="B773" t="s">
        <v>2244</v>
      </c>
      <c r="C773" s="124" t="str">
        <f t="shared" si="439"/>
        <v>UDV.weight.env_water</v>
      </c>
      <c r="D773" s="1091">
        <f t="shared" si="430"/>
        <v>2.564102564102564E-2</v>
      </c>
      <c r="E773" s="1093" t="s">
        <v>1694</v>
      </c>
      <c r="F773" s="1095">
        <f t="shared" si="434"/>
        <v>2.564102564102564E-2</v>
      </c>
      <c r="G773" s="1098">
        <f>UI.Priorities!BG196</f>
        <v>2.564102564102564E-2</v>
      </c>
      <c r="H773" s="1102">
        <f t="shared" si="431"/>
        <v>5.5555555555555552E-2</v>
      </c>
      <c r="I773" s="956" t="s">
        <v>1694</v>
      </c>
      <c r="J773" t="s">
        <v>1422</v>
      </c>
      <c r="K773" t="s">
        <v>1351</v>
      </c>
      <c r="L773">
        <f t="shared" si="438"/>
        <v>1.0000000000000001E-9</v>
      </c>
      <c r="M773">
        <f t="shared" si="435"/>
        <v>1.01</v>
      </c>
      <c r="N773">
        <f t="shared" si="436"/>
        <v>1</v>
      </c>
      <c r="O773" t="s">
        <v>2221</v>
      </c>
      <c r="P773" t="s">
        <v>2245</v>
      </c>
      <c r="Q773" s="643" t="s">
        <v>2223</v>
      </c>
      <c r="S773" t="s">
        <v>84</v>
      </c>
      <c r="V773" t="str">
        <f t="shared" si="437"/>
        <v/>
      </c>
      <c r="W773" s="1104">
        <v>5.5555555555555552E-2</v>
      </c>
      <c r="X773">
        <v>1.0000000000000001E-9</v>
      </c>
      <c r="Y773">
        <v>1.01</v>
      </c>
      <c r="Z773" t="str">
        <f>Units!B$35</f>
        <v>fraction</v>
      </c>
      <c r="AA773">
        <f>Units!C$35</f>
        <v>1</v>
      </c>
      <c r="AB773">
        <f>Units!D$35</f>
        <v>1</v>
      </c>
      <c r="AC773" t="str">
        <f>Units!E$35</f>
        <v>fraction</v>
      </c>
      <c r="AD773" t="str">
        <f>Units!F$35</f>
        <v>fraction</v>
      </c>
      <c r="AE773" t="str">
        <f>Units!G$35</f>
        <v>fraction</v>
      </c>
      <c r="AF773" t="str">
        <f>Units!H$35</f>
        <v>fraction</v>
      </c>
    </row>
    <row r="774" spans="1:32" x14ac:dyDescent="0.3">
      <c r="A774" t="s">
        <v>2219</v>
      </c>
      <c r="B774" t="s">
        <v>2246</v>
      </c>
      <c r="C774" s="124" t="str">
        <f t="shared" si="439"/>
        <v>UDV.weight.tech_adoption</v>
      </c>
      <c r="D774" s="1091">
        <f t="shared" si="430"/>
        <v>2.564102564102564E-2</v>
      </c>
      <c r="E774" s="1093" t="s">
        <v>1694</v>
      </c>
      <c r="F774" s="1095">
        <f t="shared" si="434"/>
        <v>2.564102564102564E-2</v>
      </c>
      <c r="G774" s="1098">
        <f>UI.Priorities!BG199</f>
        <v>2.564102564102564E-2</v>
      </c>
      <c r="H774" s="1102">
        <f t="shared" si="431"/>
        <v>5.5555555555555552E-2</v>
      </c>
      <c r="I774" s="956" t="s">
        <v>1694</v>
      </c>
      <c r="J774" t="s">
        <v>1422</v>
      </c>
      <c r="K774" t="s">
        <v>1351</v>
      </c>
      <c r="L774">
        <f t="shared" si="438"/>
        <v>1.0000000000000001E-9</v>
      </c>
      <c r="M774">
        <f t="shared" si="435"/>
        <v>1.01</v>
      </c>
      <c r="N774">
        <f t="shared" si="436"/>
        <v>1</v>
      </c>
      <c r="O774" t="s">
        <v>2221</v>
      </c>
      <c r="P774" t="s">
        <v>2247</v>
      </c>
      <c r="Q774" s="643" t="s">
        <v>2223</v>
      </c>
      <c r="S774" t="s">
        <v>84</v>
      </c>
      <c r="V774" t="str">
        <f t="shared" si="437"/>
        <v/>
      </c>
      <c r="W774" s="1104">
        <v>5.5555555555555552E-2</v>
      </c>
      <c r="X774">
        <v>1.0000000000000001E-9</v>
      </c>
      <c r="Y774">
        <v>1.01</v>
      </c>
      <c r="Z774" t="str">
        <f>Units!B$35</f>
        <v>fraction</v>
      </c>
      <c r="AA774">
        <f>Units!C$35</f>
        <v>1</v>
      </c>
      <c r="AB774">
        <f>Units!D$35</f>
        <v>1</v>
      </c>
      <c r="AC774" t="str">
        <f>Units!E$35</f>
        <v>fraction</v>
      </c>
      <c r="AD774" t="str">
        <f>Units!F$35</f>
        <v>fraction</v>
      </c>
      <c r="AE774" t="str">
        <f>Units!G$35</f>
        <v>fraction</v>
      </c>
      <c r="AF774" t="str">
        <f>Units!H$35</f>
        <v>fraction</v>
      </c>
    </row>
    <row r="775" spans="1:32" x14ac:dyDescent="0.3">
      <c r="A775" t="s">
        <v>2219</v>
      </c>
      <c r="B775" t="s">
        <v>2248</v>
      </c>
      <c r="C775" s="124" t="str">
        <f t="shared" si="439"/>
        <v>UDV.weight.tech_integrity</v>
      </c>
      <c r="D775" s="1091">
        <f t="shared" si="430"/>
        <v>2.564102564102564E-2</v>
      </c>
      <c r="E775" s="1093" t="s">
        <v>1694</v>
      </c>
      <c r="F775" s="1095">
        <f t="shared" si="434"/>
        <v>2.564102564102564E-2</v>
      </c>
      <c r="G775" s="1098">
        <f>UI.Priorities!BG201</f>
        <v>2.564102564102564E-2</v>
      </c>
      <c r="H775" s="1102">
        <f t="shared" si="431"/>
        <v>5.5555555555555552E-2</v>
      </c>
      <c r="I775" s="956" t="s">
        <v>1694</v>
      </c>
      <c r="J775" t="s">
        <v>1422</v>
      </c>
      <c r="K775" t="s">
        <v>1351</v>
      </c>
      <c r="L775">
        <f t="shared" si="438"/>
        <v>1.0000000000000001E-9</v>
      </c>
      <c r="M775">
        <f t="shared" si="435"/>
        <v>1.01</v>
      </c>
      <c r="N775">
        <f t="shared" si="436"/>
        <v>1</v>
      </c>
      <c r="O775" t="s">
        <v>2221</v>
      </c>
      <c r="P775" t="s">
        <v>2249</v>
      </c>
      <c r="Q775" s="643">
        <v>45079</v>
      </c>
      <c r="S775" t="s">
        <v>84</v>
      </c>
      <c r="V775" t="str">
        <f t="shared" si="437"/>
        <v/>
      </c>
      <c r="W775" s="1104">
        <v>5.5555555555555552E-2</v>
      </c>
      <c r="X775">
        <v>1.0000000000000001E-9</v>
      </c>
      <c r="Y775">
        <v>1.01</v>
      </c>
      <c r="Z775" t="str">
        <f>Units!B$35</f>
        <v>fraction</v>
      </c>
      <c r="AA775">
        <f>Units!C$35</f>
        <v>1</v>
      </c>
      <c r="AB775">
        <f>Units!D$35</f>
        <v>1</v>
      </c>
      <c r="AC775" t="str">
        <f>Units!E$35</f>
        <v>fraction</v>
      </c>
      <c r="AD775" t="str">
        <f>Units!F$35</f>
        <v>fraction</v>
      </c>
      <c r="AE775" t="str">
        <f>Units!G$35</f>
        <v>fraction</v>
      </c>
      <c r="AF775" t="str">
        <f>Units!H$35</f>
        <v>fraction</v>
      </c>
    </row>
    <row r="776" spans="1:32" x14ac:dyDescent="0.3">
      <c r="A776" t="s">
        <v>2219</v>
      </c>
      <c r="B776" t="s">
        <v>2250</v>
      </c>
      <c r="C776" s="124" t="str">
        <f t="shared" si="439"/>
        <v>UDV.weight.tech_labor</v>
      </c>
      <c r="D776" s="1091">
        <f t="shared" si="430"/>
        <v>2.564102564102564E-2</v>
      </c>
      <c r="E776" s="1093" t="s">
        <v>1694</v>
      </c>
      <c r="F776" s="1095">
        <f t="shared" si="434"/>
        <v>2.564102564102564E-2</v>
      </c>
      <c r="G776" s="1098">
        <f>UI.Priorities!BG202</f>
        <v>2.564102564102564E-2</v>
      </c>
      <c r="H776" s="1102">
        <f t="shared" si="431"/>
        <v>5.5555555555555552E-2</v>
      </c>
      <c r="I776" s="956" t="s">
        <v>1694</v>
      </c>
      <c r="J776" t="s">
        <v>1422</v>
      </c>
      <c r="K776" t="s">
        <v>1351</v>
      </c>
      <c r="L776">
        <f t="shared" si="438"/>
        <v>1.0000000000000001E-9</v>
      </c>
      <c r="M776">
        <f t="shared" si="435"/>
        <v>1.01</v>
      </c>
      <c r="N776">
        <v>1</v>
      </c>
      <c r="O776" t="s">
        <v>2221</v>
      </c>
      <c r="P776" t="s">
        <v>2251</v>
      </c>
      <c r="Q776" s="643" t="s">
        <v>2252</v>
      </c>
      <c r="S776" t="s">
        <v>84</v>
      </c>
      <c r="V776" t="str">
        <f t="shared" si="437"/>
        <v/>
      </c>
      <c r="W776" s="1104">
        <v>5.5555555555555552E-2</v>
      </c>
      <c r="X776">
        <v>1.0000000000000001E-9</v>
      </c>
      <c r="Y776">
        <v>1.01</v>
      </c>
      <c r="Z776" t="str">
        <f>Units!B$35</f>
        <v>fraction</v>
      </c>
      <c r="AA776">
        <f>Units!C$35</f>
        <v>1</v>
      </c>
      <c r="AB776">
        <f>Units!D$35</f>
        <v>1</v>
      </c>
      <c r="AC776" t="str">
        <f>Units!E$35</f>
        <v>fraction</v>
      </c>
      <c r="AD776" t="str">
        <f>Units!F$35</f>
        <v>fraction</v>
      </c>
      <c r="AE776" t="str">
        <f>Units!G$35</f>
        <v>fraction</v>
      </c>
      <c r="AF776" t="str">
        <f>Units!H$35</f>
        <v>fraction</v>
      </c>
    </row>
    <row r="777" spans="1:32" x14ac:dyDescent="0.3">
      <c r="A777" t="s">
        <v>2219</v>
      </c>
      <c r="B777" t="s">
        <v>2253</v>
      </c>
      <c r="C777" s="124" t="str">
        <f t="shared" si="439"/>
        <v>UDV.weight.tech_land</v>
      </c>
      <c r="D777" s="1091">
        <f t="shared" si="430"/>
        <v>2.564102564102564E-2</v>
      </c>
      <c r="E777" s="1093" t="s">
        <v>1694</v>
      </c>
      <c r="F777" s="1095">
        <f t="shared" si="434"/>
        <v>2.564102564102564E-2</v>
      </c>
      <c r="G777" s="1098">
        <f>UI.Priorities!BG203</f>
        <v>2.564102564102564E-2</v>
      </c>
      <c r="H777" s="1102">
        <f t="shared" si="431"/>
        <v>5.5555555555555552E-2</v>
      </c>
      <c r="I777" s="956" t="s">
        <v>1694</v>
      </c>
      <c r="J777" t="s">
        <v>1422</v>
      </c>
      <c r="K777" t="s">
        <v>1351</v>
      </c>
      <c r="L777">
        <f t="shared" si="438"/>
        <v>1.0000000000000001E-9</v>
      </c>
      <c r="M777">
        <f t="shared" si="435"/>
        <v>1.01</v>
      </c>
      <c r="N777">
        <v>1</v>
      </c>
      <c r="O777" t="s">
        <v>2221</v>
      </c>
      <c r="P777" t="s">
        <v>2254</v>
      </c>
      <c r="Q777" s="643" t="s">
        <v>2252</v>
      </c>
      <c r="S777" t="s">
        <v>84</v>
      </c>
      <c r="V777" t="str">
        <f t="shared" si="437"/>
        <v/>
      </c>
      <c r="W777" s="1104">
        <v>5.5555555555555552E-2</v>
      </c>
      <c r="X777">
        <v>1.0000000000000001E-9</v>
      </c>
      <c r="Y777">
        <v>1.01</v>
      </c>
      <c r="Z777" t="str">
        <f>Units!B$35</f>
        <v>fraction</v>
      </c>
      <c r="AA777">
        <f>Units!C$35</f>
        <v>1</v>
      </c>
      <c r="AB777">
        <f>Units!D$35</f>
        <v>1</v>
      </c>
      <c r="AC777" t="str">
        <f>Units!E$35</f>
        <v>fraction</v>
      </c>
      <c r="AD777" t="str">
        <f>Units!F$35</f>
        <v>fraction</v>
      </c>
      <c r="AE777" t="str">
        <f>Units!G$35</f>
        <v>fraction</v>
      </c>
      <c r="AF777" t="str">
        <f>Units!H$35</f>
        <v>fraction</v>
      </c>
    </row>
    <row r="778" spans="1:32" x14ac:dyDescent="0.3">
      <c r="A778" t="s">
        <v>2219</v>
      </c>
      <c r="B778" t="s">
        <v>2255</v>
      </c>
      <c r="C778" s="124" t="str">
        <f t="shared" si="439"/>
        <v>UDV.weight.tech_reliability</v>
      </c>
      <c r="D778" s="1091">
        <f t="shared" si="430"/>
        <v>2.564102564102564E-2</v>
      </c>
      <c r="E778" s="1093" t="s">
        <v>1694</v>
      </c>
      <c r="F778" s="1095">
        <f t="shared" si="434"/>
        <v>2.564102564102564E-2</v>
      </c>
      <c r="G778" s="1098">
        <f>UI.Priorities!BG200</f>
        <v>2.564102564102564E-2</v>
      </c>
      <c r="H778" s="1102">
        <f t="shared" si="431"/>
        <v>5.5555555555555552E-2</v>
      </c>
      <c r="I778" s="956" t="s">
        <v>1694</v>
      </c>
      <c r="J778" t="s">
        <v>1422</v>
      </c>
      <c r="K778" t="s">
        <v>1351</v>
      </c>
      <c r="L778">
        <f t="shared" si="438"/>
        <v>1.0000000000000001E-9</v>
      </c>
      <c r="M778">
        <f t="shared" si="435"/>
        <v>1.01</v>
      </c>
      <c r="N778">
        <f>IF(OR(G778=0,G778=""),0,1)</f>
        <v>1</v>
      </c>
      <c r="O778" t="s">
        <v>2221</v>
      </c>
      <c r="P778" t="s">
        <v>2256</v>
      </c>
      <c r="Q778" s="643" t="s">
        <v>2223</v>
      </c>
      <c r="S778" t="s">
        <v>84</v>
      </c>
      <c r="V778" t="str">
        <f t="shared" si="437"/>
        <v/>
      </c>
      <c r="W778" s="1104">
        <v>5.5555555555555552E-2</v>
      </c>
      <c r="X778">
        <v>1.0000000000000001E-9</v>
      </c>
      <c r="Y778">
        <v>1.01</v>
      </c>
      <c r="Z778" t="str">
        <f>Units!B$35</f>
        <v>fraction</v>
      </c>
      <c r="AA778">
        <f>Units!C$35</f>
        <v>1</v>
      </c>
      <c r="AB778">
        <f>Units!D$35</f>
        <v>1</v>
      </c>
      <c r="AC778" t="str">
        <f>Units!E$35</f>
        <v>fraction</v>
      </c>
      <c r="AD778" t="str">
        <f>Units!F$35</f>
        <v>fraction</v>
      </c>
      <c r="AE778" t="str">
        <f>Units!G$35</f>
        <v>fraction</v>
      </c>
      <c r="AF778" t="str">
        <f>Units!H$35</f>
        <v>fraction</v>
      </c>
    </row>
    <row r="779" spans="1:32" x14ac:dyDescent="0.3">
      <c r="A779" t="s">
        <v>2219</v>
      </c>
      <c r="B779" t="s">
        <v>2257</v>
      </c>
      <c r="C779" s="124" t="str">
        <f t="shared" si="439"/>
        <v>UDV.weight.tech_transport</v>
      </c>
      <c r="D779" s="1091">
        <f t="shared" si="430"/>
        <v>2.564102564102564E-2</v>
      </c>
      <c r="E779" s="1093" t="s">
        <v>1694</v>
      </c>
      <c r="F779" s="1095">
        <f t="shared" si="434"/>
        <v>2.564102564102564E-2</v>
      </c>
      <c r="G779" s="1098">
        <f>UI.Priorities!BG204</f>
        <v>2.564102564102564E-2</v>
      </c>
      <c r="H779" s="1102">
        <f t="shared" si="431"/>
        <v>5.5555555555555552E-2</v>
      </c>
      <c r="I779" s="956" t="s">
        <v>1694</v>
      </c>
      <c r="J779" t="s">
        <v>1422</v>
      </c>
      <c r="K779" t="s">
        <v>1351</v>
      </c>
      <c r="L779">
        <f t="shared" si="438"/>
        <v>1.0000000000000001E-9</v>
      </c>
      <c r="M779">
        <f t="shared" si="435"/>
        <v>1.01</v>
      </c>
      <c r="N779">
        <v>1</v>
      </c>
      <c r="O779" t="s">
        <v>2221</v>
      </c>
      <c r="P779" t="s">
        <v>2258</v>
      </c>
      <c r="Q779" s="643" t="s">
        <v>2252</v>
      </c>
      <c r="S779" t="s">
        <v>84</v>
      </c>
      <c r="V779" t="str">
        <f t="shared" si="437"/>
        <v/>
      </c>
      <c r="W779" s="1104">
        <v>5.5555555555555552E-2</v>
      </c>
      <c r="X779">
        <v>1.0000000000000001E-9</v>
      </c>
      <c r="Y779">
        <v>1.01</v>
      </c>
      <c r="Z779" t="str">
        <f>Units!B$35</f>
        <v>fraction</v>
      </c>
      <c r="AA779">
        <f>Units!C$35</f>
        <v>1</v>
      </c>
      <c r="AB779">
        <f>Units!D$35</f>
        <v>1</v>
      </c>
      <c r="AC779" t="str">
        <f>Units!E$35</f>
        <v>fraction</v>
      </c>
      <c r="AD779" t="str">
        <f>Units!F$35</f>
        <v>fraction</v>
      </c>
      <c r="AE779" t="str">
        <f>Units!G$35</f>
        <v>fraction</v>
      </c>
      <c r="AF779" t="str">
        <f>Units!H$35</f>
        <v>fraction</v>
      </c>
    </row>
    <row r="780" spans="1:32" x14ac:dyDescent="0.3">
      <c r="C780" s="124"/>
    </row>
    <row r="781" spans="1:32" x14ac:dyDescent="0.3">
      <c r="C781" s="124"/>
    </row>
    <row r="782" spans="1:32" x14ac:dyDescent="0.3">
      <c r="C782" s="124"/>
    </row>
    <row r="783" spans="1:32" x14ac:dyDescent="0.3">
      <c r="C783" s="124"/>
    </row>
    <row r="784" spans="1:32" x14ac:dyDescent="0.3">
      <c r="C784" s="124"/>
    </row>
    <row r="785" spans="3:3" x14ac:dyDescent="0.3">
      <c r="C785" s="124"/>
    </row>
    <row r="786" spans="3:3" x14ac:dyDescent="0.3">
      <c r="C786" s="124"/>
    </row>
    <row r="787" spans="3:3" x14ac:dyDescent="0.3">
      <c r="C787" s="124"/>
    </row>
    <row r="788" spans="3:3" x14ac:dyDescent="0.3">
      <c r="C788" s="124"/>
    </row>
    <row r="789" spans="3:3" x14ac:dyDescent="0.3">
      <c r="C789" s="124"/>
    </row>
    <row r="790" spans="3:3" x14ac:dyDescent="0.3">
      <c r="C790" s="124"/>
    </row>
    <row r="791" spans="3:3" x14ac:dyDescent="0.3">
      <c r="C791" s="124"/>
    </row>
    <row r="792" spans="3:3" x14ac:dyDescent="0.3">
      <c r="C792" s="124"/>
    </row>
    <row r="793" spans="3:3" x14ac:dyDescent="0.3">
      <c r="C793" s="124"/>
    </row>
    <row r="794" spans="3:3" x14ac:dyDescent="0.3">
      <c r="C794" s="124"/>
    </row>
    <row r="795" spans="3:3" x14ac:dyDescent="0.3">
      <c r="C795" s="124"/>
    </row>
    <row r="796" spans="3:3" x14ac:dyDescent="0.3">
      <c r="C796" s="124"/>
    </row>
    <row r="797" spans="3:3" x14ac:dyDescent="0.3">
      <c r="C797" s="124"/>
    </row>
    <row r="798" spans="3:3" x14ac:dyDescent="0.3">
      <c r="C798" s="124"/>
    </row>
    <row r="799" spans="3:3" x14ac:dyDescent="0.3">
      <c r="C799" s="124"/>
    </row>
    <row r="800" spans="3:3" x14ac:dyDescent="0.3">
      <c r="C800" s="124"/>
    </row>
    <row r="801" spans="3:3" x14ac:dyDescent="0.3">
      <c r="C801" s="124"/>
    </row>
    <row r="802" spans="3:3" x14ac:dyDescent="0.3">
      <c r="C802" s="124"/>
    </row>
    <row r="803" spans="3:3" x14ac:dyDescent="0.3">
      <c r="C803" s="124"/>
    </row>
    <row r="804" spans="3:3" x14ac:dyDescent="0.3">
      <c r="C804" s="124"/>
    </row>
    <row r="805" spans="3:3" x14ac:dyDescent="0.3">
      <c r="C805" s="124"/>
    </row>
    <row r="806" spans="3:3" x14ac:dyDescent="0.3">
      <c r="C806" s="124"/>
    </row>
    <row r="807" spans="3:3" x14ac:dyDescent="0.3">
      <c r="C807" s="124"/>
    </row>
    <row r="808" spans="3:3" x14ac:dyDescent="0.3">
      <c r="C808" s="124"/>
    </row>
    <row r="809" spans="3:3" x14ac:dyDescent="0.3">
      <c r="C809" s="124"/>
    </row>
    <row r="810" spans="3:3" x14ac:dyDescent="0.3">
      <c r="C810" s="124"/>
    </row>
    <row r="811" spans="3:3" x14ac:dyDescent="0.3">
      <c r="C811" s="124"/>
    </row>
    <row r="812" spans="3:3" x14ac:dyDescent="0.3">
      <c r="C812" s="124"/>
    </row>
    <row r="813" spans="3:3" x14ac:dyDescent="0.3">
      <c r="C813" s="124"/>
    </row>
    <row r="814" spans="3:3" x14ac:dyDescent="0.3">
      <c r="C814" s="124"/>
    </row>
    <row r="815" spans="3:3" x14ac:dyDescent="0.3">
      <c r="C815" s="124"/>
    </row>
    <row r="816" spans="3:3" x14ac:dyDescent="0.3">
      <c r="C816" s="124"/>
    </row>
    <row r="817" spans="3:3" x14ac:dyDescent="0.3">
      <c r="C817" s="124"/>
    </row>
    <row r="818" spans="3:3" x14ac:dyDescent="0.3">
      <c r="C818" s="124"/>
    </row>
    <row r="819" spans="3:3" x14ac:dyDescent="0.3">
      <c r="C819" s="124"/>
    </row>
    <row r="820" spans="3:3" x14ac:dyDescent="0.3">
      <c r="C820" s="124"/>
    </row>
    <row r="821" spans="3:3" x14ac:dyDescent="0.3">
      <c r="C821" s="124"/>
    </row>
    <row r="822" spans="3:3" x14ac:dyDescent="0.3">
      <c r="C822" s="124"/>
    </row>
    <row r="823" spans="3:3" x14ac:dyDescent="0.3">
      <c r="C823" s="124"/>
    </row>
    <row r="824" spans="3:3" x14ac:dyDescent="0.3">
      <c r="C824" s="124"/>
    </row>
    <row r="825" spans="3:3" x14ac:dyDescent="0.3">
      <c r="C825" s="124"/>
    </row>
    <row r="826" spans="3:3" x14ac:dyDescent="0.3">
      <c r="C826" s="124"/>
    </row>
    <row r="827" spans="3:3" x14ac:dyDescent="0.3">
      <c r="C827" s="124"/>
    </row>
    <row r="828" spans="3:3" x14ac:dyDescent="0.3">
      <c r="C828" s="124"/>
    </row>
    <row r="829" spans="3:3" x14ac:dyDescent="0.3">
      <c r="C829" s="124"/>
    </row>
    <row r="830" spans="3:3" x14ac:dyDescent="0.3">
      <c r="C830" s="124"/>
    </row>
    <row r="831" spans="3:3" x14ac:dyDescent="0.3">
      <c r="C831" s="124"/>
    </row>
    <row r="832" spans="3:3" x14ac:dyDescent="0.3">
      <c r="C832" s="124"/>
    </row>
    <row r="833" spans="3:3" x14ac:dyDescent="0.3">
      <c r="C833" s="124"/>
    </row>
    <row r="834" spans="3:3" x14ac:dyDescent="0.3">
      <c r="C834" s="124"/>
    </row>
  </sheetData>
  <autoFilter ref="A1:AF779" xr:uid="{9870FD03-7E7F-4C7C-8BE3-586D8D67C2E3}"/>
  <sortState xmlns:xlrd2="http://schemas.microsoft.com/office/spreadsheetml/2017/richdata2" ref="A2:AG779">
    <sortCondition ref="C2:C779"/>
  </sortState>
  <phoneticPr fontId="51" type="noConversion"/>
  <dataValidations disablePrompts="1" count="3">
    <dataValidation type="list" allowBlank="1" showInputMessage="1" showErrorMessage="1" sqref="G723" xr:uid="{E8A34EAA-B36A-4127-B627-E2B4FE55A12C}">
      <formula1>DROPS.storage_tank.agi_type</formula1>
    </dataValidation>
    <dataValidation type="list" allowBlank="1" showInputMessage="1" showErrorMessage="1" sqref="G757" xr:uid="{AB8414CC-647B-4139-AB70-23ACB30C8168}">
      <formula1>DROPS.u.state_climate_zone</formula1>
    </dataValidation>
    <dataValidation type="list" allowBlank="1" showInputMessage="1" showErrorMessage="1" sqref="G755" xr:uid="{997E7EAC-C4C6-4F05-8DE7-8D6AC880804F}">
      <formula1>DROPS.u.state_region</formula1>
    </dataValidation>
  </dataValidations>
  <hyperlinks>
    <hyperlink ref="Q148" r:id="rId1" xr:uid="{3C9C4225-858C-424B-88F8-D401C20B9281}"/>
    <hyperlink ref="Q457" r:id="rId2" xr:uid="{A51ABD84-A05F-423D-84F9-81966B711E4D}"/>
  </hyperlinks>
  <pageMargins left="0.7" right="0.7" top="0.75" bottom="0.75" header="0.3" footer="0.3"/>
  <pageSetup orientation="portrait"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9E9154A-CF77-4BD3-A0F9-C4E790659567}">
          <x14:formula1>
            <xm:f>T.Electricity!#REF!</xm:f>
          </x14:formula1>
          <xm:sqref>G393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3EBAA-2059-4EBA-B2EE-665F4DFC911A}">
  <sheetPr codeName="Sheet12">
    <tabColor rgb="FFFF0000"/>
  </sheetPr>
  <dimension ref="A1:N265"/>
  <sheetViews>
    <sheetView workbookViewId="0">
      <selection activeCell="G30" sqref="G30"/>
    </sheetView>
  </sheetViews>
  <sheetFormatPr defaultColWidth="9.109375" defaultRowHeight="14.4" x14ac:dyDescent="0.3"/>
  <cols>
    <col min="1" max="1" width="50.88671875" customWidth="1"/>
    <col min="2" max="2" width="22.6640625" customWidth="1"/>
    <col min="3" max="3" width="13.88671875" customWidth="1"/>
    <col min="4" max="4" width="8.109375" customWidth="1"/>
    <col min="5" max="5" width="10.5546875" customWidth="1"/>
    <col min="6" max="6" width="10" customWidth="1"/>
    <col min="7" max="7" width="28.88671875" customWidth="1"/>
    <col min="8" max="8" width="9.5546875" customWidth="1"/>
    <col min="9" max="9" width="15" bestFit="1" customWidth="1"/>
    <col min="10" max="10" width="11.33203125" customWidth="1"/>
    <col min="11" max="11" width="13.44140625" bestFit="1" customWidth="1"/>
    <col min="12" max="12" width="14.88671875" customWidth="1"/>
    <col min="13" max="13" width="12.33203125" customWidth="1"/>
    <col min="14" max="14" width="28.5546875" bestFit="1" customWidth="1"/>
    <col min="15" max="15" width="22.6640625" customWidth="1"/>
  </cols>
  <sheetData>
    <row r="1" spans="1:14" x14ac:dyDescent="0.3">
      <c r="A1" t="s">
        <v>475</v>
      </c>
      <c r="B1" s="345" t="s">
        <v>651</v>
      </c>
      <c r="C1" s="123" t="s">
        <v>652</v>
      </c>
      <c r="D1" s="123" t="s">
        <v>653</v>
      </c>
      <c r="E1" s="123" t="s">
        <v>654</v>
      </c>
      <c r="F1" s="345" t="s">
        <v>655</v>
      </c>
      <c r="G1" s="345" t="s">
        <v>656</v>
      </c>
      <c r="H1" s="345" t="s">
        <v>657</v>
      </c>
      <c r="I1" s="82" t="s">
        <v>2259</v>
      </c>
      <c r="J1" s="82" t="s">
        <v>2260</v>
      </c>
      <c r="K1" s="82" t="s">
        <v>2261</v>
      </c>
      <c r="L1" s="82" t="s">
        <v>2262</v>
      </c>
      <c r="M1" s="82" t="s">
        <v>2263</v>
      </c>
      <c r="N1" s="82" t="s">
        <v>643</v>
      </c>
    </row>
    <row r="2" spans="1:14" x14ac:dyDescent="0.3">
      <c r="A2" t="str">
        <f t="shared" ref="A2:A48" si="0">_xlfn.CONCAT(B2, ", ", G2, ", ", H2, " -&gt; ", F2)</f>
        <v>acre, hectare, acre -&gt; acre</v>
      </c>
      <c r="B2" s="49" t="s">
        <v>2264</v>
      </c>
      <c r="C2" s="1142" cm="1">
        <f t="array" ref="C2">INDEX(I2:J2, 0, $D$261)</f>
        <v>1</v>
      </c>
      <c r="D2" s="1142" cm="1">
        <f t="array" ref="D2">INDEX(L2:M2, 0, $D$261)</f>
        <v>1</v>
      </c>
      <c r="E2" s="1142" t="str" cm="1">
        <f t="array" ref="E2">INDEX(G2:H2, 0, $D$261)</f>
        <v>acre</v>
      </c>
      <c r="F2" s="1078" t="s">
        <v>2264</v>
      </c>
      <c r="G2" s="571" t="s">
        <v>2265</v>
      </c>
      <c r="H2" s="1079" t="s">
        <v>2264</v>
      </c>
      <c r="I2" s="1080">
        <v>0.40468564000000001</v>
      </c>
      <c r="J2" s="1081">
        <v>1</v>
      </c>
      <c r="K2" s="1082">
        <v>1</v>
      </c>
      <c r="L2" s="1080">
        <f>1/I2</f>
        <v>2.4710538283493331</v>
      </c>
      <c r="M2" s="1081">
        <v>1</v>
      </c>
      <c r="N2" s="49" t="s">
        <v>2266</v>
      </c>
    </row>
    <row r="3" spans="1:14" x14ac:dyDescent="0.3">
      <c r="A3" t="str">
        <f t="shared" si="0"/>
        <v>ft2, m2, ft2 -&gt; ft2</v>
      </c>
      <c r="B3" s="49" t="s">
        <v>2267</v>
      </c>
      <c r="C3" s="1142" cm="1">
        <f t="array" ref="C3">INDEX(I3:J3, 0, $D$261)</f>
        <v>1</v>
      </c>
      <c r="D3" s="1142" cm="1">
        <f t="array" ref="D3">INDEX(L3:M3, 0, $D$261)</f>
        <v>1</v>
      </c>
      <c r="E3" s="1142" t="str" cm="1">
        <f t="array" ref="E3">INDEX(G3:H3, 0, $D$261)</f>
        <v>ft2</v>
      </c>
      <c r="F3" s="1078" t="s">
        <v>2267</v>
      </c>
      <c r="G3" s="571" t="s">
        <v>2268</v>
      </c>
      <c r="H3" s="1079" t="s">
        <v>2267</v>
      </c>
      <c r="I3" s="1080">
        <f>$E$191</f>
        <v>9.2903040000000006E-2</v>
      </c>
      <c r="J3" s="1081">
        <f>IF(B3=H3,1,"REPLACE")</f>
        <v>1</v>
      </c>
      <c r="K3" s="1082">
        <f>IF(B3=F3,1,"REPLACE")</f>
        <v>1</v>
      </c>
      <c r="L3" s="1080">
        <f>1/I3</f>
        <v>10.763910416709722</v>
      </c>
      <c r="M3" s="1081">
        <f>IF(H3=F3,1,"REPLACE")</f>
        <v>1</v>
      </c>
      <c r="N3" s="49" t="s">
        <v>2266</v>
      </c>
    </row>
    <row r="4" spans="1:14" x14ac:dyDescent="0.3">
      <c r="A4" t="str">
        <f t="shared" si="0"/>
        <v>ft2, m2, ft2 -&gt; m2</v>
      </c>
      <c r="B4" s="49" t="s">
        <v>2267</v>
      </c>
      <c r="C4" s="1142" cm="1">
        <f t="array" ref="C4">INDEX(I4:J4, 0, $D$261)</f>
        <v>1</v>
      </c>
      <c r="D4" s="1142" cm="1">
        <f t="array" ref="D4">INDEX(L4:M4, 0, $D$261)</f>
        <v>9.2903040000000006E-2</v>
      </c>
      <c r="E4" s="1142" t="str" cm="1">
        <f t="array" ref="E4">INDEX(G4:H4, 0, $D$261)</f>
        <v>ft2</v>
      </c>
      <c r="F4" s="1078" t="s">
        <v>2268</v>
      </c>
      <c r="G4" s="571" t="s">
        <v>2268</v>
      </c>
      <c r="H4" s="1079" t="s">
        <v>2267</v>
      </c>
      <c r="I4" s="1080">
        <v>9.2903040000000006E-2</v>
      </c>
      <c r="J4" s="1081">
        <v>1</v>
      </c>
      <c r="K4" s="1082">
        <f>I4</f>
        <v>9.2903040000000006E-2</v>
      </c>
      <c r="L4" s="1080">
        <v>1</v>
      </c>
      <c r="M4" s="1081">
        <f>K4</f>
        <v>9.2903040000000006E-2</v>
      </c>
      <c r="N4" s="49" t="s">
        <v>2266</v>
      </c>
    </row>
    <row r="5" spans="1:14" x14ac:dyDescent="0.3">
      <c r="A5" t="str">
        <f t="shared" si="0"/>
        <v>m2, m2, ft2 -&gt; m2</v>
      </c>
      <c r="B5" s="49" t="s">
        <v>2268</v>
      </c>
      <c r="C5" s="1142" cm="1">
        <f t="array" ref="C5">INDEX(I5:J5, 0, $D$261)</f>
        <v>10.7639104</v>
      </c>
      <c r="D5" s="1142" cm="1">
        <f t="array" ref="D5">INDEX(L5:M5, 0, $D$261)</f>
        <v>9.2903040000000006E-2</v>
      </c>
      <c r="E5" s="1142" t="str" cm="1">
        <f t="array" ref="E5">INDEX(G5:H5, 0, $D$261)</f>
        <v>ft2</v>
      </c>
      <c r="F5" s="1078" t="s">
        <v>2268</v>
      </c>
      <c r="G5" s="571" t="s">
        <v>2268</v>
      </c>
      <c r="H5" s="1079" t="s">
        <v>2267</v>
      </c>
      <c r="I5" s="1080">
        <v>1</v>
      </c>
      <c r="J5" s="1081">
        <f>UC.m2_to_ft2</f>
        <v>10.7639104</v>
      </c>
      <c r="K5" s="1082">
        <v>1</v>
      </c>
      <c r="L5" s="1080">
        <v>1</v>
      </c>
      <c r="M5" s="1081">
        <f>UC.ft2_to_m2</f>
        <v>9.2903040000000006E-2</v>
      </c>
      <c r="N5" s="49" t="s">
        <v>2266</v>
      </c>
    </row>
    <row r="6" spans="1:14" x14ac:dyDescent="0.3">
      <c r="A6" t="str">
        <f t="shared" si="0"/>
        <v>ft2/head, m2/head, ft2/head -&gt; m2/head</v>
      </c>
      <c r="B6" s="49" t="s">
        <v>2269</v>
      </c>
      <c r="C6" s="1142" cm="1">
        <f t="array" ref="C6">INDEX(I6:J6, 0, $D$261)</f>
        <v>1</v>
      </c>
      <c r="D6" s="1142" cm="1">
        <f t="array" ref="D6">INDEX(L6:M6, 0, $D$261)</f>
        <v>9.2903040000000006E-2</v>
      </c>
      <c r="E6" s="1142" t="str" cm="1">
        <f t="array" ref="E6">INDEX(G6:H6, 0, $D$261)</f>
        <v>ft2/head</v>
      </c>
      <c r="F6" s="1078" t="s">
        <v>2270</v>
      </c>
      <c r="G6" s="571" t="s">
        <v>2270</v>
      </c>
      <c r="H6" s="1079" t="s">
        <v>2269</v>
      </c>
      <c r="I6" s="1080">
        <f>UC.ft2_to_m2</f>
        <v>9.2903040000000006E-2</v>
      </c>
      <c r="J6" s="1081">
        <v>1</v>
      </c>
      <c r="K6" s="1082">
        <f>UC.ft2_to_m2</f>
        <v>9.2903040000000006E-2</v>
      </c>
      <c r="L6" s="1080">
        <v>1</v>
      </c>
      <c r="M6" s="1081">
        <f>UC.ft2_to_m2</f>
        <v>9.2903040000000006E-2</v>
      </c>
      <c r="N6" s="49" t="s">
        <v>2271</v>
      </c>
    </row>
    <row r="7" spans="1:14" x14ac:dyDescent="0.3">
      <c r="A7" t="str">
        <f t="shared" si="0"/>
        <v>acre/head/year, hectare/head/year, acre/head/year -&gt; acre/head/year</v>
      </c>
      <c r="B7" s="49" t="s">
        <v>2272</v>
      </c>
      <c r="C7" s="1142" cm="1">
        <f t="array" ref="C7">INDEX(I7:J7, 0, $D$261)</f>
        <v>1</v>
      </c>
      <c r="D7" s="1142" cm="1">
        <f t="array" ref="D7">INDEX(L7:M7, 0, $D$261)</f>
        <v>1</v>
      </c>
      <c r="E7" s="1142" t="str" cm="1">
        <f t="array" ref="E7">INDEX(G7:H7, 0, $D$261)</f>
        <v>acre/head/year</v>
      </c>
      <c r="F7" s="1078" t="s">
        <v>2272</v>
      </c>
      <c r="G7" s="571" t="s">
        <v>2273</v>
      </c>
      <c r="H7" s="1079" t="s">
        <v>2272</v>
      </c>
      <c r="I7" s="1080">
        <f>$E$183</f>
        <v>0.40468564000000001</v>
      </c>
      <c r="J7" s="1081">
        <f t="shared" ref="J7" si="1">IF(B7=H7,1,"REPLACE")</f>
        <v>1</v>
      </c>
      <c r="K7" s="1082">
        <f t="shared" ref="K7" si="2">IF(B7=F7,1,"REPLACE")</f>
        <v>1</v>
      </c>
      <c r="L7" s="1080">
        <f>1/I7</f>
        <v>2.4710538283493331</v>
      </c>
      <c r="M7" s="1081">
        <f t="shared" ref="M7" si="3">IF(H7=F7,1,"REPLACE")</f>
        <v>1</v>
      </c>
      <c r="N7" s="49" t="s">
        <v>2274</v>
      </c>
    </row>
    <row r="8" spans="1:14" x14ac:dyDescent="0.3">
      <c r="A8" t="str">
        <f>_xlfn.CONCAT(B8, ", ", G8, ", ", H8, " -&gt; ", F8)</f>
        <v>ft2/hr, m2/hr, ft2/hr -&gt; m2/hr</v>
      </c>
      <c r="B8" s="49" t="s">
        <v>2275</v>
      </c>
      <c r="C8" s="1142" cm="1">
        <f t="array" ref="C8">INDEX(I8:J8, 0, $D$261)</f>
        <v>1</v>
      </c>
      <c r="D8" s="1142" cm="1">
        <f t="array" ref="D8">INDEX(L8:M8, 0, $D$261)</f>
        <v>9.2903040000000006E-2</v>
      </c>
      <c r="E8" s="1142" t="str" cm="1">
        <f t="array" ref="E8">INDEX(G8:H8, 0, $D$261)</f>
        <v>ft2/hr</v>
      </c>
      <c r="F8" s="1078" t="s">
        <v>2276</v>
      </c>
      <c r="G8" s="571" t="s">
        <v>2276</v>
      </c>
      <c r="H8" s="1079" t="s">
        <v>2275</v>
      </c>
      <c r="I8" s="1080">
        <f>UC.ft2_to_m2</f>
        <v>9.2903040000000006E-2</v>
      </c>
      <c r="J8" s="1081">
        <v>1</v>
      </c>
      <c r="K8" s="1082">
        <f>UC.ft2_to_m2</f>
        <v>9.2903040000000006E-2</v>
      </c>
      <c r="L8" s="1080">
        <v>1</v>
      </c>
      <c r="M8" s="1081">
        <f>UC.ft2_to_m2</f>
        <v>9.2903040000000006E-2</v>
      </c>
      <c r="N8" s="49" t="s">
        <v>2277</v>
      </c>
    </row>
    <row r="9" spans="1:14" x14ac:dyDescent="0.3">
      <c r="A9" t="str">
        <f t="shared" si="0"/>
        <v>acre/year, hectare/year, acre/year -&gt; acre/year</v>
      </c>
      <c r="B9" s="49" t="s">
        <v>2278</v>
      </c>
      <c r="C9" s="1142" cm="1">
        <f t="array" ref="C9">INDEX(I9:J9, 0, $D$261)</f>
        <v>1</v>
      </c>
      <c r="D9" s="1142" cm="1">
        <f t="array" ref="D9">INDEX(L9:M9, 0, $D$261)</f>
        <v>1</v>
      </c>
      <c r="E9" s="1142" t="str" cm="1">
        <f t="array" ref="E9">INDEX(G9:H9, 0, $D$261)</f>
        <v>acre/year</v>
      </c>
      <c r="F9" s="1078" t="s">
        <v>2278</v>
      </c>
      <c r="G9" s="571" t="s">
        <v>2279</v>
      </c>
      <c r="H9" s="1079" t="s">
        <v>2278</v>
      </c>
      <c r="I9" s="1080">
        <f>$E$183</f>
        <v>0.40468564000000001</v>
      </c>
      <c r="J9" s="1081">
        <v>1</v>
      </c>
      <c r="K9" s="1082">
        <v>1</v>
      </c>
      <c r="L9" s="1080">
        <f>1/I9</f>
        <v>2.4710538283493331</v>
      </c>
      <c r="M9" s="1081">
        <v>1</v>
      </c>
      <c r="N9" s="49" t="s">
        <v>2277</v>
      </c>
    </row>
    <row r="10" spans="1:14" x14ac:dyDescent="0.3">
      <c r="A10" t="str">
        <f t="shared" si="0"/>
        <v>m2/unit, m2/unit, ft2/unit -&gt; m2/unit</v>
      </c>
      <c r="B10" s="49" t="s">
        <v>2280</v>
      </c>
      <c r="C10" s="1142" cm="1">
        <f t="array" ref="C10">INDEX(I10:J10, 0, $D$261)</f>
        <v>10.7639104</v>
      </c>
      <c r="D10" s="1142" cm="1">
        <f t="array" ref="D10">INDEX(L10:M10, 0, $D$261)</f>
        <v>9.2903040144221197E-2</v>
      </c>
      <c r="E10" s="1142" t="str" cm="1">
        <f t="array" ref="E10">INDEX(G10:H10, 0, $D$261)</f>
        <v>ft2/unit</v>
      </c>
      <c r="F10" s="1078" t="s">
        <v>2280</v>
      </c>
      <c r="G10" s="571" t="s">
        <v>2280</v>
      </c>
      <c r="H10" s="1079" t="s">
        <v>2281</v>
      </c>
      <c r="I10" s="1080">
        <v>1</v>
      </c>
      <c r="J10" s="1081">
        <f>UC.m2_to_ft2</f>
        <v>10.7639104</v>
      </c>
      <c r="K10" s="1082">
        <v>1</v>
      </c>
      <c r="L10" s="1080">
        <v>1</v>
      </c>
      <c r="M10" s="1081">
        <f>1/J10</f>
        <v>9.2903040144221197E-2</v>
      </c>
      <c r="N10" s="49" t="s">
        <v>2282</v>
      </c>
    </row>
    <row r="11" spans="1:14" x14ac:dyDescent="0.3">
      <c r="A11" t="str">
        <f>_xlfn.CONCAT(B11, ", ", G11, ", ", H11, " -&gt; ", F11)</f>
        <v>1 or 0, 1 or 0, 1 or 0 -&gt; 1 or 0</v>
      </c>
      <c r="B11" s="49" t="s">
        <v>836</v>
      </c>
      <c r="C11" s="1142" cm="1">
        <f t="array" ref="C11">INDEX(I11:J11, 0, $D$261)</f>
        <v>1</v>
      </c>
      <c r="D11" s="1142" cm="1">
        <f t="array" ref="D11">INDEX(L11:M11, 0, $D$261)</f>
        <v>1</v>
      </c>
      <c r="E11" s="1142" t="str" cm="1">
        <f t="array" ref="E11">INDEX(G11:H11, 0, $D$261)</f>
        <v>1 or 0</v>
      </c>
      <c r="F11" s="1078" t="s">
        <v>836</v>
      </c>
      <c r="G11" s="571" t="s">
        <v>836</v>
      </c>
      <c r="H11" s="1079" t="s">
        <v>836</v>
      </c>
      <c r="I11" s="1080">
        <v>1</v>
      </c>
      <c r="J11" s="1081">
        <v>1</v>
      </c>
      <c r="K11" s="1082">
        <v>1</v>
      </c>
      <c r="L11" s="1080">
        <v>1</v>
      </c>
      <c r="M11" s="1081">
        <v>1</v>
      </c>
      <c r="N11" s="49" t="s">
        <v>2283</v>
      </c>
    </row>
    <row r="12" spans="1:14" x14ac:dyDescent="0.3">
      <c r="A12" t="str">
        <f t="shared" si="0"/>
        <v>Yes or No, Yes or No, Yes or No -&gt; 1 or 0</v>
      </c>
      <c r="B12" s="1089" t="s">
        <v>837</v>
      </c>
      <c r="C12" s="1142" cm="1">
        <f t="array" ref="C12">INDEX(I12:J12, 0, $D$261)</f>
        <v>1</v>
      </c>
      <c r="D12" s="1142" cm="1">
        <f t="array" ref="D12">INDEX(L12:M12, 0, $D$261)</f>
        <v>1</v>
      </c>
      <c r="E12" s="1142" t="str" cm="1">
        <f t="array" ref="E12">INDEX(G12:H12, 0, $D$261)</f>
        <v>Yes or No</v>
      </c>
      <c r="F12" s="1078" t="s">
        <v>836</v>
      </c>
      <c r="G12" s="571" t="s">
        <v>837</v>
      </c>
      <c r="H12" s="1079" t="s">
        <v>837</v>
      </c>
      <c r="I12" s="1080">
        <f>IF(B12=G12,1,"REPLACE")</f>
        <v>1</v>
      </c>
      <c r="J12" s="1081">
        <f>IF(B12=H12,1,"REPLACE")</f>
        <v>1</v>
      </c>
      <c r="K12" s="1082">
        <v>1</v>
      </c>
      <c r="L12" s="1080">
        <v>1</v>
      </c>
      <c r="M12" s="1081">
        <v>1</v>
      </c>
      <c r="N12" s="49" t="s">
        <v>2283</v>
      </c>
    </row>
    <row r="13" spans="1:14" x14ac:dyDescent="0.3">
      <c r="A13" t="str">
        <f t="shared" si="0"/>
        <v>$, $, $ -&gt; $</v>
      </c>
      <c r="B13" s="49" t="s">
        <v>2284</v>
      </c>
      <c r="C13" s="1142" cm="1">
        <f t="array" ref="C13">INDEX(I13:J13, 0, $D$261)</f>
        <v>1</v>
      </c>
      <c r="D13" s="1142" cm="1">
        <f t="array" ref="D13">INDEX(L13:M13, 0, $D$261)</f>
        <v>1</v>
      </c>
      <c r="E13" s="1142" t="str" cm="1">
        <f t="array" ref="E13">INDEX(G13:H13, 0, $D$261)</f>
        <v>$</v>
      </c>
      <c r="F13" s="1078" t="s">
        <v>2284</v>
      </c>
      <c r="G13" s="571" t="s">
        <v>2284</v>
      </c>
      <c r="H13" s="1079" t="s">
        <v>2284</v>
      </c>
      <c r="I13" s="1080">
        <f>IF(B13=G13,1,"REPLACE")</f>
        <v>1</v>
      </c>
      <c r="J13" s="1081">
        <f>IF(B13=H13,1,"REPLACE")</f>
        <v>1</v>
      </c>
      <c r="K13" s="1082">
        <f>IF(B13=F13,1,"REPLACE")</f>
        <v>1</v>
      </c>
      <c r="L13" s="1080">
        <f>IF(G13=F13,1,"REPLACE")</f>
        <v>1</v>
      </c>
      <c r="M13" s="1081">
        <f>IF(H13=F13,1,"REPLACE")</f>
        <v>1</v>
      </c>
      <c r="N13" s="49" t="s">
        <v>478</v>
      </c>
    </row>
    <row r="14" spans="1:14" x14ac:dyDescent="0.3">
      <c r="A14" t="str">
        <f t="shared" si="0"/>
        <v>$ (Construction), $ (Construction), $ (Construction) -&gt; $ (Construction)</v>
      </c>
      <c r="B14" s="49" t="s">
        <v>2285</v>
      </c>
      <c r="C14" s="1142" cm="1">
        <f t="array" ref="C14">INDEX(I14:J14, 0, $D$261)</f>
        <v>1</v>
      </c>
      <c r="D14" s="1142" cm="1">
        <f t="array" ref="D14">INDEX(L14:M14, 0, $D$261)</f>
        <v>1</v>
      </c>
      <c r="E14" s="1142" t="str" cm="1">
        <f t="array" ref="E14">INDEX(G14:H14, 0, $D$261)</f>
        <v>$ (Construction)</v>
      </c>
      <c r="F14" s="1078" t="s">
        <v>2285</v>
      </c>
      <c r="G14" s="571" t="s">
        <v>2285</v>
      </c>
      <c r="H14" s="1079" t="s">
        <v>2285</v>
      </c>
      <c r="I14" s="1080">
        <f>UDV.adj.construction_cost</f>
        <v>1</v>
      </c>
      <c r="J14" s="1081">
        <f>UDV.adj.construction_cost</f>
        <v>1</v>
      </c>
      <c r="K14" s="1082">
        <v>1</v>
      </c>
      <c r="L14" s="1080">
        <v>1</v>
      </c>
      <c r="M14" s="1081">
        <v>1</v>
      </c>
      <c r="N14" s="49" t="s">
        <v>2286</v>
      </c>
    </row>
    <row r="15" spans="1:14" x14ac:dyDescent="0.3">
      <c r="A15" t="str">
        <f t="shared" si="0"/>
        <v>$ (Equipment), $ (Equipment), $ (Equipment) -&gt; $ (Equipment)</v>
      </c>
      <c r="B15" s="49" t="s">
        <v>2287</v>
      </c>
      <c r="C15" s="1142" cm="1">
        <f t="array" ref="C15">INDEX(I15:J15, 0, $D$261)</f>
        <v>1</v>
      </c>
      <c r="D15" s="1142" cm="1">
        <f t="array" ref="D15">INDEX(L15:M15, 0, $D$261)</f>
        <v>1</v>
      </c>
      <c r="E15" s="1142" t="str" cm="1">
        <f t="array" ref="E15">INDEX(G15:H15, 0, $D$261)</f>
        <v>$ (Equipment)</v>
      </c>
      <c r="F15" s="1078" t="s">
        <v>2287</v>
      </c>
      <c r="G15" s="571" t="s">
        <v>2287</v>
      </c>
      <c r="H15" s="1079" t="s">
        <v>2287</v>
      </c>
      <c r="I15" s="1080">
        <f>UDV.adj.routine_equip_cost</f>
        <v>1</v>
      </c>
      <c r="J15" s="1081">
        <f>UDV.adj.routine_equip_cost</f>
        <v>1</v>
      </c>
      <c r="K15" s="1082">
        <v>1</v>
      </c>
      <c r="L15" s="1080">
        <v>1</v>
      </c>
      <c r="M15" s="1081">
        <v>1</v>
      </c>
      <c r="N15" s="49" t="s">
        <v>2288</v>
      </c>
    </row>
    <row r="16" spans="1:14" x14ac:dyDescent="0.3">
      <c r="A16" t="str">
        <f>_xlfn.CONCAT(B16, ", ", G16, ", ", H16, " -&gt; ", F16)</f>
        <v>$ (Special Tech), $ (Special Tech), $ (Special Tech) -&gt; $ (Special Tech)</v>
      </c>
      <c r="B16" s="49" t="s">
        <v>2289</v>
      </c>
      <c r="C16" s="1142" cm="1">
        <f t="array" ref="C16">INDEX(I16:J16, 0, $D$261)</f>
        <v>1</v>
      </c>
      <c r="D16" s="1142" cm="1">
        <f t="array" ref="D16">INDEX(L16:M16, 0, $D$261)</f>
        <v>1</v>
      </c>
      <c r="E16" s="1142" t="str" cm="1">
        <f t="array" ref="E16">INDEX(G16:H16, 0, $D$261)</f>
        <v>$ (Special Tech)</v>
      </c>
      <c r="F16" s="1078" t="s">
        <v>2289</v>
      </c>
      <c r="G16" s="571" t="s">
        <v>2289</v>
      </c>
      <c r="H16" s="1079" t="s">
        <v>2289</v>
      </c>
      <c r="I16" s="1080">
        <f>UDV.adj.special_tech_cost</f>
        <v>1</v>
      </c>
      <c r="J16" s="1081">
        <f>UDV.adj.special_tech_cost</f>
        <v>1</v>
      </c>
      <c r="K16" s="1082">
        <v>1</v>
      </c>
      <c r="L16" s="1080">
        <v>1</v>
      </c>
      <c r="M16" s="1081">
        <v>1</v>
      </c>
      <c r="N16" s="49" t="s">
        <v>2290</v>
      </c>
    </row>
    <row r="17" spans="1:14" x14ac:dyDescent="0.3">
      <c r="A17" t="str">
        <f t="shared" si="0"/>
        <v>$/ft2, $/m2, $/ft2 -&gt; $/ft2</v>
      </c>
      <c r="B17" s="49" t="s">
        <v>2291</v>
      </c>
      <c r="C17" s="1142" cm="1">
        <f t="array" ref="C17">INDEX(I17:J17, 0, $D$261)</f>
        <v>1</v>
      </c>
      <c r="D17" s="1142" cm="1">
        <f t="array" ref="D17">INDEX(L17:M17, 0, $D$261)</f>
        <v>1</v>
      </c>
      <c r="E17" s="1142" t="str" cm="1">
        <f t="array" ref="E17">INDEX(G17:H17, 0, $D$261)</f>
        <v>$/ft2</v>
      </c>
      <c r="F17" s="1078" t="s">
        <v>2291</v>
      </c>
      <c r="G17" s="571" t="s">
        <v>2292</v>
      </c>
      <c r="H17" s="1079" t="s">
        <v>2291</v>
      </c>
      <c r="I17" s="1080">
        <f>E192</f>
        <v>10.7639104</v>
      </c>
      <c r="J17" s="1081">
        <v>1</v>
      </c>
      <c r="K17" s="1082">
        <v>1</v>
      </c>
      <c r="L17" s="1080">
        <f>1/I17</f>
        <v>9.2903040144221197E-2</v>
      </c>
      <c r="M17" s="1081">
        <v>1</v>
      </c>
      <c r="N17" s="49" t="s">
        <v>2293</v>
      </c>
    </row>
    <row r="18" spans="1:14" x14ac:dyDescent="0.3">
      <c r="A18" t="str">
        <f t="shared" si="0"/>
        <v>$/credit, $/credit, $/credit -&gt; $/credit</v>
      </c>
      <c r="B18" s="49" t="s">
        <v>2294</v>
      </c>
      <c r="C18" s="1142" cm="1">
        <f t="array" ref="C18">INDEX(I18:J18, 0, $D$261)</f>
        <v>1</v>
      </c>
      <c r="D18" s="1142" cm="1">
        <f t="array" ref="D18">INDEX(L18:M18, 0, $D$261)</f>
        <v>1</v>
      </c>
      <c r="E18" s="1142" t="str" cm="1">
        <f t="array" ref="E18">INDEX(G18:H18, 0, $D$261)</f>
        <v>$/credit</v>
      </c>
      <c r="F18" s="1078" t="s">
        <v>2294</v>
      </c>
      <c r="G18" s="571" t="s">
        <v>2294</v>
      </c>
      <c r="H18" s="1079" t="s">
        <v>2294</v>
      </c>
      <c r="I18" s="1080">
        <v>1</v>
      </c>
      <c r="J18" s="1081">
        <v>1</v>
      </c>
      <c r="K18" s="1082">
        <v>1</v>
      </c>
      <c r="L18" s="1080">
        <v>1</v>
      </c>
      <c r="M18" s="1081">
        <v>1</v>
      </c>
      <c r="N18" s="49" t="s">
        <v>2295</v>
      </c>
    </row>
    <row r="19" spans="1:14" x14ac:dyDescent="0.3">
      <c r="A19" t="str">
        <f t="shared" si="0"/>
        <v>$/ft, $/m, $/ft -&gt; $/ft</v>
      </c>
      <c r="B19" s="49" t="s">
        <v>2296</v>
      </c>
      <c r="C19" s="1142" cm="1">
        <f t="array" ref="C19">INDEX(I19:J19, 0, $D$261)</f>
        <v>1</v>
      </c>
      <c r="D19" s="1142" cm="1">
        <f t="array" ref="D19">INDEX(L19:M19, 0, $D$261)</f>
        <v>1</v>
      </c>
      <c r="E19" s="1142" t="str" cm="1">
        <f t="array" ref="E19">INDEX(G19:H19, 0, $D$261)</f>
        <v>$/ft</v>
      </c>
      <c r="F19" s="1078" t="s">
        <v>2296</v>
      </c>
      <c r="G19" s="571" t="s">
        <v>2297</v>
      </c>
      <c r="H19" s="1079" t="s">
        <v>2296</v>
      </c>
      <c r="I19" s="1080">
        <v>0.30480000000000002</v>
      </c>
      <c r="J19" s="1081">
        <v>1</v>
      </c>
      <c r="K19" s="1082">
        <v>1</v>
      </c>
      <c r="L19" s="1080">
        <f>1/I19</f>
        <v>3.280839895013123</v>
      </c>
      <c r="M19" s="1081">
        <v>1</v>
      </c>
      <c r="N19" s="49" t="s">
        <v>2298</v>
      </c>
    </row>
    <row r="20" spans="1:14" x14ac:dyDescent="0.3">
      <c r="A20" t="str">
        <f t="shared" si="0"/>
        <v>$/lb, $/kg, $/lb -&gt; $/lb</v>
      </c>
      <c r="B20" s="49" t="s">
        <v>2299</v>
      </c>
      <c r="C20" s="1142" cm="1">
        <f t="array" ref="C20">INDEX(I20:J20, 0, $D$261)</f>
        <v>1</v>
      </c>
      <c r="D20" s="1142" cm="1">
        <f t="array" ref="D20">INDEX(L20:M20, 0, $D$261)</f>
        <v>1</v>
      </c>
      <c r="E20" s="1142" t="str" cm="1">
        <f t="array" ref="E20">INDEX(G20:H20, 0, $D$261)</f>
        <v>$/lb</v>
      </c>
      <c r="F20" s="1078" t="s">
        <v>2299</v>
      </c>
      <c r="G20" s="571" t="s">
        <v>2300</v>
      </c>
      <c r="H20" s="1079" t="s">
        <v>2299</v>
      </c>
      <c r="I20" s="1080">
        <f>$E$197</f>
        <v>2.2046226199999999</v>
      </c>
      <c r="J20" s="1081">
        <v>1</v>
      </c>
      <c r="K20" s="1082">
        <v>1</v>
      </c>
      <c r="L20" s="1080">
        <f>1/I20</f>
        <v>0.45359237038037831</v>
      </c>
      <c r="M20" s="1081">
        <v>1</v>
      </c>
      <c r="N20" s="49" t="s">
        <v>2301</v>
      </c>
    </row>
    <row r="21" spans="1:14" x14ac:dyDescent="0.3">
      <c r="A21" t="str">
        <f t="shared" si="0"/>
        <v>$/ton (2000 lb) CO2e, $/tonne (1000 kg) CO2e, $/ton (2000 lb) CO2e -&gt; $/ton (2000 lb) CO2e</v>
      </c>
      <c r="B21" s="1089" t="s">
        <v>2302</v>
      </c>
      <c r="C21" s="1142" cm="1">
        <f t="array" ref="C21">INDEX(I21:J21, 0, $D$261)</f>
        <v>1</v>
      </c>
      <c r="D21" s="1142" cm="1">
        <f t="array" ref="D21">INDEX(L21:M21, 0, $D$261)</f>
        <v>1</v>
      </c>
      <c r="E21" s="1142" t="str" cm="1">
        <f t="array" ref="E21">INDEX(G21:H21, 0, $D$261)</f>
        <v>$/ton (2000 lb) CO2e</v>
      </c>
      <c r="F21" s="1078" t="s">
        <v>2302</v>
      </c>
      <c r="G21" s="571" t="s">
        <v>2303</v>
      </c>
      <c r="H21" s="1079" t="s">
        <v>2302</v>
      </c>
      <c r="I21" s="1080">
        <f>$E$200</f>
        <v>1.1023113099999999</v>
      </c>
      <c r="J21" s="1081">
        <f>IF(B21=H21,1,"REPLACE")</f>
        <v>1</v>
      </c>
      <c r="K21" s="1082">
        <f>IF(B21=F21,1,"REPLACE")</f>
        <v>1</v>
      </c>
      <c r="L21" s="1080">
        <f>1/I21</f>
        <v>0.90718474076075661</v>
      </c>
      <c r="M21" s="1081">
        <f>IF(H21=F21,1,"REPLACE")</f>
        <v>1</v>
      </c>
      <c r="N21" s="49" t="s">
        <v>2301</v>
      </c>
    </row>
    <row r="22" spans="1:14" x14ac:dyDescent="0.3">
      <c r="A22" t="str">
        <f t="shared" si="0"/>
        <v>$/ton (2000 lb), $/tonne (1000 kg), $/ton (2000 lb) -&gt; $/ton (2000 lb)</v>
      </c>
      <c r="B22" s="1089" t="s">
        <v>2304</v>
      </c>
      <c r="C22" s="1142" cm="1">
        <f t="array" ref="C22">INDEX(I22:J22, 0, $D$261)</f>
        <v>1</v>
      </c>
      <c r="D22" s="1142" cm="1">
        <f t="array" ref="D22">INDEX(L22:M22, 0, $D$261)</f>
        <v>1</v>
      </c>
      <c r="E22" s="1142" t="str" cm="1">
        <f t="array" ref="E22">INDEX(G22:H22, 0, $D$261)</f>
        <v>$/ton (2000 lb)</v>
      </c>
      <c r="F22" s="1078" t="s">
        <v>2304</v>
      </c>
      <c r="G22" s="571" t="s">
        <v>2305</v>
      </c>
      <c r="H22" s="1079" t="s">
        <v>2304</v>
      </c>
      <c r="I22" s="1080">
        <f>$E$200</f>
        <v>1.1023113099999999</v>
      </c>
      <c r="J22" s="1081">
        <f>IF(B22=H22,1,"REPLACE")</f>
        <v>1</v>
      </c>
      <c r="K22" s="1082">
        <f>IF(B22=F22,1,"REPLACE")</f>
        <v>1</v>
      </c>
      <c r="L22" s="1080">
        <f>1/I22</f>
        <v>0.90718474076075661</v>
      </c>
      <c r="M22" s="1081">
        <f>IF(H22=F22,1,"REPLACE")</f>
        <v>1</v>
      </c>
      <c r="N22" s="49" t="s">
        <v>2301</v>
      </c>
    </row>
    <row r="23" spans="1:14" x14ac:dyDescent="0.3">
      <c r="A23" t="str">
        <f t="shared" si="0"/>
        <v>$/kWh, $/kWh, $/kWh -&gt; $/kWh</v>
      </c>
      <c r="B23" s="49" t="s">
        <v>2306</v>
      </c>
      <c r="C23" s="1142" cm="1">
        <f t="array" ref="C23">INDEX(I23:J23, 0, $D$261)</f>
        <v>1</v>
      </c>
      <c r="D23" s="1142" cm="1">
        <f t="array" ref="D23">INDEX(L23:M23, 0, $D$261)</f>
        <v>1</v>
      </c>
      <c r="E23" s="1142" t="str" cm="1">
        <f t="array" ref="E23">INDEX(G23:H23, 0, $D$261)</f>
        <v>$/kWh</v>
      </c>
      <c r="F23" s="1078" t="s">
        <v>2306</v>
      </c>
      <c r="G23" s="571" t="s">
        <v>2306</v>
      </c>
      <c r="H23" s="1079" t="s">
        <v>2306</v>
      </c>
      <c r="I23" s="1080">
        <f>IF(B23=G23,1,"REPLACE")</f>
        <v>1</v>
      </c>
      <c r="J23" s="1081">
        <f>IF(B23=H23,1,"REPLACE")</f>
        <v>1</v>
      </c>
      <c r="K23" s="1082">
        <f>IF(B23=F23,1,"REPLACE")</f>
        <v>1</v>
      </c>
      <c r="L23" s="1080">
        <f>IF(G23=F23,1,"REPLACE")</f>
        <v>1</v>
      </c>
      <c r="M23" s="1081">
        <f>IF(H23=F23,1,"REPLACE")</f>
        <v>1</v>
      </c>
      <c r="N23" s="49" t="s">
        <v>2307</v>
      </c>
    </row>
    <row r="24" spans="1:14" x14ac:dyDescent="0.3">
      <c r="A24" t="str">
        <f t="shared" si="0"/>
        <v>$/MWh, $/MWh, $/MWh -&gt; $/MWh</v>
      </c>
      <c r="B24" s="49" t="s">
        <v>2308</v>
      </c>
      <c r="C24" s="1142" cm="1">
        <f t="array" ref="C24">INDEX(I24:J24, 0, $D$261)</f>
        <v>1</v>
      </c>
      <c r="D24" s="1142" cm="1">
        <f t="array" ref="D24">INDEX(L24:M24, 0, $D$261)</f>
        <v>1</v>
      </c>
      <c r="E24" s="1142" t="str" cm="1">
        <f t="array" ref="E24">INDEX(G24:H24, 0, $D$261)</f>
        <v>$/MWh</v>
      </c>
      <c r="F24" s="1078" t="str">
        <f>B24</f>
        <v>$/MWh</v>
      </c>
      <c r="G24" s="571" t="str">
        <f>F24</f>
        <v>$/MWh</v>
      </c>
      <c r="H24" s="1079" t="str">
        <f>G24</f>
        <v>$/MWh</v>
      </c>
      <c r="I24" s="1080">
        <v>1</v>
      </c>
      <c r="J24" s="1081">
        <v>1</v>
      </c>
      <c r="K24" s="1082">
        <v>1</v>
      </c>
      <c r="L24" s="1080">
        <v>1</v>
      </c>
      <c r="M24" s="1081">
        <v>1</v>
      </c>
      <c r="N24" s="49" t="s">
        <v>2307</v>
      </c>
    </row>
    <row r="25" spans="1:14" x14ac:dyDescent="0.3">
      <c r="A25" t="str">
        <f t="shared" si="0"/>
        <v>$/hr, $/hr, $/hr -&gt; $/hr</v>
      </c>
      <c r="B25" s="49" t="s">
        <v>2309</v>
      </c>
      <c r="C25" s="1142" cm="1">
        <f t="array" ref="C25">INDEX(I25:J25, 0, $D$261)</f>
        <v>1</v>
      </c>
      <c r="D25" s="1142" cm="1">
        <f t="array" ref="D25">INDEX(L25:M25, 0, $D$261)</f>
        <v>1</v>
      </c>
      <c r="E25" s="1142" t="str" cm="1">
        <f t="array" ref="E25">INDEX(G25:H25, 0, $D$261)</f>
        <v>$/hr</v>
      </c>
      <c r="F25" s="1078" t="s">
        <v>2309</v>
      </c>
      <c r="G25" s="571" t="s">
        <v>2309</v>
      </c>
      <c r="H25" s="1079" t="s">
        <v>2309</v>
      </c>
      <c r="I25" s="1080">
        <f>IF(B25=G25,1,"REPLACE")</f>
        <v>1</v>
      </c>
      <c r="J25" s="1081">
        <f t="shared" ref="J25:J34" si="4">IF(B25=H25,1,"REPLACE")</f>
        <v>1</v>
      </c>
      <c r="K25" s="1082">
        <f t="shared" ref="K25:K34" si="5">IF(B25=F25,1,"REPLACE")</f>
        <v>1</v>
      </c>
      <c r="L25" s="1080">
        <f>IF(G25=F25,1,"REPLACE")</f>
        <v>1</v>
      </c>
      <c r="M25" s="1081">
        <f t="shared" ref="M25:M34" si="6">IF(H25=F25,1,"REPLACE")</f>
        <v>1</v>
      </c>
      <c r="N25" s="49" t="s">
        <v>2310</v>
      </c>
    </row>
    <row r="26" spans="1:14" x14ac:dyDescent="0.3">
      <c r="A26" t="str">
        <f t="shared" si="0"/>
        <v>$/1000 ft3, $/1000 L, $/1000 ft3 -&gt; $/1000 ft3</v>
      </c>
      <c r="B26" s="49" t="s">
        <v>2311</v>
      </c>
      <c r="C26" s="1142" cm="1">
        <f t="array" ref="C26">INDEX(I26:J26, 0, $D$261)</f>
        <v>1</v>
      </c>
      <c r="D26" s="1142" cm="1">
        <f t="array" ref="D26">INDEX(L26:M26, 0, $D$261)</f>
        <v>1</v>
      </c>
      <c r="E26" s="1142" t="str" cm="1">
        <f t="array" ref="E26">INDEX(G26:H26, 0, $D$261)</f>
        <v>$/1000 ft3</v>
      </c>
      <c r="F26" s="1078" t="s">
        <v>2311</v>
      </c>
      <c r="G26" s="571" t="s">
        <v>2312</v>
      </c>
      <c r="H26" s="1079" t="s">
        <v>2311</v>
      </c>
      <c r="I26" s="1080">
        <f>1/$E$179</f>
        <v>3.531466671151158E-2</v>
      </c>
      <c r="J26" s="1081">
        <f t="shared" si="4"/>
        <v>1</v>
      </c>
      <c r="K26" s="1082">
        <f t="shared" si="5"/>
        <v>1</v>
      </c>
      <c r="L26" s="1080">
        <f>1/I26</f>
        <v>28.316846600000005</v>
      </c>
      <c r="M26" s="1081">
        <f t="shared" si="6"/>
        <v>1</v>
      </c>
      <c r="N26" s="49" t="s">
        <v>2313</v>
      </c>
    </row>
    <row r="27" spans="1:14" x14ac:dyDescent="0.3">
      <c r="A27" t="str">
        <f t="shared" si="0"/>
        <v>$/1000 gal, $/1000 L, $/1000 gal -&gt; $/1000 gal</v>
      </c>
      <c r="B27" s="49" t="s">
        <v>2314</v>
      </c>
      <c r="C27" s="1142" cm="1">
        <f t="array" ref="C27">INDEX(I27:J27, 0, $D$261)</f>
        <v>1</v>
      </c>
      <c r="D27" s="1142" cm="1">
        <f t="array" ref="D27">INDEX(L27:M27, 0, $D$261)</f>
        <v>1</v>
      </c>
      <c r="E27" s="1142" t="str" cm="1">
        <f t="array" ref="E27">INDEX(G27:H27, 0, $D$261)</f>
        <v>$/1000 gal</v>
      </c>
      <c r="F27" s="1078" t="s">
        <v>2314</v>
      </c>
      <c r="G27" s="571" t="s">
        <v>2312</v>
      </c>
      <c r="H27" s="1079" t="s">
        <v>2314</v>
      </c>
      <c r="I27" s="1080">
        <f>$E$170</f>
        <v>0.26417204999999999</v>
      </c>
      <c r="J27" s="1081">
        <f t="shared" si="4"/>
        <v>1</v>
      </c>
      <c r="K27" s="1082">
        <f t="shared" si="5"/>
        <v>1</v>
      </c>
      <c r="L27" s="1080">
        <f>1/I27</f>
        <v>3.7854118177907163</v>
      </c>
      <c r="M27" s="1081">
        <f t="shared" si="6"/>
        <v>1</v>
      </c>
      <c r="N27" s="49" t="s">
        <v>2313</v>
      </c>
    </row>
    <row r="28" spans="1:14" x14ac:dyDescent="0.3">
      <c r="A28" t="str">
        <f t="shared" si="0"/>
        <v>$/gal, $/L, $/gal -&gt; $/gal</v>
      </c>
      <c r="B28" s="49" t="s">
        <v>2315</v>
      </c>
      <c r="C28" s="1142" cm="1">
        <f t="array" ref="C28">INDEX(I28:J28, 0, $D$261)</f>
        <v>1</v>
      </c>
      <c r="D28" s="1142" cm="1">
        <f t="array" ref="D28">INDEX(L28:M28, 0, $D$261)</f>
        <v>1</v>
      </c>
      <c r="E28" s="1142" t="str" cm="1">
        <f t="array" ref="E28">INDEX(G28:H28, 0, $D$261)</f>
        <v>$/gal</v>
      </c>
      <c r="F28" s="1078" t="s">
        <v>2315</v>
      </c>
      <c r="G28" s="571" t="s">
        <v>2316</v>
      </c>
      <c r="H28" s="1079" t="s">
        <v>2315</v>
      </c>
      <c r="I28" s="1080">
        <f>$E$170</f>
        <v>0.26417204999999999</v>
      </c>
      <c r="J28" s="1081">
        <f t="shared" si="4"/>
        <v>1</v>
      </c>
      <c r="K28" s="1082">
        <f t="shared" si="5"/>
        <v>1</v>
      </c>
      <c r="L28" s="1080">
        <f>1/I28</f>
        <v>3.7854118177907163</v>
      </c>
      <c r="M28" s="1081">
        <f t="shared" si="6"/>
        <v>1</v>
      </c>
      <c r="N28" s="49" t="s">
        <v>2313</v>
      </c>
    </row>
    <row r="29" spans="1:14" x14ac:dyDescent="0.3">
      <c r="A29" t="str">
        <f t="shared" si="0"/>
        <v>$/yd3, $/m3, $/yd3 -&gt; $/yd3</v>
      </c>
      <c r="B29" s="49" t="s">
        <v>2317</v>
      </c>
      <c r="C29" s="1142" cm="1">
        <f t="array" ref="C29">INDEX(I29:J29, 0, $D$261)</f>
        <v>1</v>
      </c>
      <c r="D29" s="1142" cm="1">
        <f t="array" ref="D29">INDEX(L29:M29, 0, $D$261)</f>
        <v>1</v>
      </c>
      <c r="E29" s="1142" t="str" cm="1">
        <f t="array" ref="E29">INDEX(G29:H29, 0, $D$261)</f>
        <v>$/yd3</v>
      </c>
      <c r="F29" s="1078" t="s">
        <v>2317</v>
      </c>
      <c r="G29" s="571" t="s">
        <v>2318</v>
      </c>
      <c r="H29" s="1079" t="s">
        <v>2317</v>
      </c>
      <c r="I29" s="1080">
        <f>$E$175</f>
        <v>1.30795062</v>
      </c>
      <c r="J29" s="1081">
        <f t="shared" si="4"/>
        <v>1</v>
      </c>
      <c r="K29" s="1082">
        <f t="shared" si="5"/>
        <v>1</v>
      </c>
      <c r="L29" s="1080">
        <f>1/I29</f>
        <v>0.76455485758323205</v>
      </c>
      <c r="M29" s="1081">
        <f t="shared" si="6"/>
        <v>1</v>
      </c>
      <c r="N29" s="49" t="s">
        <v>2313</v>
      </c>
    </row>
    <row r="30" spans="1:14" x14ac:dyDescent="0.3">
      <c r="A30" t="str">
        <f t="shared" si="0"/>
        <v>cycle/day, cycle/day, cycle/day -&gt; cycle/day</v>
      </c>
      <c r="B30" s="49" t="s">
        <v>2319</v>
      </c>
      <c r="C30" s="1142" cm="1">
        <f t="array" ref="C30">INDEX(I30:J30, 0, $D$261)</f>
        <v>1</v>
      </c>
      <c r="D30" s="1142" cm="1">
        <f t="array" ref="D30">INDEX(L30:M30, 0, $D$261)</f>
        <v>1</v>
      </c>
      <c r="E30" s="1142" t="str" cm="1">
        <f t="array" ref="E30">INDEX(G30:H30, 0, $D$261)</f>
        <v>cycle/day</v>
      </c>
      <c r="F30" s="1078" t="s">
        <v>2319</v>
      </c>
      <c r="G30" s="571" t="s">
        <v>2319</v>
      </c>
      <c r="H30" s="1079" t="s">
        <v>2319</v>
      </c>
      <c r="I30" s="1080">
        <f>IF(B30=G30,1,"REPLACE")</f>
        <v>1</v>
      </c>
      <c r="J30" s="1081">
        <f t="shared" si="4"/>
        <v>1</v>
      </c>
      <c r="K30" s="1082">
        <f t="shared" si="5"/>
        <v>1</v>
      </c>
      <c r="L30" s="1080">
        <f>IF(G30=F30,1,"REPLACE")</f>
        <v>1</v>
      </c>
      <c r="M30" s="1081">
        <f t="shared" si="6"/>
        <v>1</v>
      </c>
      <c r="N30" s="49" t="s">
        <v>2320</v>
      </c>
    </row>
    <row r="31" spans="1:14" x14ac:dyDescent="0.3">
      <c r="A31" t="str">
        <f t="shared" si="0"/>
        <v>events/year, events/year, events/year -&gt; events/year</v>
      </c>
      <c r="B31" s="49" t="s">
        <v>2321</v>
      </c>
      <c r="C31" s="1142" cm="1">
        <f t="array" ref="C31">INDEX(I31:J31, 0, $D$261)</f>
        <v>1</v>
      </c>
      <c r="D31" s="1142" cm="1">
        <f t="array" ref="D31">INDEX(L31:M31, 0, $D$261)</f>
        <v>1</v>
      </c>
      <c r="E31" s="1142" t="str" cm="1">
        <f t="array" ref="E31">INDEX(G31:H31, 0, $D$261)</f>
        <v>events/year</v>
      </c>
      <c r="F31" s="1078" t="s">
        <v>2321</v>
      </c>
      <c r="G31" s="571" t="s">
        <v>2321</v>
      </c>
      <c r="H31" s="1079" t="s">
        <v>2321</v>
      </c>
      <c r="I31" s="1080">
        <v>1</v>
      </c>
      <c r="J31" s="1081">
        <v>1</v>
      </c>
      <c r="K31" s="1082">
        <v>1</v>
      </c>
      <c r="L31" s="1080">
        <v>1</v>
      </c>
      <c r="M31" s="1081">
        <v>1</v>
      </c>
      <c r="N31" s="49" t="s">
        <v>2322</v>
      </c>
    </row>
    <row r="32" spans="1:14" x14ac:dyDescent="0.3">
      <c r="A32" t="str">
        <f t="shared" si="0"/>
        <v>events/month, events/month, events/month -&gt; events/month</v>
      </c>
      <c r="B32" s="49" t="s">
        <v>2323</v>
      </c>
      <c r="C32" s="1142" cm="1">
        <f t="array" ref="C32">INDEX(I32:J32, 0, $D$261)</f>
        <v>1</v>
      </c>
      <c r="D32" s="1142" cm="1">
        <f t="array" ref="D32">INDEX(L32:M32, 0, $D$261)</f>
        <v>1</v>
      </c>
      <c r="E32" s="1142" t="str" cm="1">
        <f t="array" ref="E32">INDEX(G32:H32, 0, $D$261)</f>
        <v>events/month</v>
      </c>
      <c r="F32" s="1078" t="s">
        <v>2323</v>
      </c>
      <c r="G32" s="571" t="s">
        <v>2323</v>
      </c>
      <c r="H32" s="1079" t="s">
        <v>2323</v>
      </c>
      <c r="I32" s="1080">
        <f>IF(B32=G32,1,"REPLACE")</f>
        <v>1</v>
      </c>
      <c r="J32" s="1081">
        <f t="shared" si="4"/>
        <v>1</v>
      </c>
      <c r="K32" s="1082">
        <f t="shared" si="5"/>
        <v>1</v>
      </c>
      <c r="L32" s="1080">
        <f>IF(G32=F32,1,"REPLACE")</f>
        <v>1</v>
      </c>
      <c r="M32" s="1081">
        <f t="shared" si="6"/>
        <v>1</v>
      </c>
      <c r="N32" s="49" t="s">
        <v>2322</v>
      </c>
    </row>
    <row r="33" spans="1:14" x14ac:dyDescent="0.3">
      <c r="A33" t="str">
        <f t="shared" si="0"/>
        <v>events/week, events/week, events/week -&gt; events/week</v>
      </c>
      <c r="B33" s="49" t="s">
        <v>2324</v>
      </c>
      <c r="C33" s="1142" cm="1">
        <f t="array" ref="C33">INDEX(I33:J33, 0, $D$261)</f>
        <v>1</v>
      </c>
      <c r="D33" s="1142" cm="1">
        <f t="array" ref="D33">INDEX(L33:M33, 0, $D$261)</f>
        <v>1</v>
      </c>
      <c r="E33" s="1142" t="str" cm="1">
        <f t="array" ref="E33">INDEX(G33:H33, 0, $D$261)</f>
        <v>events/week</v>
      </c>
      <c r="F33" s="1078" t="s">
        <v>2324</v>
      </c>
      <c r="G33" s="571" t="s">
        <v>2324</v>
      </c>
      <c r="H33" s="1079" t="s">
        <v>2324</v>
      </c>
      <c r="I33" s="1080">
        <v>1</v>
      </c>
      <c r="J33" s="1081">
        <v>1</v>
      </c>
      <c r="K33" s="1082">
        <v>1</v>
      </c>
      <c r="L33" s="1080">
        <v>1</v>
      </c>
      <c r="M33" s="1081">
        <v>1</v>
      </c>
      <c r="N33" s="49" t="s">
        <v>2322</v>
      </c>
    </row>
    <row r="34" spans="1:14" x14ac:dyDescent="0.3">
      <c r="A34" t="str">
        <f t="shared" si="0"/>
        <v>% of excess, % of excess, % of excess -&gt; % of excess</v>
      </c>
      <c r="B34" s="49" t="s">
        <v>2325</v>
      </c>
      <c r="C34" s="1142" cm="1">
        <f t="array" ref="C34">INDEX(I34:J34, 0, $D$261)</f>
        <v>1</v>
      </c>
      <c r="D34" s="1142" cm="1">
        <f t="array" ref="D34">INDEX(L34:M34, 0, $D$261)</f>
        <v>1</v>
      </c>
      <c r="E34" s="1142" t="str" cm="1">
        <f t="array" ref="E34">INDEX(G34:H34, 0, $D$261)</f>
        <v>% of excess</v>
      </c>
      <c r="F34" s="1078" t="s">
        <v>2325</v>
      </c>
      <c r="G34" s="571" t="s">
        <v>2325</v>
      </c>
      <c r="H34" s="1079" t="s">
        <v>2325</v>
      </c>
      <c r="I34" s="1080">
        <f>IF(B34=G34,1,"REPLACE")</f>
        <v>1</v>
      </c>
      <c r="J34" s="1081">
        <f t="shared" si="4"/>
        <v>1</v>
      </c>
      <c r="K34" s="1082">
        <f t="shared" si="5"/>
        <v>1</v>
      </c>
      <c r="L34" s="1080">
        <f>IF(G34=F34,1,"REPLACE")</f>
        <v>1</v>
      </c>
      <c r="M34" s="1081">
        <f t="shared" si="6"/>
        <v>1</v>
      </c>
      <c r="N34" s="49" t="s">
        <v>2326</v>
      </c>
    </row>
    <row r="35" spans="1:14" x14ac:dyDescent="0.3">
      <c r="A35" t="str">
        <f t="shared" si="0"/>
        <v>fraction, fraction, fraction -&gt; fraction</v>
      </c>
      <c r="B35" s="49" t="s">
        <v>1694</v>
      </c>
      <c r="C35" s="1142" cm="1">
        <f t="array" ref="C35">INDEX(I35:J35, 0, $D$261)</f>
        <v>1</v>
      </c>
      <c r="D35" s="1142" cm="1">
        <f t="array" ref="D35">INDEX(L35:M35, 0, $D$261)</f>
        <v>1</v>
      </c>
      <c r="E35" s="1142" t="str" cm="1">
        <f t="array" ref="E35">INDEX(G35:H35, 0, $D$261)</f>
        <v>fraction</v>
      </c>
      <c r="F35" s="1078" t="s">
        <v>1694</v>
      </c>
      <c r="G35" s="571" t="s">
        <v>1694</v>
      </c>
      <c r="H35" s="1079" t="s">
        <v>1694</v>
      </c>
      <c r="I35" s="1080">
        <v>1</v>
      </c>
      <c r="J35" s="1081">
        <v>1</v>
      </c>
      <c r="K35" s="1082">
        <v>1</v>
      </c>
      <c r="L35" s="1080">
        <v>1</v>
      </c>
      <c r="M35" s="1081">
        <v>1</v>
      </c>
      <c r="N35" s="49" t="s">
        <v>2326</v>
      </c>
    </row>
    <row r="36" spans="1:14" x14ac:dyDescent="0.3">
      <c r="A36" t="str">
        <f t="shared" si="0"/>
        <v>fuel/hr, fuel/hr, fuel/hr -&gt; fuel/hr</v>
      </c>
      <c r="B36" s="49" t="s">
        <v>2327</v>
      </c>
      <c r="C36" s="1142" cm="1">
        <f t="array" ref="C36">INDEX(I36:J36, 0, $D$261)</f>
        <v>1</v>
      </c>
      <c r="D36" s="1142" cm="1">
        <f t="array" ref="D36">INDEX(L36:M36, 0, $D$261)</f>
        <v>1</v>
      </c>
      <c r="E36" s="1142" t="str" cm="1">
        <f t="array" ref="E36">INDEX(G36:H36, 0, $D$261)</f>
        <v>fuel/hr</v>
      </c>
      <c r="F36" s="1078" t="s">
        <v>2327</v>
      </c>
      <c r="G36" s="571" t="s">
        <v>2327</v>
      </c>
      <c r="H36" s="1079" t="s">
        <v>2327</v>
      </c>
      <c r="I36" s="1080">
        <f>IF(B36=G36,1,"REPLACE")</f>
        <v>1</v>
      </c>
      <c r="J36" s="1081">
        <f>IF(B36=H36,1,"REPLACE")</f>
        <v>1</v>
      </c>
      <c r="K36" s="1082">
        <f>IF(B36=F36,1,"REPLACE")</f>
        <v>1</v>
      </c>
      <c r="L36" s="1080">
        <f>IF(G36=F36,1,"REPLACE")</f>
        <v>1</v>
      </c>
      <c r="M36" s="1081">
        <f>IF(H36=F36,1,"REPLACE")</f>
        <v>1</v>
      </c>
      <c r="N36" s="49" t="s">
        <v>2328</v>
      </c>
    </row>
    <row r="37" spans="1:14" x14ac:dyDescent="0.3">
      <c r="A37" t="str">
        <f t="shared" si="0"/>
        <v>head, head, head -&gt; head</v>
      </c>
      <c r="B37" s="49" t="s">
        <v>2329</v>
      </c>
      <c r="C37" s="1142" cm="1">
        <f t="array" ref="C37">INDEX(I37:J37, 0, $D$261)</f>
        <v>1</v>
      </c>
      <c r="D37" s="1142" cm="1">
        <f t="array" ref="D37">INDEX(L37:M37, 0, $D$261)</f>
        <v>1</v>
      </c>
      <c r="E37" s="1142" t="str" cm="1">
        <f t="array" ref="E37">INDEX(G37:H37, 0, $D$261)</f>
        <v>head</v>
      </c>
      <c r="F37" s="1078" t="s">
        <v>2329</v>
      </c>
      <c r="G37" s="571" t="s">
        <v>2329</v>
      </c>
      <c r="H37" s="1079" t="s">
        <v>2329</v>
      </c>
      <c r="I37" s="1080">
        <f>IF(B37=G37,1,"REPLACE")</f>
        <v>1</v>
      </c>
      <c r="J37" s="1081">
        <f>IF(B37=H37,1,"REPLACE")</f>
        <v>1</v>
      </c>
      <c r="K37" s="1082">
        <f>IF(B37=F37,1,"REPLACE")</f>
        <v>1</v>
      </c>
      <c r="L37" s="1080">
        <f>IF(G37=F37,1,"REPLACE")</f>
        <v>1</v>
      </c>
      <c r="M37" s="1081">
        <f>IF(H37=F37,1,"REPLACE")</f>
        <v>1</v>
      </c>
      <c r="N37" s="49" t="s">
        <v>2330</v>
      </c>
    </row>
    <row r="38" spans="1:14" x14ac:dyDescent="0.3">
      <c r="A38" t="str">
        <f t="shared" si="0"/>
        <v>head/unit, head/unit, head/unit -&gt; head/unit</v>
      </c>
      <c r="B38" s="49" t="s">
        <v>2331</v>
      </c>
      <c r="C38" s="1142" cm="1">
        <f t="array" ref="C38">INDEX(I38:J38, 0, $D$261)</f>
        <v>1</v>
      </c>
      <c r="D38" s="1142" cm="1">
        <f t="array" ref="D38">INDEX(L38:M38, 0, $D$261)</f>
        <v>1</v>
      </c>
      <c r="E38" s="1142" t="str" cm="1">
        <f t="array" ref="E38">INDEX(G38:H38, 0, $D$261)</f>
        <v>head/unit</v>
      </c>
      <c r="F38" s="1078" t="s">
        <v>2331</v>
      </c>
      <c r="G38" s="571" t="s">
        <v>2331</v>
      </c>
      <c r="H38" s="1079" t="s">
        <v>2331</v>
      </c>
      <c r="I38" s="1080">
        <v>1</v>
      </c>
      <c r="J38" s="1081">
        <v>1</v>
      </c>
      <c r="K38" s="1082">
        <v>1</v>
      </c>
      <c r="L38" s="1080">
        <v>1</v>
      </c>
      <c r="M38" s="1081">
        <v>1</v>
      </c>
      <c r="N38" s="49" t="s">
        <v>2332</v>
      </c>
    </row>
    <row r="39" spans="1:14" x14ac:dyDescent="0.3">
      <c r="A39" t="str">
        <f t="shared" si="0"/>
        <v>drop, drop, drop -&gt; drop</v>
      </c>
      <c r="B39" s="49" t="s">
        <v>1422</v>
      </c>
      <c r="C39" s="1142" cm="1">
        <f t="array" ref="C39">INDEX(I39:J39, 0, $D$261)</f>
        <v>1</v>
      </c>
      <c r="D39" s="1142" cm="1">
        <f t="array" ref="D39">INDEX(L39:M39, 0, $D$261)</f>
        <v>1</v>
      </c>
      <c r="E39" s="1142" t="str" cm="1">
        <f t="array" ref="E39">INDEX(G39:H39, 0, $D$261)</f>
        <v>drop</v>
      </c>
      <c r="F39" s="1078" t="s">
        <v>1422</v>
      </c>
      <c r="G39" s="571" t="s">
        <v>1422</v>
      </c>
      <c r="H39" s="1079" t="s">
        <v>1422</v>
      </c>
      <c r="I39" s="1080">
        <f>IF(B39=G39,1,"REPLACE")</f>
        <v>1</v>
      </c>
      <c r="J39" s="1081">
        <f>IF(B39=H39,1,"REPLACE")</f>
        <v>1</v>
      </c>
      <c r="K39" s="1082">
        <f>IF(B39=F39,1,"REPLACE")</f>
        <v>1</v>
      </c>
      <c r="L39" s="1080">
        <f>IF(G39=F39,1,"REPLACE")</f>
        <v>1</v>
      </c>
      <c r="M39" s="1081">
        <f>IF(H39=F39,1,"REPLACE")</f>
        <v>1</v>
      </c>
      <c r="N39" s="49" t="s">
        <v>2333</v>
      </c>
    </row>
    <row r="40" spans="1:14" x14ac:dyDescent="0.3">
      <c r="A40" t="str">
        <f t="shared" si="0"/>
        <v>index, index, index -&gt; index</v>
      </c>
      <c r="B40" s="49" t="s">
        <v>2334</v>
      </c>
      <c r="C40" s="1142" cm="1">
        <f t="array" ref="C40">INDEX(I40:J40, 0, $D$261)</f>
        <v>1</v>
      </c>
      <c r="D40" s="1142" cm="1">
        <f t="array" ref="D40">INDEX(L40:M40, 0, $D$261)</f>
        <v>1</v>
      </c>
      <c r="E40" s="1142" t="str" cm="1">
        <f t="array" ref="E40">INDEX(G40:H40, 0, $D$261)</f>
        <v>index</v>
      </c>
      <c r="F40" s="1078" t="s">
        <v>2334</v>
      </c>
      <c r="G40" s="571" t="s">
        <v>2334</v>
      </c>
      <c r="H40" s="1079" t="s">
        <v>2334</v>
      </c>
      <c r="I40" s="1080">
        <v>1</v>
      </c>
      <c r="J40" s="1081">
        <v>1</v>
      </c>
      <c r="K40" s="1082">
        <v>1</v>
      </c>
      <c r="L40" s="1080">
        <v>1</v>
      </c>
      <c r="M40" s="1081">
        <v>1</v>
      </c>
      <c r="N40" s="49" t="s">
        <v>2333</v>
      </c>
    </row>
    <row r="41" spans="1:14" x14ac:dyDescent="0.3">
      <c r="A41" t="str">
        <f t="shared" si="0"/>
        <v>state index, state index, state index -&gt; state index</v>
      </c>
      <c r="B41" s="49" t="s">
        <v>2335</v>
      </c>
      <c r="C41" s="1142" cm="1">
        <f t="array" ref="C41">INDEX(I41:J41, 0, $D$261)</f>
        <v>1</v>
      </c>
      <c r="D41" s="1142" cm="1">
        <f t="array" ref="D41">INDEX(L41:M41, 0, $D$261)</f>
        <v>1</v>
      </c>
      <c r="E41" s="1142" t="str" cm="1">
        <f t="array" ref="E41">INDEX(G41:H41, 0, $D$261)</f>
        <v>state index</v>
      </c>
      <c r="F41" s="1078" t="s">
        <v>2335</v>
      </c>
      <c r="G41" s="571" t="s">
        <v>2335</v>
      </c>
      <c r="H41" s="1079" t="s">
        <v>2335</v>
      </c>
      <c r="I41" s="1080">
        <f>IF(B41=G41,1,"REPLACE")</f>
        <v>1</v>
      </c>
      <c r="J41" s="1081">
        <f>IF(B41=H41,1,"REPLACE")</f>
        <v>1</v>
      </c>
      <c r="K41" s="1082">
        <f>IF(B41=F41,1,"REPLACE")</f>
        <v>1</v>
      </c>
      <c r="L41" s="1080">
        <f>IF(G41=F41,1,"REPLACE")</f>
        <v>1</v>
      </c>
      <c r="M41" s="1081">
        <f>IF(H41=F41,1,"REPLACE")</f>
        <v>1</v>
      </c>
      <c r="N41" s="49" t="s">
        <v>2333</v>
      </c>
    </row>
    <row r="42" spans="1:14" x14ac:dyDescent="0.3">
      <c r="A42" t="str">
        <f t="shared" si="0"/>
        <v>cm, cm, inches -&gt; m</v>
      </c>
      <c r="B42" s="49" t="s">
        <v>2336</v>
      </c>
      <c r="C42" s="1142" cm="1">
        <f t="array" ref="C42">INDEX(I42:J42, 0, $D$261)</f>
        <v>0.39370079000000002</v>
      </c>
      <c r="D42" s="1142" cm="1">
        <f t="array" ref="D42">INDEX(L42:M42, 0, $D$261)</f>
        <v>2.539999983236E-2</v>
      </c>
      <c r="E42" s="1142" t="str" cm="1">
        <f t="array" ref="E42">INDEX(G42:H42, 0, $D$261)</f>
        <v>inches</v>
      </c>
      <c r="F42" s="1078" t="s">
        <v>2337</v>
      </c>
      <c r="G42" s="571" t="s">
        <v>2336</v>
      </c>
      <c r="H42" s="1079" t="s">
        <v>2338</v>
      </c>
      <c r="I42" s="1080">
        <f>IF(B42=G42,1,"REPLACE")</f>
        <v>1</v>
      </c>
      <c r="J42" s="1081">
        <v>0.39370079000000002</v>
      </c>
      <c r="K42" s="1082">
        <f>1/100</f>
        <v>0.01</v>
      </c>
      <c r="L42" s="1080">
        <f>K42</f>
        <v>0.01</v>
      </c>
      <c r="M42" s="1081">
        <f>1/J42*K42</f>
        <v>2.539999983236E-2</v>
      </c>
      <c r="N42" s="49" t="s">
        <v>2339</v>
      </c>
    </row>
    <row r="43" spans="1:14" x14ac:dyDescent="0.3">
      <c r="A43" t="str">
        <f t="shared" si="0"/>
        <v>ft, m, ft -&gt; ft</v>
      </c>
      <c r="B43" s="49" t="s">
        <v>2340</v>
      </c>
      <c r="C43" s="1142" cm="1">
        <f t="array" ref="C43">INDEX(I43:J43, 0, $D$261)</f>
        <v>1</v>
      </c>
      <c r="D43" s="1142" cm="1">
        <f t="array" ref="D43">INDEX(L43:M43, 0, $D$261)</f>
        <v>1</v>
      </c>
      <c r="E43" s="1142" t="str" cm="1">
        <f t="array" ref="E43">INDEX(G43:H43, 0, $D$261)</f>
        <v>ft</v>
      </c>
      <c r="F43" s="1078" t="s">
        <v>2340</v>
      </c>
      <c r="G43" s="571" t="s">
        <v>2337</v>
      </c>
      <c r="H43" s="1079" t="s">
        <v>2340</v>
      </c>
      <c r="I43" s="1080">
        <f>$E$188</f>
        <v>0.30480000000000002</v>
      </c>
      <c r="J43" s="1081">
        <f>IF(B43=H43,1,"REPLACE")</f>
        <v>1</v>
      </c>
      <c r="K43" s="1082">
        <f>IF(B43=F43,1,"REPLACE")</f>
        <v>1</v>
      </c>
      <c r="L43" s="1080">
        <f>1/I43</f>
        <v>3.280839895013123</v>
      </c>
      <c r="M43" s="1081">
        <f>IF(H43=F43,1,"REPLACE")</f>
        <v>1</v>
      </c>
      <c r="N43" s="49" t="s">
        <v>2339</v>
      </c>
    </row>
    <row r="44" spans="1:14" x14ac:dyDescent="0.3">
      <c r="A44" t="str">
        <f t="shared" si="0"/>
        <v>ft, m, ft -&gt; m</v>
      </c>
      <c r="B44" s="49" t="s">
        <v>2340</v>
      </c>
      <c r="C44" s="1142" cm="1">
        <f t="array" ref="C44">INDEX(I44:J44, 0, $D$261)</f>
        <v>1</v>
      </c>
      <c r="D44" s="1142" cm="1">
        <f t="array" ref="D44">INDEX(L44:M44, 0, $D$261)</f>
        <v>0.30480000000000002</v>
      </c>
      <c r="E44" s="1142" t="str" cm="1">
        <f t="array" ref="E44">INDEX(G44:H44, 0, $D$261)</f>
        <v>ft</v>
      </c>
      <c r="F44" s="1078" t="s">
        <v>2337</v>
      </c>
      <c r="G44" s="571" t="s">
        <v>2337</v>
      </c>
      <c r="H44" s="1079" t="s">
        <v>2340</v>
      </c>
      <c r="I44" s="1080">
        <v>0.30480000000000002</v>
      </c>
      <c r="J44" s="1081">
        <v>1</v>
      </c>
      <c r="K44" s="1082">
        <f>I44</f>
        <v>0.30480000000000002</v>
      </c>
      <c r="L44" s="1080">
        <v>1</v>
      </c>
      <c r="M44" s="1081">
        <f>K44</f>
        <v>0.30480000000000002</v>
      </c>
      <c r="N44" s="49" t="s">
        <v>2339</v>
      </c>
    </row>
    <row r="45" spans="1:14" x14ac:dyDescent="0.3">
      <c r="A45" t="str">
        <f t="shared" si="0"/>
        <v>ft (constant), ft (constant), ft (constant) -&gt; ft (constant)</v>
      </c>
      <c r="B45" s="49" t="s">
        <v>2341</v>
      </c>
      <c r="C45" s="1142" cm="1">
        <f t="array" ref="C45">INDEX(I45:J45, 0, $D$261)</f>
        <v>1</v>
      </c>
      <c r="D45" s="1142" cm="1">
        <f t="array" ref="D45">INDEX(L45:M45, 0, $D$261)</f>
        <v>1</v>
      </c>
      <c r="E45" s="1142" t="str" cm="1">
        <f t="array" ref="E45">INDEX(G45:H45, 0, $D$261)</f>
        <v>ft (constant)</v>
      </c>
      <c r="F45" s="1078" t="s">
        <v>2341</v>
      </c>
      <c r="G45" s="571" t="s">
        <v>2341</v>
      </c>
      <c r="H45" s="1079" t="s">
        <v>2341</v>
      </c>
      <c r="I45" s="1080">
        <v>1</v>
      </c>
      <c r="J45" s="1081">
        <v>1</v>
      </c>
      <c r="K45" s="1082">
        <v>1</v>
      </c>
      <c r="L45" s="1080">
        <v>1</v>
      </c>
      <c r="M45" s="1081">
        <v>1</v>
      </c>
      <c r="N45" s="49" t="s">
        <v>2339</v>
      </c>
    </row>
    <row r="46" spans="1:14" x14ac:dyDescent="0.3">
      <c r="A46" s="849" t="str">
        <f t="shared" si="0"/>
        <v>inches, cm, inches -&gt; inches</v>
      </c>
      <c r="B46" s="49" t="s">
        <v>2338</v>
      </c>
      <c r="C46" s="1142" cm="1">
        <f t="array" ref="C46">INDEX(I46:J46, 0, $D$261)</f>
        <v>1</v>
      </c>
      <c r="D46" s="1142" cm="1">
        <f t="array" ref="D46">INDEX(L46:M46, 0, $D$261)</f>
        <v>1</v>
      </c>
      <c r="E46" s="1142" t="str" cm="1">
        <f t="array" ref="E46">INDEX(G46:H46, 0, $D$261)</f>
        <v>inches</v>
      </c>
      <c r="F46" s="1078" t="s">
        <v>2338</v>
      </c>
      <c r="G46" s="571" t="s">
        <v>2336</v>
      </c>
      <c r="H46" s="1079" t="s">
        <v>2338</v>
      </c>
      <c r="I46" s="1080">
        <f>E189</f>
        <v>2.54</v>
      </c>
      <c r="J46" s="1081">
        <v>1</v>
      </c>
      <c r="K46" s="1082">
        <v>1</v>
      </c>
      <c r="L46" s="1080">
        <f>1/I46</f>
        <v>0.39370078740157477</v>
      </c>
      <c r="M46" s="1081">
        <v>1</v>
      </c>
      <c r="N46" s="49" t="s">
        <v>2339</v>
      </c>
    </row>
    <row r="47" spans="1:14" x14ac:dyDescent="0.3">
      <c r="A47" t="str">
        <f t="shared" si="0"/>
        <v>inches, cm, inches -&gt; m</v>
      </c>
      <c r="B47" s="49" t="s">
        <v>2338</v>
      </c>
      <c r="C47" s="1142" cm="1">
        <f t="array" ref="C47">INDEX(I47:J47, 0, $D$261)</f>
        <v>1</v>
      </c>
      <c r="D47" s="1142" cm="1">
        <f t="array" ref="D47">INDEX(L47:M47, 0, $D$261)</f>
        <v>2.5399999999999999E-2</v>
      </c>
      <c r="E47" s="1142" t="str" cm="1">
        <f t="array" ref="E47">INDEX(G47:H47, 0, $D$261)</f>
        <v>inches</v>
      </c>
      <c r="F47" s="1078" t="s">
        <v>2337</v>
      </c>
      <c r="G47" s="571" t="s">
        <v>2336</v>
      </c>
      <c r="H47" s="1079" t="s">
        <v>2338</v>
      </c>
      <c r="I47" s="1080">
        <f>$E$189</f>
        <v>2.54</v>
      </c>
      <c r="J47" s="1081">
        <v>1</v>
      </c>
      <c r="K47" s="1082">
        <f>$E$189/100</f>
        <v>2.5399999999999999E-2</v>
      </c>
      <c r="L47" s="1080">
        <f>1/100</f>
        <v>0.01</v>
      </c>
      <c r="M47" s="1081">
        <f>K47</f>
        <v>2.5399999999999999E-2</v>
      </c>
      <c r="N47" s="49" t="s">
        <v>2339</v>
      </c>
    </row>
    <row r="48" spans="1:14" x14ac:dyDescent="0.3">
      <c r="A48" t="str">
        <f t="shared" si="0"/>
        <v>m, m, ft -&gt; m</v>
      </c>
      <c r="B48" s="49" t="s">
        <v>2337</v>
      </c>
      <c r="C48" s="1142" cm="1">
        <f t="array" ref="C48">INDEX(I48:J48, 0, $D$261)</f>
        <v>3.2808399000000001</v>
      </c>
      <c r="D48" s="1142" cm="1">
        <f t="array" ref="D48">INDEX(L48:M48, 0, $D$261)</f>
        <v>0.304799999536704</v>
      </c>
      <c r="E48" s="1142" t="str" cm="1">
        <f t="array" ref="E48">INDEX(G48:H48, 0, $D$261)</f>
        <v>ft</v>
      </c>
      <c r="F48" s="1078" t="s">
        <v>2337</v>
      </c>
      <c r="G48" s="571" t="s">
        <v>2337</v>
      </c>
      <c r="H48" s="1079" t="s">
        <v>2340</v>
      </c>
      <c r="I48" s="1080">
        <v>1</v>
      </c>
      <c r="J48" s="1081">
        <f>E205</f>
        <v>3.2808399000000001</v>
      </c>
      <c r="K48" s="1082">
        <v>1</v>
      </c>
      <c r="L48" s="1080">
        <v>1</v>
      </c>
      <c r="M48" s="1081">
        <f>1/J48</f>
        <v>0.304799999536704</v>
      </c>
      <c r="N48" s="49" t="s">
        <v>2339</v>
      </c>
    </row>
    <row r="49" spans="1:14" x14ac:dyDescent="0.3">
      <c r="A49" t="str">
        <f t="shared" ref="A49:A96" si="7">_xlfn.CONCAT(B49, ", ", G49, ", ", H49, " -&gt; ", F49)</f>
        <v>miles, km, miles -&gt; miles</v>
      </c>
      <c r="B49" s="49" t="s">
        <v>2342</v>
      </c>
      <c r="C49" s="1142" cm="1">
        <f t="array" ref="C49">INDEX(I49:J49, 0, $D$261)</f>
        <v>1</v>
      </c>
      <c r="D49" s="1142" cm="1">
        <f t="array" ref="D49">INDEX(L49:M49, 0, $D$261)</f>
        <v>1</v>
      </c>
      <c r="E49" s="1142" t="str" cm="1">
        <f t="array" ref="E49">INDEX(G49:H49, 0, $D$261)</f>
        <v>miles</v>
      </c>
      <c r="F49" s="1078" t="s">
        <v>2342</v>
      </c>
      <c r="G49" s="571" t="s">
        <v>2343</v>
      </c>
      <c r="H49" s="1079" t="s">
        <v>2342</v>
      </c>
      <c r="I49" s="1080">
        <f>$E$186</f>
        <v>1.6093440000000001</v>
      </c>
      <c r="J49" s="1081">
        <f>IF(B49=H49,1,"REPLACE")</f>
        <v>1</v>
      </c>
      <c r="K49" s="1082">
        <f>IF(B49=F49,1,"REPLACE")</f>
        <v>1</v>
      </c>
      <c r="L49" s="1080">
        <f>1/I49</f>
        <v>0.62137119223733395</v>
      </c>
      <c r="M49" s="1081">
        <f>IF(H49=F49,1,"REPLACE")</f>
        <v>1</v>
      </c>
      <c r="N49" s="49" t="s">
        <v>2339</v>
      </c>
    </row>
    <row r="50" spans="1:14" x14ac:dyDescent="0.3">
      <c r="A50" t="str">
        <f t="shared" si="7"/>
        <v>miles (land app), miles (land app), miles (land app) -&gt; miles (land app)</v>
      </c>
      <c r="B50" s="49" t="s">
        <v>2344</v>
      </c>
      <c r="C50" s="1142" cm="1">
        <f t="array" ref="C50">INDEX(I50:J50, 0, $D$261)</f>
        <v>1</v>
      </c>
      <c r="D50" s="1142" cm="1">
        <f t="array" ref="D50">INDEX(L50:M50, 0, $D$261)</f>
        <v>1</v>
      </c>
      <c r="E50" s="1142" t="str" cm="1">
        <f t="array" ref="E50">INDEX(G50:H50, 0, $D$261)</f>
        <v>miles (land app)</v>
      </c>
      <c r="F50" s="1078" t="s">
        <v>2344</v>
      </c>
      <c r="G50" s="571" t="s">
        <v>2344</v>
      </c>
      <c r="H50" s="1079" t="s">
        <v>2344</v>
      </c>
      <c r="I50" s="1080">
        <v>1</v>
      </c>
      <c r="J50" s="1081">
        <v>1</v>
      </c>
      <c r="K50" s="1082">
        <v>1</v>
      </c>
      <c r="L50" s="1080">
        <v>1</v>
      </c>
      <c r="M50" s="1081">
        <v>1</v>
      </c>
      <c r="N50" s="49" t="s">
        <v>2339</v>
      </c>
    </row>
    <row r="51" spans="1:14" x14ac:dyDescent="0.3">
      <c r="A51" t="str">
        <f t="shared" si="7"/>
        <v>miles/hour, km/hour, miles/hour -&gt; miles/hour</v>
      </c>
      <c r="B51" s="49" t="s">
        <v>2345</v>
      </c>
      <c r="C51" s="1142" cm="1">
        <f t="array" ref="C51">INDEX(I51:J51, 0, $D$261)</f>
        <v>1</v>
      </c>
      <c r="D51" s="1142" cm="1">
        <f t="array" ref="D51">INDEX(L51:M51, 0, $D$261)</f>
        <v>1</v>
      </c>
      <c r="E51" s="1142" t="str" cm="1">
        <f t="array" ref="E51">INDEX(G51:H51, 0, $D$261)</f>
        <v>miles/hour</v>
      </c>
      <c r="F51" s="1078" t="s">
        <v>2345</v>
      </c>
      <c r="G51" s="571" t="s">
        <v>2346</v>
      </c>
      <c r="H51" s="1079" t="s">
        <v>2345</v>
      </c>
      <c r="I51" s="1080">
        <f>UC.mile_to_km</f>
        <v>1.6093440000000001</v>
      </c>
      <c r="J51" s="1081">
        <v>1</v>
      </c>
      <c r="K51" s="1082">
        <v>1</v>
      </c>
      <c r="L51" s="1080">
        <f>1/I51</f>
        <v>0.62137119223733395</v>
      </c>
      <c r="M51" s="1081">
        <v>1</v>
      </c>
      <c r="N51" s="49" t="s">
        <v>2347</v>
      </c>
    </row>
    <row r="52" spans="1:14" x14ac:dyDescent="0.3">
      <c r="A52" t="str">
        <f t="shared" si="7"/>
        <v>m/min, m/min, ft/min -&gt; m/min</v>
      </c>
      <c r="B52" s="49" t="s">
        <v>2348</v>
      </c>
      <c r="C52" s="1142" cm="1">
        <f t="array" ref="C52">INDEX(I52:J52, 0, $D$261)</f>
        <v>3.2808399000000001</v>
      </c>
      <c r="D52" s="1142" cm="1">
        <f t="array" ref="D52">INDEX(L52:M52, 0, $D$261)</f>
        <v>0.304799999536704</v>
      </c>
      <c r="E52" s="1142" t="str" cm="1">
        <f t="array" ref="E52">INDEX(G52:H52, 0, $D$261)</f>
        <v>ft/min</v>
      </c>
      <c r="F52" s="1078" t="s">
        <v>2348</v>
      </c>
      <c r="G52" s="571" t="s">
        <v>2348</v>
      </c>
      <c r="H52" s="1079" t="s">
        <v>2349</v>
      </c>
      <c r="I52" s="1080">
        <v>1</v>
      </c>
      <c r="J52" s="1081">
        <f>UC.m_to_ft</f>
        <v>3.2808399000000001</v>
      </c>
      <c r="K52" s="1082">
        <v>1</v>
      </c>
      <c r="L52" s="1080">
        <v>1</v>
      </c>
      <c r="M52" s="1081">
        <f>1/J52</f>
        <v>0.304799999536704</v>
      </c>
      <c r="N52" s="49" t="s">
        <v>2347</v>
      </c>
    </row>
    <row r="53" spans="1:14" x14ac:dyDescent="0.3">
      <c r="A53" t="str">
        <f t="shared" si="7"/>
        <v>m/s, m/s, ft/s -&gt; m/s</v>
      </c>
      <c r="B53" s="49" t="s">
        <v>2350</v>
      </c>
      <c r="C53" s="1142" cm="1">
        <f t="array" ref="C53">INDEX(I53:J53, 0, $D$261)</f>
        <v>3.2808399000000001</v>
      </c>
      <c r="D53" s="1142" cm="1">
        <f t="array" ref="D53">INDEX(L53:M53, 0, $D$261)</f>
        <v>0.304799999536704</v>
      </c>
      <c r="E53" s="1142" t="str" cm="1">
        <f t="array" ref="E53">INDEX(G53:H53, 0, $D$261)</f>
        <v>ft/s</v>
      </c>
      <c r="F53" s="1078" t="s">
        <v>2350</v>
      </c>
      <c r="G53" s="571" t="s">
        <v>2350</v>
      </c>
      <c r="H53" s="1079" t="s">
        <v>2351</v>
      </c>
      <c r="I53" s="1080">
        <v>1</v>
      </c>
      <c r="J53" s="1081">
        <f>UC.m_to_ft</f>
        <v>3.2808399000000001</v>
      </c>
      <c r="K53" s="1082">
        <v>1</v>
      </c>
      <c r="L53" s="1080">
        <v>1</v>
      </c>
      <c r="M53" s="1081">
        <f>1/J53</f>
        <v>0.304799999536704</v>
      </c>
      <c r="N53" s="49" t="s">
        <v>2347</v>
      </c>
    </row>
    <row r="54" spans="1:14" x14ac:dyDescent="0.3">
      <c r="A54" t="str">
        <f t="shared" si="7"/>
        <v>m/head, m/head, ft/head -&gt; m/head</v>
      </c>
      <c r="B54" s="49" t="s">
        <v>2352</v>
      </c>
      <c r="C54" s="1142" cm="1">
        <f t="array" ref="C54">INDEX(I54:J54, 0, $D$261)</f>
        <v>3.2808399000000001</v>
      </c>
      <c r="D54" s="1142" cm="1">
        <f t="array" ref="D54">INDEX(L54:M54, 0, $D$261)</f>
        <v>0.304799999536704</v>
      </c>
      <c r="E54" s="1142" t="str" cm="1">
        <f t="array" ref="E54">INDEX(G54:H54, 0, $D$261)</f>
        <v>ft/head</v>
      </c>
      <c r="F54" s="1078" t="s">
        <v>2352</v>
      </c>
      <c r="G54" s="571" t="s">
        <v>2352</v>
      </c>
      <c r="H54" s="1079" t="s">
        <v>2353</v>
      </c>
      <c r="I54" s="1080">
        <v>1</v>
      </c>
      <c r="J54" s="1081">
        <f>E205</f>
        <v>3.2808399000000001</v>
      </c>
      <c r="K54" s="1082">
        <v>1</v>
      </c>
      <c r="L54" s="1080">
        <v>1</v>
      </c>
      <c r="M54" s="1081">
        <f>1/J54</f>
        <v>0.304799999536704</v>
      </c>
      <c r="N54" s="49" t="s">
        <v>2354</v>
      </c>
    </row>
    <row r="55" spans="1:14" x14ac:dyDescent="0.3">
      <c r="A55" t="str">
        <f t="shared" si="7"/>
        <v>kg NH3-N, kg NH3-N, lb NH3-N -&gt; kg NH3-N</v>
      </c>
      <c r="B55" s="49" t="s">
        <v>2355</v>
      </c>
      <c r="C55" s="1142" cm="1">
        <f t="array" ref="C55">INDEX(I55:J55, 0, $D$261)</f>
        <v>2.2046226199999999</v>
      </c>
      <c r="D55" s="1142" cm="1">
        <f t="array" ref="D55">INDEX(L55:M55, 0, $D$261)</f>
        <v>0.45359237038037831</v>
      </c>
      <c r="E55" s="1142" t="str" cm="1">
        <f t="array" ref="E55">INDEX(G55:H55, 0, $D$261)</f>
        <v>lb NH3-N</v>
      </c>
      <c r="F55" s="1078" t="s">
        <v>2355</v>
      </c>
      <c r="G55" s="571" t="s">
        <v>2355</v>
      </c>
      <c r="H55" s="1079" t="s">
        <v>2356</v>
      </c>
      <c r="I55" s="1080">
        <f>IF(B55=G55,1,"REPLACE")</f>
        <v>1</v>
      </c>
      <c r="J55" s="1081">
        <f>$E$197</f>
        <v>2.2046226199999999</v>
      </c>
      <c r="K55" s="1082">
        <f>IF(B55=F55,1,"REPLACE")</f>
        <v>1</v>
      </c>
      <c r="L55" s="1080">
        <f>IF(G55=F55,1,"REPLACE")</f>
        <v>1</v>
      </c>
      <c r="M55" s="1081">
        <f>1/J55</f>
        <v>0.45359237038037831</v>
      </c>
      <c r="N55" s="49" t="s">
        <v>2357</v>
      </c>
    </row>
    <row r="56" spans="1:14" x14ac:dyDescent="0.3">
      <c r="A56" t="str">
        <f t="shared" si="7"/>
        <v>kg, kg, lb -&gt; kg</v>
      </c>
      <c r="B56" s="49" t="s">
        <v>2358</v>
      </c>
      <c r="C56" s="1142" cm="1">
        <f t="array" ref="C56">INDEX(I56:J56, 0, $D$261)</f>
        <v>2.2046226199999999</v>
      </c>
      <c r="D56" s="1142" cm="1">
        <f t="array" ref="D56">INDEX(L56:M56, 0, $D$261)</f>
        <v>0.45359237038037831</v>
      </c>
      <c r="E56" s="1142" t="str" cm="1">
        <f t="array" ref="E56">INDEX(G56:H56, 0, $D$261)</f>
        <v>lb</v>
      </c>
      <c r="F56" s="1078" t="s">
        <v>2358</v>
      </c>
      <c r="G56" s="571" t="s">
        <v>2358</v>
      </c>
      <c r="H56" s="1079" t="s">
        <v>2359</v>
      </c>
      <c r="I56" s="1080">
        <f>IF(B56=G56,1,"REPLACE")</f>
        <v>1</v>
      </c>
      <c r="J56" s="1081">
        <f>$E$197</f>
        <v>2.2046226199999999</v>
      </c>
      <c r="K56" s="1082">
        <f>IF(B56=F56,1,"REPLACE")</f>
        <v>1</v>
      </c>
      <c r="L56" s="1080">
        <f>IF(G56=F56,1,"REPLACE")</f>
        <v>1</v>
      </c>
      <c r="M56" s="1081">
        <f>1/J56</f>
        <v>0.45359237038037831</v>
      </c>
      <c r="N56" s="49" t="s">
        <v>2357</v>
      </c>
    </row>
    <row r="57" spans="1:14" x14ac:dyDescent="0.3">
      <c r="A57" t="str">
        <f t="shared" si="7"/>
        <v>lb, kg, lb -&gt; lb</v>
      </c>
      <c r="B57" s="49" t="s">
        <v>2359</v>
      </c>
      <c r="C57" s="1142" cm="1">
        <f t="array" ref="C57">INDEX(I57:J57, 0, $D$261)</f>
        <v>1</v>
      </c>
      <c r="D57" s="1142" cm="1">
        <f t="array" ref="D57">INDEX(L57:M57, 0, $D$261)</f>
        <v>1</v>
      </c>
      <c r="E57" s="1142" t="str" cm="1">
        <f t="array" ref="E57">INDEX(G57:H57, 0, $D$261)</f>
        <v>lb</v>
      </c>
      <c r="F57" s="1078" t="s">
        <v>2359</v>
      </c>
      <c r="G57" s="571" t="s">
        <v>2358</v>
      </c>
      <c r="H57" s="1079" t="s">
        <v>2359</v>
      </c>
      <c r="I57" s="1080">
        <f>$E$194</f>
        <v>0.45359237038037831</v>
      </c>
      <c r="J57" s="1081">
        <v>1</v>
      </c>
      <c r="K57" s="1082">
        <v>1</v>
      </c>
      <c r="L57" s="1080">
        <f>1/I57</f>
        <v>2.2046226199999999</v>
      </c>
      <c r="M57" s="1081">
        <v>1</v>
      </c>
      <c r="N57" s="49" t="s">
        <v>2357</v>
      </c>
    </row>
    <row r="58" spans="1:14" x14ac:dyDescent="0.3">
      <c r="A58" t="str">
        <f t="shared" si="7"/>
        <v>tonne (1000 kg), tonne (1000 kg), ton (2000 lb) -&gt; tonne (1000 kg)</v>
      </c>
      <c r="B58" s="49" t="s">
        <v>2360</v>
      </c>
      <c r="C58" s="1142" cm="1">
        <f t="array" ref="C58">INDEX(I58:J58, 0, $D$261)</f>
        <v>1.1023113099999999</v>
      </c>
      <c r="D58" s="1142" cm="1">
        <f t="array" ref="D58">INDEX(L58:M58, 0, $D$261)</f>
        <v>0.90718474076075661</v>
      </c>
      <c r="E58" s="1142" t="str" cm="1">
        <f t="array" ref="E58">INDEX(G58:H58, 0, $D$261)</f>
        <v>ton (2000 lb)</v>
      </c>
      <c r="F58" s="1078" t="s">
        <v>2360</v>
      </c>
      <c r="G58" s="571" t="s">
        <v>2360</v>
      </c>
      <c r="H58" s="1079" t="s">
        <v>2361</v>
      </c>
      <c r="I58" s="1080">
        <f t="shared" ref="I58" si="8">IF(B58=G58,1,"REPLACE")</f>
        <v>1</v>
      </c>
      <c r="J58" s="1081">
        <f>$E$200</f>
        <v>1.1023113099999999</v>
      </c>
      <c r="K58" s="1082">
        <f t="shared" ref="K58:K59" si="9">IF(B58=F58,1,"REPLACE")</f>
        <v>1</v>
      </c>
      <c r="L58" s="1080">
        <f t="shared" ref="L58" si="10">IF(G58=F58,1,"REPLACE")</f>
        <v>1</v>
      </c>
      <c r="M58" s="1081">
        <f>1/J58</f>
        <v>0.90718474076075661</v>
      </c>
      <c r="N58" s="49" t="s">
        <v>2357</v>
      </c>
    </row>
    <row r="59" spans="1:14" x14ac:dyDescent="0.3">
      <c r="A59" t="str">
        <f t="shared" si="7"/>
        <v>ton (2000 lb), tonne (1000 kg), ton (2000 lb) -&gt; ton (2000 lb)</v>
      </c>
      <c r="B59" s="49" t="s">
        <v>2361</v>
      </c>
      <c r="C59" s="1142" cm="1">
        <f t="array" ref="C59">INDEX(I59:J59, 0, $D$261)</f>
        <v>1</v>
      </c>
      <c r="D59" s="1142" cm="1">
        <f t="array" ref="D59">INDEX(L59:M59, 0, $D$261)</f>
        <v>1</v>
      </c>
      <c r="E59" s="1142" t="str" cm="1">
        <f t="array" ref="E59">INDEX(G59:H59, 0, $D$261)</f>
        <v>ton (2000 lb)</v>
      </c>
      <c r="F59" s="1078" t="s">
        <v>2361</v>
      </c>
      <c r="G59" s="571" t="s">
        <v>2360</v>
      </c>
      <c r="H59" s="1079" t="s">
        <v>2361</v>
      </c>
      <c r="I59" s="1080">
        <f>$E$199</f>
        <v>0.90718474076075672</v>
      </c>
      <c r="J59" s="1081">
        <f t="shared" ref="J59" si="11">IF(B59=H59,1,"REPLACE")</f>
        <v>1</v>
      </c>
      <c r="K59" s="1082">
        <f t="shared" si="9"/>
        <v>1</v>
      </c>
      <c r="L59" s="1080">
        <f t="shared" ref="L59:L64" si="12">1/I59</f>
        <v>1.1023113099999999</v>
      </c>
      <c r="M59" s="1081">
        <f t="shared" ref="M59" si="13">IF(H59=F59,1,"REPLACE")</f>
        <v>1</v>
      </c>
      <c r="N59" s="49" t="s">
        <v>2357</v>
      </c>
    </row>
    <row r="60" spans="1:14" x14ac:dyDescent="0.3">
      <c r="A60" t="str">
        <f t="shared" si="7"/>
        <v>lb K2O/acre, kg K2O/hectare, lb K2O/acre -&gt; lb K2O/acre</v>
      </c>
      <c r="B60" s="49" t="s">
        <v>2362</v>
      </c>
      <c r="C60" s="1142" cm="1">
        <f t="array" ref="C60">INDEX(I60:J60, 0, $D$261)</f>
        <v>1</v>
      </c>
      <c r="D60" s="1142" cm="1">
        <f t="array" ref="D60">INDEX(L60:M60, 0, $D$261)</f>
        <v>1</v>
      </c>
      <c r="E60" s="1142" t="str" cm="1">
        <f t="array" ref="E60">INDEX(G60:H60, 0, $D$261)</f>
        <v>lb K2O/acre</v>
      </c>
      <c r="F60" s="1078" t="s">
        <v>2362</v>
      </c>
      <c r="G60" s="571" t="s">
        <v>2363</v>
      </c>
      <c r="H60" s="1079" t="s">
        <v>2362</v>
      </c>
      <c r="I60" s="1080">
        <f>2.47105381 / 2.20462262</f>
        <v>1.120851155015365</v>
      </c>
      <c r="J60" s="1081">
        <f>IF(B60=H60,1,"REPLACE")</f>
        <v>1</v>
      </c>
      <c r="K60" s="1082">
        <f>IF(B60=F60,1,"REPLACE")</f>
        <v>1</v>
      </c>
      <c r="L60" s="1080">
        <f t="shared" si="12"/>
        <v>0.89217912255824161</v>
      </c>
      <c r="M60" s="1081">
        <f>IF(H60=F60,1,"REPLACE")</f>
        <v>1</v>
      </c>
      <c r="N60" s="49" t="s">
        <v>2364</v>
      </c>
    </row>
    <row r="61" spans="1:14" x14ac:dyDescent="0.3">
      <c r="A61" t="str">
        <f t="shared" si="7"/>
        <v>lb N/acre, kg N/hectare, lb N/acre -&gt; lb N/acre</v>
      </c>
      <c r="B61" s="49" t="s">
        <v>2365</v>
      </c>
      <c r="C61" s="1142" cm="1">
        <f t="array" ref="C61">INDEX(I61:J61, 0, $D$261)</f>
        <v>1</v>
      </c>
      <c r="D61" s="1142" cm="1">
        <f t="array" ref="D61">INDEX(L61:M61, 0, $D$261)</f>
        <v>1</v>
      </c>
      <c r="E61" s="1142" t="str" cm="1">
        <f t="array" ref="E61">INDEX(G61:H61, 0, $D$261)</f>
        <v>lb N/acre</v>
      </c>
      <c r="F61" s="1078" t="s">
        <v>2365</v>
      </c>
      <c r="G61" s="571" t="s">
        <v>2366</v>
      </c>
      <c r="H61" s="1079" t="s">
        <v>2365</v>
      </c>
      <c r="I61" s="1080">
        <f>2.47105381 / 2.20462262</f>
        <v>1.120851155015365</v>
      </c>
      <c r="J61" s="1081">
        <f>IF(B61=H61,1,"REPLACE")</f>
        <v>1</v>
      </c>
      <c r="K61" s="1082">
        <f>IF(B61=F61,1,"REPLACE")</f>
        <v>1</v>
      </c>
      <c r="L61" s="1080">
        <f t="shared" si="12"/>
        <v>0.89217912255824161</v>
      </c>
      <c r="M61" s="1081">
        <f>IF(H61=F61,1,"REPLACE")</f>
        <v>1</v>
      </c>
      <c r="N61" s="49" t="s">
        <v>2364</v>
      </c>
    </row>
    <row r="62" spans="1:14" x14ac:dyDescent="0.3">
      <c r="A62" t="str">
        <f t="shared" si="7"/>
        <v>lb P2O5/acre, kg P2O5/hectare, lb P2O5/acre -&gt; lb P2O5/acre</v>
      </c>
      <c r="B62" s="49" t="s">
        <v>2367</v>
      </c>
      <c r="C62" s="1142" cm="1">
        <f t="array" ref="C62">INDEX(I62:J62, 0, $D$261)</f>
        <v>1</v>
      </c>
      <c r="D62" s="1142" cm="1">
        <f t="array" ref="D62">INDEX(L62:M62, 0, $D$261)</f>
        <v>1</v>
      </c>
      <c r="E62" s="1142" t="str" cm="1">
        <f t="array" ref="E62">INDEX(G62:H62, 0, $D$261)</f>
        <v>lb P2O5/acre</v>
      </c>
      <c r="F62" s="1078" t="s">
        <v>2367</v>
      </c>
      <c r="G62" s="571" t="s">
        <v>2368</v>
      </c>
      <c r="H62" s="1079" t="s">
        <v>2367</v>
      </c>
      <c r="I62" s="1080">
        <f>2.47105381 / 2.20462262</f>
        <v>1.120851155015365</v>
      </c>
      <c r="J62" s="1081">
        <f>IF(B62=H62,1,"REPLACE")</f>
        <v>1</v>
      </c>
      <c r="K62" s="1082">
        <f>IF(B62=F62,1,"REPLACE")</f>
        <v>1</v>
      </c>
      <c r="L62" s="1080">
        <f t="shared" si="12"/>
        <v>0.89217912255824161</v>
      </c>
      <c r="M62" s="1081">
        <f>IF(H62=F62,1,"REPLACE")</f>
        <v>1</v>
      </c>
      <c r="N62" s="49" t="s">
        <v>2364</v>
      </c>
    </row>
    <row r="63" spans="1:14" x14ac:dyDescent="0.3">
      <c r="A63" t="str">
        <f t="shared" si="7"/>
        <v>lb/acre, kg/hectare, lb/acre -&gt; lb/acre</v>
      </c>
      <c r="B63" s="49" t="s">
        <v>2369</v>
      </c>
      <c r="C63" s="1142" cm="1">
        <f t="array" ref="C63">INDEX(I63:J63, 0, $D$261)</f>
        <v>1</v>
      </c>
      <c r="D63" s="1142" cm="1">
        <f t="array" ref="D63">INDEX(L63:M63, 0, $D$261)</f>
        <v>1</v>
      </c>
      <c r="E63" s="1142" t="str" cm="1">
        <f t="array" ref="E63">INDEX(G63:H63, 0, $D$261)</f>
        <v>lb/acre</v>
      </c>
      <c r="F63" s="1078" t="s">
        <v>2369</v>
      </c>
      <c r="G63" s="571" t="s">
        <v>2370</v>
      </c>
      <c r="H63" s="1079" t="s">
        <v>2369</v>
      </c>
      <c r="I63" s="1080">
        <f>2.47105381 / 2.20462262</f>
        <v>1.120851155015365</v>
      </c>
      <c r="J63" s="1081">
        <v>1</v>
      </c>
      <c r="K63" s="1082">
        <v>1</v>
      </c>
      <c r="L63" s="1080">
        <f t="shared" si="12"/>
        <v>0.89217912255824161</v>
      </c>
      <c r="M63" s="1081">
        <v>1</v>
      </c>
      <c r="N63" s="49" t="s">
        <v>2364</v>
      </c>
    </row>
    <row r="64" spans="1:14" x14ac:dyDescent="0.3">
      <c r="A64" t="str">
        <f t="shared" si="7"/>
        <v>lb/head, kg/head, lb/head -&gt; lb/head</v>
      </c>
      <c r="B64" s="49" t="s">
        <v>2371</v>
      </c>
      <c r="C64" s="1142" cm="1">
        <f t="array" ref="C64">INDEX(I64:J64, 0, $D$261)</f>
        <v>1</v>
      </c>
      <c r="D64" s="1142" cm="1">
        <f t="array" ref="D64">INDEX(L64:M64, 0, $D$261)</f>
        <v>1</v>
      </c>
      <c r="E64" s="1142" t="str" cm="1">
        <f t="array" ref="E64">INDEX(G64:H64, 0, $D$261)</f>
        <v>lb/head</v>
      </c>
      <c r="F64" s="1078" t="s">
        <v>2371</v>
      </c>
      <c r="G64" s="571" t="s">
        <v>2372</v>
      </c>
      <c r="H64" s="1079" t="s">
        <v>2371</v>
      </c>
      <c r="I64" s="1080">
        <v>0.45359237038037831</v>
      </c>
      <c r="J64" s="1081">
        <v>1</v>
      </c>
      <c r="K64" s="1082">
        <v>1</v>
      </c>
      <c r="L64" s="1080">
        <f t="shared" si="12"/>
        <v>2.2046226199999999</v>
      </c>
      <c r="M64" s="1081">
        <v>1</v>
      </c>
      <c r="N64" s="49" t="s">
        <v>2373</v>
      </c>
    </row>
    <row r="65" spans="1:14" x14ac:dyDescent="0.3">
      <c r="A65" t="str">
        <f t="shared" si="7"/>
        <v>kg CO2E/head/year, kg CO2E/head/year, lb CO2E/head/year -&gt; kg CO2E/head/year</v>
      </c>
      <c r="B65" s="49" t="s">
        <v>2374</v>
      </c>
      <c r="C65" s="1142" cm="1">
        <f t="array" ref="C65">INDEX(I65:J65, 0, $D$261)</f>
        <v>2.2046226199999999</v>
      </c>
      <c r="D65" s="1142" cm="1">
        <f t="array" ref="D65">INDEX(L65:M65, 0, $D$261)</f>
        <v>0.45359237038037831</v>
      </c>
      <c r="E65" s="1142" t="str" cm="1">
        <f t="array" ref="E65">INDEX(G65:H65, 0, $D$261)</f>
        <v>lb CO2E/head/year</v>
      </c>
      <c r="F65" s="1078" t="s">
        <v>2374</v>
      </c>
      <c r="G65" s="571" t="s">
        <v>2374</v>
      </c>
      <c r="H65" s="1079" t="s">
        <v>2375</v>
      </c>
      <c r="I65" s="1080">
        <f>IF(B65=G65,1,"REPLACE")</f>
        <v>1</v>
      </c>
      <c r="J65" s="1081">
        <f>$E$197</f>
        <v>2.2046226199999999</v>
      </c>
      <c r="K65" s="1082">
        <f>IF(B65=F65,1,"REPLACE")</f>
        <v>1</v>
      </c>
      <c r="L65" s="1080">
        <f>IF(G65=F65,1,"REPLACE")</f>
        <v>1</v>
      </c>
      <c r="M65" s="1081">
        <f t="shared" ref="M65:M70" si="14">1/J65</f>
        <v>0.45359237038037831</v>
      </c>
      <c r="N65" s="49" t="s">
        <v>2376</v>
      </c>
    </row>
    <row r="66" spans="1:14" x14ac:dyDescent="0.3">
      <c r="A66" t="str">
        <f t="shared" si="7"/>
        <v>kg N/head/year, kg N/head/year, lb N/head/year -&gt; kg N/head/year</v>
      </c>
      <c r="B66" s="49" t="s">
        <v>2377</v>
      </c>
      <c r="C66" s="1142" cm="1">
        <f t="array" ref="C66">INDEX(I66:J66, 0, $D$261)</f>
        <v>2.2046226199999999</v>
      </c>
      <c r="D66" s="1142" cm="1">
        <f t="array" ref="D66">INDEX(L66:M66, 0, $D$261)</f>
        <v>0.45359237038037831</v>
      </c>
      <c r="E66" s="1142" t="str" cm="1">
        <f t="array" ref="E66">INDEX(G66:H66, 0, $D$261)</f>
        <v>lb N/head/year</v>
      </c>
      <c r="F66" s="1078" t="s">
        <v>2377</v>
      </c>
      <c r="G66" s="571" t="s">
        <v>2377</v>
      </c>
      <c r="H66" s="1079" t="s">
        <v>2378</v>
      </c>
      <c r="I66" s="1080">
        <f>IF(B66=G66,1,"REPLACE")</f>
        <v>1</v>
      </c>
      <c r="J66" s="1081">
        <f>$E$197</f>
        <v>2.2046226199999999</v>
      </c>
      <c r="K66" s="1082">
        <f>IF(B66=F66,1,"REPLACE")</f>
        <v>1</v>
      </c>
      <c r="L66" s="1080">
        <f>IF(G66=F66,1,"REPLACE")</f>
        <v>1</v>
      </c>
      <c r="M66" s="1081">
        <f t="shared" si="14"/>
        <v>0.45359237038037831</v>
      </c>
      <c r="N66" s="49" t="s">
        <v>2376</v>
      </c>
    </row>
    <row r="67" spans="1:14" x14ac:dyDescent="0.3">
      <c r="A67" t="str">
        <f t="shared" si="7"/>
        <v>kg N/head/day, kg N/head/day, lb N/head year -&gt; kg N/head/day</v>
      </c>
      <c r="B67" s="49" t="s">
        <v>2379</v>
      </c>
      <c r="C67" s="1142" cm="1">
        <f t="array" ref="C67">INDEX(I67:J67, 0, $D$261)</f>
        <v>2.2046226199999999</v>
      </c>
      <c r="D67" s="1142" cm="1">
        <f t="array" ref="D67">INDEX(L67:M67, 0, $D$261)</f>
        <v>0.45359237038037831</v>
      </c>
      <c r="E67" s="1142" t="str" cm="1">
        <f t="array" ref="E67">INDEX(G67:H67, 0, $D$261)</f>
        <v>lb N/head year</v>
      </c>
      <c r="F67" s="1078" t="s">
        <v>2379</v>
      </c>
      <c r="G67" s="571" t="s">
        <v>2379</v>
      </c>
      <c r="H67" s="1079" t="s">
        <v>2380</v>
      </c>
      <c r="I67" s="1080">
        <f>IF(B67=G67,1,"REPLACE")</f>
        <v>1</v>
      </c>
      <c r="J67" s="1081">
        <f>$E$197</f>
        <v>2.2046226199999999</v>
      </c>
      <c r="K67" s="1082">
        <f>IF(B67=F67,1,"REPLACE")</f>
        <v>1</v>
      </c>
      <c r="L67" s="1080">
        <f>IF(G67=F67,1,"REPLACE")</f>
        <v>1</v>
      </c>
      <c r="M67" s="1081">
        <f t="shared" si="14"/>
        <v>0.45359237038037831</v>
      </c>
      <c r="N67" s="49" t="s">
        <v>2376</v>
      </c>
    </row>
    <row r="68" spans="1:14" x14ac:dyDescent="0.3">
      <c r="A68" t="str">
        <f t="shared" si="7"/>
        <v>kg VS/head/day, kg VS/head/day, lb VS/head/day -&gt; kg VS/head/day</v>
      </c>
      <c r="B68" s="49" t="s">
        <v>2381</v>
      </c>
      <c r="C68" s="1142" cm="1">
        <f t="array" ref="C68">INDEX(I68:J68, 0, $D$261)</f>
        <v>2.2046226199999999</v>
      </c>
      <c r="D68" s="1142" cm="1">
        <f t="array" ref="D68">INDEX(L68:M68, 0, $D$261)</f>
        <v>0.45359237038037831</v>
      </c>
      <c r="E68" s="1142" t="str" cm="1">
        <f t="array" ref="E68">INDEX(G68:H68, 0, $D$261)</f>
        <v>lb VS/head/day</v>
      </c>
      <c r="F68" s="1078" t="s">
        <v>2381</v>
      </c>
      <c r="G68" s="571" t="s">
        <v>2381</v>
      </c>
      <c r="H68" s="1079" t="s">
        <v>2382</v>
      </c>
      <c r="I68" s="1080">
        <f>IF(B68=G68,1,"REPLACE")</f>
        <v>1</v>
      </c>
      <c r="J68" s="1081">
        <f>$E$197</f>
        <v>2.2046226199999999</v>
      </c>
      <c r="K68" s="1082">
        <f>IF(B68=F68,1,"REPLACE")</f>
        <v>1</v>
      </c>
      <c r="L68" s="1080">
        <f>IF(G68=F68,1,"REPLACE")</f>
        <v>1</v>
      </c>
      <c r="M68" s="1081">
        <f t="shared" si="14"/>
        <v>0.45359237038037831</v>
      </c>
      <c r="N68" s="49" t="s">
        <v>2376</v>
      </c>
    </row>
    <row r="69" spans="1:14" x14ac:dyDescent="0.3">
      <c r="A69" t="str">
        <f t="shared" si="7"/>
        <v>kg/head/day, kg/head/day, lb/head/day -&gt; kg/head/day</v>
      </c>
      <c r="B69" s="49" t="s">
        <v>2383</v>
      </c>
      <c r="C69" s="1142" cm="1">
        <f t="array" ref="C69">INDEX(I69:J69, 0, $D$261)</f>
        <v>2.2046226199999999</v>
      </c>
      <c r="D69" s="1142" cm="1">
        <f t="array" ref="D69">INDEX(L69:M69, 0, $D$261)</f>
        <v>0.45359237038037831</v>
      </c>
      <c r="E69" s="1142" t="str" cm="1">
        <f t="array" ref="E69">INDEX(G69:H69, 0, $D$261)</f>
        <v>lb/head/day</v>
      </c>
      <c r="F69" s="1078" t="s">
        <v>2383</v>
      </c>
      <c r="G69" s="571" t="s">
        <v>2383</v>
      </c>
      <c r="H69" s="1079" t="s">
        <v>2384</v>
      </c>
      <c r="I69" s="1080">
        <v>1</v>
      </c>
      <c r="J69" s="1081">
        <v>2.2046226199999999</v>
      </c>
      <c r="K69" s="1082">
        <v>1</v>
      </c>
      <c r="L69" s="1080">
        <v>1</v>
      </c>
      <c r="M69" s="1081">
        <f t="shared" si="14"/>
        <v>0.45359237038037831</v>
      </c>
      <c r="N69" s="49" t="s">
        <v>2376</v>
      </c>
    </row>
    <row r="70" spans="1:14" x14ac:dyDescent="0.3">
      <c r="A70" t="str">
        <f t="shared" si="7"/>
        <v>kg/head/year, kg/head/year, lb/head/year -&gt; kg/head/year</v>
      </c>
      <c r="B70" s="49" t="s">
        <v>2385</v>
      </c>
      <c r="C70" s="1142" cm="1">
        <f t="array" ref="C70">INDEX(I70:J70, 0, $D$261)</f>
        <v>2.2046226199999999</v>
      </c>
      <c r="D70" s="1142" cm="1">
        <f t="array" ref="D70">INDEX(L70:M70, 0, $D$261)</f>
        <v>0.45359237038037831</v>
      </c>
      <c r="E70" s="1142" t="str" cm="1">
        <f t="array" ref="E70">INDEX(G70:H70, 0, $D$261)</f>
        <v>lb/head/year</v>
      </c>
      <c r="F70" s="1078" t="s">
        <v>2385</v>
      </c>
      <c r="G70" s="571" t="s">
        <v>2385</v>
      </c>
      <c r="H70" s="1079" t="s">
        <v>2386</v>
      </c>
      <c r="I70" s="1080">
        <v>1</v>
      </c>
      <c r="J70" s="1081">
        <v>2.2046226199999999</v>
      </c>
      <c r="K70" s="1082">
        <v>1</v>
      </c>
      <c r="L70" s="1080">
        <v>1</v>
      </c>
      <c r="M70" s="1081">
        <f t="shared" si="14"/>
        <v>0.45359237038037831</v>
      </c>
      <c r="N70" s="49" t="s">
        <v>2376</v>
      </c>
    </row>
    <row r="71" spans="1:14" x14ac:dyDescent="0.3">
      <c r="A71" t="str">
        <f t="shared" si="7"/>
        <v>lb/head/year, kg/head/year, lb/head/year -&gt; lb/head/year</v>
      </c>
      <c r="B71" s="49" t="s">
        <v>2386</v>
      </c>
      <c r="C71" s="1142" cm="1">
        <f t="array" ref="C71">INDEX(I71:J71, 0, $D$261)</f>
        <v>1</v>
      </c>
      <c r="D71" s="1142" cm="1">
        <f t="array" ref="D71">INDEX(L71:M71, 0, $D$261)</f>
        <v>1</v>
      </c>
      <c r="E71" s="1142" t="str" cm="1">
        <f t="array" ref="E71">INDEX(G71:H71, 0, $D$261)</f>
        <v>lb/head/year</v>
      </c>
      <c r="F71" s="1078" t="s">
        <v>2386</v>
      </c>
      <c r="G71" s="571" t="s">
        <v>2385</v>
      </c>
      <c r="H71" s="1079" t="s">
        <v>2386</v>
      </c>
      <c r="I71" s="1080">
        <f>$E$194</f>
        <v>0.45359237038037831</v>
      </c>
      <c r="J71" s="1081">
        <f t="shared" ref="J71" si="15">IF(B71=H71,1,"REPLACE")</f>
        <v>1</v>
      </c>
      <c r="K71" s="1082">
        <f t="shared" ref="K71" si="16">IF(B71=F71,1,"REPLACE")</f>
        <v>1</v>
      </c>
      <c r="L71" s="1080">
        <f>1/I71</f>
        <v>2.2046226199999999</v>
      </c>
      <c r="M71" s="1081">
        <f t="shared" ref="M71" si="17">IF(H71=F71,1,"REPLACE")</f>
        <v>1</v>
      </c>
      <c r="N71" s="49" t="s">
        <v>2376</v>
      </c>
    </row>
    <row r="72" spans="1:14" x14ac:dyDescent="0.3">
      <c r="A72" t="str">
        <f t="shared" si="7"/>
        <v>tonne (1000 kg) CO2E/head/year, tonne (1000 kg) CO2E/head/year, ton (2000 lb) CO2E/head/year -&gt; tonne (1000 kg) CO2E/head/year</v>
      </c>
      <c r="B72" s="49" t="s">
        <v>2387</v>
      </c>
      <c r="C72" s="1142" cm="1">
        <f t="array" ref="C72">INDEX(I72:J72, 0, $D$261)</f>
        <v>1.1023113099999999</v>
      </c>
      <c r="D72" s="1142" cm="1">
        <f t="array" ref="D72">INDEX(L72:M72, 0, $D$261)</f>
        <v>0.90718474076075661</v>
      </c>
      <c r="E72" s="1142" t="str" cm="1">
        <f t="array" ref="E72">INDEX(G72:H72, 0, $D$261)</f>
        <v>ton (2000 lb) CO2E/head/year</v>
      </c>
      <c r="F72" s="1078" t="s">
        <v>2387</v>
      </c>
      <c r="G72" s="571" t="s">
        <v>2387</v>
      </c>
      <c r="H72" s="1079" t="s">
        <v>2388</v>
      </c>
      <c r="I72" s="1080">
        <v>1</v>
      </c>
      <c r="J72" s="1081">
        <f>$E$200</f>
        <v>1.1023113099999999</v>
      </c>
      <c r="K72" s="1082">
        <v>1</v>
      </c>
      <c r="L72" s="1080">
        <v>1</v>
      </c>
      <c r="M72" s="1081">
        <f>1/J72</f>
        <v>0.90718474076075661</v>
      </c>
      <c r="N72" s="49" t="s">
        <v>2376</v>
      </c>
    </row>
    <row r="73" spans="1:14" x14ac:dyDescent="0.3">
      <c r="A73" t="str">
        <f t="shared" si="7"/>
        <v>lb/ton (2000 lb), kg/tonne (1000 kg), lb/ton (2000 lb) -&gt; lb/ton (2000 lb)</v>
      </c>
      <c r="B73" s="49" t="s">
        <v>2389</v>
      </c>
      <c r="C73" s="1142" cm="1">
        <f t="array" ref="C73">INDEX(I73:J73, 0, $D$261)</f>
        <v>1</v>
      </c>
      <c r="D73" s="1142" cm="1">
        <f t="array" ref="D73">INDEX(L73:M73, 0, $D$261)</f>
        <v>1</v>
      </c>
      <c r="E73" s="1142" t="str" cm="1">
        <f t="array" ref="E73">INDEX(G73:H73, 0, $D$261)</f>
        <v>lb/ton (2000 lb)</v>
      </c>
      <c r="F73" s="1078" t="s">
        <v>2389</v>
      </c>
      <c r="G73" s="571" t="s">
        <v>2390</v>
      </c>
      <c r="H73" s="1079" t="s">
        <v>2389</v>
      </c>
      <c r="I73" s="1537">
        <f>UC.lb_to_kg*UC.tonne_to_ton</f>
        <v>0.5</v>
      </c>
      <c r="J73" s="1081">
        <v>1</v>
      </c>
      <c r="K73" s="1082">
        <v>1</v>
      </c>
      <c r="L73" s="1080">
        <f>1/I73</f>
        <v>2</v>
      </c>
      <c r="M73" s="1081">
        <v>1</v>
      </c>
      <c r="N73" s="49" t="s">
        <v>2391</v>
      </c>
    </row>
    <row r="74" spans="1:14" x14ac:dyDescent="0.3">
      <c r="A74" t="str">
        <f t="shared" si="7"/>
        <v>kg CO2/kg CH4, kg CO2/kg CH4, lb CO2/lb CH4 -&gt; kg CO2/kg CH4</v>
      </c>
      <c r="B74" s="49" t="s">
        <v>2392</v>
      </c>
      <c r="C74" s="1142" cm="1">
        <f t="array" ref="C74">INDEX(I74:J74, 0, $D$261)</f>
        <v>1</v>
      </c>
      <c r="D74" s="1142" cm="1">
        <f t="array" ref="D74">INDEX(L74:M74, 0, $D$261)</f>
        <v>1</v>
      </c>
      <c r="E74" s="1142" t="str" cm="1">
        <f t="array" ref="E74">INDEX(G74:H74, 0, $D$261)</f>
        <v>lb CO2/lb CH4</v>
      </c>
      <c r="F74" s="1078" t="s">
        <v>2392</v>
      </c>
      <c r="G74" s="571" t="s">
        <v>2392</v>
      </c>
      <c r="H74" s="1079" t="s">
        <v>2393</v>
      </c>
      <c r="I74" s="1080">
        <v>1</v>
      </c>
      <c r="J74" s="1081">
        <v>1</v>
      </c>
      <c r="K74" s="1082">
        <v>1</v>
      </c>
      <c r="L74" s="1080">
        <v>1</v>
      </c>
      <c r="M74" s="1081">
        <v>1</v>
      </c>
      <c r="N74" s="49" t="s">
        <v>2391</v>
      </c>
    </row>
    <row r="75" spans="1:14" x14ac:dyDescent="0.3">
      <c r="A75" t="str">
        <f t="shared" si="7"/>
        <v>kg CO2e/kg CH4, kg CO2e/kg CH4, lb CO2e/lb CH4 -&gt; kg CO2e/kg CH4</v>
      </c>
      <c r="B75" s="49" t="s">
        <v>2394</v>
      </c>
      <c r="C75" s="1142" cm="1">
        <f t="array" ref="C75">INDEX(I75:J75, 0, $D$261)</f>
        <v>1</v>
      </c>
      <c r="D75" s="1142" cm="1">
        <f t="array" ref="D75">INDEX(L75:M75, 0, $D$261)</f>
        <v>1</v>
      </c>
      <c r="E75" s="1142" t="str" cm="1">
        <f t="array" ref="E75">INDEX(G75:H75, 0, $D$261)</f>
        <v>lb CO2e/lb CH4</v>
      </c>
      <c r="F75" s="1078" t="s">
        <v>2394</v>
      </c>
      <c r="G75" s="571" t="s">
        <v>2394</v>
      </c>
      <c r="H75" s="1079" t="s">
        <v>2395</v>
      </c>
      <c r="I75" s="1080">
        <v>1</v>
      </c>
      <c r="J75" s="1081">
        <v>1</v>
      </c>
      <c r="K75" s="1082">
        <v>1</v>
      </c>
      <c r="L75" s="1080">
        <v>1</v>
      </c>
      <c r="M75" s="1081">
        <v>1</v>
      </c>
      <c r="N75" s="49" t="s">
        <v>2391</v>
      </c>
    </row>
    <row r="76" spans="1:14" x14ac:dyDescent="0.3">
      <c r="A76" t="str">
        <f t="shared" si="7"/>
        <v>kg CO2e/kg N2O, kg CO2e/kg N2O, lb CO2e/lb N2O -&gt; kg CO2e/kg N2O</v>
      </c>
      <c r="B76" s="49" t="s">
        <v>2396</v>
      </c>
      <c r="C76" s="1142" cm="1">
        <f t="array" ref="C76">INDEX(I76:J76, 0, $D$261)</f>
        <v>1</v>
      </c>
      <c r="D76" s="1142" cm="1">
        <f t="array" ref="D76">INDEX(L76:M76, 0, $D$261)</f>
        <v>1</v>
      </c>
      <c r="E76" s="1142" t="str" cm="1">
        <f t="array" ref="E76">INDEX(G76:H76, 0, $D$261)</f>
        <v>lb CO2e/lb N2O</v>
      </c>
      <c r="F76" s="1078" t="s">
        <v>2396</v>
      </c>
      <c r="G76" s="571" t="s">
        <v>2396</v>
      </c>
      <c r="H76" s="1079" t="s">
        <v>2397</v>
      </c>
      <c r="I76" s="1080">
        <v>1</v>
      </c>
      <c r="J76" s="1081">
        <v>1</v>
      </c>
      <c r="K76" s="1082">
        <v>1</v>
      </c>
      <c r="L76" s="1080">
        <v>1</v>
      </c>
      <c r="M76" s="1081">
        <v>1</v>
      </c>
      <c r="N76" s="49" t="s">
        <v>2391</v>
      </c>
    </row>
    <row r="77" spans="1:14" x14ac:dyDescent="0.3">
      <c r="A77" t="str">
        <f t="shared" si="7"/>
        <v>kg N2O-N/kg N, kg N2O-N/kg N, lb N2O-N/lb N -&gt; kg N2O-N/kg N</v>
      </c>
      <c r="B77" s="49" t="s">
        <v>1663</v>
      </c>
      <c r="C77" s="1142" cm="1">
        <f t="array" ref="C77">INDEX(I77:J77, 0, $D$261)</f>
        <v>1</v>
      </c>
      <c r="D77" s="1142" cm="1">
        <f t="array" ref="D77">INDEX(L77:M77, 0, $D$261)</f>
        <v>1</v>
      </c>
      <c r="E77" s="1142" t="str" cm="1">
        <f t="array" ref="E77">INDEX(G77:H77, 0, $D$261)</f>
        <v>lb N2O-N/lb N</v>
      </c>
      <c r="F77" s="1078" t="s">
        <v>1663</v>
      </c>
      <c r="G77" s="571" t="s">
        <v>1663</v>
      </c>
      <c r="H77" s="1079" t="s">
        <v>1664</v>
      </c>
      <c r="I77" s="1080">
        <f t="shared" ref="I77:I87" si="18">IF(B77=G77,1,"REPLACE")</f>
        <v>1</v>
      </c>
      <c r="J77" s="1081">
        <v>1</v>
      </c>
      <c r="K77" s="1082">
        <v>1</v>
      </c>
      <c r="L77" s="1080">
        <v>1</v>
      </c>
      <c r="M77" s="1081">
        <v>1</v>
      </c>
      <c r="N77" s="49" t="s">
        <v>2391</v>
      </c>
    </row>
    <row r="78" spans="1:14" x14ac:dyDescent="0.3">
      <c r="A78" t="str">
        <f t="shared" si="7"/>
        <v>kg N2O-N/kg N2O, kg N2O-N/kg N2O, lb N2O-N/lb N2O -&gt; kg N2O-N/kg N2O</v>
      </c>
      <c r="B78" s="49" t="s">
        <v>2398</v>
      </c>
      <c r="C78" s="1142" cm="1">
        <f t="array" ref="C78">INDEX(I78:J78, 0, $D$261)</f>
        <v>1</v>
      </c>
      <c r="D78" s="1142" cm="1">
        <f t="array" ref="D78">INDEX(L78:M78, 0, $D$261)</f>
        <v>1</v>
      </c>
      <c r="E78" s="1142" t="str" cm="1">
        <f t="array" ref="E78">INDEX(G78:H78, 0, $D$261)</f>
        <v>lb N2O-N/lb N2O</v>
      </c>
      <c r="F78" s="1078" t="s">
        <v>2398</v>
      </c>
      <c r="G78" s="571" t="s">
        <v>2398</v>
      </c>
      <c r="H78" s="1079" t="s">
        <v>2399</v>
      </c>
      <c r="I78" s="1080">
        <f>IF(B78=G78,1,"REPLACE")</f>
        <v>1</v>
      </c>
      <c r="J78" s="1081">
        <v>1</v>
      </c>
      <c r="K78" s="1082">
        <v>1</v>
      </c>
      <c r="L78" s="1080">
        <v>1</v>
      </c>
      <c r="M78" s="1081">
        <v>1</v>
      </c>
      <c r="N78" s="49" t="s">
        <v>2391</v>
      </c>
    </row>
    <row r="79" spans="1:14" x14ac:dyDescent="0.3">
      <c r="A79" t="str">
        <f t="shared" si="7"/>
        <v>kg N2O-N/(kg NH3 + kg NOx), kg N2O-N/(kg NH3 + kg NOx), lb N2O-N/(lb NH3 + lb NOx) -&gt; kg N2O-N/(kg NH3 + kg NOx)</v>
      </c>
      <c r="B79" s="49" t="s">
        <v>1657</v>
      </c>
      <c r="C79" s="1142" cm="1">
        <f t="array" ref="C79">INDEX(I79:J79, 0, $D$261)</f>
        <v>1</v>
      </c>
      <c r="D79" s="1142" cm="1">
        <f t="array" ref="D79">INDEX(L79:M79, 0, $D$261)</f>
        <v>1</v>
      </c>
      <c r="E79" s="1142" t="str" cm="1">
        <f t="array" ref="E79">INDEX(G79:H79, 0, $D$261)</f>
        <v>lb N2O-N/(lb NH3 + lb NOx)</v>
      </c>
      <c r="F79" s="1078" t="s">
        <v>1657</v>
      </c>
      <c r="G79" s="571" t="s">
        <v>1657</v>
      </c>
      <c r="H79" s="1079" t="s">
        <v>1658</v>
      </c>
      <c r="I79" s="1080">
        <f>IF(B79=G79,1,"REPLACE")</f>
        <v>1</v>
      </c>
      <c r="J79" s="1081">
        <v>1</v>
      </c>
      <c r="K79" s="1082">
        <v>1</v>
      </c>
      <c r="L79" s="1080">
        <v>1</v>
      </c>
      <c r="M79" s="1081">
        <v>1</v>
      </c>
      <c r="N79" s="49" t="s">
        <v>2391</v>
      </c>
    </row>
    <row r="80" spans="1:14" x14ac:dyDescent="0.3">
      <c r="A80" t="str">
        <f t="shared" si="7"/>
        <v>kg CH4/day, kg CH4/day, lb CH4/day -&gt; kg CH4/day</v>
      </c>
      <c r="B80" s="49" t="s">
        <v>2400</v>
      </c>
      <c r="C80" s="1142" cm="1">
        <f t="array" ref="C80">INDEX(I80:J80, 0, $D$261)</f>
        <v>2.2046226199999999</v>
      </c>
      <c r="D80" s="1142" cm="1">
        <f t="array" ref="D80">INDEX(L80:M80, 0, $D$261)</f>
        <v>0.45359237038037831</v>
      </c>
      <c r="E80" s="1142" t="str" cm="1">
        <f t="array" ref="E80">INDEX(G80:H80, 0, $D$261)</f>
        <v>lb CH4/day</v>
      </c>
      <c r="F80" s="1078" t="s">
        <v>2400</v>
      </c>
      <c r="G80" s="571" t="s">
        <v>2400</v>
      </c>
      <c r="H80" s="1079" t="s">
        <v>2401</v>
      </c>
      <c r="I80" s="1080">
        <f t="shared" si="18"/>
        <v>1</v>
      </c>
      <c r="J80" s="1081">
        <f t="shared" ref="J80:J85" si="19">$E$197</f>
        <v>2.2046226199999999</v>
      </c>
      <c r="K80" s="1082">
        <f t="shared" ref="K80:K88" si="20">IF(B80=F80,1,"REPLACE")</f>
        <v>1</v>
      </c>
      <c r="L80" s="1080">
        <f t="shared" ref="L80:L87" si="21">IF(G80=F80,1,"REPLACE")</f>
        <v>1</v>
      </c>
      <c r="M80" s="1081">
        <f t="shared" ref="M80:M91" si="22">1/J80</f>
        <v>0.45359237038037831</v>
      </c>
      <c r="N80" s="49" t="s">
        <v>2402</v>
      </c>
    </row>
    <row r="81" spans="1:14" x14ac:dyDescent="0.3">
      <c r="A81" t="str">
        <f t="shared" si="7"/>
        <v>kg CO2/day, kg CO2/day, lb CO2/day -&gt; kg CO2/day</v>
      </c>
      <c r="B81" s="49" t="s">
        <v>2403</v>
      </c>
      <c r="C81" s="1142" cm="1">
        <f t="array" ref="C81">INDEX(I81:J81, 0, $D$261)</f>
        <v>2.2046226199999999</v>
      </c>
      <c r="D81" s="1142" cm="1">
        <f t="array" ref="D81">INDEX(L81:M81, 0, $D$261)</f>
        <v>0.45359237038037831</v>
      </c>
      <c r="E81" s="1142" t="str" cm="1">
        <f t="array" ref="E81">INDEX(G81:H81, 0, $D$261)</f>
        <v>lb CO2/day</v>
      </c>
      <c r="F81" s="1078" t="s">
        <v>2403</v>
      </c>
      <c r="G81" s="571" t="s">
        <v>2403</v>
      </c>
      <c r="H81" s="1079" t="s">
        <v>2404</v>
      </c>
      <c r="I81" s="1080">
        <f t="shared" si="18"/>
        <v>1</v>
      </c>
      <c r="J81" s="1081">
        <f t="shared" si="19"/>
        <v>2.2046226199999999</v>
      </c>
      <c r="K81" s="1082">
        <f t="shared" si="20"/>
        <v>1</v>
      </c>
      <c r="L81" s="1080">
        <f t="shared" si="21"/>
        <v>1</v>
      </c>
      <c r="M81" s="1081">
        <f t="shared" si="22"/>
        <v>0.45359237038037831</v>
      </c>
      <c r="N81" s="49" t="s">
        <v>2402</v>
      </c>
    </row>
    <row r="82" spans="1:14" x14ac:dyDescent="0.3">
      <c r="A82" t="str">
        <f t="shared" si="7"/>
        <v>kg N/head/year, kg N/head/year, lb N/head/year -&gt; kg N/head/year</v>
      </c>
      <c r="B82" s="49" t="s">
        <v>2377</v>
      </c>
      <c r="C82" s="1142" cm="1">
        <f t="array" ref="C82">INDEX(I82:J82, 0, $D$261)</f>
        <v>2.2046226199999999</v>
      </c>
      <c r="D82" s="1142" cm="1">
        <f t="array" ref="D82">INDEX(L82:M82, 0, $D$261)</f>
        <v>0.45359237038037831</v>
      </c>
      <c r="E82" s="1142" t="str" cm="1">
        <f t="array" ref="E82">INDEX(G82:H82, 0, $D$261)</f>
        <v>lb N/head/year</v>
      </c>
      <c r="F82" s="1078" t="s">
        <v>2377</v>
      </c>
      <c r="G82" s="571" t="s">
        <v>2377</v>
      </c>
      <c r="H82" s="1079" t="s">
        <v>2378</v>
      </c>
      <c r="I82" s="1080">
        <f t="shared" si="18"/>
        <v>1</v>
      </c>
      <c r="J82" s="1081">
        <f t="shared" si="19"/>
        <v>2.2046226199999999</v>
      </c>
      <c r="K82" s="1082">
        <f t="shared" si="20"/>
        <v>1</v>
      </c>
      <c r="L82" s="1080">
        <f t="shared" si="21"/>
        <v>1</v>
      </c>
      <c r="M82" s="1081">
        <f t="shared" si="22"/>
        <v>0.45359237038037831</v>
      </c>
      <c r="N82" s="49" t="s">
        <v>2402</v>
      </c>
    </row>
    <row r="83" spans="1:14" x14ac:dyDescent="0.3">
      <c r="A83" t="str">
        <f t="shared" si="7"/>
        <v>kg N2O/day, kg N2O/day, lb N2O/day -&gt; kg N2O/day</v>
      </c>
      <c r="B83" s="49" t="s">
        <v>2405</v>
      </c>
      <c r="C83" s="1142" cm="1">
        <f t="array" ref="C83">INDEX(I83:J83, 0, $D$261)</f>
        <v>2.2046226199999999</v>
      </c>
      <c r="D83" s="1142" cm="1">
        <f t="array" ref="D83">INDEX(L83:M83, 0, $D$261)</f>
        <v>0.45359237038037831</v>
      </c>
      <c r="E83" s="1142" t="str" cm="1">
        <f t="array" ref="E83">INDEX(G83:H83, 0, $D$261)</f>
        <v>lb N2O/day</v>
      </c>
      <c r="F83" s="1078" t="s">
        <v>2405</v>
      </c>
      <c r="G83" s="571" t="s">
        <v>2405</v>
      </c>
      <c r="H83" s="1079" t="s">
        <v>2406</v>
      </c>
      <c r="I83" s="1080">
        <f t="shared" si="18"/>
        <v>1</v>
      </c>
      <c r="J83" s="1081">
        <f t="shared" si="19"/>
        <v>2.2046226199999999</v>
      </c>
      <c r="K83" s="1082">
        <f t="shared" si="20"/>
        <v>1</v>
      </c>
      <c r="L83" s="1080">
        <f t="shared" si="21"/>
        <v>1</v>
      </c>
      <c r="M83" s="1081">
        <f t="shared" si="22"/>
        <v>0.45359237038037831</v>
      </c>
      <c r="N83" s="49" t="s">
        <v>2402</v>
      </c>
    </row>
    <row r="84" spans="1:14" x14ac:dyDescent="0.3">
      <c r="A84" t="str">
        <f t="shared" si="7"/>
        <v>kg N2O/year, kg N2O/year, lb N2O/year -&gt; kg N2O/year</v>
      </c>
      <c r="B84" s="49" t="s">
        <v>2407</v>
      </c>
      <c r="C84" s="1142" cm="1">
        <f t="array" ref="C84">INDEX(I84:J84, 0, $D$261)</f>
        <v>2.2046226199999999</v>
      </c>
      <c r="D84" s="1142" cm="1">
        <f t="array" ref="D84">INDEX(L84:M84, 0, $D$261)</f>
        <v>0.45359237038037831</v>
      </c>
      <c r="E84" s="1142" t="str" cm="1">
        <f t="array" ref="E84">INDEX(G84:H84, 0, $D$261)</f>
        <v>lb N2O/year</v>
      </c>
      <c r="F84" s="1078" t="s">
        <v>2407</v>
      </c>
      <c r="G84" s="571" t="s">
        <v>2407</v>
      </c>
      <c r="H84" s="1079" t="s">
        <v>2408</v>
      </c>
      <c r="I84" s="1080">
        <f t="shared" si="18"/>
        <v>1</v>
      </c>
      <c r="J84" s="1081">
        <f t="shared" si="19"/>
        <v>2.2046226199999999</v>
      </c>
      <c r="K84" s="1082">
        <f t="shared" si="20"/>
        <v>1</v>
      </c>
      <c r="L84" s="1080">
        <f t="shared" si="21"/>
        <v>1</v>
      </c>
      <c r="M84" s="1081">
        <f t="shared" si="22"/>
        <v>0.45359237038037831</v>
      </c>
      <c r="N84" s="49" t="s">
        <v>2402</v>
      </c>
    </row>
    <row r="85" spans="1:14" x14ac:dyDescent="0.3">
      <c r="A85" t="str">
        <f t="shared" si="7"/>
        <v>kg/day, kg/day, lb/day -&gt; kg/day</v>
      </c>
      <c r="B85" s="49" t="s">
        <v>2409</v>
      </c>
      <c r="C85" s="1142" cm="1">
        <f t="array" ref="C85">INDEX(I85:J85, 0, $D$261)</f>
        <v>2.2046226199999999</v>
      </c>
      <c r="D85" s="1142" cm="1">
        <f t="array" ref="D85">INDEX(L85:M85, 0, $D$261)</f>
        <v>0.45359237038037831</v>
      </c>
      <c r="E85" s="1142" t="str" cm="1">
        <f t="array" ref="E85">INDEX(G85:H85, 0, $D$261)</f>
        <v>lb/day</v>
      </c>
      <c r="F85" s="1078" t="s">
        <v>2409</v>
      </c>
      <c r="G85" s="571" t="s">
        <v>2409</v>
      </c>
      <c r="H85" s="1079" t="s">
        <v>2410</v>
      </c>
      <c r="I85" s="1080">
        <f t="shared" si="18"/>
        <v>1</v>
      </c>
      <c r="J85" s="1081">
        <f t="shared" si="19"/>
        <v>2.2046226199999999</v>
      </c>
      <c r="K85" s="1082">
        <f t="shared" si="20"/>
        <v>1</v>
      </c>
      <c r="L85" s="1080">
        <f t="shared" si="21"/>
        <v>1</v>
      </c>
      <c r="M85" s="1081">
        <f t="shared" si="22"/>
        <v>0.45359237038037831</v>
      </c>
      <c r="N85" s="49" t="s">
        <v>2402</v>
      </c>
    </row>
    <row r="86" spans="1:14" x14ac:dyDescent="0.3">
      <c r="A86" t="str">
        <f t="shared" si="7"/>
        <v>ton (2000 lb)/year, tonne (1000 kg)/year, ton (2000 lb)/year -&gt; ton (2000 lb)/year</v>
      </c>
      <c r="B86" s="49" t="s">
        <v>2411</v>
      </c>
      <c r="C86" s="1142" cm="1">
        <f t="array" ref="C86">INDEX(I86:J86, 0, $D$261)</f>
        <v>1</v>
      </c>
      <c r="D86" s="1142" cm="1">
        <f t="array" ref="D86">INDEX(L86:M86, 0, $D$261)</f>
        <v>1</v>
      </c>
      <c r="E86" s="1142" t="str" cm="1">
        <f t="array" ref="E86">INDEX(G86:H86, 0, $D$261)</f>
        <v>ton (2000 lb)/year</v>
      </c>
      <c r="F86" s="1078" t="s">
        <v>2411</v>
      </c>
      <c r="G86" s="571" t="s">
        <v>2412</v>
      </c>
      <c r="H86" s="1079" t="s">
        <v>2411</v>
      </c>
      <c r="I86" s="1080">
        <f>$E$199</f>
        <v>0.90718474076075672</v>
      </c>
      <c r="J86" s="1081">
        <v>1</v>
      </c>
      <c r="K86" s="1082">
        <v>1</v>
      </c>
      <c r="L86" s="1080">
        <f>1/I86</f>
        <v>1.1023113099999999</v>
      </c>
      <c r="M86" s="1081">
        <v>1</v>
      </c>
      <c r="N86" s="49" t="s">
        <v>2402</v>
      </c>
    </row>
    <row r="87" spans="1:14" x14ac:dyDescent="0.3">
      <c r="A87" t="str">
        <f t="shared" si="7"/>
        <v>g/L, g/L, lb/1000 gal -&gt; g/L</v>
      </c>
      <c r="B87" s="49" t="s">
        <v>2413</v>
      </c>
      <c r="C87" s="1142" cm="1">
        <f t="array" ref="C87">INDEX(I87:J87, 0, $D$261)</f>
        <v>8.3454044432008416</v>
      </c>
      <c r="D87" s="1142" cm="1">
        <f t="array" ref="D87">INDEX(L87:M87, 0, $D$261)</f>
        <v>0.11982642744351579</v>
      </c>
      <c r="E87" s="1142" t="str" cm="1">
        <f t="array" ref="E87">INDEX(G87:H87, 0, $D$261)</f>
        <v>lb/1000 gal</v>
      </c>
      <c r="F87" s="1078" t="s">
        <v>2413</v>
      </c>
      <c r="G87" s="571" t="s">
        <v>2413</v>
      </c>
      <c r="H87" s="1079" t="s">
        <v>2414</v>
      </c>
      <c r="I87" s="1080">
        <f t="shared" si="18"/>
        <v>1</v>
      </c>
      <c r="J87" s="1081">
        <f>$E$167*$E$198*1000</f>
        <v>8.3454044432008416</v>
      </c>
      <c r="K87" s="1082">
        <f t="shared" si="20"/>
        <v>1</v>
      </c>
      <c r="L87" s="1080">
        <f t="shared" si="21"/>
        <v>1</v>
      </c>
      <c r="M87" s="1081">
        <f t="shared" si="22"/>
        <v>0.11982642744351579</v>
      </c>
      <c r="N87" s="49" t="s">
        <v>2415</v>
      </c>
    </row>
    <row r="88" spans="1:14" x14ac:dyDescent="0.3">
      <c r="A88" t="str">
        <f t="shared" si="7"/>
        <v>lb/1000 gal, g/L, lb/1000 gal -&gt; lb/1000 gal</v>
      </c>
      <c r="B88" s="49" t="s">
        <v>2414</v>
      </c>
      <c r="C88" s="1142" cm="1">
        <f t="array" ref="C88">INDEX(I88:J88, 0, $D$261)</f>
        <v>1</v>
      </c>
      <c r="D88" s="1142" cm="1">
        <f t="array" ref="D88">INDEX(L88:M88, 0, $D$261)</f>
        <v>1</v>
      </c>
      <c r="E88" s="1142" t="str" cm="1">
        <f t="array" ref="E88">INDEX(G88:H88, 0, $D$261)</f>
        <v>lb/1000 gal</v>
      </c>
      <c r="F88" s="1078" t="s">
        <v>2414</v>
      </c>
      <c r="G88" s="571" t="s">
        <v>2413</v>
      </c>
      <c r="H88" s="1079" t="s">
        <v>2414</v>
      </c>
      <c r="I88" s="1080">
        <f>UC.lb_to_g*UC.L_to_gal/1000</f>
        <v>0.11982642624725849</v>
      </c>
      <c r="J88" s="1081">
        <v>1</v>
      </c>
      <c r="K88" s="1082">
        <f t="shared" si="20"/>
        <v>1</v>
      </c>
      <c r="L88" s="1080">
        <f>1/I88</f>
        <v>8.3454045265151109</v>
      </c>
      <c r="M88" s="1081">
        <v>1</v>
      </c>
      <c r="N88" s="49" t="s">
        <v>2415</v>
      </c>
    </row>
    <row r="89" spans="1:14" x14ac:dyDescent="0.3">
      <c r="A89" t="str">
        <f t="shared" si="7"/>
        <v>kg/m3, kg/m3, lb/ft3 -&gt; kg/m3</v>
      </c>
      <c r="B89" s="49" t="s">
        <v>2416</v>
      </c>
      <c r="C89" s="1142" cm="1">
        <f t="array" ref="C89">INDEX(I89:J89, 0, $D$261)</f>
        <v>6.2427968037147001E-2</v>
      </c>
      <c r="D89" s="1142" cm="1">
        <f t="array" ref="D89">INDEX(L89:M89, 0, $D$261)</f>
        <v>16.018461459533043</v>
      </c>
      <c r="E89" s="1142" t="str" cm="1">
        <f t="array" ref="E89">INDEX(G89:H89, 0, $D$261)</f>
        <v>lb/ft3</v>
      </c>
      <c r="F89" s="1078" t="s">
        <v>2416</v>
      </c>
      <c r="G89" s="571" t="s">
        <v>2416</v>
      </c>
      <c r="H89" s="1079" t="s">
        <v>2417</v>
      </c>
      <c r="I89" s="1080">
        <v>1</v>
      </c>
      <c r="J89" s="1081">
        <v>6.2427968037147001E-2</v>
      </c>
      <c r="K89" s="1082">
        <v>1</v>
      </c>
      <c r="L89" s="1080">
        <v>1</v>
      </c>
      <c r="M89" s="1081">
        <f t="shared" si="22"/>
        <v>16.018461459533043</v>
      </c>
      <c r="N89" s="49" t="s">
        <v>2415</v>
      </c>
    </row>
    <row r="90" spans="1:14" x14ac:dyDescent="0.3">
      <c r="A90" t="str">
        <f t="shared" si="7"/>
        <v>mg/L, mg/L, lb/1000 gal -&gt; mg/L</v>
      </c>
      <c r="B90" s="49" t="s">
        <v>2418</v>
      </c>
      <c r="C90" s="1142" cm="1">
        <f t="array" ref="C90">INDEX(I90:J90, 0, $D$261)</f>
        <v>8.3454044432008413E-3</v>
      </c>
      <c r="D90" s="1142" cm="1">
        <f t="array" ref="D90">INDEX(L90:M90, 0, $D$261)</f>
        <v>119.8264274435158</v>
      </c>
      <c r="E90" s="1142" t="str" cm="1">
        <f t="array" ref="E90">INDEX(G90:H90, 0, $D$261)</f>
        <v>lb/1000 gal</v>
      </c>
      <c r="F90" s="1078" t="s">
        <v>2418</v>
      </c>
      <c r="G90" s="571" t="s">
        <v>2418</v>
      </c>
      <c r="H90" s="1079" t="s">
        <v>2414</v>
      </c>
      <c r="I90" s="1080">
        <f>IF(B90=G90,1,"REPLACE")</f>
        <v>1</v>
      </c>
      <c r="J90" s="1081">
        <f>$E$167/$E$196*1000</f>
        <v>8.3454044432008413E-3</v>
      </c>
      <c r="K90" s="1082">
        <f>IF(B90=F90,1,"REPLACE")</f>
        <v>1</v>
      </c>
      <c r="L90" s="1080">
        <f>IF(G90=F90,1,"REPLACE")</f>
        <v>1</v>
      </c>
      <c r="M90" s="1081">
        <f t="shared" si="22"/>
        <v>119.8264274435158</v>
      </c>
      <c r="N90" s="49" t="s">
        <v>2415</v>
      </c>
    </row>
    <row r="91" spans="1:14" x14ac:dyDescent="0.3">
      <c r="A91" t="str">
        <f t="shared" si="7"/>
        <v>kg/m3/day, kg/m3/day, lb/ft3/day -&gt; kg/m3/day</v>
      </c>
      <c r="B91" s="49" t="s">
        <v>2419</v>
      </c>
      <c r="C91" s="1142" cm="1">
        <f t="array" ref="C91">INDEX(I91:J91, 0, $D$261)</f>
        <v>6.2427968037147001E-2</v>
      </c>
      <c r="D91" s="1142" cm="1">
        <f t="array" ref="D91">INDEX(L91:M91, 0, $D$261)</f>
        <v>16.018461459533043</v>
      </c>
      <c r="E91" s="1142" t="str" cm="1">
        <f t="array" ref="E91">INDEX(G91:H91, 0, $D$261)</f>
        <v>lb/ft3/day</v>
      </c>
      <c r="F91" s="1078" t="s">
        <v>2419</v>
      </c>
      <c r="G91" s="571" t="s">
        <v>2419</v>
      </c>
      <c r="H91" s="1079" t="s">
        <v>2420</v>
      </c>
      <c r="I91" s="1080">
        <v>1</v>
      </c>
      <c r="J91" s="1081">
        <f>2.20462262*0.02831685</f>
        <v>6.2427968037147001E-2</v>
      </c>
      <c r="K91" s="1082">
        <v>1</v>
      </c>
      <c r="L91" s="1080">
        <v>1</v>
      </c>
      <c r="M91" s="1081">
        <f t="shared" si="22"/>
        <v>16.018461459533043</v>
      </c>
      <c r="N91" s="49" t="s">
        <v>2421</v>
      </c>
    </row>
    <row r="92" spans="1:14" x14ac:dyDescent="0.3">
      <c r="A92" t="str">
        <f>_xlfn.CONCAT(B92, ", ", G92, ", ", H92, " -&gt; ", F92)</f>
        <v>lb VS/1000 ft3/day, kg VS/1000 m3/day, lb VS/1000 ft3/day -&gt; kg VS/1000 m3/day</v>
      </c>
      <c r="B92" s="49" t="s">
        <v>2422</v>
      </c>
      <c r="C92" s="1142" cm="1">
        <f t="array" ref="C92">INDEX(I92:J92, 0, $D$261)</f>
        <v>1</v>
      </c>
      <c r="D92" s="1142" cm="1">
        <f t="array" ref="D92">INDEX(L92:M92, 0, $D$261)</f>
        <v>16.018463377646011</v>
      </c>
      <c r="E92" s="1142" t="str" cm="1">
        <f t="array" ref="E92">INDEX(G92:H92, 0, $D$261)</f>
        <v>lb VS/1000 ft3/day</v>
      </c>
      <c r="F92" s="1078" t="s">
        <v>2423</v>
      </c>
      <c r="G92" s="571" t="s">
        <v>2423</v>
      </c>
      <c r="H92" s="1079" t="s">
        <v>2422</v>
      </c>
      <c r="I92" s="1080">
        <f>UC.lb_to_kg*UC.m3_to_ft3</f>
        <v>16.018463377646011</v>
      </c>
      <c r="J92" s="1081">
        <v>1</v>
      </c>
      <c r="K92" s="1082">
        <f>I92</f>
        <v>16.018463377646011</v>
      </c>
      <c r="L92" s="1080">
        <v>1</v>
      </c>
      <c r="M92" s="1081">
        <f>I92</f>
        <v>16.018463377646011</v>
      </c>
      <c r="N92" s="49" t="s">
        <v>2421</v>
      </c>
    </row>
    <row r="93" spans="1:14" x14ac:dyDescent="0.3">
      <c r="A93" t="str">
        <f t="shared" si="7"/>
        <v>conversion, conversion, conversion -&gt; conversion</v>
      </c>
      <c r="B93" s="49" t="s">
        <v>2424</v>
      </c>
      <c r="C93" s="1142" cm="1">
        <f t="array" ref="C93">INDEX(I93:J93, 0, $D$261)</f>
        <v>1</v>
      </c>
      <c r="D93" s="1142" cm="1">
        <f t="array" ref="D93">INDEX(L93:M93, 0, $D$261)</f>
        <v>1</v>
      </c>
      <c r="E93" s="1142" t="str" cm="1">
        <f t="array" ref="E93">INDEX(G93:H93, 0, $D$261)</f>
        <v>conversion</v>
      </c>
      <c r="F93" s="1078" t="s">
        <v>2424</v>
      </c>
      <c r="G93" s="571" t="s">
        <v>2424</v>
      </c>
      <c r="H93" s="1079" t="s">
        <v>2424</v>
      </c>
      <c r="I93" s="1080">
        <f t="shared" ref="I93:I100" si="23">IF(B93=G93,1,"REPLACE")</f>
        <v>1</v>
      </c>
      <c r="J93" s="1081">
        <f t="shared" ref="J93:J100" si="24">IF(B93=H93,1,"REPLACE")</f>
        <v>1</v>
      </c>
      <c r="K93" s="1082">
        <f t="shared" ref="K93:K100" si="25">IF(B93=F93,1,"REPLACE")</f>
        <v>1</v>
      </c>
      <c r="L93" s="1080">
        <f t="shared" ref="L93:L100" si="26">IF(G93=F93,1,"REPLACE")</f>
        <v>1</v>
      </c>
      <c r="M93" s="1081">
        <f t="shared" ref="M93:M100" si="27">IF(H93=F93,1,"REPLACE")</f>
        <v>1</v>
      </c>
      <c r="N93" s="49" t="s">
        <v>2425</v>
      </c>
    </row>
    <row r="94" spans="1:14" x14ac:dyDescent="0.3">
      <c r="A94" t="str">
        <f t="shared" si="7"/>
        <v>multiplier, multiplier, multiplier -&gt; multiplier</v>
      </c>
      <c r="B94" s="49" t="s">
        <v>2426</v>
      </c>
      <c r="C94" s="1142" cm="1">
        <f t="array" ref="C94">INDEX(I94:J94, 0, $D$261)</f>
        <v>1</v>
      </c>
      <c r="D94" s="1142" cm="1">
        <f t="array" ref="D94">INDEX(L94:M94, 0, $D$261)</f>
        <v>1</v>
      </c>
      <c r="E94" s="1142" t="str" cm="1">
        <f t="array" ref="E94">INDEX(G94:H94, 0, $D$261)</f>
        <v>multiplier</v>
      </c>
      <c r="F94" s="1078" t="s">
        <v>2426</v>
      </c>
      <c r="G94" s="571" t="s">
        <v>2426</v>
      </c>
      <c r="H94" s="1079" t="s">
        <v>2426</v>
      </c>
      <c r="I94" s="1080">
        <f t="shared" si="23"/>
        <v>1</v>
      </c>
      <c r="J94" s="1081">
        <f t="shared" si="24"/>
        <v>1</v>
      </c>
      <c r="K94" s="1082">
        <f t="shared" si="25"/>
        <v>1</v>
      </c>
      <c r="L94" s="1080">
        <f t="shared" si="26"/>
        <v>1</v>
      </c>
      <c r="M94" s="1081">
        <f t="shared" si="27"/>
        <v>1</v>
      </c>
      <c r="N94" s="49" t="s">
        <v>2425</v>
      </c>
    </row>
    <row r="95" spans="1:14" x14ac:dyDescent="0.3">
      <c r="A95" t="str">
        <f t="shared" si="7"/>
        <v>name, name, name -&gt; name</v>
      </c>
      <c r="B95" s="49" t="s">
        <v>2427</v>
      </c>
      <c r="C95" s="1142" cm="1">
        <f t="array" ref="C95">INDEX(I95:J95, 0, $D$261)</f>
        <v>1</v>
      </c>
      <c r="D95" s="1142" cm="1">
        <f t="array" ref="D95">INDEX(L95:M95, 0, $D$261)</f>
        <v>1</v>
      </c>
      <c r="E95" s="1142" t="str" cm="1">
        <f t="array" ref="E95">INDEX(G95:H95, 0, $D$261)</f>
        <v>name</v>
      </c>
      <c r="F95" s="1078" t="s">
        <v>2427</v>
      </c>
      <c r="G95" s="571" t="s">
        <v>2427</v>
      </c>
      <c r="H95" s="1079" t="s">
        <v>2427</v>
      </c>
      <c r="I95" s="1080">
        <f t="shared" si="23"/>
        <v>1</v>
      </c>
      <c r="J95" s="1081">
        <f t="shared" si="24"/>
        <v>1</v>
      </c>
      <c r="K95" s="1082">
        <f t="shared" si="25"/>
        <v>1</v>
      </c>
      <c r="L95" s="1080">
        <f t="shared" si="26"/>
        <v>1</v>
      </c>
      <c r="M95" s="1081">
        <f t="shared" si="27"/>
        <v>1</v>
      </c>
      <c r="N95" s="49" t="s">
        <v>475</v>
      </c>
    </row>
    <row r="96" spans="1:14" x14ac:dyDescent="0.3">
      <c r="A96" t="str">
        <f t="shared" si="7"/>
        <v>none, none, none -&gt; none</v>
      </c>
      <c r="B96" s="49" t="s">
        <v>2428</v>
      </c>
      <c r="C96" s="1142" cm="1">
        <f t="array" ref="C96">INDEX(I96:J96, 0, $D$261)</f>
        <v>1</v>
      </c>
      <c r="D96" s="1142" cm="1">
        <f t="array" ref="D96">INDEX(L96:M96, 0, $D$261)</f>
        <v>1</v>
      </c>
      <c r="E96" s="1142" t="str" cm="1">
        <f t="array" ref="E96">INDEX(G96:H96, 0, $D$261)</f>
        <v>none</v>
      </c>
      <c r="F96" s="1078" t="s">
        <v>2428</v>
      </c>
      <c r="G96" s="571" t="s">
        <v>2428</v>
      </c>
      <c r="H96" s="1079" t="s">
        <v>2428</v>
      </c>
      <c r="I96" s="1080">
        <f t="shared" si="23"/>
        <v>1</v>
      </c>
      <c r="J96" s="1081">
        <f t="shared" si="24"/>
        <v>1</v>
      </c>
      <c r="K96" s="1082">
        <f t="shared" si="25"/>
        <v>1</v>
      </c>
      <c r="L96" s="1080">
        <f t="shared" si="26"/>
        <v>1</v>
      </c>
      <c r="M96" s="1081">
        <f t="shared" si="27"/>
        <v>1</v>
      </c>
      <c r="N96" s="49" t="s">
        <v>81</v>
      </c>
    </row>
    <row r="97" spans="1:14" x14ac:dyDescent="0.3">
      <c r="A97" t="str">
        <f t="shared" ref="A97:A156" si="28">_xlfn.CONCAT(B97, ", ", G97, ", ", H97, " -&gt; ", F97)</f>
        <v>number, number, number -&gt; number</v>
      </c>
      <c r="B97" s="49" t="s">
        <v>2209</v>
      </c>
      <c r="C97" s="1142" cm="1">
        <f t="array" ref="C97">INDEX(I97:J97, 0, $D$261)</f>
        <v>1</v>
      </c>
      <c r="D97" s="1142" cm="1">
        <f t="array" ref="D97">INDEX(L97:M97, 0, $D$261)</f>
        <v>1</v>
      </c>
      <c r="E97" s="1142" t="str" cm="1">
        <f t="array" ref="E97">INDEX(G97:H97, 0, $D$261)</f>
        <v>number</v>
      </c>
      <c r="F97" s="1078" t="s">
        <v>2209</v>
      </c>
      <c r="G97" s="571" t="s">
        <v>2209</v>
      </c>
      <c r="H97" s="1079" t="s">
        <v>2209</v>
      </c>
      <c r="I97" s="1080">
        <f t="shared" si="23"/>
        <v>1</v>
      </c>
      <c r="J97" s="1081">
        <f t="shared" si="24"/>
        <v>1</v>
      </c>
      <c r="K97" s="1082">
        <f t="shared" si="25"/>
        <v>1</v>
      </c>
      <c r="L97" s="1080">
        <f t="shared" si="26"/>
        <v>1</v>
      </c>
      <c r="M97" s="1081">
        <f t="shared" si="27"/>
        <v>1</v>
      </c>
      <c r="N97" s="49" t="s">
        <v>2429</v>
      </c>
    </row>
    <row r="98" spans="1:14" x14ac:dyDescent="0.3">
      <c r="A98" t="str">
        <f t="shared" si="28"/>
        <v>occurrences/event, occurrences/event, occurrences/event -&gt; occurrences/event</v>
      </c>
      <c r="B98" s="49" t="s">
        <v>2430</v>
      </c>
      <c r="C98" s="1142" cm="1">
        <f t="array" ref="C98">INDEX(I98:J98, 0, $D$261)</f>
        <v>1</v>
      </c>
      <c r="D98" s="1142" cm="1">
        <f t="array" ref="D98">INDEX(L98:M98, 0, $D$261)</f>
        <v>1</v>
      </c>
      <c r="E98" s="1142" t="str" cm="1">
        <f t="array" ref="E98">INDEX(G98:H98, 0, $D$261)</f>
        <v>occurrences/event</v>
      </c>
      <c r="F98" s="1078" t="s">
        <v>2430</v>
      </c>
      <c r="G98" s="571" t="s">
        <v>2430</v>
      </c>
      <c r="H98" s="1079" t="s">
        <v>2430</v>
      </c>
      <c r="I98" s="1080">
        <f t="shared" si="23"/>
        <v>1</v>
      </c>
      <c r="J98" s="1081">
        <v>1</v>
      </c>
      <c r="K98" s="1082">
        <f t="shared" si="25"/>
        <v>1</v>
      </c>
      <c r="L98" s="1080">
        <f t="shared" si="26"/>
        <v>1</v>
      </c>
      <c r="M98" s="1081">
        <v>1</v>
      </c>
      <c r="N98" s="49" t="s">
        <v>2431</v>
      </c>
    </row>
    <row r="99" spans="1:14" x14ac:dyDescent="0.3">
      <c r="A99" t="str">
        <f t="shared" si="28"/>
        <v>hp, hp, hp -&gt; hp</v>
      </c>
      <c r="B99" s="49" t="s">
        <v>971</v>
      </c>
      <c r="C99" s="1142" cm="1">
        <f t="array" ref="C99">INDEX(I99:J99, 0, $D$261)</f>
        <v>1</v>
      </c>
      <c r="D99" s="1142" cm="1">
        <f t="array" ref="D99">INDEX(L99:M99, 0, $D$261)</f>
        <v>1</v>
      </c>
      <c r="E99" s="1142" t="str" cm="1">
        <f t="array" ref="E99">INDEX(G99:H99, 0, $D$261)</f>
        <v>hp</v>
      </c>
      <c r="F99" s="1078" t="s">
        <v>971</v>
      </c>
      <c r="G99" s="571" t="s">
        <v>971</v>
      </c>
      <c r="H99" s="1079" t="s">
        <v>971</v>
      </c>
      <c r="I99" s="1080">
        <f t="shared" si="23"/>
        <v>1</v>
      </c>
      <c r="J99" s="1081">
        <f t="shared" si="24"/>
        <v>1</v>
      </c>
      <c r="K99" s="1082">
        <f t="shared" si="25"/>
        <v>1</v>
      </c>
      <c r="L99" s="1080">
        <f t="shared" si="26"/>
        <v>1</v>
      </c>
      <c r="M99" s="1081">
        <f t="shared" si="27"/>
        <v>1</v>
      </c>
      <c r="N99" s="49" t="s">
        <v>2432</v>
      </c>
    </row>
    <row r="100" spans="1:14" x14ac:dyDescent="0.3">
      <c r="A100" t="str">
        <f t="shared" si="28"/>
        <v>hp (land app), hp (land app), hp (land app) -&gt; hp (land app)</v>
      </c>
      <c r="B100" s="49" t="s">
        <v>2433</v>
      </c>
      <c r="C100" s="1142" cm="1">
        <f t="array" ref="C100">INDEX(I100:J100, 0, $D$261)</f>
        <v>1</v>
      </c>
      <c r="D100" s="1142" cm="1">
        <f t="array" ref="D100">INDEX(L100:M100, 0, $D$261)</f>
        <v>1</v>
      </c>
      <c r="E100" s="1142" t="str" cm="1">
        <f t="array" ref="E100">INDEX(G100:H100, 0, $D$261)</f>
        <v>hp (land app)</v>
      </c>
      <c r="F100" s="1078" t="s">
        <v>2433</v>
      </c>
      <c r="G100" s="571" t="s">
        <v>2433</v>
      </c>
      <c r="H100" s="1079" t="s">
        <v>2433</v>
      </c>
      <c r="I100" s="1080">
        <f t="shared" si="23"/>
        <v>1</v>
      </c>
      <c r="J100" s="1081">
        <f t="shared" si="24"/>
        <v>1</v>
      </c>
      <c r="K100" s="1082">
        <f t="shared" si="25"/>
        <v>1</v>
      </c>
      <c r="L100" s="1080">
        <f t="shared" si="26"/>
        <v>1</v>
      </c>
      <c r="M100" s="1081">
        <f t="shared" si="27"/>
        <v>1</v>
      </c>
      <c r="N100" s="49" t="s">
        <v>2432</v>
      </c>
    </row>
    <row r="101" spans="1:14" x14ac:dyDescent="0.3">
      <c r="A101" t="str">
        <f t="shared" si="28"/>
        <v>kWhr, kWhr, kWhr -&gt; kWhr</v>
      </c>
      <c r="B101" s="49" t="s">
        <v>2434</v>
      </c>
      <c r="C101" s="1142" cm="1">
        <f t="array" ref="C101">INDEX(I101:J101, 0, $D$261)</f>
        <v>1</v>
      </c>
      <c r="D101" s="1142" cm="1">
        <f t="array" ref="D101">INDEX(L101:M101, 0, $D$261)</f>
        <v>1</v>
      </c>
      <c r="E101" s="1142" t="str" cm="1">
        <f t="array" ref="E101">INDEX(G101:H101, 0, $D$261)</f>
        <v>kWhr</v>
      </c>
      <c r="F101" s="1078" t="s">
        <v>2434</v>
      </c>
      <c r="G101" s="571" t="s">
        <v>2434</v>
      </c>
      <c r="H101" s="1079" t="s">
        <v>2434</v>
      </c>
      <c r="I101" s="1080">
        <v>1</v>
      </c>
      <c r="J101" s="1081">
        <v>1</v>
      </c>
      <c r="K101" s="1082">
        <v>1</v>
      </c>
      <c r="L101" s="1080">
        <v>1</v>
      </c>
      <c r="M101" s="1081">
        <v>1</v>
      </c>
      <c r="N101" s="49" t="s">
        <v>2432</v>
      </c>
    </row>
    <row r="102" spans="1:14" x14ac:dyDescent="0.3">
      <c r="A102" t="str">
        <f t="shared" si="28"/>
        <v>MJ, MJ, MJ -&gt; MJ</v>
      </c>
      <c r="B102" s="49" t="s">
        <v>2435</v>
      </c>
      <c r="C102" s="1142" cm="1">
        <f t="array" ref="C102">INDEX(I102:J102, 0, $D$261)</f>
        <v>1</v>
      </c>
      <c r="D102" s="1142" cm="1">
        <f t="array" ref="D102">INDEX(L102:M102, 0, $D$261)</f>
        <v>1</v>
      </c>
      <c r="E102" s="1142" t="str" cm="1">
        <f t="array" ref="E102">INDEX(G102:H102, 0, $D$261)</f>
        <v>MJ</v>
      </c>
      <c r="F102" s="1078" t="s">
        <v>2435</v>
      </c>
      <c r="G102" s="571" t="s">
        <v>2435</v>
      </c>
      <c r="H102" s="1079" t="s">
        <v>2435</v>
      </c>
      <c r="I102" s="1080">
        <v>1</v>
      </c>
      <c r="J102" s="1081">
        <v>1</v>
      </c>
      <c r="K102" s="1082">
        <v>1</v>
      </c>
      <c r="L102" s="1080">
        <v>1</v>
      </c>
      <c r="M102" s="1081">
        <v>1</v>
      </c>
      <c r="N102" s="49" t="s">
        <v>2432</v>
      </c>
    </row>
    <row r="103" spans="1:14" x14ac:dyDescent="0.3">
      <c r="A103" t="str">
        <f t="shared" si="28"/>
        <v>kWhr/head/year, kWhr/head/year, kWhr/head/year -&gt; kWhr/head/year</v>
      </c>
      <c r="B103" s="49" t="s">
        <v>2436</v>
      </c>
      <c r="C103" s="1142" cm="1">
        <f t="array" ref="C103">INDEX(I103:J103, 0, $D$261)</f>
        <v>1</v>
      </c>
      <c r="D103" s="1142" cm="1">
        <f t="array" ref="D103">INDEX(L103:M103, 0, $D$261)</f>
        <v>1</v>
      </c>
      <c r="E103" s="1142" t="str" cm="1">
        <f t="array" ref="E103">INDEX(G103:H103, 0, $D$261)</f>
        <v>kWhr/head/year</v>
      </c>
      <c r="F103" s="1078" t="s">
        <v>2436</v>
      </c>
      <c r="G103" s="571" t="s">
        <v>2436</v>
      </c>
      <c r="H103" s="1079" t="s">
        <v>2436</v>
      </c>
      <c r="I103" s="1080">
        <f t="shared" ref="I103" si="29">IF(B103=G103,1,"REPLACE")</f>
        <v>1</v>
      </c>
      <c r="J103" s="1081">
        <f t="shared" ref="J103" si="30">IF(B103=H103,1,"REPLACE")</f>
        <v>1</v>
      </c>
      <c r="K103" s="1082">
        <f t="shared" ref="K103" si="31">IF(B103=F103,1,"REPLACE")</f>
        <v>1</v>
      </c>
      <c r="L103" s="1080">
        <f t="shared" ref="L103" si="32">IF(G103=F103,1,"REPLACE")</f>
        <v>1</v>
      </c>
      <c r="M103" s="1081">
        <f t="shared" ref="M103" si="33">IF(H103=F103,1,"REPLACE")</f>
        <v>1</v>
      </c>
      <c r="N103" s="49" t="s">
        <v>2437</v>
      </c>
    </row>
    <row r="104" spans="1:14" x14ac:dyDescent="0.3">
      <c r="A104" t="str">
        <f t="shared" si="28"/>
        <v>MJ/m3, MJ/m3, BTU/ft3 -&gt; MJ/m3</v>
      </c>
      <c r="B104" s="49" t="s">
        <v>2438</v>
      </c>
      <c r="C104" s="1142" cm="1">
        <f t="array" ref="C104">INDEX(I104:J104, 0, $D$261)</f>
        <v>26.839089720015924</v>
      </c>
      <c r="D104" s="1142" cm="1">
        <f t="array" ref="D104">INDEX(L104:M104, 0, $D$261)</f>
        <v>3.7259087786953707E-2</v>
      </c>
      <c r="E104" s="1142" t="str" cm="1">
        <f t="array" ref="E104">INDEX(G104:H104, 0, $D$261)</f>
        <v>BTU/ft3</v>
      </c>
      <c r="F104" s="1078" t="s">
        <v>2438</v>
      </c>
      <c r="G104" s="571" t="s">
        <v>2438</v>
      </c>
      <c r="H104" s="1079" t="s">
        <v>2439</v>
      </c>
      <c r="I104" s="1080">
        <v>1</v>
      </c>
      <c r="J104" s="1081">
        <f>UC.MJ_to_BTU*UC.ft3_to_m3</f>
        <v>26.839089720015924</v>
      </c>
      <c r="K104" s="1082">
        <v>1</v>
      </c>
      <c r="L104" s="1080">
        <v>1</v>
      </c>
      <c r="M104" s="1081">
        <f>1/J104</f>
        <v>3.7259087786953707E-2</v>
      </c>
      <c r="N104" s="49" t="s">
        <v>2440</v>
      </c>
    </row>
    <row r="105" spans="1:14" x14ac:dyDescent="0.3">
      <c r="A105" t="str">
        <f t="shared" si="28"/>
        <v>MJ/m3, MJ/m3, MMBTU/1000 ft3 -&gt; MMBTU/1000 ft3</v>
      </c>
      <c r="B105" s="49" t="s">
        <v>2438</v>
      </c>
      <c r="C105" s="1142" cm="1">
        <f t="array" ref="C105">INDEX(I105:J105, 0, $D$261)</f>
        <v>26.839089720015924</v>
      </c>
      <c r="D105" s="1142" cm="1">
        <f t="array" ref="D105">INDEX(L105:M105, 0, $D$261)</f>
        <v>1</v>
      </c>
      <c r="E105" s="1142" t="str" cm="1">
        <f t="array" ref="E105">INDEX(G105:H105, 0, $D$261)</f>
        <v>MMBTU/1000 ft3</v>
      </c>
      <c r="F105" s="1078" t="s">
        <v>2441</v>
      </c>
      <c r="G105" s="571" t="s">
        <v>2438</v>
      </c>
      <c r="H105" s="1079" t="s">
        <v>2441</v>
      </c>
      <c r="I105" s="1080">
        <v>1</v>
      </c>
      <c r="J105" s="1081">
        <f>UC.ft3_to_m3*1000*UC.MJ_to_MMBTU</f>
        <v>26.839089720015924</v>
      </c>
      <c r="K105" s="1082">
        <f>UC.ft3_to_m3*1000*UC.MJ_to_MMBTU</f>
        <v>26.839089720015924</v>
      </c>
      <c r="L105" s="1080">
        <f>UC.ft3_to_m3*1000*UC.MJ_to_MMBTU</f>
        <v>26.839089720015924</v>
      </c>
      <c r="M105" s="1081">
        <v>1</v>
      </c>
      <c r="N105" s="49" t="s">
        <v>2440</v>
      </c>
    </row>
    <row r="106" spans="1:14" x14ac:dyDescent="0.3">
      <c r="A106" t="str">
        <f t="shared" si="28"/>
        <v>quantity, quantity, quantity -&gt; quantity</v>
      </c>
      <c r="B106" s="49" t="s">
        <v>2442</v>
      </c>
      <c r="C106" s="1142" cm="1">
        <f t="array" ref="C106">INDEX(I106:J106, 0, $D$261)</f>
        <v>1</v>
      </c>
      <c r="D106" s="1142" cm="1">
        <f t="array" ref="D106">INDEX(L106:M106, 0, $D$261)</f>
        <v>1</v>
      </c>
      <c r="E106" s="1142" t="str" cm="1">
        <f t="array" ref="E106">INDEX(G106:H106, 0, $D$261)</f>
        <v>quantity</v>
      </c>
      <c r="F106" s="1078" t="s">
        <v>2442</v>
      </c>
      <c r="G106" s="571" t="s">
        <v>2442</v>
      </c>
      <c r="H106" s="1079" t="s">
        <v>2442</v>
      </c>
      <c r="I106" s="1080">
        <v>1</v>
      </c>
      <c r="J106" s="1081">
        <v>1</v>
      </c>
      <c r="K106" s="1082">
        <v>1</v>
      </c>
      <c r="L106" s="1080">
        <v>1</v>
      </c>
      <c r="M106" s="1081">
        <v>1</v>
      </c>
      <c r="N106" s="49" t="s">
        <v>2443</v>
      </c>
    </row>
    <row r="107" spans="1:14" x14ac:dyDescent="0.3">
      <c r="A107" t="str">
        <f>_xlfn.CONCAT(B107, ", ", G107, ", ", H107, " -&gt; ", F107)</f>
        <v>quantity/day, quantity/day, quantity/day -&gt; quantity/day</v>
      </c>
      <c r="B107" s="49" t="s">
        <v>2444</v>
      </c>
      <c r="C107" s="1142" cm="1">
        <f t="array" ref="C107">INDEX(I107:J107, 0, $D$261)</f>
        <v>1</v>
      </c>
      <c r="D107" s="1142" cm="1">
        <f t="array" ref="D107">INDEX(L107:M107, 0, $D$261)</f>
        <v>1</v>
      </c>
      <c r="E107" s="1142" t="str" cm="1">
        <f t="array" ref="E107">INDEX(G107:H107, 0, $D$261)</f>
        <v>quantity/day</v>
      </c>
      <c r="F107" s="1078" t="s">
        <v>2444</v>
      </c>
      <c r="G107" s="571" t="s">
        <v>2444</v>
      </c>
      <c r="H107" s="1079" t="s">
        <v>2444</v>
      </c>
      <c r="I107" s="1080">
        <v>1</v>
      </c>
      <c r="J107" s="1081">
        <v>1</v>
      </c>
      <c r="K107" s="1082">
        <v>1</v>
      </c>
      <c r="L107" s="1080">
        <v>1</v>
      </c>
      <c r="M107" s="1081">
        <v>1</v>
      </c>
      <c r="N107" s="49" t="s">
        <v>2445</v>
      </c>
    </row>
    <row r="108" spans="1:14" x14ac:dyDescent="0.3">
      <c r="A108" t="str">
        <f t="shared" si="28"/>
        <v>H to V, H to V, H to V -&gt; H to V</v>
      </c>
      <c r="B108" s="49" t="s">
        <v>2446</v>
      </c>
      <c r="C108" s="1142" cm="1">
        <f t="array" ref="C108">INDEX(I108:J108, 0, $D$261)</f>
        <v>1</v>
      </c>
      <c r="D108" s="1142" cm="1">
        <f t="array" ref="D108">INDEX(L108:M108, 0, $D$261)</f>
        <v>1</v>
      </c>
      <c r="E108" s="1142" t="str" cm="1">
        <f t="array" ref="E108">INDEX(G108:H108, 0, $D$261)</f>
        <v>H to V</v>
      </c>
      <c r="F108" s="1078" t="s">
        <v>2446</v>
      </c>
      <c r="G108" s="571" t="s">
        <v>2446</v>
      </c>
      <c r="H108" s="1079" t="s">
        <v>2446</v>
      </c>
      <c r="I108" s="1080">
        <v>1</v>
      </c>
      <c r="J108" s="1081">
        <v>1</v>
      </c>
      <c r="K108" s="1082">
        <v>1</v>
      </c>
      <c r="L108" s="1080">
        <v>1</v>
      </c>
      <c r="M108" s="1081">
        <v>1</v>
      </c>
      <c r="N108" s="49" t="s">
        <v>2447</v>
      </c>
    </row>
    <row r="109" spans="1:14" x14ac:dyDescent="0.3">
      <c r="A109" t="str">
        <f t="shared" si="28"/>
        <v>stalls/alley, stalls/alley, stalls/alley -&gt; stalls/alley</v>
      </c>
      <c r="B109" s="49" t="s">
        <v>2448</v>
      </c>
      <c r="C109" s="1142" cm="1">
        <f t="array" ref="C109">INDEX(I109:J109, 0, $D$261)</f>
        <v>1</v>
      </c>
      <c r="D109" s="1142" cm="1">
        <f t="array" ref="D109">INDEX(L109:M109, 0, $D$261)</f>
        <v>1</v>
      </c>
      <c r="E109" s="1142" t="str" cm="1">
        <f t="array" ref="E109">INDEX(G109:H109, 0, $D$261)</f>
        <v>stalls/alley</v>
      </c>
      <c r="F109" s="1078" t="s">
        <v>2448</v>
      </c>
      <c r="G109" s="571" t="s">
        <v>2448</v>
      </c>
      <c r="H109" s="1079" t="s">
        <v>2448</v>
      </c>
      <c r="I109" s="1080">
        <v>1</v>
      </c>
      <c r="J109" s="1081">
        <v>1</v>
      </c>
      <c r="K109" s="1082">
        <v>1</v>
      </c>
      <c r="L109" s="1080">
        <v>1</v>
      </c>
      <c r="M109" s="1081">
        <v>1</v>
      </c>
      <c r="N109" s="49" t="s">
        <v>2449</v>
      </c>
    </row>
    <row r="110" spans="1:14" x14ac:dyDescent="0.3">
      <c r="A110" t="str">
        <f t="shared" si="28"/>
        <v>day, day, day -&gt; day</v>
      </c>
      <c r="B110" s="49" t="s">
        <v>2450</v>
      </c>
      <c r="C110" s="1142" cm="1">
        <f t="array" ref="C110">INDEX(I110:J110, 0, $D$261)</f>
        <v>1</v>
      </c>
      <c r="D110" s="1142" cm="1">
        <f t="array" ref="D110">INDEX(L110:M110, 0, $D$261)</f>
        <v>1</v>
      </c>
      <c r="E110" s="1142" t="str" cm="1">
        <f t="array" ref="E110">INDEX(G110:H110, 0, $D$261)</f>
        <v>day</v>
      </c>
      <c r="F110" s="1078" t="s">
        <v>2450</v>
      </c>
      <c r="G110" s="571" t="s">
        <v>2450</v>
      </c>
      <c r="H110" s="1079" t="s">
        <v>2450</v>
      </c>
      <c r="I110" s="1080">
        <f>IF(B110=G110,1,"REPLACE")</f>
        <v>1</v>
      </c>
      <c r="J110" s="1081">
        <f>IF(B110=H110,1,"REPLACE")</f>
        <v>1</v>
      </c>
      <c r="K110" s="1082">
        <f>IF(B110=F110,1,"REPLACE")</f>
        <v>1</v>
      </c>
      <c r="L110" s="1080">
        <f>IF(G110=F110,1,"REPLACE")</f>
        <v>1</v>
      </c>
      <c r="M110" s="1081">
        <f>IF(H110=F110,1,"REPLACE")</f>
        <v>1</v>
      </c>
      <c r="N110" s="49" t="s">
        <v>2451</v>
      </c>
    </row>
    <row r="111" spans="1:14" x14ac:dyDescent="0.3">
      <c r="A111" t="str">
        <f t="shared" si="28"/>
        <v>days, days, days -&gt; days</v>
      </c>
      <c r="B111" s="49" t="s">
        <v>2452</v>
      </c>
      <c r="C111" s="1142" cm="1">
        <f t="array" ref="C111">INDEX(I111:J111, 0, $D$261)</f>
        <v>1</v>
      </c>
      <c r="D111" s="1142" cm="1">
        <f t="array" ref="D111">INDEX(L111:M111, 0, $D$261)</f>
        <v>1</v>
      </c>
      <c r="E111" s="1142" t="str" cm="1">
        <f t="array" ref="E111">INDEX(G111:H111, 0, $D$261)</f>
        <v>days</v>
      </c>
      <c r="F111" s="1078" t="s">
        <v>2452</v>
      </c>
      <c r="G111" s="571" t="s">
        <v>2452</v>
      </c>
      <c r="H111" s="1079" t="s">
        <v>2452</v>
      </c>
      <c r="I111" s="1080">
        <v>1</v>
      </c>
      <c r="J111" s="1081">
        <v>1</v>
      </c>
      <c r="K111" s="1082">
        <v>1</v>
      </c>
      <c r="L111" s="1080">
        <v>1</v>
      </c>
      <c r="M111" s="1081">
        <v>1</v>
      </c>
      <c r="N111" s="49" t="s">
        <v>2451</v>
      </c>
    </row>
    <row r="112" spans="1:14" x14ac:dyDescent="0.3">
      <c r="A112" t="str">
        <f>_xlfn.CONCAT(B112, ", ", G112, ", ", H112, " -&gt; ", F112)</f>
        <v>min, min, min -&gt; min</v>
      </c>
      <c r="B112" s="49" t="s">
        <v>2453</v>
      </c>
      <c r="C112" s="1142" cm="1">
        <f t="array" ref="C112">INDEX(I112:J112, 0, $D$261)</f>
        <v>1</v>
      </c>
      <c r="D112" s="1142" cm="1">
        <f t="array" ref="D112">INDEX(L112:M112, 0, $D$261)</f>
        <v>1</v>
      </c>
      <c r="E112" s="1142" t="str" cm="1">
        <f t="array" ref="E112">INDEX(G112:H112, 0, $D$261)</f>
        <v>min</v>
      </c>
      <c r="F112" s="1078" t="s">
        <v>2453</v>
      </c>
      <c r="G112" s="571" t="s">
        <v>2453</v>
      </c>
      <c r="H112" s="1079" t="s">
        <v>2453</v>
      </c>
      <c r="I112" s="1080">
        <v>1</v>
      </c>
      <c r="J112" s="1081">
        <v>1</v>
      </c>
      <c r="K112" s="1082">
        <v>1</v>
      </c>
      <c r="L112" s="1080">
        <v>1</v>
      </c>
      <c r="M112" s="1081">
        <v>1</v>
      </c>
      <c r="N112" s="49" t="s">
        <v>2451</v>
      </c>
    </row>
    <row r="113" spans="1:14" x14ac:dyDescent="0.3">
      <c r="A113" t="str">
        <f t="shared" si="28"/>
        <v>years, years, years -&gt; years</v>
      </c>
      <c r="B113" s="49" t="s">
        <v>2454</v>
      </c>
      <c r="C113" s="1142" cm="1">
        <f t="array" ref="C113">INDEX(I113:J113, 0, $D$261)</f>
        <v>1</v>
      </c>
      <c r="D113" s="1142" cm="1">
        <f t="array" ref="D113">INDEX(L113:M113, 0, $D$261)</f>
        <v>1</v>
      </c>
      <c r="E113" s="1142" t="str" cm="1">
        <f t="array" ref="E113">INDEX(G113:H113, 0, $D$261)</f>
        <v>years</v>
      </c>
      <c r="F113" s="1078" t="s">
        <v>2454</v>
      </c>
      <c r="G113" s="571" t="s">
        <v>2454</v>
      </c>
      <c r="H113" s="1079" t="s">
        <v>2454</v>
      </c>
      <c r="I113" s="1080">
        <v>1</v>
      </c>
      <c r="J113" s="1081">
        <v>1</v>
      </c>
      <c r="K113" s="1082">
        <v>1</v>
      </c>
      <c r="L113" s="1080">
        <v>1</v>
      </c>
      <c r="M113" s="1081">
        <v>1</v>
      </c>
      <c r="N113" s="49" t="s">
        <v>2451</v>
      </c>
    </row>
    <row r="114" spans="1:14" x14ac:dyDescent="0.3">
      <c r="A114" t="str">
        <f t="shared" si="28"/>
        <v>min/action, min/action, min/action -&gt; min/action</v>
      </c>
      <c r="B114" s="49" t="s">
        <v>2455</v>
      </c>
      <c r="C114" s="1142" cm="1">
        <f t="array" ref="C114">INDEX(I114:J114, 0, $D$261)</f>
        <v>1</v>
      </c>
      <c r="D114" s="1142" cm="1">
        <f t="array" ref="D114">INDEX(L114:M114, 0, $D$261)</f>
        <v>1</v>
      </c>
      <c r="E114" s="1142" t="str" cm="1">
        <f t="array" ref="E114">INDEX(G114:H114, 0, $D$261)</f>
        <v>min/action</v>
      </c>
      <c r="F114" s="1078" t="s">
        <v>2455</v>
      </c>
      <c r="G114" s="571" t="s">
        <v>2455</v>
      </c>
      <c r="H114" s="1079" t="s">
        <v>2455</v>
      </c>
      <c r="I114" s="1080">
        <v>1</v>
      </c>
      <c r="J114" s="1081">
        <v>1</v>
      </c>
      <c r="K114" s="1082">
        <v>1</v>
      </c>
      <c r="L114" s="1080">
        <v>1</v>
      </c>
      <c r="M114" s="1081">
        <v>1</v>
      </c>
      <c r="N114" s="49" t="s">
        <v>2456</v>
      </c>
    </row>
    <row r="115" spans="1:14" x14ac:dyDescent="0.3">
      <c r="A115" t="str">
        <f t="shared" si="28"/>
        <v>hr/acre, hr/hectare, hr/acre -&gt; hr/acre</v>
      </c>
      <c r="B115" s="49" t="s">
        <v>2457</v>
      </c>
      <c r="C115" s="1142" cm="1">
        <f t="array" ref="C115">INDEX(I115:J115, 0, $D$261)</f>
        <v>1</v>
      </c>
      <c r="D115" s="1142" cm="1">
        <f t="array" ref="D115">INDEX(L115:M115, 0, $D$261)</f>
        <v>1</v>
      </c>
      <c r="E115" s="1142" t="str" cm="1">
        <f t="array" ref="E115">INDEX(G115:H115, 0, $D$261)</f>
        <v>hr/acre</v>
      </c>
      <c r="F115" s="1078" t="s">
        <v>2457</v>
      </c>
      <c r="G115" s="571" t="s">
        <v>2458</v>
      </c>
      <c r="H115" s="1079" t="s">
        <v>2457</v>
      </c>
      <c r="I115" s="1080">
        <f>UC.hectare_to_acre</f>
        <v>2.4710538099999999</v>
      </c>
      <c r="J115" s="1081">
        <v>1</v>
      </c>
      <c r="K115" s="1082">
        <v>1</v>
      </c>
      <c r="L115" s="1080">
        <f>UC.acre_to_hectare</f>
        <v>0.40468564000000001</v>
      </c>
      <c r="M115" s="1081">
        <v>1</v>
      </c>
      <c r="N115" s="49" t="s">
        <v>2459</v>
      </c>
    </row>
    <row r="116" spans="1:14" x14ac:dyDescent="0.3">
      <c r="A116" t="str">
        <f t="shared" si="28"/>
        <v>min/cycle, min/cycle, min/cycle -&gt; min/cycle</v>
      </c>
      <c r="B116" s="49" t="s">
        <v>2460</v>
      </c>
      <c r="C116" s="1142" cm="1">
        <f t="array" ref="C116">INDEX(I116:J116, 0, $D$261)</f>
        <v>1</v>
      </c>
      <c r="D116" s="1142" cm="1">
        <f t="array" ref="D116">INDEX(L116:M116, 0, $D$261)</f>
        <v>1</v>
      </c>
      <c r="E116" s="1142" t="str" cm="1">
        <f t="array" ref="E116">INDEX(G116:H116, 0, $D$261)</f>
        <v>min/cycle</v>
      </c>
      <c r="F116" s="1078" t="s">
        <v>2460</v>
      </c>
      <c r="G116" s="571" t="s">
        <v>2460</v>
      </c>
      <c r="H116" s="1079" t="s">
        <v>2460</v>
      </c>
      <c r="I116" s="1080">
        <f>IF(B116=G116,1,"REPLACE")</f>
        <v>1</v>
      </c>
      <c r="J116" s="1081">
        <f t="shared" ref="J116:J129" si="34">IF(B116=H116,1,"REPLACE")</f>
        <v>1</v>
      </c>
      <c r="K116" s="1082">
        <f t="shared" ref="K116:K127" si="35">IF(B116=F116,1,"REPLACE")</f>
        <v>1</v>
      </c>
      <c r="L116" s="1080">
        <f>IF(G116=F116,1,"REPLACE")</f>
        <v>1</v>
      </c>
      <c r="M116" s="1081">
        <f t="shared" ref="M116:M127" si="36">IF(H116=F116,1,"REPLACE")</f>
        <v>1</v>
      </c>
      <c r="N116" s="49" t="s">
        <v>2461</v>
      </c>
    </row>
    <row r="117" spans="1:14" x14ac:dyDescent="0.3">
      <c r="A117" t="str">
        <f t="shared" si="28"/>
        <v>hr/event, hr/event, hr/event -&gt; hr/event</v>
      </c>
      <c r="B117" s="49" t="s">
        <v>2462</v>
      </c>
      <c r="C117" s="1142" cm="1">
        <f t="array" ref="C117">INDEX(I117:J117, 0, $D$261)</f>
        <v>1</v>
      </c>
      <c r="D117" s="1142" cm="1">
        <f t="array" ref="D117">INDEX(L117:M117, 0, $D$261)</f>
        <v>1</v>
      </c>
      <c r="E117" s="1142" t="str" cm="1">
        <f t="array" ref="E117">INDEX(G117:H117, 0, $D$261)</f>
        <v>hr/event</v>
      </c>
      <c r="F117" s="1078" t="s">
        <v>2462</v>
      </c>
      <c r="G117" s="571" t="s">
        <v>2462</v>
      </c>
      <c r="H117" s="1079" t="s">
        <v>2462</v>
      </c>
      <c r="I117" s="1080">
        <v>1</v>
      </c>
      <c r="J117" s="1081">
        <v>1</v>
      </c>
      <c r="K117" s="1082">
        <v>1</v>
      </c>
      <c r="L117" s="1080">
        <v>1</v>
      </c>
      <c r="M117" s="1081">
        <v>1</v>
      </c>
      <c r="N117" s="49" t="s">
        <v>2463</v>
      </c>
    </row>
    <row r="118" spans="1:14" x14ac:dyDescent="0.3">
      <c r="A118" t="str">
        <f t="shared" si="28"/>
        <v>hr/head, min/head, min/head -&gt; hr/head</v>
      </c>
      <c r="B118" s="49" t="s">
        <v>2464</v>
      </c>
      <c r="C118" s="1142" cm="1">
        <f t="array" ref="C118">INDEX(I118:J118, 0, $D$261)</f>
        <v>60</v>
      </c>
      <c r="D118" s="1142" cm="1">
        <f t="array" ref="D118">INDEX(L118:M118, 0, $D$261)</f>
        <v>1.6666666666666666E-2</v>
      </c>
      <c r="E118" s="1142" t="str" cm="1">
        <f t="array" ref="E118">INDEX(G118:H118, 0, $D$261)</f>
        <v>min/head</v>
      </c>
      <c r="F118" s="1078" t="s">
        <v>2464</v>
      </c>
      <c r="G118" s="571" t="s">
        <v>2465</v>
      </c>
      <c r="H118" s="1079" t="s">
        <v>2465</v>
      </c>
      <c r="I118" s="1080">
        <f>UC.hour_to_min</f>
        <v>60</v>
      </c>
      <c r="J118" s="1081">
        <f>UC.hour_to_min</f>
        <v>60</v>
      </c>
      <c r="K118" s="1082">
        <v>1</v>
      </c>
      <c r="L118" s="1080">
        <f>1/I118</f>
        <v>1.6666666666666666E-2</v>
      </c>
      <c r="M118" s="1081">
        <f>1/J118</f>
        <v>1.6666666666666666E-2</v>
      </c>
      <c r="N118" s="49" t="s">
        <v>2466</v>
      </c>
    </row>
    <row r="119" spans="1:14" x14ac:dyDescent="0.3">
      <c r="A119" t="str">
        <f t="shared" si="28"/>
        <v>hr/head/day, hr/head/day, hr/head/day -&gt; hr/head/day</v>
      </c>
      <c r="B119" s="49" t="s">
        <v>2467</v>
      </c>
      <c r="C119" s="1142" cm="1">
        <f t="array" ref="C119">INDEX(I119:J119, 0, $D$261)</f>
        <v>1</v>
      </c>
      <c r="D119" s="1142" cm="1">
        <f t="array" ref="D119">INDEX(L119:M119, 0, $D$261)</f>
        <v>1</v>
      </c>
      <c r="E119" s="1142" t="str" cm="1">
        <f t="array" ref="E119">INDEX(G119:H119, 0, $D$261)</f>
        <v>hr/head/day</v>
      </c>
      <c r="F119" s="1078" t="s">
        <v>2467</v>
      </c>
      <c r="G119" s="571" t="s">
        <v>2467</v>
      </c>
      <c r="H119" s="1079" t="s">
        <v>2467</v>
      </c>
      <c r="I119" s="1080">
        <v>1</v>
      </c>
      <c r="J119" s="1081">
        <v>1</v>
      </c>
      <c r="K119" s="1082">
        <v>1</v>
      </c>
      <c r="L119" s="1080">
        <v>1</v>
      </c>
      <c r="M119" s="1081">
        <v>1</v>
      </c>
      <c r="N119" s="49" t="s">
        <v>2468</v>
      </c>
    </row>
    <row r="120" spans="1:14" x14ac:dyDescent="0.3">
      <c r="A120" t="str">
        <f t="shared" si="28"/>
        <v>day/year, day/year, day/year -&gt; day/year</v>
      </c>
      <c r="B120" s="49" t="s">
        <v>2469</v>
      </c>
      <c r="C120" s="1142" cm="1">
        <f t="array" ref="C120">INDEX(I120:J120, 0, $D$261)</f>
        <v>1</v>
      </c>
      <c r="D120" s="1142" cm="1">
        <f t="array" ref="D120">INDEX(L120:M120, 0, $D$261)</f>
        <v>1</v>
      </c>
      <c r="E120" s="1142" t="str" cm="1">
        <f t="array" ref="E120">INDEX(G120:H120, 0, $D$261)</f>
        <v>day/year</v>
      </c>
      <c r="F120" s="1078" t="s">
        <v>2469</v>
      </c>
      <c r="G120" s="571" t="s">
        <v>2469</v>
      </c>
      <c r="H120" s="1079" t="s">
        <v>2469</v>
      </c>
      <c r="I120" s="1080">
        <f>IF(B120=G120,1,"REPLACE")</f>
        <v>1</v>
      </c>
      <c r="J120" s="1081">
        <f t="shared" si="34"/>
        <v>1</v>
      </c>
      <c r="K120" s="1082">
        <f t="shared" si="35"/>
        <v>1</v>
      </c>
      <c r="L120" s="1080">
        <f>IF(G120=F120,1,"REPLACE")</f>
        <v>1</v>
      </c>
      <c r="M120" s="1081">
        <f t="shared" si="36"/>
        <v>1</v>
      </c>
      <c r="N120" s="49" t="s">
        <v>2470</v>
      </c>
    </row>
    <row r="121" spans="1:14" x14ac:dyDescent="0.3">
      <c r="A121" t="str">
        <f t="shared" si="28"/>
        <v>hr/day, hr/day, hr/day -&gt; hr/day</v>
      </c>
      <c r="B121" s="49" t="s">
        <v>2471</v>
      </c>
      <c r="C121" s="1142" cm="1">
        <f t="array" ref="C121">INDEX(I121:J121, 0, $D$261)</f>
        <v>1</v>
      </c>
      <c r="D121" s="1142" cm="1">
        <f t="array" ref="D121">INDEX(L121:M121, 0, $D$261)</f>
        <v>1</v>
      </c>
      <c r="E121" s="1142" t="str" cm="1">
        <f t="array" ref="E121">INDEX(G121:H121, 0, $D$261)</f>
        <v>hr/day</v>
      </c>
      <c r="F121" s="1078" t="s">
        <v>2471</v>
      </c>
      <c r="G121" s="571" t="s">
        <v>2471</v>
      </c>
      <c r="H121" s="1079" t="s">
        <v>2471</v>
      </c>
      <c r="I121" s="1080">
        <f>IF(B121=G121,1,"REPLACE")</f>
        <v>1</v>
      </c>
      <c r="J121" s="1081">
        <f t="shared" si="34"/>
        <v>1</v>
      </c>
      <c r="K121" s="1082">
        <f t="shared" si="35"/>
        <v>1</v>
      </c>
      <c r="L121" s="1080">
        <f>IF(G121=F121,1,"REPLACE")</f>
        <v>1</v>
      </c>
      <c r="M121" s="1081">
        <f t="shared" si="36"/>
        <v>1</v>
      </c>
      <c r="N121" s="49" t="s">
        <v>2470</v>
      </c>
    </row>
    <row r="122" spans="1:14" x14ac:dyDescent="0.3">
      <c r="A122" t="str">
        <f t="shared" si="28"/>
        <v>hr/year, hr/year, hr/year -&gt; hr/year</v>
      </c>
      <c r="B122" s="49" t="s">
        <v>2472</v>
      </c>
      <c r="C122" s="1142" cm="1">
        <f t="array" ref="C122">INDEX(I122:J122, 0, $D$261)</f>
        <v>1</v>
      </c>
      <c r="D122" s="1142" cm="1">
        <f t="array" ref="D122">INDEX(L122:M122, 0, $D$261)</f>
        <v>1</v>
      </c>
      <c r="E122" s="1142" t="str" cm="1">
        <f t="array" ref="E122">INDEX(G122:H122, 0, $D$261)</f>
        <v>hr/year</v>
      </c>
      <c r="F122" s="1078" t="s">
        <v>2472</v>
      </c>
      <c r="G122" s="571" t="s">
        <v>2472</v>
      </c>
      <c r="H122" s="1079" t="s">
        <v>2472</v>
      </c>
      <c r="I122" s="1080">
        <f>IF(B122=G122,1,"REPLACE")</f>
        <v>1</v>
      </c>
      <c r="J122" s="1081">
        <f t="shared" si="34"/>
        <v>1</v>
      </c>
      <c r="K122" s="1082">
        <f t="shared" si="35"/>
        <v>1</v>
      </c>
      <c r="L122" s="1080">
        <f>IF(G122=F122,1,"REPLACE")</f>
        <v>1</v>
      </c>
      <c r="M122" s="1081">
        <f t="shared" si="36"/>
        <v>1</v>
      </c>
      <c r="N122" s="49" t="s">
        <v>2470</v>
      </c>
    </row>
    <row r="123" spans="1:14" x14ac:dyDescent="0.3">
      <c r="A123" t="str">
        <f>_xlfn.CONCAT(B123, ", ", G123, ", ", H123, " -&gt; ", F123)</f>
        <v>hr/unit, hr/unit, hr/unit -&gt; hr/unit</v>
      </c>
      <c r="B123" s="49" t="s">
        <v>2473</v>
      </c>
      <c r="C123" s="1142" cm="1">
        <f t="array" ref="C123">INDEX(I123:J123, 0, $D$261)</f>
        <v>1</v>
      </c>
      <c r="D123" s="1142" cm="1">
        <f t="array" ref="D123">INDEX(L123:M123, 0, $D$261)</f>
        <v>1</v>
      </c>
      <c r="E123" s="1142" t="str" cm="1">
        <f t="array" ref="E123">INDEX(G123:H123, 0, $D$261)</f>
        <v>hr/unit</v>
      </c>
      <c r="F123" s="1078" t="s">
        <v>2473</v>
      </c>
      <c r="G123" s="571" t="s">
        <v>2473</v>
      </c>
      <c r="H123" s="1079" t="s">
        <v>2473</v>
      </c>
      <c r="I123" s="1080">
        <f t="shared" ref="I123" si="37">IF(B123=G123,1,"REPLACE")</f>
        <v>1</v>
      </c>
      <c r="J123" s="1081">
        <f>IF(B123=H123,1,"REPLACE")</f>
        <v>1</v>
      </c>
      <c r="K123" s="1082">
        <f>IF(B123=F123,1,"REPLACE")</f>
        <v>1</v>
      </c>
      <c r="L123" s="1080">
        <f t="shared" ref="L123" si="38">IF(G123=F123,1,"REPLACE")</f>
        <v>1</v>
      </c>
      <c r="M123" s="1081">
        <f>IF(H123=F123,1,"REPLACE")</f>
        <v>1</v>
      </c>
      <c r="N123" s="49" t="s">
        <v>2474</v>
      </c>
    </row>
    <row r="124" spans="1:14" x14ac:dyDescent="0.3">
      <c r="A124" t="str">
        <f t="shared" si="28"/>
        <v>type, type, type -&gt; type</v>
      </c>
      <c r="B124" s="49" t="s">
        <v>2008</v>
      </c>
      <c r="C124" s="1142" cm="1">
        <f t="array" ref="C124">INDEX(I124:J124, 0, $D$261)</f>
        <v>1</v>
      </c>
      <c r="D124" s="1142" cm="1">
        <f t="array" ref="D124">INDEX(L124:M124, 0, $D$261)</f>
        <v>1</v>
      </c>
      <c r="E124" s="1142" t="str" cm="1">
        <f t="array" ref="E124">INDEX(G124:H124, 0, $D$261)</f>
        <v>type</v>
      </c>
      <c r="F124" s="1078" t="s">
        <v>2008</v>
      </c>
      <c r="G124" s="571" t="s">
        <v>2008</v>
      </c>
      <c r="H124" s="1079" t="s">
        <v>2008</v>
      </c>
      <c r="I124" s="1080">
        <f>IF(B124=G124,1,"REPLACE")</f>
        <v>1</v>
      </c>
      <c r="J124" s="1081">
        <f t="shared" si="34"/>
        <v>1</v>
      </c>
      <c r="K124" s="1082">
        <f t="shared" si="35"/>
        <v>1</v>
      </c>
      <c r="L124" s="1080">
        <f>IF(G124=F124,1,"REPLACE")</f>
        <v>1</v>
      </c>
      <c r="M124" s="1081">
        <f t="shared" si="36"/>
        <v>1</v>
      </c>
      <c r="N124" s="49" t="s">
        <v>304</v>
      </c>
    </row>
    <row r="125" spans="1:14" x14ac:dyDescent="0.3">
      <c r="A125" t="str">
        <f t="shared" si="28"/>
        <v>bushel, bushel, bushel -&gt; bushel</v>
      </c>
      <c r="B125" s="49" t="s">
        <v>2475</v>
      </c>
      <c r="C125" s="1142" cm="1">
        <f t="array" ref="C125">INDEX(I125:J125, 0, $D$261)</f>
        <v>1</v>
      </c>
      <c r="D125" s="1142" cm="1">
        <f t="array" ref="D125">INDEX(L125:M125, 0, $D$261)</f>
        <v>1</v>
      </c>
      <c r="E125" s="1142" t="str" cm="1">
        <f t="array" ref="E125">INDEX(G125:H125, 0, $D$261)</f>
        <v>bushel</v>
      </c>
      <c r="F125" s="1078" t="s">
        <v>2475</v>
      </c>
      <c r="G125" s="571" t="s">
        <v>2475</v>
      </c>
      <c r="H125" s="1079" t="s">
        <v>2475</v>
      </c>
      <c r="I125" s="1080">
        <f t="shared" ref="I125" si="39">IF(B125=G125,1,"REPLACE")</f>
        <v>1</v>
      </c>
      <c r="J125" s="1081">
        <f t="shared" si="34"/>
        <v>1</v>
      </c>
      <c r="K125" s="1082">
        <f t="shared" si="35"/>
        <v>1</v>
      </c>
      <c r="L125" s="1080">
        <f t="shared" ref="L125" si="40">IF(G125=F125,1,"REPLACE")</f>
        <v>1</v>
      </c>
      <c r="M125" s="1081">
        <f t="shared" si="36"/>
        <v>1</v>
      </c>
      <c r="N125" s="49" t="s">
        <v>2476</v>
      </c>
    </row>
    <row r="126" spans="1:14" x14ac:dyDescent="0.3">
      <c r="A126" t="str">
        <f t="shared" si="28"/>
        <v>yd3, m3, yd3 -&gt; m3</v>
      </c>
      <c r="B126" s="49" t="s">
        <v>2477</v>
      </c>
      <c r="C126" s="1142" cm="1">
        <f t="array" ref="C126">INDEX(I126:J126, 0, $D$261)</f>
        <v>1</v>
      </c>
      <c r="D126" s="1142" cm="1">
        <f t="array" ref="D126">INDEX(L126:M126, 0, $D$261)</f>
        <v>0.76455485999999995</v>
      </c>
      <c r="E126" s="1142" t="str" cm="1">
        <f t="array" ref="E126">INDEX(G126:H126, 0, $D$261)</f>
        <v>yd3</v>
      </c>
      <c r="F126" s="1078" t="s">
        <v>2478</v>
      </c>
      <c r="G126" s="571" t="s">
        <v>2478</v>
      </c>
      <c r="H126" s="1079" t="s">
        <v>2477</v>
      </c>
      <c r="I126" s="1080">
        <f>UC.yd3_to_m3</f>
        <v>0.76455485999999995</v>
      </c>
      <c r="J126" s="1081">
        <f>IF(B126=H126,1,"REPLACE")</f>
        <v>1</v>
      </c>
      <c r="K126" s="1082">
        <f>UC.yd3_to_m3</f>
        <v>0.76455485999999995</v>
      </c>
      <c r="L126" s="1080">
        <v>1</v>
      </c>
      <c r="M126" s="1081">
        <f>UC.yd3_to_m3</f>
        <v>0.76455485999999995</v>
      </c>
      <c r="N126" s="49" t="s">
        <v>2476</v>
      </c>
    </row>
    <row r="127" spans="1:14" x14ac:dyDescent="0.3">
      <c r="A127" t="str">
        <f t="shared" si="28"/>
        <v>ft3, m3, ft3 -&gt; ft3</v>
      </c>
      <c r="B127" s="49" t="s">
        <v>2479</v>
      </c>
      <c r="C127" s="1142" cm="1">
        <f t="array" ref="C127">INDEX(I127:J127, 0, $D$261)</f>
        <v>1</v>
      </c>
      <c r="D127" s="1142" cm="1">
        <f t="array" ref="D127">INDEX(L127:M127, 0, $D$261)</f>
        <v>1</v>
      </c>
      <c r="E127" s="1142" t="str" cm="1">
        <f t="array" ref="E127">INDEX(G127:H127, 0, $D$261)</f>
        <v>ft3</v>
      </c>
      <c r="F127" s="1078" t="s">
        <v>2479</v>
      </c>
      <c r="G127" s="571" t="s">
        <v>2478</v>
      </c>
      <c r="H127" s="1079" t="s">
        <v>2479</v>
      </c>
      <c r="I127" s="1080">
        <f>$E$178</f>
        <v>2.8316850000000001E-2</v>
      </c>
      <c r="J127" s="1081">
        <f t="shared" si="34"/>
        <v>1</v>
      </c>
      <c r="K127" s="1082">
        <f t="shared" si="35"/>
        <v>1</v>
      </c>
      <c r="L127" s="1080">
        <f>1/I127</f>
        <v>35.314662471284763</v>
      </c>
      <c r="M127" s="1081">
        <f t="shared" si="36"/>
        <v>1</v>
      </c>
      <c r="N127" s="49" t="s">
        <v>2476</v>
      </c>
    </row>
    <row r="128" spans="1:14" x14ac:dyDescent="0.3">
      <c r="A128" t="str">
        <f t="shared" si="28"/>
        <v>ft3, m3, ft3 -&gt; m3</v>
      </c>
      <c r="B128" s="49" t="s">
        <v>2479</v>
      </c>
      <c r="C128" s="1142" cm="1">
        <f t="array" ref="C128">INDEX(I128:J128, 0, $D$261)</f>
        <v>1</v>
      </c>
      <c r="D128" s="1142" cm="1">
        <f t="array" ref="D128">INDEX(L128:M128, 0, $D$261)</f>
        <v>2.8316850000000001E-2</v>
      </c>
      <c r="E128" s="1142" t="str" cm="1">
        <f t="array" ref="E128">INDEX(G128:H128, 0, $D$261)</f>
        <v>ft3</v>
      </c>
      <c r="F128" s="1078" t="s">
        <v>2478</v>
      </c>
      <c r="G128" s="571" t="s">
        <v>2478</v>
      </c>
      <c r="H128" s="1079" t="s">
        <v>2479</v>
      </c>
      <c r="I128" s="1080">
        <f>$E$178</f>
        <v>2.8316850000000001E-2</v>
      </c>
      <c r="J128" s="1081">
        <f t="shared" si="34"/>
        <v>1</v>
      </c>
      <c r="K128" s="1082">
        <f>I128</f>
        <v>2.8316850000000001E-2</v>
      </c>
      <c r="L128" s="1080">
        <f>IF(G128=F128,1,"REPLACE")</f>
        <v>1</v>
      </c>
      <c r="M128" s="1081">
        <f>K128</f>
        <v>2.8316850000000001E-2</v>
      </c>
      <c r="N128" s="49" t="s">
        <v>2476</v>
      </c>
    </row>
    <row r="129" spans="1:14" x14ac:dyDescent="0.3">
      <c r="A129" t="str">
        <f t="shared" si="28"/>
        <v>gal, L, gal -&gt; gal</v>
      </c>
      <c r="B129" s="49" t="s">
        <v>2480</v>
      </c>
      <c r="C129" s="1142" cm="1">
        <f t="array" ref="C129">INDEX(I129:J129, 0, $D$261)</f>
        <v>1</v>
      </c>
      <c r="D129" s="1142" cm="1">
        <f t="array" ref="D129">INDEX(L129:M129, 0, $D$261)</f>
        <v>1</v>
      </c>
      <c r="E129" s="1142" t="str" cm="1">
        <f t="array" ref="E129">INDEX(G129:H129, 0, $D$261)</f>
        <v>gal</v>
      </c>
      <c r="F129" s="1078" t="s">
        <v>2480</v>
      </c>
      <c r="G129" s="571" t="s">
        <v>2481</v>
      </c>
      <c r="H129" s="1079" t="s">
        <v>2480</v>
      </c>
      <c r="I129" s="1080">
        <f>UC.gal_to_L</f>
        <v>3.78541178</v>
      </c>
      <c r="J129" s="1081">
        <f t="shared" si="34"/>
        <v>1</v>
      </c>
      <c r="K129" s="1082">
        <f>IF(B129=F129,1,"REPLACE")</f>
        <v>1</v>
      </c>
      <c r="L129" s="1080">
        <f>1/I129</f>
        <v>0.26417205263729593</v>
      </c>
      <c r="M129" s="1081">
        <f>IF(H129=F129,1,"REPLACE")</f>
        <v>1</v>
      </c>
      <c r="N129" s="49" t="s">
        <v>2476</v>
      </c>
    </row>
    <row r="130" spans="1:14" x14ac:dyDescent="0.3">
      <c r="A130" t="str">
        <f t="shared" si="28"/>
        <v>gal (tank size), gal (tank size), gal (tank size) -&gt; gal (tank size)</v>
      </c>
      <c r="B130" s="49" t="s">
        <v>2482</v>
      </c>
      <c r="C130" s="1142" cm="1">
        <f t="array" ref="C130">INDEX(I130:J130, 0, $D$261)</f>
        <v>1</v>
      </c>
      <c r="D130" s="1142" cm="1">
        <f t="array" ref="D130">INDEX(L130:M130, 0, $D$261)</f>
        <v>1</v>
      </c>
      <c r="E130" s="1142" t="str" cm="1">
        <f t="array" ref="E130">INDEX(G130:H130, 0, $D$261)</f>
        <v>gal (tank size)</v>
      </c>
      <c r="F130" s="1078" t="s">
        <v>2482</v>
      </c>
      <c r="G130" s="571" t="s">
        <v>2482</v>
      </c>
      <c r="H130" s="1079" t="s">
        <v>2482</v>
      </c>
      <c r="I130" s="1080">
        <v>1</v>
      </c>
      <c r="J130" s="1081">
        <v>1</v>
      </c>
      <c r="K130" s="1082">
        <v>1</v>
      </c>
      <c r="L130" s="1080">
        <v>1</v>
      </c>
      <c r="M130" s="1081">
        <v>1</v>
      </c>
      <c r="N130" s="49" t="s">
        <v>2476</v>
      </c>
    </row>
    <row r="131" spans="1:14" x14ac:dyDescent="0.3">
      <c r="A131" t="str">
        <f t="shared" si="28"/>
        <v>m3, m3, ft3 -&gt; m3</v>
      </c>
      <c r="B131" s="49" t="s">
        <v>2478</v>
      </c>
      <c r="C131" s="1142" cm="1">
        <f t="array" ref="C131">INDEX(I131:J131, 0, $D$261)</f>
        <v>35.314666699999997</v>
      </c>
      <c r="D131" s="1142" cm="1">
        <f t="array" ref="D131">INDEX(L131:M131, 0, $D$261)</f>
        <v>2.8316846609230496E-2</v>
      </c>
      <c r="E131" s="1142" t="str" cm="1">
        <f t="array" ref="E131">INDEX(G131:H131, 0, $D$261)</f>
        <v>ft3</v>
      </c>
      <c r="F131" s="1078" t="s">
        <v>2478</v>
      </c>
      <c r="G131" s="571" t="s">
        <v>2478</v>
      </c>
      <c r="H131" s="1079" t="s">
        <v>2479</v>
      </c>
      <c r="I131" s="1080">
        <v>1</v>
      </c>
      <c r="J131" s="1081">
        <v>35.314666699999997</v>
      </c>
      <c r="K131" s="1082">
        <v>1</v>
      </c>
      <c r="L131" s="1080">
        <v>1</v>
      </c>
      <c r="M131" s="1081">
        <f t="shared" ref="M131:M141" si="41">1/J131</f>
        <v>2.8316846609230496E-2</v>
      </c>
      <c r="N131" s="49" t="s">
        <v>2476</v>
      </c>
    </row>
    <row r="132" spans="1:14" x14ac:dyDescent="0.3">
      <c r="A132" t="str">
        <f t="shared" si="28"/>
        <v>1000 gal/acre, 1000 L/hectare, 1000 gal/acre -&gt; 1000 gal/acre</v>
      </c>
      <c r="B132" s="49" t="s">
        <v>2483</v>
      </c>
      <c r="C132" s="1142" cm="1">
        <f t="array" ref="C132">INDEX(I132:J132, 0, $D$261)</f>
        <v>1</v>
      </c>
      <c r="D132" s="1142" cm="1">
        <f t="array" ref="D132">INDEX(L132:M132, 0, $D$261)</f>
        <v>1</v>
      </c>
      <c r="E132" s="1142" t="str" cm="1">
        <f t="array" ref="E132">INDEX(G132:H132, 0, $D$261)</f>
        <v>1000 gal/acre</v>
      </c>
      <c r="F132" s="1078" t="s">
        <v>2483</v>
      </c>
      <c r="G132" s="571" t="s">
        <v>2484</v>
      </c>
      <c r="H132" s="1079" t="s">
        <v>2483</v>
      </c>
      <c r="I132" s="1080">
        <f>UC.gal_to_L*UC.hectare_to_acre</f>
        <v>9.3539562013878808</v>
      </c>
      <c r="J132" s="1081">
        <v>1</v>
      </c>
      <c r="K132" s="1082">
        <v>1</v>
      </c>
      <c r="L132" s="1080">
        <f>1/I132</f>
        <v>0.10690663698549564</v>
      </c>
      <c r="M132" s="1081">
        <v>1</v>
      </c>
      <c r="N132" s="49" t="s">
        <v>2485</v>
      </c>
    </row>
    <row r="133" spans="1:14" x14ac:dyDescent="0.3">
      <c r="A133" t="str">
        <f t="shared" si="28"/>
        <v>L/hectare, L/hectare, gal/acre -&gt; L/hectare</v>
      </c>
      <c r="B133" s="49" t="s">
        <v>2486</v>
      </c>
      <c r="C133" s="1142" cm="1">
        <f t="array" ref="C133">INDEX(I133:J133, 0, $D$261)</f>
        <v>0.10690663512436201</v>
      </c>
      <c r="D133" s="1142" cm="1">
        <f t="array" ref="D133">INDEX(L133:M133, 0, $D$261)</f>
        <v>9.353956364230557</v>
      </c>
      <c r="E133" s="1142" t="str" cm="1">
        <f t="array" ref="E133">INDEX(G133:H133, 0, $D$261)</f>
        <v>gal/acre</v>
      </c>
      <c r="F133" s="1078" t="s">
        <v>2486</v>
      </c>
      <c r="G133" s="571" t="s">
        <v>2486</v>
      </c>
      <c r="H133" s="1079" t="s">
        <v>2487</v>
      </c>
      <c r="I133" s="1080">
        <v>1</v>
      </c>
      <c r="J133" s="1081">
        <f>E170*E183</f>
        <v>0.10690663512436201</v>
      </c>
      <c r="K133" s="1082">
        <v>1</v>
      </c>
      <c r="L133" s="1080">
        <v>1</v>
      </c>
      <c r="M133" s="1081">
        <f>1/J133</f>
        <v>9.353956364230557</v>
      </c>
      <c r="N133" s="49" t="s">
        <v>2485</v>
      </c>
    </row>
    <row r="134" spans="1:14" x14ac:dyDescent="0.3">
      <c r="A134" t="str">
        <f t="shared" si="28"/>
        <v>L/event, L/event, gal/event -&gt; L/event</v>
      </c>
      <c r="B134" s="49" t="s">
        <v>2488</v>
      </c>
      <c r="C134" s="1142" cm="1">
        <f t="array" ref="C134">INDEX(I134:J134, 0, $D$261)</f>
        <v>0.26417204999999999</v>
      </c>
      <c r="D134" s="1142" cm="1">
        <f t="array" ref="D134">INDEX(L134:M134, 0, $D$261)</f>
        <v>3.7854118177907163</v>
      </c>
      <c r="E134" s="1142" t="str" cm="1">
        <f t="array" ref="E134">INDEX(G134:H134, 0, $D$261)</f>
        <v>gal/event</v>
      </c>
      <c r="F134" s="1078" t="s">
        <v>2488</v>
      </c>
      <c r="G134" s="571" t="s">
        <v>2488</v>
      </c>
      <c r="H134" s="1079" t="s">
        <v>2489</v>
      </c>
      <c r="I134" s="1080">
        <f>IF(B134=G134,1,"REPLACE")</f>
        <v>1</v>
      </c>
      <c r="J134" s="1081">
        <f>$E$170</f>
        <v>0.26417204999999999</v>
      </c>
      <c r="K134" s="1082">
        <f>IF(B134=F134,1,"REPLACE")</f>
        <v>1</v>
      </c>
      <c r="L134" s="1080">
        <f>IF(G134=F134,1,"REPLACE")</f>
        <v>1</v>
      </c>
      <c r="M134" s="1081">
        <f t="shared" si="41"/>
        <v>3.7854118177907163</v>
      </c>
      <c r="N134" s="49" t="s">
        <v>2490</v>
      </c>
    </row>
    <row r="135" spans="1:14" x14ac:dyDescent="0.3">
      <c r="A135" t="str">
        <f t="shared" si="28"/>
        <v>gal/head, L/head, gal/head -&gt; gal/head</v>
      </c>
      <c r="B135" s="49" t="s">
        <v>2491</v>
      </c>
      <c r="C135" s="1142" cm="1">
        <f t="array" ref="C135">INDEX(I135:J135, 0, $D$261)</f>
        <v>1</v>
      </c>
      <c r="D135" s="1142" cm="1">
        <f t="array" ref="D135">INDEX(L135:M135, 0, $D$261)</f>
        <v>1</v>
      </c>
      <c r="E135" s="1142" t="str" cm="1">
        <f t="array" ref="E135">INDEX(G135:H135, 0, $D$261)</f>
        <v>gal/head</v>
      </c>
      <c r="F135" s="1078" t="s">
        <v>2491</v>
      </c>
      <c r="G135" s="571" t="s">
        <v>2492</v>
      </c>
      <c r="H135" s="1079" t="s">
        <v>2491</v>
      </c>
      <c r="I135" s="1080">
        <f>UC.gal_to_L</f>
        <v>3.78541178</v>
      </c>
      <c r="J135" s="1081">
        <v>1</v>
      </c>
      <c r="K135" s="1082">
        <v>1</v>
      </c>
      <c r="L135" s="1080">
        <f>1/I135</f>
        <v>0.26417205263729593</v>
      </c>
      <c r="M135" s="1081">
        <v>1</v>
      </c>
      <c r="N135" s="49" t="s">
        <v>2493</v>
      </c>
    </row>
    <row r="136" spans="1:14" x14ac:dyDescent="0.3">
      <c r="A136" t="str">
        <f>_xlfn.CONCAT(B136, ", ", G136, ", ", H136, " -&gt; ", F136)</f>
        <v>gal/head/min, L/head/min, gal/head/min -&gt; gal/head/min</v>
      </c>
      <c r="B136" s="49" t="s">
        <v>2494</v>
      </c>
      <c r="C136" s="1142" cm="1">
        <f t="array" ref="C136">INDEX(I136:J136, 0, $D$261)</f>
        <v>1</v>
      </c>
      <c r="D136" s="1142" cm="1">
        <f t="array" ref="D136">INDEX(L136:M136, 0, $D$261)</f>
        <v>1</v>
      </c>
      <c r="E136" s="1142" t="str" cm="1">
        <f t="array" ref="E136">INDEX(G136:H136, 0, $D$261)</f>
        <v>gal/head/min</v>
      </c>
      <c r="F136" s="1078" t="s">
        <v>2494</v>
      </c>
      <c r="G136" s="571" t="s">
        <v>2495</v>
      </c>
      <c r="H136" s="1079" t="s">
        <v>2494</v>
      </c>
      <c r="I136" s="1080">
        <f>UC.gal_to_L</f>
        <v>3.78541178</v>
      </c>
      <c r="J136" s="1081">
        <v>1</v>
      </c>
      <c r="K136" s="1082">
        <v>1</v>
      </c>
      <c r="L136" s="1080">
        <f>1/I136</f>
        <v>0.26417205263729593</v>
      </c>
      <c r="M136" s="1081">
        <v>1</v>
      </c>
      <c r="N136" s="49" t="s">
        <v>2496</v>
      </c>
    </row>
    <row r="137" spans="1:14" x14ac:dyDescent="0.3">
      <c r="A137" t="str">
        <f t="shared" si="28"/>
        <v>gal/head/year, L/head/year, gal/head/year -&gt; gal/head/year</v>
      </c>
      <c r="B137" s="49" t="s">
        <v>2497</v>
      </c>
      <c r="C137" s="1142" cm="1">
        <f t="array" ref="C137">INDEX(I137:J137, 0, $D$261)</f>
        <v>1</v>
      </c>
      <c r="D137" s="1142" cm="1">
        <f t="array" ref="D137">INDEX(L137:M137, 0, $D$261)</f>
        <v>1</v>
      </c>
      <c r="E137" s="1142" t="str" cm="1">
        <f t="array" ref="E137">INDEX(G137:H137, 0, $D$261)</f>
        <v>gal/head/year</v>
      </c>
      <c r="F137" s="1078" t="s">
        <v>2497</v>
      </c>
      <c r="G137" s="571" t="s">
        <v>2498</v>
      </c>
      <c r="H137" s="1079" t="s">
        <v>2497</v>
      </c>
      <c r="I137" s="1080">
        <f>UC.gal_to_L</f>
        <v>3.78541178</v>
      </c>
      <c r="J137" s="1081">
        <f t="shared" ref="J137" si="42">IF(B137=H137,1,"REPLACE")</f>
        <v>1</v>
      </c>
      <c r="K137" s="1082">
        <f t="shared" ref="K137" si="43">IF(B137=F137,1,"REPLACE")</f>
        <v>1</v>
      </c>
      <c r="L137" s="1080">
        <f>1/I137</f>
        <v>0.26417205263729593</v>
      </c>
      <c r="M137" s="1081">
        <f t="shared" ref="M137" si="44">IF(H137=F137,1,"REPLACE")</f>
        <v>1</v>
      </c>
      <c r="N137" s="49" t="s">
        <v>2496</v>
      </c>
    </row>
    <row r="138" spans="1:14" x14ac:dyDescent="0.3">
      <c r="A138" t="str">
        <f t="shared" si="28"/>
        <v>L/head/day, L/head/day, gal/head/day -&gt; L/head/day</v>
      </c>
      <c r="B138" s="49" t="s">
        <v>2499</v>
      </c>
      <c r="C138" s="1142" cm="1">
        <f t="array" ref="C138">INDEX(I138:J138, 0, $D$261)</f>
        <v>0.26417204999999999</v>
      </c>
      <c r="D138" s="1142" cm="1">
        <f t="array" ref="D138">INDEX(L138:M138, 0, $D$261)</f>
        <v>3.7854118177907163</v>
      </c>
      <c r="E138" s="1142" t="str" cm="1">
        <f t="array" ref="E138">INDEX(G138:H138, 0, $D$261)</f>
        <v>gal/head/day</v>
      </c>
      <c r="F138" s="1078" t="s">
        <v>2499</v>
      </c>
      <c r="G138" s="571" t="s">
        <v>2499</v>
      </c>
      <c r="H138" s="1079" t="s">
        <v>2500</v>
      </c>
      <c r="I138" s="1080">
        <f>IF(B138=G138,1,"REPLACE")</f>
        <v>1</v>
      </c>
      <c r="J138" s="1081">
        <f>$E$170</f>
        <v>0.26417204999999999</v>
      </c>
      <c r="K138" s="1082">
        <f>IF(B138=F138,1,"REPLACE")</f>
        <v>1</v>
      </c>
      <c r="L138" s="1080">
        <f>IF(G138=F138,1,"REPLACE")</f>
        <v>1</v>
      </c>
      <c r="M138" s="1081">
        <f t="shared" si="41"/>
        <v>3.7854118177907163</v>
      </c>
      <c r="N138" s="49" t="s">
        <v>2496</v>
      </c>
    </row>
    <row r="139" spans="1:14" x14ac:dyDescent="0.3">
      <c r="A139" t="str">
        <f t="shared" si="28"/>
        <v>m3 CH4 / kg VS, m3 CH4 / kg VS, ft3 CH4 / lb VS -&gt; m3 CH4 / kg VS</v>
      </c>
      <c r="B139" s="49" t="s">
        <v>2501</v>
      </c>
      <c r="C139" s="1142" cm="1">
        <f t="array" ref="C139">INDEX(I139:J139, 0, $D$261)</f>
        <v>77.855513024580745</v>
      </c>
      <c r="D139" s="1142" cm="1">
        <f t="array" ref="D139">INDEX(L139:M139, 0, $D$261)</f>
        <v>1.2844305575178438E-2</v>
      </c>
      <c r="E139" s="1142" t="str" cm="1">
        <f t="array" ref="E139">INDEX(G139:H139, 0, $D$261)</f>
        <v>ft3 CH4 / lb VS</v>
      </c>
      <c r="F139" s="1078" t="s">
        <v>2501</v>
      </c>
      <c r="G139" s="571" t="s">
        <v>2501</v>
      </c>
      <c r="H139" s="1079" t="s">
        <v>2502</v>
      </c>
      <c r="I139" s="1080">
        <f>IF(B139=G139,1,"REPLACE")</f>
        <v>1</v>
      </c>
      <c r="J139" s="1081">
        <f>$E$174/$E$194</f>
        <v>77.855513024580745</v>
      </c>
      <c r="K139" s="1082">
        <f>IF(B139=F139,1,"REPLACE")</f>
        <v>1</v>
      </c>
      <c r="L139" s="1080">
        <f>IF(G139=F139,1,"REPLACE")</f>
        <v>1</v>
      </c>
      <c r="M139" s="1081">
        <f t="shared" si="41"/>
        <v>1.2844305575178438E-2</v>
      </c>
      <c r="N139" s="49" t="s">
        <v>2503</v>
      </c>
    </row>
    <row r="140" spans="1:14" x14ac:dyDescent="0.3">
      <c r="A140" t="str">
        <f t="shared" si="28"/>
        <v>m3/kg, m3/kg, ft3/lb -&gt; m3/kg</v>
      </c>
      <c r="B140" s="49" t="s">
        <v>2504</v>
      </c>
      <c r="C140" s="1142" cm="1">
        <f t="array" ref="C140">INDEX(I140:J140, 0, $D$261)</f>
        <v>16.018463377646011</v>
      </c>
      <c r="D140" s="1142" cm="1">
        <f t="array" ref="D140">INDEX(L140:M140, 0, $D$261)</f>
        <v>6.2427960561779849E-2</v>
      </c>
      <c r="E140" s="1142" t="str" cm="1">
        <f t="array" ref="E140">INDEX(G140:H140, 0, $D$261)</f>
        <v>ft3/lb</v>
      </c>
      <c r="F140" s="1078" t="s">
        <v>2504</v>
      </c>
      <c r="G140" s="571" t="s">
        <v>2504</v>
      </c>
      <c r="H140" s="1079" t="s">
        <v>2505</v>
      </c>
      <c r="I140" s="1080">
        <v>1</v>
      </c>
      <c r="J140" s="1081">
        <f>35.3146667/2.20462262</f>
        <v>16.018463377646011</v>
      </c>
      <c r="K140" s="1082">
        <v>1</v>
      </c>
      <c r="L140" s="1080">
        <v>1</v>
      </c>
      <c r="M140" s="1081">
        <f t="shared" si="41"/>
        <v>6.2427960561779849E-2</v>
      </c>
      <c r="N140" s="49" t="s">
        <v>2503</v>
      </c>
    </row>
    <row r="141" spans="1:14" x14ac:dyDescent="0.3">
      <c r="A141" t="str">
        <f t="shared" si="28"/>
        <v>m3/kg TS, m3/kg TS, ft3/lb TS -&gt; m3/kg TS</v>
      </c>
      <c r="B141" s="49" t="s">
        <v>2506</v>
      </c>
      <c r="C141" s="1142" cm="1">
        <f t="array" ref="C141">INDEX(I141:J141, 0, $D$261)</f>
        <v>16.018463377646011</v>
      </c>
      <c r="D141" s="1142" cm="1">
        <f t="array" ref="D141">INDEX(L141:M141, 0, $D$261)</f>
        <v>6.2427960561779849E-2</v>
      </c>
      <c r="E141" s="1142" t="str" cm="1">
        <f t="array" ref="E141">INDEX(G141:H141, 0, $D$261)</f>
        <v>ft3/lb TS</v>
      </c>
      <c r="F141" s="1078" t="s">
        <v>2506</v>
      </c>
      <c r="G141" s="571" t="s">
        <v>2506</v>
      </c>
      <c r="H141" s="1079" t="s">
        <v>2507</v>
      </c>
      <c r="I141" s="1080">
        <v>1</v>
      </c>
      <c r="J141" s="1081">
        <f>35.3146667/2.20462262</f>
        <v>16.018463377646011</v>
      </c>
      <c r="K141" s="1082">
        <v>1</v>
      </c>
      <c r="L141" s="1080">
        <v>1</v>
      </c>
      <c r="M141" s="1081">
        <f t="shared" si="41"/>
        <v>6.2427960561779849E-2</v>
      </c>
      <c r="N141" s="49" t="s">
        <v>2503</v>
      </c>
    </row>
    <row r="142" spans="1:14" x14ac:dyDescent="0.3">
      <c r="A142" t="str">
        <f>_xlfn.CONCAT(B142, ", ", G142, ", ", H142, " -&gt; ", F142)</f>
        <v>ft3/lb TS, m3/kg TS, ft3/lb TS -&gt; m3/kg TS</v>
      </c>
      <c r="B142" s="49" t="s">
        <v>2507</v>
      </c>
      <c r="C142" s="1142" cm="1">
        <f t="array" ref="C142">INDEX(I142:J142, 0, $D$261)</f>
        <v>1</v>
      </c>
      <c r="D142" s="1142" cm="1">
        <f t="array" ref="D142">INDEX(L142:M142, 0, $D$261)</f>
        <v>6.2427968037147001E-2</v>
      </c>
      <c r="E142" s="1142" t="str" cm="1">
        <f t="array" ref="E142">INDEX(G142:H142, 0, $D$261)</f>
        <v>ft3/lb TS</v>
      </c>
      <c r="F142" s="1078" t="s">
        <v>2506</v>
      </c>
      <c r="G142" s="571" t="s">
        <v>2506</v>
      </c>
      <c r="H142" s="1079" t="s">
        <v>2507</v>
      </c>
      <c r="I142" s="1080">
        <f>UC.ft3_to_m3*UC.kg_to_lb</f>
        <v>6.2427968037147001E-2</v>
      </c>
      <c r="J142" s="1081">
        <v>1</v>
      </c>
      <c r="K142" s="1082">
        <f>I142</f>
        <v>6.2427968037147001E-2</v>
      </c>
      <c r="L142" s="1080">
        <v>1</v>
      </c>
      <c r="M142" s="1081">
        <f>I142</f>
        <v>6.2427968037147001E-2</v>
      </c>
      <c r="N142" s="49" t="s">
        <v>2503</v>
      </c>
    </row>
    <row r="143" spans="1:14" x14ac:dyDescent="0.3">
      <c r="A143" t="str">
        <f>_xlfn.CONCAT(B143, ", ", G143, ", ", H143, " -&gt; ", F143)</f>
        <v>ft3/lb VS, m3/kg VS, ft3/lb VS -&gt; m3/kg VS</v>
      </c>
      <c r="B143" s="49" t="s">
        <v>2508</v>
      </c>
      <c r="C143" s="1142" cm="1">
        <f t="array" ref="C143">INDEX(I143:J143, 0, $D$261)</f>
        <v>1</v>
      </c>
      <c r="D143" s="1142" cm="1">
        <f t="array" ref="D143">INDEX(L143:M143, 0, $D$261)</f>
        <v>6.2427968037147001E-2</v>
      </c>
      <c r="E143" s="1142" t="str" cm="1">
        <f t="array" ref="E143">INDEX(G143:H143, 0, $D$261)</f>
        <v>ft3/lb VS</v>
      </c>
      <c r="F143" s="1078" t="s">
        <v>2509</v>
      </c>
      <c r="G143" s="571" t="s">
        <v>2509</v>
      </c>
      <c r="H143" s="1079" t="s">
        <v>2508</v>
      </c>
      <c r="I143" s="1080">
        <f>UC.ft3_to_m3*UC.kg_to_lb</f>
        <v>6.2427968037147001E-2</v>
      </c>
      <c r="J143" s="1081">
        <v>1</v>
      </c>
      <c r="K143" s="1082">
        <f>I143</f>
        <v>6.2427968037147001E-2</v>
      </c>
      <c r="L143" s="1080">
        <v>1</v>
      </c>
      <c r="M143" s="1081">
        <f>I143</f>
        <v>6.2427968037147001E-2</v>
      </c>
      <c r="N143" s="49" t="s">
        <v>2503</v>
      </c>
    </row>
    <row r="144" spans="1:14" x14ac:dyDescent="0.3">
      <c r="A144" t="str">
        <f t="shared" si="28"/>
        <v>gal/hr, L/hr, gal/hr -&gt; gal/hr</v>
      </c>
      <c r="B144" s="49" t="s">
        <v>2510</v>
      </c>
      <c r="C144" s="1142" cm="1">
        <f t="array" ref="C144">INDEX(I144:J144, 0, $D$261)</f>
        <v>1</v>
      </c>
      <c r="D144" s="1142" cm="1">
        <f t="array" ref="D144">INDEX(L144:M144, 0, $D$261)</f>
        <v>1</v>
      </c>
      <c r="E144" s="1142" t="str" cm="1">
        <f t="array" ref="E144">INDEX(G144:H144, 0, $D$261)</f>
        <v>gal/hr</v>
      </c>
      <c r="F144" s="1078" t="s">
        <v>2510</v>
      </c>
      <c r="G144" s="571" t="s">
        <v>2511</v>
      </c>
      <c r="H144" s="1079" t="s">
        <v>2510</v>
      </c>
      <c r="I144" s="1080">
        <f>UC.gal_to_L</f>
        <v>3.78541178</v>
      </c>
      <c r="J144" s="1081">
        <f>IF(B144=H144,1,"REPLACE")</f>
        <v>1</v>
      </c>
      <c r="K144" s="1082">
        <f>IF(B144=F144,1,"REPLACE")</f>
        <v>1</v>
      </c>
      <c r="L144" s="1080">
        <f>1/I144</f>
        <v>0.26417205263729593</v>
      </c>
      <c r="M144" s="1081">
        <f>IF(H144=F144,1,"REPLACE")</f>
        <v>1</v>
      </c>
      <c r="N144" s="49" t="s">
        <v>2512</v>
      </c>
    </row>
    <row r="145" spans="1:14" x14ac:dyDescent="0.3">
      <c r="A145" t="str">
        <f t="shared" si="28"/>
        <v>gal/hr (unload rate), gal/hr (unload rate), gal/hr (unload rate) -&gt; gal/hr (unload rate)</v>
      </c>
      <c r="B145" s="49" t="s">
        <v>2513</v>
      </c>
      <c r="C145" s="1142" cm="1">
        <f t="array" ref="C145">INDEX(I145:J145, 0, $D$261)</f>
        <v>1</v>
      </c>
      <c r="D145" s="1142" cm="1">
        <f t="array" ref="D145">INDEX(L145:M145, 0, $D$261)</f>
        <v>1</v>
      </c>
      <c r="E145" s="1142" t="str" cm="1">
        <f t="array" ref="E145">INDEX(G145:H145, 0, $D$261)</f>
        <v>gal/hr (unload rate)</v>
      </c>
      <c r="F145" s="1078" t="s">
        <v>2513</v>
      </c>
      <c r="G145" s="571" t="s">
        <v>2513</v>
      </c>
      <c r="H145" s="1079" t="s">
        <v>2513</v>
      </c>
      <c r="I145" s="1080">
        <v>1</v>
      </c>
      <c r="J145" s="1081">
        <v>1</v>
      </c>
      <c r="K145" s="1082">
        <v>1</v>
      </c>
      <c r="L145" s="1080">
        <v>1</v>
      </c>
      <c r="M145" s="1081">
        <v>1</v>
      </c>
      <c r="N145" s="49" t="s">
        <v>2512</v>
      </c>
    </row>
    <row r="146" spans="1:14" x14ac:dyDescent="0.3">
      <c r="A146" t="str">
        <f t="shared" si="28"/>
        <v>gpm, L/min, gpm -&gt; gpm</v>
      </c>
      <c r="B146" s="49" t="s">
        <v>2514</v>
      </c>
      <c r="C146" s="1142" cm="1">
        <f t="array" ref="C146">INDEX(I146:J146, 0, $D$261)</f>
        <v>1</v>
      </c>
      <c r="D146" s="1142" cm="1">
        <f t="array" ref="D146">INDEX(L146:M146, 0, $D$261)</f>
        <v>1</v>
      </c>
      <c r="E146" s="1142" t="str" cm="1">
        <f t="array" ref="E146">INDEX(G146:H146, 0, $D$261)</f>
        <v>gpm</v>
      </c>
      <c r="F146" s="1078" t="s">
        <v>2514</v>
      </c>
      <c r="G146" s="571" t="s">
        <v>2515</v>
      </c>
      <c r="H146" s="1079" t="s">
        <v>2514</v>
      </c>
      <c r="I146" s="1080">
        <f>$E$167</f>
        <v>3.78541178</v>
      </c>
      <c r="J146" s="1081">
        <f>IF(B146=H146,1,"REPLACE")</f>
        <v>1</v>
      </c>
      <c r="K146" s="1082">
        <f>IF(B146=F146,1,"REPLACE")</f>
        <v>1</v>
      </c>
      <c r="L146" s="1080">
        <f>1/I146</f>
        <v>0.26417205263729593</v>
      </c>
      <c r="M146" s="1081">
        <f>IF(H146=F146,1,"REPLACE")</f>
        <v>1</v>
      </c>
      <c r="N146" s="49" t="s">
        <v>2512</v>
      </c>
    </row>
    <row r="147" spans="1:14" x14ac:dyDescent="0.3">
      <c r="A147" t="str">
        <f t="shared" si="28"/>
        <v>gal/min, L/min, gal/min -&gt; gal/min</v>
      </c>
      <c r="B147" s="49" t="s">
        <v>2516</v>
      </c>
      <c r="C147" s="1142" cm="1">
        <f t="array" ref="C147">INDEX(I147:J147, 0, $D$261)</f>
        <v>1</v>
      </c>
      <c r="D147" s="1142" cm="1">
        <f t="array" ref="D147">INDEX(L147:M147, 0, $D$261)</f>
        <v>1</v>
      </c>
      <c r="E147" s="1142" t="str" cm="1">
        <f t="array" ref="E147">INDEX(G147:H147, 0, $D$261)</f>
        <v>gal/min</v>
      </c>
      <c r="F147" s="1078" t="s">
        <v>2516</v>
      </c>
      <c r="G147" s="571" t="s">
        <v>2515</v>
      </c>
      <c r="H147" s="1079" t="s">
        <v>2516</v>
      </c>
      <c r="I147" s="1080">
        <f>$E$167</f>
        <v>3.78541178</v>
      </c>
      <c r="J147" s="1081">
        <f>IF(B147=H147,1,"REPLACE")</f>
        <v>1</v>
      </c>
      <c r="K147" s="1082">
        <f>IF(B147=F147,1,"REPLACE")</f>
        <v>1</v>
      </c>
      <c r="L147" s="1080">
        <f>1/I147</f>
        <v>0.26417205263729593</v>
      </c>
      <c r="M147" s="1081">
        <f>IF(H147=F147,1,"REPLACE")</f>
        <v>1</v>
      </c>
      <c r="N147" s="49" t="s">
        <v>2512</v>
      </c>
    </row>
    <row r="148" spans="1:14" x14ac:dyDescent="0.3">
      <c r="A148" t="str">
        <f>_xlfn.CONCAT(B148, ", ", G148, ", ", H148, " -&gt; ", F148)</f>
        <v>gal/min, L/min, gal/min -&gt; gal/hr</v>
      </c>
      <c r="B148" s="49" t="s">
        <v>2516</v>
      </c>
      <c r="C148" s="1142" cm="1">
        <f t="array" ref="C148">INDEX(I148:J148, 0, $D$261)</f>
        <v>1</v>
      </c>
      <c r="D148" s="1142" cm="1">
        <f t="array" ref="D148">INDEX(L148:M148, 0, $D$261)</f>
        <v>60</v>
      </c>
      <c r="E148" s="1142" t="str" cm="1">
        <f t="array" ref="E148">INDEX(G148:H148, 0, $D$261)</f>
        <v>gal/min</v>
      </c>
      <c r="F148" s="1078" t="s">
        <v>2510</v>
      </c>
      <c r="G148" s="571" t="s">
        <v>2515</v>
      </c>
      <c r="H148" s="1079" t="s">
        <v>2516</v>
      </c>
      <c r="I148" s="1080">
        <f>UC.gal_to_L</f>
        <v>3.78541178</v>
      </c>
      <c r="J148" s="1081">
        <v>1</v>
      </c>
      <c r="K148" s="1082">
        <f>UC.hour_to_min</f>
        <v>60</v>
      </c>
      <c r="L148" s="1080">
        <f>UC.L_to_gal*UC.hour_to_min</f>
        <v>15.850322999999999</v>
      </c>
      <c r="M148" s="1081">
        <f>UC.hour_to_min</f>
        <v>60</v>
      </c>
      <c r="N148" s="49" t="s">
        <v>2512</v>
      </c>
    </row>
    <row r="149" spans="1:14" x14ac:dyDescent="0.3">
      <c r="A149" t="str">
        <f t="shared" si="28"/>
        <v>gal/year, L/year, gal/year -&gt; gal/year</v>
      </c>
      <c r="B149" s="49" t="s">
        <v>2517</v>
      </c>
      <c r="C149" s="1142" cm="1">
        <f t="array" ref="C149">INDEX(I149:J149, 0, $D$261)</f>
        <v>1</v>
      </c>
      <c r="D149" s="1142" cm="1">
        <f t="array" ref="D149">INDEX(L149:M149, 0, $D$261)</f>
        <v>1</v>
      </c>
      <c r="E149" s="1142" t="str" cm="1">
        <f t="array" ref="E149">INDEX(G149:H149, 0, $D$261)</f>
        <v>gal/year</v>
      </c>
      <c r="F149" s="1078" t="s">
        <v>2517</v>
      </c>
      <c r="G149" s="571" t="s">
        <v>2518</v>
      </c>
      <c r="H149" s="1079" t="s">
        <v>2517</v>
      </c>
      <c r="I149" s="1080">
        <f>I146</f>
        <v>3.78541178</v>
      </c>
      <c r="J149" s="1081">
        <f>J146</f>
        <v>1</v>
      </c>
      <c r="K149" s="1082">
        <f>K146</f>
        <v>1</v>
      </c>
      <c r="L149" s="1080">
        <f>L146</f>
        <v>0.26417205263729593</v>
      </c>
      <c r="M149" s="1081">
        <f>M146</f>
        <v>1</v>
      </c>
      <c r="N149" s="49" t="s">
        <v>2512</v>
      </c>
    </row>
    <row r="150" spans="1:14" x14ac:dyDescent="0.3">
      <c r="A150" t="str">
        <f t="shared" si="28"/>
        <v>L/day, L/day, gal/day -&gt; L/day</v>
      </c>
      <c r="B150" s="49" t="s">
        <v>2519</v>
      </c>
      <c r="C150" s="1142" cm="1">
        <f t="array" ref="C150">INDEX(I150:J150, 0, $D$261)</f>
        <v>0.26417204999999999</v>
      </c>
      <c r="D150" s="1142" cm="1">
        <f t="array" ref="D150">INDEX(L150:M150, 0, $D$261)</f>
        <v>3.7854118177907163</v>
      </c>
      <c r="E150" s="1142" t="str" cm="1">
        <f t="array" ref="E150">INDEX(G150:H150, 0, $D$261)</f>
        <v>gal/day</v>
      </c>
      <c r="F150" s="1078" t="s">
        <v>2519</v>
      </c>
      <c r="G150" s="571" t="str">
        <f>F150</f>
        <v>L/day</v>
      </c>
      <c r="H150" s="1079" t="s">
        <v>2520</v>
      </c>
      <c r="I150" s="1080">
        <v>1</v>
      </c>
      <c r="J150" s="1081">
        <f>$E$170</f>
        <v>0.26417204999999999</v>
      </c>
      <c r="K150" s="1082">
        <v>1</v>
      </c>
      <c r="L150" s="1080">
        <f>IF(G150=F150,1,"REPLACE")</f>
        <v>1</v>
      </c>
      <c r="M150" s="1081">
        <f>1/J150</f>
        <v>3.7854118177907163</v>
      </c>
      <c r="N150" s="49" t="s">
        <v>2512</v>
      </c>
    </row>
    <row r="151" spans="1:14" x14ac:dyDescent="0.3">
      <c r="A151" t="str">
        <f t="shared" si="28"/>
        <v>L/min, L/min, gal/min -&gt; L/min</v>
      </c>
      <c r="B151" s="49" t="s">
        <v>2515</v>
      </c>
      <c r="C151" s="1142" cm="1">
        <f t="array" ref="C151">INDEX(I151:J151, 0, $D$261)</f>
        <v>0.26417204999999999</v>
      </c>
      <c r="D151" s="1142" cm="1">
        <f t="array" ref="D151">INDEX(L151:M151, 0, $D$261)</f>
        <v>3.7854118177907163</v>
      </c>
      <c r="E151" s="1142" t="str" cm="1">
        <f t="array" ref="E151">INDEX(G151:H151, 0, $D$261)</f>
        <v>gal/min</v>
      </c>
      <c r="F151" s="1078" t="s">
        <v>2515</v>
      </c>
      <c r="G151" s="571" t="str">
        <f>F151</f>
        <v>L/min</v>
      </c>
      <c r="H151" s="1079" t="s">
        <v>2516</v>
      </c>
      <c r="I151" s="1080">
        <v>1</v>
      </c>
      <c r="J151" s="1081">
        <f>$E$170</f>
        <v>0.26417204999999999</v>
      </c>
      <c r="K151" s="1082">
        <v>1</v>
      </c>
      <c r="L151" s="1080">
        <f>IF(G151=F151,1,"REPLACE")</f>
        <v>1</v>
      </c>
      <c r="M151" s="1081">
        <f>1/J151</f>
        <v>3.7854118177907163</v>
      </c>
      <c r="N151" s="49" t="s">
        <v>2512</v>
      </c>
    </row>
    <row r="152" spans="1:14" x14ac:dyDescent="0.3">
      <c r="A152" t="str">
        <f t="shared" si="28"/>
        <v>m3/day, m3/day, ft3/day -&gt; m3/day</v>
      </c>
      <c r="B152" s="49" t="s">
        <v>2521</v>
      </c>
      <c r="C152" s="1142" cm="1">
        <f t="array" ref="C152">INDEX(I152:J152, 0, $D$261)</f>
        <v>35.314666699999997</v>
      </c>
      <c r="D152" s="1142" cm="1">
        <f t="array" ref="D152">INDEX(L152:M152, 0, $D$261)</f>
        <v>2.8316846609230496E-2</v>
      </c>
      <c r="E152" s="1142" t="str" cm="1">
        <f t="array" ref="E152">INDEX(G152:H152, 0, $D$261)</f>
        <v>ft3/day</v>
      </c>
      <c r="F152" s="1078" t="s">
        <v>2521</v>
      </c>
      <c r="G152" s="571" t="s">
        <v>2521</v>
      </c>
      <c r="H152" s="1079" t="s">
        <v>2522</v>
      </c>
      <c r="I152" s="1080">
        <v>1</v>
      </c>
      <c r="J152" s="1081">
        <v>35.314666699999997</v>
      </c>
      <c r="K152" s="1082">
        <v>1</v>
      </c>
      <c r="L152" s="1080">
        <v>1</v>
      </c>
      <c r="M152" s="1081">
        <f>1/J152</f>
        <v>2.8316846609230496E-2</v>
      </c>
      <c r="N152" s="49" t="s">
        <v>2512</v>
      </c>
    </row>
    <row r="153" spans="1:14" x14ac:dyDescent="0.3">
      <c r="A153" t="str">
        <f t="shared" si="28"/>
        <v>m3/hr, m3/hr, ft3/hr -&gt; m3/hr</v>
      </c>
      <c r="B153" s="49" t="s">
        <v>2523</v>
      </c>
      <c r="C153" s="1142" cm="1">
        <f t="array" ref="C153">INDEX(I153:J153, 0, $D$261)</f>
        <v>35.314666699999997</v>
      </c>
      <c r="D153" s="1142" cm="1">
        <f t="array" ref="D153">INDEX(L153:M153, 0, $D$261)</f>
        <v>2.8316846609230496E-2</v>
      </c>
      <c r="E153" s="1142" t="str" cm="1">
        <f t="array" ref="E153">INDEX(G153:H153, 0, $D$261)</f>
        <v>ft3/hr</v>
      </c>
      <c r="F153" s="1078" t="s">
        <v>2523</v>
      </c>
      <c r="G153" s="571" t="s">
        <v>2523</v>
      </c>
      <c r="H153" s="1079" t="s">
        <v>2524</v>
      </c>
      <c r="I153" s="1080">
        <v>1</v>
      </c>
      <c r="J153" s="1081">
        <f>UC.m3_to_ft3</f>
        <v>35.314666699999997</v>
      </c>
      <c r="K153" s="1082">
        <v>1</v>
      </c>
      <c r="L153" s="1080">
        <v>1</v>
      </c>
      <c r="M153" s="1081">
        <f>1/J153</f>
        <v>2.8316846609230496E-2</v>
      </c>
      <c r="N153" s="49" t="s">
        <v>2512</v>
      </c>
    </row>
    <row r="154" spans="1:14" x14ac:dyDescent="0.3">
      <c r="A154" t="str">
        <f t="shared" si="28"/>
        <v>gal/hr/hp, L/hr/hp, gal/hr/hp -&gt; gal/hr/hp</v>
      </c>
      <c r="B154" s="49" t="s">
        <v>2525</v>
      </c>
      <c r="C154" s="1142" cm="1">
        <f t="array" ref="C154">INDEX(I154:J154, 0, $D$261)</f>
        <v>1</v>
      </c>
      <c r="D154" s="1142" cm="1">
        <f t="array" ref="D154">INDEX(L154:M154, 0, $D$261)</f>
        <v>1</v>
      </c>
      <c r="E154" s="1142" t="str" cm="1">
        <f t="array" ref="E154">INDEX(G154:H154, 0, $D$261)</f>
        <v>gal/hr/hp</v>
      </c>
      <c r="F154" s="1078" t="s">
        <v>2525</v>
      </c>
      <c r="G154" s="571" t="s">
        <v>2526</v>
      </c>
      <c r="H154" s="1079" t="s">
        <v>2525</v>
      </c>
      <c r="I154" s="1080">
        <f>UC.gal_to_L</f>
        <v>3.78541178</v>
      </c>
      <c r="J154" s="1081">
        <f t="shared" ref="J154" si="45">IF(B154=H154,1,"REPLACE")</f>
        <v>1</v>
      </c>
      <c r="K154" s="1082">
        <f t="shared" ref="K154" si="46">IF(B154=F154,1,"REPLACE")</f>
        <v>1</v>
      </c>
      <c r="L154" s="1080">
        <f>1/I154</f>
        <v>0.26417205263729593</v>
      </c>
      <c r="M154" s="1081">
        <f t="shared" ref="M154" si="47">IF(H154=F154,1,"REPLACE")</f>
        <v>1</v>
      </c>
      <c r="N154" s="49" t="s">
        <v>2527</v>
      </c>
    </row>
    <row r="155" spans="1:14" x14ac:dyDescent="0.3">
      <c r="A155" t="str">
        <f t="shared" si="28"/>
        <v xml:space="preserve">, ,  -&gt; </v>
      </c>
      <c r="B155" s="49"/>
      <c r="C155" s="1077" cm="1">
        <f t="array" ref="C155">INDEX(I155:J155, 0, $D$261)</f>
        <v>1</v>
      </c>
      <c r="D155" s="1077" cm="1">
        <f t="array" ref="D155">INDEX(L155:M155, 0, $D$261)</f>
        <v>1</v>
      </c>
      <c r="E155" s="1077" cm="1">
        <f t="array" ref="E155">INDEX(G155:H155, 0, $D$261)</f>
        <v>0</v>
      </c>
      <c r="F155" s="1078"/>
      <c r="G155" s="571"/>
      <c r="H155" s="1079"/>
      <c r="I155" s="1080">
        <f t="shared" ref="I155:I160" si="48">IF(B155=G155,1,"REPLACE")</f>
        <v>1</v>
      </c>
      <c r="J155" s="1081">
        <f t="shared" ref="J155:J160" si="49">IF(B155=H155,1,"REPLACE")</f>
        <v>1</v>
      </c>
      <c r="K155" s="1082">
        <f t="shared" ref="K155:K160" si="50">IF(B155=F155,1,"REPLACE")</f>
        <v>1</v>
      </c>
      <c r="L155" s="1080">
        <f t="shared" ref="L155:L160" si="51">IF(G155=F155,1,"REPLACE")</f>
        <v>1</v>
      </c>
      <c r="M155" s="1081">
        <f t="shared" ref="M155:M160" si="52">IF(H155=F155,1,"REPLACE")</f>
        <v>1</v>
      </c>
      <c r="N155" s="49"/>
    </row>
    <row r="156" spans="1:14" x14ac:dyDescent="0.3">
      <c r="A156" t="str">
        <f t="shared" si="28"/>
        <v xml:space="preserve">, ,  -&gt; </v>
      </c>
      <c r="B156" s="49"/>
      <c r="C156" s="1077" cm="1">
        <f t="array" ref="C156">INDEX(I156:J156, 0, $D$261)</f>
        <v>1</v>
      </c>
      <c r="D156" s="1077" cm="1">
        <f t="array" ref="D156">INDEX(L156:M156, 0, $D$261)</f>
        <v>1</v>
      </c>
      <c r="E156" s="1077" cm="1">
        <f t="array" ref="E156">INDEX(G156:H156, 0, $D$261)</f>
        <v>0</v>
      </c>
      <c r="F156" s="1078"/>
      <c r="G156" s="571"/>
      <c r="H156" s="1079"/>
      <c r="I156" s="1080">
        <f t="shared" si="48"/>
        <v>1</v>
      </c>
      <c r="J156" s="1081">
        <f t="shared" si="49"/>
        <v>1</v>
      </c>
      <c r="K156" s="1082">
        <f t="shared" si="50"/>
        <v>1</v>
      </c>
      <c r="L156" s="1080">
        <f t="shared" si="51"/>
        <v>1</v>
      </c>
      <c r="M156" s="1081">
        <f t="shared" si="52"/>
        <v>1</v>
      </c>
      <c r="N156" s="49"/>
    </row>
    <row r="157" spans="1:14" x14ac:dyDescent="0.3">
      <c r="A157" t="str">
        <f t="shared" ref="A157:A160" si="53">_xlfn.CONCAT(B157, ", ", G157, ", ", H157, " -&gt; ", F157)</f>
        <v xml:space="preserve">, ,  -&gt; </v>
      </c>
      <c r="B157" s="49"/>
      <c r="C157" s="1077" cm="1">
        <f t="array" ref="C157">INDEX(I157:J157, 0, $D$261)</f>
        <v>1</v>
      </c>
      <c r="D157" s="1077" cm="1">
        <f t="array" ref="D157">INDEX(L157:M157, 0, $D$261)</f>
        <v>1</v>
      </c>
      <c r="E157" s="1077" cm="1">
        <f t="array" ref="E157">INDEX(G157:H157, 0, $D$261)</f>
        <v>0</v>
      </c>
      <c r="F157" s="1078"/>
      <c r="G157" s="571"/>
      <c r="H157" s="1079"/>
      <c r="I157" s="1080">
        <f t="shared" si="48"/>
        <v>1</v>
      </c>
      <c r="J157" s="1081">
        <f t="shared" si="49"/>
        <v>1</v>
      </c>
      <c r="K157" s="1082">
        <f t="shared" si="50"/>
        <v>1</v>
      </c>
      <c r="L157" s="1080">
        <f t="shared" si="51"/>
        <v>1</v>
      </c>
      <c r="M157" s="1081">
        <f t="shared" si="52"/>
        <v>1</v>
      </c>
      <c r="N157" s="49"/>
    </row>
    <row r="158" spans="1:14" x14ac:dyDescent="0.3">
      <c r="A158" t="str">
        <f t="shared" si="53"/>
        <v xml:space="preserve">, ,  -&gt; </v>
      </c>
      <c r="B158" s="49"/>
      <c r="C158" s="1077" cm="1">
        <f t="array" ref="C158">INDEX(I158:J158, 0, $D$261)</f>
        <v>1</v>
      </c>
      <c r="D158" s="1077" cm="1">
        <f t="array" ref="D158">INDEX(L158:M158, 0, $D$261)</f>
        <v>1</v>
      </c>
      <c r="E158" s="1077" cm="1">
        <f t="array" ref="E158">INDEX(G158:H158, 0, $D$261)</f>
        <v>0</v>
      </c>
      <c r="F158" s="1078"/>
      <c r="G158" s="571"/>
      <c r="H158" s="1079"/>
      <c r="I158" s="1080">
        <f t="shared" si="48"/>
        <v>1</v>
      </c>
      <c r="J158" s="1081">
        <f t="shared" si="49"/>
        <v>1</v>
      </c>
      <c r="K158" s="1082">
        <f t="shared" si="50"/>
        <v>1</v>
      </c>
      <c r="L158" s="1080">
        <f t="shared" si="51"/>
        <v>1</v>
      </c>
      <c r="M158" s="1081">
        <f t="shared" si="52"/>
        <v>1</v>
      </c>
      <c r="N158" s="49"/>
    </row>
    <row r="159" spans="1:14" x14ac:dyDescent="0.3">
      <c r="A159" t="str">
        <f t="shared" si="53"/>
        <v xml:space="preserve">, ,  -&gt; </v>
      </c>
      <c r="B159" s="49"/>
      <c r="C159" s="1077" cm="1">
        <f t="array" ref="C159">INDEX(I159:J159, 0, $D$261)</f>
        <v>1</v>
      </c>
      <c r="D159" s="1077" cm="1">
        <f t="array" ref="D159">INDEX(L159:M159, 0, $D$261)</f>
        <v>1</v>
      </c>
      <c r="E159" s="1077" cm="1">
        <f t="array" ref="E159">INDEX(G159:H159, 0, $D$261)</f>
        <v>0</v>
      </c>
      <c r="F159" s="1078"/>
      <c r="G159" s="571"/>
      <c r="H159" s="1079"/>
      <c r="I159" s="1080">
        <f t="shared" si="48"/>
        <v>1</v>
      </c>
      <c r="J159" s="1081">
        <f t="shared" si="49"/>
        <v>1</v>
      </c>
      <c r="K159" s="1082">
        <f t="shared" si="50"/>
        <v>1</v>
      </c>
      <c r="L159" s="1080">
        <f t="shared" si="51"/>
        <v>1</v>
      </c>
      <c r="M159" s="1081">
        <f t="shared" si="52"/>
        <v>1</v>
      </c>
      <c r="N159" s="49"/>
    </row>
    <row r="160" spans="1:14" x14ac:dyDescent="0.3">
      <c r="A160" t="str">
        <f t="shared" si="53"/>
        <v xml:space="preserve">, ,  -&gt; </v>
      </c>
      <c r="B160" s="49"/>
      <c r="C160" s="1077" cm="1">
        <f t="array" ref="C160">INDEX(I160:J160, 0, $D$261)</f>
        <v>1</v>
      </c>
      <c r="D160" s="1077" cm="1">
        <f t="array" ref="D160">INDEX(L160:M160, 0, $D$261)</f>
        <v>1</v>
      </c>
      <c r="E160" s="1077" cm="1">
        <f t="array" ref="E160">INDEX(G160:H160, 0, $D$261)</f>
        <v>0</v>
      </c>
      <c r="F160" s="1078"/>
      <c r="G160" s="571"/>
      <c r="H160" s="1079"/>
      <c r="I160" s="1080">
        <f t="shared" si="48"/>
        <v>1</v>
      </c>
      <c r="J160" s="1081">
        <f t="shared" si="49"/>
        <v>1</v>
      </c>
      <c r="K160" s="1082">
        <f t="shared" si="50"/>
        <v>1</v>
      </c>
      <c r="L160" s="1080">
        <f t="shared" si="51"/>
        <v>1</v>
      </c>
      <c r="M160" s="1081">
        <f t="shared" si="52"/>
        <v>1</v>
      </c>
      <c r="N160" s="49"/>
    </row>
    <row r="161" spans="1:14" x14ac:dyDescent="0.3">
      <c r="A161" t="str">
        <f t="shared" ref="A161" si="54">_xlfn.CONCAT(B161, ", ", G161, ", ", H161, " -&gt; ", F161)</f>
        <v xml:space="preserve">, ,  -&gt; </v>
      </c>
      <c r="B161" s="49"/>
      <c r="C161" s="1077" cm="1">
        <f t="array" ref="C161">INDEX(I161:J161, 0, $D$261)</f>
        <v>1</v>
      </c>
      <c r="D161" s="1077" cm="1">
        <f t="array" ref="D161">INDEX(L161:M161, 0, $D$261)</f>
        <v>1</v>
      </c>
      <c r="E161" s="1077" cm="1">
        <f t="array" ref="E161">INDEX(G161:H161, 0, $D$261)</f>
        <v>0</v>
      </c>
      <c r="F161" s="1078"/>
      <c r="G161" s="571"/>
      <c r="H161" s="1079"/>
      <c r="I161" s="1080">
        <f t="shared" ref="I161" si="55">IF(B161=G161,1,"REPLACE")</f>
        <v>1</v>
      </c>
      <c r="J161" s="1081">
        <f t="shared" ref="J161" si="56">IF(B161=H161,1,"REPLACE")</f>
        <v>1</v>
      </c>
      <c r="K161" s="1082">
        <f t="shared" ref="K161" si="57">IF(B161=F161,1,"REPLACE")</f>
        <v>1</v>
      </c>
      <c r="L161" s="1080">
        <f t="shared" ref="L161" si="58">IF(G161=F161,1,"REPLACE")</f>
        <v>1</v>
      </c>
      <c r="M161" s="1081">
        <f t="shared" ref="M161" si="59">IF(H161=F161,1,"REPLACE")</f>
        <v>1</v>
      </c>
      <c r="N161" s="49"/>
    </row>
    <row r="162" spans="1:14" x14ac:dyDescent="0.3">
      <c r="A162" t="s">
        <v>475</v>
      </c>
      <c r="B162" s="345" t="s">
        <v>651</v>
      </c>
      <c r="C162" s="123" t="s">
        <v>652</v>
      </c>
      <c r="D162" s="123" t="s">
        <v>653</v>
      </c>
      <c r="E162" s="123" t="s">
        <v>654</v>
      </c>
      <c r="F162" s="345" t="s">
        <v>655</v>
      </c>
      <c r="G162" s="345" t="s">
        <v>656</v>
      </c>
      <c r="H162" s="345" t="s">
        <v>657</v>
      </c>
      <c r="I162" s="849"/>
      <c r="J162" s="849"/>
      <c r="K162" s="849"/>
      <c r="L162" s="849"/>
      <c r="M162" s="849"/>
      <c r="N162" s="849"/>
    </row>
    <row r="163" spans="1:14" x14ac:dyDescent="0.3">
      <c r="B163" s="41" t="s">
        <v>2528</v>
      </c>
      <c r="C163" s="41"/>
      <c r="D163" s="41"/>
      <c r="E163" s="41"/>
      <c r="F163" s="41"/>
      <c r="G163" s="41"/>
      <c r="H163" s="41"/>
      <c r="I163" s="849"/>
      <c r="J163" s="849"/>
      <c r="K163" s="849"/>
      <c r="L163" s="849"/>
      <c r="M163" s="849"/>
      <c r="N163" s="849"/>
    </row>
    <row r="164" spans="1:14" x14ac:dyDescent="0.3">
      <c r="B164" s="1083"/>
      <c r="C164" s="1083"/>
      <c r="D164" s="1083"/>
      <c r="E164" s="1083"/>
      <c r="F164" s="1083"/>
      <c r="G164" s="1083"/>
      <c r="H164" s="1083"/>
      <c r="I164" s="849"/>
      <c r="J164" s="849"/>
      <c r="K164" s="849"/>
      <c r="L164" s="849"/>
      <c r="M164" s="849"/>
      <c r="N164" s="849"/>
    </row>
    <row r="165" spans="1:14" x14ac:dyDescent="0.3">
      <c r="C165" t="s">
        <v>2529</v>
      </c>
    </row>
    <row r="166" spans="1:14" x14ac:dyDescent="0.3">
      <c r="C166" s="82" t="s">
        <v>2530</v>
      </c>
      <c r="D166" s="82" t="s">
        <v>2531</v>
      </c>
      <c r="E166" s="82" t="s">
        <v>2425</v>
      </c>
      <c r="F166" s="82" t="s">
        <v>2532</v>
      </c>
    </row>
    <row r="167" spans="1:14" x14ac:dyDescent="0.3">
      <c r="C167" t="s">
        <v>2480</v>
      </c>
      <c r="D167" t="s">
        <v>2481</v>
      </c>
      <c r="E167">
        <v>3.78541178</v>
      </c>
      <c r="F167" t="str">
        <f>_xlfn.CONCAT(D167," / ", C167)</f>
        <v>L / gal</v>
      </c>
      <c r="G167" t="str">
        <f>_xlfn.CONCAT(C167,"_to_",D167)</f>
        <v>gal_to_L</v>
      </c>
    </row>
    <row r="168" spans="1:14" x14ac:dyDescent="0.3">
      <c r="C168" t="s">
        <v>2480</v>
      </c>
      <c r="D168" t="s">
        <v>2478</v>
      </c>
      <c r="E168">
        <v>3.7854099999999999E-3</v>
      </c>
      <c r="F168" t="str">
        <f>_xlfn.CONCAT(D168," / ", C168)</f>
        <v>m3 / gal</v>
      </c>
      <c r="G168" t="str">
        <f>_xlfn.CONCAT(C168,"_to_",D168)</f>
        <v>gal_to_m3</v>
      </c>
    </row>
    <row r="169" spans="1:14" x14ac:dyDescent="0.3">
      <c r="C169" t="s">
        <v>2480</v>
      </c>
      <c r="D169" t="s">
        <v>2479</v>
      </c>
      <c r="E169">
        <v>0.13368056</v>
      </c>
      <c r="F169" t="str">
        <f>_xlfn.CONCAT(D169," / ", C169)</f>
        <v>ft3 / gal</v>
      </c>
      <c r="G169" t="str">
        <f>_xlfn.CONCAT(C169,"_to_",D169)</f>
        <v>gal_to_ft3</v>
      </c>
    </row>
    <row r="170" spans="1:14" x14ac:dyDescent="0.3">
      <c r="C170" t="s">
        <v>2481</v>
      </c>
      <c r="D170" t="s">
        <v>2480</v>
      </c>
      <c r="E170">
        <v>0.26417204999999999</v>
      </c>
      <c r="F170" t="str">
        <f t="shared" ref="F170:F219" si="60">_xlfn.CONCAT(D170," / ", C170)</f>
        <v>gal / L</v>
      </c>
      <c r="G170" t="str">
        <f t="shared" ref="G170:G220" si="61">_xlfn.CONCAT(C170,"_to_",D170)</f>
        <v>L_to_gal</v>
      </c>
    </row>
    <row r="171" spans="1:14" x14ac:dyDescent="0.3">
      <c r="C171" t="s">
        <v>2481</v>
      </c>
      <c r="D171" t="s">
        <v>2479</v>
      </c>
      <c r="E171">
        <v>3.531466671151158E-2</v>
      </c>
      <c r="F171" t="str">
        <f t="shared" si="60"/>
        <v>ft3 / L</v>
      </c>
      <c r="G171" t="str">
        <f t="shared" si="61"/>
        <v>L_to_ft3</v>
      </c>
    </row>
    <row r="172" spans="1:14" x14ac:dyDescent="0.3">
      <c r="C172" t="s">
        <v>2481</v>
      </c>
      <c r="D172" t="s">
        <v>2478</v>
      </c>
      <c r="E172">
        <v>1E-3</v>
      </c>
      <c r="F172" t="str">
        <f t="shared" si="60"/>
        <v>m3 / L</v>
      </c>
      <c r="G172" t="str">
        <f t="shared" si="61"/>
        <v>L_to_m3</v>
      </c>
    </row>
    <row r="173" spans="1:14" x14ac:dyDescent="0.3">
      <c r="C173" t="s">
        <v>2478</v>
      </c>
      <c r="D173" t="s">
        <v>2481</v>
      </c>
      <c r="E173">
        <v>1000</v>
      </c>
      <c r="F173" t="str">
        <f t="shared" si="60"/>
        <v>L / m3</v>
      </c>
      <c r="G173" t="str">
        <f t="shared" si="61"/>
        <v>m3_to_L</v>
      </c>
    </row>
    <row r="174" spans="1:14" x14ac:dyDescent="0.3">
      <c r="C174" t="s">
        <v>2478</v>
      </c>
      <c r="D174" t="s">
        <v>2479</v>
      </c>
      <c r="E174">
        <v>35.314666699999997</v>
      </c>
      <c r="F174" t="str">
        <f t="shared" si="60"/>
        <v>ft3 / m3</v>
      </c>
      <c r="G174" t="str">
        <f t="shared" si="61"/>
        <v>m3_to_ft3</v>
      </c>
    </row>
    <row r="175" spans="1:14" x14ac:dyDescent="0.3">
      <c r="C175" t="s">
        <v>2478</v>
      </c>
      <c r="D175" t="s">
        <v>2477</v>
      </c>
      <c r="E175">
        <v>1.30795062</v>
      </c>
      <c r="F175" t="str">
        <f t="shared" si="60"/>
        <v>yd3 / m3</v>
      </c>
      <c r="G175" t="str">
        <f t="shared" si="61"/>
        <v>m3_to_yd3</v>
      </c>
    </row>
    <row r="176" spans="1:14" x14ac:dyDescent="0.3">
      <c r="C176" t="s">
        <v>2478</v>
      </c>
      <c r="D176" t="s">
        <v>2480</v>
      </c>
      <c r="E176">
        <v>264.17205200000001</v>
      </c>
      <c r="F176" t="str">
        <f t="shared" si="60"/>
        <v>gal / m3</v>
      </c>
      <c r="G176" t="str">
        <f t="shared" si="61"/>
        <v>m3_to_gal</v>
      </c>
    </row>
    <row r="177" spans="3:7" x14ac:dyDescent="0.3">
      <c r="C177" t="s">
        <v>2478</v>
      </c>
      <c r="D177" t="s">
        <v>2475</v>
      </c>
      <c r="E177">
        <v>28.377593300000001</v>
      </c>
      <c r="F177" t="str">
        <f t="shared" si="60"/>
        <v>bushel / m3</v>
      </c>
      <c r="G177" t="str">
        <f t="shared" si="61"/>
        <v>m3_to_bushel</v>
      </c>
    </row>
    <row r="178" spans="3:7" x14ac:dyDescent="0.3">
      <c r="C178" t="s">
        <v>2479</v>
      </c>
      <c r="D178" t="s">
        <v>2478</v>
      </c>
      <c r="E178">
        <v>2.8316850000000001E-2</v>
      </c>
      <c r="F178" t="str">
        <f t="shared" si="60"/>
        <v>m3 / ft3</v>
      </c>
      <c r="G178" t="str">
        <f t="shared" si="61"/>
        <v>ft3_to_m3</v>
      </c>
    </row>
    <row r="179" spans="3:7" x14ac:dyDescent="0.3">
      <c r="C179" t="s">
        <v>2479</v>
      </c>
      <c r="D179" t="s">
        <v>2481</v>
      </c>
      <c r="E179">
        <v>28.316846600000002</v>
      </c>
      <c r="F179" t="str">
        <f t="shared" si="60"/>
        <v>L / ft3</v>
      </c>
      <c r="G179" t="str">
        <f t="shared" si="61"/>
        <v>ft3_to_L</v>
      </c>
    </row>
    <row r="180" spans="3:7" x14ac:dyDescent="0.3">
      <c r="C180" t="s">
        <v>2479</v>
      </c>
      <c r="D180" t="s">
        <v>2475</v>
      </c>
      <c r="E180">
        <v>0.80356395999999997</v>
      </c>
      <c r="F180" t="str">
        <f t="shared" si="60"/>
        <v>bushel / ft3</v>
      </c>
      <c r="G180" t="str">
        <f t="shared" si="61"/>
        <v>ft3_to_bushel</v>
      </c>
    </row>
    <row r="181" spans="3:7" x14ac:dyDescent="0.3">
      <c r="C181" t="s">
        <v>2477</v>
      </c>
      <c r="D181" t="s">
        <v>2478</v>
      </c>
      <c r="E181">
        <v>0.76455485999999995</v>
      </c>
      <c r="F181" t="str">
        <f t="shared" si="60"/>
        <v>m3 / yd3</v>
      </c>
      <c r="G181" t="str">
        <f t="shared" si="61"/>
        <v>yd3_to_m3</v>
      </c>
    </row>
    <row r="182" spans="3:7" x14ac:dyDescent="0.3">
      <c r="C182" t="s">
        <v>2477</v>
      </c>
      <c r="D182" t="s">
        <v>2479</v>
      </c>
      <c r="E182">
        <v>27</v>
      </c>
      <c r="F182" t="str">
        <f t="shared" si="60"/>
        <v>ft3 / yd3</v>
      </c>
      <c r="G182" t="str">
        <f t="shared" si="61"/>
        <v>yd3_to_ft3</v>
      </c>
    </row>
    <row r="183" spans="3:7" x14ac:dyDescent="0.3">
      <c r="C183" t="s">
        <v>2264</v>
      </c>
      <c r="D183" t="s">
        <v>2265</v>
      </c>
      <c r="E183">
        <v>0.40468564000000001</v>
      </c>
      <c r="F183" t="str">
        <f t="shared" si="60"/>
        <v>hectare / acre</v>
      </c>
      <c r="G183" t="str">
        <f t="shared" si="61"/>
        <v>acre_to_hectare</v>
      </c>
    </row>
    <row r="184" spans="3:7" x14ac:dyDescent="0.3">
      <c r="C184" t="s">
        <v>2265</v>
      </c>
      <c r="D184" t="s">
        <v>2264</v>
      </c>
      <c r="E184">
        <v>2.4710538099999999</v>
      </c>
      <c r="F184" t="str">
        <f t="shared" si="60"/>
        <v>acre / hectare</v>
      </c>
      <c r="G184" t="str">
        <f t="shared" si="61"/>
        <v>hectare_to_acre</v>
      </c>
    </row>
    <row r="185" spans="3:7" x14ac:dyDescent="0.3">
      <c r="C185" t="s">
        <v>2343</v>
      </c>
      <c r="D185" t="s">
        <v>2533</v>
      </c>
      <c r="E185">
        <v>0.62137118999999996</v>
      </c>
      <c r="F185" t="str">
        <f t="shared" si="60"/>
        <v>mile / km</v>
      </c>
      <c r="G185" t="str">
        <f t="shared" si="61"/>
        <v>km_to_mile</v>
      </c>
    </row>
    <row r="186" spans="3:7" x14ac:dyDescent="0.3">
      <c r="C186" t="s">
        <v>2533</v>
      </c>
      <c r="D186" t="s">
        <v>2343</v>
      </c>
      <c r="E186">
        <v>1.6093440000000001</v>
      </c>
      <c r="F186" t="str">
        <f t="shared" si="60"/>
        <v>km / mile</v>
      </c>
      <c r="G186" t="str">
        <f t="shared" si="61"/>
        <v>mile_to_km</v>
      </c>
    </row>
    <row r="187" spans="3:7" x14ac:dyDescent="0.3">
      <c r="C187" t="s">
        <v>2534</v>
      </c>
      <c r="D187" t="s">
        <v>2337</v>
      </c>
      <c r="E187">
        <v>2.5399999999999999E-2</v>
      </c>
      <c r="F187" t="str">
        <f t="shared" si="60"/>
        <v>m / in</v>
      </c>
      <c r="G187" t="str">
        <f t="shared" si="61"/>
        <v>in_to_m</v>
      </c>
    </row>
    <row r="188" spans="3:7" x14ac:dyDescent="0.3">
      <c r="C188" t="s">
        <v>2340</v>
      </c>
      <c r="D188" t="s">
        <v>2337</v>
      </c>
      <c r="E188">
        <v>0.30480000000000002</v>
      </c>
      <c r="F188" t="str">
        <f t="shared" si="60"/>
        <v>m / ft</v>
      </c>
      <c r="G188" t="str">
        <f t="shared" si="61"/>
        <v>ft_to_m</v>
      </c>
    </row>
    <row r="189" spans="3:7" x14ac:dyDescent="0.3">
      <c r="C189" t="s">
        <v>2534</v>
      </c>
      <c r="D189" t="s">
        <v>2336</v>
      </c>
      <c r="E189">
        <v>2.54</v>
      </c>
      <c r="F189" t="str">
        <f t="shared" si="60"/>
        <v>cm / in</v>
      </c>
      <c r="G189" t="str">
        <f t="shared" si="61"/>
        <v>in_to_cm</v>
      </c>
    </row>
    <row r="190" spans="3:7" x14ac:dyDescent="0.3">
      <c r="C190" t="s">
        <v>2336</v>
      </c>
      <c r="D190" t="s">
        <v>2534</v>
      </c>
      <c r="E190">
        <v>0.39370079000000002</v>
      </c>
      <c r="F190" t="str">
        <f t="shared" si="60"/>
        <v>in / cm</v>
      </c>
      <c r="G190" t="str">
        <f t="shared" si="61"/>
        <v>cm_to_in</v>
      </c>
    </row>
    <row r="191" spans="3:7" x14ac:dyDescent="0.3">
      <c r="C191" t="s">
        <v>2267</v>
      </c>
      <c r="D191" t="s">
        <v>2268</v>
      </c>
      <c r="E191">
        <v>9.2903040000000006E-2</v>
      </c>
      <c r="F191" t="str">
        <f t="shared" si="60"/>
        <v>m2 / ft2</v>
      </c>
      <c r="G191" t="str">
        <f t="shared" si="61"/>
        <v>ft2_to_m2</v>
      </c>
    </row>
    <row r="192" spans="3:7" x14ac:dyDescent="0.3">
      <c r="C192" t="s">
        <v>2268</v>
      </c>
      <c r="D192" t="s">
        <v>2267</v>
      </c>
      <c r="E192">
        <v>10.7639104</v>
      </c>
      <c r="F192" t="str">
        <f t="shared" si="60"/>
        <v>ft2 / m2</v>
      </c>
      <c r="G192" t="str">
        <f t="shared" si="61"/>
        <v>m2_to_ft2</v>
      </c>
    </row>
    <row r="193" spans="2:7" x14ac:dyDescent="0.3">
      <c r="C193" t="s">
        <v>2268</v>
      </c>
      <c r="D193" t="s">
        <v>2264</v>
      </c>
      <c r="E193">
        <v>2.4710538161371189E-4</v>
      </c>
      <c r="F193" t="str">
        <f t="shared" si="60"/>
        <v>acre / m2</v>
      </c>
      <c r="G193" t="str">
        <f t="shared" si="61"/>
        <v>m2_to_acre</v>
      </c>
    </row>
    <row r="194" spans="2:7" x14ac:dyDescent="0.3">
      <c r="C194" t="s">
        <v>2359</v>
      </c>
      <c r="D194" t="s">
        <v>2358</v>
      </c>
      <c r="E194">
        <v>0.45359237038037831</v>
      </c>
      <c r="F194" t="str">
        <f t="shared" si="60"/>
        <v>kg / lb</v>
      </c>
      <c r="G194" t="str">
        <f t="shared" si="61"/>
        <v>lb_to_kg</v>
      </c>
    </row>
    <row r="195" spans="2:7" x14ac:dyDescent="0.3">
      <c r="C195" t="s">
        <v>2359</v>
      </c>
      <c r="D195" t="s">
        <v>2535</v>
      </c>
      <c r="E195">
        <v>453.59237000000002</v>
      </c>
      <c r="F195" t="str">
        <f t="shared" si="60"/>
        <v>g / lb</v>
      </c>
      <c r="G195" t="str">
        <f t="shared" si="61"/>
        <v>lb_to_g</v>
      </c>
    </row>
    <row r="196" spans="2:7" x14ac:dyDescent="0.3">
      <c r="C196" t="s">
        <v>2359</v>
      </c>
      <c r="D196" t="s">
        <v>2536</v>
      </c>
      <c r="E196">
        <v>453592.37</v>
      </c>
      <c r="F196" t="str">
        <f t="shared" si="60"/>
        <v>mg / lb</v>
      </c>
      <c r="G196" t="str">
        <f t="shared" si="61"/>
        <v>lb_to_mg</v>
      </c>
    </row>
    <row r="197" spans="2:7" x14ac:dyDescent="0.3">
      <c r="C197" t="s">
        <v>2358</v>
      </c>
      <c r="D197" t="s">
        <v>2359</v>
      </c>
      <c r="E197">
        <v>2.2046226199999999</v>
      </c>
      <c r="F197" t="str">
        <f t="shared" si="60"/>
        <v>lb / kg</v>
      </c>
      <c r="G197" t="str">
        <f t="shared" si="61"/>
        <v>kg_to_lb</v>
      </c>
    </row>
    <row r="198" spans="2:7" x14ac:dyDescent="0.3">
      <c r="C198" t="s">
        <v>2535</v>
      </c>
      <c r="D198" t="s">
        <v>2359</v>
      </c>
      <c r="E198">
        <v>2.2046226218487759E-3</v>
      </c>
      <c r="F198" t="str">
        <f t="shared" si="60"/>
        <v>lb / g</v>
      </c>
      <c r="G198" t="str">
        <f t="shared" si="61"/>
        <v>g_to_lb</v>
      </c>
    </row>
    <row r="199" spans="2:7" x14ac:dyDescent="0.3">
      <c r="C199" t="s">
        <v>2537</v>
      </c>
      <c r="D199" t="s">
        <v>2538</v>
      </c>
      <c r="E199">
        <v>0.90718474076075672</v>
      </c>
      <c r="F199" t="str">
        <f t="shared" si="60"/>
        <v>tonne / ton</v>
      </c>
      <c r="G199" t="str">
        <f t="shared" si="61"/>
        <v>ton_to_tonne</v>
      </c>
    </row>
    <row r="200" spans="2:7" x14ac:dyDescent="0.3">
      <c r="C200" t="s">
        <v>2538</v>
      </c>
      <c r="D200" t="s">
        <v>2537</v>
      </c>
      <c r="E200">
        <v>1.1023113099999999</v>
      </c>
      <c r="F200" t="str">
        <f t="shared" si="60"/>
        <v>ton / tonne</v>
      </c>
      <c r="G200" t="str">
        <f t="shared" si="61"/>
        <v>tonne_to_ton</v>
      </c>
    </row>
    <row r="201" spans="2:7" x14ac:dyDescent="0.3">
      <c r="C201" t="s">
        <v>2537</v>
      </c>
      <c r="D201" t="s">
        <v>2359</v>
      </c>
      <c r="E201">
        <v>2000</v>
      </c>
      <c r="F201" t="str">
        <f t="shared" si="60"/>
        <v>lb / ton</v>
      </c>
      <c r="G201" t="str">
        <f t="shared" si="61"/>
        <v>ton_to_lb</v>
      </c>
    </row>
    <row r="202" spans="2:7" ht="15" customHeight="1" x14ac:dyDescent="0.5">
      <c r="B202" s="1324"/>
      <c r="C202" t="s">
        <v>2538</v>
      </c>
      <c r="D202" t="s">
        <v>2358</v>
      </c>
      <c r="E202">
        <v>1000</v>
      </c>
      <c r="F202" t="str">
        <f t="shared" si="60"/>
        <v>kg / tonne</v>
      </c>
      <c r="G202" t="str">
        <f t="shared" si="61"/>
        <v>tonne_to_kg</v>
      </c>
    </row>
    <row r="203" spans="2:7" ht="15" customHeight="1" x14ac:dyDescent="0.5">
      <c r="B203" s="1324"/>
      <c r="C203" t="s">
        <v>2537</v>
      </c>
      <c r="D203" t="s">
        <v>2358</v>
      </c>
      <c r="E203">
        <v>907.18474076075665</v>
      </c>
      <c r="F203" t="str">
        <f t="shared" si="60"/>
        <v>kg / ton</v>
      </c>
      <c r="G203" t="str">
        <f t="shared" si="61"/>
        <v>ton_to_kg</v>
      </c>
    </row>
    <row r="204" spans="2:7" ht="15" customHeight="1" x14ac:dyDescent="0.5">
      <c r="B204" s="1324"/>
      <c r="C204" t="s">
        <v>2538</v>
      </c>
      <c r="D204" t="s">
        <v>2359</v>
      </c>
      <c r="E204">
        <v>2204.6226199999996</v>
      </c>
      <c r="F204" t="str">
        <f t="shared" si="60"/>
        <v>lb / tonne</v>
      </c>
      <c r="G204" t="str">
        <f t="shared" si="61"/>
        <v>tonne_to_lb</v>
      </c>
    </row>
    <row r="205" spans="2:7" ht="15" customHeight="1" x14ac:dyDescent="0.5">
      <c r="B205" s="1324"/>
      <c r="C205" t="s">
        <v>2337</v>
      </c>
      <c r="D205" t="s">
        <v>2340</v>
      </c>
      <c r="E205">
        <v>3.2808399000000001</v>
      </c>
      <c r="F205" t="str">
        <f t="shared" si="60"/>
        <v>ft / m</v>
      </c>
      <c r="G205" t="str">
        <f t="shared" si="61"/>
        <v>m_to_ft</v>
      </c>
    </row>
    <row r="206" spans="2:7" ht="15" customHeight="1" x14ac:dyDescent="0.5">
      <c r="B206" s="1324"/>
      <c r="C206" t="s">
        <v>2539</v>
      </c>
      <c r="D206" t="s">
        <v>2450</v>
      </c>
      <c r="E206">
        <v>365</v>
      </c>
      <c r="F206" t="str">
        <f t="shared" si="60"/>
        <v>day / year</v>
      </c>
      <c r="G206" t="str">
        <f t="shared" si="61"/>
        <v>year_to_day</v>
      </c>
    </row>
    <row r="207" spans="2:7" ht="15" customHeight="1" x14ac:dyDescent="0.5">
      <c r="B207" s="1324"/>
      <c r="C207" t="s">
        <v>2539</v>
      </c>
      <c r="D207" t="s">
        <v>2540</v>
      </c>
      <c r="E207">
        <v>52</v>
      </c>
      <c r="F207" t="str">
        <f>_xlfn.CONCAT(D207," / ", C207)</f>
        <v>week / year</v>
      </c>
      <c r="G207" t="str">
        <f t="shared" si="61"/>
        <v>year_to_week</v>
      </c>
    </row>
    <row r="208" spans="2:7" ht="15" customHeight="1" x14ac:dyDescent="0.5">
      <c r="B208" s="1324"/>
      <c r="C208" t="s">
        <v>2539</v>
      </c>
      <c r="D208" t="s">
        <v>2541</v>
      </c>
      <c r="E208">
        <f>365*24</f>
        <v>8760</v>
      </c>
      <c r="F208" t="str">
        <f>_xlfn.CONCAT(D208," / ", C208)</f>
        <v>hour / year</v>
      </c>
      <c r="G208" t="str">
        <f t="shared" si="61"/>
        <v>year_to_hour</v>
      </c>
    </row>
    <row r="209" spans="2:8" ht="15" customHeight="1" x14ac:dyDescent="0.5">
      <c r="B209" s="1324"/>
      <c r="C209" t="s">
        <v>2450</v>
      </c>
      <c r="D209" t="s">
        <v>2539</v>
      </c>
      <c r="E209">
        <f>1/365</f>
        <v>2.7397260273972603E-3</v>
      </c>
      <c r="F209" t="str">
        <f>_xlfn.CONCAT(D209," / ", C209)</f>
        <v>year / day</v>
      </c>
      <c r="G209" t="str">
        <f t="shared" si="61"/>
        <v>day_to_year</v>
      </c>
    </row>
    <row r="210" spans="2:8" ht="15" customHeight="1" x14ac:dyDescent="0.5">
      <c r="B210" s="1324"/>
      <c r="C210" t="s">
        <v>2450</v>
      </c>
      <c r="D210" t="s">
        <v>2541</v>
      </c>
      <c r="E210">
        <v>24</v>
      </c>
      <c r="F210" t="str">
        <f t="shared" si="60"/>
        <v>hour / day</v>
      </c>
      <c r="G210" t="str">
        <f t="shared" si="61"/>
        <v>day_to_hour</v>
      </c>
    </row>
    <row r="211" spans="2:8" ht="15" customHeight="1" x14ac:dyDescent="0.5">
      <c r="B211" s="1324"/>
      <c r="C211" t="s">
        <v>2541</v>
      </c>
      <c r="D211" t="s">
        <v>2450</v>
      </c>
      <c r="E211">
        <f>1/24</f>
        <v>4.1666666666666664E-2</v>
      </c>
      <c r="F211" t="str">
        <f t="shared" si="60"/>
        <v>day / hour</v>
      </c>
      <c r="G211" t="str">
        <f t="shared" si="61"/>
        <v>hour_to_day</v>
      </c>
    </row>
    <row r="212" spans="2:8" ht="15" customHeight="1" x14ac:dyDescent="0.5">
      <c r="B212" s="1324"/>
      <c r="C212" t="s">
        <v>2541</v>
      </c>
      <c r="D212" t="s">
        <v>2453</v>
      </c>
      <c r="E212">
        <v>60</v>
      </c>
      <c r="F212" t="str">
        <f t="shared" si="60"/>
        <v>min / hour</v>
      </c>
      <c r="G212" t="str">
        <f t="shared" si="61"/>
        <v>hour_to_min</v>
      </c>
    </row>
    <row r="213" spans="2:8" ht="15" customHeight="1" x14ac:dyDescent="0.5">
      <c r="B213" s="1324"/>
      <c r="C213" t="s">
        <v>2541</v>
      </c>
      <c r="D213" t="s">
        <v>2542</v>
      </c>
      <c r="E213">
        <f>60*60</f>
        <v>3600</v>
      </c>
      <c r="F213" t="str">
        <f t="shared" si="60"/>
        <v>sec / hour</v>
      </c>
      <c r="G213" t="str">
        <f t="shared" si="61"/>
        <v>hour_to_sec</v>
      </c>
    </row>
    <row r="214" spans="2:8" ht="15" customHeight="1" x14ac:dyDescent="0.5">
      <c r="B214" s="1324"/>
      <c r="C214" t="s">
        <v>2453</v>
      </c>
      <c r="D214" t="s">
        <v>2541</v>
      </c>
      <c r="E214">
        <f>1/60</f>
        <v>1.6666666666666666E-2</v>
      </c>
      <c r="F214" t="str">
        <f t="shared" si="60"/>
        <v>hour / min</v>
      </c>
      <c r="G214" t="str">
        <f t="shared" si="61"/>
        <v>min_to_hour</v>
      </c>
    </row>
    <row r="215" spans="2:8" ht="15" customHeight="1" x14ac:dyDescent="0.5">
      <c r="B215" s="1324"/>
      <c r="C215" t="s">
        <v>2453</v>
      </c>
      <c r="D215" t="s">
        <v>2542</v>
      </c>
      <c r="E215">
        <v>60</v>
      </c>
      <c r="F215" t="str">
        <f t="shared" si="60"/>
        <v>sec / min</v>
      </c>
      <c r="G215" t="str">
        <f t="shared" si="61"/>
        <v>min_to_sec</v>
      </c>
    </row>
    <row r="216" spans="2:8" ht="15" customHeight="1" x14ac:dyDescent="0.5">
      <c r="B216" s="1324"/>
      <c r="C216" t="s">
        <v>2542</v>
      </c>
      <c r="D216" t="s">
        <v>2541</v>
      </c>
      <c r="E216">
        <f>1/60/60</f>
        <v>2.7777777777777778E-4</v>
      </c>
      <c r="F216" t="str">
        <f t="shared" si="60"/>
        <v>hour / sec</v>
      </c>
      <c r="G216" t="str">
        <f t="shared" si="61"/>
        <v>sec_to_hour</v>
      </c>
    </row>
    <row r="217" spans="2:8" ht="15" customHeight="1" x14ac:dyDescent="0.5">
      <c r="B217" s="1324"/>
      <c r="C217" t="s">
        <v>2542</v>
      </c>
      <c r="D217" t="s">
        <v>2453</v>
      </c>
      <c r="E217">
        <f>1/60</f>
        <v>1.6666666666666666E-2</v>
      </c>
      <c r="F217" t="str">
        <f t="shared" si="60"/>
        <v>min / sec</v>
      </c>
      <c r="G217" t="str">
        <f t="shared" si="61"/>
        <v>sec_to_min</v>
      </c>
    </row>
    <row r="218" spans="2:8" ht="15" customHeight="1" x14ac:dyDescent="0.5">
      <c r="B218" s="1324"/>
      <c r="C218" t="s">
        <v>2540</v>
      </c>
      <c r="D218" t="s">
        <v>2450</v>
      </c>
      <c r="E218">
        <v>7</v>
      </c>
      <c r="F218" t="str">
        <f t="shared" si="60"/>
        <v>day / week</v>
      </c>
      <c r="G218" t="str">
        <f t="shared" si="61"/>
        <v>week_to_day</v>
      </c>
    </row>
    <row r="219" spans="2:8" ht="15" customHeight="1" x14ac:dyDescent="0.5">
      <c r="B219" s="1324"/>
      <c r="C219" t="s">
        <v>2543</v>
      </c>
      <c r="D219" t="s">
        <v>2450</v>
      </c>
      <c r="E219">
        <v>30</v>
      </c>
      <c r="F219" t="str">
        <f t="shared" si="60"/>
        <v>day / month</v>
      </c>
      <c r="G219" t="str">
        <f t="shared" si="61"/>
        <v>month_to_day</v>
      </c>
    </row>
    <row r="220" spans="2:8" ht="15" customHeight="1" x14ac:dyDescent="0.5">
      <c r="B220" s="1324"/>
      <c r="C220" t="s">
        <v>2264</v>
      </c>
      <c r="D220" t="s">
        <v>2268</v>
      </c>
      <c r="E220">
        <v>4046.8564200000001</v>
      </c>
      <c r="F220" t="str">
        <f>_xlfn.CONCAT(D220," / ", C220)</f>
        <v>m2 / acre</v>
      </c>
      <c r="G220" t="str">
        <f t="shared" si="61"/>
        <v>acre_to_m2</v>
      </c>
    </row>
    <row r="221" spans="2:8" ht="15" customHeight="1" x14ac:dyDescent="0.3">
      <c r="B221" s="82" t="s">
        <v>2544</v>
      </c>
      <c r="E221">
        <v>3960</v>
      </c>
      <c r="F221" t="s">
        <v>2545</v>
      </c>
      <c r="G221" t="s">
        <v>2546</v>
      </c>
      <c r="H221" t="s">
        <v>2547</v>
      </c>
    </row>
    <row r="222" spans="2:8" ht="15" customHeight="1" x14ac:dyDescent="0.5">
      <c r="B222" s="1324"/>
      <c r="C222" t="s">
        <v>971</v>
      </c>
      <c r="D222" t="s">
        <v>2548</v>
      </c>
      <c r="E222">
        <v>0.74569987000000004</v>
      </c>
      <c r="F222" t="str">
        <f>_xlfn.CONCAT(D222," / ", C222)</f>
        <v>kW / hp</v>
      </c>
      <c r="G222" t="str">
        <f>_xlfn.CONCAT(C222,"_to_",D222)</f>
        <v>hp_to_kW</v>
      </c>
    </row>
    <row r="223" spans="2:8" ht="15" customHeight="1" x14ac:dyDescent="0.5">
      <c r="B223" s="1324"/>
      <c r="C223" t="s">
        <v>2264</v>
      </c>
      <c r="D223" t="s">
        <v>2267</v>
      </c>
      <c r="E223">
        <v>43560</v>
      </c>
      <c r="F223" t="str">
        <f>_xlfn.CONCAT(D223," / ", C223)</f>
        <v>ft2 / acre</v>
      </c>
      <c r="G223" t="str">
        <f>_xlfn.CONCAT(C223,"_to_",D223)</f>
        <v>acre_to_ft2</v>
      </c>
    </row>
    <row r="224" spans="2:8" ht="15" customHeight="1" x14ac:dyDescent="0.5">
      <c r="B224" s="1324"/>
      <c r="C224" t="s">
        <v>2340</v>
      </c>
      <c r="D224" t="s">
        <v>2534</v>
      </c>
      <c r="E224">
        <v>12</v>
      </c>
      <c r="F224" t="str">
        <f>_xlfn.CONCAT(D224," / ", C224)</f>
        <v>in / ft</v>
      </c>
      <c r="G224" t="str">
        <f>_xlfn.CONCAT(C224,"_to_",D224)</f>
        <v>ft_to_in</v>
      </c>
    </row>
    <row r="225" spans="2:7" ht="15" customHeight="1" x14ac:dyDescent="0.5">
      <c r="B225" s="1324"/>
      <c r="C225" t="s">
        <v>2533</v>
      </c>
      <c r="D225" t="s">
        <v>2340</v>
      </c>
      <c r="E225">
        <v>5280</v>
      </c>
      <c r="F225" t="str">
        <f>_xlfn.CONCAT(D225," / ", C225)</f>
        <v>ft / mile</v>
      </c>
      <c r="G225" t="str">
        <f>_xlfn.CONCAT(C225,"_to_",D225)</f>
        <v>mile_to_ft</v>
      </c>
    </row>
    <row r="226" spans="2:7" ht="15" customHeight="1" x14ac:dyDescent="0.5">
      <c r="B226" s="1324"/>
      <c r="E226">
        <v>495</v>
      </c>
      <c r="F226" t="s">
        <v>2549</v>
      </c>
      <c r="G226" t="s">
        <v>2550</v>
      </c>
    </row>
    <row r="227" spans="2:7" ht="15" customHeight="1" x14ac:dyDescent="0.5">
      <c r="B227" s="1324"/>
      <c r="C227" t="s">
        <v>2551</v>
      </c>
      <c r="D227" t="s">
        <v>84</v>
      </c>
      <c r="E227">
        <v>0.82399999999999995</v>
      </c>
      <c r="F227" t="str">
        <f>_xlfn.CONCAT(D227," / ", C227)</f>
        <v>N / NH3</v>
      </c>
      <c r="G227" t="str">
        <f>_xlfn.CONCAT(C227,"_to_",D227)</f>
        <v>NH3_to_N</v>
      </c>
    </row>
    <row r="228" spans="2:7" ht="15" customHeight="1" x14ac:dyDescent="0.5">
      <c r="B228" s="1324"/>
      <c r="C228" t="s">
        <v>2552</v>
      </c>
      <c r="D228" t="s">
        <v>84</v>
      </c>
      <c r="E228">
        <v>0.77800000000000002</v>
      </c>
      <c r="F228" t="str">
        <f t="shared" ref="F228:F243" si="62">_xlfn.CONCAT(D228," / ", C228)</f>
        <v>N / NH4</v>
      </c>
      <c r="G228" t="str">
        <f t="shared" ref="G228:G243" si="63">_xlfn.CONCAT(C228,"_to_",D228)</f>
        <v>NH4_to_N</v>
      </c>
    </row>
    <row r="229" spans="2:7" ht="15" customHeight="1" x14ac:dyDescent="0.5">
      <c r="B229" s="1324"/>
      <c r="C229" t="s">
        <v>2553</v>
      </c>
      <c r="D229" t="s">
        <v>84</v>
      </c>
      <c r="E229">
        <v>0.22600000000000001</v>
      </c>
      <c r="F229" t="str">
        <f t="shared" si="62"/>
        <v>N / NO3</v>
      </c>
      <c r="G229" t="str">
        <f t="shared" si="63"/>
        <v>NO3_to_N</v>
      </c>
    </row>
    <row r="230" spans="2:7" ht="15" customHeight="1" x14ac:dyDescent="0.5">
      <c r="B230" s="1324"/>
      <c r="C230" t="s">
        <v>84</v>
      </c>
      <c r="D230" t="s">
        <v>2551</v>
      </c>
      <c r="E230">
        <v>1.216</v>
      </c>
      <c r="F230" t="str">
        <f t="shared" si="62"/>
        <v>NH3 / N</v>
      </c>
      <c r="G230" t="str">
        <f t="shared" si="63"/>
        <v>N_to_NH3</v>
      </c>
    </row>
    <row r="231" spans="2:7" ht="15" customHeight="1" x14ac:dyDescent="0.5">
      <c r="B231" s="1324"/>
      <c r="C231" t="s">
        <v>84</v>
      </c>
      <c r="D231" t="s">
        <v>2552</v>
      </c>
      <c r="E231">
        <v>1.2849999999999999</v>
      </c>
      <c r="F231" t="str">
        <f t="shared" si="62"/>
        <v>NH4 / N</v>
      </c>
      <c r="G231" t="str">
        <f t="shared" si="63"/>
        <v>N_to_NH4</v>
      </c>
    </row>
    <row r="232" spans="2:7" ht="15" customHeight="1" x14ac:dyDescent="0.5">
      <c r="B232" s="1324"/>
      <c r="C232" t="s">
        <v>84</v>
      </c>
      <c r="D232" t="s">
        <v>2553</v>
      </c>
      <c r="E232">
        <v>4.4249999999999998</v>
      </c>
      <c r="F232" t="str">
        <f t="shared" si="62"/>
        <v>NO3 / N</v>
      </c>
      <c r="G232" t="str">
        <f t="shared" si="63"/>
        <v>N_to_NO3</v>
      </c>
    </row>
    <row r="233" spans="2:7" ht="15" customHeight="1" x14ac:dyDescent="0.5">
      <c r="B233" s="1324"/>
      <c r="C233" t="s">
        <v>2554</v>
      </c>
      <c r="D233" t="s">
        <v>704</v>
      </c>
      <c r="E233">
        <v>0.32600000000000001</v>
      </c>
      <c r="F233" t="str">
        <f t="shared" si="62"/>
        <v>P / PO4</v>
      </c>
      <c r="G233" t="str">
        <f t="shared" si="63"/>
        <v>PO4_to_P</v>
      </c>
    </row>
    <row r="234" spans="2:7" ht="15" customHeight="1" x14ac:dyDescent="0.5">
      <c r="B234" s="1324"/>
      <c r="C234" t="s">
        <v>941</v>
      </c>
      <c r="D234" t="s">
        <v>704</v>
      </c>
      <c r="E234">
        <v>0.437</v>
      </c>
      <c r="F234" t="str">
        <f t="shared" si="62"/>
        <v>P / P2O5</v>
      </c>
      <c r="G234" t="str">
        <f t="shared" si="63"/>
        <v>P2O5_to_P</v>
      </c>
    </row>
    <row r="235" spans="2:7" ht="15" customHeight="1" x14ac:dyDescent="0.5">
      <c r="B235" s="1324"/>
      <c r="C235" t="s">
        <v>704</v>
      </c>
      <c r="D235" t="s">
        <v>2554</v>
      </c>
      <c r="E235">
        <v>3.0670000000000002</v>
      </c>
      <c r="F235" t="str">
        <f t="shared" si="62"/>
        <v>PO4 / P</v>
      </c>
      <c r="G235" t="str">
        <f t="shared" si="63"/>
        <v>P_to_PO4</v>
      </c>
    </row>
    <row r="236" spans="2:7" ht="15" customHeight="1" x14ac:dyDescent="0.5">
      <c r="B236" s="1324"/>
      <c r="C236" t="s">
        <v>704</v>
      </c>
      <c r="D236" t="s">
        <v>941</v>
      </c>
      <c r="E236">
        <v>2.2879999999999998</v>
      </c>
      <c r="F236" t="str">
        <f t="shared" si="62"/>
        <v>P2O5 / P</v>
      </c>
      <c r="G236" t="str">
        <f t="shared" si="63"/>
        <v>P_to_P2O5</v>
      </c>
    </row>
    <row r="237" spans="2:7" ht="15" customHeight="1" x14ac:dyDescent="0.5">
      <c r="B237" s="1324"/>
      <c r="C237" t="s">
        <v>934</v>
      </c>
      <c r="D237" t="s">
        <v>702</v>
      </c>
      <c r="E237">
        <v>0.83</v>
      </c>
      <c r="F237" t="str">
        <f t="shared" si="62"/>
        <v>K / K2O</v>
      </c>
      <c r="G237" t="str">
        <f t="shared" si="63"/>
        <v>K2O_to_K</v>
      </c>
    </row>
    <row r="238" spans="2:7" ht="15" customHeight="1" x14ac:dyDescent="0.5">
      <c r="B238" s="1324"/>
      <c r="C238" t="s">
        <v>702</v>
      </c>
      <c r="D238" t="s">
        <v>934</v>
      </c>
      <c r="E238">
        <v>1.2050000000000001</v>
      </c>
      <c r="F238" t="str">
        <f t="shared" si="62"/>
        <v>K2O / K</v>
      </c>
      <c r="G238" t="str">
        <f t="shared" si="63"/>
        <v>K_to_K2O</v>
      </c>
    </row>
    <row r="239" spans="2:7" ht="15" customHeight="1" x14ac:dyDescent="0.5">
      <c r="B239" s="1324"/>
      <c r="C239" t="s">
        <v>2435</v>
      </c>
      <c r="D239" t="s">
        <v>2555</v>
      </c>
      <c r="E239">
        <f>1/UC.BTU_to_MJ</f>
        <v>947.81339449889106</v>
      </c>
      <c r="F239" t="str">
        <f t="shared" si="62"/>
        <v>BTU / MJ</v>
      </c>
      <c r="G239" t="str">
        <f t="shared" si="63"/>
        <v>MJ_to_BTU</v>
      </c>
    </row>
    <row r="240" spans="2:7" ht="15" customHeight="1" x14ac:dyDescent="0.5">
      <c r="B240" s="1324"/>
      <c r="C240" t="s">
        <v>2555</v>
      </c>
      <c r="D240" t="s">
        <v>2435</v>
      </c>
      <c r="E240">
        <v>1.05506E-3</v>
      </c>
      <c r="F240" t="str">
        <f t="shared" si="62"/>
        <v>MJ / BTU</v>
      </c>
      <c r="G240" t="str">
        <f t="shared" si="63"/>
        <v>BTU_to_MJ</v>
      </c>
    </row>
    <row r="241" spans="2:8" ht="15" customHeight="1" x14ac:dyDescent="0.5">
      <c r="B241" s="1324"/>
      <c r="C241" t="s">
        <v>2435</v>
      </c>
      <c r="D241" t="s">
        <v>2556</v>
      </c>
      <c r="E241">
        <f>0.000000278*1000000</f>
        <v>0.27799999999999997</v>
      </c>
      <c r="F241" t="str">
        <f t="shared" si="62"/>
        <v>kWh / MJ</v>
      </c>
      <c r="G241" t="str">
        <f t="shared" si="63"/>
        <v>MJ_to_kWh</v>
      </c>
    </row>
    <row r="242" spans="2:8" ht="15" customHeight="1" x14ac:dyDescent="0.5">
      <c r="B242" s="1324"/>
      <c r="C242" t="s">
        <v>2556</v>
      </c>
      <c r="D242" t="s">
        <v>2435</v>
      </c>
      <c r="E242">
        <f>1/E241</f>
        <v>3.5971223021582737</v>
      </c>
      <c r="F242" t="str">
        <f t="shared" si="62"/>
        <v>MJ / kWh</v>
      </c>
      <c r="G242" t="str">
        <f t="shared" si="63"/>
        <v>kWh_to_MJ</v>
      </c>
    </row>
    <row r="243" spans="2:8" ht="15" customHeight="1" x14ac:dyDescent="0.5">
      <c r="B243" s="1324"/>
      <c r="C243" t="s">
        <v>2435</v>
      </c>
      <c r="D243" t="s">
        <v>2557</v>
      </c>
      <c r="E243">
        <f>UC.MJ_to_BTU/1000</f>
        <v>0.94781339449889102</v>
      </c>
      <c r="F243" t="str">
        <f t="shared" si="62"/>
        <v>MMBTU / MJ</v>
      </c>
      <c r="G243" t="str">
        <f t="shared" si="63"/>
        <v>MJ_to_MMBTU</v>
      </c>
    </row>
    <row r="244" spans="2:8" ht="15" customHeight="1" x14ac:dyDescent="0.5">
      <c r="B244" s="1324"/>
      <c r="C244" t="s">
        <v>2558</v>
      </c>
      <c r="D244" t="s">
        <v>84</v>
      </c>
      <c r="E244">
        <v>0.318247</v>
      </c>
      <c r="F244" t="str">
        <f>_xlfn.CONCAT(D244," / ", C244)</f>
        <v>N / N2O</v>
      </c>
      <c r="G244" t="str">
        <f>_xlfn.CONCAT(C244,"_to_",D244)</f>
        <v>N2O_to_N</v>
      </c>
    </row>
    <row r="245" spans="2:8" ht="15" customHeight="1" x14ac:dyDescent="0.5">
      <c r="B245" s="1324"/>
      <c r="C245" t="s">
        <v>84</v>
      </c>
      <c r="D245" t="s">
        <v>2558</v>
      </c>
      <c r="E245">
        <f>1/E244</f>
        <v>3.1422134379899891</v>
      </c>
      <c r="F245" t="str">
        <f>_xlfn.CONCAT(D245," / ", C245)</f>
        <v>N2O / N</v>
      </c>
      <c r="G245" t="str">
        <f>_xlfn.CONCAT(C245,"_to_",D245)</f>
        <v>N_to_N2O</v>
      </c>
    </row>
    <row r="246" spans="2:8" ht="15" customHeight="1" x14ac:dyDescent="0.5">
      <c r="B246" s="1324"/>
      <c r="C246" s="1324"/>
      <c r="D246" s="1324"/>
      <c r="E246" s="1324"/>
    </row>
    <row r="247" spans="2:8" ht="15" customHeight="1" x14ac:dyDescent="0.5">
      <c r="B247" s="1324"/>
      <c r="C247" s="1324"/>
      <c r="D247" s="1324"/>
      <c r="E247" s="1324"/>
    </row>
    <row r="248" spans="2:8" ht="15" customHeight="1" x14ac:dyDescent="0.5">
      <c r="B248" s="1324"/>
      <c r="C248" s="1324"/>
      <c r="D248" s="1324"/>
      <c r="E248" s="1324"/>
    </row>
    <row r="249" spans="2:8" ht="15" customHeight="1" x14ac:dyDescent="0.5">
      <c r="B249" s="1324"/>
      <c r="C249" s="1324"/>
      <c r="D249" s="1324"/>
      <c r="E249" s="1324"/>
    </row>
    <row r="250" spans="2:8" ht="15" customHeight="1" x14ac:dyDescent="0.5">
      <c r="B250" s="1324"/>
      <c r="C250" s="1324"/>
      <c r="D250" s="1324"/>
      <c r="E250" s="1324"/>
    </row>
    <row r="251" spans="2:8" ht="15" customHeight="1" x14ac:dyDescent="0.5">
      <c r="B251" s="1324"/>
      <c r="C251" s="1324"/>
      <c r="D251" s="1324"/>
      <c r="E251" s="1324"/>
    </row>
    <row r="252" spans="2:8" ht="15" customHeight="1" x14ac:dyDescent="0.5">
      <c r="B252" s="1324"/>
      <c r="C252" s="1324"/>
      <c r="D252" s="1324"/>
      <c r="E252" s="1324"/>
    </row>
    <row r="253" spans="2:8" ht="15" customHeight="1" x14ac:dyDescent="0.5">
      <c r="B253" s="1324"/>
      <c r="C253" s="1324"/>
      <c r="D253" s="1324"/>
      <c r="E253" s="1324"/>
    </row>
    <row r="254" spans="2:8" x14ac:dyDescent="0.3">
      <c r="C254" s="345"/>
      <c r="D254" s="345"/>
      <c r="E254" s="345"/>
      <c r="F254" s="345"/>
      <c r="G254" s="345"/>
      <c r="H254" s="345"/>
    </row>
    <row r="255" spans="2:8" x14ac:dyDescent="0.3">
      <c r="B255" s="1214"/>
      <c r="G255" s="82" t="s">
        <v>2559</v>
      </c>
    </row>
    <row r="256" spans="2:8" x14ac:dyDescent="0.3">
      <c r="B256" s="1214"/>
      <c r="D256" s="82" t="s">
        <v>2560</v>
      </c>
      <c r="G256" t="s">
        <v>2561</v>
      </c>
    </row>
    <row r="257" spans="2:7" x14ac:dyDescent="0.3">
      <c r="B257" s="1214"/>
      <c r="C257" s="82" t="s">
        <v>304</v>
      </c>
      <c r="D257" t="s">
        <v>2212</v>
      </c>
      <c r="E257" s="82" t="s">
        <v>2190</v>
      </c>
      <c r="G257" t="s">
        <v>2562</v>
      </c>
    </row>
    <row r="258" spans="2:7" x14ac:dyDescent="0.3">
      <c r="B258" s="1214"/>
      <c r="C258" s="82"/>
      <c r="G258" t="s">
        <v>2563</v>
      </c>
    </row>
    <row r="259" spans="2:7" x14ac:dyDescent="0.3">
      <c r="B259" s="1214"/>
      <c r="G259" t="s">
        <v>2564</v>
      </c>
    </row>
    <row r="260" spans="2:7" x14ac:dyDescent="0.3">
      <c r="B260" s="1214"/>
      <c r="C260" t="s">
        <v>2565</v>
      </c>
      <c r="D260" t="str">
        <f>UDV.u.unit_system</f>
        <v>US Customary</v>
      </c>
      <c r="G260" t="s">
        <v>2566</v>
      </c>
    </row>
    <row r="261" spans="2:7" x14ac:dyDescent="0.3">
      <c r="C261" t="s">
        <v>2567</v>
      </c>
      <c r="D261">
        <f>UDV.u.unit_index</f>
        <v>2</v>
      </c>
      <c r="G261" t="s">
        <v>2568</v>
      </c>
    </row>
    <row r="262" spans="2:7" x14ac:dyDescent="0.3">
      <c r="G262" t="s">
        <v>2569</v>
      </c>
    </row>
    <row r="263" spans="2:7" x14ac:dyDescent="0.3">
      <c r="G263" t="s">
        <v>2570</v>
      </c>
    </row>
    <row r="265" spans="2:7" x14ac:dyDescent="0.3">
      <c r="B265" s="849" t="s">
        <v>2528</v>
      </c>
      <c r="C265" s="849"/>
      <c r="D265" s="849"/>
      <c r="E265" s="849"/>
      <c r="F265" s="849"/>
      <c r="G265" s="849"/>
    </row>
  </sheetData>
  <dataValidations count="1">
    <dataValidation type="list" allowBlank="1" showInputMessage="1" showErrorMessage="1" sqref="D257" xr:uid="{76D12B4C-5E7C-4D7C-8742-70AC47E5A0F1}">
      <formula1>DROPS.u.unit_system</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797B-6FB7-433D-91DD-6B04164FD048}">
  <sheetPr codeName="Sheet17"/>
  <dimension ref="A2:S112"/>
  <sheetViews>
    <sheetView workbookViewId="0">
      <selection activeCell="G30" sqref="G30"/>
    </sheetView>
  </sheetViews>
  <sheetFormatPr defaultColWidth="9.109375" defaultRowHeight="14.4" x14ac:dyDescent="0.3"/>
  <cols>
    <col min="1" max="1" width="38" bestFit="1" customWidth="1"/>
    <col min="2" max="2" width="11.44140625" customWidth="1"/>
    <col min="3" max="3" width="52.109375" customWidth="1"/>
    <col min="4" max="4" width="18.44140625" customWidth="1"/>
    <col min="5" max="5" width="26" customWidth="1"/>
    <col min="6" max="6" width="28.109375" customWidth="1"/>
    <col min="7" max="7" width="23.33203125" customWidth="1"/>
    <col min="8" max="8" width="14.5546875" customWidth="1"/>
    <col min="9" max="9" width="16.5546875" customWidth="1"/>
    <col min="10" max="32" width="19.44140625" customWidth="1"/>
    <col min="33" max="33" width="15.5546875" bestFit="1" customWidth="1"/>
    <col min="34" max="34" width="46.44140625" customWidth="1"/>
    <col min="35" max="35" width="11" bestFit="1" customWidth="1"/>
    <col min="36" max="36" width="13.44140625" customWidth="1"/>
    <col min="37" max="37" width="12.5546875" customWidth="1"/>
    <col min="38" max="38" width="18.5546875" customWidth="1"/>
    <col min="43" max="43" width="12" bestFit="1" customWidth="1"/>
    <col min="54" max="54" width="35.88671875" customWidth="1"/>
    <col min="55" max="56" width="21.44140625" customWidth="1"/>
    <col min="57" max="57" width="21.33203125" customWidth="1"/>
    <col min="58" max="58" width="17.6640625" customWidth="1"/>
    <col min="59" max="59" width="14.44140625" customWidth="1"/>
    <col min="60" max="60" width="15.6640625" customWidth="1"/>
    <col min="61" max="61" width="15" customWidth="1"/>
    <col min="67" max="67" width="22" customWidth="1"/>
  </cols>
  <sheetData>
    <row r="2" spans="2:6" x14ac:dyDescent="0.3">
      <c r="B2" t="s">
        <v>2571</v>
      </c>
    </row>
    <row r="3" spans="2:6" x14ac:dyDescent="0.3">
      <c r="C3" s="345" t="s">
        <v>651</v>
      </c>
      <c r="D3" s="123" t="s">
        <v>652</v>
      </c>
      <c r="E3" s="123" t="s">
        <v>653</v>
      </c>
      <c r="F3" s="123" t="s">
        <v>654</v>
      </c>
    </row>
    <row r="4" spans="2:6" ht="28.8" x14ac:dyDescent="0.3">
      <c r="B4" s="606" t="s">
        <v>445</v>
      </c>
      <c r="C4" s="49" t="str">
        <f>Units!B$72</f>
        <v>tonne (1000 kg) CO2E/head/year</v>
      </c>
      <c r="D4" s="49">
        <f>Units!C$72</f>
        <v>1.1023113099999999</v>
      </c>
      <c r="E4" s="49">
        <f>Units!D$72</f>
        <v>0.90718474076075661</v>
      </c>
      <c r="F4" s="49" t="str">
        <f>Units!E$72</f>
        <v>ton (2000 lb) CO2E/head/year</v>
      </c>
    </row>
    <row r="5" spans="2:6" x14ac:dyDescent="0.3">
      <c r="B5" s="49" t="s">
        <v>504</v>
      </c>
      <c r="C5" s="49" t="str">
        <f>Units!B$7</f>
        <v>acre/head/year</v>
      </c>
      <c r="D5" s="49">
        <f>Units!C$7</f>
        <v>1</v>
      </c>
      <c r="E5" s="49">
        <f>Units!D$7</f>
        <v>1</v>
      </c>
      <c r="F5" s="49" t="str">
        <f>Units!E$7</f>
        <v>acre/head/year</v>
      </c>
    </row>
    <row r="6" spans="2:6" x14ac:dyDescent="0.3">
      <c r="B6" s="49" t="s">
        <v>501</v>
      </c>
      <c r="C6" s="49" t="str">
        <f>Units!B$103</f>
        <v>kWhr/head/year</v>
      </c>
      <c r="D6" s="49">
        <f>Units!C$103</f>
        <v>1</v>
      </c>
      <c r="E6" s="49">
        <f>Units!D$103</f>
        <v>1</v>
      </c>
      <c r="F6" s="49" t="str">
        <f>Units!E$103</f>
        <v>kWhr/head/year</v>
      </c>
    </row>
    <row r="7" spans="2:6" x14ac:dyDescent="0.3">
      <c r="B7" s="49" t="s">
        <v>507</v>
      </c>
      <c r="C7" s="49" t="str">
        <f>Units!B$137</f>
        <v>gal/head/year</v>
      </c>
      <c r="D7" s="49">
        <f>Units!C$137</f>
        <v>1</v>
      </c>
      <c r="E7" s="49">
        <f>Units!D$137</f>
        <v>1</v>
      </c>
      <c r="F7" s="49" t="str">
        <f>Units!E$137</f>
        <v>gal/head/year</v>
      </c>
    </row>
    <row r="8" spans="2:6" x14ac:dyDescent="0.3">
      <c r="B8" s="49" t="s">
        <v>201</v>
      </c>
      <c r="C8" s="49" t="str">
        <f>Units!B$71</f>
        <v>lb/head/year</v>
      </c>
      <c r="D8" s="49">
        <f>Units!C$71</f>
        <v>1</v>
      </c>
      <c r="E8" s="49">
        <f>Units!D$71</f>
        <v>1</v>
      </c>
      <c r="F8" s="49" t="str">
        <f>Units!E$71</f>
        <v>lb/head/year</v>
      </c>
    </row>
    <row r="9" spans="2:6" x14ac:dyDescent="0.3">
      <c r="B9" s="49" t="s">
        <v>2572</v>
      </c>
      <c r="C9" s="49" t="str">
        <f>Units!B$71</f>
        <v>lb/head/year</v>
      </c>
      <c r="D9" s="49">
        <f>Units!C$71</f>
        <v>1</v>
      </c>
      <c r="E9" s="49">
        <f>Units!D$71</f>
        <v>1</v>
      </c>
      <c r="F9" s="49" t="str">
        <f>Units!E$71</f>
        <v>lb/head/year</v>
      </c>
    </row>
    <row r="10" spans="2:6" x14ac:dyDescent="0.3">
      <c r="B10" s="49"/>
      <c r="C10" s="49"/>
      <c r="D10" s="49"/>
      <c r="E10" s="49"/>
      <c r="F10" s="49"/>
    </row>
    <row r="11" spans="2:6" x14ac:dyDescent="0.3">
      <c r="B11" s="49"/>
      <c r="C11" s="49"/>
      <c r="D11" s="49"/>
      <c r="E11" s="49"/>
      <c r="F11" s="49"/>
    </row>
    <row r="12" spans="2:6" x14ac:dyDescent="0.3">
      <c r="B12" s="49" t="s">
        <v>2573</v>
      </c>
      <c r="C12" s="49" t="str">
        <f>Units!B$9</f>
        <v>acre/year</v>
      </c>
      <c r="D12" s="49">
        <f>Units!C$9</f>
        <v>1</v>
      </c>
      <c r="E12" s="49">
        <f>Units!D$9</f>
        <v>1</v>
      </c>
      <c r="F12" s="49" t="str">
        <f>Units!E$9</f>
        <v>acre/year</v>
      </c>
    </row>
    <row r="13" spans="2:6" x14ac:dyDescent="0.3">
      <c r="B13" s="49" t="s">
        <v>2574</v>
      </c>
      <c r="C13" s="49" t="str">
        <f>Units!B$86</f>
        <v>ton (2000 lb)/year</v>
      </c>
      <c r="D13" s="49">
        <f>Units!C$86</f>
        <v>1</v>
      </c>
      <c r="E13" s="49">
        <f>Units!D$86</f>
        <v>1</v>
      </c>
      <c r="F13" s="49" t="str">
        <f>Units!E$86</f>
        <v>ton (2000 lb)/year</v>
      </c>
    </row>
    <row r="14" spans="2:6" x14ac:dyDescent="0.3">
      <c r="B14" s="49" t="s">
        <v>2575</v>
      </c>
      <c r="C14" s="49" t="str">
        <f>Units!B$86</f>
        <v>ton (2000 lb)/year</v>
      </c>
      <c r="D14" s="49">
        <f>Units!C$86</f>
        <v>1</v>
      </c>
      <c r="E14" s="49">
        <f>Units!D$86</f>
        <v>1</v>
      </c>
      <c r="F14" s="49" t="str">
        <f>Units!E$86</f>
        <v>ton (2000 lb)/year</v>
      </c>
    </row>
    <row r="15" spans="2:6" x14ac:dyDescent="0.3">
      <c r="B15" s="49" t="s">
        <v>2476</v>
      </c>
      <c r="C15" s="49" t="str">
        <f>Units!B149</f>
        <v>gal/year</v>
      </c>
      <c r="D15" s="49">
        <f>Units!C149</f>
        <v>1</v>
      </c>
      <c r="E15" s="49">
        <f>Units!D149</f>
        <v>1</v>
      </c>
      <c r="F15" s="49" t="str">
        <f>Units!E149</f>
        <v>gal/year</v>
      </c>
    </row>
    <row r="16" spans="2:6" x14ac:dyDescent="0.3">
      <c r="B16" s="49" t="s">
        <v>2266</v>
      </c>
      <c r="C16" s="49" t="str">
        <f>Units!B2</f>
        <v>acre</v>
      </c>
      <c r="D16" s="49">
        <f>Units!C2</f>
        <v>1</v>
      </c>
      <c r="E16" s="49">
        <f>Units!D2</f>
        <v>1</v>
      </c>
      <c r="F16" s="49" t="str">
        <f>Units!E2</f>
        <v>acre</v>
      </c>
    </row>
    <row r="18" spans="1:19" x14ac:dyDescent="0.3">
      <c r="B18" s="49" t="s">
        <v>2576</v>
      </c>
      <c r="C18" s="49" t="str">
        <f>Units!B$88</f>
        <v>lb/1000 gal</v>
      </c>
      <c r="D18" s="49">
        <f>Units!C$88</f>
        <v>1</v>
      </c>
      <c r="E18" s="49">
        <f>Units!D$88</f>
        <v>1</v>
      </c>
      <c r="F18" s="49" t="str">
        <f>Units!E$88</f>
        <v>lb/1000 gal</v>
      </c>
    </row>
    <row r="19" spans="1:19" x14ac:dyDescent="0.3">
      <c r="B19" s="49" t="s">
        <v>2577</v>
      </c>
      <c r="C19" s="49" t="str">
        <f>Units!B$73</f>
        <v>lb/ton (2000 lb)</v>
      </c>
      <c r="D19" s="49">
        <f>Units!C$73</f>
        <v>1</v>
      </c>
      <c r="E19" s="49">
        <f>Units!D$73</f>
        <v>1</v>
      </c>
      <c r="F19" s="49" t="str">
        <f>Units!E$73</f>
        <v>lb/ton (2000 lb)</v>
      </c>
    </row>
    <row r="22" spans="1:19" x14ac:dyDescent="0.3">
      <c r="C22" s="82" t="s">
        <v>2578</v>
      </c>
      <c r="J22" s="82" t="s">
        <v>2579</v>
      </c>
      <c r="K22" t="s">
        <v>603</v>
      </c>
      <c r="M22" t="s">
        <v>590</v>
      </c>
      <c r="O22" t="s">
        <v>591</v>
      </c>
      <c r="Q22" t="s">
        <v>592</v>
      </c>
      <c r="S22" t="s">
        <v>593</v>
      </c>
    </row>
    <row r="23" spans="1:19" x14ac:dyDescent="0.3">
      <c r="C23" t="s">
        <v>2580</v>
      </c>
      <c r="D23">
        <f>MATCH(D24,Output.Rankings!$C$7:$C$33,0)</f>
        <v>1</v>
      </c>
      <c r="E23">
        <f ca="1">MATCH(E24,Output.Rankings!$C$7:$C$33,0)</f>
        <v>1</v>
      </c>
      <c r="F23">
        <f ca="1">MATCH(F24,Output.Rankings!$C$7:$C$33,0)</f>
        <v>3</v>
      </c>
      <c r="G23">
        <f ca="1">MATCH(G24,Output.Rankings!$C$7:$C$33,0)</f>
        <v>2</v>
      </c>
      <c r="H23">
        <f ca="1">MATCH(H24,Output.Rankings!$C$7:$C$33,0)</f>
        <v>4</v>
      </c>
    </row>
    <row r="24" spans="1:19" x14ac:dyDescent="0.3">
      <c r="D24" t="str">
        <f>UDV.u.farm_baseline</f>
        <v>Deep pit, tanker</v>
      </c>
      <c r="E24" t="str">
        <f ca="1">UDV.u.farm_alt1</f>
        <v>Deep pit, tanker</v>
      </c>
      <c r="F24" t="str">
        <f ca="1">UDV.u.farm_alt2</f>
        <v>Deep pit, aeration, tanker</v>
      </c>
      <c r="G24" t="str">
        <f ca="1">UDV.u.farm_alt3</f>
        <v>Deep pit, drag hose</v>
      </c>
      <c r="H24" t="str">
        <f ca="1">UDV.u.farm_alt4</f>
        <v>Deep pit, aeration, drag hose</v>
      </c>
    </row>
    <row r="25" spans="1:19" x14ac:dyDescent="0.3">
      <c r="A25" s="82" t="s">
        <v>434</v>
      </c>
      <c r="D25" t="s">
        <v>603</v>
      </c>
      <c r="E25" t="s">
        <v>590</v>
      </c>
      <c r="F25" t="s">
        <v>591</v>
      </c>
      <c r="G25" t="s">
        <v>592</v>
      </c>
      <c r="H25" t="s">
        <v>593</v>
      </c>
      <c r="K25" t="s">
        <v>603</v>
      </c>
      <c r="M25" t="s">
        <v>590</v>
      </c>
      <c r="O25" t="s">
        <v>591</v>
      </c>
      <c r="Q25" t="s">
        <v>592</v>
      </c>
      <c r="S25" t="s">
        <v>593</v>
      </c>
    </row>
    <row r="26" spans="1:19" ht="15.6" x14ac:dyDescent="0.3">
      <c r="C26" s="1740" t="s">
        <v>2581</v>
      </c>
      <c r="D26" s="50" cm="1">
        <f t="array" ref="D26">INDEX(Output.Rankings!$G$7:$G$33,D$23)</f>
        <v>0</v>
      </c>
      <c r="E26" s="50" cm="1">
        <f t="array" aca="1" ref="E26" ca="1">INDEX(Output.Rankings!$G$7:$G$33,E$23)</f>
        <v>0</v>
      </c>
      <c r="F26" s="50" cm="1">
        <f t="array" aca="1" ref="F26" ca="1">INDEX(Output.Rankings!$G$7:$G$33,F$23)</f>
        <v>0</v>
      </c>
      <c r="G26" s="50" cm="1">
        <f t="array" aca="1" ref="G26" ca="1">INDEX(Output.Rankings!$G$7:$G$33,G$23)</f>
        <v>0</v>
      </c>
      <c r="H26" s="50" cm="1">
        <f t="array" aca="1" ref="H26" ca="1">INDEX(Output.Rankings!$G$7:$G$33,H$23)</f>
        <v>0</v>
      </c>
      <c r="I26" s="50"/>
      <c r="J26" s="49" t="s">
        <v>2582</v>
      </c>
      <c r="K26" s="50">
        <f>D26</f>
        <v>0</v>
      </c>
      <c r="L26" s="50"/>
      <c r="M26" s="50">
        <f t="shared" ref="M26:M32" ca="1" si="0">E26</f>
        <v>0</v>
      </c>
      <c r="N26" s="50"/>
      <c r="O26" s="50">
        <f t="shared" ref="O26:O32" ca="1" si="1">F26</f>
        <v>0</v>
      </c>
      <c r="P26" s="50"/>
      <c r="Q26" s="50">
        <f t="shared" ref="Q26:Q32" ca="1" si="2">G26</f>
        <v>0</v>
      </c>
      <c r="R26" s="50"/>
      <c r="S26" s="50">
        <f t="shared" ref="S26:S32" ca="1" si="3">H26</f>
        <v>0</v>
      </c>
    </row>
    <row r="27" spans="1:19" ht="15.6" x14ac:dyDescent="0.3">
      <c r="A27" t="s">
        <v>2583</v>
      </c>
      <c r="C27" s="1740" t="s">
        <v>2584</v>
      </c>
      <c r="D27" s="50" cm="1">
        <f t="array" ref="D27">INDEX(Output.Rankings!$H$7:$H$33,D$23)</f>
        <v>80.019532027672795</v>
      </c>
      <c r="E27" s="50" cm="1">
        <f t="array" aca="1" ref="E27" ca="1">INDEX(Output.Rankings!$H$7:$H$33,E$23)</f>
        <v>80.019532027672795</v>
      </c>
      <c r="F27" s="50" cm="1">
        <f t="array" aca="1" ref="F27" ca="1">INDEX(Output.Rankings!$H$7:$H$33,F$23)</f>
        <v>75.941569540956351</v>
      </c>
      <c r="G27" s="50" cm="1">
        <f t="array" aca="1" ref="G27" ca="1">INDEX(Output.Rankings!$H$7:$H$33,G$23)</f>
        <v>187.39420738076305</v>
      </c>
      <c r="H27" s="50" cm="1">
        <f t="array" aca="1" ref="H27" ca="1">INDEX(Output.Rankings!$H$7:$H$33,H$23)</f>
        <v>161.4622436895265</v>
      </c>
      <c r="I27" s="50"/>
      <c r="J27" s="49" t="s">
        <v>2585</v>
      </c>
      <c r="K27" s="50">
        <f t="shared" ref="K27:K32" si="4">D27</f>
        <v>80.019532027672795</v>
      </c>
      <c r="L27" s="50"/>
      <c r="M27" s="50">
        <f t="shared" ca="1" si="0"/>
        <v>80.019532027672795</v>
      </c>
      <c r="N27" s="50"/>
      <c r="O27" s="50">
        <f t="shared" ca="1" si="1"/>
        <v>75.941569540956351</v>
      </c>
      <c r="P27" s="50"/>
      <c r="Q27" s="50">
        <f t="shared" ca="1" si="2"/>
        <v>187.39420738076305</v>
      </c>
      <c r="R27" s="50"/>
      <c r="S27" s="50">
        <f t="shared" ca="1" si="3"/>
        <v>161.4622436895265</v>
      </c>
    </row>
    <row r="28" spans="1:19" ht="15.6" x14ac:dyDescent="0.3">
      <c r="A28" t="s">
        <v>2586</v>
      </c>
      <c r="C28" s="1740" t="s">
        <v>2587</v>
      </c>
      <c r="D28" s="50" cm="1">
        <f t="array" ref="D28">INDEX(Output.Rankings!$I$7:$I$33,D$23)</f>
        <v>29.124523338619547</v>
      </c>
      <c r="E28" s="50" cm="1">
        <f t="array" aca="1" ref="E28" ca="1">INDEX(Output.Rankings!$I$7:$I$33,E$23)</f>
        <v>29.124523338619547</v>
      </c>
      <c r="F28" s="50" cm="1">
        <f t="array" aca="1" ref="F28" ca="1">INDEX(Output.Rankings!$I$7:$I$33,F$23)</f>
        <v>27.847553470780319</v>
      </c>
      <c r="G28" s="50" cm="1">
        <f t="array" aca="1" ref="G28" ca="1">INDEX(Output.Rankings!$I$7:$I$33,G$23)</f>
        <v>65.065295958790145</v>
      </c>
      <c r="H28" s="50" cm="1">
        <f t="array" aca="1" ref="H28" ca="1">INDEX(Output.Rankings!$I$7:$I$33,H$23)</f>
        <v>57.258864061153815</v>
      </c>
      <c r="I28" s="50"/>
      <c r="J28" s="49" t="s">
        <v>2588</v>
      </c>
      <c r="K28" s="50">
        <f t="shared" si="4"/>
        <v>29.124523338619547</v>
      </c>
      <c r="L28" s="50"/>
      <c r="M28" s="50">
        <f t="shared" ca="1" si="0"/>
        <v>29.124523338619547</v>
      </c>
      <c r="N28" s="50"/>
      <c r="O28" s="50">
        <f t="shared" ca="1" si="1"/>
        <v>27.847553470780319</v>
      </c>
      <c r="P28" s="50"/>
      <c r="Q28" s="50">
        <f t="shared" ca="1" si="2"/>
        <v>65.065295958790145</v>
      </c>
      <c r="R28" s="50"/>
      <c r="S28" s="50">
        <f t="shared" ca="1" si="3"/>
        <v>57.258864061153815</v>
      </c>
    </row>
    <row r="29" spans="1:19" x14ac:dyDescent="0.3">
      <c r="A29" t="s">
        <v>2589</v>
      </c>
      <c r="C29" t="s">
        <v>2590</v>
      </c>
      <c r="D29" s="50" cm="1">
        <f t="array" ref="D29">INDEX(Output.Rankings!$K$7:$K$33,D$23)</f>
        <v>26.428080656756883</v>
      </c>
      <c r="E29" s="50" cm="1">
        <f t="array" aca="1" ref="E29" ca="1">INDEX(Output.Rankings!$K$7:$K$33,E$23)</f>
        <v>26.428080656756883</v>
      </c>
      <c r="F29" s="50" cm="1">
        <f t="array" aca="1" ref="F29" ca="1">INDEX(Output.Rankings!$K$7:$K$33,F$23)</f>
        <v>15.847869406081076</v>
      </c>
      <c r="G29" s="50" cm="1">
        <f t="array" aca="1" ref="G29" ca="1">INDEX(Output.Rankings!$K$7:$K$33,G$23)</f>
        <v>26.428080656756883</v>
      </c>
      <c r="H29" s="50" cm="1">
        <f t="array" aca="1" ref="H29" ca="1">INDEX(Output.Rankings!$K$7:$K$33,H$23)</f>
        <v>15.847869406081076</v>
      </c>
      <c r="I29" s="50"/>
      <c r="J29" s="49" t="s">
        <v>440</v>
      </c>
      <c r="K29" s="50">
        <f t="shared" si="4"/>
        <v>26.428080656756883</v>
      </c>
      <c r="L29" s="50"/>
      <c r="M29" s="50">
        <f t="shared" ca="1" si="0"/>
        <v>26.428080656756883</v>
      </c>
      <c r="N29" s="50"/>
      <c r="O29" s="50">
        <f t="shared" ca="1" si="1"/>
        <v>15.847869406081076</v>
      </c>
      <c r="P29" s="50"/>
      <c r="Q29" s="50">
        <f t="shared" ca="1" si="2"/>
        <v>26.428080656756883</v>
      </c>
      <c r="R29" s="50"/>
      <c r="S29" s="50">
        <f t="shared" ca="1" si="3"/>
        <v>15.847869406081076</v>
      </c>
    </row>
    <row r="30" spans="1:19" x14ac:dyDescent="0.3">
      <c r="A30" t="s">
        <v>2591</v>
      </c>
      <c r="C30" t="s">
        <v>2592</v>
      </c>
      <c r="D30" s="50" cm="1">
        <f t="array" ref="D30">INDEX(Output.Rankings!$J$7:$J$33,D$23)</f>
        <v>0</v>
      </c>
      <c r="E30" s="50" cm="1">
        <f t="array" aca="1" ref="E30" ca="1">INDEX(Output.Rankings!$J$7:$J$33,E$23)</f>
        <v>0</v>
      </c>
      <c r="F30" s="50" cm="1">
        <f t="array" aca="1" ref="F30" ca="1">INDEX(Output.Rankings!$J$7:$J$33,F$23)</f>
        <v>0</v>
      </c>
      <c r="G30" s="50" cm="1">
        <f t="array" aca="1" ref="G30" ca="1">INDEX(Output.Rankings!$J$7:$J$33,G$23)</f>
        <v>0</v>
      </c>
      <c r="H30" s="50" cm="1">
        <f t="array" aca="1" ref="H30" ca="1">INDEX(Output.Rankings!$J$7:$J$33,H$23)</f>
        <v>0</v>
      </c>
      <c r="I30" s="50"/>
      <c r="J30" s="49" t="s">
        <v>441</v>
      </c>
      <c r="K30" s="50">
        <f t="shared" si="4"/>
        <v>0</v>
      </c>
      <c r="L30" s="50"/>
      <c r="M30" s="50">
        <f t="shared" ca="1" si="0"/>
        <v>0</v>
      </c>
      <c r="N30" s="50"/>
      <c r="O30" s="50">
        <f t="shared" ca="1" si="1"/>
        <v>0</v>
      </c>
      <c r="P30" s="50"/>
      <c r="Q30" s="50">
        <f t="shared" ca="1" si="2"/>
        <v>0</v>
      </c>
      <c r="R30" s="50"/>
      <c r="S30" s="50">
        <f t="shared" ca="1" si="3"/>
        <v>0</v>
      </c>
    </row>
    <row r="31" spans="1:19" x14ac:dyDescent="0.3">
      <c r="A31" t="s">
        <v>2593</v>
      </c>
      <c r="C31" t="s">
        <v>2594</v>
      </c>
      <c r="D31" s="50" cm="1">
        <f t="array" ref="D31">INDEX(Output.Rankings!$L$7:$L$33,D$23)</f>
        <v>0</v>
      </c>
      <c r="E31" s="50" cm="1">
        <f t="array" aca="1" ref="E31" ca="1">INDEX(Output.Rankings!$L$7:$L$33,E$23)</f>
        <v>0</v>
      </c>
      <c r="F31" s="50" cm="1">
        <f t="array" aca="1" ref="F31" ca="1">INDEX(Output.Rankings!$L$7:$L$33,F$23)</f>
        <v>0</v>
      </c>
      <c r="G31" s="50" cm="1">
        <f t="array" aca="1" ref="G31" ca="1">INDEX(Output.Rankings!$L$7:$L$33,G$23)</f>
        <v>0</v>
      </c>
      <c r="H31" s="50" cm="1">
        <f t="array" aca="1" ref="H31" ca="1">INDEX(Output.Rankings!$L$7:$L$33,H$23)</f>
        <v>0</v>
      </c>
      <c r="I31" s="50"/>
      <c r="J31" s="49" t="s">
        <v>442</v>
      </c>
      <c r="K31" s="50">
        <f t="shared" si="4"/>
        <v>0</v>
      </c>
      <c r="L31" s="50"/>
      <c r="M31" s="50">
        <f t="shared" ca="1" si="0"/>
        <v>0</v>
      </c>
      <c r="N31" s="50"/>
      <c r="O31" s="50">
        <f t="shared" ca="1" si="1"/>
        <v>0</v>
      </c>
      <c r="P31" s="50"/>
      <c r="Q31" s="50">
        <f t="shared" ca="1" si="2"/>
        <v>0</v>
      </c>
      <c r="R31" s="50"/>
      <c r="S31" s="50">
        <f t="shared" ca="1" si="3"/>
        <v>0</v>
      </c>
    </row>
    <row r="32" spans="1:19" ht="15.6" x14ac:dyDescent="0.3">
      <c r="A32" t="s">
        <v>2595</v>
      </c>
      <c r="C32" s="138" t="s">
        <v>2596</v>
      </c>
      <c r="D32" s="50" cm="1">
        <f t="array" ref="D32">INDEX(Output.Rankings!$M$7:$M$33,D$23)</f>
        <v>-82.715974709535459</v>
      </c>
      <c r="E32" s="50" cm="1">
        <f t="array" aca="1" ref="E32" ca="1">INDEX(Output.Rankings!$M$7:$M$33,E$23)</f>
        <v>-82.715974709535459</v>
      </c>
      <c r="F32" s="50" cm="1">
        <f t="array" aca="1" ref="F32" ca="1">INDEX(Output.Rankings!$M$7:$M$33,F$23)</f>
        <v>-87.941253605655589</v>
      </c>
      <c r="G32" s="50" cm="1">
        <f t="array" aca="1" ref="G32" ca="1">INDEX(Output.Rankings!$M$7:$M$33,G$23)</f>
        <v>-226.03142268279629</v>
      </c>
      <c r="H32" s="50" cm="1">
        <f t="array" aca="1" ref="H32" ca="1">INDEX(Output.Rankings!$M$7:$M$33,H$23)</f>
        <v>-202.87323834459923</v>
      </c>
      <c r="I32" s="50"/>
      <c r="J32" s="49" t="s">
        <v>439</v>
      </c>
      <c r="K32" s="50">
        <f t="shared" si="4"/>
        <v>-82.715974709535459</v>
      </c>
      <c r="L32" s="50"/>
      <c r="M32" s="50">
        <f t="shared" ca="1" si="0"/>
        <v>-82.715974709535459</v>
      </c>
      <c r="N32" s="50"/>
      <c r="O32" s="50">
        <f t="shared" ca="1" si="1"/>
        <v>-87.941253605655589</v>
      </c>
      <c r="P32" s="50"/>
      <c r="Q32" s="50">
        <f t="shared" ca="1" si="2"/>
        <v>-226.03142268279629</v>
      </c>
      <c r="R32" s="50"/>
      <c r="S32" s="50">
        <f t="shared" ca="1" si="3"/>
        <v>-202.87323834459923</v>
      </c>
    </row>
    <row r="35" spans="1:19" x14ac:dyDescent="0.3">
      <c r="A35" s="82" t="s">
        <v>2597</v>
      </c>
      <c r="B35" t="s">
        <v>2598</v>
      </c>
      <c r="D35" t="s">
        <v>603</v>
      </c>
      <c r="E35" t="s">
        <v>590</v>
      </c>
      <c r="F35" t="s">
        <v>591</v>
      </c>
      <c r="G35" t="s">
        <v>592</v>
      </c>
      <c r="H35" t="s">
        <v>593</v>
      </c>
      <c r="K35" t="s">
        <v>603</v>
      </c>
      <c r="M35" t="s">
        <v>590</v>
      </c>
      <c r="O35" t="s">
        <v>591</v>
      </c>
      <c r="Q35" t="s">
        <v>592</v>
      </c>
      <c r="S35" t="s">
        <v>593</v>
      </c>
    </row>
    <row r="36" spans="1:19" x14ac:dyDescent="0.3">
      <c r="A36" s="1749" t="s">
        <v>445</v>
      </c>
      <c r="B36" s="49" t="str">
        <f t="shared" ref="B36:B41" si="5">F4</f>
        <v>ton (2000 lb) CO2E/head/year</v>
      </c>
      <c r="C36" s="49" t="str">
        <f>_xlfn.CONCAT(A36, " (", B36, ")")</f>
        <v>Carbon footprint (ton (2000 lb) CO2E/head/year)</v>
      </c>
      <c r="D36" s="49" cm="1">
        <f t="array" ref="D36">INDEX(Output.Rankings!$AF$7:$AF$33,D$23)*$D$4</f>
        <v>0.57113546821359251</v>
      </c>
      <c r="E36" s="49" cm="1">
        <f t="array" aca="1" ref="E36" ca="1">INDEX(Output.Rankings!$AF$7:$AF$33,E$23)*$D$4</f>
        <v>0.57113546821359251</v>
      </c>
      <c r="F36" s="49" cm="1">
        <f t="array" aca="1" ref="F36" ca="1">INDEX(Output.Rankings!$AF$7:$AF$33,F$23)*$D$4</f>
        <v>0.34101792796293395</v>
      </c>
      <c r="G36" s="49" cm="1">
        <f t="array" aca="1" ref="G36" ca="1">INDEX(Output.Rankings!$AF$7:$AF$33,G$23)*$D$4</f>
        <v>0.57399030694705988</v>
      </c>
      <c r="H36" s="49" cm="1">
        <f t="array" aca="1" ref="H36" ca="1">INDEX(Output.Rankings!$AF$7:$AF$33,H$23)*$D$4</f>
        <v>0.34240388293361629</v>
      </c>
      <c r="I36" s="49"/>
      <c r="K36" s="50">
        <f>D36</f>
        <v>0.57113546821359251</v>
      </c>
      <c r="L36" s="50"/>
      <c r="M36" s="50">
        <f t="shared" ref="M36:M48" ca="1" si="6">E36</f>
        <v>0.57113546821359251</v>
      </c>
      <c r="N36" s="50"/>
      <c r="O36" s="50">
        <f t="shared" ref="O36:O48" ca="1" si="7">F36</f>
        <v>0.34101792796293395</v>
      </c>
      <c r="P36" s="50"/>
      <c r="Q36" s="50">
        <f t="shared" ref="Q36:Q48" ca="1" si="8">G36</f>
        <v>0.57399030694705988</v>
      </c>
      <c r="R36" s="50"/>
      <c r="S36" s="50">
        <f t="shared" ref="S36:S48" ca="1" si="9">H36</f>
        <v>0.34240388293361629</v>
      </c>
    </row>
    <row r="37" spans="1:19" x14ac:dyDescent="0.3">
      <c r="A37" s="1749" t="s">
        <v>447</v>
      </c>
      <c r="B37" s="49" t="str">
        <f t="shared" si="5"/>
        <v>acre/head/year</v>
      </c>
      <c r="C37" s="49" t="str">
        <f t="shared" ref="C37:C41" si="10">_xlfn.CONCAT(A37, " (", B37, ")")</f>
        <v>Land footprint (acre/head/year)</v>
      </c>
      <c r="D37" s="49" cm="1">
        <f t="array" ref="D37">INDEX(Output.Rankings!$AG$7:$AG$33,D$23)*$D$5</f>
        <v>0.15290585659551295</v>
      </c>
      <c r="E37" s="49" cm="1">
        <f t="array" aca="1" ref="E37" ca="1">INDEX(Output.Rankings!$AG$7:$AG$33,E$23)*$D$5</f>
        <v>0.15290585659551295</v>
      </c>
      <c r="F37" s="49" cm="1">
        <f t="array" aca="1" ref="F37" ca="1">INDEX(Output.Rankings!$AG$7:$AG$33,F$23)*$D$5</f>
        <v>9.1748660576578017E-2</v>
      </c>
      <c r="G37" s="49" cm="1">
        <f t="array" aca="1" ref="G37" ca="1">INDEX(Output.Rankings!$AG$7:$AG$33,G$23)*$D$5</f>
        <v>0.15290585659551295</v>
      </c>
      <c r="H37" s="49" cm="1">
        <f t="array" aca="1" ref="H37" ca="1">INDEX(Output.Rankings!$AG$7:$AG$33,H$23)*$D$5</f>
        <v>9.1748660576578017E-2</v>
      </c>
      <c r="I37" s="49"/>
      <c r="K37" s="50">
        <f t="shared" ref="K37:K41" si="11">D37</f>
        <v>0.15290585659551295</v>
      </c>
      <c r="L37" s="50"/>
      <c r="M37" s="50">
        <f t="shared" ca="1" si="6"/>
        <v>0.15290585659551295</v>
      </c>
      <c r="N37" s="50"/>
      <c r="O37" s="50">
        <f t="shared" ca="1" si="7"/>
        <v>9.1748660576578017E-2</v>
      </c>
      <c r="P37" s="50"/>
      <c r="Q37" s="50">
        <f t="shared" ca="1" si="8"/>
        <v>0.15290585659551295</v>
      </c>
      <c r="R37" s="50"/>
      <c r="S37" s="50">
        <f t="shared" ca="1" si="9"/>
        <v>9.1748660576578017E-2</v>
      </c>
    </row>
    <row r="38" spans="1:19" x14ac:dyDescent="0.3">
      <c r="A38" s="1749" t="s">
        <v>446</v>
      </c>
      <c r="B38" s="49" t="str">
        <f t="shared" si="5"/>
        <v>kWhr/head/year</v>
      </c>
      <c r="C38" s="49" t="str">
        <f t="shared" si="10"/>
        <v>Energy footprint (kWhr/head/year)</v>
      </c>
      <c r="D38" s="49" cm="1">
        <f t="array" ref="D38">INDEX(Output.Rankings!$AH$7:$AH$33,D$23)*$D$6</f>
        <v>0</v>
      </c>
      <c r="E38" s="49" cm="1">
        <f t="array" aca="1" ref="E38" ca="1">INDEX(Output.Rankings!$AH$7:$AH$33,E$23)*$D$6</f>
        <v>0</v>
      </c>
      <c r="F38" s="49" cm="1">
        <f t="array" aca="1" ref="F38" ca="1">INDEX(Output.Rankings!$AH$7:$AH$33,F$23)*$D$6</f>
        <v>0</v>
      </c>
      <c r="G38" s="49" cm="1">
        <f t="array" aca="1" ref="G38" ca="1">INDEX(Output.Rankings!$AH$7:$AH$33,G$23)*$D$6</f>
        <v>0</v>
      </c>
      <c r="H38" s="49" cm="1">
        <f t="array" aca="1" ref="H38" ca="1">INDEX(Output.Rankings!$AH$7:$AH$33,H$23)*$D$6</f>
        <v>0</v>
      </c>
      <c r="I38" s="49"/>
      <c r="K38" s="50">
        <f t="shared" si="11"/>
        <v>0</v>
      </c>
      <c r="L38" s="50"/>
      <c r="M38" s="50">
        <f t="shared" ca="1" si="6"/>
        <v>0</v>
      </c>
      <c r="N38" s="50"/>
      <c r="O38" s="50">
        <f t="shared" ca="1" si="7"/>
        <v>0</v>
      </c>
      <c r="P38" s="50"/>
      <c r="Q38" s="50">
        <f t="shared" ca="1" si="8"/>
        <v>0</v>
      </c>
      <c r="R38" s="50"/>
      <c r="S38" s="50">
        <f t="shared" ca="1" si="9"/>
        <v>0</v>
      </c>
    </row>
    <row r="39" spans="1:19" x14ac:dyDescent="0.3">
      <c r="A39" s="1749" t="s">
        <v>2599</v>
      </c>
      <c r="B39" s="49" t="str">
        <f t="shared" si="5"/>
        <v>gal/head/year</v>
      </c>
      <c r="C39" s="49" t="str">
        <f t="shared" si="10"/>
        <v>Water consumption (gal/head/year)</v>
      </c>
      <c r="D39" s="49" cm="1">
        <f t="array" ref="D39">INDEX(Output.Rankings!$AI$7:$AI$33,D$23)*$D$7</f>
        <v>0</v>
      </c>
      <c r="E39" s="49" cm="1">
        <f t="array" aca="1" ref="E39" ca="1">INDEX(Output.Rankings!$AI$7:$AI$33,E$23)*$D$7</f>
        <v>0</v>
      </c>
      <c r="F39" s="49" cm="1">
        <f t="array" aca="1" ref="F39" ca="1">INDEX(Output.Rankings!$AI$7:$AI$33,F$23)*$D$7</f>
        <v>0</v>
      </c>
      <c r="G39" s="49" cm="1">
        <f t="array" aca="1" ref="G39" ca="1">INDEX(Output.Rankings!$AI$7:$AI$33,G$23)*$D$7</f>
        <v>0</v>
      </c>
      <c r="H39" s="49" cm="1">
        <f t="array" aca="1" ref="H39" ca="1">INDEX(Output.Rankings!$AI$7:$AI$33,H$23)*$D$7</f>
        <v>0</v>
      </c>
      <c r="I39" s="49"/>
      <c r="K39" s="50">
        <f t="shared" si="11"/>
        <v>0</v>
      </c>
      <c r="L39" s="50"/>
      <c r="M39" s="50">
        <f t="shared" ca="1" si="6"/>
        <v>0</v>
      </c>
      <c r="N39" s="50"/>
      <c r="O39" s="50">
        <f t="shared" ca="1" si="7"/>
        <v>0</v>
      </c>
      <c r="P39" s="50"/>
      <c r="Q39" s="50">
        <f t="shared" ca="1" si="8"/>
        <v>0</v>
      </c>
      <c r="R39" s="50"/>
      <c r="S39" s="50">
        <f t="shared" ca="1" si="9"/>
        <v>0</v>
      </c>
    </row>
    <row r="40" spans="1:19" x14ac:dyDescent="0.3">
      <c r="A40" s="1749" t="s">
        <v>449</v>
      </c>
      <c r="B40" s="49" t="str">
        <f t="shared" si="5"/>
        <v>lb/head/year</v>
      </c>
      <c r="C40" s="49" t="str">
        <f t="shared" si="10"/>
        <v>Nitrogen footprint (lb/head/year)</v>
      </c>
      <c r="D40" s="49" cm="1">
        <f t="array" ref="D40">INDEX(Output.Rankings!$AJ$7:$AJ$33,D$23)*$D$8</f>
        <v>8.8806076154703533</v>
      </c>
      <c r="E40" s="49" cm="1">
        <f t="array" aca="1" ref="E40" ca="1">INDEX(Output.Rankings!$AJ$7:$AJ$33,E$23)*$D$8</f>
        <v>8.8806076154703533</v>
      </c>
      <c r="F40" s="49" cm="1">
        <f t="array" aca="1" ref="F40" ca="1">INDEX(Output.Rankings!$AJ$7:$AJ$33,F$23)*$D$8</f>
        <v>19.493877938087866</v>
      </c>
      <c r="G40" s="49" cm="1">
        <f t="array" aca="1" ref="G40" ca="1">INDEX(Output.Rankings!$AJ$7:$AJ$33,G$23)*$D$8</f>
        <v>8.8806076154703533</v>
      </c>
      <c r="H40" s="49" cm="1">
        <f t="array" aca="1" ref="H40" ca="1">INDEX(Output.Rankings!$AJ$7:$AJ$33,H$23)*$D$8</f>
        <v>19.493877938087866</v>
      </c>
      <c r="I40" s="49"/>
      <c r="K40" s="50">
        <f t="shared" si="11"/>
        <v>8.8806076154703533</v>
      </c>
      <c r="L40" s="50"/>
      <c r="M40" s="50">
        <f t="shared" ca="1" si="6"/>
        <v>8.8806076154703533</v>
      </c>
      <c r="N40" s="50"/>
      <c r="O40" s="50">
        <f t="shared" ca="1" si="7"/>
        <v>19.493877938087866</v>
      </c>
      <c r="P40" s="50"/>
      <c r="Q40" s="50">
        <f t="shared" ca="1" si="8"/>
        <v>8.8806076154703533</v>
      </c>
      <c r="R40" s="50"/>
      <c r="S40" s="50">
        <f t="shared" ca="1" si="9"/>
        <v>19.493877938087866</v>
      </c>
    </row>
    <row r="41" spans="1:19" x14ac:dyDescent="0.3">
      <c r="A41" s="1749" t="s">
        <v>2600</v>
      </c>
      <c r="B41" s="49" t="str">
        <f t="shared" si="5"/>
        <v>lb/head/year</v>
      </c>
      <c r="C41" s="49" t="str">
        <f t="shared" si="10"/>
        <v>Phosphorous excess (lb/head/year)</v>
      </c>
      <c r="D41" s="49" cm="1">
        <f t="array" ref="D41">INDEX(Output.Rankings!$AK$7:$AK$33,D$23)*$D$9</f>
        <v>5.5112746043841678</v>
      </c>
      <c r="E41" s="49" cm="1">
        <f t="array" aca="1" ref="E41" ca="1">INDEX(Output.Rankings!$AK$7:$AK$33,E$23)*$D$9</f>
        <v>5.5112746043841678</v>
      </c>
      <c r="F41" s="49" cm="1">
        <f t="array" aca="1" ref="F41" ca="1">INDEX(Output.Rankings!$AK$7:$AK$33,F$23)*$D$9</f>
        <v>8.8749215826293248</v>
      </c>
      <c r="G41" s="49" cm="1">
        <f t="array" aca="1" ref="G41" ca="1">INDEX(Output.Rankings!$AK$7:$AK$33,G$23)*$D$9</f>
        <v>5.5112746043841678</v>
      </c>
      <c r="H41" s="49" cm="1">
        <f t="array" aca="1" ref="H41" ca="1">INDEX(Output.Rankings!$AK$7:$AK$33,H$23)*$D$9</f>
        <v>8.8749215826293248</v>
      </c>
      <c r="I41" s="49"/>
      <c r="K41" s="50">
        <f t="shared" si="11"/>
        <v>5.5112746043841678</v>
      </c>
      <c r="L41" s="50"/>
      <c r="M41" s="50">
        <f t="shared" ca="1" si="6"/>
        <v>5.5112746043841678</v>
      </c>
      <c r="N41" s="50"/>
      <c r="O41" s="50">
        <f t="shared" ca="1" si="7"/>
        <v>8.8749215826293248</v>
      </c>
      <c r="P41" s="50"/>
      <c r="Q41" s="50">
        <f t="shared" ca="1" si="8"/>
        <v>5.5112746043841678</v>
      </c>
      <c r="R41" s="50"/>
      <c r="S41" s="50">
        <f t="shared" ca="1" si="9"/>
        <v>8.8749215826293248</v>
      </c>
    </row>
    <row r="42" spans="1:19" x14ac:dyDescent="0.3">
      <c r="A42" s="1140" t="s">
        <v>2601</v>
      </c>
      <c r="B42" t="s">
        <v>631</v>
      </c>
      <c r="K42" s="79"/>
      <c r="L42" s="79"/>
      <c r="M42" s="79"/>
      <c r="N42" s="79"/>
      <c r="O42" s="79"/>
      <c r="P42" s="79"/>
      <c r="Q42" s="79"/>
      <c r="R42" s="79"/>
      <c r="S42" s="79"/>
    </row>
    <row r="43" spans="1:19" x14ac:dyDescent="0.3">
      <c r="C43" s="49" t="str">
        <f>C36</f>
        <v>Carbon footprint (ton (2000 lb) CO2E/head/year)</v>
      </c>
      <c r="D43" s="49" cm="1">
        <f t="array" ref="D43">INDEX(Output.Rankings!$AX$7:$AX$33,D$23)*$D$4</f>
        <v>0.55673769776474924</v>
      </c>
      <c r="E43" s="49" cm="1">
        <f t="array" aca="1" ref="E43" ca="1">INDEX(Output.Rankings!$AX$7:$AX$33,E$23)*$D$4</f>
        <v>0.55673769776474924</v>
      </c>
      <c r="F43" s="49" cm="1">
        <f t="array" aca="1" ref="F43" ca="1">INDEX(Output.Rankings!$AX$7:$AX$33,F$23)*$D$4</f>
        <v>0.34591961235783547</v>
      </c>
      <c r="G43" s="49" cm="1">
        <f t="array" aca="1" ref="G43" ca="1">INDEX(Output.Rankings!$AX$7:$AX$33,G$23)*$D$4</f>
        <v>0.56142162438341248</v>
      </c>
      <c r="H43" s="49" cm="1">
        <f t="array" aca="1" ref="H43" ca="1">INDEX(Output.Rankings!$AX$7:$AX$33,H$23)*$D$4</f>
        <v>0.34819354513846679</v>
      </c>
      <c r="I43" s="49"/>
      <c r="K43" s="50">
        <f>D43</f>
        <v>0.55673769776474924</v>
      </c>
      <c r="L43" s="50"/>
      <c r="M43" s="50">
        <f t="shared" ca="1" si="6"/>
        <v>0.55673769776474924</v>
      </c>
      <c r="N43" s="50"/>
      <c r="O43" s="50">
        <f t="shared" ca="1" si="7"/>
        <v>0.34591961235783547</v>
      </c>
      <c r="P43" s="50"/>
      <c r="Q43" s="50">
        <f t="shared" ca="1" si="8"/>
        <v>0.56142162438341248</v>
      </c>
      <c r="R43" s="50"/>
      <c r="S43" s="50">
        <f t="shared" ca="1" si="9"/>
        <v>0.34819354513846679</v>
      </c>
    </row>
    <row r="44" spans="1:19" x14ac:dyDescent="0.3">
      <c r="C44" s="49" t="str">
        <f t="shared" ref="C44:C48" si="12">C37</f>
        <v>Land footprint (acre/head/year)</v>
      </c>
      <c r="D44" s="49" cm="1">
        <f t="array" ref="D44">INDEX(Output.Rankings!$AY$7:$AY$33,D$23)*$D$5</f>
        <v>0.15290585659551295</v>
      </c>
      <c r="E44" s="49" cm="1">
        <f t="array" aca="1" ref="E44" ca="1">INDEX(Output.Rankings!$AY$7:$AY$33,E$23)*$D$5</f>
        <v>0.15290585659551295</v>
      </c>
      <c r="F44" s="49" cm="1">
        <f t="array" aca="1" ref="F44" ca="1">INDEX(Output.Rankings!$AY$7:$AY$33,F$23)*$D$5</f>
        <v>9.1748660576578017E-2</v>
      </c>
      <c r="G44" s="49" cm="1">
        <f t="array" aca="1" ref="G44" ca="1">INDEX(Output.Rankings!$AY$7:$AY$33,G$23)*$D$5</f>
        <v>0.15290585659551295</v>
      </c>
      <c r="H44" s="49" cm="1">
        <f t="array" aca="1" ref="H44" ca="1">INDEX(Output.Rankings!$AY$7:$AY$33,H$23)*$D$5</f>
        <v>9.1748660576578017E-2</v>
      </c>
      <c r="I44" s="49"/>
      <c r="K44" s="50">
        <f t="shared" ref="K44:K48" si="13">D44</f>
        <v>0.15290585659551295</v>
      </c>
      <c r="L44" s="50"/>
      <c r="M44" s="50">
        <f t="shared" ca="1" si="6"/>
        <v>0.15290585659551295</v>
      </c>
      <c r="N44" s="50"/>
      <c r="O44" s="50">
        <f t="shared" ca="1" si="7"/>
        <v>9.1748660576578017E-2</v>
      </c>
      <c r="P44" s="50"/>
      <c r="Q44" s="50">
        <f t="shared" ca="1" si="8"/>
        <v>0.15290585659551295</v>
      </c>
      <c r="R44" s="50"/>
      <c r="S44" s="50">
        <f t="shared" ca="1" si="9"/>
        <v>9.1748660576578017E-2</v>
      </c>
    </row>
    <row r="45" spans="1:19" x14ac:dyDescent="0.3">
      <c r="C45" s="49" t="str">
        <f t="shared" si="12"/>
        <v>Energy footprint (kWhr/head/year)</v>
      </c>
      <c r="D45" s="49" cm="1">
        <f t="array" ref="D45">INDEX(Output.Rankings!$AZ$7:$AZ$33,D$23)*$D$6</f>
        <v>-175.84678841120939</v>
      </c>
      <c r="E45" s="49" cm="1">
        <f t="array" aca="1" ref="E45" ca="1">INDEX(Output.Rankings!$AZ$7:$AZ$33,E$23)*$D$6</f>
        <v>-175.84678841120939</v>
      </c>
      <c r="F45" s="49" cm="1">
        <f t="array" aca="1" ref="F45" ca="1">INDEX(Output.Rankings!$AZ$7:$AZ$33,F$23)*$D$6</f>
        <v>-88.665354960517263</v>
      </c>
      <c r="G45" s="49" cm="1">
        <f t="array" aca="1" ref="G45" ca="1">INDEX(Output.Rankings!$AZ$7:$AZ$33,G$23)*$D$6</f>
        <v>-159.24980133021793</v>
      </c>
      <c r="H45" s="49" cm="1">
        <f t="array" aca="1" ref="H45" ca="1">INDEX(Output.Rankings!$AZ$7:$AZ$33,H$23)*$D$6</f>
        <v>-80.607920236240062</v>
      </c>
      <c r="I45" s="49"/>
      <c r="K45" s="50">
        <f t="shared" si="13"/>
        <v>-175.84678841120939</v>
      </c>
      <c r="L45" s="50"/>
      <c r="M45" s="50">
        <f t="shared" ca="1" si="6"/>
        <v>-175.84678841120939</v>
      </c>
      <c r="N45" s="50"/>
      <c r="O45" s="50">
        <f t="shared" ca="1" si="7"/>
        <v>-88.665354960517263</v>
      </c>
      <c r="P45" s="50"/>
      <c r="Q45" s="50">
        <f t="shared" ca="1" si="8"/>
        <v>-159.24980133021793</v>
      </c>
      <c r="R45" s="50"/>
      <c r="S45" s="50">
        <f t="shared" ca="1" si="9"/>
        <v>-80.607920236240062</v>
      </c>
    </row>
    <row r="46" spans="1:19" x14ac:dyDescent="0.3">
      <c r="C46" s="49" t="str">
        <f t="shared" si="12"/>
        <v>Water consumption (gal/head/year)</v>
      </c>
      <c r="D46" s="49" cm="1">
        <f t="array" ref="D46">INDEX(Output.Rankings!$BA$7:$BA$33,D$23)*$D$7</f>
        <v>0.78467102406457045</v>
      </c>
      <c r="E46" s="49" cm="1">
        <f t="array" aca="1" ref="E46" ca="1">INDEX(Output.Rankings!$BA$7:$BA$33,E$23)*$D$7</f>
        <v>0.78467102406457045</v>
      </c>
      <c r="F46" s="49" cm="1">
        <f t="array" aca="1" ref="F46" ca="1">INDEX(Output.Rankings!$BA$7:$BA$33,F$23)*$D$7</f>
        <v>14.903654095344963</v>
      </c>
      <c r="G46" s="49" cm="1">
        <f t="array" aca="1" ref="G46" ca="1">INDEX(Output.Rankings!$BA$7:$BA$33,G$23)*$D$7</f>
        <v>5.1681314895837227</v>
      </c>
      <c r="H46" s="49" cm="1">
        <f t="array" aca="1" ref="H46" ca="1">INDEX(Output.Rankings!$BA$7:$BA$33,H$23)*$D$7</f>
        <v>17.031717845410885</v>
      </c>
      <c r="I46" s="49"/>
      <c r="K46" s="50">
        <f t="shared" si="13"/>
        <v>0.78467102406457045</v>
      </c>
      <c r="L46" s="50"/>
      <c r="M46" s="50">
        <f t="shared" ca="1" si="6"/>
        <v>0.78467102406457045</v>
      </c>
      <c r="N46" s="50"/>
      <c r="O46" s="50">
        <f t="shared" ca="1" si="7"/>
        <v>14.903654095344963</v>
      </c>
      <c r="P46" s="50"/>
      <c r="Q46" s="50">
        <f t="shared" ca="1" si="8"/>
        <v>5.1681314895837227</v>
      </c>
      <c r="R46" s="50"/>
      <c r="S46" s="50">
        <f t="shared" ca="1" si="9"/>
        <v>17.031717845410885</v>
      </c>
    </row>
    <row r="47" spans="1:19" x14ac:dyDescent="0.3">
      <c r="C47" s="49" t="str">
        <f t="shared" si="12"/>
        <v>Nitrogen footprint (lb/head/year)</v>
      </c>
      <c r="D47" s="49" cm="1">
        <f t="array" ref="D47">INDEX(Output.Rankings!$BB$7:$BB$33,D$23)*$D$8</f>
        <v>8.8806076154703533</v>
      </c>
      <c r="E47" s="49" cm="1">
        <f t="array" aca="1" ref="E47" ca="1">INDEX(Output.Rankings!$BB$7:$BB$33,E$23)*$D$8</f>
        <v>8.8806076154703533</v>
      </c>
      <c r="F47" s="49" cm="1">
        <f t="array" aca="1" ref="F47" ca="1">INDEX(Output.Rankings!$BB$7:$BB$33,F$23)*$D$8</f>
        <v>19.493877938087866</v>
      </c>
      <c r="G47" s="49" cm="1">
        <f t="array" aca="1" ref="G47" ca="1">INDEX(Output.Rankings!$BB$7:$BB$33,G$23)*$D$8</f>
        <v>8.8806076154703533</v>
      </c>
      <c r="H47" s="49" cm="1">
        <f t="array" aca="1" ref="H47" ca="1">INDEX(Output.Rankings!$BB$7:$BB$33,H$23)*$D$8</f>
        <v>19.493877938087866</v>
      </c>
      <c r="I47" s="49"/>
      <c r="K47" s="50">
        <f t="shared" si="13"/>
        <v>8.8806076154703533</v>
      </c>
      <c r="L47" s="50"/>
      <c r="M47" s="50">
        <f t="shared" ca="1" si="6"/>
        <v>8.8806076154703533</v>
      </c>
      <c r="N47" s="50"/>
      <c r="O47" s="50">
        <f t="shared" ca="1" si="7"/>
        <v>19.493877938087866</v>
      </c>
      <c r="P47" s="50"/>
      <c r="Q47" s="50">
        <f t="shared" ca="1" si="8"/>
        <v>8.8806076154703533</v>
      </c>
      <c r="R47" s="50"/>
      <c r="S47" s="50">
        <f t="shared" ca="1" si="9"/>
        <v>19.493877938087866</v>
      </c>
    </row>
    <row r="48" spans="1:19" x14ac:dyDescent="0.3">
      <c r="C48" s="49" t="str">
        <f t="shared" si="12"/>
        <v>Phosphorous excess (lb/head/year)</v>
      </c>
      <c r="D48" s="49" cm="1">
        <f t="array" ref="D48">INDEX(Output.Rankings!$BC$7:$BC$33,D$23)*$D$9</f>
        <v>5.5112746043841678</v>
      </c>
      <c r="E48" s="49" cm="1">
        <f t="array" aca="1" ref="E48" ca="1">INDEX(Output.Rankings!$BC$7:$BC$33,E$23)*$D$9</f>
        <v>5.5112746043841678</v>
      </c>
      <c r="F48" s="49" cm="1">
        <f t="array" aca="1" ref="F48" ca="1">INDEX(Output.Rankings!$BC$7:$BC$33,F$23)*$D$9</f>
        <v>8.8749215826293248</v>
      </c>
      <c r="G48" s="49" cm="1">
        <f t="array" aca="1" ref="G48" ca="1">INDEX(Output.Rankings!$BC$7:$BC$33,G$23)*$D$9</f>
        <v>5.5112746043841678</v>
      </c>
      <c r="H48" s="49" cm="1">
        <f t="array" aca="1" ref="H48" ca="1">INDEX(Output.Rankings!$BC$7:$BC$33,H$23)*$D$9</f>
        <v>8.8749215826293248</v>
      </c>
      <c r="I48" s="49"/>
      <c r="K48" s="50">
        <f t="shared" si="13"/>
        <v>5.5112746043841678</v>
      </c>
      <c r="L48" s="50"/>
      <c r="M48" s="50">
        <f t="shared" ca="1" si="6"/>
        <v>5.5112746043841678</v>
      </c>
      <c r="N48" s="50"/>
      <c r="O48" s="50">
        <f t="shared" ca="1" si="7"/>
        <v>8.8749215826293248</v>
      </c>
      <c r="P48" s="50"/>
      <c r="Q48" s="50">
        <f t="shared" ca="1" si="8"/>
        <v>5.5112746043841678</v>
      </c>
      <c r="R48" s="50"/>
      <c r="S48" s="50">
        <f t="shared" ca="1" si="9"/>
        <v>8.8749215826293248</v>
      </c>
    </row>
    <row r="49" spans="1:19" x14ac:dyDescent="0.3">
      <c r="A49" s="82" t="s">
        <v>2602</v>
      </c>
      <c r="K49" s="79"/>
      <c r="L49" s="79"/>
      <c r="M49" s="79"/>
      <c r="N49" s="79"/>
      <c r="O49" s="79"/>
      <c r="P49" s="79"/>
      <c r="Q49" s="79"/>
      <c r="R49" s="79"/>
      <c r="S49" s="79"/>
    </row>
    <row r="50" spans="1:19" x14ac:dyDescent="0.3">
      <c r="K50" s="50">
        <f t="shared" ref="K50:K55" si="14">IF(UDV.u.env_results_type="Farm",K36,K43)</f>
        <v>0.57113546821359251</v>
      </c>
      <c r="L50" s="50"/>
      <c r="M50" s="50">
        <f t="shared" ref="M50:M55" ca="1" si="15">IF(UDV.u.env_results_type="Farm",M36,M43)</f>
        <v>0.57113546821359251</v>
      </c>
      <c r="N50" s="50"/>
      <c r="O50" s="50">
        <f t="shared" ref="O50:O55" ca="1" si="16">IF(UDV.u.env_results_type="Farm",O36,O43)</f>
        <v>0.34101792796293395</v>
      </c>
      <c r="P50" s="50"/>
      <c r="Q50" s="50">
        <f t="shared" ref="Q50:Q55" ca="1" si="17">IF(UDV.u.env_results_type="Farm",Q36,Q43)</f>
        <v>0.57399030694705988</v>
      </c>
      <c r="R50" s="50"/>
      <c r="S50" s="50">
        <f t="shared" ref="S50:S55" ca="1" si="18">IF(UDV.u.env_results_type="Farm",S36,S43)</f>
        <v>0.34240388293361629</v>
      </c>
    </row>
    <row r="51" spans="1:19" x14ac:dyDescent="0.3">
      <c r="K51" s="50">
        <f t="shared" si="14"/>
        <v>0.15290585659551295</v>
      </c>
      <c r="L51" s="50"/>
      <c r="M51" s="50">
        <f t="shared" ca="1" si="15"/>
        <v>0.15290585659551295</v>
      </c>
      <c r="N51" s="50"/>
      <c r="O51" s="50">
        <f t="shared" ca="1" si="16"/>
        <v>9.1748660576578017E-2</v>
      </c>
      <c r="P51" s="50"/>
      <c r="Q51" s="50">
        <f t="shared" ca="1" si="17"/>
        <v>0.15290585659551295</v>
      </c>
      <c r="R51" s="50"/>
      <c r="S51" s="50">
        <f t="shared" ca="1" si="18"/>
        <v>9.1748660576578017E-2</v>
      </c>
    </row>
    <row r="52" spans="1:19" x14ac:dyDescent="0.3">
      <c r="K52" s="50">
        <f t="shared" si="14"/>
        <v>0</v>
      </c>
      <c r="L52" s="50"/>
      <c r="M52" s="50">
        <f t="shared" ca="1" si="15"/>
        <v>0</v>
      </c>
      <c r="N52" s="50"/>
      <c r="O52" s="50">
        <f t="shared" ca="1" si="16"/>
        <v>0</v>
      </c>
      <c r="P52" s="50"/>
      <c r="Q52" s="50">
        <f t="shared" ca="1" si="17"/>
        <v>0</v>
      </c>
      <c r="R52" s="50"/>
      <c r="S52" s="50">
        <f t="shared" ca="1" si="18"/>
        <v>0</v>
      </c>
    </row>
    <row r="53" spans="1:19" x14ac:dyDescent="0.3">
      <c r="K53" s="50">
        <f t="shared" si="14"/>
        <v>0</v>
      </c>
      <c r="L53" s="50"/>
      <c r="M53" s="50">
        <f t="shared" ca="1" si="15"/>
        <v>0</v>
      </c>
      <c r="N53" s="50"/>
      <c r="O53" s="50">
        <f t="shared" ca="1" si="16"/>
        <v>0</v>
      </c>
      <c r="P53" s="50"/>
      <c r="Q53" s="50">
        <f t="shared" ca="1" si="17"/>
        <v>0</v>
      </c>
      <c r="R53" s="50"/>
      <c r="S53" s="50">
        <f t="shared" ca="1" si="18"/>
        <v>0</v>
      </c>
    </row>
    <row r="54" spans="1:19" x14ac:dyDescent="0.3">
      <c r="K54" s="50">
        <f t="shared" si="14"/>
        <v>8.8806076154703533</v>
      </c>
      <c r="L54" s="50"/>
      <c r="M54" s="50">
        <f t="shared" ca="1" si="15"/>
        <v>8.8806076154703533</v>
      </c>
      <c r="N54" s="50"/>
      <c r="O54" s="50">
        <f t="shared" ca="1" si="16"/>
        <v>19.493877938087866</v>
      </c>
      <c r="P54" s="50"/>
      <c r="Q54" s="50">
        <f t="shared" ca="1" si="17"/>
        <v>8.8806076154703533</v>
      </c>
      <c r="R54" s="50"/>
      <c r="S54" s="50">
        <f t="shared" ca="1" si="18"/>
        <v>19.493877938087866</v>
      </c>
    </row>
    <row r="55" spans="1:19" x14ac:dyDescent="0.3">
      <c r="K55" s="50">
        <f t="shared" si="14"/>
        <v>5.5112746043841678</v>
      </c>
      <c r="L55" s="50"/>
      <c r="M55" s="50">
        <f t="shared" ca="1" si="15"/>
        <v>5.5112746043841678</v>
      </c>
      <c r="N55" s="50"/>
      <c r="O55" s="50">
        <f t="shared" ca="1" si="16"/>
        <v>8.8749215826293248</v>
      </c>
      <c r="P55" s="50"/>
      <c r="Q55" s="50">
        <f t="shared" ca="1" si="17"/>
        <v>5.5112746043841678</v>
      </c>
      <c r="R55" s="50"/>
      <c r="S55" s="50">
        <f t="shared" ca="1" si="18"/>
        <v>8.8749215826293248</v>
      </c>
    </row>
    <row r="56" spans="1:19" x14ac:dyDescent="0.3">
      <c r="A56" t="s">
        <v>2603</v>
      </c>
      <c r="C56" t="str">
        <f>_xlfn.CONCAT("during ", IF(UDV.econ_manure.export_concern="Both", "both non-sludge and sludge years.", UDV.econ_manure.export_concern))</f>
        <v>during Non-Sludge Year</v>
      </c>
      <c r="K56" s="79"/>
      <c r="L56" s="79"/>
      <c r="M56" s="79"/>
      <c r="N56" s="79"/>
      <c r="O56" s="79"/>
      <c r="P56" s="79"/>
      <c r="Q56" s="79"/>
      <c r="R56" s="79"/>
      <c r="S56" s="79"/>
    </row>
    <row r="58" spans="1:19" x14ac:dyDescent="0.3">
      <c r="A58" s="82" t="s">
        <v>2604</v>
      </c>
      <c r="D58" t="s">
        <v>603</v>
      </c>
      <c r="E58" t="s">
        <v>590</v>
      </c>
      <c r="F58" t="s">
        <v>591</v>
      </c>
      <c r="G58" t="s">
        <v>592</v>
      </c>
      <c r="H58" t="s">
        <v>593</v>
      </c>
      <c r="K58" t="s">
        <v>603</v>
      </c>
      <c r="M58" t="s">
        <v>590</v>
      </c>
      <c r="O58" t="s">
        <v>591</v>
      </c>
      <c r="Q58" t="s">
        <v>592</v>
      </c>
      <c r="S58" t="s">
        <v>593</v>
      </c>
    </row>
    <row r="59" spans="1:19" x14ac:dyDescent="0.3">
      <c r="A59" s="49" t="s">
        <v>2605</v>
      </c>
      <c r="B59" s="49" t="s">
        <v>2606</v>
      </c>
      <c r="C59" s="49" t="str">
        <f t="shared" ref="C59:C61" si="19">_xlfn.CONCAT(A59, " (", B59, ")")</f>
        <v>Adoption Rate (Larger value = More common)</v>
      </c>
      <c r="D59" s="1209" cm="1">
        <f t="array" ref="D59">INDEX(Output.Rankings!$T$7:$T$33,D$23)</f>
        <v>4.25</v>
      </c>
      <c r="E59" s="1209" cm="1">
        <f t="array" aca="1" ref="E59" ca="1">INDEX(Output.Rankings!$T$7:$T$33,E$23)</f>
        <v>4.25</v>
      </c>
      <c r="F59" s="1209" cm="1">
        <f t="array" aca="1" ref="F59" ca="1">INDEX(Output.Rankings!$T$7:$T$33,F$23)</f>
        <v>3.5</v>
      </c>
      <c r="G59" s="1209" cm="1">
        <f t="array" aca="1" ref="G59" ca="1">INDEX(Output.Rankings!$T$7:$T$33,G$23)</f>
        <v>4.5</v>
      </c>
      <c r="H59" s="1209" cm="1">
        <f t="array" aca="1" ref="H59" ca="1">INDEX(Output.Rankings!$T$7:$T$33,H$23)</f>
        <v>3.6666666666666665</v>
      </c>
      <c r="K59" s="1209">
        <f>D59</f>
        <v>4.25</v>
      </c>
      <c r="L59" s="1209"/>
      <c r="M59" s="1209">
        <f t="shared" ref="M59:M64" ca="1" si="20">E59</f>
        <v>4.25</v>
      </c>
      <c r="N59" s="1209"/>
      <c r="O59" s="1209">
        <f t="shared" ref="O59:O64" ca="1" si="21">F59</f>
        <v>3.5</v>
      </c>
      <c r="P59" s="1209"/>
      <c r="Q59" s="1209">
        <f t="shared" ref="Q59:Q64" ca="1" si="22">G59</f>
        <v>4.5</v>
      </c>
      <c r="R59" s="1209"/>
      <c r="S59" s="1209">
        <f t="shared" ref="S59:S64" ca="1" si="23">H59</f>
        <v>3.6666666666666665</v>
      </c>
    </row>
    <row r="60" spans="1:19" x14ac:dyDescent="0.3">
      <c r="A60" s="49" t="s">
        <v>2607</v>
      </c>
      <c r="B60" s="49" t="s">
        <v>2608</v>
      </c>
      <c r="C60" s="49" t="str">
        <f t="shared" si="19"/>
        <v>Operational Reliability (Downtime %, smaller is better)</v>
      </c>
      <c r="D60" s="1209" cm="1">
        <f t="array" ref="D60">INDEX(Output.Rankings!$U$7:$U$33,D$23)</f>
        <v>5.9854100206416794E-3</v>
      </c>
      <c r="E60" s="1209" cm="1">
        <f t="array" aca="1" ref="E60" ca="1">INDEX(Output.Rankings!$U$7:$U$33,E$23)</f>
        <v>5.9854100206416794E-3</v>
      </c>
      <c r="F60" s="1209" cm="1">
        <f t="array" aca="1" ref="F60" ca="1">INDEX(Output.Rankings!$U$7:$U$33,F$23)</f>
        <v>2.0509824120796716E-2</v>
      </c>
      <c r="G60" s="1209" cm="1">
        <f t="array" aca="1" ref="G60" ca="1">INDEX(Output.Rankings!$U$7:$U$33,G$23)</f>
        <v>4.6181272283730701E-3</v>
      </c>
      <c r="H60" s="1209" cm="1">
        <f t="array" aca="1" ref="H60" ca="1">INDEX(Output.Rankings!$U$7:$U$33,H$23)</f>
        <v>1.9162519889876273E-2</v>
      </c>
      <c r="K60" s="1209">
        <f t="shared" ref="K60:K64" si="24">D60</f>
        <v>5.9854100206416794E-3</v>
      </c>
      <c r="L60" s="1209"/>
      <c r="M60" s="1209">
        <f t="shared" ca="1" si="20"/>
        <v>5.9854100206416794E-3</v>
      </c>
      <c r="N60" s="1209"/>
      <c r="O60" s="1209">
        <f t="shared" ca="1" si="21"/>
        <v>2.0509824120796716E-2</v>
      </c>
      <c r="P60" s="1209"/>
      <c r="Q60" s="1209">
        <f t="shared" ca="1" si="22"/>
        <v>4.6181272283730701E-3</v>
      </c>
      <c r="R60" s="1209"/>
      <c r="S60" s="1209">
        <f t="shared" ca="1" si="23"/>
        <v>1.9162519889876273E-2</v>
      </c>
    </row>
    <row r="61" spans="1:19" x14ac:dyDescent="0.3">
      <c r="A61" s="49" t="s">
        <v>2609</v>
      </c>
      <c r="B61" s="49" t="s">
        <v>2610</v>
      </c>
      <c r="C61" s="49" t="str">
        <f t="shared" si="19"/>
        <v>Operational Resilience (Larger value = More resilient)</v>
      </c>
      <c r="D61" s="1209" cm="1">
        <f t="array" ref="D61">INDEX(Output.Rankings!$V$7:$V$33,D$23)</f>
        <v>2.75</v>
      </c>
      <c r="E61" s="1209" cm="1">
        <f t="array" aca="1" ref="E61" ca="1">INDEX(Output.Rankings!$V$7:$V$33,E$23)</f>
        <v>2.75</v>
      </c>
      <c r="F61" s="1209" cm="1">
        <f t="array" aca="1" ref="F61" ca="1">INDEX(Output.Rankings!$V$7:$V$33,F$23)</f>
        <v>2.75</v>
      </c>
      <c r="G61" s="1209" cm="1">
        <f t="array" aca="1" ref="G61" ca="1">INDEX(Output.Rankings!$V$7:$V$33,G$23)</f>
        <v>2.75</v>
      </c>
      <c r="H61" s="1209" cm="1">
        <f t="array" aca="1" ref="H61" ca="1">INDEX(Output.Rankings!$V$7:$V$33,H$23)</f>
        <v>2.75</v>
      </c>
      <c r="K61" s="1209">
        <f t="shared" si="24"/>
        <v>2.75</v>
      </c>
      <c r="L61" s="1209"/>
      <c r="M61" s="1209">
        <f t="shared" ca="1" si="20"/>
        <v>2.75</v>
      </c>
      <c r="N61" s="1209"/>
      <c r="O61" s="1209">
        <f t="shared" ca="1" si="21"/>
        <v>2.75</v>
      </c>
      <c r="P61" s="1209"/>
      <c r="Q61" s="1209">
        <f t="shared" ca="1" si="22"/>
        <v>2.75</v>
      </c>
      <c r="R61" s="1209"/>
      <c r="S61" s="1209">
        <f t="shared" ca="1" si="23"/>
        <v>2.75</v>
      </c>
    </row>
    <row r="62" spans="1:19" x14ac:dyDescent="0.3">
      <c r="A62" s="49" t="s">
        <v>2611</v>
      </c>
      <c r="B62" s="49" t="s">
        <v>2612</v>
      </c>
      <c r="C62" s="49" t="str">
        <f>_xlfn.CONCAT(A62, " (", B62, ") ", C$56)</f>
        <v>Labor Hours for Application (hours/year) during Non-Sludge Year</v>
      </c>
      <c r="D62" s="1209" cm="1">
        <f t="array" aca="1" ref="D62" ca="1">INDEX(Output.Rankings!$W$7:$W$33,D$23)</f>
        <v>22.003886560796118</v>
      </c>
      <c r="E62" s="1209" cm="1">
        <f t="array" aca="1" ref="E62" ca="1">INDEX(Output.Rankings!$W$7:$W$33,E$23)</f>
        <v>22.003886560796118</v>
      </c>
      <c r="F62" s="1209" cm="1">
        <f t="array" aca="1" ref="F62" ca="1">INDEX(Output.Rankings!$W$7:$W$33,F$23)</f>
        <v>19.782318372229117</v>
      </c>
      <c r="G62" s="1209" cm="1">
        <f t="array" aca="1" ref="G62" ca="1">INDEX(Output.Rankings!$W$7:$W$33,G$23)</f>
        <v>16.100315177561104</v>
      </c>
      <c r="H62" s="1209" cm="1">
        <f t="array" aca="1" ref="H62" ca="1">INDEX(Output.Rankings!$W$7:$W$33,H$23)</f>
        <v>9.6547189954749015</v>
      </c>
      <c r="K62" s="1209">
        <f t="shared" ca="1" si="24"/>
        <v>22.003886560796118</v>
      </c>
      <c r="L62" s="1209"/>
      <c r="M62" s="1209">
        <f t="shared" ca="1" si="20"/>
        <v>22.003886560796118</v>
      </c>
      <c r="N62" s="1209"/>
      <c r="O62" s="1209">
        <f t="shared" ca="1" si="21"/>
        <v>19.782318372229117</v>
      </c>
      <c r="P62" s="1209"/>
      <c r="Q62" s="1209">
        <f t="shared" ca="1" si="22"/>
        <v>16.100315177561104</v>
      </c>
      <c r="R62" s="1209"/>
      <c r="S62" s="1209">
        <f t="shared" ca="1" si="23"/>
        <v>9.6547189954749015</v>
      </c>
    </row>
    <row r="63" spans="1:19" x14ac:dyDescent="0.3">
      <c r="A63" s="49" t="s">
        <v>2613</v>
      </c>
      <c r="B63" s="49" t="str">
        <f>F12</f>
        <v>acre/year</v>
      </c>
      <c r="C63" s="49" t="str">
        <f>_xlfn.CONCAT(A63, " (", B63, ") ", C$56)</f>
        <v>Additional Land Required for Application (acre/year) during Non-Sludge Year</v>
      </c>
      <c r="D63" s="1209" cm="1">
        <f t="array" ref="D63">INDEX(Output.Rankings!$X$7:$X$33,D$23)*$D$12</f>
        <v>0</v>
      </c>
      <c r="E63" s="1209" cm="1">
        <f t="array" aca="1" ref="E63" ca="1">INDEX(Output.Rankings!$X$7:$X$33,E$23)*$D$12</f>
        <v>0</v>
      </c>
      <c r="F63" s="1209" cm="1">
        <f t="array" aca="1" ref="F63" ca="1">INDEX(Output.Rankings!$X$7:$X$33,F$23)*$D$12</f>
        <v>0</v>
      </c>
      <c r="G63" s="1209" cm="1">
        <f t="array" aca="1" ref="G63" ca="1">INDEX(Output.Rankings!$X$7:$X$33,G$23)*$D$12</f>
        <v>0</v>
      </c>
      <c r="H63" s="1209" cm="1">
        <f t="array" aca="1" ref="H63" ca="1">INDEX(Output.Rankings!$X$7:$X$33,H$23)*$D$12</f>
        <v>0</v>
      </c>
      <c r="K63" s="1209">
        <f t="shared" si="24"/>
        <v>0</v>
      </c>
      <c r="L63" s="1209"/>
      <c r="M63" s="1209">
        <f t="shared" ca="1" si="20"/>
        <v>0</v>
      </c>
      <c r="N63" s="1209"/>
      <c r="O63" s="1209">
        <f t="shared" ca="1" si="21"/>
        <v>0</v>
      </c>
      <c r="P63" s="1209"/>
      <c r="Q63" s="1209">
        <f t="shared" ca="1" si="22"/>
        <v>0</v>
      </c>
      <c r="R63" s="1209"/>
      <c r="S63" s="1209">
        <f t="shared" ca="1" si="23"/>
        <v>0</v>
      </c>
    </row>
    <row r="64" spans="1:19" x14ac:dyDescent="0.3">
      <c r="A64" s="49" t="s">
        <v>2614</v>
      </c>
      <c r="B64" s="49" t="str">
        <f>F13</f>
        <v>ton (2000 lb)/year</v>
      </c>
      <c r="C64" s="49" t="str">
        <f>_xlfn.CONCAT(A64, " (", B64, ") ", C$56)</f>
        <v>Manure Exported (ton (2000 lb)/year) during Non-Sludge Year</v>
      </c>
      <c r="D64" s="1209" cm="1">
        <f t="array" ref="D64">INDEX(Output.Rankings!$Y$7:$Y$33,D$23)*$D$13</f>
        <v>0</v>
      </c>
      <c r="E64" s="1209" cm="1">
        <f t="array" aca="1" ref="E64" ca="1">INDEX(Output.Rankings!$Y$7:$Y$33,E$23)*$D$13</f>
        <v>0</v>
      </c>
      <c r="F64" s="1209" cm="1">
        <f t="array" aca="1" ref="F64" ca="1">INDEX(Output.Rankings!$Y$7:$Y$33,F$23)*$D$13</f>
        <v>0</v>
      </c>
      <c r="G64" s="1209" cm="1">
        <f t="array" aca="1" ref="G64" ca="1">INDEX(Output.Rankings!$Y$7:$Y$33,G$23)*$D$13</f>
        <v>0</v>
      </c>
      <c r="H64" s="1209" cm="1">
        <f t="array" aca="1" ref="H64" ca="1">INDEX(Output.Rankings!$Y$7:$Y$33,H$23)*$D$13</f>
        <v>0</v>
      </c>
      <c r="K64" s="1209">
        <f t="shared" si="24"/>
        <v>0</v>
      </c>
      <c r="L64" s="1209"/>
      <c r="M64" s="1209">
        <f t="shared" ca="1" si="20"/>
        <v>0</v>
      </c>
      <c r="N64" s="1209"/>
      <c r="O64" s="1209">
        <f t="shared" ca="1" si="21"/>
        <v>0</v>
      </c>
      <c r="P64" s="1209"/>
      <c r="Q64" s="1209">
        <f t="shared" ca="1" si="22"/>
        <v>0</v>
      </c>
      <c r="R64" s="1209"/>
      <c r="S64" s="1209">
        <f t="shared" ca="1" si="23"/>
        <v>0</v>
      </c>
    </row>
    <row r="66" spans="1:19" x14ac:dyDescent="0.3">
      <c r="A66" s="82" t="s">
        <v>2615</v>
      </c>
    </row>
    <row r="67" spans="1:19" x14ac:dyDescent="0.3">
      <c r="B67" t="s">
        <v>428</v>
      </c>
      <c r="C67" s="49" t="str">
        <f>_xlfn.CONCAT("Non-Sludge Year", " ", A62, " (", B62, ")")</f>
        <v>Non-Sludge Year Labor Hours for Application (hours/year)</v>
      </c>
      <c r="D67" s="49" cm="1">
        <f t="array" aca="1" ref="D67" ca="1">INDEX(Output.Rankings!$BM$7:$BM$33,D$23)</f>
        <v>22.003886560796118</v>
      </c>
      <c r="E67" s="49" cm="1">
        <f t="array" aca="1" ref="E67" ca="1">INDEX(Output.Rankings!$BM$7:$BM$33,E$23)</f>
        <v>22.003886560796118</v>
      </c>
      <c r="F67" s="49" cm="1">
        <f t="array" aca="1" ref="F67" ca="1">INDEX(Output.Rankings!$BM$7:$BM$33,F$23)</f>
        <v>19.782318372229117</v>
      </c>
      <c r="G67" s="49" cm="1">
        <f t="array" aca="1" ref="G67" ca="1">INDEX(Output.Rankings!$BM$7:$BM$33,G$23)</f>
        <v>16.100315177561104</v>
      </c>
      <c r="H67" s="49" cm="1">
        <f t="array" aca="1" ref="H67" ca="1">INDEX(Output.Rankings!$BM$7:$BM$33,H$23)</f>
        <v>9.6547189954749015</v>
      </c>
    </row>
    <row r="68" spans="1:19" x14ac:dyDescent="0.3">
      <c r="B68" t="s">
        <v>2616</v>
      </c>
      <c r="C68" s="49" t="str">
        <f>_xlfn.CONCAT("Sludge Year", " ", A62, " (", B62, ")")</f>
        <v>Sludge Year Labor Hours for Application (hours/year)</v>
      </c>
      <c r="D68" s="49" cm="1">
        <f t="array" aca="1" ref="D68" ca="1">INDEX(Output.Rankings!$BL$7:$BL$33,D$23)</f>
        <v>22.003886560796118</v>
      </c>
      <c r="E68" s="49" cm="1">
        <f t="array" aca="1" ref="E68" ca="1">INDEX(Output.Rankings!$BL$7:$BL$33,E$23)</f>
        <v>22.003886560796118</v>
      </c>
      <c r="F68" s="49" cm="1">
        <f t="array" aca="1" ref="F68" ca="1">INDEX(Output.Rankings!$BL$7:$BL$33,F$23)</f>
        <v>19.782318372229117</v>
      </c>
      <c r="G68" s="49" cm="1">
        <f t="array" aca="1" ref="G68" ca="1">INDEX(Output.Rankings!$BL$7:$BL$33,G$23)</f>
        <v>16.100315177561104</v>
      </c>
      <c r="H68" s="49" cm="1">
        <f t="array" aca="1" ref="H68" ca="1">INDEX(Output.Rankings!$BL$7:$BL$33,H$23)</f>
        <v>9.6547189954749015</v>
      </c>
    </row>
    <row r="69" spans="1:19" x14ac:dyDescent="0.3">
      <c r="B69" t="s">
        <v>2617</v>
      </c>
      <c r="C69" s="49" t="str">
        <f>_xlfn.CONCAT("Average Year", " ", A62, " (", B62, ")")</f>
        <v>Average Year Labor Hours for Application (hours/year)</v>
      </c>
      <c r="D69" s="49" cm="1">
        <f t="array" aca="1" ref="D69" ca="1">INDEX(Output.Rankings!$BN$7:$BN$33,D$23)</f>
        <v>22.003886560796118</v>
      </c>
      <c r="E69" s="49" cm="1">
        <f t="array" aca="1" ref="E69" ca="1">INDEX(Output.Rankings!$BN$7:$BN$33,E$23)</f>
        <v>22.003886560796118</v>
      </c>
      <c r="F69" s="49" cm="1">
        <f t="array" aca="1" ref="F69" ca="1">INDEX(Output.Rankings!$BN$7:$BN$33,F$23)</f>
        <v>19.782318372229117</v>
      </c>
      <c r="G69" s="49" cm="1">
        <f t="array" aca="1" ref="G69" ca="1">INDEX(Output.Rankings!$BN$7:$BN$33,G$23)</f>
        <v>16.100315177561104</v>
      </c>
      <c r="H69" s="49" cm="1">
        <f t="array" aca="1" ref="H69" ca="1">INDEX(Output.Rankings!$BN$7:$BN$33,H$23)</f>
        <v>9.6547189954749015</v>
      </c>
    </row>
    <row r="71" spans="1:19" x14ac:dyDescent="0.3">
      <c r="A71" t="str">
        <f>_xlfn.CONCAT(A63, " (", B63, ")")</f>
        <v>Additional Land Required for Application (acre/year)</v>
      </c>
      <c r="C71" s="49" t="str">
        <f>_xlfn.CONCAT("Non-Sludge Year", " ", A63, " (", B63, ")")</f>
        <v>Non-Sludge Year Additional Land Required for Application (acre/year)</v>
      </c>
      <c r="D71" s="49" cm="1">
        <f t="array" ref="D71">INDEX(Output.Rankings!$BY$7:$BY$33,D$23)*$D$12</f>
        <v>0</v>
      </c>
      <c r="E71" s="49" cm="1">
        <f t="array" aca="1" ref="E71" ca="1">INDEX(Output.Rankings!$BY$7:$BY$33,E$23)*$D$12</f>
        <v>0</v>
      </c>
      <c r="F71" s="49" cm="1">
        <f t="array" aca="1" ref="F71" ca="1">INDEX(Output.Rankings!$BY$7:$BY$33,F$23)*$D$12</f>
        <v>0</v>
      </c>
      <c r="G71" s="49" cm="1">
        <f t="array" aca="1" ref="G71" ca="1">INDEX(Output.Rankings!$BY$7:$BY$33,G$23)*$D$12</f>
        <v>0</v>
      </c>
      <c r="H71" s="49" cm="1">
        <f t="array" aca="1" ref="H71" ca="1">INDEX(Output.Rankings!$BY$7:$BY$33,H$23)*$D$12</f>
        <v>0</v>
      </c>
    </row>
    <row r="72" spans="1:19" x14ac:dyDescent="0.3">
      <c r="C72" s="49" t="str">
        <f>_xlfn.CONCAT("Sludge Year", " ", A63, " (", B63, ")")</f>
        <v>Sludge Year Additional Land Required for Application (acre/year)</v>
      </c>
      <c r="D72" s="49" cm="1">
        <f t="array" ref="D72">INDEX(Output.Rankings!$BX$7:$BX$33,D$23)*$D$12</f>
        <v>0</v>
      </c>
      <c r="E72" s="49" cm="1">
        <f t="array" aca="1" ref="E72" ca="1">INDEX(Output.Rankings!$BX$7:$BX$33,E$23)*$D$12</f>
        <v>0</v>
      </c>
      <c r="F72" s="49" cm="1">
        <f t="array" aca="1" ref="F72" ca="1">INDEX(Output.Rankings!$BX$7:$BX$33,F$23)*$D$12</f>
        <v>0</v>
      </c>
      <c r="G72" s="49" cm="1">
        <f t="array" aca="1" ref="G72" ca="1">INDEX(Output.Rankings!$BX$7:$BX$33,G$23)*$D$12</f>
        <v>0</v>
      </c>
      <c r="H72" s="49" cm="1">
        <f t="array" aca="1" ref="H72" ca="1">INDEX(Output.Rankings!$BX$7:$BX$33,H$23)*$D$12</f>
        <v>0</v>
      </c>
    </row>
    <row r="73" spans="1:19" x14ac:dyDescent="0.3">
      <c r="C73" s="49" t="str">
        <f>_xlfn.CONCAT("Average Year", " ", A63, " (", B63, ")")</f>
        <v>Average Year Additional Land Required for Application (acre/year)</v>
      </c>
      <c r="D73" s="49" cm="1">
        <f t="array" ref="D73">INDEX(Output.Rankings!$BZ$7:$BZ$33,D$23)*$D$12</f>
        <v>0</v>
      </c>
      <c r="E73" s="49" cm="1">
        <f t="array" aca="1" ref="E73" ca="1">INDEX(Output.Rankings!$BZ$7:$BZ$33,E$23)*$D$12</f>
        <v>0</v>
      </c>
      <c r="F73" s="49" cm="1">
        <f t="array" aca="1" ref="F73" ca="1">INDEX(Output.Rankings!$BZ$7:$BZ$33,F$23)*$D$12</f>
        <v>0</v>
      </c>
      <c r="G73" s="49" cm="1">
        <f t="array" aca="1" ref="G73" ca="1">INDEX(Output.Rankings!$BZ$7:$BZ$33,G$23)*$D$12</f>
        <v>0</v>
      </c>
      <c r="H73" s="49" cm="1">
        <f t="array" aca="1" ref="H73" ca="1">INDEX(Output.Rankings!$BZ$7:$BZ$33,H$23)*$D$12</f>
        <v>0</v>
      </c>
    </row>
    <row r="75" spans="1:19" x14ac:dyDescent="0.3">
      <c r="A75" t="str">
        <f>_xlfn.CONCAT(A64, " (", B64, ")")</f>
        <v>Manure Exported (ton (2000 lb)/year)</v>
      </c>
      <c r="C75" s="49" t="str">
        <f>_xlfn.CONCAT("Non-Sludge Year", " ", A64, " (", B64, ")")</f>
        <v>Non-Sludge Year Manure Exported (ton (2000 lb)/year)</v>
      </c>
      <c r="D75" s="49" cm="1">
        <f t="array" ref="D75">INDEX(Output.Rankings!$AA$7:$AA$33,D$23)*$D$13</f>
        <v>0</v>
      </c>
      <c r="E75" s="49" cm="1">
        <f t="array" aca="1" ref="E75" ca="1">INDEX(Output.Rankings!$AA$7:$AA$33,E$23)*$D$13</f>
        <v>0</v>
      </c>
      <c r="F75" s="49" cm="1">
        <f t="array" aca="1" ref="F75" ca="1">INDEX(Output.Rankings!$AA$7:$AA$33,F$23)*$D$13</f>
        <v>0</v>
      </c>
      <c r="G75" s="49" cm="1">
        <f t="array" aca="1" ref="G75" ca="1">INDEX(Output.Rankings!$AA$7:$AA$33,G$23)*$D$13</f>
        <v>0</v>
      </c>
      <c r="H75" s="49" cm="1">
        <f t="array" aca="1" ref="H75" ca="1">INDEX(Output.Rankings!$AA$7:$AA$33,H$23)*$D$13</f>
        <v>0</v>
      </c>
    </row>
    <row r="76" spans="1:19" x14ac:dyDescent="0.3">
      <c r="C76" s="49" t="str">
        <f>_xlfn.CONCAT("Sludge Year", " ", A64, " (", B64, ")")</f>
        <v>Sludge Year Manure Exported (ton (2000 lb)/year)</v>
      </c>
      <c r="D76" s="49" cm="1">
        <f t="array" ref="D76">INDEX(Output.Rankings!$Z$7:$Z$33,D$23)*$D$13</f>
        <v>0</v>
      </c>
      <c r="E76" s="49" cm="1">
        <f t="array" aca="1" ref="E76" ca="1">INDEX(Output.Rankings!$Z$7:$Z$33,E$23)*$D$13</f>
        <v>0</v>
      </c>
      <c r="F76" s="49" cm="1">
        <f t="array" aca="1" ref="F76" ca="1">INDEX(Output.Rankings!$Z$7:$Z$33,F$23)*$D$13</f>
        <v>0</v>
      </c>
      <c r="G76" s="49" cm="1">
        <f t="array" aca="1" ref="G76" ca="1">INDEX(Output.Rankings!$Z$7:$Z$33,G$23)*$D$13</f>
        <v>0</v>
      </c>
      <c r="H76" s="49" cm="1">
        <f t="array" aca="1" ref="H76" ca="1">INDEX(Output.Rankings!$Z$7:$Z$33,H$23)*$D$13</f>
        <v>0</v>
      </c>
    </row>
    <row r="77" spans="1:19" x14ac:dyDescent="0.3">
      <c r="C77" s="49" t="str">
        <f>_xlfn.CONCAT("Average Year", " ", A64, " (", B64, ")")</f>
        <v>Average Year Manure Exported (ton (2000 lb)/year)</v>
      </c>
      <c r="D77" s="49" cm="1">
        <f t="array" ref="D77">INDEX(Output.Rankings!$AB$7:$AB$33,D$23)*$D$13</f>
        <v>0</v>
      </c>
      <c r="E77" s="49" cm="1">
        <f t="array" aca="1" ref="E77" ca="1">INDEX(Output.Rankings!$AB$7:$AB$33,E$23)*$D$13</f>
        <v>0</v>
      </c>
      <c r="F77" s="49" cm="1">
        <f t="array" aca="1" ref="F77" ca="1">INDEX(Output.Rankings!$AB$7:$AB$33,F$23)*$D$13</f>
        <v>0</v>
      </c>
      <c r="G77" s="49" cm="1">
        <f t="array" aca="1" ref="G77" ca="1">INDEX(Output.Rankings!$AB$7:$AB$33,G$23)*$D$13</f>
        <v>0</v>
      </c>
      <c r="H77" s="49" cm="1">
        <f t="array" aca="1" ref="H77" ca="1">INDEX(Output.Rankings!$AB$7:$AB$33,H$23)*$D$13</f>
        <v>0</v>
      </c>
    </row>
    <row r="79" spans="1:19" x14ac:dyDescent="0.3">
      <c r="A79" s="82" t="s">
        <v>606</v>
      </c>
      <c r="D79" t="s">
        <v>603</v>
      </c>
      <c r="E79" t="s">
        <v>590</v>
      </c>
      <c r="F79" t="s">
        <v>591</v>
      </c>
      <c r="G79" t="s">
        <v>592</v>
      </c>
      <c r="H79" t="s">
        <v>593</v>
      </c>
      <c r="K79" t="s">
        <v>603</v>
      </c>
      <c r="M79" t="s">
        <v>590</v>
      </c>
      <c r="O79" t="s">
        <v>591</v>
      </c>
      <c r="Q79" t="s">
        <v>592</v>
      </c>
      <c r="S79" t="s">
        <v>593</v>
      </c>
    </row>
    <row r="80" spans="1:19" x14ac:dyDescent="0.3">
      <c r="A80" s="49" t="s">
        <v>2618</v>
      </c>
      <c r="B80" s="49" t="str">
        <f>Output.Rankings!CA5</f>
        <v>kWh/year</v>
      </c>
      <c r="C80" s="49" t="str">
        <f t="shared" ref="C80:C87" si="25">_xlfn.CONCAT(A80, " (", B80, ")")</f>
        <v>Electricity Required for Operations (kWh/year)</v>
      </c>
      <c r="D80" s="1209" cm="1">
        <f t="array" ref="D80">INDEX(Output.Rankings!$CA$7:$CA$33,D$23)</f>
        <v>0</v>
      </c>
      <c r="E80" s="1209" cm="1">
        <f t="array" aca="1" ref="E80" ca="1">INDEX(Output.Rankings!$CA$7:$CA$33,E$23)</f>
        <v>0</v>
      </c>
      <c r="F80" s="1209" cm="1">
        <f t="array" aca="1" ref="F80" ca="1">INDEX(Output.Rankings!$CA$7:$CA$33,F$23)</f>
        <v>17419.548963200003</v>
      </c>
      <c r="G80" s="1209" cm="1">
        <f t="array" aca="1" ref="G80" ca="1">INDEX(Output.Rankings!$CA$7:$CA$33,G$23)</f>
        <v>0</v>
      </c>
      <c r="H80" s="1209" cm="1">
        <f t="array" aca="1" ref="H80" ca="1">INDEX(Output.Rankings!$CA$7:$CA$33,H$23)</f>
        <v>17419.548963200003</v>
      </c>
      <c r="K80" s="1209">
        <f>D80</f>
        <v>0</v>
      </c>
      <c r="L80" s="1209"/>
      <c r="M80" s="1209">
        <f t="shared" ref="M80:M87" ca="1" si="26">E80</f>
        <v>0</v>
      </c>
      <c r="N80" s="1209"/>
      <c r="O80" s="1209">
        <f t="shared" ref="O80:O87" ca="1" si="27">F80</f>
        <v>17419.548963200003</v>
      </c>
      <c r="P80" s="1209"/>
      <c r="Q80" s="1209">
        <f t="shared" ref="Q80:Q87" ca="1" si="28">G80</f>
        <v>0</v>
      </c>
      <c r="R80" s="1209"/>
      <c r="S80" s="1209">
        <f t="shared" ref="S80:S87" ca="1" si="29">H80</f>
        <v>17419.548963200003</v>
      </c>
    </row>
    <row r="81" spans="1:19" x14ac:dyDescent="0.3">
      <c r="A81" s="49" t="s">
        <v>2619</v>
      </c>
      <c r="B81" s="49" t="str">
        <f>$F$15</f>
        <v>gal/year</v>
      </c>
      <c r="C81" s="49" t="str">
        <f t="shared" si="25"/>
        <v>Fresh Water Used on Farm (gal/year)</v>
      </c>
      <c r="D81" s="1209" cm="1">
        <f t="array" ref="D81">INDEX(Output.Rankings!$CB$7:$CB$33,D$23)*$D$15</f>
        <v>0</v>
      </c>
      <c r="E81" s="1209" cm="1">
        <f t="array" aca="1" ref="E81" ca="1">INDEX(Output.Rankings!$CB$7:$CB$33,E$23)*$D$15</f>
        <v>0</v>
      </c>
      <c r="F81" s="1209" cm="1">
        <f t="array" aca="1" ref="F81" ca="1">INDEX(Output.Rankings!$CB$7:$CB$33,F$23)*$D$15</f>
        <v>0</v>
      </c>
      <c r="G81" s="1209" cm="1">
        <f t="array" aca="1" ref="G81" ca="1">INDEX(Output.Rankings!$CB$7:$CB$33,G$23)*$D$15</f>
        <v>0</v>
      </c>
      <c r="H81" s="1209" cm="1">
        <f t="array" aca="1" ref="H81" ca="1">INDEX(Output.Rankings!$CB$7:$CB$33,H$23)*$D$15</f>
        <v>0</v>
      </c>
      <c r="K81" s="1209">
        <f t="shared" ref="K81:K87" si="30">D81</f>
        <v>0</v>
      </c>
      <c r="L81" s="1209"/>
      <c r="M81" s="1209">
        <f t="shared" ca="1" si="26"/>
        <v>0</v>
      </c>
      <c r="N81" s="1209"/>
      <c r="O81" s="1209">
        <f t="shared" ca="1" si="27"/>
        <v>0</v>
      </c>
      <c r="P81" s="1209"/>
      <c r="Q81" s="1209">
        <f t="shared" ca="1" si="28"/>
        <v>0</v>
      </c>
      <c r="R81" s="1209"/>
      <c r="S81" s="1209">
        <f t="shared" ca="1" si="29"/>
        <v>0</v>
      </c>
    </row>
    <row r="82" spans="1:19" x14ac:dyDescent="0.3">
      <c r="A82" s="49" t="s">
        <v>2620</v>
      </c>
      <c r="B82" s="49" t="str">
        <f>$F$15</f>
        <v>gal/year</v>
      </c>
      <c r="C82" s="49" t="str">
        <f t="shared" si="25"/>
        <v>Diesel Used on Farm (gal/year)</v>
      </c>
      <c r="D82" s="1209" cm="1">
        <f t="array" ref="D82">INDEX(Output.Rankings!$CC$7:$CC$33,D$23)*$D$15</f>
        <v>370.31185144590069</v>
      </c>
      <c r="E82" s="1209" cm="1">
        <f t="array" aca="1" ref="E82" ca="1">INDEX(Output.Rankings!$CC$7:$CC$33,E$23)*$D$15</f>
        <v>370.31185144590069</v>
      </c>
      <c r="F82" s="1209" cm="1">
        <f t="array" aca="1" ref="F82" ca="1">INDEX(Output.Rankings!$CC$7:$CC$33,F$23)*$D$15</f>
        <v>213.91345097078369</v>
      </c>
      <c r="G82" s="1209" cm="1">
        <f t="array" aca="1" ref="G82" ca="1">INDEX(Output.Rankings!$CC$7:$CC$33,G$23)*$D$15</f>
        <v>497.5154927196885</v>
      </c>
      <c r="H82" s="1209" cm="1">
        <f t="array" aca="1" ref="H82" ca="1">INDEX(Output.Rankings!$CC$7:$CC$33,H$23)*$D$15</f>
        <v>275.66773391698035</v>
      </c>
      <c r="K82" s="1209">
        <f t="shared" si="30"/>
        <v>370.31185144590069</v>
      </c>
      <c r="L82" s="1209"/>
      <c r="M82" s="1209">
        <f t="shared" ca="1" si="26"/>
        <v>370.31185144590069</v>
      </c>
      <c r="N82" s="1209"/>
      <c r="O82" s="1209">
        <f t="shared" ca="1" si="27"/>
        <v>213.91345097078369</v>
      </c>
      <c r="P82" s="1209"/>
      <c r="Q82" s="1209">
        <f t="shared" ca="1" si="28"/>
        <v>497.5154927196885</v>
      </c>
      <c r="R82" s="1209"/>
      <c r="S82" s="1209">
        <f t="shared" ca="1" si="29"/>
        <v>275.66773391698035</v>
      </c>
    </row>
    <row r="83" spans="1:19" x14ac:dyDescent="0.3">
      <c r="A83" s="49" t="str">
        <f>Output.Rankings!CE4</f>
        <v>N in treated manure (non sludge)</v>
      </c>
      <c r="B83" s="49" t="str">
        <f>$F$13</f>
        <v>ton (2000 lb)/year</v>
      </c>
      <c r="C83" s="49" t="str">
        <f t="shared" si="25"/>
        <v>N in treated manure (non sludge) (ton (2000 lb)/year)</v>
      </c>
      <c r="D83" s="1209" cm="1">
        <f t="array" ref="D83">INDEX(Output.Rankings!$CE$7:$CE$33,D$23)*$D$13</f>
        <v>14.223165509791722</v>
      </c>
      <c r="E83" s="1209" cm="1">
        <f t="array" aca="1" ref="E83" ca="1">INDEX(Output.Rankings!$CE$7:$CE$33,E$23)*$D$13</f>
        <v>14.223165509791722</v>
      </c>
      <c r="F83" s="1209" cm="1">
        <f t="array" aca="1" ref="F83" ca="1">INDEX(Output.Rankings!$CE$7:$CE$33,F$23)*$D$13</f>
        <v>8.5290669597917201</v>
      </c>
      <c r="G83" s="1209" cm="1">
        <f t="array" aca="1" ref="G83" ca="1">INDEX(Output.Rankings!$CE$7:$CE$33,G$23)*$D$13</f>
        <v>14.223165509791722</v>
      </c>
      <c r="H83" s="1209" cm="1">
        <f t="array" aca="1" ref="H83" ca="1">INDEX(Output.Rankings!$CE$7:$CE$33,H$23)*$D$13</f>
        <v>8.5290669597917201</v>
      </c>
      <c r="K83" s="1209">
        <f t="shared" si="30"/>
        <v>14.223165509791722</v>
      </c>
      <c r="L83" s="1209"/>
      <c r="M83" s="1209">
        <f t="shared" ca="1" si="26"/>
        <v>14.223165509791722</v>
      </c>
      <c r="N83" s="1209"/>
      <c r="O83" s="1209">
        <f t="shared" ca="1" si="27"/>
        <v>8.5290669597917201</v>
      </c>
      <c r="P83" s="1209"/>
      <c r="Q83" s="1209">
        <f t="shared" ca="1" si="28"/>
        <v>14.223165509791722</v>
      </c>
      <c r="R83" s="1209"/>
      <c r="S83" s="1209">
        <f t="shared" ca="1" si="29"/>
        <v>8.5290669597917201</v>
      </c>
    </row>
    <row r="84" spans="1:19" x14ac:dyDescent="0.3">
      <c r="A84" s="49" t="str">
        <f>Output.Rankings!CF4</f>
        <v>N in treated manure (sludge + solids)</v>
      </c>
      <c r="B84" s="49" t="str">
        <f t="shared" ref="B84:B86" si="31">$F$13</f>
        <v>ton (2000 lb)/year</v>
      </c>
      <c r="C84" s="49" t="str">
        <f t="shared" si="25"/>
        <v>N in treated manure (sludge + solids) (ton (2000 lb)/year)</v>
      </c>
      <c r="D84" s="1209" cm="1">
        <f t="array" ref="D84">INDEX(Output.Rankings!$CF$7:$CF$33,D$23)*$D$13</f>
        <v>0</v>
      </c>
      <c r="E84" s="1209" cm="1">
        <f t="array" aca="1" ref="E84" ca="1">INDEX(Output.Rankings!$CF$7:$CF$33,E$23)*$D$13</f>
        <v>0</v>
      </c>
      <c r="F84" s="1209" cm="1">
        <f t="array" aca="1" ref="F84" ca="1">INDEX(Output.Rankings!$CF$7:$CF$33,F$23)*$D$13</f>
        <v>0</v>
      </c>
      <c r="G84" s="1209" cm="1">
        <f t="array" aca="1" ref="G84" ca="1">INDEX(Output.Rankings!$CF$7:$CF$33,G$23)*$D$13</f>
        <v>0</v>
      </c>
      <c r="H84" s="1209" cm="1">
        <f t="array" aca="1" ref="H84" ca="1">INDEX(Output.Rankings!$CF$7:$CF$33,H$23)*$D$13</f>
        <v>0</v>
      </c>
      <c r="K84" s="1209">
        <f t="shared" si="30"/>
        <v>0</v>
      </c>
      <c r="L84" s="1209"/>
      <c r="M84" s="1209">
        <f t="shared" ca="1" si="26"/>
        <v>0</v>
      </c>
      <c r="N84" s="1209"/>
      <c r="O84" s="1209">
        <f t="shared" ca="1" si="27"/>
        <v>0</v>
      </c>
      <c r="P84" s="1209"/>
      <c r="Q84" s="1209">
        <f t="shared" ca="1" si="28"/>
        <v>0</v>
      </c>
      <c r="R84" s="1209"/>
      <c r="S84" s="1209">
        <f t="shared" ca="1" si="29"/>
        <v>0</v>
      </c>
    </row>
    <row r="85" spans="1:19" x14ac:dyDescent="0.3">
      <c r="A85" s="49" t="str">
        <f>Output.Rankings!CG4</f>
        <v>P2O5 in treated manure (non sludge)</v>
      </c>
      <c r="B85" s="49" t="str">
        <f t="shared" si="31"/>
        <v>ton (2000 lb)/year</v>
      </c>
      <c r="C85" s="49" t="str">
        <f t="shared" si="25"/>
        <v>P2O5 in treated manure (non sludge) (ton (2000 lb)/year)</v>
      </c>
      <c r="D85" s="1209" cm="1">
        <f t="array" ref="D85">INDEX(Output.Rankings!$CG$7:$CG$33,D$23)*$D$13</f>
        <v>6.6431094999999996</v>
      </c>
      <c r="E85" s="1209" cm="1">
        <f t="array" aca="1" ref="E85" ca="1">INDEX(Output.Rankings!$CG$7:$CG$33,E$23)*$D$13</f>
        <v>6.6431094999999996</v>
      </c>
      <c r="F85" s="1209" cm="1">
        <f t="array" aca="1" ref="F85" ca="1">INDEX(Output.Rankings!$CG$7:$CG$33,F$23)*$D$13</f>
        <v>6.6431094999999996</v>
      </c>
      <c r="G85" s="1209" cm="1">
        <f t="array" aca="1" ref="G85" ca="1">INDEX(Output.Rankings!$CG$7:$CG$33,G$23)*$D$13</f>
        <v>6.6431094999999996</v>
      </c>
      <c r="H85" s="1209" cm="1">
        <f t="array" aca="1" ref="H85" ca="1">INDEX(Output.Rankings!$CG$7:$CG$33,H$23)*$D$13</f>
        <v>6.6431094999999996</v>
      </c>
      <c r="K85" s="1209">
        <f t="shared" si="30"/>
        <v>6.6431094999999996</v>
      </c>
      <c r="L85" s="1209"/>
      <c r="M85" s="1209">
        <f t="shared" ca="1" si="26"/>
        <v>6.6431094999999996</v>
      </c>
      <c r="N85" s="1209"/>
      <c r="O85" s="1209">
        <f t="shared" ca="1" si="27"/>
        <v>6.6431094999999996</v>
      </c>
      <c r="P85" s="1209"/>
      <c r="Q85" s="1209">
        <f t="shared" ca="1" si="28"/>
        <v>6.6431094999999996</v>
      </c>
      <c r="R85" s="1209"/>
      <c r="S85" s="1209">
        <f t="shared" ca="1" si="29"/>
        <v>6.6431094999999996</v>
      </c>
    </row>
    <row r="86" spans="1:19" x14ac:dyDescent="0.3">
      <c r="A86" s="49" t="str">
        <f>Output.Rankings!CH4</f>
        <v>P2O5 in treated manure (sludge + solids)</v>
      </c>
      <c r="B86" s="49" t="str">
        <f t="shared" si="31"/>
        <v>ton (2000 lb)/year</v>
      </c>
      <c r="C86" s="49" t="str">
        <f t="shared" si="25"/>
        <v>P2O5 in treated manure (sludge + solids) (ton (2000 lb)/year)</v>
      </c>
      <c r="D86" s="1209" cm="1">
        <f t="array" ref="D86">INDEX(Output.Rankings!$CH$7:$CH$33,D$23)*$D$13</f>
        <v>0</v>
      </c>
      <c r="E86" s="1209" cm="1">
        <f t="array" aca="1" ref="E86" ca="1">INDEX(Output.Rankings!$CH$7:$CH$33,E$23)*$D$13</f>
        <v>0</v>
      </c>
      <c r="F86" s="1209" cm="1">
        <f t="array" aca="1" ref="F86" ca="1">INDEX(Output.Rankings!$CH$7:$CH$33,F$23)*$D$13</f>
        <v>0</v>
      </c>
      <c r="G86" s="1209" cm="1">
        <f t="array" aca="1" ref="G86" ca="1">INDEX(Output.Rankings!$CH$7:$CH$33,G$23)*$D$13</f>
        <v>0</v>
      </c>
      <c r="H86" s="1209" cm="1">
        <f t="array" aca="1" ref="H86" ca="1">INDEX(Output.Rankings!$CH$7:$CH$33,H$23)*$D$13</f>
        <v>0</v>
      </c>
      <c r="K86" s="1209">
        <f t="shared" si="30"/>
        <v>0</v>
      </c>
      <c r="L86" s="1209"/>
      <c r="M86" s="1209">
        <f t="shared" ca="1" si="26"/>
        <v>0</v>
      </c>
      <c r="N86" s="1209"/>
      <c r="O86" s="1209">
        <f t="shared" ca="1" si="27"/>
        <v>0</v>
      </c>
      <c r="P86" s="1209"/>
      <c r="Q86" s="1209">
        <f t="shared" ca="1" si="28"/>
        <v>0</v>
      </c>
      <c r="R86" s="1209"/>
      <c r="S86" s="1209">
        <f t="shared" ca="1" si="29"/>
        <v>0</v>
      </c>
    </row>
    <row r="87" spans="1:19" x14ac:dyDescent="0.3">
      <c r="A87" s="49" t="str">
        <f>Output.Rankings!CI4</f>
        <v>Land for treatment facilities</v>
      </c>
      <c r="B87" s="49" t="str">
        <f>$F$16</f>
        <v>acre</v>
      </c>
      <c r="C87" s="49" t="str">
        <f t="shared" si="25"/>
        <v>Land for treatment facilities (acre)</v>
      </c>
      <c r="D87" s="1209" cm="1">
        <f t="array" ref="D87">INDEX(Output.Rankings!$CI$7:$CI$33,D$23)*$D$16</f>
        <v>7.13103647531107E-2</v>
      </c>
      <c r="E87" s="1209" cm="1">
        <f t="array" aca="1" ref="E87" ca="1">INDEX(Output.Rankings!$CI$7:$CI$33,E$23)*$D$16</f>
        <v>7.13103647531107E-2</v>
      </c>
      <c r="F87" s="1209" cm="1">
        <f t="array" aca="1" ref="F87" ca="1">INDEX(Output.Rankings!$CI$7:$CI$33,F$23)*$D$16</f>
        <v>7.13103647531107E-2</v>
      </c>
      <c r="G87" s="1209" cm="1">
        <f t="array" aca="1" ref="G87" ca="1">INDEX(Output.Rankings!$CI$7:$CI$33,G$23)*$D$16</f>
        <v>7.13103647531107E-2</v>
      </c>
      <c r="H87" s="1209" cm="1">
        <f t="array" aca="1" ref="H87" ca="1">INDEX(Output.Rankings!$CI$7:$CI$33,H$23)*$D$16</f>
        <v>7.13103647531107E-2</v>
      </c>
      <c r="K87" s="1209">
        <f t="shared" si="30"/>
        <v>7.13103647531107E-2</v>
      </c>
      <c r="L87" s="1209"/>
      <c r="M87" s="1209">
        <f t="shared" ca="1" si="26"/>
        <v>7.13103647531107E-2</v>
      </c>
      <c r="N87" s="1209"/>
      <c r="O87" s="1209">
        <f t="shared" ca="1" si="27"/>
        <v>7.13103647531107E-2</v>
      </c>
      <c r="P87" s="1209"/>
      <c r="Q87" s="1209">
        <f t="shared" ca="1" si="28"/>
        <v>7.13103647531107E-2</v>
      </c>
      <c r="R87" s="1209"/>
      <c r="S87" s="1209">
        <f t="shared" ca="1" si="29"/>
        <v>7.13103647531107E-2</v>
      </c>
    </row>
    <row r="91" spans="1:19" x14ac:dyDescent="0.3">
      <c r="A91" s="82" t="s">
        <v>2621</v>
      </c>
      <c r="D91" t="s">
        <v>603</v>
      </c>
      <c r="E91" t="s">
        <v>590</v>
      </c>
      <c r="F91" t="s">
        <v>591</v>
      </c>
      <c r="G91" t="s">
        <v>592</v>
      </c>
      <c r="H91" t="s">
        <v>593</v>
      </c>
      <c r="K91" t="s">
        <v>603</v>
      </c>
      <c r="M91" t="s">
        <v>590</v>
      </c>
      <c r="O91" t="s">
        <v>591</v>
      </c>
      <c r="Q91" t="s">
        <v>592</v>
      </c>
      <c r="S91" t="s">
        <v>593</v>
      </c>
    </row>
    <row r="92" spans="1:19" x14ac:dyDescent="0.3">
      <c r="A92" s="49" t="str">
        <f>Output.Rankings!CJ$4</f>
        <v>Nitrogen in slurry liquids</v>
      </c>
      <c r="B92" s="49" t="str">
        <f>$F$18</f>
        <v>lb/1000 gal</v>
      </c>
      <c r="C92" s="49" t="str">
        <f t="shared" ref="C92:C103" si="32">_xlfn.CONCAT(A92, " (", B92, ")")</f>
        <v>Nitrogen in slurry liquids (lb/1000 gal)</v>
      </c>
      <c r="D92" s="1209" cm="1">
        <f t="array" ref="D92">INDEX(Output.Rankings!$CJ$7:$CJ$33,D$23)*$D$18</f>
        <v>56.190399750413853</v>
      </c>
      <c r="E92" s="1209" cm="1">
        <f t="array" aca="1" ref="E92" ca="1">INDEX(Output.Rankings!$CJ$7:$CJ$33,E$23)*$D$18</f>
        <v>56.190399750413853</v>
      </c>
      <c r="F92" s="1209" cm="1">
        <f t="array" aca="1" ref="F92" ca="1">INDEX(Output.Rankings!$CJ$7:$CJ$33,F$23)*$D$18</f>
        <v>33.695149060791721</v>
      </c>
      <c r="G92" s="1209" cm="1">
        <f t="array" aca="1" ref="G92" ca="1">INDEX(Output.Rankings!$CJ$7:$CJ$33,G$23)*$D$18</f>
        <v>56.190399750413853</v>
      </c>
      <c r="H92" s="1209" cm="1">
        <f t="array" aca="1" ref="H92" ca="1">INDEX(Output.Rankings!$CJ$7:$CJ$33,H$23)*$D$18</f>
        <v>33.695149060791721</v>
      </c>
      <c r="K92" s="1209">
        <f>D92</f>
        <v>56.190399750413853</v>
      </c>
      <c r="L92" s="1209"/>
      <c r="M92" s="1209">
        <f t="shared" ref="M92:M103" ca="1" si="33">E92</f>
        <v>56.190399750413853</v>
      </c>
      <c r="N92" s="1209"/>
      <c r="O92" s="1209">
        <f t="shared" ref="O92:O103" ca="1" si="34">F92</f>
        <v>33.695149060791721</v>
      </c>
      <c r="P92" s="1209"/>
      <c r="Q92" s="1209">
        <f t="shared" ref="Q92:Q103" ca="1" si="35">G92</f>
        <v>56.190399750413853</v>
      </c>
      <c r="R92" s="1209"/>
      <c r="S92" s="1209">
        <f t="shared" ref="S92:S103" ca="1" si="36">H92</f>
        <v>33.695149060791721</v>
      </c>
    </row>
    <row r="93" spans="1:19" x14ac:dyDescent="0.3">
      <c r="A93" s="49" t="str">
        <f>Output.Rankings!CK$4</f>
        <v>P2O5 in slurry liquids</v>
      </c>
      <c r="B93" s="49" t="str">
        <f t="shared" ref="B93:B97" si="37">$F$18</f>
        <v>lb/1000 gal</v>
      </c>
      <c r="C93" s="49" t="str">
        <f t="shared" si="32"/>
        <v>P2O5 in slurry liquids (lb/1000 gal)</v>
      </c>
      <c r="D93" s="1209" cm="1">
        <f t="array" ref="D93">INDEX(Output.Rankings!$CK$7:$CK$33,D$23)*$D$18</f>
        <v>26.244437508218098</v>
      </c>
      <c r="E93" s="1209" cm="1">
        <f t="array" aca="1" ref="E93" ca="1">INDEX(Output.Rankings!$CK$7:$CK$33,E$23)*$D$18</f>
        <v>26.244437508218098</v>
      </c>
      <c r="F93" s="1209" cm="1">
        <f t="array" aca="1" ref="F93" ca="1">INDEX(Output.Rankings!$CK$7:$CK$33,F$23)*$D$18</f>
        <v>26.244437508218098</v>
      </c>
      <c r="G93" s="1209" cm="1">
        <f t="array" aca="1" ref="G93" ca="1">INDEX(Output.Rankings!$CK$7:$CK$33,G$23)*$D$18</f>
        <v>26.244437508218098</v>
      </c>
      <c r="H93" s="1209" cm="1">
        <f t="array" aca="1" ref="H93" ca="1">INDEX(Output.Rankings!$CK$7:$CK$33,H$23)*$D$18</f>
        <v>26.244437508218098</v>
      </c>
      <c r="K93" s="1209">
        <f t="shared" ref="K93:K103" si="38">D93</f>
        <v>26.244437508218098</v>
      </c>
      <c r="L93" s="1209"/>
      <c r="M93" s="1209">
        <f t="shared" ca="1" si="33"/>
        <v>26.244437508218098</v>
      </c>
      <c r="N93" s="1209"/>
      <c r="O93" s="1209">
        <f t="shared" ca="1" si="34"/>
        <v>26.244437508218098</v>
      </c>
      <c r="P93" s="1209"/>
      <c r="Q93" s="1209">
        <f t="shared" ca="1" si="35"/>
        <v>26.244437508218098</v>
      </c>
      <c r="R93" s="1209"/>
      <c r="S93" s="1209">
        <f t="shared" ca="1" si="36"/>
        <v>26.244437508218098</v>
      </c>
    </row>
    <row r="94" spans="1:19" x14ac:dyDescent="0.3">
      <c r="A94" s="49" t="str">
        <f>Output.Rankings!CL$4</f>
        <v>K2O in slurry liquids</v>
      </c>
      <c r="B94" s="49" t="str">
        <f t="shared" si="37"/>
        <v>lb/1000 gal</v>
      </c>
      <c r="C94" s="49" t="str">
        <f t="shared" si="32"/>
        <v>K2O in slurry liquids (lb/1000 gal)</v>
      </c>
      <c r="D94" s="1209" cm="1">
        <f t="array" ref="D94">INDEX(Output.Rankings!$CL$7:$CL$33,D$23)*$D$18</f>
        <v>33.743013022370931</v>
      </c>
      <c r="E94" s="1209" cm="1">
        <f t="array" aca="1" ref="E94" ca="1">INDEX(Output.Rankings!$CL$7:$CL$33,E$23)*$D$18</f>
        <v>33.743013022370931</v>
      </c>
      <c r="F94" s="1209" cm="1">
        <f t="array" aca="1" ref="F94" ca="1">INDEX(Output.Rankings!$CL$7:$CL$33,F$23)*$D$18</f>
        <v>33.743013022370931</v>
      </c>
      <c r="G94" s="1209" cm="1">
        <f t="array" aca="1" ref="G94" ca="1">INDEX(Output.Rankings!$CL$7:$CL$33,G$23)*$D$18</f>
        <v>33.743013022370931</v>
      </c>
      <c r="H94" s="1209" cm="1">
        <f t="array" aca="1" ref="H94" ca="1">INDEX(Output.Rankings!$CL$7:$CL$33,H$23)*$D$18</f>
        <v>33.743013022370931</v>
      </c>
      <c r="K94" s="1209">
        <f t="shared" si="38"/>
        <v>33.743013022370931</v>
      </c>
      <c r="L94" s="1209"/>
      <c r="M94" s="1209">
        <f t="shared" ca="1" si="33"/>
        <v>33.743013022370931</v>
      </c>
      <c r="N94" s="1209"/>
      <c r="O94" s="1209">
        <f t="shared" ca="1" si="34"/>
        <v>33.743013022370931</v>
      </c>
      <c r="P94" s="1209"/>
      <c r="Q94" s="1209">
        <f t="shared" ca="1" si="35"/>
        <v>33.743013022370931</v>
      </c>
      <c r="R94" s="1209"/>
      <c r="S94" s="1209">
        <f t="shared" ca="1" si="36"/>
        <v>33.743013022370931</v>
      </c>
    </row>
    <row r="95" spans="1:19" x14ac:dyDescent="0.3">
      <c r="A95" s="49" t="str">
        <f>Output.Rankings!CM$4</f>
        <v>Nitrogen in sludge</v>
      </c>
      <c r="B95" s="49" t="str">
        <f t="shared" si="37"/>
        <v>lb/1000 gal</v>
      </c>
      <c r="C95" s="49" t="str">
        <f t="shared" si="32"/>
        <v>Nitrogen in sludge (lb/1000 gal)</v>
      </c>
      <c r="D95" s="1209" cm="1">
        <f t="array" ref="D95">INDEX(Output.Rankings!$CM$7:$CM$33,D$23)*$D$18</f>
        <v>0</v>
      </c>
      <c r="E95" s="1209" cm="1">
        <f t="array" aca="1" ref="E95" ca="1">INDEX(Output.Rankings!$CM$7:$CM$33,E$23)*$D$18</f>
        <v>0</v>
      </c>
      <c r="F95" s="1209" cm="1">
        <f t="array" aca="1" ref="F95" ca="1">INDEX(Output.Rankings!$CM$7:$CM$33,F$23)*$D$18</f>
        <v>0</v>
      </c>
      <c r="G95" s="1209" cm="1">
        <f t="array" aca="1" ref="G95" ca="1">INDEX(Output.Rankings!$CM$7:$CM$33,G$23)*$D$18</f>
        <v>0</v>
      </c>
      <c r="H95" s="1209" cm="1">
        <f t="array" aca="1" ref="H95" ca="1">INDEX(Output.Rankings!$CM$7:$CM$33,H$23)*$D$18</f>
        <v>0</v>
      </c>
      <c r="K95" s="1209">
        <f t="shared" si="38"/>
        <v>0</v>
      </c>
      <c r="L95" s="1209"/>
      <c r="M95" s="1209">
        <f t="shared" ca="1" si="33"/>
        <v>0</v>
      </c>
      <c r="N95" s="1209"/>
      <c r="O95" s="1209">
        <f t="shared" ca="1" si="34"/>
        <v>0</v>
      </c>
      <c r="P95" s="1209"/>
      <c r="Q95" s="1209">
        <f t="shared" ca="1" si="35"/>
        <v>0</v>
      </c>
      <c r="R95" s="1209"/>
      <c r="S95" s="1209">
        <f t="shared" ca="1" si="36"/>
        <v>0</v>
      </c>
    </row>
    <row r="96" spans="1:19" x14ac:dyDescent="0.3">
      <c r="A96" s="49" t="str">
        <f>Output.Rankings!CN$4</f>
        <v>P2O5 in sludge</v>
      </c>
      <c r="B96" s="49" t="str">
        <f t="shared" si="37"/>
        <v>lb/1000 gal</v>
      </c>
      <c r="C96" s="49" t="str">
        <f t="shared" si="32"/>
        <v>P2O5 in sludge (lb/1000 gal)</v>
      </c>
      <c r="D96" s="1209" cm="1">
        <f t="array" ref="D96">INDEX(Output.Rankings!$CN$7:$CN$33,D$23)*$D$18</f>
        <v>0</v>
      </c>
      <c r="E96" s="1209" cm="1">
        <f t="array" aca="1" ref="E96" ca="1">INDEX(Output.Rankings!$CN$7:$CN$33,E$23)*$D$18</f>
        <v>0</v>
      </c>
      <c r="F96" s="1209" cm="1">
        <f t="array" aca="1" ref="F96" ca="1">INDEX(Output.Rankings!$CN$7:$CN$33,F$23)*$D$18</f>
        <v>0</v>
      </c>
      <c r="G96" s="1209" cm="1">
        <f t="array" aca="1" ref="G96" ca="1">INDEX(Output.Rankings!$CN$7:$CN$33,G$23)*$D$18</f>
        <v>0</v>
      </c>
      <c r="H96" s="1209" cm="1">
        <f t="array" aca="1" ref="H96" ca="1">INDEX(Output.Rankings!$CN$7:$CN$33,H$23)*$D$18</f>
        <v>0</v>
      </c>
      <c r="K96" s="1209">
        <f t="shared" si="38"/>
        <v>0</v>
      </c>
      <c r="L96" s="1209"/>
      <c r="M96" s="1209">
        <f t="shared" ca="1" si="33"/>
        <v>0</v>
      </c>
      <c r="N96" s="1209"/>
      <c r="O96" s="1209">
        <f t="shared" ca="1" si="34"/>
        <v>0</v>
      </c>
      <c r="P96" s="1209"/>
      <c r="Q96" s="1209">
        <f t="shared" ca="1" si="35"/>
        <v>0</v>
      </c>
      <c r="R96" s="1209"/>
      <c r="S96" s="1209">
        <f t="shared" ca="1" si="36"/>
        <v>0</v>
      </c>
    </row>
    <row r="97" spans="1:19" x14ac:dyDescent="0.3">
      <c r="A97" s="49" t="str">
        <f>Output.Rankings!CO$4</f>
        <v>K2O in sludge</v>
      </c>
      <c r="B97" s="49" t="str">
        <f t="shared" si="37"/>
        <v>lb/1000 gal</v>
      </c>
      <c r="C97" s="49" t="str">
        <f t="shared" si="32"/>
        <v>K2O in sludge (lb/1000 gal)</v>
      </c>
      <c r="D97" s="1209" cm="1">
        <f t="array" ref="D97">INDEX(Output.Rankings!$CO$7:$CO$33,D$23)*$D$18</f>
        <v>0</v>
      </c>
      <c r="E97" s="1209" cm="1">
        <f t="array" aca="1" ref="E97" ca="1">INDEX(Output.Rankings!$CO$7:$CO$33,E$23)*$D$18</f>
        <v>0</v>
      </c>
      <c r="F97" s="1209" cm="1">
        <f t="array" aca="1" ref="F97" ca="1">INDEX(Output.Rankings!$CO$7:$CO$33,F$23)*$D$18</f>
        <v>0</v>
      </c>
      <c r="G97" s="1209" cm="1">
        <f t="array" aca="1" ref="G97" ca="1">INDEX(Output.Rankings!$CO$7:$CO$33,G$23)*$D$18</f>
        <v>0</v>
      </c>
      <c r="H97" s="1209" cm="1">
        <f t="array" aca="1" ref="H97" ca="1">INDEX(Output.Rankings!$CO$7:$CO$33,H$23)*$D$18</f>
        <v>0</v>
      </c>
      <c r="K97" s="1209">
        <f t="shared" si="38"/>
        <v>0</v>
      </c>
      <c r="L97" s="1209"/>
      <c r="M97" s="1209">
        <f t="shared" ca="1" si="33"/>
        <v>0</v>
      </c>
      <c r="N97" s="1209"/>
      <c r="O97" s="1209">
        <f t="shared" ca="1" si="34"/>
        <v>0</v>
      </c>
      <c r="P97" s="1209"/>
      <c r="Q97" s="1209">
        <f t="shared" ca="1" si="35"/>
        <v>0</v>
      </c>
      <c r="R97" s="1209"/>
      <c r="S97" s="1209">
        <f t="shared" ca="1" si="36"/>
        <v>0</v>
      </c>
    </row>
    <row r="98" spans="1:19" x14ac:dyDescent="0.3">
      <c r="A98" s="49" t="str">
        <f>Output.Rankings!CP$4</f>
        <v>Nitrogen in separated solids</v>
      </c>
      <c r="B98" s="49" t="str">
        <f>$F$19</f>
        <v>lb/ton (2000 lb)</v>
      </c>
      <c r="C98" s="49" t="str">
        <f t="shared" si="32"/>
        <v>Nitrogen in separated solids (lb/ton (2000 lb))</v>
      </c>
      <c r="D98" s="1209" cm="1">
        <f t="array" ref="D98">INDEX(Output.Rankings!$CP$7:$CP$33,D$23)*$D$19</f>
        <v>0</v>
      </c>
      <c r="E98" s="1209" cm="1">
        <f t="array" aca="1" ref="E98" ca="1">INDEX(Output.Rankings!$CP$7:$CP$33,E$23)*$D$19</f>
        <v>0</v>
      </c>
      <c r="F98" s="1209" cm="1">
        <f t="array" aca="1" ref="F98" ca="1">INDEX(Output.Rankings!$CP$7:$CP$33,F$23)*$D$19</f>
        <v>0</v>
      </c>
      <c r="G98" s="1209" cm="1">
        <f t="array" aca="1" ref="G98" ca="1">INDEX(Output.Rankings!$CP$7:$CP$33,G$23)*$D$19</f>
        <v>0</v>
      </c>
      <c r="H98" s="1209" cm="1">
        <f t="array" aca="1" ref="H98" ca="1">INDEX(Output.Rankings!$CP$7:$CP$33,H$23)*$D$19</f>
        <v>0</v>
      </c>
      <c r="K98" s="1209">
        <f t="shared" si="38"/>
        <v>0</v>
      </c>
      <c r="L98" s="1209"/>
      <c r="M98" s="1209">
        <f t="shared" ca="1" si="33"/>
        <v>0</v>
      </c>
      <c r="N98" s="1209"/>
      <c r="O98" s="1209">
        <f t="shared" ca="1" si="34"/>
        <v>0</v>
      </c>
      <c r="P98" s="1209"/>
      <c r="Q98" s="1209">
        <f t="shared" ca="1" si="35"/>
        <v>0</v>
      </c>
      <c r="R98" s="1209"/>
      <c r="S98" s="1209">
        <f t="shared" ca="1" si="36"/>
        <v>0</v>
      </c>
    </row>
    <row r="99" spans="1:19" x14ac:dyDescent="0.3">
      <c r="A99" s="49" t="str">
        <f>Output.Rankings!CQ$4</f>
        <v>P2O5 in separated solids</v>
      </c>
      <c r="B99" s="49" t="str">
        <f t="shared" ref="B99:B103" si="39">$F$19</f>
        <v>lb/ton (2000 lb)</v>
      </c>
      <c r="C99" s="49" t="str">
        <f t="shared" si="32"/>
        <v>P2O5 in separated solids (lb/ton (2000 lb))</v>
      </c>
      <c r="D99" s="1209" cm="1">
        <f t="array" ref="D99">INDEX(Output.Rankings!$CQ$7:$CQ$33,D$23)*$D$19</f>
        <v>0</v>
      </c>
      <c r="E99" s="1209" cm="1">
        <f t="array" aca="1" ref="E99" ca="1">INDEX(Output.Rankings!$CQ$7:$CQ$33,E$23)*$D$19</f>
        <v>0</v>
      </c>
      <c r="F99" s="1209" cm="1">
        <f t="array" aca="1" ref="F99" ca="1">INDEX(Output.Rankings!$CQ$7:$CQ$33,F$23)*$D$19</f>
        <v>0</v>
      </c>
      <c r="G99" s="1209" cm="1">
        <f t="array" aca="1" ref="G99" ca="1">INDEX(Output.Rankings!$CQ$7:$CQ$33,G$23)*$D$19</f>
        <v>0</v>
      </c>
      <c r="H99" s="1209" cm="1">
        <f t="array" aca="1" ref="H99" ca="1">INDEX(Output.Rankings!$CQ$7:$CQ$33,H$23)*$D$19</f>
        <v>0</v>
      </c>
      <c r="K99" s="1209">
        <f t="shared" si="38"/>
        <v>0</v>
      </c>
      <c r="L99" s="1209"/>
      <c r="M99" s="1209">
        <f t="shared" ca="1" si="33"/>
        <v>0</v>
      </c>
      <c r="N99" s="1209"/>
      <c r="O99" s="1209">
        <f t="shared" ca="1" si="34"/>
        <v>0</v>
      </c>
      <c r="P99" s="1209"/>
      <c r="Q99" s="1209">
        <f t="shared" ca="1" si="35"/>
        <v>0</v>
      </c>
      <c r="R99" s="1209"/>
      <c r="S99" s="1209">
        <f t="shared" ca="1" si="36"/>
        <v>0</v>
      </c>
    </row>
    <row r="100" spans="1:19" x14ac:dyDescent="0.3">
      <c r="A100" s="49" t="str">
        <f>Output.Rankings!CR$4</f>
        <v>K2O in separated solids</v>
      </c>
      <c r="B100" s="49" t="str">
        <f t="shared" si="39"/>
        <v>lb/ton (2000 lb)</v>
      </c>
      <c r="C100" s="49" t="str">
        <f t="shared" si="32"/>
        <v>K2O in separated solids (lb/ton (2000 lb))</v>
      </c>
      <c r="D100" s="1209" cm="1">
        <f t="array" ref="D100">INDEX(Output.Rankings!$CR$7:$CR$33,D$23)*$D$19</f>
        <v>0</v>
      </c>
      <c r="E100" s="1209" cm="1">
        <f t="array" aca="1" ref="E100" ca="1">INDEX(Output.Rankings!$CR$7:$CR$33,E$23)*$D$19</f>
        <v>0</v>
      </c>
      <c r="F100" s="1209" cm="1">
        <f t="array" aca="1" ref="F100" ca="1">INDEX(Output.Rankings!$CR$7:$CR$33,F$23)*$D$19</f>
        <v>0</v>
      </c>
      <c r="G100" s="1209" cm="1">
        <f t="array" aca="1" ref="G100" ca="1">INDEX(Output.Rankings!$CR$7:$CR$33,G$23)*$D$19</f>
        <v>0</v>
      </c>
      <c r="H100" s="1209" cm="1">
        <f t="array" aca="1" ref="H100" ca="1">INDEX(Output.Rankings!$CR$7:$CR$33,H$23)*$D$19</f>
        <v>0</v>
      </c>
      <c r="K100" s="1209">
        <f t="shared" si="38"/>
        <v>0</v>
      </c>
      <c r="L100" s="1209"/>
      <c r="M100" s="1209">
        <f t="shared" ca="1" si="33"/>
        <v>0</v>
      </c>
      <c r="N100" s="1209"/>
      <c r="O100" s="1209">
        <f t="shared" ca="1" si="34"/>
        <v>0</v>
      </c>
      <c r="P100" s="1209"/>
      <c r="Q100" s="1209">
        <f t="shared" ca="1" si="35"/>
        <v>0</v>
      </c>
      <c r="R100" s="1209"/>
      <c r="S100" s="1209">
        <f t="shared" ca="1" si="36"/>
        <v>0</v>
      </c>
    </row>
    <row r="101" spans="1:19" x14ac:dyDescent="0.3">
      <c r="A101" s="49" t="str">
        <f>Output.Rankings!CS$4</f>
        <v>Nitrogen in partially composted material</v>
      </c>
      <c r="B101" s="49" t="str">
        <f t="shared" si="39"/>
        <v>lb/ton (2000 lb)</v>
      </c>
      <c r="C101" s="49" t="str">
        <f t="shared" si="32"/>
        <v>Nitrogen in partially composted material (lb/ton (2000 lb))</v>
      </c>
      <c r="D101" s="1209" cm="1">
        <f t="array" ref="D101">INDEX(Output.Rankings!$CS$7:$CS$33,D$23)*$D$19</f>
        <v>0</v>
      </c>
      <c r="E101" s="1209" cm="1">
        <f t="array" aca="1" ref="E101" ca="1">INDEX(Output.Rankings!$CS$7:$CS$33,E$23)*$D$19</f>
        <v>0</v>
      </c>
      <c r="F101" s="1209" cm="1">
        <f t="array" aca="1" ref="F101" ca="1">INDEX(Output.Rankings!$CS$7:$CS$33,F$23)*$D$19</f>
        <v>0</v>
      </c>
      <c r="G101" s="1209" cm="1">
        <f t="array" aca="1" ref="G101" ca="1">INDEX(Output.Rankings!$CS$7:$CS$33,G$23)*$D$19</f>
        <v>0</v>
      </c>
      <c r="H101" s="1209" cm="1">
        <f t="array" aca="1" ref="H101" ca="1">INDEX(Output.Rankings!$CS$7:$CS$33,H$23)*$D$19</f>
        <v>0</v>
      </c>
      <c r="K101" s="1209">
        <f t="shared" si="38"/>
        <v>0</v>
      </c>
      <c r="L101" s="1209"/>
      <c r="M101" s="1209">
        <f t="shared" ca="1" si="33"/>
        <v>0</v>
      </c>
      <c r="N101" s="1209"/>
      <c r="O101" s="1209">
        <f t="shared" ca="1" si="34"/>
        <v>0</v>
      </c>
      <c r="P101" s="1209"/>
      <c r="Q101" s="1209">
        <f t="shared" ca="1" si="35"/>
        <v>0</v>
      </c>
      <c r="R101" s="1209"/>
      <c r="S101" s="1209">
        <f t="shared" ca="1" si="36"/>
        <v>0</v>
      </c>
    </row>
    <row r="102" spans="1:19" x14ac:dyDescent="0.3">
      <c r="A102" s="49" t="str">
        <f>Output.Rankings!CT$4</f>
        <v>P2O5 in partially composted material</v>
      </c>
      <c r="B102" s="49" t="str">
        <f t="shared" si="39"/>
        <v>lb/ton (2000 lb)</v>
      </c>
      <c r="C102" s="49" t="str">
        <f t="shared" si="32"/>
        <v>P2O5 in partially composted material (lb/ton (2000 lb))</v>
      </c>
      <c r="D102" s="1209" cm="1">
        <f t="array" ref="D102">INDEX(Output.Rankings!$CT$7:$CT$33,D$23)*$D$19</f>
        <v>0</v>
      </c>
      <c r="E102" s="1209" cm="1">
        <f t="array" aca="1" ref="E102" ca="1">INDEX(Output.Rankings!$CT$7:$CT$33,E$23)*$D$19</f>
        <v>0</v>
      </c>
      <c r="F102" s="1209" cm="1">
        <f t="array" aca="1" ref="F102" ca="1">INDEX(Output.Rankings!$CT$7:$CT$33,F$23)*$D$19</f>
        <v>0</v>
      </c>
      <c r="G102" s="1209" cm="1">
        <f t="array" aca="1" ref="G102" ca="1">INDEX(Output.Rankings!$CT$7:$CT$33,G$23)*$D$19</f>
        <v>0</v>
      </c>
      <c r="H102" s="1209" cm="1">
        <f t="array" aca="1" ref="H102" ca="1">INDEX(Output.Rankings!$CT$7:$CT$33,H$23)*$D$19</f>
        <v>0</v>
      </c>
      <c r="K102" s="1209">
        <f t="shared" si="38"/>
        <v>0</v>
      </c>
      <c r="L102" s="1209"/>
      <c r="M102" s="1209">
        <f t="shared" ca="1" si="33"/>
        <v>0</v>
      </c>
      <c r="N102" s="1209"/>
      <c r="O102" s="1209">
        <f t="shared" ca="1" si="34"/>
        <v>0</v>
      </c>
      <c r="P102" s="1209"/>
      <c r="Q102" s="1209">
        <f t="shared" ca="1" si="35"/>
        <v>0</v>
      </c>
      <c r="R102" s="1209"/>
      <c r="S102" s="1209">
        <f t="shared" ca="1" si="36"/>
        <v>0</v>
      </c>
    </row>
    <row r="103" spans="1:19" x14ac:dyDescent="0.3">
      <c r="A103" s="49" t="str">
        <f>Output.Rankings!CU$4</f>
        <v>K2O in partially composted material</v>
      </c>
      <c r="B103" s="49" t="str">
        <f t="shared" si="39"/>
        <v>lb/ton (2000 lb)</v>
      </c>
      <c r="C103" s="49" t="str">
        <f t="shared" si="32"/>
        <v>K2O in partially composted material (lb/ton (2000 lb))</v>
      </c>
      <c r="D103" s="1209" cm="1">
        <f t="array" ref="D103">INDEX(Output.Rankings!$CU$7:$CU$33,D$23)*$D$19</f>
        <v>0</v>
      </c>
      <c r="E103" s="1209" cm="1">
        <f t="array" aca="1" ref="E103" ca="1">INDEX(Output.Rankings!$CU$7:$CU$33,E$23)*$D$19</f>
        <v>0</v>
      </c>
      <c r="F103" s="1209" cm="1">
        <f t="array" aca="1" ref="F103" ca="1">INDEX(Output.Rankings!$CU$7:$CU$33,F$23)*$D$19</f>
        <v>0</v>
      </c>
      <c r="G103" s="1209" cm="1">
        <f t="array" aca="1" ref="G103" ca="1">INDEX(Output.Rankings!$CU$7:$CU$33,G$23)*$D$19</f>
        <v>0</v>
      </c>
      <c r="H103" s="1209" cm="1">
        <f t="array" aca="1" ref="H103" ca="1">INDEX(Output.Rankings!$CU$7:$CU$33,H$23)*$D$19</f>
        <v>0</v>
      </c>
      <c r="K103" s="1209">
        <f t="shared" si="38"/>
        <v>0</v>
      </c>
      <c r="L103" s="1209"/>
      <c r="M103" s="1209">
        <f t="shared" ca="1" si="33"/>
        <v>0</v>
      </c>
      <c r="N103" s="1209"/>
      <c r="O103" s="1209">
        <f t="shared" ca="1" si="34"/>
        <v>0</v>
      </c>
      <c r="P103" s="1209"/>
      <c r="Q103" s="1209">
        <f t="shared" ca="1" si="35"/>
        <v>0</v>
      </c>
      <c r="R103" s="1209"/>
      <c r="S103" s="1209">
        <f t="shared" ca="1" si="36"/>
        <v>0</v>
      </c>
    </row>
    <row r="111" spans="1:19" x14ac:dyDescent="0.3">
      <c r="A111" t="s">
        <v>2622</v>
      </c>
      <c r="B111" t="str">
        <f>F12</f>
        <v>acre/year</v>
      </c>
      <c r="C111" t="str">
        <f>_xlfn.CONCAT(A111, " (", B111, ")")</f>
        <v>Land application deficit (acre/year)</v>
      </c>
    </row>
    <row r="112" spans="1:19" x14ac:dyDescent="0.3">
      <c r="A112" t="s">
        <v>2623</v>
      </c>
      <c r="B112" t="str">
        <f>F13</f>
        <v>ton (2000 lb)/year</v>
      </c>
      <c r="C112" t="str">
        <f>_xlfn.CONCAT(A112, " (", B112, ")")</f>
        <v>Manure transportability (ton (2000 lb)/year)</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0AE2-5291-4002-A8A7-E9F5B6933D42}">
  <sheetPr codeName="Sheet50">
    <tabColor rgb="FF002060"/>
  </sheetPr>
  <dimension ref="A1:Y54"/>
  <sheetViews>
    <sheetView workbookViewId="0">
      <selection activeCell="G30" sqref="G30"/>
    </sheetView>
  </sheetViews>
  <sheetFormatPr defaultRowHeight="14.4" x14ac:dyDescent="0.3"/>
  <sheetData>
    <row r="1" spans="1:25" ht="15" customHeight="1" x14ac:dyDescent="0.3">
      <c r="A1" s="928" t="s">
        <v>2624</v>
      </c>
      <c r="B1" s="928" t="s">
        <v>2625</v>
      </c>
      <c r="C1" s="928"/>
      <c r="D1" s="926"/>
      <c r="E1" s="926"/>
    </row>
    <row r="2" spans="1:25" ht="15" customHeight="1" x14ac:dyDescent="0.3">
      <c r="A2" s="929" t="s">
        <v>2626</v>
      </c>
      <c r="B2" s="929" t="s">
        <v>2627</v>
      </c>
      <c r="C2" s="930"/>
      <c r="D2" s="930"/>
      <c r="E2" s="930"/>
    </row>
    <row r="3" spans="1:25" ht="15" customHeight="1" thickBot="1" x14ac:dyDescent="0.35">
      <c r="A3" s="931" t="s">
        <v>2628</v>
      </c>
      <c r="B3" s="932" t="s">
        <v>2629</v>
      </c>
      <c r="C3" s="933"/>
      <c r="D3" s="934"/>
      <c r="E3" s="934"/>
      <c r="H3" s="923"/>
      <c r="I3" s="923"/>
      <c r="J3" s="923"/>
      <c r="K3" s="923"/>
      <c r="L3" s="923"/>
      <c r="M3" s="923"/>
      <c r="N3" s="923"/>
      <c r="O3" s="923"/>
      <c r="P3" s="923"/>
      <c r="Q3" s="923"/>
      <c r="R3" s="923"/>
      <c r="S3" s="923"/>
      <c r="T3" s="923"/>
      <c r="U3" s="923"/>
      <c r="V3" s="923"/>
      <c r="W3" s="923"/>
      <c r="X3" s="926"/>
      <c r="Y3" s="926"/>
    </row>
    <row r="4" spans="1:25" ht="15" customHeight="1" thickBot="1" x14ac:dyDescent="0.35">
      <c r="A4" s="935" t="s">
        <v>2630</v>
      </c>
      <c r="B4" s="936" t="s">
        <v>31</v>
      </c>
      <c r="C4" s="936"/>
      <c r="D4" s="937"/>
      <c r="E4" s="937"/>
      <c r="H4" s="923"/>
      <c r="I4" s="923"/>
      <c r="J4" s="923"/>
      <c r="K4" s="2345" t="s">
        <v>0</v>
      </c>
      <c r="L4" s="2346"/>
      <c r="M4" s="2345" t="s">
        <v>1</v>
      </c>
      <c r="N4" s="2346"/>
      <c r="O4" s="2345" t="s">
        <v>2</v>
      </c>
      <c r="P4" s="2346"/>
      <c r="Q4" s="2345" t="s">
        <v>3</v>
      </c>
      <c r="R4" s="2346"/>
      <c r="S4" s="2345" t="s">
        <v>4</v>
      </c>
      <c r="T4" s="2346"/>
      <c r="U4" s="2345" t="s">
        <v>5</v>
      </c>
      <c r="V4" s="2346"/>
      <c r="W4" s="1739"/>
      <c r="X4" s="926"/>
      <c r="Y4" s="926"/>
    </row>
    <row r="5" spans="1:25" ht="15" customHeight="1" thickTop="1" thickBot="1" x14ac:dyDescent="0.35">
      <c r="A5" s="938" t="s">
        <v>2631</v>
      </c>
      <c r="B5" s="939" t="s">
        <v>2632</v>
      </c>
      <c r="C5" s="938"/>
      <c r="D5" s="939"/>
      <c r="E5" s="939"/>
      <c r="H5" s="923"/>
      <c r="I5" s="923"/>
      <c r="J5" s="923"/>
      <c r="K5" s="2347"/>
      <c r="L5" s="2348"/>
      <c r="M5" s="2347"/>
      <c r="N5" s="2348"/>
      <c r="O5" s="2347"/>
      <c r="P5" s="2348"/>
      <c r="Q5" s="2347"/>
      <c r="R5" s="2348"/>
      <c r="S5" s="2347"/>
      <c r="T5" s="2348"/>
      <c r="U5" s="2347"/>
      <c r="V5" s="2348"/>
      <c r="W5" s="1739"/>
      <c r="X5" s="926"/>
      <c r="Y5" s="926"/>
    </row>
    <row r="6" spans="1:25" ht="15" customHeight="1" thickTop="1" thickBot="1" x14ac:dyDescent="0.35">
      <c r="A6" s="940" t="s">
        <v>2633</v>
      </c>
      <c r="B6" s="941" t="s">
        <v>2634</v>
      </c>
      <c r="C6" s="942"/>
      <c r="D6" s="941"/>
      <c r="E6" s="941"/>
      <c r="H6" s="2345" t="s">
        <v>6</v>
      </c>
      <c r="I6" s="2351"/>
      <c r="J6" s="923"/>
      <c r="K6" s="2349"/>
      <c r="L6" s="2350"/>
      <c r="M6" s="2349"/>
      <c r="N6" s="2350"/>
      <c r="O6" s="2349"/>
      <c r="P6" s="2350"/>
      <c r="Q6" s="2349"/>
      <c r="R6" s="2350"/>
      <c r="S6" s="2349"/>
      <c r="T6" s="2350"/>
      <c r="U6" s="2349"/>
      <c r="V6" s="2350"/>
      <c r="W6" s="926"/>
      <c r="X6" s="2356" t="s">
        <v>7</v>
      </c>
      <c r="Y6" s="2357"/>
    </row>
    <row r="7" spans="1:25" ht="15" customHeight="1" thickTop="1" thickBot="1" x14ac:dyDescent="0.35">
      <c r="A7" s="943" t="s">
        <v>2635</v>
      </c>
      <c r="B7" s="944" t="s">
        <v>2636</v>
      </c>
      <c r="C7" s="945"/>
      <c r="D7" s="944"/>
      <c r="E7" s="944"/>
      <c r="H7" s="2352"/>
      <c r="I7" s="2353"/>
      <c r="J7" s="923"/>
      <c r="K7" s="926"/>
      <c r="L7" s="2345" t="s">
        <v>8</v>
      </c>
      <c r="M7" s="2346"/>
      <c r="N7" s="2345" t="s">
        <v>9</v>
      </c>
      <c r="O7" s="2346"/>
      <c r="P7" s="2345" t="s">
        <v>10</v>
      </c>
      <c r="Q7" s="2346"/>
      <c r="R7" s="2345" t="s">
        <v>11</v>
      </c>
      <c r="S7" s="2346"/>
      <c r="T7" s="2345" t="s">
        <v>12</v>
      </c>
      <c r="U7" s="2346"/>
      <c r="V7" s="926"/>
      <c r="W7" s="926"/>
      <c r="X7" s="2358"/>
      <c r="Y7" s="2359"/>
    </row>
    <row r="8" spans="1:25" ht="15" customHeight="1" thickTop="1" thickBot="1" x14ac:dyDescent="0.35">
      <c r="A8" s="698" t="s">
        <v>2637</v>
      </c>
      <c r="B8" s="698" t="s">
        <v>2638</v>
      </c>
      <c r="C8" s="698"/>
      <c r="D8" s="698"/>
      <c r="E8" s="698"/>
      <c r="H8" s="2354"/>
      <c r="I8" s="2355"/>
      <c r="J8" s="923"/>
      <c r="K8" s="926"/>
      <c r="L8" s="2347"/>
      <c r="M8" s="2348"/>
      <c r="N8" s="2347"/>
      <c r="O8" s="2348"/>
      <c r="P8" s="2347"/>
      <c r="Q8" s="2348"/>
      <c r="R8" s="2347"/>
      <c r="S8" s="2348"/>
      <c r="T8" s="2347"/>
      <c r="U8" s="2348"/>
      <c r="V8" s="926"/>
      <c r="W8" s="926"/>
      <c r="X8" s="2360"/>
      <c r="Y8" s="2361"/>
    </row>
    <row r="9" spans="1:25" ht="15" customHeight="1" thickTop="1" thickBot="1" x14ac:dyDescent="0.35">
      <c r="A9" s="946" t="s">
        <v>2639</v>
      </c>
      <c r="B9" s="947" t="s">
        <v>2640</v>
      </c>
      <c r="C9" s="948"/>
      <c r="D9" s="947"/>
      <c r="E9" s="947"/>
      <c r="H9" s="923"/>
      <c r="I9" s="923"/>
      <c r="J9" s="923"/>
      <c r="K9" s="926"/>
      <c r="L9" s="2349"/>
      <c r="M9" s="2350"/>
      <c r="N9" s="2349"/>
      <c r="O9" s="2350"/>
      <c r="P9" s="2349"/>
      <c r="Q9" s="2350"/>
      <c r="R9" s="2349"/>
      <c r="S9" s="2350"/>
      <c r="T9" s="2349"/>
      <c r="U9" s="2350"/>
      <c r="V9" s="923"/>
      <c r="W9" s="923"/>
      <c r="X9" s="926"/>
      <c r="Y9" s="926"/>
    </row>
    <row r="10" spans="1:25" ht="15" customHeight="1" x14ac:dyDescent="0.3">
      <c r="A10" s="949" t="s">
        <v>2641</v>
      </c>
      <c r="B10" s="950" t="s">
        <v>2642</v>
      </c>
      <c r="C10" s="950"/>
      <c r="D10" s="950"/>
      <c r="E10" s="950"/>
      <c r="H10" s="1738"/>
      <c r="I10" s="1738"/>
      <c r="J10" s="1738"/>
      <c r="K10" s="1738"/>
      <c r="L10" s="1738"/>
      <c r="M10" s="1738"/>
      <c r="N10" s="1738"/>
      <c r="O10" s="1738"/>
      <c r="P10" s="1738"/>
      <c r="Q10" s="1738"/>
      <c r="R10" s="1738"/>
      <c r="S10" s="1738"/>
      <c r="T10" s="1738"/>
      <c r="U10" s="1738"/>
      <c r="V10" s="1738"/>
      <c r="W10" s="1738"/>
      <c r="X10" s="926"/>
      <c r="Y10" s="926"/>
    </row>
    <row r="11" spans="1:25" ht="15" customHeight="1" x14ac:dyDescent="0.3">
      <c r="A11" s="951" t="s">
        <v>2643</v>
      </c>
      <c r="B11" s="699" t="s">
        <v>2644</v>
      </c>
      <c r="C11" s="699"/>
      <c r="D11" s="952"/>
      <c r="E11" s="952"/>
      <c r="H11" s="1740"/>
      <c r="I11" s="1740"/>
      <c r="J11" s="1740"/>
      <c r="K11" s="1740"/>
      <c r="L11" s="1740"/>
      <c r="M11" s="1740"/>
      <c r="N11" s="1740"/>
      <c r="O11" s="1740"/>
      <c r="P11" s="1740"/>
      <c r="Q11" s="1740"/>
      <c r="R11" s="1740"/>
      <c r="S11" s="1740"/>
      <c r="T11" s="1740"/>
      <c r="U11" s="1740"/>
      <c r="V11" s="1740"/>
      <c r="W11" s="1740"/>
    </row>
    <row r="12" spans="1:25" ht="15" customHeight="1" thickBot="1" x14ac:dyDescent="0.35">
      <c r="A12" s="953" t="s">
        <v>2645</v>
      </c>
      <c r="B12" s="609" t="s">
        <v>2646</v>
      </c>
      <c r="C12" s="609"/>
      <c r="D12" s="954"/>
      <c r="E12" s="954"/>
      <c r="H12" s="923"/>
      <c r="I12" s="923"/>
      <c r="J12" s="923"/>
      <c r="K12" s="923"/>
      <c r="L12" s="923"/>
      <c r="M12" s="923"/>
      <c r="N12" s="923"/>
      <c r="O12" s="923"/>
      <c r="P12" s="923"/>
      <c r="Q12" s="923"/>
      <c r="R12" s="923"/>
      <c r="S12" s="923"/>
      <c r="T12" s="923"/>
      <c r="U12" s="923"/>
      <c r="V12" s="923"/>
      <c r="W12" s="923"/>
      <c r="X12" s="926"/>
      <c r="Y12" s="926"/>
    </row>
    <row r="13" spans="1:25" ht="15" customHeight="1" thickBot="1" x14ac:dyDescent="0.35">
      <c r="A13" s="955" t="s">
        <v>2647</v>
      </c>
      <c r="B13" s="956" t="s">
        <v>2648</v>
      </c>
      <c r="C13" s="956"/>
      <c r="D13" s="957"/>
      <c r="E13" s="957"/>
      <c r="H13" s="923"/>
      <c r="I13" s="923"/>
      <c r="J13" s="923"/>
      <c r="K13" s="2362" t="s">
        <v>0</v>
      </c>
      <c r="L13" s="2363"/>
      <c r="M13" s="2362" t="s">
        <v>1</v>
      </c>
      <c r="N13" s="2363"/>
      <c r="O13" s="2362" t="s">
        <v>2</v>
      </c>
      <c r="P13" s="2363"/>
      <c r="Q13" s="2362" t="s">
        <v>3</v>
      </c>
      <c r="R13" s="2363"/>
      <c r="S13" s="2362" t="s">
        <v>4</v>
      </c>
      <c r="T13" s="2363"/>
      <c r="U13" s="2362" t="s">
        <v>5</v>
      </c>
      <c r="V13" s="2363"/>
      <c r="W13" s="925"/>
      <c r="X13" s="926"/>
      <c r="Y13" s="926"/>
    </row>
    <row r="14" spans="1:25" ht="16.8" thickTop="1" thickBot="1" x14ac:dyDescent="0.35">
      <c r="A14" s="40" t="s">
        <v>2649</v>
      </c>
      <c r="B14" s="40" t="s">
        <v>2650</v>
      </c>
      <c r="C14" s="40"/>
      <c r="D14" s="40"/>
      <c r="E14" s="40"/>
      <c r="H14" s="923"/>
      <c r="I14" s="923"/>
      <c r="J14" s="923"/>
      <c r="K14" s="2364"/>
      <c r="L14" s="2365"/>
      <c r="M14" s="2364"/>
      <c r="N14" s="2365"/>
      <c r="O14" s="2364"/>
      <c r="P14" s="2365"/>
      <c r="Q14" s="2364"/>
      <c r="R14" s="2365"/>
      <c r="S14" s="2364"/>
      <c r="T14" s="2365"/>
      <c r="U14" s="2364"/>
      <c r="V14" s="2365"/>
      <c r="W14" s="925"/>
      <c r="X14" s="926"/>
      <c r="Y14" s="926"/>
    </row>
    <row r="15" spans="1:25" ht="16.8" thickTop="1" thickBot="1" x14ac:dyDescent="0.35">
      <c r="H15" s="925"/>
      <c r="I15" s="925"/>
      <c r="J15" s="923"/>
      <c r="K15" s="2366"/>
      <c r="L15" s="2367"/>
      <c r="M15" s="2366"/>
      <c r="N15" s="2367"/>
      <c r="O15" s="2366"/>
      <c r="P15" s="2367"/>
      <c r="Q15" s="2366"/>
      <c r="R15" s="2367"/>
      <c r="S15" s="2366"/>
      <c r="T15" s="2367"/>
      <c r="U15" s="2366"/>
      <c r="V15" s="2367"/>
      <c r="W15" s="925"/>
      <c r="X15" s="926"/>
      <c r="Y15" s="926"/>
    </row>
    <row r="16" spans="1:25" ht="17.25" customHeight="1" thickBot="1" x14ac:dyDescent="0.35">
      <c r="A16" t="s">
        <v>2651</v>
      </c>
      <c r="H16" s="925"/>
      <c r="I16" s="925"/>
      <c r="J16" s="923"/>
      <c r="K16" s="926"/>
      <c r="L16" s="2362" t="s">
        <v>8</v>
      </c>
      <c r="M16" s="2363"/>
      <c r="N16" s="2362" t="s">
        <v>9</v>
      </c>
      <c r="O16" s="2363"/>
      <c r="P16" s="2362" t="s">
        <v>10</v>
      </c>
      <c r="Q16" s="2363"/>
      <c r="R16" s="2362" t="s">
        <v>11</v>
      </c>
      <c r="S16" s="2363"/>
      <c r="T16" s="2362" t="s">
        <v>12</v>
      </c>
      <c r="U16" s="2363"/>
      <c r="V16" s="925"/>
      <c r="W16" s="925"/>
      <c r="X16" s="926"/>
      <c r="Y16" s="926"/>
    </row>
    <row r="17" spans="1:25" ht="16.8" thickTop="1" thickBot="1" x14ac:dyDescent="0.35">
      <c r="A17" s="1091" t="s">
        <v>2652</v>
      </c>
      <c r="B17" s="1091"/>
      <c r="C17" s="1091"/>
      <c r="D17" s="1091"/>
      <c r="E17" s="1091"/>
      <c r="H17" s="925"/>
      <c r="I17" s="925"/>
      <c r="J17" s="923"/>
      <c r="K17" s="926"/>
      <c r="L17" s="2364"/>
      <c r="M17" s="2365"/>
      <c r="N17" s="2364"/>
      <c r="O17" s="2365"/>
      <c r="P17" s="2364"/>
      <c r="Q17" s="2365"/>
      <c r="R17" s="2364"/>
      <c r="S17" s="2365"/>
      <c r="T17" s="2364"/>
      <c r="U17" s="2365"/>
      <c r="V17" s="925"/>
      <c r="W17" s="926"/>
      <c r="X17" s="926"/>
      <c r="Y17" s="926"/>
    </row>
    <row r="18" spans="1:25" ht="16.8" thickTop="1" thickBot="1" x14ac:dyDescent="0.35">
      <c r="A18" s="1168" t="s">
        <v>2653</v>
      </c>
      <c r="B18" s="1168"/>
      <c r="C18" s="1168"/>
      <c r="D18" s="1168"/>
      <c r="E18" s="1168"/>
      <c r="H18" s="923"/>
      <c r="I18" s="923"/>
      <c r="J18" s="923"/>
      <c r="K18" s="926"/>
      <c r="L18" s="2366"/>
      <c r="M18" s="2367"/>
      <c r="N18" s="2366"/>
      <c r="O18" s="2367"/>
      <c r="P18" s="2366"/>
      <c r="Q18" s="2367"/>
      <c r="R18" s="2366"/>
      <c r="S18" s="2367"/>
      <c r="T18" s="2366"/>
      <c r="U18" s="2367"/>
      <c r="V18" s="923"/>
      <c r="W18" s="926"/>
      <c r="X18" s="926"/>
      <c r="Y18" s="926"/>
    </row>
    <row r="19" spans="1:25" ht="15.6" x14ac:dyDescent="0.3">
      <c r="A19" s="1169" t="s">
        <v>2654</v>
      </c>
      <c r="B19" s="1169"/>
      <c r="C19" s="1169"/>
      <c r="D19" s="1169"/>
      <c r="E19" s="1169"/>
      <c r="H19" s="924"/>
      <c r="I19" s="924"/>
      <c r="J19" s="924"/>
      <c r="K19" s="924"/>
      <c r="L19" s="924"/>
      <c r="M19" s="924"/>
      <c r="N19" s="924"/>
      <c r="O19" s="924"/>
      <c r="P19" s="924"/>
      <c r="Q19" s="924"/>
      <c r="R19" s="924"/>
      <c r="S19" s="924"/>
      <c r="T19" s="924"/>
      <c r="U19" s="924"/>
      <c r="V19" s="924"/>
      <c r="W19" s="926"/>
      <c r="X19" s="926"/>
      <c r="Y19" s="926"/>
    </row>
    <row r="20" spans="1:25" ht="15.6" x14ac:dyDescent="0.3">
      <c r="H20" s="1740"/>
      <c r="I20" s="1740"/>
      <c r="J20" s="1740"/>
      <c r="K20" s="1740"/>
      <c r="L20" s="1740"/>
      <c r="M20" s="1740"/>
      <c r="N20" s="1740"/>
      <c r="O20" s="1740"/>
      <c r="P20" s="1740"/>
      <c r="Q20" s="1740"/>
      <c r="R20" s="1740"/>
      <c r="S20" s="1740"/>
      <c r="T20" s="1740"/>
      <c r="U20" s="1740"/>
      <c r="V20" s="1740"/>
    </row>
    <row r="21" spans="1:25" ht="16.2" thickBot="1" x14ac:dyDescent="0.35">
      <c r="A21" s="1170"/>
      <c r="B21" s="1170"/>
      <c r="C21" s="1170"/>
      <c r="D21" s="1170"/>
      <c r="E21" s="1170"/>
      <c r="H21" s="923"/>
      <c r="I21" s="923"/>
      <c r="J21" s="923"/>
      <c r="K21" s="923"/>
      <c r="L21" s="923"/>
      <c r="M21" s="923"/>
      <c r="N21" s="923"/>
      <c r="O21" s="923"/>
      <c r="P21" s="923"/>
      <c r="Q21" s="923"/>
      <c r="R21" s="923"/>
      <c r="S21" s="923"/>
      <c r="T21" s="923"/>
      <c r="U21" s="923"/>
      <c r="V21" s="923"/>
      <c r="W21" s="926"/>
      <c r="X21" s="926"/>
      <c r="Y21" s="926"/>
    </row>
    <row r="22" spans="1:25" ht="16.5" customHeight="1" thickBot="1" x14ac:dyDescent="0.35">
      <c r="A22" s="1171"/>
      <c r="B22" s="1171"/>
      <c r="C22" s="1171"/>
      <c r="D22" s="1171"/>
      <c r="E22" s="1171"/>
      <c r="H22" s="923"/>
      <c r="I22" s="923"/>
      <c r="J22" s="923"/>
      <c r="K22" s="2356" t="s">
        <v>0</v>
      </c>
      <c r="L22" s="2357"/>
      <c r="M22" s="2356" t="s">
        <v>7</v>
      </c>
      <c r="N22" s="2357"/>
      <c r="O22" s="2356" t="s">
        <v>7</v>
      </c>
      <c r="P22" s="2357"/>
      <c r="Q22" s="2356" t="s">
        <v>7</v>
      </c>
      <c r="R22" s="2479"/>
      <c r="S22" s="2356" t="s">
        <v>7</v>
      </c>
      <c r="T22" s="2357"/>
      <c r="U22" s="2356" t="s">
        <v>7</v>
      </c>
      <c r="V22" s="2357"/>
      <c r="W22" s="926"/>
      <c r="X22" s="926"/>
      <c r="Y22" s="926"/>
    </row>
    <row r="23" spans="1:25" ht="16.8" thickTop="1" thickBot="1" x14ac:dyDescent="0.35">
      <c r="H23" s="923"/>
      <c r="I23" s="923"/>
      <c r="J23" s="923"/>
      <c r="K23" s="2358"/>
      <c r="L23" s="2359"/>
      <c r="M23" s="2358"/>
      <c r="N23" s="2359"/>
      <c r="O23" s="2358"/>
      <c r="P23" s="2359"/>
      <c r="Q23" s="2358"/>
      <c r="R23" s="2480"/>
      <c r="S23" s="2358"/>
      <c r="T23" s="2359"/>
      <c r="U23" s="2358"/>
      <c r="V23" s="2359"/>
      <c r="W23" s="926"/>
      <c r="X23" s="926"/>
      <c r="Y23" s="926"/>
    </row>
    <row r="24" spans="1:25" ht="16.8" thickTop="1" thickBot="1" x14ac:dyDescent="0.35">
      <c r="A24" t="s">
        <v>2655</v>
      </c>
      <c r="H24" s="925"/>
      <c r="I24" s="925"/>
      <c r="J24" s="923"/>
      <c r="K24" s="2360"/>
      <c r="L24" s="2361"/>
      <c r="M24" s="2360"/>
      <c r="N24" s="2361"/>
      <c r="O24" s="2360"/>
      <c r="P24" s="2361"/>
      <c r="Q24" s="2360"/>
      <c r="R24" s="2481"/>
      <c r="S24" s="2360"/>
      <c r="T24" s="2361"/>
      <c r="U24" s="2360"/>
      <c r="V24" s="2361"/>
      <c r="W24" s="926"/>
      <c r="X24" s="926"/>
      <c r="Y24" s="926"/>
    </row>
    <row r="25" spans="1:25" ht="16.5" customHeight="1" thickBot="1" x14ac:dyDescent="0.35">
      <c r="A25" t="s">
        <v>2656</v>
      </c>
      <c r="H25" s="925"/>
      <c r="I25" s="925"/>
      <c r="J25" s="923"/>
      <c r="K25" s="926"/>
      <c r="L25" s="2356" t="s">
        <v>7</v>
      </c>
      <c r="M25" s="2357"/>
      <c r="N25" s="2356" t="s">
        <v>7</v>
      </c>
      <c r="O25" s="2357"/>
      <c r="P25" s="2356" t="s">
        <v>7</v>
      </c>
      <c r="Q25" s="2357"/>
      <c r="R25" s="2356" t="s">
        <v>7</v>
      </c>
      <c r="S25" s="2357"/>
      <c r="T25" s="2719" t="s">
        <v>7</v>
      </c>
      <c r="U25" s="2720"/>
      <c r="V25" s="925"/>
      <c r="W25" s="926"/>
      <c r="X25" s="926"/>
      <c r="Y25" s="926"/>
    </row>
    <row r="26" spans="1:25" ht="16.8" thickTop="1" thickBot="1" x14ac:dyDescent="0.35">
      <c r="A26" t="s">
        <v>2657</v>
      </c>
      <c r="H26" s="925"/>
      <c r="I26" s="925"/>
      <c r="J26" s="923"/>
      <c r="K26" s="926"/>
      <c r="L26" s="2358"/>
      <c r="M26" s="2359"/>
      <c r="N26" s="2358"/>
      <c r="O26" s="2359"/>
      <c r="P26" s="2358"/>
      <c r="Q26" s="2359"/>
      <c r="R26" s="2358"/>
      <c r="S26" s="2359"/>
      <c r="T26" s="2721"/>
      <c r="U26" s="2722"/>
      <c r="V26" s="925"/>
      <c r="W26" s="926"/>
      <c r="X26" s="926"/>
      <c r="Y26" s="926"/>
    </row>
    <row r="27" spans="1:25" ht="16.8" thickTop="1" thickBot="1" x14ac:dyDescent="0.35">
      <c r="H27" s="923"/>
      <c r="I27" s="923"/>
      <c r="J27" s="923"/>
      <c r="K27" s="926"/>
      <c r="L27" s="2360"/>
      <c r="M27" s="2361"/>
      <c r="N27" s="2360"/>
      <c r="O27" s="2361"/>
      <c r="P27" s="2360"/>
      <c r="Q27" s="2361"/>
      <c r="R27" s="2360"/>
      <c r="S27" s="2361"/>
      <c r="T27" s="2723"/>
      <c r="U27" s="2724"/>
      <c r="V27" s="923"/>
      <c r="W27" s="926"/>
      <c r="X27" s="926"/>
      <c r="Y27" s="926"/>
    </row>
    <row r="35" spans="6:23" ht="17.25" customHeight="1" x14ac:dyDescent="0.3">
      <c r="F35" s="2719" t="s">
        <v>594</v>
      </c>
      <c r="G35" s="2720"/>
      <c r="H35" s="923"/>
      <c r="I35" s="926"/>
      <c r="J35" s="926"/>
      <c r="K35" s="2345" t="s">
        <v>561</v>
      </c>
      <c r="L35" s="2351"/>
      <c r="M35" s="2345" t="s">
        <v>595</v>
      </c>
      <c r="N35" s="2351"/>
      <c r="O35" s="2345" t="s">
        <v>596</v>
      </c>
      <c r="P35" s="2351"/>
      <c r="Q35" s="2345" t="s">
        <v>597</v>
      </c>
      <c r="R35" s="2351"/>
      <c r="S35" s="926"/>
      <c r="T35" s="926"/>
      <c r="U35" s="926"/>
      <c r="V35" s="2719" t="s">
        <v>7</v>
      </c>
      <c r="W35" s="2720"/>
    </row>
    <row r="36" spans="6:23" ht="15.6" x14ac:dyDescent="0.3">
      <c r="F36" s="2721"/>
      <c r="G36" s="2722"/>
      <c r="H36" s="923"/>
      <c r="I36" s="926"/>
      <c r="J36" s="926"/>
      <c r="K36" s="2352"/>
      <c r="L36" s="2353"/>
      <c r="M36" s="2352"/>
      <c r="N36" s="2353"/>
      <c r="O36" s="2352"/>
      <c r="P36" s="2353"/>
      <c r="Q36" s="2352"/>
      <c r="R36" s="2353"/>
      <c r="S36" s="926"/>
      <c r="T36" s="926"/>
      <c r="U36" s="926"/>
      <c r="V36" s="2721"/>
      <c r="W36" s="2722"/>
    </row>
    <row r="37" spans="6:23" ht="16.2" thickBot="1" x14ac:dyDescent="0.35">
      <c r="F37" s="2723"/>
      <c r="G37" s="2724"/>
      <c r="H37" s="923"/>
      <c r="I37" s="926"/>
      <c r="J37" s="926"/>
      <c r="K37" s="2354"/>
      <c r="L37" s="2355"/>
      <c r="M37" s="2354"/>
      <c r="N37" s="2355"/>
      <c r="O37" s="2354"/>
      <c r="P37" s="2355"/>
      <c r="Q37" s="2354"/>
      <c r="R37" s="2355"/>
      <c r="S37" s="926"/>
      <c r="T37" s="926"/>
      <c r="U37" s="926"/>
      <c r="V37" s="2723"/>
      <c r="W37" s="2724"/>
    </row>
    <row r="38" spans="6:23" ht="15.75" customHeight="1" x14ac:dyDescent="0.3">
      <c r="F38" s="926"/>
      <c r="G38" s="926"/>
      <c r="H38" s="923"/>
      <c r="I38" s="923"/>
      <c r="J38" s="923"/>
      <c r="K38" s="923"/>
      <c r="L38" s="2345" t="s">
        <v>598</v>
      </c>
      <c r="M38" s="2351"/>
      <c r="N38" s="2345" t="s">
        <v>599</v>
      </c>
      <c r="O38" s="2351"/>
      <c r="P38" s="2345" t="s">
        <v>600</v>
      </c>
      <c r="Q38" s="2351"/>
      <c r="R38" s="923"/>
      <c r="S38" s="923"/>
      <c r="T38" s="923"/>
      <c r="U38" s="923"/>
      <c r="V38" s="923"/>
      <c r="W38" s="923"/>
    </row>
    <row r="39" spans="6:23" ht="16.5" customHeight="1" x14ac:dyDescent="0.3">
      <c r="F39" s="926"/>
      <c r="G39" s="926"/>
      <c r="H39" s="923"/>
      <c r="I39" s="926"/>
      <c r="J39" s="926"/>
      <c r="K39" s="926"/>
      <c r="L39" s="2352"/>
      <c r="M39" s="2353"/>
      <c r="N39" s="2352"/>
      <c r="O39" s="2353"/>
      <c r="P39" s="2352"/>
      <c r="Q39" s="2353"/>
      <c r="R39" s="926"/>
      <c r="S39" s="926"/>
      <c r="T39" s="926"/>
      <c r="U39" s="923"/>
      <c r="V39" s="923"/>
      <c r="W39" s="923"/>
    </row>
    <row r="40" spans="6:23" ht="16.2" thickBot="1" x14ac:dyDescent="0.35">
      <c r="F40" s="926"/>
      <c r="G40" s="926"/>
      <c r="H40" s="923"/>
      <c r="I40" s="926"/>
      <c r="J40" s="926"/>
      <c r="K40" s="926"/>
      <c r="L40" s="2354"/>
      <c r="M40" s="2355"/>
      <c r="N40" s="2354"/>
      <c r="O40" s="2355"/>
      <c r="P40" s="2354"/>
      <c r="Q40" s="2355"/>
      <c r="R40" s="926"/>
      <c r="S40" s="926"/>
      <c r="T40" s="926"/>
      <c r="U40" s="923"/>
      <c r="V40" s="923"/>
      <c r="W40" s="923"/>
    </row>
    <row r="41" spans="6:23" ht="16.2" thickBot="1" x14ac:dyDescent="0.35">
      <c r="F41" s="926"/>
      <c r="G41" s="926"/>
      <c r="H41" s="923"/>
      <c r="I41" s="926"/>
      <c r="J41" s="926"/>
      <c r="K41" s="926"/>
      <c r="L41" s="926"/>
      <c r="M41" s="926"/>
      <c r="N41" s="926"/>
      <c r="O41" s="926"/>
      <c r="P41" s="926"/>
      <c r="Q41" s="926"/>
      <c r="R41" s="926"/>
      <c r="S41" s="926"/>
      <c r="T41" s="926"/>
      <c r="U41" s="923"/>
      <c r="V41" s="923"/>
      <c r="W41" s="923"/>
    </row>
    <row r="42" spans="6:23" ht="15.75" customHeight="1" x14ac:dyDescent="0.3">
      <c r="F42" s="926"/>
      <c r="G42" s="926"/>
      <c r="H42" s="923"/>
      <c r="I42" s="926"/>
      <c r="J42" s="926"/>
      <c r="K42" s="2356" t="s">
        <v>561</v>
      </c>
      <c r="L42" s="2774"/>
      <c r="M42" s="2356" t="s">
        <v>595</v>
      </c>
      <c r="N42" s="2774"/>
      <c r="O42" s="2356" t="s">
        <v>596</v>
      </c>
      <c r="P42" s="2774"/>
      <c r="Q42" s="2356" t="s">
        <v>597</v>
      </c>
      <c r="R42" s="2774"/>
      <c r="S42" s="926"/>
      <c r="T42" s="926"/>
      <c r="U42" s="923"/>
      <c r="V42" s="923"/>
      <c r="W42" s="923"/>
    </row>
    <row r="43" spans="6:23" ht="16.5" customHeight="1" x14ac:dyDescent="0.3">
      <c r="F43" s="926"/>
      <c r="G43" s="926"/>
      <c r="H43" s="923"/>
      <c r="I43" s="926"/>
      <c r="J43" s="926"/>
      <c r="K43" s="2775"/>
      <c r="L43" s="2776"/>
      <c r="M43" s="2775"/>
      <c r="N43" s="2776"/>
      <c r="O43" s="2775"/>
      <c r="P43" s="2776"/>
      <c r="Q43" s="2775"/>
      <c r="R43" s="2776"/>
      <c r="S43" s="926"/>
      <c r="T43" s="926"/>
      <c r="U43" s="923"/>
      <c r="V43" s="926"/>
      <c r="W43" s="926"/>
    </row>
    <row r="44" spans="6:23" ht="16.2" thickBot="1" x14ac:dyDescent="0.35">
      <c r="F44" s="926"/>
      <c r="G44" s="926"/>
      <c r="H44" s="923"/>
      <c r="I44" s="926"/>
      <c r="J44" s="926"/>
      <c r="K44" s="2777"/>
      <c r="L44" s="2778"/>
      <c r="M44" s="2777"/>
      <c r="N44" s="2778"/>
      <c r="O44" s="2777"/>
      <c r="P44" s="2778"/>
      <c r="Q44" s="2777"/>
      <c r="R44" s="2778"/>
      <c r="S44" s="926"/>
      <c r="T44" s="926"/>
      <c r="U44" s="923"/>
      <c r="V44" s="926"/>
      <c r="W44" s="926"/>
    </row>
    <row r="45" spans="6:23" ht="15.75" customHeight="1" x14ac:dyDescent="0.3">
      <c r="F45" s="2345" t="s">
        <v>2658</v>
      </c>
      <c r="G45" s="2351"/>
      <c r="H45" s="923"/>
      <c r="I45" s="926"/>
      <c r="J45" s="926"/>
      <c r="K45" s="923"/>
      <c r="L45" s="2356" t="s">
        <v>598</v>
      </c>
      <c r="M45" s="2774"/>
      <c r="N45" s="2356" t="s">
        <v>599</v>
      </c>
      <c r="O45" s="2774"/>
      <c r="P45" s="2356" t="s">
        <v>600</v>
      </c>
      <c r="Q45" s="2774"/>
      <c r="R45" s="923"/>
      <c r="S45" s="926"/>
      <c r="T45" s="926"/>
      <c r="U45" s="923"/>
      <c r="V45" s="926"/>
      <c r="W45" s="926"/>
    </row>
    <row r="46" spans="6:23" ht="15.6" x14ac:dyDescent="0.3">
      <c r="F46" s="2352"/>
      <c r="G46" s="2353"/>
      <c r="H46" s="923"/>
      <c r="I46" s="923"/>
      <c r="J46" s="923"/>
      <c r="K46" s="926"/>
      <c r="L46" s="2775"/>
      <c r="M46" s="2776"/>
      <c r="N46" s="2775"/>
      <c r="O46" s="2776"/>
      <c r="P46" s="2775"/>
      <c r="Q46" s="2776"/>
      <c r="R46" s="926"/>
      <c r="S46" s="923"/>
      <c r="T46" s="923"/>
      <c r="U46" s="923"/>
      <c r="V46" s="923"/>
      <c r="W46" s="923"/>
    </row>
    <row r="47" spans="6:23" ht="16.2" thickBot="1" x14ac:dyDescent="0.35">
      <c r="F47" s="2354"/>
      <c r="G47" s="2355"/>
      <c r="H47" s="923"/>
      <c r="I47" s="923"/>
      <c r="J47" s="923"/>
      <c r="K47" s="926"/>
      <c r="L47" s="2777"/>
      <c r="M47" s="2778"/>
      <c r="N47" s="2777"/>
      <c r="O47" s="2778"/>
      <c r="P47" s="2777"/>
      <c r="Q47" s="2778"/>
      <c r="R47" s="926"/>
      <c r="S47" s="923"/>
      <c r="T47" s="923"/>
      <c r="U47" s="923"/>
      <c r="V47" s="923"/>
      <c r="W47" s="923"/>
    </row>
    <row r="48" spans="6:23" ht="16.2" thickBot="1" x14ac:dyDescent="0.35">
      <c r="F48" s="2356" t="s">
        <v>2658</v>
      </c>
      <c r="G48" s="2774"/>
      <c r="H48" s="923"/>
      <c r="I48" s="923"/>
      <c r="J48" s="923"/>
      <c r="K48" s="923"/>
      <c r="L48" s="923"/>
      <c r="M48" s="923"/>
      <c r="N48" s="923"/>
      <c r="O48" s="923"/>
      <c r="P48" s="923"/>
      <c r="Q48" s="923"/>
      <c r="R48" s="923"/>
      <c r="S48" s="923"/>
      <c r="T48" s="923"/>
      <c r="U48" s="923"/>
      <c r="V48" s="923"/>
      <c r="W48" s="923"/>
    </row>
    <row r="49" spans="6:23" ht="15.75" customHeight="1" x14ac:dyDescent="0.3">
      <c r="F49" s="2775"/>
      <c r="G49" s="2776"/>
      <c r="H49" s="923"/>
      <c r="I49" s="923"/>
      <c r="J49" s="923"/>
      <c r="K49" s="2362" t="s">
        <v>561</v>
      </c>
      <c r="L49" s="2833"/>
      <c r="M49" s="2362" t="s">
        <v>595</v>
      </c>
      <c r="N49" s="2833"/>
      <c r="O49" s="2362" t="s">
        <v>596</v>
      </c>
      <c r="P49" s="2833"/>
      <c r="Q49" s="2362" t="s">
        <v>597</v>
      </c>
      <c r="R49" s="2833"/>
      <c r="S49" s="926"/>
      <c r="T49" s="926"/>
      <c r="U49" s="926"/>
      <c r="V49" s="926"/>
      <c r="W49" s="926"/>
    </row>
    <row r="50" spans="6:23" ht="16.2" thickBot="1" x14ac:dyDescent="0.35">
      <c r="F50" s="2777"/>
      <c r="G50" s="2778"/>
      <c r="H50" s="923"/>
      <c r="I50" s="923"/>
      <c r="J50" s="923"/>
      <c r="K50" s="2834"/>
      <c r="L50" s="2835"/>
      <c r="M50" s="2834"/>
      <c r="N50" s="2835"/>
      <c r="O50" s="2834"/>
      <c r="P50" s="2835"/>
      <c r="Q50" s="2834"/>
      <c r="R50" s="2835"/>
      <c r="S50" s="926"/>
      <c r="T50" s="926"/>
      <c r="U50" s="926"/>
      <c r="V50" s="926"/>
      <c r="W50" s="926"/>
    </row>
    <row r="51" spans="6:23" ht="16.2" thickBot="1" x14ac:dyDescent="0.35">
      <c r="F51" s="2362" t="s">
        <v>2658</v>
      </c>
      <c r="G51" s="2833"/>
      <c r="H51" s="923"/>
      <c r="I51" s="923"/>
      <c r="J51" s="923"/>
      <c r="K51" s="2836"/>
      <c r="L51" s="2837"/>
      <c r="M51" s="2836"/>
      <c r="N51" s="2837"/>
      <c r="O51" s="2836"/>
      <c r="P51" s="2837"/>
      <c r="Q51" s="2836"/>
      <c r="R51" s="2837"/>
      <c r="S51" s="926"/>
      <c r="T51" s="926"/>
      <c r="U51" s="926"/>
      <c r="V51" s="926"/>
      <c r="W51" s="926"/>
    </row>
    <row r="52" spans="6:23" ht="15.75" customHeight="1" x14ac:dyDescent="0.3">
      <c r="F52" s="2834"/>
      <c r="G52" s="2835"/>
      <c r="H52" s="923"/>
      <c r="I52" s="923"/>
      <c r="J52" s="923"/>
      <c r="K52" s="923"/>
      <c r="L52" s="2362" t="s">
        <v>598</v>
      </c>
      <c r="M52" s="2833"/>
      <c r="N52" s="2362" t="s">
        <v>599</v>
      </c>
      <c r="O52" s="2833"/>
      <c r="P52" s="2362" t="s">
        <v>600</v>
      </c>
      <c r="Q52" s="2833"/>
      <c r="R52" s="923"/>
      <c r="S52" s="926"/>
      <c r="T52" s="926"/>
      <c r="U52" s="926"/>
      <c r="V52" s="926"/>
      <c r="W52" s="926"/>
    </row>
    <row r="53" spans="6:23" ht="16.2" thickBot="1" x14ac:dyDescent="0.35">
      <c r="F53" s="2836"/>
      <c r="G53" s="2837"/>
      <c r="H53" s="923"/>
      <c r="I53" s="923"/>
      <c r="J53" s="923"/>
      <c r="K53" s="926"/>
      <c r="L53" s="2834"/>
      <c r="M53" s="2835"/>
      <c r="N53" s="2834"/>
      <c r="O53" s="2835"/>
      <c r="P53" s="2834"/>
      <c r="Q53" s="2835"/>
      <c r="R53" s="926"/>
      <c r="S53" s="926"/>
      <c r="T53" s="926"/>
      <c r="U53" s="926"/>
      <c r="V53" s="926"/>
      <c r="W53" s="926"/>
    </row>
    <row r="54" spans="6:23" ht="16.2" thickBot="1" x14ac:dyDescent="0.35">
      <c r="F54" s="926"/>
      <c r="G54" s="926"/>
      <c r="H54" s="923"/>
      <c r="I54" s="923"/>
      <c r="J54" s="923"/>
      <c r="K54" s="926"/>
      <c r="L54" s="2836"/>
      <c r="M54" s="2837"/>
      <c r="N54" s="2836"/>
      <c r="O54" s="2837"/>
      <c r="P54" s="2836"/>
      <c r="Q54" s="2837"/>
      <c r="R54" s="926"/>
      <c r="S54" s="926"/>
      <c r="T54" s="926"/>
      <c r="U54" s="926"/>
      <c r="V54" s="926"/>
      <c r="W54" s="926"/>
    </row>
  </sheetData>
  <mergeCells count="61">
    <mergeCell ref="F48:G50"/>
    <mergeCell ref="F51:G53"/>
    <mergeCell ref="U13:V15"/>
    <mergeCell ref="N25:O27"/>
    <mergeCell ref="K42:L44"/>
    <mergeCell ref="M42:N44"/>
    <mergeCell ref="O42:P44"/>
    <mergeCell ref="Q42:R44"/>
    <mergeCell ref="F35:G37"/>
    <mergeCell ref="K49:L51"/>
    <mergeCell ref="M49:N51"/>
    <mergeCell ref="O49:P51"/>
    <mergeCell ref="Q49:R51"/>
    <mergeCell ref="L52:M54"/>
    <mergeCell ref="N52:O54"/>
    <mergeCell ref="P52:Q54"/>
    <mergeCell ref="K35:L37"/>
    <mergeCell ref="N38:O40"/>
    <mergeCell ref="L45:M47"/>
    <mergeCell ref="N45:O47"/>
    <mergeCell ref="O35:P37"/>
    <mergeCell ref="P38:Q40"/>
    <mergeCell ref="P45:Q47"/>
    <mergeCell ref="Q35:R37"/>
    <mergeCell ref="H6:I8"/>
    <mergeCell ref="P16:Q18"/>
    <mergeCell ref="S13:T15"/>
    <mergeCell ref="L16:M18"/>
    <mergeCell ref="Q13:R15"/>
    <mergeCell ref="K13:L15"/>
    <mergeCell ref="M13:N15"/>
    <mergeCell ref="N16:O18"/>
    <mergeCell ref="O13:P15"/>
    <mergeCell ref="X6:Y8"/>
    <mergeCell ref="U4:V6"/>
    <mergeCell ref="S4:T6"/>
    <mergeCell ref="L7:M9"/>
    <mergeCell ref="Q4:R6"/>
    <mergeCell ref="K4:L6"/>
    <mergeCell ref="M4:N6"/>
    <mergeCell ref="N7:O9"/>
    <mergeCell ref="O4:P6"/>
    <mergeCell ref="P7:Q9"/>
    <mergeCell ref="T7:U9"/>
    <mergeCell ref="R7:S9"/>
    <mergeCell ref="F45:G47"/>
    <mergeCell ref="R16:S18"/>
    <mergeCell ref="T16:U18"/>
    <mergeCell ref="U22:V24"/>
    <mergeCell ref="S22:T24"/>
    <mergeCell ref="Q22:R24"/>
    <mergeCell ref="R25:S27"/>
    <mergeCell ref="T25:U27"/>
    <mergeCell ref="P25:Q27"/>
    <mergeCell ref="O22:P24"/>
    <mergeCell ref="L38:M40"/>
    <mergeCell ref="L25:M27"/>
    <mergeCell ref="M35:N37"/>
    <mergeCell ref="V35:W37"/>
    <mergeCell ref="M22:N24"/>
    <mergeCell ref="K22:L24"/>
  </mergeCells>
  <hyperlinks>
    <hyperlink ref="K4:L6" location="UI.Welcome!A1" tooltip="Click to go to welcome page" display="Welcome Page" xr:uid="{9FBEA504-5B02-4991-A037-FE160484463D}"/>
    <hyperlink ref="M4:N6" location="UI.Farm!A1" tooltip="Click to go to farm inputs page" display="Farm Info" xr:uid="{4697D06D-0829-4B38-88A6-0D6A6D7998F6}"/>
    <hyperlink ref="N7:O9" location="UI.OpExpenses!A1" tooltip="Click to go to operational expenses page" display="Operational Expenses" xr:uid="{2E2FC23E-CD24-4B1D-A0A6-75161F63DCFF}"/>
    <hyperlink ref="P7:Q9" location="UI.Priorities!A1" tooltip="Click to go to priorities page" display="Priorities" xr:uid="{B081F4FD-DE83-4EA7-9DAF-487357401E8A}"/>
    <hyperlink ref="M35:N37" location="Results.Scenarios!A1" tooltip="Click to go to scenario descriptions page" display="Scenario Rankings and Descriptions" xr:uid="{5A641EA0-3742-4DA3-BDA4-0F9E8DD32FC6}"/>
    <hyperlink ref="R7:S9" location="UI.Choice!A1" tooltip="Click to go to scenario choice page" display="Scenario Choices" xr:uid="{00B05A7B-1A46-422B-A2A1-8CAA63B1A5F3}"/>
    <hyperlink ref="O35:P37" location="Results.Econ!A1" tooltip="Click to go to economic results page" display="Economic Results" xr:uid="{DFB113EE-A235-40A0-BFC6-57F2CF90D26C}"/>
    <hyperlink ref="Q35:R37" location="Results.Env!A1" tooltip="Click to go to environmental results page" display="Environmental Results" xr:uid="{1E8704F7-AF83-41F6-BADF-E8C51D691BCC}"/>
    <hyperlink ref="O4:P6" location="UI.Animals!A1" tooltip="Click to go to animals input page" display="Animals" xr:uid="{F6D3B523-4192-48EA-AFD0-79FD2823A053}"/>
    <hyperlink ref="F35:G37" location="UI.Farm!A1" tooltip="Click to go to farm inputs page" display="Farm Info" xr:uid="{8BF6884E-2820-45BD-A55F-32E135694416}"/>
    <hyperlink ref="U4:V6" location="UI.Tractor!A1" tooltip="Click to go to tractor properties" display="Tractor Properties" xr:uid="{FAD3C30B-2E3F-40E9-B3FC-4E4E2804F697}"/>
    <hyperlink ref="S4:T6" location="UI.Streams!A1" tooltip="Click to go to the excess manure page" display="Excess Manure Streams" xr:uid="{C045CB22-8F9C-49C1-B68E-5A05393A103D}"/>
    <hyperlink ref="L7:M9" location="UI.Cap!A1" tooltip="Click to go to capital expenses page" display="Capital Expenses" xr:uid="{E0C92DC6-CB7E-42DF-8D30-1947BABFCA04}"/>
    <hyperlink ref="Q4:R6" location="UI.Manure!A1" tooltip="Click to go to the manure characteristics page" display="Manure Characteristics" xr:uid="{B3D0F7F4-B7AE-490B-863C-BA5106866238}"/>
    <hyperlink ref="T7:U9" location="UI.Inputs!A1" tooltip="Click to go to input results summary" display="Inputs Summary" xr:uid="{AAC28BCB-3EEE-40A1-AB96-97B377151D86}"/>
    <hyperlink ref="L38:M40" location="Results.Tech!A1" tooltip="Click to go to the functionality and logistics results" display="Functionality and Logistics Results" xr:uid="{AA3F958A-9183-412F-8D81-7CD8777251EE}"/>
    <hyperlink ref="K13:L15" location="UI.Welcome!A1" tooltip="Click to go to welcome page" display="Welcome Page" xr:uid="{A4750FDE-1FBA-464A-8D3D-BAE2EB77D214}"/>
    <hyperlink ref="M13:N15" location="UI.Farm!A1" tooltip="Click to go to farm inputs page" display="Farm Info" xr:uid="{81FFBDB8-B821-4246-A5F4-012E2DDA4BE0}"/>
    <hyperlink ref="N16:O18" location="UI.OpExpenses!A1" tooltip="Click to go to operational expenses page" display="Operational Expenses" xr:uid="{B31192A9-94C5-4478-91FD-39C643F6E031}"/>
    <hyperlink ref="P16:Q18" location="UI.Priorities!A1" tooltip="Click to go to priorities page" display="Priorities" xr:uid="{A659C91D-1E9D-4DDE-9898-419A6665DA1B}"/>
    <hyperlink ref="O13:P15" location="UI.Animals!A1" tooltip="Click to go to animals input page" display="Animals" xr:uid="{39B495CF-674D-4146-8551-29755927A149}"/>
    <hyperlink ref="U13:V15" location="UI.Tractor!A1" tooltip="Click to go to tractor properties" display="Tractor Properties" xr:uid="{B233C41A-808E-4CB8-8026-0036263A297D}"/>
    <hyperlink ref="S13:T15" location="UI.Streams!A1" tooltip="Click to go to the excess manure page" display="Excess Manure Streams" xr:uid="{5B2D5C8C-2FDA-4126-9F59-6D25B00B4CC1}"/>
    <hyperlink ref="L16:M18" location="UI.Cap!A1" tooltip="Click to go to capital expenses page" display="Capital Expenses" xr:uid="{06586F02-8CA3-46E8-B6D6-12CCBF524E62}"/>
    <hyperlink ref="Q13:R15" location="UI.Manure!A1" tooltip="Click to go to the manure characteristics page" display="Manure Characteristics" xr:uid="{94F9F516-A28B-466F-BE04-ACC2E210C79E}"/>
    <hyperlink ref="T16:U18" location="UI.Inputs!A1" tooltip="Click to go to input results summary" display="Inputs Summary" xr:uid="{BCA93893-C68F-46C0-B81A-BB3993F3D99E}"/>
    <hyperlink ref="K22:L24" location="UI.Welcome!A1" tooltip="Click to go to welcome page" display="Welcome Page" xr:uid="{AC736886-75F6-4E65-A07F-EE75286BCDAE}"/>
    <hyperlink ref="M22:N24" location="UI.Farm!A1" tooltip="Click to go to farm inputs page" display="Farm Info" xr:uid="{E6CB7568-1BEB-4395-B4FA-0C9FBECDBFA3}"/>
    <hyperlink ref="N25:O27" location="UI.OpExpenses!A1" tooltip="Click to go to operational expenses page" display="Operational Expenses" xr:uid="{8854531C-CFE8-4E6A-8357-A2678EDE5AC9}"/>
    <hyperlink ref="P25:Q27" location="UI.Priorities!A1" tooltip="Click to go to priorities page" display="Priorities" xr:uid="{678590CF-6C29-4F5D-B5EA-CED6AD4FB8E2}"/>
    <hyperlink ref="O22:P24" location="UI.Animals!A1" tooltip="Click to go to animals input page" display="Animals" xr:uid="{7EDE8C53-90E9-4538-ABDF-B1405E7C0501}"/>
    <hyperlink ref="U22:V24" location="UI.Tractor!A1" tooltip="Click to go to tractor properties" display="Tractor Properties" xr:uid="{4E287BE3-90BD-496F-868C-43AD1DDCA675}"/>
    <hyperlink ref="S22:T24" location="UI.Streams!A1" tooltip="Click to go to the excess manure page" display="Excess Manure Streams" xr:uid="{5AABFF78-4DBD-41F2-9F0C-6F4586C65578}"/>
    <hyperlink ref="L25:M27" location="UI.Cap!A1" tooltip="Click to go to capital expenses page" display="Capital Expenses" xr:uid="{EBFC801C-5B92-4E8B-A8AE-C830EA342131}"/>
    <hyperlink ref="Q22:R24" location="UI.Manure!A1" tooltip="Click to go to the manure characteristics page" display="Manure Characteristics" xr:uid="{87B839F0-12E9-4860-AF39-E71E4317E81B}"/>
    <hyperlink ref="T25:U27" location="UI.Inputs!A1" tooltip="Click to go to input results summary" display="Inputs Summary" xr:uid="{E8E7DA31-786C-4B23-8DB5-6B9457FE1113}"/>
    <hyperlink ref="K35:L37" location="Results.Summary!A1" tooltip="Click to go to results summary page" display="Results Summary" xr:uid="{E39356D0-2A87-440D-ACAD-62518AF60C00}"/>
    <hyperlink ref="N38:O40" location="Results.Resources!A1" tooltip="Click to go to the resources results page" display="Resources Results" xr:uid="{D3FA6123-FC73-4C5C-A860-2F4278EDB8C4}"/>
    <hyperlink ref="P38:Q40" location="Results.Nutrients!A1" tooltip="Click to go to the nutrient concentrations page" display="Nutrient Concentrations" xr:uid="{747B75A5-796B-451E-B12B-45AC8F0407C9}"/>
    <hyperlink ref="F48:G50" location="Results.Summary!A1" tooltip="Click to go to results summary page" display="Results Summary" xr:uid="{DCF601D4-5C26-4A46-8A7D-E54D8773E37B}"/>
    <hyperlink ref="F51:G53" location="Results.Summary!A1" tooltip="Click to go to results summary page" display="Results Summary" xr:uid="{69BA4B7E-C52D-45B7-8C52-A7B79A011669}"/>
    <hyperlink ref="M42:N44" location="Results.Scenarios!A1" tooltip="Click to go to scenario descriptions page" display="Scenario Rankings and Descriptions" xr:uid="{25812735-4DCA-4B24-A688-68B297045CF3}"/>
    <hyperlink ref="O42:P44" location="Results.Econ!A1" tooltip="Click to go to economic results page" display="Economic Results" xr:uid="{57364261-25F0-4E7F-BEEC-0ED3E3BB3334}"/>
    <hyperlink ref="Q42:R44" location="Results.Env!A1" tooltip="Click to go to environmental results page" display="Environmental Results" xr:uid="{D197A71B-88E9-4E9C-9BBD-E26575D3B072}"/>
    <hyperlink ref="L45:M47" location="Results.Tech!A1" tooltip="Click to go to the functionality and logistics results" display="Functionality and Logistics Results" xr:uid="{4C84CF6C-097D-4D98-9DFD-AA27DDBEFB5C}"/>
    <hyperlink ref="K42:L44" location="Results.Summary!A1" tooltip="Click to go to results summary page" display="Results Summary" xr:uid="{66F6D808-75C5-46F4-BB91-BB9041EDF347}"/>
    <hyperlink ref="N45:O47" location="Results.Resources!A1" tooltip="Click to go to the resources results page" display="Resources Results" xr:uid="{74E29A5C-ADBA-4F07-BFC2-89C57533BC0D}"/>
    <hyperlink ref="P45:Q47" location="Results.Nutrients!A1" tooltip="Click to go to the nutrient concentrations page" display="Nutrient Concentrations" xr:uid="{E575BB9D-E940-4307-9D45-1D656FD5B96A}"/>
    <hyperlink ref="M49:N51" location="Results.Scenarios!A1" tooltip="Click to go to scenario descriptions page" display="Scenario Rankings and Descriptions" xr:uid="{A0232231-B8E8-45DA-9709-E1661FEDAD33}"/>
    <hyperlink ref="O49:P51" location="Results.Econ!A1" tooltip="Click to go to economic results page" display="Economic Results" xr:uid="{F3CBFF9E-0ABC-41D9-B272-E584311F3B05}"/>
    <hyperlink ref="Q49:R51" location="Results.Env!A1" tooltip="Click to go to environmental results page" display="Environmental Results" xr:uid="{4FF738FA-B7D0-43A9-861C-E7935AB072E8}"/>
    <hyperlink ref="L52:M54" location="Results.Tech!A1" tooltip="Click to go to the functionality and logistics results" display="Functionality and Logistics Results" xr:uid="{D1B0D446-639A-46E2-B9BE-0988C92A45A7}"/>
    <hyperlink ref="K49:L51" location="Results.Summary!A1" tooltip="Click to go to results summary page" display="Results Summary" xr:uid="{DF6EA2D5-9760-4FD7-BAD4-C3C88E5C60C8}"/>
    <hyperlink ref="N52:O54" location="Results.Resources!A1" tooltip="Click to go to the resources results page" display="Resources Results" xr:uid="{EB1A0601-3C80-437F-94C3-831253F1B565}"/>
    <hyperlink ref="P52:Q54" location="Results.Nutrients!A1" tooltip="Click to go to the nutrient concentrations page" display="Nutrient Concentrations" xr:uid="{3BA722DC-2F19-422E-BCE2-BAD6F388226A}"/>
    <hyperlink ref="H6:I8" location="Results.Summary!A1" tooltip="Click to go to results summary page" display="Results Summary" xr:uid="{9E9E1E66-1512-46D6-91EB-AD53E1E4C0DD}"/>
    <hyperlink ref="F45:G47" location="Results.Summary!A1" tooltip="Click to go to results summary page" display="Results Summary" xr:uid="{75E28D9C-CDEE-4271-8BCB-62317B36D02A}"/>
    <hyperlink ref="R16:S18" location="UI.Choice!A1" tooltip="Click to go to scenario choice page" display="Scenario Choices" xr:uid="{3EC34339-54EC-4C8D-8297-1D8DA339E9B6}"/>
    <hyperlink ref="R25:S27" location="UI.Choice!A1" tooltip="Click to go to scenario choice page" display="Scenario Choices" xr:uid="{79CD8EFC-BD75-4811-BE70-9E784D41FC74}"/>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6E93-4CC7-4BAE-9981-BD6238D305C4}">
  <sheetPr codeName="Sheet7">
    <tabColor rgb="FF7030A0"/>
  </sheetPr>
  <dimension ref="A2:E162"/>
  <sheetViews>
    <sheetView workbookViewId="0">
      <selection activeCell="G30" sqref="G30"/>
    </sheetView>
  </sheetViews>
  <sheetFormatPr defaultColWidth="8.5546875" defaultRowHeight="14.4" x14ac:dyDescent="0.3"/>
  <cols>
    <col min="1" max="1" width="37" customWidth="1"/>
    <col min="2" max="2" width="19.44140625" customWidth="1"/>
    <col min="3" max="3" width="37" customWidth="1"/>
    <col min="4" max="5" width="21.44140625" bestFit="1" customWidth="1"/>
  </cols>
  <sheetData>
    <row r="2" spans="1:5" x14ac:dyDescent="0.3">
      <c r="A2" s="262" t="s">
        <v>2659</v>
      </c>
      <c r="B2" s="142"/>
      <c r="C2" s="142"/>
      <c r="D2" s="142" t="s">
        <v>2660</v>
      </c>
      <c r="E2" s="141"/>
    </row>
    <row r="3" spans="1:5" x14ac:dyDescent="0.3">
      <c r="A3" s="99" t="s">
        <v>2661</v>
      </c>
      <c r="B3" t="s">
        <v>2662</v>
      </c>
      <c r="E3" s="146"/>
    </row>
    <row r="4" spans="1:5" x14ac:dyDescent="0.3">
      <c r="A4" s="99" t="s">
        <v>2663</v>
      </c>
      <c r="B4" t="s">
        <v>2664</v>
      </c>
      <c r="C4" t="s">
        <v>2665</v>
      </c>
      <c r="D4" t="s">
        <v>565</v>
      </c>
      <c r="E4" s="146" t="s">
        <v>38</v>
      </c>
    </row>
    <row r="5" spans="1:5" x14ac:dyDescent="0.3">
      <c r="A5" s="99" t="s">
        <v>2666</v>
      </c>
      <c r="B5" t="s">
        <v>2667</v>
      </c>
      <c r="C5" t="s">
        <v>2668</v>
      </c>
      <c r="D5">
        <v>0.99</v>
      </c>
      <c r="E5" s="146"/>
    </row>
    <row r="6" spans="1:5" x14ac:dyDescent="0.3">
      <c r="A6" s="99" t="s">
        <v>2666</v>
      </c>
      <c r="B6" t="s">
        <v>2669</v>
      </c>
      <c r="C6" t="s">
        <v>2670</v>
      </c>
      <c r="E6" s="146" t="s">
        <v>2671</v>
      </c>
    </row>
    <row r="7" spans="1:5" x14ac:dyDescent="0.3">
      <c r="A7" s="99" t="s">
        <v>2666</v>
      </c>
      <c r="B7" t="s">
        <v>2672</v>
      </c>
      <c r="C7" t="s">
        <v>2673</v>
      </c>
      <c r="D7">
        <v>547200</v>
      </c>
      <c r="E7" s="146"/>
    </row>
    <row r="8" spans="1:5" x14ac:dyDescent="0.3">
      <c r="A8" s="99" t="s">
        <v>2666</v>
      </c>
      <c r="B8" t="s">
        <v>2674</v>
      </c>
      <c r="C8" t="s">
        <v>2675</v>
      </c>
      <c r="E8" s="146" t="s">
        <v>2676</v>
      </c>
    </row>
    <row r="9" spans="1:5" x14ac:dyDescent="0.3">
      <c r="A9" s="149" t="s">
        <v>2666</v>
      </c>
      <c r="B9" s="150" t="s">
        <v>2677</v>
      </c>
      <c r="C9" s="150" t="s">
        <v>2678</v>
      </c>
      <c r="D9" s="150">
        <v>-0.77437508160706336</v>
      </c>
      <c r="E9" s="151"/>
    </row>
    <row r="11" spans="1:5" x14ac:dyDescent="0.3">
      <c r="A11" s="262" t="s">
        <v>2679</v>
      </c>
      <c r="B11" s="142"/>
      <c r="C11" s="142"/>
      <c r="D11" s="142" t="s">
        <v>2680</v>
      </c>
      <c r="E11" s="141"/>
    </row>
    <row r="12" spans="1:5" x14ac:dyDescent="0.3">
      <c r="A12" s="99" t="s">
        <v>2661</v>
      </c>
      <c r="B12" t="s">
        <v>2662</v>
      </c>
      <c r="E12" s="146"/>
    </row>
    <row r="13" spans="1:5" x14ac:dyDescent="0.3">
      <c r="A13" s="99" t="s">
        <v>2663</v>
      </c>
      <c r="B13" t="s">
        <v>2664</v>
      </c>
      <c r="C13" t="s">
        <v>2665</v>
      </c>
      <c r="D13" t="s">
        <v>565</v>
      </c>
      <c r="E13" s="146" t="s">
        <v>38</v>
      </c>
    </row>
    <row r="14" spans="1:5" x14ac:dyDescent="0.3">
      <c r="A14" s="99" t="s">
        <v>2681</v>
      </c>
      <c r="B14" t="s">
        <v>2667</v>
      </c>
      <c r="C14" t="s">
        <v>2682</v>
      </c>
      <c r="D14">
        <v>0.98</v>
      </c>
      <c r="E14" s="146"/>
    </row>
    <row r="15" spans="1:5" x14ac:dyDescent="0.3">
      <c r="A15" s="99" t="s">
        <v>2681</v>
      </c>
      <c r="B15" t="s">
        <v>2669</v>
      </c>
      <c r="C15" t="s">
        <v>2683</v>
      </c>
      <c r="E15" s="146" t="s">
        <v>2684</v>
      </c>
    </row>
    <row r="16" spans="1:5" x14ac:dyDescent="0.3">
      <c r="A16" s="99" t="s">
        <v>2681</v>
      </c>
      <c r="B16" t="s">
        <v>2672</v>
      </c>
      <c r="C16" t="s">
        <v>2685</v>
      </c>
      <c r="D16">
        <v>4630.157433743776</v>
      </c>
      <c r="E16" s="146"/>
    </row>
    <row r="17" spans="1:5" x14ac:dyDescent="0.3">
      <c r="A17" s="99" t="s">
        <v>2681</v>
      </c>
      <c r="B17" t="s">
        <v>2674</v>
      </c>
      <c r="C17" t="s">
        <v>2686</v>
      </c>
      <c r="E17" s="146" t="s">
        <v>2687</v>
      </c>
    </row>
    <row r="18" spans="1:5" x14ac:dyDescent="0.3">
      <c r="A18" s="149" t="s">
        <v>2681</v>
      </c>
      <c r="B18" s="150" t="s">
        <v>2677</v>
      </c>
      <c r="C18" s="150" t="s">
        <v>2688</v>
      </c>
      <c r="D18" s="150">
        <v>-0.57505073627705983</v>
      </c>
      <c r="E18" s="151"/>
    </row>
    <row r="20" spans="1:5" x14ac:dyDescent="0.3">
      <c r="A20" s="262" t="s">
        <v>2689</v>
      </c>
      <c r="B20" s="142"/>
      <c r="C20" s="142"/>
      <c r="D20" s="142" t="s">
        <v>2680</v>
      </c>
      <c r="E20" s="141"/>
    </row>
    <row r="21" spans="1:5" x14ac:dyDescent="0.3">
      <c r="A21" s="99" t="s">
        <v>2661</v>
      </c>
      <c r="B21" t="s">
        <v>2662</v>
      </c>
      <c r="E21" s="146"/>
    </row>
    <row r="22" spans="1:5" x14ac:dyDescent="0.3">
      <c r="A22" s="99" t="s">
        <v>2663</v>
      </c>
      <c r="B22" t="s">
        <v>2664</v>
      </c>
      <c r="C22" t="s">
        <v>2665</v>
      </c>
      <c r="D22" t="s">
        <v>565</v>
      </c>
      <c r="E22" s="146" t="s">
        <v>38</v>
      </c>
    </row>
    <row r="23" spans="1:5" x14ac:dyDescent="0.3">
      <c r="A23" s="99" t="s">
        <v>2690</v>
      </c>
      <c r="B23" t="s">
        <v>2667</v>
      </c>
      <c r="C23" t="s">
        <v>2691</v>
      </c>
      <c r="D23">
        <v>0.99</v>
      </c>
      <c r="E23" s="146"/>
    </row>
    <row r="24" spans="1:5" x14ac:dyDescent="0.3">
      <c r="A24" s="99" t="s">
        <v>2690</v>
      </c>
      <c r="B24" t="s">
        <v>2669</v>
      </c>
      <c r="C24" t="s">
        <v>2692</v>
      </c>
      <c r="E24" s="146" t="s">
        <v>2684</v>
      </c>
    </row>
    <row r="25" spans="1:5" x14ac:dyDescent="0.3">
      <c r="A25" s="99" t="s">
        <v>2690</v>
      </c>
      <c r="B25" t="s">
        <v>2672</v>
      </c>
      <c r="C25" t="s">
        <v>2693</v>
      </c>
      <c r="D25">
        <v>110786.76771104334</v>
      </c>
      <c r="E25" s="146"/>
    </row>
    <row r="26" spans="1:5" x14ac:dyDescent="0.3">
      <c r="A26" s="99" t="s">
        <v>2690</v>
      </c>
      <c r="B26" t="s">
        <v>2674</v>
      </c>
      <c r="C26" t="s">
        <v>2694</v>
      </c>
      <c r="E26" s="146" t="s">
        <v>2687</v>
      </c>
    </row>
    <row r="27" spans="1:5" x14ac:dyDescent="0.3">
      <c r="A27" s="149" t="s">
        <v>2690</v>
      </c>
      <c r="B27" s="150" t="s">
        <v>2677</v>
      </c>
      <c r="C27" s="150" t="s">
        <v>2695</v>
      </c>
      <c r="D27" s="150">
        <v>-0.75444264707406294</v>
      </c>
      <c r="E27" s="151"/>
    </row>
    <row r="29" spans="1:5" x14ac:dyDescent="0.3">
      <c r="A29" s="262" t="s">
        <v>2696</v>
      </c>
      <c r="B29" s="142"/>
      <c r="C29" s="142"/>
      <c r="D29" s="142" t="s">
        <v>2680</v>
      </c>
      <c r="E29" s="141"/>
    </row>
    <row r="30" spans="1:5" x14ac:dyDescent="0.3">
      <c r="A30" s="99" t="s">
        <v>2661</v>
      </c>
      <c r="E30" s="146"/>
    </row>
    <row r="31" spans="1:5" x14ac:dyDescent="0.3">
      <c r="A31" s="99" t="s">
        <v>2663</v>
      </c>
      <c r="B31" t="s">
        <v>2664</v>
      </c>
      <c r="C31" t="s">
        <v>2665</v>
      </c>
      <c r="D31" t="s">
        <v>565</v>
      </c>
      <c r="E31" s="146" t="s">
        <v>38</v>
      </c>
    </row>
    <row r="32" spans="1:5" x14ac:dyDescent="0.3">
      <c r="A32" s="99" t="s">
        <v>2697</v>
      </c>
      <c r="B32" t="s">
        <v>2667</v>
      </c>
      <c r="C32" t="s">
        <v>2698</v>
      </c>
      <c r="D32">
        <v>1</v>
      </c>
      <c r="E32" s="146"/>
    </row>
    <row r="33" spans="1:5" x14ac:dyDescent="0.3">
      <c r="A33" s="99" t="s">
        <v>2697</v>
      </c>
      <c r="B33" t="s">
        <v>2669</v>
      </c>
      <c r="C33" t="s">
        <v>2699</v>
      </c>
      <c r="E33" s="146" t="s">
        <v>2684</v>
      </c>
    </row>
    <row r="34" spans="1:5" x14ac:dyDescent="0.3">
      <c r="A34" s="99" t="s">
        <v>2697</v>
      </c>
      <c r="B34" t="s">
        <v>2672</v>
      </c>
      <c r="C34" t="s">
        <v>2700</v>
      </c>
      <c r="D34">
        <v>1494740.7073339254</v>
      </c>
      <c r="E34" s="146"/>
    </row>
    <row r="35" spans="1:5" x14ac:dyDescent="0.3">
      <c r="A35" s="99" t="s">
        <v>2697</v>
      </c>
      <c r="B35" t="s">
        <v>2674</v>
      </c>
      <c r="C35" t="s">
        <v>2701</v>
      </c>
      <c r="E35" s="146" t="s">
        <v>2687</v>
      </c>
    </row>
    <row r="36" spans="1:5" x14ac:dyDescent="0.3">
      <c r="A36" s="149" t="s">
        <v>2697</v>
      </c>
      <c r="B36" s="150" t="s">
        <v>2677</v>
      </c>
      <c r="C36" s="150" t="s">
        <v>2702</v>
      </c>
      <c r="D36" s="150">
        <v>-0.97369942693706668</v>
      </c>
      <c r="E36" s="151"/>
    </row>
    <row r="38" spans="1:5" x14ac:dyDescent="0.3">
      <c r="A38" s="262" t="s">
        <v>2703</v>
      </c>
      <c r="B38" s="142"/>
      <c r="C38" s="142" t="s">
        <v>2704</v>
      </c>
      <c r="D38" s="142"/>
      <c r="E38" s="141"/>
    </row>
    <row r="39" spans="1:5" x14ac:dyDescent="0.3">
      <c r="A39" s="99" t="s">
        <v>2705</v>
      </c>
      <c r="C39" t="s">
        <v>2706</v>
      </c>
      <c r="E39" s="146"/>
    </row>
    <row r="40" spans="1:5" x14ac:dyDescent="0.3">
      <c r="A40" s="99" t="s">
        <v>2663</v>
      </c>
      <c r="B40" t="s">
        <v>2664</v>
      </c>
      <c r="C40" t="s">
        <v>2665</v>
      </c>
      <c r="D40" t="s">
        <v>565</v>
      </c>
      <c r="E40" s="146" t="s">
        <v>38</v>
      </c>
    </row>
    <row r="41" spans="1:5" x14ac:dyDescent="0.3">
      <c r="A41" s="99" t="s">
        <v>2707</v>
      </c>
      <c r="B41" t="s">
        <v>2667</v>
      </c>
      <c r="C41" t="s">
        <v>2708</v>
      </c>
      <c r="D41">
        <v>0.99</v>
      </c>
      <c r="E41" s="146"/>
    </row>
    <row r="42" spans="1:5" x14ac:dyDescent="0.3">
      <c r="A42" s="99" t="s">
        <v>2707</v>
      </c>
      <c r="B42" t="s">
        <v>2669</v>
      </c>
      <c r="C42" t="s">
        <v>2709</v>
      </c>
      <c r="E42" s="146" t="s">
        <v>2710</v>
      </c>
    </row>
    <row r="43" spans="1:5" x14ac:dyDescent="0.3">
      <c r="A43" s="99" t="s">
        <v>2707</v>
      </c>
      <c r="B43" t="s">
        <v>2337</v>
      </c>
      <c r="C43" t="s">
        <v>2711</v>
      </c>
      <c r="D43">
        <v>8.0000000000000004E-4</v>
      </c>
      <c r="E43" s="146"/>
    </row>
    <row r="44" spans="1:5" x14ac:dyDescent="0.3">
      <c r="A44" s="99" t="s">
        <v>2707</v>
      </c>
      <c r="B44" t="s">
        <v>2674</v>
      </c>
      <c r="C44" t="s">
        <v>2712</v>
      </c>
      <c r="D44" t="s">
        <v>2713</v>
      </c>
      <c r="E44" s="146" t="s">
        <v>2714</v>
      </c>
    </row>
    <row r="45" spans="1:5" x14ac:dyDescent="0.3">
      <c r="A45" s="149" t="s">
        <v>2707</v>
      </c>
      <c r="B45" s="150" t="s">
        <v>2677</v>
      </c>
      <c r="C45" s="150" t="s">
        <v>2715</v>
      </c>
      <c r="D45" s="150">
        <v>18.428999999999998</v>
      </c>
      <c r="E45" s="151"/>
    </row>
    <row r="47" spans="1:5" x14ac:dyDescent="0.3">
      <c r="A47" s="262" t="s">
        <v>2716</v>
      </c>
      <c r="B47" s="142"/>
      <c r="C47" s="142" t="s">
        <v>2704</v>
      </c>
      <c r="D47" s="142"/>
      <c r="E47" s="141"/>
    </row>
    <row r="48" spans="1:5" x14ac:dyDescent="0.3">
      <c r="A48" s="99" t="s">
        <v>2705</v>
      </c>
      <c r="C48" t="s">
        <v>2706</v>
      </c>
      <c r="E48" s="146"/>
    </row>
    <row r="49" spans="1:5" x14ac:dyDescent="0.3">
      <c r="A49" s="99" t="s">
        <v>2663</v>
      </c>
      <c r="B49" t="s">
        <v>2664</v>
      </c>
      <c r="C49" t="s">
        <v>2665</v>
      </c>
      <c r="D49" t="s">
        <v>565</v>
      </c>
      <c r="E49" s="146" t="s">
        <v>38</v>
      </c>
    </row>
    <row r="50" spans="1:5" x14ac:dyDescent="0.3">
      <c r="A50" s="99" t="s">
        <v>2717</v>
      </c>
      <c r="B50" t="s">
        <v>2667</v>
      </c>
      <c r="C50" t="s">
        <v>2718</v>
      </c>
      <c r="D50">
        <v>0.99</v>
      </c>
      <c r="E50" s="146"/>
    </row>
    <row r="51" spans="1:5" x14ac:dyDescent="0.3">
      <c r="A51" s="99" t="s">
        <v>2717</v>
      </c>
      <c r="B51" t="s">
        <v>2669</v>
      </c>
      <c r="C51" t="s">
        <v>2719</v>
      </c>
      <c r="E51" s="146" t="s">
        <v>2710</v>
      </c>
    </row>
    <row r="52" spans="1:5" x14ac:dyDescent="0.3">
      <c r="A52" s="99" t="s">
        <v>2717</v>
      </c>
      <c r="B52" t="s">
        <v>2337</v>
      </c>
      <c r="C52" t="s">
        <v>2720</v>
      </c>
      <c r="D52">
        <v>7.6E-3</v>
      </c>
      <c r="E52" s="146"/>
    </row>
    <row r="53" spans="1:5" x14ac:dyDescent="0.3">
      <c r="A53" s="99" t="s">
        <v>2717</v>
      </c>
      <c r="B53" t="s">
        <v>2674</v>
      </c>
      <c r="C53" t="s">
        <v>2721</v>
      </c>
      <c r="D53" t="s">
        <v>2713</v>
      </c>
      <c r="E53" s="146" t="s">
        <v>2714</v>
      </c>
    </row>
    <row r="54" spans="1:5" x14ac:dyDescent="0.3">
      <c r="A54" s="149" t="s">
        <v>2717</v>
      </c>
      <c r="B54" s="150" t="s">
        <v>2677</v>
      </c>
      <c r="C54" s="150" t="s">
        <v>2722</v>
      </c>
      <c r="D54" s="150">
        <v>184.29</v>
      </c>
      <c r="E54" s="151"/>
    </row>
    <row r="56" spans="1:5" x14ac:dyDescent="0.3">
      <c r="A56" s="262" t="s">
        <v>2723</v>
      </c>
      <c r="B56" s="142"/>
      <c r="C56" s="142" t="s">
        <v>2704</v>
      </c>
      <c r="D56" s="142"/>
      <c r="E56" s="141"/>
    </row>
    <row r="57" spans="1:5" x14ac:dyDescent="0.3">
      <c r="A57" s="99" t="s">
        <v>2705</v>
      </c>
      <c r="C57" t="s">
        <v>2706</v>
      </c>
      <c r="E57" s="146"/>
    </row>
    <row r="58" spans="1:5" x14ac:dyDescent="0.3">
      <c r="A58" s="99" t="s">
        <v>2663</v>
      </c>
      <c r="B58" t="s">
        <v>2664</v>
      </c>
      <c r="C58" t="s">
        <v>2665</v>
      </c>
      <c r="D58" t="s">
        <v>565</v>
      </c>
      <c r="E58" s="146" t="s">
        <v>38</v>
      </c>
    </row>
    <row r="59" spans="1:5" x14ac:dyDescent="0.3">
      <c r="A59" s="99" t="s">
        <v>2724</v>
      </c>
      <c r="B59" t="s">
        <v>2667</v>
      </c>
      <c r="C59" t="s">
        <v>2725</v>
      </c>
      <c r="D59">
        <v>1</v>
      </c>
      <c r="E59" s="146"/>
    </row>
    <row r="60" spans="1:5" x14ac:dyDescent="0.3">
      <c r="A60" s="99" t="s">
        <v>2724</v>
      </c>
      <c r="B60" t="s">
        <v>2669</v>
      </c>
      <c r="C60" t="s">
        <v>2726</v>
      </c>
      <c r="E60" s="146" t="s">
        <v>2710</v>
      </c>
    </row>
    <row r="61" spans="1:5" x14ac:dyDescent="0.3">
      <c r="A61" s="99" t="s">
        <v>2724</v>
      </c>
      <c r="B61" t="s">
        <v>2337</v>
      </c>
      <c r="C61" t="s">
        <v>2727</v>
      </c>
      <c r="D61">
        <v>6.1000000000000004E-3</v>
      </c>
      <c r="E61" s="146"/>
    </row>
    <row r="62" spans="1:5" x14ac:dyDescent="0.3">
      <c r="A62" s="99" t="s">
        <v>2724</v>
      </c>
      <c r="B62" t="s">
        <v>2674</v>
      </c>
      <c r="C62" t="s">
        <v>2728</v>
      </c>
      <c r="D62" t="s">
        <v>2713</v>
      </c>
      <c r="E62" s="146" t="s">
        <v>2714</v>
      </c>
    </row>
    <row r="63" spans="1:5" x14ac:dyDescent="0.3">
      <c r="A63" s="149" t="s">
        <v>2724</v>
      </c>
      <c r="B63" s="150" t="s">
        <v>2677</v>
      </c>
      <c r="C63" s="150" t="s">
        <v>2729</v>
      </c>
      <c r="D63" s="150">
        <v>0</v>
      </c>
      <c r="E63" s="151"/>
    </row>
    <row r="65" spans="1:5" x14ac:dyDescent="0.3">
      <c r="A65" s="262" t="s">
        <v>2730</v>
      </c>
      <c r="B65" s="142"/>
      <c r="C65" s="142"/>
      <c r="D65" s="142"/>
      <c r="E65" s="141"/>
    </row>
    <row r="66" spans="1:5" x14ac:dyDescent="0.3">
      <c r="A66" s="99" t="s">
        <v>2705</v>
      </c>
      <c r="C66" t="s">
        <v>2731</v>
      </c>
      <c r="E66" s="146"/>
    </row>
    <row r="67" spans="1:5" x14ac:dyDescent="0.3">
      <c r="A67" s="99" t="s">
        <v>2663</v>
      </c>
      <c r="B67" t="s">
        <v>2664</v>
      </c>
      <c r="C67" t="s">
        <v>2665</v>
      </c>
      <c r="D67" t="s">
        <v>565</v>
      </c>
      <c r="E67" s="146" t="s">
        <v>38</v>
      </c>
    </row>
    <row r="68" spans="1:5" x14ac:dyDescent="0.3">
      <c r="A68" s="99" t="s">
        <v>2732</v>
      </c>
      <c r="B68" t="s">
        <v>2667</v>
      </c>
      <c r="C68" t="s">
        <v>2733</v>
      </c>
      <c r="D68">
        <v>0.88</v>
      </c>
      <c r="E68" s="146"/>
    </row>
    <row r="69" spans="1:5" x14ac:dyDescent="0.3">
      <c r="A69" s="99" t="s">
        <v>2732</v>
      </c>
      <c r="B69" t="s">
        <v>2669</v>
      </c>
      <c r="C69" t="s">
        <v>2734</v>
      </c>
      <c r="E69" s="146" t="s">
        <v>2735</v>
      </c>
    </row>
    <row r="70" spans="1:5" x14ac:dyDescent="0.3">
      <c r="A70" s="99" t="s">
        <v>2732</v>
      </c>
      <c r="B70" t="s">
        <v>2672</v>
      </c>
      <c r="C70" t="s">
        <v>2736</v>
      </c>
      <c r="D70">
        <v>0.46810000000000002</v>
      </c>
      <c r="E70" s="146"/>
    </row>
    <row r="71" spans="1:5" x14ac:dyDescent="0.3">
      <c r="A71" s="99" t="s">
        <v>2732</v>
      </c>
      <c r="B71" t="s">
        <v>2674</v>
      </c>
      <c r="C71" t="s">
        <v>2737</v>
      </c>
      <c r="D71" t="s">
        <v>2713</v>
      </c>
      <c r="E71" s="146" t="s">
        <v>2714</v>
      </c>
    </row>
    <row r="72" spans="1:5" x14ac:dyDescent="0.3">
      <c r="A72" s="149" t="s">
        <v>2732</v>
      </c>
      <c r="B72" s="150" t="s">
        <v>2677</v>
      </c>
      <c r="C72" s="150" t="s">
        <v>2738</v>
      </c>
      <c r="D72" s="150">
        <v>-3.4881760432750604E-2</v>
      </c>
      <c r="E72" s="151"/>
    </row>
    <row r="74" spans="1:5" x14ac:dyDescent="0.3">
      <c r="A74" s="262" t="s">
        <v>2739</v>
      </c>
      <c r="B74" s="142"/>
      <c r="C74" s="142"/>
      <c r="D74" s="142"/>
      <c r="E74" s="141"/>
    </row>
    <row r="75" spans="1:5" x14ac:dyDescent="0.3">
      <c r="A75" s="99" t="s">
        <v>2740</v>
      </c>
      <c r="E75" s="146"/>
    </row>
    <row r="76" spans="1:5" x14ac:dyDescent="0.3">
      <c r="A76" s="99" t="s">
        <v>2741</v>
      </c>
      <c r="E76" s="146"/>
    </row>
    <row r="77" spans="1:5" x14ac:dyDescent="0.3">
      <c r="A77" s="99" t="s">
        <v>2663</v>
      </c>
      <c r="B77" t="s">
        <v>2664</v>
      </c>
      <c r="C77" t="s">
        <v>2665</v>
      </c>
      <c r="D77" t="s">
        <v>565</v>
      </c>
      <c r="E77" s="146" t="s">
        <v>38</v>
      </c>
    </row>
    <row r="78" spans="1:5" x14ac:dyDescent="0.3">
      <c r="A78" s="99" t="s">
        <v>2742</v>
      </c>
      <c r="B78" t="s">
        <v>2667</v>
      </c>
      <c r="C78" t="s">
        <v>2743</v>
      </c>
      <c r="D78">
        <v>0.74</v>
      </c>
      <c r="E78" s="146"/>
    </row>
    <row r="79" spans="1:5" x14ac:dyDescent="0.3">
      <c r="A79" s="99" t="s">
        <v>2742</v>
      </c>
      <c r="B79" t="s">
        <v>2669</v>
      </c>
      <c r="C79" t="s">
        <v>2744</v>
      </c>
      <c r="E79" s="146" t="s">
        <v>2745</v>
      </c>
    </row>
    <row r="80" spans="1:5" x14ac:dyDescent="0.3">
      <c r="A80" s="99" t="s">
        <v>2742</v>
      </c>
      <c r="B80" t="s">
        <v>2672</v>
      </c>
      <c r="C80" t="s">
        <v>2746</v>
      </c>
      <c r="D80">
        <v>46.02</v>
      </c>
      <c r="E80" s="146"/>
    </row>
    <row r="81" spans="1:5" x14ac:dyDescent="0.3">
      <c r="A81" s="149" t="s">
        <v>2742</v>
      </c>
      <c r="B81" s="150" t="s">
        <v>2674</v>
      </c>
      <c r="C81" s="150" t="s">
        <v>2747</v>
      </c>
      <c r="D81" s="150"/>
      <c r="E81" s="151" t="s">
        <v>2748</v>
      </c>
    </row>
    <row r="82" spans="1:5" x14ac:dyDescent="0.3">
      <c r="A82" t="s">
        <v>2742</v>
      </c>
      <c r="B82" t="s">
        <v>2677</v>
      </c>
      <c r="C82" t="s">
        <v>2749</v>
      </c>
      <c r="D82">
        <v>-0.20131758878330347</v>
      </c>
    </row>
    <row r="84" spans="1:5" x14ac:dyDescent="0.3">
      <c r="A84" s="262" t="s">
        <v>2750</v>
      </c>
      <c r="B84" s="142"/>
      <c r="C84" s="142"/>
      <c r="D84" s="142"/>
      <c r="E84" s="141"/>
    </row>
    <row r="85" spans="1:5" x14ac:dyDescent="0.3">
      <c r="A85" s="99" t="s">
        <v>2751</v>
      </c>
      <c r="E85" s="146"/>
    </row>
    <row r="86" spans="1:5" x14ac:dyDescent="0.3">
      <c r="A86" s="99" t="s">
        <v>2741</v>
      </c>
      <c r="E86" s="146"/>
    </row>
    <row r="87" spans="1:5" x14ac:dyDescent="0.3">
      <c r="A87" s="99" t="s">
        <v>2663</v>
      </c>
      <c r="B87" t="s">
        <v>2664</v>
      </c>
      <c r="C87" t="s">
        <v>2665</v>
      </c>
      <c r="D87" t="s">
        <v>565</v>
      </c>
      <c r="E87" s="146" t="s">
        <v>38</v>
      </c>
    </row>
    <row r="88" spans="1:5" x14ac:dyDescent="0.3">
      <c r="A88" s="99" t="s">
        <v>2750</v>
      </c>
      <c r="B88" t="s">
        <v>2667</v>
      </c>
      <c r="C88" t="s">
        <v>2752</v>
      </c>
      <c r="D88">
        <v>0.17499999999999999</v>
      </c>
      <c r="E88" s="146"/>
    </row>
    <row r="89" spans="1:5" x14ac:dyDescent="0.3">
      <c r="A89" s="99" t="s">
        <v>2750</v>
      </c>
      <c r="B89" t="s">
        <v>2669</v>
      </c>
      <c r="C89" t="s">
        <v>2753</v>
      </c>
      <c r="D89" t="s">
        <v>2754</v>
      </c>
      <c r="E89" s="146" t="s">
        <v>2755</v>
      </c>
    </row>
    <row r="90" spans="1:5" x14ac:dyDescent="0.3">
      <c r="A90" s="99" t="s">
        <v>2750</v>
      </c>
      <c r="B90" t="s">
        <v>2672</v>
      </c>
      <c r="C90" t="s">
        <v>2756</v>
      </c>
      <c r="D90">
        <v>417.48</v>
      </c>
      <c r="E90" s="146"/>
    </row>
    <row r="91" spans="1:5" x14ac:dyDescent="0.3">
      <c r="A91" s="99" t="s">
        <v>2750</v>
      </c>
      <c r="B91" t="s">
        <v>2674</v>
      </c>
      <c r="C91" t="s">
        <v>2757</v>
      </c>
      <c r="D91" t="s">
        <v>2758</v>
      </c>
      <c r="E91" s="146" t="s">
        <v>2267</v>
      </c>
    </row>
    <row r="92" spans="1:5" x14ac:dyDescent="0.3">
      <c r="A92" s="149" t="s">
        <v>2750</v>
      </c>
      <c r="B92" s="150" t="s">
        <v>2677</v>
      </c>
      <c r="C92" s="150" t="s">
        <v>2759</v>
      </c>
      <c r="D92" s="150">
        <v>-0.37074328231380638</v>
      </c>
      <c r="E92" s="151"/>
    </row>
    <row r="94" spans="1:5" x14ac:dyDescent="0.3">
      <c r="A94" s="262" t="s">
        <v>2760</v>
      </c>
      <c r="B94" s="142"/>
      <c r="C94" s="142"/>
      <c r="D94" s="142"/>
      <c r="E94" s="141"/>
    </row>
    <row r="95" spans="1:5" x14ac:dyDescent="0.3">
      <c r="A95" s="99" t="s">
        <v>2761</v>
      </c>
      <c r="E95" s="146"/>
    </row>
    <row r="96" spans="1:5" x14ac:dyDescent="0.3">
      <c r="A96" s="99" t="s">
        <v>2762</v>
      </c>
      <c r="E96" s="146"/>
    </row>
    <row r="97" spans="1:5" x14ac:dyDescent="0.3">
      <c r="A97" s="99" t="s">
        <v>2663</v>
      </c>
      <c r="B97" t="s">
        <v>2664</v>
      </c>
      <c r="C97" t="s">
        <v>2665</v>
      </c>
      <c r="D97" t="s">
        <v>565</v>
      </c>
      <c r="E97" s="146" t="s">
        <v>38</v>
      </c>
    </row>
    <row r="98" spans="1:5" x14ac:dyDescent="0.3">
      <c r="A98" s="99" t="s">
        <v>2760</v>
      </c>
      <c r="B98" t="s">
        <v>2667</v>
      </c>
      <c r="C98" t="s">
        <v>2763</v>
      </c>
      <c r="D98">
        <v>0.66</v>
      </c>
      <c r="E98" s="146"/>
    </row>
    <row r="99" spans="1:5" x14ac:dyDescent="0.3">
      <c r="A99" s="99" t="s">
        <v>2760</v>
      </c>
      <c r="B99" t="s">
        <v>2669</v>
      </c>
      <c r="C99" t="s">
        <v>2764</v>
      </c>
      <c r="D99" t="s">
        <v>480</v>
      </c>
      <c r="E99" s="146" t="s">
        <v>2765</v>
      </c>
    </row>
    <row r="100" spans="1:5" x14ac:dyDescent="0.3">
      <c r="A100" s="99" t="s">
        <v>2760</v>
      </c>
      <c r="B100" t="s">
        <v>771</v>
      </c>
      <c r="C100" t="s">
        <v>2766</v>
      </c>
      <c r="D100">
        <v>1.2113</v>
      </c>
      <c r="E100" s="146"/>
    </row>
    <row r="101" spans="1:5" x14ac:dyDescent="0.3">
      <c r="A101" s="99" t="s">
        <v>2760</v>
      </c>
      <c r="B101" t="s">
        <v>2674</v>
      </c>
      <c r="C101" t="s">
        <v>2767</v>
      </c>
      <c r="D101" t="s">
        <v>2768</v>
      </c>
      <c r="E101" s="146" t="s">
        <v>2480</v>
      </c>
    </row>
    <row r="102" spans="1:5" x14ac:dyDescent="0.3">
      <c r="A102" s="149" t="s">
        <v>2760</v>
      </c>
      <c r="B102" s="150" t="s">
        <v>2769</v>
      </c>
      <c r="C102" s="150" t="s">
        <v>2770</v>
      </c>
      <c r="D102" s="150">
        <v>16426.319298645583</v>
      </c>
      <c r="E102" s="151" t="s">
        <v>2765</v>
      </c>
    </row>
    <row r="104" spans="1:5" x14ac:dyDescent="0.3">
      <c r="A104" s="262" t="s">
        <v>2771</v>
      </c>
      <c r="B104" s="142"/>
      <c r="C104" s="142"/>
      <c r="D104" s="142"/>
      <c r="E104" s="141"/>
    </row>
    <row r="105" spans="1:5" x14ac:dyDescent="0.3">
      <c r="A105" s="99" t="s">
        <v>2751</v>
      </c>
      <c r="E105" s="146"/>
    </row>
    <row r="106" spans="1:5" x14ac:dyDescent="0.3">
      <c r="A106" s="99" t="s">
        <v>2741</v>
      </c>
      <c r="E106" s="146"/>
    </row>
    <row r="107" spans="1:5" x14ac:dyDescent="0.3">
      <c r="A107" s="99" t="s">
        <v>2663</v>
      </c>
      <c r="B107" t="s">
        <v>2664</v>
      </c>
      <c r="C107" t="s">
        <v>2665</v>
      </c>
      <c r="D107" t="s">
        <v>565</v>
      </c>
      <c r="E107" s="146" t="s">
        <v>38</v>
      </c>
    </row>
    <row r="108" spans="1:5" x14ac:dyDescent="0.3">
      <c r="A108" s="99" t="s">
        <v>2771</v>
      </c>
      <c r="B108" t="s">
        <v>2667</v>
      </c>
      <c r="C108" t="s">
        <v>2772</v>
      </c>
      <c r="D108">
        <v>0.315</v>
      </c>
      <c r="E108" s="146"/>
    </row>
    <row r="109" spans="1:5" x14ac:dyDescent="0.3">
      <c r="A109" s="99" t="s">
        <v>2771</v>
      </c>
      <c r="B109" t="s">
        <v>2669</v>
      </c>
      <c r="C109" t="s">
        <v>2773</v>
      </c>
      <c r="D109" t="s">
        <v>2774</v>
      </c>
      <c r="E109" s="146" t="s">
        <v>2775</v>
      </c>
    </row>
    <row r="110" spans="1:5" x14ac:dyDescent="0.3">
      <c r="A110" s="99" t="s">
        <v>2771</v>
      </c>
      <c r="B110" t="s">
        <v>2672</v>
      </c>
      <c r="C110" t="s">
        <v>2776</v>
      </c>
      <c r="D110">
        <v>1.7085999999999999</v>
      </c>
      <c r="E110" s="146"/>
    </row>
    <row r="111" spans="1:5" x14ac:dyDescent="0.3">
      <c r="A111" s="99" t="s">
        <v>2771</v>
      </c>
      <c r="B111" t="s">
        <v>2674</v>
      </c>
      <c r="C111" t="s">
        <v>2777</v>
      </c>
      <c r="D111" t="s">
        <v>2778</v>
      </c>
      <c r="E111" s="146" t="s">
        <v>2748</v>
      </c>
    </row>
    <row r="112" spans="1:5" x14ac:dyDescent="0.3">
      <c r="A112" s="149" t="s">
        <v>2771</v>
      </c>
      <c r="B112" s="150" t="s">
        <v>2677</v>
      </c>
      <c r="C112" s="150" t="s">
        <v>2779</v>
      </c>
      <c r="D112" s="150">
        <v>-0.14451015036425247</v>
      </c>
      <c r="E112" s="151"/>
    </row>
    <row r="114" spans="1:5" x14ac:dyDescent="0.3">
      <c r="A114" s="262" t="s">
        <v>2780</v>
      </c>
      <c r="B114" s="142"/>
      <c r="C114" s="142"/>
      <c r="D114" s="142"/>
      <c r="E114" s="141"/>
    </row>
    <row r="115" spans="1:5" x14ac:dyDescent="0.3">
      <c r="A115" s="99" t="s">
        <v>2781</v>
      </c>
      <c r="E115" s="146"/>
    </row>
    <row r="116" spans="1:5" x14ac:dyDescent="0.3">
      <c r="A116" s="99" t="s">
        <v>2741</v>
      </c>
      <c r="E116" s="146"/>
    </row>
    <row r="117" spans="1:5" x14ac:dyDescent="0.3">
      <c r="A117" s="99" t="s">
        <v>2663</v>
      </c>
      <c r="B117" t="s">
        <v>2664</v>
      </c>
      <c r="C117" t="s">
        <v>2665</v>
      </c>
      <c r="D117" t="s">
        <v>565</v>
      </c>
      <c r="E117" s="146" t="s">
        <v>38</v>
      </c>
    </row>
    <row r="118" spans="1:5" x14ac:dyDescent="0.3">
      <c r="A118" s="99" t="s">
        <v>2780</v>
      </c>
      <c r="B118" t="s">
        <v>2667</v>
      </c>
      <c r="C118" t="s">
        <v>2782</v>
      </c>
      <c r="D118">
        <v>0.14000000000000001</v>
      </c>
      <c r="E118" s="146"/>
    </row>
    <row r="119" spans="1:5" x14ac:dyDescent="0.3">
      <c r="A119" s="99" t="s">
        <v>2780</v>
      </c>
      <c r="B119" t="s">
        <v>2669</v>
      </c>
      <c r="C119" t="s">
        <v>2783</v>
      </c>
      <c r="D119" t="s">
        <v>2774</v>
      </c>
      <c r="E119" s="146" t="s">
        <v>2775</v>
      </c>
    </row>
    <row r="120" spans="1:5" x14ac:dyDescent="0.3">
      <c r="A120" s="99" t="s">
        <v>2780</v>
      </c>
      <c r="B120" t="s">
        <v>2672</v>
      </c>
      <c r="C120" t="s">
        <v>2784</v>
      </c>
      <c r="D120">
        <v>3.6539999999999999</v>
      </c>
      <c r="E120" s="146"/>
    </row>
    <row r="121" spans="1:5" x14ac:dyDescent="0.3">
      <c r="A121" s="99" t="s">
        <v>2780</v>
      </c>
      <c r="B121" t="s">
        <v>2674</v>
      </c>
      <c r="C121" t="s">
        <v>2785</v>
      </c>
      <c r="D121" t="s">
        <v>2778</v>
      </c>
      <c r="E121" s="146" t="s">
        <v>2748</v>
      </c>
    </row>
    <row r="122" spans="1:5" x14ac:dyDescent="0.3">
      <c r="A122" s="149" t="s">
        <v>2780</v>
      </c>
      <c r="B122" s="150" t="s">
        <v>2677</v>
      </c>
      <c r="C122" s="150" t="s">
        <v>2786</v>
      </c>
      <c r="D122" s="150">
        <v>-0.17939191079700309</v>
      </c>
      <c r="E122" s="151"/>
    </row>
    <row r="124" spans="1:5" x14ac:dyDescent="0.3">
      <c r="A124" s="262" t="s">
        <v>2787</v>
      </c>
      <c r="B124" s="142"/>
      <c r="C124" s="142"/>
      <c r="D124" s="142"/>
      <c r="E124" s="141"/>
    </row>
    <row r="125" spans="1:5" x14ac:dyDescent="0.3">
      <c r="A125" s="99" t="s">
        <v>2788</v>
      </c>
      <c r="E125" s="146"/>
    </row>
    <row r="126" spans="1:5" x14ac:dyDescent="0.3">
      <c r="A126" s="99" t="s">
        <v>2741</v>
      </c>
      <c r="E126" s="146"/>
    </row>
    <row r="127" spans="1:5" x14ac:dyDescent="0.3">
      <c r="A127" s="99" t="s">
        <v>2663</v>
      </c>
      <c r="B127" t="s">
        <v>2664</v>
      </c>
      <c r="C127" t="s">
        <v>2665</v>
      </c>
      <c r="D127" t="s">
        <v>565</v>
      </c>
      <c r="E127" s="146" t="s">
        <v>38</v>
      </c>
    </row>
    <row r="128" spans="1:5" x14ac:dyDescent="0.3">
      <c r="A128" s="99" t="s">
        <v>2787</v>
      </c>
      <c r="B128" t="s">
        <v>2667</v>
      </c>
      <c r="C128" t="s">
        <v>2789</v>
      </c>
      <c r="D128">
        <v>0.77</v>
      </c>
      <c r="E128" s="146"/>
    </row>
    <row r="129" spans="1:5" x14ac:dyDescent="0.3">
      <c r="A129" s="99" t="s">
        <v>2787</v>
      </c>
      <c r="B129" t="s">
        <v>2669</v>
      </c>
      <c r="C129" t="s">
        <v>2790</v>
      </c>
      <c r="D129" t="s">
        <v>2791</v>
      </c>
      <c r="E129" s="146" t="s">
        <v>2792</v>
      </c>
    </row>
    <row r="130" spans="1:5" x14ac:dyDescent="0.3">
      <c r="A130" s="99" t="s">
        <v>2787</v>
      </c>
      <c r="B130" t="s">
        <v>2672</v>
      </c>
      <c r="C130" t="s">
        <v>2793</v>
      </c>
      <c r="D130">
        <v>170.04</v>
      </c>
      <c r="E130" s="146"/>
    </row>
    <row r="131" spans="1:5" x14ac:dyDescent="0.3">
      <c r="A131" s="99" t="s">
        <v>2787</v>
      </c>
      <c r="B131" t="s">
        <v>2674</v>
      </c>
      <c r="C131" t="s">
        <v>2794</v>
      </c>
      <c r="D131" t="s">
        <v>2795</v>
      </c>
      <c r="E131" s="146" t="s">
        <v>2796</v>
      </c>
    </row>
    <row r="132" spans="1:5" x14ac:dyDescent="0.3">
      <c r="A132" s="149" t="s">
        <v>2787</v>
      </c>
      <c r="B132" s="150" t="s">
        <v>2677</v>
      </c>
      <c r="C132" s="150" t="s">
        <v>2797</v>
      </c>
      <c r="D132" s="150">
        <v>-0.41957774691965721</v>
      </c>
      <c r="E132" s="151"/>
    </row>
    <row r="134" spans="1:5" x14ac:dyDescent="0.3">
      <c r="A134" s="262" t="s">
        <v>2798</v>
      </c>
      <c r="B134" s="142"/>
      <c r="C134" s="142"/>
      <c r="D134" s="142"/>
      <c r="E134" s="141"/>
    </row>
    <row r="135" spans="1:5" x14ac:dyDescent="0.3">
      <c r="A135" s="99" t="s">
        <v>2799</v>
      </c>
      <c r="E135" s="146"/>
    </row>
    <row r="136" spans="1:5" x14ac:dyDescent="0.3">
      <c r="A136" s="99" t="s">
        <v>2741</v>
      </c>
      <c r="E136" s="146"/>
    </row>
    <row r="137" spans="1:5" x14ac:dyDescent="0.3">
      <c r="A137" s="99" t="s">
        <v>2663</v>
      </c>
      <c r="B137" t="s">
        <v>2664</v>
      </c>
      <c r="C137" t="s">
        <v>2665</v>
      </c>
      <c r="D137" t="s">
        <v>565</v>
      </c>
      <c r="E137" s="146" t="s">
        <v>38</v>
      </c>
    </row>
    <row r="138" spans="1:5" x14ac:dyDescent="0.3">
      <c r="A138" s="99" t="s">
        <v>2800</v>
      </c>
      <c r="B138" t="s">
        <v>2667</v>
      </c>
      <c r="C138" t="s">
        <v>2801</v>
      </c>
      <c r="D138">
        <v>0.97</v>
      </c>
      <c r="E138" s="146"/>
    </row>
    <row r="139" spans="1:5" x14ac:dyDescent="0.3">
      <c r="A139" s="99" t="s">
        <v>2800</v>
      </c>
      <c r="B139" t="s">
        <v>2669</v>
      </c>
      <c r="C139" t="s">
        <v>2802</v>
      </c>
      <c r="D139" t="s">
        <v>2803</v>
      </c>
      <c r="E139" s="146" t="s">
        <v>2804</v>
      </c>
    </row>
    <row r="140" spans="1:5" x14ac:dyDescent="0.3">
      <c r="A140" s="99" t="s">
        <v>2800</v>
      </c>
      <c r="B140" t="s">
        <v>2672</v>
      </c>
      <c r="C140" t="s">
        <v>2805</v>
      </c>
      <c r="D140">
        <v>60.155000000000001</v>
      </c>
      <c r="E140" s="146"/>
    </row>
    <row r="141" spans="1:5" x14ac:dyDescent="0.3">
      <c r="A141" s="99" t="s">
        <v>2800</v>
      </c>
      <c r="B141" t="s">
        <v>2674</v>
      </c>
      <c r="C141" t="s">
        <v>2806</v>
      </c>
      <c r="D141" t="s">
        <v>2795</v>
      </c>
      <c r="E141" s="146" t="s">
        <v>2796</v>
      </c>
    </row>
    <row r="142" spans="1:5" x14ac:dyDescent="0.3">
      <c r="A142" s="149" t="s">
        <v>2800</v>
      </c>
      <c r="B142" s="150" t="s">
        <v>2677</v>
      </c>
      <c r="C142" s="150" t="s">
        <v>2807</v>
      </c>
      <c r="D142" s="150">
        <v>-0.40462842101990698</v>
      </c>
      <c r="E142" s="151"/>
    </row>
    <row r="144" spans="1:5" x14ac:dyDescent="0.3">
      <c r="A144" s="262" t="s">
        <v>2808</v>
      </c>
      <c r="B144" s="142"/>
      <c r="C144" s="142"/>
      <c r="D144" s="142"/>
      <c r="E144" s="141"/>
    </row>
    <row r="145" spans="1:5" x14ac:dyDescent="0.3">
      <c r="A145" s="99" t="s">
        <v>2809</v>
      </c>
      <c r="E145" s="146"/>
    </row>
    <row r="146" spans="1:5" x14ac:dyDescent="0.3">
      <c r="A146" s="99" t="s">
        <v>2741</v>
      </c>
      <c r="E146" s="146"/>
    </row>
    <row r="147" spans="1:5" x14ac:dyDescent="0.3">
      <c r="A147" s="99" t="s">
        <v>2663</v>
      </c>
      <c r="B147" t="s">
        <v>2664</v>
      </c>
      <c r="C147" t="s">
        <v>2665</v>
      </c>
      <c r="D147" t="s">
        <v>565</v>
      </c>
      <c r="E147" s="146" t="s">
        <v>38</v>
      </c>
    </row>
    <row r="148" spans="1:5" x14ac:dyDescent="0.3">
      <c r="A148" s="99" t="s">
        <v>2808</v>
      </c>
      <c r="B148" t="s">
        <v>2667</v>
      </c>
      <c r="C148" t="s">
        <v>2810</v>
      </c>
      <c r="D148">
        <v>0.25600000000000001</v>
      </c>
      <c r="E148" s="146"/>
    </row>
    <row r="149" spans="1:5" x14ac:dyDescent="0.3">
      <c r="A149" s="99" t="s">
        <v>2808</v>
      </c>
      <c r="B149" t="s">
        <v>2669</v>
      </c>
      <c r="C149" t="s">
        <v>2811</v>
      </c>
      <c r="D149" t="s">
        <v>2812</v>
      </c>
      <c r="E149" s="146" t="s">
        <v>2813</v>
      </c>
    </row>
    <row r="150" spans="1:5" x14ac:dyDescent="0.3">
      <c r="A150" s="99" t="s">
        <v>2808</v>
      </c>
      <c r="B150" t="s">
        <v>2672</v>
      </c>
      <c r="C150" t="s">
        <v>2814</v>
      </c>
      <c r="D150">
        <v>5533.4</v>
      </c>
      <c r="E150" s="146"/>
    </row>
    <row r="151" spans="1:5" x14ac:dyDescent="0.3">
      <c r="A151" s="99" t="s">
        <v>2808</v>
      </c>
      <c r="B151" t="s">
        <v>2674</v>
      </c>
      <c r="C151" t="s">
        <v>2815</v>
      </c>
      <c r="D151" t="s">
        <v>2816</v>
      </c>
      <c r="E151" s="146" t="s">
        <v>2816</v>
      </c>
    </row>
    <row r="152" spans="1:5" x14ac:dyDescent="0.3">
      <c r="A152" s="149" t="s">
        <v>2808</v>
      </c>
      <c r="B152" s="150" t="s">
        <v>2677</v>
      </c>
      <c r="C152" s="150" t="s">
        <v>2817</v>
      </c>
      <c r="D152" s="150">
        <v>-0.30499999999999999</v>
      </c>
      <c r="E152" s="151"/>
    </row>
    <row r="154" spans="1:5" x14ac:dyDescent="0.3">
      <c r="A154" s="262" t="s">
        <v>2818</v>
      </c>
      <c r="B154" s="142"/>
      <c r="C154" s="142"/>
      <c r="D154" s="142"/>
      <c r="E154" s="141"/>
    </row>
    <row r="155" spans="1:5" x14ac:dyDescent="0.3">
      <c r="A155" s="99" t="s">
        <v>2819</v>
      </c>
      <c r="E155" s="146"/>
    </row>
    <row r="156" spans="1:5" x14ac:dyDescent="0.3">
      <c r="A156" s="99" t="s">
        <v>2820</v>
      </c>
      <c r="E156" s="146"/>
    </row>
    <row r="157" spans="1:5" x14ac:dyDescent="0.3">
      <c r="A157" s="99" t="s">
        <v>2663</v>
      </c>
      <c r="B157" t="s">
        <v>2664</v>
      </c>
      <c r="C157" t="s">
        <v>2665</v>
      </c>
      <c r="D157" t="s">
        <v>565</v>
      </c>
      <c r="E157" s="146" t="s">
        <v>38</v>
      </c>
    </row>
    <row r="158" spans="1:5" x14ac:dyDescent="0.3">
      <c r="A158" s="99" t="s">
        <v>2821</v>
      </c>
      <c r="B158" t="s">
        <v>2667</v>
      </c>
      <c r="C158" t="s">
        <v>2822</v>
      </c>
      <c r="D158">
        <v>0.82820000000000005</v>
      </c>
      <c r="E158" s="146"/>
    </row>
    <row r="159" spans="1:5" x14ac:dyDescent="0.3">
      <c r="A159" s="99" t="s">
        <v>2821</v>
      </c>
      <c r="B159" t="s">
        <v>2669</v>
      </c>
      <c r="C159" t="s">
        <v>2823</v>
      </c>
      <c r="D159" t="s">
        <v>2824</v>
      </c>
      <c r="E159" s="146" t="s">
        <v>2825</v>
      </c>
    </row>
    <row r="160" spans="1:5" x14ac:dyDescent="0.3">
      <c r="A160" s="99" t="s">
        <v>2821</v>
      </c>
      <c r="B160" t="s">
        <v>2672</v>
      </c>
      <c r="C160" t="s">
        <v>2826</v>
      </c>
      <c r="D160">
        <v>121.78</v>
      </c>
      <c r="E160" s="146"/>
    </row>
    <row r="161" spans="1:5" x14ac:dyDescent="0.3">
      <c r="A161" s="99" t="s">
        <v>2821</v>
      </c>
      <c r="B161" t="s">
        <v>2674</v>
      </c>
      <c r="C161" t="s">
        <v>2827</v>
      </c>
      <c r="D161" t="s">
        <v>2828</v>
      </c>
      <c r="E161" s="146" t="s">
        <v>2479</v>
      </c>
    </row>
    <row r="162" spans="1:5" x14ac:dyDescent="0.3">
      <c r="A162" s="149" t="s">
        <v>2821</v>
      </c>
      <c r="B162" s="150" t="s">
        <v>2677</v>
      </c>
      <c r="C162" s="150" t="s">
        <v>2829</v>
      </c>
      <c r="D162" s="150">
        <v>-0.36599999999999999</v>
      </c>
      <c r="E162" s="151"/>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C13E-E3CE-4C07-9966-874CB98ED33C}">
  <sheetPr codeName="Sheet15">
    <tabColor rgb="FF7030A0"/>
  </sheetPr>
  <dimension ref="A1:J125"/>
  <sheetViews>
    <sheetView workbookViewId="0">
      <selection activeCell="G30" sqref="G30"/>
    </sheetView>
  </sheetViews>
  <sheetFormatPr defaultColWidth="8.5546875" defaultRowHeight="14.4" x14ac:dyDescent="0.3"/>
  <cols>
    <col min="1" max="1" width="12.44140625" customWidth="1"/>
    <col min="2" max="2" width="44.5546875" customWidth="1"/>
    <col min="3" max="3" width="62.5546875" customWidth="1"/>
    <col min="4" max="4" width="20.5546875" customWidth="1"/>
    <col min="5" max="5" width="78.44140625" bestFit="1" customWidth="1"/>
    <col min="6" max="6" width="16.44140625" customWidth="1"/>
    <col min="7" max="7" width="9.5546875" customWidth="1"/>
    <col min="8" max="8" width="83" customWidth="1"/>
    <col min="9" max="9" width="39.5546875" customWidth="1"/>
  </cols>
  <sheetData>
    <row r="1" spans="1:10" x14ac:dyDescent="0.3">
      <c r="A1" s="144" t="s">
        <v>2830</v>
      </c>
      <c r="B1" s="144" t="s">
        <v>2831</v>
      </c>
      <c r="C1" s="144" t="s">
        <v>2663</v>
      </c>
      <c r="D1" s="325" t="s">
        <v>2832</v>
      </c>
      <c r="E1" s="325" t="s">
        <v>2665</v>
      </c>
      <c r="F1" s="144" t="s">
        <v>565</v>
      </c>
      <c r="G1" s="144" t="s">
        <v>38</v>
      </c>
      <c r="H1" s="144" t="s">
        <v>2833</v>
      </c>
      <c r="I1" s="144" t="s">
        <v>2834</v>
      </c>
    </row>
    <row r="2" spans="1:10" x14ac:dyDescent="0.3">
      <c r="A2" t="s">
        <v>2585</v>
      </c>
      <c r="B2" t="s">
        <v>2835</v>
      </c>
      <c r="C2" t="s">
        <v>2836</v>
      </c>
      <c r="D2" t="s">
        <v>39</v>
      </c>
      <c r="E2" t="s">
        <v>2837</v>
      </c>
      <c r="F2" s="331">
        <v>0.35</v>
      </c>
      <c r="G2" t="s">
        <v>2838</v>
      </c>
      <c r="H2" t="s">
        <v>2839</v>
      </c>
    </row>
    <row r="3" spans="1:10" x14ac:dyDescent="0.3">
      <c r="A3" t="s">
        <v>2585</v>
      </c>
      <c r="B3" t="s">
        <v>2835</v>
      </c>
      <c r="C3" t="s">
        <v>2840</v>
      </c>
      <c r="D3" t="s">
        <v>39</v>
      </c>
      <c r="E3" t="s">
        <v>2841</v>
      </c>
      <c r="F3" s="331">
        <v>0.35</v>
      </c>
      <c r="G3" t="s">
        <v>2838</v>
      </c>
      <c r="H3" t="s">
        <v>2839</v>
      </c>
    </row>
    <row r="4" spans="1:10" x14ac:dyDescent="0.3">
      <c r="A4" t="s">
        <v>2585</v>
      </c>
      <c r="B4" t="s">
        <v>2835</v>
      </c>
      <c r="C4" t="s">
        <v>2842</v>
      </c>
      <c r="D4" t="s">
        <v>39</v>
      </c>
      <c r="E4" t="s">
        <v>2843</v>
      </c>
      <c r="F4" s="331">
        <v>0.35</v>
      </c>
      <c r="G4" t="s">
        <v>2838</v>
      </c>
      <c r="H4" t="s">
        <v>2839</v>
      </c>
    </row>
    <row r="5" spans="1:10" x14ac:dyDescent="0.3">
      <c r="A5" t="s">
        <v>2585</v>
      </c>
      <c r="B5" t="s">
        <v>2835</v>
      </c>
      <c r="C5" t="s">
        <v>2844</v>
      </c>
      <c r="D5" t="s">
        <v>39</v>
      </c>
      <c r="E5" t="s">
        <v>2845</v>
      </c>
      <c r="F5" s="331">
        <v>0.11</v>
      </c>
      <c r="G5" t="s">
        <v>2838</v>
      </c>
      <c r="H5" t="s">
        <v>2846</v>
      </c>
    </row>
    <row r="6" spans="1:10" x14ac:dyDescent="0.3">
      <c r="A6" t="s">
        <v>2585</v>
      </c>
      <c r="B6" t="s">
        <v>2835</v>
      </c>
      <c r="C6" t="s">
        <v>2847</v>
      </c>
      <c r="D6" t="s">
        <v>39</v>
      </c>
      <c r="E6" t="s">
        <v>2848</v>
      </c>
      <c r="F6" s="331">
        <v>1.1000000000000001</v>
      </c>
      <c r="G6" t="s">
        <v>2838</v>
      </c>
      <c r="H6" t="s">
        <v>2849</v>
      </c>
    </row>
    <row r="7" spans="1:10" x14ac:dyDescent="0.3">
      <c r="A7" t="s">
        <v>2588</v>
      </c>
      <c r="B7" t="s">
        <v>2850</v>
      </c>
      <c r="C7" t="s">
        <v>2851</v>
      </c>
      <c r="D7" t="s">
        <v>2852</v>
      </c>
      <c r="E7" t="s">
        <v>2853</v>
      </c>
      <c r="F7" s="331">
        <v>0.05</v>
      </c>
      <c r="G7" t="s">
        <v>2854</v>
      </c>
      <c r="H7" t="s">
        <v>2855</v>
      </c>
      <c r="I7" t="s">
        <v>2856</v>
      </c>
    </row>
    <row r="8" spans="1:10" x14ac:dyDescent="0.3">
      <c r="A8" t="s">
        <v>2852</v>
      </c>
      <c r="B8" t="s">
        <v>2857</v>
      </c>
      <c r="C8" t="s">
        <v>2852</v>
      </c>
      <c r="D8" t="s">
        <v>39</v>
      </c>
      <c r="E8" t="s">
        <v>2858</v>
      </c>
      <c r="F8" s="331">
        <v>0.2</v>
      </c>
      <c r="G8" t="s">
        <v>2859</v>
      </c>
      <c r="H8" t="s">
        <v>2855</v>
      </c>
    </row>
    <row r="9" spans="1:10" x14ac:dyDescent="0.3">
      <c r="A9" t="s">
        <v>2585</v>
      </c>
      <c r="B9" t="s">
        <v>2860</v>
      </c>
      <c r="C9" t="s">
        <v>2861</v>
      </c>
      <c r="D9" t="s">
        <v>39</v>
      </c>
      <c r="E9" t="s">
        <v>2862</v>
      </c>
      <c r="F9" s="331">
        <v>1</v>
      </c>
      <c r="G9" s="326" t="s">
        <v>2863</v>
      </c>
    </row>
    <row r="10" spans="1:10" x14ac:dyDescent="0.3">
      <c r="A10" t="s">
        <v>2585</v>
      </c>
      <c r="B10" t="s">
        <v>2864</v>
      </c>
      <c r="C10" t="s">
        <v>1243</v>
      </c>
      <c r="D10" t="s">
        <v>39</v>
      </c>
      <c r="E10" t="s">
        <v>2865</v>
      </c>
      <c r="F10" s="326">
        <v>600</v>
      </c>
      <c r="G10" s="326" t="s">
        <v>2866</v>
      </c>
      <c r="H10" s="330" t="s">
        <v>2867</v>
      </c>
    </row>
    <row r="11" spans="1:10" x14ac:dyDescent="0.3">
      <c r="A11" t="s">
        <v>2585</v>
      </c>
      <c r="B11" t="s">
        <v>2864</v>
      </c>
      <c r="C11" t="s">
        <v>348</v>
      </c>
      <c r="D11" t="s">
        <v>39</v>
      </c>
      <c r="E11" t="s">
        <v>2868</v>
      </c>
      <c r="F11" s="326">
        <v>1000</v>
      </c>
      <c r="G11" s="326" t="s">
        <v>2866</v>
      </c>
      <c r="H11" s="326" t="s">
        <v>2869</v>
      </c>
      <c r="I11" s="326"/>
      <c r="J11" s="326"/>
    </row>
    <row r="12" spans="1:10" x14ac:dyDescent="0.3">
      <c r="A12" t="s">
        <v>2585</v>
      </c>
      <c r="B12" t="s">
        <v>2864</v>
      </c>
      <c r="C12" t="s">
        <v>2870</v>
      </c>
      <c r="D12" t="s">
        <v>39</v>
      </c>
      <c r="E12" t="s">
        <v>2871</v>
      </c>
      <c r="F12" s="326">
        <v>1000</v>
      </c>
      <c r="G12" s="326" t="s">
        <v>2866</v>
      </c>
      <c r="H12" s="330" t="s">
        <v>2872</v>
      </c>
      <c r="I12" s="326"/>
      <c r="J12" s="326"/>
    </row>
    <row r="13" spans="1:10" x14ac:dyDescent="0.3">
      <c r="A13" t="s">
        <v>2585</v>
      </c>
      <c r="B13" t="s">
        <v>2864</v>
      </c>
      <c r="C13" t="s">
        <v>2873</v>
      </c>
      <c r="D13" t="s">
        <v>39</v>
      </c>
      <c r="E13" t="s">
        <v>2874</v>
      </c>
      <c r="F13" s="326">
        <v>250</v>
      </c>
      <c r="G13" s="326" t="s">
        <v>2866</v>
      </c>
      <c r="H13" s="330" t="s">
        <v>2872</v>
      </c>
      <c r="I13" s="326"/>
      <c r="J13" s="326"/>
    </row>
    <row r="14" spans="1:10" x14ac:dyDescent="0.3">
      <c r="A14" t="s">
        <v>2588</v>
      </c>
      <c r="B14" t="s">
        <v>2875</v>
      </c>
      <c r="C14" t="s">
        <v>2876</v>
      </c>
      <c r="D14" t="s">
        <v>39</v>
      </c>
      <c r="E14" t="s">
        <v>2877</v>
      </c>
      <c r="F14" s="511">
        <v>2700</v>
      </c>
      <c r="G14" t="s">
        <v>2878</v>
      </c>
      <c r="H14" s="512" t="s">
        <v>2879</v>
      </c>
    </row>
    <row r="15" spans="1:10" x14ac:dyDescent="0.3">
      <c r="A15" t="s">
        <v>2588</v>
      </c>
      <c r="B15" t="s">
        <v>2875</v>
      </c>
      <c r="C15" t="s">
        <v>2876</v>
      </c>
      <c r="D15" t="s">
        <v>2880</v>
      </c>
      <c r="E15" t="s">
        <v>2881</v>
      </c>
      <c r="F15" s="511">
        <v>1200</v>
      </c>
      <c r="G15" t="s">
        <v>2882</v>
      </c>
      <c r="H15" s="512" t="s">
        <v>2879</v>
      </c>
    </row>
    <row r="16" spans="1:10" x14ac:dyDescent="0.3">
      <c r="A16" t="s">
        <v>2588</v>
      </c>
      <c r="B16" t="s">
        <v>2875</v>
      </c>
      <c r="C16" t="s">
        <v>2876</v>
      </c>
      <c r="D16" t="s">
        <v>2883</v>
      </c>
      <c r="E16" t="s">
        <v>2884</v>
      </c>
      <c r="F16" s="511">
        <v>400</v>
      </c>
      <c r="G16" t="s">
        <v>2885</v>
      </c>
      <c r="H16" s="512" t="s">
        <v>2879</v>
      </c>
    </row>
    <row r="17" spans="1:9" x14ac:dyDescent="0.3">
      <c r="A17" t="s">
        <v>2585</v>
      </c>
      <c r="B17" t="s">
        <v>2886</v>
      </c>
      <c r="C17" t="s">
        <v>2852</v>
      </c>
      <c r="D17" t="s">
        <v>39</v>
      </c>
      <c r="E17" t="s">
        <v>2887</v>
      </c>
      <c r="F17" s="331">
        <v>0.1</v>
      </c>
      <c r="G17" t="s">
        <v>2888</v>
      </c>
      <c r="H17" t="s">
        <v>2855</v>
      </c>
      <c r="I17" t="s">
        <v>2889</v>
      </c>
    </row>
    <row r="18" spans="1:9" x14ac:dyDescent="0.3">
      <c r="A18" t="s">
        <v>2588</v>
      </c>
      <c r="B18" t="s">
        <v>2890</v>
      </c>
      <c r="C18" t="s">
        <v>2852</v>
      </c>
      <c r="D18" t="s">
        <v>39</v>
      </c>
      <c r="E18" t="s">
        <v>2891</v>
      </c>
      <c r="F18" s="331">
        <v>0.1</v>
      </c>
      <c r="G18" t="s">
        <v>2854</v>
      </c>
      <c r="H18" t="s">
        <v>2855</v>
      </c>
      <c r="I18" t="s">
        <v>2856</v>
      </c>
    </row>
    <row r="19" spans="1:9" x14ac:dyDescent="0.3">
      <c r="A19" t="s">
        <v>2585</v>
      </c>
      <c r="B19" t="s">
        <v>2892</v>
      </c>
      <c r="D19" t="s">
        <v>2852</v>
      </c>
      <c r="E19" t="s">
        <v>2893</v>
      </c>
      <c r="F19" t="s">
        <v>2894</v>
      </c>
      <c r="G19" t="s">
        <v>2895</v>
      </c>
      <c r="H19" t="s">
        <v>2896</v>
      </c>
    </row>
    <row r="20" spans="1:9" x14ac:dyDescent="0.3">
      <c r="A20" t="s">
        <v>2585</v>
      </c>
      <c r="B20" t="s">
        <v>2897</v>
      </c>
      <c r="C20" t="s">
        <v>2898</v>
      </c>
      <c r="D20" t="s">
        <v>39</v>
      </c>
      <c r="E20" t="s">
        <v>2899</v>
      </c>
      <c r="F20" s="331">
        <v>0.15</v>
      </c>
      <c r="G20" t="s">
        <v>2900</v>
      </c>
      <c r="H20" t="s">
        <v>2901</v>
      </c>
    </row>
    <row r="21" spans="1:9" x14ac:dyDescent="0.3">
      <c r="A21" t="s">
        <v>2585</v>
      </c>
      <c r="B21" t="s">
        <v>2897</v>
      </c>
      <c r="C21" t="s">
        <v>2902</v>
      </c>
      <c r="D21" t="s">
        <v>39</v>
      </c>
      <c r="E21" t="s">
        <v>2903</v>
      </c>
      <c r="F21" s="331">
        <v>0.1</v>
      </c>
      <c r="G21" t="s">
        <v>2900</v>
      </c>
    </row>
    <row r="22" spans="1:9" x14ac:dyDescent="0.3">
      <c r="A22" t="s">
        <v>2585</v>
      </c>
      <c r="B22" t="s">
        <v>2904</v>
      </c>
      <c r="C22" t="s">
        <v>2852</v>
      </c>
      <c r="D22" t="s">
        <v>39</v>
      </c>
      <c r="E22" t="s">
        <v>2905</v>
      </c>
      <c r="F22" s="331">
        <v>1</v>
      </c>
      <c r="G22" t="s">
        <v>2888</v>
      </c>
      <c r="H22" s="330"/>
    </row>
    <row r="23" spans="1:9" x14ac:dyDescent="0.3">
      <c r="A23" t="s">
        <v>2585</v>
      </c>
      <c r="B23" t="s">
        <v>2906</v>
      </c>
      <c r="C23" t="s">
        <v>2907</v>
      </c>
      <c r="D23" t="s">
        <v>2908</v>
      </c>
      <c r="E23" t="s">
        <v>2909</v>
      </c>
      <c r="F23" s="331">
        <v>0.84</v>
      </c>
      <c r="G23" t="s">
        <v>2838</v>
      </c>
      <c r="H23" t="s">
        <v>2896</v>
      </c>
    </row>
    <row r="24" spans="1:9" x14ac:dyDescent="0.3">
      <c r="A24" t="s">
        <v>2585</v>
      </c>
      <c r="B24" t="s">
        <v>2910</v>
      </c>
      <c r="C24" t="s">
        <v>2876</v>
      </c>
      <c r="D24" t="s">
        <v>2911</v>
      </c>
      <c r="E24" t="s">
        <v>2912</v>
      </c>
      <c r="F24" s="331">
        <v>0.25</v>
      </c>
      <c r="G24" t="s">
        <v>2913</v>
      </c>
      <c r="H24" t="s">
        <v>2914</v>
      </c>
    </row>
    <row r="25" spans="1:9" x14ac:dyDescent="0.3">
      <c r="A25" t="s">
        <v>2585</v>
      </c>
      <c r="B25" t="s">
        <v>2910</v>
      </c>
      <c r="C25" t="s">
        <v>2840</v>
      </c>
      <c r="D25" t="s">
        <v>39</v>
      </c>
      <c r="E25" t="s">
        <v>2915</v>
      </c>
      <c r="F25" s="331">
        <v>7.0000000000000007E-2</v>
      </c>
      <c r="G25" t="s">
        <v>2838</v>
      </c>
      <c r="H25" t="s">
        <v>2916</v>
      </c>
    </row>
    <row r="26" spans="1:9" x14ac:dyDescent="0.3">
      <c r="A26" t="s">
        <v>2585</v>
      </c>
      <c r="B26" t="s">
        <v>2910</v>
      </c>
      <c r="C26" t="s">
        <v>2842</v>
      </c>
      <c r="D26" t="s">
        <v>39</v>
      </c>
      <c r="E26" t="s">
        <v>2917</v>
      </c>
      <c r="F26" s="331">
        <v>0.11</v>
      </c>
      <c r="G26" t="s">
        <v>2838</v>
      </c>
      <c r="H26" t="s">
        <v>2918</v>
      </c>
    </row>
    <row r="27" spans="1:9" x14ac:dyDescent="0.3">
      <c r="A27" t="s">
        <v>2585</v>
      </c>
      <c r="B27" t="s">
        <v>2910</v>
      </c>
      <c r="C27" t="s">
        <v>2844</v>
      </c>
      <c r="D27" t="s">
        <v>39</v>
      </c>
      <c r="E27" t="s">
        <v>2919</v>
      </c>
      <c r="F27" s="331">
        <v>7.0000000000000007E-2</v>
      </c>
      <c r="G27" t="s">
        <v>2838</v>
      </c>
      <c r="H27" t="s">
        <v>2916</v>
      </c>
    </row>
    <row r="28" spans="1:9" x14ac:dyDescent="0.3">
      <c r="A28" t="s">
        <v>2585</v>
      </c>
      <c r="B28" t="s">
        <v>2910</v>
      </c>
      <c r="C28" t="s">
        <v>2920</v>
      </c>
      <c r="D28" t="s">
        <v>39</v>
      </c>
      <c r="E28" t="s">
        <v>2921</v>
      </c>
      <c r="F28" s="331">
        <v>0.11</v>
      </c>
      <c r="G28" s="334" t="s">
        <v>2922</v>
      </c>
      <c r="H28" t="s">
        <v>2923</v>
      </c>
    </row>
    <row r="29" spans="1:9" x14ac:dyDescent="0.3">
      <c r="A29" t="s">
        <v>2585</v>
      </c>
      <c r="B29" t="s">
        <v>2910</v>
      </c>
      <c r="C29" t="s">
        <v>2847</v>
      </c>
      <c r="D29" t="s">
        <v>39</v>
      </c>
      <c r="E29" t="s">
        <v>2924</v>
      </c>
      <c r="F29" s="331">
        <v>7.0000000000000007E-2</v>
      </c>
      <c r="G29" t="s">
        <v>2838</v>
      </c>
      <c r="H29" t="s">
        <v>2916</v>
      </c>
    </row>
    <row r="30" spans="1:9" x14ac:dyDescent="0.3">
      <c r="A30" t="s">
        <v>2585</v>
      </c>
      <c r="B30" t="s">
        <v>2910</v>
      </c>
      <c r="C30" t="s">
        <v>2844</v>
      </c>
      <c r="D30" t="s">
        <v>2883</v>
      </c>
      <c r="E30" t="s">
        <v>2925</v>
      </c>
      <c r="F30" s="331">
        <v>0.04</v>
      </c>
      <c r="G30" t="s">
        <v>2913</v>
      </c>
      <c r="H30" t="s">
        <v>2926</v>
      </c>
      <c r="I30" t="s">
        <v>2927</v>
      </c>
    </row>
    <row r="31" spans="1:9" x14ac:dyDescent="0.3">
      <c r="A31" t="s">
        <v>2585</v>
      </c>
      <c r="B31" t="s">
        <v>2910</v>
      </c>
      <c r="C31" t="s">
        <v>2928</v>
      </c>
      <c r="D31" t="s">
        <v>39</v>
      </c>
      <c r="E31" t="s">
        <v>2929</v>
      </c>
      <c r="F31" s="331">
        <v>0.04</v>
      </c>
      <c r="G31" t="s">
        <v>2913</v>
      </c>
      <c r="H31" t="s">
        <v>2930</v>
      </c>
    </row>
    <row r="32" spans="1:9" x14ac:dyDescent="0.3">
      <c r="A32" t="s">
        <v>2585</v>
      </c>
      <c r="B32" t="s">
        <v>2910</v>
      </c>
      <c r="C32" t="s">
        <v>2798</v>
      </c>
      <c r="D32" t="s">
        <v>39</v>
      </c>
      <c r="E32" t="s">
        <v>2931</v>
      </c>
      <c r="F32" s="331">
        <v>1.5</v>
      </c>
      <c r="G32" t="s">
        <v>2932</v>
      </c>
      <c r="H32" t="s">
        <v>2933</v>
      </c>
    </row>
    <row r="33" spans="1:9" x14ac:dyDescent="0.3">
      <c r="A33" t="s">
        <v>2588</v>
      </c>
      <c r="B33" t="s">
        <v>2934</v>
      </c>
      <c r="C33" t="s">
        <v>2935</v>
      </c>
      <c r="D33" t="s">
        <v>39</v>
      </c>
      <c r="E33" t="s">
        <v>2936</v>
      </c>
      <c r="F33" s="333">
        <v>5.0000000000000001E-3</v>
      </c>
      <c r="G33" t="s">
        <v>2888</v>
      </c>
      <c r="H33" t="s">
        <v>2937</v>
      </c>
    </row>
    <row r="34" spans="1:9" x14ac:dyDescent="0.3">
      <c r="A34" t="s">
        <v>2852</v>
      </c>
      <c r="B34" t="s">
        <v>2938</v>
      </c>
      <c r="C34" t="s">
        <v>2852</v>
      </c>
      <c r="D34" t="s">
        <v>2852</v>
      </c>
      <c r="E34" t="s">
        <v>2939</v>
      </c>
      <c r="F34">
        <v>20</v>
      </c>
      <c r="G34" t="s">
        <v>2669</v>
      </c>
      <c r="H34" t="s">
        <v>2855</v>
      </c>
    </row>
    <row r="35" spans="1:9" x14ac:dyDescent="0.3">
      <c r="A35" t="s">
        <v>2588</v>
      </c>
      <c r="B35" t="s">
        <v>525</v>
      </c>
      <c r="C35" t="s">
        <v>2940</v>
      </c>
      <c r="D35" t="s">
        <v>39</v>
      </c>
      <c r="E35" t="s">
        <v>2941</v>
      </c>
      <c r="F35" s="326">
        <v>312</v>
      </c>
      <c r="G35" s="326" t="s">
        <v>2710</v>
      </c>
      <c r="H35" s="332" t="s">
        <v>2942</v>
      </c>
      <c r="I35" s="326"/>
    </row>
    <row r="36" spans="1:9" x14ac:dyDescent="0.3">
      <c r="A36" t="s">
        <v>2588</v>
      </c>
      <c r="B36" t="s">
        <v>525</v>
      </c>
      <c r="C36" t="s">
        <v>2943</v>
      </c>
      <c r="D36" t="s">
        <v>39</v>
      </c>
      <c r="E36" t="s">
        <v>2944</v>
      </c>
      <c r="F36" s="326">
        <v>312</v>
      </c>
      <c r="G36" s="326" t="s">
        <v>2710</v>
      </c>
      <c r="H36" s="332" t="s">
        <v>2945</v>
      </c>
      <c r="I36" s="326"/>
    </row>
    <row r="37" spans="1:9" x14ac:dyDescent="0.3">
      <c r="A37" t="s">
        <v>2588</v>
      </c>
      <c r="B37" t="s">
        <v>525</v>
      </c>
      <c r="C37" t="s">
        <v>2946</v>
      </c>
      <c r="D37" t="s">
        <v>39</v>
      </c>
      <c r="E37" t="s">
        <v>2947</v>
      </c>
      <c r="F37" s="326">
        <v>52</v>
      </c>
      <c r="G37" s="326" t="s">
        <v>2710</v>
      </c>
      <c r="H37" s="330" t="s">
        <v>2948</v>
      </c>
      <c r="I37" s="326"/>
    </row>
    <row r="38" spans="1:9" x14ac:dyDescent="0.3">
      <c r="A38" t="s">
        <v>2588</v>
      </c>
      <c r="B38" t="s">
        <v>525</v>
      </c>
      <c r="C38" t="s">
        <v>2840</v>
      </c>
      <c r="D38" t="s">
        <v>39</v>
      </c>
      <c r="E38" t="s">
        <v>2949</v>
      </c>
      <c r="F38" s="326">
        <v>38</v>
      </c>
      <c r="G38" s="326" t="s">
        <v>2710</v>
      </c>
      <c r="H38" s="326" t="s">
        <v>2950</v>
      </c>
    </row>
    <row r="39" spans="1:9" x14ac:dyDescent="0.3">
      <c r="A39" t="s">
        <v>2588</v>
      </c>
      <c r="B39" t="s">
        <v>525</v>
      </c>
      <c r="C39" t="s">
        <v>2842</v>
      </c>
      <c r="D39" t="s">
        <v>39</v>
      </c>
      <c r="E39" t="s">
        <v>2951</v>
      </c>
      <c r="F39" s="326">
        <v>15</v>
      </c>
      <c r="G39" s="326" t="s">
        <v>2710</v>
      </c>
      <c r="H39" s="326" t="s">
        <v>2952</v>
      </c>
    </row>
    <row r="40" spans="1:9" x14ac:dyDescent="0.3">
      <c r="A40" t="s">
        <v>2588</v>
      </c>
      <c r="B40" t="s">
        <v>525</v>
      </c>
      <c r="C40" t="s">
        <v>2844</v>
      </c>
      <c r="D40" t="s">
        <v>39</v>
      </c>
      <c r="E40" t="s">
        <v>2953</v>
      </c>
      <c r="F40" s="326">
        <v>15</v>
      </c>
      <c r="G40" s="326" t="s">
        <v>2710</v>
      </c>
      <c r="H40" t="s">
        <v>2954</v>
      </c>
    </row>
    <row r="41" spans="1:9" x14ac:dyDescent="0.3">
      <c r="A41" t="s">
        <v>2588</v>
      </c>
      <c r="B41" t="s">
        <v>525</v>
      </c>
      <c r="C41" t="s">
        <v>2955</v>
      </c>
      <c r="D41" t="s">
        <v>39</v>
      </c>
      <c r="E41" t="s">
        <v>2956</v>
      </c>
      <c r="F41" s="331">
        <v>0.98</v>
      </c>
      <c r="G41" s="334" t="s">
        <v>2957</v>
      </c>
      <c r="H41" t="s">
        <v>2923</v>
      </c>
    </row>
    <row r="42" spans="1:9" x14ac:dyDescent="0.3">
      <c r="A42" t="s">
        <v>2588</v>
      </c>
      <c r="B42" t="s">
        <v>525</v>
      </c>
      <c r="C42" t="s">
        <v>2847</v>
      </c>
      <c r="D42" t="s">
        <v>39</v>
      </c>
      <c r="E42" t="s">
        <v>2958</v>
      </c>
      <c r="F42" s="326">
        <v>5</v>
      </c>
      <c r="G42" s="326" t="s">
        <v>2710</v>
      </c>
      <c r="H42" s="326" t="s">
        <v>2959</v>
      </c>
      <c r="I42" s="326"/>
    </row>
    <row r="43" spans="1:9" x14ac:dyDescent="0.3">
      <c r="A43" t="s">
        <v>2588</v>
      </c>
      <c r="B43" t="s">
        <v>525</v>
      </c>
      <c r="C43" t="s">
        <v>2960</v>
      </c>
      <c r="D43" t="s">
        <v>39</v>
      </c>
      <c r="E43" t="s">
        <v>2961</v>
      </c>
      <c r="F43" s="326">
        <f>UDV.labor.tractor_x</f>
        <v>1.1000000000000001</v>
      </c>
      <c r="G43" s="326" t="s">
        <v>2962</v>
      </c>
      <c r="H43" t="s">
        <v>2963</v>
      </c>
    </row>
    <row r="44" spans="1:9" x14ac:dyDescent="0.3">
      <c r="A44" t="s">
        <v>2588</v>
      </c>
      <c r="B44" t="s">
        <v>525</v>
      </c>
      <c r="C44" t="s">
        <v>2928</v>
      </c>
      <c r="D44" t="s">
        <v>39</v>
      </c>
      <c r="E44" t="s">
        <v>2964</v>
      </c>
      <c r="F44" s="326">
        <v>0</v>
      </c>
      <c r="G44" s="326" t="s">
        <v>2710</v>
      </c>
      <c r="H44" s="326" t="s">
        <v>2965</v>
      </c>
    </row>
    <row r="45" spans="1:9" x14ac:dyDescent="0.3">
      <c r="A45" t="s">
        <v>2588</v>
      </c>
      <c r="B45" t="s">
        <v>2966</v>
      </c>
      <c r="C45" t="s">
        <v>1300</v>
      </c>
      <c r="D45" t="s">
        <v>39</v>
      </c>
      <c r="E45" t="s">
        <v>2967</v>
      </c>
      <c r="F45" s="326">
        <v>100</v>
      </c>
      <c r="G45" s="326" t="s">
        <v>2710</v>
      </c>
      <c r="H45" s="330" t="s">
        <v>2867</v>
      </c>
    </row>
    <row r="46" spans="1:9" x14ac:dyDescent="0.3">
      <c r="A46" t="s">
        <v>2852</v>
      </c>
      <c r="B46" t="s">
        <v>2968</v>
      </c>
      <c r="C46" t="s">
        <v>2969</v>
      </c>
      <c r="D46" t="s">
        <v>39</v>
      </c>
      <c r="E46" t="s">
        <v>2970</v>
      </c>
      <c r="F46" s="326">
        <v>2</v>
      </c>
      <c r="G46" t="s">
        <v>2971</v>
      </c>
      <c r="H46" t="s">
        <v>2972</v>
      </c>
    </row>
    <row r="47" spans="1:9" x14ac:dyDescent="0.3">
      <c r="A47" t="s">
        <v>2585</v>
      </c>
      <c r="B47" t="s">
        <v>2973</v>
      </c>
      <c r="C47" t="s">
        <v>1228</v>
      </c>
      <c r="D47" t="s">
        <v>39</v>
      </c>
      <c r="E47" t="s">
        <v>2974</v>
      </c>
      <c r="F47" s="327">
        <v>15</v>
      </c>
      <c r="G47" t="s">
        <v>2669</v>
      </c>
      <c r="H47" t="s">
        <v>2975</v>
      </c>
    </row>
    <row r="48" spans="1:9" x14ac:dyDescent="0.3">
      <c r="A48" t="s">
        <v>2585</v>
      </c>
      <c r="B48" t="s">
        <v>2973</v>
      </c>
      <c r="C48" t="s">
        <v>1224</v>
      </c>
      <c r="D48" t="s">
        <v>39</v>
      </c>
      <c r="E48" t="s">
        <v>2976</v>
      </c>
      <c r="F48" s="327">
        <v>17</v>
      </c>
      <c r="G48" t="s">
        <v>2669</v>
      </c>
      <c r="H48" t="s">
        <v>2977</v>
      </c>
    </row>
    <row r="49" spans="1:9" x14ac:dyDescent="0.3">
      <c r="A49" t="s">
        <v>2585</v>
      </c>
      <c r="B49" t="s">
        <v>2973</v>
      </c>
      <c r="C49" t="s">
        <v>1226</v>
      </c>
      <c r="D49" t="s">
        <v>39</v>
      </c>
      <c r="E49" t="s">
        <v>2978</v>
      </c>
      <c r="F49" s="327">
        <v>15</v>
      </c>
      <c r="G49" t="s">
        <v>2669</v>
      </c>
      <c r="H49" t="s">
        <v>2979</v>
      </c>
    </row>
    <row r="50" spans="1:9" x14ac:dyDescent="0.3">
      <c r="A50" t="s">
        <v>2585</v>
      </c>
      <c r="B50" t="s">
        <v>2973</v>
      </c>
      <c r="C50" t="s">
        <v>2980</v>
      </c>
      <c r="D50" t="s">
        <v>39</v>
      </c>
      <c r="E50" t="s">
        <v>2981</v>
      </c>
      <c r="F50" s="327">
        <v>20</v>
      </c>
      <c r="G50" t="s">
        <v>2669</v>
      </c>
      <c r="H50" t="s">
        <v>2933</v>
      </c>
    </row>
    <row r="51" spans="1:9" x14ac:dyDescent="0.3">
      <c r="A51" t="s">
        <v>2585</v>
      </c>
      <c r="B51" t="s">
        <v>2973</v>
      </c>
      <c r="C51" t="s">
        <v>2982</v>
      </c>
      <c r="D51" t="s">
        <v>39</v>
      </c>
      <c r="E51" t="s">
        <v>2983</v>
      </c>
      <c r="F51" s="329">
        <v>12</v>
      </c>
      <c r="G51" t="s">
        <v>2669</v>
      </c>
      <c r="H51" t="s">
        <v>2984</v>
      </c>
    </row>
    <row r="52" spans="1:9" x14ac:dyDescent="0.3">
      <c r="A52" t="s">
        <v>2585</v>
      </c>
      <c r="B52" t="s">
        <v>2973</v>
      </c>
      <c r="C52" t="s">
        <v>2985</v>
      </c>
      <c r="D52" t="s">
        <v>39</v>
      </c>
      <c r="E52" t="s">
        <v>2986</v>
      </c>
      <c r="F52" s="326">
        <v>18</v>
      </c>
      <c r="G52" s="326" t="s">
        <v>2669</v>
      </c>
      <c r="H52" s="332" t="s">
        <v>2942</v>
      </c>
      <c r="I52" s="326"/>
    </row>
    <row r="53" spans="1:9" x14ac:dyDescent="0.3">
      <c r="A53" t="s">
        <v>2585</v>
      </c>
      <c r="B53" t="s">
        <v>2973</v>
      </c>
      <c r="C53" t="s">
        <v>2987</v>
      </c>
      <c r="D53" t="s">
        <v>39</v>
      </c>
      <c r="E53" t="s">
        <v>2988</v>
      </c>
      <c r="F53" s="329">
        <v>1</v>
      </c>
      <c r="G53" t="s">
        <v>2669</v>
      </c>
      <c r="H53" s="330" t="s">
        <v>2867</v>
      </c>
    </row>
    <row r="54" spans="1:9" x14ac:dyDescent="0.3">
      <c r="A54" t="s">
        <v>2585</v>
      </c>
      <c r="B54" t="s">
        <v>2973</v>
      </c>
      <c r="C54" t="s">
        <v>2989</v>
      </c>
      <c r="D54" t="s">
        <v>39</v>
      </c>
      <c r="E54" t="s">
        <v>2990</v>
      </c>
      <c r="F54" s="326">
        <v>20</v>
      </c>
      <c r="G54" t="s">
        <v>2669</v>
      </c>
      <c r="H54" t="s">
        <v>2991</v>
      </c>
    </row>
    <row r="55" spans="1:9" x14ac:dyDescent="0.3">
      <c r="A55" t="s">
        <v>2585</v>
      </c>
      <c r="B55" t="s">
        <v>2973</v>
      </c>
      <c r="C55" t="s">
        <v>2992</v>
      </c>
      <c r="D55" t="s">
        <v>39</v>
      </c>
      <c r="E55" t="s">
        <v>2993</v>
      </c>
      <c r="F55" s="513">
        <v>20</v>
      </c>
      <c r="G55" t="s">
        <v>2669</v>
      </c>
      <c r="H55" t="s">
        <v>2994</v>
      </c>
    </row>
    <row r="56" spans="1:9" x14ac:dyDescent="0.3">
      <c r="A56" t="s">
        <v>2585</v>
      </c>
      <c r="B56" t="s">
        <v>2973</v>
      </c>
      <c r="C56" t="s">
        <v>2995</v>
      </c>
      <c r="D56" t="s">
        <v>39</v>
      </c>
      <c r="E56" t="s">
        <v>2996</v>
      </c>
      <c r="F56" s="326">
        <v>50</v>
      </c>
      <c r="G56" t="s">
        <v>2669</v>
      </c>
      <c r="H56" t="s">
        <v>2896</v>
      </c>
      <c r="I56" t="s">
        <v>2997</v>
      </c>
    </row>
    <row r="57" spans="1:9" x14ac:dyDescent="0.3">
      <c r="A57" t="s">
        <v>2585</v>
      </c>
      <c r="B57" t="s">
        <v>2973</v>
      </c>
      <c r="C57" t="s">
        <v>2998</v>
      </c>
      <c r="D57" t="s">
        <v>39</v>
      </c>
      <c r="E57" t="s">
        <v>2999</v>
      </c>
      <c r="F57" s="327">
        <v>20</v>
      </c>
      <c r="G57" t="s">
        <v>2669</v>
      </c>
      <c r="H57" t="s">
        <v>2975</v>
      </c>
    </row>
    <row r="58" spans="1:9" x14ac:dyDescent="0.3">
      <c r="A58" t="s">
        <v>2585</v>
      </c>
      <c r="B58" t="s">
        <v>2973</v>
      </c>
      <c r="C58" t="s">
        <v>3000</v>
      </c>
      <c r="D58" t="s">
        <v>39</v>
      </c>
      <c r="E58" t="s">
        <v>3001</v>
      </c>
      <c r="F58" s="326">
        <v>20</v>
      </c>
      <c r="G58" s="326" t="s">
        <v>2669</v>
      </c>
      <c r="H58" s="326" t="s">
        <v>3002</v>
      </c>
    </row>
    <row r="59" spans="1:9" x14ac:dyDescent="0.3">
      <c r="A59" t="s">
        <v>2585</v>
      </c>
      <c r="B59" t="s">
        <v>2973</v>
      </c>
      <c r="C59" t="s">
        <v>3003</v>
      </c>
      <c r="D59" t="s">
        <v>39</v>
      </c>
      <c r="E59" t="s">
        <v>3004</v>
      </c>
      <c r="F59" s="327">
        <v>17</v>
      </c>
      <c r="H59" t="s">
        <v>2977</v>
      </c>
    </row>
    <row r="60" spans="1:9" x14ac:dyDescent="0.3">
      <c r="A60" t="s">
        <v>2585</v>
      </c>
      <c r="B60" t="s">
        <v>2973</v>
      </c>
      <c r="C60" t="s">
        <v>3005</v>
      </c>
      <c r="D60" t="s">
        <v>39</v>
      </c>
      <c r="E60" t="s">
        <v>3006</v>
      </c>
      <c r="F60" s="327">
        <v>17</v>
      </c>
      <c r="H60" t="s">
        <v>2977</v>
      </c>
    </row>
    <row r="61" spans="1:9" x14ac:dyDescent="0.3">
      <c r="A61" t="s">
        <v>2585</v>
      </c>
      <c r="B61" t="s">
        <v>2973</v>
      </c>
      <c r="C61" t="s">
        <v>3007</v>
      </c>
      <c r="D61" t="s">
        <v>39</v>
      </c>
      <c r="E61" t="s">
        <v>3008</v>
      </c>
      <c r="F61" s="326">
        <v>2.5</v>
      </c>
      <c r="G61" s="326" t="s">
        <v>2669</v>
      </c>
      <c r="H61" t="s">
        <v>3009</v>
      </c>
    </row>
    <row r="62" spans="1:9" x14ac:dyDescent="0.3">
      <c r="A62" t="s">
        <v>2585</v>
      </c>
      <c r="B62" t="s">
        <v>2973</v>
      </c>
      <c r="C62" t="s">
        <v>354</v>
      </c>
      <c r="D62" t="s">
        <v>39</v>
      </c>
      <c r="E62" t="s">
        <v>3010</v>
      </c>
      <c r="F62" s="326">
        <v>10</v>
      </c>
      <c r="G62" t="s">
        <v>2669</v>
      </c>
      <c r="H62" t="s">
        <v>3011</v>
      </c>
    </row>
    <row r="63" spans="1:9" x14ac:dyDescent="0.3">
      <c r="A63" t="s">
        <v>2585</v>
      </c>
      <c r="B63" t="s">
        <v>2973</v>
      </c>
      <c r="C63" t="s">
        <v>3012</v>
      </c>
      <c r="D63" t="s">
        <v>39</v>
      </c>
      <c r="E63" t="s">
        <v>3013</v>
      </c>
      <c r="F63" s="326">
        <v>20</v>
      </c>
      <c r="G63" s="326" t="s">
        <v>2669</v>
      </c>
      <c r="H63" t="s">
        <v>3014</v>
      </c>
    </row>
    <row r="64" spans="1:9" x14ac:dyDescent="0.3">
      <c r="A64" t="s">
        <v>2585</v>
      </c>
      <c r="B64" t="s">
        <v>2973</v>
      </c>
      <c r="C64" t="s">
        <v>3015</v>
      </c>
      <c r="D64" t="s">
        <v>39</v>
      </c>
      <c r="E64" t="s">
        <v>3016</v>
      </c>
      <c r="F64" s="327">
        <v>12</v>
      </c>
      <c r="G64" t="s">
        <v>2669</v>
      </c>
      <c r="H64" t="s">
        <v>2977</v>
      </c>
    </row>
    <row r="65" spans="1:10" x14ac:dyDescent="0.3">
      <c r="A65" t="s">
        <v>2585</v>
      </c>
      <c r="B65" t="s">
        <v>2973</v>
      </c>
      <c r="C65" t="s">
        <v>3017</v>
      </c>
      <c r="D65" t="s">
        <v>39</v>
      </c>
      <c r="E65" t="s">
        <v>3018</v>
      </c>
      <c r="F65" s="327">
        <v>17</v>
      </c>
      <c r="G65" t="s">
        <v>2669</v>
      </c>
      <c r="H65" t="s">
        <v>2977</v>
      </c>
    </row>
    <row r="66" spans="1:10" x14ac:dyDescent="0.3">
      <c r="A66" t="s">
        <v>2585</v>
      </c>
      <c r="B66" t="s">
        <v>2973</v>
      </c>
      <c r="C66" t="s">
        <v>3019</v>
      </c>
      <c r="D66" t="s">
        <v>39</v>
      </c>
      <c r="E66" t="s">
        <v>3020</v>
      </c>
      <c r="F66" s="327">
        <v>17</v>
      </c>
      <c r="G66" t="s">
        <v>2669</v>
      </c>
      <c r="H66" t="s">
        <v>2977</v>
      </c>
    </row>
    <row r="67" spans="1:10" x14ac:dyDescent="0.3">
      <c r="A67" t="s">
        <v>2585</v>
      </c>
      <c r="B67" t="s">
        <v>2973</v>
      </c>
      <c r="C67" t="s">
        <v>3021</v>
      </c>
      <c r="D67" t="s">
        <v>39</v>
      </c>
      <c r="E67" t="s">
        <v>3022</v>
      </c>
      <c r="F67" s="327">
        <v>15</v>
      </c>
      <c r="G67" t="s">
        <v>2669</v>
      </c>
      <c r="H67" t="s">
        <v>3023</v>
      </c>
    </row>
    <row r="68" spans="1:10" x14ac:dyDescent="0.3">
      <c r="A68" t="s">
        <v>2585</v>
      </c>
      <c r="B68" t="s">
        <v>2973</v>
      </c>
      <c r="C68" t="s">
        <v>2840</v>
      </c>
      <c r="D68" t="s">
        <v>39</v>
      </c>
      <c r="E68" s="90" t="s">
        <v>3024</v>
      </c>
      <c r="F68" s="326">
        <v>8</v>
      </c>
      <c r="G68" s="326" t="s">
        <v>2669</v>
      </c>
      <c r="H68" s="326" t="s">
        <v>2950</v>
      </c>
    </row>
    <row r="69" spans="1:10" x14ac:dyDescent="0.3">
      <c r="A69" t="s">
        <v>2585</v>
      </c>
      <c r="B69" t="s">
        <v>2973</v>
      </c>
      <c r="C69" t="s">
        <v>2842</v>
      </c>
      <c r="D69" t="s">
        <v>39</v>
      </c>
      <c r="E69" t="s">
        <v>3025</v>
      </c>
      <c r="F69" s="326">
        <v>18</v>
      </c>
      <c r="G69" s="326" t="s">
        <v>2669</v>
      </c>
      <c r="H69" s="326" t="s">
        <v>2952</v>
      </c>
    </row>
    <row r="70" spans="1:10" x14ac:dyDescent="0.3">
      <c r="A70" t="s">
        <v>2585</v>
      </c>
      <c r="B70" t="s">
        <v>2973</v>
      </c>
      <c r="C70" t="s">
        <v>2844</v>
      </c>
      <c r="D70" t="s">
        <v>39</v>
      </c>
      <c r="E70" t="s">
        <v>3026</v>
      </c>
      <c r="F70" s="329">
        <v>13</v>
      </c>
      <c r="G70" t="s">
        <v>2669</v>
      </c>
      <c r="H70" t="s">
        <v>2977</v>
      </c>
    </row>
    <row r="71" spans="1:10" x14ac:dyDescent="0.3">
      <c r="A71" t="s">
        <v>2585</v>
      </c>
      <c r="B71" t="s">
        <v>2973</v>
      </c>
      <c r="C71" t="s">
        <v>2955</v>
      </c>
      <c r="D71" t="s">
        <v>39</v>
      </c>
      <c r="E71" t="s">
        <v>3027</v>
      </c>
      <c r="F71" s="326">
        <v>28</v>
      </c>
      <c r="G71" s="334" t="s">
        <v>2669</v>
      </c>
      <c r="H71" t="s">
        <v>2923</v>
      </c>
    </row>
    <row r="72" spans="1:10" x14ac:dyDescent="0.3">
      <c r="A72" t="s">
        <v>2585</v>
      </c>
      <c r="B72" t="s">
        <v>2973</v>
      </c>
      <c r="C72" t="s">
        <v>348</v>
      </c>
      <c r="D72" t="s">
        <v>39</v>
      </c>
      <c r="E72" t="s">
        <v>3028</v>
      </c>
      <c r="F72" s="326">
        <v>5</v>
      </c>
      <c r="G72" s="326" t="s">
        <v>2669</v>
      </c>
      <c r="H72" s="512" t="s">
        <v>3029</v>
      </c>
    </row>
    <row r="73" spans="1:10" x14ac:dyDescent="0.3">
      <c r="A73" t="s">
        <v>2585</v>
      </c>
      <c r="B73" t="s">
        <v>2973</v>
      </c>
      <c r="C73" t="s">
        <v>2847</v>
      </c>
      <c r="D73" t="s">
        <v>39</v>
      </c>
      <c r="E73" t="s">
        <v>3030</v>
      </c>
      <c r="F73" s="326">
        <v>15</v>
      </c>
      <c r="G73" t="s">
        <v>2669</v>
      </c>
      <c r="H73" t="s">
        <v>3031</v>
      </c>
    </row>
    <row r="74" spans="1:10" x14ac:dyDescent="0.3">
      <c r="A74" t="s">
        <v>2585</v>
      </c>
      <c r="B74" t="s">
        <v>2973</v>
      </c>
      <c r="C74" t="s">
        <v>2960</v>
      </c>
      <c r="D74" t="s">
        <v>39</v>
      </c>
      <c r="E74" t="s">
        <v>3032</v>
      </c>
      <c r="F74" s="326">
        <v>15</v>
      </c>
      <c r="G74" s="326" t="s">
        <v>2669</v>
      </c>
      <c r="H74" s="326" t="s">
        <v>3033</v>
      </c>
      <c r="I74" s="326"/>
    </row>
    <row r="75" spans="1:10" x14ac:dyDescent="0.3">
      <c r="A75" t="s">
        <v>2585</v>
      </c>
      <c r="B75" t="s">
        <v>2973</v>
      </c>
      <c r="C75" t="s">
        <v>3034</v>
      </c>
      <c r="D75" t="s">
        <v>39</v>
      </c>
      <c r="E75" t="s">
        <v>3035</v>
      </c>
      <c r="F75" s="326">
        <v>12000</v>
      </c>
      <c r="G75" s="326" t="s">
        <v>2866</v>
      </c>
      <c r="H75" s="326" t="s">
        <v>3036</v>
      </c>
      <c r="I75" s="326" t="s">
        <v>3037</v>
      </c>
      <c r="J75" s="326" t="s">
        <v>3038</v>
      </c>
    </row>
    <row r="76" spans="1:10" x14ac:dyDescent="0.3">
      <c r="A76" t="s">
        <v>2585</v>
      </c>
      <c r="B76" t="s">
        <v>2973</v>
      </c>
      <c r="C76" t="s">
        <v>3039</v>
      </c>
      <c r="D76" t="s">
        <v>39</v>
      </c>
      <c r="E76" t="s">
        <v>3040</v>
      </c>
      <c r="F76" s="326">
        <v>16000</v>
      </c>
      <c r="G76" s="326" t="s">
        <v>2866</v>
      </c>
      <c r="H76" s="326" t="s">
        <v>3036</v>
      </c>
      <c r="I76" s="326" t="s">
        <v>3041</v>
      </c>
      <c r="J76" s="326"/>
    </row>
    <row r="77" spans="1:10" x14ac:dyDescent="0.3">
      <c r="A77" t="s">
        <v>2585</v>
      </c>
      <c r="B77" t="s">
        <v>2973</v>
      </c>
      <c r="C77" t="s">
        <v>2873</v>
      </c>
      <c r="D77" t="s">
        <v>39</v>
      </c>
      <c r="E77" t="s">
        <v>3042</v>
      </c>
      <c r="F77" s="326">
        <v>8</v>
      </c>
      <c r="G77" s="326" t="s">
        <v>2669</v>
      </c>
      <c r="H77" s="326" t="s">
        <v>3043</v>
      </c>
      <c r="I77" s="326"/>
      <c r="J77" s="326"/>
    </row>
    <row r="78" spans="1:10" x14ac:dyDescent="0.3">
      <c r="A78" t="s">
        <v>2585</v>
      </c>
      <c r="B78" t="s">
        <v>2973</v>
      </c>
      <c r="C78" t="s">
        <v>3044</v>
      </c>
      <c r="D78" t="s">
        <v>39</v>
      </c>
      <c r="E78" t="s">
        <v>3045</v>
      </c>
      <c r="F78" s="326">
        <v>20</v>
      </c>
      <c r="G78" s="326" t="s">
        <v>2669</v>
      </c>
      <c r="H78" s="332" t="s">
        <v>3046</v>
      </c>
    </row>
    <row r="79" spans="1:10" x14ac:dyDescent="0.3">
      <c r="A79" t="s">
        <v>2585</v>
      </c>
      <c r="B79" t="s">
        <v>2973</v>
      </c>
      <c r="C79" t="s">
        <v>348</v>
      </c>
      <c r="D79" t="s">
        <v>3047</v>
      </c>
      <c r="E79" t="s">
        <v>3048</v>
      </c>
      <c r="F79" s="326">
        <v>5000</v>
      </c>
      <c r="G79" s="326" t="s">
        <v>2866</v>
      </c>
      <c r="H79" s="512" t="s">
        <v>3049</v>
      </c>
    </row>
    <row r="80" spans="1:10" x14ac:dyDescent="0.3">
      <c r="A80" t="s">
        <v>2585</v>
      </c>
      <c r="B80" t="s">
        <v>2973</v>
      </c>
      <c r="C80" t="s">
        <v>2798</v>
      </c>
      <c r="D80" t="s">
        <v>39</v>
      </c>
      <c r="E80" t="s">
        <v>3050</v>
      </c>
      <c r="F80" s="326">
        <v>25</v>
      </c>
      <c r="G80" s="326" t="s">
        <v>2669</v>
      </c>
      <c r="H80" s="315" t="s">
        <v>2933</v>
      </c>
    </row>
    <row r="81" spans="1:9" s="163" customFormat="1" x14ac:dyDescent="0.3">
      <c r="A81" s="163" t="s">
        <v>2585</v>
      </c>
      <c r="B81" s="163" t="s">
        <v>2973</v>
      </c>
      <c r="C81" s="163" t="s">
        <v>3044</v>
      </c>
      <c r="D81" s="163" t="s">
        <v>3047</v>
      </c>
      <c r="E81" s="163" t="s">
        <v>3051</v>
      </c>
      <c r="F81" s="514">
        <v>20000</v>
      </c>
      <c r="G81" s="514" t="s">
        <v>2866</v>
      </c>
      <c r="H81" s="515" t="s">
        <v>3046</v>
      </c>
      <c r="I81" s="516" t="s">
        <v>3052</v>
      </c>
    </row>
    <row r="82" spans="1:9" x14ac:dyDescent="0.3">
      <c r="A82" t="s">
        <v>2588</v>
      </c>
      <c r="B82" t="s">
        <v>3053</v>
      </c>
      <c r="C82" t="s">
        <v>3053</v>
      </c>
      <c r="D82" t="s">
        <v>39</v>
      </c>
      <c r="E82" t="s">
        <v>3054</v>
      </c>
      <c r="F82" s="333">
        <v>0.1</v>
      </c>
      <c r="G82" s="326" t="s">
        <v>3055</v>
      </c>
      <c r="H82" t="s">
        <v>3056</v>
      </c>
    </row>
    <row r="83" spans="1:9" x14ac:dyDescent="0.3">
      <c r="A83" t="s">
        <v>2588</v>
      </c>
      <c r="B83" t="s">
        <v>3057</v>
      </c>
      <c r="C83" t="s">
        <v>2876</v>
      </c>
      <c r="D83" t="s">
        <v>39</v>
      </c>
      <c r="E83" t="s">
        <v>3058</v>
      </c>
      <c r="F83" s="517" t="s">
        <v>3059</v>
      </c>
      <c r="G83" t="s">
        <v>3060</v>
      </c>
      <c r="H83" s="512" t="s">
        <v>2879</v>
      </c>
    </row>
    <row r="84" spans="1:9" x14ac:dyDescent="0.3">
      <c r="A84" t="s">
        <v>2588</v>
      </c>
      <c r="B84" t="s">
        <v>3057</v>
      </c>
      <c r="C84" t="s">
        <v>2876</v>
      </c>
      <c r="D84" t="s">
        <v>2880</v>
      </c>
      <c r="E84" t="s">
        <v>3061</v>
      </c>
      <c r="F84" s="518" t="s">
        <v>3062</v>
      </c>
      <c r="G84" t="s">
        <v>3063</v>
      </c>
      <c r="H84" s="512" t="s">
        <v>2879</v>
      </c>
    </row>
    <row r="85" spans="1:9" x14ac:dyDescent="0.3">
      <c r="A85" t="s">
        <v>2852</v>
      </c>
      <c r="B85" t="s">
        <v>3064</v>
      </c>
      <c r="C85" t="s">
        <v>3065</v>
      </c>
      <c r="D85" t="s">
        <v>39</v>
      </c>
      <c r="E85" t="s">
        <v>3066</v>
      </c>
      <c r="F85" s="331">
        <v>0.4</v>
      </c>
      <c r="G85" t="s">
        <v>3067</v>
      </c>
      <c r="H85" t="s">
        <v>3068</v>
      </c>
    </row>
    <row r="86" spans="1:9" x14ac:dyDescent="0.3">
      <c r="A86" t="s">
        <v>2852</v>
      </c>
      <c r="B86" t="s">
        <v>3064</v>
      </c>
      <c r="C86" t="s">
        <v>3069</v>
      </c>
      <c r="D86" t="s">
        <v>39</v>
      </c>
      <c r="E86" t="s">
        <v>3070</v>
      </c>
      <c r="F86" s="331">
        <v>1.1499999999999999</v>
      </c>
      <c r="G86" s="326" t="s">
        <v>3071</v>
      </c>
    </row>
    <row r="87" spans="1:9" x14ac:dyDescent="0.3">
      <c r="A87" t="s">
        <v>2852</v>
      </c>
      <c r="B87" t="s">
        <v>3064</v>
      </c>
      <c r="C87" t="s">
        <v>3072</v>
      </c>
      <c r="D87" t="s">
        <v>39</v>
      </c>
      <c r="E87" t="s">
        <v>3073</v>
      </c>
      <c r="F87" s="331">
        <v>0.75</v>
      </c>
      <c r="G87" s="326" t="s">
        <v>3071</v>
      </c>
      <c r="H87" s="326" t="s">
        <v>3074</v>
      </c>
    </row>
    <row r="88" spans="1:9" x14ac:dyDescent="0.3">
      <c r="A88" t="s">
        <v>2852</v>
      </c>
      <c r="B88" t="s">
        <v>3064</v>
      </c>
      <c r="C88" t="s">
        <v>3075</v>
      </c>
      <c r="D88" t="s">
        <v>39</v>
      </c>
      <c r="E88" t="s">
        <v>3076</v>
      </c>
      <c r="F88" s="331">
        <v>0.15</v>
      </c>
      <c r="G88" s="326" t="s">
        <v>3071</v>
      </c>
      <c r="H88" s="326" t="s">
        <v>3077</v>
      </c>
    </row>
    <row r="89" spans="1:9" x14ac:dyDescent="0.3">
      <c r="A89" t="s">
        <v>2585</v>
      </c>
      <c r="B89" t="s">
        <v>3078</v>
      </c>
      <c r="C89" t="s">
        <v>2870</v>
      </c>
      <c r="D89" t="s">
        <v>39</v>
      </c>
      <c r="E89" t="s">
        <v>3079</v>
      </c>
      <c r="F89" s="331">
        <v>0.9</v>
      </c>
      <c r="G89" s="326" t="s">
        <v>3080</v>
      </c>
      <c r="H89" s="330" t="s">
        <v>2872</v>
      </c>
      <c r="I89" s="326"/>
    </row>
    <row r="90" spans="1:9" x14ac:dyDescent="0.3">
      <c r="A90" t="s">
        <v>2588</v>
      </c>
      <c r="B90" t="s">
        <v>3081</v>
      </c>
      <c r="C90" t="s">
        <v>1228</v>
      </c>
      <c r="D90" t="s">
        <v>39</v>
      </c>
      <c r="E90" t="s">
        <v>3082</v>
      </c>
      <c r="F90" s="333">
        <v>0.11</v>
      </c>
      <c r="G90" s="513" t="s">
        <v>2888</v>
      </c>
      <c r="H90" s="513" t="s">
        <v>3083</v>
      </c>
    </row>
    <row r="91" spans="1:9" x14ac:dyDescent="0.3">
      <c r="A91" t="s">
        <v>2588</v>
      </c>
      <c r="B91" t="s">
        <v>3081</v>
      </c>
      <c r="C91" t="s">
        <v>1224</v>
      </c>
      <c r="D91" t="s">
        <v>39</v>
      </c>
      <c r="E91" t="s">
        <v>3084</v>
      </c>
      <c r="F91" s="333">
        <v>0.08</v>
      </c>
      <c r="G91" s="513" t="s">
        <v>2888</v>
      </c>
      <c r="H91" s="513" t="s">
        <v>3085</v>
      </c>
    </row>
    <row r="92" spans="1:9" x14ac:dyDescent="0.3">
      <c r="A92" t="s">
        <v>2588</v>
      </c>
      <c r="B92" t="s">
        <v>3081</v>
      </c>
      <c r="C92" t="s">
        <v>3086</v>
      </c>
      <c r="D92" t="s">
        <v>39</v>
      </c>
      <c r="E92" t="s">
        <v>3087</v>
      </c>
      <c r="F92" s="328">
        <v>0.05</v>
      </c>
      <c r="G92" t="s">
        <v>3088</v>
      </c>
      <c r="H92" t="s">
        <v>3089</v>
      </c>
    </row>
    <row r="93" spans="1:9" x14ac:dyDescent="0.3">
      <c r="A93" t="s">
        <v>2588</v>
      </c>
      <c r="B93" t="s">
        <v>3081</v>
      </c>
      <c r="C93" t="s">
        <v>2940</v>
      </c>
      <c r="D93" t="s">
        <v>39</v>
      </c>
      <c r="E93" t="s">
        <v>3090</v>
      </c>
      <c r="F93" s="333">
        <v>7.4999999999999997E-2</v>
      </c>
      <c r="G93" t="s">
        <v>2888</v>
      </c>
      <c r="H93" s="332" t="s">
        <v>2942</v>
      </c>
    </row>
    <row r="94" spans="1:9" x14ac:dyDescent="0.3">
      <c r="A94" t="s">
        <v>2588</v>
      </c>
      <c r="B94" t="s">
        <v>3081</v>
      </c>
      <c r="C94" t="s">
        <v>2943</v>
      </c>
      <c r="D94" t="s">
        <v>39</v>
      </c>
      <c r="E94" t="s">
        <v>3091</v>
      </c>
      <c r="F94" s="331">
        <v>0.06</v>
      </c>
      <c r="G94" s="326" t="s">
        <v>2900</v>
      </c>
      <c r="H94" s="332" t="s">
        <v>2945</v>
      </c>
      <c r="I94" s="326"/>
    </row>
    <row r="95" spans="1:9" x14ac:dyDescent="0.3">
      <c r="A95" t="s">
        <v>2588</v>
      </c>
      <c r="B95" t="s">
        <v>3081</v>
      </c>
      <c r="C95" t="s">
        <v>2946</v>
      </c>
      <c r="D95" t="s">
        <v>39</v>
      </c>
      <c r="E95" t="s">
        <v>3092</v>
      </c>
      <c r="F95" s="331">
        <v>0.06</v>
      </c>
      <c r="G95" s="326" t="s">
        <v>2900</v>
      </c>
      <c r="H95" s="332" t="s">
        <v>2945</v>
      </c>
      <c r="I95" s="326"/>
    </row>
    <row r="96" spans="1:9" x14ac:dyDescent="0.3">
      <c r="A96" t="s">
        <v>2588</v>
      </c>
      <c r="B96" t="s">
        <v>3081</v>
      </c>
      <c r="C96" t="s">
        <v>2989</v>
      </c>
      <c r="D96" t="s">
        <v>39</v>
      </c>
      <c r="E96" t="s">
        <v>3093</v>
      </c>
      <c r="F96" s="331">
        <v>0.01</v>
      </c>
      <c r="G96" t="s">
        <v>3094</v>
      </c>
      <c r="H96" t="s">
        <v>3095</v>
      </c>
    </row>
    <row r="97" spans="1:8" x14ac:dyDescent="0.3">
      <c r="A97" t="s">
        <v>2588</v>
      </c>
      <c r="B97" t="s">
        <v>3081</v>
      </c>
      <c r="C97" t="s">
        <v>3096</v>
      </c>
      <c r="D97" t="s">
        <v>39</v>
      </c>
      <c r="E97" t="s">
        <v>3097</v>
      </c>
      <c r="F97" s="328">
        <v>1.2999999999999999E-2</v>
      </c>
      <c r="G97" t="s">
        <v>3088</v>
      </c>
      <c r="H97" s="90" t="s">
        <v>3098</v>
      </c>
    </row>
    <row r="98" spans="1:8" x14ac:dyDescent="0.3">
      <c r="A98" t="s">
        <v>2588</v>
      </c>
      <c r="B98" t="s">
        <v>3081</v>
      </c>
      <c r="C98" t="s">
        <v>1300</v>
      </c>
      <c r="D98" t="s">
        <v>39</v>
      </c>
      <c r="E98" t="s">
        <v>3099</v>
      </c>
      <c r="F98" s="328">
        <v>0.06</v>
      </c>
      <c r="G98" t="s">
        <v>3088</v>
      </c>
      <c r="H98" s="90" t="s">
        <v>3098</v>
      </c>
    </row>
    <row r="99" spans="1:8" x14ac:dyDescent="0.3">
      <c r="A99" t="s">
        <v>2588</v>
      </c>
      <c r="B99" t="s">
        <v>3081</v>
      </c>
      <c r="C99" t="s">
        <v>354</v>
      </c>
      <c r="D99" t="s">
        <v>39</v>
      </c>
      <c r="E99" t="s">
        <v>3100</v>
      </c>
      <c r="F99" s="331">
        <v>0.03</v>
      </c>
      <c r="G99" t="s">
        <v>2888</v>
      </c>
      <c r="H99" t="s">
        <v>3101</v>
      </c>
    </row>
    <row r="100" spans="1:8" x14ac:dyDescent="0.3">
      <c r="A100" t="s">
        <v>2588</v>
      </c>
      <c r="B100" t="s">
        <v>3081</v>
      </c>
      <c r="C100" t="s">
        <v>1243</v>
      </c>
      <c r="D100" t="s">
        <v>39</v>
      </c>
      <c r="E100" t="s">
        <v>3102</v>
      </c>
      <c r="F100" s="331">
        <v>0.08</v>
      </c>
      <c r="G100" t="s">
        <v>2888</v>
      </c>
      <c r="H100" s="326" t="s">
        <v>3103</v>
      </c>
    </row>
    <row r="101" spans="1:8" x14ac:dyDescent="0.3">
      <c r="A101" t="s">
        <v>2588</v>
      </c>
      <c r="B101" t="s">
        <v>3081</v>
      </c>
      <c r="C101" t="s">
        <v>3017</v>
      </c>
      <c r="D101" t="s">
        <v>39</v>
      </c>
      <c r="E101" t="s">
        <v>3104</v>
      </c>
      <c r="F101" s="333">
        <v>0.05</v>
      </c>
      <c r="G101" s="513" t="s">
        <v>2888</v>
      </c>
      <c r="H101" s="513" t="s">
        <v>3083</v>
      </c>
    </row>
    <row r="102" spans="1:8" x14ac:dyDescent="0.3">
      <c r="A102" t="s">
        <v>2588</v>
      </c>
      <c r="B102" t="s">
        <v>3081</v>
      </c>
      <c r="C102" t="s">
        <v>3021</v>
      </c>
      <c r="D102" t="s">
        <v>39</v>
      </c>
      <c r="E102" t="s">
        <v>3105</v>
      </c>
      <c r="F102" s="333">
        <v>0.05</v>
      </c>
      <c r="G102" s="513" t="s">
        <v>2888</v>
      </c>
      <c r="H102" s="513" t="s">
        <v>3106</v>
      </c>
    </row>
    <row r="103" spans="1:8" x14ac:dyDescent="0.3">
      <c r="A103" t="s">
        <v>2588</v>
      </c>
      <c r="B103" t="s">
        <v>3081</v>
      </c>
      <c r="C103" t="s">
        <v>2840</v>
      </c>
      <c r="D103" t="s">
        <v>39</v>
      </c>
      <c r="E103" t="s">
        <v>3107</v>
      </c>
      <c r="F103" s="333">
        <v>3.5000000000000003E-2</v>
      </c>
      <c r="G103" s="326" t="s">
        <v>2888</v>
      </c>
      <c r="H103" s="326" t="s">
        <v>2950</v>
      </c>
    </row>
    <row r="104" spans="1:8" x14ac:dyDescent="0.3">
      <c r="A104" t="s">
        <v>2588</v>
      </c>
      <c r="B104" t="s">
        <v>3081</v>
      </c>
      <c r="C104" t="s">
        <v>2842</v>
      </c>
      <c r="D104" t="s">
        <v>39</v>
      </c>
      <c r="E104" t="s">
        <v>3108</v>
      </c>
      <c r="F104" s="333">
        <v>0.05</v>
      </c>
      <c r="G104" s="326" t="s">
        <v>2888</v>
      </c>
      <c r="H104" s="326" t="s">
        <v>2952</v>
      </c>
    </row>
    <row r="105" spans="1:8" x14ac:dyDescent="0.3">
      <c r="A105" t="s">
        <v>2588</v>
      </c>
      <c r="B105" t="s">
        <v>3081</v>
      </c>
      <c r="C105" t="s">
        <v>2844</v>
      </c>
      <c r="D105" t="s">
        <v>39</v>
      </c>
      <c r="E105" t="s">
        <v>3109</v>
      </c>
      <c r="F105" s="331">
        <v>0.09</v>
      </c>
      <c r="G105" t="s">
        <v>2838</v>
      </c>
      <c r="H105" t="s">
        <v>2954</v>
      </c>
    </row>
    <row r="106" spans="1:8" x14ac:dyDescent="0.3">
      <c r="A106" t="s">
        <v>2588</v>
      </c>
      <c r="B106" t="s">
        <v>3081</v>
      </c>
      <c r="C106" t="s">
        <v>2955</v>
      </c>
      <c r="D106" t="s">
        <v>39</v>
      </c>
      <c r="E106" t="s">
        <v>3110</v>
      </c>
      <c r="F106" s="333">
        <v>4.4999999999999998E-2</v>
      </c>
      <c r="G106" s="334" t="s">
        <v>3111</v>
      </c>
      <c r="H106" t="s">
        <v>2923</v>
      </c>
    </row>
    <row r="107" spans="1:8" x14ac:dyDescent="0.3">
      <c r="A107" t="s">
        <v>2588</v>
      </c>
      <c r="B107" t="s">
        <v>3081</v>
      </c>
      <c r="C107" t="s">
        <v>2847</v>
      </c>
      <c r="D107" t="s">
        <v>39</v>
      </c>
      <c r="E107" t="s">
        <v>3112</v>
      </c>
      <c r="F107" s="331">
        <v>0.03</v>
      </c>
      <c r="G107" t="s">
        <v>2838</v>
      </c>
      <c r="H107" t="s">
        <v>3113</v>
      </c>
    </row>
    <row r="108" spans="1:8" x14ac:dyDescent="0.3">
      <c r="A108" t="s">
        <v>2588</v>
      </c>
      <c r="B108" t="s">
        <v>3081</v>
      </c>
      <c r="C108" t="s">
        <v>2798</v>
      </c>
      <c r="D108" t="s">
        <v>39</v>
      </c>
      <c r="E108" t="s">
        <v>3114</v>
      </c>
      <c r="F108" s="239">
        <v>1000</v>
      </c>
      <c r="G108" t="s">
        <v>3115</v>
      </c>
      <c r="H108" t="s">
        <v>2933</v>
      </c>
    </row>
    <row r="109" spans="1:8" x14ac:dyDescent="0.3">
      <c r="A109" t="s">
        <v>2585</v>
      </c>
      <c r="B109" t="s">
        <v>3116</v>
      </c>
      <c r="C109" t="s">
        <v>2989</v>
      </c>
      <c r="D109" t="s">
        <v>39</v>
      </c>
      <c r="E109" t="s">
        <v>3117</v>
      </c>
      <c r="F109" s="331">
        <v>0</v>
      </c>
      <c r="G109" t="s">
        <v>2888</v>
      </c>
      <c r="H109" t="s">
        <v>3118</v>
      </c>
    </row>
    <row r="110" spans="1:8" x14ac:dyDescent="0.3">
      <c r="A110" t="s">
        <v>2585</v>
      </c>
      <c r="B110" t="s">
        <v>3116</v>
      </c>
      <c r="C110" t="s">
        <v>354</v>
      </c>
      <c r="D110" t="s">
        <v>39</v>
      </c>
      <c r="E110" t="s">
        <v>3119</v>
      </c>
      <c r="F110" s="331">
        <v>0.2</v>
      </c>
      <c r="G110" t="s">
        <v>2888</v>
      </c>
      <c r="H110" t="s">
        <v>3120</v>
      </c>
    </row>
    <row r="111" spans="1:8" x14ac:dyDescent="0.3">
      <c r="A111" t="s">
        <v>2585</v>
      </c>
      <c r="B111" t="s">
        <v>3116</v>
      </c>
      <c r="C111" t="s">
        <v>2840</v>
      </c>
      <c r="D111" t="s">
        <v>39</v>
      </c>
      <c r="E111" t="s">
        <v>3121</v>
      </c>
      <c r="F111" s="331">
        <v>0.03</v>
      </c>
      <c r="G111" s="326" t="s">
        <v>2888</v>
      </c>
      <c r="H111" s="326" t="s">
        <v>2950</v>
      </c>
    </row>
    <row r="112" spans="1:8" x14ac:dyDescent="0.3">
      <c r="A112" t="s">
        <v>2585</v>
      </c>
      <c r="B112" t="s">
        <v>3116</v>
      </c>
      <c r="C112" t="s">
        <v>2842</v>
      </c>
      <c r="D112" t="s">
        <v>39</v>
      </c>
      <c r="E112" t="s">
        <v>3122</v>
      </c>
      <c r="F112" s="331">
        <v>0.18</v>
      </c>
      <c r="G112" s="326" t="s">
        <v>2888</v>
      </c>
      <c r="H112" s="326" t="s">
        <v>2952</v>
      </c>
    </row>
    <row r="113" spans="1:9" x14ac:dyDescent="0.3">
      <c r="A113" t="s">
        <v>2585</v>
      </c>
      <c r="B113" t="s">
        <v>3116</v>
      </c>
      <c r="C113" t="s">
        <v>2844</v>
      </c>
      <c r="D113" t="s">
        <v>39</v>
      </c>
      <c r="E113" t="s">
        <v>3123</v>
      </c>
      <c r="F113" s="331">
        <v>0.1</v>
      </c>
      <c r="G113" t="s">
        <v>2838</v>
      </c>
      <c r="H113" t="s">
        <v>2954</v>
      </c>
    </row>
    <row r="114" spans="1:9" x14ac:dyDescent="0.3">
      <c r="A114" t="s">
        <v>2585</v>
      </c>
      <c r="B114" t="s">
        <v>3116</v>
      </c>
      <c r="C114" t="s">
        <v>2955</v>
      </c>
      <c r="D114" t="s">
        <v>39</v>
      </c>
      <c r="E114" t="s">
        <v>3124</v>
      </c>
      <c r="F114" s="331">
        <v>0.05</v>
      </c>
      <c r="G114" s="334" t="s">
        <v>2922</v>
      </c>
      <c r="H114" t="s">
        <v>2923</v>
      </c>
    </row>
    <row r="115" spans="1:9" x14ac:dyDescent="0.3">
      <c r="A115" t="s">
        <v>2585</v>
      </c>
      <c r="B115" t="s">
        <v>3116</v>
      </c>
      <c r="C115" t="s">
        <v>2847</v>
      </c>
      <c r="D115" t="s">
        <v>39</v>
      </c>
      <c r="E115" t="s">
        <v>3125</v>
      </c>
      <c r="F115" s="331">
        <v>0.03</v>
      </c>
      <c r="G115" t="s">
        <v>2838</v>
      </c>
    </row>
    <row r="116" spans="1:9" x14ac:dyDescent="0.3">
      <c r="A116" t="s">
        <v>2585</v>
      </c>
      <c r="B116" t="s">
        <v>3116</v>
      </c>
      <c r="C116" t="s">
        <v>2928</v>
      </c>
      <c r="D116" t="s">
        <v>39</v>
      </c>
      <c r="E116" t="s">
        <v>3126</v>
      </c>
      <c r="F116" s="331">
        <v>0</v>
      </c>
      <c r="G116" t="s">
        <v>2838</v>
      </c>
      <c r="H116" t="s">
        <v>2965</v>
      </c>
    </row>
    <row r="117" spans="1:9" x14ac:dyDescent="0.3">
      <c r="A117" t="s">
        <v>2585</v>
      </c>
      <c r="B117" t="s">
        <v>3116</v>
      </c>
      <c r="C117" t="s">
        <v>2798</v>
      </c>
      <c r="D117" t="s">
        <v>39</v>
      </c>
      <c r="E117" t="s">
        <v>3127</v>
      </c>
      <c r="F117" s="331">
        <v>0.2</v>
      </c>
      <c r="G117" t="s">
        <v>2932</v>
      </c>
      <c r="H117" t="s">
        <v>2933</v>
      </c>
    </row>
    <row r="118" spans="1:9" x14ac:dyDescent="0.3">
      <c r="A118" t="s">
        <v>2588</v>
      </c>
      <c r="B118" t="s">
        <v>3128</v>
      </c>
      <c r="C118" t="s">
        <v>1300</v>
      </c>
      <c r="D118" t="s">
        <v>39</v>
      </c>
      <c r="E118" t="s">
        <v>3129</v>
      </c>
      <c r="F118" s="328">
        <v>0.03</v>
      </c>
      <c r="G118" t="s">
        <v>3088</v>
      </c>
      <c r="H118" s="90" t="s">
        <v>3098</v>
      </c>
    </row>
    <row r="119" spans="1:9" x14ac:dyDescent="0.3">
      <c r="A119" t="s">
        <v>2588</v>
      </c>
      <c r="B119" t="s">
        <v>3128</v>
      </c>
      <c r="C119" t="s">
        <v>1300</v>
      </c>
      <c r="D119" t="s">
        <v>2880</v>
      </c>
      <c r="E119" t="s">
        <v>3130</v>
      </c>
      <c r="F119" s="328">
        <v>0.04</v>
      </c>
      <c r="G119" t="s">
        <v>3088</v>
      </c>
      <c r="H119" s="90" t="s">
        <v>3098</v>
      </c>
    </row>
    <row r="120" spans="1:9" x14ac:dyDescent="0.3">
      <c r="A120" t="s">
        <v>2588</v>
      </c>
      <c r="B120" t="s">
        <v>3128</v>
      </c>
      <c r="C120" t="s">
        <v>1300</v>
      </c>
      <c r="D120" t="s">
        <v>2883</v>
      </c>
      <c r="E120" t="s">
        <v>3131</v>
      </c>
      <c r="F120" s="328">
        <v>0.03</v>
      </c>
      <c r="G120" t="s">
        <v>3088</v>
      </c>
      <c r="H120" s="90" t="s">
        <v>3098</v>
      </c>
    </row>
    <row r="121" spans="1:9" x14ac:dyDescent="0.3">
      <c r="A121" t="s">
        <v>2588</v>
      </c>
      <c r="B121" t="s">
        <v>3132</v>
      </c>
      <c r="C121" t="s">
        <v>3133</v>
      </c>
      <c r="D121" t="s">
        <v>39</v>
      </c>
      <c r="E121" t="s">
        <v>3134</v>
      </c>
      <c r="F121" s="519">
        <v>8.0000000000000002E-3</v>
      </c>
      <c r="G121" t="s">
        <v>2888</v>
      </c>
      <c r="H121" t="s">
        <v>3135</v>
      </c>
      <c r="I121" t="s">
        <v>3136</v>
      </c>
    </row>
    <row r="122" spans="1:9" x14ac:dyDescent="0.3">
      <c r="A122" t="s">
        <v>2588</v>
      </c>
      <c r="B122" t="s">
        <v>3132</v>
      </c>
      <c r="C122" t="s">
        <v>3133</v>
      </c>
      <c r="D122" t="s">
        <v>2852</v>
      </c>
      <c r="E122" t="s">
        <v>3137</v>
      </c>
      <c r="F122" t="s">
        <v>3138</v>
      </c>
      <c r="G122" t="s">
        <v>3138</v>
      </c>
      <c r="H122" t="s">
        <v>3139</v>
      </c>
      <c r="I122" t="s">
        <v>3140</v>
      </c>
    </row>
    <row r="123" spans="1:9" x14ac:dyDescent="0.3">
      <c r="A123" t="s">
        <v>2588</v>
      </c>
      <c r="B123" t="s">
        <v>3141</v>
      </c>
      <c r="C123" t="s">
        <v>2992</v>
      </c>
      <c r="D123" t="s">
        <v>3142</v>
      </c>
      <c r="E123" t="s">
        <v>3143</v>
      </c>
      <c r="F123" s="519">
        <v>5.0000000000000001E-3</v>
      </c>
      <c r="G123" t="s">
        <v>2888</v>
      </c>
      <c r="H123" t="s">
        <v>3144</v>
      </c>
    </row>
    <row r="124" spans="1:9" x14ac:dyDescent="0.3">
      <c r="A124" t="s">
        <v>2585</v>
      </c>
      <c r="B124" t="s">
        <v>3145</v>
      </c>
      <c r="D124" t="s">
        <v>3146</v>
      </c>
      <c r="E124" t="s">
        <v>3147</v>
      </c>
      <c r="F124" s="331">
        <v>0.28999999999999998</v>
      </c>
      <c r="G124" t="s">
        <v>2838</v>
      </c>
      <c r="H124" t="s">
        <v>3113</v>
      </c>
      <c r="I124" t="s">
        <v>3148</v>
      </c>
    </row>
    <row r="125" spans="1:9" x14ac:dyDescent="0.3">
      <c r="A125" t="s">
        <v>2585</v>
      </c>
      <c r="B125" t="s">
        <v>3149</v>
      </c>
      <c r="C125" t="s">
        <v>3150</v>
      </c>
      <c r="D125" t="s">
        <v>39</v>
      </c>
      <c r="E125" t="s">
        <v>3151</v>
      </c>
      <c r="F125" s="331">
        <v>0.38</v>
      </c>
      <c r="G125" t="s">
        <v>2838</v>
      </c>
      <c r="H125" t="s">
        <v>2896</v>
      </c>
    </row>
  </sheetData>
  <autoFilter ref="A1:R125" xr:uid="{F577C13E-E3CE-4C07-9966-874CB98ED33C}"/>
  <hyperlinks>
    <hyperlink ref="H14" r:id="rId1" xr:uid="{803E9194-7584-4767-B552-7866976345C8}"/>
    <hyperlink ref="H79" r:id="rId2" display="Lazarus Machdata" xr:uid="{BDC7D7B8-34DE-41EE-A3DF-5967FCC9A1C5}"/>
  </hyperlinks>
  <pageMargins left="0.7" right="0.7" top="0.75" bottom="0.75" header="0.3" footer="0.3"/>
  <pageSetup orientation="portrait"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153DA-2296-404F-A9C3-CD1E18895DF8}">
  <sheetPr codeName="Sheet8">
    <tabColor rgb="FF7030A0"/>
  </sheetPr>
  <dimension ref="A1:U155"/>
  <sheetViews>
    <sheetView workbookViewId="0">
      <selection activeCell="G30" sqref="G30"/>
    </sheetView>
  </sheetViews>
  <sheetFormatPr defaultColWidth="8.5546875" defaultRowHeight="14.4" x14ac:dyDescent="0.3"/>
  <cols>
    <col min="1" max="1" width="50.44140625" customWidth="1"/>
    <col min="2" max="2" width="22.5546875" customWidth="1"/>
    <col min="3" max="3" width="42.44140625" customWidth="1"/>
    <col min="4" max="4" width="14.33203125" bestFit="1" customWidth="1"/>
    <col min="5" max="5" width="15.33203125" customWidth="1"/>
    <col min="6" max="6" width="9.6640625" customWidth="1"/>
    <col min="7" max="7" width="31.6640625" customWidth="1"/>
    <col min="8" max="10" width="12.109375" customWidth="1"/>
    <col min="11" max="12" width="10.6640625" customWidth="1"/>
    <col min="13" max="13" width="11.6640625" customWidth="1"/>
    <col min="14" max="14" width="35.33203125" customWidth="1"/>
    <col min="15" max="15" width="11.44140625" bestFit="1" customWidth="1"/>
    <col min="18" max="18" width="22.5546875" bestFit="1" customWidth="1"/>
  </cols>
  <sheetData>
    <row r="1" spans="1:21" s="40" customFormat="1" x14ac:dyDescent="0.3">
      <c r="A1" s="43" t="s">
        <v>2333</v>
      </c>
      <c r="B1" s="44" t="s">
        <v>3152</v>
      </c>
      <c r="C1" s="45" t="s">
        <v>3153</v>
      </c>
      <c r="D1" s="41" t="s">
        <v>3154</v>
      </c>
      <c r="E1" s="41"/>
      <c r="F1" s="41"/>
      <c r="G1" s="41"/>
      <c r="H1" s="41"/>
      <c r="I1" s="41"/>
      <c r="J1" s="41"/>
      <c r="K1" s="41"/>
      <c r="L1" s="41"/>
      <c r="M1" s="41"/>
      <c r="N1"/>
      <c r="O1"/>
      <c r="P1"/>
      <c r="Q1"/>
      <c r="R1"/>
      <c r="S1"/>
      <c r="T1"/>
      <c r="U1"/>
    </row>
    <row r="2" spans="1:21" x14ac:dyDescent="0.3">
      <c r="A2" s="82" t="s">
        <v>2663</v>
      </c>
      <c r="B2" s="82" t="s">
        <v>2832</v>
      </c>
      <c r="C2" s="82" t="s">
        <v>2665</v>
      </c>
      <c r="D2" s="82" t="s">
        <v>478</v>
      </c>
      <c r="E2" s="82" t="s">
        <v>38</v>
      </c>
      <c r="F2" s="82" t="s">
        <v>2834</v>
      </c>
      <c r="G2" s="82" t="s">
        <v>3155</v>
      </c>
      <c r="H2" s="82" t="s">
        <v>3156</v>
      </c>
      <c r="I2" s="82" t="s">
        <v>3157</v>
      </c>
      <c r="J2" s="82" t="s">
        <v>3158</v>
      </c>
      <c r="K2" s="82" t="s">
        <v>3159</v>
      </c>
      <c r="L2" s="82" t="s">
        <v>3160</v>
      </c>
      <c r="M2" s="82" t="s">
        <v>3155</v>
      </c>
    </row>
    <row r="3" spans="1:21" x14ac:dyDescent="0.3">
      <c r="A3" t="s">
        <v>1221</v>
      </c>
      <c r="B3" t="s">
        <v>39</v>
      </c>
      <c r="C3" t="s">
        <v>3161</v>
      </c>
      <c r="D3" s="2086">
        <f t="shared" ref="D3:D34" si="0">INDEX(UDV,MATCH(G3,UDN,0))</f>
        <v>131500</v>
      </c>
      <c r="E3" s="1596" t="s">
        <v>2765</v>
      </c>
      <c r="F3" t="s">
        <v>3162</v>
      </c>
      <c r="G3" t="s">
        <v>3163</v>
      </c>
      <c r="H3" t="s">
        <v>3164</v>
      </c>
      <c r="I3" t="s">
        <v>3165</v>
      </c>
      <c r="J3" t="str">
        <f>_xlfn.CONCAT("UDV.",K3,".",L3)</f>
        <v>UDV.econ_agi.diesel_trailer</v>
      </c>
      <c r="K3" t="s">
        <v>1218</v>
      </c>
      <c r="L3" t="s">
        <v>1219</v>
      </c>
      <c r="M3" t="s">
        <v>3163</v>
      </c>
      <c r="N3" t="str">
        <f>_xlfn.CONCAT("UDV.",G3)</f>
        <v>UDV.UDV.econ_agi.diesel_trailer</v>
      </c>
    </row>
    <row r="4" spans="1:21" x14ac:dyDescent="0.3">
      <c r="A4" t="s">
        <v>1226</v>
      </c>
      <c r="B4" t="s">
        <v>39</v>
      </c>
      <c r="C4" t="s">
        <v>3166</v>
      </c>
      <c r="D4" s="2086">
        <f t="shared" si="0"/>
        <v>43500</v>
      </c>
      <c r="E4" s="1596" t="s">
        <v>2765</v>
      </c>
      <c r="G4" t="s">
        <v>3167</v>
      </c>
      <c r="H4" t="s">
        <v>3164</v>
      </c>
      <c r="I4" s="199" t="s">
        <v>3168</v>
      </c>
      <c r="J4" t="str">
        <f t="shared" ref="J4:J67" si="1">_xlfn.CONCAT("UDV.",K4,".",L4)</f>
        <v>UDV.econ_agi.pto</v>
      </c>
      <c r="K4" t="s">
        <v>1218</v>
      </c>
      <c r="L4" t="s">
        <v>1225</v>
      </c>
      <c r="M4" t="s">
        <v>3169</v>
      </c>
      <c r="N4" t="str">
        <f t="shared" ref="N4:N67" si="2">_xlfn.CONCAT("UDV.",G4)</f>
        <v>UDV.UDV.econ_agi.pto</v>
      </c>
    </row>
    <row r="5" spans="1:21" x14ac:dyDescent="0.3">
      <c r="A5" t="s">
        <v>3170</v>
      </c>
      <c r="B5" t="s">
        <v>39</v>
      </c>
      <c r="C5" t="s">
        <v>3171</v>
      </c>
      <c r="D5" s="2086">
        <f t="shared" si="0"/>
        <v>24300</v>
      </c>
      <c r="E5" s="1596" t="s">
        <v>2765</v>
      </c>
      <c r="F5" t="s">
        <v>3162</v>
      </c>
      <c r="G5" t="s">
        <v>3172</v>
      </c>
      <c r="H5" t="s">
        <v>3164</v>
      </c>
      <c r="I5" s="199" t="s">
        <v>3168</v>
      </c>
      <c r="J5" t="str">
        <f t="shared" si="1"/>
        <v>UDV.econ_agi.pump_motor</v>
      </c>
      <c r="K5" s="158" t="s">
        <v>1218</v>
      </c>
      <c r="L5" t="s">
        <v>1227</v>
      </c>
      <c r="M5" t="s">
        <v>3173</v>
      </c>
      <c r="N5" t="str">
        <f t="shared" si="2"/>
        <v>UDV.UDV.econ_agi.pump_motor</v>
      </c>
    </row>
    <row r="6" spans="1:21" x14ac:dyDescent="0.3">
      <c r="A6" t="s">
        <v>1224</v>
      </c>
      <c r="B6" t="s">
        <v>39</v>
      </c>
      <c r="C6" t="s">
        <v>3174</v>
      </c>
      <c r="D6" s="2086">
        <f t="shared" si="0"/>
        <v>12100</v>
      </c>
      <c r="E6" s="1596" t="s">
        <v>2765</v>
      </c>
      <c r="G6" t="s">
        <v>3175</v>
      </c>
      <c r="H6" t="s">
        <v>3164</v>
      </c>
      <c r="I6" s="199" t="s">
        <v>3176</v>
      </c>
      <c r="J6" t="str">
        <f t="shared" si="1"/>
        <v>UDV.econ_agi.electric</v>
      </c>
      <c r="K6" s="158" t="s">
        <v>1218</v>
      </c>
      <c r="L6" t="s">
        <v>1223</v>
      </c>
      <c r="M6" t="s">
        <v>3177</v>
      </c>
      <c r="N6" t="str">
        <f t="shared" si="2"/>
        <v>UDV.UDV.econ_agi.electric</v>
      </c>
    </row>
    <row r="7" spans="1:21" x14ac:dyDescent="0.3">
      <c r="A7" t="s">
        <v>2987</v>
      </c>
      <c r="B7" t="s">
        <v>39</v>
      </c>
      <c r="C7" t="s">
        <v>3178</v>
      </c>
      <c r="D7" s="2086">
        <f t="shared" si="0"/>
        <v>1400</v>
      </c>
      <c r="E7" s="1596" t="s">
        <v>2765</v>
      </c>
      <c r="F7" t="s">
        <v>3162</v>
      </c>
      <c r="G7" t="s">
        <v>3179</v>
      </c>
      <c r="H7" t="s">
        <v>3180</v>
      </c>
      <c r="I7" s="199" t="s">
        <v>3181</v>
      </c>
      <c r="J7" t="str">
        <f t="shared" si="1"/>
        <v>UDV.econ_attachments.scraper</v>
      </c>
      <c r="K7" t="s">
        <v>1229</v>
      </c>
      <c r="L7" t="s">
        <v>1230</v>
      </c>
      <c r="M7" t="s">
        <v>3182</v>
      </c>
      <c r="N7" t="str">
        <f t="shared" si="2"/>
        <v>UDV.UDV.econ_attachments.scraper</v>
      </c>
    </row>
    <row r="8" spans="1:21" x14ac:dyDescent="0.3">
      <c r="A8" t="s">
        <v>1236</v>
      </c>
      <c r="B8" t="s">
        <v>39</v>
      </c>
      <c r="C8" t="s">
        <v>3183</v>
      </c>
      <c r="D8" s="2087">
        <f t="shared" si="0"/>
        <v>11.3</v>
      </c>
      <c r="E8" s="1597" t="s">
        <v>3184</v>
      </c>
      <c r="F8" t="s">
        <v>3162</v>
      </c>
      <c r="G8" t="s">
        <v>3185</v>
      </c>
      <c r="H8" t="s">
        <v>3180</v>
      </c>
      <c r="I8" s="199" t="s">
        <v>3181</v>
      </c>
      <c r="J8" t="str">
        <f t="shared" si="1"/>
        <v>UDV.econ_auto_scrape.chain</v>
      </c>
      <c r="K8" t="s">
        <v>1233</v>
      </c>
      <c r="L8" t="s">
        <v>1234</v>
      </c>
      <c r="M8" t="s">
        <v>3186</v>
      </c>
      <c r="N8" t="str">
        <f t="shared" si="2"/>
        <v>UDV.UDV.econ_auto_scrape.chain</v>
      </c>
    </row>
    <row r="9" spans="1:21" x14ac:dyDescent="0.3">
      <c r="A9" t="s">
        <v>1239</v>
      </c>
      <c r="B9" t="s">
        <v>39</v>
      </c>
      <c r="C9" t="s">
        <v>3187</v>
      </c>
      <c r="D9" s="154">
        <f t="shared" si="0"/>
        <v>0.39</v>
      </c>
      <c r="E9" s="1598" t="s">
        <v>3188</v>
      </c>
      <c r="G9" t="s">
        <v>3189</v>
      </c>
      <c r="H9" t="s">
        <v>3180</v>
      </c>
      <c r="I9" s="199" t="s">
        <v>3181</v>
      </c>
      <c r="J9" t="str">
        <f t="shared" si="1"/>
        <v>UDV.econ_auto_scrape.install</v>
      </c>
      <c r="K9" t="s">
        <v>1233</v>
      </c>
      <c r="L9" t="s">
        <v>1238</v>
      </c>
      <c r="M9" t="s">
        <v>3190</v>
      </c>
      <c r="N9" t="str">
        <f t="shared" si="2"/>
        <v>UDV.UDV.econ_auto_scrape.install</v>
      </c>
    </row>
    <row r="10" spans="1:21" x14ac:dyDescent="0.3">
      <c r="A10" t="s">
        <v>1469</v>
      </c>
      <c r="B10" t="s">
        <v>39</v>
      </c>
      <c r="C10" t="s">
        <v>3191</v>
      </c>
      <c r="D10" s="2087">
        <f t="shared" si="0"/>
        <v>12400</v>
      </c>
      <c r="E10" s="1598" t="s">
        <v>3192</v>
      </c>
      <c r="F10" t="s">
        <v>3162</v>
      </c>
      <c r="G10" t="s">
        <v>3193</v>
      </c>
      <c r="H10" t="s">
        <v>3180</v>
      </c>
      <c r="I10" s="199" t="s">
        <v>3181</v>
      </c>
      <c r="J10" t="str">
        <f t="shared" si="1"/>
        <v>UDV.econ_power.drive_unit</v>
      </c>
      <c r="K10" t="s">
        <v>1467</v>
      </c>
      <c r="L10" t="s">
        <v>1468</v>
      </c>
      <c r="M10" t="s">
        <v>3194</v>
      </c>
      <c r="N10" t="str">
        <f t="shared" si="2"/>
        <v>UDV.UDV.econ_power.drive_unit</v>
      </c>
    </row>
    <row r="11" spans="1:21" x14ac:dyDescent="0.3">
      <c r="A11" t="s">
        <v>1564</v>
      </c>
      <c r="B11" t="s">
        <v>39</v>
      </c>
      <c r="C11" t="s">
        <v>3195</v>
      </c>
      <c r="D11" s="2087">
        <f t="shared" si="0"/>
        <v>51</v>
      </c>
      <c r="E11" s="1597" t="s">
        <v>3184</v>
      </c>
      <c r="F11" t="s">
        <v>3162</v>
      </c>
      <c r="G11" t="s">
        <v>3196</v>
      </c>
      <c r="H11" t="s">
        <v>3180</v>
      </c>
      <c r="I11" s="199" t="s">
        <v>3181</v>
      </c>
      <c r="J11" t="str">
        <f t="shared" si="1"/>
        <v>UDV.econ_transfer_channel.chain</v>
      </c>
      <c r="K11" t="s">
        <v>1562</v>
      </c>
      <c r="L11" t="s">
        <v>1234</v>
      </c>
      <c r="M11" t="s">
        <v>3197</v>
      </c>
      <c r="N11" t="str">
        <f t="shared" si="2"/>
        <v>UDV.UDV.econ_transfer_channel.chain</v>
      </c>
    </row>
    <row r="12" spans="1:21" x14ac:dyDescent="0.3">
      <c r="A12" t="s">
        <v>1565</v>
      </c>
      <c r="B12" t="s">
        <v>39</v>
      </c>
      <c r="C12" t="s">
        <v>3198</v>
      </c>
      <c r="D12" s="154">
        <f t="shared" si="0"/>
        <v>0.74</v>
      </c>
      <c r="E12" s="1598" t="s">
        <v>3199</v>
      </c>
      <c r="G12" t="s">
        <v>3200</v>
      </c>
      <c r="H12" t="s">
        <v>3180</v>
      </c>
      <c r="I12" s="199" t="s">
        <v>3181</v>
      </c>
      <c r="J12" t="str">
        <f t="shared" si="1"/>
        <v>UDV.econ_transfer_channel.install</v>
      </c>
      <c r="K12" t="s">
        <v>1562</v>
      </c>
      <c r="L12" t="s">
        <v>1238</v>
      </c>
      <c r="M12" t="s">
        <v>3201</v>
      </c>
      <c r="N12" t="str">
        <f t="shared" si="2"/>
        <v>UDV.UDV.econ_transfer_channel.install</v>
      </c>
    </row>
    <row r="13" spans="1:21" x14ac:dyDescent="0.3">
      <c r="A13" t="s">
        <v>2960</v>
      </c>
      <c r="B13" t="s">
        <v>3202</v>
      </c>
      <c r="C13" t="s">
        <v>3203</v>
      </c>
      <c r="D13" s="2087">
        <f t="shared" si="0"/>
        <v>111300</v>
      </c>
      <c r="E13" s="1596" t="s">
        <v>2765</v>
      </c>
      <c r="G13" t="s">
        <v>360</v>
      </c>
      <c r="H13" t="s">
        <v>3204</v>
      </c>
      <c r="I13" t="s">
        <v>3205</v>
      </c>
      <c r="J13" t="str">
        <f t="shared" si="1"/>
        <v>UDV.econ_tractor.85hp</v>
      </c>
      <c r="K13" t="s">
        <v>1546</v>
      </c>
      <c r="L13" t="s">
        <v>1558</v>
      </c>
      <c r="M13" t="s">
        <v>373</v>
      </c>
      <c r="N13" t="str">
        <f t="shared" si="2"/>
        <v>UDV.UDV.econ_tractor.85hp</v>
      </c>
    </row>
    <row r="14" spans="1:21" x14ac:dyDescent="0.3">
      <c r="A14" t="s">
        <v>2960</v>
      </c>
      <c r="B14" t="s">
        <v>3206</v>
      </c>
      <c r="C14" t="s">
        <v>3207</v>
      </c>
      <c r="D14" s="2087">
        <f t="shared" si="0"/>
        <v>136600</v>
      </c>
      <c r="E14" s="1596" t="s">
        <v>2765</v>
      </c>
      <c r="G14" t="s">
        <v>362</v>
      </c>
      <c r="H14" t="s">
        <v>3204</v>
      </c>
      <c r="I14" t="s">
        <v>3205</v>
      </c>
      <c r="J14" t="str">
        <f t="shared" si="1"/>
        <v>UDV.econ_tractor.94hp</v>
      </c>
      <c r="K14" t="s">
        <v>1546</v>
      </c>
      <c r="L14" t="s">
        <v>1560</v>
      </c>
      <c r="M14" t="s">
        <v>376</v>
      </c>
      <c r="N14" t="str">
        <f t="shared" si="2"/>
        <v>UDV.UDV.econ_tractor.94hp</v>
      </c>
    </row>
    <row r="15" spans="1:21" x14ac:dyDescent="0.3">
      <c r="A15" t="s">
        <v>2960</v>
      </c>
      <c r="B15" t="s">
        <v>3208</v>
      </c>
      <c r="C15" t="s">
        <v>3209</v>
      </c>
      <c r="D15" s="2087">
        <f t="shared" si="0"/>
        <v>283300</v>
      </c>
      <c r="E15" s="1596" t="s">
        <v>2765</v>
      </c>
      <c r="G15" t="s">
        <v>364</v>
      </c>
      <c r="H15" t="s">
        <v>3204</v>
      </c>
      <c r="I15" t="s">
        <v>3205</v>
      </c>
      <c r="J15" t="str">
        <f t="shared" si="1"/>
        <v>UDV.econ_tractor.160hp</v>
      </c>
      <c r="K15" t="s">
        <v>1546</v>
      </c>
      <c r="L15" t="s">
        <v>1547</v>
      </c>
      <c r="M15" t="s">
        <v>379</v>
      </c>
      <c r="N15" t="str">
        <f t="shared" si="2"/>
        <v>UDV.UDV.econ_tractor.160hp</v>
      </c>
    </row>
    <row r="16" spans="1:21" x14ac:dyDescent="0.3">
      <c r="A16" t="s">
        <v>2960</v>
      </c>
      <c r="B16" t="s">
        <v>3210</v>
      </c>
      <c r="C16" t="s">
        <v>3211</v>
      </c>
      <c r="D16" s="2087">
        <f t="shared" si="0"/>
        <v>313600</v>
      </c>
      <c r="E16" s="1596" t="s">
        <v>2765</v>
      </c>
      <c r="G16" t="s">
        <v>365</v>
      </c>
      <c r="H16" t="s">
        <v>3204</v>
      </c>
      <c r="I16" t="s">
        <v>3205</v>
      </c>
      <c r="J16" t="str">
        <f t="shared" si="1"/>
        <v>UDV.econ_tractor.180hp</v>
      </c>
      <c r="K16" t="s">
        <v>1546</v>
      </c>
      <c r="L16" t="s">
        <v>1550</v>
      </c>
      <c r="M16" t="s">
        <v>382</v>
      </c>
      <c r="N16" t="str">
        <f t="shared" si="2"/>
        <v>UDV.UDV.econ_tractor.180hp</v>
      </c>
    </row>
    <row r="17" spans="1:14" x14ac:dyDescent="0.3">
      <c r="A17" t="s">
        <v>2960</v>
      </c>
      <c r="B17" t="s">
        <v>3212</v>
      </c>
      <c r="C17" t="s">
        <v>3213</v>
      </c>
      <c r="D17" s="2087">
        <f t="shared" si="0"/>
        <v>404700</v>
      </c>
      <c r="E17" s="1596" t="s">
        <v>2765</v>
      </c>
      <c r="G17" t="s">
        <v>367</v>
      </c>
      <c r="H17" t="s">
        <v>3204</v>
      </c>
      <c r="I17" t="s">
        <v>3205</v>
      </c>
      <c r="J17" t="str">
        <f t="shared" si="1"/>
        <v>UDV.econ_tractor.250hp</v>
      </c>
      <c r="K17" t="s">
        <v>1546</v>
      </c>
      <c r="L17" t="s">
        <v>1552</v>
      </c>
      <c r="M17" t="s">
        <v>385</v>
      </c>
      <c r="N17" t="str">
        <f t="shared" si="2"/>
        <v>UDV.UDV.econ_tractor.250hp</v>
      </c>
    </row>
    <row r="18" spans="1:14" x14ac:dyDescent="0.3">
      <c r="A18" t="s">
        <v>2960</v>
      </c>
      <c r="B18" t="s">
        <v>3214</v>
      </c>
      <c r="C18" t="s">
        <v>3215</v>
      </c>
      <c r="D18" s="2087">
        <f t="shared" si="0"/>
        <v>490700</v>
      </c>
      <c r="E18" s="1596" t="s">
        <v>2765</v>
      </c>
      <c r="G18" t="s">
        <v>368</v>
      </c>
      <c r="H18" t="s">
        <v>3204</v>
      </c>
      <c r="I18" t="s">
        <v>3205</v>
      </c>
      <c r="J18" t="str">
        <f t="shared" si="1"/>
        <v>UDV.econ_tractor.340hp</v>
      </c>
      <c r="K18" t="s">
        <v>1546</v>
      </c>
      <c r="L18" t="s">
        <v>1554</v>
      </c>
      <c r="M18" t="s">
        <v>388</v>
      </c>
      <c r="N18" t="str">
        <f t="shared" si="2"/>
        <v>UDV.UDV.econ_tractor.340hp</v>
      </c>
    </row>
    <row r="19" spans="1:14" x14ac:dyDescent="0.3">
      <c r="A19" t="s">
        <v>2960</v>
      </c>
      <c r="B19" t="s">
        <v>3216</v>
      </c>
      <c r="C19" t="s">
        <v>3217</v>
      </c>
      <c r="D19" s="2087">
        <f t="shared" si="0"/>
        <v>637400</v>
      </c>
      <c r="E19" s="1596" t="s">
        <v>2765</v>
      </c>
      <c r="G19" t="s">
        <v>372</v>
      </c>
      <c r="H19" t="s">
        <v>3204</v>
      </c>
      <c r="I19" t="s">
        <v>3205</v>
      </c>
      <c r="J19" t="str">
        <f t="shared" si="1"/>
        <v>UDV.econ_tractor.580hp</v>
      </c>
      <c r="K19" t="s">
        <v>1546</v>
      </c>
      <c r="L19" t="s">
        <v>1556</v>
      </c>
      <c r="M19" t="s">
        <v>391</v>
      </c>
      <c r="N19" t="str">
        <f t="shared" si="2"/>
        <v>UDV.UDV.econ_tractor.580hp</v>
      </c>
    </row>
    <row r="20" spans="1:14" x14ac:dyDescent="0.3">
      <c r="A20" t="s">
        <v>3218</v>
      </c>
      <c r="B20" t="s">
        <v>3219</v>
      </c>
      <c r="C20" t="s">
        <v>3220</v>
      </c>
      <c r="D20" s="154">
        <f t="shared" si="0"/>
        <v>0.8</v>
      </c>
      <c r="E20" s="1598" t="s">
        <v>3221</v>
      </c>
      <c r="G20" t="s">
        <v>3222</v>
      </c>
      <c r="H20" t="s">
        <v>1272</v>
      </c>
      <c r="I20" s="199" t="s">
        <v>3223</v>
      </c>
      <c r="J20" t="str">
        <f t="shared" si="1"/>
        <v>UDV.econ_elec.on_farm_use_yes_grid_pct</v>
      </c>
      <c r="K20" t="s">
        <v>1296</v>
      </c>
      <c r="L20" t="s">
        <v>1276</v>
      </c>
      <c r="M20" t="s">
        <v>3224</v>
      </c>
      <c r="N20" t="str">
        <f t="shared" si="2"/>
        <v>UDV.UDV.econ_elec.on_farm_use_yes_grid_pct</v>
      </c>
    </row>
    <row r="21" spans="1:14" x14ac:dyDescent="0.3">
      <c r="A21" t="s">
        <v>3218</v>
      </c>
      <c r="B21" t="s">
        <v>3225</v>
      </c>
      <c r="C21" t="s">
        <v>3226</v>
      </c>
      <c r="D21" s="154">
        <f t="shared" si="0"/>
        <v>1</v>
      </c>
      <c r="E21" s="1598" t="s">
        <v>3221</v>
      </c>
      <c r="G21" t="s">
        <v>3227</v>
      </c>
      <c r="H21" t="s">
        <v>1272</v>
      </c>
      <c r="I21" s="199" t="s">
        <v>3223</v>
      </c>
      <c r="J21" t="str">
        <f t="shared" si="1"/>
        <v>UDV.econ_elec.on_farm_use_no_grid_pct</v>
      </c>
      <c r="K21" t="s">
        <v>1296</v>
      </c>
      <c r="L21" t="s">
        <v>1274</v>
      </c>
      <c r="M21" t="s">
        <v>3228</v>
      </c>
      <c r="N21" t="str">
        <f t="shared" si="2"/>
        <v>UDV.UDV.econ_elec.on_farm_use_no_grid_pct</v>
      </c>
    </row>
    <row r="22" spans="1:14" x14ac:dyDescent="0.3">
      <c r="A22" t="s">
        <v>3229</v>
      </c>
      <c r="B22" t="s">
        <v>3219</v>
      </c>
      <c r="C22" t="s">
        <v>3230</v>
      </c>
      <c r="D22" s="154">
        <f t="shared" si="0"/>
        <v>0.19999999999999996</v>
      </c>
      <c r="E22" s="1598" t="s">
        <v>3221</v>
      </c>
      <c r="G22" t="s">
        <v>3231</v>
      </c>
      <c r="H22" t="s">
        <v>1272</v>
      </c>
      <c r="I22" s="199" t="s">
        <v>3223</v>
      </c>
      <c r="J22" t="str">
        <f t="shared" si="1"/>
        <v>UDV.econ_elec.sell_to_grid_yes_grid_pct</v>
      </c>
      <c r="K22" t="s">
        <v>1296</v>
      </c>
      <c r="L22" t="s">
        <v>1284</v>
      </c>
      <c r="M22" t="s">
        <v>3232</v>
      </c>
      <c r="N22" t="str">
        <f t="shared" si="2"/>
        <v>UDV.UDV.econ_elec.sell_to_grid_yes_grid_pct</v>
      </c>
    </row>
    <row r="23" spans="1:14" x14ac:dyDescent="0.3">
      <c r="A23" t="s">
        <v>3229</v>
      </c>
      <c r="B23" t="s">
        <v>3225</v>
      </c>
      <c r="C23" t="s">
        <v>3233</v>
      </c>
      <c r="D23" s="154">
        <f t="shared" si="0"/>
        <v>0</v>
      </c>
      <c r="E23" s="1598" t="s">
        <v>3221</v>
      </c>
      <c r="G23" t="s">
        <v>3234</v>
      </c>
      <c r="H23" t="s">
        <v>1272</v>
      </c>
      <c r="I23" s="199" t="s">
        <v>3223</v>
      </c>
      <c r="J23" t="str">
        <f t="shared" si="1"/>
        <v>UDV.econ_elec.sell_to_grid_no_grid_pct</v>
      </c>
      <c r="K23" t="s">
        <v>1296</v>
      </c>
      <c r="L23" t="s">
        <v>1280</v>
      </c>
      <c r="M23" t="s">
        <v>3235</v>
      </c>
      <c r="N23" t="str">
        <f t="shared" si="2"/>
        <v>UDV.UDV.econ_elec.sell_to_grid_no_grid_pct</v>
      </c>
    </row>
    <row r="24" spans="1:14" x14ac:dyDescent="0.3">
      <c r="A24" t="s">
        <v>3236</v>
      </c>
      <c r="B24" t="s">
        <v>39</v>
      </c>
      <c r="C24" t="s">
        <v>3237</v>
      </c>
      <c r="D24" s="154">
        <f t="shared" si="0"/>
        <v>0.6</v>
      </c>
      <c r="E24" s="1598" t="s">
        <v>3238</v>
      </c>
      <c r="F24" t="s">
        <v>3239</v>
      </c>
      <c r="G24" t="s">
        <v>3240</v>
      </c>
      <c r="H24" t="s">
        <v>1272</v>
      </c>
      <c r="I24" s="199" t="s">
        <v>3223</v>
      </c>
      <c r="J24" t="str">
        <f t="shared" si="1"/>
        <v>UDV.econ_elec.sell_to_grid_price</v>
      </c>
      <c r="K24" t="s">
        <v>1296</v>
      </c>
      <c r="L24" t="s">
        <v>1282</v>
      </c>
      <c r="M24" t="s">
        <v>3241</v>
      </c>
      <c r="N24" t="str">
        <f t="shared" si="2"/>
        <v>UDV.UDV.econ_elec.sell_to_grid_price</v>
      </c>
    </row>
    <row r="25" spans="1:14" x14ac:dyDescent="0.3">
      <c r="A25" t="s">
        <v>3242</v>
      </c>
      <c r="B25" t="s">
        <v>3219</v>
      </c>
      <c r="C25" t="s">
        <v>3243</v>
      </c>
      <c r="D25" s="154">
        <f t="shared" si="0"/>
        <v>0</v>
      </c>
      <c r="E25" s="1598" t="s">
        <v>3244</v>
      </c>
      <c r="G25" t="s">
        <v>3245</v>
      </c>
      <c r="H25" t="s">
        <v>1272</v>
      </c>
      <c r="I25" s="199" t="s">
        <v>3223</v>
      </c>
      <c r="J25" t="str">
        <f t="shared" si="1"/>
        <v>UDV.econ_cng.on_farm_use_yes_grid_pct</v>
      </c>
      <c r="K25" t="s">
        <v>1270</v>
      </c>
      <c r="L25" t="s">
        <v>1276</v>
      </c>
      <c r="M25" t="s">
        <v>3246</v>
      </c>
      <c r="N25" t="str">
        <f t="shared" si="2"/>
        <v>UDV.UDV.econ_cng.on_farm_use_yes_grid_pct</v>
      </c>
    </row>
    <row r="26" spans="1:14" x14ac:dyDescent="0.3">
      <c r="A26" t="s">
        <v>3242</v>
      </c>
      <c r="B26" t="s">
        <v>3225</v>
      </c>
      <c r="C26" t="s">
        <v>3247</v>
      </c>
      <c r="D26" s="154">
        <f t="shared" si="0"/>
        <v>1</v>
      </c>
      <c r="E26" s="1598" t="s">
        <v>3244</v>
      </c>
      <c r="G26" t="s">
        <v>3248</v>
      </c>
      <c r="H26" t="s">
        <v>1272</v>
      </c>
      <c r="I26" s="199" t="s">
        <v>3223</v>
      </c>
      <c r="J26" t="str">
        <f t="shared" si="1"/>
        <v>UDV.econ_cng.on_farm_use_no_grid_pct</v>
      </c>
      <c r="K26" t="s">
        <v>1270</v>
      </c>
      <c r="L26" t="s">
        <v>1274</v>
      </c>
      <c r="M26" t="s">
        <v>3249</v>
      </c>
      <c r="N26" t="str">
        <f t="shared" si="2"/>
        <v>UDV.UDV.econ_cng.on_farm_use_no_grid_pct</v>
      </c>
    </row>
    <row r="27" spans="1:14" x14ac:dyDescent="0.3">
      <c r="A27" t="s">
        <v>3250</v>
      </c>
      <c r="B27" t="s">
        <v>3219</v>
      </c>
      <c r="C27" t="s">
        <v>3251</v>
      </c>
      <c r="D27" s="154">
        <f t="shared" si="0"/>
        <v>1</v>
      </c>
      <c r="E27" s="1598" t="s">
        <v>3244</v>
      </c>
      <c r="G27" t="s">
        <v>3252</v>
      </c>
      <c r="H27" t="s">
        <v>1272</v>
      </c>
      <c r="I27" s="199" t="s">
        <v>3223</v>
      </c>
      <c r="J27" t="str">
        <f t="shared" si="1"/>
        <v>UDV.econ_cng.sell_to_grid_yes_grid_pct</v>
      </c>
      <c r="K27" t="s">
        <v>1270</v>
      </c>
      <c r="L27" t="s">
        <v>1284</v>
      </c>
      <c r="M27" t="s">
        <v>3253</v>
      </c>
      <c r="N27" t="str">
        <f t="shared" si="2"/>
        <v>UDV.UDV.econ_cng.sell_to_grid_yes_grid_pct</v>
      </c>
    </row>
    <row r="28" spans="1:14" x14ac:dyDescent="0.3">
      <c r="A28" t="s">
        <v>3250</v>
      </c>
      <c r="B28" t="s">
        <v>3225</v>
      </c>
      <c r="C28" t="s">
        <v>3254</v>
      </c>
      <c r="D28" s="154">
        <f t="shared" si="0"/>
        <v>0</v>
      </c>
      <c r="E28" s="1598" t="s">
        <v>3244</v>
      </c>
      <c r="G28" t="s">
        <v>3255</v>
      </c>
      <c r="H28" t="s">
        <v>1272</v>
      </c>
      <c r="I28" s="199" t="s">
        <v>3223</v>
      </c>
      <c r="J28" t="str">
        <f t="shared" si="1"/>
        <v>UDV.econ_cng.sell_to_grid_no_grid_pct</v>
      </c>
      <c r="K28" t="s">
        <v>1270</v>
      </c>
      <c r="L28" t="s">
        <v>1280</v>
      </c>
      <c r="M28" t="s">
        <v>3256</v>
      </c>
      <c r="N28" t="str">
        <f t="shared" si="2"/>
        <v>UDV.UDV.econ_cng.sell_to_grid_no_grid_pct</v>
      </c>
    </row>
    <row r="29" spans="1:14" x14ac:dyDescent="0.3">
      <c r="A29" t="s">
        <v>3257</v>
      </c>
      <c r="B29" t="s">
        <v>39</v>
      </c>
      <c r="C29" t="s">
        <v>3258</v>
      </c>
      <c r="D29" s="154">
        <f t="shared" si="0"/>
        <v>0.3</v>
      </c>
      <c r="E29" s="1598" t="s">
        <v>3238</v>
      </c>
      <c r="F29" s="34"/>
      <c r="G29" t="s">
        <v>3259</v>
      </c>
      <c r="H29" t="s">
        <v>1272</v>
      </c>
      <c r="I29" s="199" t="s">
        <v>3223</v>
      </c>
      <c r="J29" t="str">
        <f t="shared" si="1"/>
        <v>UDV.econ_cng.sell_to_grid_price</v>
      </c>
      <c r="K29" t="s">
        <v>1270</v>
      </c>
      <c r="L29" t="s">
        <v>1282</v>
      </c>
      <c r="M29" t="s">
        <v>3260</v>
      </c>
      <c r="N29" t="str">
        <f t="shared" si="2"/>
        <v>UDV.UDV.econ_cng.sell_to_grid_price</v>
      </c>
    </row>
    <row r="30" spans="1:14" x14ac:dyDescent="0.3">
      <c r="A30" t="s">
        <v>1279</v>
      </c>
      <c r="B30" t="s">
        <v>39</v>
      </c>
      <c r="C30" t="s">
        <v>3261</v>
      </c>
      <c r="D30" s="154">
        <f t="shared" si="0"/>
        <v>0.97</v>
      </c>
      <c r="E30" s="1598" t="s">
        <v>3262</v>
      </c>
      <c r="G30" t="s">
        <v>3263</v>
      </c>
      <c r="H30" t="s">
        <v>1272</v>
      </c>
      <c r="I30" s="199" t="s">
        <v>3223</v>
      </c>
      <c r="J30" t="str">
        <f t="shared" si="1"/>
        <v>UDV.econ_cng.scrub_effic</v>
      </c>
      <c r="K30" t="s">
        <v>1270</v>
      </c>
      <c r="L30" t="s">
        <v>1278</v>
      </c>
      <c r="M30" t="s">
        <v>3264</v>
      </c>
      <c r="N30" t="str">
        <f t="shared" si="2"/>
        <v>UDV.UDV.econ_cng.scrub_effic</v>
      </c>
    </row>
    <row r="31" spans="1:14" x14ac:dyDescent="0.3">
      <c r="A31" t="s">
        <v>1323</v>
      </c>
      <c r="B31" t="s">
        <v>39</v>
      </c>
      <c r="C31" t="s">
        <v>3265</v>
      </c>
      <c r="D31" s="2087">
        <f t="shared" si="0"/>
        <v>15200</v>
      </c>
      <c r="E31" s="1596" t="s">
        <v>2765</v>
      </c>
      <c r="F31" t="s">
        <v>3162</v>
      </c>
      <c r="G31" t="s">
        <v>3266</v>
      </c>
      <c r="H31" t="s">
        <v>3267</v>
      </c>
      <c r="I31" t="s">
        <v>3165</v>
      </c>
      <c r="J31" t="str">
        <f t="shared" si="1"/>
        <v>UDV.econ_hose.hose_drag_flex_660ft</v>
      </c>
      <c r="K31" t="s">
        <v>1320</v>
      </c>
      <c r="L31" t="s">
        <v>1321</v>
      </c>
      <c r="M31" t="s">
        <v>3268</v>
      </c>
      <c r="N31" t="str">
        <f t="shared" si="2"/>
        <v>UDV.UDV.econ_hose.hose_drag_flex_660ft</v>
      </c>
    </row>
    <row r="32" spans="1:14" x14ac:dyDescent="0.3">
      <c r="A32" t="s">
        <v>86</v>
      </c>
      <c r="B32" t="s">
        <v>39</v>
      </c>
      <c r="C32" t="s">
        <v>3269</v>
      </c>
      <c r="D32" s="2087">
        <f t="shared" si="0"/>
        <v>80900</v>
      </c>
      <c r="E32" s="1596" t="s">
        <v>2765</v>
      </c>
      <c r="F32" t="s">
        <v>3162</v>
      </c>
      <c r="G32" t="s">
        <v>384</v>
      </c>
      <c r="H32" t="s">
        <v>3270</v>
      </c>
      <c r="I32" t="s">
        <v>3271</v>
      </c>
      <c r="J32" t="str">
        <f t="shared" si="1"/>
        <v>UDV.econ_toolbar.boom</v>
      </c>
      <c r="K32" t="s">
        <v>1528</v>
      </c>
      <c r="L32" t="s">
        <v>1529</v>
      </c>
      <c r="M32" t="s">
        <v>397</v>
      </c>
      <c r="N32" t="str">
        <f t="shared" si="2"/>
        <v>UDV.UDV.econ_toolbar.boom</v>
      </c>
    </row>
    <row r="33" spans="1:14" x14ac:dyDescent="0.3">
      <c r="A33" t="s">
        <v>3272</v>
      </c>
      <c r="B33" t="s">
        <v>39</v>
      </c>
      <c r="C33" t="s">
        <v>3273</v>
      </c>
      <c r="D33" s="2087">
        <f t="shared" si="0"/>
        <v>80900</v>
      </c>
      <c r="E33" s="1596" t="s">
        <v>2765</v>
      </c>
      <c r="F33" t="s">
        <v>3162</v>
      </c>
      <c r="G33" t="s">
        <v>387</v>
      </c>
      <c r="H33" t="s">
        <v>3270</v>
      </c>
      <c r="I33" t="s">
        <v>3271</v>
      </c>
      <c r="J33" t="str">
        <f t="shared" si="1"/>
        <v>UDV.econ_toolbar.injection</v>
      </c>
      <c r="K33" t="s">
        <v>1528</v>
      </c>
      <c r="L33" t="s">
        <v>1532</v>
      </c>
      <c r="M33" t="s">
        <v>399</v>
      </c>
      <c r="N33" t="str">
        <f t="shared" si="2"/>
        <v>UDV.UDV.econ_toolbar.injection</v>
      </c>
    </row>
    <row r="34" spans="1:14" x14ac:dyDescent="0.3">
      <c r="A34" t="s">
        <v>1243</v>
      </c>
      <c r="B34" t="s">
        <v>39</v>
      </c>
      <c r="C34" t="s">
        <v>3274</v>
      </c>
      <c r="D34" s="2087">
        <f t="shared" si="0"/>
        <v>65800</v>
      </c>
      <c r="E34" s="1596" t="s">
        <v>2765</v>
      </c>
      <c r="F34" t="s">
        <v>3162</v>
      </c>
      <c r="G34" t="s">
        <v>390</v>
      </c>
      <c r="H34" t="s">
        <v>3270</v>
      </c>
      <c r="I34" t="s">
        <v>3271</v>
      </c>
      <c r="J34" t="str">
        <f t="shared" si="1"/>
        <v>UDV.econ_box_spreader.one_size</v>
      </c>
      <c r="K34" t="s">
        <v>1240</v>
      </c>
      <c r="L34" t="s">
        <v>1241</v>
      </c>
      <c r="M34" t="s">
        <v>400</v>
      </c>
      <c r="N34" t="str">
        <f t="shared" si="2"/>
        <v>UDV.UDV.econ_box_spreader.one_size</v>
      </c>
    </row>
    <row r="35" spans="1:14" x14ac:dyDescent="0.3">
      <c r="A35" t="s">
        <v>1362</v>
      </c>
      <c r="B35" t="s">
        <v>39</v>
      </c>
      <c r="C35" t="s">
        <v>3275</v>
      </c>
      <c r="D35" s="154">
        <f t="shared" ref="D35:D66" si="3">INDEX(UDV,MATCH(G35,UDN,0))</f>
        <v>0</v>
      </c>
      <c r="E35" s="1598" t="s">
        <v>3276</v>
      </c>
      <c r="F35" s="712" t="s">
        <v>3277</v>
      </c>
      <c r="G35" t="s">
        <v>282</v>
      </c>
      <c r="H35" t="s">
        <v>3278</v>
      </c>
      <c r="I35" t="s">
        <v>3279</v>
      </c>
      <c r="J35" t="str">
        <f t="shared" si="1"/>
        <v>UDV.econ_manure.liquid_sell_pct</v>
      </c>
      <c r="K35" t="s">
        <v>1332</v>
      </c>
      <c r="L35" t="s">
        <v>1361</v>
      </c>
      <c r="M35" t="s">
        <v>3280</v>
      </c>
      <c r="N35" t="str">
        <f t="shared" si="2"/>
        <v>UDV.UDV.econ_manure.liquid_sell_pct</v>
      </c>
    </row>
    <row r="36" spans="1:14" x14ac:dyDescent="0.3">
      <c r="A36" t="s">
        <v>1360</v>
      </c>
      <c r="B36" t="s">
        <v>39</v>
      </c>
      <c r="C36" t="s">
        <v>3281</v>
      </c>
      <c r="D36" s="154">
        <f t="shared" si="3"/>
        <v>1</v>
      </c>
      <c r="E36" s="1598" t="s">
        <v>3276</v>
      </c>
      <c r="F36" s="712" t="s">
        <v>3277</v>
      </c>
      <c r="G36" t="s">
        <v>277</v>
      </c>
      <c r="H36" t="s">
        <v>3278</v>
      </c>
      <c r="I36" t="s">
        <v>3279</v>
      </c>
      <c r="J36" t="str">
        <f t="shared" si="1"/>
        <v>UDV.econ_manure.liquid_give_pct</v>
      </c>
      <c r="K36" t="s">
        <v>1332</v>
      </c>
      <c r="L36" t="s">
        <v>1359</v>
      </c>
      <c r="M36" t="s">
        <v>3282</v>
      </c>
      <c r="N36" t="str">
        <f t="shared" si="2"/>
        <v>UDV.UDV.econ_manure.liquid_give_pct</v>
      </c>
    </row>
    <row r="37" spans="1:14" x14ac:dyDescent="0.3">
      <c r="A37" t="s">
        <v>1356</v>
      </c>
      <c r="B37" t="s">
        <v>39</v>
      </c>
      <c r="C37" t="s">
        <v>3283</v>
      </c>
      <c r="D37" s="154">
        <f t="shared" si="3"/>
        <v>0</v>
      </c>
      <c r="E37" s="1598" t="s">
        <v>3276</v>
      </c>
      <c r="F37" s="712" t="s">
        <v>3277</v>
      </c>
      <c r="G37" t="s">
        <v>272</v>
      </c>
      <c r="H37" t="s">
        <v>3278</v>
      </c>
      <c r="I37" t="s">
        <v>3279</v>
      </c>
      <c r="J37" t="str">
        <f t="shared" si="1"/>
        <v>UDV.econ_manure.liquid_export_pct</v>
      </c>
      <c r="K37" t="s">
        <v>1332</v>
      </c>
      <c r="L37" t="s">
        <v>1355</v>
      </c>
      <c r="M37" t="s">
        <v>3284</v>
      </c>
      <c r="N37" t="str">
        <f t="shared" si="2"/>
        <v>UDV.UDV.econ_manure.liquid_export_pct</v>
      </c>
    </row>
    <row r="38" spans="1:14" x14ac:dyDescent="0.3">
      <c r="A38" t="s">
        <v>1415</v>
      </c>
      <c r="B38" t="s">
        <v>39</v>
      </c>
      <c r="C38" t="s">
        <v>3285</v>
      </c>
      <c r="D38" s="154">
        <f t="shared" si="3"/>
        <v>0</v>
      </c>
      <c r="E38" s="1598" t="s">
        <v>3276</v>
      </c>
      <c r="F38" s="712" t="s">
        <v>3277</v>
      </c>
      <c r="G38" t="s">
        <v>283</v>
      </c>
      <c r="H38" t="s">
        <v>3278</v>
      </c>
      <c r="I38" t="s">
        <v>3279</v>
      </c>
      <c r="J38" t="str">
        <f t="shared" si="1"/>
        <v>UDV.econ_manure.slurry_sell_pct</v>
      </c>
      <c r="K38" t="s">
        <v>1332</v>
      </c>
      <c r="L38" t="s">
        <v>1414</v>
      </c>
      <c r="M38" t="s">
        <v>3286</v>
      </c>
      <c r="N38" t="str">
        <f t="shared" si="2"/>
        <v>UDV.UDV.econ_manure.slurry_sell_pct</v>
      </c>
    </row>
    <row r="39" spans="1:14" x14ac:dyDescent="0.3">
      <c r="A39" t="s">
        <v>1413</v>
      </c>
      <c r="B39" t="s">
        <v>39</v>
      </c>
      <c r="C39" t="s">
        <v>3287</v>
      </c>
      <c r="D39" s="154">
        <f t="shared" si="3"/>
        <v>1</v>
      </c>
      <c r="E39" s="1598" t="s">
        <v>3276</v>
      </c>
      <c r="F39" s="712" t="s">
        <v>3277</v>
      </c>
      <c r="G39" t="s">
        <v>278</v>
      </c>
      <c r="H39" t="s">
        <v>3278</v>
      </c>
      <c r="I39" t="s">
        <v>3279</v>
      </c>
      <c r="J39" t="str">
        <f t="shared" si="1"/>
        <v>UDV.econ_manure.slurry_give_pct</v>
      </c>
      <c r="K39" t="s">
        <v>1332</v>
      </c>
      <c r="L39" t="s">
        <v>1412</v>
      </c>
      <c r="M39" t="s">
        <v>3288</v>
      </c>
      <c r="N39" t="str">
        <f t="shared" si="2"/>
        <v>UDV.UDV.econ_manure.slurry_give_pct</v>
      </c>
    </row>
    <row r="40" spans="1:14" x14ac:dyDescent="0.3">
      <c r="A40" t="s">
        <v>1409</v>
      </c>
      <c r="B40" t="s">
        <v>39</v>
      </c>
      <c r="C40" t="s">
        <v>3289</v>
      </c>
      <c r="D40" s="154">
        <f t="shared" si="3"/>
        <v>0</v>
      </c>
      <c r="E40" s="1598" t="s">
        <v>3276</v>
      </c>
      <c r="F40" s="712" t="s">
        <v>3277</v>
      </c>
      <c r="G40" t="s">
        <v>273</v>
      </c>
      <c r="H40" t="s">
        <v>3278</v>
      </c>
      <c r="I40" t="s">
        <v>3279</v>
      </c>
      <c r="J40" t="str">
        <f t="shared" si="1"/>
        <v>UDV.econ_manure.slurry_export_pct</v>
      </c>
      <c r="K40" t="s">
        <v>1332</v>
      </c>
      <c r="L40" t="s">
        <v>1408</v>
      </c>
      <c r="M40" t="s">
        <v>3290</v>
      </c>
      <c r="N40" t="str">
        <f t="shared" si="2"/>
        <v>UDV.UDV.econ_manure.slurry_export_pct</v>
      </c>
    </row>
    <row r="41" spans="1:14" x14ac:dyDescent="0.3">
      <c r="A41" t="s">
        <v>1400</v>
      </c>
      <c r="B41" t="s">
        <v>39</v>
      </c>
      <c r="C41" t="s">
        <v>3291</v>
      </c>
      <c r="D41" s="154">
        <f t="shared" si="3"/>
        <v>0</v>
      </c>
      <c r="E41" s="1598" t="s">
        <v>3276</v>
      </c>
      <c r="F41" s="712" t="s">
        <v>3277</v>
      </c>
      <c r="G41" t="s">
        <v>284</v>
      </c>
      <c r="H41" t="s">
        <v>3278</v>
      </c>
      <c r="I41" t="s">
        <v>3279</v>
      </c>
      <c r="J41" t="str">
        <f t="shared" si="1"/>
        <v>UDV.econ_manure.sludge_sell_pct</v>
      </c>
      <c r="K41" t="s">
        <v>1332</v>
      </c>
      <c r="L41" t="s">
        <v>1399</v>
      </c>
      <c r="M41" t="s">
        <v>3292</v>
      </c>
      <c r="N41" t="str">
        <f t="shared" si="2"/>
        <v>UDV.UDV.econ_manure.sludge_sell_pct</v>
      </c>
    </row>
    <row r="42" spans="1:14" x14ac:dyDescent="0.3">
      <c r="A42" t="s">
        <v>1398</v>
      </c>
      <c r="B42" t="s">
        <v>39</v>
      </c>
      <c r="C42" t="s">
        <v>3293</v>
      </c>
      <c r="D42" s="154">
        <f t="shared" si="3"/>
        <v>1</v>
      </c>
      <c r="E42" s="1598" t="s">
        <v>3276</v>
      </c>
      <c r="F42" s="712" t="s">
        <v>3277</v>
      </c>
      <c r="G42" t="s">
        <v>279</v>
      </c>
      <c r="H42" t="s">
        <v>3278</v>
      </c>
      <c r="I42" t="s">
        <v>3279</v>
      </c>
      <c r="J42" t="str">
        <f t="shared" si="1"/>
        <v>UDV.econ_manure.sludge_give_pct</v>
      </c>
      <c r="K42" t="s">
        <v>1332</v>
      </c>
      <c r="L42" t="s">
        <v>1397</v>
      </c>
      <c r="M42" t="s">
        <v>3294</v>
      </c>
      <c r="N42" t="str">
        <f t="shared" si="2"/>
        <v>UDV.UDV.econ_manure.sludge_give_pct</v>
      </c>
    </row>
    <row r="43" spans="1:14" x14ac:dyDescent="0.3">
      <c r="A43" t="s">
        <v>1394</v>
      </c>
      <c r="B43" t="s">
        <v>39</v>
      </c>
      <c r="C43" t="s">
        <v>3295</v>
      </c>
      <c r="D43" s="154">
        <f t="shared" si="3"/>
        <v>0</v>
      </c>
      <c r="E43" s="1598" t="s">
        <v>3276</v>
      </c>
      <c r="F43" s="712" t="s">
        <v>3277</v>
      </c>
      <c r="G43" t="s">
        <v>274</v>
      </c>
      <c r="H43" t="s">
        <v>3278</v>
      </c>
      <c r="I43" t="s">
        <v>3279</v>
      </c>
      <c r="J43" t="str">
        <f t="shared" si="1"/>
        <v>UDV.econ_manure.sludge_export_pct</v>
      </c>
      <c r="K43" t="s">
        <v>1332</v>
      </c>
      <c r="L43" t="s">
        <v>1393</v>
      </c>
      <c r="M43" t="s">
        <v>3296</v>
      </c>
      <c r="N43" t="str">
        <f t="shared" si="2"/>
        <v>UDV.UDV.econ_manure.sludge_export_pct</v>
      </c>
    </row>
    <row r="44" spans="1:14" x14ac:dyDescent="0.3">
      <c r="A44" t="s">
        <v>3297</v>
      </c>
      <c r="B44" t="s">
        <v>39</v>
      </c>
      <c r="C44" t="s">
        <v>3298</v>
      </c>
      <c r="D44" s="154">
        <f t="shared" si="3"/>
        <v>1</v>
      </c>
      <c r="E44" s="1598" t="s">
        <v>3276</v>
      </c>
      <c r="F44" s="712" t="s">
        <v>3277</v>
      </c>
      <c r="G44" t="s">
        <v>285</v>
      </c>
      <c r="H44" t="s">
        <v>3278</v>
      </c>
      <c r="I44" t="s">
        <v>3279</v>
      </c>
      <c r="J44" t="str">
        <f t="shared" si="1"/>
        <v>UDV.econ_manure.sep_solids_sell_pct</v>
      </c>
      <c r="K44" t="s">
        <v>1332</v>
      </c>
      <c r="L44" t="s">
        <v>1375</v>
      </c>
      <c r="M44" t="s">
        <v>3299</v>
      </c>
      <c r="N44" t="str">
        <f t="shared" si="2"/>
        <v>UDV.UDV.econ_manure.sep_solids_sell_pct</v>
      </c>
    </row>
    <row r="45" spans="1:14" x14ac:dyDescent="0.3">
      <c r="A45" t="s">
        <v>3300</v>
      </c>
      <c r="B45" t="s">
        <v>39</v>
      </c>
      <c r="C45" t="s">
        <v>3301</v>
      </c>
      <c r="D45" s="154">
        <f t="shared" si="3"/>
        <v>0</v>
      </c>
      <c r="E45" s="1598" t="s">
        <v>3276</v>
      </c>
      <c r="F45" s="712" t="s">
        <v>3277</v>
      </c>
      <c r="G45" t="s">
        <v>280</v>
      </c>
      <c r="H45" t="s">
        <v>3278</v>
      </c>
      <c r="I45" t="s">
        <v>3279</v>
      </c>
      <c r="J45" t="str">
        <f t="shared" si="1"/>
        <v>UDV.econ_manure.sep_solids_give_pct</v>
      </c>
      <c r="K45" t="s">
        <v>1332</v>
      </c>
      <c r="L45" t="s">
        <v>1373</v>
      </c>
      <c r="M45" t="s">
        <v>3302</v>
      </c>
      <c r="N45" t="str">
        <f t="shared" si="2"/>
        <v>UDV.UDV.econ_manure.sep_solids_give_pct</v>
      </c>
    </row>
    <row r="46" spans="1:14" x14ac:dyDescent="0.3">
      <c r="A46" t="s">
        <v>3303</v>
      </c>
      <c r="B46" t="s">
        <v>39</v>
      </c>
      <c r="C46" t="s">
        <v>3304</v>
      </c>
      <c r="D46" s="154">
        <f t="shared" si="3"/>
        <v>0</v>
      </c>
      <c r="E46" s="1598" t="s">
        <v>3276</v>
      </c>
      <c r="F46" s="712" t="s">
        <v>3277</v>
      </c>
      <c r="G46" t="s">
        <v>275</v>
      </c>
      <c r="H46" t="s">
        <v>3278</v>
      </c>
      <c r="I46" t="s">
        <v>3279</v>
      </c>
      <c r="J46" t="str">
        <f t="shared" si="1"/>
        <v>UDV.econ_manure.sep_solids_export_pct</v>
      </c>
      <c r="K46" t="s">
        <v>1332</v>
      </c>
      <c r="L46" t="s">
        <v>1369</v>
      </c>
      <c r="M46" t="s">
        <v>3305</v>
      </c>
      <c r="N46" t="str">
        <f t="shared" si="2"/>
        <v>UDV.UDV.econ_manure.sep_solids_export_pct</v>
      </c>
    </row>
    <row r="47" spans="1:14" x14ac:dyDescent="0.3">
      <c r="A47" t="s">
        <v>3306</v>
      </c>
      <c r="B47" t="s">
        <v>39</v>
      </c>
      <c r="C47" t="s">
        <v>3307</v>
      </c>
      <c r="D47" s="154">
        <f t="shared" si="3"/>
        <v>1</v>
      </c>
      <c r="E47" s="1598" t="s">
        <v>3276</v>
      </c>
      <c r="F47" s="712" t="s">
        <v>3277</v>
      </c>
      <c r="G47" t="s">
        <v>286</v>
      </c>
      <c r="H47" t="s">
        <v>3278</v>
      </c>
      <c r="I47" t="s">
        <v>3279</v>
      </c>
      <c r="J47" t="str">
        <f t="shared" si="1"/>
        <v>UDV.econ_manure.compost_sell_pct</v>
      </c>
      <c r="K47" t="s">
        <v>1332</v>
      </c>
      <c r="L47" t="s">
        <v>1345</v>
      </c>
      <c r="M47" t="s">
        <v>3308</v>
      </c>
      <c r="N47" t="str">
        <f t="shared" si="2"/>
        <v>UDV.UDV.econ_manure.compost_sell_pct</v>
      </c>
    </row>
    <row r="48" spans="1:14" x14ac:dyDescent="0.3">
      <c r="A48" t="s">
        <v>3309</v>
      </c>
      <c r="B48" t="s">
        <v>39</v>
      </c>
      <c r="C48" t="s">
        <v>3310</v>
      </c>
      <c r="D48" s="154">
        <f t="shared" si="3"/>
        <v>0</v>
      </c>
      <c r="E48" s="1598" t="s">
        <v>3276</v>
      </c>
      <c r="F48" s="712" t="s">
        <v>3277</v>
      </c>
      <c r="G48" t="s">
        <v>281</v>
      </c>
      <c r="H48" t="s">
        <v>3278</v>
      </c>
      <c r="I48" t="s">
        <v>3279</v>
      </c>
      <c r="J48" t="str">
        <f t="shared" si="1"/>
        <v>UDV.econ_manure.compost_give_pct</v>
      </c>
      <c r="K48" t="s">
        <v>1332</v>
      </c>
      <c r="L48" t="s">
        <v>1342</v>
      </c>
      <c r="M48" t="s">
        <v>3311</v>
      </c>
      <c r="N48" t="str">
        <f t="shared" si="2"/>
        <v>UDV.UDV.econ_manure.compost_give_pct</v>
      </c>
    </row>
    <row r="49" spans="1:14" x14ac:dyDescent="0.3">
      <c r="A49" t="s">
        <v>3312</v>
      </c>
      <c r="B49" t="s">
        <v>39</v>
      </c>
      <c r="C49" t="s">
        <v>3313</v>
      </c>
      <c r="D49" s="154">
        <f t="shared" si="3"/>
        <v>0</v>
      </c>
      <c r="E49" s="1598" t="s">
        <v>3276</v>
      </c>
      <c r="F49" s="712" t="s">
        <v>3277</v>
      </c>
      <c r="G49" t="s">
        <v>276</v>
      </c>
      <c r="H49" t="s">
        <v>3278</v>
      </c>
      <c r="I49" t="s">
        <v>3279</v>
      </c>
      <c r="J49" t="str">
        <f t="shared" si="1"/>
        <v>UDV.econ_manure.compost_export_pct</v>
      </c>
      <c r="K49" t="s">
        <v>1332</v>
      </c>
      <c r="L49" t="s">
        <v>1338</v>
      </c>
      <c r="M49" t="s">
        <v>3314</v>
      </c>
      <c r="N49" t="str">
        <f t="shared" si="2"/>
        <v>UDV.UDV.econ_manure.compost_export_pct</v>
      </c>
    </row>
    <row r="50" spans="1:14" x14ac:dyDescent="0.3">
      <c r="A50" t="s">
        <v>1364</v>
      </c>
      <c r="B50" t="s">
        <v>39</v>
      </c>
      <c r="C50" t="s">
        <v>3315</v>
      </c>
      <c r="D50" s="2087">
        <f t="shared" si="3"/>
        <v>3.5</v>
      </c>
      <c r="E50" s="1597" t="s">
        <v>3316</v>
      </c>
      <c r="G50" t="s">
        <v>292</v>
      </c>
      <c r="H50" t="s">
        <v>3278</v>
      </c>
      <c r="I50" t="s">
        <v>3317</v>
      </c>
      <c r="J50" t="str">
        <f t="shared" si="1"/>
        <v>UDV.econ_manure.liquid_sell_price</v>
      </c>
      <c r="K50" t="s">
        <v>1332</v>
      </c>
      <c r="L50" t="s">
        <v>1363</v>
      </c>
      <c r="M50" t="s">
        <v>3318</v>
      </c>
      <c r="N50" t="str">
        <f t="shared" si="2"/>
        <v>UDV.UDV.econ_manure.liquid_sell_price</v>
      </c>
    </row>
    <row r="51" spans="1:14" x14ac:dyDescent="0.3">
      <c r="A51" t="s">
        <v>3319</v>
      </c>
      <c r="B51" t="s">
        <v>39</v>
      </c>
      <c r="C51" t="s">
        <v>3320</v>
      </c>
      <c r="D51" s="2087">
        <f t="shared" si="3"/>
        <v>0</v>
      </c>
      <c r="E51" s="1597" t="s">
        <v>3316</v>
      </c>
      <c r="G51" t="s">
        <v>3321</v>
      </c>
      <c r="H51" t="s">
        <v>3278</v>
      </c>
      <c r="I51" t="s">
        <v>3317</v>
      </c>
      <c r="J51" t="str">
        <f t="shared" si="1"/>
        <v>UDV.econ_manure.liquid_give_cost</v>
      </c>
      <c r="K51" t="s">
        <v>1332</v>
      </c>
      <c r="L51" t="s">
        <v>1357</v>
      </c>
      <c r="M51" t="s">
        <v>3322</v>
      </c>
      <c r="N51" t="str">
        <f t="shared" si="2"/>
        <v>UDV.UDV.econ_manure.liquid_give_cost</v>
      </c>
    </row>
    <row r="52" spans="1:14" x14ac:dyDescent="0.3">
      <c r="A52" t="s">
        <v>1354</v>
      </c>
      <c r="B52" t="s">
        <v>39</v>
      </c>
      <c r="C52" t="s">
        <v>3323</v>
      </c>
      <c r="D52" s="2087">
        <f t="shared" si="3"/>
        <v>16.7</v>
      </c>
      <c r="E52" s="1597" t="s">
        <v>3316</v>
      </c>
      <c r="G52" t="s">
        <v>287</v>
      </c>
      <c r="H52" t="s">
        <v>3278</v>
      </c>
      <c r="I52" t="s">
        <v>3317</v>
      </c>
      <c r="J52" t="str">
        <f t="shared" si="1"/>
        <v>UDV.econ_manure.liquid_export_cost</v>
      </c>
      <c r="K52" t="s">
        <v>1332</v>
      </c>
      <c r="L52" t="s">
        <v>1353</v>
      </c>
      <c r="M52" t="s">
        <v>3324</v>
      </c>
      <c r="N52" t="str">
        <f t="shared" si="2"/>
        <v>UDV.UDV.econ_manure.liquid_export_cost</v>
      </c>
    </row>
    <row r="53" spans="1:14" x14ac:dyDescent="0.3">
      <c r="A53" t="s">
        <v>1417</v>
      </c>
      <c r="B53" t="s">
        <v>39</v>
      </c>
      <c r="C53" t="s">
        <v>3325</v>
      </c>
      <c r="D53" s="2087">
        <f t="shared" si="3"/>
        <v>6</v>
      </c>
      <c r="E53" s="1597" t="s">
        <v>3316</v>
      </c>
      <c r="G53" t="s">
        <v>293</v>
      </c>
      <c r="H53" t="s">
        <v>3278</v>
      </c>
      <c r="I53" t="s">
        <v>3317</v>
      </c>
      <c r="J53" t="str">
        <f t="shared" si="1"/>
        <v>UDV.econ_manure.slurry_sell_price</v>
      </c>
      <c r="K53" t="s">
        <v>1332</v>
      </c>
      <c r="L53" t="s">
        <v>1416</v>
      </c>
      <c r="M53" t="s">
        <v>3326</v>
      </c>
      <c r="N53" t="str">
        <f t="shared" si="2"/>
        <v>UDV.UDV.econ_manure.slurry_sell_price</v>
      </c>
    </row>
    <row r="54" spans="1:14" x14ac:dyDescent="0.3">
      <c r="A54" t="s">
        <v>3327</v>
      </c>
      <c r="B54" t="s">
        <v>39</v>
      </c>
      <c r="C54" t="s">
        <v>3328</v>
      </c>
      <c r="D54" s="2087">
        <f t="shared" si="3"/>
        <v>0</v>
      </c>
      <c r="E54" s="1597" t="s">
        <v>3316</v>
      </c>
      <c r="G54" t="s">
        <v>3329</v>
      </c>
      <c r="H54" t="s">
        <v>3278</v>
      </c>
      <c r="I54" t="s">
        <v>3317</v>
      </c>
      <c r="J54" t="str">
        <f t="shared" si="1"/>
        <v>UDV.econ_manure.slurry_give_cost</v>
      </c>
      <c r="K54" t="s">
        <v>1332</v>
      </c>
      <c r="L54" t="s">
        <v>1410</v>
      </c>
      <c r="M54" t="s">
        <v>3330</v>
      </c>
      <c r="N54" t="str">
        <f t="shared" si="2"/>
        <v>UDV.UDV.econ_manure.slurry_give_cost</v>
      </c>
    </row>
    <row r="55" spans="1:14" x14ac:dyDescent="0.3">
      <c r="A55" t="s">
        <v>1407</v>
      </c>
      <c r="B55" t="s">
        <v>39</v>
      </c>
      <c r="C55" t="s">
        <v>3331</v>
      </c>
      <c r="D55" s="2087">
        <f t="shared" si="3"/>
        <v>16.7</v>
      </c>
      <c r="E55" s="1597" t="s">
        <v>3316</v>
      </c>
      <c r="G55" t="s">
        <v>288</v>
      </c>
      <c r="H55" t="s">
        <v>3278</v>
      </c>
      <c r="I55" t="s">
        <v>3317</v>
      </c>
      <c r="J55" t="str">
        <f t="shared" si="1"/>
        <v>UDV.econ_manure.slurry_export_cost</v>
      </c>
      <c r="K55" t="s">
        <v>1332</v>
      </c>
      <c r="L55" t="s">
        <v>1406</v>
      </c>
      <c r="M55" t="s">
        <v>3332</v>
      </c>
      <c r="N55" t="str">
        <f t="shared" si="2"/>
        <v>UDV.UDV.econ_manure.slurry_export_cost</v>
      </c>
    </row>
    <row r="56" spans="1:14" x14ac:dyDescent="0.3">
      <c r="A56" t="s">
        <v>1402</v>
      </c>
      <c r="B56" t="s">
        <v>39</v>
      </c>
      <c r="C56" t="s">
        <v>3333</v>
      </c>
      <c r="D56" s="2087">
        <f t="shared" si="3"/>
        <v>40</v>
      </c>
      <c r="E56" s="1597" t="s">
        <v>3316</v>
      </c>
      <c r="G56" t="s">
        <v>294</v>
      </c>
      <c r="H56" t="s">
        <v>3278</v>
      </c>
      <c r="I56" t="s">
        <v>3317</v>
      </c>
      <c r="J56" t="str">
        <f t="shared" si="1"/>
        <v>UDV.econ_manure.sludge_sell_price</v>
      </c>
      <c r="K56" t="s">
        <v>1332</v>
      </c>
      <c r="L56" t="s">
        <v>1401</v>
      </c>
      <c r="M56" t="s">
        <v>3334</v>
      </c>
      <c r="N56" t="str">
        <f t="shared" si="2"/>
        <v>UDV.UDV.econ_manure.sludge_sell_price</v>
      </c>
    </row>
    <row r="57" spans="1:14" x14ac:dyDescent="0.3">
      <c r="A57" t="s">
        <v>3335</v>
      </c>
      <c r="B57" t="s">
        <v>39</v>
      </c>
      <c r="C57" t="s">
        <v>3336</v>
      </c>
      <c r="D57" s="2087">
        <f t="shared" si="3"/>
        <v>0</v>
      </c>
      <c r="E57" s="1597" t="s">
        <v>3316</v>
      </c>
      <c r="G57" t="s">
        <v>3337</v>
      </c>
      <c r="H57" t="s">
        <v>3278</v>
      </c>
      <c r="I57" t="s">
        <v>3317</v>
      </c>
      <c r="J57" t="str">
        <f t="shared" si="1"/>
        <v>UDV.econ_manure.sludge_give_cost</v>
      </c>
      <c r="K57" t="s">
        <v>1332</v>
      </c>
      <c r="L57" t="s">
        <v>1395</v>
      </c>
      <c r="M57" t="s">
        <v>3338</v>
      </c>
      <c r="N57" t="str">
        <f t="shared" si="2"/>
        <v>UDV.UDV.econ_manure.sludge_give_cost</v>
      </c>
    </row>
    <row r="58" spans="1:14" x14ac:dyDescent="0.3">
      <c r="A58" t="s">
        <v>1392</v>
      </c>
      <c r="B58" t="s">
        <v>39</v>
      </c>
      <c r="C58" t="s">
        <v>3339</v>
      </c>
      <c r="D58" s="2087">
        <f t="shared" si="3"/>
        <v>16.7</v>
      </c>
      <c r="E58" s="1597" t="s">
        <v>3316</v>
      </c>
      <c r="G58" t="s">
        <v>289</v>
      </c>
      <c r="H58" t="s">
        <v>3278</v>
      </c>
      <c r="I58" t="s">
        <v>3317</v>
      </c>
      <c r="J58" t="str">
        <f t="shared" si="1"/>
        <v>UDV.econ_manure.sludge_export_cost</v>
      </c>
      <c r="K58" t="s">
        <v>1332</v>
      </c>
      <c r="L58" t="s">
        <v>1391</v>
      </c>
      <c r="M58" t="s">
        <v>3340</v>
      </c>
      <c r="N58" t="str">
        <f t="shared" si="2"/>
        <v>UDV.UDV.econ_manure.sludge_export_cost</v>
      </c>
    </row>
    <row r="59" spans="1:14" x14ac:dyDescent="0.3">
      <c r="A59" t="s">
        <v>3341</v>
      </c>
      <c r="B59" t="s">
        <v>39</v>
      </c>
      <c r="C59" t="s">
        <v>3342</v>
      </c>
      <c r="D59" s="2087">
        <f t="shared" si="3"/>
        <v>26.5</v>
      </c>
      <c r="E59" s="1597" t="s">
        <v>3343</v>
      </c>
      <c r="G59" t="s">
        <v>295</v>
      </c>
      <c r="H59" t="s">
        <v>3278</v>
      </c>
      <c r="I59" t="s">
        <v>3317</v>
      </c>
      <c r="J59" t="str">
        <f t="shared" si="1"/>
        <v>UDV.econ_manure.sep_solids_sell_price</v>
      </c>
      <c r="K59" t="s">
        <v>1332</v>
      </c>
      <c r="L59" t="s">
        <v>1377</v>
      </c>
      <c r="M59" t="s">
        <v>3344</v>
      </c>
      <c r="N59" t="str">
        <f t="shared" si="2"/>
        <v>UDV.UDV.econ_manure.sep_solids_sell_price</v>
      </c>
    </row>
    <row r="60" spans="1:14" x14ac:dyDescent="0.3">
      <c r="A60" t="s">
        <v>3345</v>
      </c>
      <c r="B60" t="s">
        <v>39</v>
      </c>
      <c r="C60" t="s">
        <v>3346</v>
      </c>
      <c r="D60" s="2087">
        <f t="shared" si="3"/>
        <v>0</v>
      </c>
      <c r="E60" s="1597" t="s">
        <v>3343</v>
      </c>
      <c r="G60" t="s">
        <v>3347</v>
      </c>
      <c r="H60" t="s">
        <v>3278</v>
      </c>
      <c r="I60" t="s">
        <v>3317</v>
      </c>
      <c r="J60" t="str">
        <f t="shared" si="1"/>
        <v>UDV.econ_manure.sep_solids_give_cost</v>
      </c>
      <c r="K60" t="s">
        <v>1332</v>
      </c>
      <c r="L60" t="s">
        <v>1371</v>
      </c>
      <c r="M60" t="s">
        <v>3348</v>
      </c>
      <c r="N60" t="str">
        <f t="shared" si="2"/>
        <v>UDV.UDV.econ_manure.sep_solids_give_cost</v>
      </c>
    </row>
    <row r="61" spans="1:14" x14ac:dyDescent="0.3">
      <c r="A61" t="s">
        <v>3349</v>
      </c>
      <c r="B61" t="s">
        <v>39</v>
      </c>
      <c r="C61" t="s">
        <v>3350</v>
      </c>
      <c r="D61" s="2087">
        <f t="shared" si="3"/>
        <v>41.5</v>
      </c>
      <c r="E61" s="1597" t="s">
        <v>3343</v>
      </c>
      <c r="G61" t="s">
        <v>290</v>
      </c>
      <c r="H61" t="s">
        <v>3278</v>
      </c>
      <c r="I61" t="s">
        <v>3317</v>
      </c>
      <c r="J61" t="str">
        <f t="shared" si="1"/>
        <v>UDV.econ_manure.sep_solids_export_cost</v>
      </c>
      <c r="K61" t="s">
        <v>1332</v>
      </c>
      <c r="L61" t="s">
        <v>1367</v>
      </c>
      <c r="M61" t="s">
        <v>3351</v>
      </c>
      <c r="N61" t="str">
        <f t="shared" si="2"/>
        <v>UDV.UDV.econ_manure.sep_solids_export_cost</v>
      </c>
    </row>
    <row r="62" spans="1:14" x14ac:dyDescent="0.3">
      <c r="A62" t="s">
        <v>3352</v>
      </c>
      <c r="B62" t="s">
        <v>39</v>
      </c>
      <c r="C62" t="s">
        <v>3353</v>
      </c>
      <c r="D62" s="2087">
        <f t="shared" si="3"/>
        <v>45</v>
      </c>
      <c r="E62" s="1597" t="s">
        <v>3343</v>
      </c>
      <c r="G62" t="s">
        <v>296</v>
      </c>
      <c r="H62" t="s">
        <v>3278</v>
      </c>
      <c r="I62" t="s">
        <v>3317</v>
      </c>
      <c r="J62" t="str">
        <f t="shared" si="1"/>
        <v>UDV.econ_manure.compost_sell_price</v>
      </c>
      <c r="K62" t="s">
        <v>1332</v>
      </c>
      <c r="L62" t="s">
        <v>1347</v>
      </c>
      <c r="M62" t="s">
        <v>3354</v>
      </c>
      <c r="N62" t="str">
        <f t="shared" si="2"/>
        <v>UDV.UDV.econ_manure.compost_sell_price</v>
      </c>
    </row>
    <row r="63" spans="1:14" x14ac:dyDescent="0.3">
      <c r="A63" t="s">
        <v>3355</v>
      </c>
      <c r="B63" t="s">
        <v>39</v>
      </c>
      <c r="C63" t="s">
        <v>3356</v>
      </c>
      <c r="D63" s="2087">
        <f t="shared" si="3"/>
        <v>0</v>
      </c>
      <c r="E63" s="1597" t="s">
        <v>3343</v>
      </c>
      <c r="G63" t="s">
        <v>3357</v>
      </c>
      <c r="H63" t="s">
        <v>3278</v>
      </c>
      <c r="I63" t="s">
        <v>3317</v>
      </c>
      <c r="J63" t="str">
        <f t="shared" si="1"/>
        <v>UDV.econ_manure.compost_give_cost</v>
      </c>
      <c r="K63" t="s">
        <v>1332</v>
      </c>
      <c r="L63" t="s">
        <v>1340</v>
      </c>
      <c r="M63" t="s">
        <v>3358</v>
      </c>
      <c r="N63" t="str">
        <f t="shared" si="2"/>
        <v>UDV.UDV.econ_manure.compost_give_cost</v>
      </c>
    </row>
    <row r="64" spans="1:14" x14ac:dyDescent="0.3">
      <c r="A64" t="s">
        <v>3359</v>
      </c>
      <c r="B64" t="s">
        <v>39</v>
      </c>
      <c r="C64" t="s">
        <v>3360</v>
      </c>
      <c r="D64" s="2087">
        <f t="shared" si="3"/>
        <v>41.5</v>
      </c>
      <c r="E64" s="1597" t="s">
        <v>3343</v>
      </c>
      <c r="G64" t="s">
        <v>291</v>
      </c>
      <c r="H64" t="s">
        <v>3278</v>
      </c>
      <c r="I64" t="s">
        <v>3317</v>
      </c>
      <c r="J64" t="str">
        <f t="shared" si="1"/>
        <v>UDV.econ_manure.compost_export_cost</v>
      </c>
      <c r="K64" t="s">
        <v>1332</v>
      </c>
      <c r="L64" t="s">
        <v>1333</v>
      </c>
      <c r="M64" t="s">
        <v>3361</v>
      </c>
      <c r="N64" t="str">
        <f t="shared" si="2"/>
        <v>UDV.UDV.econ_manure.compost_export_cost</v>
      </c>
    </row>
    <row r="65" spans="1:14" x14ac:dyDescent="0.3">
      <c r="A65" s="99" t="s">
        <v>348</v>
      </c>
      <c r="B65" t="s">
        <v>39</v>
      </c>
      <c r="C65" t="s">
        <v>3362</v>
      </c>
      <c r="D65" s="2087">
        <f t="shared" si="3"/>
        <v>59700</v>
      </c>
      <c r="E65" s="1596" t="s">
        <v>2765</v>
      </c>
      <c r="G65" t="s">
        <v>375</v>
      </c>
      <c r="H65" t="s">
        <v>3363</v>
      </c>
      <c r="I65" t="s">
        <v>3043</v>
      </c>
      <c r="J65" t="str">
        <f t="shared" si="1"/>
        <v>UDV.econ_skid_steer.loader</v>
      </c>
      <c r="K65" t="s">
        <v>1512</v>
      </c>
      <c r="L65" t="s">
        <v>1513</v>
      </c>
      <c r="M65" t="s">
        <v>394</v>
      </c>
      <c r="N65" t="str">
        <f t="shared" si="2"/>
        <v>UDV.UDV.econ_skid_steer.loader</v>
      </c>
    </row>
    <row r="66" spans="1:14" x14ac:dyDescent="0.3">
      <c r="A66" s="99" t="s">
        <v>1576</v>
      </c>
      <c r="B66" t="s">
        <v>39</v>
      </c>
      <c r="C66" t="s">
        <v>3364</v>
      </c>
      <c r="D66" s="2088">
        <f t="shared" si="3"/>
        <v>58700</v>
      </c>
      <c r="E66" s="1596" t="s">
        <v>2765</v>
      </c>
      <c r="F66" s="34"/>
      <c r="G66" t="s">
        <v>378</v>
      </c>
      <c r="H66" t="s">
        <v>3363</v>
      </c>
      <c r="I66" t="s">
        <v>3043</v>
      </c>
      <c r="J66" t="str">
        <f t="shared" si="1"/>
        <v>UDV.econ_truck.pickup</v>
      </c>
      <c r="K66" t="s">
        <v>1573</v>
      </c>
      <c r="L66" t="s">
        <v>1574</v>
      </c>
      <c r="M66" t="s">
        <v>395</v>
      </c>
      <c r="N66" t="str">
        <f t="shared" si="2"/>
        <v>UDV.UDV.econ_truck.pickup</v>
      </c>
    </row>
    <row r="67" spans="1:14" x14ac:dyDescent="0.3">
      <c r="A67" s="99" t="s">
        <v>1535</v>
      </c>
      <c r="B67" t="s">
        <v>39</v>
      </c>
      <c r="C67" t="s">
        <v>3365</v>
      </c>
      <c r="D67" s="2087">
        <f t="shared" ref="D67:D98" si="4">INDEX(UDV,MATCH(G67,UDN,0))</f>
        <v>7500</v>
      </c>
      <c r="E67" s="1596" t="s">
        <v>2765</v>
      </c>
      <c r="G67" t="s">
        <v>393</v>
      </c>
      <c r="H67" t="s">
        <v>3363</v>
      </c>
      <c r="I67" t="s">
        <v>3043</v>
      </c>
      <c r="J67" t="str">
        <f t="shared" si="1"/>
        <v>UDV.econ_toolbar.loader</v>
      </c>
      <c r="K67" t="s">
        <v>1528</v>
      </c>
      <c r="L67" t="s">
        <v>1513</v>
      </c>
      <c r="M67" t="s">
        <v>401</v>
      </c>
      <c r="N67" t="str">
        <f t="shared" si="2"/>
        <v>UDV.UDV.econ_toolbar.loader</v>
      </c>
    </row>
    <row r="68" spans="1:14" x14ac:dyDescent="0.3">
      <c r="A68" s="99" t="s">
        <v>3366</v>
      </c>
      <c r="B68" t="s">
        <v>3367</v>
      </c>
      <c r="C68" t="s">
        <v>3368</v>
      </c>
      <c r="D68" s="2087">
        <f t="shared" si="4"/>
        <v>7100</v>
      </c>
      <c r="E68" s="1596" t="s">
        <v>2765</v>
      </c>
      <c r="F68" t="s">
        <v>3162</v>
      </c>
      <c r="G68" t="s">
        <v>3369</v>
      </c>
      <c r="H68" t="s">
        <v>3363</v>
      </c>
      <c r="I68" t="s">
        <v>3043</v>
      </c>
      <c r="J68" t="str">
        <f t="shared" ref="J68:J131" si="5">_xlfn.CONCAT("UDV.",K68,".",L68)</f>
        <v>UDV.econ_toolbar.rotary_tiller_6ft</v>
      </c>
      <c r="K68" t="s">
        <v>1528</v>
      </c>
      <c r="L68" t="s">
        <v>1544</v>
      </c>
      <c r="M68" t="s">
        <v>3370</v>
      </c>
      <c r="N68" t="str">
        <f t="shared" ref="N68:N131" si="6">_xlfn.CONCAT("UDV.",G68)</f>
        <v>UDV.UDV.econ_toolbar.rotary_tiller_6ft</v>
      </c>
    </row>
    <row r="69" spans="1:14" x14ac:dyDescent="0.3">
      <c r="A69" s="99" t="s">
        <v>3366</v>
      </c>
      <c r="B69" t="s">
        <v>3371</v>
      </c>
      <c r="C69" t="s">
        <v>3372</v>
      </c>
      <c r="D69" s="2087">
        <f t="shared" si="4"/>
        <v>14200</v>
      </c>
      <c r="E69" s="1596" t="s">
        <v>2765</v>
      </c>
      <c r="F69" t="s">
        <v>3162</v>
      </c>
      <c r="G69" t="s">
        <v>3373</v>
      </c>
      <c r="H69" t="s">
        <v>3363</v>
      </c>
      <c r="I69" t="s">
        <v>3043</v>
      </c>
      <c r="J69" t="str">
        <f t="shared" si="5"/>
        <v>UDV.econ_toolbar.rotary_tiller_13ft</v>
      </c>
      <c r="K69" t="s">
        <v>1528</v>
      </c>
      <c r="L69" t="s">
        <v>1539</v>
      </c>
      <c r="M69" t="s">
        <v>3374</v>
      </c>
      <c r="N69" t="str">
        <f t="shared" si="6"/>
        <v>UDV.UDV.econ_toolbar.rotary_tiller_13ft</v>
      </c>
    </row>
    <row r="70" spans="1:14" x14ac:dyDescent="0.3">
      <c r="A70" s="99" t="s">
        <v>3366</v>
      </c>
      <c r="B70" t="s">
        <v>3375</v>
      </c>
      <c r="C70" t="s">
        <v>3376</v>
      </c>
      <c r="D70" s="2087">
        <f t="shared" si="4"/>
        <v>23300</v>
      </c>
      <c r="E70" s="1596" t="s">
        <v>2765</v>
      </c>
      <c r="F70" t="s">
        <v>3162</v>
      </c>
      <c r="G70" t="s">
        <v>3377</v>
      </c>
      <c r="H70" t="s">
        <v>3363</v>
      </c>
      <c r="I70" t="s">
        <v>3043</v>
      </c>
      <c r="J70" t="str">
        <f t="shared" si="5"/>
        <v>UDV.econ_toolbar.rotary_tiller_20ft</v>
      </c>
      <c r="K70" t="s">
        <v>1528</v>
      </c>
      <c r="L70" t="s">
        <v>1542</v>
      </c>
      <c r="M70" t="s">
        <v>3378</v>
      </c>
      <c r="N70" t="str">
        <f t="shared" si="6"/>
        <v>UDV.UDV.econ_toolbar.rotary_tiller_20ft</v>
      </c>
    </row>
    <row r="71" spans="1:14" x14ac:dyDescent="0.3">
      <c r="A71" s="99" t="s">
        <v>1538</v>
      </c>
      <c r="B71" t="s">
        <v>39</v>
      </c>
      <c r="C71" t="s">
        <v>3379</v>
      </c>
      <c r="D71" s="2087">
        <f t="shared" si="4"/>
        <v>1800</v>
      </c>
      <c r="E71" s="1596" t="s">
        <v>2765</v>
      </c>
      <c r="F71" s="34"/>
      <c r="G71" t="s">
        <v>3380</v>
      </c>
      <c r="H71" t="s">
        <v>3363</v>
      </c>
      <c r="I71" t="s">
        <v>3043</v>
      </c>
      <c r="J71" t="str">
        <f t="shared" si="5"/>
        <v>UDV.econ_toolbar.rake</v>
      </c>
      <c r="K71" t="s">
        <v>1528</v>
      </c>
      <c r="L71" t="s">
        <v>1536</v>
      </c>
      <c r="M71" t="s">
        <v>3381</v>
      </c>
      <c r="N71" t="str">
        <f t="shared" si="6"/>
        <v>UDV.UDV.econ_toolbar.rake</v>
      </c>
    </row>
    <row r="72" spans="1:14" x14ac:dyDescent="0.3">
      <c r="A72" t="s">
        <v>1497</v>
      </c>
      <c r="B72" t="s">
        <v>39</v>
      </c>
      <c r="C72" t="s">
        <v>3382</v>
      </c>
      <c r="D72" s="2087">
        <f t="shared" si="4"/>
        <v>49700</v>
      </c>
      <c r="E72" s="1596" t="s">
        <v>2765</v>
      </c>
      <c r="F72" t="s">
        <v>3162</v>
      </c>
      <c r="G72" t="s">
        <v>3383</v>
      </c>
      <c r="H72" t="s">
        <v>3384</v>
      </c>
      <c r="I72" s="199" t="s">
        <v>3385</v>
      </c>
      <c r="J72" t="str">
        <f t="shared" si="5"/>
        <v>UDV.econ_roller_press.24in</v>
      </c>
      <c r="K72" t="s">
        <v>1494</v>
      </c>
      <c r="L72" t="s">
        <v>1495</v>
      </c>
      <c r="M72" t="s">
        <v>3386</v>
      </c>
      <c r="N72" t="str">
        <f t="shared" si="6"/>
        <v>UDV.UDV.econ_roller_press.24in</v>
      </c>
    </row>
    <row r="73" spans="1:14" x14ac:dyDescent="0.3">
      <c r="A73" t="s">
        <v>1499</v>
      </c>
      <c r="B73" t="s">
        <v>39</v>
      </c>
      <c r="C73" t="s">
        <v>3387</v>
      </c>
      <c r="D73" s="2087">
        <f t="shared" si="4"/>
        <v>54600</v>
      </c>
      <c r="E73" s="1596" t="s">
        <v>2765</v>
      </c>
      <c r="F73" t="s">
        <v>3162</v>
      </c>
      <c r="G73" t="s">
        <v>3388</v>
      </c>
      <c r="H73" t="s">
        <v>3384</v>
      </c>
      <c r="I73" s="199" t="s">
        <v>3385</v>
      </c>
      <c r="J73" t="str">
        <f t="shared" si="5"/>
        <v>UDV.econ_roller_press.36in</v>
      </c>
      <c r="K73" t="s">
        <v>1494</v>
      </c>
      <c r="L73" t="s">
        <v>1498</v>
      </c>
      <c r="M73" t="s">
        <v>3389</v>
      </c>
      <c r="N73" t="str">
        <f t="shared" si="6"/>
        <v>UDV.UDV.econ_roller_press.36in</v>
      </c>
    </row>
    <row r="74" spans="1:14" x14ac:dyDescent="0.3">
      <c r="A74" t="s">
        <v>1501</v>
      </c>
      <c r="B74" t="s">
        <v>39</v>
      </c>
      <c r="C74" t="s">
        <v>3390</v>
      </c>
      <c r="D74" s="2087">
        <f t="shared" si="4"/>
        <v>62100</v>
      </c>
      <c r="E74" s="1596" t="s">
        <v>2765</v>
      </c>
      <c r="F74" t="s">
        <v>3162</v>
      </c>
      <c r="G74" t="s">
        <v>3391</v>
      </c>
      <c r="H74" t="s">
        <v>3384</v>
      </c>
      <c r="I74" s="199" t="s">
        <v>3385</v>
      </c>
      <c r="J74" t="str">
        <f t="shared" si="5"/>
        <v>UDV.econ_roller_press.48in</v>
      </c>
      <c r="K74" t="s">
        <v>1494</v>
      </c>
      <c r="L74" t="s">
        <v>1500</v>
      </c>
      <c r="M74" t="s">
        <v>3392</v>
      </c>
      <c r="N74" t="str">
        <f t="shared" si="6"/>
        <v>UDV.UDV.econ_roller_press.48in</v>
      </c>
    </row>
    <row r="75" spans="1:14" x14ac:dyDescent="0.3">
      <c r="A75" t="s">
        <v>1503</v>
      </c>
      <c r="B75" t="s">
        <v>39</v>
      </c>
      <c r="C75" t="s">
        <v>3393</v>
      </c>
      <c r="D75" s="2087">
        <f t="shared" si="4"/>
        <v>74600</v>
      </c>
      <c r="E75" s="1596" t="s">
        <v>2765</v>
      </c>
      <c r="F75" t="s">
        <v>3162</v>
      </c>
      <c r="G75" t="s">
        <v>3394</v>
      </c>
      <c r="H75" t="s">
        <v>3384</v>
      </c>
      <c r="I75" s="199" t="s">
        <v>3385</v>
      </c>
      <c r="J75" t="str">
        <f t="shared" si="5"/>
        <v>UDV.econ_roller_press.72in</v>
      </c>
      <c r="K75" t="s">
        <v>1494</v>
      </c>
      <c r="L75" t="s">
        <v>1502</v>
      </c>
      <c r="M75" t="s">
        <v>3395</v>
      </c>
      <c r="N75" t="str">
        <f t="shared" si="6"/>
        <v>UDV.UDV.econ_roller_press.72in</v>
      </c>
    </row>
    <row r="76" spans="1:14" x14ac:dyDescent="0.3">
      <c r="A76" t="s">
        <v>1493</v>
      </c>
      <c r="B76" t="s">
        <v>39</v>
      </c>
      <c r="C76" t="s">
        <v>3396</v>
      </c>
      <c r="D76" s="2087">
        <f t="shared" si="4"/>
        <v>50300</v>
      </c>
      <c r="E76" s="1596" t="s">
        <v>2765</v>
      </c>
      <c r="F76" t="s">
        <v>3162</v>
      </c>
      <c r="G76" t="s">
        <v>3397</v>
      </c>
      <c r="H76" t="s">
        <v>3398</v>
      </c>
      <c r="I76" s="199" t="s">
        <v>3399</v>
      </c>
      <c r="J76" t="str">
        <f t="shared" si="5"/>
        <v>UDV.econ_rds.94ft</v>
      </c>
      <c r="K76" t="s">
        <v>1486</v>
      </c>
      <c r="L76" t="s">
        <v>1492</v>
      </c>
      <c r="M76" t="s">
        <v>3400</v>
      </c>
      <c r="N76" t="str">
        <f t="shared" si="6"/>
        <v>UDV.UDV.econ_rds.94ft</v>
      </c>
    </row>
    <row r="77" spans="1:14" x14ac:dyDescent="0.3">
      <c r="A77" t="s">
        <v>1489</v>
      </c>
      <c r="B77" t="s">
        <v>39</v>
      </c>
      <c r="C77" t="s">
        <v>3401</v>
      </c>
      <c r="D77" s="2087">
        <f t="shared" si="4"/>
        <v>81900</v>
      </c>
      <c r="E77" s="1596" t="s">
        <v>2765</v>
      </c>
      <c r="F77" t="s">
        <v>3162</v>
      </c>
      <c r="G77" t="s">
        <v>3402</v>
      </c>
      <c r="H77" t="s">
        <v>3398</v>
      </c>
      <c r="I77" s="199" t="s">
        <v>3399</v>
      </c>
      <c r="J77" t="str">
        <f t="shared" si="5"/>
        <v>UDV.econ_rds.138ft</v>
      </c>
      <c r="K77" t="s">
        <v>1486</v>
      </c>
      <c r="L77" t="s">
        <v>1487</v>
      </c>
      <c r="M77" t="s">
        <v>3403</v>
      </c>
      <c r="N77" t="str">
        <f t="shared" si="6"/>
        <v>UDV.UDV.econ_rds.138ft</v>
      </c>
    </row>
    <row r="78" spans="1:14" x14ac:dyDescent="0.3">
      <c r="A78" t="s">
        <v>1491</v>
      </c>
      <c r="B78" t="s">
        <v>39</v>
      </c>
      <c r="C78" t="s">
        <v>3404</v>
      </c>
      <c r="D78" s="2087">
        <f t="shared" si="4"/>
        <v>99300</v>
      </c>
      <c r="E78" s="1596" t="s">
        <v>2765</v>
      </c>
      <c r="F78" t="s">
        <v>3162</v>
      </c>
      <c r="G78" t="s">
        <v>3405</v>
      </c>
      <c r="H78" t="s">
        <v>3398</v>
      </c>
      <c r="I78" s="199" t="s">
        <v>3399</v>
      </c>
      <c r="J78" t="str">
        <f t="shared" si="5"/>
        <v>UDV.econ_rds.188ft</v>
      </c>
      <c r="K78" t="s">
        <v>1486</v>
      </c>
      <c r="L78" t="s">
        <v>1490</v>
      </c>
      <c r="M78" t="s">
        <v>3406</v>
      </c>
      <c r="N78" t="str">
        <f t="shared" si="6"/>
        <v>UDV.UDV.econ_rds.188ft</v>
      </c>
    </row>
    <row r="79" spans="1:14" x14ac:dyDescent="0.3">
      <c r="A79" t="s">
        <v>3407</v>
      </c>
      <c r="B79" t="s">
        <v>39</v>
      </c>
      <c r="C79" t="s">
        <v>3408</v>
      </c>
      <c r="D79" s="2087">
        <f t="shared" si="4"/>
        <v>50100</v>
      </c>
      <c r="E79" s="1596" t="s">
        <v>2765</v>
      </c>
      <c r="F79" t="s">
        <v>3162</v>
      </c>
      <c r="G79" t="s">
        <v>3409</v>
      </c>
      <c r="H79" t="s">
        <v>3410</v>
      </c>
      <c r="I79" s="199" t="s">
        <v>2954</v>
      </c>
      <c r="J79" t="str">
        <f t="shared" si="5"/>
        <v>UDV.econ_screw_press.single_10hp</v>
      </c>
      <c r="K79" t="s">
        <v>1504</v>
      </c>
      <c r="L79" t="s">
        <v>1508</v>
      </c>
      <c r="M79" t="s">
        <v>3411</v>
      </c>
      <c r="N79" t="str">
        <f t="shared" si="6"/>
        <v>UDV.UDV.econ_screw_press.single_10hp</v>
      </c>
    </row>
    <row r="80" spans="1:14" x14ac:dyDescent="0.3">
      <c r="A80" t="s">
        <v>3412</v>
      </c>
      <c r="B80" t="s">
        <v>39</v>
      </c>
      <c r="C80" t="s">
        <v>3413</v>
      </c>
      <c r="D80" s="2087">
        <f t="shared" si="4"/>
        <v>59500</v>
      </c>
      <c r="E80" s="1596" t="s">
        <v>2765</v>
      </c>
      <c r="F80" t="s">
        <v>3162</v>
      </c>
      <c r="G80" t="s">
        <v>3414</v>
      </c>
      <c r="H80" t="s">
        <v>3410</v>
      </c>
      <c r="I80" s="199" t="s">
        <v>2954</v>
      </c>
      <c r="J80" t="str">
        <f t="shared" si="5"/>
        <v>UDV.econ_screw_press.single_15hp</v>
      </c>
      <c r="K80" t="s">
        <v>1504</v>
      </c>
      <c r="L80" t="s">
        <v>1510</v>
      </c>
      <c r="M80" t="s">
        <v>3415</v>
      </c>
      <c r="N80" t="str">
        <f t="shared" si="6"/>
        <v>UDV.UDV.econ_screw_press.single_15hp</v>
      </c>
    </row>
    <row r="81" spans="1:14" x14ac:dyDescent="0.3">
      <c r="A81" t="s">
        <v>3416</v>
      </c>
      <c r="B81" t="s">
        <v>39</v>
      </c>
      <c r="C81" t="s">
        <v>3417</v>
      </c>
      <c r="D81" s="2087">
        <f t="shared" si="4"/>
        <v>113800</v>
      </c>
      <c r="E81" s="1596" t="s">
        <v>2765</v>
      </c>
      <c r="F81" t="s">
        <v>3162</v>
      </c>
      <c r="G81" t="s">
        <v>3418</v>
      </c>
      <c r="H81" t="s">
        <v>3410</v>
      </c>
      <c r="I81" s="199" t="s">
        <v>2954</v>
      </c>
      <c r="J81" t="str">
        <f t="shared" si="5"/>
        <v>UDV.econ_screw_press.double_15hp</v>
      </c>
      <c r="K81" t="s">
        <v>1504</v>
      </c>
      <c r="L81" t="s">
        <v>1505</v>
      </c>
      <c r="M81" t="s">
        <v>3419</v>
      </c>
      <c r="N81" t="str">
        <f t="shared" si="6"/>
        <v>UDV.UDV.econ_screw_press.double_15hp</v>
      </c>
    </row>
    <row r="82" spans="1:14" x14ac:dyDescent="0.3">
      <c r="A82" t="s">
        <v>1518</v>
      </c>
      <c r="B82" t="s">
        <v>39</v>
      </c>
      <c r="C82" t="s">
        <v>3420</v>
      </c>
      <c r="D82" s="2087">
        <f t="shared" si="4"/>
        <v>24400</v>
      </c>
      <c r="E82" s="1596" t="s">
        <v>2765</v>
      </c>
      <c r="F82" t="s">
        <v>3162</v>
      </c>
      <c r="G82" t="s">
        <v>3421</v>
      </c>
      <c r="H82" t="s">
        <v>3422</v>
      </c>
      <c r="I82" s="199" t="s">
        <v>3423</v>
      </c>
      <c r="J82" t="str">
        <f t="shared" si="5"/>
        <v>UDV.econ_slope_screen.32ft</v>
      </c>
      <c r="K82" t="s">
        <v>1515</v>
      </c>
      <c r="L82" t="s">
        <v>1516</v>
      </c>
      <c r="M82" t="s">
        <v>3424</v>
      </c>
      <c r="N82" t="str">
        <f t="shared" si="6"/>
        <v>UDV.UDV.econ_slope_screen.32ft</v>
      </c>
    </row>
    <row r="83" spans="1:14" x14ac:dyDescent="0.3">
      <c r="A83" t="s">
        <v>1520</v>
      </c>
      <c r="B83" t="s">
        <v>39</v>
      </c>
      <c r="C83" t="s">
        <v>3425</v>
      </c>
      <c r="D83" s="2087">
        <f t="shared" si="4"/>
        <v>47200</v>
      </c>
      <c r="E83" s="1596" t="s">
        <v>2765</v>
      </c>
      <c r="F83" t="s">
        <v>3162</v>
      </c>
      <c r="G83" t="s">
        <v>3426</v>
      </c>
      <c r="H83" t="s">
        <v>3422</v>
      </c>
      <c r="I83" s="199" t="s">
        <v>3423</v>
      </c>
      <c r="J83" t="str">
        <f t="shared" si="5"/>
        <v>UDV.econ_slope_screen.64ft</v>
      </c>
      <c r="K83" t="s">
        <v>1515</v>
      </c>
      <c r="L83" t="s">
        <v>1519</v>
      </c>
      <c r="M83" t="s">
        <v>3427</v>
      </c>
      <c r="N83" t="str">
        <f t="shared" si="6"/>
        <v>UDV.UDV.econ_slope_screen.64ft</v>
      </c>
    </row>
    <row r="84" spans="1:14" x14ac:dyDescent="0.3">
      <c r="A84" t="s">
        <v>1522</v>
      </c>
      <c r="B84" t="s">
        <v>39</v>
      </c>
      <c r="C84" t="s">
        <v>3428</v>
      </c>
      <c r="D84" s="2087">
        <f t="shared" si="4"/>
        <v>64800</v>
      </c>
      <c r="E84" s="1596" t="s">
        <v>2765</v>
      </c>
      <c r="F84" t="s">
        <v>3162</v>
      </c>
      <c r="G84" t="s">
        <v>3429</v>
      </c>
      <c r="H84" t="s">
        <v>3422</v>
      </c>
      <c r="I84" s="199" t="s">
        <v>3423</v>
      </c>
      <c r="J84" t="str">
        <f t="shared" si="5"/>
        <v>UDV.econ_slope_screen.96ft</v>
      </c>
      <c r="K84" t="s">
        <v>1515</v>
      </c>
      <c r="L84" t="s">
        <v>1521</v>
      </c>
      <c r="M84" t="s">
        <v>3430</v>
      </c>
      <c r="N84" t="str">
        <f t="shared" si="6"/>
        <v>UDV.UDV.econ_slope_screen.96ft</v>
      </c>
    </row>
    <row r="85" spans="1:14" x14ac:dyDescent="0.3">
      <c r="A85" t="s">
        <v>3431</v>
      </c>
      <c r="B85" t="s">
        <v>39</v>
      </c>
      <c r="C85" t="s">
        <v>3432</v>
      </c>
      <c r="D85" s="2087">
        <f t="shared" si="4"/>
        <v>414200</v>
      </c>
      <c r="E85" s="1596" t="s">
        <v>2765</v>
      </c>
      <c r="F85" t="s">
        <v>3162</v>
      </c>
      <c r="G85" t="s">
        <v>3433</v>
      </c>
      <c r="H85" t="s">
        <v>3434</v>
      </c>
      <c r="I85" s="199" t="s">
        <v>3435</v>
      </c>
      <c r="J85" t="str">
        <f t="shared" si="5"/>
        <v>UDV.econ_centrifuge.158ft3</v>
      </c>
      <c r="K85" t="s">
        <v>1262</v>
      </c>
      <c r="L85" t="s">
        <v>1263</v>
      </c>
      <c r="M85" t="s">
        <v>3436</v>
      </c>
      <c r="N85" t="str">
        <f t="shared" si="6"/>
        <v>UDV.UDV.econ_centrifuge.158ft3</v>
      </c>
    </row>
    <row r="86" spans="1:14" x14ac:dyDescent="0.3">
      <c r="A86" t="s">
        <v>3437</v>
      </c>
      <c r="B86" t="s">
        <v>39</v>
      </c>
      <c r="C86" t="s">
        <v>3438</v>
      </c>
      <c r="D86" s="2087">
        <f t="shared" si="4"/>
        <v>536700</v>
      </c>
      <c r="E86" s="1596" t="s">
        <v>2765</v>
      </c>
      <c r="F86" t="s">
        <v>3162</v>
      </c>
      <c r="G86" t="s">
        <v>3439</v>
      </c>
      <c r="H86" t="s">
        <v>3434</v>
      </c>
      <c r="I86" s="199" t="s">
        <v>3435</v>
      </c>
      <c r="J86" t="str">
        <f t="shared" si="5"/>
        <v>UDV.econ_centrifuge.209ft3</v>
      </c>
      <c r="K86" t="s">
        <v>1262</v>
      </c>
      <c r="L86" t="s">
        <v>1266</v>
      </c>
      <c r="M86" t="s">
        <v>3440</v>
      </c>
      <c r="N86" t="str">
        <f t="shared" si="6"/>
        <v>UDV.UDV.econ_centrifuge.209ft3</v>
      </c>
    </row>
    <row r="87" spans="1:14" x14ac:dyDescent="0.3">
      <c r="A87" t="s">
        <v>3441</v>
      </c>
      <c r="B87" t="s">
        <v>39</v>
      </c>
      <c r="C87" t="s">
        <v>3442</v>
      </c>
      <c r="D87" s="2087">
        <f t="shared" si="4"/>
        <v>785400</v>
      </c>
      <c r="E87" s="1596" t="s">
        <v>2765</v>
      </c>
      <c r="F87" t="s">
        <v>3162</v>
      </c>
      <c r="G87" t="s">
        <v>3443</v>
      </c>
      <c r="H87" t="s">
        <v>3434</v>
      </c>
      <c r="I87" s="199" t="s">
        <v>3435</v>
      </c>
      <c r="J87" t="str">
        <f t="shared" si="5"/>
        <v>UDV.econ_centrifuge.452ft3</v>
      </c>
      <c r="K87" t="s">
        <v>1262</v>
      </c>
      <c r="L87" t="s">
        <v>1268</v>
      </c>
      <c r="M87" t="s">
        <v>3444</v>
      </c>
      <c r="N87" t="str">
        <f t="shared" si="6"/>
        <v>UDV.UDV.econ_centrifuge.452ft3</v>
      </c>
    </row>
    <row r="88" spans="1:14" x14ac:dyDescent="0.3">
      <c r="A88" t="s">
        <v>1300</v>
      </c>
      <c r="B88" t="s">
        <v>39</v>
      </c>
      <c r="C88" t="s">
        <v>3445</v>
      </c>
      <c r="D88" s="154">
        <f t="shared" si="4"/>
        <v>0.55000000000000004</v>
      </c>
      <c r="E88" s="1598" t="s">
        <v>3446</v>
      </c>
      <c r="F88" s="90" t="s">
        <v>3447</v>
      </c>
      <c r="G88" t="s">
        <v>3448</v>
      </c>
      <c r="H88" t="s">
        <v>1300</v>
      </c>
      <c r="I88" s="199" t="s">
        <v>3449</v>
      </c>
      <c r="J88" t="str">
        <f t="shared" si="5"/>
        <v>UDV.econ_elec.generation_equipment</v>
      </c>
      <c r="K88" t="s">
        <v>1296</v>
      </c>
      <c r="L88" t="s">
        <v>1298</v>
      </c>
      <c r="M88" t="s">
        <v>3450</v>
      </c>
      <c r="N88" t="str">
        <f t="shared" si="6"/>
        <v>UDV.UDV.econ_elec.generation_equipment</v>
      </c>
    </row>
    <row r="89" spans="1:14" x14ac:dyDescent="0.3">
      <c r="A89" t="s">
        <v>1302</v>
      </c>
      <c r="B89" t="s">
        <v>39</v>
      </c>
      <c r="C89" t="s">
        <v>3451</v>
      </c>
      <c r="D89" s="2087">
        <f t="shared" si="4"/>
        <v>283500</v>
      </c>
      <c r="E89" s="1596" t="s">
        <v>2765</v>
      </c>
      <c r="F89" t="s">
        <v>3162</v>
      </c>
      <c r="G89" t="s">
        <v>3452</v>
      </c>
      <c r="H89" t="s">
        <v>1300</v>
      </c>
      <c r="I89" s="199" t="s">
        <v>3223</v>
      </c>
      <c r="J89" t="str">
        <f t="shared" si="5"/>
        <v>UDV.econ_elec.grid_connection</v>
      </c>
      <c r="K89" t="s">
        <v>1296</v>
      </c>
      <c r="L89" t="s">
        <v>1301</v>
      </c>
      <c r="M89" t="s">
        <v>3453</v>
      </c>
      <c r="N89" t="str">
        <f t="shared" si="6"/>
        <v>UDV.UDV.econ_elec.grid_connection</v>
      </c>
    </row>
    <row r="90" spans="1:14" x14ac:dyDescent="0.3">
      <c r="A90" t="s">
        <v>1477</v>
      </c>
      <c r="B90" t="s">
        <v>39</v>
      </c>
      <c r="C90" t="s">
        <v>3454</v>
      </c>
      <c r="D90" s="2087">
        <f t="shared" si="4"/>
        <v>10800</v>
      </c>
      <c r="E90" s="1596" t="s">
        <v>2765</v>
      </c>
      <c r="G90" t="s">
        <v>3455</v>
      </c>
      <c r="H90" t="s">
        <v>3456</v>
      </c>
      <c r="I90" s="199" t="s">
        <v>3457</v>
      </c>
      <c r="J90" t="str">
        <f t="shared" si="5"/>
        <v>UDV.econ_pump.non_pto_flush</v>
      </c>
      <c r="K90" t="s">
        <v>1470</v>
      </c>
      <c r="L90" t="s">
        <v>1476</v>
      </c>
      <c r="M90" t="s">
        <v>3458</v>
      </c>
      <c r="N90" t="str">
        <f t="shared" si="6"/>
        <v>UDV.UDV.econ_pump.non_pto_flush</v>
      </c>
    </row>
    <row r="91" spans="1:14" x14ac:dyDescent="0.3">
      <c r="A91" t="s">
        <v>3021</v>
      </c>
      <c r="B91" t="s">
        <v>39</v>
      </c>
      <c r="C91" t="s">
        <v>1485</v>
      </c>
      <c r="D91" s="2087">
        <f t="shared" si="4"/>
        <v>26500</v>
      </c>
      <c r="E91" s="1596" t="s">
        <v>2765</v>
      </c>
      <c r="F91" s="34"/>
      <c r="G91" t="s">
        <v>3459</v>
      </c>
      <c r="H91" t="s">
        <v>3460</v>
      </c>
      <c r="I91" s="199" t="s">
        <v>3457</v>
      </c>
      <c r="J91" t="str">
        <f t="shared" si="5"/>
        <v>UDV.econ_pump.tractor_pto</v>
      </c>
      <c r="K91" t="s">
        <v>1470</v>
      </c>
      <c r="L91" t="s">
        <v>1484</v>
      </c>
      <c r="M91" t="s">
        <v>3461</v>
      </c>
      <c r="N91" t="str">
        <f t="shared" si="6"/>
        <v>UDV.UDV.econ_pump.tractor_pto</v>
      </c>
    </row>
    <row r="92" spans="1:14" x14ac:dyDescent="0.3">
      <c r="A92" t="s">
        <v>1466</v>
      </c>
      <c r="B92" t="s">
        <v>39</v>
      </c>
      <c r="C92" t="s">
        <v>3462</v>
      </c>
      <c r="D92" s="2087">
        <f t="shared" si="4"/>
        <v>9</v>
      </c>
      <c r="E92" s="1598" t="s">
        <v>3184</v>
      </c>
      <c r="F92" s="712" t="s">
        <v>3463</v>
      </c>
      <c r="G92" t="s">
        <v>3464</v>
      </c>
      <c r="H92" t="s">
        <v>3465</v>
      </c>
      <c r="I92" s="199" t="s">
        <v>3466</v>
      </c>
      <c r="J92" t="str">
        <f t="shared" si="5"/>
        <v>UDV.econ_pipe.manure</v>
      </c>
      <c r="K92" t="s">
        <v>1461</v>
      </c>
      <c r="L92" t="s">
        <v>938</v>
      </c>
      <c r="M92" t="s">
        <v>3467</v>
      </c>
      <c r="N92" t="str">
        <f t="shared" si="6"/>
        <v>UDV.UDV.econ_pipe.manure</v>
      </c>
    </row>
    <row r="93" spans="1:14" x14ac:dyDescent="0.3">
      <c r="A93" t="s">
        <v>1475</v>
      </c>
      <c r="B93" t="s">
        <v>39</v>
      </c>
      <c r="C93" t="s">
        <v>3468</v>
      </c>
      <c r="D93" s="2087">
        <f t="shared" si="4"/>
        <v>293400</v>
      </c>
      <c r="E93" s="1596" t="s">
        <v>2765</v>
      </c>
      <c r="F93" t="s">
        <v>3162</v>
      </c>
      <c r="G93" t="s">
        <v>3469</v>
      </c>
      <c r="H93" t="s">
        <v>3470</v>
      </c>
      <c r="I93" s="199" t="s">
        <v>3471</v>
      </c>
      <c r="J93" t="str">
        <f t="shared" si="5"/>
        <v>UDV.econ_pump.diesel_lead</v>
      </c>
      <c r="K93" t="s">
        <v>1470</v>
      </c>
      <c r="L93" t="s">
        <v>1474</v>
      </c>
      <c r="M93" t="s">
        <v>3472</v>
      </c>
      <c r="N93" t="str">
        <f t="shared" si="6"/>
        <v>UDV.UDV.econ_pump.diesel_lead</v>
      </c>
    </row>
    <row r="94" spans="1:14" x14ac:dyDescent="0.3">
      <c r="A94" t="s">
        <v>1473</v>
      </c>
      <c r="B94" t="s">
        <v>39</v>
      </c>
      <c r="C94" t="s">
        <v>3473</v>
      </c>
      <c r="D94" s="2087">
        <f t="shared" si="4"/>
        <v>197300</v>
      </c>
      <c r="E94" s="1596" t="s">
        <v>2765</v>
      </c>
      <c r="F94" t="s">
        <v>3162</v>
      </c>
      <c r="G94" t="s">
        <v>3474</v>
      </c>
      <c r="H94" t="s">
        <v>3470</v>
      </c>
      <c r="I94" s="199" t="s">
        <v>3471</v>
      </c>
      <c r="J94" t="str">
        <f t="shared" si="5"/>
        <v>UDV.econ_pump.diesel_booster</v>
      </c>
      <c r="K94" t="s">
        <v>1470</v>
      </c>
      <c r="L94" t="s">
        <v>1471</v>
      </c>
      <c r="M94" t="s">
        <v>3475</v>
      </c>
      <c r="N94" t="str">
        <f t="shared" si="6"/>
        <v>UDV.UDV.econ_pump.diesel_booster</v>
      </c>
    </row>
    <row r="95" spans="1:14" x14ac:dyDescent="0.3">
      <c r="A95" t="s">
        <v>1327</v>
      </c>
      <c r="B95" t="s">
        <v>39</v>
      </c>
      <c r="C95" t="s">
        <v>3476</v>
      </c>
      <c r="D95" s="2087">
        <f t="shared" si="4"/>
        <v>44500</v>
      </c>
      <c r="E95" s="1596" t="s">
        <v>2765</v>
      </c>
      <c r="F95" s="199" t="s">
        <v>3162</v>
      </c>
      <c r="G95" t="s">
        <v>3477</v>
      </c>
      <c r="H95" t="s">
        <v>3478</v>
      </c>
      <c r="I95" s="199" t="s">
        <v>3471</v>
      </c>
      <c r="J95" t="str">
        <f t="shared" si="5"/>
        <v>UDV.econ_hose.hose_reel_hydraulic</v>
      </c>
      <c r="K95" t="s">
        <v>1320</v>
      </c>
      <c r="L95" t="s">
        <v>1326</v>
      </c>
      <c r="M95" t="s">
        <v>3479</v>
      </c>
      <c r="N95" t="str">
        <f t="shared" si="6"/>
        <v>UDV.UDV.econ_hose.hose_reel_hydraulic</v>
      </c>
    </row>
    <row r="96" spans="1:14" x14ac:dyDescent="0.3">
      <c r="A96" t="s">
        <v>1325</v>
      </c>
      <c r="B96" t="s">
        <v>39</v>
      </c>
      <c r="C96" t="s">
        <v>3480</v>
      </c>
      <c r="D96" s="2087">
        <f t="shared" si="4"/>
        <v>13200</v>
      </c>
      <c r="E96" s="1596" t="s">
        <v>2765</v>
      </c>
      <c r="F96" s="199" t="s">
        <v>3162</v>
      </c>
      <c r="G96" t="s">
        <v>3481</v>
      </c>
      <c r="H96" t="s">
        <v>3482</v>
      </c>
      <c r="I96" s="199" t="s">
        <v>3471</v>
      </c>
      <c r="J96" t="str">
        <f t="shared" si="5"/>
        <v>UDV.econ_hose.hose_pulley</v>
      </c>
      <c r="K96" t="s">
        <v>1320</v>
      </c>
      <c r="L96" t="s">
        <v>1324</v>
      </c>
      <c r="M96" t="s">
        <v>3483</v>
      </c>
      <c r="N96" t="str">
        <f t="shared" si="6"/>
        <v>UDV.UDV.econ_hose.hose_pulley</v>
      </c>
    </row>
    <row r="97" spans="1:14" x14ac:dyDescent="0.3">
      <c r="A97" t="s">
        <v>3484</v>
      </c>
      <c r="B97" t="s">
        <v>39</v>
      </c>
      <c r="C97" t="s">
        <v>3485</v>
      </c>
      <c r="D97" s="2087">
        <f t="shared" si="4"/>
        <v>2.5</v>
      </c>
      <c r="E97" s="1597" t="s">
        <v>3486</v>
      </c>
      <c r="F97" s="712" t="s">
        <v>3487</v>
      </c>
      <c r="G97" t="s">
        <v>3488</v>
      </c>
      <c r="H97" t="s">
        <v>3489</v>
      </c>
      <c r="I97" s="199" t="s">
        <v>3490</v>
      </c>
      <c r="J97" t="str">
        <f t="shared" si="5"/>
        <v>UDV.econ_liner.lagoon_geomembrane</v>
      </c>
      <c r="K97" t="s">
        <v>1328</v>
      </c>
      <c r="L97" t="s">
        <v>1329</v>
      </c>
      <c r="M97" t="s">
        <v>3491</v>
      </c>
      <c r="N97" t="str">
        <f t="shared" si="6"/>
        <v>UDV.UDV.econ_liner.lagoon_geomembrane</v>
      </c>
    </row>
    <row r="98" spans="1:14" x14ac:dyDescent="0.3">
      <c r="A98" t="s">
        <v>1249</v>
      </c>
      <c r="B98" t="s">
        <v>39</v>
      </c>
      <c r="C98" t="s">
        <v>3492</v>
      </c>
      <c r="D98" s="2087">
        <f t="shared" si="4"/>
        <v>15.4</v>
      </c>
      <c r="E98" s="1598" t="s">
        <v>2755</v>
      </c>
      <c r="F98" s="712" t="s">
        <v>3487</v>
      </c>
      <c r="G98" t="s">
        <v>3493</v>
      </c>
      <c r="H98" t="s">
        <v>1249</v>
      </c>
      <c r="I98" s="199" t="s">
        <v>3494</v>
      </c>
      <c r="J98" t="str">
        <f t="shared" si="5"/>
        <v>UDV.econ_build.concrete_sand_lane</v>
      </c>
      <c r="K98" t="s">
        <v>1244</v>
      </c>
      <c r="L98" t="s">
        <v>1248</v>
      </c>
      <c r="M98" t="s">
        <v>3495</v>
      </c>
      <c r="N98" t="str">
        <f t="shared" si="6"/>
        <v>UDV.UDV.econ_build.concrete_sand_lane</v>
      </c>
    </row>
    <row r="99" spans="1:14" x14ac:dyDescent="0.3">
      <c r="A99" t="s">
        <v>1251</v>
      </c>
      <c r="B99" t="s">
        <v>39</v>
      </c>
      <c r="C99" t="s">
        <v>3496</v>
      </c>
      <c r="D99" s="2087">
        <f t="shared" ref="D99:D131" si="7">INDEX(UDV,MATCH(G99,UDN,0))</f>
        <v>9.5</v>
      </c>
      <c r="E99" s="1598" t="s">
        <v>2755</v>
      </c>
      <c r="F99" s="712" t="s">
        <v>3487</v>
      </c>
      <c r="G99" t="s">
        <v>3497</v>
      </c>
      <c r="H99" t="s">
        <v>3498</v>
      </c>
      <c r="I99" s="199" t="s">
        <v>3494</v>
      </c>
      <c r="J99" t="str">
        <f t="shared" si="5"/>
        <v>UDV.econ_build.concrete_slab_no_side</v>
      </c>
      <c r="K99" t="s">
        <v>1244</v>
      </c>
      <c r="L99" t="s">
        <v>1250</v>
      </c>
      <c r="M99" t="s">
        <v>3499</v>
      </c>
      <c r="N99" t="str">
        <f t="shared" si="6"/>
        <v>UDV.UDV.econ_build.concrete_slab_no_side</v>
      </c>
    </row>
    <row r="100" spans="1:14" x14ac:dyDescent="0.3">
      <c r="A100" t="s">
        <v>3500</v>
      </c>
      <c r="B100" t="s">
        <v>39</v>
      </c>
      <c r="C100" t="s">
        <v>3501</v>
      </c>
      <c r="D100" s="2087">
        <f t="shared" si="7"/>
        <v>42</v>
      </c>
      <c r="E100" s="1598" t="s">
        <v>2755</v>
      </c>
      <c r="F100" s="199" t="s">
        <v>3162</v>
      </c>
      <c r="G100" t="s">
        <v>3502</v>
      </c>
      <c r="H100" t="s">
        <v>3503</v>
      </c>
      <c r="I100" s="199" t="s">
        <v>3504</v>
      </c>
      <c r="J100" t="str">
        <f t="shared" si="5"/>
        <v>UDV.econ_build.compost_building</v>
      </c>
      <c r="K100" t="s">
        <v>1244</v>
      </c>
      <c r="L100" t="s">
        <v>1245</v>
      </c>
      <c r="M100" t="s">
        <v>3505</v>
      </c>
      <c r="N100" t="str">
        <f t="shared" si="6"/>
        <v>UDV.UDV.econ_build.compost_building</v>
      </c>
    </row>
    <row r="101" spans="1:14" x14ac:dyDescent="0.3">
      <c r="A101" t="s">
        <v>3506</v>
      </c>
      <c r="B101" t="s">
        <v>39</v>
      </c>
      <c r="C101" t="s">
        <v>3507</v>
      </c>
      <c r="D101" s="2087">
        <f t="shared" si="7"/>
        <v>128000</v>
      </c>
      <c r="E101" s="1596" t="s">
        <v>2765</v>
      </c>
      <c r="F101" s="199" t="s">
        <v>3162</v>
      </c>
      <c r="G101" t="s">
        <v>3508</v>
      </c>
      <c r="H101" t="s">
        <v>3503</v>
      </c>
      <c r="I101" s="199" t="s">
        <v>3504</v>
      </c>
      <c r="J101" t="str">
        <f t="shared" si="5"/>
        <v>UDV.econ_compost_vessel.9.8ft</v>
      </c>
      <c r="K101" t="s">
        <v>1290</v>
      </c>
      <c r="L101" t="s">
        <v>1294</v>
      </c>
      <c r="M101" t="s">
        <v>3509</v>
      </c>
      <c r="N101" t="str">
        <f t="shared" si="6"/>
        <v>UDV.UDV.econ_compost_vessel.9.8ft</v>
      </c>
    </row>
    <row r="102" spans="1:14" x14ac:dyDescent="0.3">
      <c r="A102" t="s">
        <v>3510</v>
      </c>
      <c r="B102" t="s">
        <v>39</v>
      </c>
      <c r="C102" t="s">
        <v>3511</v>
      </c>
      <c r="D102" s="2087">
        <f t="shared" si="7"/>
        <v>191700</v>
      </c>
      <c r="E102" s="1596" t="s">
        <v>2765</v>
      </c>
      <c r="F102" s="199" t="s">
        <v>3162</v>
      </c>
      <c r="G102" t="s">
        <v>3512</v>
      </c>
      <c r="H102" t="s">
        <v>3503</v>
      </c>
      <c r="I102" s="199" t="s">
        <v>3504</v>
      </c>
      <c r="J102" t="str">
        <f t="shared" si="5"/>
        <v>UDV.econ_compost_vessel.20.0ft</v>
      </c>
      <c r="K102" t="s">
        <v>1290</v>
      </c>
      <c r="L102" t="s">
        <v>1291</v>
      </c>
      <c r="M102" t="s">
        <v>3513</v>
      </c>
      <c r="N102" t="str">
        <f t="shared" si="6"/>
        <v>UDV.UDV.econ_compost_vessel.20.0ft</v>
      </c>
    </row>
    <row r="103" spans="1:14" x14ac:dyDescent="0.3">
      <c r="A103" t="s">
        <v>3514</v>
      </c>
      <c r="B103" t="s">
        <v>39</v>
      </c>
      <c r="C103" t="s">
        <v>3515</v>
      </c>
      <c r="D103" s="2087">
        <f t="shared" si="7"/>
        <v>21300</v>
      </c>
      <c r="E103" s="1596" t="s">
        <v>2765</v>
      </c>
      <c r="F103" s="199" t="s">
        <v>3162</v>
      </c>
      <c r="G103" t="s">
        <v>3516</v>
      </c>
      <c r="H103" t="s">
        <v>3503</v>
      </c>
      <c r="I103" s="199" t="s">
        <v>3504</v>
      </c>
      <c r="J103" t="str">
        <f t="shared" si="5"/>
        <v>UDV.econ_transfer_trolley.9.8ft</v>
      </c>
      <c r="K103" t="s">
        <v>1569</v>
      </c>
      <c r="L103" t="s">
        <v>1294</v>
      </c>
      <c r="M103" t="s">
        <v>3517</v>
      </c>
      <c r="N103" t="str">
        <f t="shared" si="6"/>
        <v>UDV.UDV.econ_transfer_trolley.9.8ft</v>
      </c>
    </row>
    <row r="104" spans="1:14" x14ac:dyDescent="0.3">
      <c r="A104" t="s">
        <v>3518</v>
      </c>
      <c r="B104" t="s">
        <v>39</v>
      </c>
      <c r="C104" t="s">
        <v>3519</v>
      </c>
      <c r="D104" s="2087">
        <f t="shared" si="7"/>
        <v>32000</v>
      </c>
      <c r="E104" s="1596" t="s">
        <v>2765</v>
      </c>
      <c r="F104" s="199" t="s">
        <v>3162</v>
      </c>
      <c r="G104" t="s">
        <v>3520</v>
      </c>
      <c r="H104" t="s">
        <v>3503</v>
      </c>
      <c r="I104" s="199" t="s">
        <v>3504</v>
      </c>
      <c r="J104" t="str">
        <f t="shared" si="5"/>
        <v>UDV.econ_transfer_trolley.20.0ft</v>
      </c>
      <c r="K104" t="s">
        <v>1569</v>
      </c>
      <c r="L104" t="s">
        <v>1291</v>
      </c>
      <c r="M104" t="s">
        <v>3521</v>
      </c>
      <c r="N104" t="str">
        <f t="shared" si="6"/>
        <v>UDV.UDV.econ_transfer_trolley.20.0ft</v>
      </c>
    </row>
    <row r="105" spans="1:14" x14ac:dyDescent="0.3">
      <c r="A105" t="s">
        <v>3522</v>
      </c>
      <c r="B105" t="s">
        <v>39</v>
      </c>
      <c r="C105" t="s">
        <v>3523</v>
      </c>
      <c r="D105" s="2087">
        <f t="shared" si="7"/>
        <v>34.9</v>
      </c>
      <c r="E105" s="1598" t="s">
        <v>2755</v>
      </c>
      <c r="F105" s="199"/>
      <c r="G105" t="s">
        <v>3524</v>
      </c>
      <c r="H105" t="s">
        <v>1253</v>
      </c>
      <c r="I105" s="199" t="s">
        <v>3525</v>
      </c>
      <c r="J105" t="str">
        <f t="shared" si="5"/>
        <v>UDV.econ_build.covered_building_cost</v>
      </c>
      <c r="K105" t="s">
        <v>1244</v>
      </c>
      <c r="L105" t="s">
        <v>1252</v>
      </c>
      <c r="M105" t="s">
        <v>3526</v>
      </c>
      <c r="N105" t="str">
        <f t="shared" si="6"/>
        <v>UDV.UDV.econ_build.covered_building_cost</v>
      </c>
    </row>
    <row r="106" spans="1:14" x14ac:dyDescent="0.3">
      <c r="A106" t="s">
        <v>3527</v>
      </c>
      <c r="B106" t="s">
        <v>39</v>
      </c>
      <c r="C106" t="s">
        <v>3528</v>
      </c>
      <c r="D106" s="2087">
        <f t="shared" si="7"/>
        <v>1000</v>
      </c>
      <c r="E106" s="1598" t="s">
        <v>2267</v>
      </c>
      <c r="F106" s="199"/>
      <c r="G106" t="s">
        <v>3529</v>
      </c>
      <c r="H106" t="s">
        <v>1253</v>
      </c>
      <c r="I106" s="199" t="s">
        <v>3525</v>
      </c>
      <c r="J106" t="str">
        <f t="shared" si="5"/>
        <v>UDV.econ_build.covered_building_size</v>
      </c>
      <c r="K106" t="s">
        <v>1244</v>
      </c>
      <c r="L106" t="s">
        <v>1254</v>
      </c>
      <c r="M106" t="s">
        <v>3530</v>
      </c>
      <c r="N106" t="str">
        <f t="shared" si="6"/>
        <v>UDV.UDV.econ_build.covered_building_size</v>
      </c>
    </row>
    <row r="107" spans="1:14" x14ac:dyDescent="0.3">
      <c r="A107" t="s">
        <v>3531</v>
      </c>
      <c r="B107" t="s">
        <v>39</v>
      </c>
      <c r="C107" t="s">
        <v>3532</v>
      </c>
      <c r="D107" s="2087">
        <f t="shared" si="7"/>
        <v>0</v>
      </c>
      <c r="E107" s="1598" t="s">
        <v>3533</v>
      </c>
      <c r="F107" s="34"/>
      <c r="G107" t="s">
        <v>126</v>
      </c>
      <c r="H107" t="s">
        <v>3534</v>
      </c>
      <c r="I107" s="199" t="s">
        <v>3535</v>
      </c>
      <c r="J107" t="str">
        <f t="shared" si="5"/>
        <v>UDV.econ_energy.carbon_credits</v>
      </c>
      <c r="K107" t="s">
        <v>1308</v>
      </c>
      <c r="L107" t="s">
        <v>1309</v>
      </c>
      <c r="M107" t="s">
        <v>3536</v>
      </c>
      <c r="N107" t="str">
        <f t="shared" si="6"/>
        <v>UDV.UDV.econ_energy.carbon_credits</v>
      </c>
    </row>
    <row r="108" spans="1:14" x14ac:dyDescent="0.3">
      <c r="A108" t="s">
        <v>1313</v>
      </c>
      <c r="B108" t="s">
        <v>39</v>
      </c>
      <c r="C108" t="s">
        <v>3537</v>
      </c>
      <c r="D108" s="2087">
        <f t="shared" si="7"/>
        <v>0</v>
      </c>
      <c r="E108" s="1598" t="s">
        <v>2308</v>
      </c>
      <c r="F108" s="34"/>
      <c r="G108" t="s">
        <v>3538</v>
      </c>
      <c r="H108" t="s">
        <v>3534</v>
      </c>
      <c r="I108" s="199" t="s">
        <v>3535</v>
      </c>
      <c r="J108" t="str">
        <f t="shared" si="5"/>
        <v>UDV.econ_energy.renewable_energy_credits</v>
      </c>
      <c r="K108" t="s">
        <v>1308</v>
      </c>
      <c r="L108" t="s">
        <v>1312</v>
      </c>
      <c r="M108" t="s">
        <v>3539</v>
      </c>
      <c r="N108" t="str">
        <f t="shared" si="6"/>
        <v>UDV.UDV.econ_energy.renewable_energy_credits</v>
      </c>
    </row>
    <row r="109" spans="1:14" x14ac:dyDescent="0.3">
      <c r="A109" s="99" t="s">
        <v>3540</v>
      </c>
      <c r="B109" t="s">
        <v>39</v>
      </c>
      <c r="C109" t="s">
        <v>3541</v>
      </c>
      <c r="D109" s="2087">
        <f t="shared" si="7"/>
        <v>32</v>
      </c>
      <c r="E109" s="1598" t="s">
        <v>3184</v>
      </c>
      <c r="F109" s="712"/>
      <c r="G109" t="s">
        <v>3542</v>
      </c>
      <c r="H109" t="s">
        <v>3543</v>
      </c>
      <c r="I109" t="s">
        <v>2761</v>
      </c>
      <c r="J109" t="str">
        <f t="shared" si="5"/>
        <v>UDV.econ_pipe.12in_underground_flush</v>
      </c>
      <c r="K109" t="s">
        <v>1461</v>
      </c>
      <c r="L109" t="s">
        <v>1462</v>
      </c>
      <c r="M109" t="s">
        <v>3544</v>
      </c>
      <c r="N109" t="str">
        <f t="shared" si="6"/>
        <v>UDV.UDV.econ_pipe.12in_underground_flush</v>
      </c>
    </row>
    <row r="110" spans="1:14" x14ac:dyDescent="0.3">
      <c r="A110" s="99" t="s">
        <v>84</v>
      </c>
      <c r="B110" t="s">
        <v>39</v>
      </c>
      <c r="C110" t="s">
        <v>3545</v>
      </c>
      <c r="D110" s="2087">
        <f t="shared" si="7"/>
        <v>0.53</v>
      </c>
      <c r="E110" s="1598" t="s">
        <v>3546</v>
      </c>
      <c r="F110" s="199" t="s">
        <v>3547</v>
      </c>
      <c r="G110" t="s">
        <v>420</v>
      </c>
      <c r="H110" t="s">
        <v>3548</v>
      </c>
      <c r="I110" t="s">
        <v>3549</v>
      </c>
      <c r="J110" t="str">
        <f t="shared" si="5"/>
        <v>UDV.econ_fertilizer.N</v>
      </c>
      <c r="K110" t="s">
        <v>1314</v>
      </c>
      <c r="L110" t="s">
        <v>84</v>
      </c>
      <c r="M110" t="s">
        <v>3550</v>
      </c>
      <c r="N110" t="str">
        <f t="shared" si="6"/>
        <v>UDV.UDV.econ_fertilizer.N</v>
      </c>
    </row>
    <row r="111" spans="1:14" x14ac:dyDescent="0.3">
      <c r="A111" t="s">
        <v>941</v>
      </c>
      <c r="B111" t="s">
        <v>39</v>
      </c>
      <c r="C111" t="s">
        <v>3551</v>
      </c>
      <c r="D111" s="2087">
        <f t="shared" si="7"/>
        <v>0.53</v>
      </c>
      <c r="E111" s="1598" t="s">
        <v>3546</v>
      </c>
      <c r="F111" s="199" t="s">
        <v>3547</v>
      </c>
      <c r="G111" t="s">
        <v>421</v>
      </c>
      <c r="H111" t="s">
        <v>3548</v>
      </c>
      <c r="I111" t="s">
        <v>3549</v>
      </c>
      <c r="J111" t="str">
        <f t="shared" si="5"/>
        <v>UDV.econ_fertilizer.P2O5</v>
      </c>
      <c r="K111" t="s">
        <v>1314</v>
      </c>
      <c r="L111" t="s">
        <v>941</v>
      </c>
      <c r="M111" t="s">
        <v>3552</v>
      </c>
      <c r="N111" t="str">
        <f t="shared" si="6"/>
        <v>UDV.UDV.econ_fertilizer.P2O5</v>
      </c>
    </row>
    <row r="112" spans="1:14" x14ac:dyDescent="0.3">
      <c r="A112" t="s">
        <v>934</v>
      </c>
      <c r="B112" t="s">
        <v>39</v>
      </c>
      <c r="C112" t="s">
        <v>3553</v>
      </c>
      <c r="D112" s="2087">
        <f t="shared" si="7"/>
        <v>0.45</v>
      </c>
      <c r="E112" s="1598" t="s">
        <v>3546</v>
      </c>
      <c r="F112" s="199" t="s">
        <v>3547</v>
      </c>
      <c r="G112" t="s">
        <v>422</v>
      </c>
      <c r="H112" t="s">
        <v>3548</v>
      </c>
      <c r="I112" t="s">
        <v>3549</v>
      </c>
      <c r="J112" t="str">
        <f t="shared" si="5"/>
        <v>UDV.econ_fertilizer.K2O</v>
      </c>
      <c r="K112" t="s">
        <v>1314</v>
      </c>
      <c r="L112" t="s">
        <v>934</v>
      </c>
      <c r="M112" t="s">
        <v>3554</v>
      </c>
      <c r="N112" t="str">
        <f t="shared" si="6"/>
        <v>UDV.UDV.econ_fertilizer.K2O</v>
      </c>
    </row>
    <row r="113" spans="1:14" x14ac:dyDescent="0.3">
      <c r="A113" t="s">
        <v>3555</v>
      </c>
      <c r="B113" t="s">
        <v>39</v>
      </c>
      <c r="C113" t="s">
        <v>3556</v>
      </c>
      <c r="D113" s="2087">
        <f t="shared" si="7"/>
        <v>51200</v>
      </c>
      <c r="E113" s="1596" t="s">
        <v>2765</v>
      </c>
      <c r="F113" s="199" t="s">
        <v>3162</v>
      </c>
      <c r="G113" t="s">
        <v>3557</v>
      </c>
      <c r="H113" t="s">
        <v>2798</v>
      </c>
      <c r="I113" t="s">
        <v>2799</v>
      </c>
      <c r="J113" t="str">
        <f t="shared" si="5"/>
        <v>UDV.econ_pump.side_mount_single</v>
      </c>
      <c r="K113" t="s">
        <v>1470</v>
      </c>
      <c r="L113" t="s">
        <v>1482</v>
      </c>
      <c r="M113" t="s">
        <v>3558</v>
      </c>
      <c r="N113" t="str">
        <f t="shared" si="6"/>
        <v>UDV.UDV.econ_pump.side_mount_single</v>
      </c>
    </row>
    <row r="114" spans="1:14" x14ac:dyDescent="0.3">
      <c r="A114" t="s">
        <v>3559</v>
      </c>
      <c r="B114" t="s">
        <v>39</v>
      </c>
      <c r="C114" t="s">
        <v>3560</v>
      </c>
      <c r="D114" s="2087">
        <f t="shared" si="7"/>
        <v>85200</v>
      </c>
      <c r="E114" s="1596" t="s">
        <v>2765</v>
      </c>
      <c r="F114" s="199" t="s">
        <v>3162</v>
      </c>
      <c r="G114" t="s">
        <v>3561</v>
      </c>
      <c r="H114" t="s">
        <v>2798</v>
      </c>
      <c r="I114" t="s">
        <v>2799</v>
      </c>
      <c r="J114" t="str">
        <f t="shared" si="5"/>
        <v>UDV.econ_pump.side_mount_double</v>
      </c>
      <c r="K114" t="s">
        <v>1470</v>
      </c>
      <c r="L114" t="s">
        <v>1478</v>
      </c>
      <c r="M114" t="s">
        <v>3562</v>
      </c>
      <c r="N114" t="str">
        <f t="shared" si="6"/>
        <v>UDV.UDV.econ_pump.side_mount_double</v>
      </c>
    </row>
    <row r="115" spans="1:14" x14ac:dyDescent="0.3">
      <c r="A115" t="s">
        <v>3563</v>
      </c>
      <c r="B115" t="s">
        <v>39</v>
      </c>
      <c r="C115" t="s">
        <v>3564</v>
      </c>
      <c r="D115" s="2087">
        <f t="shared" si="7"/>
        <v>101200</v>
      </c>
      <c r="E115" s="1596" t="s">
        <v>2765</v>
      </c>
      <c r="F115" s="199" t="s">
        <v>3162</v>
      </c>
      <c r="G115" t="s">
        <v>3565</v>
      </c>
      <c r="H115" t="s">
        <v>2798</v>
      </c>
      <c r="I115" t="s">
        <v>2799</v>
      </c>
      <c r="J115" t="str">
        <f t="shared" si="5"/>
        <v>UDV.econ_pump.side_mount_quad</v>
      </c>
      <c r="K115" t="s">
        <v>1470</v>
      </c>
      <c r="L115" t="s">
        <v>1480</v>
      </c>
      <c r="M115" t="s">
        <v>3566</v>
      </c>
      <c r="N115" t="str">
        <f t="shared" si="6"/>
        <v>UDV.UDV.econ_pump.side_mount_quad</v>
      </c>
    </row>
    <row r="116" spans="1:14" x14ac:dyDescent="0.3">
      <c r="A116" t="s">
        <v>3567</v>
      </c>
      <c r="B116" t="s">
        <v>39</v>
      </c>
      <c r="C116" t="s">
        <v>3568</v>
      </c>
      <c r="D116" s="2087">
        <f t="shared" si="7"/>
        <v>620</v>
      </c>
      <c r="E116" s="1596" t="s">
        <v>2765</v>
      </c>
      <c r="F116" s="199" t="s">
        <v>3162</v>
      </c>
      <c r="G116" t="s">
        <v>3569</v>
      </c>
      <c r="H116" t="s">
        <v>3570</v>
      </c>
      <c r="I116" s="199" t="s">
        <v>3571</v>
      </c>
      <c r="J116" t="str">
        <f t="shared" si="5"/>
        <v>UDV.econ_motor.1hp</v>
      </c>
      <c r="K116" t="s">
        <v>1424</v>
      </c>
      <c r="L116" t="s">
        <v>1436</v>
      </c>
      <c r="M116" t="s">
        <v>3572</v>
      </c>
      <c r="N116" t="str">
        <f t="shared" si="6"/>
        <v>UDV.UDV.econ_motor.1hp</v>
      </c>
    </row>
    <row r="117" spans="1:14" x14ac:dyDescent="0.3">
      <c r="A117" t="s">
        <v>3573</v>
      </c>
      <c r="B117" t="s">
        <v>39</v>
      </c>
      <c r="C117" t="s">
        <v>3574</v>
      </c>
      <c r="D117" s="2087">
        <f t="shared" si="7"/>
        <v>680</v>
      </c>
      <c r="E117" s="1596" t="s">
        <v>2765</v>
      </c>
      <c r="F117" s="199" t="s">
        <v>3162</v>
      </c>
      <c r="G117" t="s">
        <v>3575</v>
      </c>
      <c r="H117" t="s">
        <v>3570</v>
      </c>
      <c r="I117" s="199" t="s">
        <v>3571</v>
      </c>
      <c r="J117" t="str">
        <f t="shared" si="5"/>
        <v>UDV.econ_motor.2hp</v>
      </c>
      <c r="K117" t="s">
        <v>1424</v>
      </c>
      <c r="L117" t="s">
        <v>1441</v>
      </c>
      <c r="M117" t="s">
        <v>3576</v>
      </c>
      <c r="N117" t="str">
        <f t="shared" si="6"/>
        <v>UDV.UDV.econ_motor.2hp</v>
      </c>
    </row>
    <row r="118" spans="1:14" x14ac:dyDescent="0.3">
      <c r="A118" t="s">
        <v>3577</v>
      </c>
      <c r="B118" t="s">
        <v>39</v>
      </c>
      <c r="C118" t="s">
        <v>3578</v>
      </c>
      <c r="D118" s="2087">
        <f t="shared" si="7"/>
        <v>740</v>
      </c>
      <c r="E118" s="1596" t="s">
        <v>2765</v>
      </c>
      <c r="F118" s="199" t="s">
        <v>3162</v>
      </c>
      <c r="G118" t="s">
        <v>3579</v>
      </c>
      <c r="H118" t="s">
        <v>3570</v>
      </c>
      <c r="I118" s="199" t="s">
        <v>3571</v>
      </c>
      <c r="J118" t="str">
        <f t="shared" si="5"/>
        <v>UDV.econ_motor.3hp</v>
      </c>
      <c r="K118" t="s">
        <v>1424</v>
      </c>
      <c r="L118" t="s">
        <v>1445</v>
      </c>
      <c r="M118" t="s">
        <v>3580</v>
      </c>
      <c r="N118" t="str">
        <f t="shared" si="6"/>
        <v>UDV.UDV.econ_motor.3hp</v>
      </c>
    </row>
    <row r="119" spans="1:14" x14ac:dyDescent="0.3">
      <c r="A119" t="s">
        <v>3581</v>
      </c>
      <c r="B119" t="s">
        <v>39</v>
      </c>
      <c r="C119" t="s">
        <v>3582</v>
      </c>
      <c r="D119" s="2087">
        <f t="shared" si="7"/>
        <v>800</v>
      </c>
      <c r="E119" s="1596" t="s">
        <v>2765</v>
      </c>
      <c r="F119" s="199" t="s">
        <v>3162</v>
      </c>
      <c r="G119" t="s">
        <v>3583</v>
      </c>
      <c r="H119" t="s">
        <v>3570</v>
      </c>
      <c r="I119" s="199" t="s">
        <v>3571</v>
      </c>
      <c r="J119" t="str">
        <f t="shared" si="5"/>
        <v>UDV.econ_motor.4hp</v>
      </c>
      <c r="K119" t="s">
        <v>1424</v>
      </c>
      <c r="L119" t="s">
        <v>1447</v>
      </c>
      <c r="M119" t="s">
        <v>3584</v>
      </c>
      <c r="N119" t="str">
        <f t="shared" si="6"/>
        <v>UDV.UDV.econ_motor.4hp</v>
      </c>
    </row>
    <row r="120" spans="1:14" x14ac:dyDescent="0.3">
      <c r="A120" t="s">
        <v>3585</v>
      </c>
      <c r="B120" t="s">
        <v>39</v>
      </c>
      <c r="C120" t="s">
        <v>3586</v>
      </c>
      <c r="D120" s="2087">
        <f t="shared" si="7"/>
        <v>850</v>
      </c>
      <c r="E120" s="1596" t="s">
        <v>2765</v>
      </c>
      <c r="F120" s="199" t="s">
        <v>3162</v>
      </c>
      <c r="G120" t="s">
        <v>3587</v>
      </c>
      <c r="H120" t="s">
        <v>3570</v>
      </c>
      <c r="I120" s="199" t="s">
        <v>3571</v>
      </c>
      <c r="J120" t="str">
        <f t="shared" si="5"/>
        <v>UDV.econ_motor.5hp</v>
      </c>
      <c r="K120" t="s">
        <v>1424</v>
      </c>
      <c r="L120" t="s">
        <v>1449</v>
      </c>
      <c r="M120" t="s">
        <v>3588</v>
      </c>
      <c r="N120" t="str">
        <f t="shared" si="6"/>
        <v>UDV.UDV.econ_motor.5hp</v>
      </c>
    </row>
    <row r="121" spans="1:14" x14ac:dyDescent="0.3">
      <c r="A121" t="s">
        <v>3589</v>
      </c>
      <c r="B121" t="s">
        <v>39</v>
      </c>
      <c r="C121" t="s">
        <v>3590</v>
      </c>
      <c r="D121" s="2087">
        <f t="shared" si="7"/>
        <v>910</v>
      </c>
      <c r="E121" s="1596" t="s">
        <v>2765</v>
      </c>
      <c r="F121" s="199" t="s">
        <v>3162</v>
      </c>
      <c r="G121" t="s">
        <v>3591</v>
      </c>
      <c r="H121" t="s">
        <v>3570</v>
      </c>
      <c r="I121" s="199" t="s">
        <v>3571</v>
      </c>
      <c r="J121" t="str">
        <f t="shared" si="5"/>
        <v>UDV.econ_motor.6hp</v>
      </c>
      <c r="K121" t="s">
        <v>1424</v>
      </c>
      <c r="L121" t="s">
        <v>1451</v>
      </c>
      <c r="M121" t="s">
        <v>3592</v>
      </c>
      <c r="N121" t="str">
        <f t="shared" si="6"/>
        <v>UDV.UDV.econ_motor.6hp</v>
      </c>
    </row>
    <row r="122" spans="1:14" x14ac:dyDescent="0.3">
      <c r="A122" t="s">
        <v>3593</v>
      </c>
      <c r="B122" t="s">
        <v>39</v>
      </c>
      <c r="C122" t="s">
        <v>3594</v>
      </c>
      <c r="D122" s="2087">
        <f t="shared" si="7"/>
        <v>970</v>
      </c>
      <c r="E122" s="1596" t="s">
        <v>2765</v>
      </c>
      <c r="F122" s="199" t="s">
        <v>3162</v>
      </c>
      <c r="G122" t="s">
        <v>3595</v>
      </c>
      <c r="H122" t="s">
        <v>3570</v>
      </c>
      <c r="I122" s="199" t="s">
        <v>3571</v>
      </c>
      <c r="J122" t="str">
        <f t="shared" si="5"/>
        <v>UDV.econ_motor.7hp</v>
      </c>
      <c r="K122" t="s">
        <v>1424</v>
      </c>
      <c r="L122" t="s">
        <v>1455</v>
      </c>
      <c r="M122" t="s">
        <v>3596</v>
      </c>
      <c r="N122" t="str">
        <f t="shared" si="6"/>
        <v>UDV.UDV.econ_motor.7hp</v>
      </c>
    </row>
    <row r="123" spans="1:14" x14ac:dyDescent="0.3">
      <c r="A123" t="s">
        <v>3597</v>
      </c>
      <c r="B123" t="s">
        <v>39</v>
      </c>
      <c r="C123" t="s">
        <v>3598</v>
      </c>
      <c r="D123" s="2087">
        <f t="shared" si="7"/>
        <v>1060</v>
      </c>
      <c r="E123" s="1596" t="s">
        <v>2765</v>
      </c>
      <c r="F123" s="199" t="s">
        <v>3162</v>
      </c>
      <c r="G123" t="s">
        <v>3599</v>
      </c>
      <c r="H123" t="s">
        <v>3570</v>
      </c>
      <c r="I123" s="199" t="s">
        <v>3571</v>
      </c>
      <c r="J123" t="str">
        <f t="shared" si="5"/>
        <v>UDV.econ_motor.8hp</v>
      </c>
      <c r="K123" t="s">
        <v>1424</v>
      </c>
      <c r="L123" t="s">
        <v>1457</v>
      </c>
      <c r="M123" t="s">
        <v>3600</v>
      </c>
      <c r="N123" t="str">
        <f t="shared" si="6"/>
        <v>UDV.UDV.econ_motor.8hp</v>
      </c>
    </row>
    <row r="124" spans="1:14" x14ac:dyDescent="0.3">
      <c r="A124" t="s">
        <v>3601</v>
      </c>
      <c r="B124" t="s">
        <v>39</v>
      </c>
      <c r="C124" t="s">
        <v>3602</v>
      </c>
      <c r="D124" s="2087">
        <f t="shared" si="7"/>
        <v>1110</v>
      </c>
      <c r="E124" s="1596" t="s">
        <v>2765</v>
      </c>
      <c r="F124" s="199" t="s">
        <v>3162</v>
      </c>
      <c r="G124" t="s">
        <v>3603</v>
      </c>
      <c r="H124" t="s">
        <v>3570</v>
      </c>
      <c r="I124" s="199" t="s">
        <v>3571</v>
      </c>
      <c r="J124" t="str">
        <f t="shared" si="5"/>
        <v>UDV.econ_motor.9hp</v>
      </c>
      <c r="K124" t="s">
        <v>1424</v>
      </c>
      <c r="L124" t="s">
        <v>1459</v>
      </c>
      <c r="M124" t="s">
        <v>3604</v>
      </c>
      <c r="N124" t="str">
        <f t="shared" si="6"/>
        <v>UDV.UDV.econ_motor.9hp</v>
      </c>
    </row>
    <row r="125" spans="1:14" x14ac:dyDescent="0.3">
      <c r="A125" t="s">
        <v>3605</v>
      </c>
      <c r="B125" t="s">
        <v>39</v>
      </c>
      <c r="C125" t="s">
        <v>3606</v>
      </c>
      <c r="D125" s="2087">
        <f t="shared" si="7"/>
        <v>1160</v>
      </c>
      <c r="E125" s="1596" t="s">
        <v>2765</v>
      </c>
      <c r="F125" s="199" t="s">
        <v>3162</v>
      </c>
      <c r="G125" t="s">
        <v>3607</v>
      </c>
      <c r="H125" t="s">
        <v>3570</v>
      </c>
      <c r="I125" s="199" t="s">
        <v>3571</v>
      </c>
      <c r="J125" t="str">
        <f t="shared" si="5"/>
        <v>UDV.econ_motor.10hp</v>
      </c>
      <c r="K125" t="s">
        <v>1424</v>
      </c>
      <c r="L125" t="s">
        <v>1428</v>
      </c>
      <c r="M125" t="s">
        <v>3608</v>
      </c>
      <c r="N125" t="str">
        <f t="shared" si="6"/>
        <v>UDV.UDV.econ_motor.10hp</v>
      </c>
    </row>
    <row r="126" spans="1:14" x14ac:dyDescent="0.3">
      <c r="A126" t="s">
        <v>3609</v>
      </c>
      <c r="B126" t="s">
        <v>39</v>
      </c>
      <c r="C126" t="s">
        <v>3610</v>
      </c>
      <c r="D126" s="2087">
        <f t="shared" si="7"/>
        <v>1210</v>
      </c>
      <c r="E126" s="1596" t="s">
        <v>2765</v>
      </c>
      <c r="F126" s="199" t="s">
        <v>3162</v>
      </c>
      <c r="G126" t="s">
        <v>3611</v>
      </c>
      <c r="H126" t="s">
        <v>3570</v>
      </c>
      <c r="I126" s="199" t="s">
        <v>3571</v>
      </c>
      <c r="J126" t="str">
        <f t="shared" si="5"/>
        <v>UDV.econ_motor.11hp</v>
      </c>
      <c r="K126" t="s">
        <v>1424</v>
      </c>
      <c r="L126" t="s">
        <v>1430</v>
      </c>
      <c r="M126" t="s">
        <v>3612</v>
      </c>
      <c r="N126" t="str">
        <f t="shared" si="6"/>
        <v>UDV.UDV.econ_motor.11hp</v>
      </c>
    </row>
    <row r="127" spans="1:14" x14ac:dyDescent="0.3">
      <c r="A127" t="s">
        <v>3613</v>
      </c>
      <c r="B127" t="s">
        <v>39</v>
      </c>
      <c r="C127" t="s">
        <v>3614</v>
      </c>
      <c r="D127" s="2087">
        <f t="shared" si="7"/>
        <v>1320</v>
      </c>
      <c r="E127" s="1596" t="s">
        <v>2765</v>
      </c>
      <c r="F127" s="199" t="s">
        <v>3162</v>
      </c>
      <c r="G127" t="s">
        <v>3615</v>
      </c>
      <c r="H127" t="s">
        <v>3570</v>
      </c>
      <c r="I127" s="199" t="s">
        <v>3571</v>
      </c>
      <c r="J127" t="str">
        <f t="shared" si="5"/>
        <v>UDV.econ_motor.12hp</v>
      </c>
      <c r="K127" t="s">
        <v>1424</v>
      </c>
      <c r="L127" t="s">
        <v>1432</v>
      </c>
      <c r="M127" t="s">
        <v>3616</v>
      </c>
      <c r="N127" t="str">
        <f t="shared" si="6"/>
        <v>UDV.UDV.econ_motor.12hp</v>
      </c>
    </row>
    <row r="128" spans="1:14" x14ac:dyDescent="0.3">
      <c r="A128" t="s">
        <v>3617</v>
      </c>
      <c r="B128" t="s">
        <v>39</v>
      </c>
      <c r="C128" t="s">
        <v>3618</v>
      </c>
      <c r="D128" s="2087">
        <f t="shared" si="7"/>
        <v>1470</v>
      </c>
      <c r="E128" s="1596" t="s">
        <v>2765</v>
      </c>
      <c r="F128" s="199" t="s">
        <v>3162</v>
      </c>
      <c r="G128" t="s">
        <v>3619</v>
      </c>
      <c r="H128" t="s">
        <v>3570</v>
      </c>
      <c r="I128" s="199" t="s">
        <v>3571</v>
      </c>
      <c r="J128" t="str">
        <f t="shared" si="5"/>
        <v>UDV.econ_motor.15hp</v>
      </c>
      <c r="K128" t="s">
        <v>1424</v>
      </c>
      <c r="L128" t="s">
        <v>1434</v>
      </c>
      <c r="M128" t="s">
        <v>3620</v>
      </c>
      <c r="N128" t="str">
        <f t="shared" si="6"/>
        <v>UDV.UDV.econ_motor.15hp</v>
      </c>
    </row>
    <row r="129" spans="1:14" x14ac:dyDescent="0.3">
      <c r="A129" t="s">
        <v>3621</v>
      </c>
      <c r="B129" t="s">
        <v>39</v>
      </c>
      <c r="C129" t="s">
        <v>3622</v>
      </c>
      <c r="D129" s="2087">
        <f t="shared" si="7"/>
        <v>2120</v>
      </c>
      <c r="E129" s="1596" t="s">
        <v>2765</v>
      </c>
      <c r="F129" s="199" t="s">
        <v>3162</v>
      </c>
      <c r="G129" t="s">
        <v>3623</v>
      </c>
      <c r="H129" t="s">
        <v>3570</v>
      </c>
      <c r="I129" s="199" t="s">
        <v>3571</v>
      </c>
      <c r="J129" t="str">
        <f t="shared" si="5"/>
        <v>UDV.econ_motor.26hp</v>
      </c>
      <c r="K129" t="s">
        <v>1424</v>
      </c>
      <c r="L129" t="s">
        <v>1439</v>
      </c>
      <c r="M129" t="s">
        <v>3624</v>
      </c>
      <c r="N129" t="str">
        <f t="shared" si="6"/>
        <v>UDV.UDV.econ_motor.26hp</v>
      </c>
    </row>
    <row r="130" spans="1:14" x14ac:dyDescent="0.3">
      <c r="A130" t="s">
        <v>3625</v>
      </c>
      <c r="B130" t="s">
        <v>39</v>
      </c>
      <c r="C130" t="s">
        <v>3626</v>
      </c>
      <c r="D130" s="2087">
        <f t="shared" si="7"/>
        <v>5110</v>
      </c>
      <c r="E130" s="1596" t="s">
        <v>2765</v>
      </c>
      <c r="F130" s="199" t="s">
        <v>3162</v>
      </c>
      <c r="G130" t="s">
        <v>3627</v>
      </c>
      <c r="H130" t="s">
        <v>3570</v>
      </c>
      <c r="I130" s="199" t="s">
        <v>3571</v>
      </c>
      <c r="J130" t="str">
        <f t="shared" si="5"/>
        <v>UDV.econ_motor.75hp</v>
      </c>
      <c r="K130" t="s">
        <v>1424</v>
      </c>
      <c r="L130" t="s">
        <v>1453</v>
      </c>
      <c r="M130" t="s">
        <v>3628</v>
      </c>
      <c r="N130" t="str">
        <f t="shared" si="6"/>
        <v>UDV.UDV.econ_motor.75hp</v>
      </c>
    </row>
    <row r="131" spans="1:14" x14ac:dyDescent="0.3">
      <c r="A131" t="s">
        <v>3629</v>
      </c>
      <c r="B131" t="s">
        <v>39</v>
      </c>
      <c r="C131" t="str">
        <f>_xlfn.CONCAT(A131:B131)</f>
        <v>Wood chipsDefault</v>
      </c>
      <c r="D131" s="2087">
        <f t="shared" si="7"/>
        <v>23</v>
      </c>
      <c r="E131" s="1596" t="s">
        <v>3630</v>
      </c>
      <c r="G131" t="s">
        <v>3631</v>
      </c>
      <c r="H131" t="s">
        <v>3503</v>
      </c>
      <c r="I131" s="199" t="s">
        <v>3504</v>
      </c>
      <c r="J131" t="str">
        <f t="shared" si="5"/>
        <v>UDV.econ_compost.wood_chips</v>
      </c>
      <c r="K131" t="s">
        <v>1286</v>
      </c>
      <c r="L131" t="s">
        <v>1287</v>
      </c>
      <c r="M131" t="s">
        <v>3632</v>
      </c>
      <c r="N131" t="str">
        <f t="shared" si="6"/>
        <v>UDV.UDV.econ_compost.wood_chips</v>
      </c>
    </row>
    <row r="133" spans="1:14" x14ac:dyDescent="0.3">
      <c r="A133" s="139" t="s">
        <v>3633</v>
      </c>
      <c r="B133" s="140" t="s">
        <v>3634</v>
      </c>
      <c r="C133" s="140" t="s">
        <v>3635</v>
      </c>
      <c r="D133" s="1172" t="s">
        <v>3636</v>
      </c>
    </row>
    <row r="134" spans="1:14" x14ac:dyDescent="0.3">
      <c r="A134" s="99">
        <v>3000</v>
      </c>
      <c r="B134">
        <v>35000</v>
      </c>
      <c r="C134">
        <v>65000</v>
      </c>
      <c r="D134" s="146">
        <v>50000</v>
      </c>
    </row>
    <row r="135" spans="1:14" x14ac:dyDescent="0.3">
      <c r="A135" s="99">
        <v>4500</v>
      </c>
      <c r="B135">
        <v>49000</v>
      </c>
      <c r="C135">
        <v>91000</v>
      </c>
      <c r="D135" s="146">
        <v>70000</v>
      </c>
    </row>
    <row r="136" spans="1:14" x14ac:dyDescent="0.3">
      <c r="A136" s="99">
        <v>6000</v>
      </c>
      <c r="B136">
        <v>70000</v>
      </c>
      <c r="C136">
        <v>130000</v>
      </c>
      <c r="D136" s="146">
        <v>100000</v>
      </c>
    </row>
    <row r="137" spans="1:14" x14ac:dyDescent="0.3">
      <c r="A137" s="149">
        <v>9000</v>
      </c>
      <c r="B137" s="150">
        <v>94500</v>
      </c>
      <c r="C137" s="150">
        <v>175500</v>
      </c>
      <c r="D137" s="151">
        <v>135000</v>
      </c>
    </row>
    <row r="138" spans="1:14" x14ac:dyDescent="0.3">
      <c r="A138" s="99"/>
    </row>
    <row r="139" spans="1:14" x14ac:dyDescent="0.3">
      <c r="A139" s="139" t="s">
        <v>3637</v>
      </c>
      <c r="B139" s="140" t="s">
        <v>2832</v>
      </c>
      <c r="C139" s="140" t="s">
        <v>2665</v>
      </c>
      <c r="D139" s="140" t="s">
        <v>565</v>
      </c>
      <c r="E139" s="245" t="s">
        <v>38</v>
      </c>
      <c r="F139" s="34"/>
    </row>
    <row r="140" spans="1:14" x14ac:dyDescent="0.3">
      <c r="A140" s="313" t="s">
        <v>3638</v>
      </c>
      <c r="B140" s="34"/>
      <c r="D140" s="217"/>
      <c r="E140" s="146"/>
      <c r="F140" s="34"/>
    </row>
    <row r="141" spans="1:14" x14ac:dyDescent="0.3">
      <c r="A141" s="99" t="s">
        <v>3639</v>
      </c>
      <c r="B141" t="s">
        <v>39</v>
      </c>
      <c r="C141" t="s">
        <v>3640</v>
      </c>
      <c r="D141" s="315">
        <v>3.5314700000000001</v>
      </c>
      <c r="E141" s="146" t="s">
        <v>3641</v>
      </c>
      <c r="F141" s="34"/>
    </row>
    <row r="142" spans="1:14" x14ac:dyDescent="0.3">
      <c r="A142" s="99" t="s">
        <v>3642</v>
      </c>
      <c r="B142" t="s">
        <v>39</v>
      </c>
      <c r="C142" t="s">
        <v>3643</v>
      </c>
      <c r="D142" s="217">
        <v>0.92</v>
      </c>
      <c r="E142" s="146" t="s">
        <v>188</v>
      </c>
      <c r="F142" s="34"/>
    </row>
    <row r="143" spans="1:14" x14ac:dyDescent="0.3">
      <c r="A143" s="149" t="s">
        <v>3644</v>
      </c>
      <c r="B143" s="150" t="s">
        <v>39</v>
      </c>
      <c r="C143" s="150" t="s">
        <v>3645</v>
      </c>
      <c r="D143" s="317">
        <v>0.08</v>
      </c>
      <c r="E143" s="151" t="s">
        <v>3646</v>
      </c>
      <c r="F143" s="34"/>
    </row>
    <row r="145" spans="1:6" x14ac:dyDescent="0.3">
      <c r="A145" s="139" t="s">
        <v>3647</v>
      </c>
      <c r="B145" s="140" t="s">
        <v>2832</v>
      </c>
      <c r="C145" s="140" t="s">
        <v>2665</v>
      </c>
      <c r="D145" s="140" t="s">
        <v>478</v>
      </c>
      <c r="E145" s="245" t="s">
        <v>38</v>
      </c>
      <c r="F145" s="34"/>
    </row>
    <row r="146" spans="1:6" x14ac:dyDescent="0.3">
      <c r="A146" s="313" t="s">
        <v>2705</v>
      </c>
      <c r="D146" s="217"/>
      <c r="E146" s="146"/>
      <c r="F146" s="34"/>
    </row>
    <row r="147" spans="1:6" x14ac:dyDescent="0.3">
      <c r="A147" s="149" t="s">
        <v>3648</v>
      </c>
      <c r="B147" s="150" t="s">
        <v>39</v>
      </c>
      <c r="C147" s="150" t="str">
        <f>_xlfn.CONCAT(A147:B147)</f>
        <v>CNG energy inputsDefault</v>
      </c>
      <c r="D147" s="320">
        <v>0.314</v>
      </c>
      <c r="E147" s="151" t="s">
        <v>3649</v>
      </c>
    </row>
    <row r="149" spans="1:6" x14ac:dyDescent="0.3">
      <c r="A149" s="139" t="s">
        <v>2998</v>
      </c>
      <c r="B149" s="140" t="s">
        <v>2832</v>
      </c>
      <c r="C149" s="140" t="s">
        <v>2665</v>
      </c>
      <c r="D149" s="140" t="s">
        <v>478</v>
      </c>
      <c r="E149" s="245" t="s">
        <v>38</v>
      </c>
    </row>
    <row r="150" spans="1:6" x14ac:dyDescent="0.3">
      <c r="A150" s="313" t="s">
        <v>3457</v>
      </c>
      <c r="E150" s="146"/>
    </row>
    <row r="151" spans="1:6" x14ac:dyDescent="0.3">
      <c r="A151" s="149" t="s">
        <v>2998</v>
      </c>
      <c r="B151" s="150" t="s">
        <v>39</v>
      </c>
      <c r="C151" s="150" t="s">
        <v>3650</v>
      </c>
      <c r="D151" s="234">
        <v>10000</v>
      </c>
      <c r="E151" s="151" t="s">
        <v>2284</v>
      </c>
      <c r="F151" t="s">
        <v>3651</v>
      </c>
    </row>
    <row r="153" spans="1:6" x14ac:dyDescent="0.3">
      <c r="A153" s="139" t="s">
        <v>3652</v>
      </c>
      <c r="B153" s="140" t="s">
        <v>2832</v>
      </c>
      <c r="C153" s="140" t="s">
        <v>2665</v>
      </c>
      <c r="D153" s="324" t="s">
        <v>478</v>
      </c>
      <c r="E153" s="245" t="s">
        <v>38</v>
      </c>
    </row>
    <row r="154" spans="1:6" x14ac:dyDescent="0.3">
      <c r="A154" s="313" t="s">
        <v>3653</v>
      </c>
      <c r="D154" s="78"/>
      <c r="E154" s="146"/>
    </row>
    <row r="155" spans="1:6" x14ac:dyDescent="0.3">
      <c r="A155" s="149" t="s">
        <v>3654</v>
      </c>
      <c r="B155" s="150" t="s">
        <v>39</v>
      </c>
      <c r="C155" s="150" t="s">
        <v>3655</v>
      </c>
      <c r="D155" s="312">
        <v>5.5</v>
      </c>
      <c r="E155" s="151" t="s">
        <v>3656</v>
      </c>
      <c r="F155" t="s">
        <v>2945</v>
      </c>
    </row>
  </sheetData>
  <hyperlinks>
    <hyperlink ref="A1" location="INDEX!A1" display="Index" xr:uid="{9579DA75-8386-4F33-B84F-CC922904783B}"/>
    <hyperlink ref="B1" location="'Econ.Equations'!A1" display="Previous" xr:uid="{B2AB978E-0E37-49DA-9250-50FCFB490008}"/>
    <hyperlink ref="C1" location="'UD'!A1" display="Next" xr:uid="{79BD8639-5722-4C13-BC0A-12A2689A98C4}"/>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AC279-FE57-466C-8D4B-34590A93C063}">
  <sheetPr codeName="Sheet6">
    <tabColor rgb="FF7030A0"/>
  </sheetPr>
  <dimension ref="A1:S54"/>
  <sheetViews>
    <sheetView workbookViewId="0">
      <selection activeCell="G30" sqref="G30"/>
    </sheetView>
  </sheetViews>
  <sheetFormatPr defaultColWidth="8.5546875" defaultRowHeight="14.4" x14ac:dyDescent="0.3"/>
  <cols>
    <col min="1" max="1" width="18.44140625" bestFit="1" customWidth="1"/>
    <col min="2" max="2" width="17.44140625" customWidth="1"/>
    <col min="3" max="3" width="13.5546875" bestFit="1" customWidth="1"/>
    <col min="4" max="4" width="14.44140625" bestFit="1" customWidth="1"/>
    <col min="5" max="5" width="13.44140625" bestFit="1" customWidth="1"/>
    <col min="6" max="6" width="14.5546875" bestFit="1" customWidth="1"/>
    <col min="7" max="7" width="15.44140625" bestFit="1" customWidth="1"/>
    <col min="8" max="8" width="14.44140625" bestFit="1" customWidth="1"/>
    <col min="9" max="9" width="10.5546875" bestFit="1" customWidth="1"/>
    <col min="10" max="10" width="11" bestFit="1" customWidth="1"/>
    <col min="11" max="11" width="10.44140625" bestFit="1" customWidth="1"/>
    <col min="12" max="12" width="13" bestFit="1" customWidth="1"/>
    <col min="13" max="13" width="13.44140625" bestFit="1" customWidth="1"/>
    <col min="14" max="15" width="12.44140625" bestFit="1" customWidth="1"/>
    <col min="16" max="16" width="12.5546875" bestFit="1" customWidth="1"/>
    <col min="17" max="17" width="12.44140625" bestFit="1" customWidth="1"/>
    <col min="18" max="18" width="22.88671875" bestFit="1" customWidth="1"/>
    <col min="19" max="19" width="19" bestFit="1" customWidth="1"/>
  </cols>
  <sheetData>
    <row r="1" spans="1:19" x14ac:dyDescent="0.3">
      <c r="B1" s="1589" t="s">
        <v>3657</v>
      </c>
      <c r="C1" s="1589" t="s">
        <v>3657</v>
      </c>
      <c r="D1" s="1589" t="s">
        <v>3657</v>
      </c>
      <c r="E1" s="1589" t="s">
        <v>3657</v>
      </c>
      <c r="F1" s="1589" t="s">
        <v>3657</v>
      </c>
      <c r="G1" s="1589" t="s">
        <v>3657</v>
      </c>
      <c r="H1" s="1589" t="s">
        <v>3657</v>
      </c>
      <c r="I1" s="1589" t="s">
        <v>3657</v>
      </c>
      <c r="J1" s="1589" t="s">
        <v>3657</v>
      </c>
      <c r="K1" s="1589" t="s">
        <v>3657</v>
      </c>
      <c r="L1" s="1589" t="s">
        <v>3657</v>
      </c>
      <c r="M1" s="1589" t="s">
        <v>3657</v>
      </c>
      <c r="N1" s="1589" t="s">
        <v>3657</v>
      </c>
      <c r="O1" s="1589" t="s">
        <v>3657</v>
      </c>
      <c r="P1" s="1589" t="s">
        <v>3657</v>
      </c>
      <c r="Q1" s="1589" t="s">
        <v>3657</v>
      </c>
      <c r="R1" s="1589" t="s">
        <v>3657</v>
      </c>
      <c r="S1" s="1589" t="s">
        <v>3657</v>
      </c>
    </row>
    <row r="2" spans="1:19" x14ac:dyDescent="0.3">
      <c r="A2" s="173"/>
      <c r="B2" s="303" t="s">
        <v>2314</v>
      </c>
      <c r="C2" s="82" t="s">
        <v>2306</v>
      </c>
      <c r="D2" s="82" t="s">
        <v>2306</v>
      </c>
      <c r="E2" s="173" t="s">
        <v>2306</v>
      </c>
      <c r="F2" s="82" t="s">
        <v>3658</v>
      </c>
      <c r="G2" s="82" t="s">
        <v>3658</v>
      </c>
      <c r="H2" s="173" t="s">
        <v>3658</v>
      </c>
      <c r="I2" s="82" t="s">
        <v>2315</v>
      </c>
      <c r="J2" s="82" t="s">
        <v>2315</v>
      </c>
      <c r="K2" s="173" t="s">
        <v>2315</v>
      </c>
      <c r="L2" s="82" t="s">
        <v>2315</v>
      </c>
      <c r="M2" s="82" t="s">
        <v>2315</v>
      </c>
      <c r="N2" s="173" t="s">
        <v>2315</v>
      </c>
      <c r="O2" s="82" t="s">
        <v>2315</v>
      </c>
      <c r="P2" s="82" t="s">
        <v>2315</v>
      </c>
      <c r="Q2" s="173" t="s">
        <v>2315</v>
      </c>
      <c r="R2" s="92" t="s">
        <v>3659</v>
      </c>
      <c r="S2" s="303" t="s">
        <v>3659</v>
      </c>
    </row>
    <row r="3" spans="1:19" x14ac:dyDescent="0.3">
      <c r="A3" s="304" t="s">
        <v>3660</v>
      </c>
      <c r="B3" s="305" t="s">
        <v>3661</v>
      </c>
      <c r="C3" s="290" t="s">
        <v>3662</v>
      </c>
      <c r="D3" s="290" t="s">
        <v>3663</v>
      </c>
      <c r="E3" s="304" t="s">
        <v>3664</v>
      </c>
      <c r="F3" s="290" t="s">
        <v>3665</v>
      </c>
      <c r="G3" s="290" t="s">
        <v>3666</v>
      </c>
      <c r="H3" s="304" t="s">
        <v>3667</v>
      </c>
      <c r="I3" s="290" t="s">
        <v>3668</v>
      </c>
      <c r="J3" s="290" t="s">
        <v>3669</v>
      </c>
      <c r="K3" s="304" t="s">
        <v>3670</v>
      </c>
      <c r="L3" s="290" t="s">
        <v>3671</v>
      </c>
      <c r="M3" s="290" t="s">
        <v>3672</v>
      </c>
      <c r="N3" s="304" t="s">
        <v>3673</v>
      </c>
      <c r="O3" s="290" t="s">
        <v>3674</v>
      </c>
      <c r="P3" s="290" t="s">
        <v>3675</v>
      </c>
      <c r="Q3" s="304" t="s">
        <v>3676</v>
      </c>
      <c r="R3" s="306" t="s">
        <v>3677</v>
      </c>
      <c r="S3" s="305" t="s">
        <v>3678</v>
      </c>
    </row>
    <row r="4" spans="1:19" x14ac:dyDescent="0.3">
      <c r="A4" s="1086" t="s">
        <v>3679</v>
      </c>
      <c r="B4" s="1590">
        <v>0.17429145717075645</v>
      </c>
      <c r="C4">
        <v>6.7400000000000002E-2</v>
      </c>
      <c r="D4">
        <v>7.6200000000000004E-2</v>
      </c>
      <c r="E4" s="146">
        <v>7.2441666666666654E-2</v>
      </c>
      <c r="F4" s="302">
        <v>3.19</v>
      </c>
      <c r="G4" s="302">
        <v>5.53</v>
      </c>
      <c r="H4" s="307">
        <v>4.1300000000000008</v>
      </c>
      <c r="I4" s="302">
        <v>3.13</v>
      </c>
      <c r="J4" s="302">
        <v>3.8650000000000002</v>
      </c>
      <c r="K4" s="308">
        <v>3.4570754716981122</v>
      </c>
      <c r="L4" s="302">
        <v>2.6619999999999999</v>
      </c>
      <c r="M4" s="302">
        <v>3.3359999999999999</v>
      </c>
      <c r="N4" s="307">
        <v>2.9803962264150941</v>
      </c>
      <c r="O4" s="302">
        <v>0.80600000000000005</v>
      </c>
      <c r="P4" s="302">
        <v>1.0409999999999999</v>
      </c>
      <c r="Q4" s="308">
        <v>0.90796874999999999</v>
      </c>
      <c r="R4" s="401">
        <v>16.28</v>
      </c>
      <c r="S4" s="1592">
        <v>37.405000000000001</v>
      </c>
    </row>
    <row r="5" spans="1:19" x14ac:dyDescent="0.3">
      <c r="A5" s="1087" t="s">
        <v>3680</v>
      </c>
      <c r="B5" s="1590">
        <v>1.7265904438745685</v>
      </c>
      <c r="C5">
        <v>0.17010000000000003</v>
      </c>
      <c r="D5">
        <v>0.21350000000000002</v>
      </c>
      <c r="E5" s="146">
        <v>0.1929666666666667</v>
      </c>
      <c r="F5" s="302">
        <v>5.31</v>
      </c>
      <c r="G5" s="302">
        <v>7</v>
      </c>
      <c r="H5" s="308">
        <v>6.2341666666666669</v>
      </c>
      <c r="I5" s="302">
        <v>4.0789999999999997</v>
      </c>
      <c r="J5" s="302">
        <v>4.7229999999999999</v>
      </c>
      <c r="K5" s="308">
        <v>4.4152075471698113</v>
      </c>
      <c r="L5" s="302">
        <v>3.9079999999999999</v>
      </c>
      <c r="M5" s="302">
        <v>4.9809999999999999</v>
      </c>
      <c r="N5" s="308">
        <v>4.3153962264150945</v>
      </c>
      <c r="O5" s="302">
        <v>0.71299999999999997</v>
      </c>
      <c r="P5" s="302">
        <v>1.157</v>
      </c>
      <c r="Q5" s="308">
        <v>0.94190625000000017</v>
      </c>
      <c r="R5" s="401">
        <v>20.645</v>
      </c>
      <c r="S5" s="1592">
        <v>48.435000000000002</v>
      </c>
    </row>
    <row r="6" spans="1:19" x14ac:dyDescent="0.3">
      <c r="A6" s="1087" t="s">
        <v>3681</v>
      </c>
      <c r="B6" s="1590">
        <v>0.11794182359339554</v>
      </c>
      <c r="C6">
        <v>7.1399999999999991E-2</v>
      </c>
      <c r="D6">
        <v>9.2399999999999996E-2</v>
      </c>
      <c r="E6" s="146">
        <v>7.9116666666666655E-2</v>
      </c>
      <c r="F6" s="302">
        <v>4.28</v>
      </c>
      <c r="G6" s="302">
        <v>7.49</v>
      </c>
      <c r="H6" s="308">
        <v>5.4175000000000004</v>
      </c>
      <c r="I6" s="302">
        <v>4.0789999999999997</v>
      </c>
      <c r="J6" s="302">
        <v>4.7229999999999999</v>
      </c>
      <c r="K6" s="308">
        <v>4.4152075471698113</v>
      </c>
      <c r="L6" s="302">
        <v>3.9079999999999999</v>
      </c>
      <c r="M6" s="302">
        <v>4.9809999999999999</v>
      </c>
      <c r="N6" s="308">
        <v>4.3153962264150945</v>
      </c>
      <c r="O6" s="302">
        <v>0.71299999999999997</v>
      </c>
      <c r="P6" s="302">
        <v>1.157</v>
      </c>
      <c r="Q6" s="308">
        <v>0.94190625000000017</v>
      </c>
      <c r="R6" s="401">
        <v>17.86</v>
      </c>
      <c r="S6" s="1592">
        <v>42.29</v>
      </c>
    </row>
    <row r="7" spans="1:19" x14ac:dyDescent="0.3">
      <c r="A7" s="1087" t="s">
        <v>2203</v>
      </c>
      <c r="B7" s="1590">
        <v>8.5513315802078632E-2</v>
      </c>
      <c r="C7">
        <v>5.8600000000000006E-2</v>
      </c>
      <c r="D7">
        <v>7.0800000000000002E-2</v>
      </c>
      <c r="E7" s="146">
        <v>6.5241666666666656E-2</v>
      </c>
      <c r="F7" s="302">
        <v>5.72</v>
      </c>
      <c r="G7" s="302">
        <v>9.39</v>
      </c>
      <c r="H7" s="308">
        <v>7.3341666666666656</v>
      </c>
      <c r="I7" s="302">
        <v>3.13</v>
      </c>
      <c r="J7" s="302">
        <v>3.8650000000000002</v>
      </c>
      <c r="K7" s="308">
        <v>3.4570754716981122</v>
      </c>
      <c r="L7" s="302">
        <v>2.6619999999999999</v>
      </c>
      <c r="M7" s="302">
        <v>3.3359999999999999</v>
      </c>
      <c r="N7" s="308">
        <v>2.9803962264150941</v>
      </c>
      <c r="O7" s="302">
        <v>0.8</v>
      </c>
      <c r="P7" s="302">
        <v>1.089</v>
      </c>
      <c r="Q7" s="308">
        <v>0.93815625000000002</v>
      </c>
      <c r="R7" s="401">
        <v>16.600000000000001</v>
      </c>
      <c r="S7" s="1592">
        <v>35.71</v>
      </c>
    </row>
    <row r="8" spans="1:19" x14ac:dyDescent="0.3">
      <c r="A8" s="1087" t="s">
        <v>3682</v>
      </c>
      <c r="B8" s="1590">
        <v>0.22596360027289358</v>
      </c>
      <c r="C8">
        <v>0.17949999999999999</v>
      </c>
      <c r="D8">
        <v>0.26119999999999999</v>
      </c>
      <c r="E8" s="146">
        <v>0.2136666666666667</v>
      </c>
      <c r="F8" s="302">
        <v>9.07</v>
      </c>
      <c r="G8" s="302">
        <v>14.35</v>
      </c>
      <c r="H8" s="308">
        <v>11.262500000000001</v>
      </c>
      <c r="I8" s="302">
        <v>4.0789999999999997</v>
      </c>
      <c r="J8" s="302">
        <v>4.7229999999999999</v>
      </c>
      <c r="K8" s="308">
        <v>4.4152075471698113</v>
      </c>
      <c r="L8" s="302">
        <v>4.2160000000000002</v>
      </c>
      <c r="M8" s="302">
        <v>5.3789999999999996</v>
      </c>
      <c r="N8" s="308">
        <v>4.6423396226415097</v>
      </c>
      <c r="O8" s="302">
        <v>0.71299999999999997</v>
      </c>
      <c r="P8" s="302">
        <v>1.157</v>
      </c>
      <c r="Q8" s="308">
        <v>0.94190625000000017</v>
      </c>
      <c r="R8" s="401">
        <v>20.87</v>
      </c>
      <c r="S8" s="1592">
        <v>58.32</v>
      </c>
    </row>
    <row r="9" spans="1:19" x14ac:dyDescent="0.3">
      <c r="A9" s="1087" t="s">
        <v>3683</v>
      </c>
      <c r="B9" s="1590">
        <v>7.5718839102281082E-2</v>
      </c>
      <c r="C9">
        <v>8.2799999999999999E-2</v>
      </c>
      <c r="D9">
        <v>9.6199999999999994E-2</v>
      </c>
      <c r="E9" s="146">
        <v>8.8791666666666685E-2</v>
      </c>
      <c r="F9" s="302">
        <v>6.35</v>
      </c>
      <c r="G9" s="302">
        <v>9.7799999999999994</v>
      </c>
      <c r="H9" s="308">
        <v>7.9241666666666655</v>
      </c>
      <c r="I9" s="302">
        <v>3.3279999999999998</v>
      </c>
      <c r="J9" s="302">
        <v>4.008</v>
      </c>
      <c r="K9" s="308">
        <v>3.7020188679245285</v>
      </c>
      <c r="L9" s="302">
        <v>2.6720000000000002</v>
      </c>
      <c r="M9" s="302">
        <v>3.5990000000000002</v>
      </c>
      <c r="N9" s="308">
        <v>3.204452830188679</v>
      </c>
      <c r="O9" s="302">
        <v>0.71299999999999997</v>
      </c>
      <c r="P9" s="302">
        <v>1.157</v>
      </c>
      <c r="Q9" s="308">
        <v>0.94190625000000017</v>
      </c>
      <c r="R9" s="401">
        <v>20.95</v>
      </c>
      <c r="S9" s="1592">
        <v>42.29</v>
      </c>
    </row>
    <row r="10" spans="1:19" x14ac:dyDescent="0.3">
      <c r="A10" s="1087" t="s">
        <v>3684</v>
      </c>
      <c r="B10" s="1590">
        <v>3.7799459773907804</v>
      </c>
      <c r="C10">
        <v>0.15529999999999999</v>
      </c>
      <c r="D10">
        <v>0.19899999999999998</v>
      </c>
      <c r="E10" s="146">
        <v>0.17146666666666668</v>
      </c>
      <c r="F10" s="302">
        <v>5.7</v>
      </c>
      <c r="G10" s="302">
        <v>8.07</v>
      </c>
      <c r="H10" s="308">
        <v>6.7233333333333336</v>
      </c>
      <c r="I10" s="302">
        <v>3.7469999999999999</v>
      </c>
      <c r="J10" s="302">
        <v>4.3499999999999996</v>
      </c>
      <c r="K10" s="308">
        <v>4.0653584905660374</v>
      </c>
      <c r="L10" s="302">
        <v>3.117</v>
      </c>
      <c r="M10" s="302">
        <v>3.74</v>
      </c>
      <c r="N10" s="308">
        <v>3.377056603773585</v>
      </c>
      <c r="O10" s="302">
        <v>0.85799999999999998</v>
      </c>
      <c r="P10" s="302">
        <v>1.244</v>
      </c>
      <c r="Q10" s="308">
        <v>1.0618125000000003</v>
      </c>
      <c r="R10" s="401">
        <v>23.094999999999999</v>
      </c>
      <c r="S10" s="1592">
        <v>45.169999999999995</v>
      </c>
    </row>
    <row r="11" spans="1:19" x14ac:dyDescent="0.3">
      <c r="A11" s="1087" t="s">
        <v>3685</v>
      </c>
      <c r="B11" s="1590">
        <v>1.2990552574177006</v>
      </c>
      <c r="C11">
        <v>7.5800000000000006E-2</v>
      </c>
      <c r="D11">
        <v>8.6500000000000007E-2</v>
      </c>
      <c r="E11" s="146">
        <v>8.2241666666666671E-2</v>
      </c>
      <c r="F11" s="302">
        <v>9.8800000000000008</v>
      </c>
      <c r="G11" s="302">
        <v>21.44</v>
      </c>
      <c r="H11" s="308">
        <v>13.284545454545453</v>
      </c>
      <c r="I11" s="302">
        <v>3.75</v>
      </c>
      <c r="J11" s="302">
        <v>4.3550000000000004</v>
      </c>
      <c r="K11" s="308">
        <v>4.0460188679245279</v>
      </c>
      <c r="L11" s="302">
        <v>3.181</v>
      </c>
      <c r="M11" s="302">
        <v>3.8140000000000001</v>
      </c>
      <c r="N11" s="308">
        <v>3.4690188679245284</v>
      </c>
      <c r="O11" s="302">
        <v>0.85799999999999998</v>
      </c>
      <c r="P11" s="302">
        <v>1.244</v>
      </c>
      <c r="Q11" s="308">
        <v>1.0618125000000003</v>
      </c>
      <c r="R11" s="401">
        <v>24.17</v>
      </c>
      <c r="S11" s="1592">
        <v>44.6</v>
      </c>
    </row>
    <row r="12" spans="1:19" x14ac:dyDescent="0.3">
      <c r="A12" s="1087" t="s">
        <v>3686</v>
      </c>
      <c r="B12" s="1590">
        <v>2.8410260940117897</v>
      </c>
      <c r="C12">
        <v>6.8099999999999994E-2</v>
      </c>
      <c r="D12">
        <v>0.1661</v>
      </c>
      <c r="E12" s="146">
        <v>0.11470833333333333</v>
      </c>
      <c r="F12" s="302">
        <v>8.99</v>
      </c>
      <c r="G12" s="302">
        <v>14.21</v>
      </c>
      <c r="H12" s="308">
        <v>11.469166666666666</v>
      </c>
      <c r="I12" s="302">
        <v>3.4319999999999999</v>
      </c>
      <c r="J12" s="302">
        <v>4.1890000000000001</v>
      </c>
      <c r="K12" s="308">
        <v>3.7435094339622648</v>
      </c>
      <c r="L12" s="302">
        <v>2.9609999999999999</v>
      </c>
      <c r="M12" s="302">
        <v>3.5459999999999998</v>
      </c>
      <c r="N12" s="308">
        <v>3.2430377358490556</v>
      </c>
      <c r="O12" s="302">
        <v>0.86</v>
      </c>
      <c r="P12" s="302">
        <v>1.105</v>
      </c>
      <c r="Q12" s="308">
        <v>0.96937499999999976</v>
      </c>
      <c r="R12" s="401">
        <v>22.462499999999999</v>
      </c>
      <c r="S12" s="1592">
        <v>44.6</v>
      </c>
    </row>
    <row r="13" spans="1:19" x14ac:dyDescent="0.3">
      <c r="A13" s="1087" t="s">
        <v>3687</v>
      </c>
      <c r="B13" s="1590">
        <v>0.13231961310784193</v>
      </c>
      <c r="C13">
        <v>8.3199999999999996E-2</v>
      </c>
      <c r="D13">
        <v>9.3200000000000005E-2</v>
      </c>
      <c r="E13" s="146">
        <v>8.6233333333333329E-2</v>
      </c>
      <c r="F13" s="302">
        <v>3.14</v>
      </c>
      <c r="G13" s="302">
        <v>6.43</v>
      </c>
      <c r="H13" s="308">
        <v>4.8083333333333336</v>
      </c>
      <c r="I13" s="302">
        <v>3.4319999999999999</v>
      </c>
      <c r="J13" s="302">
        <v>4.1890000000000001</v>
      </c>
      <c r="K13" s="308">
        <v>3.7435094339622648</v>
      </c>
      <c r="L13" s="302">
        <v>3.0270000000000001</v>
      </c>
      <c r="M13" s="302">
        <v>3.6339999999999999</v>
      </c>
      <c r="N13" s="308">
        <v>3.3118113207547175</v>
      </c>
      <c r="O13" s="302">
        <v>0.86</v>
      </c>
      <c r="P13" s="302">
        <v>1.105</v>
      </c>
      <c r="Q13" s="308">
        <v>0.96937499999999976</v>
      </c>
      <c r="R13" s="401">
        <v>19.88</v>
      </c>
      <c r="S13" s="1592">
        <v>49.87</v>
      </c>
    </row>
    <row r="14" spans="1:19" x14ac:dyDescent="0.3">
      <c r="A14" s="1087" t="s">
        <v>3688</v>
      </c>
      <c r="B14" s="1590">
        <v>0.72089859914791987</v>
      </c>
      <c r="C14">
        <v>5.8600000000000006E-2</v>
      </c>
      <c r="D14">
        <v>9.8900000000000002E-2</v>
      </c>
      <c r="E14" s="146">
        <v>7.2241666666666662E-2</v>
      </c>
      <c r="F14" s="302">
        <v>3.8</v>
      </c>
      <c r="G14" s="302">
        <v>6</v>
      </c>
      <c r="H14" s="308">
        <v>4.751666666666666</v>
      </c>
      <c r="I14" s="302">
        <v>3.4319999999999999</v>
      </c>
      <c r="J14" s="302">
        <v>4.1890000000000001</v>
      </c>
      <c r="K14" s="308">
        <v>3.7435094339622648</v>
      </c>
      <c r="L14" s="302">
        <v>2.9609999999999999</v>
      </c>
      <c r="M14" s="302">
        <v>3.5459999999999998</v>
      </c>
      <c r="N14" s="308">
        <v>3.2430377358490556</v>
      </c>
      <c r="O14" s="302">
        <v>0.82399999999999995</v>
      </c>
      <c r="P14" s="302">
        <v>1.0589999999999999</v>
      </c>
      <c r="Q14" s="308">
        <v>0.92762500000000003</v>
      </c>
      <c r="R14" s="401">
        <v>17.399999999999999</v>
      </c>
      <c r="S14" s="1592">
        <v>37.405000000000001</v>
      </c>
    </row>
    <row r="15" spans="1:19" x14ac:dyDescent="0.3">
      <c r="A15" s="1087" t="s">
        <v>3689</v>
      </c>
      <c r="B15" s="1590">
        <v>0.67892675508500544</v>
      </c>
      <c r="C15">
        <v>0.315</v>
      </c>
      <c r="D15">
        <v>0.37680000000000002</v>
      </c>
      <c r="E15" s="146">
        <v>0.34229166666666672</v>
      </c>
      <c r="F15" s="302">
        <v>25.33</v>
      </c>
      <c r="G15" s="302">
        <v>31.85</v>
      </c>
      <c r="H15" s="308">
        <v>28.247499999999999</v>
      </c>
      <c r="I15" s="302">
        <v>4.0789999999999997</v>
      </c>
      <c r="J15" s="302">
        <v>4.7229999999999999</v>
      </c>
      <c r="K15" s="308">
        <v>4.4152075471698113</v>
      </c>
      <c r="L15" s="302">
        <v>3.9079999999999999</v>
      </c>
      <c r="M15" s="302">
        <v>4.9809999999999999</v>
      </c>
      <c r="N15" s="308">
        <v>4.3153962264150945</v>
      </c>
      <c r="O15" s="302">
        <v>0.71299999999999997</v>
      </c>
      <c r="P15" s="302">
        <v>1.157</v>
      </c>
      <c r="Q15" s="308">
        <v>0.94190625000000017</v>
      </c>
      <c r="R15" s="401">
        <v>21.2</v>
      </c>
      <c r="S15" s="1592">
        <v>35.11</v>
      </c>
    </row>
    <row r="16" spans="1:19" x14ac:dyDescent="0.3">
      <c r="A16" s="1087" t="s">
        <v>3690</v>
      </c>
      <c r="B16" s="1590">
        <v>7.3301612480856704E-2</v>
      </c>
      <c r="C16">
        <v>6.1399999999999996E-2</v>
      </c>
      <c r="D16">
        <v>9.5899999999999999E-2</v>
      </c>
      <c r="E16" s="146">
        <v>7.4333333333333335E-2</v>
      </c>
      <c r="F16" s="302">
        <v>4.12</v>
      </c>
      <c r="G16" s="302">
        <v>5.52</v>
      </c>
      <c r="H16" s="308">
        <v>5.1074999999999999</v>
      </c>
      <c r="I16" s="302">
        <v>3.3279999999999998</v>
      </c>
      <c r="J16" s="302">
        <v>4.008</v>
      </c>
      <c r="K16" s="308">
        <v>3.7020188679245285</v>
      </c>
      <c r="L16" s="302">
        <v>2.786</v>
      </c>
      <c r="M16" s="302">
        <v>3.5920000000000001</v>
      </c>
      <c r="N16" s="308">
        <v>3.2936981132075482</v>
      </c>
      <c r="O16" s="302">
        <v>0.71299999999999997</v>
      </c>
      <c r="P16" s="302">
        <v>1.157</v>
      </c>
      <c r="Q16" s="308">
        <v>0.94190625000000017</v>
      </c>
      <c r="R16" s="401">
        <v>21.77</v>
      </c>
      <c r="S16" s="1592">
        <v>42.29</v>
      </c>
    </row>
    <row r="17" spans="1:19" x14ac:dyDescent="0.3">
      <c r="A17" s="1087" t="s">
        <v>3691</v>
      </c>
      <c r="B17" s="1590">
        <v>1.204281138325749</v>
      </c>
      <c r="C17">
        <v>8.199999999999999E-2</v>
      </c>
      <c r="D17">
        <v>9.7500000000000003E-2</v>
      </c>
      <c r="E17" s="146">
        <v>9.1691666666666657E-2</v>
      </c>
      <c r="F17" s="302">
        <v>4.96</v>
      </c>
      <c r="G17" s="302">
        <v>9.5500000000000007</v>
      </c>
      <c r="H17" s="308">
        <v>7.2774999999999999</v>
      </c>
      <c r="I17" s="302">
        <v>3.4249999999999998</v>
      </c>
      <c r="J17" s="302">
        <v>4.0419999999999998</v>
      </c>
      <c r="K17" s="308">
        <v>3.6964905660377356</v>
      </c>
      <c r="L17" s="302">
        <v>2.8439999999999999</v>
      </c>
      <c r="M17" s="302">
        <v>3.5569999999999999</v>
      </c>
      <c r="N17" s="308">
        <v>3.2422641509433965</v>
      </c>
      <c r="O17" s="302">
        <v>0.80700000000000005</v>
      </c>
      <c r="P17" s="302">
        <v>1.0269999999999999</v>
      </c>
      <c r="Q17" s="308">
        <v>0.90878124999999987</v>
      </c>
      <c r="R17" s="401">
        <v>23.12</v>
      </c>
      <c r="S17" s="1592">
        <v>46.65</v>
      </c>
    </row>
    <row r="18" spans="1:19" x14ac:dyDescent="0.3">
      <c r="A18" s="1087" t="s">
        <v>3692</v>
      </c>
      <c r="B18" s="1590">
        <v>1.0194417831705953</v>
      </c>
      <c r="C18">
        <v>7.7800000000000008E-2</v>
      </c>
      <c r="D18">
        <v>8.199999999999999E-2</v>
      </c>
      <c r="E18" s="146">
        <v>8.005000000000001E-2</v>
      </c>
      <c r="F18" s="302">
        <v>3.73</v>
      </c>
      <c r="G18" s="302">
        <v>6.23</v>
      </c>
      <c r="H18" s="308">
        <v>5.0983333333333336</v>
      </c>
      <c r="I18" s="302">
        <v>3.4249999999999998</v>
      </c>
      <c r="J18" s="302">
        <v>4.0419999999999998</v>
      </c>
      <c r="K18" s="308">
        <v>3.6964905660377356</v>
      </c>
      <c r="L18" s="302">
        <v>2.8439999999999999</v>
      </c>
      <c r="M18" s="302">
        <v>3.5569999999999999</v>
      </c>
      <c r="N18" s="308">
        <v>3.2422641509433965</v>
      </c>
      <c r="O18" s="302">
        <v>0.85399999999999998</v>
      </c>
      <c r="P18" s="302">
        <v>1.254</v>
      </c>
      <c r="Q18" s="308">
        <v>1.0430312499999999</v>
      </c>
      <c r="R18" s="401">
        <v>24.51</v>
      </c>
      <c r="S18" s="1592">
        <v>37.17</v>
      </c>
    </row>
    <row r="19" spans="1:19" x14ac:dyDescent="0.3">
      <c r="A19" s="1087" t="s">
        <v>3693</v>
      </c>
      <c r="B19" s="1590">
        <v>3.858144828221536</v>
      </c>
      <c r="C19">
        <v>6.0100000000000001E-2</v>
      </c>
      <c r="D19">
        <v>8.2899999999999988E-2</v>
      </c>
      <c r="E19" s="146">
        <v>6.8591666666666662E-2</v>
      </c>
      <c r="F19" s="302">
        <v>4.62</v>
      </c>
      <c r="G19" s="302">
        <v>7.02</v>
      </c>
      <c r="H19" s="308">
        <v>5.544999999999999</v>
      </c>
      <c r="I19" s="302">
        <v>3.4249999999999998</v>
      </c>
      <c r="J19" s="302">
        <v>4.0419999999999998</v>
      </c>
      <c r="K19" s="308">
        <v>3.6964905660377356</v>
      </c>
      <c r="L19" s="302">
        <v>2.8439999999999999</v>
      </c>
      <c r="M19" s="302">
        <v>3.5569999999999999</v>
      </c>
      <c r="N19" s="308">
        <v>3.2422641509433965</v>
      </c>
      <c r="O19" s="302">
        <v>0.80300000000000005</v>
      </c>
      <c r="P19" s="302">
        <v>1.0149999999999999</v>
      </c>
      <c r="Q19" s="308">
        <v>0.89796874999999987</v>
      </c>
      <c r="R19" s="401">
        <v>23.66</v>
      </c>
      <c r="S19" s="1592">
        <v>48.82</v>
      </c>
    </row>
    <row r="20" spans="1:19" x14ac:dyDescent="0.3">
      <c r="A20" s="1087" t="s">
        <v>3694</v>
      </c>
      <c r="B20" s="1590">
        <v>0.11191445331659704</v>
      </c>
      <c r="C20">
        <v>7.5999999999999998E-2</v>
      </c>
      <c r="D20">
        <v>8.5600000000000009E-2</v>
      </c>
      <c r="E20" s="146">
        <v>8.0116666666666669E-2</v>
      </c>
      <c r="F20" s="302">
        <v>3.09</v>
      </c>
      <c r="G20" s="302">
        <v>8.84</v>
      </c>
      <c r="H20" s="308">
        <v>4.7181818181818178</v>
      </c>
      <c r="I20" s="302">
        <v>3.4249999999999998</v>
      </c>
      <c r="J20" s="302">
        <v>4.0419999999999998</v>
      </c>
      <c r="K20" s="308">
        <v>3.6964905660377356</v>
      </c>
      <c r="L20" s="302">
        <v>2.8439999999999999</v>
      </c>
      <c r="M20" s="302">
        <v>3.5569999999999999</v>
      </c>
      <c r="N20" s="308">
        <v>3.2422641509433965</v>
      </c>
      <c r="O20" s="302">
        <v>0.73599999999999999</v>
      </c>
      <c r="P20" s="302">
        <v>0.95</v>
      </c>
      <c r="Q20" s="308">
        <v>0.82984374999999977</v>
      </c>
      <c r="R20" s="401">
        <v>20.65</v>
      </c>
      <c r="S20" s="1592">
        <v>39.29</v>
      </c>
    </row>
    <row r="21" spans="1:19" x14ac:dyDescent="0.3">
      <c r="A21" s="1087" t="s">
        <v>3695</v>
      </c>
      <c r="B21" s="1590">
        <v>0.55633883356991098</v>
      </c>
      <c r="C21">
        <v>6.2199999999999998E-2</v>
      </c>
      <c r="D21">
        <v>7.1399999999999991E-2</v>
      </c>
      <c r="E21" s="146">
        <v>6.6183333333333316E-2</v>
      </c>
      <c r="F21" s="302">
        <v>2.71</v>
      </c>
      <c r="G21" s="302">
        <v>5.03</v>
      </c>
      <c r="H21" s="308">
        <v>3.4783333333333331</v>
      </c>
      <c r="I21" s="302">
        <v>3.4249999999999998</v>
      </c>
      <c r="J21" s="302">
        <v>4.0419999999999998</v>
      </c>
      <c r="K21" s="308">
        <v>3.6964905660377356</v>
      </c>
      <c r="L21" s="302">
        <v>2.8439999999999999</v>
      </c>
      <c r="M21" s="302">
        <v>3.5569999999999999</v>
      </c>
      <c r="N21" s="308">
        <v>3.2422641509433965</v>
      </c>
      <c r="O21" s="302">
        <v>0.76900000000000002</v>
      </c>
      <c r="P21" s="302">
        <v>1.1359999999999999</v>
      </c>
      <c r="Q21" s="308">
        <v>0.96534374999999994</v>
      </c>
      <c r="R21" s="401">
        <v>24.25</v>
      </c>
      <c r="S21" s="1592">
        <v>40.31</v>
      </c>
    </row>
    <row r="22" spans="1:19" x14ac:dyDescent="0.3">
      <c r="A22" s="1087" t="s">
        <v>3696</v>
      </c>
      <c r="B22" s="1590">
        <v>2.7705498113481823</v>
      </c>
      <c r="C22">
        <v>5.0499999999999996E-2</v>
      </c>
      <c r="D22">
        <v>6.3799999999999996E-2</v>
      </c>
      <c r="E22" s="146">
        <v>5.6016666666666659E-2</v>
      </c>
      <c r="F22" s="302">
        <v>2.64</v>
      </c>
      <c r="G22" s="302">
        <v>4.3499999999999996</v>
      </c>
      <c r="H22" s="308">
        <v>3.3800000000000008</v>
      </c>
      <c r="I22" s="302">
        <v>3.13</v>
      </c>
      <c r="J22" s="302">
        <v>3.8650000000000002</v>
      </c>
      <c r="K22" s="308">
        <v>3.4570754716981122</v>
      </c>
      <c r="L22" s="302">
        <v>2.6619999999999999</v>
      </c>
      <c r="M22" s="302">
        <v>3.3359999999999999</v>
      </c>
      <c r="N22" s="308">
        <v>2.9803962264150941</v>
      </c>
      <c r="O22" s="302">
        <v>0.8</v>
      </c>
      <c r="P22" s="302">
        <v>1.089</v>
      </c>
      <c r="Q22" s="308">
        <v>0.93815625000000002</v>
      </c>
      <c r="R22" s="401">
        <v>16.080000000000002</v>
      </c>
      <c r="S22" s="1592">
        <v>35.71</v>
      </c>
    </row>
    <row r="23" spans="1:19" x14ac:dyDescent="0.3">
      <c r="A23" s="1087" t="s">
        <v>3697</v>
      </c>
      <c r="B23" s="1590">
        <v>1.8992494882620254</v>
      </c>
      <c r="C23">
        <v>0.113</v>
      </c>
      <c r="D23">
        <v>0.15259999999999999</v>
      </c>
      <c r="E23" s="146">
        <v>0.13189999999999999</v>
      </c>
      <c r="F23" s="302">
        <v>4.8600000000000003</v>
      </c>
      <c r="G23" s="302">
        <v>12.65</v>
      </c>
      <c r="H23" s="308">
        <v>8.1383333333333336</v>
      </c>
      <c r="I23" s="302">
        <v>3.7469999999999999</v>
      </c>
      <c r="J23" s="302">
        <v>4.3499999999999996</v>
      </c>
      <c r="K23" s="308">
        <v>4.0653584905660374</v>
      </c>
      <c r="L23" s="302">
        <v>3.117</v>
      </c>
      <c r="M23" s="302">
        <v>3.74</v>
      </c>
      <c r="N23" s="308">
        <v>3.377056603773585</v>
      </c>
      <c r="O23" s="302">
        <v>0.85799999999999998</v>
      </c>
      <c r="P23" s="302">
        <v>1.244</v>
      </c>
      <c r="Q23" s="308">
        <v>1.0618125000000003</v>
      </c>
      <c r="R23" s="401">
        <v>23.95</v>
      </c>
      <c r="S23" s="1592">
        <v>45.44</v>
      </c>
    </row>
    <row r="24" spans="1:19" x14ac:dyDescent="0.3">
      <c r="A24" s="1087" t="s">
        <v>3698</v>
      </c>
      <c r="B24" s="1590">
        <v>2.8410260940117897</v>
      </c>
      <c r="C24">
        <v>9.5899999999999999E-2</v>
      </c>
      <c r="D24">
        <v>0.1106</v>
      </c>
      <c r="E24" s="146">
        <v>0.10254166666666667</v>
      </c>
      <c r="F24" s="302">
        <v>8.99</v>
      </c>
      <c r="G24" s="302">
        <v>14.21</v>
      </c>
      <c r="H24" s="308">
        <v>11.469166666666666</v>
      </c>
      <c r="I24" s="302">
        <v>3.75</v>
      </c>
      <c r="J24" s="302">
        <v>4.3550000000000004</v>
      </c>
      <c r="K24" s="308">
        <v>4.0460188679245279</v>
      </c>
      <c r="L24" s="302">
        <v>3.181</v>
      </c>
      <c r="M24" s="302">
        <v>3.8140000000000001</v>
      </c>
      <c r="N24" s="308">
        <v>3.4690188679245284</v>
      </c>
      <c r="O24" s="302">
        <v>0.88</v>
      </c>
      <c r="P24" s="302">
        <v>1.272</v>
      </c>
      <c r="Q24" s="308">
        <v>1.0814687499999998</v>
      </c>
      <c r="R24" s="401">
        <v>20.95</v>
      </c>
      <c r="S24" s="1592">
        <v>46.17</v>
      </c>
    </row>
    <row r="25" spans="1:19" x14ac:dyDescent="0.3">
      <c r="A25" s="1087" t="s">
        <v>3699</v>
      </c>
      <c r="B25" s="1590">
        <v>1.1088163830562479</v>
      </c>
      <c r="C25">
        <v>0.17519999999999999</v>
      </c>
      <c r="D25">
        <v>0.19020000000000001</v>
      </c>
      <c r="E25" s="146">
        <v>0.18171666666666669</v>
      </c>
      <c r="F25" s="302">
        <v>8.4499999999999993</v>
      </c>
      <c r="G25" s="302">
        <v>16.170000000000002</v>
      </c>
      <c r="H25" s="308">
        <v>12.306666666666667</v>
      </c>
      <c r="I25" s="302">
        <v>3.7469999999999999</v>
      </c>
      <c r="J25" s="302">
        <v>4.3499999999999996</v>
      </c>
      <c r="K25" s="308">
        <v>4.0653584905660374</v>
      </c>
      <c r="L25" s="302">
        <v>3.113</v>
      </c>
      <c r="M25" s="302">
        <v>3.7410000000000001</v>
      </c>
      <c r="N25" s="308">
        <v>3.387245283018868</v>
      </c>
      <c r="O25" s="302">
        <v>0.85799999999999998</v>
      </c>
      <c r="P25" s="302">
        <v>1.244</v>
      </c>
      <c r="Q25" s="308">
        <v>1.0618125000000003</v>
      </c>
      <c r="R25" s="401">
        <v>21.24</v>
      </c>
      <c r="S25" s="1592">
        <v>49.36</v>
      </c>
    </row>
    <row r="26" spans="1:19" x14ac:dyDescent="0.3">
      <c r="A26" s="1087" t="s">
        <v>3700</v>
      </c>
      <c r="B26" s="1590">
        <v>7.2235835288683212</v>
      </c>
      <c r="C26">
        <v>7.9199999999999993E-2</v>
      </c>
      <c r="D26">
        <v>8.6699999999999999E-2</v>
      </c>
      <c r="E26" s="146">
        <v>8.2733333333333353E-2</v>
      </c>
      <c r="F26" s="302">
        <v>7.23</v>
      </c>
      <c r="G26" s="302">
        <v>8.4700000000000006</v>
      </c>
      <c r="H26" s="308">
        <v>7.7683333333333335</v>
      </c>
      <c r="I26" s="302">
        <v>3.4249999999999998</v>
      </c>
      <c r="J26" s="302">
        <v>4.0419999999999998</v>
      </c>
      <c r="K26" s="308">
        <v>3.6964905660377356</v>
      </c>
      <c r="L26" s="302">
        <v>2.8439999999999999</v>
      </c>
      <c r="M26" s="302">
        <v>3.5569999999999999</v>
      </c>
      <c r="N26" s="308">
        <v>3.2422641509433965</v>
      </c>
      <c r="O26" s="302">
        <v>0.76300000000000001</v>
      </c>
      <c r="P26" s="302">
        <v>1.069</v>
      </c>
      <c r="Q26" s="308">
        <v>0.92284374999999996</v>
      </c>
      <c r="R26" s="401">
        <v>20.11</v>
      </c>
      <c r="S26" s="1592">
        <v>39.369999999999997</v>
      </c>
    </row>
    <row r="27" spans="1:19" x14ac:dyDescent="0.3">
      <c r="A27" s="1087" t="s">
        <v>3701</v>
      </c>
      <c r="B27" s="1590">
        <v>2.9405090961324905</v>
      </c>
      <c r="C27">
        <v>8.5000000000000006E-2</v>
      </c>
      <c r="D27">
        <v>9.7899999999999987E-2</v>
      </c>
      <c r="E27" s="146">
        <v>9.1191666666666671E-2</v>
      </c>
      <c r="F27" s="302">
        <v>3.59</v>
      </c>
      <c r="G27" s="302">
        <v>6.53</v>
      </c>
      <c r="H27" s="308">
        <v>4.5036363636363639</v>
      </c>
      <c r="I27" s="302">
        <v>3.4249999999999998</v>
      </c>
      <c r="J27" s="302">
        <v>4.0419999999999998</v>
      </c>
      <c r="K27" s="308">
        <v>3.6964905660377356</v>
      </c>
      <c r="L27" s="302">
        <v>2.7970000000000002</v>
      </c>
      <c r="M27" s="302">
        <v>3.41</v>
      </c>
      <c r="N27" s="308">
        <v>3.1629433962264155</v>
      </c>
      <c r="O27" s="302">
        <v>0.79700000000000004</v>
      </c>
      <c r="P27" s="302">
        <v>1.0409999999999999</v>
      </c>
      <c r="Q27" s="308">
        <v>0.91771874999999992</v>
      </c>
      <c r="R27" s="401">
        <v>24.18</v>
      </c>
      <c r="S27" s="1592">
        <v>39.47</v>
      </c>
    </row>
    <row r="28" spans="1:19" x14ac:dyDescent="0.3">
      <c r="A28" s="1087" t="s">
        <v>3702</v>
      </c>
      <c r="B28" s="1590">
        <v>0.54450384089098891</v>
      </c>
      <c r="C28">
        <v>6.6500000000000004E-2</v>
      </c>
      <c r="D28">
        <v>6.9900000000000004E-2</v>
      </c>
      <c r="E28" s="146">
        <v>6.8441666666666678E-2</v>
      </c>
      <c r="F28" s="302">
        <v>3.56</v>
      </c>
      <c r="G28" s="302">
        <v>6.09</v>
      </c>
      <c r="H28" s="308">
        <v>4.415</v>
      </c>
      <c r="I28" s="302">
        <v>3.13</v>
      </c>
      <c r="J28" s="302">
        <v>3.8650000000000002</v>
      </c>
      <c r="K28" s="308">
        <v>3.4570754716981122</v>
      </c>
      <c r="L28" s="302">
        <v>2.6619999999999999</v>
      </c>
      <c r="M28" s="302">
        <v>3.3359999999999999</v>
      </c>
      <c r="N28" s="308">
        <v>2.9803962264150941</v>
      </c>
      <c r="O28" s="302">
        <v>0.76200000000000001</v>
      </c>
      <c r="P28" s="302">
        <v>1.008</v>
      </c>
      <c r="Q28" s="308">
        <v>0.86840625000000005</v>
      </c>
      <c r="R28" s="401">
        <v>15.56</v>
      </c>
      <c r="S28" s="1592">
        <v>35.71</v>
      </c>
    </row>
    <row r="29" spans="1:19" x14ac:dyDescent="0.3">
      <c r="A29" s="1087" t="s">
        <v>3703</v>
      </c>
      <c r="B29" s="1590">
        <v>1.1981909829419006</v>
      </c>
      <c r="C29">
        <v>7.2000000000000008E-2</v>
      </c>
      <c r="D29">
        <v>9.0299999999999991E-2</v>
      </c>
      <c r="E29" s="146">
        <v>7.9041666666666677E-2</v>
      </c>
      <c r="F29" s="302">
        <v>6.39</v>
      </c>
      <c r="G29" s="302">
        <v>9.1999999999999993</v>
      </c>
      <c r="H29" s="308">
        <v>7.6733333333333347</v>
      </c>
      <c r="I29" s="302">
        <v>3.4249999999999998</v>
      </c>
      <c r="J29" s="302">
        <v>4.0419999999999998</v>
      </c>
      <c r="K29" s="308">
        <v>3.6964905660377356</v>
      </c>
      <c r="L29" s="302">
        <v>2.8439999999999999</v>
      </c>
      <c r="M29" s="302">
        <v>3.5569999999999999</v>
      </c>
      <c r="N29" s="308">
        <v>3.2422641509433965</v>
      </c>
      <c r="O29" s="302">
        <v>0.77</v>
      </c>
      <c r="P29" s="302">
        <v>0.98299999999999998</v>
      </c>
      <c r="Q29" s="308">
        <v>0.86437500000000012</v>
      </c>
      <c r="R29" s="401">
        <v>23.38</v>
      </c>
      <c r="S29" s="1592">
        <v>42.33</v>
      </c>
    </row>
    <row r="30" spans="1:19" x14ac:dyDescent="0.3">
      <c r="A30" s="1087" t="s">
        <v>3704</v>
      </c>
      <c r="B30" s="1590">
        <v>5.6192670809735952E-2</v>
      </c>
      <c r="C30">
        <v>6.6500000000000004E-2</v>
      </c>
      <c r="D30">
        <v>0.12570000000000001</v>
      </c>
      <c r="E30" s="146">
        <v>7.6083333333333336E-2</v>
      </c>
      <c r="F30" s="302">
        <v>5.85</v>
      </c>
      <c r="G30" s="302">
        <v>6.8</v>
      </c>
      <c r="H30" s="308">
        <v>6.2183333333333328</v>
      </c>
      <c r="I30" s="302">
        <v>3.3279999999999998</v>
      </c>
      <c r="J30" s="302">
        <v>4.008</v>
      </c>
      <c r="K30" s="308">
        <v>3.7020188679245285</v>
      </c>
      <c r="L30" s="302">
        <v>2.786</v>
      </c>
      <c r="M30" s="302">
        <v>3.5920000000000001</v>
      </c>
      <c r="N30" s="308">
        <v>3.2936981132075482</v>
      </c>
      <c r="O30" s="302">
        <v>0.71299999999999997</v>
      </c>
      <c r="P30" s="302">
        <v>1.157</v>
      </c>
      <c r="Q30" s="308">
        <v>0.94190625000000017</v>
      </c>
      <c r="R30" s="401">
        <v>25.24</v>
      </c>
      <c r="S30" s="1592">
        <v>42.29</v>
      </c>
    </row>
    <row r="31" spans="1:19" x14ac:dyDescent="0.3">
      <c r="A31" s="1087" t="s">
        <v>3705</v>
      </c>
      <c r="B31" s="1590">
        <v>0.2261205630405185</v>
      </c>
      <c r="C31">
        <v>6.8499999999999991E-2</v>
      </c>
      <c r="D31">
        <v>8.2799999999999999E-2</v>
      </c>
      <c r="E31" s="146">
        <v>7.5333333333333322E-2</v>
      </c>
      <c r="F31" s="302">
        <v>3.2</v>
      </c>
      <c r="G31" s="302">
        <v>5.52</v>
      </c>
      <c r="H31" s="308">
        <v>4.2424999999999997</v>
      </c>
      <c r="I31" s="302">
        <v>3.4249999999999998</v>
      </c>
      <c r="J31" s="302">
        <v>4.0419999999999998</v>
      </c>
      <c r="K31" s="308">
        <v>3.6964905660377356</v>
      </c>
      <c r="L31" s="302">
        <v>2.8439999999999999</v>
      </c>
      <c r="M31" s="302">
        <v>3.5569999999999999</v>
      </c>
      <c r="N31" s="308">
        <v>3.2422641509433965</v>
      </c>
      <c r="O31" s="302">
        <v>0.77500000000000002</v>
      </c>
      <c r="P31" s="302">
        <v>0.98699999999999999</v>
      </c>
      <c r="Q31" s="308">
        <v>0.86856250000000002</v>
      </c>
      <c r="R31" s="401">
        <v>23</v>
      </c>
      <c r="S31" s="1592">
        <v>38.03</v>
      </c>
    </row>
    <row r="32" spans="1:19" x14ac:dyDescent="0.3">
      <c r="A32" s="1087" t="s">
        <v>3706</v>
      </c>
      <c r="B32" s="1590">
        <v>2.6903418370918277E-2</v>
      </c>
      <c r="C32">
        <v>6.5000000000000002E-2</v>
      </c>
      <c r="D32">
        <v>0.10550000000000001</v>
      </c>
      <c r="E32" s="146">
        <v>8.4033333333333349E-2</v>
      </c>
      <c r="F32" s="302">
        <v>6.86</v>
      </c>
      <c r="G32" s="302">
        <v>13.56</v>
      </c>
      <c r="H32" s="308">
        <v>10.407500000000001</v>
      </c>
      <c r="I32" s="302">
        <v>4.0789999999999997</v>
      </c>
      <c r="J32" s="302">
        <v>4.7229999999999999</v>
      </c>
      <c r="K32" s="308">
        <v>4.4152075471698113</v>
      </c>
      <c r="L32" s="302">
        <v>3.9079999999999999</v>
      </c>
      <c r="M32" s="302">
        <v>4.9809999999999999</v>
      </c>
      <c r="N32" s="308">
        <v>4.3153962264150945</v>
      </c>
      <c r="O32" s="302">
        <v>0.71299999999999997</v>
      </c>
      <c r="P32" s="302">
        <v>1.157</v>
      </c>
      <c r="Q32" s="308">
        <v>0.94190625000000017</v>
      </c>
      <c r="R32" s="401">
        <v>20.95</v>
      </c>
      <c r="S32" s="1592">
        <v>42.29</v>
      </c>
    </row>
    <row r="33" spans="1:19" x14ac:dyDescent="0.3">
      <c r="A33" s="1087" t="s">
        <v>3707</v>
      </c>
      <c r="B33" s="1590">
        <v>1.8312218247733676</v>
      </c>
      <c r="C33">
        <v>0.15509999999999999</v>
      </c>
      <c r="D33">
        <v>0.17230000000000001</v>
      </c>
      <c r="E33" s="146">
        <v>0.16217500000000001</v>
      </c>
      <c r="F33" s="302">
        <v>4.2699999999999996</v>
      </c>
      <c r="G33" s="302">
        <v>11.92</v>
      </c>
      <c r="H33" s="308">
        <v>7.9833333333333316</v>
      </c>
      <c r="I33" s="302">
        <v>3.7469999999999999</v>
      </c>
      <c r="J33" s="302">
        <v>4.3499999999999996</v>
      </c>
      <c r="K33" s="308">
        <v>4.0653584905660374</v>
      </c>
      <c r="L33" s="302">
        <v>3.117</v>
      </c>
      <c r="M33" s="302">
        <v>3.74</v>
      </c>
      <c r="N33" s="308">
        <v>3.377056603773585</v>
      </c>
      <c r="O33" s="302">
        <v>0.85799999999999998</v>
      </c>
      <c r="P33" s="302">
        <v>1.244</v>
      </c>
      <c r="Q33" s="308">
        <v>1.0618125000000003</v>
      </c>
      <c r="R33" s="401">
        <v>23.094999999999999</v>
      </c>
      <c r="S33" s="1592">
        <v>45.169999999999995</v>
      </c>
    </row>
    <row r="34" spans="1:19" x14ac:dyDescent="0.3">
      <c r="A34" s="1087" t="s">
        <v>3708</v>
      </c>
      <c r="B34" s="1590">
        <v>0.41648500761607093</v>
      </c>
      <c r="C34">
        <v>0.11359999999999999</v>
      </c>
      <c r="D34">
        <v>0.13100000000000001</v>
      </c>
      <c r="E34" s="146">
        <v>0.12091666666666663</v>
      </c>
      <c r="F34" s="302">
        <v>6.27</v>
      </c>
      <c r="G34" s="302">
        <v>9.58</v>
      </c>
      <c r="H34" s="308">
        <v>7.5299999999999985</v>
      </c>
      <c r="I34" s="302">
        <v>3.75</v>
      </c>
      <c r="J34" s="302">
        <v>4.3550000000000004</v>
      </c>
      <c r="K34" s="308">
        <v>4.0460188679245279</v>
      </c>
      <c r="L34" s="302">
        <v>3.181</v>
      </c>
      <c r="M34" s="302">
        <v>3.8140000000000001</v>
      </c>
      <c r="N34" s="308">
        <v>3.4690188679245284</v>
      </c>
      <c r="O34" s="302">
        <v>0.81499999999999995</v>
      </c>
      <c r="P34" s="302">
        <v>1.278</v>
      </c>
      <c r="Q34" s="308">
        <v>1.012375</v>
      </c>
      <c r="R34" s="401">
        <v>23.99</v>
      </c>
      <c r="S34" s="1592">
        <v>43.96</v>
      </c>
    </row>
    <row r="35" spans="1:19" x14ac:dyDescent="0.3">
      <c r="A35" s="1087" t="s">
        <v>3709</v>
      </c>
      <c r="B35" s="1590">
        <v>7.8198850830755451E-2</v>
      </c>
      <c r="C35">
        <v>5.0499999999999996E-2</v>
      </c>
      <c r="D35">
        <v>5.9900000000000002E-2</v>
      </c>
      <c r="E35" s="146">
        <v>5.6699999999999993E-2</v>
      </c>
      <c r="F35" s="302">
        <v>1.85</v>
      </c>
      <c r="G35" s="302">
        <v>7.67</v>
      </c>
      <c r="H35" s="308">
        <v>4.0563636363636366</v>
      </c>
      <c r="I35" s="302">
        <v>3.13</v>
      </c>
      <c r="J35" s="302">
        <v>3.8650000000000002</v>
      </c>
      <c r="K35" s="308">
        <v>3.4570754716981122</v>
      </c>
      <c r="L35" s="302">
        <v>2.6619999999999999</v>
      </c>
      <c r="M35" s="302">
        <v>3.3359999999999999</v>
      </c>
      <c r="N35" s="308">
        <v>2.9803962264150941</v>
      </c>
      <c r="O35" s="302">
        <v>0.8</v>
      </c>
      <c r="P35" s="302">
        <v>1.089</v>
      </c>
      <c r="Q35" s="308">
        <v>0.93815625000000002</v>
      </c>
      <c r="R35" s="401">
        <v>17.18</v>
      </c>
      <c r="S35" s="1592">
        <v>42.29</v>
      </c>
    </row>
    <row r="36" spans="1:19" x14ac:dyDescent="0.3">
      <c r="A36" s="1087" t="s">
        <v>3710</v>
      </c>
      <c r="B36" s="1590">
        <v>1.8243154629978691</v>
      </c>
      <c r="C36">
        <v>7.2599999999999998E-2</v>
      </c>
      <c r="D36">
        <v>9.8800000000000013E-2</v>
      </c>
      <c r="E36" s="146">
        <v>8.7591666666666679E-2</v>
      </c>
      <c r="F36" s="302">
        <v>6.97</v>
      </c>
      <c r="G36" s="302">
        <v>12.78</v>
      </c>
      <c r="H36" s="308">
        <v>10.187500000000002</v>
      </c>
      <c r="I36" s="302">
        <v>3.75</v>
      </c>
      <c r="J36" s="302">
        <v>4.3550000000000004</v>
      </c>
      <c r="K36" s="308">
        <v>4.0460188679245279</v>
      </c>
      <c r="L36" s="302">
        <v>3.169</v>
      </c>
      <c r="M36" s="302">
        <v>3.7570000000000001</v>
      </c>
      <c r="N36" s="308">
        <v>3.4280377358490566</v>
      </c>
      <c r="O36" s="302">
        <v>0.876</v>
      </c>
      <c r="P36" s="302">
        <v>1.258</v>
      </c>
      <c r="Q36" s="308">
        <v>1.0904375000000002</v>
      </c>
      <c r="R36" s="401">
        <v>26.77</v>
      </c>
      <c r="S36" s="1592">
        <v>40.71</v>
      </c>
    </row>
    <row r="37" spans="1:19" x14ac:dyDescent="0.3">
      <c r="A37" s="1087" t="s">
        <v>3711</v>
      </c>
      <c r="B37" s="1590">
        <v>0.8726502028877321</v>
      </c>
      <c r="C37">
        <v>7.51E-2</v>
      </c>
      <c r="D37">
        <v>8.43E-2</v>
      </c>
      <c r="E37" s="146">
        <v>7.844166666666666E-2</v>
      </c>
      <c r="F37" s="302">
        <v>4.92</v>
      </c>
      <c r="G37" s="302">
        <v>6.62</v>
      </c>
      <c r="H37" s="308">
        <v>5.415</v>
      </c>
      <c r="I37" s="302">
        <v>3.4319999999999999</v>
      </c>
      <c r="J37" s="302">
        <v>4.1890000000000001</v>
      </c>
      <c r="K37" s="308">
        <v>3.7435094339622648</v>
      </c>
      <c r="L37" s="302">
        <v>2.9609999999999999</v>
      </c>
      <c r="M37" s="302">
        <v>3.5459999999999998</v>
      </c>
      <c r="N37" s="308">
        <v>3.2430377358490556</v>
      </c>
      <c r="O37" s="302">
        <v>0.86</v>
      </c>
      <c r="P37" s="302">
        <v>1.105</v>
      </c>
      <c r="Q37" s="308">
        <v>0.96937499999999976</v>
      </c>
      <c r="R37" s="401">
        <v>19.649999999999999</v>
      </c>
      <c r="S37" s="1592">
        <v>50.26</v>
      </c>
    </row>
    <row r="38" spans="1:19" x14ac:dyDescent="0.3">
      <c r="A38" s="1087" t="s">
        <v>3712</v>
      </c>
      <c r="B38" s="1590">
        <v>0.18439985940580395</v>
      </c>
      <c r="C38">
        <v>7.0699999999999999E-2</v>
      </c>
      <c r="D38">
        <v>7.2599999999999998E-2</v>
      </c>
      <c r="E38" s="146">
        <v>7.1408333333333338E-2</v>
      </c>
      <c r="F38" s="302">
        <v>1.47</v>
      </c>
      <c r="G38" s="302">
        <v>3.68</v>
      </c>
      <c r="H38" s="308">
        <v>2.2625000000000002</v>
      </c>
      <c r="I38" s="302">
        <v>3.4249999999999998</v>
      </c>
      <c r="J38" s="302">
        <v>4.0419999999999998</v>
      </c>
      <c r="K38" s="308">
        <v>3.6964905660377356</v>
      </c>
      <c r="L38" s="302">
        <v>2.8439999999999999</v>
      </c>
      <c r="M38" s="302">
        <v>3.5569999999999999</v>
      </c>
      <c r="N38" s="308">
        <v>3.2422641509433965</v>
      </c>
      <c r="O38" s="302">
        <v>0.59099999999999997</v>
      </c>
      <c r="P38" s="302">
        <v>1.014</v>
      </c>
      <c r="Q38" s="308">
        <v>0.83225000000000016</v>
      </c>
      <c r="R38" s="401">
        <v>25.37</v>
      </c>
      <c r="S38" s="1592">
        <v>38.659999999999997</v>
      </c>
    </row>
    <row r="39" spans="1:19" x14ac:dyDescent="0.3">
      <c r="A39" s="1087" t="s">
        <v>3713</v>
      </c>
      <c r="B39" s="1590">
        <v>0.72975129924196758</v>
      </c>
      <c r="C39">
        <v>6.9599999999999995E-2</v>
      </c>
      <c r="D39">
        <v>7.51E-2</v>
      </c>
      <c r="E39" s="146">
        <v>7.227500000000002E-2</v>
      </c>
      <c r="F39" s="302">
        <v>6.22</v>
      </c>
      <c r="G39" s="302">
        <v>9.01</v>
      </c>
      <c r="H39" s="308">
        <v>7.7033333333333331</v>
      </c>
      <c r="I39" s="302">
        <v>3.4249999999999998</v>
      </c>
      <c r="J39" s="302">
        <v>4.0419999999999998</v>
      </c>
      <c r="K39" s="308">
        <v>3.6964905660377356</v>
      </c>
      <c r="L39" s="302">
        <v>2.694</v>
      </c>
      <c r="M39" s="302">
        <v>3.7290000000000001</v>
      </c>
      <c r="N39" s="308">
        <v>3.2826415094339629</v>
      </c>
      <c r="O39" s="302">
        <v>0.82899999999999996</v>
      </c>
      <c r="P39" s="302">
        <v>1.1719999999999999</v>
      </c>
      <c r="Q39" s="308">
        <v>1.0104375000000001</v>
      </c>
      <c r="R39" s="401">
        <v>25.41</v>
      </c>
      <c r="S39" s="1592">
        <v>31.29</v>
      </c>
    </row>
    <row r="40" spans="1:19" x14ac:dyDescent="0.3">
      <c r="A40" s="1087" t="s">
        <v>3714</v>
      </c>
      <c r="B40" s="1590">
        <v>1.3837523668281293</v>
      </c>
      <c r="C40">
        <v>5.0700000000000002E-2</v>
      </c>
      <c r="D40">
        <v>6.5099999999999991E-2</v>
      </c>
      <c r="E40" s="146">
        <v>5.8391666666666661E-2</v>
      </c>
      <c r="F40" s="302">
        <v>1.88</v>
      </c>
      <c r="G40" s="302">
        <v>4.8</v>
      </c>
      <c r="H40" s="308">
        <v>3.0499999999999994</v>
      </c>
      <c r="I40" s="302">
        <v>3.4249999999999998</v>
      </c>
      <c r="J40" s="302">
        <v>4.0419999999999998</v>
      </c>
      <c r="K40" s="308">
        <v>3.6964905660377356</v>
      </c>
      <c r="L40" s="302">
        <v>2.8439999999999999</v>
      </c>
      <c r="M40" s="302">
        <v>3.5569999999999999</v>
      </c>
      <c r="N40" s="308">
        <v>3.2422641509433965</v>
      </c>
      <c r="O40" s="302">
        <v>0.70299999999999996</v>
      </c>
      <c r="P40" s="302">
        <v>1.018</v>
      </c>
      <c r="Q40" s="308">
        <v>0.8879687500000002</v>
      </c>
      <c r="R40" s="401">
        <v>19.579999999999998</v>
      </c>
      <c r="S40" s="1592">
        <v>33.700000000000003</v>
      </c>
    </row>
    <row r="41" spans="1:19" x14ac:dyDescent="0.3">
      <c r="A41" s="1087" t="s">
        <v>3715</v>
      </c>
      <c r="B41" s="1590">
        <v>0.11825574912864546</v>
      </c>
      <c r="C41">
        <v>7.17E-2</v>
      </c>
      <c r="D41">
        <v>7.6999999999999999E-2</v>
      </c>
      <c r="E41" s="146">
        <v>7.5266666666666676E-2</v>
      </c>
      <c r="F41" s="302">
        <v>6.03</v>
      </c>
      <c r="G41" s="302">
        <v>7.55</v>
      </c>
      <c r="H41" s="308">
        <v>7.1479999999999988</v>
      </c>
      <c r="I41" s="302">
        <v>4.0789999999999997</v>
      </c>
      <c r="J41" s="302">
        <v>4.7229999999999999</v>
      </c>
      <c r="K41" s="308">
        <v>4.4152075471698113</v>
      </c>
      <c r="L41" s="302">
        <v>3.9079999999999999</v>
      </c>
      <c r="M41" s="302">
        <v>4.9809999999999999</v>
      </c>
      <c r="N41" s="308">
        <v>4.3153962264150945</v>
      </c>
      <c r="O41" s="302">
        <v>0.71299999999999997</v>
      </c>
      <c r="P41" s="302">
        <v>1.157</v>
      </c>
      <c r="Q41" s="308">
        <v>0.94190625000000017</v>
      </c>
      <c r="R41" s="401">
        <v>20.16</v>
      </c>
      <c r="S41" s="1592">
        <v>44.82</v>
      </c>
    </row>
    <row r="42" spans="1:19" x14ac:dyDescent="0.3">
      <c r="A42" s="1087" t="s">
        <v>3716</v>
      </c>
      <c r="B42" s="1590">
        <v>0.53461518653061646</v>
      </c>
      <c r="C42">
        <v>7.6200000000000004E-2</v>
      </c>
      <c r="D42">
        <v>8.0500000000000002E-2</v>
      </c>
      <c r="E42" s="146">
        <v>7.8175000000000022E-2</v>
      </c>
      <c r="F42" s="302">
        <v>8.83</v>
      </c>
      <c r="G42" s="302">
        <v>10</v>
      </c>
      <c r="H42" s="308">
        <v>9.4758333333333322</v>
      </c>
      <c r="I42" s="302">
        <v>3.75</v>
      </c>
      <c r="J42" s="302">
        <v>4.3550000000000004</v>
      </c>
      <c r="K42" s="308">
        <v>4.0460188679245279</v>
      </c>
      <c r="L42" s="302">
        <v>3.181</v>
      </c>
      <c r="M42" s="302">
        <v>3.8140000000000001</v>
      </c>
      <c r="N42" s="308">
        <v>3.4690188679245284</v>
      </c>
      <c r="O42" s="302">
        <v>0.81399999999999995</v>
      </c>
      <c r="P42" s="302">
        <v>1.218</v>
      </c>
      <c r="Q42" s="308">
        <v>1.038875</v>
      </c>
      <c r="R42" s="401">
        <v>20.74</v>
      </c>
      <c r="S42" s="1592">
        <v>43.67</v>
      </c>
    </row>
    <row r="43" spans="1:19" x14ac:dyDescent="0.3">
      <c r="A43" s="1087" t="s">
        <v>3717</v>
      </c>
      <c r="B43" s="1590">
        <v>5.9739715432524827</v>
      </c>
      <c r="C43">
        <v>0.1875</v>
      </c>
      <c r="D43">
        <v>0.22739999999999999</v>
      </c>
      <c r="E43" s="146">
        <v>0.20177500000000001</v>
      </c>
      <c r="F43" s="302">
        <v>10.97</v>
      </c>
      <c r="G43" s="302">
        <v>12.72</v>
      </c>
      <c r="H43" s="308">
        <v>11.97</v>
      </c>
      <c r="I43" s="302">
        <v>3.7469999999999999</v>
      </c>
      <c r="J43" s="302">
        <v>4.3499999999999996</v>
      </c>
      <c r="K43" s="308">
        <v>4.0653584905660374</v>
      </c>
      <c r="L43" s="302">
        <v>3.117</v>
      </c>
      <c r="M43" s="302">
        <v>3.74</v>
      </c>
      <c r="N43" s="308">
        <v>3.377056603773585</v>
      </c>
      <c r="O43" s="302">
        <v>0.85799999999999998</v>
      </c>
      <c r="P43" s="302">
        <v>1.244</v>
      </c>
      <c r="Q43" s="308">
        <v>1.0618125000000003</v>
      </c>
      <c r="R43" s="401">
        <v>23.094999999999999</v>
      </c>
      <c r="S43" s="1592">
        <v>45.169999999999995</v>
      </c>
    </row>
    <row r="44" spans="1:19" x14ac:dyDescent="0.3">
      <c r="A44" s="1087" t="s">
        <v>3718</v>
      </c>
      <c r="B44" s="1590">
        <v>7.2683493101949583</v>
      </c>
      <c r="C44">
        <v>6.4699999999999994E-2</v>
      </c>
      <c r="D44">
        <v>7.5300000000000006E-2</v>
      </c>
      <c r="E44" s="146">
        <v>6.908333333333333E-2</v>
      </c>
      <c r="F44" s="302">
        <v>4.03</v>
      </c>
      <c r="G44" s="302">
        <v>6.22</v>
      </c>
      <c r="H44" s="308">
        <v>4.9225000000000003</v>
      </c>
      <c r="I44" s="302">
        <v>3.4319999999999999</v>
      </c>
      <c r="J44" s="302">
        <v>4.1890000000000001</v>
      </c>
      <c r="K44" s="308">
        <v>3.7435094339622648</v>
      </c>
      <c r="L44" s="302">
        <v>2.9609999999999999</v>
      </c>
      <c r="M44" s="302">
        <v>3.5459999999999998</v>
      </c>
      <c r="N44" s="308">
        <v>3.2430377358490556</v>
      </c>
      <c r="O44" s="302">
        <v>0.86</v>
      </c>
      <c r="P44" s="302">
        <v>1.105</v>
      </c>
      <c r="Q44" s="308">
        <v>0.96937499999999976</v>
      </c>
      <c r="R44" s="401">
        <v>20.420000000000002</v>
      </c>
      <c r="S44" s="1592">
        <v>37.405000000000001</v>
      </c>
    </row>
    <row r="45" spans="1:19" x14ac:dyDescent="0.3">
      <c r="A45" s="1087" t="s">
        <v>3719</v>
      </c>
      <c r="B45" s="1590">
        <v>0.20493058941114881</v>
      </c>
      <c r="C45">
        <v>8.0399999999999985E-2</v>
      </c>
      <c r="D45">
        <v>8.6699999999999999E-2</v>
      </c>
      <c r="E45" s="146">
        <v>8.4033333333333349E-2</v>
      </c>
      <c r="F45" s="302">
        <v>3.96</v>
      </c>
      <c r="G45" s="302">
        <v>5.45</v>
      </c>
      <c r="H45" s="308">
        <v>4.7358333333333338</v>
      </c>
      <c r="I45" s="302">
        <v>3.4249999999999998</v>
      </c>
      <c r="J45" s="302">
        <v>4.0419999999999998</v>
      </c>
      <c r="K45" s="308">
        <v>3.6964905660377356</v>
      </c>
      <c r="L45" s="302">
        <v>2.8439999999999999</v>
      </c>
      <c r="M45" s="302">
        <v>3.5569999999999999</v>
      </c>
      <c r="N45" s="308">
        <v>3.2422641509433965</v>
      </c>
      <c r="O45" s="302">
        <v>0.79100000000000004</v>
      </c>
      <c r="P45" s="302">
        <v>1.004</v>
      </c>
      <c r="Q45" s="308">
        <v>0.88484374999999993</v>
      </c>
      <c r="R45" s="401">
        <v>22.56</v>
      </c>
      <c r="S45" s="1592">
        <v>38.659999999999997</v>
      </c>
    </row>
    <row r="46" spans="1:19" x14ac:dyDescent="0.3">
      <c r="A46" s="1087" t="s">
        <v>3720</v>
      </c>
      <c r="B46" s="1590">
        <v>0.62254572895411942</v>
      </c>
      <c r="C46">
        <v>5.8499999999999996E-2</v>
      </c>
      <c r="D46">
        <v>6.59E-2</v>
      </c>
      <c r="E46" s="146">
        <v>6.3358333333333336E-2</v>
      </c>
      <c r="F46" s="302">
        <v>3.73</v>
      </c>
      <c r="G46" s="302">
        <v>6.11</v>
      </c>
      <c r="H46" s="308">
        <v>4.6589999999999998</v>
      </c>
      <c r="I46" s="302">
        <v>3.4249999999999998</v>
      </c>
      <c r="J46" s="302">
        <v>4.0419999999999998</v>
      </c>
      <c r="K46" s="308">
        <v>3.6964905660377356</v>
      </c>
      <c r="L46" s="302">
        <v>2.8439999999999999</v>
      </c>
      <c r="M46" s="302">
        <v>3.5569999999999999</v>
      </c>
      <c r="N46" s="308">
        <v>3.2422641509433965</v>
      </c>
      <c r="O46" s="302">
        <v>0.86499999999999999</v>
      </c>
      <c r="P46" s="302">
        <v>1.27</v>
      </c>
      <c r="Q46" s="308">
        <v>1.09634375</v>
      </c>
      <c r="R46" s="401">
        <v>19.5</v>
      </c>
      <c r="S46" s="1592">
        <v>37.405000000000001</v>
      </c>
    </row>
    <row r="47" spans="1:19" x14ac:dyDescent="0.3">
      <c r="A47" s="1087" t="s">
        <v>3721</v>
      </c>
      <c r="B47" s="1590">
        <v>0.28714768709310329</v>
      </c>
      <c r="C47">
        <v>5.7200000000000001E-2</v>
      </c>
      <c r="D47">
        <v>6.5500000000000003E-2</v>
      </c>
      <c r="E47" s="146">
        <v>6.1908333333333329E-2</v>
      </c>
      <c r="F47" s="302">
        <v>1.65</v>
      </c>
      <c r="G47" s="302">
        <v>3.57</v>
      </c>
      <c r="H47" s="308">
        <v>2.355</v>
      </c>
      <c r="I47" s="302">
        <v>3.13</v>
      </c>
      <c r="J47" s="302">
        <v>3.8650000000000002</v>
      </c>
      <c r="K47" s="308">
        <v>3.4570754716981122</v>
      </c>
      <c r="L47" s="302">
        <v>2.613</v>
      </c>
      <c r="M47" s="302">
        <v>3.3650000000000002</v>
      </c>
      <c r="N47" s="308">
        <v>2.9608113207547166</v>
      </c>
      <c r="O47" s="302">
        <v>0.81499999999999995</v>
      </c>
      <c r="P47" s="302">
        <v>1.1619999999999999</v>
      </c>
      <c r="Q47" s="308">
        <v>0.99487500000000018</v>
      </c>
      <c r="R47" s="401">
        <v>15.83</v>
      </c>
      <c r="S47" s="1592">
        <v>37.72</v>
      </c>
    </row>
    <row r="48" spans="1:19" x14ac:dyDescent="0.3">
      <c r="A48" s="1087" t="s">
        <v>3722</v>
      </c>
      <c r="B48" s="1590">
        <v>7.6095549744580979E-2</v>
      </c>
      <c r="C48">
        <v>6.13E-2</v>
      </c>
      <c r="D48">
        <v>8.3699999999999997E-2</v>
      </c>
      <c r="E48" s="146">
        <v>6.855E-2</v>
      </c>
      <c r="F48" s="302">
        <v>5.53</v>
      </c>
      <c r="G48" s="302">
        <v>10.87</v>
      </c>
      <c r="H48" s="308">
        <v>7.6291666666666664</v>
      </c>
      <c r="I48" s="302">
        <v>3.3279999999999998</v>
      </c>
      <c r="J48" s="302">
        <v>4.008</v>
      </c>
      <c r="K48" s="308">
        <v>3.7020188679245285</v>
      </c>
      <c r="L48" s="302">
        <v>2.786</v>
      </c>
      <c r="M48" s="302">
        <v>3.5920000000000001</v>
      </c>
      <c r="N48" s="308">
        <v>3.2936981132075482</v>
      </c>
      <c r="O48" s="302">
        <v>0.71299999999999997</v>
      </c>
      <c r="P48" s="302">
        <v>1.157</v>
      </c>
      <c r="Q48" s="308">
        <v>0.94190625000000017</v>
      </c>
      <c r="R48" s="401">
        <v>20.95</v>
      </c>
      <c r="S48" s="1592">
        <v>42.29</v>
      </c>
    </row>
    <row r="49" spans="1:19" x14ac:dyDescent="0.3">
      <c r="A49" s="1087" t="s">
        <v>3723</v>
      </c>
      <c r="B49" s="1590">
        <v>3.1669121921547339</v>
      </c>
      <c r="C49">
        <v>0.1114</v>
      </c>
      <c r="D49">
        <v>0.1231</v>
      </c>
      <c r="E49" s="146">
        <v>0.1167</v>
      </c>
      <c r="F49" s="302">
        <v>3.95</v>
      </c>
      <c r="G49" s="302">
        <v>5.43</v>
      </c>
      <c r="H49" s="308">
        <v>4.5049999999999999</v>
      </c>
      <c r="I49" s="302">
        <v>3.7469999999999999</v>
      </c>
      <c r="J49" s="302">
        <v>4.3499999999999996</v>
      </c>
      <c r="K49" s="308">
        <v>4.0653584905660374</v>
      </c>
      <c r="L49" s="302">
        <v>3.117</v>
      </c>
      <c r="M49" s="302">
        <v>3.74</v>
      </c>
      <c r="N49" s="308">
        <v>3.377056603773585</v>
      </c>
      <c r="O49" s="302">
        <v>0.85799999999999998</v>
      </c>
      <c r="P49" s="302">
        <v>1.244</v>
      </c>
      <c r="Q49" s="308">
        <v>1.0618125000000003</v>
      </c>
      <c r="R49" s="401">
        <v>20.420000000000002</v>
      </c>
      <c r="S49" s="1592">
        <v>45.169999999999995</v>
      </c>
    </row>
    <row r="50" spans="1:19" x14ac:dyDescent="0.3">
      <c r="A50" s="1087" t="s">
        <v>3724</v>
      </c>
      <c r="B50" s="1590">
        <v>3.9429047227390148</v>
      </c>
      <c r="C50">
        <v>8.3900000000000002E-2</v>
      </c>
      <c r="D50">
        <v>9.2399999999999996E-2</v>
      </c>
      <c r="E50" s="146">
        <v>8.6674999999999988E-2</v>
      </c>
      <c r="F50" s="302">
        <v>3.89</v>
      </c>
      <c r="G50" s="302">
        <v>4.93</v>
      </c>
      <c r="H50" s="308">
        <v>4.3258333333333336</v>
      </c>
      <c r="I50" s="302">
        <v>3.4319999999999999</v>
      </c>
      <c r="J50" s="302">
        <v>4.1890000000000001</v>
      </c>
      <c r="K50" s="308">
        <v>3.7435094339622648</v>
      </c>
      <c r="L50" s="302">
        <v>2.9609999999999999</v>
      </c>
      <c r="M50" s="302">
        <v>3.5459999999999998</v>
      </c>
      <c r="N50" s="308">
        <v>3.2430377358490556</v>
      </c>
      <c r="O50" s="302">
        <v>0.82799999999999996</v>
      </c>
      <c r="P50" s="302">
        <v>1.22</v>
      </c>
      <c r="Q50" s="308">
        <v>1.0347812500000002</v>
      </c>
      <c r="R50" s="401">
        <v>22.4</v>
      </c>
      <c r="S50" s="1592">
        <v>39.75</v>
      </c>
    </row>
    <row r="51" spans="1:19" x14ac:dyDescent="0.3">
      <c r="A51" s="1087" t="s">
        <v>3725</v>
      </c>
      <c r="B51" s="1590">
        <v>0.15661744953618587</v>
      </c>
      <c r="C51">
        <v>6.13E-2</v>
      </c>
      <c r="D51">
        <v>6.7199999999999996E-2</v>
      </c>
      <c r="E51" s="146">
        <v>6.369166666666666E-2</v>
      </c>
      <c r="F51" s="302">
        <v>11.05</v>
      </c>
      <c r="G51" s="302">
        <v>13.69</v>
      </c>
      <c r="H51" s="308">
        <v>12.408333333333333</v>
      </c>
      <c r="I51" s="302">
        <v>4.0789999999999997</v>
      </c>
      <c r="J51" s="302">
        <v>4.7229999999999999</v>
      </c>
      <c r="K51" s="308">
        <v>4.4152075471698113</v>
      </c>
      <c r="L51" s="302">
        <v>3.8450000000000002</v>
      </c>
      <c r="M51" s="302">
        <v>4.6340000000000003</v>
      </c>
      <c r="N51" s="308">
        <v>4.1620754716981141</v>
      </c>
      <c r="O51" s="302">
        <v>0.71299999999999997</v>
      </c>
      <c r="P51" s="302">
        <v>1.157</v>
      </c>
      <c r="Q51" s="308">
        <v>0.94190625000000017</v>
      </c>
      <c r="R51" s="401">
        <v>21.13</v>
      </c>
      <c r="S51" s="1592">
        <v>52.05</v>
      </c>
    </row>
    <row r="52" spans="1:19" x14ac:dyDescent="0.3">
      <c r="A52" s="1087" t="s">
        <v>3726</v>
      </c>
      <c r="B52" s="1590">
        <v>0.49314562332410178</v>
      </c>
      <c r="C52">
        <v>7.2499999999999995E-2</v>
      </c>
      <c r="D52">
        <v>8.2200000000000009E-2</v>
      </c>
      <c r="E52" s="146">
        <v>7.8141666666666665E-2</v>
      </c>
      <c r="F52" s="302">
        <v>3.12</v>
      </c>
      <c r="G52" s="302">
        <v>4.91</v>
      </c>
      <c r="H52" s="308">
        <v>3.9091666666666662</v>
      </c>
      <c r="I52" s="302">
        <v>3.4319999999999999</v>
      </c>
      <c r="J52" s="302">
        <v>4.1890000000000001</v>
      </c>
      <c r="K52" s="308">
        <v>3.7435094339622648</v>
      </c>
      <c r="L52" s="302">
        <v>2.9609999999999999</v>
      </c>
      <c r="M52" s="302">
        <v>3.5459999999999998</v>
      </c>
      <c r="N52" s="308">
        <v>3.2430377358490556</v>
      </c>
      <c r="O52" s="302">
        <v>0.86</v>
      </c>
      <c r="P52" s="302">
        <v>1.105</v>
      </c>
      <c r="Q52" s="308">
        <v>0.96937499999999976</v>
      </c>
      <c r="R52" s="401">
        <v>21.875</v>
      </c>
      <c r="S52" s="1592">
        <v>34.5</v>
      </c>
    </row>
    <row r="53" spans="1:19" x14ac:dyDescent="0.3">
      <c r="A53" s="1087" t="s">
        <v>3727</v>
      </c>
      <c r="B53" s="1590">
        <v>0.18110364128567974</v>
      </c>
      <c r="C53">
        <v>7.8E-2</v>
      </c>
      <c r="D53">
        <v>9.4899999999999998E-2</v>
      </c>
      <c r="E53" s="146">
        <v>8.4766666666666643E-2</v>
      </c>
      <c r="F53" s="302">
        <v>3.44</v>
      </c>
      <c r="G53" s="302">
        <v>7.09</v>
      </c>
      <c r="H53" s="308">
        <v>5.3166666666666664</v>
      </c>
      <c r="I53" s="302">
        <v>3.4249999999999998</v>
      </c>
      <c r="J53" s="302">
        <v>4.0419999999999998</v>
      </c>
      <c r="K53" s="308">
        <v>3.6964905660377356</v>
      </c>
      <c r="L53" s="302">
        <v>2.8439999999999999</v>
      </c>
      <c r="M53" s="302">
        <v>3.5569999999999999</v>
      </c>
      <c r="N53" s="308">
        <v>3.2422641509433965</v>
      </c>
      <c r="O53" s="302">
        <v>0.80400000000000005</v>
      </c>
      <c r="P53" s="302">
        <v>1.08</v>
      </c>
      <c r="Q53" s="308">
        <v>0.94843749999999982</v>
      </c>
      <c r="R53" s="401">
        <v>23.27</v>
      </c>
      <c r="S53" s="1592">
        <v>44.61</v>
      </c>
    </row>
    <row r="54" spans="1:19" x14ac:dyDescent="0.3">
      <c r="A54" s="1088" t="s">
        <v>3728</v>
      </c>
      <c r="B54" s="1591">
        <v>5.751115805778563E-2</v>
      </c>
      <c r="C54" s="149">
        <v>6.9699999999999998E-2</v>
      </c>
      <c r="D54" s="150">
        <v>8.8800000000000004E-2</v>
      </c>
      <c r="E54" s="151">
        <v>7.9116666666666682E-2</v>
      </c>
      <c r="F54" s="309">
        <v>2.83</v>
      </c>
      <c r="G54" s="309">
        <v>4.71</v>
      </c>
      <c r="H54" s="310">
        <v>3.8025000000000002</v>
      </c>
      <c r="I54" s="309">
        <v>3.3279999999999998</v>
      </c>
      <c r="J54" s="309">
        <v>4.008</v>
      </c>
      <c r="K54" s="310">
        <v>3.7020188679245285</v>
      </c>
      <c r="L54" s="309">
        <v>2.786</v>
      </c>
      <c r="M54" s="309">
        <v>3.5920000000000001</v>
      </c>
      <c r="N54" s="310">
        <v>3.2936981132075482</v>
      </c>
      <c r="O54" s="309">
        <v>0.71299999999999997</v>
      </c>
      <c r="P54" s="309">
        <v>1.157</v>
      </c>
      <c r="Q54" s="310">
        <v>0.94190625000000017</v>
      </c>
      <c r="R54" s="311">
        <v>23.504999999999999</v>
      </c>
      <c r="S54" s="1593">
        <v>42.29</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B49D-414B-4B27-A8AC-22B03BB6DCA0}">
  <sheetPr codeName="Sheet53">
    <tabColor rgb="FFFF0000"/>
  </sheetPr>
  <dimension ref="A1:MG17"/>
  <sheetViews>
    <sheetView workbookViewId="0">
      <selection activeCell="G30" sqref="G30"/>
    </sheetView>
  </sheetViews>
  <sheetFormatPr defaultRowHeight="14.4" x14ac:dyDescent="0.3"/>
  <cols>
    <col min="1" max="1" width="103.44140625" bestFit="1" customWidth="1"/>
  </cols>
  <sheetData>
    <row r="1" spans="1:345" x14ac:dyDescent="0.3">
      <c r="A1" t="s">
        <v>3729</v>
      </c>
    </row>
    <row r="2" spans="1:345" s="82" customFormat="1" x14ac:dyDescent="0.3">
      <c r="A2" s="82" t="s">
        <v>3730</v>
      </c>
      <c r="B2" s="82" t="s">
        <v>3731</v>
      </c>
      <c r="C2" s="82" t="s">
        <v>3732</v>
      </c>
      <c r="D2" s="82" t="s">
        <v>3733</v>
      </c>
      <c r="E2" s="82" t="s">
        <v>3734</v>
      </c>
      <c r="F2" s="82" t="s">
        <v>3735</v>
      </c>
      <c r="G2" s="82" t="s">
        <v>3736</v>
      </c>
      <c r="H2" s="82" t="s">
        <v>3737</v>
      </c>
      <c r="I2" s="82" t="s">
        <v>3738</v>
      </c>
      <c r="J2" s="82" t="s">
        <v>3739</v>
      </c>
      <c r="K2" s="82" t="s">
        <v>3740</v>
      </c>
      <c r="L2" s="82" t="s">
        <v>3741</v>
      </c>
      <c r="M2" s="82" t="s">
        <v>3742</v>
      </c>
      <c r="N2" s="82" t="s">
        <v>3743</v>
      </c>
      <c r="O2" s="82" t="s">
        <v>3744</v>
      </c>
      <c r="P2" s="82" t="s">
        <v>3745</v>
      </c>
      <c r="Q2" s="82" t="s">
        <v>3746</v>
      </c>
      <c r="R2" s="82" t="s">
        <v>3747</v>
      </c>
      <c r="S2" s="82" t="s">
        <v>3748</v>
      </c>
      <c r="T2" s="82" t="s">
        <v>3749</v>
      </c>
      <c r="U2" s="82" t="s">
        <v>3750</v>
      </c>
      <c r="V2" s="82" t="s">
        <v>3751</v>
      </c>
      <c r="W2" s="82" t="s">
        <v>3752</v>
      </c>
      <c r="X2" s="82" t="s">
        <v>3753</v>
      </c>
      <c r="Y2" s="82" t="s">
        <v>3754</v>
      </c>
      <c r="Z2" s="82" t="s">
        <v>3755</v>
      </c>
      <c r="AA2" s="82" t="s">
        <v>3756</v>
      </c>
      <c r="AB2" s="82" t="s">
        <v>3757</v>
      </c>
      <c r="AC2" s="82" t="s">
        <v>3758</v>
      </c>
      <c r="AD2" s="82" t="s">
        <v>3759</v>
      </c>
      <c r="AE2" s="82" t="s">
        <v>3760</v>
      </c>
      <c r="AF2" s="82" t="s">
        <v>3761</v>
      </c>
      <c r="AG2" s="82" t="s">
        <v>3762</v>
      </c>
      <c r="AH2" s="82" t="s">
        <v>3763</v>
      </c>
      <c r="AI2" s="82" t="s">
        <v>3764</v>
      </c>
      <c r="AJ2" s="82" t="s">
        <v>3765</v>
      </c>
      <c r="AK2" s="82" t="s">
        <v>3766</v>
      </c>
      <c r="AL2" s="82" t="s">
        <v>3767</v>
      </c>
      <c r="AM2" s="82" t="s">
        <v>3768</v>
      </c>
      <c r="AN2" s="82" t="s">
        <v>3769</v>
      </c>
      <c r="AO2" s="82" t="s">
        <v>3770</v>
      </c>
      <c r="AP2" s="82" t="s">
        <v>3771</v>
      </c>
      <c r="AQ2" s="82" t="s">
        <v>3772</v>
      </c>
      <c r="AR2" s="82" t="s">
        <v>3773</v>
      </c>
      <c r="AS2" s="82" t="s">
        <v>3774</v>
      </c>
      <c r="AT2" s="82" t="s">
        <v>3775</v>
      </c>
      <c r="AU2" s="82" t="s">
        <v>3776</v>
      </c>
      <c r="AV2" s="82" t="s">
        <v>3777</v>
      </c>
      <c r="AW2" s="82" t="s">
        <v>3778</v>
      </c>
      <c r="AX2" s="82" t="s">
        <v>3779</v>
      </c>
      <c r="AY2" s="82" t="s">
        <v>3780</v>
      </c>
      <c r="AZ2" s="82" t="s">
        <v>3781</v>
      </c>
      <c r="BA2" s="82" t="s">
        <v>3782</v>
      </c>
      <c r="BB2" s="82" t="s">
        <v>3783</v>
      </c>
      <c r="BC2" s="82" t="s">
        <v>3784</v>
      </c>
      <c r="BD2" s="82" t="s">
        <v>3785</v>
      </c>
      <c r="BE2" s="82" t="s">
        <v>3786</v>
      </c>
      <c r="BF2" s="82" t="s">
        <v>3787</v>
      </c>
      <c r="BG2" s="82" t="s">
        <v>3788</v>
      </c>
      <c r="BH2" s="82" t="s">
        <v>3789</v>
      </c>
      <c r="BI2" s="82" t="s">
        <v>3790</v>
      </c>
      <c r="BJ2" s="82" t="s">
        <v>3791</v>
      </c>
      <c r="BK2" s="82" t="s">
        <v>3792</v>
      </c>
      <c r="BL2" s="82" t="s">
        <v>3793</v>
      </c>
      <c r="BM2" s="82" t="s">
        <v>3794</v>
      </c>
      <c r="BN2" s="82" t="s">
        <v>3795</v>
      </c>
      <c r="BO2" s="82" t="s">
        <v>3796</v>
      </c>
      <c r="BP2" s="82" t="s">
        <v>3797</v>
      </c>
      <c r="BQ2" s="82" t="s">
        <v>3798</v>
      </c>
      <c r="BR2" s="82" t="s">
        <v>3799</v>
      </c>
    </row>
    <row r="3" spans="1:345" x14ac:dyDescent="0.3">
      <c r="A3" t="s">
        <v>3800</v>
      </c>
      <c r="B3" t="s">
        <v>3679</v>
      </c>
      <c r="C3" t="s">
        <v>3680</v>
      </c>
      <c r="D3" t="s">
        <v>3681</v>
      </c>
      <c r="E3" t="s">
        <v>2203</v>
      </c>
      <c r="F3" t="s">
        <v>3682</v>
      </c>
      <c r="G3" t="s">
        <v>3683</v>
      </c>
      <c r="H3" t="s">
        <v>3684</v>
      </c>
      <c r="I3" t="s">
        <v>3685</v>
      </c>
      <c r="J3" t="s">
        <v>3686</v>
      </c>
      <c r="K3" t="s">
        <v>3687</v>
      </c>
      <c r="L3" t="s">
        <v>3688</v>
      </c>
      <c r="M3" t="s">
        <v>3689</v>
      </c>
      <c r="N3" t="s">
        <v>3690</v>
      </c>
      <c r="O3" t="s">
        <v>3691</v>
      </c>
      <c r="P3" t="s">
        <v>3692</v>
      </c>
      <c r="Q3" t="s">
        <v>3693</v>
      </c>
      <c r="R3" t="s">
        <v>3694</v>
      </c>
      <c r="S3" t="s">
        <v>3695</v>
      </c>
      <c r="T3" t="s">
        <v>3696</v>
      </c>
      <c r="U3" t="s">
        <v>3697</v>
      </c>
      <c r="V3" t="s">
        <v>3698</v>
      </c>
      <c r="W3" t="s">
        <v>3699</v>
      </c>
      <c r="X3" t="s">
        <v>3700</v>
      </c>
      <c r="Y3" t="s">
        <v>3701</v>
      </c>
      <c r="Z3" t="s">
        <v>3702</v>
      </c>
      <c r="AA3" t="s">
        <v>3703</v>
      </c>
      <c r="AB3" t="s">
        <v>3704</v>
      </c>
      <c r="AC3" t="s">
        <v>3705</v>
      </c>
      <c r="AD3" t="s">
        <v>3706</v>
      </c>
      <c r="AE3" t="s">
        <v>3707</v>
      </c>
      <c r="AF3" t="s">
        <v>3708</v>
      </c>
      <c r="AG3" t="s">
        <v>3709</v>
      </c>
      <c r="AH3" t="s">
        <v>3710</v>
      </c>
      <c r="AI3" t="s">
        <v>3711</v>
      </c>
      <c r="AJ3" t="s">
        <v>3712</v>
      </c>
      <c r="AK3" t="s">
        <v>3713</v>
      </c>
      <c r="AL3" t="s">
        <v>3714</v>
      </c>
      <c r="AM3" t="s">
        <v>3715</v>
      </c>
      <c r="AN3" t="s">
        <v>3716</v>
      </c>
      <c r="AO3" t="s">
        <v>3717</v>
      </c>
      <c r="AP3" t="s">
        <v>3718</v>
      </c>
      <c r="AQ3" t="s">
        <v>3719</v>
      </c>
      <c r="AR3" t="s">
        <v>3720</v>
      </c>
      <c r="AS3" t="s">
        <v>3721</v>
      </c>
      <c r="AT3" t="s">
        <v>3722</v>
      </c>
      <c r="AU3" t="s">
        <v>3723</v>
      </c>
      <c r="AV3" t="s">
        <v>3724</v>
      </c>
      <c r="AW3" t="s">
        <v>3725</v>
      </c>
      <c r="AX3" t="s">
        <v>3726</v>
      </c>
      <c r="AY3" t="s">
        <v>3727</v>
      </c>
      <c r="AZ3" t="s">
        <v>3728</v>
      </c>
    </row>
    <row r="4" spans="1:345" x14ac:dyDescent="0.3">
      <c r="A4" t="s">
        <v>3801</v>
      </c>
      <c r="B4" t="s">
        <v>3802</v>
      </c>
      <c r="C4" t="s">
        <v>2009</v>
      </c>
    </row>
    <row r="5" spans="1:345" x14ac:dyDescent="0.3">
      <c r="A5" t="s">
        <v>3803</v>
      </c>
      <c r="B5" t="s">
        <v>3804</v>
      </c>
      <c r="C5" t="s">
        <v>2212</v>
      </c>
    </row>
    <row r="6" spans="1:345" x14ac:dyDescent="0.3">
      <c r="A6" t="s">
        <v>3805</v>
      </c>
      <c r="B6" t="s">
        <v>431</v>
      </c>
      <c r="C6" t="s">
        <v>485</v>
      </c>
    </row>
    <row r="7" spans="1:345" x14ac:dyDescent="0.3">
      <c r="A7" t="s">
        <v>3806</v>
      </c>
      <c r="B7" t="s">
        <v>34</v>
      </c>
      <c r="C7" t="s">
        <v>3807</v>
      </c>
      <c r="D7" t="s">
        <v>3808</v>
      </c>
      <c r="E7" t="s">
        <v>3809</v>
      </c>
      <c r="F7" t="s">
        <v>3810</v>
      </c>
    </row>
    <row r="8" spans="1:345" x14ac:dyDescent="0.3">
      <c r="A8" t="s">
        <v>3811</v>
      </c>
      <c r="B8" t="s">
        <v>704</v>
      </c>
      <c r="C8" t="s">
        <v>84</v>
      </c>
    </row>
    <row r="9" spans="1:345" x14ac:dyDescent="0.3">
      <c r="A9" t="s">
        <v>3812</v>
      </c>
      <c r="B9" s="96">
        <v>1</v>
      </c>
      <c r="C9" s="96">
        <v>2</v>
      </c>
      <c r="D9" s="96">
        <v>3</v>
      </c>
      <c r="E9" s="96">
        <v>4</v>
      </c>
      <c r="F9" s="96">
        <v>5</v>
      </c>
      <c r="G9" s="96">
        <v>6</v>
      </c>
      <c r="H9" s="96">
        <v>7</v>
      </c>
      <c r="I9" s="96">
        <v>8</v>
      </c>
      <c r="J9" s="96">
        <v>9</v>
      </c>
      <c r="K9" s="96">
        <v>10</v>
      </c>
    </row>
    <row r="10" spans="1:345" x14ac:dyDescent="0.3">
      <c r="A10" t="s">
        <v>3813</v>
      </c>
      <c r="B10">
        <v>3000</v>
      </c>
      <c r="C10">
        <v>4500</v>
      </c>
      <c r="D10">
        <v>6000</v>
      </c>
      <c r="E10">
        <v>9000</v>
      </c>
    </row>
    <row r="11" spans="1:345" x14ac:dyDescent="0.3">
      <c r="A11" t="s">
        <v>3814</v>
      </c>
      <c r="B11">
        <v>10</v>
      </c>
      <c r="C11">
        <v>11</v>
      </c>
      <c r="D11">
        <v>12</v>
      </c>
      <c r="E11">
        <v>13</v>
      </c>
      <c r="F11">
        <v>14</v>
      </c>
      <c r="G11">
        <v>15</v>
      </c>
      <c r="H11">
        <v>16</v>
      </c>
      <c r="I11">
        <v>17</v>
      </c>
      <c r="J11">
        <v>18</v>
      </c>
      <c r="K11">
        <v>19</v>
      </c>
      <c r="L11">
        <v>20</v>
      </c>
      <c r="M11">
        <v>21</v>
      </c>
      <c r="N11">
        <v>22</v>
      </c>
      <c r="O11">
        <v>23</v>
      </c>
      <c r="P11">
        <v>24</v>
      </c>
      <c r="Q11">
        <v>25</v>
      </c>
      <c r="R11">
        <v>26</v>
      </c>
      <c r="S11">
        <v>27</v>
      </c>
      <c r="T11">
        <v>28</v>
      </c>
    </row>
    <row r="12" spans="1:345" x14ac:dyDescent="0.3">
      <c r="A12" t="s">
        <v>3815</v>
      </c>
      <c r="B12" t="s">
        <v>73</v>
      </c>
      <c r="C12" t="s">
        <v>139</v>
      </c>
    </row>
    <row r="13" spans="1:345" x14ac:dyDescent="0.3">
      <c r="A13" t="s">
        <v>3816</v>
      </c>
      <c r="B13" t="s">
        <v>3817</v>
      </c>
      <c r="C13" t="s">
        <v>86</v>
      </c>
    </row>
    <row r="14" spans="1:345" x14ac:dyDescent="0.3">
      <c r="A14" t="s">
        <v>3818</v>
      </c>
      <c r="B14" t="s">
        <v>3819</v>
      </c>
      <c r="C14" t="s">
        <v>3820</v>
      </c>
      <c r="D14" t="s">
        <v>3821</v>
      </c>
      <c r="E14" t="s">
        <v>3822</v>
      </c>
      <c r="F14" t="s">
        <v>3823</v>
      </c>
      <c r="G14" t="s">
        <v>3824</v>
      </c>
      <c r="H14" t="s">
        <v>3825</v>
      </c>
      <c r="I14" t="s">
        <v>3826</v>
      </c>
      <c r="J14" t="s">
        <v>3827</v>
      </c>
      <c r="K14" t="s">
        <v>3828</v>
      </c>
      <c r="L14" t="s">
        <v>3829</v>
      </c>
      <c r="M14" t="s">
        <v>3830</v>
      </c>
      <c r="N14" t="s">
        <v>3831</v>
      </c>
      <c r="O14" t="s">
        <v>3832</v>
      </c>
      <c r="P14" t="s">
        <v>3833</v>
      </c>
      <c r="Q14" t="s">
        <v>3834</v>
      </c>
      <c r="R14" t="s">
        <v>3835</v>
      </c>
      <c r="S14" t="s">
        <v>3836</v>
      </c>
      <c r="T14" t="s">
        <v>3837</v>
      </c>
      <c r="U14" t="s">
        <v>3838</v>
      </c>
      <c r="V14" t="s">
        <v>3839</v>
      </c>
      <c r="W14" t="s">
        <v>3840</v>
      </c>
      <c r="X14" t="s">
        <v>3841</v>
      </c>
      <c r="Y14" t="s">
        <v>3842</v>
      </c>
      <c r="Z14" t="s">
        <v>3843</v>
      </c>
      <c r="AA14" t="s">
        <v>3844</v>
      </c>
      <c r="AB14" t="s">
        <v>3845</v>
      </c>
      <c r="AC14" t="s">
        <v>3846</v>
      </c>
      <c r="AD14" t="s">
        <v>3847</v>
      </c>
      <c r="AE14" t="s">
        <v>3848</v>
      </c>
      <c r="AF14" t="s">
        <v>3849</v>
      </c>
      <c r="AG14" t="s">
        <v>3850</v>
      </c>
      <c r="AH14" t="s">
        <v>3851</v>
      </c>
      <c r="AI14" t="s">
        <v>3852</v>
      </c>
      <c r="AJ14" t="s">
        <v>3853</v>
      </c>
      <c r="AK14" t="s">
        <v>3854</v>
      </c>
      <c r="AL14" t="s">
        <v>3855</v>
      </c>
      <c r="AM14" t="s">
        <v>3856</v>
      </c>
      <c r="AN14" t="s">
        <v>3857</v>
      </c>
      <c r="AO14" t="s">
        <v>3858</v>
      </c>
      <c r="AP14" t="s">
        <v>3859</v>
      </c>
      <c r="AQ14" t="s">
        <v>3860</v>
      </c>
      <c r="AR14" t="s">
        <v>3861</v>
      </c>
      <c r="AS14" t="s">
        <v>3862</v>
      </c>
      <c r="AT14" t="s">
        <v>3863</v>
      </c>
      <c r="AU14" t="s">
        <v>3864</v>
      </c>
      <c r="AV14" t="s">
        <v>3865</v>
      </c>
      <c r="AW14" t="s">
        <v>3866</v>
      </c>
      <c r="AX14" t="s">
        <v>3867</v>
      </c>
      <c r="AY14" t="s">
        <v>3868</v>
      </c>
      <c r="AZ14" t="s">
        <v>3869</v>
      </c>
      <c r="BA14" t="s">
        <v>3870</v>
      </c>
      <c r="BB14" t="s">
        <v>3871</v>
      </c>
      <c r="BC14" t="s">
        <v>3872</v>
      </c>
      <c r="BD14" t="s">
        <v>3873</v>
      </c>
      <c r="BE14" t="s">
        <v>3874</v>
      </c>
      <c r="BF14" t="s">
        <v>3875</v>
      </c>
      <c r="BG14" t="s">
        <v>3876</v>
      </c>
      <c r="BH14" t="s">
        <v>3877</v>
      </c>
      <c r="BI14" t="s">
        <v>3878</v>
      </c>
      <c r="BJ14" t="s">
        <v>3879</v>
      </c>
      <c r="BK14" t="s">
        <v>3880</v>
      </c>
      <c r="BL14" t="s">
        <v>3881</v>
      </c>
      <c r="BM14" t="s">
        <v>3882</v>
      </c>
      <c r="BN14" t="s">
        <v>3883</v>
      </c>
      <c r="BO14" t="s">
        <v>3884</v>
      </c>
      <c r="BP14" t="s">
        <v>3885</v>
      </c>
      <c r="BQ14" t="s">
        <v>3886</v>
      </c>
      <c r="BR14" t="s">
        <v>3887</v>
      </c>
      <c r="BS14" t="s">
        <v>3888</v>
      </c>
      <c r="BT14" t="s">
        <v>3889</v>
      </c>
      <c r="BU14" t="s">
        <v>3890</v>
      </c>
      <c r="BV14" t="s">
        <v>3891</v>
      </c>
      <c r="BW14" t="s">
        <v>3892</v>
      </c>
      <c r="BX14" t="s">
        <v>3893</v>
      </c>
      <c r="BY14" t="s">
        <v>3894</v>
      </c>
      <c r="BZ14" t="s">
        <v>3895</v>
      </c>
      <c r="CA14" t="s">
        <v>3896</v>
      </c>
      <c r="CB14" t="s">
        <v>3897</v>
      </c>
      <c r="CC14" t="s">
        <v>3898</v>
      </c>
      <c r="CD14" t="s">
        <v>3899</v>
      </c>
      <c r="CE14" t="s">
        <v>3900</v>
      </c>
      <c r="CF14" t="s">
        <v>3901</v>
      </c>
      <c r="CG14" t="s">
        <v>3902</v>
      </c>
      <c r="CH14" t="s">
        <v>3903</v>
      </c>
      <c r="CI14" t="s">
        <v>69</v>
      </c>
      <c r="CJ14" t="s">
        <v>3904</v>
      </c>
      <c r="CK14" t="s">
        <v>3905</v>
      </c>
      <c r="CL14" t="s">
        <v>3906</v>
      </c>
      <c r="CM14" t="s">
        <v>3907</v>
      </c>
      <c r="CN14" t="s">
        <v>3908</v>
      </c>
      <c r="CO14" t="s">
        <v>3909</v>
      </c>
      <c r="CP14" t="s">
        <v>3910</v>
      </c>
      <c r="CQ14" t="s">
        <v>3911</v>
      </c>
      <c r="CR14" t="s">
        <v>3912</v>
      </c>
      <c r="CS14" t="s">
        <v>3913</v>
      </c>
      <c r="CT14" t="s">
        <v>3914</v>
      </c>
      <c r="CU14" t="s">
        <v>3915</v>
      </c>
      <c r="CV14" t="s">
        <v>3916</v>
      </c>
      <c r="CW14" t="s">
        <v>3917</v>
      </c>
      <c r="CX14" t="s">
        <v>3918</v>
      </c>
      <c r="CY14" t="s">
        <v>3919</v>
      </c>
      <c r="CZ14" t="s">
        <v>3920</v>
      </c>
      <c r="DA14" t="s">
        <v>3921</v>
      </c>
      <c r="DB14" t="s">
        <v>3922</v>
      </c>
      <c r="DC14" t="s">
        <v>3923</v>
      </c>
      <c r="DD14" t="s">
        <v>3924</v>
      </c>
      <c r="DE14" t="s">
        <v>3925</v>
      </c>
      <c r="DF14" t="s">
        <v>3926</v>
      </c>
      <c r="DG14" t="s">
        <v>3927</v>
      </c>
      <c r="DH14" t="s">
        <v>3928</v>
      </c>
      <c r="DI14" t="s">
        <v>3929</v>
      </c>
      <c r="DJ14" t="s">
        <v>3930</v>
      </c>
      <c r="DK14" t="s">
        <v>3931</v>
      </c>
      <c r="DL14" t="s">
        <v>3932</v>
      </c>
      <c r="DM14" t="s">
        <v>3933</v>
      </c>
      <c r="DN14" t="s">
        <v>3934</v>
      </c>
      <c r="DO14" t="s">
        <v>3935</v>
      </c>
      <c r="DP14" t="s">
        <v>3936</v>
      </c>
      <c r="DQ14" t="s">
        <v>3937</v>
      </c>
      <c r="DR14" t="s">
        <v>3938</v>
      </c>
      <c r="DS14" t="s">
        <v>3939</v>
      </c>
      <c r="DT14" t="s">
        <v>3940</v>
      </c>
      <c r="DU14" t="s">
        <v>3941</v>
      </c>
      <c r="DV14" t="s">
        <v>3942</v>
      </c>
      <c r="DW14" t="s">
        <v>3943</v>
      </c>
      <c r="DX14" t="s">
        <v>3944</v>
      </c>
      <c r="DY14" t="s">
        <v>3945</v>
      </c>
      <c r="DZ14" t="s">
        <v>3946</v>
      </c>
      <c r="EA14" t="s">
        <v>3947</v>
      </c>
      <c r="EB14" t="s">
        <v>3948</v>
      </c>
      <c r="EC14" t="s">
        <v>3949</v>
      </c>
      <c r="ED14" t="s">
        <v>3950</v>
      </c>
      <c r="EE14" t="s">
        <v>3951</v>
      </c>
      <c r="EF14" t="s">
        <v>3952</v>
      </c>
      <c r="EG14" t="s">
        <v>3953</v>
      </c>
      <c r="EH14" t="s">
        <v>3954</v>
      </c>
      <c r="EI14" t="s">
        <v>3955</v>
      </c>
      <c r="EJ14" t="s">
        <v>3956</v>
      </c>
      <c r="EK14" t="s">
        <v>3957</v>
      </c>
      <c r="EL14" t="s">
        <v>3958</v>
      </c>
      <c r="EM14" t="s">
        <v>3959</v>
      </c>
      <c r="EN14" t="s">
        <v>3960</v>
      </c>
      <c r="EO14" t="s">
        <v>3961</v>
      </c>
      <c r="EP14" t="s">
        <v>3962</v>
      </c>
      <c r="EQ14" t="s">
        <v>3963</v>
      </c>
      <c r="ER14" t="s">
        <v>3964</v>
      </c>
      <c r="ES14" t="s">
        <v>3965</v>
      </c>
      <c r="ET14" t="s">
        <v>3966</v>
      </c>
      <c r="EU14" t="s">
        <v>3967</v>
      </c>
      <c r="EV14" t="s">
        <v>3968</v>
      </c>
      <c r="EW14" t="s">
        <v>3969</v>
      </c>
      <c r="EX14" t="s">
        <v>3970</v>
      </c>
      <c r="EY14" t="s">
        <v>3971</v>
      </c>
      <c r="EZ14" t="s">
        <v>3972</v>
      </c>
      <c r="FA14" t="s">
        <v>3973</v>
      </c>
      <c r="FB14" t="s">
        <v>3974</v>
      </c>
      <c r="FC14" t="s">
        <v>3975</v>
      </c>
      <c r="FD14" t="s">
        <v>3976</v>
      </c>
      <c r="FE14" t="s">
        <v>3977</v>
      </c>
      <c r="FF14" t="s">
        <v>3978</v>
      </c>
      <c r="FG14" t="s">
        <v>3979</v>
      </c>
      <c r="FH14" t="s">
        <v>3980</v>
      </c>
      <c r="FI14" t="s">
        <v>3981</v>
      </c>
      <c r="FJ14" t="s">
        <v>3982</v>
      </c>
      <c r="FK14" t="s">
        <v>3983</v>
      </c>
      <c r="FL14" t="s">
        <v>3984</v>
      </c>
      <c r="FM14" t="s">
        <v>3985</v>
      </c>
      <c r="FN14" t="s">
        <v>3986</v>
      </c>
      <c r="FO14" t="s">
        <v>3987</v>
      </c>
      <c r="FP14" t="s">
        <v>3988</v>
      </c>
      <c r="FQ14" t="s">
        <v>3989</v>
      </c>
      <c r="FR14" t="s">
        <v>3990</v>
      </c>
      <c r="FS14" t="s">
        <v>3991</v>
      </c>
      <c r="FT14" t="s">
        <v>3992</v>
      </c>
      <c r="FU14" t="s">
        <v>3993</v>
      </c>
      <c r="FV14" t="s">
        <v>3994</v>
      </c>
      <c r="FW14" t="s">
        <v>3995</v>
      </c>
      <c r="FX14" t="s">
        <v>3996</v>
      </c>
      <c r="FY14" t="s">
        <v>3997</v>
      </c>
      <c r="FZ14" t="s">
        <v>3998</v>
      </c>
      <c r="GA14" t="s">
        <v>3999</v>
      </c>
      <c r="GB14" t="s">
        <v>4000</v>
      </c>
      <c r="GC14" t="s">
        <v>4001</v>
      </c>
      <c r="GD14" t="s">
        <v>4002</v>
      </c>
      <c r="GE14" t="s">
        <v>4003</v>
      </c>
      <c r="GF14" t="s">
        <v>4004</v>
      </c>
      <c r="GG14" t="s">
        <v>4005</v>
      </c>
      <c r="GH14" t="s">
        <v>4006</v>
      </c>
      <c r="GI14" t="s">
        <v>4007</v>
      </c>
      <c r="GJ14" t="s">
        <v>4008</v>
      </c>
      <c r="GK14" t="s">
        <v>4009</v>
      </c>
      <c r="GL14" t="s">
        <v>4010</v>
      </c>
      <c r="GM14" t="s">
        <v>4011</v>
      </c>
      <c r="GN14" t="s">
        <v>4012</v>
      </c>
      <c r="GO14" t="s">
        <v>4013</v>
      </c>
      <c r="GP14" t="s">
        <v>4014</v>
      </c>
      <c r="GQ14" t="s">
        <v>4015</v>
      </c>
      <c r="GR14" t="s">
        <v>4016</v>
      </c>
      <c r="GS14" t="s">
        <v>4017</v>
      </c>
      <c r="GT14" t="s">
        <v>4018</v>
      </c>
      <c r="GU14" t="s">
        <v>4019</v>
      </c>
      <c r="GV14" t="s">
        <v>4020</v>
      </c>
      <c r="GW14" t="s">
        <v>4021</v>
      </c>
      <c r="GX14" t="s">
        <v>4022</v>
      </c>
      <c r="GY14" t="s">
        <v>4023</v>
      </c>
      <c r="GZ14" t="s">
        <v>4024</v>
      </c>
      <c r="HA14" t="s">
        <v>4025</v>
      </c>
      <c r="HB14" t="s">
        <v>4026</v>
      </c>
      <c r="HC14" t="s">
        <v>4027</v>
      </c>
      <c r="HD14" t="s">
        <v>4028</v>
      </c>
      <c r="HE14" t="s">
        <v>4029</v>
      </c>
      <c r="HF14" t="s">
        <v>4030</v>
      </c>
      <c r="HG14" t="s">
        <v>4031</v>
      </c>
      <c r="HH14" t="s">
        <v>4032</v>
      </c>
      <c r="HI14" t="s">
        <v>4033</v>
      </c>
      <c r="HJ14" t="s">
        <v>4034</v>
      </c>
      <c r="HK14" t="s">
        <v>4035</v>
      </c>
      <c r="HL14" t="s">
        <v>4036</v>
      </c>
      <c r="HM14" t="s">
        <v>4037</v>
      </c>
      <c r="HN14" t="s">
        <v>4038</v>
      </c>
      <c r="HO14" t="s">
        <v>4039</v>
      </c>
      <c r="HP14" t="s">
        <v>4040</v>
      </c>
      <c r="HQ14" t="s">
        <v>4041</v>
      </c>
      <c r="HR14" t="s">
        <v>4042</v>
      </c>
      <c r="HS14" t="s">
        <v>4043</v>
      </c>
      <c r="HT14" t="s">
        <v>4044</v>
      </c>
      <c r="HU14" t="s">
        <v>4045</v>
      </c>
      <c r="HV14" t="s">
        <v>4046</v>
      </c>
      <c r="HW14" t="s">
        <v>4047</v>
      </c>
      <c r="HX14" t="s">
        <v>4048</v>
      </c>
      <c r="HY14" t="s">
        <v>4049</v>
      </c>
      <c r="HZ14" t="s">
        <v>4050</v>
      </c>
      <c r="IA14" t="s">
        <v>4051</v>
      </c>
      <c r="IB14" t="s">
        <v>4052</v>
      </c>
      <c r="IC14" t="s">
        <v>4053</v>
      </c>
      <c r="ID14" t="s">
        <v>4054</v>
      </c>
      <c r="IE14" t="s">
        <v>4055</v>
      </c>
      <c r="IF14" t="s">
        <v>4056</v>
      </c>
      <c r="IG14" t="s">
        <v>4057</v>
      </c>
      <c r="IH14" t="s">
        <v>4058</v>
      </c>
      <c r="II14" t="s">
        <v>4059</v>
      </c>
      <c r="IJ14" t="s">
        <v>4060</v>
      </c>
      <c r="IK14" t="s">
        <v>4061</v>
      </c>
      <c r="IL14" t="s">
        <v>4062</v>
      </c>
      <c r="IM14" t="s">
        <v>4063</v>
      </c>
      <c r="IN14" t="s">
        <v>4064</v>
      </c>
      <c r="IO14" t="s">
        <v>4065</v>
      </c>
      <c r="IP14" t="s">
        <v>4066</v>
      </c>
      <c r="IQ14" t="s">
        <v>4067</v>
      </c>
      <c r="IR14" t="s">
        <v>4068</v>
      </c>
      <c r="IS14" t="s">
        <v>4069</v>
      </c>
      <c r="IT14" t="s">
        <v>4070</v>
      </c>
      <c r="IU14" t="s">
        <v>4071</v>
      </c>
      <c r="IV14" t="s">
        <v>4072</v>
      </c>
      <c r="IW14" t="s">
        <v>4073</v>
      </c>
      <c r="IX14" t="s">
        <v>4074</v>
      </c>
      <c r="IY14" t="s">
        <v>4075</v>
      </c>
      <c r="IZ14" t="s">
        <v>4076</v>
      </c>
      <c r="JA14" t="s">
        <v>4077</v>
      </c>
      <c r="JB14" t="s">
        <v>4078</v>
      </c>
      <c r="JC14" t="s">
        <v>4079</v>
      </c>
      <c r="JD14" t="s">
        <v>4080</v>
      </c>
      <c r="JE14" t="s">
        <v>4081</v>
      </c>
      <c r="JF14" t="s">
        <v>4082</v>
      </c>
      <c r="JG14" t="s">
        <v>4083</v>
      </c>
      <c r="JH14" t="s">
        <v>4084</v>
      </c>
      <c r="JI14" t="s">
        <v>4085</v>
      </c>
      <c r="JJ14" t="s">
        <v>4086</v>
      </c>
      <c r="JK14" t="s">
        <v>4087</v>
      </c>
      <c r="JL14" t="s">
        <v>4088</v>
      </c>
      <c r="JM14" t="s">
        <v>4089</v>
      </c>
      <c r="JN14" t="s">
        <v>4090</v>
      </c>
      <c r="JO14" t="s">
        <v>4091</v>
      </c>
      <c r="JP14" t="s">
        <v>4092</v>
      </c>
      <c r="JQ14" t="s">
        <v>4093</v>
      </c>
      <c r="JR14" t="s">
        <v>4094</v>
      </c>
      <c r="JS14" t="s">
        <v>4095</v>
      </c>
      <c r="JT14" t="s">
        <v>4096</v>
      </c>
      <c r="JU14" t="s">
        <v>4097</v>
      </c>
      <c r="JV14" t="s">
        <v>4098</v>
      </c>
      <c r="JW14" t="s">
        <v>4099</v>
      </c>
      <c r="JX14" t="s">
        <v>4100</v>
      </c>
      <c r="JY14" t="s">
        <v>4101</v>
      </c>
      <c r="JZ14" t="s">
        <v>4102</v>
      </c>
      <c r="KA14" t="s">
        <v>4103</v>
      </c>
      <c r="KB14" t="s">
        <v>4104</v>
      </c>
      <c r="KC14" t="s">
        <v>4105</v>
      </c>
      <c r="KD14" t="s">
        <v>4106</v>
      </c>
      <c r="KE14" t="s">
        <v>4107</v>
      </c>
      <c r="KF14" t="s">
        <v>4108</v>
      </c>
      <c r="KG14" t="s">
        <v>4109</v>
      </c>
      <c r="KH14" t="s">
        <v>4110</v>
      </c>
      <c r="KI14" t="s">
        <v>4111</v>
      </c>
      <c r="KJ14" t="s">
        <v>4112</v>
      </c>
      <c r="KK14" t="s">
        <v>4113</v>
      </c>
      <c r="KL14" t="s">
        <v>4114</v>
      </c>
      <c r="KM14" t="s">
        <v>4115</v>
      </c>
      <c r="KN14" t="s">
        <v>4116</v>
      </c>
      <c r="KO14" t="s">
        <v>4117</v>
      </c>
      <c r="KP14" t="s">
        <v>4118</v>
      </c>
      <c r="KQ14" t="s">
        <v>4119</v>
      </c>
      <c r="KR14" t="s">
        <v>4120</v>
      </c>
      <c r="KS14" t="s">
        <v>4121</v>
      </c>
      <c r="KT14" t="s">
        <v>4122</v>
      </c>
      <c r="KU14" t="s">
        <v>4123</v>
      </c>
      <c r="KV14" t="s">
        <v>4124</v>
      </c>
      <c r="KW14" t="s">
        <v>4125</v>
      </c>
      <c r="KX14" t="s">
        <v>4126</v>
      </c>
      <c r="KY14" t="s">
        <v>4127</v>
      </c>
      <c r="KZ14" t="s">
        <v>4128</v>
      </c>
      <c r="LA14" t="s">
        <v>4129</v>
      </c>
      <c r="LB14" t="s">
        <v>4130</v>
      </c>
      <c r="LC14" t="s">
        <v>4131</v>
      </c>
      <c r="LD14" t="s">
        <v>4132</v>
      </c>
      <c r="LE14" t="s">
        <v>4133</v>
      </c>
      <c r="LF14" t="s">
        <v>4134</v>
      </c>
      <c r="LG14" t="s">
        <v>4135</v>
      </c>
      <c r="LH14" t="s">
        <v>4136</v>
      </c>
      <c r="LI14" t="s">
        <v>4137</v>
      </c>
      <c r="LJ14" t="s">
        <v>4138</v>
      </c>
      <c r="LK14" t="s">
        <v>4139</v>
      </c>
      <c r="LL14" t="s">
        <v>4140</v>
      </c>
      <c r="LM14" t="s">
        <v>4141</v>
      </c>
      <c r="LN14" t="s">
        <v>4142</v>
      </c>
      <c r="LO14" t="s">
        <v>4143</v>
      </c>
      <c r="LP14" t="s">
        <v>4144</v>
      </c>
      <c r="LQ14" t="s">
        <v>4145</v>
      </c>
      <c r="LR14" t="s">
        <v>4146</v>
      </c>
      <c r="LS14" t="s">
        <v>4147</v>
      </c>
      <c r="LT14" t="s">
        <v>4148</v>
      </c>
      <c r="LU14" t="s">
        <v>4149</v>
      </c>
      <c r="LV14" t="s">
        <v>4150</v>
      </c>
      <c r="LW14" t="s">
        <v>4151</v>
      </c>
      <c r="LX14" t="s">
        <v>4152</v>
      </c>
      <c r="LY14" t="s">
        <v>4153</v>
      </c>
      <c r="LZ14" t="s">
        <v>4154</v>
      </c>
      <c r="MA14" t="s">
        <v>4155</v>
      </c>
      <c r="MB14" t="s">
        <v>4156</v>
      </c>
      <c r="MC14" t="s">
        <v>4157</v>
      </c>
      <c r="MD14" t="s">
        <v>4158</v>
      </c>
      <c r="ME14" t="s">
        <v>4159</v>
      </c>
      <c r="MF14" t="s">
        <v>4160</v>
      </c>
      <c r="MG14" t="s">
        <v>4161</v>
      </c>
    </row>
    <row r="15" spans="1:345" x14ac:dyDescent="0.3">
      <c r="A15" t="s">
        <v>4162</v>
      </c>
      <c r="B15" t="s">
        <v>428</v>
      </c>
      <c r="C15" t="s">
        <v>2616</v>
      </c>
      <c r="D15" t="s">
        <v>4163</v>
      </c>
    </row>
    <row r="16" spans="1:345" x14ac:dyDescent="0.3">
      <c r="A16" t="s">
        <v>4164</v>
      </c>
      <c r="B16" t="s">
        <v>2137</v>
      </c>
      <c r="C16" t="s">
        <v>4165</v>
      </c>
      <c r="D16" t="s">
        <v>4166</v>
      </c>
    </row>
    <row r="17" spans="1:11" ht="15.6" x14ac:dyDescent="0.3">
      <c r="A17" t="s">
        <v>4167</v>
      </c>
      <c r="B17" s="2197" t="s">
        <v>4168</v>
      </c>
      <c r="C17" s="2197" t="s">
        <v>4169</v>
      </c>
      <c r="D17" s="2197" t="s">
        <v>4170</v>
      </c>
      <c r="E17" s="2197" t="s">
        <v>4171</v>
      </c>
      <c r="F17" s="2197" t="s">
        <v>4172</v>
      </c>
      <c r="G17" s="2197" t="s">
        <v>4173</v>
      </c>
      <c r="H17" s="2197" t="s">
        <v>4174</v>
      </c>
      <c r="I17" s="2197" t="s">
        <v>4175</v>
      </c>
      <c r="J17" s="2197" t="s">
        <v>4176</v>
      </c>
      <c r="K17" s="2197" t="s">
        <v>4177</v>
      </c>
    </row>
  </sheetData>
  <phoneticPr fontId="51"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ED236-D483-4660-823C-B342B346838A}">
  <sheetPr codeName="Sheet10">
    <tabColor rgb="FFFF0000"/>
  </sheetPr>
  <dimension ref="A1:W119"/>
  <sheetViews>
    <sheetView workbookViewId="0">
      <selection sqref="A1:C1"/>
    </sheetView>
  </sheetViews>
  <sheetFormatPr defaultColWidth="9.109375" defaultRowHeight="14.4" x14ac:dyDescent="0.3"/>
  <cols>
    <col min="2" max="2" width="20.109375" customWidth="1"/>
    <col min="3" max="3" width="20.5546875" customWidth="1"/>
    <col min="4" max="4" width="16.109375" customWidth="1"/>
    <col min="5" max="5" width="12.6640625" customWidth="1"/>
    <col min="6" max="6" width="19.44140625" customWidth="1"/>
    <col min="7" max="7" width="10.33203125" customWidth="1"/>
    <col min="8" max="8" width="11.6640625" customWidth="1"/>
    <col min="9" max="9" width="11.33203125" customWidth="1"/>
    <col min="12" max="12" width="20.88671875" customWidth="1"/>
    <col min="13" max="14" width="13" customWidth="1"/>
    <col min="15" max="15" width="22.5546875" bestFit="1" customWidth="1"/>
    <col min="16" max="16" width="14.44140625" bestFit="1" customWidth="1"/>
    <col min="22" max="22" width="17.44140625" bestFit="1" customWidth="1"/>
    <col min="23" max="23" width="16.5546875" bestFit="1" customWidth="1"/>
  </cols>
  <sheetData>
    <row r="1" spans="1:23" x14ac:dyDescent="0.3">
      <c r="A1" t="s">
        <v>4178</v>
      </c>
    </row>
    <row r="2" spans="1:23" x14ac:dyDescent="0.3">
      <c r="E2" t="s">
        <v>4179</v>
      </c>
    </row>
    <row r="3" spans="1:23" x14ac:dyDescent="0.3">
      <c r="B3" s="82" t="s">
        <v>3660</v>
      </c>
      <c r="C3" t="s">
        <v>4180</v>
      </c>
      <c r="E3" s="342" t="s">
        <v>2476</v>
      </c>
      <c r="F3" s="342" t="s">
        <v>4181</v>
      </c>
      <c r="O3" s="82"/>
      <c r="P3" s="82"/>
      <c r="Q3" s="82"/>
      <c r="R3" s="82"/>
      <c r="S3" s="82"/>
      <c r="T3" s="82"/>
      <c r="V3" s="82"/>
      <c r="W3" s="82"/>
    </row>
    <row r="4" spans="1:23" x14ac:dyDescent="0.3">
      <c r="B4" t="s">
        <v>3679</v>
      </c>
      <c r="C4" t="s">
        <v>4182</v>
      </c>
      <c r="D4" s="93"/>
      <c r="E4" s="343">
        <v>3000</v>
      </c>
      <c r="F4" s="71">
        <v>160</v>
      </c>
      <c r="G4" s="2316"/>
      <c r="H4" s="93"/>
      <c r="I4" s="93"/>
      <c r="J4" s="93"/>
      <c r="K4" s="93"/>
    </row>
    <row r="5" spans="1:23" x14ac:dyDescent="0.3">
      <c r="B5" t="s">
        <v>3680</v>
      </c>
      <c r="C5" t="s">
        <v>4183</v>
      </c>
      <c r="D5" s="93"/>
      <c r="E5" s="112">
        <v>4500</v>
      </c>
      <c r="F5" s="9">
        <v>160</v>
      </c>
      <c r="G5" s="2316"/>
      <c r="H5" s="86"/>
      <c r="I5" s="86"/>
      <c r="J5" s="86"/>
      <c r="K5" s="86"/>
    </row>
    <row r="6" spans="1:23" x14ac:dyDescent="0.3">
      <c r="B6" t="s">
        <v>3681</v>
      </c>
      <c r="C6" t="s">
        <v>4184</v>
      </c>
      <c r="D6" s="42"/>
      <c r="E6" s="112">
        <v>6000</v>
      </c>
      <c r="F6" s="9">
        <v>250</v>
      </c>
      <c r="G6" s="7"/>
      <c r="H6" s="7"/>
      <c r="I6" s="7"/>
      <c r="J6" s="7"/>
      <c r="K6" s="7"/>
    </row>
    <row r="7" spans="1:23" ht="29.25" customHeight="1" thickBot="1" x14ac:dyDescent="0.35">
      <c r="B7" t="s">
        <v>2203</v>
      </c>
      <c r="C7" t="s">
        <v>4185</v>
      </c>
      <c r="D7" s="42"/>
      <c r="E7" s="115">
        <v>9000</v>
      </c>
      <c r="F7" s="23">
        <v>340</v>
      </c>
      <c r="G7" s="7"/>
      <c r="H7" s="7"/>
      <c r="I7" s="7"/>
      <c r="J7" s="7"/>
      <c r="K7" s="7"/>
    </row>
    <row r="8" spans="1:23" x14ac:dyDescent="0.3">
      <c r="B8" t="s">
        <v>3682</v>
      </c>
      <c r="C8" t="s">
        <v>4186</v>
      </c>
      <c r="D8" s="42"/>
      <c r="E8" s="214"/>
      <c r="F8" s="7"/>
      <c r="G8" s="7"/>
      <c r="H8" s="7"/>
      <c r="I8" s="7"/>
      <c r="J8" s="7"/>
      <c r="K8" s="7"/>
    </row>
    <row r="9" spans="1:23" x14ac:dyDescent="0.3">
      <c r="B9" t="s">
        <v>3683</v>
      </c>
      <c r="C9" t="s">
        <v>4187</v>
      </c>
      <c r="D9" s="42"/>
      <c r="E9" s="214"/>
      <c r="F9" s="7"/>
      <c r="G9" s="7"/>
      <c r="H9" s="7"/>
      <c r="I9" s="7"/>
      <c r="J9" s="7"/>
      <c r="K9" s="7"/>
    </row>
    <row r="10" spans="1:23" x14ac:dyDescent="0.3">
      <c r="B10" t="s">
        <v>3684</v>
      </c>
      <c r="C10" t="s">
        <v>4188</v>
      </c>
      <c r="D10" s="42"/>
      <c r="E10" s="214"/>
      <c r="F10" s="7"/>
      <c r="G10" s="7"/>
      <c r="H10" s="7"/>
      <c r="I10" s="7"/>
      <c r="J10" s="7"/>
      <c r="K10" s="7"/>
    </row>
    <row r="11" spans="1:23" x14ac:dyDescent="0.3">
      <c r="B11" t="s">
        <v>3685</v>
      </c>
      <c r="C11" t="s">
        <v>4189</v>
      </c>
      <c r="D11" s="42"/>
      <c r="E11" s="214"/>
      <c r="F11" s="7"/>
      <c r="G11" s="7"/>
      <c r="H11" s="7"/>
      <c r="I11" s="7"/>
      <c r="J11" s="7"/>
      <c r="K11" s="7"/>
    </row>
    <row r="12" spans="1:23" x14ac:dyDescent="0.3">
      <c r="B12" t="s">
        <v>3686</v>
      </c>
      <c r="C12" t="s">
        <v>4190</v>
      </c>
      <c r="D12" s="42"/>
      <c r="E12" s="214"/>
      <c r="F12" s="7"/>
      <c r="G12" s="7"/>
      <c r="H12" s="7"/>
      <c r="I12" s="7"/>
      <c r="J12" s="7"/>
      <c r="K12" s="7"/>
    </row>
    <row r="13" spans="1:23" x14ac:dyDescent="0.3">
      <c r="B13" t="s">
        <v>3687</v>
      </c>
      <c r="C13" t="s">
        <v>4191</v>
      </c>
    </row>
    <row r="14" spans="1:23" x14ac:dyDescent="0.3">
      <c r="B14" t="s">
        <v>3688</v>
      </c>
      <c r="C14" t="s">
        <v>4192</v>
      </c>
    </row>
    <row r="15" spans="1:23" x14ac:dyDescent="0.3">
      <c r="B15" t="s">
        <v>3689</v>
      </c>
      <c r="C15" t="s">
        <v>4193</v>
      </c>
    </row>
    <row r="16" spans="1:23" x14ac:dyDescent="0.3">
      <c r="B16" t="s">
        <v>3690</v>
      </c>
      <c r="C16" t="s">
        <v>4194</v>
      </c>
    </row>
    <row r="17" spans="2:3" x14ac:dyDescent="0.3">
      <c r="B17" t="s">
        <v>3691</v>
      </c>
      <c r="C17" t="s">
        <v>4195</v>
      </c>
    </row>
    <row r="18" spans="2:3" x14ac:dyDescent="0.3">
      <c r="B18" t="s">
        <v>3692</v>
      </c>
      <c r="C18" t="s">
        <v>4196</v>
      </c>
    </row>
    <row r="19" spans="2:3" x14ac:dyDescent="0.3">
      <c r="B19" t="s">
        <v>3693</v>
      </c>
      <c r="C19" t="s">
        <v>4197</v>
      </c>
    </row>
    <row r="20" spans="2:3" x14ac:dyDescent="0.3">
      <c r="B20" t="s">
        <v>3694</v>
      </c>
      <c r="C20" t="s">
        <v>4198</v>
      </c>
    </row>
    <row r="21" spans="2:3" x14ac:dyDescent="0.3">
      <c r="B21" t="s">
        <v>3695</v>
      </c>
      <c r="C21" t="s">
        <v>4199</v>
      </c>
    </row>
    <row r="22" spans="2:3" x14ac:dyDescent="0.3">
      <c r="B22" t="s">
        <v>3696</v>
      </c>
      <c r="C22" t="s">
        <v>4200</v>
      </c>
    </row>
    <row r="23" spans="2:3" x14ac:dyDescent="0.3">
      <c r="B23" t="s">
        <v>3697</v>
      </c>
      <c r="C23" t="s">
        <v>4201</v>
      </c>
    </row>
    <row r="24" spans="2:3" x14ac:dyDescent="0.3">
      <c r="B24" t="s">
        <v>3698</v>
      </c>
      <c r="C24" t="s">
        <v>4202</v>
      </c>
    </row>
    <row r="25" spans="2:3" x14ac:dyDescent="0.3">
      <c r="B25" t="s">
        <v>3699</v>
      </c>
      <c r="C25" t="s">
        <v>4203</v>
      </c>
    </row>
    <row r="26" spans="2:3" x14ac:dyDescent="0.3">
      <c r="B26" t="s">
        <v>3700</v>
      </c>
      <c r="C26" t="s">
        <v>4204</v>
      </c>
    </row>
    <row r="27" spans="2:3" x14ac:dyDescent="0.3">
      <c r="B27" t="s">
        <v>3701</v>
      </c>
      <c r="C27" t="s">
        <v>4205</v>
      </c>
    </row>
    <row r="28" spans="2:3" x14ac:dyDescent="0.3">
      <c r="B28" t="s">
        <v>3702</v>
      </c>
      <c r="C28" t="s">
        <v>1626</v>
      </c>
    </row>
    <row r="29" spans="2:3" x14ac:dyDescent="0.3">
      <c r="B29" t="s">
        <v>3703</v>
      </c>
      <c r="C29" t="s">
        <v>4206</v>
      </c>
    </row>
    <row r="30" spans="2:3" x14ac:dyDescent="0.3">
      <c r="B30" t="s">
        <v>3704</v>
      </c>
      <c r="C30" t="s">
        <v>4207</v>
      </c>
    </row>
    <row r="31" spans="2:3" x14ac:dyDescent="0.3">
      <c r="B31" t="s">
        <v>3705</v>
      </c>
      <c r="C31" t="s">
        <v>4208</v>
      </c>
    </row>
    <row r="32" spans="2:3" x14ac:dyDescent="0.3">
      <c r="B32" t="s">
        <v>3706</v>
      </c>
      <c r="C32" t="s">
        <v>4209</v>
      </c>
    </row>
    <row r="33" spans="2:3" x14ac:dyDescent="0.3">
      <c r="B33" t="s">
        <v>3707</v>
      </c>
      <c r="C33" t="s">
        <v>4210</v>
      </c>
    </row>
    <row r="34" spans="2:3" x14ac:dyDescent="0.3">
      <c r="B34" t="s">
        <v>3708</v>
      </c>
      <c r="C34" t="s">
        <v>4211</v>
      </c>
    </row>
    <row r="35" spans="2:3" x14ac:dyDescent="0.3">
      <c r="B35" t="s">
        <v>3709</v>
      </c>
      <c r="C35" t="s">
        <v>4212</v>
      </c>
    </row>
    <row r="36" spans="2:3" x14ac:dyDescent="0.3">
      <c r="B36" t="s">
        <v>3710</v>
      </c>
      <c r="C36" t="s">
        <v>4213</v>
      </c>
    </row>
    <row r="37" spans="2:3" x14ac:dyDescent="0.3">
      <c r="B37" t="s">
        <v>3711</v>
      </c>
      <c r="C37" t="s">
        <v>4214</v>
      </c>
    </row>
    <row r="38" spans="2:3" x14ac:dyDescent="0.3">
      <c r="B38" t="s">
        <v>3712</v>
      </c>
      <c r="C38" t="s">
        <v>4215</v>
      </c>
    </row>
    <row r="39" spans="2:3" x14ac:dyDescent="0.3">
      <c r="B39" t="s">
        <v>3713</v>
      </c>
      <c r="C39" t="s">
        <v>4216</v>
      </c>
    </row>
    <row r="40" spans="2:3" x14ac:dyDescent="0.3">
      <c r="B40" t="s">
        <v>3714</v>
      </c>
      <c r="C40" t="s">
        <v>4217</v>
      </c>
    </row>
    <row r="41" spans="2:3" x14ac:dyDescent="0.3">
      <c r="B41" t="s">
        <v>3715</v>
      </c>
      <c r="C41" t="s">
        <v>4218</v>
      </c>
    </row>
    <row r="42" spans="2:3" x14ac:dyDescent="0.3">
      <c r="B42" t="s">
        <v>3716</v>
      </c>
      <c r="C42" t="s">
        <v>4219</v>
      </c>
    </row>
    <row r="43" spans="2:3" x14ac:dyDescent="0.3">
      <c r="B43" t="s">
        <v>3717</v>
      </c>
      <c r="C43" t="s">
        <v>4220</v>
      </c>
    </row>
    <row r="44" spans="2:3" x14ac:dyDescent="0.3">
      <c r="B44" t="s">
        <v>3718</v>
      </c>
      <c r="C44" t="s">
        <v>4221</v>
      </c>
    </row>
    <row r="45" spans="2:3" x14ac:dyDescent="0.3">
      <c r="B45" t="s">
        <v>3719</v>
      </c>
      <c r="C45" t="s">
        <v>4222</v>
      </c>
    </row>
    <row r="46" spans="2:3" x14ac:dyDescent="0.3">
      <c r="B46" t="s">
        <v>3720</v>
      </c>
      <c r="C46" t="s">
        <v>4223</v>
      </c>
    </row>
    <row r="47" spans="2:3" x14ac:dyDescent="0.3">
      <c r="B47" t="s">
        <v>3721</v>
      </c>
      <c r="C47" t="s">
        <v>4224</v>
      </c>
    </row>
    <row r="48" spans="2:3" x14ac:dyDescent="0.3">
      <c r="B48" t="s">
        <v>3722</v>
      </c>
      <c r="C48" t="s">
        <v>4225</v>
      </c>
    </row>
    <row r="49" spans="2:15" x14ac:dyDescent="0.3">
      <c r="B49" t="s">
        <v>3723</v>
      </c>
      <c r="C49" t="s">
        <v>4226</v>
      </c>
    </row>
    <row r="50" spans="2:15" x14ac:dyDescent="0.3">
      <c r="B50" t="s">
        <v>3724</v>
      </c>
      <c r="C50" t="s">
        <v>4227</v>
      </c>
    </row>
    <row r="51" spans="2:15" x14ac:dyDescent="0.3">
      <c r="B51" t="s">
        <v>3725</v>
      </c>
      <c r="C51" t="s">
        <v>4228</v>
      </c>
    </row>
    <row r="52" spans="2:15" x14ac:dyDescent="0.3">
      <c r="B52" t="s">
        <v>3726</v>
      </c>
      <c r="C52" t="s">
        <v>4229</v>
      </c>
    </row>
    <row r="53" spans="2:15" x14ac:dyDescent="0.3">
      <c r="B53" t="s">
        <v>3727</v>
      </c>
      <c r="C53" t="s">
        <v>4230</v>
      </c>
    </row>
    <row r="54" spans="2:15" x14ac:dyDescent="0.3">
      <c r="B54" t="s">
        <v>3728</v>
      </c>
      <c r="C54" t="s">
        <v>4231</v>
      </c>
    </row>
    <row r="57" spans="2:15" x14ac:dyDescent="0.3">
      <c r="D57" t="s">
        <v>4232</v>
      </c>
      <c r="E57" t="s">
        <v>4233</v>
      </c>
      <c r="F57" t="s">
        <v>4234</v>
      </c>
      <c r="G57" t="s">
        <v>4235</v>
      </c>
      <c r="H57" t="s">
        <v>4236</v>
      </c>
      <c r="I57" t="s">
        <v>4237</v>
      </c>
      <c r="J57" t="s">
        <v>304</v>
      </c>
      <c r="K57" t="s">
        <v>4238</v>
      </c>
      <c r="L57" t="s">
        <v>4239</v>
      </c>
      <c r="M57" t="s">
        <v>4240</v>
      </c>
      <c r="N57" t="s">
        <v>4241</v>
      </c>
    </row>
    <row r="58" spans="2:15" x14ac:dyDescent="0.3">
      <c r="B58" t="s">
        <v>4242</v>
      </c>
      <c r="C58" t="str">
        <f>UDV.u.state_abrv</f>
        <v>IA</v>
      </c>
      <c r="D58" t="str">
        <f>INDEX(D$61:D$112,MATCH($C$58,$C$61:$C$112,0))</f>
        <v>Total Electric Power Industry</v>
      </c>
      <c r="E58" t="str">
        <f t="shared" ref="E58:N58" si="0">INDEX(E$61:E$112,MATCH($C$58,$C$61:$C$112,0))</f>
        <v>Total</v>
      </c>
      <c r="F58">
        <f t="shared" si="0"/>
        <v>72982198</v>
      </c>
      <c r="G58">
        <f t="shared" si="0"/>
        <v>26162584</v>
      </c>
      <c r="H58">
        <f t="shared" si="0"/>
        <v>22526</v>
      </c>
      <c r="I58">
        <f t="shared" si="0"/>
        <v>25546</v>
      </c>
      <c r="J58" t="str">
        <f t="shared" si="0"/>
        <v>Industry</v>
      </c>
      <c r="K58" t="str">
        <f t="shared" si="0"/>
        <v>IA-Industry</v>
      </c>
      <c r="L58">
        <f t="shared" si="0"/>
        <v>0.35847898140858953</v>
      </c>
      <c r="M58">
        <f t="shared" si="0"/>
        <v>3.5003056498791662E-4</v>
      </c>
      <c r="N58">
        <f t="shared" si="0"/>
        <v>3.086506109339157E-4</v>
      </c>
    </row>
    <row r="59" spans="2:15" x14ac:dyDescent="0.3">
      <c r="O59" s="34" t="s">
        <v>4243</v>
      </c>
    </row>
    <row r="60" spans="2:15" ht="43.2" x14ac:dyDescent="0.3">
      <c r="B60" s="49" t="s">
        <v>4244</v>
      </c>
      <c r="C60" s="49" t="s">
        <v>4245</v>
      </c>
      <c r="D60" s="49" t="s">
        <v>4232</v>
      </c>
      <c r="E60" s="49" t="s">
        <v>4233</v>
      </c>
      <c r="F60" s="49" t="s">
        <v>4234</v>
      </c>
      <c r="G60" s="606" t="s">
        <v>4235</v>
      </c>
      <c r="H60" s="49" t="s">
        <v>4236</v>
      </c>
      <c r="I60" s="606" t="s">
        <v>4237</v>
      </c>
      <c r="J60" s="49" t="s">
        <v>304</v>
      </c>
      <c r="K60" s="49" t="s">
        <v>4238</v>
      </c>
      <c r="L60" s="341" t="s">
        <v>4239</v>
      </c>
      <c r="M60" s="49" t="s">
        <v>4240</v>
      </c>
      <c r="N60" s="49" t="s">
        <v>4241</v>
      </c>
    </row>
    <row r="61" spans="2:15" x14ac:dyDescent="0.3">
      <c r="B61" s="49">
        <v>2022</v>
      </c>
      <c r="C61" s="49" t="s">
        <v>4183</v>
      </c>
      <c r="D61" s="49" t="s">
        <v>4246</v>
      </c>
      <c r="E61" s="49" t="s">
        <v>315</v>
      </c>
      <c r="F61" s="49">
        <v>6694128</v>
      </c>
      <c r="G61" s="49">
        <v>3591503</v>
      </c>
      <c r="H61" s="49">
        <v>2210</v>
      </c>
      <c r="I61" s="49">
        <v>18081</v>
      </c>
      <c r="J61" s="49" t="s">
        <v>4247</v>
      </c>
      <c r="K61" s="49" t="s">
        <v>4248</v>
      </c>
      <c r="L61" s="341">
        <v>0.53651543561760395</v>
      </c>
      <c r="M61" s="49">
        <f t="shared" ref="M61:M92" si="1">I61/F61</f>
        <v>2.7010239421773829E-3</v>
      </c>
      <c r="N61" s="49">
        <f t="shared" ref="N61:N92" si="2">H61/F61</f>
        <v>3.3014008695381983E-4</v>
      </c>
    </row>
    <row r="62" spans="2:15" x14ac:dyDescent="0.3">
      <c r="B62" s="49">
        <v>2022</v>
      </c>
      <c r="C62" s="49" t="s">
        <v>4182</v>
      </c>
      <c r="D62" s="49" t="s">
        <v>4246</v>
      </c>
      <c r="E62" s="49" t="s">
        <v>315</v>
      </c>
      <c r="F62" s="49">
        <v>144788893</v>
      </c>
      <c r="G62" s="49">
        <v>52252066</v>
      </c>
      <c r="H62" s="49">
        <v>27076</v>
      </c>
      <c r="I62" s="49">
        <v>23847</v>
      </c>
      <c r="J62" s="49" t="s">
        <v>4247</v>
      </c>
      <c r="K62" s="49" t="s">
        <v>4249</v>
      </c>
      <c r="L62" s="341">
        <v>0.36088449132627876</v>
      </c>
      <c r="M62" s="49">
        <f t="shared" si="1"/>
        <v>1.6470186010746003E-4</v>
      </c>
      <c r="N62" s="49">
        <f t="shared" si="2"/>
        <v>1.8700329451375804E-4</v>
      </c>
    </row>
    <row r="63" spans="2:15" x14ac:dyDescent="0.3">
      <c r="B63" s="49">
        <v>2022</v>
      </c>
      <c r="C63" s="49" t="s">
        <v>4185</v>
      </c>
      <c r="D63" s="49" t="s">
        <v>4246</v>
      </c>
      <c r="E63" s="49" t="s">
        <v>315</v>
      </c>
      <c r="F63" s="49">
        <v>65905030</v>
      </c>
      <c r="G63" s="49">
        <v>31302599</v>
      </c>
      <c r="H63" s="49">
        <v>37409</v>
      </c>
      <c r="I63" s="49">
        <v>19679</v>
      </c>
      <c r="J63" s="49" t="s">
        <v>4247</v>
      </c>
      <c r="K63" s="49" t="s">
        <v>4250</v>
      </c>
      <c r="L63" s="341">
        <v>0.47496524923818412</v>
      </c>
      <c r="M63" s="49">
        <f t="shared" si="1"/>
        <v>2.9859632868689995E-4</v>
      </c>
      <c r="N63" s="49">
        <f t="shared" si="2"/>
        <v>5.6761980079517453E-4</v>
      </c>
    </row>
    <row r="64" spans="2:15" x14ac:dyDescent="0.3">
      <c r="B64" s="49">
        <v>2022</v>
      </c>
      <c r="C64" s="49" t="s">
        <v>4184</v>
      </c>
      <c r="D64" s="49" t="s">
        <v>4246</v>
      </c>
      <c r="E64" s="49" t="s">
        <v>315</v>
      </c>
      <c r="F64" s="49">
        <v>104698773</v>
      </c>
      <c r="G64" s="49">
        <v>32947964</v>
      </c>
      <c r="H64" s="49">
        <v>6748</v>
      </c>
      <c r="I64" s="49">
        <v>22702</v>
      </c>
      <c r="J64" s="49" t="s">
        <v>4247</v>
      </c>
      <c r="K64" s="49" t="s">
        <v>4251</v>
      </c>
      <c r="L64" s="341">
        <v>0.31469293341193216</v>
      </c>
      <c r="M64" s="49">
        <f t="shared" si="1"/>
        <v>2.1683157643117746E-4</v>
      </c>
      <c r="N64" s="49">
        <f t="shared" si="2"/>
        <v>6.4451567164020159E-5</v>
      </c>
    </row>
    <row r="65" spans="2:14" x14ac:dyDescent="0.3">
      <c r="B65" s="49">
        <v>2022</v>
      </c>
      <c r="C65" s="49" t="s">
        <v>4186</v>
      </c>
      <c r="D65" s="49" t="s">
        <v>4246</v>
      </c>
      <c r="E65" s="49" t="s">
        <v>315</v>
      </c>
      <c r="F65" s="49">
        <v>203383857</v>
      </c>
      <c r="G65" s="49">
        <v>44448299</v>
      </c>
      <c r="H65" s="49">
        <v>1126</v>
      </c>
      <c r="I65" s="49">
        <v>63484</v>
      </c>
      <c r="J65" s="49" t="s">
        <v>4247</v>
      </c>
      <c r="K65" s="49" t="s">
        <v>4252</v>
      </c>
      <c r="L65" s="341">
        <v>0.21854388866270738</v>
      </c>
      <c r="M65" s="49">
        <f t="shared" si="1"/>
        <v>3.1213883410618966E-4</v>
      </c>
      <c r="N65" s="49">
        <f t="shared" si="2"/>
        <v>5.5363292672731641E-6</v>
      </c>
    </row>
    <row r="66" spans="2:14" x14ac:dyDescent="0.3">
      <c r="B66" s="49">
        <v>2022</v>
      </c>
      <c r="C66" s="49" t="s">
        <v>4187</v>
      </c>
      <c r="D66" s="49" t="s">
        <v>4246</v>
      </c>
      <c r="E66" s="49" t="s">
        <v>315</v>
      </c>
      <c r="F66" s="49">
        <v>58044009</v>
      </c>
      <c r="G66" s="49">
        <v>29739147</v>
      </c>
      <c r="H66" s="49">
        <v>9461</v>
      </c>
      <c r="I66" s="49">
        <v>17625</v>
      </c>
      <c r="J66" s="49" t="s">
        <v>4247</v>
      </c>
      <c r="K66" s="49" t="s">
        <v>4253</v>
      </c>
      <c r="L66" s="341">
        <v>0.51235515107166352</v>
      </c>
      <c r="M66" s="49">
        <f t="shared" si="1"/>
        <v>3.0364890888222415E-4</v>
      </c>
      <c r="N66" s="49">
        <f t="shared" si="2"/>
        <v>1.6299701145728923E-4</v>
      </c>
    </row>
    <row r="67" spans="2:14" x14ac:dyDescent="0.3">
      <c r="B67" s="49">
        <v>2022</v>
      </c>
      <c r="C67" s="49" t="s">
        <v>4254</v>
      </c>
      <c r="D67" s="49" t="s">
        <v>4246</v>
      </c>
      <c r="E67" s="49" t="s">
        <v>315</v>
      </c>
      <c r="F67" s="49">
        <v>43054099</v>
      </c>
      <c r="G67" s="49">
        <v>10757018</v>
      </c>
      <c r="H67" s="49">
        <v>981</v>
      </c>
      <c r="I67" s="49">
        <v>5002</v>
      </c>
      <c r="J67" s="49" t="s">
        <v>4247</v>
      </c>
      <c r="K67" s="49" t="s">
        <v>4255</v>
      </c>
      <c r="L67" s="341">
        <v>0.24984887037120437</v>
      </c>
      <c r="M67" s="49">
        <f t="shared" si="1"/>
        <v>1.1617941418307232E-4</v>
      </c>
      <c r="N67" s="49">
        <f t="shared" si="2"/>
        <v>2.2785286947939615E-5</v>
      </c>
    </row>
    <row r="68" spans="2:14" x14ac:dyDescent="0.3">
      <c r="B68" s="49">
        <v>2022</v>
      </c>
      <c r="C68" s="49" t="s">
        <v>4190</v>
      </c>
      <c r="D68" s="49" t="s">
        <v>4246</v>
      </c>
      <c r="E68" s="49" t="s">
        <v>315</v>
      </c>
      <c r="F68" s="49">
        <v>160237</v>
      </c>
      <c r="G68" s="49">
        <v>63630</v>
      </c>
      <c r="H68" s="49">
        <v>0</v>
      </c>
      <c r="I68" s="49">
        <v>417</v>
      </c>
      <c r="J68" s="49" t="s">
        <v>4247</v>
      </c>
      <c r="K68" s="49" t="s">
        <v>4256</v>
      </c>
      <c r="L68" s="341">
        <v>0.39709929666681226</v>
      </c>
      <c r="M68" s="49">
        <f t="shared" si="1"/>
        <v>2.6023952021068794E-3</v>
      </c>
      <c r="N68" s="49">
        <f t="shared" si="2"/>
        <v>0</v>
      </c>
    </row>
    <row r="69" spans="2:14" x14ac:dyDescent="0.3">
      <c r="B69" s="49">
        <v>2022</v>
      </c>
      <c r="C69" s="49" t="s">
        <v>4189</v>
      </c>
      <c r="D69" s="49" t="s">
        <v>4246</v>
      </c>
      <c r="E69" s="49" t="s">
        <v>315</v>
      </c>
      <c r="F69" s="49">
        <v>5308370</v>
      </c>
      <c r="G69" s="49">
        <v>2682437</v>
      </c>
      <c r="H69" s="49">
        <v>436</v>
      </c>
      <c r="I69" s="49">
        <v>1609</v>
      </c>
      <c r="J69" s="49" t="s">
        <v>4247</v>
      </c>
      <c r="K69" s="49" t="s">
        <v>4257</v>
      </c>
      <c r="L69" s="341">
        <v>0.50532216104001793</v>
      </c>
      <c r="M69" s="49">
        <f t="shared" si="1"/>
        <v>3.0310622658179443E-4</v>
      </c>
      <c r="N69" s="49">
        <f t="shared" si="2"/>
        <v>8.2134440515638517E-5</v>
      </c>
    </row>
    <row r="70" spans="2:14" x14ac:dyDescent="0.3">
      <c r="B70" s="49">
        <v>2022</v>
      </c>
      <c r="C70" s="49" t="s">
        <v>4191</v>
      </c>
      <c r="D70" s="49" t="s">
        <v>4246</v>
      </c>
      <c r="E70" s="49" t="s">
        <v>315</v>
      </c>
      <c r="F70" s="49">
        <v>258910413</v>
      </c>
      <c r="G70" s="49">
        <v>97615231</v>
      </c>
      <c r="H70" s="49">
        <v>33816</v>
      </c>
      <c r="I70" s="49">
        <v>49519</v>
      </c>
      <c r="J70" s="49" t="s">
        <v>4247</v>
      </c>
      <c r="K70" s="49" t="s">
        <v>4258</v>
      </c>
      <c r="L70" s="341">
        <v>0.37702319450550642</v>
      </c>
      <c r="M70" s="49">
        <f t="shared" si="1"/>
        <v>1.9125920594008708E-4</v>
      </c>
      <c r="N70" s="49">
        <f t="shared" si="2"/>
        <v>1.3060888362184181E-4</v>
      </c>
    </row>
    <row r="71" spans="2:14" x14ac:dyDescent="0.3">
      <c r="B71" s="49">
        <v>2022</v>
      </c>
      <c r="C71" s="49" t="s">
        <v>4192</v>
      </c>
      <c r="D71" s="49" t="s">
        <v>4246</v>
      </c>
      <c r="E71" s="49" t="s">
        <v>315</v>
      </c>
      <c r="F71" s="49">
        <v>126484633</v>
      </c>
      <c r="G71" s="49">
        <v>43771910</v>
      </c>
      <c r="H71" s="49">
        <v>42338</v>
      </c>
      <c r="I71" s="49">
        <v>36363</v>
      </c>
      <c r="J71" s="49" t="s">
        <v>4247</v>
      </c>
      <c r="K71" s="49" t="s">
        <v>4259</v>
      </c>
      <c r="L71" s="341">
        <v>0.34606504333218091</v>
      </c>
      <c r="M71" s="49">
        <f t="shared" si="1"/>
        <v>2.8748946917527918E-4</v>
      </c>
      <c r="N71" s="49">
        <f t="shared" si="2"/>
        <v>3.3472840926059374E-4</v>
      </c>
    </row>
    <row r="72" spans="2:14" x14ac:dyDescent="0.3">
      <c r="B72" s="49">
        <v>2022</v>
      </c>
      <c r="C72" s="49" t="s">
        <v>4193</v>
      </c>
      <c r="D72" s="49" t="s">
        <v>4246</v>
      </c>
      <c r="E72" s="49" t="s">
        <v>315</v>
      </c>
      <c r="F72" s="49">
        <v>9337434</v>
      </c>
      <c r="G72" s="49">
        <v>6426621</v>
      </c>
      <c r="H72" s="49">
        <v>16901</v>
      </c>
      <c r="I72" s="49">
        <v>15672</v>
      </c>
      <c r="J72" s="49" t="s">
        <v>4247</v>
      </c>
      <c r="K72" s="49" t="s">
        <v>4260</v>
      </c>
      <c r="L72" s="341">
        <v>0.68826414194734875</v>
      </c>
      <c r="M72" s="49">
        <f t="shared" si="1"/>
        <v>1.6784054377251823E-3</v>
      </c>
      <c r="N72" s="49">
        <f t="shared" si="2"/>
        <v>1.8100261806402059E-3</v>
      </c>
    </row>
    <row r="73" spans="2:14" x14ac:dyDescent="0.3">
      <c r="B73" s="49">
        <v>2022</v>
      </c>
      <c r="C73" s="49" t="s">
        <v>4197</v>
      </c>
      <c r="D73" s="49" t="s">
        <v>4246</v>
      </c>
      <c r="E73" s="49" t="s">
        <v>315</v>
      </c>
      <c r="F73" s="49">
        <v>72982198</v>
      </c>
      <c r="G73" s="49">
        <v>26162584</v>
      </c>
      <c r="H73" s="49">
        <v>22526</v>
      </c>
      <c r="I73" s="49">
        <v>25546</v>
      </c>
      <c r="J73" s="49" t="s">
        <v>4247</v>
      </c>
      <c r="K73" s="49" t="s">
        <v>4261</v>
      </c>
      <c r="L73" s="341">
        <v>0.35847898140858953</v>
      </c>
      <c r="M73" s="49">
        <f t="shared" si="1"/>
        <v>3.5003056498791662E-4</v>
      </c>
      <c r="N73" s="49">
        <f t="shared" si="2"/>
        <v>3.086506109339157E-4</v>
      </c>
    </row>
    <row r="74" spans="2:14" x14ac:dyDescent="0.3">
      <c r="B74" s="49">
        <v>2022</v>
      </c>
      <c r="C74" s="49" t="s">
        <v>4194</v>
      </c>
      <c r="D74" s="49" t="s">
        <v>4246</v>
      </c>
      <c r="E74" s="49" t="s">
        <v>315</v>
      </c>
      <c r="F74" s="49">
        <v>16278410</v>
      </c>
      <c r="G74" s="49">
        <v>2287346</v>
      </c>
      <c r="H74" s="49">
        <v>3240</v>
      </c>
      <c r="I74" s="49">
        <v>3712</v>
      </c>
      <c r="J74" s="49" t="s">
        <v>4247</v>
      </c>
      <c r="K74" s="49" t="s">
        <v>4262</v>
      </c>
      <c r="L74" s="341">
        <v>0.14051409197827061</v>
      </c>
      <c r="M74" s="49">
        <f t="shared" si="1"/>
        <v>2.2803209895806776E-4</v>
      </c>
      <c r="N74" s="49">
        <f t="shared" si="2"/>
        <v>1.9903663809917553E-4</v>
      </c>
    </row>
    <row r="75" spans="2:14" x14ac:dyDescent="0.3">
      <c r="B75" s="49">
        <v>2022</v>
      </c>
      <c r="C75" s="49" t="s">
        <v>4195</v>
      </c>
      <c r="D75" s="49" t="s">
        <v>4246</v>
      </c>
      <c r="E75" s="49" t="s">
        <v>315</v>
      </c>
      <c r="F75" s="49">
        <v>185223322</v>
      </c>
      <c r="G75" s="49">
        <v>53795909</v>
      </c>
      <c r="H75" s="49">
        <v>52455</v>
      </c>
      <c r="I75" s="49">
        <v>27823</v>
      </c>
      <c r="J75" s="49" t="s">
        <v>4247</v>
      </c>
      <c r="K75" s="49" t="s">
        <v>4263</v>
      </c>
      <c r="L75" s="341">
        <v>0.29043809612700933</v>
      </c>
      <c r="M75" s="49">
        <f t="shared" si="1"/>
        <v>1.5021326526040818E-4</v>
      </c>
      <c r="N75" s="49">
        <f t="shared" si="2"/>
        <v>2.831986784040079E-4</v>
      </c>
    </row>
    <row r="76" spans="2:14" x14ac:dyDescent="0.3">
      <c r="B76" s="49">
        <v>2022</v>
      </c>
      <c r="C76" s="49" t="s">
        <v>4196</v>
      </c>
      <c r="D76" s="49" t="s">
        <v>4246</v>
      </c>
      <c r="E76" s="49" t="s">
        <v>315</v>
      </c>
      <c r="F76" s="49">
        <v>98054905</v>
      </c>
      <c r="G76" s="49">
        <v>70489713</v>
      </c>
      <c r="H76" s="49">
        <v>30888</v>
      </c>
      <c r="I76" s="49">
        <v>49857</v>
      </c>
      <c r="J76" s="49" t="s">
        <v>4247</v>
      </c>
      <c r="K76" s="49" t="s">
        <v>4264</v>
      </c>
      <c r="L76" s="341">
        <v>0.71888002950999752</v>
      </c>
      <c r="M76" s="49">
        <f t="shared" si="1"/>
        <v>5.0846003063283781E-4</v>
      </c>
      <c r="N76" s="49">
        <f t="shared" si="2"/>
        <v>3.1500718908452361E-4</v>
      </c>
    </row>
    <row r="77" spans="2:14" x14ac:dyDescent="0.3">
      <c r="B77" s="49">
        <v>2022</v>
      </c>
      <c r="C77" s="49" t="s">
        <v>4198</v>
      </c>
      <c r="D77" s="49" t="s">
        <v>4246</v>
      </c>
      <c r="E77" s="49" t="s">
        <v>315</v>
      </c>
      <c r="F77" s="49">
        <v>62197529</v>
      </c>
      <c r="G77" s="49">
        <v>23880964</v>
      </c>
      <c r="H77" s="49">
        <v>4010</v>
      </c>
      <c r="I77" s="49">
        <v>17747</v>
      </c>
      <c r="J77" s="49" t="s">
        <v>4247</v>
      </c>
      <c r="K77" s="49" t="s">
        <v>4265</v>
      </c>
      <c r="L77" s="341">
        <v>0.38395358117844197</v>
      </c>
      <c r="M77" s="49">
        <f t="shared" si="1"/>
        <v>2.8533287873863927E-4</v>
      </c>
      <c r="N77" s="49">
        <f t="shared" si="2"/>
        <v>6.4472014635822585E-5</v>
      </c>
    </row>
    <row r="78" spans="2:14" x14ac:dyDescent="0.3">
      <c r="B78" s="49">
        <v>2022</v>
      </c>
      <c r="C78" s="49" t="s">
        <v>4199</v>
      </c>
      <c r="D78" s="49" t="s">
        <v>4246</v>
      </c>
      <c r="E78" s="49" t="s">
        <v>315</v>
      </c>
      <c r="F78" s="49">
        <v>69147329</v>
      </c>
      <c r="G78" s="49">
        <v>55011766</v>
      </c>
      <c r="H78" s="49">
        <v>44072</v>
      </c>
      <c r="I78" s="49">
        <v>31253</v>
      </c>
      <c r="J78" s="49" t="s">
        <v>4247</v>
      </c>
      <c r="K78" s="49" t="s">
        <v>4266</v>
      </c>
      <c r="L78" s="341">
        <v>0.79557326068227452</v>
      </c>
      <c r="M78" s="49">
        <f t="shared" si="1"/>
        <v>4.5197696645665086E-4</v>
      </c>
      <c r="N78" s="49">
        <f t="shared" si="2"/>
        <v>6.3736373678294938E-4</v>
      </c>
    </row>
    <row r="79" spans="2:14" x14ac:dyDescent="0.3">
      <c r="B79" s="49">
        <v>2022</v>
      </c>
      <c r="C79" s="49" t="s">
        <v>4200</v>
      </c>
      <c r="D79" s="49" t="s">
        <v>4246</v>
      </c>
      <c r="E79" s="49" t="s">
        <v>315</v>
      </c>
      <c r="F79" s="49">
        <v>105504849</v>
      </c>
      <c r="G79" s="49">
        <v>48266082</v>
      </c>
      <c r="H79" s="49">
        <v>33027</v>
      </c>
      <c r="I79" s="49">
        <v>52126</v>
      </c>
      <c r="J79" s="49" t="s">
        <v>4247</v>
      </c>
      <c r="K79" s="49" t="s">
        <v>4267</v>
      </c>
      <c r="L79" s="341">
        <v>0.4574773809685278</v>
      </c>
      <c r="M79" s="49">
        <f t="shared" si="1"/>
        <v>4.9406259990950746E-4</v>
      </c>
      <c r="N79" s="49">
        <f t="shared" si="2"/>
        <v>3.1303774483388912E-4</v>
      </c>
    </row>
    <row r="80" spans="2:14" x14ac:dyDescent="0.3">
      <c r="B80" s="49">
        <v>2022</v>
      </c>
      <c r="C80" s="49" t="s">
        <v>4203</v>
      </c>
      <c r="D80" s="49" t="s">
        <v>4246</v>
      </c>
      <c r="E80" s="49" t="s">
        <v>315</v>
      </c>
      <c r="F80" s="49">
        <v>21026161</v>
      </c>
      <c r="G80" s="49">
        <v>9098431</v>
      </c>
      <c r="H80" s="49">
        <v>2221</v>
      </c>
      <c r="I80" s="49">
        <v>7377</v>
      </c>
      <c r="J80" s="49" t="s">
        <v>4247</v>
      </c>
      <c r="K80" s="49" t="s">
        <v>4268</v>
      </c>
      <c r="L80" s="341">
        <v>0.43271955351240771</v>
      </c>
      <c r="M80" s="49">
        <f t="shared" si="1"/>
        <v>3.5084864041514757E-4</v>
      </c>
      <c r="N80" s="49">
        <f t="shared" si="2"/>
        <v>1.0563031454006273E-4</v>
      </c>
    </row>
    <row r="81" spans="2:14" x14ac:dyDescent="0.3">
      <c r="B81" s="49">
        <v>2022</v>
      </c>
      <c r="C81" s="49" t="s">
        <v>4202</v>
      </c>
      <c r="D81" s="49" t="s">
        <v>4246</v>
      </c>
      <c r="E81" s="49" t="s">
        <v>315</v>
      </c>
      <c r="F81" s="49">
        <v>37139365</v>
      </c>
      <c r="G81" s="49">
        <v>11240348</v>
      </c>
      <c r="H81" s="49">
        <v>3435</v>
      </c>
      <c r="I81" s="49">
        <v>5061</v>
      </c>
      <c r="J81" s="49" t="s">
        <v>4247</v>
      </c>
      <c r="K81" s="49" t="s">
        <v>4269</v>
      </c>
      <c r="L81" s="341">
        <v>0.30265320906806026</v>
      </c>
      <c r="M81" s="49">
        <f t="shared" si="1"/>
        <v>1.3627050435568837E-4</v>
      </c>
      <c r="N81" s="49">
        <f t="shared" si="2"/>
        <v>9.2489465019124581E-5</v>
      </c>
    </row>
    <row r="82" spans="2:14" x14ac:dyDescent="0.3">
      <c r="B82" s="49">
        <v>2022</v>
      </c>
      <c r="C82" s="49" t="s">
        <v>4201</v>
      </c>
      <c r="D82" s="49" t="s">
        <v>4246</v>
      </c>
      <c r="E82" s="49" t="s">
        <v>315</v>
      </c>
      <c r="F82" s="49">
        <v>12763920</v>
      </c>
      <c r="G82" s="49">
        <v>2791705</v>
      </c>
      <c r="H82" s="49">
        <v>5034</v>
      </c>
      <c r="I82" s="49">
        <v>4560</v>
      </c>
      <c r="J82" s="49" t="s">
        <v>4247</v>
      </c>
      <c r="K82" s="49" t="s">
        <v>4270</v>
      </c>
      <c r="L82" s="341">
        <v>0.21871846580047508</v>
      </c>
      <c r="M82" s="49">
        <f t="shared" si="1"/>
        <v>3.5725701822010792E-4</v>
      </c>
      <c r="N82" s="49">
        <f t="shared" si="2"/>
        <v>3.9439294511404023E-4</v>
      </c>
    </row>
    <row r="83" spans="2:14" x14ac:dyDescent="0.3">
      <c r="B83" s="49">
        <v>2022</v>
      </c>
      <c r="C83" s="49" t="s">
        <v>4204</v>
      </c>
      <c r="D83" s="49" t="s">
        <v>4246</v>
      </c>
      <c r="E83" s="49" t="s">
        <v>315</v>
      </c>
      <c r="F83" s="49">
        <v>117497052</v>
      </c>
      <c r="G83" s="49">
        <v>58509877</v>
      </c>
      <c r="H83" s="49">
        <v>48785</v>
      </c>
      <c r="I83" s="49">
        <v>48797</v>
      </c>
      <c r="J83" s="49" t="s">
        <v>4247</v>
      </c>
      <c r="K83" s="49" t="s">
        <v>4271</v>
      </c>
      <c r="L83" s="341">
        <v>0.49796889372169101</v>
      </c>
      <c r="M83" s="49">
        <f t="shared" si="1"/>
        <v>4.1530403673447057E-4</v>
      </c>
      <c r="N83" s="49">
        <f t="shared" si="2"/>
        <v>4.1520190651251406E-4</v>
      </c>
    </row>
    <row r="84" spans="2:14" x14ac:dyDescent="0.3">
      <c r="B84" s="49">
        <v>2022</v>
      </c>
      <c r="C84" s="49" t="s">
        <v>4205</v>
      </c>
      <c r="D84" s="49" t="s">
        <v>4246</v>
      </c>
      <c r="E84" s="49" t="s">
        <v>315</v>
      </c>
      <c r="F84" s="49">
        <v>58966891</v>
      </c>
      <c r="G84" s="49">
        <v>22326558</v>
      </c>
      <c r="H84" s="49">
        <v>13614</v>
      </c>
      <c r="I84" s="49">
        <v>20534</v>
      </c>
      <c r="J84" s="49" t="s">
        <v>4247</v>
      </c>
      <c r="K84" s="49" t="s">
        <v>4272</v>
      </c>
      <c r="L84" s="341">
        <v>0.37862871217002098</v>
      </c>
      <c r="M84" s="49">
        <f t="shared" si="1"/>
        <v>3.4822931397214074E-4</v>
      </c>
      <c r="N84" s="49">
        <f t="shared" si="2"/>
        <v>2.3087532289942165E-4</v>
      </c>
    </row>
    <row r="85" spans="2:14" x14ac:dyDescent="0.3">
      <c r="B85" s="49">
        <v>2022</v>
      </c>
      <c r="C85" s="49" t="s">
        <v>4206</v>
      </c>
      <c r="D85" s="49" t="s">
        <v>4246</v>
      </c>
      <c r="E85" s="49" t="s">
        <v>315</v>
      </c>
      <c r="F85" s="49">
        <v>79361031</v>
      </c>
      <c r="G85" s="49">
        <v>57146959</v>
      </c>
      <c r="H85" s="49">
        <v>86919</v>
      </c>
      <c r="I85" s="49">
        <v>45004</v>
      </c>
      <c r="J85" s="49" t="s">
        <v>4247</v>
      </c>
      <c r="K85" s="49" t="s">
        <v>4273</v>
      </c>
      <c r="L85" s="341">
        <v>0.72008841467797968</v>
      </c>
      <c r="M85" s="49">
        <f t="shared" si="1"/>
        <v>5.6707932637619089E-4</v>
      </c>
      <c r="N85" s="49">
        <f t="shared" si="2"/>
        <v>1.0952352672938435E-3</v>
      </c>
    </row>
    <row r="86" spans="2:14" x14ac:dyDescent="0.3">
      <c r="B86" s="49">
        <v>2022</v>
      </c>
      <c r="C86" s="49" t="s">
        <v>1626</v>
      </c>
      <c r="D86" s="49" t="s">
        <v>4246</v>
      </c>
      <c r="E86" s="49" t="s">
        <v>315</v>
      </c>
      <c r="F86" s="49">
        <v>67781240</v>
      </c>
      <c r="G86" s="49">
        <v>27307997</v>
      </c>
      <c r="H86" s="49">
        <v>11430</v>
      </c>
      <c r="I86" s="49">
        <v>15927</v>
      </c>
      <c r="J86" s="49" t="s">
        <v>4247</v>
      </c>
      <c r="K86" s="49" t="s">
        <v>4274</v>
      </c>
      <c r="L86" s="341">
        <v>0.40288429364821299</v>
      </c>
      <c r="M86" s="49">
        <f t="shared" si="1"/>
        <v>2.3497652152719542E-4</v>
      </c>
      <c r="N86" s="49">
        <f t="shared" si="2"/>
        <v>1.6863073027286016E-4</v>
      </c>
    </row>
    <row r="87" spans="2:14" x14ac:dyDescent="0.3">
      <c r="B87" s="49">
        <v>2022</v>
      </c>
      <c r="C87" s="49" t="s">
        <v>4207</v>
      </c>
      <c r="D87" s="49" t="s">
        <v>4246</v>
      </c>
      <c r="E87" s="49" t="s">
        <v>315</v>
      </c>
      <c r="F87" s="49">
        <v>27088740</v>
      </c>
      <c r="G87" s="49">
        <v>13655699</v>
      </c>
      <c r="H87" s="49">
        <v>7862</v>
      </c>
      <c r="I87" s="49">
        <v>11782</v>
      </c>
      <c r="J87" s="49" t="s">
        <v>4247</v>
      </c>
      <c r="K87" s="49" t="s">
        <v>4275</v>
      </c>
      <c r="L87" s="341">
        <v>0.50410978879047164</v>
      </c>
      <c r="M87" s="49">
        <f t="shared" si="1"/>
        <v>4.3494086472829671E-4</v>
      </c>
      <c r="N87" s="49">
        <f t="shared" si="2"/>
        <v>2.9023129167321922E-4</v>
      </c>
    </row>
    <row r="88" spans="2:14" x14ac:dyDescent="0.3">
      <c r="B88" s="49">
        <v>2022</v>
      </c>
      <c r="C88" s="49" t="s">
        <v>4214</v>
      </c>
      <c r="D88" s="49" t="s">
        <v>4246</v>
      </c>
      <c r="E88" s="49" t="s">
        <v>315</v>
      </c>
      <c r="F88" s="49">
        <v>134257088</v>
      </c>
      <c r="G88" s="49">
        <v>41254913</v>
      </c>
      <c r="H88" s="49">
        <v>23319</v>
      </c>
      <c r="I88" s="49">
        <v>40182</v>
      </c>
      <c r="J88" s="49" t="s">
        <v>4247</v>
      </c>
      <c r="K88" s="49" t="s">
        <v>4276</v>
      </c>
      <c r="L88" s="341">
        <v>0.30728294211177887</v>
      </c>
      <c r="M88" s="49">
        <f t="shared" si="1"/>
        <v>2.9929146087244197E-4</v>
      </c>
      <c r="N88" s="49">
        <f t="shared" si="2"/>
        <v>1.7368915375253781E-4</v>
      </c>
    </row>
    <row r="89" spans="2:14" x14ac:dyDescent="0.3">
      <c r="B89" s="49">
        <v>2022</v>
      </c>
      <c r="C89" s="49" t="s">
        <v>4215</v>
      </c>
      <c r="D89" s="49" t="s">
        <v>4246</v>
      </c>
      <c r="E89" s="49" t="s">
        <v>315</v>
      </c>
      <c r="F89" s="49">
        <v>44400956</v>
      </c>
      <c r="G89" s="49">
        <v>28813456</v>
      </c>
      <c r="H89" s="49">
        <v>32043</v>
      </c>
      <c r="I89" s="49">
        <v>27667</v>
      </c>
      <c r="J89" s="49" t="s">
        <v>4247</v>
      </c>
      <c r="K89" s="49" t="s">
        <v>4277</v>
      </c>
      <c r="L89" s="341">
        <v>0.64893773908832053</v>
      </c>
      <c r="M89" s="49">
        <f t="shared" si="1"/>
        <v>6.231172139626903E-4</v>
      </c>
      <c r="N89" s="49">
        <f t="shared" si="2"/>
        <v>7.2167365045022909E-4</v>
      </c>
    </row>
    <row r="90" spans="2:14" x14ac:dyDescent="0.3">
      <c r="B90" s="49">
        <v>2022</v>
      </c>
      <c r="C90" s="49" t="s">
        <v>4208</v>
      </c>
      <c r="D90" s="49" t="s">
        <v>4246</v>
      </c>
      <c r="E90" s="49" t="s">
        <v>315</v>
      </c>
      <c r="F90" s="49">
        <v>40692718</v>
      </c>
      <c r="G90" s="49">
        <v>22173534</v>
      </c>
      <c r="H90" s="49">
        <v>40811</v>
      </c>
      <c r="I90" s="49">
        <v>19932</v>
      </c>
      <c r="J90" s="49" t="s">
        <v>4247</v>
      </c>
      <c r="K90" s="49" t="s">
        <v>4278</v>
      </c>
      <c r="L90" s="341">
        <v>0.54490176841959781</v>
      </c>
      <c r="M90" s="49">
        <f t="shared" si="1"/>
        <v>4.8981736732355897E-4</v>
      </c>
      <c r="N90" s="49">
        <f t="shared" si="2"/>
        <v>1.0029067117119088E-3</v>
      </c>
    </row>
    <row r="91" spans="2:14" x14ac:dyDescent="0.3">
      <c r="B91" s="49">
        <v>2022</v>
      </c>
      <c r="C91" s="49" t="s">
        <v>4210</v>
      </c>
      <c r="D91" s="49" t="s">
        <v>4246</v>
      </c>
      <c r="E91" s="49" t="s">
        <v>315</v>
      </c>
      <c r="F91" s="49">
        <v>18764393</v>
      </c>
      <c r="G91" s="49">
        <v>2543145</v>
      </c>
      <c r="H91" s="49">
        <v>633</v>
      </c>
      <c r="I91" s="49">
        <v>1854</v>
      </c>
      <c r="J91" s="49" t="s">
        <v>4247</v>
      </c>
      <c r="K91" s="49" t="s">
        <v>4279</v>
      </c>
      <c r="L91" s="341">
        <v>0.13553036327900403</v>
      </c>
      <c r="M91" s="49">
        <f t="shared" si="1"/>
        <v>9.8804155295617604E-5</v>
      </c>
      <c r="N91" s="49">
        <f t="shared" si="2"/>
        <v>3.3734104801578182E-5</v>
      </c>
    </row>
    <row r="92" spans="2:14" x14ac:dyDescent="0.3">
      <c r="B92" s="49">
        <v>2022</v>
      </c>
      <c r="C92" s="49" t="s">
        <v>4211</v>
      </c>
      <c r="D92" s="49" t="s">
        <v>4246</v>
      </c>
      <c r="E92" s="49" t="s">
        <v>315</v>
      </c>
      <c r="F92" s="49">
        <v>65060636</v>
      </c>
      <c r="G92" s="49">
        <v>15891394</v>
      </c>
      <c r="H92" s="49">
        <v>920</v>
      </c>
      <c r="I92" s="49">
        <v>8361</v>
      </c>
      <c r="J92" s="49" t="s">
        <v>4247</v>
      </c>
      <c r="K92" s="49" t="s">
        <v>4280</v>
      </c>
      <c r="L92" s="341">
        <v>0.24425512840052777</v>
      </c>
      <c r="M92" s="49">
        <f t="shared" si="1"/>
        <v>1.2851088636760328E-4</v>
      </c>
      <c r="N92" s="49">
        <f t="shared" si="2"/>
        <v>1.4140654880779217E-5</v>
      </c>
    </row>
    <row r="93" spans="2:14" x14ac:dyDescent="0.3">
      <c r="B93" s="49">
        <v>2022</v>
      </c>
      <c r="C93" s="49" t="s">
        <v>4212</v>
      </c>
      <c r="D93" s="49" t="s">
        <v>4246</v>
      </c>
      <c r="E93" s="49" t="s">
        <v>315</v>
      </c>
      <c r="F93" s="49">
        <v>40889036</v>
      </c>
      <c r="G93" s="49">
        <v>18112408</v>
      </c>
      <c r="H93" s="49">
        <v>2483</v>
      </c>
      <c r="I93" s="49">
        <v>10563</v>
      </c>
      <c r="J93" s="49" t="s">
        <v>4247</v>
      </c>
      <c r="K93" s="49" t="s">
        <v>4281</v>
      </c>
      <c r="L93" s="341">
        <v>0.44296490628930457</v>
      </c>
      <c r="M93" s="49">
        <f t="shared" ref="M93:M112" si="3">I93/F93</f>
        <v>2.5833330969211404E-4</v>
      </c>
      <c r="N93" s="49">
        <f t="shared" ref="N93:N112" si="4">H93/F93</f>
        <v>6.0725324999102451E-5</v>
      </c>
    </row>
    <row r="94" spans="2:14" x14ac:dyDescent="0.3">
      <c r="B94" s="49">
        <v>2022</v>
      </c>
      <c r="C94" s="49" t="s">
        <v>4209</v>
      </c>
      <c r="D94" s="49" t="s">
        <v>4246</v>
      </c>
      <c r="E94" s="49" t="s">
        <v>315</v>
      </c>
      <c r="F94" s="49">
        <v>42591838</v>
      </c>
      <c r="G94" s="49">
        <v>13509369</v>
      </c>
      <c r="H94" s="49">
        <v>3345</v>
      </c>
      <c r="I94" s="49">
        <v>9829</v>
      </c>
      <c r="J94" s="49" t="s">
        <v>4247</v>
      </c>
      <c r="K94" s="49" t="s">
        <v>4282</v>
      </c>
      <c r="L94" s="341">
        <v>0.31718210892894549</v>
      </c>
      <c r="M94" s="49">
        <f t="shared" si="3"/>
        <v>2.3077191456259764E-4</v>
      </c>
      <c r="N94" s="49">
        <f t="shared" si="4"/>
        <v>7.8536173996529568E-5</v>
      </c>
    </row>
    <row r="95" spans="2:14" x14ac:dyDescent="0.3">
      <c r="B95" s="49">
        <v>2022</v>
      </c>
      <c r="C95" s="49" t="s">
        <v>4213</v>
      </c>
      <c r="D95" s="49" t="s">
        <v>4246</v>
      </c>
      <c r="E95" s="49" t="s">
        <v>315</v>
      </c>
      <c r="F95" s="49">
        <v>125185363</v>
      </c>
      <c r="G95" s="49">
        <v>30788229</v>
      </c>
      <c r="H95" s="49">
        <v>8133</v>
      </c>
      <c r="I95" s="49">
        <v>26783</v>
      </c>
      <c r="J95" s="49" t="s">
        <v>4247</v>
      </c>
      <c r="K95" s="49" t="s">
        <v>4283</v>
      </c>
      <c r="L95" s="341">
        <v>0.24594112492208853</v>
      </c>
      <c r="M95" s="49">
        <f t="shared" si="3"/>
        <v>2.1394673752713405E-4</v>
      </c>
      <c r="N95" s="49">
        <f t="shared" si="4"/>
        <v>6.4967659198304195E-5</v>
      </c>
    </row>
    <row r="96" spans="2:14" x14ac:dyDescent="0.3">
      <c r="B96" s="49">
        <v>2022</v>
      </c>
      <c r="C96" s="49" t="s">
        <v>4216</v>
      </c>
      <c r="D96" s="49" t="s">
        <v>4246</v>
      </c>
      <c r="E96" s="49" t="s">
        <v>315</v>
      </c>
      <c r="F96" s="49">
        <v>135810459</v>
      </c>
      <c r="G96" s="49">
        <v>71710160</v>
      </c>
      <c r="H96" s="49">
        <v>85397</v>
      </c>
      <c r="I96" s="49">
        <v>41929</v>
      </c>
      <c r="J96" s="49" t="s">
        <v>4247</v>
      </c>
      <c r="K96" s="49" t="s">
        <v>4284</v>
      </c>
      <c r="L96" s="341">
        <v>0.52801647625681025</v>
      </c>
      <c r="M96" s="49">
        <f t="shared" si="3"/>
        <v>3.0873174502708958E-4</v>
      </c>
      <c r="N96" s="49">
        <f t="shared" si="4"/>
        <v>6.2879545970756197E-4</v>
      </c>
    </row>
    <row r="97" spans="2:14" x14ac:dyDescent="0.3">
      <c r="B97" s="49">
        <v>2022</v>
      </c>
      <c r="C97" s="49" t="s">
        <v>4217</v>
      </c>
      <c r="D97" s="49" t="s">
        <v>4246</v>
      </c>
      <c r="E97" s="49" t="s">
        <v>315</v>
      </c>
      <c r="F97" s="49">
        <v>84634922</v>
      </c>
      <c r="G97" s="49">
        <v>26606682</v>
      </c>
      <c r="H97" s="49">
        <v>11996</v>
      </c>
      <c r="I97" s="49">
        <v>21857</v>
      </c>
      <c r="J97" s="49" t="s">
        <v>4247</v>
      </c>
      <c r="K97" s="49" t="s">
        <v>4285</v>
      </c>
      <c r="L97" s="341">
        <v>0.31437001856042357</v>
      </c>
      <c r="M97" s="49">
        <f t="shared" si="3"/>
        <v>2.5825037092844488E-4</v>
      </c>
      <c r="N97" s="49">
        <f t="shared" si="4"/>
        <v>1.4173818226003682E-4</v>
      </c>
    </row>
    <row r="98" spans="2:14" x14ac:dyDescent="0.3">
      <c r="B98" s="49">
        <v>2022</v>
      </c>
      <c r="C98" s="49" t="s">
        <v>4218</v>
      </c>
      <c r="D98" s="49" t="s">
        <v>4246</v>
      </c>
      <c r="E98" s="49" t="s">
        <v>315</v>
      </c>
      <c r="F98" s="49">
        <v>61317617</v>
      </c>
      <c r="G98" s="49">
        <v>7873594</v>
      </c>
      <c r="H98" s="49">
        <v>3953</v>
      </c>
      <c r="I98" s="49">
        <v>16180</v>
      </c>
      <c r="J98" s="49" t="s">
        <v>4247</v>
      </c>
      <c r="K98" s="49" t="s">
        <v>4286</v>
      </c>
      <c r="L98" s="341">
        <v>0.12840671874120613</v>
      </c>
      <c r="M98" s="49">
        <f t="shared" si="3"/>
        <v>2.6387196358266824E-4</v>
      </c>
      <c r="N98" s="49">
        <f t="shared" si="4"/>
        <v>6.4467606430302084E-5</v>
      </c>
    </row>
    <row r="99" spans="2:14" x14ac:dyDescent="0.3">
      <c r="B99" s="49">
        <v>2022</v>
      </c>
      <c r="C99" s="49" t="s">
        <v>4219</v>
      </c>
      <c r="D99" s="49" t="s">
        <v>4246</v>
      </c>
      <c r="E99" s="49" t="s">
        <v>315</v>
      </c>
      <c r="F99" s="49">
        <v>239261130</v>
      </c>
      <c r="G99" s="49">
        <v>77554826</v>
      </c>
      <c r="H99" s="49">
        <v>40193</v>
      </c>
      <c r="I99" s="49">
        <v>39072</v>
      </c>
      <c r="J99" s="49" t="s">
        <v>4247</v>
      </c>
      <c r="K99" s="49" t="s">
        <v>4287</v>
      </c>
      <c r="L99" s="341">
        <v>0.32414302314797228</v>
      </c>
      <c r="M99" s="49">
        <f t="shared" si="3"/>
        <v>1.6330274792232237E-4</v>
      </c>
      <c r="N99" s="49">
        <f t="shared" si="4"/>
        <v>1.6798800540647786E-4</v>
      </c>
    </row>
    <row r="100" spans="2:14" x14ac:dyDescent="0.3">
      <c r="B100" s="49">
        <v>2022</v>
      </c>
      <c r="C100" s="49" t="s">
        <v>4220</v>
      </c>
      <c r="D100" s="49" t="s">
        <v>4246</v>
      </c>
      <c r="E100" s="49" t="s">
        <v>315</v>
      </c>
      <c r="F100" s="49">
        <v>7819451</v>
      </c>
      <c r="G100" s="49">
        <v>2948937</v>
      </c>
      <c r="H100" s="49">
        <v>37</v>
      </c>
      <c r="I100" s="49">
        <v>1934</v>
      </c>
      <c r="J100" s="49" t="s">
        <v>4247</v>
      </c>
      <c r="K100" s="49" t="s">
        <v>4288</v>
      </c>
      <c r="L100" s="341">
        <v>0.37712839430798917</v>
      </c>
      <c r="M100" s="49">
        <f t="shared" si="3"/>
        <v>2.4733194184604521E-4</v>
      </c>
      <c r="N100" s="49">
        <f t="shared" si="4"/>
        <v>4.7317899939522605E-6</v>
      </c>
    </row>
    <row r="101" spans="2:14" x14ac:dyDescent="0.3">
      <c r="B101" s="49">
        <v>2022</v>
      </c>
      <c r="C101" s="49" t="s">
        <v>4221</v>
      </c>
      <c r="D101" s="49" t="s">
        <v>4246</v>
      </c>
      <c r="E101" s="49" t="s">
        <v>315</v>
      </c>
      <c r="F101" s="49">
        <v>98709501</v>
      </c>
      <c r="G101" s="49">
        <v>24856695</v>
      </c>
      <c r="H101" s="49">
        <v>20741</v>
      </c>
      <c r="I101" s="49">
        <v>15775</v>
      </c>
      <c r="J101" s="49" t="s">
        <v>4247</v>
      </c>
      <c r="K101" s="49" t="s">
        <v>4289</v>
      </c>
      <c r="L101" s="341">
        <v>0.25181664123699704</v>
      </c>
      <c r="M101" s="49">
        <f t="shared" si="3"/>
        <v>1.5981237712872238E-4</v>
      </c>
      <c r="N101" s="49">
        <f t="shared" si="4"/>
        <v>2.1012161737095602E-4</v>
      </c>
    </row>
    <row r="102" spans="2:14" x14ac:dyDescent="0.3">
      <c r="B102" s="49">
        <v>2022</v>
      </c>
      <c r="C102" s="49" t="s">
        <v>4222</v>
      </c>
      <c r="D102" s="49" t="s">
        <v>4246</v>
      </c>
      <c r="E102" s="49" t="s">
        <v>315</v>
      </c>
      <c r="F102" s="49">
        <v>17900462</v>
      </c>
      <c r="G102" s="49">
        <v>2825260</v>
      </c>
      <c r="H102" s="49">
        <v>751</v>
      </c>
      <c r="I102" s="49">
        <v>2116</v>
      </c>
      <c r="J102" s="49" t="s">
        <v>4247</v>
      </c>
      <c r="K102" s="49" t="s">
        <v>4290</v>
      </c>
      <c r="L102" s="341">
        <v>0.15783168054545185</v>
      </c>
      <c r="M102" s="49">
        <f t="shared" si="3"/>
        <v>1.1820923951571753E-4</v>
      </c>
      <c r="N102" s="49">
        <f t="shared" si="4"/>
        <v>4.1954224421693697E-5</v>
      </c>
    </row>
    <row r="103" spans="2:14" x14ac:dyDescent="0.3">
      <c r="B103" s="49">
        <v>2022</v>
      </c>
      <c r="C103" s="49" t="s">
        <v>4223</v>
      </c>
      <c r="D103" s="49" t="s">
        <v>4246</v>
      </c>
      <c r="E103" s="49" t="s">
        <v>315</v>
      </c>
      <c r="F103" s="49">
        <v>78036045</v>
      </c>
      <c r="G103" s="49">
        <v>26585960</v>
      </c>
      <c r="H103" s="49">
        <v>16973</v>
      </c>
      <c r="I103" s="49">
        <v>11015</v>
      </c>
      <c r="J103" s="49" t="s">
        <v>4247</v>
      </c>
      <c r="K103" s="49" t="s">
        <v>4291</v>
      </c>
      <c r="L103" s="341">
        <v>0.3406882037653241</v>
      </c>
      <c r="M103" s="49">
        <f t="shared" si="3"/>
        <v>1.411527198745144E-4</v>
      </c>
      <c r="N103" s="49">
        <f t="shared" si="4"/>
        <v>2.1750205305766073E-4</v>
      </c>
    </row>
    <row r="104" spans="2:14" x14ac:dyDescent="0.3">
      <c r="B104" s="49">
        <v>2022</v>
      </c>
      <c r="C104" s="49" t="s">
        <v>4224</v>
      </c>
      <c r="D104" s="49" t="s">
        <v>4246</v>
      </c>
      <c r="E104" s="49" t="s">
        <v>315</v>
      </c>
      <c r="F104" s="49">
        <v>525562940</v>
      </c>
      <c r="G104" s="49">
        <v>213620917</v>
      </c>
      <c r="H104" s="49">
        <v>126309</v>
      </c>
      <c r="I104" s="49">
        <v>157027</v>
      </c>
      <c r="J104" s="49" t="s">
        <v>4247</v>
      </c>
      <c r="K104" s="49" t="s">
        <v>4292</v>
      </c>
      <c r="L104" s="341">
        <v>0.40646115001944394</v>
      </c>
      <c r="M104" s="49">
        <f t="shared" si="3"/>
        <v>2.9877867720277235E-4</v>
      </c>
      <c r="N104" s="49">
        <f t="shared" si="4"/>
        <v>2.4033087264486343E-4</v>
      </c>
    </row>
    <row r="105" spans="2:14" x14ac:dyDescent="0.3">
      <c r="B105" s="49">
        <v>2022</v>
      </c>
      <c r="C105" s="49" t="s">
        <v>4293</v>
      </c>
      <c r="D105" s="49" t="s">
        <v>4246</v>
      </c>
      <c r="E105" s="49" t="s">
        <v>315</v>
      </c>
      <c r="F105" s="49">
        <v>4230672233</v>
      </c>
      <c r="G105" s="49">
        <v>1650366513</v>
      </c>
      <c r="H105" s="49">
        <v>1079129</v>
      </c>
      <c r="I105" s="49">
        <v>1229802</v>
      </c>
      <c r="J105" s="49" t="s">
        <v>4247</v>
      </c>
      <c r="K105" s="49" t="s">
        <v>4294</v>
      </c>
      <c r="L105" s="341">
        <v>0.39009557396738181</v>
      </c>
      <c r="M105" s="49">
        <f t="shared" si="3"/>
        <v>2.9068713723727507E-4</v>
      </c>
      <c r="N105" s="49">
        <f t="shared" si="4"/>
        <v>2.5507270253237793E-4</v>
      </c>
    </row>
    <row r="106" spans="2:14" x14ac:dyDescent="0.3">
      <c r="B106" s="49">
        <v>2022</v>
      </c>
      <c r="C106" s="49" t="s">
        <v>4225</v>
      </c>
      <c r="D106" s="49" t="s">
        <v>4246</v>
      </c>
      <c r="E106" s="49" t="s">
        <v>315</v>
      </c>
      <c r="F106" s="49">
        <v>39386043</v>
      </c>
      <c r="G106" s="49">
        <v>26261522</v>
      </c>
      <c r="H106" s="49">
        <v>7704</v>
      </c>
      <c r="I106" s="49">
        <v>28500</v>
      </c>
      <c r="J106" s="49" t="s">
        <v>4247</v>
      </c>
      <c r="K106" s="49" t="s">
        <v>4295</v>
      </c>
      <c r="L106" s="341">
        <v>0.66677228783810549</v>
      </c>
      <c r="M106" s="49">
        <f t="shared" si="3"/>
        <v>7.2360658317465398E-4</v>
      </c>
      <c r="N106" s="49">
        <f t="shared" si="4"/>
        <v>1.9560228479921174E-4</v>
      </c>
    </row>
    <row r="107" spans="2:14" x14ac:dyDescent="0.3">
      <c r="B107" s="49">
        <v>2022</v>
      </c>
      <c r="C107" s="49" t="s">
        <v>4227</v>
      </c>
      <c r="D107" s="49" t="s">
        <v>4246</v>
      </c>
      <c r="E107" s="49" t="s">
        <v>315</v>
      </c>
      <c r="F107" s="49">
        <v>89477325</v>
      </c>
      <c r="G107" s="49">
        <v>26092777</v>
      </c>
      <c r="H107" s="49">
        <v>12169</v>
      </c>
      <c r="I107" s="49">
        <v>16983</v>
      </c>
      <c r="J107" s="49" t="s">
        <v>4247</v>
      </c>
      <c r="K107" s="49" t="s">
        <v>4296</v>
      </c>
      <c r="L107" s="341">
        <v>0.29161328861809405</v>
      </c>
      <c r="M107" s="49">
        <f t="shared" si="3"/>
        <v>1.8980227672206338E-4</v>
      </c>
      <c r="N107" s="49">
        <f t="shared" si="4"/>
        <v>1.3600093655012597E-4</v>
      </c>
    </row>
    <row r="108" spans="2:14" x14ac:dyDescent="0.3">
      <c r="B108" s="49">
        <v>2022</v>
      </c>
      <c r="C108" s="49" t="s">
        <v>4226</v>
      </c>
      <c r="D108" s="49" t="s">
        <v>4246</v>
      </c>
      <c r="E108" s="49" t="s">
        <v>315</v>
      </c>
      <c r="F108" s="49">
        <v>2183829</v>
      </c>
      <c r="G108" s="49">
        <v>12751</v>
      </c>
      <c r="H108" s="49">
        <v>45</v>
      </c>
      <c r="I108" s="49">
        <v>1004</v>
      </c>
      <c r="J108" s="49" t="s">
        <v>4247</v>
      </c>
      <c r="K108" s="49" t="s">
        <v>4297</v>
      </c>
      <c r="L108" s="341">
        <v>5.8388271242849144E-3</v>
      </c>
      <c r="M108" s="49">
        <f t="shared" si="3"/>
        <v>4.5974295606478346E-4</v>
      </c>
      <c r="N108" s="49">
        <f t="shared" si="4"/>
        <v>2.0606008986967385E-5</v>
      </c>
    </row>
    <row r="109" spans="2:14" x14ac:dyDescent="0.3">
      <c r="B109" s="49">
        <v>2022</v>
      </c>
      <c r="C109" s="49" t="s">
        <v>4228</v>
      </c>
      <c r="D109" s="49" t="s">
        <v>4246</v>
      </c>
      <c r="E109" s="49" t="s">
        <v>315</v>
      </c>
      <c r="F109" s="49">
        <v>116690498</v>
      </c>
      <c r="G109" s="49">
        <v>10786642</v>
      </c>
      <c r="H109" s="49">
        <v>14394</v>
      </c>
      <c r="I109" s="49">
        <v>11806</v>
      </c>
      <c r="J109" s="49" t="s">
        <v>4247</v>
      </c>
      <c r="K109" s="49" t="s">
        <v>4298</v>
      </c>
      <c r="L109" s="341">
        <v>9.2438049240307463E-2</v>
      </c>
      <c r="M109" s="49">
        <f t="shared" si="3"/>
        <v>1.0117361912364107E-4</v>
      </c>
      <c r="N109" s="49">
        <f t="shared" si="4"/>
        <v>1.2335194593136452E-4</v>
      </c>
    </row>
    <row r="110" spans="2:14" x14ac:dyDescent="0.3">
      <c r="B110" s="49">
        <v>2022</v>
      </c>
      <c r="C110" s="49" t="s">
        <v>4230</v>
      </c>
      <c r="D110" s="49" t="s">
        <v>4246</v>
      </c>
      <c r="E110" s="49" t="s">
        <v>315</v>
      </c>
      <c r="F110" s="49">
        <v>61244310</v>
      </c>
      <c r="G110" s="49">
        <v>32977847</v>
      </c>
      <c r="H110" s="49">
        <v>11616</v>
      </c>
      <c r="I110" s="49">
        <v>20070</v>
      </c>
      <c r="J110" s="49" t="s">
        <v>4247</v>
      </c>
      <c r="K110" s="49" t="s">
        <v>4299</v>
      </c>
      <c r="L110" s="341">
        <v>0.53846385076425873</v>
      </c>
      <c r="M110" s="49">
        <f t="shared" si="3"/>
        <v>3.2770391241243471E-4</v>
      </c>
      <c r="N110" s="49">
        <f t="shared" si="4"/>
        <v>1.8966659923183067E-4</v>
      </c>
    </row>
    <row r="111" spans="2:14" x14ac:dyDescent="0.3">
      <c r="B111" s="49">
        <v>2022</v>
      </c>
      <c r="C111" s="49" t="s">
        <v>4229</v>
      </c>
      <c r="D111" s="49" t="s">
        <v>4246</v>
      </c>
      <c r="E111" s="49" t="s">
        <v>315</v>
      </c>
      <c r="F111" s="49">
        <v>56665360</v>
      </c>
      <c r="G111" s="49">
        <v>50375921</v>
      </c>
      <c r="H111" s="49">
        <v>42432</v>
      </c>
      <c r="I111" s="49">
        <v>27768</v>
      </c>
      <c r="J111" s="49" t="s">
        <v>4247</v>
      </c>
      <c r="K111" s="49" t="s">
        <v>4300</v>
      </c>
      <c r="L111" s="341">
        <v>0.88900734063985476</v>
      </c>
      <c r="M111" s="49">
        <f t="shared" si="3"/>
        <v>4.9003482903841082E-4</v>
      </c>
      <c r="N111" s="49">
        <f t="shared" si="4"/>
        <v>7.4881726684521198E-4</v>
      </c>
    </row>
    <row r="112" spans="2:14" x14ac:dyDescent="0.3">
      <c r="B112" s="49">
        <v>2022</v>
      </c>
      <c r="C112" s="49" t="s">
        <v>4231</v>
      </c>
      <c r="D112" s="49" t="s">
        <v>4246</v>
      </c>
      <c r="E112" s="49" t="s">
        <v>315</v>
      </c>
      <c r="F112" s="49">
        <v>46347492</v>
      </c>
      <c r="G112" s="49">
        <v>38619211</v>
      </c>
      <c r="H112" s="49">
        <v>24712</v>
      </c>
      <c r="I112" s="49">
        <v>30489</v>
      </c>
      <c r="J112" s="49" t="s">
        <v>4247</v>
      </c>
      <c r="K112" s="49" t="s">
        <v>4301</v>
      </c>
      <c r="L112" s="341">
        <v>0.83325352318956114</v>
      </c>
      <c r="M112" s="49">
        <f t="shared" si="3"/>
        <v>6.578349482211465E-4</v>
      </c>
      <c r="N112" s="49">
        <f t="shared" si="4"/>
        <v>5.3318958445475325E-4</v>
      </c>
    </row>
    <row r="115" spans="2:6" x14ac:dyDescent="0.3">
      <c r="B115" s="82"/>
      <c r="C115" s="82"/>
      <c r="D115" s="82"/>
      <c r="E115" s="82"/>
    </row>
    <row r="118" spans="2:6" ht="28.8" x14ac:dyDescent="0.55000000000000004">
      <c r="B118" s="1174"/>
    </row>
    <row r="119" spans="2:6" x14ac:dyDescent="0.3">
      <c r="B119" s="82"/>
      <c r="C119" s="82"/>
      <c r="D119" s="82"/>
      <c r="E119" s="82"/>
      <c r="F119" s="8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EE36-9358-4D11-BCCC-27A4DC2DEDBF}">
  <sheetPr codeName="Sheet44">
    <tabColor rgb="FF00B0F0"/>
  </sheetPr>
  <dimension ref="A1:BN236"/>
  <sheetViews>
    <sheetView workbookViewId="0">
      <selection activeCell="V40" sqref="V40"/>
    </sheetView>
  </sheetViews>
  <sheetFormatPr defaultColWidth="9.44140625" defaultRowHeight="14.4" x14ac:dyDescent="0.3"/>
  <cols>
    <col min="2" max="2" width="2.5546875" customWidth="1"/>
    <col min="3" max="4" width="9.44140625" customWidth="1"/>
    <col min="20" max="20" width="9.44140625" customWidth="1"/>
    <col min="21" max="21" width="2.5546875" customWidth="1"/>
    <col min="54" max="54" width="39.109375" customWidth="1"/>
    <col min="55" max="55" width="12.5546875" bestFit="1" customWidth="1"/>
    <col min="56" max="56" width="10.88671875" bestFit="1" customWidth="1"/>
    <col min="57" max="57" width="13.88671875" bestFit="1" customWidth="1"/>
    <col min="58" max="58" width="12.109375" bestFit="1" customWidth="1"/>
    <col min="59" max="60" width="13.33203125" bestFit="1" customWidth="1"/>
    <col min="61" max="61" width="10.33203125" bestFit="1" customWidth="1"/>
    <col min="62" max="62" width="10.5546875" bestFit="1" customWidth="1"/>
    <col min="63" max="63" width="18.33203125" bestFit="1" customWidth="1"/>
    <col min="64" max="64" width="34.33203125" customWidth="1"/>
  </cols>
  <sheetData>
    <row r="1" spans="1:52"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926"/>
      <c r="AS1" s="926"/>
      <c r="AT1" s="926"/>
      <c r="AU1" s="926"/>
      <c r="AV1" s="926"/>
      <c r="AW1" s="926"/>
      <c r="AX1" s="926"/>
      <c r="AY1" s="926"/>
      <c r="AZ1" s="926"/>
    </row>
    <row r="2" spans="1:52" ht="15" customHeight="1" thickBot="1" x14ac:dyDescent="0.35">
      <c r="A2" s="927"/>
      <c r="B2" s="927"/>
      <c r="C2" s="923"/>
      <c r="D2" s="923"/>
      <c r="E2" s="923"/>
      <c r="F2" s="2345" t="s">
        <v>0</v>
      </c>
      <c r="G2" s="2346"/>
      <c r="H2" s="2362" t="s">
        <v>1</v>
      </c>
      <c r="I2" s="2363"/>
      <c r="J2" s="2345" t="s">
        <v>2</v>
      </c>
      <c r="K2" s="2346"/>
      <c r="L2" s="2345" t="s">
        <v>3</v>
      </c>
      <c r="M2" s="2346"/>
      <c r="N2" s="2345" t="s">
        <v>4</v>
      </c>
      <c r="O2" s="2346"/>
      <c r="P2" s="2345" t="s">
        <v>5</v>
      </c>
      <c r="Q2" s="2346"/>
      <c r="R2" s="1739"/>
      <c r="S2" s="926"/>
      <c r="T2" s="926"/>
      <c r="U2" s="927"/>
      <c r="V2" s="927"/>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row>
    <row r="3" spans="1:52" ht="15" customHeight="1" thickTop="1" thickBot="1" x14ac:dyDescent="0.35">
      <c r="A3" s="927"/>
      <c r="B3" s="927"/>
      <c r="C3" s="923"/>
      <c r="D3" s="923"/>
      <c r="E3" s="923"/>
      <c r="F3" s="2347"/>
      <c r="G3" s="2348"/>
      <c r="H3" s="2364"/>
      <c r="I3" s="2365"/>
      <c r="J3" s="2347"/>
      <c r="K3" s="2348"/>
      <c r="L3" s="2347"/>
      <c r="M3" s="2348"/>
      <c r="N3" s="2347"/>
      <c r="O3" s="2348"/>
      <c r="P3" s="2347"/>
      <c r="Q3" s="2348"/>
      <c r="R3" s="1739"/>
      <c r="S3" s="926"/>
      <c r="T3" s="926"/>
      <c r="U3" s="927"/>
      <c r="V3" s="927"/>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row>
    <row r="4" spans="1:52" ht="15" customHeight="1" thickTop="1" thickBot="1" x14ac:dyDescent="0.35">
      <c r="A4" s="927"/>
      <c r="B4" s="927"/>
      <c r="C4" s="2345" t="s">
        <v>6</v>
      </c>
      <c r="D4" s="2351"/>
      <c r="E4" s="923"/>
      <c r="F4" s="2349"/>
      <c r="G4" s="2350"/>
      <c r="H4" s="2366"/>
      <c r="I4" s="2367"/>
      <c r="J4" s="2349"/>
      <c r="K4" s="2350"/>
      <c r="L4" s="2349"/>
      <c r="M4" s="2350"/>
      <c r="N4" s="2349"/>
      <c r="O4" s="2350"/>
      <c r="P4" s="2349"/>
      <c r="Q4" s="2350"/>
      <c r="R4" s="926"/>
      <c r="S4" s="2356" t="s">
        <v>7</v>
      </c>
      <c r="T4" s="2357"/>
      <c r="U4" s="927"/>
      <c r="V4" s="927"/>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row>
    <row r="5" spans="1:52" ht="15" customHeight="1" thickTop="1" thickBot="1" x14ac:dyDescent="0.35">
      <c r="A5" s="927"/>
      <c r="B5" s="927"/>
      <c r="C5" s="2352"/>
      <c r="D5" s="2353"/>
      <c r="E5" s="923"/>
      <c r="F5" s="926"/>
      <c r="G5" s="2345" t="s">
        <v>8</v>
      </c>
      <c r="H5" s="2346"/>
      <c r="I5" s="2345" t="s">
        <v>9</v>
      </c>
      <c r="J5" s="2346"/>
      <c r="K5" s="2345" t="s">
        <v>10</v>
      </c>
      <c r="L5" s="2346"/>
      <c r="M5" s="2345" t="s">
        <v>11</v>
      </c>
      <c r="N5" s="2346"/>
      <c r="O5" s="2345" t="s">
        <v>12</v>
      </c>
      <c r="P5" s="2346"/>
      <c r="Q5" s="926"/>
      <c r="R5" s="926"/>
      <c r="S5" s="2358"/>
      <c r="T5" s="2359"/>
      <c r="U5" s="927"/>
      <c r="V5" s="927"/>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c r="AY5" s="926"/>
      <c r="AZ5" s="926"/>
    </row>
    <row r="6" spans="1:52" ht="15" customHeight="1" thickTop="1" thickBot="1" x14ac:dyDescent="0.35">
      <c r="A6" s="927"/>
      <c r="B6" s="927"/>
      <c r="C6" s="2354"/>
      <c r="D6" s="2355"/>
      <c r="E6" s="923"/>
      <c r="F6" s="926"/>
      <c r="G6" s="2347"/>
      <c r="H6" s="2348"/>
      <c r="I6" s="2347"/>
      <c r="J6" s="2348"/>
      <c r="K6" s="2347"/>
      <c r="L6" s="2348"/>
      <c r="M6" s="2347"/>
      <c r="N6" s="2348"/>
      <c r="O6" s="2347"/>
      <c r="P6" s="2348"/>
      <c r="Q6" s="926"/>
      <c r="R6" s="926"/>
      <c r="S6" s="2360"/>
      <c r="T6" s="2361"/>
      <c r="U6" s="927"/>
      <c r="V6" s="927"/>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c r="AY6" s="926"/>
      <c r="AZ6" s="926"/>
    </row>
    <row r="7" spans="1:52" ht="15" customHeight="1" thickTop="1" thickBot="1" x14ac:dyDescent="0.35">
      <c r="A7" s="927"/>
      <c r="B7" s="927"/>
      <c r="C7" s="923"/>
      <c r="D7" s="923"/>
      <c r="E7" s="923"/>
      <c r="F7" s="926"/>
      <c r="G7" s="2349"/>
      <c r="H7" s="2350"/>
      <c r="I7" s="2349"/>
      <c r="J7" s="2350"/>
      <c r="K7" s="2349"/>
      <c r="L7" s="2350"/>
      <c r="M7" s="2349"/>
      <c r="N7" s="2350"/>
      <c r="O7" s="2349"/>
      <c r="P7" s="2350"/>
      <c r="Q7" s="923"/>
      <c r="R7" s="923"/>
      <c r="S7" s="926"/>
      <c r="T7" s="926"/>
      <c r="U7" s="927"/>
      <c r="V7" s="927"/>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6"/>
      <c r="AV7" s="926"/>
      <c r="AW7" s="926"/>
      <c r="AX7" s="926"/>
      <c r="AY7" s="926"/>
      <c r="AZ7" s="926"/>
    </row>
    <row r="8" spans="1:52" ht="15" customHeight="1" x14ac:dyDescent="0.3">
      <c r="A8" s="927"/>
      <c r="B8" s="927"/>
      <c r="C8" s="924"/>
      <c r="D8" s="924"/>
      <c r="E8" s="924"/>
      <c r="F8" s="924"/>
      <c r="G8" s="924"/>
      <c r="H8" s="924"/>
      <c r="I8" s="924"/>
      <c r="J8" s="924"/>
      <c r="K8" s="924"/>
      <c r="L8" s="924"/>
      <c r="M8" s="924"/>
      <c r="N8" s="924"/>
      <c r="O8" s="924"/>
      <c r="P8" s="924"/>
      <c r="Q8" s="924"/>
      <c r="R8" s="924"/>
      <c r="S8" s="924"/>
      <c r="T8" s="924"/>
      <c r="U8" s="927"/>
      <c r="V8" s="927"/>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6"/>
      <c r="AV8" s="926"/>
      <c r="AW8" s="926"/>
      <c r="AX8" s="926"/>
      <c r="AY8" s="926"/>
      <c r="AZ8" s="926"/>
    </row>
    <row r="9" spans="1:52"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row>
    <row r="10" spans="1:52" ht="15" customHeight="1" x14ac:dyDescent="0.3">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row>
    <row r="11" spans="1:52" ht="15" customHeight="1" x14ac:dyDescent="0.3">
      <c r="A11" s="926"/>
      <c r="B11" s="609"/>
      <c r="C11" s="962"/>
      <c r="D11" s="2418" t="s">
        <v>58</v>
      </c>
      <c r="E11" s="2418"/>
      <c r="F11" s="2418"/>
      <c r="G11" s="2418"/>
      <c r="H11" s="2418"/>
      <c r="I11" s="2418"/>
      <c r="J11" s="2418"/>
      <c r="K11" s="2418"/>
      <c r="L11" s="2418"/>
      <c r="M11" s="2418"/>
      <c r="N11" s="2418"/>
      <c r="O11" s="2418"/>
      <c r="P11" s="2418"/>
      <c r="Q11" s="2418"/>
      <c r="R11" s="2418"/>
      <c r="S11" s="2418"/>
      <c r="T11" s="963"/>
      <c r="U11" s="609"/>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row>
    <row r="12" spans="1:52" ht="15" customHeight="1" x14ac:dyDescent="0.3">
      <c r="A12" s="926"/>
      <c r="B12" s="609"/>
      <c r="C12" s="962"/>
      <c r="D12" s="2418"/>
      <c r="E12" s="2418"/>
      <c r="F12" s="2418"/>
      <c r="G12" s="2418"/>
      <c r="H12" s="2418"/>
      <c r="I12" s="2418"/>
      <c r="J12" s="2418"/>
      <c r="K12" s="2418"/>
      <c r="L12" s="2418"/>
      <c r="M12" s="2418"/>
      <c r="N12" s="2418"/>
      <c r="O12" s="2418"/>
      <c r="P12" s="2418"/>
      <c r="Q12" s="2418"/>
      <c r="R12" s="2418"/>
      <c r="S12" s="2418"/>
      <c r="T12" s="963"/>
      <c r="U12" s="609"/>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row>
    <row r="13" spans="1:52" ht="15" customHeight="1" x14ac:dyDescent="0.3">
      <c r="A13" s="926"/>
      <c r="B13" s="609"/>
      <c r="C13" s="962"/>
      <c r="D13" s="2418"/>
      <c r="E13" s="2418"/>
      <c r="F13" s="2418"/>
      <c r="G13" s="2418"/>
      <c r="H13" s="2418"/>
      <c r="I13" s="2418"/>
      <c r="J13" s="2418"/>
      <c r="K13" s="2418"/>
      <c r="L13" s="2418"/>
      <c r="M13" s="2418"/>
      <c r="N13" s="2418"/>
      <c r="O13" s="2418"/>
      <c r="P13" s="2418"/>
      <c r="Q13" s="2418"/>
      <c r="R13" s="2418"/>
      <c r="S13" s="2418"/>
      <c r="T13" s="963"/>
      <c r="U13" s="609"/>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AV13" s="926"/>
      <c r="AW13" s="926"/>
      <c r="AX13" s="926"/>
      <c r="AY13" s="926"/>
      <c r="AZ13" s="926"/>
    </row>
    <row r="14" spans="1:52" ht="15" customHeight="1" x14ac:dyDescent="0.3">
      <c r="A14" s="926"/>
      <c r="B14" s="609"/>
      <c r="C14" s="962"/>
      <c r="D14" s="2418"/>
      <c r="E14" s="2418"/>
      <c r="F14" s="2418"/>
      <c r="G14" s="2418"/>
      <c r="H14" s="2418"/>
      <c r="I14" s="2418"/>
      <c r="J14" s="2418"/>
      <c r="K14" s="2418"/>
      <c r="L14" s="2418"/>
      <c r="M14" s="2418"/>
      <c r="N14" s="2418"/>
      <c r="O14" s="2418"/>
      <c r="P14" s="2418"/>
      <c r="Q14" s="2418"/>
      <c r="R14" s="2418"/>
      <c r="S14" s="2418"/>
      <c r="T14" s="963"/>
      <c r="U14" s="609"/>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AV14" s="926"/>
      <c r="AW14" s="926"/>
      <c r="AX14" s="926"/>
      <c r="AY14" s="926"/>
      <c r="AZ14" s="926"/>
    </row>
    <row r="15" spans="1:52" ht="15" customHeight="1" x14ac:dyDescent="0.3">
      <c r="A15" s="926"/>
      <c r="B15" s="609"/>
      <c r="C15" s="962"/>
      <c r="D15" s="2418"/>
      <c r="E15" s="2418"/>
      <c r="F15" s="2418"/>
      <c r="G15" s="2418"/>
      <c r="H15" s="2418"/>
      <c r="I15" s="2418"/>
      <c r="J15" s="2418"/>
      <c r="K15" s="2418"/>
      <c r="L15" s="2418"/>
      <c r="M15" s="2418"/>
      <c r="N15" s="2418"/>
      <c r="O15" s="2418"/>
      <c r="P15" s="2418"/>
      <c r="Q15" s="2418"/>
      <c r="R15" s="2418"/>
      <c r="S15" s="2418"/>
      <c r="T15" s="963"/>
      <c r="U15" s="609"/>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6"/>
      <c r="AV15" s="926"/>
      <c r="AW15" s="926"/>
      <c r="AX15" s="926"/>
      <c r="AY15" s="926"/>
      <c r="AZ15" s="926"/>
    </row>
    <row r="16" spans="1:52" ht="15" customHeight="1" x14ac:dyDescent="0.3">
      <c r="A16" s="926"/>
      <c r="B16" s="609"/>
      <c r="C16" s="962"/>
      <c r="D16" s="2418"/>
      <c r="E16" s="2418"/>
      <c r="F16" s="2418"/>
      <c r="G16" s="2418"/>
      <c r="H16" s="2418"/>
      <c r="I16" s="2418"/>
      <c r="J16" s="2418"/>
      <c r="K16" s="2418"/>
      <c r="L16" s="2418"/>
      <c r="M16" s="2418"/>
      <c r="N16" s="2418"/>
      <c r="O16" s="2418"/>
      <c r="P16" s="2418"/>
      <c r="Q16" s="2418"/>
      <c r="R16" s="2418"/>
      <c r="S16" s="2418"/>
      <c r="T16" s="963"/>
      <c r="U16" s="609"/>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6"/>
      <c r="AV16" s="926"/>
      <c r="AW16" s="926"/>
      <c r="AX16" s="926"/>
      <c r="AY16" s="926"/>
      <c r="AZ16" s="926"/>
    </row>
    <row r="17" spans="1:52"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6"/>
      <c r="AV17" s="926"/>
      <c r="AW17" s="926"/>
      <c r="AX17" s="926"/>
      <c r="AY17" s="926"/>
      <c r="AZ17" s="926"/>
    </row>
    <row r="18" spans="1:52" ht="15" customHeight="1" x14ac:dyDescent="0.3">
      <c r="A18" s="926"/>
      <c r="B18" s="609"/>
      <c r="C18" s="962"/>
      <c r="D18" s="40"/>
      <c r="E18" s="40"/>
      <c r="F18" s="40"/>
      <c r="G18" s="2419" t="s">
        <v>59</v>
      </c>
      <c r="H18" s="2420"/>
      <c r="I18" s="2420"/>
      <c r="J18" s="2420"/>
      <c r="K18" s="2420"/>
      <c r="L18" s="2420"/>
      <c r="M18" s="2420"/>
      <c r="N18" s="2420"/>
      <c r="O18" s="2420"/>
      <c r="P18" s="2421"/>
      <c r="Q18" s="40"/>
      <c r="R18" s="40"/>
      <c r="S18" s="40"/>
      <c r="T18" s="963"/>
      <c r="U18" s="609"/>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6"/>
      <c r="AV18" s="926"/>
      <c r="AW18" s="926"/>
      <c r="AX18" s="926"/>
      <c r="AY18" s="926"/>
      <c r="AZ18" s="926"/>
    </row>
    <row r="19" spans="1:52" ht="15" customHeight="1" x14ac:dyDescent="0.3">
      <c r="A19" s="926"/>
      <c r="B19" s="609"/>
      <c r="C19" s="962"/>
      <c r="D19" s="40"/>
      <c r="E19" s="40"/>
      <c r="F19" s="40"/>
      <c r="G19" s="2422"/>
      <c r="H19" s="2423"/>
      <c r="I19" s="2423"/>
      <c r="J19" s="2423"/>
      <c r="K19" s="2423"/>
      <c r="L19" s="2423"/>
      <c r="M19" s="2423"/>
      <c r="N19" s="2423"/>
      <c r="O19" s="2423"/>
      <c r="P19" s="2424"/>
      <c r="Q19" s="40"/>
      <c r="R19" s="40"/>
      <c r="S19" s="40"/>
      <c r="T19" s="963"/>
      <c r="U19" s="609"/>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6"/>
      <c r="AV19" s="926"/>
      <c r="AW19" s="926"/>
      <c r="AX19" s="926"/>
      <c r="AY19" s="926"/>
      <c r="AZ19" s="926"/>
    </row>
    <row r="20" spans="1:52" ht="15" customHeight="1" x14ac:dyDescent="0.3">
      <c r="A20" s="926"/>
      <c r="B20" s="609"/>
      <c r="C20" s="962"/>
      <c r="D20" s="40"/>
      <c r="E20" s="40"/>
      <c r="F20" s="40"/>
      <c r="G20" s="2422"/>
      <c r="H20" s="2423"/>
      <c r="I20" s="2423"/>
      <c r="J20" s="2423"/>
      <c r="K20" s="2423"/>
      <c r="L20" s="2423"/>
      <c r="M20" s="2423"/>
      <c r="N20" s="2423"/>
      <c r="O20" s="2423"/>
      <c r="P20" s="2424"/>
      <c r="Q20" s="40"/>
      <c r="R20" s="40"/>
      <c r="S20" s="40"/>
      <c r="T20" s="963"/>
      <c r="U20" s="609"/>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6"/>
      <c r="AV20" s="926"/>
      <c r="AW20" s="926"/>
      <c r="AX20" s="926"/>
      <c r="AY20" s="926"/>
      <c r="AZ20" s="926"/>
    </row>
    <row r="21" spans="1:52" ht="15" customHeight="1" thickBot="1" x14ac:dyDescent="0.35">
      <c r="A21" s="926"/>
      <c r="B21" s="609"/>
      <c r="C21" s="962"/>
      <c r="D21" s="40"/>
      <c r="E21" s="40"/>
      <c r="F21" s="40"/>
      <c r="G21" s="2425"/>
      <c r="H21" s="2426"/>
      <c r="I21" s="2426"/>
      <c r="J21" s="2426"/>
      <c r="K21" s="2426"/>
      <c r="L21" s="2426"/>
      <c r="M21" s="2426"/>
      <c r="N21" s="2426"/>
      <c r="O21" s="2426"/>
      <c r="P21" s="2427"/>
      <c r="Q21" s="40"/>
      <c r="R21" s="40"/>
      <c r="S21" s="40"/>
      <c r="T21" s="963"/>
      <c r="U21" s="609"/>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6"/>
      <c r="AV21" s="926"/>
      <c r="AW21" s="926"/>
      <c r="AX21" s="926"/>
      <c r="AY21" s="926"/>
      <c r="AZ21" s="926"/>
    </row>
    <row r="22" spans="1:52" ht="15" customHeight="1" x14ac:dyDescent="0.3">
      <c r="A22" s="926"/>
      <c r="B22" s="609"/>
      <c r="C22" s="962"/>
      <c r="D22" s="40"/>
      <c r="E22" s="40"/>
      <c r="F22" s="40"/>
      <c r="G22" s="40"/>
      <c r="H22" s="40"/>
      <c r="I22" s="40"/>
      <c r="J22" s="40"/>
      <c r="K22" s="40"/>
      <c r="L22" s="40"/>
      <c r="M22" s="40"/>
      <c r="N22" s="40"/>
      <c r="O22" s="40"/>
      <c r="P22" s="40"/>
      <c r="Q22" s="40"/>
      <c r="R22" s="40"/>
      <c r="S22" s="40"/>
      <c r="T22" s="963"/>
      <c r="U22" s="609"/>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6"/>
      <c r="AV22" s="926"/>
      <c r="AW22" s="926"/>
      <c r="AX22" s="926"/>
      <c r="AY22" s="926"/>
      <c r="AZ22" s="926"/>
    </row>
    <row r="23" spans="1:52" ht="15" customHeight="1" x14ac:dyDescent="0.3">
      <c r="A23" s="926"/>
      <c r="B23" s="609"/>
      <c r="C23" s="962"/>
      <c r="D23" s="40"/>
      <c r="E23" s="2402" t="s">
        <v>60</v>
      </c>
      <c r="F23" s="2402"/>
      <c r="G23" s="2402"/>
      <c r="H23" s="2402"/>
      <c r="I23" s="2402"/>
      <c r="J23" s="2402"/>
      <c r="K23" s="2402"/>
      <c r="L23" s="2402"/>
      <c r="M23" s="2402"/>
      <c r="N23" s="2402"/>
      <c r="O23" s="2402"/>
      <c r="P23" s="2402"/>
      <c r="Q23" s="2402"/>
      <c r="R23" s="2402"/>
      <c r="S23" s="40"/>
      <c r="T23" s="963"/>
      <c r="U23" s="609"/>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6"/>
      <c r="AV23" s="926"/>
      <c r="AW23" s="926"/>
      <c r="AX23" s="926"/>
      <c r="AY23" s="926"/>
      <c r="AZ23" s="926"/>
    </row>
    <row r="24" spans="1:52" ht="15" customHeight="1" x14ac:dyDescent="0.3">
      <c r="A24" s="926"/>
      <c r="B24" s="609"/>
      <c r="C24" s="962"/>
      <c r="D24" s="40"/>
      <c r="E24" s="2402"/>
      <c r="F24" s="2402"/>
      <c r="G24" s="2402"/>
      <c r="H24" s="2402"/>
      <c r="I24" s="2402"/>
      <c r="J24" s="2402"/>
      <c r="K24" s="2402"/>
      <c r="L24" s="2402"/>
      <c r="M24" s="2402"/>
      <c r="N24" s="2402"/>
      <c r="O24" s="2402"/>
      <c r="P24" s="2402"/>
      <c r="Q24" s="2402"/>
      <c r="R24" s="2402"/>
      <c r="S24" s="40"/>
      <c r="T24" s="963"/>
      <c r="U24" s="609"/>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6"/>
      <c r="AV24" s="926"/>
      <c r="AW24" s="926"/>
      <c r="AX24" s="926"/>
      <c r="AY24" s="926"/>
      <c r="AZ24" s="926"/>
    </row>
    <row r="25" spans="1:52" ht="15" customHeight="1" x14ac:dyDescent="0.3">
      <c r="A25" s="926"/>
      <c r="B25" s="609"/>
      <c r="C25" s="962"/>
      <c r="D25" s="40"/>
      <c r="E25" s="2402"/>
      <c r="F25" s="2402"/>
      <c r="G25" s="2402"/>
      <c r="H25" s="2402"/>
      <c r="I25" s="2402"/>
      <c r="J25" s="2402"/>
      <c r="K25" s="2402"/>
      <c r="L25" s="2402"/>
      <c r="M25" s="2402"/>
      <c r="N25" s="2402"/>
      <c r="O25" s="2402"/>
      <c r="P25" s="2402"/>
      <c r="Q25" s="2402"/>
      <c r="R25" s="2402"/>
      <c r="S25" s="40"/>
      <c r="T25" s="963"/>
      <c r="U25" s="609"/>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6"/>
      <c r="AV25" s="926"/>
      <c r="AW25" s="926"/>
      <c r="AX25" s="926"/>
      <c r="AY25" s="926"/>
      <c r="AZ25" s="926"/>
    </row>
    <row r="26" spans="1:52" ht="15" customHeight="1" x14ac:dyDescent="0.3">
      <c r="A26" s="926"/>
      <c r="B26" s="609"/>
      <c r="C26" s="962"/>
      <c r="D26" s="40"/>
      <c r="E26" s="2402"/>
      <c r="F26" s="2402"/>
      <c r="G26" s="2402"/>
      <c r="H26" s="2402"/>
      <c r="I26" s="2402"/>
      <c r="J26" s="2402"/>
      <c r="K26" s="2402"/>
      <c r="L26" s="2402"/>
      <c r="M26" s="2402"/>
      <c r="N26" s="2402"/>
      <c r="O26" s="2402"/>
      <c r="P26" s="2402"/>
      <c r="Q26" s="2402"/>
      <c r="R26" s="2402"/>
      <c r="S26" s="40"/>
      <c r="T26" s="963"/>
      <c r="U26" s="609"/>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6"/>
      <c r="AV26" s="926"/>
      <c r="AW26" s="926"/>
      <c r="AX26" s="926"/>
      <c r="AY26" s="926"/>
      <c r="AZ26" s="926"/>
    </row>
    <row r="27" spans="1:52" ht="15" customHeight="1" x14ac:dyDescent="0.3">
      <c r="A27" s="926"/>
      <c r="B27" s="609"/>
      <c r="C27" s="962"/>
      <c r="D27" s="40"/>
      <c r="E27" s="2428" t="s">
        <v>31</v>
      </c>
      <c r="F27" s="2428"/>
      <c r="G27" s="2428"/>
      <c r="H27" s="2428"/>
      <c r="I27" s="2428"/>
      <c r="J27" s="2428"/>
      <c r="K27" s="2428" t="s">
        <v>40</v>
      </c>
      <c r="L27" s="2428"/>
      <c r="M27" s="2428"/>
      <c r="N27" s="2428"/>
      <c r="O27" s="2428"/>
      <c r="P27" s="2428"/>
      <c r="Q27" s="2428"/>
      <c r="R27" s="2428"/>
      <c r="S27" s="40"/>
      <c r="T27" s="963"/>
      <c r="U27" s="609"/>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6"/>
      <c r="AV27" s="926"/>
      <c r="AW27" s="926"/>
      <c r="AX27" s="926"/>
      <c r="AY27" s="926"/>
      <c r="AZ27" s="926"/>
    </row>
    <row r="28" spans="1:52" ht="15" customHeight="1" x14ac:dyDescent="0.3">
      <c r="A28" s="926"/>
      <c r="B28" s="609"/>
      <c r="C28" s="962"/>
      <c r="D28" s="40"/>
      <c r="E28" s="2400" t="s">
        <v>61</v>
      </c>
      <c r="F28" s="2400"/>
      <c r="G28" s="2400"/>
      <c r="H28" s="2400"/>
      <c r="I28" s="2400"/>
      <c r="J28" s="2400"/>
      <c r="K28" s="2405" t="s">
        <v>62</v>
      </c>
      <c r="L28" s="2405"/>
      <c r="M28" s="2405"/>
      <c r="N28" s="2405"/>
      <c r="O28" s="2405"/>
      <c r="P28" s="2405"/>
      <c r="Q28" s="2405"/>
      <c r="R28" s="2405"/>
      <c r="S28" s="40"/>
      <c r="T28" s="963"/>
      <c r="U28" s="609"/>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6"/>
      <c r="AV28" s="926"/>
      <c r="AW28" s="926"/>
      <c r="AX28" s="926"/>
      <c r="AY28" s="926"/>
      <c r="AZ28" s="926"/>
    </row>
    <row r="29" spans="1:52" ht="15" customHeight="1" x14ac:dyDescent="0.3">
      <c r="A29" s="926"/>
      <c r="B29" s="609"/>
      <c r="C29" s="962"/>
      <c r="D29" s="40"/>
      <c r="E29" s="2400"/>
      <c r="F29" s="2400"/>
      <c r="G29" s="2400"/>
      <c r="H29" s="2400"/>
      <c r="I29" s="2400"/>
      <c r="J29" s="2400"/>
      <c r="K29" s="2405"/>
      <c r="L29" s="2405"/>
      <c r="M29" s="2405"/>
      <c r="N29" s="2405"/>
      <c r="O29" s="2405"/>
      <c r="P29" s="2405"/>
      <c r="Q29" s="2405"/>
      <c r="R29" s="2405"/>
      <c r="S29" s="40"/>
      <c r="T29" s="963"/>
      <c r="U29" s="609"/>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6"/>
      <c r="AV29" s="926"/>
      <c r="AW29" s="926"/>
      <c r="AX29" s="926"/>
      <c r="AY29" s="926"/>
      <c r="AZ29" s="926"/>
    </row>
    <row r="30" spans="1:52" ht="15" customHeight="1" x14ac:dyDescent="0.3">
      <c r="A30" s="926"/>
      <c r="B30" s="609"/>
      <c r="C30" s="962"/>
      <c r="D30" s="40"/>
      <c r="E30" s="2400"/>
      <c r="F30" s="2400"/>
      <c r="G30" s="2400"/>
      <c r="H30" s="2400"/>
      <c r="I30" s="2400"/>
      <c r="J30" s="2400"/>
      <c r="K30" s="2405"/>
      <c r="L30" s="2405"/>
      <c r="M30" s="2405"/>
      <c r="N30" s="2405"/>
      <c r="O30" s="2405"/>
      <c r="P30" s="2405"/>
      <c r="Q30" s="2405"/>
      <c r="R30" s="2405"/>
      <c r="S30" s="40"/>
      <c r="T30" s="963"/>
      <c r="U30" s="609"/>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6"/>
      <c r="AV30" s="926"/>
      <c r="AW30" s="926"/>
      <c r="AX30" s="926"/>
      <c r="AY30" s="926"/>
      <c r="AZ30" s="926"/>
    </row>
    <row r="31" spans="1:52" ht="15" customHeight="1" x14ac:dyDescent="0.3">
      <c r="A31" s="926"/>
      <c r="B31" s="609"/>
      <c r="C31" s="962"/>
      <c r="D31" s="40"/>
      <c r="E31" s="2400"/>
      <c r="F31" s="2400"/>
      <c r="G31" s="2400"/>
      <c r="H31" s="2400"/>
      <c r="I31" s="2400"/>
      <c r="J31" s="2400"/>
      <c r="K31" s="2405"/>
      <c r="L31" s="2405"/>
      <c r="M31" s="2405"/>
      <c r="N31" s="2405"/>
      <c r="O31" s="2405"/>
      <c r="P31" s="2405"/>
      <c r="Q31" s="2405"/>
      <c r="R31" s="2405"/>
      <c r="S31" s="40"/>
      <c r="T31" s="963"/>
      <c r="U31" s="609"/>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6"/>
      <c r="AV31" s="926"/>
      <c r="AW31" s="926"/>
      <c r="AX31" s="926"/>
      <c r="AY31" s="926"/>
      <c r="AZ31" s="926"/>
    </row>
    <row r="32" spans="1:52" ht="15" customHeight="1" x14ac:dyDescent="0.3">
      <c r="A32" s="926"/>
      <c r="B32" s="609"/>
      <c r="C32" s="962"/>
      <c r="D32" s="40"/>
      <c r="E32" s="40"/>
      <c r="F32" s="40"/>
      <c r="G32" s="40"/>
      <c r="H32" s="40"/>
      <c r="I32" s="40"/>
      <c r="J32" s="40"/>
      <c r="K32" s="40"/>
      <c r="L32" s="40"/>
      <c r="M32" s="40"/>
      <c r="N32" s="40"/>
      <c r="O32" s="40"/>
      <c r="P32" s="40"/>
      <c r="Q32" s="40"/>
      <c r="R32" s="40"/>
      <c r="S32" s="40"/>
      <c r="T32" s="963"/>
      <c r="U32" s="609"/>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6"/>
      <c r="AV32" s="926"/>
      <c r="AW32" s="926"/>
      <c r="AX32" s="926"/>
      <c r="AY32" s="926"/>
      <c r="AZ32" s="926"/>
    </row>
    <row r="33" spans="1:52" ht="15" customHeight="1" x14ac:dyDescent="0.3">
      <c r="A33" s="926"/>
      <c r="B33" s="609"/>
      <c r="C33" s="962"/>
      <c r="D33" s="40"/>
      <c r="E33" s="40"/>
      <c r="F33" s="40"/>
      <c r="G33" s="40"/>
      <c r="H33" s="40"/>
      <c r="I33" s="40"/>
      <c r="J33" s="40"/>
      <c r="K33" s="40"/>
      <c r="L33" s="40"/>
      <c r="M33" s="40"/>
      <c r="N33" s="40"/>
      <c r="O33" s="40"/>
      <c r="P33" s="40"/>
      <c r="Q33" s="40"/>
      <c r="R33" s="40"/>
      <c r="S33" s="40"/>
      <c r="T33" s="963"/>
      <c r="U33" s="609"/>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6"/>
      <c r="AV33" s="926"/>
      <c r="AW33" s="926"/>
      <c r="AX33" s="926"/>
      <c r="AY33" s="926"/>
      <c r="AZ33" s="926"/>
    </row>
    <row r="34" spans="1:52" ht="15" customHeight="1" x14ac:dyDescent="0.3">
      <c r="A34" s="926"/>
      <c r="B34" s="609"/>
      <c r="C34" s="962"/>
      <c r="D34" s="40"/>
      <c r="E34" s="2399" t="s">
        <v>63</v>
      </c>
      <c r="F34" s="2399"/>
      <c r="G34" s="2399"/>
      <c r="H34" s="2399"/>
      <c r="I34" s="2399"/>
      <c r="J34" s="2399"/>
      <c r="K34" s="2399"/>
      <c r="L34" s="2399"/>
      <c r="M34" s="2399"/>
      <c r="N34" s="2399"/>
      <c r="O34" s="2399"/>
      <c r="P34" s="2399"/>
      <c r="Q34" s="2399"/>
      <c r="R34" s="2399"/>
      <c r="S34" s="40"/>
      <c r="T34" s="963"/>
      <c r="U34" s="609"/>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6"/>
      <c r="AV34" s="926"/>
      <c r="AW34" s="926"/>
      <c r="AX34" s="926"/>
      <c r="AY34" s="926"/>
      <c r="AZ34" s="926"/>
    </row>
    <row r="35" spans="1:52" ht="15" customHeight="1" x14ac:dyDescent="0.3">
      <c r="A35" s="926"/>
      <c r="B35" s="609"/>
      <c r="C35" s="962"/>
      <c r="D35" s="40"/>
      <c r="E35" s="2399"/>
      <c r="F35" s="2399"/>
      <c r="G35" s="2399"/>
      <c r="H35" s="2399"/>
      <c r="I35" s="2399"/>
      <c r="J35" s="2399"/>
      <c r="K35" s="2399"/>
      <c r="L35" s="2399"/>
      <c r="M35" s="2399"/>
      <c r="N35" s="2399"/>
      <c r="O35" s="2399"/>
      <c r="P35" s="2399"/>
      <c r="Q35" s="2399"/>
      <c r="R35" s="2399"/>
      <c r="S35" s="40"/>
      <c r="T35" s="963"/>
      <c r="U35" s="609"/>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6"/>
      <c r="AV35" s="926"/>
      <c r="AW35" s="926"/>
      <c r="AX35" s="926"/>
      <c r="AY35" s="926"/>
      <c r="AZ35" s="926"/>
    </row>
    <row r="36" spans="1:52" ht="15" customHeight="1" x14ac:dyDescent="0.3">
      <c r="A36" s="926"/>
      <c r="B36" s="609"/>
      <c r="C36" s="962"/>
      <c r="D36" s="40"/>
      <c r="E36" s="2399"/>
      <c r="F36" s="2399"/>
      <c r="G36" s="2399"/>
      <c r="H36" s="2399"/>
      <c r="I36" s="2399"/>
      <c r="J36" s="2399"/>
      <c r="K36" s="2399"/>
      <c r="L36" s="2399"/>
      <c r="M36" s="2399"/>
      <c r="N36" s="2399"/>
      <c r="O36" s="2399"/>
      <c r="P36" s="2399"/>
      <c r="Q36" s="2399"/>
      <c r="R36" s="2399"/>
      <c r="S36" s="40"/>
      <c r="T36" s="963"/>
      <c r="U36" s="609"/>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row>
    <row r="37" spans="1:52" ht="15" customHeight="1" x14ac:dyDescent="0.3">
      <c r="A37" s="926"/>
      <c r="B37" s="609"/>
      <c r="C37" s="962"/>
      <c r="D37" s="40"/>
      <c r="E37" s="2399"/>
      <c r="F37" s="2399"/>
      <c r="G37" s="2399"/>
      <c r="H37" s="2399"/>
      <c r="I37" s="2399"/>
      <c r="J37" s="2399"/>
      <c r="K37" s="2399"/>
      <c r="L37" s="2399"/>
      <c r="M37" s="2399"/>
      <c r="N37" s="2399"/>
      <c r="O37" s="2399"/>
      <c r="P37" s="2399"/>
      <c r="Q37" s="2399"/>
      <c r="R37" s="2399"/>
      <c r="S37" s="40"/>
      <c r="T37" s="963"/>
      <c r="U37" s="609"/>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AV37" s="926"/>
      <c r="AW37" s="926"/>
      <c r="AX37" s="926"/>
      <c r="AY37" s="926"/>
      <c r="AZ37" s="926"/>
    </row>
    <row r="38" spans="1:52" ht="15" customHeight="1" x14ac:dyDescent="0.3">
      <c r="A38" s="926"/>
      <c r="B38" s="609"/>
      <c r="C38" s="962"/>
      <c r="D38" s="40"/>
      <c r="E38" s="2399"/>
      <c r="F38" s="2399"/>
      <c r="G38" s="2399"/>
      <c r="H38" s="2399"/>
      <c r="I38" s="2399"/>
      <c r="J38" s="2399"/>
      <c r="K38" s="2399"/>
      <c r="L38" s="2399"/>
      <c r="M38" s="2399"/>
      <c r="N38" s="2399"/>
      <c r="O38" s="2399"/>
      <c r="P38" s="2399"/>
      <c r="Q38" s="2399"/>
      <c r="R38" s="2399"/>
      <c r="S38" s="40"/>
      <c r="T38" s="963"/>
      <c r="U38" s="609"/>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c r="AX38" s="926"/>
      <c r="AY38" s="926"/>
      <c r="AZ38" s="926"/>
    </row>
    <row r="39" spans="1:52" ht="15" customHeight="1" x14ac:dyDescent="0.3">
      <c r="A39" s="926"/>
      <c r="B39" s="609"/>
      <c r="C39" s="962"/>
      <c r="D39" s="40"/>
      <c r="E39" s="2449" t="s">
        <v>64</v>
      </c>
      <c r="F39" s="2450"/>
      <c r="G39" s="2450"/>
      <c r="H39" s="2450"/>
      <c r="I39" s="2450"/>
      <c r="J39" s="2451"/>
      <c r="K39" s="2458" t="s">
        <v>65</v>
      </c>
      <c r="L39" s="2458"/>
      <c r="M39" s="2458"/>
      <c r="N39" s="2458"/>
      <c r="O39" s="2458"/>
      <c r="P39" s="2458"/>
      <c r="Q39" s="2458"/>
      <c r="R39" s="2458"/>
      <c r="S39" s="40"/>
      <c r="T39" s="963"/>
      <c r="U39" s="609"/>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row>
    <row r="40" spans="1:52" ht="15" customHeight="1" x14ac:dyDescent="0.3">
      <c r="A40" s="926"/>
      <c r="B40" s="609"/>
      <c r="C40" s="962"/>
      <c r="D40" s="40"/>
      <c r="E40" s="2452"/>
      <c r="F40" s="2453"/>
      <c r="G40" s="2453"/>
      <c r="H40" s="2453"/>
      <c r="I40" s="2453"/>
      <c r="J40" s="2454"/>
      <c r="K40" s="2458"/>
      <c r="L40" s="2458"/>
      <c r="M40" s="2458"/>
      <c r="N40" s="2458"/>
      <c r="O40" s="2458"/>
      <c r="P40" s="2458"/>
      <c r="Q40" s="2458"/>
      <c r="R40" s="2458"/>
      <c r="S40" s="40"/>
      <c r="T40" s="963"/>
      <c r="U40" s="609"/>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6"/>
      <c r="AV40" s="926"/>
      <c r="AW40" s="926"/>
      <c r="AX40" s="926"/>
      <c r="AY40" s="926"/>
      <c r="AZ40" s="926"/>
    </row>
    <row r="41" spans="1:52" ht="15" customHeight="1" x14ac:dyDescent="0.3">
      <c r="A41" s="926"/>
      <c r="B41" s="609"/>
      <c r="C41" s="962"/>
      <c r="D41" s="40"/>
      <c r="E41" s="2452"/>
      <c r="F41" s="2453"/>
      <c r="G41" s="2453"/>
      <c r="H41" s="2453"/>
      <c r="I41" s="2453"/>
      <c r="J41" s="2454"/>
      <c r="K41" s="2458"/>
      <c r="L41" s="2458"/>
      <c r="M41" s="2458"/>
      <c r="N41" s="2458"/>
      <c r="O41" s="2458"/>
      <c r="P41" s="2458"/>
      <c r="Q41" s="2458"/>
      <c r="R41" s="2458"/>
      <c r="S41" s="40"/>
      <c r="T41" s="963"/>
      <c r="U41" s="609"/>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6"/>
      <c r="AV41" s="926"/>
      <c r="AW41" s="926"/>
      <c r="AX41" s="926"/>
      <c r="AY41" s="926"/>
      <c r="AZ41" s="926"/>
    </row>
    <row r="42" spans="1:52" ht="15" customHeight="1" x14ac:dyDescent="0.3">
      <c r="A42" s="926"/>
      <c r="B42" s="609"/>
      <c r="C42" s="962"/>
      <c r="D42" s="40"/>
      <c r="E42" s="2452"/>
      <c r="F42" s="2453"/>
      <c r="G42" s="2453"/>
      <c r="H42" s="2453"/>
      <c r="I42" s="2453"/>
      <c r="J42" s="2454"/>
      <c r="K42" s="2458"/>
      <c r="L42" s="2458"/>
      <c r="M42" s="2458"/>
      <c r="N42" s="2458"/>
      <c r="O42" s="2458"/>
      <c r="P42" s="2458"/>
      <c r="Q42" s="2458"/>
      <c r="R42" s="2458"/>
      <c r="S42" s="40"/>
      <c r="T42" s="963"/>
      <c r="U42" s="609"/>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6"/>
      <c r="AV42" s="926"/>
      <c r="AW42" s="926"/>
      <c r="AX42" s="926"/>
      <c r="AY42" s="926"/>
      <c r="AZ42" s="926"/>
    </row>
    <row r="43" spans="1:52" ht="15" customHeight="1" x14ac:dyDescent="0.3">
      <c r="A43" s="926"/>
      <c r="B43" s="609"/>
      <c r="C43" s="962"/>
      <c r="D43" s="40"/>
      <c r="E43" s="2452"/>
      <c r="F43" s="2453"/>
      <c r="G43" s="2453"/>
      <c r="H43" s="2453"/>
      <c r="I43" s="2453"/>
      <c r="J43" s="2454"/>
      <c r="K43" s="2458"/>
      <c r="L43" s="2458"/>
      <c r="M43" s="2458"/>
      <c r="N43" s="2458"/>
      <c r="O43" s="2458"/>
      <c r="P43" s="2458"/>
      <c r="Q43" s="2458"/>
      <c r="R43" s="2458"/>
      <c r="S43" s="40"/>
      <c r="T43" s="963"/>
      <c r="U43" s="609"/>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6"/>
      <c r="AV43" s="926"/>
      <c r="AW43" s="926"/>
      <c r="AX43" s="926"/>
      <c r="AY43" s="926"/>
      <c r="AZ43" s="926"/>
    </row>
    <row r="44" spans="1:52" ht="15" customHeight="1" x14ac:dyDescent="0.3">
      <c r="A44" s="926"/>
      <c r="B44" s="609"/>
      <c r="C44" s="962"/>
      <c r="D44" s="40"/>
      <c r="E44" s="2455"/>
      <c r="F44" s="2456"/>
      <c r="G44" s="2456"/>
      <c r="H44" s="2456"/>
      <c r="I44" s="2456"/>
      <c r="J44" s="2457"/>
      <c r="K44" s="2458"/>
      <c r="L44" s="2458"/>
      <c r="M44" s="2458"/>
      <c r="N44" s="2458"/>
      <c r="O44" s="2458"/>
      <c r="P44" s="2458"/>
      <c r="Q44" s="2458"/>
      <c r="R44" s="2458"/>
      <c r="S44" s="40"/>
      <c r="T44" s="963"/>
      <c r="U44" s="609"/>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6"/>
      <c r="AV44" s="926"/>
      <c r="AW44" s="926"/>
      <c r="AX44" s="926"/>
      <c r="AY44" s="926"/>
      <c r="AZ44" s="926"/>
    </row>
    <row r="45" spans="1:52" ht="15" customHeight="1" x14ac:dyDescent="0.3">
      <c r="A45" s="926"/>
      <c r="B45" s="609"/>
      <c r="C45" s="962"/>
      <c r="D45" s="40"/>
      <c r="E45" s="2397" t="s">
        <v>66</v>
      </c>
      <c r="F45" s="2397"/>
      <c r="G45" s="2397"/>
      <c r="H45" s="2397"/>
      <c r="I45" s="2397"/>
      <c r="J45" s="2397"/>
      <c r="K45" s="2397"/>
      <c r="L45" s="2397"/>
      <c r="M45" s="2397"/>
      <c r="N45" s="2397"/>
      <c r="O45" s="2397"/>
      <c r="P45" s="2397"/>
      <c r="Q45" s="2397"/>
      <c r="R45" s="2397"/>
      <c r="S45" s="40"/>
      <c r="T45" s="963"/>
      <c r="U45" s="609"/>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6"/>
      <c r="AV45" s="926"/>
      <c r="AW45" s="926"/>
      <c r="AX45" s="926"/>
      <c r="AY45" s="926"/>
      <c r="AZ45" s="926"/>
    </row>
    <row r="46" spans="1:52" ht="15" customHeight="1" x14ac:dyDescent="0.3">
      <c r="A46" s="926"/>
      <c r="B46" s="609"/>
      <c r="C46" s="962"/>
      <c r="D46" s="40"/>
      <c r="E46" s="2459" t="str">
        <f>INDEX(SC.Table.Scenario_Desc,MATCH(K39,SC.Table.Scenario_Properties,0))</f>
        <v>The farm uses a deep pit slurry storage system, where the manure and wash water is stored for a period of time before being emptied. The accumulated slurry is agitated and land-applied using tractor-pulled tanker method.</v>
      </c>
      <c r="F46" s="2459"/>
      <c r="G46" s="2459"/>
      <c r="H46" s="2459"/>
      <c r="I46" s="2459"/>
      <c r="J46" s="2459"/>
      <c r="K46" s="2459"/>
      <c r="L46" s="2459"/>
      <c r="M46" s="2459"/>
      <c r="N46" s="2459"/>
      <c r="O46" s="2459"/>
      <c r="P46" s="2459"/>
      <c r="Q46" s="2459"/>
      <c r="R46" s="2459"/>
      <c r="S46" s="40"/>
      <c r="T46" s="963"/>
      <c r="U46" s="609"/>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6"/>
      <c r="AV46" s="926"/>
      <c r="AW46" s="926"/>
      <c r="AX46" s="926"/>
      <c r="AY46" s="926"/>
      <c r="AZ46" s="926"/>
    </row>
    <row r="47" spans="1:52" ht="15" customHeight="1" x14ac:dyDescent="0.3">
      <c r="A47" s="926"/>
      <c r="B47" s="609"/>
      <c r="C47" s="962"/>
      <c r="D47" s="40"/>
      <c r="E47" s="2459"/>
      <c r="F47" s="2459"/>
      <c r="G47" s="2459"/>
      <c r="H47" s="2459"/>
      <c r="I47" s="2459"/>
      <c r="J47" s="2459"/>
      <c r="K47" s="2459"/>
      <c r="L47" s="2459"/>
      <c r="M47" s="2459"/>
      <c r="N47" s="2459"/>
      <c r="O47" s="2459"/>
      <c r="P47" s="2459"/>
      <c r="Q47" s="2459"/>
      <c r="R47" s="2459"/>
      <c r="S47" s="40"/>
      <c r="T47" s="963"/>
      <c r="U47" s="609"/>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row>
    <row r="48" spans="1:52" ht="15" customHeight="1" x14ac:dyDescent="0.3">
      <c r="A48" s="926"/>
      <c r="B48" s="609"/>
      <c r="C48" s="962"/>
      <c r="D48" s="40"/>
      <c r="E48" s="2459"/>
      <c r="F48" s="2459"/>
      <c r="G48" s="2459"/>
      <c r="H48" s="2459"/>
      <c r="I48" s="2459"/>
      <c r="J48" s="2459"/>
      <c r="K48" s="2459"/>
      <c r="L48" s="2459"/>
      <c r="M48" s="2459"/>
      <c r="N48" s="2459"/>
      <c r="O48" s="2459"/>
      <c r="P48" s="2459"/>
      <c r="Q48" s="2459"/>
      <c r="R48" s="2459"/>
      <c r="S48" s="40"/>
      <c r="T48" s="963"/>
      <c r="U48" s="609"/>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6"/>
      <c r="AV48" s="926"/>
      <c r="AW48" s="926"/>
      <c r="AX48" s="926"/>
      <c r="AY48" s="926"/>
      <c r="AZ48" s="926"/>
    </row>
    <row r="49" spans="1:52" ht="15" customHeight="1" x14ac:dyDescent="0.3">
      <c r="A49" s="926"/>
      <c r="B49" s="609"/>
      <c r="C49" s="962"/>
      <c r="D49" s="40"/>
      <c r="E49" s="2459"/>
      <c r="F49" s="2459"/>
      <c r="G49" s="2459"/>
      <c r="H49" s="2459"/>
      <c r="I49" s="2459"/>
      <c r="J49" s="2459"/>
      <c r="K49" s="2459"/>
      <c r="L49" s="2459"/>
      <c r="M49" s="2459"/>
      <c r="N49" s="2459"/>
      <c r="O49" s="2459"/>
      <c r="P49" s="2459"/>
      <c r="Q49" s="2459"/>
      <c r="R49" s="2459"/>
      <c r="S49" s="40"/>
      <c r="T49" s="963"/>
      <c r="U49" s="609"/>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6"/>
      <c r="AY49" s="926"/>
      <c r="AZ49" s="926"/>
    </row>
    <row r="50" spans="1:52" ht="15" customHeight="1" x14ac:dyDescent="0.3">
      <c r="A50" s="926"/>
      <c r="B50" s="609"/>
      <c r="C50" s="962"/>
      <c r="D50" s="40"/>
      <c r="E50" s="2459"/>
      <c r="F50" s="2459"/>
      <c r="G50" s="2459"/>
      <c r="H50" s="2459"/>
      <c r="I50" s="2459"/>
      <c r="J50" s="2459"/>
      <c r="K50" s="2459"/>
      <c r="L50" s="2459"/>
      <c r="M50" s="2459"/>
      <c r="N50" s="2459"/>
      <c r="O50" s="2459"/>
      <c r="P50" s="2459"/>
      <c r="Q50" s="2459"/>
      <c r="R50" s="2459"/>
      <c r="S50" s="40"/>
      <c r="T50" s="963"/>
      <c r="U50" s="609"/>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6"/>
      <c r="AV50" s="926"/>
      <c r="AW50" s="926"/>
      <c r="AX50" s="926"/>
      <c r="AY50" s="926"/>
      <c r="AZ50" s="926"/>
    </row>
    <row r="51" spans="1:52" ht="15" customHeight="1" x14ac:dyDescent="0.3">
      <c r="A51" s="926"/>
      <c r="B51" s="609"/>
      <c r="C51" s="962"/>
      <c r="D51" s="40"/>
      <c r="E51" s="2459"/>
      <c r="F51" s="2459"/>
      <c r="G51" s="2459"/>
      <c r="H51" s="2459"/>
      <c r="I51" s="2459"/>
      <c r="J51" s="2459"/>
      <c r="K51" s="2459"/>
      <c r="L51" s="2459"/>
      <c r="M51" s="2459"/>
      <c r="N51" s="2459"/>
      <c r="O51" s="2459"/>
      <c r="P51" s="2459"/>
      <c r="Q51" s="2459"/>
      <c r="R51" s="2459"/>
      <c r="S51" s="40"/>
      <c r="T51" s="963"/>
      <c r="U51" s="609"/>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6"/>
      <c r="AV51" s="926"/>
      <c r="AW51" s="926"/>
      <c r="AX51" s="926"/>
      <c r="AY51" s="926"/>
      <c r="AZ51" s="926"/>
    </row>
    <row r="52" spans="1:52" ht="15" customHeight="1" x14ac:dyDescent="0.3">
      <c r="A52" s="926"/>
      <c r="B52" s="609"/>
      <c r="C52" s="962"/>
      <c r="D52" s="40"/>
      <c r="E52" s="2459"/>
      <c r="F52" s="2459"/>
      <c r="G52" s="2459"/>
      <c r="H52" s="2459"/>
      <c r="I52" s="2459"/>
      <c r="J52" s="2459"/>
      <c r="K52" s="2459"/>
      <c r="L52" s="2459"/>
      <c r="M52" s="2459"/>
      <c r="N52" s="2459"/>
      <c r="O52" s="2459"/>
      <c r="P52" s="2459"/>
      <c r="Q52" s="2459"/>
      <c r="R52" s="2459"/>
      <c r="S52" s="40"/>
      <c r="T52" s="963"/>
      <c r="U52" s="609"/>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6"/>
      <c r="AV52" s="926"/>
      <c r="AW52" s="926"/>
      <c r="AX52" s="926"/>
      <c r="AY52" s="926"/>
      <c r="AZ52" s="926"/>
    </row>
    <row r="53" spans="1:52" ht="15" customHeight="1" x14ac:dyDescent="0.3">
      <c r="A53" s="926"/>
      <c r="B53" s="609"/>
      <c r="C53" s="962"/>
      <c r="D53" s="40"/>
      <c r="E53" s="2459"/>
      <c r="F53" s="2459"/>
      <c r="G53" s="2459"/>
      <c r="H53" s="2459"/>
      <c r="I53" s="2459"/>
      <c r="J53" s="2459"/>
      <c r="K53" s="2459"/>
      <c r="L53" s="2459"/>
      <c r="M53" s="2459"/>
      <c r="N53" s="2459"/>
      <c r="O53" s="2459"/>
      <c r="P53" s="2459"/>
      <c r="Q53" s="2459"/>
      <c r="R53" s="2459"/>
      <c r="S53" s="40"/>
      <c r="T53" s="963"/>
      <c r="U53" s="609"/>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6"/>
      <c r="AV53" s="926"/>
      <c r="AW53" s="926"/>
      <c r="AX53" s="926"/>
      <c r="AY53" s="926"/>
      <c r="AZ53" s="926"/>
    </row>
    <row r="54" spans="1:52" ht="15" customHeight="1" x14ac:dyDescent="0.3">
      <c r="A54" s="926"/>
      <c r="B54" s="609"/>
      <c r="C54" s="962"/>
      <c r="D54" s="40"/>
      <c r="E54" s="2459"/>
      <c r="F54" s="2459"/>
      <c r="G54" s="2459"/>
      <c r="H54" s="2459"/>
      <c r="I54" s="2459"/>
      <c r="J54" s="2459"/>
      <c r="K54" s="2459"/>
      <c r="L54" s="2459"/>
      <c r="M54" s="2459"/>
      <c r="N54" s="2459"/>
      <c r="O54" s="2459"/>
      <c r="P54" s="2459"/>
      <c r="Q54" s="2459"/>
      <c r="R54" s="2459"/>
      <c r="S54" s="40"/>
      <c r="T54" s="963"/>
      <c r="U54" s="609"/>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6"/>
      <c r="AV54" s="926"/>
      <c r="AW54" s="926"/>
      <c r="AX54" s="926"/>
      <c r="AY54" s="926"/>
      <c r="AZ54" s="926"/>
    </row>
    <row r="55" spans="1:52" ht="15" customHeight="1" x14ac:dyDescent="0.3">
      <c r="A55" s="926"/>
      <c r="B55" s="609"/>
      <c r="C55" s="962"/>
      <c r="D55" s="40"/>
      <c r="E55" s="2459"/>
      <c r="F55" s="2459"/>
      <c r="G55" s="2459"/>
      <c r="H55" s="2459"/>
      <c r="I55" s="2459"/>
      <c r="J55" s="2459"/>
      <c r="K55" s="2459"/>
      <c r="L55" s="2459"/>
      <c r="M55" s="2459"/>
      <c r="N55" s="2459"/>
      <c r="O55" s="2459"/>
      <c r="P55" s="2459"/>
      <c r="Q55" s="2459"/>
      <c r="R55" s="2459"/>
      <c r="S55" s="40"/>
      <c r="T55" s="963"/>
      <c r="U55" s="609"/>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6"/>
      <c r="AV55" s="926"/>
      <c r="AW55" s="926"/>
      <c r="AX55" s="926"/>
      <c r="AY55" s="926"/>
      <c r="AZ55" s="926"/>
    </row>
    <row r="56" spans="1:52" ht="15" customHeight="1" x14ac:dyDescent="0.3">
      <c r="A56" s="926"/>
      <c r="B56" s="609"/>
      <c r="C56" s="962"/>
      <c r="D56" s="40"/>
      <c r="E56" s="40"/>
      <c r="F56" s="40"/>
      <c r="G56" s="40"/>
      <c r="H56" s="40"/>
      <c r="I56" s="40"/>
      <c r="J56" s="40"/>
      <c r="K56" s="40"/>
      <c r="L56" s="40"/>
      <c r="M56" s="40"/>
      <c r="N56" s="40"/>
      <c r="O56" s="40"/>
      <c r="P56" s="40"/>
      <c r="Q56" s="40"/>
      <c r="R56" s="40"/>
      <c r="S56" s="40"/>
      <c r="T56" s="963"/>
      <c r="U56" s="609"/>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6"/>
      <c r="AY56" s="926"/>
      <c r="AZ56" s="926"/>
    </row>
    <row r="57" spans="1:52" ht="15" customHeight="1" x14ac:dyDescent="0.3">
      <c r="A57" s="926"/>
      <c r="B57" s="609"/>
      <c r="C57" s="962"/>
      <c r="D57" s="40"/>
      <c r="E57" s="40"/>
      <c r="F57" s="40"/>
      <c r="G57" s="40"/>
      <c r="H57" s="40"/>
      <c r="I57" s="40"/>
      <c r="J57" s="40"/>
      <c r="K57" s="40"/>
      <c r="L57" s="40"/>
      <c r="M57" s="40"/>
      <c r="N57" s="40"/>
      <c r="O57" s="40"/>
      <c r="P57" s="40"/>
      <c r="Q57" s="40"/>
      <c r="R57" s="40"/>
      <c r="S57" s="40"/>
      <c r="T57" s="963"/>
      <c r="U57" s="609"/>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6"/>
      <c r="AY57" s="926"/>
      <c r="AZ57" s="926"/>
    </row>
    <row r="58" spans="1:52" ht="15" customHeight="1" x14ac:dyDescent="0.3">
      <c r="A58" s="926"/>
      <c r="B58" s="609"/>
      <c r="C58" s="962"/>
      <c r="D58" s="40"/>
      <c r="E58" s="2399" t="s">
        <v>67</v>
      </c>
      <c r="F58" s="2399"/>
      <c r="G58" s="2399"/>
      <c r="H58" s="2399"/>
      <c r="I58" s="2399"/>
      <c r="J58" s="2399"/>
      <c r="K58" s="2399"/>
      <c r="L58" s="2399"/>
      <c r="M58" s="2399"/>
      <c r="N58" s="2399"/>
      <c r="O58" s="2399"/>
      <c r="P58" s="2399"/>
      <c r="Q58" s="2399"/>
      <c r="R58" s="2399"/>
      <c r="S58" s="40"/>
      <c r="T58" s="963"/>
      <c r="U58" s="609"/>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6"/>
      <c r="AV58" s="926"/>
      <c r="AW58" s="926"/>
      <c r="AX58" s="926"/>
      <c r="AY58" s="926"/>
      <c r="AZ58" s="926"/>
    </row>
    <row r="59" spans="1:52" ht="15" customHeight="1" x14ac:dyDescent="0.3">
      <c r="A59" s="926"/>
      <c r="B59" s="609"/>
      <c r="C59" s="962"/>
      <c r="D59" s="40"/>
      <c r="E59" s="2399"/>
      <c r="F59" s="2399"/>
      <c r="G59" s="2399"/>
      <c r="H59" s="2399"/>
      <c r="I59" s="2399"/>
      <c r="J59" s="2399"/>
      <c r="K59" s="2399"/>
      <c r="L59" s="2399"/>
      <c r="M59" s="2399"/>
      <c r="N59" s="2399"/>
      <c r="O59" s="2399"/>
      <c r="P59" s="2399"/>
      <c r="Q59" s="2399"/>
      <c r="R59" s="2399"/>
      <c r="S59" s="40"/>
      <c r="T59" s="963"/>
      <c r="U59" s="609"/>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26"/>
      <c r="AY59" s="926"/>
      <c r="AZ59" s="926"/>
    </row>
    <row r="60" spans="1:52" ht="15" customHeight="1" x14ac:dyDescent="0.3">
      <c r="A60" s="926"/>
      <c r="B60" s="609"/>
      <c r="C60" s="962"/>
      <c r="D60" s="40"/>
      <c r="E60" s="2399"/>
      <c r="F60" s="2399"/>
      <c r="G60" s="2399"/>
      <c r="H60" s="2399"/>
      <c r="I60" s="2399"/>
      <c r="J60" s="2399"/>
      <c r="K60" s="2399"/>
      <c r="L60" s="2399"/>
      <c r="M60" s="2399"/>
      <c r="N60" s="2399"/>
      <c r="O60" s="2399"/>
      <c r="P60" s="2399"/>
      <c r="Q60" s="2399"/>
      <c r="R60" s="2399"/>
      <c r="S60" s="40"/>
      <c r="T60" s="963"/>
      <c r="U60" s="609"/>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6"/>
      <c r="AV60" s="926"/>
      <c r="AW60" s="926"/>
      <c r="AX60" s="926"/>
      <c r="AY60" s="926"/>
      <c r="AZ60" s="926"/>
    </row>
    <row r="61" spans="1:52" ht="15" customHeight="1" x14ac:dyDescent="0.3">
      <c r="A61" s="926"/>
      <c r="B61" s="609"/>
      <c r="C61" s="962"/>
      <c r="D61" s="40"/>
      <c r="E61" s="2399"/>
      <c r="F61" s="2399"/>
      <c r="G61" s="2399"/>
      <c r="H61" s="2399"/>
      <c r="I61" s="2399"/>
      <c r="J61" s="2399"/>
      <c r="K61" s="2399"/>
      <c r="L61" s="2399"/>
      <c r="M61" s="2399"/>
      <c r="N61" s="2399"/>
      <c r="O61" s="2399"/>
      <c r="P61" s="2399"/>
      <c r="Q61" s="2399"/>
      <c r="R61" s="2399"/>
      <c r="S61" s="40"/>
      <c r="T61" s="963"/>
      <c r="U61" s="609"/>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6"/>
      <c r="AV61" s="926"/>
      <c r="AW61" s="926"/>
      <c r="AX61" s="926"/>
      <c r="AY61" s="926"/>
      <c r="AZ61" s="926"/>
    </row>
    <row r="62" spans="1:52" ht="15" customHeight="1" x14ac:dyDescent="0.3">
      <c r="A62" s="926"/>
      <c r="B62" s="609"/>
      <c r="C62" s="962"/>
      <c r="D62" s="40"/>
      <c r="E62" s="2428" t="s">
        <v>31</v>
      </c>
      <c r="F62" s="2428"/>
      <c r="G62" s="2428"/>
      <c r="H62" s="2428"/>
      <c r="I62" s="2428"/>
      <c r="J62" s="2428"/>
      <c r="K62" s="2428" t="s">
        <v>32</v>
      </c>
      <c r="L62" s="2428"/>
      <c r="M62" s="2428"/>
      <c r="N62" s="2428"/>
      <c r="O62" s="2428"/>
      <c r="P62" s="2428"/>
      <c r="Q62" s="2428"/>
      <c r="R62" s="2428"/>
      <c r="S62" s="40"/>
      <c r="T62" s="963"/>
      <c r="U62" s="609"/>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6"/>
      <c r="AV62" s="926"/>
      <c r="AW62" s="926"/>
      <c r="AX62" s="926"/>
      <c r="AY62" s="926"/>
      <c r="AZ62" s="926"/>
    </row>
    <row r="63" spans="1:52" ht="15" customHeight="1" x14ac:dyDescent="0.3">
      <c r="A63" s="926"/>
      <c r="B63" s="609"/>
      <c r="C63" s="962"/>
      <c r="D63" s="40"/>
      <c r="E63" s="2400" t="s">
        <v>68</v>
      </c>
      <c r="F63" s="2400"/>
      <c r="G63" s="2400"/>
      <c r="H63" s="2400"/>
      <c r="I63" s="2400"/>
      <c r="J63" s="2400"/>
      <c r="K63" s="2411" t="s">
        <v>69</v>
      </c>
      <c r="L63" s="2429"/>
      <c r="M63" s="2429"/>
      <c r="N63" s="2429"/>
      <c r="O63" s="2429"/>
      <c r="P63" s="2429"/>
      <c r="Q63" s="2429"/>
      <c r="R63" s="2412"/>
      <c r="S63" s="40"/>
      <c r="T63" s="963"/>
      <c r="U63" s="609"/>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6"/>
      <c r="AY63" s="926"/>
      <c r="AZ63" s="926"/>
    </row>
    <row r="64" spans="1:52" ht="15" customHeight="1" x14ac:dyDescent="0.3">
      <c r="A64" s="926"/>
      <c r="B64" s="609"/>
      <c r="C64" s="962"/>
      <c r="D64" s="40"/>
      <c r="E64" s="2400"/>
      <c r="F64" s="2400"/>
      <c r="G64" s="2400"/>
      <c r="H64" s="2400"/>
      <c r="I64" s="2400"/>
      <c r="J64" s="2400"/>
      <c r="K64" s="2413"/>
      <c r="L64" s="2430"/>
      <c r="M64" s="2430"/>
      <c r="N64" s="2430"/>
      <c r="O64" s="2430"/>
      <c r="P64" s="2430"/>
      <c r="Q64" s="2430"/>
      <c r="R64" s="2414"/>
      <c r="S64" s="40"/>
      <c r="T64" s="963"/>
      <c r="U64" s="609"/>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6"/>
      <c r="AV64" s="926"/>
      <c r="AW64" s="926"/>
      <c r="AX64" s="926"/>
      <c r="AY64" s="926"/>
      <c r="AZ64" s="926"/>
    </row>
    <row r="65" spans="1:52" ht="15" customHeight="1" x14ac:dyDescent="0.3">
      <c r="A65" s="926"/>
      <c r="B65" s="609"/>
      <c r="C65" s="962"/>
      <c r="D65" s="40"/>
      <c r="E65" s="2400"/>
      <c r="F65" s="2400"/>
      <c r="G65" s="2400"/>
      <c r="H65" s="2400"/>
      <c r="I65" s="2400"/>
      <c r="J65" s="2400"/>
      <c r="K65" s="2413"/>
      <c r="L65" s="2430"/>
      <c r="M65" s="2430"/>
      <c r="N65" s="2430"/>
      <c r="O65" s="2430"/>
      <c r="P65" s="2430"/>
      <c r="Q65" s="2430"/>
      <c r="R65" s="2414"/>
      <c r="S65" s="40"/>
      <c r="T65" s="963"/>
      <c r="U65" s="609"/>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6"/>
      <c r="AV65" s="926"/>
      <c r="AW65" s="926"/>
      <c r="AX65" s="926"/>
      <c r="AY65" s="926"/>
      <c r="AZ65" s="926"/>
    </row>
    <row r="66" spans="1:52" ht="15" customHeight="1" x14ac:dyDescent="0.3">
      <c r="A66" s="926"/>
      <c r="B66" s="609"/>
      <c r="C66" s="962"/>
      <c r="D66" s="40"/>
      <c r="E66" s="2400"/>
      <c r="F66" s="2400"/>
      <c r="G66" s="2400"/>
      <c r="H66" s="2400"/>
      <c r="I66" s="2400"/>
      <c r="J66" s="2400"/>
      <c r="K66" s="2415"/>
      <c r="L66" s="2431"/>
      <c r="M66" s="2431"/>
      <c r="N66" s="2431"/>
      <c r="O66" s="2431"/>
      <c r="P66" s="2431"/>
      <c r="Q66" s="2431"/>
      <c r="R66" s="2416"/>
      <c r="S66" s="40"/>
      <c r="T66" s="963"/>
      <c r="U66" s="609"/>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6"/>
      <c r="AV66" s="926"/>
      <c r="AW66" s="926"/>
      <c r="AX66" s="926"/>
      <c r="AY66" s="926"/>
      <c r="AZ66" s="926"/>
    </row>
    <row r="67" spans="1:52" ht="15" customHeight="1" x14ac:dyDescent="0.3">
      <c r="A67" s="926"/>
      <c r="B67" s="609"/>
      <c r="C67" s="962"/>
      <c r="D67" s="40"/>
      <c r="E67" s="40"/>
      <c r="F67" s="40"/>
      <c r="G67" s="40"/>
      <c r="H67" s="40"/>
      <c r="I67" s="40"/>
      <c r="J67" s="40"/>
      <c r="K67" s="40"/>
      <c r="L67" s="40"/>
      <c r="M67" s="40"/>
      <c r="N67" s="40"/>
      <c r="O67" s="40"/>
      <c r="P67" s="40"/>
      <c r="Q67" s="40"/>
      <c r="R67" s="40"/>
      <c r="S67" s="40"/>
      <c r="T67" s="963"/>
      <c r="U67" s="609"/>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6"/>
      <c r="AV67" s="926"/>
      <c r="AW67" s="926"/>
      <c r="AX67" s="926"/>
      <c r="AY67" s="926"/>
      <c r="AZ67" s="926"/>
    </row>
    <row r="68" spans="1:52" ht="15" customHeight="1" thickBot="1" x14ac:dyDescent="0.35">
      <c r="A68" s="926"/>
      <c r="B68" s="609"/>
      <c r="C68" s="962"/>
      <c r="D68" s="40"/>
      <c r="E68" s="40"/>
      <c r="F68" s="40"/>
      <c r="G68" s="40"/>
      <c r="H68" s="40"/>
      <c r="I68" s="40"/>
      <c r="J68" s="40"/>
      <c r="K68" s="40"/>
      <c r="L68" s="40"/>
      <c r="M68" s="40"/>
      <c r="N68" s="40"/>
      <c r="O68" s="40"/>
      <c r="P68" s="40"/>
      <c r="Q68" s="40"/>
      <c r="R68" s="40"/>
      <c r="S68" s="40"/>
      <c r="T68" s="963"/>
      <c r="U68" s="609"/>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6"/>
      <c r="AV68" s="926"/>
      <c r="AW68" s="926"/>
      <c r="AX68" s="926"/>
      <c r="AY68" s="926"/>
      <c r="AZ68" s="926"/>
    </row>
    <row r="69" spans="1:52" ht="15" customHeight="1" x14ac:dyDescent="0.3">
      <c r="A69" s="926"/>
      <c r="B69" s="609"/>
      <c r="C69" s="962"/>
      <c r="D69" s="40"/>
      <c r="E69" s="40"/>
      <c r="F69" s="40"/>
      <c r="G69" s="2441" t="s">
        <v>70</v>
      </c>
      <c r="H69" s="2442"/>
      <c r="I69" s="2442"/>
      <c r="J69" s="2442"/>
      <c r="K69" s="2442"/>
      <c r="L69" s="2442"/>
      <c r="M69" s="2442"/>
      <c r="N69" s="2442"/>
      <c r="O69" s="2442"/>
      <c r="P69" s="2443"/>
      <c r="Q69" s="40"/>
      <c r="R69" s="40"/>
      <c r="S69" s="40"/>
      <c r="T69" s="963"/>
      <c r="U69" s="609"/>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6"/>
      <c r="AV69" s="926"/>
      <c r="AW69" s="926"/>
      <c r="AX69" s="926"/>
      <c r="AY69" s="926"/>
      <c r="AZ69" s="926"/>
    </row>
    <row r="70" spans="1:52" ht="15" customHeight="1" x14ac:dyDescent="0.3">
      <c r="A70" s="926"/>
      <c r="B70" s="609"/>
      <c r="C70" s="962"/>
      <c r="D70" s="40"/>
      <c r="E70" s="40"/>
      <c r="F70" s="40"/>
      <c r="G70" s="2444"/>
      <c r="H70" s="2380"/>
      <c r="I70" s="2380"/>
      <c r="J70" s="2380"/>
      <c r="K70" s="2380"/>
      <c r="L70" s="2380"/>
      <c r="M70" s="2380"/>
      <c r="N70" s="2380"/>
      <c r="O70" s="2380"/>
      <c r="P70" s="2445"/>
      <c r="Q70" s="40"/>
      <c r="R70" s="40"/>
      <c r="S70" s="40"/>
      <c r="T70" s="963"/>
      <c r="U70" s="609"/>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6"/>
      <c r="AV70" s="926"/>
      <c r="AW70" s="926"/>
      <c r="AX70" s="926"/>
      <c r="AY70" s="926"/>
      <c r="AZ70" s="926"/>
    </row>
    <row r="71" spans="1:52" ht="15" customHeight="1" x14ac:dyDescent="0.3">
      <c r="A71" s="926"/>
      <c r="B71" s="609"/>
      <c r="C71" s="962"/>
      <c r="D71" s="40"/>
      <c r="E71" s="40"/>
      <c r="F71" s="40"/>
      <c r="G71" s="2444"/>
      <c r="H71" s="2380"/>
      <c r="I71" s="2380"/>
      <c r="J71" s="2380"/>
      <c r="K71" s="2380"/>
      <c r="L71" s="2380"/>
      <c r="M71" s="2380"/>
      <c r="N71" s="2380"/>
      <c r="O71" s="2380"/>
      <c r="P71" s="2445"/>
      <c r="Q71" s="40"/>
      <c r="R71" s="40"/>
      <c r="S71" s="40"/>
      <c r="T71" s="963"/>
      <c r="U71" s="609"/>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6"/>
      <c r="AV71" s="926"/>
      <c r="AW71" s="926"/>
      <c r="AX71" s="926"/>
      <c r="AY71" s="926"/>
      <c r="AZ71" s="926"/>
    </row>
    <row r="72" spans="1:52" ht="15" customHeight="1" thickBot="1" x14ac:dyDescent="0.35">
      <c r="A72" s="926"/>
      <c r="B72" s="609"/>
      <c r="C72" s="962"/>
      <c r="D72" s="40"/>
      <c r="E72" s="40"/>
      <c r="F72" s="40"/>
      <c r="G72" s="2446"/>
      <c r="H72" s="2447"/>
      <c r="I72" s="2447"/>
      <c r="J72" s="2447"/>
      <c r="K72" s="2447"/>
      <c r="L72" s="2447"/>
      <c r="M72" s="2447"/>
      <c r="N72" s="2447"/>
      <c r="O72" s="2447"/>
      <c r="P72" s="2448"/>
      <c r="Q72" s="40"/>
      <c r="R72" s="40"/>
      <c r="S72" s="40"/>
      <c r="T72" s="963"/>
      <c r="U72" s="609"/>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6"/>
      <c r="AV72" s="926"/>
      <c r="AW72" s="926"/>
      <c r="AX72" s="926"/>
      <c r="AY72" s="926"/>
      <c r="AZ72" s="926"/>
    </row>
    <row r="73" spans="1:52" ht="15" customHeight="1" x14ac:dyDescent="0.3">
      <c r="A73" s="926"/>
      <c r="B73" s="609"/>
      <c r="C73" s="962"/>
      <c r="D73" s="40"/>
      <c r="E73" s="40"/>
      <c r="F73" s="40"/>
      <c r="G73" s="40"/>
      <c r="H73" s="40"/>
      <c r="I73" s="40"/>
      <c r="J73" s="40"/>
      <c r="K73" s="40"/>
      <c r="L73" s="40"/>
      <c r="M73" s="40"/>
      <c r="N73" s="40"/>
      <c r="O73" s="40"/>
      <c r="P73" s="40"/>
      <c r="Q73" s="40"/>
      <c r="R73" s="40"/>
      <c r="S73" s="40"/>
      <c r="T73" s="963"/>
      <c r="U73" s="609"/>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6"/>
      <c r="AV73" s="926"/>
      <c r="AW73" s="926"/>
      <c r="AX73" s="926"/>
      <c r="AY73" s="926"/>
      <c r="AZ73" s="926"/>
    </row>
    <row r="74" spans="1:52" ht="15" customHeight="1" x14ac:dyDescent="0.3">
      <c r="A74" s="926"/>
      <c r="B74" s="609"/>
      <c r="C74" s="962"/>
      <c r="D74" s="40"/>
      <c r="E74" s="2402" t="s">
        <v>71</v>
      </c>
      <c r="F74" s="2402"/>
      <c r="G74" s="2402"/>
      <c r="H74" s="2402"/>
      <c r="I74" s="2402"/>
      <c r="J74" s="2402"/>
      <c r="K74" s="2402"/>
      <c r="L74" s="2402"/>
      <c r="M74" s="2402"/>
      <c r="N74" s="2402"/>
      <c r="O74" s="2402"/>
      <c r="P74" s="2402"/>
      <c r="Q74" s="2402"/>
      <c r="R74" s="2402"/>
      <c r="S74" s="40"/>
      <c r="T74" s="963"/>
      <c r="U74" s="609"/>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6"/>
      <c r="AV74" s="926"/>
      <c r="AW74" s="926"/>
      <c r="AX74" s="926"/>
      <c r="AY74" s="926"/>
      <c r="AZ74" s="926"/>
    </row>
    <row r="75" spans="1:52" ht="15" customHeight="1" x14ac:dyDescent="0.3">
      <c r="A75" s="926"/>
      <c r="B75" s="609"/>
      <c r="C75" s="962"/>
      <c r="D75" s="40"/>
      <c r="E75" s="2402"/>
      <c r="F75" s="2402"/>
      <c r="G75" s="2402"/>
      <c r="H75" s="2402"/>
      <c r="I75" s="2402"/>
      <c r="J75" s="2402"/>
      <c r="K75" s="2402"/>
      <c r="L75" s="2402"/>
      <c r="M75" s="2402"/>
      <c r="N75" s="2402"/>
      <c r="O75" s="2402"/>
      <c r="P75" s="2402"/>
      <c r="Q75" s="2402"/>
      <c r="R75" s="2402"/>
      <c r="S75" s="40"/>
      <c r="T75" s="963"/>
      <c r="U75" s="609"/>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6"/>
      <c r="AV75" s="926"/>
      <c r="AW75" s="926"/>
      <c r="AX75" s="926"/>
      <c r="AY75" s="926"/>
      <c r="AZ75" s="926"/>
    </row>
    <row r="76" spans="1:52" ht="15" customHeight="1" x14ac:dyDescent="0.3">
      <c r="A76" s="926"/>
      <c r="B76" s="609"/>
      <c r="C76" s="962"/>
      <c r="D76" s="40"/>
      <c r="E76" s="2402"/>
      <c r="F76" s="2402"/>
      <c r="G76" s="2402"/>
      <c r="H76" s="2402"/>
      <c r="I76" s="2402"/>
      <c r="J76" s="2402"/>
      <c r="K76" s="2402"/>
      <c r="L76" s="2402"/>
      <c r="M76" s="2402"/>
      <c r="N76" s="2402"/>
      <c r="O76" s="2402"/>
      <c r="P76" s="2402"/>
      <c r="Q76" s="2402"/>
      <c r="R76" s="2402"/>
      <c r="S76" s="40"/>
      <c r="T76" s="963"/>
      <c r="U76" s="609"/>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6"/>
      <c r="AV76" s="926"/>
      <c r="AW76" s="926"/>
      <c r="AX76" s="926"/>
      <c r="AY76" s="926"/>
      <c r="AZ76" s="926"/>
    </row>
    <row r="77" spans="1:52" ht="15" customHeight="1" x14ac:dyDescent="0.3">
      <c r="A77" s="926"/>
      <c r="B77" s="609"/>
      <c r="C77" s="962"/>
      <c r="D77" s="40"/>
      <c r="E77" s="2402"/>
      <c r="F77" s="2402"/>
      <c r="G77" s="2402"/>
      <c r="H77" s="2402"/>
      <c r="I77" s="2402"/>
      <c r="J77" s="2402"/>
      <c r="K77" s="2402"/>
      <c r="L77" s="2402"/>
      <c r="M77" s="2402"/>
      <c r="N77" s="2402"/>
      <c r="O77" s="2402"/>
      <c r="P77" s="2402"/>
      <c r="Q77" s="2402"/>
      <c r="R77" s="2402"/>
      <c r="S77" s="40"/>
      <c r="T77" s="963"/>
      <c r="U77" s="609"/>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6"/>
      <c r="AV77" s="926"/>
      <c r="AW77" s="926"/>
      <c r="AX77" s="926"/>
      <c r="AY77" s="926"/>
      <c r="AZ77" s="926"/>
    </row>
    <row r="78" spans="1:52" ht="15" customHeight="1" x14ac:dyDescent="0.3">
      <c r="A78" s="926"/>
      <c r="B78" s="609"/>
      <c r="C78" s="962"/>
      <c r="D78" s="40"/>
      <c r="E78" s="2428" t="s">
        <v>31</v>
      </c>
      <c r="F78" s="2428"/>
      <c r="G78" s="2428"/>
      <c r="H78" s="2428"/>
      <c r="I78" s="2428"/>
      <c r="J78" s="2428"/>
      <c r="K78" s="2428" t="s">
        <v>32</v>
      </c>
      <c r="L78" s="2428"/>
      <c r="M78" s="2428"/>
      <c r="N78" s="2428"/>
      <c r="O78" s="2428"/>
      <c r="P78" s="2428"/>
      <c r="Q78" s="2428"/>
      <c r="R78" s="2428"/>
      <c r="S78" s="40"/>
      <c r="T78" s="963"/>
      <c r="U78" s="609"/>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6"/>
      <c r="AV78" s="926"/>
      <c r="AW78" s="926"/>
      <c r="AX78" s="926"/>
      <c r="AY78" s="926"/>
      <c r="AZ78" s="926"/>
    </row>
    <row r="79" spans="1:52" ht="15" customHeight="1" x14ac:dyDescent="0.3">
      <c r="A79" s="926"/>
      <c r="B79" s="609"/>
      <c r="C79" s="962"/>
      <c r="D79" s="40"/>
      <c r="E79" s="2400" t="s">
        <v>72</v>
      </c>
      <c r="F79" s="2400"/>
      <c r="G79" s="2400"/>
      <c r="H79" s="2400"/>
      <c r="I79" s="2400"/>
      <c r="J79" s="2400"/>
      <c r="K79" s="2429" t="s">
        <v>73</v>
      </c>
      <c r="L79" s="2429"/>
      <c r="M79" s="2429"/>
      <c r="N79" s="2429"/>
      <c r="O79" s="2429"/>
      <c r="P79" s="2429"/>
      <c r="Q79" s="2429"/>
      <c r="R79" s="2412"/>
      <c r="S79" s="40"/>
      <c r="T79" s="963"/>
      <c r="U79" s="609"/>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R79" s="926"/>
      <c r="AS79" s="926"/>
      <c r="AT79" s="926"/>
      <c r="AU79" s="926"/>
      <c r="AV79" s="926"/>
      <c r="AW79" s="926"/>
      <c r="AX79" s="926"/>
      <c r="AY79" s="926"/>
      <c r="AZ79" s="926"/>
    </row>
    <row r="80" spans="1:52" ht="15" customHeight="1" x14ac:dyDescent="0.3">
      <c r="A80" s="926"/>
      <c r="B80" s="609"/>
      <c r="C80" s="962"/>
      <c r="D80" s="40"/>
      <c r="E80" s="2400"/>
      <c r="F80" s="2400"/>
      <c r="G80" s="2400"/>
      <c r="H80" s="2400"/>
      <c r="I80" s="2400"/>
      <c r="J80" s="2400"/>
      <c r="K80" s="2430"/>
      <c r="L80" s="2430"/>
      <c r="M80" s="2430"/>
      <c r="N80" s="2430"/>
      <c r="O80" s="2430"/>
      <c r="P80" s="2430"/>
      <c r="Q80" s="2430"/>
      <c r="R80" s="2414"/>
      <c r="S80" s="40"/>
      <c r="T80" s="963"/>
      <c r="U80" s="609"/>
      <c r="V80" s="926"/>
      <c r="W80" s="926"/>
      <c r="X80" s="926"/>
      <c r="Y80" s="926"/>
      <c r="Z80" s="926"/>
      <c r="AA80" s="926"/>
      <c r="AB80" s="926"/>
      <c r="AC80" s="926"/>
      <c r="AD80" s="926"/>
      <c r="AE80" s="926"/>
      <c r="AF80" s="926"/>
      <c r="AG80" s="926"/>
      <c r="AH80" s="926"/>
      <c r="AI80" s="926"/>
      <c r="AJ80" s="926"/>
      <c r="AK80" s="926"/>
      <c r="AL80" s="926"/>
      <c r="AM80" s="926"/>
      <c r="AN80" s="926"/>
      <c r="AO80" s="926"/>
      <c r="AP80" s="926"/>
      <c r="AQ80" s="926"/>
      <c r="AR80" s="926"/>
      <c r="AS80" s="926"/>
      <c r="AT80" s="926"/>
      <c r="AU80" s="926"/>
      <c r="AV80" s="926"/>
      <c r="AW80" s="926"/>
      <c r="AX80" s="926"/>
      <c r="AY80" s="926"/>
      <c r="AZ80" s="926"/>
    </row>
    <row r="81" spans="1:52" ht="15" customHeight="1" x14ac:dyDescent="0.3">
      <c r="A81" s="926"/>
      <c r="B81" s="609"/>
      <c r="C81" s="962"/>
      <c r="D81" s="40"/>
      <c r="E81" s="2400"/>
      <c r="F81" s="2400"/>
      <c r="G81" s="2400"/>
      <c r="H81" s="2400"/>
      <c r="I81" s="2400"/>
      <c r="J81" s="2400"/>
      <c r="K81" s="2430"/>
      <c r="L81" s="2430"/>
      <c r="M81" s="2430"/>
      <c r="N81" s="2430"/>
      <c r="O81" s="2430"/>
      <c r="P81" s="2430"/>
      <c r="Q81" s="2430"/>
      <c r="R81" s="2414"/>
      <c r="S81" s="40"/>
      <c r="T81" s="963"/>
      <c r="U81" s="609"/>
      <c r="V81" s="926"/>
      <c r="W81" s="926"/>
      <c r="X81" s="926"/>
      <c r="Y81" s="926"/>
      <c r="Z81" s="926"/>
      <c r="AA81" s="926"/>
      <c r="AB81" s="926"/>
      <c r="AC81" s="926"/>
      <c r="AD81" s="926"/>
      <c r="AE81" s="926"/>
      <c r="AF81" s="926"/>
      <c r="AG81" s="926"/>
      <c r="AH81" s="926"/>
      <c r="AI81" s="926"/>
      <c r="AJ81" s="926"/>
      <c r="AK81" s="926"/>
      <c r="AL81" s="926"/>
      <c r="AM81" s="926"/>
      <c r="AN81" s="926"/>
      <c r="AO81" s="926"/>
      <c r="AP81" s="926"/>
      <c r="AQ81" s="926"/>
      <c r="AR81" s="926"/>
      <c r="AS81" s="926"/>
      <c r="AT81" s="926"/>
      <c r="AU81" s="926"/>
      <c r="AV81" s="926"/>
      <c r="AW81" s="926"/>
      <c r="AX81" s="926"/>
      <c r="AY81" s="926"/>
      <c r="AZ81" s="926"/>
    </row>
    <row r="82" spans="1:52" ht="15" customHeight="1" x14ac:dyDescent="0.3">
      <c r="A82" s="926"/>
      <c r="B82" s="609"/>
      <c r="C82" s="962"/>
      <c r="D82" s="40"/>
      <c r="E82" s="2400"/>
      <c r="F82" s="2400"/>
      <c r="G82" s="2400"/>
      <c r="H82" s="2400"/>
      <c r="I82" s="2400"/>
      <c r="J82" s="2400"/>
      <c r="K82" s="2431"/>
      <c r="L82" s="2431"/>
      <c r="M82" s="2431"/>
      <c r="N82" s="2431"/>
      <c r="O82" s="2431"/>
      <c r="P82" s="2431"/>
      <c r="Q82" s="2431"/>
      <c r="R82" s="2416"/>
      <c r="S82" s="40"/>
      <c r="T82" s="963"/>
      <c r="U82" s="609"/>
      <c r="V82" s="926"/>
      <c r="W82" s="926"/>
      <c r="X82" s="926"/>
      <c r="Y82" s="926"/>
      <c r="Z82" s="926"/>
      <c r="AA82" s="926"/>
      <c r="AB82" s="926"/>
      <c r="AC82" s="926"/>
      <c r="AD82" s="926"/>
      <c r="AE82" s="926"/>
      <c r="AF82" s="926"/>
      <c r="AG82" s="926"/>
      <c r="AH82" s="926"/>
      <c r="AI82" s="926"/>
      <c r="AJ82" s="926"/>
      <c r="AK82" s="926"/>
      <c r="AL82" s="926"/>
      <c r="AM82" s="926"/>
      <c r="AN82" s="926"/>
      <c r="AO82" s="926"/>
      <c r="AP82" s="926"/>
      <c r="AQ82" s="926"/>
      <c r="AR82" s="926"/>
      <c r="AS82" s="926"/>
      <c r="AT82" s="926"/>
      <c r="AU82" s="926"/>
      <c r="AV82" s="926"/>
      <c r="AW82" s="926"/>
      <c r="AX82" s="926"/>
      <c r="AY82" s="926"/>
      <c r="AZ82" s="926"/>
    </row>
    <row r="83" spans="1:52" ht="15" customHeight="1" x14ac:dyDescent="0.3">
      <c r="A83" s="926"/>
      <c r="B83" s="609"/>
      <c r="C83" s="962"/>
      <c r="D83" s="40"/>
      <c r="E83" s="40"/>
      <c r="F83" s="40"/>
      <c r="G83" s="40"/>
      <c r="H83" s="40"/>
      <c r="I83" s="40"/>
      <c r="J83" s="40"/>
      <c r="K83" s="40"/>
      <c r="L83" s="40"/>
      <c r="M83" s="40"/>
      <c r="N83" s="40"/>
      <c r="O83" s="40"/>
      <c r="P83" s="40"/>
      <c r="Q83" s="40"/>
      <c r="R83" s="40"/>
      <c r="S83" s="40"/>
      <c r="T83" s="963"/>
      <c r="U83" s="609"/>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R83" s="926"/>
      <c r="AS83" s="926"/>
      <c r="AT83" s="926"/>
      <c r="AU83" s="926"/>
      <c r="AV83" s="926"/>
      <c r="AW83" s="926"/>
      <c r="AX83" s="926"/>
      <c r="AY83" s="926"/>
      <c r="AZ83" s="926"/>
    </row>
    <row r="84" spans="1:52" ht="15" customHeight="1" x14ac:dyDescent="0.3">
      <c r="A84" s="926"/>
      <c r="B84" s="609"/>
      <c r="C84" s="962"/>
      <c r="D84" s="40"/>
      <c r="E84" s="40"/>
      <c r="F84" s="40"/>
      <c r="G84" s="40"/>
      <c r="H84" s="40"/>
      <c r="I84" s="40"/>
      <c r="J84" s="40"/>
      <c r="K84" s="40"/>
      <c r="L84" s="40"/>
      <c r="M84" s="40"/>
      <c r="N84" s="40"/>
      <c r="O84" s="40"/>
      <c r="P84" s="40"/>
      <c r="Q84" s="40"/>
      <c r="R84" s="40"/>
      <c r="S84" s="1063"/>
      <c r="T84" s="963"/>
      <c r="U84" s="609"/>
      <c r="V84" s="926"/>
      <c r="W84" s="926"/>
      <c r="X84" s="926"/>
      <c r="Y84" s="926"/>
      <c r="Z84" s="926"/>
      <c r="AA84" s="926"/>
      <c r="AB84" s="926"/>
      <c r="AC84" s="926"/>
      <c r="AD84" s="926"/>
      <c r="AE84" s="926"/>
      <c r="AF84" s="926"/>
      <c r="AG84" s="926"/>
      <c r="AH84" s="926"/>
      <c r="AI84" s="926"/>
      <c r="AJ84" s="926"/>
      <c r="AK84" s="926"/>
      <c r="AL84" s="926"/>
      <c r="AM84" s="926"/>
      <c r="AN84" s="926"/>
      <c r="AO84" s="926"/>
      <c r="AP84" s="926"/>
      <c r="AQ84" s="926"/>
      <c r="AR84" s="926"/>
      <c r="AS84" s="926"/>
      <c r="AT84" s="926"/>
      <c r="AU84" s="926"/>
      <c r="AV84" s="926"/>
      <c r="AW84" s="926"/>
      <c r="AX84" s="926"/>
      <c r="AY84" s="926"/>
      <c r="AZ84" s="926"/>
    </row>
    <row r="85" spans="1:52" ht="15" customHeight="1" x14ac:dyDescent="0.3">
      <c r="A85" s="926"/>
      <c r="B85" s="609"/>
      <c r="C85" s="962"/>
      <c r="D85" s="40"/>
      <c r="E85" s="2432" t="str">
        <f>IF(K79="Yes", "What are the sprinkler system settings and water flow rate?","You may skip this question because your farm does not use sprinklers")</f>
        <v>What are the sprinkler system settings and water flow rate?</v>
      </c>
      <c r="F85" s="2433"/>
      <c r="G85" s="2433"/>
      <c r="H85" s="2433"/>
      <c r="I85" s="2433"/>
      <c r="J85" s="2433"/>
      <c r="K85" s="2433"/>
      <c r="L85" s="2433"/>
      <c r="M85" s="2433"/>
      <c r="N85" s="2433"/>
      <c r="O85" s="2433"/>
      <c r="P85" s="2433"/>
      <c r="Q85" s="2433"/>
      <c r="R85" s="2434"/>
      <c r="S85" s="40"/>
      <c r="T85" s="963"/>
      <c r="U85" s="609"/>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AV85" s="926"/>
      <c r="AW85" s="926"/>
      <c r="AX85" s="926"/>
      <c r="AY85" s="926"/>
      <c r="AZ85" s="926"/>
    </row>
    <row r="86" spans="1:52" ht="15" customHeight="1" x14ac:dyDescent="0.3">
      <c r="A86" s="926"/>
      <c r="B86" s="609"/>
      <c r="C86" s="962"/>
      <c r="D86" s="40"/>
      <c r="E86" s="2435"/>
      <c r="F86" s="2436"/>
      <c r="G86" s="2436"/>
      <c r="H86" s="2436"/>
      <c r="I86" s="2436"/>
      <c r="J86" s="2436"/>
      <c r="K86" s="2436"/>
      <c r="L86" s="2436"/>
      <c r="M86" s="2436"/>
      <c r="N86" s="2436"/>
      <c r="O86" s="2436"/>
      <c r="P86" s="2436"/>
      <c r="Q86" s="2436"/>
      <c r="R86" s="2437"/>
      <c r="S86" s="40"/>
      <c r="T86" s="963"/>
      <c r="U86" s="609"/>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926"/>
      <c r="AY86" s="926"/>
      <c r="AZ86" s="926"/>
    </row>
    <row r="87" spans="1:52" ht="15" customHeight="1" x14ac:dyDescent="0.3">
      <c r="A87" s="926"/>
      <c r="B87" s="609"/>
      <c r="C87" s="962"/>
      <c r="D87" s="40"/>
      <c r="E87" s="2435"/>
      <c r="F87" s="2436"/>
      <c r="G87" s="2436"/>
      <c r="H87" s="2436"/>
      <c r="I87" s="2436"/>
      <c r="J87" s="2436"/>
      <c r="K87" s="2436"/>
      <c r="L87" s="2436"/>
      <c r="M87" s="2436"/>
      <c r="N87" s="2436"/>
      <c r="O87" s="2436"/>
      <c r="P87" s="2436"/>
      <c r="Q87" s="2436"/>
      <c r="R87" s="2437"/>
      <c r="S87" s="1063"/>
      <c r="T87" s="963"/>
      <c r="U87" s="609"/>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row>
    <row r="88" spans="1:52" ht="15" customHeight="1" x14ac:dyDescent="0.3">
      <c r="A88" s="926"/>
      <c r="B88" s="609"/>
      <c r="C88" s="962"/>
      <c r="D88" s="40"/>
      <c r="E88" s="2438"/>
      <c r="F88" s="2439"/>
      <c r="G88" s="2439"/>
      <c r="H88" s="2439"/>
      <c r="I88" s="2439"/>
      <c r="J88" s="2439"/>
      <c r="K88" s="2439"/>
      <c r="L88" s="2439"/>
      <c r="M88" s="2439"/>
      <c r="N88" s="2439"/>
      <c r="O88" s="2439"/>
      <c r="P88" s="2439"/>
      <c r="Q88" s="2439"/>
      <c r="R88" s="2440"/>
      <c r="S88" s="40"/>
      <c r="T88" s="963"/>
      <c r="U88" s="609"/>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6"/>
      <c r="AV88" s="926"/>
      <c r="AW88" s="926"/>
      <c r="AX88" s="926"/>
      <c r="AY88" s="926"/>
      <c r="AZ88" s="926"/>
    </row>
    <row r="89" spans="1:52" ht="15" customHeight="1" x14ac:dyDescent="0.3">
      <c r="A89" s="926"/>
      <c r="B89" s="609"/>
      <c r="C89" s="962"/>
      <c r="D89" s="40"/>
      <c r="E89" s="2397" t="s">
        <v>74</v>
      </c>
      <c r="F89" s="2397"/>
      <c r="G89" s="2397" t="s">
        <v>38</v>
      </c>
      <c r="H89" s="2397"/>
      <c r="I89" s="2397" t="s">
        <v>39</v>
      </c>
      <c r="J89" s="2397"/>
      <c r="K89" s="2397" t="s">
        <v>40</v>
      </c>
      <c r="L89" s="2397"/>
      <c r="M89" s="2397" t="s">
        <v>41</v>
      </c>
      <c r="N89" s="2397"/>
      <c r="O89" s="2397" t="s">
        <v>42</v>
      </c>
      <c r="P89" s="2397"/>
      <c r="Q89" s="2397" t="s">
        <v>43</v>
      </c>
      <c r="R89" s="2397"/>
      <c r="S89" s="40"/>
      <c r="T89" s="963"/>
      <c r="U89" s="609"/>
      <c r="V89" s="926"/>
      <c r="W89" s="926"/>
      <c r="X89" s="926"/>
      <c r="Y89" s="926"/>
      <c r="Z89" s="926"/>
      <c r="AA89" s="926"/>
      <c r="AB89" s="926"/>
      <c r="AC89" s="926"/>
      <c r="AD89" s="926"/>
      <c r="AE89" s="926"/>
      <c r="AF89" s="926"/>
      <c r="AG89" s="926"/>
      <c r="AH89" s="926"/>
      <c r="AI89" s="926"/>
      <c r="AJ89" s="926"/>
      <c r="AK89" s="926"/>
      <c r="AL89" s="926"/>
      <c r="AM89" s="926"/>
      <c r="AN89" s="926"/>
      <c r="AO89" s="926"/>
      <c r="AP89" s="926"/>
      <c r="AQ89" s="926"/>
      <c r="AR89" s="926"/>
      <c r="AS89" s="926"/>
      <c r="AT89" s="926"/>
      <c r="AU89" s="926"/>
      <c r="AV89" s="926"/>
      <c r="AW89" s="926"/>
      <c r="AX89" s="926"/>
      <c r="AY89" s="926"/>
      <c r="AZ89" s="926"/>
    </row>
    <row r="90" spans="1:52" ht="15" customHeight="1" x14ac:dyDescent="0.3">
      <c r="A90" s="926"/>
      <c r="B90" s="609"/>
      <c r="C90" s="962"/>
      <c r="D90" s="40"/>
      <c r="E90" s="2410" t="s">
        <v>75</v>
      </c>
      <c r="F90" s="2410"/>
      <c r="G90" s="2398" t="str">
        <f>BG218</f>
        <v>min/cycle</v>
      </c>
      <c r="H90" s="2398"/>
      <c r="I90" s="2408">
        <f>BE218</f>
        <v>3</v>
      </c>
      <c r="J90" s="2408"/>
      <c r="K90" s="2460"/>
      <c r="L90" s="2460"/>
      <c r="M90" s="2407">
        <f>BI218</f>
        <v>0</v>
      </c>
      <c r="N90" s="2407"/>
      <c r="O90" s="2408">
        <f>BJ218</f>
        <v>5</v>
      </c>
      <c r="P90" s="2408"/>
      <c r="Q90" s="2398" t="str">
        <f>BN218</f>
        <v>Using default</v>
      </c>
      <c r="R90" s="2398"/>
      <c r="S90" s="40"/>
      <c r="T90" s="963"/>
      <c r="U90" s="609"/>
      <c r="V90" s="926"/>
      <c r="W90" s="926"/>
      <c r="X90" s="926"/>
      <c r="Y90" s="926"/>
      <c r="Z90" s="926"/>
      <c r="AA90" s="926"/>
      <c r="AB90" s="926"/>
      <c r="AC90" s="926"/>
      <c r="AD90" s="926"/>
      <c r="AE90" s="926"/>
      <c r="AF90" s="926"/>
      <c r="AG90" s="926"/>
      <c r="AH90" s="926"/>
      <c r="AI90" s="926"/>
      <c r="AJ90" s="926"/>
      <c r="AK90" s="926"/>
      <c r="AL90" s="926"/>
      <c r="AM90" s="926"/>
      <c r="AN90" s="926"/>
      <c r="AO90" s="926"/>
      <c r="AP90" s="926"/>
      <c r="AQ90" s="926"/>
      <c r="AR90" s="926"/>
      <c r="AS90" s="926"/>
      <c r="AT90" s="926"/>
      <c r="AU90" s="926"/>
      <c r="AV90" s="926"/>
      <c r="AW90" s="926"/>
      <c r="AX90" s="926"/>
      <c r="AY90" s="926"/>
      <c r="AZ90" s="926"/>
    </row>
    <row r="91" spans="1:52" ht="15" customHeight="1" x14ac:dyDescent="0.3">
      <c r="A91" s="926"/>
      <c r="B91" s="609"/>
      <c r="C91" s="962"/>
      <c r="D91" s="40"/>
      <c r="E91" s="2410"/>
      <c r="F91" s="2410"/>
      <c r="G91" s="2398"/>
      <c r="H91" s="2398"/>
      <c r="I91" s="2408"/>
      <c r="J91" s="2408"/>
      <c r="K91" s="2460"/>
      <c r="L91" s="2460"/>
      <c r="M91" s="2407"/>
      <c r="N91" s="2407"/>
      <c r="O91" s="2408"/>
      <c r="P91" s="2408"/>
      <c r="Q91" s="2398"/>
      <c r="R91" s="2398"/>
      <c r="S91" s="1063"/>
      <c r="T91" s="963"/>
      <c r="U91" s="609"/>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926"/>
      <c r="AY91" s="926"/>
      <c r="AZ91" s="926"/>
    </row>
    <row r="92" spans="1:52" ht="15" customHeight="1" x14ac:dyDescent="0.3">
      <c r="A92" s="926"/>
      <c r="B92" s="609"/>
      <c r="C92" s="962"/>
      <c r="D92" s="40"/>
      <c r="E92" s="2410"/>
      <c r="F92" s="2410"/>
      <c r="G92" s="2398"/>
      <c r="H92" s="2398"/>
      <c r="I92" s="2408"/>
      <c r="J92" s="2408"/>
      <c r="K92" s="2460"/>
      <c r="L92" s="2460"/>
      <c r="M92" s="2407"/>
      <c r="N92" s="2407"/>
      <c r="O92" s="2408"/>
      <c r="P92" s="2408"/>
      <c r="Q92" s="2398"/>
      <c r="R92" s="2398"/>
      <c r="S92" s="40"/>
      <c r="T92" s="963"/>
      <c r="U92" s="609"/>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6"/>
      <c r="AV92" s="926"/>
      <c r="AW92" s="926"/>
      <c r="AX92" s="926"/>
      <c r="AY92" s="926"/>
      <c r="AZ92" s="926"/>
    </row>
    <row r="93" spans="1:52" ht="15" customHeight="1" x14ac:dyDescent="0.3">
      <c r="A93" s="926"/>
      <c r="B93" s="609"/>
      <c r="C93" s="962"/>
      <c r="D93" s="40"/>
      <c r="E93" s="2410" t="s">
        <v>76</v>
      </c>
      <c r="F93" s="2410"/>
      <c r="G93" s="2398" t="str">
        <f>BG219</f>
        <v>cycle/day</v>
      </c>
      <c r="H93" s="2398"/>
      <c r="I93" s="2407">
        <f>BE219</f>
        <v>6</v>
      </c>
      <c r="J93" s="2407"/>
      <c r="K93" s="2460"/>
      <c r="L93" s="2460"/>
      <c r="M93" s="2407">
        <f>BI219</f>
        <v>0</v>
      </c>
      <c r="N93" s="2407"/>
      <c r="O93" s="2407">
        <f>BJ219</f>
        <v>288</v>
      </c>
      <c r="P93" s="2407"/>
      <c r="Q93" s="2398" t="str">
        <f>BN219</f>
        <v>Using default</v>
      </c>
      <c r="R93" s="2398"/>
      <c r="S93" s="40"/>
      <c r="T93" s="963"/>
      <c r="U93" s="609"/>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6"/>
      <c r="AV93" s="926"/>
      <c r="AW93" s="926"/>
      <c r="AX93" s="926"/>
      <c r="AY93" s="926"/>
      <c r="AZ93" s="926"/>
    </row>
    <row r="94" spans="1:52" ht="15" customHeight="1" x14ac:dyDescent="0.3">
      <c r="A94" s="926"/>
      <c r="B94" s="609"/>
      <c r="C94" s="962"/>
      <c r="D94" s="40"/>
      <c r="E94" s="2410"/>
      <c r="F94" s="2410"/>
      <c r="G94" s="2398"/>
      <c r="H94" s="2398"/>
      <c r="I94" s="2407"/>
      <c r="J94" s="2407"/>
      <c r="K94" s="2460"/>
      <c r="L94" s="2460"/>
      <c r="M94" s="2407"/>
      <c r="N94" s="2407"/>
      <c r="O94" s="2407"/>
      <c r="P94" s="2407"/>
      <c r="Q94" s="2398"/>
      <c r="R94" s="2398"/>
      <c r="S94" s="40"/>
      <c r="T94" s="963"/>
      <c r="U94" s="609"/>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6"/>
      <c r="AV94" s="926"/>
      <c r="AW94" s="926"/>
      <c r="AX94" s="926"/>
      <c r="AY94" s="926"/>
      <c r="AZ94" s="926"/>
    </row>
    <row r="95" spans="1:52" ht="15" customHeight="1" x14ac:dyDescent="0.3">
      <c r="A95" s="926"/>
      <c r="B95" s="609"/>
      <c r="C95" s="962"/>
      <c r="D95" s="40"/>
      <c r="E95" s="2410"/>
      <c r="F95" s="2410"/>
      <c r="G95" s="2398"/>
      <c r="H95" s="2398"/>
      <c r="I95" s="2407"/>
      <c r="J95" s="2407"/>
      <c r="K95" s="2460"/>
      <c r="L95" s="2460"/>
      <c r="M95" s="2407"/>
      <c r="N95" s="2407"/>
      <c r="O95" s="2407"/>
      <c r="P95" s="2407"/>
      <c r="Q95" s="2398"/>
      <c r="R95" s="2398"/>
      <c r="S95" s="40"/>
      <c r="T95" s="963"/>
      <c r="U95" s="609"/>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row>
    <row r="96" spans="1:52" ht="15" customHeight="1" x14ac:dyDescent="0.3">
      <c r="A96" s="926"/>
      <c r="B96" s="609"/>
      <c r="C96" s="962"/>
      <c r="D96" s="40"/>
      <c r="E96" s="2410" t="s">
        <v>77</v>
      </c>
      <c r="F96" s="2410"/>
      <c r="G96" s="2398" t="str">
        <f>BG220</f>
        <v>gal/head/min</v>
      </c>
      <c r="H96" s="2398"/>
      <c r="I96" s="2408">
        <f>BE220</f>
        <v>0.1</v>
      </c>
      <c r="J96" s="2408"/>
      <c r="K96" s="2460"/>
      <c r="L96" s="2460"/>
      <c r="M96" s="2407">
        <f>BI220</f>
        <v>0</v>
      </c>
      <c r="N96" s="2407"/>
      <c r="O96" s="2408">
        <f>BJ220</f>
        <v>3</v>
      </c>
      <c r="P96" s="2408"/>
      <c r="Q96" s="2398" t="str">
        <f>BN220</f>
        <v>Using default</v>
      </c>
      <c r="R96" s="2398"/>
      <c r="S96" s="40"/>
      <c r="T96" s="963"/>
      <c r="U96" s="609"/>
      <c r="V96" s="926"/>
      <c r="W96" s="926"/>
      <c r="X96" s="926"/>
      <c r="Y96" s="926"/>
      <c r="Z96" s="926"/>
      <c r="AA96" s="926"/>
      <c r="AB96" s="926"/>
      <c r="AC96" s="926"/>
      <c r="AD96" s="926"/>
      <c r="AE96" s="926"/>
      <c r="AF96" s="926"/>
      <c r="AG96" s="926"/>
      <c r="AH96" s="926"/>
      <c r="AI96" s="926"/>
      <c r="AJ96" s="926"/>
      <c r="AK96" s="926"/>
      <c r="AL96" s="926"/>
      <c r="AM96" s="926"/>
      <c r="AN96" s="926"/>
      <c r="AO96" s="926"/>
      <c r="AP96" s="926"/>
      <c r="AQ96" s="926"/>
      <c r="AR96" s="926"/>
      <c r="AS96" s="926"/>
      <c r="AT96" s="926"/>
      <c r="AU96" s="926"/>
      <c r="AV96" s="926"/>
      <c r="AW96" s="926"/>
      <c r="AX96" s="926"/>
      <c r="AY96" s="926"/>
      <c r="AZ96" s="926"/>
    </row>
    <row r="97" spans="1:52" ht="15" customHeight="1" x14ac:dyDescent="0.3">
      <c r="A97" s="926"/>
      <c r="B97" s="609"/>
      <c r="C97" s="962"/>
      <c r="D97" s="40"/>
      <c r="E97" s="2410"/>
      <c r="F97" s="2410"/>
      <c r="G97" s="2398"/>
      <c r="H97" s="2398"/>
      <c r="I97" s="2408"/>
      <c r="J97" s="2408"/>
      <c r="K97" s="2460"/>
      <c r="L97" s="2460"/>
      <c r="M97" s="2407"/>
      <c r="N97" s="2407"/>
      <c r="O97" s="2408"/>
      <c r="P97" s="2408"/>
      <c r="Q97" s="2398"/>
      <c r="R97" s="2398"/>
      <c r="S97" s="40"/>
      <c r="T97" s="963"/>
      <c r="U97" s="609"/>
      <c r="V97" s="926"/>
      <c r="W97" s="926"/>
      <c r="X97" s="926"/>
      <c r="Y97" s="926"/>
      <c r="Z97" s="926"/>
      <c r="AA97" s="926"/>
      <c r="AB97" s="926"/>
      <c r="AC97" s="926"/>
      <c r="AD97" s="926"/>
      <c r="AE97" s="926"/>
      <c r="AF97" s="926"/>
      <c r="AG97" s="926"/>
      <c r="AH97" s="926"/>
      <c r="AI97" s="926"/>
      <c r="AJ97" s="926"/>
      <c r="AK97" s="926"/>
      <c r="AL97" s="926"/>
      <c r="AM97" s="926"/>
      <c r="AN97" s="926"/>
      <c r="AO97" s="926"/>
      <c r="AP97" s="926"/>
      <c r="AQ97" s="926"/>
      <c r="AR97" s="926"/>
      <c r="AS97" s="926"/>
      <c r="AT97" s="926"/>
      <c r="AU97" s="926"/>
      <c r="AV97" s="926"/>
      <c r="AW97" s="926"/>
      <c r="AX97" s="926"/>
      <c r="AY97" s="926"/>
      <c r="AZ97" s="926"/>
    </row>
    <row r="98" spans="1:52" ht="15" customHeight="1" x14ac:dyDescent="0.3">
      <c r="A98" s="926"/>
      <c r="B98" s="609"/>
      <c r="C98" s="962"/>
      <c r="D98" s="40"/>
      <c r="E98" s="2410"/>
      <c r="F98" s="2410"/>
      <c r="G98" s="2398"/>
      <c r="H98" s="2398"/>
      <c r="I98" s="2408"/>
      <c r="J98" s="2408"/>
      <c r="K98" s="2460"/>
      <c r="L98" s="2460"/>
      <c r="M98" s="2407"/>
      <c r="N98" s="2407"/>
      <c r="O98" s="2408"/>
      <c r="P98" s="2408"/>
      <c r="Q98" s="2398"/>
      <c r="R98" s="2398"/>
      <c r="S98" s="40"/>
      <c r="T98" s="963"/>
      <c r="U98" s="609"/>
      <c r="V98" s="926"/>
      <c r="W98" s="926"/>
      <c r="X98" s="926"/>
      <c r="Y98" s="926"/>
      <c r="Z98" s="926"/>
      <c r="AA98" s="926"/>
      <c r="AB98" s="926"/>
      <c r="AC98" s="926"/>
      <c r="AD98" s="926"/>
      <c r="AE98" s="926"/>
      <c r="AF98" s="926"/>
      <c r="AG98" s="926"/>
      <c r="AH98" s="926"/>
      <c r="AI98" s="926"/>
      <c r="AJ98" s="926"/>
      <c r="AK98" s="926"/>
      <c r="AL98" s="926"/>
      <c r="AM98" s="926"/>
      <c r="AN98" s="926"/>
      <c r="AO98" s="926"/>
      <c r="AP98" s="926"/>
      <c r="AQ98" s="926"/>
      <c r="AR98" s="926"/>
      <c r="AS98" s="926"/>
      <c r="AT98" s="926"/>
      <c r="AU98" s="926"/>
      <c r="AV98" s="926"/>
      <c r="AW98" s="926"/>
      <c r="AX98" s="926"/>
      <c r="AY98" s="926"/>
      <c r="AZ98" s="926"/>
    </row>
    <row r="99" spans="1:52" ht="15" customHeight="1" x14ac:dyDescent="0.3">
      <c r="A99" s="926"/>
      <c r="B99" s="609"/>
      <c r="C99" s="962"/>
      <c r="D99" s="40"/>
      <c r="E99" s="40"/>
      <c r="F99" s="40"/>
      <c r="G99" s="40"/>
      <c r="H99" s="40"/>
      <c r="I99" s="40"/>
      <c r="J99" s="40"/>
      <c r="K99" s="40"/>
      <c r="L99" s="40"/>
      <c r="M99" s="40"/>
      <c r="N99" s="40"/>
      <c r="O99" s="40"/>
      <c r="P99" s="40"/>
      <c r="Q99" s="40"/>
      <c r="R99" s="40"/>
      <c r="S99" s="40"/>
      <c r="T99" s="963"/>
      <c r="U99" s="609"/>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6"/>
      <c r="AV99" s="926"/>
      <c r="AW99" s="926"/>
      <c r="AX99" s="926"/>
      <c r="AY99" s="926"/>
      <c r="AZ99" s="926"/>
    </row>
    <row r="100" spans="1:52" ht="15" customHeight="1" x14ac:dyDescent="0.3">
      <c r="A100" s="926"/>
      <c r="B100" s="609"/>
      <c r="C100" s="962"/>
      <c r="D100" s="40"/>
      <c r="E100" s="40"/>
      <c r="F100" s="40"/>
      <c r="G100" s="40"/>
      <c r="H100" s="40"/>
      <c r="I100" s="40"/>
      <c r="J100" s="40"/>
      <c r="K100" s="40"/>
      <c r="L100" s="40"/>
      <c r="M100" s="40"/>
      <c r="N100" s="40"/>
      <c r="O100" s="40"/>
      <c r="P100" s="40"/>
      <c r="Q100" s="40"/>
      <c r="R100" s="40"/>
      <c r="S100" s="40"/>
      <c r="T100" s="963"/>
      <c r="U100" s="609"/>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6"/>
      <c r="AV100" s="926"/>
      <c r="AW100" s="926"/>
      <c r="AX100" s="926"/>
      <c r="AY100" s="926"/>
      <c r="AZ100" s="926"/>
    </row>
    <row r="101" spans="1:52" ht="15" customHeight="1" x14ac:dyDescent="0.3">
      <c r="A101" s="926"/>
      <c r="B101" s="609"/>
      <c r="C101" s="962"/>
      <c r="D101" s="40"/>
      <c r="E101" s="2432" t="s">
        <v>78</v>
      </c>
      <c r="F101" s="2433"/>
      <c r="G101" s="2433"/>
      <c r="H101" s="2433"/>
      <c r="I101" s="2433"/>
      <c r="J101" s="2433"/>
      <c r="K101" s="2433"/>
      <c r="L101" s="2433"/>
      <c r="M101" s="2433"/>
      <c r="N101" s="2433"/>
      <c r="O101" s="2433"/>
      <c r="P101" s="2433"/>
      <c r="Q101" s="2433"/>
      <c r="R101" s="2434"/>
      <c r="S101" s="40"/>
      <c r="T101" s="963"/>
      <c r="U101" s="609"/>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6"/>
      <c r="AV101" s="926"/>
      <c r="AW101" s="926"/>
      <c r="AX101" s="926"/>
      <c r="AY101" s="926"/>
      <c r="AZ101" s="926"/>
    </row>
    <row r="102" spans="1:52" ht="15" customHeight="1" x14ac:dyDescent="0.3">
      <c r="A102" s="926"/>
      <c r="B102" s="609"/>
      <c r="C102" s="962"/>
      <c r="D102" s="40"/>
      <c r="E102" s="2435"/>
      <c r="F102" s="2436"/>
      <c r="G102" s="2436"/>
      <c r="H102" s="2436"/>
      <c r="I102" s="2436"/>
      <c r="J102" s="2436"/>
      <c r="K102" s="2436"/>
      <c r="L102" s="2436"/>
      <c r="M102" s="2436"/>
      <c r="N102" s="2436"/>
      <c r="O102" s="2436"/>
      <c r="P102" s="2436"/>
      <c r="Q102" s="2436"/>
      <c r="R102" s="2437"/>
      <c r="S102" s="40"/>
      <c r="T102" s="963"/>
      <c r="U102" s="609"/>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c r="AU102" s="926"/>
      <c r="AV102" s="926"/>
      <c r="AW102" s="926"/>
      <c r="AX102" s="926"/>
      <c r="AY102" s="926"/>
      <c r="AZ102" s="926"/>
    </row>
    <row r="103" spans="1:52" ht="15" customHeight="1" x14ac:dyDescent="0.3">
      <c r="A103" s="926"/>
      <c r="B103" s="609"/>
      <c r="C103" s="962"/>
      <c r="D103" s="40"/>
      <c r="E103" s="2435"/>
      <c r="F103" s="2436"/>
      <c r="G103" s="2436"/>
      <c r="H103" s="2436"/>
      <c r="I103" s="2436"/>
      <c r="J103" s="2436"/>
      <c r="K103" s="2436"/>
      <c r="L103" s="2436"/>
      <c r="M103" s="2436"/>
      <c r="N103" s="2436"/>
      <c r="O103" s="2436"/>
      <c r="P103" s="2436"/>
      <c r="Q103" s="2436"/>
      <c r="R103" s="2437"/>
      <c r="S103" s="40"/>
      <c r="T103" s="963"/>
      <c r="U103" s="609"/>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6"/>
      <c r="AV103" s="926"/>
      <c r="AW103" s="926"/>
      <c r="AX103" s="926"/>
      <c r="AY103" s="926"/>
      <c r="AZ103" s="926"/>
    </row>
    <row r="104" spans="1:52" ht="15" customHeight="1" x14ac:dyDescent="0.3">
      <c r="A104" s="926"/>
      <c r="B104" s="609"/>
      <c r="C104" s="962"/>
      <c r="D104" s="40"/>
      <c r="E104" s="2438"/>
      <c r="F104" s="2439"/>
      <c r="G104" s="2439"/>
      <c r="H104" s="2439"/>
      <c r="I104" s="2439"/>
      <c r="J104" s="2439"/>
      <c r="K104" s="2439"/>
      <c r="L104" s="2439"/>
      <c r="M104" s="2439"/>
      <c r="N104" s="2439"/>
      <c r="O104" s="2439"/>
      <c r="P104" s="2439"/>
      <c r="Q104" s="2439"/>
      <c r="R104" s="2440"/>
      <c r="S104" s="40"/>
      <c r="T104" s="963"/>
      <c r="U104" s="609"/>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6"/>
      <c r="AV104" s="926"/>
      <c r="AW104" s="926"/>
      <c r="AX104" s="926"/>
      <c r="AY104" s="926"/>
      <c r="AZ104" s="926"/>
    </row>
    <row r="105" spans="1:52" ht="15" customHeight="1" x14ac:dyDescent="0.3">
      <c r="A105" s="926"/>
      <c r="B105" s="609"/>
      <c r="C105" s="962"/>
      <c r="D105" s="40"/>
      <c r="E105" s="2397" t="s">
        <v>79</v>
      </c>
      <c r="F105" s="2397"/>
      <c r="G105" s="2397" t="s">
        <v>38</v>
      </c>
      <c r="H105" s="2397"/>
      <c r="I105" s="2397" t="s">
        <v>39</v>
      </c>
      <c r="J105" s="2397"/>
      <c r="K105" s="2397" t="s">
        <v>40</v>
      </c>
      <c r="L105" s="2397"/>
      <c r="M105" s="2397" t="s">
        <v>41</v>
      </c>
      <c r="N105" s="2397"/>
      <c r="O105" s="2397" t="s">
        <v>42</v>
      </c>
      <c r="P105" s="2397"/>
      <c r="Q105" s="2397" t="s">
        <v>43</v>
      </c>
      <c r="R105" s="2397"/>
      <c r="S105" s="40"/>
      <c r="T105" s="963"/>
      <c r="U105" s="609"/>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6"/>
      <c r="AV105" s="926"/>
      <c r="AW105" s="926"/>
      <c r="AX105" s="926"/>
      <c r="AY105" s="926"/>
      <c r="AZ105" s="926"/>
    </row>
    <row r="106" spans="1:52" ht="15" customHeight="1" x14ac:dyDescent="0.3">
      <c r="A106" s="926"/>
      <c r="B106" s="609"/>
      <c r="C106" s="962"/>
      <c r="D106" s="40"/>
      <c r="E106" s="2410" t="s">
        <v>80</v>
      </c>
      <c r="F106" s="2410"/>
      <c r="G106" s="2398" t="str">
        <f>BG221</f>
        <v>acre</v>
      </c>
      <c r="H106" s="2398"/>
      <c r="I106" s="2407">
        <f>BE221</f>
        <v>100</v>
      </c>
      <c r="J106" s="2407"/>
      <c r="K106" s="2411"/>
      <c r="L106" s="2412"/>
      <c r="M106" s="2407">
        <f>BI221</f>
        <v>0</v>
      </c>
      <c r="N106" s="2407"/>
      <c r="O106" s="2408" t="s">
        <v>81</v>
      </c>
      <c r="P106" s="2408"/>
      <c r="Q106" s="2409" t="str">
        <f>BN221</f>
        <v>Using default</v>
      </c>
      <c r="R106" s="2409"/>
      <c r="S106" s="40"/>
      <c r="T106" s="963"/>
      <c r="U106" s="609"/>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6"/>
      <c r="AV106" s="926"/>
      <c r="AW106" s="926"/>
      <c r="AX106" s="926"/>
      <c r="AY106" s="926"/>
      <c r="AZ106" s="926"/>
    </row>
    <row r="107" spans="1:52" ht="15" customHeight="1" x14ac:dyDescent="0.3">
      <c r="A107" s="926"/>
      <c r="B107" s="609"/>
      <c r="C107" s="962"/>
      <c r="D107" s="40"/>
      <c r="E107" s="2410"/>
      <c r="F107" s="2410"/>
      <c r="G107" s="2398"/>
      <c r="H107" s="2398"/>
      <c r="I107" s="2407"/>
      <c r="J107" s="2407"/>
      <c r="K107" s="2413"/>
      <c r="L107" s="2414"/>
      <c r="M107" s="2407"/>
      <c r="N107" s="2407"/>
      <c r="O107" s="2408"/>
      <c r="P107" s="2408"/>
      <c r="Q107" s="2409"/>
      <c r="R107" s="2409"/>
      <c r="S107" s="40"/>
      <c r="T107" s="963"/>
      <c r="U107" s="609"/>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6"/>
      <c r="AV107" s="926"/>
      <c r="AW107" s="926"/>
      <c r="AX107" s="926"/>
      <c r="AY107" s="926"/>
      <c r="AZ107" s="926"/>
    </row>
    <row r="108" spans="1:52" ht="15" customHeight="1" x14ac:dyDescent="0.3">
      <c r="A108" s="926"/>
      <c r="B108" s="609"/>
      <c r="C108" s="962"/>
      <c r="D108" s="40"/>
      <c r="E108" s="2410"/>
      <c r="F108" s="2410"/>
      <c r="G108" s="2398"/>
      <c r="H108" s="2398"/>
      <c r="I108" s="2407"/>
      <c r="J108" s="2407"/>
      <c r="K108" s="2415"/>
      <c r="L108" s="2416"/>
      <c r="M108" s="2407"/>
      <c r="N108" s="2407"/>
      <c r="O108" s="2408"/>
      <c r="P108" s="2408"/>
      <c r="Q108" s="2409"/>
      <c r="R108" s="2409"/>
      <c r="S108" s="40"/>
      <c r="T108" s="963"/>
      <c r="U108" s="609"/>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6"/>
      <c r="AV108" s="926"/>
      <c r="AW108" s="926"/>
      <c r="AX108" s="926"/>
      <c r="AY108" s="926"/>
      <c r="AZ108" s="926"/>
    </row>
    <row r="109" spans="1:52" ht="15" customHeight="1" x14ac:dyDescent="0.3">
      <c r="A109" s="926"/>
      <c r="B109" s="609"/>
      <c r="C109" s="962"/>
      <c r="D109" s="40"/>
      <c r="E109" s="40"/>
      <c r="F109" s="40"/>
      <c r="G109" s="40"/>
      <c r="H109" s="40"/>
      <c r="I109" s="40"/>
      <c r="J109" s="40"/>
      <c r="K109" s="40"/>
      <c r="L109" s="40"/>
      <c r="M109" s="40"/>
      <c r="N109" s="40"/>
      <c r="O109" s="40"/>
      <c r="P109" s="40"/>
      <c r="Q109" s="40"/>
      <c r="R109" s="40"/>
      <c r="S109" s="40"/>
      <c r="T109" s="963"/>
      <c r="U109" s="609"/>
      <c r="V109" s="926"/>
      <c r="W109" s="926"/>
      <c r="X109" s="926"/>
      <c r="Y109" s="926"/>
      <c r="Z109" s="926"/>
      <c r="AA109" s="926"/>
      <c r="AB109" s="926"/>
      <c r="AC109" s="926"/>
      <c r="AD109" s="926"/>
      <c r="AE109" s="926"/>
      <c r="AF109" s="926"/>
      <c r="AG109" s="926"/>
      <c r="AH109" s="926"/>
      <c r="AI109" s="926"/>
      <c r="AJ109" s="926"/>
      <c r="AK109" s="926"/>
      <c r="AL109" s="926"/>
      <c r="AM109" s="926"/>
      <c r="AN109" s="926"/>
      <c r="AO109" s="926"/>
      <c r="AP109" s="926"/>
      <c r="AQ109" s="926"/>
      <c r="AR109" s="926"/>
      <c r="AS109" s="926"/>
      <c r="AT109" s="926"/>
      <c r="AU109" s="926"/>
      <c r="AV109" s="926"/>
      <c r="AW109" s="926"/>
      <c r="AX109" s="926"/>
      <c r="AY109" s="926"/>
      <c r="AZ109" s="926"/>
    </row>
    <row r="110" spans="1:52" ht="15" customHeight="1" x14ac:dyDescent="0.3">
      <c r="A110" s="926"/>
      <c r="B110" s="609"/>
      <c r="C110" s="962"/>
      <c r="D110" s="40"/>
      <c r="E110" s="40"/>
      <c r="F110" s="40"/>
      <c r="G110" s="40"/>
      <c r="H110" s="40"/>
      <c r="I110" s="40"/>
      <c r="J110" s="40"/>
      <c r="K110" s="40"/>
      <c r="L110" s="40"/>
      <c r="M110" s="40"/>
      <c r="N110" s="40"/>
      <c r="O110" s="40"/>
      <c r="P110" s="40"/>
      <c r="Q110" s="40"/>
      <c r="R110" s="40"/>
      <c r="S110" s="40"/>
      <c r="T110" s="963"/>
      <c r="U110" s="609"/>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6"/>
      <c r="AV110" s="926"/>
      <c r="AW110" s="926"/>
      <c r="AX110" s="926"/>
      <c r="AY110" s="926"/>
      <c r="AZ110" s="926"/>
    </row>
    <row r="111" spans="1:52" ht="15" customHeight="1" x14ac:dyDescent="0.3">
      <c r="A111" s="926"/>
      <c r="B111" s="609"/>
      <c r="C111" s="962"/>
      <c r="D111" s="40"/>
      <c r="E111" s="2399" t="s">
        <v>82</v>
      </c>
      <c r="F111" s="2399"/>
      <c r="G111" s="2399"/>
      <c r="H111" s="2399"/>
      <c r="I111" s="2399"/>
      <c r="J111" s="2399"/>
      <c r="K111" s="2399"/>
      <c r="L111" s="2399"/>
      <c r="M111" s="2399"/>
      <c r="N111" s="2399"/>
      <c r="O111" s="2399"/>
      <c r="P111" s="2399"/>
      <c r="Q111" s="2399"/>
      <c r="R111" s="2399"/>
      <c r="S111" s="40"/>
      <c r="T111" s="963"/>
      <c r="U111" s="609"/>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926"/>
      <c r="AY111" s="926"/>
      <c r="AZ111" s="926"/>
    </row>
    <row r="112" spans="1:52" ht="15" customHeight="1" x14ac:dyDescent="0.3">
      <c r="A112" s="926"/>
      <c r="B112" s="609"/>
      <c r="C112" s="962"/>
      <c r="D112" s="40"/>
      <c r="E112" s="2399"/>
      <c r="F112" s="2399"/>
      <c r="G112" s="2399"/>
      <c r="H112" s="2399"/>
      <c r="I112" s="2399"/>
      <c r="J112" s="2399"/>
      <c r="K112" s="2399"/>
      <c r="L112" s="2399"/>
      <c r="M112" s="2399"/>
      <c r="N112" s="2399"/>
      <c r="O112" s="2399"/>
      <c r="P112" s="2399"/>
      <c r="Q112" s="2399"/>
      <c r="R112" s="2399"/>
      <c r="S112" s="40"/>
      <c r="T112" s="963"/>
      <c r="U112" s="609"/>
      <c r="V112" s="926"/>
      <c r="W112" s="926"/>
      <c r="X112" s="926"/>
      <c r="Y112" s="926"/>
      <c r="Z112" s="926"/>
      <c r="AA112" s="926"/>
      <c r="AB112" s="926"/>
      <c r="AC112" s="926"/>
      <c r="AD112" s="926"/>
      <c r="AE112" s="926"/>
      <c r="AF112" s="926"/>
      <c r="AG112" s="926"/>
      <c r="AH112" s="926"/>
      <c r="AI112" s="926"/>
      <c r="AJ112" s="926"/>
      <c r="AK112" s="926"/>
      <c r="AL112" s="926"/>
      <c r="AM112" s="926"/>
      <c r="AN112" s="926"/>
      <c r="AO112" s="926"/>
      <c r="AP112" s="926"/>
      <c r="AQ112" s="926"/>
      <c r="AR112" s="926"/>
      <c r="AS112" s="926"/>
      <c r="AT112" s="926"/>
      <c r="AU112" s="926"/>
      <c r="AV112" s="926"/>
      <c r="AW112" s="926"/>
      <c r="AX112" s="926"/>
      <c r="AY112" s="926"/>
      <c r="AZ112" s="926"/>
    </row>
    <row r="113" spans="1:52" ht="15" customHeight="1" x14ac:dyDescent="0.3">
      <c r="A113" s="926"/>
      <c r="B113" s="609"/>
      <c r="C113" s="962"/>
      <c r="D113" s="40"/>
      <c r="E113" s="2399"/>
      <c r="F113" s="2399"/>
      <c r="G113" s="2399"/>
      <c r="H113" s="2399"/>
      <c r="I113" s="2399"/>
      <c r="J113" s="2399"/>
      <c r="K113" s="2399"/>
      <c r="L113" s="2399"/>
      <c r="M113" s="2399"/>
      <c r="N113" s="2399"/>
      <c r="O113" s="2399"/>
      <c r="P113" s="2399"/>
      <c r="Q113" s="2399"/>
      <c r="R113" s="2399"/>
      <c r="S113" s="40"/>
      <c r="T113" s="963"/>
      <c r="U113" s="609"/>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6"/>
      <c r="AV113" s="926"/>
      <c r="AW113" s="926"/>
      <c r="AX113" s="926"/>
      <c r="AY113" s="926"/>
      <c r="AZ113" s="926"/>
    </row>
    <row r="114" spans="1:52" ht="15" customHeight="1" x14ac:dyDescent="0.3">
      <c r="A114" s="926"/>
      <c r="B114" s="609"/>
      <c r="C114" s="962"/>
      <c r="D114" s="40"/>
      <c r="E114" s="2399"/>
      <c r="F114" s="2399"/>
      <c r="G114" s="2399"/>
      <c r="H114" s="2399"/>
      <c r="I114" s="2399"/>
      <c r="J114" s="2399"/>
      <c r="K114" s="2399"/>
      <c r="L114" s="2399"/>
      <c r="M114" s="2399"/>
      <c r="N114" s="2399"/>
      <c r="O114" s="2399"/>
      <c r="P114" s="2399"/>
      <c r="Q114" s="2399"/>
      <c r="R114" s="2399"/>
      <c r="S114" s="40"/>
      <c r="T114" s="963"/>
      <c r="U114" s="609"/>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6"/>
      <c r="AV114" s="926"/>
      <c r="AW114" s="926"/>
      <c r="AX114" s="926"/>
      <c r="AY114" s="926"/>
      <c r="AZ114" s="926"/>
    </row>
    <row r="115" spans="1:52" ht="15" customHeight="1" x14ac:dyDescent="0.3">
      <c r="A115" s="926"/>
      <c r="B115" s="609"/>
      <c r="C115" s="962"/>
      <c r="D115" s="40"/>
      <c r="E115" s="2397" t="s">
        <v>31</v>
      </c>
      <c r="F115" s="2397"/>
      <c r="G115" s="2397"/>
      <c r="H115" s="2397"/>
      <c r="I115" s="2397"/>
      <c r="J115" s="2397"/>
      <c r="K115" s="2397" t="s">
        <v>32</v>
      </c>
      <c r="L115" s="2397"/>
      <c r="M115" s="2397"/>
      <c r="N115" s="2397"/>
      <c r="O115" s="2397"/>
      <c r="P115" s="2397"/>
      <c r="Q115" s="2397"/>
      <c r="R115" s="2397"/>
      <c r="S115" s="40"/>
      <c r="T115" s="963"/>
      <c r="U115" s="609"/>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926"/>
      <c r="AY115" s="926"/>
      <c r="AZ115" s="926"/>
    </row>
    <row r="116" spans="1:52" ht="15" customHeight="1" x14ac:dyDescent="0.3">
      <c r="A116" s="926"/>
      <c r="B116" s="609"/>
      <c r="C116" s="962"/>
      <c r="D116" s="40"/>
      <c r="E116" s="2387" t="s">
        <v>83</v>
      </c>
      <c r="F116" s="2387"/>
      <c r="G116" s="2387"/>
      <c r="H116" s="2387"/>
      <c r="I116" s="2387"/>
      <c r="J116" s="2387"/>
      <c r="K116" s="2405" t="s">
        <v>84</v>
      </c>
      <c r="L116" s="2405"/>
      <c r="M116" s="2405"/>
      <c r="N116" s="2405"/>
      <c r="O116" s="2405"/>
      <c r="P116" s="2405"/>
      <c r="Q116" s="2405"/>
      <c r="R116" s="2405"/>
      <c r="S116" s="40"/>
      <c r="T116" s="963"/>
      <c r="U116" s="609"/>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926"/>
      <c r="AY116" s="926"/>
      <c r="AZ116" s="926"/>
    </row>
    <row r="117" spans="1:52" ht="15" customHeight="1" x14ac:dyDescent="0.3">
      <c r="A117" s="926"/>
      <c r="B117" s="609"/>
      <c r="C117" s="962"/>
      <c r="D117" s="40"/>
      <c r="E117" s="2387"/>
      <c r="F117" s="2387"/>
      <c r="G117" s="2387"/>
      <c r="H117" s="2387"/>
      <c r="I117" s="2387"/>
      <c r="J117" s="2387"/>
      <c r="K117" s="2405"/>
      <c r="L117" s="2405"/>
      <c r="M117" s="2405"/>
      <c r="N117" s="2405"/>
      <c r="O117" s="2405"/>
      <c r="P117" s="2405"/>
      <c r="Q117" s="2405"/>
      <c r="R117" s="2405"/>
      <c r="S117" s="40"/>
      <c r="T117" s="963"/>
      <c r="U117" s="609"/>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926"/>
      <c r="AY117" s="926"/>
      <c r="AZ117" s="926"/>
    </row>
    <row r="118" spans="1:52" ht="15" customHeight="1" x14ac:dyDescent="0.3">
      <c r="A118" s="926"/>
      <c r="B118" s="609"/>
      <c r="C118" s="962"/>
      <c r="D118" s="40"/>
      <c r="E118" s="2387"/>
      <c r="F118" s="2387"/>
      <c r="G118" s="2387"/>
      <c r="H118" s="2387"/>
      <c r="I118" s="2387"/>
      <c r="J118" s="2387"/>
      <c r="K118" s="2405"/>
      <c r="L118" s="2405"/>
      <c r="M118" s="2405"/>
      <c r="N118" s="2405"/>
      <c r="O118" s="2405"/>
      <c r="P118" s="2405"/>
      <c r="Q118" s="2405"/>
      <c r="R118" s="2405"/>
      <c r="S118" s="40"/>
      <c r="T118" s="963"/>
      <c r="U118" s="609"/>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926"/>
      <c r="AY118" s="926"/>
      <c r="AZ118" s="926"/>
    </row>
    <row r="119" spans="1:52" ht="15" customHeight="1" x14ac:dyDescent="0.3">
      <c r="A119" s="926"/>
      <c r="B119" s="609"/>
      <c r="C119" s="962"/>
      <c r="D119" s="40"/>
      <c r="E119" s="40"/>
      <c r="F119" s="40"/>
      <c r="G119" s="40"/>
      <c r="H119" s="40"/>
      <c r="I119" s="40"/>
      <c r="J119" s="40"/>
      <c r="K119" s="1039"/>
      <c r="L119" s="1039"/>
      <c r="M119" s="1039"/>
      <c r="N119" s="1039"/>
      <c r="O119" s="1039"/>
      <c r="P119" s="1039"/>
      <c r="Q119" s="1039"/>
      <c r="R119" s="1039"/>
      <c r="S119" s="40"/>
      <c r="T119" s="963"/>
      <c r="U119" s="609"/>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926"/>
      <c r="AY119" s="926"/>
      <c r="AZ119" s="926"/>
    </row>
    <row r="120" spans="1:52" ht="15" customHeight="1" x14ac:dyDescent="0.3">
      <c r="A120" s="926"/>
      <c r="B120" s="609"/>
      <c r="C120" s="962"/>
      <c r="D120" s="40"/>
      <c r="E120" s="40"/>
      <c r="F120" s="40"/>
      <c r="G120" s="40"/>
      <c r="H120" s="40"/>
      <c r="I120" s="40"/>
      <c r="J120" s="40"/>
      <c r="K120" s="1039"/>
      <c r="L120" s="1039"/>
      <c r="M120" s="1039"/>
      <c r="N120" s="1039"/>
      <c r="O120" s="1039"/>
      <c r="P120" s="1039"/>
      <c r="Q120" s="1039"/>
      <c r="R120" s="1039"/>
      <c r="S120" s="40"/>
      <c r="T120" s="963"/>
      <c r="U120" s="609"/>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6"/>
      <c r="AV120" s="926"/>
      <c r="AW120" s="926"/>
      <c r="AX120" s="926"/>
      <c r="AY120" s="926"/>
      <c r="AZ120" s="926"/>
    </row>
    <row r="121" spans="1:52" ht="15" customHeight="1" x14ac:dyDescent="0.3">
      <c r="A121" s="926"/>
      <c r="B121" s="609"/>
      <c r="C121" s="962"/>
      <c r="D121" s="40"/>
      <c r="E121" s="2399" t="s">
        <v>85</v>
      </c>
      <c r="F121" s="2399"/>
      <c r="G121" s="2399"/>
      <c r="H121" s="2399"/>
      <c r="I121" s="2399"/>
      <c r="J121" s="2399"/>
      <c r="K121" s="2399"/>
      <c r="L121" s="2399"/>
      <c r="M121" s="2399"/>
      <c r="N121" s="2399"/>
      <c r="O121" s="2399"/>
      <c r="P121" s="2399"/>
      <c r="Q121" s="2399"/>
      <c r="R121" s="2399"/>
      <c r="S121" s="40"/>
      <c r="T121" s="963"/>
      <c r="U121" s="609"/>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6"/>
      <c r="AV121" s="926"/>
      <c r="AW121" s="926"/>
      <c r="AX121" s="926"/>
      <c r="AY121" s="926"/>
      <c r="AZ121" s="926"/>
    </row>
    <row r="122" spans="1:52" ht="15" customHeight="1" x14ac:dyDescent="0.3">
      <c r="A122" s="926"/>
      <c r="B122" s="609"/>
      <c r="C122" s="962"/>
      <c r="D122" s="40"/>
      <c r="E122" s="2399"/>
      <c r="F122" s="2399"/>
      <c r="G122" s="2399"/>
      <c r="H122" s="2399"/>
      <c r="I122" s="2399"/>
      <c r="J122" s="2399"/>
      <c r="K122" s="2399"/>
      <c r="L122" s="2399"/>
      <c r="M122" s="2399"/>
      <c r="N122" s="2399"/>
      <c r="O122" s="2399"/>
      <c r="P122" s="2399"/>
      <c r="Q122" s="2399"/>
      <c r="R122" s="2399"/>
      <c r="S122" s="40"/>
      <c r="T122" s="963"/>
      <c r="U122" s="609"/>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6"/>
      <c r="AV122" s="926"/>
      <c r="AW122" s="926"/>
      <c r="AX122" s="926"/>
      <c r="AY122" s="926"/>
      <c r="AZ122" s="926"/>
    </row>
    <row r="123" spans="1:52" ht="15" customHeight="1" x14ac:dyDescent="0.3">
      <c r="A123" s="926"/>
      <c r="B123" s="609"/>
      <c r="C123" s="962"/>
      <c r="D123" s="40"/>
      <c r="E123" s="2399"/>
      <c r="F123" s="2399"/>
      <c r="G123" s="2399"/>
      <c r="H123" s="2399"/>
      <c r="I123" s="2399"/>
      <c r="J123" s="2399"/>
      <c r="K123" s="2399"/>
      <c r="L123" s="2399"/>
      <c r="M123" s="2399"/>
      <c r="N123" s="2399"/>
      <c r="O123" s="2399"/>
      <c r="P123" s="2399"/>
      <c r="Q123" s="2399"/>
      <c r="R123" s="2399"/>
      <c r="S123" s="40"/>
      <c r="T123" s="963"/>
      <c r="U123" s="609"/>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row>
    <row r="124" spans="1:52" ht="15" customHeight="1" x14ac:dyDescent="0.3">
      <c r="A124" s="926"/>
      <c r="B124" s="609"/>
      <c r="C124" s="962"/>
      <c r="D124" s="40"/>
      <c r="E124" s="2399"/>
      <c r="F124" s="2399"/>
      <c r="G124" s="2399"/>
      <c r="H124" s="2399"/>
      <c r="I124" s="2399"/>
      <c r="J124" s="2399"/>
      <c r="K124" s="2399"/>
      <c r="L124" s="2399"/>
      <c r="M124" s="2399"/>
      <c r="N124" s="2399"/>
      <c r="O124" s="2399"/>
      <c r="P124" s="2399"/>
      <c r="Q124" s="2399"/>
      <c r="R124" s="2399"/>
      <c r="S124" s="40"/>
      <c r="T124" s="963"/>
      <c r="U124" s="609"/>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row>
    <row r="125" spans="1:52" ht="15" customHeight="1" x14ac:dyDescent="0.3">
      <c r="A125" s="926"/>
      <c r="B125" s="609"/>
      <c r="C125" s="962"/>
      <c r="D125" s="40"/>
      <c r="E125" s="2397" t="s">
        <v>31</v>
      </c>
      <c r="F125" s="2397"/>
      <c r="G125" s="2397"/>
      <c r="H125" s="2397"/>
      <c r="I125" s="2397"/>
      <c r="J125" s="2397"/>
      <c r="K125" s="2397" t="s">
        <v>32</v>
      </c>
      <c r="L125" s="2397"/>
      <c r="M125" s="2397"/>
      <c r="N125" s="2397"/>
      <c r="O125" s="2397"/>
      <c r="P125" s="2397"/>
      <c r="Q125" s="2397"/>
      <c r="R125" s="2397"/>
      <c r="S125" s="40"/>
      <c r="T125" s="963"/>
      <c r="U125" s="609"/>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926"/>
      <c r="AY125" s="926"/>
      <c r="AZ125" s="926"/>
    </row>
    <row r="126" spans="1:52" ht="15" customHeight="1" x14ac:dyDescent="0.3">
      <c r="A126" s="926"/>
      <c r="B126" s="609"/>
      <c r="C126" s="962"/>
      <c r="D126" s="40"/>
      <c r="E126" s="2387" t="s">
        <v>83</v>
      </c>
      <c r="F126" s="2387"/>
      <c r="G126" s="2387"/>
      <c r="H126" s="2387"/>
      <c r="I126" s="2387"/>
      <c r="J126" s="2387"/>
      <c r="K126" s="2405" t="s">
        <v>86</v>
      </c>
      <c r="L126" s="2405"/>
      <c r="M126" s="2405"/>
      <c r="N126" s="2405"/>
      <c r="O126" s="2405"/>
      <c r="P126" s="2405"/>
      <c r="Q126" s="2405"/>
      <c r="R126" s="2405"/>
      <c r="S126" s="40"/>
      <c r="T126" s="963"/>
      <c r="U126" s="609"/>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926"/>
      <c r="AY126" s="926"/>
      <c r="AZ126" s="926"/>
    </row>
    <row r="127" spans="1:52" ht="15" customHeight="1" x14ac:dyDescent="0.3">
      <c r="A127" s="926"/>
      <c r="B127" s="609"/>
      <c r="C127" s="962"/>
      <c r="D127" s="40"/>
      <c r="E127" s="2387"/>
      <c r="F127" s="2387"/>
      <c r="G127" s="2387"/>
      <c r="H127" s="2387"/>
      <c r="I127" s="2387"/>
      <c r="J127" s="2387"/>
      <c r="K127" s="2405"/>
      <c r="L127" s="2405"/>
      <c r="M127" s="2405"/>
      <c r="N127" s="2405"/>
      <c r="O127" s="2405"/>
      <c r="P127" s="2405"/>
      <c r="Q127" s="2405"/>
      <c r="R127" s="2405"/>
      <c r="S127" s="40"/>
      <c r="T127" s="963"/>
      <c r="U127" s="609"/>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926"/>
      <c r="AY127" s="926"/>
      <c r="AZ127" s="926"/>
    </row>
    <row r="128" spans="1:52" ht="15" customHeight="1" x14ac:dyDescent="0.3">
      <c r="A128" s="926"/>
      <c r="B128" s="609"/>
      <c r="C128" s="962"/>
      <c r="D128" s="40"/>
      <c r="E128" s="2387"/>
      <c r="F128" s="2387"/>
      <c r="G128" s="2387"/>
      <c r="H128" s="2387"/>
      <c r="I128" s="2387"/>
      <c r="J128" s="2387"/>
      <c r="K128" s="2405"/>
      <c r="L128" s="2405"/>
      <c r="M128" s="2405"/>
      <c r="N128" s="2405"/>
      <c r="O128" s="2405"/>
      <c r="P128" s="2405"/>
      <c r="Q128" s="2405"/>
      <c r="R128" s="2405"/>
      <c r="S128" s="40"/>
      <c r="T128" s="963"/>
      <c r="U128" s="609"/>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row>
    <row r="129" spans="1:52" ht="15" customHeight="1" x14ac:dyDescent="0.3">
      <c r="A129" s="926"/>
      <c r="B129" s="609"/>
      <c r="C129" s="962"/>
      <c r="D129" s="40"/>
      <c r="E129" s="40"/>
      <c r="F129" s="40"/>
      <c r="G129" s="40"/>
      <c r="H129" s="40"/>
      <c r="I129" s="40"/>
      <c r="J129" s="40"/>
      <c r="K129" s="1039"/>
      <c r="L129" s="1039"/>
      <c r="M129" s="1039"/>
      <c r="N129" s="1039"/>
      <c r="O129" s="1039"/>
      <c r="P129" s="1039"/>
      <c r="Q129" s="1039"/>
      <c r="R129" s="1039"/>
      <c r="S129" s="40"/>
      <c r="T129" s="963"/>
      <c r="U129" s="609"/>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row>
    <row r="130" spans="1:52" ht="15" customHeight="1" x14ac:dyDescent="0.3">
      <c r="A130" s="926"/>
      <c r="B130" s="609"/>
      <c r="C130" s="962"/>
      <c r="D130" s="40"/>
      <c r="E130" s="40"/>
      <c r="F130" s="40"/>
      <c r="G130" s="40"/>
      <c r="H130" s="40"/>
      <c r="I130" s="40"/>
      <c r="J130" s="40"/>
      <c r="K130" s="1039"/>
      <c r="L130" s="1039"/>
      <c r="M130" s="1039"/>
      <c r="N130" s="1039"/>
      <c r="O130" s="1039"/>
      <c r="P130" s="1039"/>
      <c r="Q130" s="1039"/>
      <c r="R130" s="1039"/>
      <c r="S130" s="40"/>
      <c r="T130" s="963"/>
      <c r="U130" s="609"/>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row>
    <row r="131" spans="1:52" ht="15" customHeight="1" x14ac:dyDescent="0.3">
      <c r="A131" s="926"/>
      <c r="B131" s="609"/>
      <c r="C131" s="962"/>
      <c r="D131" s="40"/>
      <c r="E131" s="2399" t="s">
        <v>87</v>
      </c>
      <c r="F131" s="2399"/>
      <c r="G131" s="2399"/>
      <c r="H131" s="2399"/>
      <c r="I131" s="2399"/>
      <c r="J131" s="2399"/>
      <c r="K131" s="2399"/>
      <c r="L131" s="2399"/>
      <c r="M131" s="2399"/>
      <c r="N131" s="2399"/>
      <c r="O131" s="2399"/>
      <c r="P131" s="2399"/>
      <c r="Q131" s="2399"/>
      <c r="R131" s="2399"/>
      <c r="S131" s="40"/>
      <c r="T131" s="963"/>
      <c r="U131" s="609"/>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row>
    <row r="132" spans="1:52" ht="15" customHeight="1" x14ac:dyDescent="0.3">
      <c r="A132" s="926"/>
      <c r="B132" s="609"/>
      <c r="C132" s="962"/>
      <c r="D132" s="40"/>
      <c r="E132" s="2399"/>
      <c r="F132" s="2399"/>
      <c r="G132" s="2399"/>
      <c r="H132" s="2399"/>
      <c r="I132" s="2399"/>
      <c r="J132" s="2399"/>
      <c r="K132" s="2399"/>
      <c r="L132" s="2399"/>
      <c r="M132" s="2399"/>
      <c r="N132" s="2399"/>
      <c r="O132" s="2399"/>
      <c r="P132" s="2399"/>
      <c r="Q132" s="2399"/>
      <c r="R132" s="2399"/>
      <c r="S132" s="40"/>
      <c r="T132" s="963"/>
      <c r="U132" s="609"/>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926"/>
      <c r="AY132" s="926"/>
      <c r="AZ132" s="926"/>
    </row>
    <row r="133" spans="1:52" ht="15" customHeight="1" x14ac:dyDescent="0.3">
      <c r="A133" s="926"/>
      <c r="B133" s="609"/>
      <c r="C133" s="962"/>
      <c r="D133" s="40"/>
      <c r="E133" s="2399"/>
      <c r="F133" s="2399"/>
      <c r="G133" s="2399"/>
      <c r="H133" s="2399"/>
      <c r="I133" s="2399"/>
      <c r="J133" s="2399"/>
      <c r="K133" s="2399"/>
      <c r="L133" s="2399"/>
      <c r="M133" s="2399"/>
      <c r="N133" s="2399"/>
      <c r="O133" s="2399"/>
      <c r="P133" s="2399"/>
      <c r="Q133" s="2399"/>
      <c r="R133" s="2399"/>
      <c r="S133" s="40"/>
      <c r="T133" s="963"/>
      <c r="U133" s="609"/>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6"/>
      <c r="AV133" s="926"/>
      <c r="AW133" s="926"/>
      <c r="AX133" s="926"/>
      <c r="AY133" s="926"/>
      <c r="AZ133" s="926"/>
    </row>
    <row r="134" spans="1:52" ht="15" customHeight="1" x14ac:dyDescent="0.3">
      <c r="A134" s="926"/>
      <c r="B134" s="609"/>
      <c r="C134" s="962"/>
      <c r="D134" s="40"/>
      <c r="E134" s="2399"/>
      <c r="F134" s="2399"/>
      <c r="G134" s="2399"/>
      <c r="H134" s="2399"/>
      <c r="I134" s="2399"/>
      <c r="J134" s="2399"/>
      <c r="K134" s="2399"/>
      <c r="L134" s="2399"/>
      <c r="M134" s="2399"/>
      <c r="N134" s="2399"/>
      <c r="O134" s="2399"/>
      <c r="P134" s="2399"/>
      <c r="Q134" s="2399"/>
      <c r="R134" s="2399"/>
      <c r="S134" s="40"/>
      <c r="T134" s="963"/>
      <c r="U134" s="609"/>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6"/>
      <c r="AV134" s="926"/>
      <c r="AW134" s="926"/>
      <c r="AX134" s="926"/>
      <c r="AY134" s="926"/>
      <c r="AZ134" s="926"/>
    </row>
    <row r="135" spans="1:52" ht="15" customHeight="1" x14ac:dyDescent="0.3">
      <c r="A135" s="926"/>
      <c r="B135" s="609"/>
      <c r="C135" s="962"/>
      <c r="D135" s="40"/>
      <c r="E135" s="2406" t="s">
        <v>88</v>
      </c>
      <c r="F135" s="2406"/>
      <c r="G135" s="2397" t="s">
        <v>38</v>
      </c>
      <c r="H135" s="2397"/>
      <c r="I135" s="2397" t="s">
        <v>39</v>
      </c>
      <c r="J135" s="2397"/>
      <c r="K135" s="2397" t="s">
        <v>40</v>
      </c>
      <c r="L135" s="2397"/>
      <c r="M135" s="2397" t="s">
        <v>41</v>
      </c>
      <c r="N135" s="2397"/>
      <c r="O135" s="2397" t="s">
        <v>42</v>
      </c>
      <c r="P135" s="2397"/>
      <c r="Q135" s="2397" t="s">
        <v>43</v>
      </c>
      <c r="R135" s="2397"/>
      <c r="S135" s="40"/>
      <c r="T135" s="963"/>
      <c r="U135" s="609"/>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6"/>
      <c r="AV135" s="926"/>
      <c r="AW135" s="926"/>
      <c r="AX135" s="926"/>
      <c r="AY135" s="926"/>
      <c r="AZ135" s="926"/>
    </row>
    <row r="136" spans="1:52" ht="15" customHeight="1" x14ac:dyDescent="0.3">
      <c r="A136" s="926"/>
      <c r="B136" s="609"/>
      <c r="C136" s="962"/>
      <c r="D136" s="40"/>
      <c r="E136" s="2410" t="s">
        <v>89</v>
      </c>
      <c r="F136" s="2410"/>
      <c r="G136" s="2398" t="str">
        <f>BG224</f>
        <v>lb N/acre</v>
      </c>
      <c r="H136" s="2398"/>
      <c r="I136" s="2407">
        <f>BE224</f>
        <v>195</v>
      </c>
      <c r="J136" s="2407"/>
      <c r="K136" s="2411"/>
      <c r="L136" s="2412"/>
      <c r="M136" s="2407">
        <f>BI224</f>
        <v>33</v>
      </c>
      <c r="N136" s="2407"/>
      <c r="O136" s="2407">
        <f>BJ224</f>
        <v>500</v>
      </c>
      <c r="P136" s="2407"/>
      <c r="Q136" s="2409" t="str">
        <f>BN224</f>
        <v>Using default</v>
      </c>
      <c r="R136" s="2409"/>
      <c r="S136" s="40"/>
      <c r="T136" s="963"/>
      <c r="U136" s="609"/>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6"/>
      <c r="AV136" s="926"/>
      <c r="AW136" s="926"/>
      <c r="AX136" s="926"/>
      <c r="AY136" s="926"/>
      <c r="AZ136" s="926"/>
    </row>
    <row r="137" spans="1:52" ht="15" customHeight="1" x14ac:dyDescent="0.3">
      <c r="A137" s="926"/>
      <c r="B137" s="609"/>
      <c r="C137" s="962"/>
      <c r="D137" s="40"/>
      <c r="E137" s="2410"/>
      <c r="F137" s="2410"/>
      <c r="G137" s="2398"/>
      <c r="H137" s="2398"/>
      <c r="I137" s="2407"/>
      <c r="J137" s="2407"/>
      <c r="K137" s="2413"/>
      <c r="L137" s="2414"/>
      <c r="M137" s="2407"/>
      <c r="N137" s="2407"/>
      <c r="O137" s="2407"/>
      <c r="P137" s="2407"/>
      <c r="Q137" s="2409"/>
      <c r="R137" s="2409"/>
      <c r="S137" s="40"/>
      <c r="T137" s="963"/>
      <c r="U137" s="609"/>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6"/>
      <c r="AV137" s="926"/>
      <c r="AW137" s="926"/>
      <c r="AX137" s="926"/>
      <c r="AY137" s="926"/>
      <c r="AZ137" s="926"/>
    </row>
    <row r="138" spans="1:52" ht="15" customHeight="1" x14ac:dyDescent="0.3">
      <c r="A138" s="926"/>
      <c r="B138" s="609"/>
      <c r="C138" s="962"/>
      <c r="D138" s="40"/>
      <c r="E138" s="2410"/>
      <c r="F138" s="2410"/>
      <c r="G138" s="2398"/>
      <c r="H138" s="2398"/>
      <c r="I138" s="2407"/>
      <c r="J138" s="2407"/>
      <c r="K138" s="2415"/>
      <c r="L138" s="2416"/>
      <c r="M138" s="2407"/>
      <c r="N138" s="2407"/>
      <c r="O138" s="2407"/>
      <c r="P138" s="2407"/>
      <c r="Q138" s="2409"/>
      <c r="R138" s="2409"/>
      <c r="S138" s="40"/>
      <c r="T138" s="963"/>
      <c r="U138" s="609"/>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6"/>
      <c r="AV138" s="926"/>
      <c r="AW138" s="926"/>
      <c r="AX138" s="926"/>
      <c r="AY138" s="926"/>
      <c r="AZ138" s="926"/>
    </row>
    <row r="139" spans="1:52" ht="15" customHeight="1" x14ac:dyDescent="0.3">
      <c r="A139" s="926"/>
      <c r="B139" s="609"/>
      <c r="C139" s="962"/>
      <c r="D139" s="40"/>
      <c r="E139" s="2410" t="s">
        <v>90</v>
      </c>
      <c r="F139" s="2410"/>
      <c r="G139" s="2407" t="str">
        <f>BG225</f>
        <v>lb P2O5/acre</v>
      </c>
      <c r="H139" s="2407"/>
      <c r="I139" s="2417">
        <f>BE225</f>
        <v>55</v>
      </c>
      <c r="J139" s="2417"/>
      <c r="K139" s="2411"/>
      <c r="L139" s="2412"/>
      <c r="M139" s="2407">
        <f>BI225</f>
        <v>14</v>
      </c>
      <c r="N139" s="2407"/>
      <c r="O139" s="2407">
        <f>BJ225</f>
        <v>350</v>
      </c>
      <c r="P139" s="2407"/>
      <c r="Q139" s="2408" t="str">
        <f>BN225</f>
        <v>Using default</v>
      </c>
      <c r="R139" s="2408"/>
      <c r="S139" s="40"/>
      <c r="T139" s="963"/>
      <c r="U139" s="609"/>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6"/>
      <c r="AV139" s="926"/>
      <c r="AW139" s="926"/>
      <c r="AX139" s="926"/>
      <c r="AY139" s="926"/>
      <c r="AZ139" s="926"/>
    </row>
    <row r="140" spans="1:52" ht="15" customHeight="1" x14ac:dyDescent="0.3">
      <c r="A140" s="926"/>
      <c r="B140" s="609"/>
      <c r="C140" s="962"/>
      <c r="D140" s="40"/>
      <c r="E140" s="2410"/>
      <c r="F140" s="2410"/>
      <c r="G140" s="2407"/>
      <c r="H140" s="2407"/>
      <c r="I140" s="2417"/>
      <c r="J140" s="2417"/>
      <c r="K140" s="2413"/>
      <c r="L140" s="2414"/>
      <c r="M140" s="2407"/>
      <c r="N140" s="2407"/>
      <c r="O140" s="2407"/>
      <c r="P140" s="2407"/>
      <c r="Q140" s="2408"/>
      <c r="R140" s="2408"/>
      <c r="S140" s="40"/>
      <c r="T140" s="963"/>
      <c r="U140" s="609"/>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AX140" s="926"/>
      <c r="AY140" s="926"/>
      <c r="AZ140" s="926"/>
    </row>
    <row r="141" spans="1:52" ht="15" customHeight="1" x14ac:dyDescent="0.3">
      <c r="A141" s="926"/>
      <c r="B141" s="609"/>
      <c r="C141" s="962"/>
      <c r="D141" s="40"/>
      <c r="E141" s="2410"/>
      <c r="F141" s="2410"/>
      <c r="G141" s="2407"/>
      <c r="H141" s="2407"/>
      <c r="I141" s="2417"/>
      <c r="J141" s="2417"/>
      <c r="K141" s="2415"/>
      <c r="L141" s="2416"/>
      <c r="M141" s="2407"/>
      <c r="N141" s="2407"/>
      <c r="O141" s="2407"/>
      <c r="P141" s="2407"/>
      <c r="Q141" s="2408"/>
      <c r="R141" s="2408"/>
      <c r="S141" s="40"/>
      <c r="T141" s="963"/>
      <c r="U141" s="609"/>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6"/>
      <c r="AV141" s="926"/>
      <c r="AW141" s="926"/>
      <c r="AX141" s="926"/>
      <c r="AY141" s="926"/>
      <c r="AZ141" s="926"/>
    </row>
    <row r="142" spans="1:52" ht="15" customHeight="1" x14ac:dyDescent="0.3">
      <c r="A142" s="926"/>
      <c r="B142" s="609"/>
      <c r="C142" s="962"/>
      <c r="D142" s="40"/>
      <c r="E142" s="2410" t="s">
        <v>91</v>
      </c>
      <c r="F142" s="2410"/>
      <c r="G142" s="2407" t="str">
        <f>BG226</f>
        <v>lb K2O/acre</v>
      </c>
      <c r="H142" s="2407"/>
      <c r="I142" s="2417">
        <f>BE226</f>
        <v>90</v>
      </c>
      <c r="J142" s="2417"/>
      <c r="K142" s="2411"/>
      <c r="L142" s="2412"/>
      <c r="M142" s="2407">
        <f>BI226</f>
        <v>9</v>
      </c>
      <c r="N142" s="2407"/>
      <c r="O142" s="2407">
        <f>BJ226</f>
        <v>300</v>
      </c>
      <c r="P142" s="2407"/>
      <c r="Q142" s="2408" t="str">
        <f>BN226</f>
        <v>Using default</v>
      </c>
      <c r="R142" s="2408"/>
      <c r="S142" s="40"/>
      <c r="T142" s="963"/>
      <c r="U142" s="609"/>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AX142" s="926"/>
      <c r="AY142" s="926"/>
      <c r="AZ142" s="926"/>
    </row>
    <row r="143" spans="1:52" ht="15" customHeight="1" x14ac:dyDescent="0.3">
      <c r="A143" s="926"/>
      <c r="B143" s="609"/>
      <c r="C143" s="962"/>
      <c r="D143" s="40"/>
      <c r="E143" s="2410"/>
      <c r="F143" s="2410"/>
      <c r="G143" s="2407"/>
      <c r="H143" s="2407"/>
      <c r="I143" s="2417"/>
      <c r="J143" s="2417"/>
      <c r="K143" s="2413"/>
      <c r="L143" s="2414"/>
      <c r="M143" s="2407"/>
      <c r="N143" s="2407"/>
      <c r="O143" s="2407"/>
      <c r="P143" s="2407"/>
      <c r="Q143" s="2408"/>
      <c r="R143" s="2408"/>
      <c r="S143" s="40"/>
      <c r="T143" s="963"/>
      <c r="U143" s="609"/>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6"/>
      <c r="AV143" s="926"/>
      <c r="AW143" s="926"/>
      <c r="AX143" s="926"/>
      <c r="AY143" s="926"/>
      <c r="AZ143" s="926"/>
    </row>
    <row r="144" spans="1:52" ht="15" customHeight="1" x14ac:dyDescent="0.3">
      <c r="A144" s="926"/>
      <c r="B144" s="609"/>
      <c r="C144" s="962"/>
      <c r="D144" s="40"/>
      <c r="E144" s="2410"/>
      <c r="F144" s="2410"/>
      <c r="G144" s="2407"/>
      <c r="H144" s="2407"/>
      <c r="I144" s="2417"/>
      <c r="J144" s="2417"/>
      <c r="K144" s="2415"/>
      <c r="L144" s="2416"/>
      <c r="M144" s="2407"/>
      <c r="N144" s="2407"/>
      <c r="O144" s="2407"/>
      <c r="P144" s="2407"/>
      <c r="Q144" s="2408"/>
      <c r="R144" s="2408"/>
      <c r="S144" s="40"/>
      <c r="T144" s="963"/>
      <c r="U144" s="609"/>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6"/>
      <c r="AV144" s="926"/>
      <c r="AW144" s="926"/>
      <c r="AX144" s="926"/>
      <c r="AY144" s="926"/>
      <c r="AZ144" s="926"/>
    </row>
    <row r="145" spans="1:52" ht="15" customHeight="1" x14ac:dyDescent="0.3">
      <c r="A145" s="926"/>
      <c r="B145" s="609"/>
      <c r="C145" s="962"/>
      <c r="D145" s="40"/>
      <c r="E145" s="40"/>
      <c r="F145" s="40"/>
      <c r="G145" s="40"/>
      <c r="H145" s="40"/>
      <c r="I145" s="40"/>
      <c r="J145" s="40"/>
      <c r="K145" s="40"/>
      <c r="L145" s="40"/>
      <c r="M145" s="40"/>
      <c r="N145" s="40"/>
      <c r="O145" s="40"/>
      <c r="P145" s="40"/>
      <c r="Q145" s="40"/>
      <c r="R145" s="40"/>
      <c r="S145" s="40"/>
      <c r="T145" s="963"/>
      <c r="U145" s="609"/>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row>
    <row r="146" spans="1:52" ht="15" customHeight="1" x14ac:dyDescent="0.3">
      <c r="A146" s="926"/>
      <c r="B146" s="609"/>
      <c r="C146" s="962"/>
      <c r="D146" s="40"/>
      <c r="E146" s="40"/>
      <c r="F146" s="40"/>
      <c r="G146" s="40"/>
      <c r="H146" s="40"/>
      <c r="I146" s="40"/>
      <c r="J146" s="40"/>
      <c r="K146" s="40"/>
      <c r="L146" s="40"/>
      <c r="M146" s="40"/>
      <c r="N146" s="40"/>
      <c r="O146" s="40"/>
      <c r="P146" s="40"/>
      <c r="Q146" s="40"/>
      <c r="R146" s="40"/>
      <c r="S146" s="40"/>
      <c r="T146" s="963"/>
      <c r="U146" s="609"/>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row>
    <row r="147" spans="1:52" ht="15" customHeight="1" x14ac:dyDescent="0.3">
      <c r="A147" s="926"/>
      <c r="B147" s="609"/>
      <c r="C147" s="962"/>
      <c r="D147" s="40"/>
      <c r="E147" s="2399" t="s">
        <v>92</v>
      </c>
      <c r="F147" s="2399"/>
      <c r="G147" s="2399"/>
      <c r="H147" s="2399"/>
      <c r="I147" s="2399"/>
      <c r="J147" s="2399"/>
      <c r="K147" s="2399"/>
      <c r="L147" s="2399"/>
      <c r="M147" s="2399"/>
      <c r="N147" s="2399"/>
      <c r="O147" s="2399"/>
      <c r="P147" s="2399"/>
      <c r="Q147" s="2399"/>
      <c r="R147" s="2399"/>
      <c r="S147" s="40"/>
      <c r="T147" s="963"/>
      <c r="U147" s="609"/>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row>
    <row r="148" spans="1:52" ht="15" customHeight="1" x14ac:dyDescent="0.3">
      <c r="A148" s="926"/>
      <c r="B148" s="609"/>
      <c r="C148" s="962"/>
      <c r="D148" s="40"/>
      <c r="E148" s="2399"/>
      <c r="F148" s="2399"/>
      <c r="G148" s="2399"/>
      <c r="H148" s="2399"/>
      <c r="I148" s="2399"/>
      <c r="J148" s="2399"/>
      <c r="K148" s="2399"/>
      <c r="L148" s="2399"/>
      <c r="M148" s="2399"/>
      <c r="N148" s="2399"/>
      <c r="O148" s="2399"/>
      <c r="P148" s="2399"/>
      <c r="Q148" s="2399"/>
      <c r="R148" s="2399"/>
      <c r="S148" s="40"/>
      <c r="T148" s="963"/>
      <c r="U148" s="609"/>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s="926"/>
    </row>
    <row r="149" spans="1:52" ht="15" customHeight="1" x14ac:dyDescent="0.3">
      <c r="A149" s="926"/>
      <c r="B149" s="609"/>
      <c r="C149" s="962"/>
      <c r="D149" s="40"/>
      <c r="E149" s="2399"/>
      <c r="F149" s="2399"/>
      <c r="G149" s="2399"/>
      <c r="H149" s="2399"/>
      <c r="I149" s="2399"/>
      <c r="J149" s="2399"/>
      <c r="K149" s="2399"/>
      <c r="L149" s="2399"/>
      <c r="M149" s="2399"/>
      <c r="N149" s="2399"/>
      <c r="O149" s="2399"/>
      <c r="P149" s="2399"/>
      <c r="Q149" s="2399"/>
      <c r="R149" s="2399"/>
      <c r="S149" s="40"/>
      <c r="T149" s="963"/>
      <c r="U149" s="609"/>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X149" s="926"/>
      <c r="AY149" s="926"/>
      <c r="AZ149" s="926"/>
    </row>
    <row r="150" spans="1:52" ht="15" customHeight="1" x14ac:dyDescent="0.3">
      <c r="A150" s="926"/>
      <c r="B150" s="609"/>
      <c r="C150" s="962"/>
      <c r="D150" s="40"/>
      <c r="E150" s="2399"/>
      <c r="F150" s="2399"/>
      <c r="G150" s="2399"/>
      <c r="H150" s="2399"/>
      <c r="I150" s="2399"/>
      <c r="J150" s="2399"/>
      <c r="K150" s="2399"/>
      <c r="L150" s="2399"/>
      <c r="M150" s="2399"/>
      <c r="N150" s="2399"/>
      <c r="O150" s="2399"/>
      <c r="P150" s="2399"/>
      <c r="Q150" s="2399"/>
      <c r="R150" s="2399"/>
      <c r="S150" s="40"/>
      <c r="T150" s="963"/>
      <c r="U150" s="609"/>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row>
    <row r="151" spans="1:52" ht="15" customHeight="1" x14ac:dyDescent="0.3">
      <c r="A151" s="926"/>
      <c r="B151" s="609"/>
      <c r="C151" s="962"/>
      <c r="D151" s="40"/>
      <c r="E151" s="2397" t="s">
        <v>93</v>
      </c>
      <c r="F151" s="2397"/>
      <c r="G151" s="2397" t="s">
        <v>38</v>
      </c>
      <c r="H151" s="2397"/>
      <c r="I151" s="2397" t="s">
        <v>39</v>
      </c>
      <c r="J151" s="2397"/>
      <c r="K151" s="2397" t="s">
        <v>40</v>
      </c>
      <c r="L151" s="2397"/>
      <c r="M151" s="2397" t="s">
        <v>41</v>
      </c>
      <c r="N151" s="2397"/>
      <c r="O151" s="2397" t="s">
        <v>42</v>
      </c>
      <c r="P151" s="2397"/>
      <c r="Q151" s="2397" t="s">
        <v>43</v>
      </c>
      <c r="R151" s="2397"/>
      <c r="S151" s="40"/>
      <c r="T151" s="963"/>
      <c r="U151" s="609"/>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6"/>
      <c r="AV151" s="926"/>
      <c r="AW151" s="926"/>
      <c r="AX151" s="926"/>
      <c r="AY151" s="926"/>
      <c r="AZ151" s="926"/>
    </row>
    <row r="152" spans="1:52" ht="15" customHeight="1" x14ac:dyDescent="0.3">
      <c r="A152" s="926"/>
      <c r="B152" s="609"/>
      <c r="C152" s="962"/>
      <c r="D152" s="40"/>
      <c r="E152" s="2410" t="s">
        <v>94</v>
      </c>
      <c r="F152" s="2410"/>
      <c r="G152" s="2398" t="str">
        <f>BG227</f>
        <v>day/year</v>
      </c>
      <c r="H152" s="2398"/>
      <c r="I152" s="2407">
        <f>BE227</f>
        <v>50</v>
      </c>
      <c r="J152" s="2407"/>
      <c r="K152" s="2460"/>
      <c r="L152" s="2460"/>
      <c r="M152" s="2407">
        <f>BI227</f>
        <v>10</v>
      </c>
      <c r="N152" s="2407"/>
      <c r="O152" s="2407">
        <f>BJ227</f>
        <v>365</v>
      </c>
      <c r="P152" s="2407"/>
      <c r="Q152" s="2409" t="str">
        <f>BN227</f>
        <v>Using default</v>
      </c>
      <c r="R152" s="2409"/>
      <c r="S152" s="40"/>
      <c r="T152" s="963"/>
      <c r="U152" s="609"/>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6"/>
      <c r="AV152" s="926"/>
      <c r="AW152" s="926"/>
      <c r="AX152" s="926"/>
      <c r="AY152" s="926"/>
      <c r="AZ152" s="926"/>
    </row>
    <row r="153" spans="1:52" ht="15" customHeight="1" x14ac:dyDescent="0.3">
      <c r="A153" s="926"/>
      <c r="B153" s="609"/>
      <c r="C153" s="962"/>
      <c r="D153" s="40"/>
      <c r="E153" s="2410"/>
      <c r="F153" s="2410"/>
      <c r="G153" s="2398"/>
      <c r="H153" s="2398"/>
      <c r="I153" s="2407"/>
      <c r="J153" s="2407"/>
      <c r="K153" s="2460"/>
      <c r="L153" s="2460"/>
      <c r="M153" s="2407"/>
      <c r="N153" s="2407"/>
      <c r="O153" s="2407"/>
      <c r="P153" s="2407"/>
      <c r="Q153" s="2409"/>
      <c r="R153" s="2409"/>
      <c r="S153" s="40"/>
      <c r="T153" s="963"/>
      <c r="U153" s="609"/>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6"/>
      <c r="AV153" s="926"/>
      <c r="AW153" s="926"/>
      <c r="AX153" s="926"/>
      <c r="AY153" s="926"/>
      <c r="AZ153" s="926"/>
    </row>
    <row r="154" spans="1:52" ht="15" customHeight="1" x14ac:dyDescent="0.3">
      <c r="A154" s="926"/>
      <c r="B154" s="609"/>
      <c r="C154" s="962"/>
      <c r="D154" s="40"/>
      <c r="E154" s="2410"/>
      <c r="F154" s="2410"/>
      <c r="G154" s="2398"/>
      <c r="H154" s="2398"/>
      <c r="I154" s="2407"/>
      <c r="J154" s="2407"/>
      <c r="K154" s="2460"/>
      <c r="L154" s="2460"/>
      <c r="M154" s="2407"/>
      <c r="N154" s="2407"/>
      <c r="O154" s="2407"/>
      <c r="P154" s="2407"/>
      <c r="Q154" s="2409"/>
      <c r="R154" s="2409"/>
      <c r="S154" s="40"/>
      <c r="T154" s="963"/>
      <c r="U154" s="609"/>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6"/>
      <c r="AV154" s="926"/>
      <c r="AW154" s="926"/>
      <c r="AX154" s="926"/>
      <c r="AY154" s="926"/>
      <c r="AZ154" s="926"/>
    </row>
    <row r="155" spans="1:52" ht="15" customHeight="1" x14ac:dyDescent="0.3">
      <c r="A155" s="926"/>
      <c r="B155" s="609"/>
      <c r="C155" s="962"/>
      <c r="D155" s="40"/>
      <c r="E155" s="40"/>
      <c r="F155" s="1063"/>
      <c r="G155" s="40"/>
      <c r="H155" s="40"/>
      <c r="I155" s="40"/>
      <c r="J155" s="40"/>
      <c r="K155" s="40"/>
      <c r="L155" s="40"/>
      <c r="M155" s="40"/>
      <c r="N155" s="40"/>
      <c r="O155" s="40"/>
      <c r="P155" s="40"/>
      <c r="Q155" s="40"/>
      <c r="R155" s="40"/>
      <c r="S155" s="40"/>
      <c r="T155" s="963"/>
      <c r="U155" s="609"/>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row>
    <row r="156" spans="1:52" ht="15" customHeight="1" x14ac:dyDescent="0.3">
      <c r="A156" s="926"/>
      <c r="B156" s="609"/>
      <c r="C156" s="962"/>
      <c r="D156" s="40"/>
      <c r="E156" s="40"/>
      <c r="F156" s="40"/>
      <c r="G156" s="40"/>
      <c r="H156" s="40"/>
      <c r="I156" s="40"/>
      <c r="J156" s="40"/>
      <c r="K156" s="40"/>
      <c r="L156" s="40"/>
      <c r="M156" s="40"/>
      <c r="N156" s="40"/>
      <c r="O156" s="40"/>
      <c r="P156" s="40"/>
      <c r="Q156" s="40"/>
      <c r="R156" s="40"/>
      <c r="S156" s="40"/>
      <c r="T156" s="963"/>
      <c r="U156" s="609"/>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6"/>
      <c r="AV156" s="926"/>
      <c r="AW156" s="926"/>
      <c r="AX156" s="926"/>
      <c r="AY156" s="926"/>
      <c r="AZ156" s="926"/>
    </row>
    <row r="157" spans="1:52" ht="15" customHeight="1" x14ac:dyDescent="0.3">
      <c r="A157" s="926"/>
      <c r="B157" s="609"/>
      <c r="C157" s="962"/>
      <c r="D157" s="40"/>
      <c r="E157" s="2399" t="s">
        <v>95</v>
      </c>
      <c r="F157" s="2399"/>
      <c r="G157" s="2399"/>
      <c r="H157" s="2399"/>
      <c r="I157" s="2399"/>
      <c r="J157" s="2399"/>
      <c r="K157" s="2399"/>
      <c r="L157" s="2399"/>
      <c r="M157" s="2399"/>
      <c r="N157" s="2399"/>
      <c r="O157" s="2399"/>
      <c r="P157" s="2399"/>
      <c r="Q157" s="2399"/>
      <c r="R157" s="2399"/>
      <c r="S157" s="40"/>
      <c r="T157" s="963"/>
      <c r="U157" s="609"/>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row>
    <row r="158" spans="1:52" ht="15" customHeight="1" x14ac:dyDescent="0.3">
      <c r="A158" s="926"/>
      <c r="B158" s="609"/>
      <c r="C158" s="962"/>
      <c r="D158" s="40"/>
      <c r="E158" s="2399"/>
      <c r="F158" s="2399"/>
      <c r="G158" s="2399"/>
      <c r="H158" s="2399"/>
      <c r="I158" s="2399"/>
      <c r="J158" s="2399"/>
      <c r="K158" s="2399"/>
      <c r="L158" s="2399"/>
      <c r="M158" s="2399"/>
      <c r="N158" s="2399"/>
      <c r="O158" s="2399"/>
      <c r="P158" s="2399"/>
      <c r="Q158" s="2399"/>
      <c r="R158" s="2399"/>
      <c r="S158" s="40"/>
      <c r="T158" s="963"/>
      <c r="U158" s="609"/>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6"/>
      <c r="AV158" s="926"/>
      <c r="AW158" s="926"/>
      <c r="AX158" s="926"/>
      <c r="AY158" s="926"/>
      <c r="AZ158" s="926"/>
    </row>
    <row r="159" spans="1:52" ht="15" customHeight="1" x14ac:dyDescent="0.3">
      <c r="A159" s="926"/>
      <c r="B159" s="609"/>
      <c r="C159" s="962"/>
      <c r="D159" s="40"/>
      <c r="E159" s="2399"/>
      <c r="F159" s="2399"/>
      <c r="G159" s="2399"/>
      <c r="H159" s="2399"/>
      <c r="I159" s="2399"/>
      <c r="J159" s="2399"/>
      <c r="K159" s="2399"/>
      <c r="L159" s="2399"/>
      <c r="M159" s="2399"/>
      <c r="N159" s="2399"/>
      <c r="O159" s="2399"/>
      <c r="P159" s="2399"/>
      <c r="Q159" s="2399"/>
      <c r="R159" s="2399"/>
      <c r="S159" s="40"/>
      <c r="T159" s="963"/>
      <c r="U159" s="609"/>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6"/>
      <c r="AV159" s="926"/>
      <c r="AW159" s="926"/>
      <c r="AX159" s="926"/>
      <c r="AY159" s="926"/>
      <c r="AZ159" s="926"/>
    </row>
    <row r="160" spans="1:52" ht="15" customHeight="1" x14ac:dyDescent="0.3">
      <c r="A160" s="926"/>
      <c r="B160" s="609"/>
      <c r="C160" s="962"/>
      <c r="D160" s="40"/>
      <c r="E160" s="2399"/>
      <c r="F160" s="2399"/>
      <c r="G160" s="2399"/>
      <c r="H160" s="2399"/>
      <c r="I160" s="2399"/>
      <c r="J160" s="2399"/>
      <c r="K160" s="2399"/>
      <c r="L160" s="2399"/>
      <c r="M160" s="2399"/>
      <c r="N160" s="2399"/>
      <c r="O160" s="2399"/>
      <c r="P160" s="2399"/>
      <c r="Q160" s="2399"/>
      <c r="R160" s="2399"/>
      <c r="S160" s="40"/>
      <c r="T160" s="963"/>
      <c r="U160" s="609"/>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6"/>
      <c r="AV160" s="926"/>
      <c r="AW160" s="926"/>
      <c r="AX160" s="926"/>
      <c r="AY160" s="926"/>
      <c r="AZ160" s="926"/>
    </row>
    <row r="161" spans="1:52" ht="15" customHeight="1" x14ac:dyDescent="0.3">
      <c r="A161" s="926"/>
      <c r="B161" s="609"/>
      <c r="C161" s="962"/>
      <c r="D161" s="40"/>
      <c r="E161" s="2397" t="s">
        <v>96</v>
      </c>
      <c r="F161" s="2397"/>
      <c r="G161" s="2397" t="s">
        <v>38</v>
      </c>
      <c r="H161" s="2397"/>
      <c r="I161" s="2397" t="s">
        <v>39</v>
      </c>
      <c r="J161" s="2397"/>
      <c r="K161" s="2397" t="s">
        <v>40</v>
      </c>
      <c r="L161" s="2397"/>
      <c r="M161" s="2397" t="s">
        <v>41</v>
      </c>
      <c r="N161" s="2397"/>
      <c r="O161" s="2397" t="s">
        <v>42</v>
      </c>
      <c r="P161" s="2397"/>
      <c r="Q161" s="2397" t="s">
        <v>43</v>
      </c>
      <c r="R161" s="2397"/>
      <c r="S161" s="40"/>
      <c r="T161" s="963"/>
      <c r="U161" s="609"/>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6"/>
      <c r="AV161" s="926"/>
      <c r="AW161" s="926"/>
      <c r="AX161" s="926"/>
      <c r="AY161" s="926"/>
      <c r="AZ161" s="926"/>
    </row>
    <row r="162" spans="1:52" ht="15" customHeight="1" x14ac:dyDescent="0.3">
      <c r="A162" s="926"/>
      <c r="B162" s="609"/>
      <c r="C162" s="962"/>
      <c r="D162" s="40"/>
      <c r="E162" s="2410" t="s">
        <v>97</v>
      </c>
      <c r="F162" s="2410"/>
      <c r="G162" s="2398" t="str">
        <f>BG228</f>
        <v>$/credit</v>
      </c>
      <c r="H162" s="2398"/>
      <c r="I162" s="2407">
        <f>BE228</f>
        <v>0</v>
      </c>
      <c r="J162" s="2407"/>
      <c r="K162" s="2460"/>
      <c r="L162" s="2460"/>
      <c r="M162" s="2407">
        <f>BI228</f>
        <v>0</v>
      </c>
      <c r="N162" s="2407"/>
      <c r="O162" s="2407">
        <f>BJ228</f>
        <v>50</v>
      </c>
      <c r="P162" s="2407"/>
      <c r="Q162" s="2409" t="str">
        <f>BN228</f>
        <v>Using default</v>
      </c>
      <c r="R162" s="2409"/>
      <c r="S162" s="40"/>
      <c r="T162" s="963"/>
      <c r="U162" s="609"/>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6"/>
      <c r="AV162" s="926"/>
      <c r="AW162" s="926"/>
      <c r="AX162" s="926"/>
      <c r="AY162" s="926"/>
      <c r="AZ162" s="926"/>
    </row>
    <row r="163" spans="1:52" ht="15" customHeight="1" x14ac:dyDescent="0.3">
      <c r="A163" s="926"/>
      <c r="B163" s="609"/>
      <c r="C163" s="962"/>
      <c r="D163" s="40"/>
      <c r="E163" s="2410"/>
      <c r="F163" s="2410"/>
      <c r="G163" s="2398"/>
      <c r="H163" s="2398"/>
      <c r="I163" s="2407"/>
      <c r="J163" s="2407"/>
      <c r="K163" s="2460"/>
      <c r="L163" s="2460"/>
      <c r="M163" s="2407"/>
      <c r="N163" s="2407"/>
      <c r="O163" s="2407"/>
      <c r="P163" s="2407"/>
      <c r="Q163" s="2409"/>
      <c r="R163" s="2409"/>
      <c r="S163" s="40"/>
      <c r="T163" s="963"/>
      <c r="U163" s="609"/>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row>
    <row r="164" spans="1:52" ht="15" customHeight="1" x14ac:dyDescent="0.3">
      <c r="A164" s="926"/>
      <c r="B164" s="609"/>
      <c r="C164" s="962"/>
      <c r="D164" s="40"/>
      <c r="E164" s="2410"/>
      <c r="F164" s="2410"/>
      <c r="G164" s="2398"/>
      <c r="H164" s="2398"/>
      <c r="I164" s="2407"/>
      <c r="J164" s="2407"/>
      <c r="K164" s="2460"/>
      <c r="L164" s="2460"/>
      <c r="M164" s="2407"/>
      <c r="N164" s="2407"/>
      <c r="O164" s="2407"/>
      <c r="P164" s="2407"/>
      <c r="Q164" s="2409"/>
      <c r="R164" s="2409"/>
      <c r="S164" s="40"/>
      <c r="T164" s="963"/>
      <c r="U164" s="609"/>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6"/>
      <c r="AV164" s="926"/>
      <c r="AW164" s="926"/>
      <c r="AX164" s="926"/>
      <c r="AY164" s="926"/>
      <c r="AZ164" s="926"/>
    </row>
    <row r="165" spans="1:52" ht="15" customHeight="1" x14ac:dyDescent="0.3">
      <c r="A165" s="926"/>
      <c r="B165" s="609"/>
      <c r="C165" s="962"/>
      <c r="D165" s="40"/>
      <c r="E165" s="40"/>
      <c r="F165" s="40"/>
      <c r="G165" s="40"/>
      <c r="H165" s="40"/>
      <c r="I165" s="40"/>
      <c r="J165" s="40"/>
      <c r="K165" s="40"/>
      <c r="L165" s="40"/>
      <c r="M165" s="40"/>
      <c r="N165" s="40"/>
      <c r="O165" s="40"/>
      <c r="P165" s="40"/>
      <c r="Q165" s="40"/>
      <c r="R165" s="40"/>
      <c r="S165" s="40"/>
      <c r="T165" s="963"/>
      <c r="U165" s="609"/>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6"/>
      <c r="AV165" s="926"/>
      <c r="AW165" s="926"/>
      <c r="AX165" s="926"/>
      <c r="AY165" s="926"/>
      <c r="AZ165" s="926"/>
    </row>
    <row r="166" spans="1:52" ht="15" customHeight="1" thickBot="1" x14ac:dyDescent="0.35">
      <c r="A166" s="926"/>
      <c r="B166" s="609"/>
      <c r="C166" s="962"/>
      <c r="D166" s="40"/>
      <c r="E166" s="40"/>
      <c r="F166" s="40"/>
      <c r="G166" s="40"/>
      <c r="H166" s="40"/>
      <c r="I166" s="40"/>
      <c r="J166" s="40"/>
      <c r="K166" s="40"/>
      <c r="L166" s="40"/>
      <c r="M166" s="40"/>
      <c r="N166" s="40"/>
      <c r="O166" s="40"/>
      <c r="P166" s="40"/>
      <c r="Q166" s="40"/>
      <c r="R166" s="40"/>
      <c r="S166" s="40"/>
      <c r="T166" s="963"/>
      <c r="U166" s="609"/>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6"/>
      <c r="AV166" s="926"/>
      <c r="AW166" s="926"/>
      <c r="AX166" s="926"/>
      <c r="AY166" s="926"/>
      <c r="AZ166" s="926"/>
    </row>
    <row r="167" spans="1:52" ht="15" customHeight="1" x14ac:dyDescent="0.3">
      <c r="A167" s="926"/>
      <c r="B167" s="609"/>
      <c r="C167" s="962"/>
      <c r="D167" s="40"/>
      <c r="E167" s="40"/>
      <c r="F167" s="40"/>
      <c r="G167" s="2441" t="str">
        <f>IF(BN231&gt;0,BL233,BL232)</f>
        <v>You have answered all of the questions for this page. Press the "Next Page" button below to move to Animals page. This page asks you about the animals on your farm.</v>
      </c>
      <c r="H167" s="2442"/>
      <c r="I167" s="2442"/>
      <c r="J167" s="2442"/>
      <c r="K167" s="2442"/>
      <c r="L167" s="2442"/>
      <c r="M167" s="2442"/>
      <c r="N167" s="2442"/>
      <c r="O167" s="2442"/>
      <c r="P167" s="2443"/>
      <c r="Q167" s="40"/>
      <c r="R167" s="40"/>
      <c r="S167" s="40"/>
      <c r="T167" s="963"/>
      <c r="U167" s="609"/>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6"/>
      <c r="AV167" s="926"/>
      <c r="AW167" s="926"/>
      <c r="AX167" s="926"/>
      <c r="AY167" s="926"/>
      <c r="AZ167" s="926"/>
    </row>
    <row r="168" spans="1:52" ht="15" customHeight="1" x14ac:dyDescent="0.3">
      <c r="A168" s="926"/>
      <c r="B168" s="609"/>
      <c r="C168" s="962"/>
      <c r="D168" s="40"/>
      <c r="E168" s="40"/>
      <c r="F168" s="40"/>
      <c r="G168" s="2444"/>
      <c r="H168" s="2380"/>
      <c r="I168" s="2380"/>
      <c r="J168" s="2380"/>
      <c r="K168" s="2380"/>
      <c r="L168" s="2380"/>
      <c r="M168" s="2380"/>
      <c r="N168" s="2380"/>
      <c r="O168" s="2380"/>
      <c r="P168" s="2445"/>
      <c r="Q168" s="40"/>
      <c r="R168" s="40"/>
      <c r="S168" s="40"/>
      <c r="T168" s="963"/>
      <c r="U168" s="609"/>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6"/>
      <c r="AV168" s="926"/>
      <c r="AW168" s="926"/>
      <c r="AX168" s="926"/>
      <c r="AY168" s="926"/>
      <c r="AZ168" s="926"/>
    </row>
    <row r="169" spans="1:52" ht="15" customHeight="1" x14ac:dyDescent="0.3">
      <c r="A169" s="926"/>
      <c r="B169" s="609"/>
      <c r="C169" s="962"/>
      <c r="D169" s="40"/>
      <c r="E169" s="40"/>
      <c r="F169" s="40"/>
      <c r="G169" s="2444"/>
      <c r="H169" s="2380"/>
      <c r="I169" s="2380"/>
      <c r="J169" s="2380"/>
      <c r="K169" s="2380"/>
      <c r="L169" s="2380"/>
      <c r="M169" s="2380"/>
      <c r="N169" s="2380"/>
      <c r="O169" s="2380"/>
      <c r="P169" s="2445"/>
      <c r="Q169" s="40"/>
      <c r="R169" s="40"/>
      <c r="S169" s="40"/>
      <c r="T169" s="963"/>
      <c r="U169" s="609"/>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6"/>
      <c r="AV169" s="926"/>
      <c r="AW169" s="926"/>
      <c r="AX169" s="926"/>
      <c r="AY169" s="926"/>
      <c r="AZ169" s="926"/>
    </row>
    <row r="170" spans="1:52" ht="15" customHeight="1" x14ac:dyDescent="0.3">
      <c r="A170" s="926"/>
      <c r="B170" s="609"/>
      <c r="C170" s="962"/>
      <c r="D170" s="40"/>
      <c r="E170" s="40"/>
      <c r="F170" s="40"/>
      <c r="G170" s="2444"/>
      <c r="H170" s="2380"/>
      <c r="I170" s="2380"/>
      <c r="J170" s="2380"/>
      <c r="K170" s="2380"/>
      <c r="L170" s="2380"/>
      <c r="M170" s="2380"/>
      <c r="N170" s="2380"/>
      <c r="O170" s="2380"/>
      <c r="P170" s="2445"/>
      <c r="Q170" s="40"/>
      <c r="R170" s="40"/>
      <c r="S170" s="40"/>
      <c r="T170" s="963"/>
      <c r="U170" s="609"/>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6"/>
      <c r="AV170" s="926"/>
      <c r="AW170" s="926"/>
      <c r="AX170" s="926"/>
      <c r="AY170" s="926"/>
      <c r="AZ170" s="926"/>
    </row>
    <row r="171" spans="1:52" ht="15" customHeight="1" x14ac:dyDescent="0.3">
      <c r="A171" s="926"/>
      <c r="B171" s="609"/>
      <c r="C171" s="962"/>
      <c r="D171" s="40"/>
      <c r="E171" s="40"/>
      <c r="F171" s="40"/>
      <c r="G171" s="2444"/>
      <c r="H171" s="2380"/>
      <c r="I171" s="2380"/>
      <c r="J171" s="2380"/>
      <c r="K171" s="2380"/>
      <c r="L171" s="2380"/>
      <c r="M171" s="2380"/>
      <c r="N171" s="2380"/>
      <c r="O171" s="2380"/>
      <c r="P171" s="2445"/>
      <c r="Q171" s="40"/>
      <c r="R171" s="40"/>
      <c r="S171" s="40"/>
      <c r="T171" s="963"/>
      <c r="U171" s="609"/>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6"/>
      <c r="AV171" s="926"/>
      <c r="AW171" s="926"/>
      <c r="AX171" s="926"/>
      <c r="AY171" s="926"/>
      <c r="AZ171" s="926"/>
    </row>
    <row r="172" spans="1:52" ht="15" customHeight="1" thickBot="1" x14ac:dyDescent="0.35">
      <c r="A172" s="926"/>
      <c r="B172" s="609"/>
      <c r="C172" s="962"/>
      <c r="D172" s="40"/>
      <c r="E172" s="40"/>
      <c r="F172" s="40"/>
      <c r="G172" s="2446"/>
      <c r="H172" s="2447"/>
      <c r="I172" s="2447"/>
      <c r="J172" s="2447"/>
      <c r="K172" s="2447"/>
      <c r="L172" s="2447"/>
      <c r="M172" s="2447"/>
      <c r="N172" s="2447"/>
      <c r="O172" s="2447"/>
      <c r="P172" s="2448"/>
      <c r="Q172" s="40"/>
      <c r="R172" s="40"/>
      <c r="S172" s="40"/>
      <c r="T172" s="963"/>
      <c r="U172" s="609"/>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6"/>
      <c r="AV172" s="926"/>
      <c r="AW172" s="926"/>
      <c r="AX172" s="926"/>
      <c r="AY172" s="926"/>
      <c r="AZ172" s="926"/>
    </row>
    <row r="173" spans="1:52" ht="15" customHeight="1" thickBot="1" x14ac:dyDescent="0.35">
      <c r="A173" s="926"/>
      <c r="B173" s="609"/>
      <c r="C173" s="964"/>
      <c r="D173" s="965"/>
      <c r="E173" s="965"/>
      <c r="F173" s="965"/>
      <c r="G173" s="965"/>
      <c r="H173" s="965"/>
      <c r="I173" s="965"/>
      <c r="J173" s="965"/>
      <c r="K173" s="965"/>
      <c r="L173" s="965"/>
      <c r="M173" s="965"/>
      <c r="N173" s="965"/>
      <c r="O173" s="965"/>
      <c r="P173" s="965"/>
      <c r="Q173" s="965"/>
      <c r="R173" s="965"/>
      <c r="S173" s="965"/>
      <c r="T173" s="966"/>
      <c r="U173" s="609"/>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6"/>
      <c r="AV173" s="926"/>
      <c r="AW173" s="926"/>
      <c r="AX173" s="926"/>
      <c r="AY173" s="926"/>
      <c r="AZ173" s="926"/>
    </row>
    <row r="174" spans="1:52" ht="15" customHeight="1" x14ac:dyDescent="0.3">
      <c r="A174" s="926"/>
      <c r="B174" s="609"/>
      <c r="C174" s="609"/>
      <c r="D174" s="609"/>
      <c r="E174" s="609"/>
      <c r="F174" s="609"/>
      <c r="G174" s="609"/>
      <c r="H174" s="609"/>
      <c r="I174" s="609"/>
      <c r="J174" s="609"/>
      <c r="K174" s="609"/>
      <c r="L174" s="609"/>
      <c r="M174" s="609"/>
      <c r="N174" s="609"/>
      <c r="O174" s="609"/>
      <c r="P174" s="609"/>
      <c r="Q174" s="609"/>
      <c r="R174" s="609"/>
      <c r="S174" s="609"/>
      <c r="T174" s="609"/>
      <c r="U174" s="609"/>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6"/>
      <c r="AV174" s="926"/>
      <c r="AW174" s="926"/>
      <c r="AX174" s="926"/>
      <c r="AY174" s="926"/>
      <c r="AZ174" s="926"/>
    </row>
    <row r="175" spans="1:52" ht="16.2" thickBot="1" x14ac:dyDescent="0.35">
      <c r="A175" s="926"/>
      <c r="B175" s="926"/>
      <c r="C175" s="923"/>
      <c r="D175" s="923"/>
      <c r="E175" s="923"/>
      <c r="F175" s="923"/>
      <c r="G175" s="923"/>
      <c r="H175" s="923"/>
      <c r="I175" s="923"/>
      <c r="J175" s="923"/>
      <c r="K175" s="923"/>
      <c r="L175" s="923"/>
      <c r="M175" s="923"/>
      <c r="N175" s="923"/>
      <c r="O175" s="923"/>
      <c r="P175" s="923"/>
      <c r="Q175" s="923"/>
      <c r="R175" s="923"/>
      <c r="S175" s="923"/>
      <c r="T175" s="923"/>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6"/>
      <c r="AV175" s="926"/>
      <c r="AW175" s="926"/>
      <c r="AX175" s="926"/>
      <c r="AY175" s="926"/>
      <c r="AZ175" s="926"/>
    </row>
    <row r="176" spans="1:52" ht="16.5" customHeight="1" thickBot="1" x14ac:dyDescent="0.35">
      <c r="A176" s="926"/>
      <c r="B176" s="926"/>
      <c r="C176" s="923"/>
      <c r="D176" s="923"/>
      <c r="E176" s="923"/>
      <c r="F176" s="2345" t="s">
        <v>0</v>
      </c>
      <c r="G176" s="2346"/>
      <c r="H176" s="2362" t="s">
        <v>1</v>
      </c>
      <c r="I176" s="2363"/>
      <c r="J176" s="2345" t="s">
        <v>2</v>
      </c>
      <c r="K176" s="2346"/>
      <c r="L176" s="2345" t="s">
        <v>3</v>
      </c>
      <c r="M176" s="2346"/>
      <c r="N176" s="2345" t="s">
        <v>4</v>
      </c>
      <c r="O176" s="2346"/>
      <c r="P176" s="2345" t="s">
        <v>5</v>
      </c>
      <c r="Q176" s="2346"/>
      <c r="R176" s="1739"/>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6"/>
      <c r="AV176" s="926"/>
      <c r="AW176" s="926"/>
      <c r="AX176" s="926"/>
      <c r="AY176" s="926"/>
      <c r="AZ176" s="926"/>
    </row>
    <row r="177" spans="1:52" ht="15.75" customHeight="1" thickTop="1" thickBot="1" x14ac:dyDescent="0.35">
      <c r="A177" s="926"/>
      <c r="B177" s="926"/>
      <c r="C177" s="923"/>
      <c r="D177" s="923"/>
      <c r="E177" s="923"/>
      <c r="F177" s="2347"/>
      <c r="G177" s="2348"/>
      <c r="H177" s="2364"/>
      <c r="I177" s="2365"/>
      <c r="J177" s="2347"/>
      <c r="K177" s="2348"/>
      <c r="L177" s="2347"/>
      <c r="M177" s="2348"/>
      <c r="N177" s="2347"/>
      <c r="O177" s="2348"/>
      <c r="P177" s="2347"/>
      <c r="Q177" s="2348"/>
      <c r="R177" s="1739"/>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6"/>
      <c r="AV177" s="926"/>
      <c r="AW177" s="926"/>
      <c r="AX177" s="926"/>
      <c r="AY177" s="926"/>
      <c r="AZ177" s="926"/>
    </row>
    <row r="178" spans="1:52" ht="15.75" customHeight="1" thickTop="1" thickBot="1" x14ac:dyDescent="0.35">
      <c r="A178" s="926"/>
      <c r="B178" s="926"/>
      <c r="C178" s="2345" t="s">
        <v>6</v>
      </c>
      <c r="D178" s="2351"/>
      <c r="E178" s="923"/>
      <c r="F178" s="2349"/>
      <c r="G178" s="2350"/>
      <c r="H178" s="2366"/>
      <c r="I178" s="2367"/>
      <c r="J178" s="2349"/>
      <c r="K178" s="2350"/>
      <c r="L178" s="2349"/>
      <c r="M178" s="2350"/>
      <c r="N178" s="2349"/>
      <c r="O178" s="2350"/>
      <c r="P178" s="2349"/>
      <c r="Q178" s="2350"/>
      <c r="R178" s="926"/>
      <c r="S178" s="2356" t="s">
        <v>7</v>
      </c>
      <c r="T178" s="2357"/>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6"/>
      <c r="AV178" s="926"/>
      <c r="AW178" s="926"/>
      <c r="AX178" s="926"/>
      <c r="AY178" s="926"/>
      <c r="AZ178" s="926"/>
    </row>
    <row r="179" spans="1:52" ht="17.25" customHeight="1" thickTop="1" thickBot="1" x14ac:dyDescent="0.35">
      <c r="A179" s="926"/>
      <c r="B179" s="926"/>
      <c r="C179" s="2352"/>
      <c r="D179" s="2353"/>
      <c r="E179" s="923"/>
      <c r="F179" s="926"/>
      <c r="G179" s="2345" t="s">
        <v>8</v>
      </c>
      <c r="H179" s="2346"/>
      <c r="I179" s="2345" t="s">
        <v>9</v>
      </c>
      <c r="J179" s="2346"/>
      <c r="K179" s="2345" t="s">
        <v>10</v>
      </c>
      <c r="L179" s="2346"/>
      <c r="M179" s="2345" t="s">
        <v>11</v>
      </c>
      <c r="N179" s="2346"/>
      <c r="O179" s="2345" t="s">
        <v>12</v>
      </c>
      <c r="P179" s="2346"/>
      <c r="Q179" s="926"/>
      <c r="R179" s="926"/>
      <c r="S179" s="2358"/>
      <c r="T179" s="2359"/>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6"/>
      <c r="AV179" s="926"/>
      <c r="AW179" s="926"/>
      <c r="AX179" s="926"/>
      <c r="AY179" s="926"/>
      <c r="AZ179" s="926"/>
    </row>
    <row r="180" spans="1:52" ht="16.8" thickTop="1" thickBot="1" x14ac:dyDescent="0.35">
      <c r="A180" s="926"/>
      <c r="B180" s="926"/>
      <c r="C180" s="2354"/>
      <c r="D180" s="2355"/>
      <c r="E180" s="923"/>
      <c r="F180" s="926"/>
      <c r="G180" s="2347"/>
      <c r="H180" s="2348"/>
      <c r="I180" s="2347"/>
      <c r="J180" s="2348"/>
      <c r="K180" s="2347"/>
      <c r="L180" s="2348"/>
      <c r="M180" s="2347"/>
      <c r="N180" s="2348"/>
      <c r="O180" s="2347"/>
      <c r="P180" s="2348"/>
      <c r="Q180" s="926"/>
      <c r="R180" s="926"/>
      <c r="S180" s="2360"/>
      <c r="T180" s="2361"/>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6"/>
      <c r="AV180" s="926"/>
      <c r="AW180" s="926"/>
      <c r="AX180" s="926"/>
      <c r="AY180" s="926"/>
      <c r="AZ180" s="926"/>
    </row>
    <row r="181" spans="1:52" ht="16.8" thickTop="1" thickBot="1" x14ac:dyDescent="0.35">
      <c r="A181" s="926"/>
      <c r="B181" s="926"/>
      <c r="C181" s="923"/>
      <c r="D181" s="923"/>
      <c r="E181" s="923"/>
      <c r="F181" s="926"/>
      <c r="G181" s="2349"/>
      <c r="H181" s="2350"/>
      <c r="I181" s="2349"/>
      <c r="J181" s="2350"/>
      <c r="K181" s="2349"/>
      <c r="L181" s="2350"/>
      <c r="M181" s="2349"/>
      <c r="N181" s="2350"/>
      <c r="O181" s="2349"/>
      <c r="P181" s="2350"/>
      <c r="Q181" s="923"/>
      <c r="R181" s="923"/>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6"/>
      <c r="AV181" s="926"/>
      <c r="AW181" s="926"/>
      <c r="AX181" s="926"/>
      <c r="AY181" s="926"/>
      <c r="AZ181" s="926"/>
    </row>
    <row r="182" spans="1:52" x14ac:dyDescent="0.3">
      <c r="A182" s="926"/>
      <c r="B182" s="926"/>
      <c r="C182" s="926"/>
      <c r="D182" s="926"/>
      <c r="E182" s="926"/>
      <c r="F182" s="926"/>
      <c r="G182" s="926"/>
      <c r="H182" s="926"/>
      <c r="I182" s="926"/>
      <c r="J182" s="926"/>
      <c r="K182" s="926"/>
      <c r="L182" s="926"/>
      <c r="M182" s="926"/>
      <c r="N182" s="926"/>
      <c r="O182" s="926"/>
      <c r="P182" s="926"/>
      <c r="Q182" s="926"/>
      <c r="R182" s="926"/>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6"/>
      <c r="AV182" s="926"/>
      <c r="AW182" s="926"/>
      <c r="AX182" s="926"/>
      <c r="AY182" s="926"/>
      <c r="AZ182" s="926"/>
    </row>
    <row r="183" spans="1:52" x14ac:dyDescent="0.3">
      <c r="A183" s="926"/>
      <c r="B183" s="926"/>
      <c r="C183" s="926"/>
      <c r="D183" s="926"/>
      <c r="E183" s="926"/>
      <c r="F183" s="926"/>
      <c r="G183" s="926"/>
      <c r="H183" s="926"/>
      <c r="I183" s="926"/>
      <c r="J183" s="926"/>
      <c r="K183" s="926"/>
      <c r="L183" s="926"/>
      <c r="M183" s="926"/>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6"/>
      <c r="AV183" s="926"/>
      <c r="AW183" s="926"/>
      <c r="AX183" s="926"/>
      <c r="AY183" s="926"/>
      <c r="AZ183" s="926"/>
    </row>
    <row r="184" spans="1:52" x14ac:dyDescent="0.3">
      <c r="A184" s="926"/>
      <c r="B184" s="926"/>
      <c r="C184" s="926"/>
      <c r="D184" s="926"/>
      <c r="E184" s="926"/>
      <c r="F184" s="926"/>
      <c r="G184" s="926"/>
      <c r="H184" s="926"/>
      <c r="I184" s="926"/>
      <c r="J184" s="926"/>
      <c r="K184" s="926"/>
      <c r="L184" s="926"/>
      <c r="M184" s="926"/>
      <c r="N184" s="926"/>
      <c r="O184" s="926"/>
      <c r="P184" s="926"/>
      <c r="Q184" s="926"/>
      <c r="R184" s="926"/>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6"/>
      <c r="AV184" s="926"/>
      <c r="AW184" s="926"/>
      <c r="AX184" s="926"/>
      <c r="AY184" s="926"/>
      <c r="AZ184" s="926"/>
    </row>
    <row r="185" spans="1:52" x14ac:dyDescent="0.3">
      <c r="A185" s="926"/>
      <c r="B185" s="926"/>
      <c r="C185" s="926"/>
      <c r="D185" s="926"/>
      <c r="E185" s="926"/>
      <c r="F185" s="926"/>
      <c r="G185" s="926"/>
      <c r="H185" s="926"/>
      <c r="I185" s="926"/>
      <c r="J185" s="926"/>
      <c r="K185" s="926"/>
      <c r="L185" s="926"/>
      <c r="M185" s="926"/>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row>
    <row r="186" spans="1:52" x14ac:dyDescent="0.3">
      <c r="A186" s="926"/>
      <c r="B186" s="926"/>
      <c r="C186" s="926"/>
      <c r="D186" s="926"/>
      <c r="E186" s="926"/>
      <c r="F186" s="926"/>
      <c r="G186" s="926"/>
      <c r="H186" s="926"/>
      <c r="I186" s="926"/>
      <c r="J186" s="926"/>
      <c r="K186" s="926"/>
      <c r="L186" s="926"/>
      <c r="M186" s="926"/>
      <c r="N186" s="926"/>
      <c r="O186" s="926"/>
      <c r="P186" s="926"/>
      <c r="Q186" s="926"/>
      <c r="R186" s="926"/>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6"/>
      <c r="AV186" s="926"/>
      <c r="AW186" s="926"/>
      <c r="AX186" s="926"/>
      <c r="AY186" s="926"/>
      <c r="AZ186" s="926"/>
    </row>
    <row r="187" spans="1:52" x14ac:dyDescent="0.3">
      <c r="A187" s="926"/>
      <c r="B187" s="926"/>
      <c r="C187" s="926"/>
      <c r="D187" s="926"/>
      <c r="E187" s="926"/>
      <c r="F187" s="926"/>
      <c r="G187" s="926"/>
      <c r="H187" s="926"/>
      <c r="I187" s="926"/>
      <c r="J187" s="926"/>
      <c r="K187" s="926"/>
      <c r="L187" s="926"/>
      <c r="M187" s="926"/>
      <c r="N187" s="926"/>
      <c r="O187" s="926"/>
      <c r="P187" s="926"/>
      <c r="Q187" s="926"/>
      <c r="R187" s="926"/>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row>
    <row r="188" spans="1:52" x14ac:dyDescent="0.3">
      <c r="A188" s="926"/>
      <c r="B188" s="926"/>
      <c r="C188" s="926"/>
      <c r="D188" s="926"/>
      <c r="E188" s="926"/>
      <c r="F188" s="926"/>
      <c r="G188" s="926"/>
      <c r="H188" s="926"/>
      <c r="I188" s="926"/>
      <c r="J188" s="926"/>
      <c r="K188" s="926"/>
      <c r="L188" s="926"/>
      <c r="M188" s="926"/>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row>
    <row r="189" spans="1:52" x14ac:dyDescent="0.3">
      <c r="A189" s="926"/>
      <c r="B189" s="926"/>
      <c r="C189" s="926"/>
      <c r="D189" s="926"/>
      <c r="E189" s="926"/>
      <c r="F189" s="926"/>
      <c r="G189" s="926"/>
      <c r="H189" s="926"/>
      <c r="I189" s="926"/>
      <c r="J189" s="926"/>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6"/>
      <c r="AV189" s="926"/>
      <c r="AW189" s="926"/>
      <c r="AX189" s="926"/>
      <c r="AY189" s="926"/>
      <c r="AZ189" s="926"/>
    </row>
    <row r="190" spans="1:52" x14ac:dyDescent="0.3">
      <c r="A190" s="926"/>
      <c r="B190" s="926"/>
      <c r="C190" s="926"/>
      <c r="D190" s="926"/>
      <c r="E190" s="926"/>
      <c r="F190" s="926"/>
      <c r="G190" s="926"/>
      <c r="H190" s="926"/>
      <c r="I190" s="926"/>
      <c r="J190" s="926"/>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6"/>
      <c r="AK190" s="926"/>
      <c r="AL190" s="926"/>
      <c r="AM190" s="926"/>
      <c r="AN190" s="926"/>
      <c r="AO190" s="926"/>
      <c r="AP190" s="926"/>
      <c r="AQ190" s="926"/>
      <c r="AR190" s="926"/>
      <c r="AS190" s="926"/>
      <c r="AT190" s="926"/>
      <c r="AU190" s="926"/>
      <c r="AV190" s="926"/>
      <c r="AW190" s="926"/>
      <c r="AX190" s="926"/>
      <c r="AY190" s="926"/>
      <c r="AZ190" s="926"/>
    </row>
    <row r="191" spans="1:52" x14ac:dyDescent="0.3">
      <c r="A191" s="926"/>
      <c r="B191" s="926"/>
      <c r="C191" s="926"/>
      <c r="D191" s="926"/>
      <c r="E191" s="926"/>
      <c r="F191" s="926"/>
      <c r="G191" s="926"/>
      <c r="H191" s="926"/>
      <c r="I191" s="926"/>
      <c r="J191" s="926"/>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6"/>
      <c r="AK191" s="926"/>
      <c r="AL191" s="926"/>
      <c r="AM191" s="926"/>
      <c r="AN191" s="926"/>
      <c r="AO191" s="926"/>
      <c r="AP191" s="926"/>
      <c r="AQ191" s="926"/>
      <c r="AR191" s="926"/>
      <c r="AS191" s="926"/>
      <c r="AT191" s="926"/>
      <c r="AU191" s="926"/>
      <c r="AV191" s="926"/>
      <c r="AW191" s="926"/>
      <c r="AX191" s="926"/>
      <c r="AY191" s="926"/>
      <c r="AZ191" s="926"/>
    </row>
    <row r="192" spans="1:52" x14ac:dyDescent="0.3">
      <c r="A192" s="926"/>
      <c r="B192" s="926"/>
      <c r="C192" s="926"/>
      <c r="D192" s="926"/>
      <c r="E192" s="926"/>
      <c r="F192" s="926"/>
      <c r="G192" s="926"/>
      <c r="H192" s="926"/>
      <c r="I192" s="926"/>
      <c r="J192" s="926"/>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6"/>
      <c r="AK192" s="926"/>
      <c r="AL192" s="926"/>
      <c r="AM192" s="926"/>
      <c r="AN192" s="926"/>
      <c r="AO192" s="926"/>
      <c r="AP192" s="926"/>
      <c r="AQ192" s="926"/>
      <c r="AR192" s="926"/>
      <c r="AS192" s="926"/>
      <c r="AT192" s="926"/>
      <c r="AU192" s="926"/>
      <c r="AV192" s="926"/>
      <c r="AW192" s="926"/>
      <c r="AX192" s="926"/>
      <c r="AY192" s="926"/>
      <c r="AZ192" s="926"/>
    </row>
    <row r="193" spans="1:52" x14ac:dyDescent="0.3">
      <c r="A193" s="926"/>
      <c r="B193" s="926"/>
      <c r="C193" s="926"/>
      <c r="D193" s="926"/>
      <c r="E193" s="926"/>
      <c r="F193" s="926"/>
      <c r="G193" s="926"/>
      <c r="H193" s="926"/>
      <c r="I193" s="926"/>
      <c r="J193" s="926"/>
      <c r="K193" s="926"/>
      <c r="L193" s="926"/>
      <c r="M193" s="926"/>
      <c r="N193" s="926"/>
      <c r="O193" s="926"/>
      <c r="P193" s="926"/>
      <c r="Q193" s="926"/>
      <c r="R193" s="926"/>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6"/>
      <c r="AV193" s="926"/>
      <c r="AW193" s="926"/>
      <c r="AX193" s="926"/>
      <c r="AY193" s="926"/>
      <c r="AZ193" s="926"/>
    </row>
    <row r="194" spans="1:52" x14ac:dyDescent="0.3">
      <c r="A194" s="926"/>
      <c r="B194" s="926"/>
      <c r="C194" s="926"/>
      <c r="D194" s="926"/>
      <c r="E194" s="926"/>
      <c r="F194" s="926"/>
      <c r="G194" s="926"/>
      <c r="H194" s="926"/>
      <c r="I194" s="926"/>
      <c r="J194" s="926"/>
      <c r="K194" s="926"/>
      <c r="L194" s="926"/>
      <c r="M194" s="926"/>
      <c r="N194" s="926"/>
      <c r="O194" s="926"/>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6"/>
      <c r="AV194" s="926"/>
      <c r="AW194" s="926"/>
      <c r="AX194" s="926"/>
      <c r="AY194" s="926"/>
      <c r="AZ194" s="926"/>
    </row>
    <row r="195" spans="1:52" x14ac:dyDescent="0.3">
      <c r="A195" s="926"/>
      <c r="B195" s="926"/>
      <c r="C195" s="926"/>
      <c r="D195" s="926"/>
      <c r="E195" s="926"/>
      <c r="F195" s="926"/>
      <c r="G195" s="926"/>
      <c r="H195" s="926"/>
      <c r="I195" s="926"/>
      <c r="J195" s="926"/>
      <c r="K195" s="926"/>
      <c r="L195" s="926"/>
      <c r="M195" s="926"/>
      <c r="N195" s="926"/>
      <c r="O195" s="926"/>
      <c r="P195" s="926"/>
      <c r="Q195" s="926"/>
      <c r="R195" s="926"/>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6"/>
      <c r="AV195" s="926"/>
      <c r="AW195" s="926"/>
      <c r="AX195" s="926"/>
      <c r="AY195" s="926"/>
      <c r="AZ195" s="926"/>
    </row>
    <row r="196" spans="1:52" x14ac:dyDescent="0.3">
      <c r="A196" s="926"/>
      <c r="B196" s="926"/>
      <c r="C196" s="926"/>
      <c r="D196" s="926"/>
      <c r="E196" s="926"/>
      <c r="F196" s="926"/>
      <c r="G196" s="926"/>
      <c r="H196" s="926"/>
      <c r="I196" s="926"/>
      <c r="J196" s="926"/>
      <c r="K196" s="926"/>
      <c r="L196" s="926"/>
      <c r="M196" s="926"/>
      <c r="N196" s="926"/>
      <c r="O196" s="926"/>
      <c r="P196" s="926"/>
      <c r="Q196" s="926"/>
      <c r="R196" s="926"/>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6"/>
      <c r="AV196" s="926"/>
      <c r="AW196" s="926"/>
      <c r="AX196" s="926"/>
      <c r="AY196" s="926"/>
      <c r="AZ196" s="926"/>
    </row>
    <row r="197" spans="1:52" x14ac:dyDescent="0.3">
      <c r="A197" s="926"/>
      <c r="B197" s="926"/>
      <c r="C197" s="926"/>
      <c r="D197" s="926"/>
      <c r="E197" s="926"/>
      <c r="F197" s="926"/>
      <c r="G197" s="926"/>
      <c r="H197" s="926"/>
      <c r="I197" s="926"/>
      <c r="J197" s="926"/>
      <c r="K197" s="926"/>
      <c r="L197" s="926"/>
      <c r="M197" s="926"/>
      <c r="N197" s="926"/>
      <c r="O197" s="926"/>
      <c r="P197" s="926"/>
      <c r="Q197" s="926"/>
      <c r="R197" s="926"/>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6"/>
      <c r="AV197" s="926"/>
      <c r="AW197" s="926"/>
      <c r="AX197" s="926"/>
      <c r="AY197" s="926"/>
      <c r="AZ197" s="926"/>
    </row>
    <row r="198" spans="1:52" x14ac:dyDescent="0.3">
      <c r="A198" s="926"/>
      <c r="B198" s="926"/>
      <c r="C198" s="926"/>
      <c r="D198" s="926"/>
      <c r="E198" s="926"/>
      <c r="F198" s="926"/>
      <c r="G198" s="926"/>
      <c r="H198" s="926"/>
      <c r="I198" s="926"/>
      <c r="J198" s="926"/>
      <c r="K198" s="926"/>
      <c r="L198" s="926"/>
      <c r="M198" s="926"/>
      <c r="N198" s="926"/>
      <c r="O198" s="926"/>
      <c r="P198" s="926"/>
      <c r="Q198" s="926"/>
      <c r="R198" s="926"/>
      <c r="S198" s="926"/>
      <c r="T198" s="926"/>
      <c r="U198" s="926"/>
      <c r="V198" s="926"/>
      <c r="W198" s="926"/>
      <c r="X198" s="926"/>
      <c r="Y198" s="926"/>
      <c r="Z198" s="926"/>
      <c r="AA198" s="926"/>
      <c r="AB198" s="926"/>
      <c r="AC198" s="926"/>
      <c r="AD198" s="926"/>
      <c r="AE198" s="926"/>
      <c r="AF198" s="926"/>
      <c r="AG198" s="926"/>
      <c r="AH198" s="926"/>
      <c r="AI198" s="926"/>
      <c r="AJ198" s="926"/>
      <c r="AK198" s="926"/>
      <c r="AL198" s="926"/>
      <c r="AM198" s="926"/>
      <c r="AN198" s="926"/>
      <c r="AO198" s="926"/>
      <c r="AP198" s="926"/>
      <c r="AQ198" s="926"/>
      <c r="AR198" s="926"/>
      <c r="AS198" s="926"/>
      <c r="AT198" s="926"/>
      <c r="AU198" s="926"/>
      <c r="AV198" s="926"/>
      <c r="AW198" s="926"/>
      <c r="AX198" s="926"/>
      <c r="AY198" s="926"/>
      <c r="AZ198" s="926"/>
    </row>
    <row r="199" spans="1:52" x14ac:dyDescent="0.3">
      <c r="A199" s="926"/>
      <c r="B199" s="926"/>
      <c r="C199" s="926"/>
      <c r="D199" s="926"/>
      <c r="E199" s="926"/>
      <c r="F199" s="926"/>
      <c r="G199" s="926"/>
      <c r="H199" s="926"/>
      <c r="I199" s="926"/>
      <c r="J199" s="926"/>
      <c r="K199" s="926"/>
      <c r="L199" s="926"/>
      <c r="M199" s="926"/>
      <c r="N199" s="926"/>
      <c r="O199" s="926"/>
      <c r="P199" s="926"/>
      <c r="Q199" s="926"/>
      <c r="R199" s="926"/>
      <c r="S199" s="926"/>
      <c r="T199" s="926"/>
      <c r="U199" s="926"/>
      <c r="V199" s="926"/>
      <c r="W199" s="926"/>
      <c r="X199" s="926"/>
      <c r="Y199" s="926"/>
      <c r="Z199" s="926"/>
      <c r="AA199" s="926"/>
      <c r="AB199" s="926"/>
      <c r="AC199" s="926"/>
      <c r="AD199" s="926"/>
      <c r="AE199" s="926"/>
      <c r="AF199" s="926"/>
      <c r="AG199" s="926"/>
      <c r="AH199" s="926"/>
      <c r="AI199" s="926"/>
      <c r="AJ199" s="926"/>
      <c r="AK199" s="926"/>
      <c r="AL199" s="926"/>
      <c r="AM199" s="926"/>
      <c r="AN199" s="926"/>
      <c r="AO199" s="926"/>
      <c r="AP199" s="926"/>
      <c r="AQ199" s="926"/>
      <c r="AR199" s="926"/>
      <c r="AS199" s="926"/>
      <c r="AT199" s="926"/>
      <c r="AU199" s="926"/>
      <c r="AV199" s="926"/>
      <c r="AW199" s="926"/>
      <c r="AX199" s="926"/>
      <c r="AY199" s="926"/>
      <c r="AZ199" s="926"/>
    </row>
    <row r="200" spans="1:52" x14ac:dyDescent="0.3">
      <c r="A200" s="926"/>
      <c r="B200" s="926"/>
      <c r="C200" s="926"/>
      <c r="D200" s="926"/>
      <c r="E200" s="926"/>
      <c r="F200" s="926"/>
      <c r="G200" s="926"/>
      <c r="H200" s="926"/>
      <c r="I200" s="926"/>
      <c r="J200" s="926"/>
      <c r="K200" s="926"/>
      <c r="L200" s="926"/>
      <c r="M200" s="926"/>
      <c r="N200" s="926"/>
      <c r="O200" s="926"/>
      <c r="P200" s="926"/>
      <c r="Q200" s="926"/>
      <c r="R200" s="926"/>
      <c r="S200" s="926"/>
      <c r="T200" s="926"/>
      <c r="U200" s="926"/>
      <c r="V200" s="926"/>
      <c r="W200" s="926"/>
      <c r="X200" s="926"/>
      <c r="Y200" s="926"/>
      <c r="Z200" s="926"/>
      <c r="AA200" s="926"/>
      <c r="AB200" s="926"/>
      <c r="AC200" s="926"/>
      <c r="AD200" s="926"/>
      <c r="AE200" s="926"/>
      <c r="AF200" s="926"/>
      <c r="AG200" s="926"/>
      <c r="AH200" s="926"/>
      <c r="AI200" s="926"/>
      <c r="AJ200" s="926"/>
      <c r="AK200" s="926"/>
      <c r="AL200" s="926"/>
      <c r="AM200" s="926"/>
      <c r="AN200" s="926"/>
      <c r="AO200" s="926"/>
      <c r="AP200" s="926"/>
      <c r="AQ200" s="926"/>
      <c r="AR200" s="926"/>
      <c r="AS200" s="926"/>
      <c r="AT200" s="926"/>
      <c r="AU200" s="926"/>
      <c r="AV200" s="926"/>
      <c r="AW200" s="926"/>
      <c r="AX200" s="926"/>
      <c r="AY200" s="926"/>
      <c r="AZ200" s="926"/>
    </row>
    <row r="201" spans="1:52" x14ac:dyDescent="0.3">
      <c r="A201" s="926"/>
      <c r="B201" s="926"/>
      <c r="C201" s="926"/>
      <c r="D201" s="926"/>
      <c r="E201" s="926"/>
      <c r="F201" s="926"/>
      <c r="G201" s="926"/>
      <c r="H201" s="926"/>
      <c r="I201" s="926"/>
      <c r="J201" s="926"/>
      <c r="K201" s="926"/>
      <c r="L201" s="926"/>
      <c r="M201" s="926"/>
      <c r="N201" s="926"/>
      <c r="O201" s="926"/>
      <c r="P201" s="926"/>
      <c r="Q201" s="926"/>
      <c r="R201" s="926"/>
      <c r="S201" s="926"/>
      <c r="T201" s="926"/>
      <c r="U201" s="926"/>
      <c r="V201" s="926"/>
      <c r="W201" s="926"/>
      <c r="X201" s="926"/>
      <c r="Y201" s="926"/>
      <c r="Z201" s="926"/>
      <c r="AA201" s="926"/>
      <c r="AB201" s="926"/>
      <c r="AC201" s="926"/>
      <c r="AD201" s="926"/>
      <c r="AE201" s="926"/>
      <c r="AF201" s="926"/>
      <c r="AG201" s="926"/>
      <c r="AH201" s="926"/>
      <c r="AI201" s="926"/>
      <c r="AJ201" s="926"/>
      <c r="AK201" s="926"/>
      <c r="AL201" s="926"/>
      <c r="AM201" s="926"/>
      <c r="AN201" s="926"/>
      <c r="AO201" s="926"/>
      <c r="AP201" s="926"/>
      <c r="AQ201" s="926"/>
      <c r="AR201" s="926"/>
      <c r="AS201" s="926"/>
      <c r="AT201" s="926"/>
      <c r="AU201" s="926"/>
      <c r="AV201" s="926"/>
      <c r="AW201" s="926"/>
      <c r="AX201" s="926"/>
      <c r="AY201" s="926"/>
      <c r="AZ201" s="926"/>
    </row>
    <row r="209" spans="54:66" x14ac:dyDescent="0.3">
      <c r="BB209" s="608" t="s">
        <v>98</v>
      </c>
      <c r="BC209" s="608"/>
      <c r="BD209" s="608"/>
      <c r="BE209" s="608"/>
      <c r="BF209" s="608"/>
      <c r="BG209" s="608"/>
      <c r="BH209" s="608"/>
      <c r="BI209" s="608"/>
      <c r="BJ209" s="608"/>
      <c r="BK209" s="608"/>
    </row>
    <row r="210" spans="54:66" x14ac:dyDescent="0.3">
      <c r="BB210" s="608"/>
      <c r="BC210" s="608"/>
      <c r="BD210" s="608"/>
      <c r="BE210" s="608"/>
      <c r="BF210" s="608"/>
      <c r="BG210" s="608"/>
      <c r="BH210" s="608"/>
      <c r="BI210" s="608"/>
      <c r="BJ210" s="608"/>
      <c r="BK210" s="608"/>
    </row>
    <row r="211" spans="54:66" x14ac:dyDescent="0.3">
      <c r="BB211" s="608"/>
      <c r="BC211" s="608"/>
      <c r="BD211" s="608"/>
      <c r="BE211" s="608"/>
      <c r="BF211" s="608"/>
      <c r="BG211" s="608"/>
      <c r="BH211" s="608"/>
      <c r="BI211" s="608"/>
      <c r="BJ211" s="608"/>
      <c r="BK211" s="608"/>
    </row>
    <row r="212" spans="54:66" x14ac:dyDescent="0.3">
      <c r="BB212" s="608"/>
      <c r="BC212" s="608"/>
      <c r="BD212" s="608"/>
      <c r="BE212" s="608"/>
      <c r="BF212" s="608"/>
      <c r="BG212" s="608"/>
      <c r="BH212" s="608"/>
      <c r="BI212" s="608"/>
      <c r="BJ212" s="608"/>
      <c r="BK212" s="608"/>
    </row>
    <row r="213" spans="54:66" x14ac:dyDescent="0.3">
      <c r="BB213" s="668" t="s">
        <v>99</v>
      </c>
      <c r="BC213" s="668" t="s">
        <v>100</v>
      </c>
      <c r="BD213" s="668" t="s">
        <v>101</v>
      </c>
      <c r="BE213" s="668" t="s">
        <v>102</v>
      </c>
      <c r="BF213" s="668" t="s">
        <v>103</v>
      </c>
      <c r="BG213" s="668" t="s">
        <v>104</v>
      </c>
      <c r="BH213" s="668" t="s">
        <v>105</v>
      </c>
      <c r="BI213" s="668" t="s">
        <v>106</v>
      </c>
      <c r="BJ213" s="668" t="s">
        <v>107</v>
      </c>
      <c r="BK213" s="608" t="s">
        <v>108</v>
      </c>
      <c r="BL213" s="668" t="s">
        <v>109</v>
      </c>
      <c r="BM213" s="668" t="s">
        <v>110</v>
      </c>
      <c r="BN213" s="668" t="s">
        <v>111</v>
      </c>
    </row>
    <row r="214" spans="54:66" x14ac:dyDescent="0.3">
      <c r="BB214" s="49" t="s">
        <v>112</v>
      </c>
      <c r="BC214" s="49" t="str">
        <f t="shared" ref="BC214:BC227" si="0">IF(BK214=1,BD214,BE214)</f>
        <v>Wean to Finish Test Farm</v>
      </c>
      <c r="BD214" s="995" t="str">
        <f>IF(BF214,"",K28)</f>
        <v>Wean to Finish Test Farm</v>
      </c>
      <c r="BE214" s="995" t="str">
        <f>INDEX(UDD,MATCH($BB214,UDN,0))</f>
        <v>Example Farm</v>
      </c>
      <c r="BF214" s="995" t="b">
        <f>ISBLANK(K28)</f>
        <v>0</v>
      </c>
      <c r="BG214" s="995" t="str">
        <f t="shared" ref="BG214:BG228" si="1">INDEX(UDUnit,MATCH($BB214,UDN,0))</f>
        <v>name</v>
      </c>
      <c r="BH214" s="995" t="str">
        <f t="shared" ref="BH214:BH228" si="2">INDEX(UDF_Unit,MATCH($BB214,UDN,0))</f>
        <v>name</v>
      </c>
      <c r="BI214" s="995">
        <f t="shared" ref="BI214:BI228" si="3">INDEX(UDMin,MATCH($BB214,UDN,0))</f>
        <v>0</v>
      </c>
      <c r="BJ214" s="995">
        <f t="shared" ref="BJ214:BJ228" si="4">INDEX(UDMax,MATCH($BB214,UDN,0))</f>
        <v>0</v>
      </c>
      <c r="BK214" s="49">
        <f>IF(ISBLANK(BD214),0,1)</f>
        <v>1</v>
      </c>
      <c r="BL214" t="str">
        <f t="shared" ref="BL214:BL228" si="5">INDEX(UD_Desc,MATCH($BB214,UDN,0))</f>
        <v>The name of your farm</v>
      </c>
      <c r="BM214" t="str">
        <f>IF(BK214=1,"No", "Yes")</f>
        <v>No</v>
      </c>
      <c r="BN214" t="str">
        <f>IF(BF214,"Using default", IF(BK214=1,"Input accepted", "Input invalid, using default"))</f>
        <v>Input accepted</v>
      </c>
    </row>
    <row r="215" spans="54:66" x14ac:dyDescent="0.3">
      <c r="BB215" s="49" t="s">
        <v>113</v>
      </c>
      <c r="BC215" s="49" t="str">
        <f>IF(BK215=1,BD215,BE215)</f>
        <v>Deep pit, tanker</v>
      </c>
      <c r="BD215" s="995" t="str">
        <f>IF(BF215,"",K39)</f>
        <v>Deep pit, tanker</v>
      </c>
      <c r="BE215" s="995" t="str">
        <f>INDEX(UDD,MATCH($BB215,UDN,0))</f>
        <v>Fifth ranked scenario</v>
      </c>
      <c r="BF215" s="995" t="b">
        <f>ISBLANK(K39)</f>
        <v>0</v>
      </c>
      <c r="BG215" s="995" t="str">
        <f t="shared" si="1"/>
        <v>type</v>
      </c>
      <c r="BH215" s="995" t="str">
        <f t="shared" si="2"/>
        <v>type</v>
      </c>
      <c r="BI215" s="995">
        <f t="shared" si="3"/>
        <v>0</v>
      </c>
      <c r="BJ215" s="995">
        <f t="shared" si="4"/>
        <v>0</v>
      </c>
      <c r="BK215" s="49">
        <f>IF(ISBLANK(BD215),0,1)</f>
        <v>1</v>
      </c>
      <c r="BL215" t="str">
        <f t="shared" si="5"/>
        <v>The baseline manure handling system for your farm</v>
      </c>
      <c r="BM215" t="str">
        <f t="shared" ref="BM215:BM228" si="6">IF(BK215=1,"No", "Yes")</f>
        <v>No</v>
      </c>
      <c r="BN215" t="str">
        <f t="shared" ref="BN215:BN228" si="7">IF(BF215,"Using default", IF(BK215=1,"Input accepted", "Input invalid, using default"))</f>
        <v>Input accepted</v>
      </c>
    </row>
    <row r="216" spans="54:66" x14ac:dyDescent="0.3">
      <c r="BB216" s="995" t="s">
        <v>114</v>
      </c>
      <c r="BC216" s="995" t="str">
        <f t="shared" si="0"/>
        <v>Iowa (Northwest)</v>
      </c>
      <c r="BD216" s="995" t="str">
        <f>IF(BF216,"",K63)</f>
        <v>Iowa (Northwest)</v>
      </c>
      <c r="BE216" s="995" t="str">
        <f t="shared" ref="BE216:BE228" si="8">INDEX(UDD,MATCH($BB216,UDN,0))</f>
        <v>Arkansas (Northwest)</v>
      </c>
      <c r="BF216" s="995" t="b">
        <f>ISBLANK(K63)</f>
        <v>0</v>
      </c>
      <c r="BG216" s="995" t="str">
        <f t="shared" si="1"/>
        <v>state index</v>
      </c>
      <c r="BH216" s="995" t="str">
        <f t="shared" si="2"/>
        <v>state index</v>
      </c>
      <c r="BI216" s="995">
        <f t="shared" si="3"/>
        <v>0</v>
      </c>
      <c r="BJ216" s="995">
        <f t="shared" si="4"/>
        <v>0</v>
      </c>
      <c r="BK216" s="995">
        <f>IF(COUNTIF(DROPS.u.state_region,BD216)&gt;0,1,0)</f>
        <v>1</v>
      </c>
      <c r="BL216" t="str">
        <f t="shared" si="5"/>
        <v>The region of your state that your farm resides in</v>
      </c>
      <c r="BM216" t="str">
        <f t="shared" si="6"/>
        <v>No</v>
      </c>
      <c r="BN216" t="str">
        <f t="shared" si="7"/>
        <v>Input accepted</v>
      </c>
    </row>
    <row r="217" spans="54:66" x14ac:dyDescent="0.3">
      <c r="BB217" s="995" t="s">
        <v>115</v>
      </c>
      <c r="BC217" s="995" t="str">
        <f>IF(BK217=1,BD217,BE217)</f>
        <v>Yes</v>
      </c>
      <c r="BD217" s="995" t="str">
        <f>IF(BF217,"",K79)</f>
        <v>Yes</v>
      </c>
      <c r="BE217" s="995" t="str">
        <f t="shared" si="8"/>
        <v>Yes</v>
      </c>
      <c r="BF217" s="995" t="b">
        <f>ISBLANK(K79)</f>
        <v>0</v>
      </c>
      <c r="BG217" s="995" t="str">
        <f>INDEX(UDUnit,MATCH($BB217,UDN,0))</f>
        <v>Yes or No</v>
      </c>
      <c r="BH217" s="995" t="str">
        <f t="shared" si="2"/>
        <v>1 or 0</v>
      </c>
      <c r="BI217" s="995"/>
      <c r="BJ217" s="995"/>
      <c r="BK217" s="608">
        <f>IF(COUNTIF(DROPS.YES_NO,BD217)&gt;0,1,0)</f>
        <v>1</v>
      </c>
      <c r="BL217" t="str">
        <f t="shared" si="5"/>
        <v>Are sprinklers used on your farm?</v>
      </c>
      <c r="BM217" t="str">
        <f>IF(BK217=1,"No", "Yes")</f>
        <v>No</v>
      </c>
      <c r="BN217" t="str">
        <f t="shared" si="7"/>
        <v>Input accepted</v>
      </c>
    </row>
    <row r="218" spans="54:66" x14ac:dyDescent="0.3">
      <c r="BB218" s="995" t="s">
        <v>116</v>
      </c>
      <c r="BC218" s="995">
        <f>IF(BK218=1,BD218,BE218)</f>
        <v>3</v>
      </c>
      <c r="BD218" s="995" t="str">
        <f>IF(BF218,"",K90)</f>
        <v/>
      </c>
      <c r="BE218" s="995">
        <f t="shared" si="8"/>
        <v>3</v>
      </c>
      <c r="BF218" s="995" t="b">
        <f>ISBLANK(K90)</f>
        <v>1</v>
      </c>
      <c r="BG218" s="995" t="str">
        <f>INDEX(UDUnit,MATCH($BB218,UDN,0))</f>
        <v>min/cycle</v>
      </c>
      <c r="BH218" s="995" t="str">
        <f t="shared" si="2"/>
        <v>min/cycle</v>
      </c>
      <c r="BI218" s="995">
        <f t="shared" si="3"/>
        <v>0</v>
      </c>
      <c r="BJ218" s="995">
        <f t="shared" si="4"/>
        <v>5</v>
      </c>
      <c r="BK218" s="995">
        <f>IF(AND(ISNUMBER(BD218),BI218&lt;=BD218,BD218&lt;=BJ218),1,0)</f>
        <v>0</v>
      </c>
      <c r="BL218" t="str">
        <f t="shared" si="5"/>
        <v>The length of time that sprinklers spray water per cycle</v>
      </c>
      <c r="BM218" t="str">
        <f t="shared" si="6"/>
        <v>Yes</v>
      </c>
      <c r="BN218" t="str">
        <f t="shared" si="7"/>
        <v>Using default</v>
      </c>
    </row>
    <row r="219" spans="54:66" x14ac:dyDescent="0.3">
      <c r="BB219" s="995" t="s">
        <v>117</v>
      </c>
      <c r="BC219" s="995">
        <f>IF(BK219=1,BD219,BE219)</f>
        <v>6</v>
      </c>
      <c r="BD219" s="995" t="str">
        <f>IF(BF219,"",K93)</f>
        <v/>
      </c>
      <c r="BE219" s="995">
        <f t="shared" si="8"/>
        <v>6</v>
      </c>
      <c r="BF219" s="995" t="b">
        <f>ISBLANK(K93)</f>
        <v>1</v>
      </c>
      <c r="BG219" s="995" t="str">
        <f t="shared" si="1"/>
        <v>cycle/day</v>
      </c>
      <c r="BH219" s="995" t="str">
        <f t="shared" si="2"/>
        <v>cycle/day</v>
      </c>
      <c r="BI219" s="995">
        <f t="shared" si="3"/>
        <v>0</v>
      </c>
      <c r="BJ219" s="995">
        <f t="shared" si="4"/>
        <v>288</v>
      </c>
      <c r="BK219" s="995">
        <f>IF(AND(ISNUMBER(BD219),BI219&lt;=BD219,BD219&lt;=BJ219),1,0)</f>
        <v>0</v>
      </c>
      <c r="BL219" t="str">
        <f t="shared" si="5"/>
        <v>The number of cycles that the sprinkler system goes through in a day</v>
      </c>
      <c r="BM219" t="str">
        <f t="shared" si="6"/>
        <v>Yes</v>
      </c>
      <c r="BN219" t="str">
        <f t="shared" si="7"/>
        <v>Using default</v>
      </c>
    </row>
    <row r="220" spans="54:66" x14ac:dyDescent="0.3">
      <c r="BB220" s="995" t="s">
        <v>118</v>
      </c>
      <c r="BC220" s="995">
        <f>IF(BK220=1,BD220,BE220)</f>
        <v>0.1</v>
      </c>
      <c r="BD220" s="995" t="str">
        <f>IF(BF220,"",K96)</f>
        <v/>
      </c>
      <c r="BE220" s="995">
        <f t="shared" si="8"/>
        <v>0.1</v>
      </c>
      <c r="BF220" s="995" t="b">
        <f>ISBLANK(K96)</f>
        <v>1</v>
      </c>
      <c r="BG220" s="995" t="str">
        <f t="shared" si="1"/>
        <v>gal/head/min</v>
      </c>
      <c r="BH220" s="995" t="str">
        <f t="shared" si="2"/>
        <v>gal/head/min</v>
      </c>
      <c r="BI220" s="995">
        <f t="shared" si="3"/>
        <v>0</v>
      </c>
      <c r="BJ220" s="995">
        <f t="shared" si="4"/>
        <v>3</v>
      </c>
      <c r="BK220" s="995">
        <f>IF(AND(ISNUMBER(BD220),BI220&lt;=BD220,BD220&lt;=BJ220),1,0)</f>
        <v>0</v>
      </c>
      <c r="BL220" t="str">
        <f t="shared" si="5"/>
        <v>The flow rate of the sprinkler system</v>
      </c>
      <c r="BM220" t="str">
        <f t="shared" si="6"/>
        <v>Yes</v>
      </c>
      <c r="BN220" t="str">
        <f t="shared" si="7"/>
        <v>Using default</v>
      </c>
    </row>
    <row r="221" spans="54:66" x14ac:dyDescent="0.3">
      <c r="BB221" s="995" t="s">
        <v>119</v>
      </c>
      <c r="BC221" s="995">
        <f t="shared" si="0"/>
        <v>100</v>
      </c>
      <c r="BD221" s="995" t="str">
        <f>IF(BF221,"",K106)</f>
        <v/>
      </c>
      <c r="BE221" s="995">
        <f t="shared" si="8"/>
        <v>100</v>
      </c>
      <c r="BF221" s="995" t="b">
        <f>ISBLANK(K106)</f>
        <v>1</v>
      </c>
      <c r="BG221" s="995" t="str">
        <f t="shared" si="1"/>
        <v>acre</v>
      </c>
      <c r="BH221" s="995" t="str">
        <f t="shared" si="2"/>
        <v>acre</v>
      </c>
      <c r="BI221" s="995">
        <f t="shared" si="3"/>
        <v>0</v>
      </c>
      <c r="BJ221" s="995">
        <f t="shared" si="4"/>
        <v>0</v>
      </c>
      <c r="BK221" s="995">
        <f>IF(AND(ISNUMBER(BD221),BD221&gt;=BI221),1,0)</f>
        <v>0</v>
      </c>
      <c r="BL221" t="str">
        <f t="shared" si="5"/>
        <v>The amount of land available for manure application each year</v>
      </c>
      <c r="BM221" t="str">
        <f t="shared" si="6"/>
        <v>Yes</v>
      </c>
      <c r="BN221" t="str">
        <f t="shared" si="7"/>
        <v>Using default</v>
      </c>
    </row>
    <row r="222" spans="54:66" x14ac:dyDescent="0.3">
      <c r="BB222" s="995" t="s">
        <v>120</v>
      </c>
      <c r="BC222" s="995" t="str">
        <f t="shared" si="0"/>
        <v>N</v>
      </c>
      <c r="BD222" s="995" t="str">
        <f>IF(BF222,"",K116)</f>
        <v>N</v>
      </c>
      <c r="BE222" s="995" t="str">
        <f t="shared" si="8"/>
        <v>N</v>
      </c>
      <c r="BF222" s="995" t="b">
        <f>ISBLANK(K116)</f>
        <v>0</v>
      </c>
      <c r="BG222" s="995" t="str">
        <f t="shared" si="1"/>
        <v>None</v>
      </c>
      <c r="BH222" s="995" t="str">
        <f t="shared" si="2"/>
        <v>None</v>
      </c>
      <c r="BI222" s="995">
        <f t="shared" si="3"/>
        <v>0</v>
      </c>
      <c r="BJ222" s="995">
        <f t="shared" si="4"/>
        <v>0</v>
      </c>
      <c r="BK222" s="995">
        <f>IF(COUNTIF(DROPS.crops.apply_for,BD222)&gt;0,1,0)</f>
        <v>1</v>
      </c>
      <c r="BL222" t="str">
        <f t="shared" si="5"/>
        <v>The primary nutrient for which to apply manure</v>
      </c>
      <c r="BM222" t="str">
        <f t="shared" si="6"/>
        <v>No</v>
      </c>
      <c r="BN222" t="str">
        <f t="shared" si="7"/>
        <v>Input accepted</v>
      </c>
    </row>
    <row r="223" spans="54:66" x14ac:dyDescent="0.3">
      <c r="BB223" s="995" t="s">
        <v>121</v>
      </c>
      <c r="BC223" s="995" t="str">
        <f>IF(BK223=1,BD223,BE223)</f>
        <v>Injection</v>
      </c>
      <c r="BD223" s="995" t="str">
        <f>IF(BF223,"",K126)</f>
        <v>Injection</v>
      </c>
      <c r="BE223" s="995" t="str">
        <f>INDEX(UDD,MATCH($BB223,UDN,0))</f>
        <v>Injection</v>
      </c>
      <c r="BF223" s="995" t="b">
        <f>ISBLANK(K126)</f>
        <v>0</v>
      </c>
      <c r="BG223" s="995" t="str">
        <f>INDEX(UDUnit,MATCH($BB223,UDN,0))</f>
        <v>None</v>
      </c>
      <c r="BH223" s="995" t="str">
        <f>INDEX(UDF_Unit,MATCH($BB223,UDN,0))</f>
        <v>None</v>
      </c>
      <c r="BI223" s="995">
        <f>INDEX(UDMin,MATCH($BB223,UDN,0))</f>
        <v>0</v>
      </c>
      <c r="BJ223" s="995">
        <f>INDEX(UDMax,MATCH($BB223,UDN,0))</f>
        <v>0</v>
      </c>
      <c r="BK223" s="995" cm="1">
        <f t="array" ref="BK223">IF(COUNTIF(DROPS.crops.apply_method,BD223)&gt;0,1,0)</f>
        <v>1</v>
      </c>
      <c r="BL223" t="str">
        <f>INDEX(UD_Desc,MATCH($BB223,UDN,0))</f>
        <v>The method by which manure is applied</v>
      </c>
      <c r="BM223" t="str">
        <f>IF(BK223=1,"No", "Yes")</f>
        <v>No</v>
      </c>
      <c r="BN223" t="str">
        <f t="shared" si="7"/>
        <v>Input accepted</v>
      </c>
    </row>
    <row r="224" spans="54:66" x14ac:dyDescent="0.3">
      <c r="BB224" s="995" t="s">
        <v>122</v>
      </c>
      <c r="BC224" s="995">
        <f t="shared" si="0"/>
        <v>195</v>
      </c>
      <c r="BD224" s="995" t="str">
        <f>IF(BF224,"",K136)</f>
        <v/>
      </c>
      <c r="BE224" s="995">
        <f t="shared" si="8"/>
        <v>195</v>
      </c>
      <c r="BF224" s="995" t="b">
        <f>ISBLANK(K136)</f>
        <v>1</v>
      </c>
      <c r="BG224" s="995" t="str">
        <f t="shared" si="1"/>
        <v>lb N/acre</v>
      </c>
      <c r="BH224" s="995" t="str">
        <f t="shared" si="2"/>
        <v>lb N/acre</v>
      </c>
      <c r="BI224" s="995">
        <f t="shared" si="3"/>
        <v>33</v>
      </c>
      <c r="BJ224" s="995">
        <f t="shared" si="4"/>
        <v>500</v>
      </c>
      <c r="BK224" s="995">
        <f>IF(AND(ISNUMBER(BD224),BI224&lt;=BD224,BD224&lt;=BJ224),1,0)</f>
        <v>0</v>
      </c>
      <c r="BL224" t="str">
        <f t="shared" si="5"/>
        <v>The quantity of N applied on the land area</v>
      </c>
      <c r="BM224" t="str">
        <f t="shared" si="6"/>
        <v>Yes</v>
      </c>
      <c r="BN224" t="str">
        <f t="shared" si="7"/>
        <v>Using default</v>
      </c>
    </row>
    <row r="225" spans="54:66" x14ac:dyDescent="0.3">
      <c r="BB225" s="995" t="s">
        <v>123</v>
      </c>
      <c r="BC225" s="995">
        <f t="shared" si="0"/>
        <v>55</v>
      </c>
      <c r="BD225" s="995" t="str">
        <f>IF(BF225,"",K139)</f>
        <v/>
      </c>
      <c r="BE225" s="995">
        <f t="shared" si="8"/>
        <v>55</v>
      </c>
      <c r="BF225" s="995" t="b">
        <f>ISBLANK(K139)</f>
        <v>1</v>
      </c>
      <c r="BG225" s="995" t="str">
        <f t="shared" si="1"/>
        <v>lb P2O5/acre</v>
      </c>
      <c r="BH225" s="995" t="str">
        <f t="shared" si="2"/>
        <v>lb P2O5/acre</v>
      </c>
      <c r="BI225" s="995">
        <f t="shared" si="3"/>
        <v>14</v>
      </c>
      <c r="BJ225" s="995">
        <f t="shared" si="4"/>
        <v>350</v>
      </c>
      <c r="BK225" s="995">
        <f>IF(AND(ISNUMBER(BD225),BI225&lt;=BD225,BD225&lt;=BJ225),1,0)</f>
        <v>0</v>
      </c>
      <c r="BL225" t="str">
        <f t="shared" si="5"/>
        <v>The quantity of P2O5 applied on the land area</v>
      </c>
      <c r="BM225" t="str">
        <f t="shared" si="6"/>
        <v>Yes</v>
      </c>
      <c r="BN225" t="str">
        <f t="shared" si="7"/>
        <v>Using default</v>
      </c>
    </row>
    <row r="226" spans="54:66" x14ac:dyDescent="0.3">
      <c r="BB226" s="995" t="s">
        <v>124</v>
      </c>
      <c r="BC226" s="995">
        <f t="shared" si="0"/>
        <v>90</v>
      </c>
      <c r="BD226" s="995" t="str">
        <f>IF(BF226,"",K142)</f>
        <v/>
      </c>
      <c r="BE226" s="995">
        <f t="shared" si="8"/>
        <v>90</v>
      </c>
      <c r="BF226" s="995" t="b">
        <f>ISBLANK(K142)</f>
        <v>1</v>
      </c>
      <c r="BG226" s="995" t="str">
        <f t="shared" si="1"/>
        <v>lb K2O/acre</v>
      </c>
      <c r="BH226" s="995" t="str">
        <f t="shared" si="2"/>
        <v>lb K2O/acre</v>
      </c>
      <c r="BI226" s="995">
        <f t="shared" si="3"/>
        <v>9</v>
      </c>
      <c r="BJ226" s="995">
        <f t="shared" si="4"/>
        <v>300</v>
      </c>
      <c r="BK226" s="995">
        <f>IF(AND(ISNUMBER(BD226),BI226&lt;=BD226,BD226&lt;=BJ226),1,0)</f>
        <v>0</v>
      </c>
      <c r="BL226" t="str">
        <f t="shared" si="5"/>
        <v>The quantity of K2O5 applied on the land area</v>
      </c>
      <c r="BM226" t="str">
        <f t="shared" si="6"/>
        <v>Yes</v>
      </c>
      <c r="BN226" t="str">
        <f t="shared" si="7"/>
        <v>Using default</v>
      </c>
    </row>
    <row r="227" spans="54:66" x14ac:dyDescent="0.3">
      <c r="BB227" s="995" t="s">
        <v>125</v>
      </c>
      <c r="BC227" s="995">
        <f t="shared" si="0"/>
        <v>50</v>
      </c>
      <c r="BD227" s="995" t="str">
        <f>IF(BF227,"",K152)</f>
        <v/>
      </c>
      <c r="BE227" s="995">
        <f t="shared" si="8"/>
        <v>50</v>
      </c>
      <c r="BF227" s="995" t="b">
        <f>ISBLANK(K152)</f>
        <v>1</v>
      </c>
      <c r="BG227" s="995" t="str">
        <f t="shared" si="1"/>
        <v>day/year</v>
      </c>
      <c r="BH227" s="995" t="str">
        <f t="shared" si="2"/>
        <v>day/year</v>
      </c>
      <c r="BI227" s="995">
        <f t="shared" si="3"/>
        <v>10</v>
      </c>
      <c r="BJ227" s="995">
        <f t="shared" si="4"/>
        <v>365</v>
      </c>
      <c r="BK227" s="995">
        <f t="shared" ref="BK227" si="9">IF(AND(ISNUMBER(BD227),BI227&lt;=BD227,BD227&lt;=BJ227),1,0)</f>
        <v>0</v>
      </c>
      <c r="BL227" t="str">
        <f t="shared" si="5"/>
        <v>Timeframe to land apply on a typical year (constraint on liquids, slurry)</v>
      </c>
      <c r="BM227" t="str">
        <f t="shared" si="6"/>
        <v>Yes</v>
      </c>
      <c r="BN227" t="str">
        <f t="shared" si="7"/>
        <v>Using default</v>
      </c>
    </row>
    <row r="228" spans="54:66" x14ac:dyDescent="0.3">
      <c r="BB228" t="s">
        <v>126</v>
      </c>
      <c r="BC228" s="995">
        <f>IF(BK228=1,BD228,BE228)</f>
        <v>0</v>
      </c>
      <c r="BD228" s="995" t="str">
        <f>IF(BF228,"",K162)</f>
        <v/>
      </c>
      <c r="BE228" s="995">
        <f t="shared" si="8"/>
        <v>0</v>
      </c>
      <c r="BF228" s="995" t="b">
        <f>ISBLANK(K162)</f>
        <v>1</v>
      </c>
      <c r="BG228" s="995" t="str">
        <f t="shared" si="1"/>
        <v>$/credit</v>
      </c>
      <c r="BH228" s="995" t="str">
        <f t="shared" si="2"/>
        <v>$/credit</v>
      </c>
      <c r="BI228" s="995">
        <f t="shared" si="3"/>
        <v>0</v>
      </c>
      <c r="BJ228" s="995">
        <f t="shared" si="4"/>
        <v>50</v>
      </c>
      <c r="BK228" s="995">
        <f t="shared" ref="BK228" si="10">IF(AND(ISNUMBER(BD228),BI228&lt;=BD228,BD228&lt;=BJ228),1,0)</f>
        <v>0</v>
      </c>
      <c r="BL228" t="str">
        <f t="shared" si="5"/>
        <v>Value of carbon offset credits</v>
      </c>
      <c r="BM228" t="str">
        <f t="shared" si="6"/>
        <v>Yes</v>
      </c>
      <c r="BN228" t="str">
        <f t="shared" si="7"/>
        <v>Using default</v>
      </c>
    </row>
    <row r="231" spans="54:66" x14ac:dyDescent="0.3">
      <c r="BL231" s="82" t="s">
        <v>127</v>
      </c>
      <c r="BN231">
        <f>COUNTIF(BN214:BN228,"Input invalid, using default")</f>
        <v>0</v>
      </c>
    </row>
    <row r="232" spans="54:66" x14ac:dyDescent="0.3">
      <c r="BB232" s="668" t="s">
        <v>128</v>
      </c>
      <c r="BL232" t="s">
        <v>129</v>
      </c>
    </row>
    <row r="233" spans="54:66" x14ac:dyDescent="0.3">
      <c r="BB233" s="608" t="s">
        <v>130</v>
      </c>
      <c r="BL233" t="s">
        <v>131</v>
      </c>
    </row>
    <row r="234" spans="54:66" x14ac:dyDescent="0.3">
      <c r="BB234" s="608" t="s">
        <v>132</v>
      </c>
    </row>
    <row r="235" spans="54:66" x14ac:dyDescent="0.3">
      <c r="BB235" s="608" t="s">
        <v>133</v>
      </c>
    </row>
    <row r="236" spans="54:66" x14ac:dyDescent="0.3">
      <c r="BB236" s="608" t="s">
        <v>134</v>
      </c>
    </row>
  </sheetData>
  <mergeCells count="163">
    <mergeCell ref="F2:G4"/>
    <mergeCell ref="H2:I4"/>
    <mergeCell ref="J2:K4"/>
    <mergeCell ref="L2:M4"/>
    <mergeCell ref="N2:O4"/>
    <mergeCell ref="P2:Q4"/>
    <mergeCell ref="C4:D6"/>
    <mergeCell ref="S4:T6"/>
    <mergeCell ref="E161:F161"/>
    <mergeCell ref="M161:N161"/>
    <mergeCell ref="O161:P161"/>
    <mergeCell ref="K161:L161"/>
    <mergeCell ref="I161:J161"/>
    <mergeCell ref="G161:H161"/>
    <mergeCell ref="Q161:R161"/>
    <mergeCell ref="G152:H154"/>
    <mergeCell ref="Q152:R154"/>
    <mergeCell ref="E152:F154"/>
    <mergeCell ref="M152:N154"/>
    <mergeCell ref="O152:P154"/>
    <mergeCell ref="K152:L154"/>
    <mergeCell ref="I152:J154"/>
    <mergeCell ref="E157:R160"/>
    <mergeCell ref="E147:R150"/>
    <mergeCell ref="G179:H181"/>
    <mergeCell ref="I179:J181"/>
    <mergeCell ref="K179:L181"/>
    <mergeCell ref="M179:N181"/>
    <mergeCell ref="O179:P181"/>
    <mergeCell ref="G167:P172"/>
    <mergeCell ref="F176:G178"/>
    <mergeCell ref="H176:I178"/>
    <mergeCell ref="J176:K178"/>
    <mergeCell ref="L176:M178"/>
    <mergeCell ref="N176:O178"/>
    <mergeCell ref="P176:Q178"/>
    <mergeCell ref="Q151:R151"/>
    <mergeCell ref="E142:F144"/>
    <mergeCell ref="M142:N144"/>
    <mergeCell ref="O142:P144"/>
    <mergeCell ref="K142:L144"/>
    <mergeCell ref="I142:J144"/>
    <mergeCell ref="G142:H144"/>
    <mergeCell ref="Q142:R144"/>
    <mergeCell ref="E162:F164"/>
    <mergeCell ref="M162:N164"/>
    <mergeCell ref="O162:P164"/>
    <mergeCell ref="K162:L164"/>
    <mergeCell ref="I162:J164"/>
    <mergeCell ref="G162:H164"/>
    <mergeCell ref="Q162:R164"/>
    <mergeCell ref="E136:F138"/>
    <mergeCell ref="M136:N138"/>
    <mergeCell ref="O136:P138"/>
    <mergeCell ref="K136:L138"/>
    <mergeCell ref="I136:J138"/>
    <mergeCell ref="E151:F151"/>
    <mergeCell ref="M151:N151"/>
    <mergeCell ref="O151:P151"/>
    <mergeCell ref="K151:L151"/>
    <mergeCell ref="I151:J151"/>
    <mergeCell ref="G151:H151"/>
    <mergeCell ref="E116:J118"/>
    <mergeCell ref="K116:R118"/>
    <mergeCell ref="G106:H108"/>
    <mergeCell ref="Q106:R108"/>
    <mergeCell ref="E111:R114"/>
    <mergeCell ref="E115:J115"/>
    <mergeCell ref="K115:R115"/>
    <mergeCell ref="E106:F108"/>
    <mergeCell ref="M106:N108"/>
    <mergeCell ref="O106:P108"/>
    <mergeCell ref="K106:L108"/>
    <mergeCell ref="I106:J108"/>
    <mergeCell ref="E101:R104"/>
    <mergeCell ref="E105:F105"/>
    <mergeCell ref="M105:N105"/>
    <mergeCell ref="O105:P105"/>
    <mergeCell ref="K105:L105"/>
    <mergeCell ref="I105:J105"/>
    <mergeCell ref="G105:H105"/>
    <mergeCell ref="Q105:R105"/>
    <mergeCell ref="G93:H95"/>
    <mergeCell ref="Q93:R95"/>
    <mergeCell ref="E93:F95"/>
    <mergeCell ref="M93:N95"/>
    <mergeCell ref="O93:P95"/>
    <mergeCell ref="K93:L95"/>
    <mergeCell ref="I93:J95"/>
    <mergeCell ref="E96:F98"/>
    <mergeCell ref="M96:N98"/>
    <mergeCell ref="O96:P98"/>
    <mergeCell ref="K96:L98"/>
    <mergeCell ref="I96:J98"/>
    <mergeCell ref="G96:H98"/>
    <mergeCell ref="Q96:R98"/>
    <mergeCell ref="G89:H89"/>
    <mergeCell ref="Q89:R89"/>
    <mergeCell ref="E90:F92"/>
    <mergeCell ref="M90:N92"/>
    <mergeCell ref="O90:P92"/>
    <mergeCell ref="K90:L92"/>
    <mergeCell ref="I90:J92"/>
    <mergeCell ref="G90:H92"/>
    <mergeCell ref="Q90:R92"/>
    <mergeCell ref="E89:F89"/>
    <mergeCell ref="M89:N89"/>
    <mergeCell ref="O89:P89"/>
    <mergeCell ref="K89:L89"/>
    <mergeCell ref="I89:J89"/>
    <mergeCell ref="E63:J66"/>
    <mergeCell ref="K63:R66"/>
    <mergeCell ref="E23:R26"/>
    <mergeCell ref="E27:J27"/>
    <mergeCell ref="K27:R27"/>
    <mergeCell ref="E85:R88"/>
    <mergeCell ref="G69:P72"/>
    <mergeCell ref="E28:J31"/>
    <mergeCell ref="K28:R31"/>
    <mergeCell ref="E39:J44"/>
    <mergeCell ref="K39:R44"/>
    <mergeCell ref="E45:R45"/>
    <mergeCell ref="E46:R55"/>
    <mergeCell ref="E34:R38"/>
    <mergeCell ref="E74:R77"/>
    <mergeCell ref="E78:J78"/>
    <mergeCell ref="K78:R78"/>
    <mergeCell ref="E79:J82"/>
    <mergeCell ref="K79:R82"/>
    <mergeCell ref="G5:H7"/>
    <mergeCell ref="O5:P7"/>
    <mergeCell ref="D11:S16"/>
    <mergeCell ref="I5:J7"/>
    <mergeCell ref="K5:L7"/>
    <mergeCell ref="M5:N7"/>
    <mergeCell ref="G18:P21"/>
    <mergeCell ref="E58:R61"/>
    <mergeCell ref="E62:J62"/>
    <mergeCell ref="K62:R62"/>
    <mergeCell ref="C178:D180"/>
    <mergeCell ref="S178:T180"/>
    <mergeCell ref="E121:R124"/>
    <mergeCell ref="E125:J125"/>
    <mergeCell ref="K125:R125"/>
    <mergeCell ref="E126:J128"/>
    <mergeCell ref="K126:R128"/>
    <mergeCell ref="E131:R134"/>
    <mergeCell ref="E135:F135"/>
    <mergeCell ref="M135:N135"/>
    <mergeCell ref="O135:P135"/>
    <mergeCell ref="K135:L135"/>
    <mergeCell ref="I135:J135"/>
    <mergeCell ref="G135:H135"/>
    <mergeCell ref="Q135:R135"/>
    <mergeCell ref="G139:H141"/>
    <mergeCell ref="Q139:R141"/>
    <mergeCell ref="G136:H138"/>
    <mergeCell ref="Q136:R138"/>
    <mergeCell ref="E139:F141"/>
    <mergeCell ref="M139:N141"/>
    <mergeCell ref="O139:P141"/>
    <mergeCell ref="K139:L141"/>
    <mergeCell ref="I139:J141"/>
  </mergeCells>
  <conditionalFormatting sqref="E90:J98 M90:R98 E106:J108 M106:R108 E136:J144 M136:R144 E152:J154 M152:R154 E162:J164 M162:R164">
    <cfRule type="expression" dxfId="14" priority="1">
      <formula>$Q90="Input invalid, using default"</formula>
    </cfRule>
  </conditionalFormatting>
  <dataValidations count="4">
    <dataValidation type="list" allowBlank="1" showInputMessage="1" showErrorMessage="1" sqref="K63:R66" xr:uid="{2581E681-B938-4B4C-B671-ABE0428AFEE3}">
      <formula1>DROPS.u.state_region</formula1>
    </dataValidation>
    <dataValidation type="list" allowBlank="1" showInputMessage="1" showErrorMessage="1" sqref="K39:R44" xr:uid="{EE9CCF6F-F529-48AC-8C20-8F700D16FB47}">
      <formula1>SC.Table.Baselines</formula1>
    </dataValidation>
    <dataValidation type="list" allowBlank="1" showInputMessage="1" showErrorMessage="1" sqref="K116:R118" xr:uid="{B2FA3A10-AAEB-4E0D-8458-C356DDDEF855}">
      <formula1>DROPS.crops.apply_for</formula1>
    </dataValidation>
    <dataValidation type="list" allowBlank="1" showInputMessage="1" showErrorMessage="1" sqref="K79" xr:uid="{13FF86D6-1368-4588-8EA7-02FE35D02D81}">
      <formula1>DROPS.YES_NO</formula1>
    </dataValidation>
  </dataValidations>
  <hyperlinks>
    <hyperlink ref="F2:G4" location="UI.Welcome!A1" tooltip="Click to go to welcome page" display="Welcome Page" xr:uid="{98C35DAB-B0F7-4025-B919-5ECA7B525CBA}"/>
    <hyperlink ref="H2:I4" location="UI.Farm!A1" tooltip="Click to go to farm inputs page" display="Farm Info" xr:uid="{6B8F0DF2-8CF9-45DA-A7B7-D489F456B75F}"/>
    <hyperlink ref="I5:J7" location="UI.OpExpenses!A1" tooltip="Click to go to operational expenses page" display="Operational Expenses" xr:uid="{0153F694-CC92-4766-8D52-42804F6B6581}"/>
    <hyperlink ref="K5:L7" location="UI.Priorities!A1" tooltip="Click to go to priorities page" display="Priorities" xr:uid="{69A0B529-B01F-4D2B-B75D-5590B85A5F97}"/>
    <hyperlink ref="J2:K4" location="UI.Animals!A1" tooltip="Click to go to animals input page" display="Animals" xr:uid="{39B3E1C8-D563-44E2-8F7B-44C0E851115F}"/>
    <hyperlink ref="P2:Q4" location="UI.Tractor!A1" tooltip="Click to go to tractor properties" display="Tractor Properties" xr:uid="{DBC31979-841F-4827-8C3C-F8911D19FEAD}"/>
    <hyperlink ref="N2:O4" location="UI.Streams!A1" tooltip="Click to go to the excess manure page" display="Excess Manure Streams" xr:uid="{2FFE7C2B-035E-4D22-AE99-C30E028F58F6}"/>
    <hyperlink ref="G5:H7" location="UI.Cap!A1" tooltip="Click to go to capital expenses page" display="Capital Expenses" xr:uid="{C0BEBA39-CAA6-49FC-976B-27882B210CBC}"/>
    <hyperlink ref="L2:M4" location="UI.Manure!A1" tooltip="Click to go to the manure characteristics page" display="Manure Characteristics" xr:uid="{472D956A-815C-4F97-9FAE-86F8EFF976FF}"/>
    <hyperlink ref="O5:P7" location="UI.Inputs!A1" tooltip="Click to go to input results summary" display="Inputs Summary" xr:uid="{8FE31EDF-1390-4713-A3A0-3D3E93A4FFCB}"/>
    <hyperlink ref="C4:D6" location="Results.Summary!A1" tooltip="Click to go to results summary page" display="Results Summary" xr:uid="{D26CC898-6398-4719-93A9-11E621820E76}"/>
    <hyperlink ref="S4:T6" location="UI.Animals!A1" tooltip="Click to go to animals input page" display="Animals" xr:uid="{23149235-EE92-4547-8FCF-B2CE9D24EAD7}"/>
    <hyperlink ref="M5:N7" location="UI.Choice!A1" tooltip="Click to go to scenario choice page" display="Scenario Choices" xr:uid="{8499DDC6-7007-4436-B490-DF1159AB6050}"/>
    <hyperlink ref="F176:G178" location="UI.Welcome!A1" tooltip="Click to go to welcome page" display="Welcome Page" xr:uid="{492EE399-90DB-44E6-9ECC-4B4CF393CA8A}"/>
    <hyperlink ref="H176:I178" location="UI.Farm!A1" tooltip="Click to go to farm inputs page" display="Farm Info" xr:uid="{813D07A9-05B0-42FA-B2E4-587D23159155}"/>
    <hyperlink ref="I179:J181" location="UI.OpExpenses!A1" tooltip="Click to go to operational expenses page" display="Operational Expenses" xr:uid="{75D5219D-68F6-4A26-BFB5-76C911051201}"/>
    <hyperlink ref="K179:L181" location="UI.Priorities!A1" tooltip="Click to go to priorities page" display="Priorities" xr:uid="{F1BE8EAC-BD74-405E-9AB5-0CAE779F195F}"/>
    <hyperlink ref="J176:K178" location="UI.Animals!A1" tooltip="Click to go to animals input page" display="Animals" xr:uid="{D2AA63C6-9F23-4AA9-8C56-9D68740C3AA8}"/>
    <hyperlink ref="P176:Q178" location="UI.Tractor!A1" tooltip="Click to go to tractor properties" display="Tractor Properties" xr:uid="{8EB89D9A-8702-42E9-89EA-446441736602}"/>
    <hyperlink ref="N176:O178" location="UI.Streams!A1" tooltip="Click to go to the excess manure page" display="Excess Manure Streams" xr:uid="{7054308F-89F0-49D1-B98C-27E658191F58}"/>
    <hyperlink ref="G179:H181" location="UI.Cap!A1" tooltip="Click to go to capital expenses page" display="Capital Expenses" xr:uid="{D2784855-5E33-4968-BA11-9897A50E11CC}"/>
    <hyperlink ref="L176:M178" location="UI.Manure!A1" tooltip="Click to go to the manure characteristics page" display="Manure Characteristics" xr:uid="{0194C053-18F6-43D3-9366-901C9C3F1D2E}"/>
    <hyperlink ref="O179:P181" location="UI.Inputs!A1" tooltip="Click to go to input results summary" display="Inputs Summary" xr:uid="{F54100F1-4FFE-4C4B-8CDF-4ABBF817FD4E}"/>
    <hyperlink ref="C178:D180" location="Results.Summary!A1" tooltip="Click to go to results summary page" display="Results Summary" xr:uid="{4C1F93CF-C56E-4299-B5E7-6EDC86E40899}"/>
    <hyperlink ref="S178:T180" location="UI.Animals!A1" tooltip="Click to go to animals input page" display="Animals" xr:uid="{3DF6C56E-C1AB-410F-BC41-F01D494E2922}"/>
    <hyperlink ref="M179:N181" location="UI.Choice!A1" tooltip="Click to go to scenario choice page" display="Scenario Choices" xr:uid="{0EF71118-64FA-4ACF-9F14-FF4C33FCC400}"/>
    <hyperlink ref="E58:R61" r:id="rId1" display="Where is the farm located? Click here to see the US Climate Divisions." xr:uid="{CDE89B53-59AC-4EA8-9392-5BA823A788BD}"/>
  </hyperlinks>
  <printOptions horizontalCentered="1" verticalCentered="1"/>
  <pageMargins left="0.7" right="0.7" top="0.75" bottom="0.75" header="0.3" footer="0.3"/>
  <pageSetup scale="49" orientation="portrait" r:id="rId2"/>
  <rowBreaks count="1" manualBreakCount="1">
    <brk id="99" min="2" max="1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A314E8B-50C9-40CC-BF71-5AB7FEB55B1E}">
          <x14:formula1>
            <xm:f>Drops!$B$13:$C$13</xm:f>
          </x14:formula1>
          <xm:sqref>K126:R128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ADEF-B2B0-4EC8-B1E4-B24C424760E6}">
  <sheetPr>
    <tabColor rgb="FF002060"/>
  </sheetPr>
  <dimension ref="A2:AM363"/>
  <sheetViews>
    <sheetView workbookViewId="0">
      <selection sqref="A1:C1"/>
    </sheetView>
  </sheetViews>
  <sheetFormatPr defaultRowHeight="14.4" x14ac:dyDescent="0.3"/>
  <cols>
    <col min="2" max="2" width="46.33203125" bestFit="1" customWidth="1"/>
    <col min="3" max="6" width="5.109375" customWidth="1"/>
    <col min="8" max="8" width="12.109375" customWidth="1"/>
    <col min="9" max="9" width="6.6640625" customWidth="1"/>
    <col min="10" max="10" width="18.33203125" customWidth="1"/>
    <col min="11" max="11" width="16" customWidth="1"/>
    <col min="36" max="36" width="12" bestFit="1" customWidth="1"/>
    <col min="37" max="37" width="15.33203125" bestFit="1" customWidth="1"/>
    <col min="38" max="38" width="17.44140625" bestFit="1" customWidth="1"/>
    <col min="39" max="39" width="11.6640625" bestFit="1" customWidth="1"/>
  </cols>
  <sheetData>
    <row r="2" spans="2:31" x14ac:dyDescent="0.3">
      <c r="B2" s="82" t="s">
        <v>4302</v>
      </c>
      <c r="C2" s="82" t="s">
        <v>4303</v>
      </c>
      <c r="D2" s="82" t="s">
        <v>4304</v>
      </c>
      <c r="E2" s="82" t="s">
        <v>4305</v>
      </c>
      <c r="F2" s="82" t="s">
        <v>4306</v>
      </c>
      <c r="G2" s="82" t="s">
        <v>4307</v>
      </c>
      <c r="H2" s="82" t="s">
        <v>4308</v>
      </c>
      <c r="L2" s="82" t="s">
        <v>4309</v>
      </c>
      <c r="M2" s="82" t="s">
        <v>4310</v>
      </c>
      <c r="T2" s="82" t="s">
        <v>4311</v>
      </c>
    </row>
    <row r="3" spans="2:31" x14ac:dyDescent="0.3">
      <c r="B3" t="str">
        <f>UDV.u.state_region</f>
        <v>Iowa (Northwest)</v>
      </c>
      <c r="C3" cm="1">
        <f t="array" ref="C3">IF(ISNUMBER(INDEX(C19:C362,H3)),INDEX(C19:C362,H3),6)</f>
        <v>5.68</v>
      </c>
      <c r="D3" cm="1">
        <f t="array" ref="D3">IF(ISNUMBER(INDEX(D19:D362,H3)),INDEX(D19:D362,H3),36)</f>
        <v>30.739999999999991</v>
      </c>
      <c r="E3" cm="1">
        <f t="array" ref="E3">IF(ISNUMBER(INDEX(I19:I362,H3)),INDEX(I19:I362,H3),0)</f>
        <v>35.93</v>
      </c>
      <c r="F3" cm="1">
        <f t="array" ref="F3">IF(ISNUMBER(INDEX(F19:F362,H3)),INDEX(F19:F362,H3),69)</f>
        <v>43.85</v>
      </c>
      <c r="G3" t="str" cm="1">
        <f t="array" ref="G3">IF(ISTEXT(INDEX(J19:J362,H3)),INDEX(J19:J362,H3),"WarmTempMoist")</f>
        <v>CoolTempMoist</v>
      </c>
      <c r="H3">
        <f>MATCH($B$3,$B$19:$B$362,0)</f>
        <v>86</v>
      </c>
      <c r="L3">
        <f>IF(ISNUMBER(INDEX(L19:L362,MATCH($B$3,$B$19:$B$362,0))),INDEX(L19:L362,MATCH($B$3,$B$19:$B$362,0)),7.5)</f>
        <v>5.5</v>
      </c>
      <c r="M3">
        <f>IF(ISNUMBER(INDEX(M19:M362,MATCH($B$3,$B$19:$B$362,0))),INDEX(M19:M362,MATCH($B$3,$B$19:$B$362,0)),45)</f>
        <v>52.5</v>
      </c>
      <c r="T3">
        <f>IF(ISNUMBER(INDEX(T19:T362,MATCH($B$3,$B$19:$B$362,0))),INDEX(T19:T362,MATCH($B$3,$B$19:$B$362,0)),5)</f>
        <v>3.75</v>
      </c>
      <c r="AC3" t="s">
        <v>4312</v>
      </c>
    </row>
    <row r="4" spans="2:31" x14ac:dyDescent="0.3">
      <c r="AC4" t="s">
        <v>4309</v>
      </c>
      <c r="AD4" t="s">
        <v>4310</v>
      </c>
      <c r="AE4" t="s">
        <v>4311</v>
      </c>
    </row>
    <row r="5" spans="2:31" x14ac:dyDescent="0.3">
      <c r="B5" t="s">
        <v>4313</v>
      </c>
    </row>
    <row r="6" spans="2:31" x14ac:dyDescent="0.3">
      <c r="B6" t="s">
        <v>4314</v>
      </c>
    </row>
    <row r="7" spans="2:31" x14ac:dyDescent="0.3">
      <c r="B7" t="s">
        <v>4315</v>
      </c>
    </row>
    <row r="8" spans="2:31" x14ac:dyDescent="0.3">
      <c r="B8" t="s">
        <v>4316</v>
      </c>
    </row>
    <row r="9" spans="2:31" x14ac:dyDescent="0.3">
      <c r="B9" t="s">
        <v>4317</v>
      </c>
    </row>
    <row r="10" spans="2:31" x14ac:dyDescent="0.3">
      <c r="B10" t="s">
        <v>4318</v>
      </c>
    </row>
    <row r="11" spans="2:31" x14ac:dyDescent="0.3">
      <c r="B11" t="s">
        <v>4319</v>
      </c>
    </row>
    <row r="12" spans="2:31" x14ac:dyDescent="0.3">
      <c r="B12" t="s">
        <v>4320</v>
      </c>
    </row>
    <row r="13" spans="2:31" x14ac:dyDescent="0.3">
      <c r="B13" t="s">
        <v>4321</v>
      </c>
    </row>
    <row r="14" spans="2:31" x14ac:dyDescent="0.3">
      <c r="B14" t="s">
        <v>4322</v>
      </c>
    </row>
    <row r="15" spans="2:31" x14ac:dyDescent="0.3">
      <c r="AC15">
        <v>12</v>
      </c>
      <c r="AD15">
        <v>35</v>
      </c>
      <c r="AE15">
        <v>7</v>
      </c>
    </row>
    <row r="16" spans="2:31" x14ac:dyDescent="0.3">
      <c r="L16" t="s">
        <v>4323</v>
      </c>
      <c r="T16" t="s">
        <v>4324</v>
      </c>
      <c r="AC16">
        <v>11.5</v>
      </c>
      <c r="AD16">
        <v>36.5</v>
      </c>
      <c r="AE16">
        <v>6.75</v>
      </c>
    </row>
    <row r="17" spans="2:39" ht="28.8" x14ac:dyDescent="0.55000000000000004">
      <c r="B17" s="1609" t="s">
        <v>4325</v>
      </c>
      <c r="C17" t="s">
        <v>4326</v>
      </c>
      <c r="L17" s="1174" t="s">
        <v>4327</v>
      </c>
      <c r="T17" s="1174" t="s">
        <v>4328</v>
      </c>
      <c r="AC17">
        <v>11</v>
      </c>
      <c r="AD17">
        <v>38</v>
      </c>
      <c r="AE17">
        <v>6.5</v>
      </c>
    </row>
    <row r="18" spans="2:39" x14ac:dyDescent="0.3">
      <c r="B18" s="82" t="s">
        <v>4329</v>
      </c>
      <c r="C18" s="82" t="s">
        <v>4303</v>
      </c>
      <c r="D18" s="82" t="s">
        <v>4304</v>
      </c>
      <c r="E18" s="82" t="s">
        <v>4330</v>
      </c>
      <c r="F18" s="82" t="s">
        <v>4331</v>
      </c>
      <c r="G18" s="82" t="s">
        <v>4332</v>
      </c>
      <c r="H18" s="82" t="s">
        <v>646</v>
      </c>
      <c r="I18" s="82" t="s">
        <v>4333</v>
      </c>
      <c r="J18" s="82" t="s">
        <v>4334</v>
      </c>
      <c r="L18" s="82" t="s">
        <v>4309</v>
      </c>
      <c r="M18" s="82" t="s">
        <v>4310</v>
      </c>
      <c r="T18" s="82" t="s">
        <v>4311</v>
      </c>
      <c r="V18" t="str">
        <f>G18</f>
        <v>Div_ID</v>
      </c>
      <c r="W18" t="str">
        <f>B18</f>
        <v>State_Region</v>
      </c>
      <c r="AC18">
        <v>10.5</v>
      </c>
      <c r="AD18">
        <v>39</v>
      </c>
      <c r="AE18">
        <v>6.25</v>
      </c>
      <c r="AI18" s="1643" t="s">
        <v>4335</v>
      </c>
      <c r="AJ18" s="1643" t="s">
        <v>4336</v>
      </c>
      <c r="AK18" s="1643" t="s">
        <v>4337</v>
      </c>
      <c r="AM18" s="2237"/>
    </row>
    <row r="19" spans="2:39" x14ac:dyDescent="0.3">
      <c r="B19" t="s">
        <v>3819</v>
      </c>
      <c r="C19">
        <v>7.19</v>
      </c>
      <c r="D19">
        <v>57.58</v>
      </c>
      <c r="E19" s="78">
        <v>21.545792028048005</v>
      </c>
      <c r="F19">
        <v>99.820000000000007</v>
      </c>
      <c r="G19">
        <v>1</v>
      </c>
      <c r="H19" t="s">
        <v>4338</v>
      </c>
      <c r="I19">
        <v>56.97</v>
      </c>
      <c r="J19" s="2238" t="s">
        <v>4172</v>
      </c>
      <c r="L19">
        <v>9.5</v>
      </c>
      <c r="M19">
        <v>41</v>
      </c>
      <c r="T19">
        <v>5.75</v>
      </c>
      <c r="V19">
        <f>G19</f>
        <v>1</v>
      </c>
      <c r="W19" t="str">
        <f>B19</f>
        <v>Alabama (North Valley)</v>
      </c>
      <c r="Z19" t="str">
        <f>TRIM(LEFT(B19,SEARCH("(",B19)-1))</f>
        <v>Alabama</v>
      </c>
      <c r="AA19" t="str">
        <f>_xlfn.CONCAT(Z19,"_",G19)</f>
        <v>Alabama_1</v>
      </c>
      <c r="AC19">
        <v>10</v>
      </c>
      <c r="AD19">
        <v>40</v>
      </c>
      <c r="AE19">
        <v>6</v>
      </c>
      <c r="AI19">
        <v>1</v>
      </c>
      <c r="AJ19">
        <v>788.20306955620538</v>
      </c>
      <c r="AK19" t="s">
        <v>3679</v>
      </c>
      <c r="AL19" t="str">
        <f>_xlfn.CONCAT(AK19,"_",AI19)</f>
        <v>Alabama_1</v>
      </c>
    </row>
    <row r="20" spans="2:39" x14ac:dyDescent="0.3">
      <c r="B20" t="s">
        <v>3820</v>
      </c>
      <c r="C20">
        <v>6.6</v>
      </c>
      <c r="D20">
        <v>57.470000000000013</v>
      </c>
      <c r="E20" s="78">
        <v>21.801982324959997</v>
      </c>
      <c r="F20">
        <v>101.35</v>
      </c>
      <c r="G20">
        <v>2</v>
      </c>
      <c r="H20" t="s">
        <v>4339</v>
      </c>
      <c r="I20">
        <v>52.1</v>
      </c>
      <c r="J20" s="2238" t="s">
        <v>4172</v>
      </c>
      <c r="L20">
        <v>9.5</v>
      </c>
      <c r="M20">
        <v>41</v>
      </c>
      <c r="T20">
        <v>5.75</v>
      </c>
      <c r="V20">
        <f t="shared" ref="V20:V83" si="0">G20</f>
        <v>2</v>
      </c>
      <c r="W20" t="str">
        <f t="shared" ref="W20:W83" si="1">B20</f>
        <v>Alabama (Appalacian Mountain)</v>
      </c>
      <c r="Z20" t="str">
        <f t="shared" ref="Z20:Z83" si="2">TRIM(LEFT(B20,SEARCH("(",B20)-1))</f>
        <v>Alabama</v>
      </c>
      <c r="AA20" t="str">
        <f t="shared" ref="AA20:AA83" si="3">_xlfn.CONCAT(Z20,"_",G20)</f>
        <v>Alabama_2</v>
      </c>
      <c r="AC20">
        <v>9.5</v>
      </c>
      <c r="AD20">
        <v>41</v>
      </c>
      <c r="AE20">
        <v>5.75</v>
      </c>
      <c r="AI20">
        <v>2</v>
      </c>
      <c r="AJ20">
        <v>811.13915116875853</v>
      </c>
      <c r="AK20" t="s">
        <v>3679</v>
      </c>
      <c r="AL20" t="str">
        <f t="shared" ref="AL20:AL83" si="4">_xlfn.CONCAT(AK20,"_",AI20)</f>
        <v>Alabama_2</v>
      </c>
    </row>
    <row r="21" spans="2:39" x14ac:dyDescent="0.3">
      <c r="B21" t="s">
        <v>3821</v>
      </c>
      <c r="C21">
        <v>7.19</v>
      </c>
      <c r="D21">
        <v>57.22</v>
      </c>
      <c r="E21" s="78">
        <v>22.488570273439997</v>
      </c>
      <c r="F21">
        <v>115.72</v>
      </c>
      <c r="G21">
        <v>3</v>
      </c>
      <c r="H21" t="s">
        <v>4339</v>
      </c>
      <c r="I21">
        <v>52.1</v>
      </c>
      <c r="J21" s="2238" t="s">
        <v>4172</v>
      </c>
      <c r="L21">
        <v>10</v>
      </c>
      <c r="M21">
        <v>40</v>
      </c>
      <c r="T21">
        <v>6</v>
      </c>
      <c r="V21">
        <f t="shared" si="0"/>
        <v>3</v>
      </c>
      <c r="W21" t="str">
        <f t="shared" si="1"/>
        <v>Alabama (Upper Plains)</v>
      </c>
      <c r="Z21" t="str">
        <f t="shared" si="2"/>
        <v>Alabama</v>
      </c>
      <c r="AA21" t="str">
        <f t="shared" si="3"/>
        <v>Alabama_3</v>
      </c>
      <c r="AC21">
        <v>9</v>
      </c>
      <c r="AD21">
        <v>42</v>
      </c>
      <c r="AE21">
        <v>5.5</v>
      </c>
      <c r="AI21">
        <v>3</v>
      </c>
      <c r="AJ21">
        <v>969.04825982034811</v>
      </c>
      <c r="AK21" t="s">
        <v>3679</v>
      </c>
      <c r="AL21" t="str">
        <f t="shared" si="4"/>
        <v>Alabama_3</v>
      </c>
    </row>
    <row r="22" spans="2:39" x14ac:dyDescent="0.3">
      <c r="B22" t="s">
        <v>3822</v>
      </c>
      <c r="C22">
        <v>6.6</v>
      </c>
      <c r="D22">
        <v>55.35</v>
      </c>
      <c r="E22" s="78">
        <v>21.893643745216004</v>
      </c>
      <c r="F22">
        <v>109.3</v>
      </c>
      <c r="G22">
        <v>4</v>
      </c>
      <c r="H22" t="s">
        <v>4338</v>
      </c>
      <c r="I22">
        <v>56.97</v>
      </c>
      <c r="J22" s="2238" t="s">
        <v>4172</v>
      </c>
      <c r="L22">
        <v>10</v>
      </c>
      <c r="M22">
        <v>40</v>
      </c>
      <c r="T22">
        <v>6</v>
      </c>
      <c r="V22">
        <f t="shared" si="0"/>
        <v>4</v>
      </c>
      <c r="W22" t="str">
        <f t="shared" si="1"/>
        <v>Alabama (Eastern Valley)</v>
      </c>
      <c r="Z22" t="str">
        <f t="shared" si="2"/>
        <v>Alabama</v>
      </c>
      <c r="AA22" t="str">
        <f t="shared" si="3"/>
        <v>Alabama_4</v>
      </c>
      <c r="AC22">
        <v>8.25</v>
      </c>
      <c r="AD22">
        <v>44</v>
      </c>
      <c r="AE22">
        <v>5.25</v>
      </c>
      <c r="AI22">
        <v>4</v>
      </c>
      <c r="AJ22">
        <v>881.91510557084553</v>
      </c>
      <c r="AK22" t="s">
        <v>3679</v>
      </c>
      <c r="AL22" t="str">
        <f t="shared" si="4"/>
        <v>Alabama_4</v>
      </c>
    </row>
    <row r="23" spans="2:39" x14ac:dyDescent="0.3">
      <c r="B23" t="s">
        <v>3823</v>
      </c>
      <c r="C23">
        <v>8.61</v>
      </c>
      <c r="D23">
        <v>54.970000000000013</v>
      </c>
      <c r="E23" s="78">
        <v>21.725247414367999</v>
      </c>
      <c r="F23">
        <v>109.28</v>
      </c>
      <c r="G23">
        <v>5</v>
      </c>
      <c r="H23" t="s">
        <v>4339</v>
      </c>
      <c r="I23">
        <v>52.1</v>
      </c>
      <c r="J23" s="2238" t="s">
        <v>4172</v>
      </c>
      <c r="L23">
        <v>10</v>
      </c>
      <c r="M23">
        <v>40</v>
      </c>
      <c r="T23">
        <v>6</v>
      </c>
      <c r="V23">
        <f t="shared" si="0"/>
        <v>5</v>
      </c>
      <c r="W23" t="str">
        <f t="shared" si="1"/>
        <v>Alabama (Piedmont Plateau)</v>
      </c>
      <c r="Z23" t="str">
        <f t="shared" si="2"/>
        <v>Alabama</v>
      </c>
      <c r="AA23" t="str">
        <f t="shared" si="3"/>
        <v>Alabama_5</v>
      </c>
      <c r="AC23">
        <v>7.5</v>
      </c>
      <c r="AD23">
        <v>46</v>
      </c>
      <c r="AE23">
        <v>5</v>
      </c>
      <c r="AI23">
        <v>5</v>
      </c>
      <c r="AJ23">
        <v>967.57055696874295</v>
      </c>
      <c r="AK23" t="s">
        <v>3679</v>
      </c>
      <c r="AL23" t="str">
        <f t="shared" si="4"/>
        <v>Alabama_5</v>
      </c>
    </row>
    <row r="24" spans="2:39" x14ac:dyDescent="0.3">
      <c r="B24" t="s">
        <v>3824</v>
      </c>
      <c r="C24">
        <v>8.51</v>
      </c>
      <c r="D24">
        <v>53.739999999999988</v>
      </c>
      <c r="E24" s="78">
        <v>22.297361605904001</v>
      </c>
      <c r="F24">
        <v>129.47</v>
      </c>
      <c r="G24">
        <v>6</v>
      </c>
      <c r="H24" t="s">
        <v>4339</v>
      </c>
      <c r="I24">
        <v>52.1</v>
      </c>
      <c r="J24" s="2238" t="s">
        <v>4172</v>
      </c>
      <c r="L24">
        <v>11</v>
      </c>
      <c r="M24">
        <v>38</v>
      </c>
      <c r="T24">
        <v>6.5</v>
      </c>
      <c r="V24">
        <f t="shared" si="0"/>
        <v>6</v>
      </c>
      <c r="W24" t="str">
        <f t="shared" si="1"/>
        <v>Alabama (Prairie)</v>
      </c>
      <c r="Z24" t="str">
        <f t="shared" si="2"/>
        <v>Alabama</v>
      </c>
      <c r="AA24" t="str">
        <f t="shared" si="3"/>
        <v>Alabama_6</v>
      </c>
      <c r="AC24">
        <v>7.15</v>
      </c>
      <c r="AD24">
        <v>47</v>
      </c>
      <c r="AE24">
        <v>4.75</v>
      </c>
      <c r="AI24">
        <v>6</v>
      </c>
      <c r="AJ24">
        <v>1003.84862039668</v>
      </c>
      <c r="AK24" t="s">
        <v>3679</v>
      </c>
      <c r="AL24" t="str">
        <f t="shared" si="4"/>
        <v>Alabama_6</v>
      </c>
    </row>
    <row r="25" spans="2:39" x14ac:dyDescent="0.3">
      <c r="B25" t="s">
        <v>3825</v>
      </c>
      <c r="C25">
        <v>8.61</v>
      </c>
      <c r="D25">
        <v>57.52</v>
      </c>
      <c r="E25" s="78">
        <v>24.016822290847998</v>
      </c>
      <c r="F25">
        <v>133.43</v>
      </c>
      <c r="G25">
        <v>7</v>
      </c>
      <c r="H25" t="s">
        <v>4340</v>
      </c>
      <c r="I25">
        <v>50.17</v>
      </c>
      <c r="J25" s="2239" t="s">
        <v>4176</v>
      </c>
      <c r="L25">
        <v>11</v>
      </c>
      <c r="M25">
        <v>38</v>
      </c>
      <c r="T25">
        <v>6.5</v>
      </c>
      <c r="V25">
        <f t="shared" si="0"/>
        <v>7</v>
      </c>
      <c r="W25" t="str">
        <f t="shared" si="1"/>
        <v>Alabama (Coastal Plain)</v>
      </c>
      <c r="Z25" t="str">
        <f t="shared" si="2"/>
        <v>Alabama</v>
      </c>
      <c r="AA25" t="str">
        <f t="shared" si="3"/>
        <v>Alabama_7</v>
      </c>
      <c r="AC25">
        <v>6.8</v>
      </c>
      <c r="AD25">
        <v>48</v>
      </c>
      <c r="AE25">
        <v>4.5</v>
      </c>
      <c r="AI25">
        <v>7</v>
      </c>
      <c r="AJ25">
        <v>1024.4242512517001</v>
      </c>
      <c r="AK25" t="s">
        <v>3679</v>
      </c>
      <c r="AL25" t="str">
        <f t="shared" si="4"/>
        <v>Alabama_7</v>
      </c>
    </row>
    <row r="26" spans="2:39" x14ac:dyDescent="0.3">
      <c r="B26" t="s">
        <v>3826</v>
      </c>
      <c r="C26">
        <v>8.61</v>
      </c>
      <c r="D26">
        <v>64.239999999999995</v>
      </c>
      <c r="E26" s="78">
        <v>26.853227893424002</v>
      </c>
      <c r="F26">
        <v>149.33000000000001</v>
      </c>
      <c r="G26">
        <v>8</v>
      </c>
      <c r="H26" t="s">
        <v>4340</v>
      </c>
      <c r="I26">
        <v>50.17</v>
      </c>
      <c r="J26" s="2239" t="s">
        <v>4176</v>
      </c>
      <c r="L26">
        <v>11</v>
      </c>
      <c r="M26">
        <v>38</v>
      </c>
      <c r="T26">
        <v>6.5</v>
      </c>
      <c r="V26">
        <f t="shared" si="0"/>
        <v>8</v>
      </c>
      <c r="W26" t="str">
        <f t="shared" si="1"/>
        <v>Alabama (Gulf)</v>
      </c>
      <c r="Z26" t="str">
        <f t="shared" si="2"/>
        <v>Alabama</v>
      </c>
      <c r="AA26" t="str">
        <f t="shared" si="3"/>
        <v>Alabama_8</v>
      </c>
      <c r="AC26">
        <v>6.4</v>
      </c>
      <c r="AD26">
        <v>49</v>
      </c>
      <c r="AE26">
        <v>4.25</v>
      </c>
      <c r="AI26">
        <v>8</v>
      </c>
      <c r="AJ26">
        <v>941.89118115604776</v>
      </c>
      <c r="AK26" t="s">
        <v>3679</v>
      </c>
      <c r="AL26" t="str">
        <f t="shared" si="4"/>
        <v>Alabama_8</v>
      </c>
    </row>
    <row r="27" spans="2:39" x14ac:dyDescent="0.3">
      <c r="B27" t="s">
        <v>3827</v>
      </c>
      <c r="C27">
        <v>2.76</v>
      </c>
      <c r="D27">
        <v>9.8600000000000012</v>
      </c>
      <c r="E27" s="78">
        <v>4.4868977813760003</v>
      </c>
      <c r="F27">
        <v>118.24</v>
      </c>
      <c r="G27">
        <v>1</v>
      </c>
      <c r="H27" t="s">
        <v>4341</v>
      </c>
      <c r="I27">
        <v>156.69999999999999</v>
      </c>
      <c r="J27" s="2241" t="s">
        <v>4173</v>
      </c>
      <c r="L27">
        <v>9</v>
      </c>
      <c r="M27">
        <v>42</v>
      </c>
      <c r="T27">
        <v>5.5</v>
      </c>
      <c r="V27">
        <f t="shared" si="0"/>
        <v>1</v>
      </c>
      <c r="W27" t="str">
        <f t="shared" si="1"/>
        <v>Arizona (Northwest)</v>
      </c>
      <c r="Z27" t="str">
        <f t="shared" si="2"/>
        <v>Arizona</v>
      </c>
      <c r="AA27" t="str">
        <f t="shared" si="3"/>
        <v>Arizona_1</v>
      </c>
      <c r="AC27">
        <v>6</v>
      </c>
      <c r="AD27">
        <v>50</v>
      </c>
      <c r="AE27">
        <v>4</v>
      </c>
      <c r="AI27">
        <v>1</v>
      </c>
      <c r="AJ27">
        <v>350.64453096640312</v>
      </c>
      <c r="AK27" t="s">
        <v>3681</v>
      </c>
      <c r="AL27" t="str">
        <f t="shared" si="4"/>
        <v>Arizona_1</v>
      </c>
    </row>
    <row r="28" spans="2:39" x14ac:dyDescent="0.3">
      <c r="B28" t="s">
        <v>3828</v>
      </c>
      <c r="C28">
        <v>2.0499999999999998</v>
      </c>
      <c r="D28">
        <v>11.98</v>
      </c>
      <c r="E28" s="78">
        <v>6.2042351066719998</v>
      </c>
      <c r="F28">
        <v>55.749999999999993</v>
      </c>
      <c r="G28">
        <v>2</v>
      </c>
      <c r="H28" t="s">
        <v>4342</v>
      </c>
      <c r="I28">
        <v>38</v>
      </c>
      <c r="J28" s="2241" t="s">
        <v>4173</v>
      </c>
      <c r="L28">
        <v>9</v>
      </c>
      <c r="M28">
        <v>42</v>
      </c>
      <c r="T28">
        <v>5.5</v>
      </c>
      <c r="V28">
        <f t="shared" si="0"/>
        <v>2</v>
      </c>
      <c r="W28" t="str">
        <f t="shared" si="1"/>
        <v>Arizona (Northeast)</v>
      </c>
      <c r="Z28" t="str">
        <f t="shared" si="2"/>
        <v>Arizona</v>
      </c>
      <c r="AA28" t="str">
        <f t="shared" si="3"/>
        <v>Arizona_2</v>
      </c>
      <c r="AC28">
        <v>5.5</v>
      </c>
      <c r="AD28">
        <v>52.5</v>
      </c>
      <c r="AE28">
        <v>3.75</v>
      </c>
      <c r="AI28">
        <v>2</v>
      </c>
      <c r="AJ28">
        <v>344.10828505840328</v>
      </c>
      <c r="AK28" t="s">
        <v>3681</v>
      </c>
      <c r="AL28" t="str">
        <f t="shared" si="4"/>
        <v>Arizona_2</v>
      </c>
    </row>
    <row r="29" spans="2:39" x14ac:dyDescent="0.3">
      <c r="B29" t="s">
        <v>3829</v>
      </c>
      <c r="C29">
        <v>3.12</v>
      </c>
      <c r="D29">
        <v>15.19</v>
      </c>
      <c r="E29" s="78">
        <v>7.0653230607360022</v>
      </c>
      <c r="F29">
        <v>91.899999999999991</v>
      </c>
      <c r="G29">
        <v>3</v>
      </c>
      <c r="H29" t="s">
        <v>4342</v>
      </c>
      <c r="I29">
        <v>38</v>
      </c>
      <c r="J29" s="2241" t="s">
        <v>4173</v>
      </c>
      <c r="L29">
        <v>10</v>
      </c>
      <c r="M29">
        <v>40</v>
      </c>
      <c r="T29">
        <v>6</v>
      </c>
      <c r="V29">
        <f t="shared" si="0"/>
        <v>3</v>
      </c>
      <c r="W29" t="str">
        <f t="shared" si="1"/>
        <v>Arizona (North Central)</v>
      </c>
      <c r="Z29" t="str">
        <f t="shared" si="2"/>
        <v>Arizona</v>
      </c>
      <c r="AA29" t="str">
        <f t="shared" si="3"/>
        <v>Arizona_3</v>
      </c>
      <c r="AC29">
        <v>5</v>
      </c>
      <c r="AD29">
        <v>55</v>
      </c>
      <c r="AE29">
        <v>3.5</v>
      </c>
      <c r="AI29">
        <v>3</v>
      </c>
      <c r="AJ29">
        <v>408.75475797647442</v>
      </c>
      <c r="AK29" t="s">
        <v>3681</v>
      </c>
      <c r="AL29" t="str">
        <f t="shared" si="4"/>
        <v>Arizona_3</v>
      </c>
    </row>
    <row r="30" spans="2:39" x14ac:dyDescent="0.3">
      <c r="B30" t="s">
        <v>3830</v>
      </c>
      <c r="C30">
        <v>3.12</v>
      </c>
      <c r="D30">
        <v>18.600000000000001</v>
      </c>
      <c r="E30" s="78">
        <v>8.6470606441599998</v>
      </c>
      <c r="F30">
        <v>93.719999999999985</v>
      </c>
      <c r="G30">
        <v>4</v>
      </c>
      <c r="H30" t="s">
        <v>4343</v>
      </c>
      <c r="I30">
        <v>117.54</v>
      </c>
      <c r="J30" s="2241" t="s">
        <v>4173</v>
      </c>
      <c r="L30">
        <v>10</v>
      </c>
      <c r="M30">
        <v>40</v>
      </c>
      <c r="T30">
        <v>6</v>
      </c>
      <c r="V30">
        <f t="shared" si="0"/>
        <v>4</v>
      </c>
      <c r="W30" t="str">
        <f t="shared" si="1"/>
        <v>Arizona (East Central)</v>
      </c>
      <c r="Z30" t="str">
        <f t="shared" si="2"/>
        <v>Arizona</v>
      </c>
      <c r="AA30" t="str">
        <f t="shared" si="3"/>
        <v>Arizona_4</v>
      </c>
      <c r="AC30">
        <v>4.75</v>
      </c>
      <c r="AD30">
        <v>57.5</v>
      </c>
      <c r="AE30">
        <v>3.25</v>
      </c>
      <c r="AI30">
        <v>4</v>
      </c>
      <c r="AJ30">
        <v>629.68917120853746</v>
      </c>
      <c r="AK30" t="s">
        <v>3681</v>
      </c>
      <c r="AL30" t="str">
        <f t="shared" si="4"/>
        <v>Arizona_4</v>
      </c>
    </row>
    <row r="31" spans="2:39" x14ac:dyDescent="0.3">
      <c r="B31" t="s">
        <v>3831</v>
      </c>
      <c r="C31">
        <v>2.75</v>
      </c>
      <c r="D31">
        <v>5.08</v>
      </c>
      <c r="E31" s="78">
        <v>2.6782651775680004</v>
      </c>
      <c r="F31">
        <v>184.08</v>
      </c>
      <c r="G31">
        <v>5</v>
      </c>
      <c r="H31" t="s">
        <v>4344</v>
      </c>
      <c r="I31">
        <v>106.14</v>
      </c>
      <c r="J31" s="2240" t="s">
        <v>4177</v>
      </c>
      <c r="L31">
        <v>11</v>
      </c>
      <c r="M31">
        <v>38</v>
      </c>
      <c r="T31">
        <v>6.5</v>
      </c>
      <c r="V31">
        <f t="shared" si="0"/>
        <v>5</v>
      </c>
      <c r="W31" t="str">
        <f t="shared" si="1"/>
        <v>Arizona (Southwest)</v>
      </c>
      <c r="Z31" t="str">
        <f t="shared" si="2"/>
        <v>Arizona</v>
      </c>
      <c r="AA31" t="str">
        <f t="shared" si="3"/>
        <v>Arizona_5</v>
      </c>
      <c r="AC31">
        <v>4.5</v>
      </c>
      <c r="AD31">
        <v>60</v>
      </c>
      <c r="AE31">
        <v>3</v>
      </c>
      <c r="AI31">
        <v>5</v>
      </c>
      <c r="AJ31">
        <v>198.87155796393671</v>
      </c>
      <c r="AK31" t="s">
        <v>3681</v>
      </c>
      <c r="AL31" t="str">
        <f t="shared" si="4"/>
        <v>Arizona_5</v>
      </c>
    </row>
    <row r="32" spans="2:39" x14ac:dyDescent="0.3">
      <c r="B32" t="s">
        <v>3832</v>
      </c>
      <c r="C32">
        <v>3.12</v>
      </c>
      <c r="D32">
        <v>9.56</v>
      </c>
      <c r="E32" s="78">
        <v>5.4435605416480009</v>
      </c>
      <c r="F32">
        <v>170.99</v>
      </c>
      <c r="G32">
        <v>6</v>
      </c>
      <c r="H32" t="s">
        <v>4345</v>
      </c>
      <c r="I32">
        <v>94.39</v>
      </c>
      <c r="J32" s="2240" t="s">
        <v>4177</v>
      </c>
      <c r="L32">
        <v>11</v>
      </c>
      <c r="M32">
        <v>38</v>
      </c>
      <c r="T32">
        <v>6.5</v>
      </c>
      <c r="V32">
        <f t="shared" si="0"/>
        <v>6</v>
      </c>
      <c r="W32" t="str">
        <f t="shared" si="1"/>
        <v>Arizona (South Central)</v>
      </c>
      <c r="Z32" t="str">
        <f t="shared" si="2"/>
        <v>Arizona</v>
      </c>
      <c r="AA32" t="str">
        <f t="shared" si="3"/>
        <v>Arizona_6</v>
      </c>
      <c r="AI32">
        <v>6</v>
      </c>
      <c r="AJ32">
        <v>301.47107136407942</v>
      </c>
      <c r="AK32" t="s">
        <v>3681</v>
      </c>
      <c r="AL32" t="str">
        <f t="shared" si="4"/>
        <v>Arizona_6</v>
      </c>
    </row>
    <row r="33" spans="2:38" x14ac:dyDescent="0.3">
      <c r="B33" t="s">
        <v>3833</v>
      </c>
      <c r="C33">
        <v>3.04</v>
      </c>
      <c r="D33">
        <v>13.59</v>
      </c>
      <c r="E33" s="78">
        <v>6.8538755474079993</v>
      </c>
      <c r="F33">
        <v>118.76</v>
      </c>
      <c r="G33">
        <v>7</v>
      </c>
      <c r="H33" t="s">
        <v>4345</v>
      </c>
      <c r="I33">
        <v>94.39</v>
      </c>
      <c r="J33" s="2241" t="s">
        <v>4173</v>
      </c>
      <c r="L33">
        <v>11</v>
      </c>
      <c r="M33">
        <v>38</v>
      </c>
      <c r="T33">
        <v>6.5</v>
      </c>
      <c r="V33">
        <f t="shared" si="0"/>
        <v>7</v>
      </c>
      <c r="W33" t="str">
        <f t="shared" si="1"/>
        <v>Arizona (Southeast)</v>
      </c>
      <c r="Z33" t="str">
        <f t="shared" si="2"/>
        <v>Arizona</v>
      </c>
      <c r="AA33" t="str">
        <f t="shared" si="3"/>
        <v>Arizona_7</v>
      </c>
      <c r="AI33">
        <v>7</v>
      </c>
      <c r="AJ33">
        <v>321.33536193320163</v>
      </c>
      <c r="AK33" t="s">
        <v>3681</v>
      </c>
      <c r="AL33" t="str">
        <f t="shared" si="4"/>
        <v>Arizona_7</v>
      </c>
    </row>
    <row r="34" spans="2:38" x14ac:dyDescent="0.3">
      <c r="B34" t="s">
        <v>3834</v>
      </c>
      <c r="C34">
        <v>6.29</v>
      </c>
      <c r="D34">
        <v>48.650000000000013</v>
      </c>
      <c r="E34" s="78">
        <v>18.914651523904006</v>
      </c>
      <c r="F34">
        <v>80.569999999999993</v>
      </c>
      <c r="G34">
        <v>1</v>
      </c>
      <c r="H34" t="s">
        <v>4346</v>
      </c>
      <c r="I34">
        <v>31.63</v>
      </c>
      <c r="J34" s="2238" t="s">
        <v>4172</v>
      </c>
      <c r="L34">
        <v>9</v>
      </c>
      <c r="M34">
        <v>42</v>
      </c>
      <c r="T34">
        <v>5.5</v>
      </c>
      <c r="V34">
        <f t="shared" si="0"/>
        <v>1</v>
      </c>
      <c r="W34" t="str">
        <f t="shared" si="1"/>
        <v>Arkansas (Northwest)</v>
      </c>
      <c r="Z34" t="str">
        <f t="shared" si="2"/>
        <v>Arkansas</v>
      </c>
      <c r="AA34" t="str">
        <f t="shared" si="3"/>
        <v>Arkansas_1</v>
      </c>
      <c r="AI34">
        <v>1</v>
      </c>
      <c r="AJ34">
        <v>835.2233091088699</v>
      </c>
      <c r="AK34" t="s">
        <v>2203</v>
      </c>
      <c r="AL34" t="str">
        <f t="shared" si="4"/>
        <v>Arkansas_1</v>
      </c>
    </row>
    <row r="35" spans="2:38" x14ac:dyDescent="0.3">
      <c r="B35" t="s">
        <v>3835</v>
      </c>
      <c r="C35">
        <v>7.47</v>
      </c>
      <c r="D35">
        <v>50.04</v>
      </c>
      <c r="E35" s="78">
        <v>19.465180412912002</v>
      </c>
      <c r="F35">
        <v>86.69</v>
      </c>
      <c r="G35">
        <v>2</v>
      </c>
      <c r="H35" t="s">
        <v>4347</v>
      </c>
      <c r="I35">
        <v>35.85</v>
      </c>
      <c r="J35" s="2238" t="s">
        <v>4172</v>
      </c>
      <c r="L35">
        <v>9</v>
      </c>
      <c r="M35">
        <v>42</v>
      </c>
      <c r="T35">
        <v>5.5</v>
      </c>
      <c r="V35">
        <f t="shared" si="0"/>
        <v>2</v>
      </c>
      <c r="W35" t="str">
        <f t="shared" si="1"/>
        <v>Arkansas (North Central)</v>
      </c>
      <c r="Z35" t="str">
        <f t="shared" si="2"/>
        <v>Arkansas</v>
      </c>
      <c r="AA35" t="str">
        <f t="shared" si="3"/>
        <v>Arkansas_2</v>
      </c>
      <c r="AI35">
        <v>2</v>
      </c>
      <c r="AJ35">
        <v>853.61475573078303</v>
      </c>
      <c r="AK35" t="s">
        <v>2203</v>
      </c>
      <c r="AL35" t="str">
        <f t="shared" si="4"/>
        <v>Arkansas_2</v>
      </c>
    </row>
    <row r="36" spans="2:38" x14ac:dyDescent="0.3">
      <c r="B36" t="s">
        <v>3836</v>
      </c>
      <c r="C36">
        <v>6.34</v>
      </c>
      <c r="D36">
        <v>50.97</v>
      </c>
      <c r="E36" s="78">
        <v>20.153366786640007</v>
      </c>
      <c r="F36">
        <v>105.97</v>
      </c>
      <c r="G36">
        <v>3</v>
      </c>
      <c r="H36" t="s">
        <v>4347</v>
      </c>
      <c r="I36">
        <v>35.85</v>
      </c>
      <c r="J36" s="2238" t="s">
        <v>4172</v>
      </c>
      <c r="L36">
        <v>9</v>
      </c>
      <c r="M36">
        <v>42</v>
      </c>
      <c r="T36">
        <v>5.5</v>
      </c>
      <c r="V36">
        <f t="shared" si="0"/>
        <v>3</v>
      </c>
      <c r="W36" t="str">
        <f t="shared" si="1"/>
        <v>Arkansas (Northeast)</v>
      </c>
      <c r="Z36" t="str">
        <f t="shared" si="2"/>
        <v>Arkansas</v>
      </c>
      <c r="AA36" t="str">
        <f t="shared" si="3"/>
        <v>Arkansas_3</v>
      </c>
      <c r="AI36">
        <v>3</v>
      </c>
      <c r="AJ36">
        <v>752.96483233674326</v>
      </c>
      <c r="AK36" t="s">
        <v>2203</v>
      </c>
      <c r="AL36" t="str">
        <f t="shared" si="4"/>
        <v>Arkansas_3</v>
      </c>
    </row>
    <row r="37" spans="2:38" x14ac:dyDescent="0.3">
      <c r="B37" t="s">
        <v>3837</v>
      </c>
      <c r="C37">
        <v>7.47</v>
      </c>
      <c r="D37">
        <v>53.180000000000007</v>
      </c>
      <c r="E37" s="78">
        <v>20.697424546832004</v>
      </c>
      <c r="F37">
        <v>100.16</v>
      </c>
      <c r="G37">
        <v>4</v>
      </c>
      <c r="H37" t="s">
        <v>4348</v>
      </c>
      <c r="I37">
        <v>52</v>
      </c>
      <c r="J37" s="2238" t="s">
        <v>4172</v>
      </c>
      <c r="L37">
        <v>9.5</v>
      </c>
      <c r="M37">
        <v>41</v>
      </c>
      <c r="T37">
        <v>5.75</v>
      </c>
      <c r="V37">
        <f t="shared" si="0"/>
        <v>4</v>
      </c>
      <c r="W37" t="str">
        <f t="shared" si="1"/>
        <v>Arkansas (West Central)</v>
      </c>
      <c r="Z37" t="str">
        <f t="shared" si="2"/>
        <v>Arkansas</v>
      </c>
      <c r="AA37" t="str">
        <f t="shared" si="3"/>
        <v>Arkansas_4</v>
      </c>
      <c r="AI37">
        <v>4</v>
      </c>
      <c r="AJ37">
        <v>935.0739665817872</v>
      </c>
      <c r="AK37" t="s">
        <v>2203</v>
      </c>
      <c r="AL37" t="str">
        <f t="shared" si="4"/>
        <v>Arkansas_4</v>
      </c>
    </row>
    <row r="38" spans="2:38" x14ac:dyDescent="0.3">
      <c r="B38" t="s">
        <v>3838</v>
      </c>
      <c r="C38">
        <v>7.47</v>
      </c>
      <c r="D38">
        <v>53.85</v>
      </c>
      <c r="E38" s="78">
        <v>21.174145034527996</v>
      </c>
      <c r="F38">
        <v>112.69</v>
      </c>
      <c r="G38">
        <v>5</v>
      </c>
      <c r="H38" t="s">
        <v>4349</v>
      </c>
      <c r="I38">
        <v>51.64</v>
      </c>
      <c r="J38" s="2238" t="s">
        <v>4172</v>
      </c>
      <c r="L38">
        <v>9.5</v>
      </c>
      <c r="M38">
        <v>41</v>
      </c>
      <c r="T38">
        <v>5.75</v>
      </c>
      <c r="V38">
        <f t="shared" si="0"/>
        <v>5</v>
      </c>
      <c r="W38" t="str">
        <f t="shared" si="1"/>
        <v>Arkansas (Central)</v>
      </c>
      <c r="Z38" t="str">
        <f t="shared" si="2"/>
        <v>Arkansas</v>
      </c>
      <c r="AA38" t="str">
        <f t="shared" si="3"/>
        <v>Arkansas_5</v>
      </c>
      <c r="AI38">
        <v>5</v>
      </c>
      <c r="AJ38">
        <v>933.07562353669505</v>
      </c>
      <c r="AK38" t="s">
        <v>2203</v>
      </c>
      <c r="AL38" t="str">
        <f t="shared" si="4"/>
        <v>Arkansas_5</v>
      </c>
    </row>
    <row r="39" spans="2:38" x14ac:dyDescent="0.3">
      <c r="B39" t="s">
        <v>3839</v>
      </c>
      <c r="C39">
        <v>7.47</v>
      </c>
      <c r="D39">
        <v>51.59</v>
      </c>
      <c r="E39" s="78">
        <v>20.693944231760007</v>
      </c>
      <c r="F39">
        <v>121.27</v>
      </c>
      <c r="G39">
        <v>6</v>
      </c>
      <c r="H39" t="s">
        <v>4350</v>
      </c>
      <c r="I39">
        <v>52.99</v>
      </c>
      <c r="J39" s="2238" t="s">
        <v>4172</v>
      </c>
      <c r="L39">
        <v>9.5</v>
      </c>
      <c r="M39">
        <v>41</v>
      </c>
      <c r="T39">
        <v>5.75</v>
      </c>
      <c r="V39">
        <f t="shared" si="0"/>
        <v>6</v>
      </c>
      <c r="W39" t="str">
        <f t="shared" si="1"/>
        <v>Arkansas (East Central)</v>
      </c>
      <c r="Z39" t="str">
        <f t="shared" si="2"/>
        <v>Arkansas</v>
      </c>
      <c r="AA39" t="str">
        <f t="shared" si="3"/>
        <v>Arkansas_6</v>
      </c>
      <c r="AI39">
        <v>6</v>
      </c>
      <c r="AJ39">
        <v>791.85218096637107</v>
      </c>
      <c r="AK39" t="s">
        <v>2203</v>
      </c>
      <c r="AL39" t="str">
        <f t="shared" si="4"/>
        <v>Arkansas_6</v>
      </c>
    </row>
    <row r="40" spans="2:38" x14ac:dyDescent="0.3">
      <c r="B40" t="s">
        <v>3840</v>
      </c>
      <c r="C40">
        <v>7.66</v>
      </c>
      <c r="D40">
        <v>54.56</v>
      </c>
      <c r="E40" s="78">
        <v>21.452137169407997</v>
      </c>
      <c r="F40">
        <v>116.66</v>
      </c>
      <c r="G40">
        <v>7</v>
      </c>
      <c r="H40" t="s">
        <v>4351</v>
      </c>
      <c r="I40">
        <v>54.74</v>
      </c>
      <c r="J40" s="2238" t="s">
        <v>4172</v>
      </c>
      <c r="L40">
        <v>10</v>
      </c>
      <c r="M40">
        <v>40</v>
      </c>
      <c r="T40">
        <v>6</v>
      </c>
      <c r="V40">
        <f t="shared" si="0"/>
        <v>7</v>
      </c>
      <c r="W40" t="str">
        <f t="shared" si="1"/>
        <v>Arkansas (Southwest)</v>
      </c>
      <c r="Z40" t="str">
        <f t="shared" si="2"/>
        <v>Arkansas</v>
      </c>
      <c r="AA40" t="str">
        <f t="shared" si="3"/>
        <v>Arkansas_7</v>
      </c>
      <c r="AI40">
        <v>7</v>
      </c>
      <c r="AJ40">
        <v>956.24018044866398</v>
      </c>
      <c r="AK40" t="s">
        <v>2203</v>
      </c>
      <c r="AL40" t="str">
        <f t="shared" si="4"/>
        <v>Arkansas_7</v>
      </c>
    </row>
    <row r="41" spans="2:38" x14ac:dyDescent="0.3">
      <c r="B41" t="s">
        <v>3841</v>
      </c>
      <c r="C41">
        <v>7.47</v>
      </c>
      <c r="D41">
        <v>55.010000000000012</v>
      </c>
      <c r="E41" s="78">
        <v>21.470847143759997</v>
      </c>
      <c r="F41">
        <v>122.15</v>
      </c>
      <c r="G41">
        <v>8</v>
      </c>
      <c r="H41" t="s">
        <v>4350</v>
      </c>
      <c r="I41">
        <v>52.99</v>
      </c>
      <c r="J41" s="2238" t="s">
        <v>4172</v>
      </c>
      <c r="L41">
        <v>10</v>
      </c>
      <c r="M41">
        <v>40</v>
      </c>
      <c r="T41">
        <v>6</v>
      </c>
      <c r="V41">
        <f t="shared" si="0"/>
        <v>8</v>
      </c>
      <c r="W41" t="str">
        <f t="shared" si="1"/>
        <v>Arkansas (South Central)</v>
      </c>
      <c r="Z41" t="str">
        <f t="shared" si="2"/>
        <v>Arkansas</v>
      </c>
      <c r="AA41" t="str">
        <f t="shared" si="3"/>
        <v>Arkansas_8</v>
      </c>
      <c r="AI41">
        <v>8</v>
      </c>
      <c r="AJ41">
        <v>1047.701058848538</v>
      </c>
      <c r="AK41" t="s">
        <v>2203</v>
      </c>
      <c r="AL41" t="str">
        <f t="shared" si="4"/>
        <v>Arkansas_8</v>
      </c>
    </row>
    <row r="42" spans="2:38" x14ac:dyDescent="0.3">
      <c r="B42" t="s">
        <v>3842</v>
      </c>
      <c r="C42">
        <v>7.17</v>
      </c>
      <c r="D42">
        <v>54.46</v>
      </c>
      <c r="E42" s="78">
        <v>21.885570254144</v>
      </c>
      <c r="F42">
        <v>127.37</v>
      </c>
      <c r="G42">
        <v>9</v>
      </c>
      <c r="H42" t="s">
        <v>4350</v>
      </c>
      <c r="I42">
        <v>52.99</v>
      </c>
      <c r="J42" s="2238" t="s">
        <v>4172</v>
      </c>
      <c r="L42">
        <v>10</v>
      </c>
      <c r="M42">
        <v>40</v>
      </c>
      <c r="T42">
        <v>6</v>
      </c>
      <c r="V42">
        <f t="shared" si="0"/>
        <v>9</v>
      </c>
      <c r="W42" t="str">
        <f t="shared" si="1"/>
        <v>Arkansas (Southeast)</v>
      </c>
      <c r="Z42" t="str">
        <f t="shared" si="2"/>
        <v>Arkansas</v>
      </c>
      <c r="AA42" t="str">
        <f t="shared" si="3"/>
        <v>Arkansas_9</v>
      </c>
      <c r="AI42">
        <v>9</v>
      </c>
      <c r="AJ42">
        <v>920.47196405331249</v>
      </c>
      <c r="AK42" t="s">
        <v>2203</v>
      </c>
      <c r="AL42" t="str">
        <f t="shared" si="4"/>
        <v>Arkansas_9</v>
      </c>
    </row>
    <row r="43" spans="2:38" x14ac:dyDescent="0.3">
      <c r="B43" t="s">
        <v>3843</v>
      </c>
      <c r="C43">
        <v>8.32</v>
      </c>
      <c r="D43">
        <v>47.93</v>
      </c>
      <c r="E43" s="78">
        <v>53.53</v>
      </c>
      <c r="F43">
        <v>34.049999999999997</v>
      </c>
      <c r="G43">
        <v>1</v>
      </c>
      <c r="H43" t="s">
        <v>4352</v>
      </c>
      <c r="I43">
        <v>53.53</v>
      </c>
      <c r="J43" s="2238" t="s">
        <v>4172</v>
      </c>
      <c r="L43">
        <v>9.5</v>
      </c>
      <c r="M43">
        <v>41</v>
      </c>
      <c r="T43">
        <v>5.75</v>
      </c>
      <c r="V43">
        <f t="shared" si="0"/>
        <v>1</v>
      </c>
      <c r="W43" t="str">
        <f t="shared" si="1"/>
        <v>California (North Coast Drainage)</v>
      </c>
      <c r="Z43" t="str">
        <f t="shared" si="2"/>
        <v>California</v>
      </c>
      <c r="AA43" t="str">
        <f t="shared" si="3"/>
        <v>California_1</v>
      </c>
      <c r="AI43">
        <v>1</v>
      </c>
      <c r="AJ43">
        <v>607.77372616173921</v>
      </c>
      <c r="AK43" t="s">
        <v>3682</v>
      </c>
      <c r="AL43" t="str">
        <f t="shared" si="4"/>
        <v>California_1</v>
      </c>
    </row>
    <row r="44" spans="2:38" x14ac:dyDescent="0.3">
      <c r="B44" t="s">
        <v>3844</v>
      </c>
      <c r="C44">
        <v>5.44</v>
      </c>
      <c r="D44">
        <v>35.880000000000003</v>
      </c>
      <c r="E44" s="78">
        <v>67.63</v>
      </c>
      <c r="F44">
        <v>51.13</v>
      </c>
      <c r="G44">
        <v>2</v>
      </c>
      <c r="H44" t="s">
        <v>4353</v>
      </c>
      <c r="I44">
        <v>67.63</v>
      </c>
      <c r="J44" s="2241" t="s">
        <v>4173</v>
      </c>
      <c r="L44">
        <v>9.5</v>
      </c>
      <c r="M44">
        <v>41</v>
      </c>
      <c r="T44">
        <v>5.75</v>
      </c>
      <c r="V44">
        <f t="shared" si="0"/>
        <v>2</v>
      </c>
      <c r="W44" t="str">
        <f t="shared" si="1"/>
        <v>California (Sacramento Drainage)</v>
      </c>
      <c r="Z44" t="str">
        <f t="shared" si="2"/>
        <v>California</v>
      </c>
      <c r="AA44" t="str">
        <f t="shared" si="3"/>
        <v>California_2</v>
      </c>
      <c r="AI44">
        <v>2</v>
      </c>
      <c r="AJ44">
        <v>598.98725217372294</v>
      </c>
      <c r="AK44" t="s">
        <v>3682</v>
      </c>
      <c r="AL44" t="str">
        <f t="shared" si="4"/>
        <v>California_2</v>
      </c>
    </row>
    <row r="45" spans="2:38" x14ac:dyDescent="0.3">
      <c r="B45" t="s">
        <v>3845</v>
      </c>
      <c r="C45">
        <v>5.44</v>
      </c>
      <c r="D45">
        <v>20.09</v>
      </c>
      <c r="E45" s="78">
        <v>25.56</v>
      </c>
      <c r="F45">
        <v>21.59</v>
      </c>
      <c r="G45">
        <v>3</v>
      </c>
      <c r="H45" t="s">
        <v>4354</v>
      </c>
      <c r="I45">
        <v>25.56</v>
      </c>
      <c r="J45" s="2242" t="s">
        <v>4169</v>
      </c>
      <c r="L45">
        <v>9</v>
      </c>
      <c r="M45">
        <v>42</v>
      </c>
      <c r="T45">
        <v>5.5</v>
      </c>
      <c r="V45">
        <f t="shared" si="0"/>
        <v>3</v>
      </c>
      <c r="W45" t="str">
        <f t="shared" si="1"/>
        <v>California (Northeast Interior Basins)</v>
      </c>
      <c r="Z45" t="str">
        <f t="shared" si="2"/>
        <v>California</v>
      </c>
      <c r="AA45" t="str">
        <f t="shared" si="3"/>
        <v>California_3</v>
      </c>
      <c r="AI45">
        <v>3</v>
      </c>
      <c r="AJ45">
        <v>330.61263997309089</v>
      </c>
      <c r="AK45" t="s">
        <v>3682</v>
      </c>
      <c r="AL45" t="str">
        <f t="shared" si="4"/>
        <v>California_3</v>
      </c>
    </row>
    <row r="46" spans="2:38" x14ac:dyDescent="0.3">
      <c r="B46" t="s">
        <v>3846</v>
      </c>
      <c r="C46">
        <v>2.68</v>
      </c>
      <c r="D46">
        <v>21.5</v>
      </c>
      <c r="E46" s="78">
        <v>69.86</v>
      </c>
      <c r="F46">
        <v>53.59</v>
      </c>
      <c r="G46">
        <v>4</v>
      </c>
      <c r="H46" t="s">
        <v>4355</v>
      </c>
      <c r="I46">
        <v>69.86</v>
      </c>
      <c r="J46" s="2241" t="s">
        <v>4173</v>
      </c>
      <c r="L46">
        <v>10</v>
      </c>
      <c r="M46">
        <v>40</v>
      </c>
      <c r="T46">
        <v>6</v>
      </c>
      <c r="V46">
        <f t="shared" si="0"/>
        <v>4</v>
      </c>
      <c r="W46" t="str">
        <f t="shared" si="1"/>
        <v>California (Central Coast Drainage)</v>
      </c>
      <c r="Z46" t="str">
        <f t="shared" si="2"/>
        <v>California</v>
      </c>
      <c r="AA46" t="str">
        <f t="shared" si="3"/>
        <v>California_4</v>
      </c>
      <c r="AI46">
        <v>4</v>
      </c>
      <c r="AJ46">
        <v>366.45585725981061</v>
      </c>
      <c r="AK46" t="s">
        <v>3682</v>
      </c>
      <c r="AL46" t="str">
        <f t="shared" si="4"/>
        <v>California_4</v>
      </c>
    </row>
    <row r="47" spans="2:38" x14ac:dyDescent="0.3">
      <c r="B47" t="s">
        <v>3847</v>
      </c>
      <c r="C47">
        <v>2.68</v>
      </c>
      <c r="D47">
        <v>19.95</v>
      </c>
      <c r="E47" s="78">
        <v>105.84</v>
      </c>
      <c r="F47">
        <v>67.69</v>
      </c>
      <c r="G47">
        <v>5</v>
      </c>
      <c r="H47" t="s">
        <v>4356</v>
      </c>
      <c r="I47">
        <v>105.84</v>
      </c>
      <c r="J47" s="2241" t="s">
        <v>4173</v>
      </c>
      <c r="L47">
        <v>11</v>
      </c>
      <c r="M47">
        <v>38</v>
      </c>
      <c r="T47">
        <v>6.5</v>
      </c>
      <c r="V47">
        <f t="shared" si="0"/>
        <v>5</v>
      </c>
      <c r="W47" t="str">
        <f t="shared" si="1"/>
        <v>California (San Jaoquin Drainage)</v>
      </c>
      <c r="Z47" t="str">
        <f t="shared" si="2"/>
        <v>California</v>
      </c>
      <c r="AA47" t="str">
        <f t="shared" si="3"/>
        <v>California_5</v>
      </c>
      <c r="AI47">
        <v>5</v>
      </c>
      <c r="AJ47">
        <v>538.41352818080634</v>
      </c>
      <c r="AK47" t="s">
        <v>3682</v>
      </c>
      <c r="AL47" t="str">
        <f t="shared" si="4"/>
        <v>California_5</v>
      </c>
    </row>
    <row r="48" spans="2:38" x14ac:dyDescent="0.3">
      <c r="B48" t="s">
        <v>3848</v>
      </c>
      <c r="C48">
        <v>4.59</v>
      </c>
      <c r="D48">
        <v>17.28</v>
      </c>
      <c r="E48" s="78">
        <v>63.77</v>
      </c>
      <c r="F48">
        <v>66.179999999999993</v>
      </c>
      <c r="G48">
        <v>6</v>
      </c>
      <c r="H48" t="s">
        <v>4357</v>
      </c>
      <c r="I48">
        <v>63.77</v>
      </c>
      <c r="J48" s="2241" t="s">
        <v>4173</v>
      </c>
      <c r="L48">
        <v>11</v>
      </c>
      <c r="M48">
        <v>38</v>
      </c>
      <c r="T48">
        <v>6.5</v>
      </c>
      <c r="V48">
        <f t="shared" si="0"/>
        <v>6</v>
      </c>
      <c r="W48" t="str">
        <f t="shared" si="1"/>
        <v>California (South Coast Drainage)</v>
      </c>
      <c r="Z48" t="str">
        <f t="shared" si="2"/>
        <v>California</v>
      </c>
      <c r="AA48" t="str">
        <f t="shared" si="3"/>
        <v>California_6</v>
      </c>
      <c r="AI48">
        <v>6</v>
      </c>
      <c r="AJ48">
        <v>352.86354024507511</v>
      </c>
      <c r="AK48" t="s">
        <v>3682</v>
      </c>
      <c r="AL48" t="str">
        <f t="shared" si="4"/>
        <v>California_6</v>
      </c>
    </row>
    <row r="49" spans="2:38" x14ac:dyDescent="0.3">
      <c r="B49" t="s">
        <v>3849</v>
      </c>
      <c r="C49">
        <v>3.08</v>
      </c>
      <c r="D49">
        <v>6.03</v>
      </c>
      <c r="E49" s="78">
        <v>111.59</v>
      </c>
      <c r="F49">
        <v>135.66</v>
      </c>
      <c r="G49">
        <v>7</v>
      </c>
      <c r="H49" t="s">
        <v>4358</v>
      </c>
      <c r="I49">
        <v>111.59</v>
      </c>
      <c r="J49" s="2240" t="s">
        <v>4177</v>
      </c>
      <c r="L49">
        <v>11</v>
      </c>
      <c r="M49">
        <v>38</v>
      </c>
      <c r="T49">
        <v>6.5</v>
      </c>
      <c r="V49">
        <f t="shared" si="0"/>
        <v>7</v>
      </c>
      <c r="W49" t="str">
        <f t="shared" si="1"/>
        <v>California (Southeast Desert Basin)</v>
      </c>
      <c r="Z49" t="str">
        <f t="shared" si="2"/>
        <v>California</v>
      </c>
      <c r="AA49" t="str">
        <f t="shared" si="3"/>
        <v>California_7</v>
      </c>
      <c r="AI49">
        <v>7</v>
      </c>
      <c r="AJ49">
        <v>189.9853702673833</v>
      </c>
      <c r="AK49" t="s">
        <v>3682</v>
      </c>
      <c r="AL49" t="str">
        <f t="shared" si="4"/>
        <v>California_7</v>
      </c>
    </row>
    <row r="50" spans="2:38" x14ac:dyDescent="0.3">
      <c r="B50" t="s">
        <v>3850</v>
      </c>
      <c r="C50">
        <v>4.24</v>
      </c>
      <c r="D50">
        <v>15.51</v>
      </c>
      <c r="E50" s="78">
        <v>6.4914490266240019</v>
      </c>
      <c r="F50">
        <v>47.48</v>
      </c>
      <c r="G50">
        <v>1</v>
      </c>
      <c r="H50" t="s">
        <v>4359</v>
      </c>
      <c r="I50">
        <v>53.91</v>
      </c>
      <c r="J50" s="2241" t="s">
        <v>4173</v>
      </c>
      <c r="L50">
        <v>7.5</v>
      </c>
      <c r="M50">
        <v>46</v>
      </c>
      <c r="T50">
        <v>5</v>
      </c>
      <c r="V50">
        <f t="shared" si="0"/>
        <v>1</v>
      </c>
      <c r="W50" t="str">
        <f t="shared" si="1"/>
        <v>Colorado (Arkansas Drainage)</v>
      </c>
      <c r="Z50" t="str">
        <f t="shared" si="2"/>
        <v>Colorado</v>
      </c>
      <c r="AA50" t="str">
        <f t="shared" si="3"/>
        <v>Colorado_1</v>
      </c>
      <c r="AI50">
        <v>1</v>
      </c>
      <c r="AJ50">
        <v>391.44582902006317</v>
      </c>
      <c r="AK50" t="s">
        <v>3683</v>
      </c>
      <c r="AL50" t="str">
        <f t="shared" si="4"/>
        <v>Colorado_1</v>
      </c>
    </row>
    <row r="51" spans="2:38" x14ac:dyDescent="0.3">
      <c r="B51" s="90" t="s">
        <v>3851</v>
      </c>
      <c r="C51" s="90">
        <v>1.97</v>
      </c>
      <c r="D51" s="90">
        <v>20.38</v>
      </c>
      <c r="E51" s="755">
        <v>6.0413847077599989</v>
      </c>
      <c r="F51" s="90">
        <v>17.579999999999998</v>
      </c>
      <c r="G51" s="90">
        <v>2</v>
      </c>
      <c r="H51" s="90" t="s">
        <v>4360</v>
      </c>
      <c r="I51" s="90">
        <v>57.45</v>
      </c>
      <c r="J51" s="2242" t="s">
        <v>4169</v>
      </c>
      <c r="L51">
        <v>7.15</v>
      </c>
      <c r="M51">
        <v>47</v>
      </c>
      <c r="T51">
        <v>4.75</v>
      </c>
      <c r="V51">
        <f t="shared" si="0"/>
        <v>2</v>
      </c>
      <c r="W51" t="str">
        <f t="shared" si="1"/>
        <v>Colorado (Colorado Drainage)</v>
      </c>
      <c r="Z51" t="str">
        <f t="shared" si="2"/>
        <v>Colorado</v>
      </c>
      <c r="AA51" t="str">
        <f t="shared" si="3"/>
        <v>Colorado_2</v>
      </c>
      <c r="AI51">
        <v>2</v>
      </c>
      <c r="AJ51">
        <v>521.63747451149436</v>
      </c>
      <c r="AK51" t="s">
        <v>3683</v>
      </c>
      <c r="AL51" t="str">
        <f t="shared" si="4"/>
        <v>Colorado_2</v>
      </c>
    </row>
    <row r="52" spans="2:38" x14ac:dyDescent="0.3">
      <c r="B52" s="90" t="s">
        <v>3852</v>
      </c>
      <c r="C52" s="90">
        <v>3.55</v>
      </c>
      <c r="D52" s="90">
        <v>17.22</v>
      </c>
      <c r="E52" s="755">
        <v>7.8768598321120011</v>
      </c>
      <c r="F52" s="90">
        <v>56.37</v>
      </c>
      <c r="G52" s="90">
        <v>3</v>
      </c>
      <c r="H52" s="90" t="s">
        <v>4361</v>
      </c>
      <c r="I52" s="90">
        <v>67.69</v>
      </c>
      <c r="J52" s="2242" t="s">
        <v>4169</v>
      </c>
      <c r="L52">
        <v>7.15</v>
      </c>
      <c r="M52">
        <v>47</v>
      </c>
      <c r="T52">
        <v>4.75</v>
      </c>
      <c r="V52">
        <f t="shared" si="0"/>
        <v>3</v>
      </c>
      <c r="W52" t="str">
        <f t="shared" si="1"/>
        <v>Colorado (Kansas Drainage)</v>
      </c>
      <c r="Z52" t="str">
        <f t="shared" si="2"/>
        <v>Colorado</v>
      </c>
      <c r="AA52" t="str">
        <f t="shared" si="3"/>
        <v>Colorado_3</v>
      </c>
      <c r="AI52">
        <v>3</v>
      </c>
      <c r="AJ52">
        <v>461.75666906456911</v>
      </c>
      <c r="AK52" t="s">
        <v>3683</v>
      </c>
      <c r="AL52" t="str">
        <f t="shared" si="4"/>
        <v>Colorado_3</v>
      </c>
    </row>
    <row r="53" spans="2:38" x14ac:dyDescent="0.3">
      <c r="B53" s="90" t="s">
        <v>3853</v>
      </c>
      <c r="C53" s="90">
        <v>2.44</v>
      </c>
      <c r="D53" s="90">
        <v>17.739999999999998</v>
      </c>
      <c r="E53" s="755">
        <v>6.9009661000959994</v>
      </c>
      <c r="F53" s="90">
        <v>30.11</v>
      </c>
      <c r="G53" s="90">
        <v>4</v>
      </c>
      <c r="H53" s="90" t="s">
        <v>4362</v>
      </c>
      <c r="I53" s="90">
        <v>72.38</v>
      </c>
      <c r="J53" s="2242" t="s">
        <v>4169</v>
      </c>
      <c r="L53">
        <v>6.8</v>
      </c>
      <c r="M53">
        <v>48</v>
      </c>
      <c r="T53">
        <v>4.5</v>
      </c>
      <c r="V53">
        <f t="shared" si="0"/>
        <v>4</v>
      </c>
      <c r="W53" t="str">
        <f t="shared" si="1"/>
        <v>Colorado (Platte Drainage)</v>
      </c>
      <c r="Z53" t="str">
        <f t="shared" si="2"/>
        <v>Colorado</v>
      </c>
      <c r="AA53" t="str">
        <f t="shared" si="3"/>
        <v>Colorado_4</v>
      </c>
      <c r="AI53">
        <v>4</v>
      </c>
      <c r="AJ53">
        <v>414.06645885704359</v>
      </c>
      <c r="AK53" t="s">
        <v>3683</v>
      </c>
      <c r="AL53" t="str">
        <f t="shared" si="4"/>
        <v>Colorado_4</v>
      </c>
    </row>
    <row r="54" spans="2:38" x14ac:dyDescent="0.3">
      <c r="B54" s="90" t="s">
        <v>3854</v>
      </c>
      <c r="C54" s="90">
        <v>2.44</v>
      </c>
      <c r="D54" s="90">
        <v>16.88</v>
      </c>
      <c r="E54" s="755">
        <v>4.4120080151999996</v>
      </c>
      <c r="F54" s="90">
        <v>5.27</v>
      </c>
      <c r="G54" s="90">
        <v>5</v>
      </c>
      <c r="H54" s="90" t="s">
        <v>4363</v>
      </c>
      <c r="I54" s="90">
        <v>47.83</v>
      </c>
      <c r="J54" s="2242" t="s">
        <v>4169</v>
      </c>
      <c r="L54">
        <v>7.5</v>
      </c>
      <c r="M54">
        <v>46</v>
      </c>
      <c r="T54">
        <v>5</v>
      </c>
      <c r="V54">
        <f t="shared" si="0"/>
        <v>5</v>
      </c>
      <c r="W54" t="str">
        <f t="shared" si="1"/>
        <v>Colorado (Rio Grande Drainage)</v>
      </c>
      <c r="Z54" t="str">
        <f t="shared" si="2"/>
        <v>Colorado</v>
      </c>
      <c r="AA54" t="str">
        <f t="shared" si="3"/>
        <v>Colorado_5</v>
      </c>
      <c r="AI54">
        <v>5</v>
      </c>
      <c r="AJ54">
        <v>388.93352755166779</v>
      </c>
      <c r="AK54" t="s">
        <v>3683</v>
      </c>
      <c r="AL54" t="str">
        <f t="shared" si="4"/>
        <v>Colorado_5</v>
      </c>
    </row>
    <row r="55" spans="2:38" x14ac:dyDescent="0.3">
      <c r="B55" s="90" t="s">
        <v>3855</v>
      </c>
      <c r="C55" s="90">
        <v>6.84</v>
      </c>
      <c r="D55" s="90">
        <v>50.22</v>
      </c>
      <c r="E55" s="755">
        <v>16.130583193344002</v>
      </c>
      <c r="F55" s="90">
        <v>30.47</v>
      </c>
      <c r="G55" s="90">
        <v>1</v>
      </c>
      <c r="H55" s="90" t="s">
        <v>4364</v>
      </c>
      <c r="I55" s="90">
        <v>20.5</v>
      </c>
      <c r="J55" s="2243" t="s">
        <v>4168</v>
      </c>
      <c r="L55">
        <v>6.8</v>
      </c>
      <c r="M55">
        <v>48</v>
      </c>
      <c r="T55">
        <v>4.5</v>
      </c>
      <c r="V55">
        <f t="shared" si="0"/>
        <v>1</v>
      </c>
      <c r="W55" t="str">
        <f t="shared" si="1"/>
        <v>Connecticut (Northwest)</v>
      </c>
      <c r="Z55" t="str">
        <f t="shared" si="2"/>
        <v>Connecticut</v>
      </c>
      <c r="AA55" t="str">
        <f t="shared" si="3"/>
        <v>Connecticut_1</v>
      </c>
      <c r="AI55">
        <v>1</v>
      </c>
      <c r="AJ55">
        <v>626.24905401661647</v>
      </c>
      <c r="AK55" t="s">
        <v>3684</v>
      </c>
      <c r="AL55" t="str">
        <f t="shared" si="4"/>
        <v>Connecticut_1</v>
      </c>
    </row>
    <row r="56" spans="2:38" x14ac:dyDescent="0.3">
      <c r="B56" s="90" t="s">
        <v>3856</v>
      </c>
      <c r="C56" s="90">
        <v>6.18</v>
      </c>
      <c r="D56" s="90">
        <v>48.719999999999992</v>
      </c>
      <c r="E56" s="755">
        <v>16.967539913040007</v>
      </c>
      <c r="F56" s="90">
        <v>41.16</v>
      </c>
      <c r="G56" s="90">
        <v>2</v>
      </c>
      <c r="H56" s="90" t="s">
        <v>4365</v>
      </c>
      <c r="I56" s="90">
        <v>27</v>
      </c>
      <c r="J56" s="2243" t="s">
        <v>4168</v>
      </c>
      <c r="L56">
        <v>6.8</v>
      </c>
      <c r="M56">
        <v>48</v>
      </c>
      <c r="T56">
        <v>4.5</v>
      </c>
      <c r="V56">
        <f t="shared" si="0"/>
        <v>2</v>
      </c>
      <c r="W56" t="str">
        <f t="shared" si="1"/>
        <v>Connecticut (Central)</v>
      </c>
      <c r="Z56" t="str">
        <f t="shared" si="2"/>
        <v>Connecticut</v>
      </c>
      <c r="AA56" t="str">
        <f t="shared" si="3"/>
        <v>Connecticut_2</v>
      </c>
      <c r="AI56">
        <v>2</v>
      </c>
      <c r="AJ56">
        <v>546.53469858279857</v>
      </c>
      <c r="AK56" t="s">
        <v>3684</v>
      </c>
      <c r="AL56" t="str">
        <f t="shared" si="4"/>
        <v>Connecticut_2</v>
      </c>
    </row>
    <row r="57" spans="2:38" x14ac:dyDescent="0.3">
      <c r="B57" s="90" t="s">
        <v>3857</v>
      </c>
      <c r="C57" s="90">
        <v>6.03</v>
      </c>
      <c r="D57" s="90">
        <v>47.4</v>
      </c>
      <c r="E57" s="755">
        <v>17.289176406271999</v>
      </c>
      <c r="F57" s="90">
        <v>47.92</v>
      </c>
      <c r="G57" s="90">
        <v>3</v>
      </c>
      <c r="H57" s="90" t="s">
        <v>4365</v>
      </c>
      <c r="I57" s="90">
        <v>27</v>
      </c>
      <c r="J57" s="2243" t="s">
        <v>4168</v>
      </c>
      <c r="L57">
        <v>6.8</v>
      </c>
      <c r="M57">
        <v>48</v>
      </c>
      <c r="T57">
        <v>4.5</v>
      </c>
      <c r="V57">
        <f t="shared" si="0"/>
        <v>3</v>
      </c>
      <c r="W57" t="str">
        <f t="shared" si="1"/>
        <v>Connecticut (Coastal)</v>
      </c>
      <c r="Z57" t="str">
        <f t="shared" si="2"/>
        <v>Connecticut</v>
      </c>
      <c r="AA57" t="str">
        <f t="shared" si="3"/>
        <v>Connecticut_3</v>
      </c>
      <c r="AI57">
        <v>3</v>
      </c>
      <c r="AJ57">
        <v>578.60603055642684</v>
      </c>
      <c r="AK57" t="s">
        <v>3684</v>
      </c>
      <c r="AL57" t="str">
        <f t="shared" si="4"/>
        <v>Connecticut_3</v>
      </c>
    </row>
    <row r="58" spans="2:38" x14ac:dyDescent="0.3">
      <c r="B58" s="90" t="s">
        <v>3858</v>
      </c>
      <c r="C58" s="90">
        <v>5.94</v>
      </c>
      <c r="D58" s="90">
        <v>46.14</v>
      </c>
      <c r="E58" s="755">
        <v>18.402533397279999</v>
      </c>
      <c r="F58" s="90">
        <v>71.400000000000006</v>
      </c>
      <c r="G58" s="90">
        <v>1</v>
      </c>
      <c r="H58" s="90" t="s">
        <v>4366</v>
      </c>
      <c r="I58" s="90">
        <v>27.15</v>
      </c>
      <c r="J58" s="2238" t="s">
        <v>4172</v>
      </c>
      <c r="L58">
        <v>9</v>
      </c>
      <c r="M58">
        <v>42</v>
      </c>
      <c r="T58">
        <v>5.5</v>
      </c>
      <c r="V58">
        <f t="shared" si="0"/>
        <v>1</v>
      </c>
      <c r="W58" t="str">
        <f t="shared" si="1"/>
        <v>Delaware (Northern)</v>
      </c>
      <c r="Z58" t="str">
        <f t="shared" si="2"/>
        <v>Delaware</v>
      </c>
      <c r="AA58" t="str">
        <f t="shared" si="3"/>
        <v>Delaware_1</v>
      </c>
      <c r="AI58">
        <v>1</v>
      </c>
      <c r="AJ58">
        <v>590.61542006945456</v>
      </c>
      <c r="AK58" t="s">
        <v>3685</v>
      </c>
      <c r="AL58" t="str">
        <f t="shared" si="4"/>
        <v>Delaware_1</v>
      </c>
    </row>
    <row r="59" spans="2:38" x14ac:dyDescent="0.3">
      <c r="B59" s="90" t="s">
        <v>3859</v>
      </c>
      <c r="C59" s="90">
        <v>6.69</v>
      </c>
      <c r="D59" s="90">
        <v>45.83</v>
      </c>
      <c r="E59" s="755">
        <v>18.680163327423998</v>
      </c>
      <c r="F59" s="90">
        <v>75.67</v>
      </c>
      <c r="G59" s="90">
        <v>2</v>
      </c>
      <c r="H59" s="90" t="s">
        <v>4367</v>
      </c>
      <c r="I59" s="90">
        <v>37.35</v>
      </c>
      <c r="J59" s="2238" t="s">
        <v>4172</v>
      </c>
      <c r="L59">
        <v>9</v>
      </c>
      <c r="M59">
        <v>42</v>
      </c>
      <c r="T59">
        <v>5.5</v>
      </c>
      <c r="V59">
        <f t="shared" si="0"/>
        <v>2</v>
      </c>
      <c r="W59" t="str">
        <f t="shared" si="1"/>
        <v>Delaware (Southern)</v>
      </c>
      <c r="Z59" t="str">
        <f t="shared" si="2"/>
        <v>Delaware</v>
      </c>
      <c r="AA59" t="str">
        <f t="shared" si="3"/>
        <v>Delaware_2</v>
      </c>
      <c r="AI59">
        <v>2</v>
      </c>
      <c r="AJ59">
        <v>666.60946473766023</v>
      </c>
      <c r="AK59" t="s">
        <v>3685</v>
      </c>
      <c r="AL59" t="str">
        <f t="shared" si="4"/>
        <v>Delaware_2</v>
      </c>
    </row>
    <row r="60" spans="2:38" x14ac:dyDescent="0.3">
      <c r="B60" s="90" t="s">
        <v>3860</v>
      </c>
      <c r="C60" s="90">
        <v>9.52</v>
      </c>
      <c r="D60" s="90">
        <v>58.8</v>
      </c>
      <c r="E60" s="755">
        <v>26.324923414576002</v>
      </c>
      <c r="F60" s="90">
        <v>152.1</v>
      </c>
      <c r="G60" s="90">
        <v>1</v>
      </c>
      <c r="H60" s="90" t="s">
        <v>4368</v>
      </c>
      <c r="I60" s="90">
        <v>64.97</v>
      </c>
      <c r="J60" s="2239" t="s">
        <v>4176</v>
      </c>
      <c r="L60">
        <v>11</v>
      </c>
      <c r="M60">
        <v>38</v>
      </c>
      <c r="T60">
        <v>6.5</v>
      </c>
      <c r="V60">
        <f t="shared" si="0"/>
        <v>1</v>
      </c>
      <c r="W60" t="str">
        <f t="shared" si="1"/>
        <v>Florida (Northwest)</v>
      </c>
      <c r="Z60" t="str">
        <f t="shared" si="2"/>
        <v>Florida</v>
      </c>
      <c r="AA60" t="str">
        <f t="shared" si="3"/>
        <v>Florida_1</v>
      </c>
      <c r="AI60">
        <v>1</v>
      </c>
      <c r="AJ60">
        <v>994.10665049454519</v>
      </c>
      <c r="AK60" t="s">
        <v>3687</v>
      </c>
      <c r="AL60" t="str">
        <f t="shared" si="4"/>
        <v>Florida_1</v>
      </c>
    </row>
    <row r="61" spans="2:38" x14ac:dyDescent="0.3">
      <c r="B61" s="90" t="s">
        <v>3861</v>
      </c>
      <c r="C61" s="90">
        <v>9.52</v>
      </c>
      <c r="D61" s="90">
        <v>53.050000000000011</v>
      </c>
      <c r="E61" s="755">
        <v>25.205423378751998</v>
      </c>
      <c r="F61" s="90">
        <v>164.6</v>
      </c>
      <c r="G61" s="90">
        <v>2</v>
      </c>
      <c r="H61" s="90" t="s">
        <v>4369</v>
      </c>
      <c r="I61" s="90">
        <v>65.989999999999995</v>
      </c>
      <c r="J61" s="2239" t="s">
        <v>4176</v>
      </c>
      <c r="L61">
        <v>11</v>
      </c>
      <c r="M61">
        <v>38</v>
      </c>
      <c r="T61">
        <v>6.5</v>
      </c>
      <c r="V61">
        <f t="shared" si="0"/>
        <v>2</v>
      </c>
      <c r="W61" t="str">
        <f t="shared" si="1"/>
        <v>Florida (North)</v>
      </c>
      <c r="Z61" t="str">
        <f t="shared" si="2"/>
        <v>Florida</v>
      </c>
      <c r="AA61" t="str">
        <f t="shared" si="3"/>
        <v>Florida_2</v>
      </c>
      <c r="AI61">
        <v>2</v>
      </c>
      <c r="AJ61">
        <v>1019.552828680791</v>
      </c>
      <c r="AK61" t="s">
        <v>3687</v>
      </c>
      <c r="AL61" t="str">
        <f t="shared" si="4"/>
        <v>Florida_2</v>
      </c>
    </row>
    <row r="62" spans="2:38" x14ac:dyDescent="0.3">
      <c r="B62" s="90" t="s">
        <v>3862</v>
      </c>
      <c r="C62" s="90">
        <v>7.83</v>
      </c>
      <c r="D62" s="90">
        <v>51.63000000000001</v>
      </c>
      <c r="E62" s="755">
        <v>26.111839418255993</v>
      </c>
      <c r="F62" s="90">
        <v>190.07</v>
      </c>
      <c r="G62" s="90">
        <v>3</v>
      </c>
      <c r="H62" s="90" t="s">
        <v>4370</v>
      </c>
      <c r="I62" s="90">
        <v>59.41</v>
      </c>
      <c r="J62" s="2239" t="s">
        <v>4176</v>
      </c>
      <c r="L62">
        <v>11.5</v>
      </c>
      <c r="M62">
        <v>36.5</v>
      </c>
      <c r="T62">
        <v>6.75</v>
      </c>
      <c r="V62">
        <f t="shared" si="0"/>
        <v>3</v>
      </c>
      <c r="W62" t="str">
        <f t="shared" si="1"/>
        <v>Florida (North Central)</v>
      </c>
      <c r="Z62" t="str">
        <f t="shared" si="2"/>
        <v>Florida</v>
      </c>
      <c r="AA62" t="str">
        <f t="shared" si="3"/>
        <v>Florida_3</v>
      </c>
      <c r="AI62">
        <v>3</v>
      </c>
      <c r="AJ62">
        <v>930.44734445407119</v>
      </c>
      <c r="AK62" t="s">
        <v>3687</v>
      </c>
      <c r="AL62" t="str">
        <f t="shared" si="4"/>
        <v>Florida_3</v>
      </c>
    </row>
    <row r="63" spans="2:38" x14ac:dyDescent="0.3">
      <c r="B63" s="90" t="s">
        <v>3863</v>
      </c>
      <c r="C63" s="90">
        <v>7.83</v>
      </c>
      <c r="D63" s="90">
        <v>52.66</v>
      </c>
      <c r="E63" s="755">
        <v>27.629160989120003</v>
      </c>
      <c r="F63" s="90">
        <v>210.29</v>
      </c>
      <c r="G63" s="90">
        <v>4</v>
      </c>
      <c r="H63" s="90" t="s">
        <v>4371</v>
      </c>
      <c r="I63" s="90">
        <v>68.72</v>
      </c>
      <c r="J63" s="2239" t="s">
        <v>4176</v>
      </c>
      <c r="L63">
        <v>12</v>
      </c>
      <c r="M63">
        <v>35</v>
      </c>
      <c r="T63">
        <v>7</v>
      </c>
      <c r="V63">
        <f t="shared" si="0"/>
        <v>4</v>
      </c>
      <c r="W63" t="str">
        <f t="shared" si="1"/>
        <v>Florida (South Central)</v>
      </c>
      <c r="Z63" t="str">
        <f t="shared" si="2"/>
        <v>Florida</v>
      </c>
      <c r="AA63" t="str">
        <f t="shared" si="3"/>
        <v>Florida_4</v>
      </c>
      <c r="AI63">
        <v>4</v>
      </c>
      <c r="AJ63">
        <v>898.64881383747104</v>
      </c>
      <c r="AK63" t="s">
        <v>3687</v>
      </c>
      <c r="AL63" t="str">
        <f t="shared" si="4"/>
        <v>Florida_4</v>
      </c>
    </row>
    <row r="64" spans="2:38" x14ac:dyDescent="0.3">
      <c r="B64" t="s">
        <v>3864</v>
      </c>
      <c r="C64">
        <v>8.33</v>
      </c>
      <c r="D64">
        <v>54.59</v>
      </c>
      <c r="E64" s="78">
        <v>28.556369680207997</v>
      </c>
      <c r="F64">
        <v>240</v>
      </c>
      <c r="G64">
        <v>5</v>
      </c>
      <c r="H64" t="s">
        <v>4372</v>
      </c>
      <c r="I64">
        <v>74.069999999999993</v>
      </c>
      <c r="J64" s="2239" t="s">
        <v>4176</v>
      </c>
      <c r="L64">
        <v>12</v>
      </c>
      <c r="M64">
        <v>35</v>
      </c>
      <c r="T64">
        <v>7</v>
      </c>
      <c r="V64">
        <f t="shared" si="0"/>
        <v>5</v>
      </c>
      <c r="W64" t="str">
        <f t="shared" si="1"/>
        <v>Florida (Everglades and Southwest)</v>
      </c>
      <c r="Z64" t="str">
        <f t="shared" si="2"/>
        <v>Florida</v>
      </c>
      <c r="AA64" t="str">
        <f t="shared" si="3"/>
        <v>Florida_5</v>
      </c>
      <c r="AI64">
        <v>5</v>
      </c>
      <c r="AJ64">
        <v>1164.7381679160469</v>
      </c>
      <c r="AK64" t="s">
        <v>3687</v>
      </c>
      <c r="AL64" t="str">
        <f t="shared" si="4"/>
        <v>Florida_5</v>
      </c>
    </row>
    <row r="65" spans="2:38" x14ac:dyDescent="0.3">
      <c r="B65" t="s">
        <v>3865</v>
      </c>
      <c r="C65">
        <v>10.6</v>
      </c>
      <c r="D65">
        <v>59.45</v>
      </c>
      <c r="E65" s="78">
        <v>32.670846189824005</v>
      </c>
      <c r="F65">
        <v>256.2</v>
      </c>
      <c r="G65">
        <v>6</v>
      </c>
      <c r="H65" t="s">
        <v>4373</v>
      </c>
      <c r="I65">
        <v>70.39</v>
      </c>
      <c r="J65" s="2239" t="s">
        <v>4176</v>
      </c>
      <c r="L65">
        <v>12</v>
      </c>
      <c r="M65">
        <v>35</v>
      </c>
      <c r="T65">
        <v>7</v>
      </c>
      <c r="V65">
        <f t="shared" si="0"/>
        <v>6</v>
      </c>
      <c r="W65" t="str">
        <f t="shared" si="1"/>
        <v>Florida (Lower East Coast)</v>
      </c>
      <c r="Z65" t="str">
        <f t="shared" si="2"/>
        <v>Florida</v>
      </c>
      <c r="AA65" t="str">
        <f t="shared" si="3"/>
        <v>Florida_6</v>
      </c>
      <c r="AI65">
        <v>6</v>
      </c>
      <c r="AJ65">
        <v>642.00672739683796</v>
      </c>
      <c r="AK65" t="s">
        <v>3687</v>
      </c>
      <c r="AL65" t="str">
        <f t="shared" si="4"/>
        <v>Florida_6</v>
      </c>
    </row>
    <row r="66" spans="2:38" x14ac:dyDescent="0.3">
      <c r="B66" t="s">
        <v>3866</v>
      </c>
      <c r="C66">
        <v>10.6</v>
      </c>
      <c r="D66">
        <v>47.489999999999988</v>
      </c>
      <c r="E66" s="78">
        <v>25.152830201216002</v>
      </c>
      <c r="F66">
        <v>285.27999999999997</v>
      </c>
      <c r="G66">
        <v>7</v>
      </c>
      <c r="H66" t="s">
        <v>4373</v>
      </c>
      <c r="I66">
        <v>70.39</v>
      </c>
      <c r="J66" s="2239" t="s">
        <v>4176</v>
      </c>
      <c r="L66">
        <v>12</v>
      </c>
      <c r="M66">
        <v>35</v>
      </c>
      <c r="T66">
        <v>7</v>
      </c>
      <c r="V66">
        <f t="shared" si="0"/>
        <v>7</v>
      </c>
      <c r="W66" t="str">
        <f t="shared" si="1"/>
        <v>Florida (Keys)</v>
      </c>
      <c r="Z66" t="str">
        <f t="shared" si="2"/>
        <v>Florida</v>
      </c>
      <c r="AA66" t="str">
        <f t="shared" si="3"/>
        <v>Florida_7</v>
      </c>
      <c r="AI66">
        <v>7</v>
      </c>
      <c r="AJ66">
        <v>1843.030690322372</v>
      </c>
      <c r="AK66" t="s">
        <v>3687</v>
      </c>
      <c r="AL66" t="str">
        <f t="shared" si="4"/>
        <v>Florida_7</v>
      </c>
    </row>
    <row r="67" spans="2:38" x14ac:dyDescent="0.3">
      <c r="B67" t="s">
        <v>3867</v>
      </c>
      <c r="C67">
        <v>6.04</v>
      </c>
      <c r="D67">
        <v>53.53</v>
      </c>
      <c r="E67" s="78">
        <v>20.772041347120002</v>
      </c>
      <c r="F67">
        <v>96.160000000000011</v>
      </c>
      <c r="G67">
        <v>1</v>
      </c>
      <c r="H67" s="90" t="s">
        <v>4374</v>
      </c>
      <c r="I67" s="90">
        <v>52.27</v>
      </c>
      <c r="J67" s="2238" t="s">
        <v>4172</v>
      </c>
      <c r="L67">
        <v>10</v>
      </c>
      <c r="M67">
        <v>40</v>
      </c>
      <c r="T67">
        <v>6</v>
      </c>
      <c r="V67">
        <f t="shared" si="0"/>
        <v>1</v>
      </c>
      <c r="W67" t="str">
        <f t="shared" si="1"/>
        <v>Georgia (Northwest)</v>
      </c>
      <c r="Z67" t="str">
        <f t="shared" si="2"/>
        <v>Georgia</v>
      </c>
      <c r="AA67" t="str">
        <f t="shared" si="3"/>
        <v>Georgia_1</v>
      </c>
      <c r="AI67">
        <v>1</v>
      </c>
      <c r="AJ67">
        <v>797.96687171051371</v>
      </c>
      <c r="AK67" t="s">
        <v>3688</v>
      </c>
      <c r="AL67" t="str">
        <f t="shared" si="4"/>
        <v>Georgia_1</v>
      </c>
    </row>
    <row r="68" spans="2:38" x14ac:dyDescent="0.3">
      <c r="B68" t="s">
        <v>3868</v>
      </c>
      <c r="C68">
        <v>6.18</v>
      </c>
      <c r="D68">
        <v>56.760000000000012</v>
      </c>
      <c r="E68" s="78">
        <v>20.889651587104002</v>
      </c>
      <c r="F68">
        <v>84.54</v>
      </c>
      <c r="G68">
        <v>2</v>
      </c>
      <c r="H68" s="90" t="s">
        <v>4375</v>
      </c>
      <c r="I68" s="90">
        <v>61.4</v>
      </c>
      <c r="J68" s="2238" t="s">
        <v>4172</v>
      </c>
      <c r="L68">
        <v>10</v>
      </c>
      <c r="M68">
        <v>40</v>
      </c>
      <c r="T68">
        <v>6</v>
      </c>
      <c r="V68">
        <f t="shared" si="0"/>
        <v>2</v>
      </c>
      <c r="W68" t="str">
        <f t="shared" si="1"/>
        <v>Georgia (North Central)</v>
      </c>
      <c r="Z68" t="str">
        <f t="shared" si="2"/>
        <v>Georgia</v>
      </c>
      <c r="AA68" t="str">
        <f t="shared" si="3"/>
        <v>Georgia_2</v>
      </c>
      <c r="AI68">
        <v>2</v>
      </c>
      <c r="AJ68">
        <v>724.31984719337561</v>
      </c>
      <c r="AK68" t="s">
        <v>3688</v>
      </c>
      <c r="AL68" t="str">
        <f t="shared" si="4"/>
        <v>Georgia_2</v>
      </c>
    </row>
    <row r="69" spans="2:38" x14ac:dyDescent="0.3">
      <c r="B69" t="s">
        <v>3869</v>
      </c>
      <c r="C69">
        <v>6.3</v>
      </c>
      <c r="D69">
        <v>52.5</v>
      </c>
      <c r="E69" s="78">
        <v>20.642925857423997</v>
      </c>
      <c r="F69">
        <v>97.070000000000007</v>
      </c>
      <c r="G69">
        <v>3</v>
      </c>
      <c r="H69" s="90" t="s">
        <v>4375</v>
      </c>
      <c r="I69" s="90">
        <v>61.4</v>
      </c>
      <c r="J69" s="2238" t="s">
        <v>4172</v>
      </c>
      <c r="L69">
        <v>10</v>
      </c>
      <c r="M69">
        <v>40</v>
      </c>
      <c r="T69">
        <v>6</v>
      </c>
      <c r="V69">
        <f t="shared" si="0"/>
        <v>3</v>
      </c>
      <c r="W69" t="str">
        <f t="shared" si="1"/>
        <v>Georgia (Northeast)</v>
      </c>
      <c r="Z69" t="str">
        <f t="shared" si="2"/>
        <v>Georgia</v>
      </c>
      <c r="AA69" t="str">
        <f t="shared" si="3"/>
        <v>Georgia_3</v>
      </c>
      <c r="AI69">
        <v>3</v>
      </c>
      <c r="AJ69">
        <v>818.77424396864842</v>
      </c>
      <c r="AK69" t="s">
        <v>3688</v>
      </c>
      <c r="AL69" t="str">
        <f t="shared" si="4"/>
        <v>Georgia_3</v>
      </c>
    </row>
    <row r="70" spans="2:38" x14ac:dyDescent="0.3">
      <c r="B70" t="s">
        <v>3870</v>
      </c>
      <c r="C70">
        <v>6.18</v>
      </c>
      <c r="D70">
        <v>51.27</v>
      </c>
      <c r="E70" s="78">
        <v>21.141734272336002</v>
      </c>
      <c r="F70">
        <v>111.75</v>
      </c>
      <c r="G70">
        <v>4</v>
      </c>
      <c r="H70" s="90" t="s">
        <v>4376</v>
      </c>
      <c r="I70" s="90">
        <v>62.06</v>
      </c>
      <c r="J70" s="2238" t="s">
        <v>4172</v>
      </c>
      <c r="L70">
        <v>10.5</v>
      </c>
      <c r="M70">
        <v>39</v>
      </c>
      <c r="T70">
        <v>6.25</v>
      </c>
      <c r="V70">
        <f t="shared" si="0"/>
        <v>4</v>
      </c>
      <c r="W70" t="str">
        <f t="shared" si="1"/>
        <v>Georgia (West Central)</v>
      </c>
      <c r="Z70" t="str">
        <f t="shared" si="2"/>
        <v>Georgia</v>
      </c>
      <c r="AA70" t="str">
        <f t="shared" si="3"/>
        <v>Georgia_4</v>
      </c>
      <c r="AI70">
        <v>4</v>
      </c>
      <c r="AJ70">
        <v>873.49818831144705</v>
      </c>
      <c r="AK70" t="s">
        <v>3688</v>
      </c>
      <c r="AL70" t="str">
        <f t="shared" si="4"/>
        <v>Georgia_4</v>
      </c>
    </row>
    <row r="71" spans="2:38" x14ac:dyDescent="0.3">
      <c r="B71" t="s">
        <v>3871</v>
      </c>
      <c r="C71">
        <v>6.18</v>
      </c>
      <c r="D71">
        <v>47.33</v>
      </c>
      <c r="E71" s="78">
        <v>20.781218512767996</v>
      </c>
      <c r="F71">
        <v>124.59</v>
      </c>
      <c r="G71">
        <v>5</v>
      </c>
      <c r="H71" s="90" t="s">
        <v>4377</v>
      </c>
      <c r="I71" s="90">
        <v>54.27</v>
      </c>
      <c r="J71" s="2238" t="s">
        <v>4172</v>
      </c>
      <c r="L71">
        <v>10.5</v>
      </c>
      <c r="M71">
        <v>39</v>
      </c>
      <c r="T71">
        <v>6.25</v>
      </c>
      <c r="V71">
        <f t="shared" si="0"/>
        <v>5</v>
      </c>
      <c r="W71" t="str">
        <f t="shared" si="1"/>
        <v>Georgia (Central)</v>
      </c>
      <c r="Z71" t="str">
        <f t="shared" si="2"/>
        <v>Georgia</v>
      </c>
      <c r="AA71" t="str">
        <f t="shared" si="3"/>
        <v>Georgia_5</v>
      </c>
      <c r="AI71">
        <v>5</v>
      </c>
      <c r="AJ71">
        <v>915.7168380815815</v>
      </c>
      <c r="AK71" t="s">
        <v>3688</v>
      </c>
      <c r="AL71" t="str">
        <f t="shared" si="4"/>
        <v>Georgia_5</v>
      </c>
    </row>
    <row r="72" spans="2:38" x14ac:dyDescent="0.3">
      <c r="B72" t="s">
        <v>3872</v>
      </c>
      <c r="C72">
        <v>6.18</v>
      </c>
      <c r="D72">
        <v>46.51</v>
      </c>
      <c r="E72" s="78">
        <v>20.782894365840001</v>
      </c>
      <c r="F72">
        <v>129.16999999999999</v>
      </c>
      <c r="G72">
        <v>6</v>
      </c>
      <c r="H72" s="90" t="s">
        <v>4378</v>
      </c>
      <c r="I72" s="90">
        <v>68</v>
      </c>
      <c r="J72" s="2238" t="s">
        <v>4172</v>
      </c>
      <c r="L72">
        <v>10.5</v>
      </c>
      <c r="M72">
        <v>39</v>
      </c>
      <c r="T72">
        <v>6.25</v>
      </c>
      <c r="V72">
        <f t="shared" si="0"/>
        <v>6</v>
      </c>
      <c r="W72" t="str">
        <f t="shared" si="1"/>
        <v>Georgia (East Central)</v>
      </c>
      <c r="Z72" t="str">
        <f t="shared" si="2"/>
        <v>Georgia</v>
      </c>
      <c r="AA72" t="str">
        <f t="shared" si="3"/>
        <v>Georgia_6</v>
      </c>
      <c r="AI72">
        <v>6</v>
      </c>
      <c r="AJ72">
        <v>866.88830324916933</v>
      </c>
      <c r="AK72" t="s">
        <v>3688</v>
      </c>
      <c r="AL72" t="str">
        <f t="shared" si="4"/>
        <v>Georgia_6</v>
      </c>
    </row>
    <row r="73" spans="2:38" x14ac:dyDescent="0.3">
      <c r="B73" t="s">
        <v>3873</v>
      </c>
      <c r="C73">
        <v>6.98</v>
      </c>
      <c r="D73">
        <v>51.88</v>
      </c>
      <c r="E73" s="78">
        <v>22.683469229807997</v>
      </c>
      <c r="F73">
        <v>138.94</v>
      </c>
      <c r="G73">
        <v>7</v>
      </c>
      <c r="H73" s="90" t="s">
        <v>4379</v>
      </c>
      <c r="I73" s="90">
        <v>57.05</v>
      </c>
      <c r="J73" s="2239" t="s">
        <v>4176</v>
      </c>
      <c r="L73">
        <v>10.5</v>
      </c>
      <c r="M73">
        <v>39</v>
      </c>
      <c r="T73">
        <v>6.25</v>
      </c>
      <c r="V73">
        <f t="shared" si="0"/>
        <v>7</v>
      </c>
      <c r="W73" t="str">
        <f t="shared" si="1"/>
        <v>Georgia (Southwest)</v>
      </c>
      <c r="Z73" t="str">
        <f t="shared" si="2"/>
        <v>Georgia</v>
      </c>
      <c r="AA73" t="str">
        <f t="shared" si="3"/>
        <v>Georgia_7</v>
      </c>
      <c r="AI73">
        <v>7</v>
      </c>
      <c r="AJ73">
        <v>909.02791855541432</v>
      </c>
      <c r="AK73" t="s">
        <v>3688</v>
      </c>
      <c r="AL73" t="str">
        <f t="shared" si="4"/>
        <v>Georgia_7</v>
      </c>
    </row>
    <row r="74" spans="2:38" x14ac:dyDescent="0.3">
      <c r="B74" t="s">
        <v>3874</v>
      </c>
      <c r="C74">
        <v>6.18</v>
      </c>
      <c r="D74">
        <v>49.029999999999987</v>
      </c>
      <c r="E74" s="78">
        <v>22.158776299632006</v>
      </c>
      <c r="F74">
        <v>138.94999999999999</v>
      </c>
      <c r="G74">
        <v>8</v>
      </c>
      <c r="H74" s="90" t="s">
        <v>4379</v>
      </c>
      <c r="I74" s="90">
        <v>57.05</v>
      </c>
      <c r="J74" s="2239" t="s">
        <v>4176</v>
      </c>
      <c r="L74">
        <v>10.5</v>
      </c>
      <c r="M74">
        <v>39</v>
      </c>
      <c r="T74">
        <v>6.25</v>
      </c>
      <c r="V74">
        <f t="shared" si="0"/>
        <v>8</v>
      </c>
      <c r="W74" t="str">
        <f t="shared" si="1"/>
        <v>Georgia (South Central)</v>
      </c>
      <c r="Z74" t="str">
        <f t="shared" si="2"/>
        <v>Georgia</v>
      </c>
      <c r="AA74" t="str">
        <f t="shared" si="3"/>
        <v>Georgia_8</v>
      </c>
      <c r="AI74">
        <v>8</v>
      </c>
      <c r="AJ74">
        <v>916.62522396616657</v>
      </c>
      <c r="AK74" t="s">
        <v>3688</v>
      </c>
      <c r="AL74" t="str">
        <f t="shared" si="4"/>
        <v>Georgia_8</v>
      </c>
    </row>
    <row r="75" spans="2:38" x14ac:dyDescent="0.3">
      <c r="B75" t="s">
        <v>3875</v>
      </c>
      <c r="C75">
        <v>6.59</v>
      </c>
      <c r="D75">
        <v>48.8</v>
      </c>
      <c r="E75" s="78">
        <v>22.915478423584002</v>
      </c>
      <c r="F75">
        <v>147.82</v>
      </c>
      <c r="G75">
        <v>9</v>
      </c>
      <c r="H75" s="90" t="s">
        <v>4378</v>
      </c>
      <c r="I75" s="90">
        <v>68</v>
      </c>
      <c r="J75" s="2239" t="s">
        <v>4176</v>
      </c>
      <c r="L75">
        <v>10.5</v>
      </c>
      <c r="M75">
        <v>39</v>
      </c>
      <c r="T75">
        <v>6.25</v>
      </c>
      <c r="V75">
        <f t="shared" si="0"/>
        <v>9</v>
      </c>
      <c r="W75" t="str">
        <f t="shared" si="1"/>
        <v>Georgia (Southeast)</v>
      </c>
      <c r="Z75" t="str">
        <f t="shared" si="2"/>
        <v>Georgia</v>
      </c>
      <c r="AA75" t="str">
        <f t="shared" si="3"/>
        <v>Georgia_9</v>
      </c>
      <c r="AI75">
        <v>9</v>
      </c>
      <c r="AJ75">
        <v>1045.5482175851389</v>
      </c>
      <c r="AK75" t="s">
        <v>3688</v>
      </c>
      <c r="AL75" t="str">
        <f t="shared" si="4"/>
        <v>Georgia_9</v>
      </c>
    </row>
    <row r="76" spans="2:38" x14ac:dyDescent="0.3">
      <c r="B76" t="s">
        <v>3876</v>
      </c>
      <c r="C76">
        <v>3</v>
      </c>
      <c r="D76">
        <v>35</v>
      </c>
      <c r="E76" s="78">
        <v>29.19</v>
      </c>
      <c r="F76">
        <v>13.33</v>
      </c>
      <c r="G76">
        <v>1</v>
      </c>
      <c r="H76" s="90" t="s">
        <v>4380</v>
      </c>
      <c r="I76" s="90">
        <v>29.19</v>
      </c>
      <c r="J76" s="2243" t="s">
        <v>4168</v>
      </c>
      <c r="L76">
        <v>5.5</v>
      </c>
      <c r="M76">
        <v>52.5</v>
      </c>
      <c r="T76">
        <v>3.75</v>
      </c>
      <c r="V76">
        <f t="shared" si="0"/>
        <v>1</v>
      </c>
      <c r="W76" t="str">
        <f t="shared" si="1"/>
        <v>Idaho (Panhandle)</v>
      </c>
      <c r="Z76" t="str">
        <f t="shared" si="2"/>
        <v>Idaho</v>
      </c>
      <c r="AA76" t="str">
        <f t="shared" si="3"/>
        <v>Idaho_1</v>
      </c>
      <c r="AI76">
        <v>1</v>
      </c>
      <c r="AJ76">
        <v>571.43834873146216</v>
      </c>
      <c r="AK76" t="s">
        <v>3690</v>
      </c>
      <c r="AL76" t="str">
        <f t="shared" si="4"/>
        <v>Idaho_1</v>
      </c>
    </row>
    <row r="77" spans="2:38" x14ac:dyDescent="0.3">
      <c r="B77" t="s">
        <v>3877</v>
      </c>
      <c r="C77">
        <v>3</v>
      </c>
      <c r="D77">
        <v>31.37</v>
      </c>
      <c r="E77" s="78">
        <v>47.09</v>
      </c>
      <c r="F77">
        <v>19.82</v>
      </c>
      <c r="G77">
        <v>2</v>
      </c>
      <c r="H77" s="90" t="s">
        <v>4381</v>
      </c>
      <c r="I77" s="90">
        <v>47.09</v>
      </c>
      <c r="J77" s="2243" t="s">
        <v>4168</v>
      </c>
      <c r="L77">
        <v>6</v>
      </c>
      <c r="M77">
        <v>50</v>
      </c>
      <c r="T77">
        <v>4</v>
      </c>
      <c r="V77">
        <f t="shared" si="0"/>
        <v>2</v>
      </c>
      <c r="W77" t="str">
        <f t="shared" si="1"/>
        <v>Idaho (North Central Prairies)</v>
      </c>
      <c r="Z77" t="str">
        <f t="shared" si="2"/>
        <v>Idaho</v>
      </c>
      <c r="AA77" t="str">
        <f t="shared" si="3"/>
        <v>Idaho_2</v>
      </c>
      <c r="AI77">
        <v>2</v>
      </c>
      <c r="AJ77">
        <v>502.73231862701959</v>
      </c>
      <c r="AK77" t="s">
        <v>3690</v>
      </c>
      <c r="AL77" t="str">
        <f t="shared" si="4"/>
        <v>Idaho_2</v>
      </c>
    </row>
    <row r="78" spans="2:38" x14ac:dyDescent="0.3">
      <c r="B78" t="s">
        <v>3878</v>
      </c>
      <c r="C78">
        <v>3</v>
      </c>
      <c r="D78">
        <v>23.51</v>
      </c>
      <c r="E78" s="78">
        <v>47.09</v>
      </c>
      <c r="F78">
        <v>31.72</v>
      </c>
      <c r="G78">
        <v>3</v>
      </c>
      <c r="H78" t="s">
        <v>4381</v>
      </c>
      <c r="I78">
        <v>47.09</v>
      </c>
      <c r="J78" s="2243" t="s">
        <v>4168</v>
      </c>
      <c r="L78">
        <v>6</v>
      </c>
      <c r="M78">
        <v>50</v>
      </c>
      <c r="T78">
        <v>4</v>
      </c>
      <c r="V78">
        <f t="shared" si="0"/>
        <v>3</v>
      </c>
      <c r="W78" t="str">
        <f t="shared" si="1"/>
        <v>Idaho (North Central Canyons)</v>
      </c>
      <c r="Z78" t="str">
        <f t="shared" si="2"/>
        <v>Idaho</v>
      </c>
      <c r="AA78" t="str">
        <f t="shared" si="3"/>
        <v>Idaho_3</v>
      </c>
      <c r="AI78">
        <v>3</v>
      </c>
      <c r="AJ78">
        <v>334.33659852725702</v>
      </c>
      <c r="AK78" t="s">
        <v>3690</v>
      </c>
      <c r="AL78" t="str">
        <f t="shared" si="4"/>
        <v>Idaho_3</v>
      </c>
    </row>
    <row r="79" spans="2:38" x14ac:dyDescent="0.3">
      <c r="B79" t="s">
        <v>3879</v>
      </c>
      <c r="C79">
        <v>3</v>
      </c>
      <c r="D79">
        <v>34.19</v>
      </c>
      <c r="E79" s="78">
        <v>40.68</v>
      </c>
      <c r="F79">
        <v>11.78</v>
      </c>
      <c r="G79">
        <v>4</v>
      </c>
      <c r="H79" t="s">
        <v>4382</v>
      </c>
      <c r="I79">
        <v>40.68</v>
      </c>
      <c r="J79" s="2243" t="s">
        <v>4168</v>
      </c>
      <c r="L79">
        <v>6</v>
      </c>
      <c r="M79">
        <v>50</v>
      </c>
      <c r="T79">
        <v>4</v>
      </c>
      <c r="V79">
        <f t="shared" si="0"/>
        <v>4</v>
      </c>
      <c r="W79" t="str">
        <f t="shared" si="1"/>
        <v>Idaho (Central Mountains)</v>
      </c>
      <c r="Z79" t="str">
        <f t="shared" si="2"/>
        <v>Idaho</v>
      </c>
      <c r="AA79" t="str">
        <f t="shared" si="3"/>
        <v>Idaho_4</v>
      </c>
      <c r="AI79">
        <v>4</v>
      </c>
      <c r="AJ79">
        <v>528.76362351272735</v>
      </c>
      <c r="AK79" t="s">
        <v>3690</v>
      </c>
      <c r="AL79" t="str">
        <f t="shared" si="4"/>
        <v>Idaho_4</v>
      </c>
    </row>
    <row r="80" spans="2:38" x14ac:dyDescent="0.3">
      <c r="B80" t="s">
        <v>3880</v>
      </c>
      <c r="C80">
        <v>2</v>
      </c>
      <c r="D80">
        <v>13.62</v>
      </c>
      <c r="E80" s="78">
        <v>49.49</v>
      </c>
      <c r="F80">
        <v>50.319999999999993</v>
      </c>
      <c r="G80">
        <v>5</v>
      </c>
      <c r="H80" t="s">
        <v>4383</v>
      </c>
      <c r="I80">
        <v>49.49</v>
      </c>
      <c r="J80" s="2242" t="s">
        <v>4169</v>
      </c>
      <c r="L80">
        <v>6.8</v>
      </c>
      <c r="M80">
        <v>48</v>
      </c>
      <c r="T80">
        <v>4.5</v>
      </c>
      <c r="V80">
        <f t="shared" si="0"/>
        <v>5</v>
      </c>
      <c r="W80" t="str">
        <f t="shared" si="1"/>
        <v>Idaho (Southwestern Valleys)</v>
      </c>
      <c r="Z80" t="str">
        <f t="shared" si="2"/>
        <v>Idaho</v>
      </c>
      <c r="AA80" t="str">
        <f t="shared" si="3"/>
        <v>Idaho_5</v>
      </c>
      <c r="AI80">
        <v>5</v>
      </c>
      <c r="AJ80">
        <v>241.1715488813596</v>
      </c>
      <c r="AK80" t="s">
        <v>3690</v>
      </c>
      <c r="AL80" t="str">
        <f t="shared" si="4"/>
        <v>Idaho_5</v>
      </c>
    </row>
    <row r="81" spans="2:38" x14ac:dyDescent="0.3">
      <c r="B81" t="s">
        <v>3881</v>
      </c>
      <c r="C81">
        <v>2</v>
      </c>
      <c r="D81">
        <v>13.48</v>
      </c>
      <c r="E81" s="78">
        <v>54.04</v>
      </c>
      <c r="F81">
        <v>32.340000000000003</v>
      </c>
      <c r="G81">
        <v>6</v>
      </c>
      <c r="H81" t="s">
        <v>4384</v>
      </c>
      <c r="I81">
        <v>54.04</v>
      </c>
      <c r="J81" s="2242" t="s">
        <v>4169</v>
      </c>
      <c r="L81">
        <v>7.15</v>
      </c>
      <c r="M81">
        <v>47</v>
      </c>
      <c r="T81">
        <v>4.75</v>
      </c>
      <c r="V81">
        <f t="shared" si="0"/>
        <v>6</v>
      </c>
      <c r="W81" t="str">
        <f t="shared" si="1"/>
        <v>Idaho (Southwestern Highlands)</v>
      </c>
      <c r="Z81" t="str">
        <f t="shared" si="2"/>
        <v>Idaho</v>
      </c>
      <c r="AA81" t="str">
        <f t="shared" si="3"/>
        <v>Idaho_6</v>
      </c>
      <c r="AI81">
        <v>6</v>
      </c>
      <c r="AJ81">
        <v>168.1223692578499</v>
      </c>
      <c r="AK81" t="s">
        <v>3690</v>
      </c>
      <c r="AL81" t="str">
        <f t="shared" si="4"/>
        <v>Idaho_6</v>
      </c>
    </row>
    <row r="82" spans="2:38" x14ac:dyDescent="0.3">
      <c r="B82" t="s">
        <v>3882</v>
      </c>
      <c r="C82">
        <v>3</v>
      </c>
      <c r="D82">
        <v>10.33</v>
      </c>
      <c r="E82" s="78">
        <v>66.040000000000006</v>
      </c>
      <c r="F82">
        <v>40.239999999999988</v>
      </c>
      <c r="G82">
        <v>7</v>
      </c>
      <c r="H82" t="s">
        <v>4385</v>
      </c>
      <c r="I82">
        <v>66.040000000000006</v>
      </c>
      <c r="J82" s="2242" t="s">
        <v>4169</v>
      </c>
      <c r="L82">
        <v>6.8</v>
      </c>
      <c r="M82">
        <v>48</v>
      </c>
      <c r="T82">
        <v>4.5</v>
      </c>
      <c r="V82">
        <f t="shared" si="0"/>
        <v>7</v>
      </c>
      <c r="W82" t="str">
        <f t="shared" si="1"/>
        <v>Idaho (Central Plains)</v>
      </c>
      <c r="Z82" t="str">
        <f t="shared" si="2"/>
        <v>Idaho</v>
      </c>
      <c r="AA82" t="str">
        <f t="shared" si="3"/>
        <v>Idaho_7</v>
      </c>
      <c r="AI82">
        <v>7</v>
      </c>
      <c r="AJ82">
        <v>327.82254756175502</v>
      </c>
      <c r="AK82" t="s">
        <v>3690</v>
      </c>
      <c r="AL82" t="str">
        <f t="shared" si="4"/>
        <v>Idaho_7</v>
      </c>
    </row>
    <row r="83" spans="2:38" x14ac:dyDescent="0.3">
      <c r="B83" t="s">
        <v>3883</v>
      </c>
      <c r="C83">
        <v>2.5</v>
      </c>
      <c r="D83">
        <v>17.46</v>
      </c>
      <c r="E83" s="78">
        <v>40.549999999999997</v>
      </c>
      <c r="F83">
        <v>10.85</v>
      </c>
      <c r="G83">
        <v>8</v>
      </c>
      <c r="H83" t="s">
        <v>4386</v>
      </c>
      <c r="I83">
        <v>40.549999999999997</v>
      </c>
      <c r="J83" s="2242" t="s">
        <v>4169</v>
      </c>
      <c r="L83">
        <v>6</v>
      </c>
      <c r="M83">
        <v>50</v>
      </c>
      <c r="T83">
        <v>4</v>
      </c>
      <c r="V83">
        <f t="shared" si="0"/>
        <v>8</v>
      </c>
      <c r="W83" t="str">
        <f t="shared" si="1"/>
        <v>Idaho (Northeastern Valleys)</v>
      </c>
      <c r="Z83" t="str">
        <f t="shared" si="2"/>
        <v>Idaho</v>
      </c>
      <c r="AA83" t="str">
        <f t="shared" si="3"/>
        <v>Idaho_8</v>
      </c>
      <c r="AI83">
        <v>8</v>
      </c>
      <c r="AJ83">
        <v>271.0098773277154</v>
      </c>
      <c r="AK83" t="s">
        <v>3690</v>
      </c>
      <c r="AL83" t="str">
        <f t="shared" si="4"/>
        <v>Idaho_8</v>
      </c>
    </row>
    <row r="84" spans="2:38" x14ac:dyDescent="0.3">
      <c r="B84" t="s">
        <v>3884</v>
      </c>
      <c r="C84">
        <v>2.5</v>
      </c>
      <c r="D84">
        <v>11.7</v>
      </c>
      <c r="E84" s="78">
        <v>46.35</v>
      </c>
      <c r="F84">
        <v>28.66</v>
      </c>
      <c r="G84">
        <v>9</v>
      </c>
      <c r="H84" t="s">
        <v>4387</v>
      </c>
      <c r="I84">
        <v>46.35</v>
      </c>
      <c r="J84" s="2242" t="s">
        <v>4169</v>
      </c>
      <c r="L84">
        <v>6</v>
      </c>
      <c r="M84">
        <v>50</v>
      </c>
      <c r="T84">
        <v>4</v>
      </c>
      <c r="V84">
        <f t="shared" ref="V84:V147" si="5">G84</f>
        <v>9</v>
      </c>
      <c r="W84" t="str">
        <f t="shared" ref="W84:W147" si="6">B84</f>
        <v>Idaho (Upper Snake River)</v>
      </c>
      <c r="Z84" t="str">
        <f t="shared" ref="Z84:Z147" si="7">TRIM(LEFT(B84,SEARCH("(",B84)-1))</f>
        <v>Idaho</v>
      </c>
      <c r="AA84" t="str">
        <f t="shared" ref="AA84:AA147" si="8">_xlfn.CONCAT(Z84,"_",G84)</f>
        <v>Idaho_9</v>
      </c>
      <c r="AI84">
        <v>9</v>
      </c>
      <c r="AJ84">
        <v>285.04985561127262</v>
      </c>
      <c r="AK84" t="s">
        <v>3690</v>
      </c>
      <c r="AL84" t="str">
        <f t="shared" ref="AL84:AL147" si="9">_xlfn.CONCAT(AK84,"_",AI84)</f>
        <v>Idaho_9</v>
      </c>
    </row>
    <row r="85" spans="2:38" x14ac:dyDescent="0.3">
      <c r="B85" s="90" t="s">
        <v>3885</v>
      </c>
      <c r="C85" s="90">
        <v>2.5</v>
      </c>
      <c r="D85" s="90">
        <v>21.32</v>
      </c>
      <c r="E85" s="755">
        <v>28.14</v>
      </c>
      <c r="F85" s="90">
        <v>18.29</v>
      </c>
      <c r="G85" s="90">
        <v>10</v>
      </c>
      <c r="H85" s="90" t="s">
        <v>4388</v>
      </c>
      <c r="I85" s="90">
        <v>28.14</v>
      </c>
      <c r="J85" s="2242" t="s">
        <v>4169</v>
      </c>
      <c r="L85">
        <v>6</v>
      </c>
      <c r="M85">
        <v>50</v>
      </c>
      <c r="T85">
        <v>4</v>
      </c>
      <c r="V85">
        <f t="shared" si="5"/>
        <v>10</v>
      </c>
      <c r="W85" t="str">
        <f t="shared" si="6"/>
        <v>Idaho (Eastern Highlands)</v>
      </c>
      <c r="Z85" t="str">
        <f t="shared" si="7"/>
        <v>Idaho</v>
      </c>
      <c r="AA85" t="str">
        <f t="shared" si="8"/>
        <v>Idaho_10</v>
      </c>
      <c r="AI85">
        <v>10</v>
      </c>
      <c r="AJ85">
        <v>462.33043618060071</v>
      </c>
      <c r="AK85" t="s">
        <v>3690</v>
      </c>
      <c r="AL85" t="str">
        <f t="shared" si="9"/>
        <v>Idaho_10</v>
      </c>
    </row>
    <row r="86" spans="2:38" x14ac:dyDescent="0.3">
      <c r="B86" s="90" t="s">
        <v>3886</v>
      </c>
      <c r="C86" s="90">
        <v>5.33</v>
      </c>
      <c r="D86" s="90">
        <v>38.159999999999997</v>
      </c>
      <c r="E86" s="755">
        <v>15.196761641152003</v>
      </c>
      <c r="F86" s="90">
        <v>49.33</v>
      </c>
      <c r="G86" s="90">
        <v>1</v>
      </c>
      <c r="H86" s="90" t="s">
        <v>4389</v>
      </c>
      <c r="I86" s="90">
        <v>42.67</v>
      </c>
      <c r="J86" s="2243" t="s">
        <v>4168</v>
      </c>
      <c r="L86">
        <v>6</v>
      </c>
      <c r="M86">
        <v>50</v>
      </c>
      <c r="T86">
        <v>4</v>
      </c>
      <c r="V86">
        <f t="shared" si="5"/>
        <v>1</v>
      </c>
      <c r="W86" t="str">
        <f t="shared" si="6"/>
        <v>Illinois (Northwest)</v>
      </c>
      <c r="Z86" t="str">
        <f t="shared" si="7"/>
        <v>Illinois</v>
      </c>
      <c r="AA86" t="str">
        <f t="shared" si="8"/>
        <v>Illinois_1</v>
      </c>
      <c r="AI86">
        <v>1</v>
      </c>
      <c r="AJ86">
        <v>548.25995614539147</v>
      </c>
      <c r="AK86" t="s">
        <v>3691</v>
      </c>
      <c r="AL86" t="str">
        <f t="shared" si="9"/>
        <v>Illinois_1</v>
      </c>
    </row>
    <row r="87" spans="2:38" x14ac:dyDescent="0.3">
      <c r="B87" s="90" t="s">
        <v>3887</v>
      </c>
      <c r="C87" s="90">
        <v>5.45</v>
      </c>
      <c r="D87" s="90">
        <v>37.819999999999993</v>
      </c>
      <c r="E87" s="755">
        <v>15.223244581631999</v>
      </c>
      <c r="F87" s="90">
        <v>49.360000000000007</v>
      </c>
      <c r="G87" s="90">
        <v>2</v>
      </c>
      <c r="H87" s="90" t="s">
        <v>4390</v>
      </c>
      <c r="I87" s="90">
        <v>41.55</v>
      </c>
      <c r="J87" s="2243" t="s">
        <v>4168</v>
      </c>
      <c r="L87">
        <v>6</v>
      </c>
      <c r="M87">
        <v>50</v>
      </c>
      <c r="T87">
        <v>4</v>
      </c>
      <c r="V87">
        <f t="shared" si="5"/>
        <v>2</v>
      </c>
      <c r="W87" t="str">
        <f t="shared" si="6"/>
        <v>Illinois (Northeast)</v>
      </c>
      <c r="Z87" t="str">
        <f t="shared" si="7"/>
        <v>Illinois</v>
      </c>
      <c r="AA87" t="str">
        <f t="shared" si="8"/>
        <v>Illinois_2</v>
      </c>
      <c r="AI87">
        <v>2</v>
      </c>
      <c r="AJ87">
        <v>453.51183436420581</v>
      </c>
      <c r="AK87" t="s">
        <v>3691</v>
      </c>
      <c r="AL87" t="str">
        <f t="shared" si="9"/>
        <v>Illinois_2</v>
      </c>
    </row>
    <row r="88" spans="2:38" x14ac:dyDescent="0.3">
      <c r="B88" s="90" t="s">
        <v>3888</v>
      </c>
      <c r="C88" s="90">
        <v>5.33</v>
      </c>
      <c r="D88" s="90">
        <v>38.840000000000003</v>
      </c>
      <c r="E88" s="755">
        <v>15.717970319248002</v>
      </c>
      <c r="F88" s="90">
        <v>63.41</v>
      </c>
      <c r="G88" s="90">
        <v>3</v>
      </c>
      <c r="H88" s="90" t="s">
        <v>4391</v>
      </c>
      <c r="I88" s="90">
        <v>41</v>
      </c>
      <c r="J88" s="2238" t="s">
        <v>4172</v>
      </c>
      <c r="L88">
        <v>6.8</v>
      </c>
      <c r="M88">
        <v>48</v>
      </c>
      <c r="T88">
        <v>4.5</v>
      </c>
      <c r="V88">
        <f t="shared" si="5"/>
        <v>3</v>
      </c>
      <c r="W88" t="str">
        <f t="shared" si="6"/>
        <v>Illinois (West)</v>
      </c>
      <c r="Z88" t="str">
        <f t="shared" si="7"/>
        <v>Illinois</v>
      </c>
      <c r="AA88" t="str">
        <f t="shared" si="8"/>
        <v>Illinois_3</v>
      </c>
      <c r="AI88">
        <v>3</v>
      </c>
      <c r="AJ88">
        <v>641.11673577898819</v>
      </c>
      <c r="AK88" t="s">
        <v>3691</v>
      </c>
      <c r="AL88" t="str">
        <f t="shared" si="9"/>
        <v>Illinois_3</v>
      </c>
    </row>
    <row r="89" spans="2:38" x14ac:dyDescent="0.3">
      <c r="B89" s="90" t="s">
        <v>3889</v>
      </c>
      <c r="C89" s="90">
        <v>5.19</v>
      </c>
      <c r="D89" s="90">
        <v>38.350000000000009</v>
      </c>
      <c r="E89" s="755">
        <v>15.587486063104002</v>
      </c>
      <c r="F89" s="90">
        <v>62.489999999999988</v>
      </c>
      <c r="G89" s="90">
        <v>4</v>
      </c>
      <c r="H89" s="90" t="s">
        <v>4391</v>
      </c>
      <c r="I89" s="90">
        <v>41</v>
      </c>
      <c r="J89" s="2238" t="s">
        <v>4172</v>
      </c>
      <c r="L89">
        <v>6.8</v>
      </c>
      <c r="M89">
        <v>48</v>
      </c>
      <c r="T89">
        <v>4.5</v>
      </c>
      <c r="V89">
        <f t="shared" si="5"/>
        <v>4</v>
      </c>
      <c r="W89" t="str">
        <f t="shared" si="6"/>
        <v>Illinois (Central)</v>
      </c>
      <c r="Z89" t="str">
        <f t="shared" si="7"/>
        <v>Illinois</v>
      </c>
      <c r="AA89" t="str">
        <f t="shared" si="8"/>
        <v>Illinois_4</v>
      </c>
      <c r="AI89">
        <v>4</v>
      </c>
      <c r="AJ89">
        <v>591.4383067463715</v>
      </c>
      <c r="AK89" t="s">
        <v>3691</v>
      </c>
      <c r="AL89" t="str">
        <f t="shared" si="9"/>
        <v>Illinois_4</v>
      </c>
    </row>
    <row r="90" spans="2:38" x14ac:dyDescent="0.3">
      <c r="B90" s="90" t="s">
        <v>3890</v>
      </c>
      <c r="C90" s="90">
        <v>5.45</v>
      </c>
      <c r="D90" s="90">
        <v>39.1</v>
      </c>
      <c r="E90" s="755">
        <v>15.883449327168</v>
      </c>
      <c r="F90" s="90">
        <v>59.41</v>
      </c>
      <c r="G90" s="90">
        <v>5</v>
      </c>
      <c r="H90" s="90" t="s">
        <v>4392</v>
      </c>
      <c r="I90" s="90">
        <v>36.299999999999997</v>
      </c>
      <c r="J90" s="2238" t="s">
        <v>4172</v>
      </c>
      <c r="L90">
        <v>6.8</v>
      </c>
      <c r="M90">
        <v>48</v>
      </c>
      <c r="T90">
        <v>4.5</v>
      </c>
      <c r="V90">
        <f t="shared" si="5"/>
        <v>5</v>
      </c>
      <c r="W90" t="str">
        <f t="shared" si="6"/>
        <v>Illinois (East)</v>
      </c>
      <c r="Z90" t="str">
        <f t="shared" si="7"/>
        <v>Illinois</v>
      </c>
      <c r="AA90" t="str">
        <f t="shared" si="8"/>
        <v>Illinois_5</v>
      </c>
      <c r="AI90">
        <v>5</v>
      </c>
      <c r="AJ90">
        <v>532.08519156607133</v>
      </c>
      <c r="AK90" t="s">
        <v>3691</v>
      </c>
      <c r="AL90" t="str">
        <f t="shared" si="9"/>
        <v>Illinois_5</v>
      </c>
    </row>
    <row r="91" spans="2:38" x14ac:dyDescent="0.3">
      <c r="B91" s="90" t="s">
        <v>3891</v>
      </c>
      <c r="C91" s="90">
        <v>5.36</v>
      </c>
      <c r="D91" s="90">
        <v>40.19</v>
      </c>
      <c r="E91" s="755">
        <v>16.420392913904003</v>
      </c>
      <c r="F91" s="90">
        <v>72.889999999999986</v>
      </c>
      <c r="G91" s="90">
        <v>6</v>
      </c>
      <c r="H91" s="90" t="s">
        <v>4389</v>
      </c>
      <c r="I91" s="90">
        <v>42.67</v>
      </c>
      <c r="J91" s="2238" t="s">
        <v>4172</v>
      </c>
      <c r="L91">
        <v>7.15</v>
      </c>
      <c r="M91">
        <v>47</v>
      </c>
      <c r="T91">
        <v>4.75</v>
      </c>
      <c r="V91">
        <f t="shared" si="5"/>
        <v>6</v>
      </c>
      <c r="W91" t="str">
        <f t="shared" si="6"/>
        <v>Illinois (West Southwest)</v>
      </c>
      <c r="Z91" t="str">
        <f t="shared" si="7"/>
        <v>Illinois</v>
      </c>
      <c r="AA91" t="str">
        <f t="shared" si="8"/>
        <v>Illinois_6</v>
      </c>
      <c r="AI91">
        <v>6</v>
      </c>
      <c r="AJ91">
        <v>672.70802841680609</v>
      </c>
      <c r="AK91" t="s">
        <v>3691</v>
      </c>
      <c r="AL91" t="str">
        <f t="shared" si="9"/>
        <v>Illinois_6</v>
      </c>
    </row>
    <row r="92" spans="2:38" x14ac:dyDescent="0.3">
      <c r="B92" s="90" t="s">
        <v>3892</v>
      </c>
      <c r="C92" s="90">
        <v>6.08</v>
      </c>
      <c r="D92" s="90">
        <v>43.44</v>
      </c>
      <c r="E92" s="755">
        <v>17.581990063936001</v>
      </c>
      <c r="F92" s="90">
        <v>71.66</v>
      </c>
      <c r="G92" s="90">
        <v>7</v>
      </c>
      <c r="H92" s="90" t="s">
        <v>4390</v>
      </c>
      <c r="I92" s="90">
        <v>41.55</v>
      </c>
      <c r="J92" s="2238" t="s">
        <v>4172</v>
      </c>
      <c r="L92">
        <v>7.15</v>
      </c>
      <c r="M92">
        <v>47</v>
      </c>
      <c r="T92">
        <v>4.75</v>
      </c>
      <c r="V92">
        <f t="shared" si="5"/>
        <v>7</v>
      </c>
      <c r="W92" t="str">
        <f t="shared" si="6"/>
        <v>Illinois (East Southeast)</v>
      </c>
      <c r="Z92" t="str">
        <f t="shared" si="7"/>
        <v>Illinois</v>
      </c>
      <c r="AA92" t="str">
        <f t="shared" si="8"/>
        <v>Illinois_7</v>
      </c>
      <c r="AI92">
        <v>7</v>
      </c>
      <c r="AJ92">
        <v>676.07766779041879</v>
      </c>
      <c r="AK92" t="s">
        <v>3691</v>
      </c>
      <c r="AL92" t="str">
        <f t="shared" si="9"/>
        <v>Illinois_7</v>
      </c>
    </row>
    <row r="93" spans="2:38" x14ac:dyDescent="0.3">
      <c r="B93" s="90" t="s">
        <v>3893</v>
      </c>
      <c r="C93" s="90">
        <v>5.36</v>
      </c>
      <c r="D93" s="90">
        <v>45.220000000000013</v>
      </c>
      <c r="E93" s="755">
        <v>18.710949417648003</v>
      </c>
      <c r="F93" s="90">
        <v>83.92</v>
      </c>
      <c r="G93" s="90">
        <v>8</v>
      </c>
      <c r="H93" s="90" t="s">
        <v>4389</v>
      </c>
      <c r="I93" s="90">
        <v>42.67</v>
      </c>
      <c r="J93" s="2238" t="s">
        <v>4172</v>
      </c>
      <c r="L93">
        <v>7.5</v>
      </c>
      <c r="M93">
        <v>46</v>
      </c>
      <c r="T93">
        <v>5</v>
      </c>
      <c r="V93">
        <f t="shared" si="5"/>
        <v>8</v>
      </c>
      <c r="W93" t="str">
        <f t="shared" si="6"/>
        <v>Illinois (Southwest)</v>
      </c>
      <c r="Z93" t="str">
        <f t="shared" si="7"/>
        <v>Illinois</v>
      </c>
      <c r="AA93" t="str">
        <f t="shared" si="8"/>
        <v>Illinois_8</v>
      </c>
      <c r="AI93">
        <v>8</v>
      </c>
      <c r="AJ93">
        <v>747.97197765571559</v>
      </c>
      <c r="AK93" t="s">
        <v>3691</v>
      </c>
      <c r="AL93" t="str">
        <f t="shared" si="9"/>
        <v>Illinois_8</v>
      </c>
    </row>
    <row r="94" spans="2:38" x14ac:dyDescent="0.3">
      <c r="B94" s="90" t="s">
        <v>3894</v>
      </c>
      <c r="C94" s="90">
        <v>6.08</v>
      </c>
      <c r="D94" s="90">
        <v>47.45</v>
      </c>
      <c r="E94" s="755">
        <v>18.787894302000002</v>
      </c>
      <c r="F94" s="90">
        <v>82.08</v>
      </c>
      <c r="G94" s="90">
        <v>9</v>
      </c>
      <c r="H94" s="90" t="s">
        <v>4390</v>
      </c>
      <c r="I94" s="90">
        <v>41.55</v>
      </c>
      <c r="J94" s="2238" t="s">
        <v>4172</v>
      </c>
      <c r="L94">
        <v>7.5</v>
      </c>
      <c r="M94">
        <v>46</v>
      </c>
      <c r="T94">
        <v>5</v>
      </c>
      <c r="V94">
        <f t="shared" si="5"/>
        <v>9</v>
      </c>
      <c r="W94" t="str">
        <f t="shared" si="6"/>
        <v>Illinois (Southeast)</v>
      </c>
      <c r="Z94" t="str">
        <f t="shared" si="7"/>
        <v>Illinois</v>
      </c>
      <c r="AA94" t="str">
        <f t="shared" si="8"/>
        <v>Illinois_9</v>
      </c>
      <c r="AI94">
        <v>9</v>
      </c>
      <c r="AJ94">
        <v>735.05634481584184</v>
      </c>
      <c r="AK94" t="s">
        <v>3691</v>
      </c>
      <c r="AL94" t="str">
        <f t="shared" si="9"/>
        <v>Illinois_9</v>
      </c>
    </row>
    <row r="95" spans="2:38" x14ac:dyDescent="0.3">
      <c r="B95" s="90" t="s">
        <v>3895</v>
      </c>
      <c r="C95" s="90">
        <v>5.33</v>
      </c>
      <c r="D95" s="90">
        <v>39.81</v>
      </c>
      <c r="E95" s="755">
        <v>15.682088428336002</v>
      </c>
      <c r="F95" s="90">
        <v>50.23</v>
      </c>
      <c r="G95" s="90">
        <v>1</v>
      </c>
      <c r="H95" s="90" t="s">
        <v>4393</v>
      </c>
      <c r="I95" s="90">
        <v>28.56</v>
      </c>
      <c r="J95" s="2243" t="s">
        <v>4168</v>
      </c>
      <c r="L95">
        <v>6</v>
      </c>
      <c r="M95">
        <v>50</v>
      </c>
      <c r="T95">
        <v>4</v>
      </c>
      <c r="V95">
        <f t="shared" si="5"/>
        <v>1</v>
      </c>
      <c r="W95" t="str">
        <f t="shared" si="6"/>
        <v>Indiana (Northwest)</v>
      </c>
      <c r="Z95" t="str">
        <f t="shared" si="7"/>
        <v>Indiana</v>
      </c>
      <c r="AA95" t="str">
        <f t="shared" si="8"/>
        <v>Indiana_1</v>
      </c>
      <c r="AI95">
        <v>1</v>
      </c>
      <c r="AJ95">
        <v>516.293389017344</v>
      </c>
      <c r="AK95" t="s">
        <v>3692</v>
      </c>
      <c r="AL95" t="str">
        <f t="shared" si="9"/>
        <v>Indiana_1</v>
      </c>
    </row>
    <row r="96" spans="2:38" x14ac:dyDescent="0.3">
      <c r="B96" s="90" t="s">
        <v>3896</v>
      </c>
      <c r="C96" s="90">
        <v>4.82</v>
      </c>
      <c r="D96" s="90">
        <v>40.04</v>
      </c>
      <c r="E96" s="755">
        <v>15.738395516752</v>
      </c>
      <c r="F96" s="90">
        <v>48.4</v>
      </c>
      <c r="G96" s="90">
        <v>2</v>
      </c>
      <c r="H96" s="90" t="s">
        <v>4394</v>
      </c>
      <c r="I96" s="90">
        <v>35.94</v>
      </c>
      <c r="J96" s="2243" t="s">
        <v>4168</v>
      </c>
      <c r="L96">
        <v>6</v>
      </c>
      <c r="M96">
        <v>50</v>
      </c>
      <c r="T96">
        <v>4</v>
      </c>
      <c r="V96">
        <f t="shared" si="5"/>
        <v>2</v>
      </c>
      <c r="W96" t="str">
        <f t="shared" si="6"/>
        <v>Indiana (North Central)</v>
      </c>
      <c r="Z96" t="str">
        <f t="shared" si="7"/>
        <v>Indiana</v>
      </c>
      <c r="AA96" t="str">
        <f t="shared" si="8"/>
        <v>Indiana_2</v>
      </c>
      <c r="AI96">
        <v>2</v>
      </c>
      <c r="AJ96">
        <v>529.91207153440325</v>
      </c>
      <c r="AK96" t="s">
        <v>3692</v>
      </c>
      <c r="AL96" t="str">
        <f t="shared" si="9"/>
        <v>Indiana_2</v>
      </c>
    </row>
    <row r="97" spans="2:38" x14ac:dyDescent="0.3">
      <c r="B97" s="90" t="s">
        <v>3897</v>
      </c>
      <c r="C97" s="90">
        <v>4.4800000000000004</v>
      </c>
      <c r="D97" s="90">
        <v>38.760000000000012</v>
      </c>
      <c r="E97" s="755">
        <v>15.428100231231999</v>
      </c>
      <c r="F97" s="90">
        <v>47.180000000000007</v>
      </c>
      <c r="G97" s="90">
        <v>3</v>
      </c>
      <c r="H97" s="90" t="s">
        <v>4395</v>
      </c>
      <c r="I97" s="90">
        <v>32.340000000000003</v>
      </c>
      <c r="J97" s="2243" t="s">
        <v>4168</v>
      </c>
      <c r="L97">
        <v>6</v>
      </c>
      <c r="M97">
        <v>50</v>
      </c>
      <c r="T97">
        <v>4</v>
      </c>
      <c r="V97">
        <f t="shared" si="5"/>
        <v>3</v>
      </c>
      <c r="W97" t="str">
        <f t="shared" si="6"/>
        <v>Indiana (Northeast)</v>
      </c>
      <c r="Z97" t="str">
        <f t="shared" si="7"/>
        <v>Indiana</v>
      </c>
      <c r="AA97" t="str">
        <f t="shared" si="8"/>
        <v>Indiana_3</v>
      </c>
      <c r="AI97">
        <v>3</v>
      </c>
      <c r="AJ97">
        <v>496.40039572837958</v>
      </c>
      <c r="AK97" t="s">
        <v>3692</v>
      </c>
      <c r="AL97" t="str">
        <f t="shared" si="9"/>
        <v>Indiana_3</v>
      </c>
    </row>
    <row r="98" spans="2:38" x14ac:dyDescent="0.3">
      <c r="B98" s="90" t="s">
        <v>3898</v>
      </c>
      <c r="C98" s="90">
        <v>4.82</v>
      </c>
      <c r="D98" s="90">
        <v>43.029999999999987</v>
      </c>
      <c r="E98" s="755">
        <v>16.952453298383997</v>
      </c>
      <c r="F98" s="90">
        <v>60.03</v>
      </c>
      <c r="G98" s="90">
        <v>4</v>
      </c>
      <c r="H98" s="90" t="s">
        <v>4396</v>
      </c>
      <c r="I98" s="90">
        <v>35.31</v>
      </c>
      <c r="J98" s="2238" t="s">
        <v>4172</v>
      </c>
      <c r="L98">
        <v>6.4</v>
      </c>
      <c r="M98">
        <v>49</v>
      </c>
      <c r="T98">
        <v>4.25</v>
      </c>
      <c r="V98">
        <f t="shared" si="5"/>
        <v>4</v>
      </c>
      <c r="W98" t="str">
        <f t="shared" si="6"/>
        <v>Indiana (West Central)</v>
      </c>
      <c r="Z98" t="str">
        <f t="shared" si="7"/>
        <v>Indiana</v>
      </c>
      <c r="AA98" t="str">
        <f t="shared" si="8"/>
        <v>Indiana_4</v>
      </c>
      <c r="AI98">
        <v>4</v>
      </c>
      <c r="AJ98">
        <v>639.44190491331199</v>
      </c>
      <c r="AK98" t="s">
        <v>3692</v>
      </c>
      <c r="AL98" t="str">
        <f t="shared" si="9"/>
        <v>Indiana_4</v>
      </c>
    </row>
    <row r="99" spans="2:38" x14ac:dyDescent="0.3">
      <c r="B99" s="90" t="s">
        <v>3899</v>
      </c>
      <c r="C99" s="90">
        <v>4.82</v>
      </c>
      <c r="D99" s="90">
        <v>43.7</v>
      </c>
      <c r="E99" s="755">
        <v>17.102710521040002</v>
      </c>
      <c r="F99" s="90">
        <v>57.28</v>
      </c>
      <c r="G99" s="90">
        <v>5</v>
      </c>
      <c r="H99" s="90" t="s">
        <v>4397</v>
      </c>
      <c r="I99" s="90">
        <v>28.76</v>
      </c>
      <c r="J99" s="2238" t="s">
        <v>4172</v>
      </c>
      <c r="L99">
        <v>6.4</v>
      </c>
      <c r="M99">
        <v>49</v>
      </c>
      <c r="T99">
        <v>4.25</v>
      </c>
      <c r="V99">
        <f t="shared" si="5"/>
        <v>5</v>
      </c>
      <c r="W99" t="str">
        <f t="shared" si="6"/>
        <v>Indiana (Central)</v>
      </c>
      <c r="Z99" t="str">
        <f t="shared" si="7"/>
        <v>Indiana</v>
      </c>
      <c r="AA99" t="str">
        <f t="shared" si="8"/>
        <v>Indiana_5</v>
      </c>
      <c r="AI99">
        <v>5</v>
      </c>
      <c r="AJ99">
        <v>520.06889894143876</v>
      </c>
      <c r="AK99" t="s">
        <v>3692</v>
      </c>
      <c r="AL99" t="str">
        <f t="shared" si="9"/>
        <v>Indiana_5</v>
      </c>
    </row>
    <row r="100" spans="2:38" x14ac:dyDescent="0.3">
      <c r="B100" s="90" t="s">
        <v>3900</v>
      </c>
      <c r="C100" s="90">
        <v>4.82</v>
      </c>
      <c r="D100" s="90">
        <v>42.469999999999978</v>
      </c>
      <c r="E100" s="755">
        <v>16.322072700784002</v>
      </c>
      <c r="F100" s="90">
        <v>52.38</v>
      </c>
      <c r="G100" s="90">
        <v>6</v>
      </c>
      <c r="H100" s="90" t="s">
        <v>4397</v>
      </c>
      <c r="I100" s="90">
        <v>28.76</v>
      </c>
      <c r="J100" s="2238" t="s">
        <v>4172</v>
      </c>
      <c r="L100">
        <v>6.4</v>
      </c>
      <c r="M100">
        <v>49</v>
      </c>
      <c r="T100">
        <v>4.25</v>
      </c>
      <c r="V100">
        <f t="shared" si="5"/>
        <v>6</v>
      </c>
      <c r="W100" t="str">
        <f t="shared" si="6"/>
        <v>Indiana (East Central)</v>
      </c>
      <c r="Z100" t="str">
        <f t="shared" si="7"/>
        <v>Indiana</v>
      </c>
      <c r="AA100" t="str">
        <f t="shared" si="8"/>
        <v>Indiana_6</v>
      </c>
      <c r="AI100">
        <v>6</v>
      </c>
      <c r="AJ100">
        <v>509.39913911193679</v>
      </c>
      <c r="AK100" t="s">
        <v>3692</v>
      </c>
      <c r="AL100" t="str">
        <f t="shared" si="9"/>
        <v>Indiana_6</v>
      </c>
    </row>
    <row r="101" spans="2:38" x14ac:dyDescent="0.3">
      <c r="B101" s="90" t="s">
        <v>3901</v>
      </c>
      <c r="C101" s="90">
        <v>5.63</v>
      </c>
      <c r="D101" s="90">
        <v>47.98</v>
      </c>
      <c r="E101" s="755">
        <v>19.071596410816003</v>
      </c>
      <c r="F101" s="90">
        <v>76.570000000000007</v>
      </c>
      <c r="G101" s="90">
        <v>7</v>
      </c>
      <c r="H101" s="90" t="s">
        <v>4398</v>
      </c>
      <c r="I101" s="90">
        <v>35.549999999999997</v>
      </c>
      <c r="J101" s="2238" t="s">
        <v>4172</v>
      </c>
      <c r="L101">
        <v>7.15</v>
      </c>
      <c r="M101">
        <v>47</v>
      </c>
      <c r="T101">
        <v>4.75</v>
      </c>
      <c r="V101">
        <f t="shared" si="5"/>
        <v>7</v>
      </c>
      <c r="W101" t="str">
        <f t="shared" si="6"/>
        <v>Indiana (Southwest)</v>
      </c>
      <c r="Z101" t="str">
        <f t="shared" si="7"/>
        <v>Indiana</v>
      </c>
      <c r="AA101" t="str">
        <f t="shared" si="8"/>
        <v>Indiana_7</v>
      </c>
      <c r="AI101">
        <v>7</v>
      </c>
      <c r="AJ101">
        <v>721.22589896319357</v>
      </c>
      <c r="AK101" t="s">
        <v>3692</v>
      </c>
      <c r="AL101" t="str">
        <f t="shared" si="9"/>
        <v>Indiana_7</v>
      </c>
    </row>
    <row r="102" spans="2:38" x14ac:dyDescent="0.3">
      <c r="B102" s="90" t="s">
        <v>3902</v>
      </c>
      <c r="C102" s="90">
        <v>4.82</v>
      </c>
      <c r="D102" s="90">
        <v>48.789999999999992</v>
      </c>
      <c r="E102" s="755">
        <v>18.685614771168002</v>
      </c>
      <c r="F102" s="90">
        <v>68.919999999999987</v>
      </c>
      <c r="G102" s="90">
        <v>8</v>
      </c>
      <c r="H102" s="90" t="s">
        <v>4398</v>
      </c>
      <c r="I102" s="90">
        <v>35.549999999999997</v>
      </c>
      <c r="J102" s="2238" t="s">
        <v>4172</v>
      </c>
      <c r="L102">
        <v>7.15</v>
      </c>
      <c r="M102">
        <v>47</v>
      </c>
      <c r="T102">
        <v>4.75</v>
      </c>
      <c r="V102">
        <f t="shared" si="5"/>
        <v>8</v>
      </c>
      <c r="W102" t="str">
        <f t="shared" si="6"/>
        <v>Indiana (South Central)</v>
      </c>
      <c r="Z102" t="str">
        <f t="shared" si="7"/>
        <v>Indiana</v>
      </c>
      <c r="AA102" t="str">
        <f t="shared" si="8"/>
        <v>Indiana_8</v>
      </c>
      <c r="AI102">
        <v>8</v>
      </c>
      <c r="AJ102">
        <v>770.13639268112252</v>
      </c>
      <c r="AK102" t="s">
        <v>3692</v>
      </c>
      <c r="AL102" t="str">
        <f t="shared" si="9"/>
        <v>Indiana_8</v>
      </c>
    </row>
    <row r="103" spans="2:38" x14ac:dyDescent="0.3">
      <c r="B103" s="90" t="s">
        <v>3903</v>
      </c>
      <c r="C103" s="90">
        <v>5.0199999999999996</v>
      </c>
      <c r="D103" s="90">
        <v>47.400000000000013</v>
      </c>
      <c r="E103" s="755">
        <v>18.455877231007996</v>
      </c>
      <c r="F103" s="90">
        <v>66.789999999999992</v>
      </c>
      <c r="G103" s="90">
        <v>9</v>
      </c>
      <c r="H103" s="90" t="s">
        <v>4399</v>
      </c>
      <c r="I103" s="90">
        <v>30</v>
      </c>
      <c r="J103" s="2238" t="s">
        <v>4172</v>
      </c>
      <c r="L103">
        <v>7.15</v>
      </c>
      <c r="M103">
        <v>47</v>
      </c>
      <c r="T103">
        <v>4.75</v>
      </c>
      <c r="V103">
        <f t="shared" si="5"/>
        <v>9</v>
      </c>
      <c r="W103" t="str">
        <f t="shared" si="6"/>
        <v>Indiana (Southeast)</v>
      </c>
      <c r="Z103" t="str">
        <f t="shared" si="7"/>
        <v>Indiana</v>
      </c>
      <c r="AA103" t="str">
        <f t="shared" si="8"/>
        <v>Indiana_9</v>
      </c>
      <c r="AI103">
        <v>9</v>
      </c>
      <c r="AJ103">
        <v>710.08606893007118</v>
      </c>
      <c r="AK103" t="s">
        <v>3692</v>
      </c>
      <c r="AL103" t="str">
        <f t="shared" si="9"/>
        <v>Indiana_9</v>
      </c>
    </row>
    <row r="104" spans="2:38" x14ac:dyDescent="0.3">
      <c r="B104" s="90" t="s">
        <v>69</v>
      </c>
      <c r="C104" s="90">
        <v>5.68</v>
      </c>
      <c r="D104" s="90">
        <v>30.739999999999991</v>
      </c>
      <c r="E104" s="755">
        <v>12.651869171264</v>
      </c>
      <c r="F104" s="90">
        <v>43.85</v>
      </c>
      <c r="G104" s="90">
        <v>1</v>
      </c>
      <c r="H104" s="90" t="s">
        <v>4400</v>
      </c>
      <c r="I104" s="90">
        <v>35.93</v>
      </c>
      <c r="J104" s="2243" t="s">
        <v>4168</v>
      </c>
      <c r="L104">
        <v>5.5</v>
      </c>
      <c r="M104">
        <v>52.5</v>
      </c>
      <c r="T104">
        <v>3.75</v>
      </c>
      <c r="V104">
        <f t="shared" si="5"/>
        <v>1</v>
      </c>
      <c r="W104" t="str">
        <f t="shared" si="6"/>
        <v>Iowa (Northwest)</v>
      </c>
      <c r="Z104" t="str">
        <f t="shared" si="7"/>
        <v>Iowa</v>
      </c>
      <c r="AA104" t="str">
        <f t="shared" si="8"/>
        <v>Iowa_1</v>
      </c>
      <c r="AI104">
        <v>1</v>
      </c>
      <c r="AJ104">
        <v>526.53608727756534</v>
      </c>
      <c r="AK104" t="s">
        <v>3693</v>
      </c>
      <c r="AL104" t="str">
        <f t="shared" si="9"/>
        <v>Iowa_1</v>
      </c>
    </row>
    <row r="105" spans="2:38" x14ac:dyDescent="0.3">
      <c r="B105" s="90" t="s">
        <v>3904</v>
      </c>
      <c r="C105" s="90">
        <v>5.47</v>
      </c>
      <c r="D105" s="90">
        <v>35.22</v>
      </c>
      <c r="E105" s="755">
        <v>13.973888898607999</v>
      </c>
      <c r="F105" s="90">
        <v>39.86</v>
      </c>
      <c r="G105" s="90">
        <v>2</v>
      </c>
      <c r="H105" s="90" t="s">
        <v>4400</v>
      </c>
      <c r="I105" s="90">
        <v>35.93</v>
      </c>
      <c r="J105" s="2243" t="s">
        <v>4168</v>
      </c>
      <c r="L105">
        <v>5.5</v>
      </c>
      <c r="M105">
        <v>52.5</v>
      </c>
      <c r="T105">
        <v>3.75</v>
      </c>
      <c r="V105">
        <f t="shared" si="5"/>
        <v>2</v>
      </c>
      <c r="W105" t="str">
        <f t="shared" si="6"/>
        <v>Iowa (North Central)</v>
      </c>
      <c r="Z105" t="str">
        <f t="shared" si="7"/>
        <v>Iowa</v>
      </c>
      <c r="AA105" t="str">
        <f t="shared" si="8"/>
        <v>Iowa_2</v>
      </c>
      <c r="AI105">
        <v>2</v>
      </c>
      <c r="AJ105">
        <v>490.73855875892502</v>
      </c>
      <c r="AK105" t="s">
        <v>3693</v>
      </c>
      <c r="AL105" t="str">
        <f t="shared" si="9"/>
        <v>Iowa_2</v>
      </c>
    </row>
    <row r="106" spans="2:38" x14ac:dyDescent="0.3">
      <c r="B106" s="90" t="s">
        <v>3905</v>
      </c>
      <c r="C106" s="90">
        <v>5.57</v>
      </c>
      <c r="D106" s="90">
        <v>38.01</v>
      </c>
      <c r="E106" s="755">
        <v>14.824665828720002</v>
      </c>
      <c r="F106" s="90">
        <v>38.049999999999997</v>
      </c>
      <c r="G106" s="90">
        <v>3</v>
      </c>
      <c r="H106" s="90" t="s">
        <v>4401</v>
      </c>
      <c r="I106" s="90">
        <v>40.29</v>
      </c>
      <c r="J106" s="2243" t="s">
        <v>4168</v>
      </c>
      <c r="L106">
        <v>5.5</v>
      </c>
      <c r="M106">
        <v>52.5</v>
      </c>
      <c r="T106">
        <v>3.75</v>
      </c>
      <c r="V106">
        <f t="shared" si="5"/>
        <v>3</v>
      </c>
      <c r="W106" t="str">
        <f t="shared" si="6"/>
        <v>Iowa (Northeast)</v>
      </c>
      <c r="Z106" t="str">
        <f t="shared" si="7"/>
        <v>Iowa</v>
      </c>
      <c r="AA106" t="str">
        <f t="shared" si="8"/>
        <v>Iowa_3</v>
      </c>
      <c r="AI106">
        <v>3</v>
      </c>
      <c r="AJ106">
        <v>541.16971238750989</v>
      </c>
      <c r="AK106" t="s">
        <v>3693</v>
      </c>
      <c r="AL106" t="str">
        <f t="shared" si="9"/>
        <v>Iowa_3</v>
      </c>
    </row>
    <row r="107" spans="2:38" x14ac:dyDescent="0.3">
      <c r="B107" s="90" t="s">
        <v>3906</v>
      </c>
      <c r="C107" s="90">
        <v>5.47</v>
      </c>
      <c r="D107" s="90">
        <v>33.119999999999997</v>
      </c>
      <c r="E107" s="755">
        <v>13.726184166272002</v>
      </c>
      <c r="F107" s="90">
        <v>49.03</v>
      </c>
      <c r="G107" s="90">
        <v>4</v>
      </c>
      <c r="H107" s="90" t="s">
        <v>4402</v>
      </c>
      <c r="I107" s="90">
        <v>40.42</v>
      </c>
      <c r="J107" s="2243" t="s">
        <v>4168</v>
      </c>
      <c r="L107">
        <v>6</v>
      </c>
      <c r="M107">
        <v>50</v>
      </c>
      <c r="T107">
        <v>4</v>
      </c>
      <c r="V107">
        <f t="shared" si="5"/>
        <v>4</v>
      </c>
      <c r="W107" t="str">
        <f t="shared" si="6"/>
        <v>Iowa (West Central)</v>
      </c>
      <c r="Z107" t="str">
        <f t="shared" si="7"/>
        <v>Iowa</v>
      </c>
      <c r="AA107" t="str">
        <f t="shared" si="8"/>
        <v>Iowa_4</v>
      </c>
      <c r="AI107">
        <v>4</v>
      </c>
      <c r="AJ107">
        <v>556.33343573373895</v>
      </c>
      <c r="AK107" t="s">
        <v>3693</v>
      </c>
      <c r="AL107" t="str">
        <f t="shared" si="9"/>
        <v>Iowa_4</v>
      </c>
    </row>
    <row r="108" spans="2:38" x14ac:dyDescent="0.3">
      <c r="B108" s="90" t="s">
        <v>3907</v>
      </c>
      <c r="C108" s="90">
        <v>5.47</v>
      </c>
      <c r="D108" s="90">
        <v>36.049999999999997</v>
      </c>
      <c r="E108" s="755">
        <v>14.693328554175999</v>
      </c>
      <c r="F108" s="90">
        <v>48.42</v>
      </c>
      <c r="G108" s="90">
        <v>5</v>
      </c>
      <c r="H108" s="90" t="s">
        <v>4403</v>
      </c>
      <c r="I108" s="90">
        <v>41.5</v>
      </c>
      <c r="J108" s="2243" t="s">
        <v>4168</v>
      </c>
      <c r="L108">
        <v>6</v>
      </c>
      <c r="M108">
        <v>50</v>
      </c>
      <c r="T108">
        <v>4</v>
      </c>
      <c r="V108">
        <f t="shared" si="5"/>
        <v>5</v>
      </c>
      <c r="W108" t="str">
        <f t="shared" si="6"/>
        <v>Iowa (Central)</v>
      </c>
      <c r="Z108" t="str">
        <f t="shared" si="7"/>
        <v>Iowa</v>
      </c>
      <c r="AA108" t="str">
        <f t="shared" si="8"/>
        <v>Iowa_5</v>
      </c>
      <c r="AI108">
        <v>5</v>
      </c>
      <c r="AJ108">
        <v>515.56017291794421</v>
      </c>
      <c r="AK108" t="s">
        <v>3693</v>
      </c>
      <c r="AL108" t="str">
        <f t="shared" si="9"/>
        <v>Iowa_5</v>
      </c>
    </row>
    <row r="109" spans="2:38" x14ac:dyDescent="0.3">
      <c r="B109" s="90" t="s">
        <v>3908</v>
      </c>
      <c r="C109" s="90">
        <v>5.47</v>
      </c>
      <c r="D109" s="90">
        <v>37.56</v>
      </c>
      <c r="E109" s="755">
        <v>14.97449522984</v>
      </c>
      <c r="F109" s="90">
        <v>49.34</v>
      </c>
      <c r="G109" s="90">
        <v>6</v>
      </c>
      <c r="H109" s="90" t="s">
        <v>4403</v>
      </c>
      <c r="I109" s="90">
        <v>41.5</v>
      </c>
      <c r="J109" s="2243" t="s">
        <v>4168</v>
      </c>
      <c r="L109">
        <v>6</v>
      </c>
      <c r="M109">
        <v>50</v>
      </c>
      <c r="T109">
        <v>4</v>
      </c>
      <c r="V109">
        <f t="shared" si="5"/>
        <v>6</v>
      </c>
      <c r="W109" t="str">
        <f t="shared" si="6"/>
        <v>Iowa (East Central)</v>
      </c>
      <c r="Z109" t="str">
        <f t="shared" si="7"/>
        <v>Iowa</v>
      </c>
      <c r="AA109" t="str">
        <f t="shared" si="8"/>
        <v>Iowa_6</v>
      </c>
      <c r="AI109">
        <v>6</v>
      </c>
      <c r="AJ109">
        <v>557.11038477595241</v>
      </c>
      <c r="AK109" t="s">
        <v>3693</v>
      </c>
      <c r="AL109" t="str">
        <f t="shared" si="9"/>
        <v>Iowa_6</v>
      </c>
    </row>
    <row r="110" spans="2:38" x14ac:dyDescent="0.3">
      <c r="B110" s="90" t="s">
        <v>3909</v>
      </c>
      <c r="C110" s="90">
        <v>6</v>
      </c>
      <c r="D110" s="90">
        <v>35.5</v>
      </c>
      <c r="E110" s="755">
        <v>14.915916487807998</v>
      </c>
      <c r="F110" s="90">
        <v>57.61</v>
      </c>
      <c r="G110" s="90">
        <v>7</v>
      </c>
      <c r="H110" s="90" t="s">
        <v>4404</v>
      </c>
      <c r="I110" s="90">
        <v>43</v>
      </c>
      <c r="J110" s="2243" t="s">
        <v>4168</v>
      </c>
      <c r="L110">
        <v>6.4</v>
      </c>
      <c r="M110">
        <v>49</v>
      </c>
      <c r="T110">
        <v>4.25</v>
      </c>
      <c r="V110">
        <f t="shared" si="5"/>
        <v>7</v>
      </c>
      <c r="W110" t="str">
        <f t="shared" si="6"/>
        <v>Iowa (Southwest)</v>
      </c>
      <c r="Z110" t="str">
        <f t="shared" si="7"/>
        <v>Iowa</v>
      </c>
      <c r="AA110" t="str">
        <f t="shared" si="8"/>
        <v>Iowa_7</v>
      </c>
      <c r="AI110">
        <v>7</v>
      </c>
      <c r="AJ110">
        <v>603.33019940466431</v>
      </c>
      <c r="AK110" t="s">
        <v>3693</v>
      </c>
      <c r="AL110" t="str">
        <f t="shared" si="9"/>
        <v>Iowa_7</v>
      </c>
    </row>
    <row r="111" spans="2:38" x14ac:dyDescent="0.3">
      <c r="B111" s="90" t="s">
        <v>3910</v>
      </c>
      <c r="C111" s="90">
        <v>5.47</v>
      </c>
      <c r="D111" s="90">
        <v>37.1</v>
      </c>
      <c r="E111" s="755">
        <v>15.092228829408</v>
      </c>
      <c r="F111" s="90">
        <v>55.78</v>
      </c>
      <c r="G111" s="90">
        <v>8</v>
      </c>
      <c r="H111" s="90" t="s">
        <v>4404</v>
      </c>
      <c r="I111" s="90">
        <v>43</v>
      </c>
      <c r="J111" s="2243" t="s">
        <v>4168</v>
      </c>
      <c r="L111">
        <v>6.4</v>
      </c>
      <c r="M111">
        <v>49</v>
      </c>
      <c r="T111">
        <v>4.25</v>
      </c>
      <c r="V111">
        <f t="shared" si="5"/>
        <v>8</v>
      </c>
      <c r="W111" t="str">
        <f t="shared" si="6"/>
        <v>Iowa (South Central)</v>
      </c>
      <c r="Z111" t="str">
        <f t="shared" si="7"/>
        <v>Iowa</v>
      </c>
      <c r="AA111" t="str">
        <f t="shared" si="8"/>
        <v>Iowa_8</v>
      </c>
      <c r="AI111">
        <v>8</v>
      </c>
      <c r="AJ111">
        <v>604.37675153098849</v>
      </c>
      <c r="AK111" t="s">
        <v>3693</v>
      </c>
      <c r="AL111" t="str">
        <f t="shared" si="9"/>
        <v>Iowa_8</v>
      </c>
    </row>
    <row r="112" spans="2:38" x14ac:dyDescent="0.3">
      <c r="B112" s="90" t="s">
        <v>3911</v>
      </c>
      <c r="C112" s="90">
        <v>5.57</v>
      </c>
      <c r="D112" s="90">
        <v>37.86</v>
      </c>
      <c r="E112" s="755">
        <v>15.661888952624002</v>
      </c>
      <c r="F112" s="90">
        <v>57.61</v>
      </c>
      <c r="G112" s="90">
        <v>9</v>
      </c>
      <c r="H112" s="90" t="s">
        <v>4405</v>
      </c>
      <c r="I112" s="90">
        <v>41.18</v>
      </c>
      <c r="J112" s="2238" t="s">
        <v>4172</v>
      </c>
      <c r="L112">
        <v>6.4</v>
      </c>
      <c r="M112">
        <v>49</v>
      </c>
      <c r="T112">
        <v>4.25</v>
      </c>
      <c r="V112">
        <f t="shared" si="5"/>
        <v>9</v>
      </c>
      <c r="W112" t="str">
        <f t="shared" si="6"/>
        <v>Iowa (Southeast)</v>
      </c>
      <c r="Z112" t="str">
        <f t="shared" si="7"/>
        <v>Iowa</v>
      </c>
      <c r="AA112" t="str">
        <f t="shared" si="8"/>
        <v>Iowa_9</v>
      </c>
      <c r="AI112">
        <v>9</v>
      </c>
      <c r="AJ112">
        <v>615.41729447554189</v>
      </c>
      <c r="AK112" t="s">
        <v>3693</v>
      </c>
      <c r="AL112" t="str">
        <f t="shared" si="9"/>
        <v>Iowa_9</v>
      </c>
    </row>
    <row r="113" spans="2:38" x14ac:dyDescent="0.3">
      <c r="B113" s="90" t="s">
        <v>3912</v>
      </c>
      <c r="C113" s="90">
        <v>4.3099999999999996</v>
      </c>
      <c r="D113" s="90">
        <v>20.990000000000009</v>
      </c>
      <c r="E113" s="755">
        <v>9.6483205187200003</v>
      </c>
      <c r="F113" s="90">
        <v>67.09</v>
      </c>
      <c r="G113" s="90">
        <v>1</v>
      </c>
      <c r="H113" s="90" t="s">
        <v>4406</v>
      </c>
      <c r="I113" s="90">
        <v>63.85</v>
      </c>
      <c r="J113" s="2241" t="s">
        <v>4173</v>
      </c>
      <c r="L113">
        <v>7.15</v>
      </c>
      <c r="M113">
        <v>47</v>
      </c>
      <c r="T113">
        <v>4.75</v>
      </c>
      <c r="V113">
        <f t="shared" si="5"/>
        <v>1</v>
      </c>
      <c r="W113" t="str">
        <f t="shared" si="6"/>
        <v>Kansas (Northwest)</v>
      </c>
      <c r="Z113" t="str">
        <f t="shared" si="7"/>
        <v>Kansas</v>
      </c>
      <c r="AA113" t="str">
        <f t="shared" si="8"/>
        <v>Kansas_1</v>
      </c>
      <c r="AI113">
        <v>1</v>
      </c>
      <c r="AJ113">
        <v>573.49169971759682</v>
      </c>
      <c r="AK113" t="s">
        <v>3694</v>
      </c>
      <c r="AL113" t="str">
        <f t="shared" si="9"/>
        <v>Kansas_1</v>
      </c>
    </row>
    <row r="114" spans="2:38" x14ac:dyDescent="0.3">
      <c r="B114" s="90" t="s">
        <v>3913</v>
      </c>
      <c r="C114" s="90">
        <v>5.24</v>
      </c>
      <c r="D114" s="90">
        <v>27.88</v>
      </c>
      <c r="E114" s="755">
        <v>12.711092270271999</v>
      </c>
      <c r="F114" s="90">
        <v>76.89</v>
      </c>
      <c r="G114" s="90">
        <v>2</v>
      </c>
      <c r="H114" s="90" t="s">
        <v>4407</v>
      </c>
      <c r="I114" s="90">
        <v>51.37</v>
      </c>
      <c r="J114" s="2241" t="s">
        <v>4173</v>
      </c>
      <c r="L114">
        <v>7.15</v>
      </c>
      <c r="M114">
        <v>47</v>
      </c>
      <c r="T114">
        <v>4.75</v>
      </c>
      <c r="V114">
        <f t="shared" si="5"/>
        <v>2</v>
      </c>
      <c r="W114" t="str">
        <f t="shared" si="6"/>
        <v>Kansas (North Central)</v>
      </c>
      <c r="Z114" t="str">
        <f t="shared" si="7"/>
        <v>Kansas</v>
      </c>
      <c r="AA114" t="str">
        <f t="shared" si="8"/>
        <v>Kansas_2</v>
      </c>
      <c r="AI114">
        <v>2</v>
      </c>
      <c r="AJ114">
        <v>666.59648447307495</v>
      </c>
      <c r="AK114" t="s">
        <v>3694</v>
      </c>
      <c r="AL114" t="str">
        <f t="shared" si="9"/>
        <v>Kansas_2</v>
      </c>
    </row>
    <row r="115" spans="2:38" x14ac:dyDescent="0.3">
      <c r="B115" s="90" t="s">
        <v>3914</v>
      </c>
      <c r="C115" s="90">
        <v>5.96</v>
      </c>
      <c r="D115" s="90">
        <v>35.19</v>
      </c>
      <c r="E115" s="755">
        <v>15.766692105584003</v>
      </c>
      <c r="F115" s="90">
        <v>75.989999999999995</v>
      </c>
      <c r="G115" s="90">
        <v>3</v>
      </c>
      <c r="H115" s="90" t="s">
        <v>4408</v>
      </c>
      <c r="I115" s="90">
        <v>48.02</v>
      </c>
      <c r="J115" s="2238" t="s">
        <v>4172</v>
      </c>
      <c r="L115">
        <v>7.15</v>
      </c>
      <c r="M115">
        <v>47</v>
      </c>
      <c r="T115">
        <v>4.75</v>
      </c>
      <c r="V115">
        <f t="shared" si="5"/>
        <v>3</v>
      </c>
      <c r="W115" t="str">
        <f t="shared" si="6"/>
        <v>Kansas (Northeast)</v>
      </c>
      <c r="Z115" t="str">
        <f t="shared" si="7"/>
        <v>Kansas</v>
      </c>
      <c r="AA115" t="str">
        <f t="shared" si="8"/>
        <v>Kansas_3</v>
      </c>
      <c r="AI115">
        <v>3</v>
      </c>
      <c r="AJ115">
        <v>688.28940114104387</v>
      </c>
      <c r="AK115" t="s">
        <v>3694</v>
      </c>
      <c r="AL115" t="str">
        <f t="shared" si="9"/>
        <v>Kansas_3</v>
      </c>
    </row>
    <row r="116" spans="2:38" x14ac:dyDescent="0.3">
      <c r="B116" s="90" t="s">
        <v>3915</v>
      </c>
      <c r="C116" s="90">
        <v>5.24</v>
      </c>
      <c r="D116" s="90">
        <v>20.309999999999999</v>
      </c>
      <c r="E116" s="755">
        <v>9.6374058202080004</v>
      </c>
      <c r="F116" s="90">
        <v>73.510000000000005</v>
      </c>
      <c r="G116" s="90">
        <v>4</v>
      </c>
      <c r="H116" s="90" t="s">
        <v>4409</v>
      </c>
      <c r="I116" s="90">
        <v>62.67</v>
      </c>
      <c r="J116" s="2241" t="s">
        <v>4173</v>
      </c>
      <c r="L116">
        <v>7.5</v>
      </c>
      <c r="M116">
        <v>46</v>
      </c>
      <c r="T116">
        <v>5</v>
      </c>
      <c r="V116">
        <f t="shared" si="5"/>
        <v>4</v>
      </c>
      <c r="W116" t="str">
        <f t="shared" si="6"/>
        <v>Kansas (West Central)</v>
      </c>
      <c r="Z116" t="str">
        <f t="shared" si="7"/>
        <v>Kansas</v>
      </c>
      <c r="AA116" t="str">
        <f t="shared" si="8"/>
        <v>Kansas_4</v>
      </c>
      <c r="AI116">
        <v>4</v>
      </c>
      <c r="AJ116">
        <v>567.56362903124136</v>
      </c>
      <c r="AK116" t="s">
        <v>3694</v>
      </c>
      <c r="AL116" t="str">
        <f t="shared" si="9"/>
        <v>Kansas_4</v>
      </c>
    </row>
    <row r="117" spans="2:38" x14ac:dyDescent="0.3">
      <c r="B117" s="90" t="s">
        <v>3916</v>
      </c>
      <c r="C117" s="90">
        <v>5.24</v>
      </c>
      <c r="D117" s="90">
        <v>29.18</v>
      </c>
      <c r="E117" s="755">
        <v>13.712392827247999</v>
      </c>
      <c r="F117" s="90">
        <v>84.23</v>
      </c>
      <c r="G117" s="90">
        <v>5</v>
      </c>
      <c r="H117" s="90" t="s">
        <v>4410</v>
      </c>
      <c r="I117" s="90">
        <v>62.65</v>
      </c>
      <c r="J117" s="2241" t="s">
        <v>4173</v>
      </c>
      <c r="L117">
        <v>7.5</v>
      </c>
      <c r="M117">
        <v>46</v>
      </c>
      <c r="T117">
        <v>5</v>
      </c>
      <c r="V117">
        <f t="shared" si="5"/>
        <v>5</v>
      </c>
      <c r="W117" t="str">
        <f t="shared" si="6"/>
        <v>Kansas (Central)</v>
      </c>
      <c r="Z117" t="str">
        <f t="shared" si="7"/>
        <v>Kansas</v>
      </c>
      <c r="AA117" t="str">
        <f t="shared" si="8"/>
        <v>Kansas_5</v>
      </c>
      <c r="AI117">
        <v>5</v>
      </c>
      <c r="AJ117">
        <v>699.51513750166032</v>
      </c>
      <c r="AK117" t="s">
        <v>3694</v>
      </c>
      <c r="AL117" t="str">
        <f t="shared" si="9"/>
        <v>Kansas_5</v>
      </c>
    </row>
    <row r="118" spans="2:38" x14ac:dyDescent="0.3">
      <c r="B118" s="90" t="s">
        <v>3917</v>
      </c>
      <c r="C118" s="90">
        <v>5.24</v>
      </c>
      <c r="D118" s="90">
        <v>37.700000000000003</v>
      </c>
      <c r="E118" s="755">
        <v>16.462776117359997</v>
      </c>
      <c r="F118" s="90">
        <v>82.11</v>
      </c>
      <c r="G118" s="90">
        <v>6</v>
      </c>
      <c r="H118" s="90" t="s">
        <v>4411</v>
      </c>
      <c r="I118" s="90">
        <v>49.46</v>
      </c>
      <c r="J118" s="2238" t="s">
        <v>4172</v>
      </c>
      <c r="L118">
        <v>7.5</v>
      </c>
      <c r="M118">
        <v>46</v>
      </c>
      <c r="T118">
        <v>5</v>
      </c>
      <c r="V118">
        <f t="shared" si="5"/>
        <v>6</v>
      </c>
      <c r="W118" t="str">
        <f t="shared" si="6"/>
        <v>Kansas (East Central)</v>
      </c>
      <c r="Z118" t="str">
        <f t="shared" si="7"/>
        <v>Kansas</v>
      </c>
      <c r="AA118" t="str">
        <f t="shared" si="8"/>
        <v>Kansas_6</v>
      </c>
      <c r="AI118">
        <v>6</v>
      </c>
      <c r="AJ118">
        <v>687.39117269046631</v>
      </c>
      <c r="AK118" t="s">
        <v>3694</v>
      </c>
      <c r="AL118" t="str">
        <f t="shared" si="9"/>
        <v>Kansas_6</v>
      </c>
    </row>
    <row r="119" spans="2:38" x14ac:dyDescent="0.3">
      <c r="B119" s="90" t="s">
        <v>3918</v>
      </c>
      <c r="C119" s="90">
        <v>4.3899999999999997</v>
      </c>
      <c r="D119" s="90">
        <v>20.149999999999999</v>
      </c>
      <c r="E119" s="755">
        <v>9.4012417706560019</v>
      </c>
      <c r="F119" s="90">
        <v>81.78</v>
      </c>
      <c r="G119" s="90">
        <v>7</v>
      </c>
      <c r="H119" s="90" t="s">
        <v>4412</v>
      </c>
      <c r="I119" s="90">
        <v>67.849999999999994</v>
      </c>
      <c r="J119" s="2241" t="s">
        <v>4173</v>
      </c>
      <c r="L119">
        <v>8.25</v>
      </c>
      <c r="M119">
        <v>44</v>
      </c>
      <c r="T119">
        <v>5.25</v>
      </c>
      <c r="V119">
        <f t="shared" si="5"/>
        <v>7</v>
      </c>
      <c r="W119" t="str">
        <f t="shared" si="6"/>
        <v>Kansas (Southwest)</v>
      </c>
      <c r="Z119" t="str">
        <f t="shared" si="7"/>
        <v>Kansas</v>
      </c>
      <c r="AA119" t="str">
        <f t="shared" si="8"/>
        <v>Kansas_7</v>
      </c>
      <c r="AI119">
        <v>7</v>
      </c>
      <c r="AJ119">
        <v>659.76828727109887</v>
      </c>
      <c r="AK119" t="s">
        <v>3694</v>
      </c>
      <c r="AL119" t="str">
        <f t="shared" si="9"/>
        <v>Kansas_7</v>
      </c>
    </row>
    <row r="120" spans="2:38" x14ac:dyDescent="0.3">
      <c r="B120" s="90" t="s">
        <v>3919</v>
      </c>
      <c r="C120" s="90">
        <v>5.24</v>
      </c>
      <c r="D120" s="90">
        <v>29.73</v>
      </c>
      <c r="E120" s="755">
        <v>14.054615935312002</v>
      </c>
      <c r="F120" s="90">
        <v>90.660000000000011</v>
      </c>
      <c r="G120" s="90">
        <v>8</v>
      </c>
      <c r="H120" s="90" t="s">
        <v>4413</v>
      </c>
      <c r="I120" s="90">
        <v>49</v>
      </c>
      <c r="J120" s="2241" t="s">
        <v>4173</v>
      </c>
      <c r="L120">
        <v>8.25</v>
      </c>
      <c r="M120">
        <v>44</v>
      </c>
      <c r="T120">
        <v>5.25</v>
      </c>
      <c r="V120">
        <f t="shared" si="5"/>
        <v>8</v>
      </c>
      <c r="W120" t="str">
        <f t="shared" si="6"/>
        <v>Kansas (South Central)</v>
      </c>
      <c r="Z120" t="str">
        <f t="shared" si="7"/>
        <v>Kansas</v>
      </c>
      <c r="AA120" t="str">
        <f t="shared" si="8"/>
        <v>Kansas_8</v>
      </c>
      <c r="AI120">
        <v>8</v>
      </c>
      <c r="AJ120">
        <v>762.55035878423746</v>
      </c>
      <c r="AK120" t="s">
        <v>3694</v>
      </c>
      <c r="AL120" t="str">
        <f t="shared" si="9"/>
        <v>Kansas_8</v>
      </c>
    </row>
    <row r="121" spans="2:38" x14ac:dyDescent="0.3">
      <c r="B121" s="90" t="s">
        <v>3920</v>
      </c>
      <c r="C121" s="90">
        <v>6.91</v>
      </c>
      <c r="D121" s="90">
        <v>40.770000000000003</v>
      </c>
      <c r="E121" s="755">
        <v>17.766452012096</v>
      </c>
      <c r="F121" s="90">
        <v>89.449999999999989</v>
      </c>
      <c r="G121" s="90">
        <v>9</v>
      </c>
      <c r="H121" s="90" t="s">
        <v>4414</v>
      </c>
      <c r="I121" s="90">
        <v>42.59</v>
      </c>
      <c r="J121" s="2238" t="s">
        <v>4172</v>
      </c>
      <c r="L121">
        <v>8.25</v>
      </c>
      <c r="M121">
        <v>44</v>
      </c>
      <c r="T121">
        <v>5.25</v>
      </c>
      <c r="V121">
        <f t="shared" si="5"/>
        <v>9</v>
      </c>
      <c r="W121" t="str">
        <f t="shared" si="6"/>
        <v>Kansas (Southeast)</v>
      </c>
      <c r="Z121" t="str">
        <f t="shared" si="7"/>
        <v>Kansas</v>
      </c>
      <c r="AA121" t="str">
        <f t="shared" si="8"/>
        <v>Kansas_9</v>
      </c>
      <c r="AI121">
        <v>9</v>
      </c>
      <c r="AJ121">
        <v>739.31277311207907</v>
      </c>
      <c r="AK121" t="s">
        <v>3694</v>
      </c>
      <c r="AL121" t="str">
        <f t="shared" si="9"/>
        <v>Kansas_9</v>
      </c>
    </row>
    <row r="122" spans="2:38" x14ac:dyDescent="0.3">
      <c r="B122" s="90" t="s">
        <v>3921</v>
      </c>
      <c r="C122" s="90">
        <v>6.23</v>
      </c>
      <c r="D122" s="90">
        <v>50.56</v>
      </c>
      <c r="E122" s="755">
        <v>19.891722421311997</v>
      </c>
      <c r="F122" s="90">
        <v>89.43</v>
      </c>
      <c r="G122" s="90">
        <v>1</v>
      </c>
      <c r="H122" s="90" t="s">
        <v>4415</v>
      </c>
      <c r="I122" s="90">
        <v>27.88</v>
      </c>
      <c r="J122" s="2238" t="s">
        <v>4172</v>
      </c>
      <c r="L122">
        <v>9</v>
      </c>
      <c r="M122">
        <v>42</v>
      </c>
      <c r="T122">
        <v>5.5</v>
      </c>
      <c r="V122">
        <f t="shared" si="5"/>
        <v>1</v>
      </c>
      <c r="W122" t="str">
        <f t="shared" si="6"/>
        <v>Kentucky (Western)</v>
      </c>
      <c r="Z122" t="str">
        <f t="shared" si="7"/>
        <v>Kentucky</v>
      </c>
      <c r="AA122" t="str">
        <f t="shared" si="8"/>
        <v>Kentucky_1</v>
      </c>
      <c r="AI122">
        <v>1</v>
      </c>
      <c r="AJ122">
        <v>786.53497431476728</v>
      </c>
      <c r="AK122" t="s">
        <v>3695</v>
      </c>
      <c r="AL122" t="str">
        <f t="shared" si="9"/>
        <v>Kentucky_1</v>
      </c>
    </row>
    <row r="123" spans="2:38" x14ac:dyDescent="0.3">
      <c r="B123" t="s">
        <v>3922</v>
      </c>
      <c r="C123">
        <v>5.39</v>
      </c>
      <c r="D123">
        <v>52</v>
      </c>
      <c r="E123" s="78">
        <v>19.833467826272003</v>
      </c>
      <c r="F123">
        <v>78.72</v>
      </c>
      <c r="G123">
        <v>2</v>
      </c>
      <c r="H123" t="s">
        <v>4416</v>
      </c>
      <c r="I123" s="90">
        <v>49</v>
      </c>
      <c r="J123" s="2238" t="s">
        <v>4172</v>
      </c>
      <c r="L123">
        <v>9</v>
      </c>
      <c r="M123">
        <v>42</v>
      </c>
      <c r="T123">
        <v>5.5</v>
      </c>
      <c r="V123">
        <f t="shared" si="5"/>
        <v>2</v>
      </c>
      <c r="W123" t="str">
        <f t="shared" si="6"/>
        <v>Kentucky (Central)</v>
      </c>
      <c r="Z123" t="str">
        <f t="shared" si="7"/>
        <v>Kentucky</v>
      </c>
      <c r="AA123" t="str">
        <f t="shared" si="8"/>
        <v>Kentucky_2</v>
      </c>
      <c r="AI123">
        <v>2</v>
      </c>
      <c r="AJ123">
        <v>767.29234279830825</v>
      </c>
      <c r="AK123" t="s">
        <v>3695</v>
      </c>
      <c r="AL123" t="str">
        <f t="shared" si="9"/>
        <v>Kentucky_2</v>
      </c>
    </row>
    <row r="124" spans="2:38" x14ac:dyDescent="0.3">
      <c r="B124" t="s">
        <v>3923</v>
      </c>
      <c r="C124">
        <v>5.68</v>
      </c>
      <c r="D124">
        <v>49.02</v>
      </c>
      <c r="E124" s="78">
        <v>18.833492728656001</v>
      </c>
      <c r="F124">
        <v>70.760000000000005</v>
      </c>
      <c r="G124">
        <v>3</v>
      </c>
      <c r="H124" t="s">
        <v>4417</v>
      </c>
      <c r="I124" s="90">
        <v>34.51</v>
      </c>
      <c r="J124" s="2238" t="s">
        <v>4172</v>
      </c>
      <c r="L124">
        <v>8.25</v>
      </c>
      <c r="M124">
        <v>44</v>
      </c>
      <c r="T124">
        <v>5.25</v>
      </c>
      <c r="V124">
        <f t="shared" si="5"/>
        <v>3</v>
      </c>
      <c r="W124" t="str">
        <f t="shared" si="6"/>
        <v>Kentucky (Blue Grass)</v>
      </c>
      <c r="Z124" t="str">
        <f t="shared" si="7"/>
        <v>Kentucky</v>
      </c>
      <c r="AA124" t="str">
        <f t="shared" si="8"/>
        <v>Kentucky_3</v>
      </c>
      <c r="AI124">
        <v>3</v>
      </c>
      <c r="AJ124">
        <v>686.66444722482186</v>
      </c>
      <c r="AK124" t="s">
        <v>3695</v>
      </c>
      <c r="AL124" t="str">
        <f t="shared" si="9"/>
        <v>Kentucky_3</v>
      </c>
    </row>
    <row r="125" spans="2:38" x14ac:dyDescent="0.3">
      <c r="B125" t="s">
        <v>3924</v>
      </c>
      <c r="C125">
        <v>4.87</v>
      </c>
      <c r="D125">
        <v>50.010000000000012</v>
      </c>
      <c r="E125" s="78">
        <v>18.886513727728005</v>
      </c>
      <c r="F125">
        <v>67.099999999999994</v>
      </c>
      <c r="G125">
        <v>4</v>
      </c>
      <c r="H125" t="s">
        <v>4418</v>
      </c>
      <c r="I125" s="90">
        <v>27.99</v>
      </c>
      <c r="J125" s="2238" t="s">
        <v>4172</v>
      </c>
      <c r="L125">
        <v>9</v>
      </c>
      <c r="M125">
        <v>42</v>
      </c>
      <c r="T125">
        <v>5.5</v>
      </c>
      <c r="V125">
        <f t="shared" si="5"/>
        <v>4</v>
      </c>
      <c r="W125" t="str">
        <f t="shared" si="6"/>
        <v>Kentucky (Eastern)</v>
      </c>
      <c r="Z125" t="str">
        <f t="shared" si="7"/>
        <v>Kentucky</v>
      </c>
      <c r="AA125" t="str">
        <f t="shared" si="8"/>
        <v>Kentucky_4</v>
      </c>
      <c r="AI125">
        <v>4</v>
      </c>
      <c r="AJ125">
        <v>790.97956384415806</v>
      </c>
      <c r="AK125" t="s">
        <v>3695</v>
      </c>
      <c r="AL125" t="str">
        <f t="shared" si="9"/>
        <v>Kentucky_4</v>
      </c>
    </row>
    <row r="126" spans="2:38" x14ac:dyDescent="0.3">
      <c r="B126" t="s">
        <v>3925</v>
      </c>
      <c r="C126">
        <v>7.61</v>
      </c>
      <c r="D126">
        <v>53.809999999999988</v>
      </c>
      <c r="E126" s="78">
        <v>22.503533528512005</v>
      </c>
      <c r="F126">
        <v>138.97</v>
      </c>
      <c r="G126">
        <v>1</v>
      </c>
      <c r="H126" t="s">
        <v>4419</v>
      </c>
      <c r="I126" s="90">
        <v>64.55</v>
      </c>
      <c r="J126" s="2238" t="s">
        <v>4172</v>
      </c>
      <c r="L126">
        <v>10.5</v>
      </c>
      <c r="M126">
        <v>39</v>
      </c>
      <c r="T126">
        <v>6.25</v>
      </c>
      <c r="V126">
        <f t="shared" si="5"/>
        <v>1</v>
      </c>
      <c r="W126" t="str">
        <f t="shared" si="6"/>
        <v>Louisiana (Northwest)</v>
      </c>
      <c r="Z126" t="str">
        <f t="shared" si="7"/>
        <v>Louisiana</v>
      </c>
      <c r="AA126" t="str">
        <f t="shared" si="8"/>
        <v>Louisiana_1</v>
      </c>
      <c r="AI126">
        <v>1</v>
      </c>
      <c r="AJ126">
        <v>996.88724157007198</v>
      </c>
      <c r="AK126" t="s">
        <v>3696</v>
      </c>
      <c r="AL126" t="str">
        <f t="shared" si="9"/>
        <v>Louisiana_1</v>
      </c>
    </row>
    <row r="127" spans="2:38" x14ac:dyDescent="0.3">
      <c r="B127" t="s">
        <v>3926</v>
      </c>
      <c r="C127">
        <v>9.9600000000000009</v>
      </c>
      <c r="D127">
        <v>56.83</v>
      </c>
      <c r="E127" s="78">
        <v>22.792566346160001</v>
      </c>
      <c r="F127">
        <v>133.46</v>
      </c>
      <c r="G127">
        <v>2</v>
      </c>
      <c r="H127" t="s">
        <v>4419</v>
      </c>
      <c r="I127" s="90">
        <v>64.55</v>
      </c>
      <c r="J127" s="2238" t="s">
        <v>4172</v>
      </c>
      <c r="L127">
        <v>10.5</v>
      </c>
      <c r="M127">
        <v>39</v>
      </c>
      <c r="T127">
        <v>6.25</v>
      </c>
      <c r="V127">
        <f t="shared" si="5"/>
        <v>2</v>
      </c>
      <c r="W127" t="str">
        <f t="shared" si="6"/>
        <v>Louisiana (North Central)</v>
      </c>
      <c r="Z127" t="str">
        <f t="shared" si="7"/>
        <v>Louisiana</v>
      </c>
      <c r="AA127" t="str">
        <f t="shared" si="8"/>
        <v>Louisiana_2</v>
      </c>
      <c r="AI127">
        <v>2</v>
      </c>
      <c r="AJ127">
        <v>1050.6867528222931</v>
      </c>
      <c r="AK127" t="s">
        <v>3696</v>
      </c>
      <c r="AL127" t="str">
        <f t="shared" si="9"/>
        <v>Louisiana_2</v>
      </c>
    </row>
    <row r="128" spans="2:38" x14ac:dyDescent="0.3">
      <c r="B128" t="s">
        <v>3927</v>
      </c>
      <c r="C128">
        <v>7.89</v>
      </c>
      <c r="D128">
        <v>57.02</v>
      </c>
      <c r="E128" s="78">
        <v>23.195898380063994</v>
      </c>
      <c r="F128">
        <v>138.66</v>
      </c>
      <c r="G128">
        <v>3</v>
      </c>
      <c r="H128" t="s">
        <v>4420</v>
      </c>
      <c r="I128">
        <v>52</v>
      </c>
      <c r="J128" s="2239" t="s">
        <v>4176</v>
      </c>
      <c r="L128">
        <v>10.5</v>
      </c>
      <c r="M128">
        <v>39</v>
      </c>
      <c r="T128">
        <v>6.25</v>
      </c>
      <c r="V128">
        <f t="shared" si="5"/>
        <v>3</v>
      </c>
      <c r="W128" t="str">
        <f t="shared" si="6"/>
        <v>Louisiana (Northeast)</v>
      </c>
      <c r="Z128" t="str">
        <f t="shared" si="7"/>
        <v>Louisiana</v>
      </c>
      <c r="AA128" t="str">
        <f t="shared" si="8"/>
        <v>Louisiana_3</v>
      </c>
      <c r="AI128">
        <v>3</v>
      </c>
      <c r="AJ128">
        <v>824.9709965767114</v>
      </c>
      <c r="AK128" t="s">
        <v>3696</v>
      </c>
      <c r="AL128" t="str">
        <f t="shared" si="9"/>
        <v>Louisiana_3</v>
      </c>
    </row>
    <row r="129" spans="2:38" x14ac:dyDescent="0.3">
      <c r="B129" t="s">
        <v>3928</v>
      </c>
      <c r="C129">
        <v>9.9600000000000009</v>
      </c>
      <c r="D129">
        <v>58.110000000000007</v>
      </c>
      <c r="E129" s="78">
        <v>23.702058501248004</v>
      </c>
      <c r="F129">
        <v>142.01</v>
      </c>
      <c r="G129">
        <v>4</v>
      </c>
      <c r="H129" t="s">
        <v>4419</v>
      </c>
      <c r="I129" s="90">
        <v>64.55</v>
      </c>
      <c r="J129" s="2239" t="s">
        <v>4176</v>
      </c>
      <c r="L129">
        <v>11</v>
      </c>
      <c r="M129">
        <v>38</v>
      </c>
      <c r="T129">
        <v>6.5</v>
      </c>
      <c r="V129">
        <f t="shared" si="5"/>
        <v>4</v>
      </c>
      <c r="W129" t="str">
        <f t="shared" si="6"/>
        <v>Louisiana (West Central)</v>
      </c>
      <c r="Z129" t="str">
        <f t="shared" si="7"/>
        <v>Louisiana</v>
      </c>
      <c r="AA129" t="str">
        <f t="shared" si="8"/>
        <v>Louisiana_4</v>
      </c>
      <c r="AI129">
        <v>4</v>
      </c>
      <c r="AJ129">
        <v>1078.5206534490119</v>
      </c>
      <c r="AK129" t="s">
        <v>3696</v>
      </c>
      <c r="AL129" t="str">
        <f t="shared" si="9"/>
        <v>Louisiana_4</v>
      </c>
    </row>
    <row r="130" spans="2:38" x14ac:dyDescent="0.3">
      <c r="B130" t="s">
        <v>3929</v>
      </c>
      <c r="C130">
        <v>9.9600000000000009</v>
      </c>
      <c r="D130">
        <v>59.400000000000013</v>
      </c>
      <c r="E130" s="78">
        <v>24.714000790848001</v>
      </c>
      <c r="F130">
        <v>147.82</v>
      </c>
      <c r="G130">
        <v>5</v>
      </c>
      <c r="H130" t="s">
        <v>4420</v>
      </c>
      <c r="I130">
        <v>52</v>
      </c>
      <c r="J130" s="2239" t="s">
        <v>4176</v>
      </c>
      <c r="L130">
        <v>11</v>
      </c>
      <c r="M130">
        <v>38</v>
      </c>
      <c r="T130">
        <v>6.5</v>
      </c>
      <c r="V130">
        <f t="shared" si="5"/>
        <v>5</v>
      </c>
      <c r="W130" t="str">
        <f t="shared" si="6"/>
        <v>Louisiana (Central)</v>
      </c>
      <c r="Z130" t="str">
        <f t="shared" si="7"/>
        <v>Louisiana</v>
      </c>
      <c r="AA130" t="str">
        <f t="shared" si="8"/>
        <v>Louisiana_5</v>
      </c>
      <c r="AI130">
        <v>5</v>
      </c>
      <c r="AJ130">
        <v>984.25262311588961</v>
      </c>
      <c r="AK130" t="s">
        <v>3696</v>
      </c>
      <c r="AL130" t="str">
        <f t="shared" si="9"/>
        <v>Louisiana_5</v>
      </c>
    </row>
    <row r="131" spans="2:38" x14ac:dyDescent="0.3">
      <c r="B131" t="s">
        <v>3930</v>
      </c>
      <c r="C131">
        <v>9.9600000000000009</v>
      </c>
      <c r="D131">
        <v>63.72999999999999</v>
      </c>
      <c r="E131" s="78">
        <v>26.116688499775996</v>
      </c>
      <c r="F131">
        <v>150.87</v>
      </c>
      <c r="G131">
        <v>6</v>
      </c>
      <c r="H131" t="s">
        <v>4421</v>
      </c>
      <c r="I131">
        <v>59.34</v>
      </c>
      <c r="J131" s="2239" t="s">
        <v>4176</v>
      </c>
      <c r="L131">
        <v>11.5</v>
      </c>
      <c r="M131">
        <v>36.5</v>
      </c>
      <c r="T131">
        <v>6.75</v>
      </c>
      <c r="V131">
        <f t="shared" si="5"/>
        <v>6</v>
      </c>
      <c r="W131" t="str">
        <f t="shared" si="6"/>
        <v>Louisiana (East Central)</v>
      </c>
      <c r="Z131" t="str">
        <f t="shared" si="7"/>
        <v>Louisiana</v>
      </c>
      <c r="AA131" t="str">
        <f t="shared" si="8"/>
        <v>Louisiana_6</v>
      </c>
      <c r="AI131">
        <v>6</v>
      </c>
      <c r="AJ131">
        <v>1062.2685102687749</v>
      </c>
      <c r="AK131" t="s">
        <v>3696</v>
      </c>
      <c r="AL131" t="str">
        <f t="shared" si="9"/>
        <v>Louisiana_6</v>
      </c>
    </row>
    <row r="132" spans="2:38" x14ac:dyDescent="0.3">
      <c r="B132" t="s">
        <v>3931</v>
      </c>
      <c r="C132">
        <v>10.4</v>
      </c>
      <c r="D132">
        <v>60.91</v>
      </c>
      <c r="E132" s="78">
        <v>26.377143888688003</v>
      </c>
      <c r="F132">
        <v>159.37</v>
      </c>
      <c r="G132">
        <v>7</v>
      </c>
      <c r="H132" t="s">
        <v>4422</v>
      </c>
      <c r="I132">
        <v>60.13</v>
      </c>
      <c r="J132" s="2239" t="s">
        <v>4176</v>
      </c>
      <c r="L132">
        <v>11.5</v>
      </c>
      <c r="M132">
        <v>36.5</v>
      </c>
      <c r="T132">
        <v>6.75</v>
      </c>
      <c r="V132">
        <f t="shared" si="5"/>
        <v>7</v>
      </c>
      <c r="W132" t="str">
        <f t="shared" si="6"/>
        <v>Louisiana (Southwest)</v>
      </c>
      <c r="Z132" t="str">
        <f t="shared" si="7"/>
        <v>Louisiana</v>
      </c>
      <c r="AA132" t="str">
        <f t="shared" si="8"/>
        <v>Louisiana_7</v>
      </c>
      <c r="AI132">
        <v>7</v>
      </c>
      <c r="AJ132">
        <v>1022.027524763953</v>
      </c>
      <c r="AK132" t="s">
        <v>3696</v>
      </c>
      <c r="AL132" t="str">
        <f t="shared" si="9"/>
        <v>Louisiana_7</v>
      </c>
    </row>
    <row r="133" spans="2:38" x14ac:dyDescent="0.3">
      <c r="B133" t="s">
        <v>3932</v>
      </c>
      <c r="C133">
        <v>9.9600000000000009</v>
      </c>
      <c r="D133">
        <v>61.97</v>
      </c>
      <c r="E133" s="78">
        <v>26.789321067232009</v>
      </c>
      <c r="F133">
        <v>162.41999999999999</v>
      </c>
      <c r="G133">
        <v>8</v>
      </c>
      <c r="H133" t="s">
        <v>4422</v>
      </c>
      <c r="I133">
        <v>60.13</v>
      </c>
      <c r="J133" s="2239" t="s">
        <v>4176</v>
      </c>
      <c r="L133">
        <v>11.5</v>
      </c>
      <c r="M133">
        <v>36.5</v>
      </c>
      <c r="T133">
        <v>6.75</v>
      </c>
      <c r="V133">
        <f t="shared" si="5"/>
        <v>8</v>
      </c>
      <c r="W133" t="str">
        <f t="shared" si="6"/>
        <v>Louisiana (South Central)</v>
      </c>
      <c r="Z133" t="str">
        <f t="shared" si="7"/>
        <v>Louisiana</v>
      </c>
      <c r="AA133" t="str">
        <f t="shared" si="8"/>
        <v>Louisiana_8</v>
      </c>
      <c r="AI133">
        <v>8</v>
      </c>
      <c r="AJ133">
        <v>1086.1535773498811</v>
      </c>
      <c r="AK133" t="s">
        <v>3696</v>
      </c>
      <c r="AL133" t="str">
        <f t="shared" si="9"/>
        <v>Louisiana_8</v>
      </c>
    </row>
    <row r="134" spans="2:38" x14ac:dyDescent="0.3">
      <c r="B134" t="s">
        <v>3933</v>
      </c>
      <c r="C134">
        <v>9.25</v>
      </c>
      <c r="D134">
        <v>62.59</v>
      </c>
      <c r="E134" s="78">
        <v>28.108661004464</v>
      </c>
      <c r="F134">
        <v>168.2</v>
      </c>
      <c r="G134">
        <v>9</v>
      </c>
      <c r="H134" t="s">
        <v>4423</v>
      </c>
      <c r="I134">
        <v>57.96</v>
      </c>
      <c r="J134" s="2239" t="s">
        <v>4176</v>
      </c>
      <c r="L134">
        <v>11.5</v>
      </c>
      <c r="M134">
        <v>36.5</v>
      </c>
      <c r="T134">
        <v>6.75</v>
      </c>
      <c r="V134">
        <f t="shared" si="5"/>
        <v>9</v>
      </c>
      <c r="W134" t="str">
        <f t="shared" si="6"/>
        <v>Louisiana (Southeast)</v>
      </c>
      <c r="Z134" t="str">
        <f t="shared" si="7"/>
        <v>Louisiana</v>
      </c>
      <c r="AA134" t="str">
        <f t="shared" si="8"/>
        <v>Louisiana_9</v>
      </c>
      <c r="AI134">
        <v>9</v>
      </c>
      <c r="AJ134">
        <v>1237.167023768538</v>
      </c>
      <c r="AK134" t="s">
        <v>3696</v>
      </c>
      <c r="AL134" t="str">
        <f t="shared" si="9"/>
        <v>Louisiana_9</v>
      </c>
    </row>
    <row r="135" spans="2:38" x14ac:dyDescent="0.3">
      <c r="B135" s="90" t="s">
        <v>3934</v>
      </c>
      <c r="C135" s="90">
        <v>4.5199999999999996</v>
      </c>
      <c r="D135" s="90">
        <v>43.930000000000007</v>
      </c>
      <c r="E135" s="755">
        <v>13.041932175872001</v>
      </c>
      <c r="F135" s="90">
        <v>8.99</v>
      </c>
      <c r="G135" s="90">
        <v>1</v>
      </c>
      <c r="H135" t="s">
        <v>4424</v>
      </c>
      <c r="I135" s="90">
        <v>27</v>
      </c>
      <c r="J135" s="2243" t="s">
        <v>4168</v>
      </c>
      <c r="L135">
        <v>4.75</v>
      </c>
      <c r="M135">
        <v>57.5</v>
      </c>
      <c r="T135">
        <v>3.25</v>
      </c>
      <c r="V135">
        <f t="shared" si="5"/>
        <v>1</v>
      </c>
      <c r="W135" t="str">
        <f t="shared" si="6"/>
        <v>Maine (North)</v>
      </c>
      <c r="Z135" t="str">
        <f t="shared" si="7"/>
        <v>Maine</v>
      </c>
      <c r="AA135" t="str">
        <f t="shared" si="8"/>
        <v>Maine_1</v>
      </c>
      <c r="AI135">
        <v>1</v>
      </c>
      <c r="AJ135">
        <v>488.19404091595248</v>
      </c>
      <c r="AK135" t="s">
        <v>3697</v>
      </c>
      <c r="AL135" t="str">
        <f t="shared" si="9"/>
        <v>Maine_1</v>
      </c>
    </row>
    <row r="136" spans="2:38" x14ac:dyDescent="0.3">
      <c r="B136" s="90" t="s">
        <v>3935</v>
      </c>
      <c r="C136" s="90">
        <v>4.9400000000000004</v>
      </c>
      <c r="D136" s="90">
        <v>46.689999999999991</v>
      </c>
      <c r="E136" s="755">
        <v>14.417152692320002</v>
      </c>
      <c r="F136" s="90">
        <v>20.69</v>
      </c>
      <c r="G136" s="90">
        <v>2</v>
      </c>
      <c r="H136" t="s">
        <v>4425</v>
      </c>
      <c r="I136" s="90">
        <v>26</v>
      </c>
      <c r="J136" s="2243" t="s">
        <v>4168</v>
      </c>
      <c r="L136">
        <v>5</v>
      </c>
      <c r="M136">
        <v>55</v>
      </c>
      <c r="T136">
        <v>3.5</v>
      </c>
      <c r="V136">
        <f t="shared" si="5"/>
        <v>2</v>
      </c>
      <c r="W136" t="str">
        <f t="shared" si="6"/>
        <v>Maine (South Interior)</v>
      </c>
      <c r="Z136" t="str">
        <f t="shared" si="7"/>
        <v>Maine</v>
      </c>
      <c r="AA136" t="str">
        <f t="shared" si="8"/>
        <v>Maine_2</v>
      </c>
      <c r="AI136">
        <v>2</v>
      </c>
      <c r="AJ136">
        <v>533.56968315718552</v>
      </c>
      <c r="AK136" t="s">
        <v>3697</v>
      </c>
      <c r="AL136" t="str">
        <f t="shared" si="9"/>
        <v>Maine_2</v>
      </c>
    </row>
    <row r="137" spans="2:38" x14ac:dyDescent="0.3">
      <c r="B137" s="90" t="s">
        <v>3936</v>
      </c>
      <c r="C137" s="90">
        <v>6.49</v>
      </c>
      <c r="D137" s="90">
        <v>49.210000000000008</v>
      </c>
      <c r="E137" s="755">
        <v>15.161049041583999</v>
      </c>
      <c r="F137" s="90">
        <v>16.43</v>
      </c>
      <c r="G137" s="90">
        <v>3</v>
      </c>
      <c r="H137" t="s">
        <v>4425</v>
      </c>
      <c r="I137" s="90">
        <v>26</v>
      </c>
      <c r="J137" s="2243" t="s">
        <v>4168</v>
      </c>
      <c r="L137">
        <v>5.5</v>
      </c>
      <c r="M137">
        <v>52.5</v>
      </c>
      <c r="T137">
        <v>3.75</v>
      </c>
      <c r="V137">
        <f t="shared" si="5"/>
        <v>3</v>
      </c>
      <c r="W137" t="str">
        <f t="shared" si="6"/>
        <v>Maine (Coastal)</v>
      </c>
      <c r="Z137" t="str">
        <f t="shared" si="7"/>
        <v>Maine</v>
      </c>
      <c r="AA137" t="str">
        <f t="shared" si="8"/>
        <v>Maine_3</v>
      </c>
      <c r="AI137">
        <v>3</v>
      </c>
      <c r="AJ137">
        <v>562.67553758427528</v>
      </c>
      <c r="AK137" t="s">
        <v>3697</v>
      </c>
      <c r="AL137" t="str">
        <f t="shared" si="9"/>
        <v>Maine_3</v>
      </c>
    </row>
    <row r="138" spans="2:38" x14ac:dyDescent="0.3">
      <c r="B138" s="90" t="s">
        <v>3937</v>
      </c>
      <c r="C138" s="90">
        <v>6.71</v>
      </c>
      <c r="D138" s="90">
        <v>45.6</v>
      </c>
      <c r="E138" s="755">
        <v>18.664829993600002</v>
      </c>
      <c r="F138" s="90">
        <v>81.789999999999992</v>
      </c>
      <c r="G138" s="90">
        <v>1</v>
      </c>
      <c r="H138" t="s">
        <v>4426</v>
      </c>
      <c r="I138" s="90">
        <v>31.62</v>
      </c>
      <c r="J138" s="2238" t="s">
        <v>4172</v>
      </c>
      <c r="L138">
        <v>9</v>
      </c>
      <c r="M138">
        <v>42</v>
      </c>
      <c r="T138">
        <v>5.5</v>
      </c>
      <c r="V138">
        <f t="shared" si="5"/>
        <v>1</v>
      </c>
      <c r="W138" t="str">
        <f t="shared" si="6"/>
        <v>Maryland (Southeastern Shore)</v>
      </c>
      <c r="Z138" t="str">
        <f t="shared" si="7"/>
        <v>Maryland</v>
      </c>
      <c r="AA138" t="str">
        <f t="shared" si="8"/>
        <v>Maryland_1</v>
      </c>
      <c r="AI138">
        <v>1</v>
      </c>
      <c r="AJ138">
        <v>804.15621395810365</v>
      </c>
      <c r="AK138" t="s">
        <v>3698</v>
      </c>
      <c r="AL138" t="str">
        <f t="shared" si="9"/>
        <v>Maryland_1</v>
      </c>
    </row>
    <row r="139" spans="2:38" x14ac:dyDescent="0.3">
      <c r="B139" s="90" t="s">
        <v>3938</v>
      </c>
      <c r="C139" s="90">
        <v>6.16</v>
      </c>
      <c r="D139" s="90">
        <v>45.330000000000013</v>
      </c>
      <c r="E139" s="755">
        <v>19.090225020336003</v>
      </c>
      <c r="F139" s="90">
        <v>81.179999999999993</v>
      </c>
      <c r="G139" s="90">
        <v>2</v>
      </c>
      <c r="H139" t="s">
        <v>4427</v>
      </c>
      <c r="I139" s="90">
        <v>33.82</v>
      </c>
      <c r="J139" s="2238" t="s">
        <v>4172</v>
      </c>
      <c r="L139">
        <v>9</v>
      </c>
      <c r="M139">
        <v>42</v>
      </c>
      <c r="T139">
        <v>5.5</v>
      </c>
      <c r="V139">
        <f t="shared" si="5"/>
        <v>2</v>
      </c>
      <c r="W139" t="str">
        <f t="shared" si="6"/>
        <v>Maryland (Central Eastern Shore)</v>
      </c>
      <c r="Z139" t="str">
        <f t="shared" si="7"/>
        <v>Maryland</v>
      </c>
      <c r="AA139" t="str">
        <f t="shared" si="8"/>
        <v>Maryland_2</v>
      </c>
      <c r="AI139">
        <v>2</v>
      </c>
      <c r="AJ139">
        <v>801.86236911377125</v>
      </c>
      <c r="AK139" t="s">
        <v>3698</v>
      </c>
      <c r="AL139" t="str">
        <f t="shared" si="9"/>
        <v>Maryland_2</v>
      </c>
    </row>
    <row r="140" spans="2:38" x14ac:dyDescent="0.3">
      <c r="B140" s="90" t="s">
        <v>3939</v>
      </c>
      <c r="C140" s="90">
        <v>6.71</v>
      </c>
      <c r="D140" s="90">
        <v>44.68</v>
      </c>
      <c r="E140" s="755">
        <v>18.357293238352</v>
      </c>
      <c r="F140" s="90">
        <v>83.64</v>
      </c>
      <c r="G140" s="90">
        <v>3</v>
      </c>
      <c r="H140" t="s">
        <v>4427</v>
      </c>
      <c r="I140" s="90">
        <v>33.82</v>
      </c>
      <c r="J140" s="2238" t="s">
        <v>4172</v>
      </c>
      <c r="L140">
        <v>9</v>
      </c>
      <c r="M140">
        <v>42</v>
      </c>
      <c r="T140">
        <v>5.5</v>
      </c>
      <c r="V140">
        <f t="shared" si="5"/>
        <v>3</v>
      </c>
      <c r="W140" t="str">
        <f t="shared" si="6"/>
        <v>Maryland (Lower Southern)</v>
      </c>
      <c r="Z140" t="str">
        <f t="shared" si="7"/>
        <v>Maryland</v>
      </c>
      <c r="AA140" t="str">
        <f t="shared" si="8"/>
        <v>Maryland_3</v>
      </c>
      <c r="AI140">
        <v>3</v>
      </c>
      <c r="AJ140">
        <v>858.89022808757329</v>
      </c>
      <c r="AK140" t="s">
        <v>3698</v>
      </c>
      <c r="AL140" t="str">
        <f t="shared" si="9"/>
        <v>Maryland_3</v>
      </c>
    </row>
    <row r="141" spans="2:38" x14ac:dyDescent="0.3">
      <c r="B141" s="90" t="s">
        <v>3940</v>
      </c>
      <c r="C141" s="90">
        <v>6.71</v>
      </c>
      <c r="D141" s="90">
        <v>45.27</v>
      </c>
      <c r="E141" s="755">
        <v>18.695377238672002</v>
      </c>
      <c r="F141" s="90">
        <v>82.11</v>
      </c>
      <c r="G141" s="90">
        <v>4</v>
      </c>
      <c r="H141" t="s">
        <v>4427</v>
      </c>
      <c r="I141" s="90">
        <v>33.82</v>
      </c>
      <c r="J141" s="2238" t="s">
        <v>4172</v>
      </c>
      <c r="L141">
        <v>9</v>
      </c>
      <c r="M141">
        <v>42</v>
      </c>
      <c r="T141">
        <v>5.5</v>
      </c>
      <c r="V141">
        <f t="shared" si="5"/>
        <v>4</v>
      </c>
      <c r="W141" t="str">
        <f t="shared" si="6"/>
        <v>Maryland (Upper Southern)</v>
      </c>
      <c r="Z141" t="str">
        <f t="shared" si="7"/>
        <v>Maryland</v>
      </c>
      <c r="AA141" t="str">
        <f t="shared" si="8"/>
        <v>Maryland_4</v>
      </c>
      <c r="AI141">
        <v>4</v>
      </c>
      <c r="AJ141">
        <v>602.54231660656126</v>
      </c>
      <c r="AK141" t="s">
        <v>3698</v>
      </c>
      <c r="AL141" t="str">
        <f t="shared" si="9"/>
        <v>Maryland_4</v>
      </c>
    </row>
    <row r="142" spans="2:38" x14ac:dyDescent="0.3">
      <c r="B142" s="90" t="s">
        <v>3941</v>
      </c>
      <c r="C142" s="90">
        <v>5.88</v>
      </c>
      <c r="D142" s="90">
        <v>44.52</v>
      </c>
      <c r="E142" s="755">
        <v>18.090942836128004</v>
      </c>
      <c r="F142" s="90">
        <v>77.820000000000007</v>
      </c>
      <c r="G142" s="90">
        <v>5</v>
      </c>
      <c r="H142" t="s">
        <v>4426</v>
      </c>
      <c r="I142" s="90">
        <v>31.62</v>
      </c>
      <c r="J142" s="2238" t="s">
        <v>4172</v>
      </c>
      <c r="L142">
        <v>8.25</v>
      </c>
      <c r="M142">
        <v>44</v>
      </c>
      <c r="T142">
        <v>5.25</v>
      </c>
      <c r="V142">
        <f t="shared" si="5"/>
        <v>5</v>
      </c>
      <c r="W142" t="str">
        <f t="shared" si="6"/>
        <v>Maryland (Northeastern Shore)</v>
      </c>
      <c r="Z142" t="str">
        <f t="shared" si="7"/>
        <v>Maryland</v>
      </c>
      <c r="AA142" t="str">
        <f t="shared" si="8"/>
        <v>Maryland_5</v>
      </c>
      <c r="AI142">
        <v>5</v>
      </c>
      <c r="AJ142">
        <v>738.80373280306731</v>
      </c>
      <c r="AK142" t="s">
        <v>3698</v>
      </c>
      <c r="AL142" t="str">
        <f t="shared" si="9"/>
        <v>Maryland_5</v>
      </c>
    </row>
    <row r="143" spans="2:38" x14ac:dyDescent="0.3">
      <c r="B143" s="90" t="s">
        <v>3942</v>
      </c>
      <c r="C143" s="90">
        <v>6.16</v>
      </c>
      <c r="D143" s="90">
        <v>45.88</v>
      </c>
      <c r="E143" s="755">
        <v>17.609768280048002</v>
      </c>
      <c r="F143" s="90">
        <v>67.11999999999999</v>
      </c>
      <c r="G143" s="90">
        <v>6</v>
      </c>
      <c r="H143" t="s">
        <v>4428</v>
      </c>
      <c r="I143" s="90">
        <v>29.46</v>
      </c>
      <c r="J143" s="2238" t="s">
        <v>4172</v>
      </c>
      <c r="L143">
        <v>7.5</v>
      </c>
      <c r="M143">
        <v>46</v>
      </c>
      <c r="T143">
        <v>5</v>
      </c>
      <c r="V143">
        <f t="shared" si="5"/>
        <v>6</v>
      </c>
      <c r="W143" t="str">
        <f t="shared" si="6"/>
        <v>Maryland (North Central)</v>
      </c>
      <c r="Z143" t="str">
        <f t="shared" si="7"/>
        <v>Maryland</v>
      </c>
      <c r="AA143" t="str">
        <f t="shared" si="8"/>
        <v>Maryland_6</v>
      </c>
      <c r="AI143">
        <v>6</v>
      </c>
      <c r="AJ143">
        <v>613.20304360154933</v>
      </c>
      <c r="AK143" t="s">
        <v>3698</v>
      </c>
      <c r="AL143" t="str">
        <f t="shared" si="9"/>
        <v>Maryland_6</v>
      </c>
    </row>
    <row r="144" spans="2:38" x14ac:dyDescent="0.3">
      <c r="B144" s="90" t="s">
        <v>3943</v>
      </c>
      <c r="C144" s="90">
        <v>6.37</v>
      </c>
      <c r="D144" s="90">
        <v>40.770000000000003</v>
      </c>
      <c r="E144" s="755">
        <v>16.069038571951999</v>
      </c>
      <c r="F144" s="90">
        <v>57.61999999999999</v>
      </c>
      <c r="G144" s="90">
        <v>7</v>
      </c>
      <c r="H144" t="s">
        <v>4428</v>
      </c>
      <c r="I144" s="90">
        <v>29.46</v>
      </c>
      <c r="J144" s="2238" t="s">
        <v>4172</v>
      </c>
      <c r="L144">
        <v>7.15</v>
      </c>
      <c r="M144">
        <v>47</v>
      </c>
      <c r="T144">
        <v>4.75</v>
      </c>
      <c r="V144">
        <f t="shared" si="5"/>
        <v>7</v>
      </c>
      <c r="W144" t="str">
        <f t="shared" si="6"/>
        <v>Maryland (Appalacian Mountains)</v>
      </c>
      <c r="Z144" t="str">
        <f t="shared" si="7"/>
        <v>Maryland</v>
      </c>
      <c r="AA144" t="str">
        <f t="shared" si="8"/>
        <v>Maryland_7</v>
      </c>
      <c r="AI144">
        <v>7</v>
      </c>
      <c r="AJ144">
        <v>615.15435035943051</v>
      </c>
      <c r="AK144" t="s">
        <v>3698</v>
      </c>
      <c r="AL144" t="str">
        <f t="shared" si="9"/>
        <v>Maryland_7</v>
      </c>
    </row>
    <row r="145" spans="2:38" x14ac:dyDescent="0.3">
      <c r="B145" s="90" t="s">
        <v>3944</v>
      </c>
      <c r="C145" s="90">
        <v>6.37</v>
      </c>
      <c r="D145" s="90">
        <v>48.430000000000007</v>
      </c>
      <c r="E145" s="755">
        <v>16.201373221855999</v>
      </c>
      <c r="F145" s="90">
        <v>23.7</v>
      </c>
      <c r="G145" s="90">
        <v>8</v>
      </c>
      <c r="H145" t="s">
        <v>4428</v>
      </c>
      <c r="I145" s="90">
        <v>29.46</v>
      </c>
      <c r="J145" s="2238" t="s">
        <v>4172</v>
      </c>
      <c r="L145">
        <v>7.15</v>
      </c>
      <c r="M145">
        <v>47</v>
      </c>
      <c r="T145">
        <v>4.75</v>
      </c>
      <c r="V145">
        <f t="shared" si="5"/>
        <v>8</v>
      </c>
      <c r="W145" t="str">
        <f t="shared" si="6"/>
        <v>Maryland (Alleghney Plateau)</v>
      </c>
      <c r="Z145" t="str">
        <f t="shared" si="7"/>
        <v>Maryland</v>
      </c>
      <c r="AA145" t="str">
        <f t="shared" si="8"/>
        <v>Maryland_8</v>
      </c>
      <c r="AI145">
        <v>8</v>
      </c>
      <c r="AJ145">
        <v>581.58810180374667</v>
      </c>
      <c r="AK145" t="s">
        <v>3698</v>
      </c>
      <c r="AL145" t="str">
        <f t="shared" si="9"/>
        <v>Maryland_8</v>
      </c>
    </row>
    <row r="146" spans="2:38" x14ac:dyDescent="0.3">
      <c r="B146" s="90" t="s">
        <v>3945</v>
      </c>
      <c r="C146" s="90">
        <v>6.06</v>
      </c>
      <c r="D146" s="90">
        <v>49.440000000000012</v>
      </c>
      <c r="E146" s="755">
        <v>15.525075299951999</v>
      </c>
      <c r="F146" s="90">
        <v>24.03</v>
      </c>
      <c r="G146" s="90">
        <v>1</v>
      </c>
      <c r="H146" t="s">
        <v>4429</v>
      </c>
      <c r="I146" s="90">
        <v>25.66</v>
      </c>
      <c r="J146" s="2243" t="s">
        <v>4168</v>
      </c>
      <c r="L146">
        <v>7.15</v>
      </c>
      <c r="M146">
        <v>47</v>
      </c>
      <c r="T146">
        <v>4.75</v>
      </c>
      <c r="V146">
        <f t="shared" si="5"/>
        <v>1</v>
      </c>
      <c r="W146" t="str">
        <f t="shared" si="6"/>
        <v>Massachusetts (West)</v>
      </c>
      <c r="Z146" t="str">
        <f t="shared" si="7"/>
        <v>Massachusetts</v>
      </c>
      <c r="AA146" t="str">
        <f t="shared" si="8"/>
        <v>Massachusetts_1</v>
      </c>
      <c r="AI146">
        <v>1</v>
      </c>
      <c r="AJ146">
        <v>603.20131881950988</v>
      </c>
      <c r="AK146" t="s">
        <v>3699</v>
      </c>
      <c r="AL146" t="str">
        <f t="shared" si="9"/>
        <v>Massachusetts_1</v>
      </c>
    </row>
    <row r="147" spans="2:38" x14ac:dyDescent="0.3">
      <c r="B147" s="90" t="s">
        <v>3946</v>
      </c>
      <c r="C147" s="90">
        <v>5.81</v>
      </c>
      <c r="D147" s="90">
        <v>48.239999999999988</v>
      </c>
      <c r="E147" s="755">
        <v>16.142643561183998</v>
      </c>
      <c r="F147" s="90">
        <v>37.18</v>
      </c>
      <c r="G147" s="90">
        <v>2</v>
      </c>
      <c r="H147" t="s">
        <v>4429</v>
      </c>
      <c r="I147" s="90">
        <v>25.66</v>
      </c>
      <c r="J147" s="2243" t="s">
        <v>4168</v>
      </c>
      <c r="L147">
        <v>7.15</v>
      </c>
      <c r="M147">
        <v>47</v>
      </c>
      <c r="T147">
        <v>4.75</v>
      </c>
      <c r="V147">
        <f t="shared" si="5"/>
        <v>2</v>
      </c>
      <c r="W147" t="str">
        <f t="shared" si="6"/>
        <v>Massachusetts (Central)</v>
      </c>
      <c r="Z147" t="str">
        <f t="shared" si="7"/>
        <v>Massachusetts</v>
      </c>
      <c r="AA147" t="str">
        <f t="shared" si="8"/>
        <v>Massachusetts_2</v>
      </c>
      <c r="AI147">
        <v>2</v>
      </c>
      <c r="AJ147">
        <v>525.78163791163627</v>
      </c>
      <c r="AK147" t="s">
        <v>3699</v>
      </c>
      <c r="AL147" t="str">
        <f t="shared" si="9"/>
        <v>Massachusetts_2</v>
      </c>
    </row>
    <row r="148" spans="2:38" x14ac:dyDescent="0.3">
      <c r="B148" s="90" t="s">
        <v>3947</v>
      </c>
      <c r="C148" s="90">
        <v>6.33</v>
      </c>
      <c r="D148" s="90">
        <v>48.8</v>
      </c>
      <c r="E148" s="755">
        <v>16.602679008976001</v>
      </c>
      <c r="F148" s="90">
        <v>37.56</v>
      </c>
      <c r="G148" s="90">
        <v>3</v>
      </c>
      <c r="H148" t="s">
        <v>4429</v>
      </c>
      <c r="I148" s="90">
        <v>25.66</v>
      </c>
      <c r="J148" s="2243" t="s">
        <v>4168</v>
      </c>
      <c r="L148">
        <v>7.15</v>
      </c>
      <c r="M148">
        <v>47</v>
      </c>
      <c r="T148">
        <v>4.75</v>
      </c>
      <c r="V148">
        <f t="shared" ref="V148:V211" si="10">G148</f>
        <v>3</v>
      </c>
      <c r="W148" t="str">
        <f t="shared" ref="W148:W211" si="11">B148</f>
        <v>Massachusetts (Coastal)</v>
      </c>
      <c r="Z148" t="str">
        <f t="shared" ref="Z148:Z211" si="12">TRIM(LEFT(B148,SEARCH("(",B148)-1))</f>
        <v>Massachusetts</v>
      </c>
      <c r="AA148" t="str">
        <f t="shared" ref="AA148:AA211" si="13">_xlfn.CONCAT(Z148,"_",G148)</f>
        <v>Massachusetts_3</v>
      </c>
      <c r="AI148">
        <v>3</v>
      </c>
      <c r="AJ148">
        <v>569.22829576273546</v>
      </c>
      <c r="AK148" t="s">
        <v>3699</v>
      </c>
      <c r="AL148" t="str">
        <f t="shared" ref="AL148:AL211" si="14">_xlfn.CONCAT(AK148,"_",AI148)</f>
        <v>Massachusetts_3</v>
      </c>
    </row>
    <row r="149" spans="2:38" x14ac:dyDescent="0.3">
      <c r="B149" s="90" t="s">
        <v>3948</v>
      </c>
      <c r="C149" s="90">
        <v>4.3499999999999996</v>
      </c>
      <c r="D149" s="90">
        <v>32.229999999999997</v>
      </c>
      <c r="E149" s="755">
        <v>11.384044983711997</v>
      </c>
      <c r="F149" s="90">
        <v>13.89</v>
      </c>
      <c r="G149" s="90">
        <v>1</v>
      </c>
      <c r="H149" t="s">
        <v>4430</v>
      </c>
      <c r="I149">
        <v>26.91</v>
      </c>
      <c r="J149" s="2243" t="s">
        <v>4168</v>
      </c>
      <c r="L149">
        <v>4.75</v>
      </c>
      <c r="M149">
        <v>57.5</v>
      </c>
      <c r="T149">
        <v>3.25</v>
      </c>
      <c r="V149">
        <f t="shared" si="10"/>
        <v>1</v>
      </c>
      <c r="W149" t="str">
        <f t="shared" si="11"/>
        <v>Michigan (West Upper)</v>
      </c>
      <c r="Z149" t="str">
        <f t="shared" si="12"/>
        <v>Michigan</v>
      </c>
      <c r="AA149" t="str">
        <f t="shared" si="13"/>
        <v>Michigan_1</v>
      </c>
      <c r="AI149">
        <v>1</v>
      </c>
      <c r="AJ149">
        <v>558.81846820657699</v>
      </c>
      <c r="AK149" t="s">
        <v>3700</v>
      </c>
      <c r="AL149" t="str">
        <f t="shared" si="14"/>
        <v>Michigan_1</v>
      </c>
    </row>
    <row r="150" spans="2:38" x14ac:dyDescent="0.3">
      <c r="B150" s="90" t="s">
        <v>3949</v>
      </c>
      <c r="C150" s="90">
        <v>3.67</v>
      </c>
      <c r="D150" s="90">
        <v>33.770000000000003</v>
      </c>
      <c r="E150" s="755">
        <v>11.449951809968002</v>
      </c>
      <c r="F150" s="90">
        <v>12.08</v>
      </c>
      <c r="G150" s="90">
        <v>2</v>
      </c>
      <c r="H150" t="s">
        <v>4430</v>
      </c>
      <c r="I150">
        <v>26.91</v>
      </c>
      <c r="J150" s="2243" t="s">
        <v>4168</v>
      </c>
      <c r="L150">
        <v>4.75</v>
      </c>
      <c r="M150">
        <v>57.5</v>
      </c>
      <c r="T150">
        <v>3.25</v>
      </c>
      <c r="V150">
        <f t="shared" si="10"/>
        <v>2</v>
      </c>
      <c r="W150" t="str">
        <f t="shared" si="11"/>
        <v>Michigan (East Upper)</v>
      </c>
      <c r="Z150" t="str">
        <f t="shared" si="12"/>
        <v>Michigan</v>
      </c>
      <c r="AA150" t="str">
        <f t="shared" si="13"/>
        <v>Michigan_2</v>
      </c>
      <c r="AI150">
        <v>2</v>
      </c>
      <c r="AJ150">
        <v>520.68046725111469</v>
      </c>
      <c r="AK150" t="s">
        <v>3700</v>
      </c>
      <c r="AL150" t="str">
        <f t="shared" si="14"/>
        <v>Michigan_2</v>
      </c>
    </row>
    <row r="151" spans="2:38" x14ac:dyDescent="0.3">
      <c r="B151" s="90" t="s">
        <v>3950</v>
      </c>
      <c r="C151" s="90">
        <v>3.85</v>
      </c>
      <c r="D151" s="90">
        <v>34.200000000000003</v>
      </c>
      <c r="E151" s="755">
        <v>12.369447902383998</v>
      </c>
      <c r="F151" s="90">
        <v>22.79</v>
      </c>
      <c r="G151" s="90">
        <v>3</v>
      </c>
      <c r="H151" t="s">
        <v>4431</v>
      </c>
      <c r="I151">
        <v>29</v>
      </c>
      <c r="J151" s="2243" t="s">
        <v>4168</v>
      </c>
      <c r="L151">
        <v>5</v>
      </c>
      <c r="M151">
        <v>55</v>
      </c>
      <c r="T151">
        <v>3.5</v>
      </c>
      <c r="V151">
        <f t="shared" si="10"/>
        <v>3</v>
      </c>
      <c r="W151" t="str">
        <f t="shared" si="11"/>
        <v>Michigan (Northwest Lower)</v>
      </c>
      <c r="Z151" t="str">
        <f t="shared" si="12"/>
        <v>Michigan</v>
      </c>
      <c r="AA151" t="str">
        <f t="shared" si="13"/>
        <v>Michigan_3</v>
      </c>
      <c r="AI151">
        <v>3</v>
      </c>
      <c r="AJ151">
        <v>545.72765720143877</v>
      </c>
      <c r="AK151" t="s">
        <v>3700</v>
      </c>
      <c r="AL151" t="str">
        <f t="shared" si="14"/>
        <v>Michigan_3</v>
      </c>
    </row>
    <row r="152" spans="2:38" x14ac:dyDescent="0.3">
      <c r="B152" s="90" t="s">
        <v>3951</v>
      </c>
      <c r="C152" s="90">
        <v>3.85</v>
      </c>
      <c r="D152" s="90">
        <v>31.55</v>
      </c>
      <c r="E152" s="755">
        <v>11.907702480784002</v>
      </c>
      <c r="F152" s="90">
        <v>22.78</v>
      </c>
      <c r="G152" s="90">
        <v>4</v>
      </c>
      <c r="H152" t="s">
        <v>4431</v>
      </c>
      <c r="I152">
        <v>29</v>
      </c>
      <c r="J152" s="2243" t="s">
        <v>4168</v>
      </c>
      <c r="L152">
        <v>5</v>
      </c>
      <c r="M152">
        <v>55</v>
      </c>
      <c r="T152">
        <v>3.5</v>
      </c>
      <c r="V152">
        <f t="shared" si="10"/>
        <v>4</v>
      </c>
      <c r="W152" t="str">
        <f t="shared" si="11"/>
        <v>Michigan (Northeast Lower)</v>
      </c>
      <c r="Z152" t="str">
        <f t="shared" si="12"/>
        <v>Michigan</v>
      </c>
      <c r="AA152" t="str">
        <f t="shared" si="13"/>
        <v>Michigan_4</v>
      </c>
      <c r="AI152">
        <v>4</v>
      </c>
      <c r="AJ152">
        <v>543.17977622281421</v>
      </c>
      <c r="AK152" t="s">
        <v>3700</v>
      </c>
      <c r="AL152" t="str">
        <f t="shared" si="14"/>
        <v>Michigan_4</v>
      </c>
    </row>
    <row r="153" spans="2:38" x14ac:dyDescent="0.3">
      <c r="B153" s="90" t="s">
        <v>3952</v>
      </c>
      <c r="C153" s="90">
        <v>3.85</v>
      </c>
      <c r="D153" s="90">
        <v>35.909999999999997</v>
      </c>
      <c r="E153" s="755">
        <v>13.216756328448001</v>
      </c>
      <c r="F153" s="90">
        <v>28.9</v>
      </c>
      <c r="G153" s="90">
        <v>5</v>
      </c>
      <c r="H153" t="s">
        <v>4432</v>
      </c>
      <c r="I153">
        <v>34</v>
      </c>
      <c r="J153" s="2243" t="s">
        <v>4168</v>
      </c>
      <c r="L153">
        <v>5.5</v>
      </c>
      <c r="M153">
        <v>52.5</v>
      </c>
      <c r="T153">
        <v>3.75</v>
      </c>
      <c r="V153">
        <f t="shared" si="10"/>
        <v>5</v>
      </c>
      <c r="W153" t="str">
        <f t="shared" si="11"/>
        <v>Michigan (West Central Lower)</v>
      </c>
      <c r="Z153" t="str">
        <f t="shared" si="12"/>
        <v>Michigan</v>
      </c>
      <c r="AA153" t="str">
        <f t="shared" si="13"/>
        <v>Michigan_5</v>
      </c>
      <c r="AI153">
        <v>5</v>
      </c>
      <c r="AJ153">
        <v>592.04237905460911</v>
      </c>
      <c r="AK153" t="s">
        <v>3700</v>
      </c>
      <c r="AL153" t="str">
        <f t="shared" si="14"/>
        <v>Michigan_5</v>
      </c>
    </row>
    <row r="154" spans="2:38" x14ac:dyDescent="0.3">
      <c r="B154" s="90" t="s">
        <v>3953</v>
      </c>
      <c r="C154" s="90">
        <v>3.85</v>
      </c>
      <c r="D154" s="90">
        <v>34.020000000000003</v>
      </c>
      <c r="E154" s="755">
        <v>13.371556858336</v>
      </c>
      <c r="F154" s="90">
        <v>31.34</v>
      </c>
      <c r="G154" s="90">
        <v>6</v>
      </c>
      <c r="H154" t="s">
        <v>4432</v>
      </c>
      <c r="I154">
        <v>34</v>
      </c>
      <c r="J154" s="2243" t="s">
        <v>4168</v>
      </c>
      <c r="L154">
        <v>5.5</v>
      </c>
      <c r="M154">
        <v>52.5</v>
      </c>
      <c r="T154">
        <v>3.75</v>
      </c>
      <c r="V154">
        <f t="shared" si="10"/>
        <v>6</v>
      </c>
      <c r="W154" t="str">
        <f t="shared" si="11"/>
        <v>Michigan (Central Lower)</v>
      </c>
      <c r="Z154" t="str">
        <f t="shared" si="12"/>
        <v>Michigan</v>
      </c>
      <c r="AA154" t="str">
        <f t="shared" si="13"/>
        <v>Michigan_6</v>
      </c>
      <c r="AI154">
        <v>6</v>
      </c>
      <c r="AJ154">
        <v>540.94389177732796</v>
      </c>
      <c r="AK154" t="s">
        <v>3700</v>
      </c>
      <c r="AL154" t="str">
        <f t="shared" si="14"/>
        <v>Michigan_6</v>
      </c>
    </row>
    <row r="155" spans="2:38" x14ac:dyDescent="0.3">
      <c r="B155" s="90" t="s">
        <v>3954</v>
      </c>
      <c r="C155" s="90">
        <v>3.85</v>
      </c>
      <c r="D155" s="90">
        <v>32.43</v>
      </c>
      <c r="E155" s="755">
        <v>12.698487282992</v>
      </c>
      <c r="F155" s="90">
        <v>31.97</v>
      </c>
      <c r="G155" s="90">
        <v>7</v>
      </c>
      <c r="H155" t="s">
        <v>4433</v>
      </c>
      <c r="I155">
        <v>24.74</v>
      </c>
      <c r="J155" s="2243" t="s">
        <v>4168</v>
      </c>
      <c r="L155">
        <v>5.5</v>
      </c>
      <c r="M155">
        <v>52.5</v>
      </c>
      <c r="T155">
        <v>3.75</v>
      </c>
      <c r="V155">
        <f t="shared" si="10"/>
        <v>7</v>
      </c>
      <c r="W155" t="str">
        <f t="shared" si="11"/>
        <v>Michigan (East Central Lower)</v>
      </c>
      <c r="Z155" t="str">
        <f t="shared" si="12"/>
        <v>Michigan</v>
      </c>
      <c r="AA155" t="str">
        <f t="shared" si="13"/>
        <v>Michigan_7</v>
      </c>
      <c r="AI155">
        <v>7</v>
      </c>
      <c r="AJ155">
        <v>466.866128197423</v>
      </c>
      <c r="AK155" t="s">
        <v>3700</v>
      </c>
      <c r="AL155" t="str">
        <f t="shared" si="14"/>
        <v>Michigan_7</v>
      </c>
    </row>
    <row r="156" spans="2:38" x14ac:dyDescent="0.3">
      <c r="B156" s="90" t="s">
        <v>3955</v>
      </c>
      <c r="C156" s="90">
        <v>4.72</v>
      </c>
      <c r="D156" s="90">
        <v>37.830000000000013</v>
      </c>
      <c r="E156" s="755">
        <v>14.746944041456</v>
      </c>
      <c r="F156" s="90">
        <v>39.880000000000003</v>
      </c>
      <c r="G156" s="90">
        <v>8</v>
      </c>
      <c r="H156" t="s">
        <v>4434</v>
      </c>
      <c r="I156">
        <v>32.81</v>
      </c>
      <c r="J156" s="2243" t="s">
        <v>4168</v>
      </c>
      <c r="L156">
        <v>6</v>
      </c>
      <c r="M156">
        <v>50</v>
      </c>
      <c r="T156">
        <v>4</v>
      </c>
      <c r="V156">
        <f t="shared" si="10"/>
        <v>8</v>
      </c>
      <c r="W156" t="str">
        <f t="shared" si="11"/>
        <v>Michigan (Southwest Lower)</v>
      </c>
      <c r="Z156" t="str">
        <f t="shared" si="12"/>
        <v>Michigan</v>
      </c>
      <c r="AA156" t="str">
        <f t="shared" si="13"/>
        <v>Michigan_8</v>
      </c>
      <c r="AI156">
        <v>8</v>
      </c>
      <c r="AJ156">
        <v>589.51434443772382</v>
      </c>
      <c r="AK156" t="s">
        <v>3700</v>
      </c>
      <c r="AL156" t="str">
        <f t="shared" si="14"/>
        <v>Michigan_8</v>
      </c>
    </row>
    <row r="157" spans="2:38" x14ac:dyDescent="0.3">
      <c r="B157" s="90" t="s">
        <v>3956</v>
      </c>
      <c r="C157" s="90">
        <v>3.85</v>
      </c>
      <c r="D157" s="90">
        <v>36.17</v>
      </c>
      <c r="E157" s="755">
        <v>13.757545059663999</v>
      </c>
      <c r="F157" s="90">
        <v>37.44</v>
      </c>
      <c r="G157" s="90">
        <v>9</v>
      </c>
      <c r="H157" t="s">
        <v>4434</v>
      </c>
      <c r="I157">
        <v>32.81</v>
      </c>
      <c r="J157" s="2243" t="s">
        <v>4168</v>
      </c>
      <c r="L157">
        <v>6</v>
      </c>
      <c r="M157">
        <v>50</v>
      </c>
      <c r="T157">
        <v>4</v>
      </c>
      <c r="V157">
        <f t="shared" si="10"/>
        <v>9</v>
      </c>
      <c r="W157" t="str">
        <f t="shared" si="11"/>
        <v>Michigan (South Central Lower)</v>
      </c>
      <c r="Z157" t="str">
        <f t="shared" si="12"/>
        <v>Michigan</v>
      </c>
      <c r="AA157" t="str">
        <f t="shared" si="13"/>
        <v>Michigan_9</v>
      </c>
      <c r="AI157">
        <v>9</v>
      </c>
      <c r="AJ157">
        <v>523.5379632724746</v>
      </c>
      <c r="AK157" t="s">
        <v>3700</v>
      </c>
      <c r="AL157" t="str">
        <f t="shared" si="14"/>
        <v>Michigan_9</v>
      </c>
    </row>
    <row r="158" spans="2:38" x14ac:dyDescent="0.3">
      <c r="B158" s="90" t="s">
        <v>3957</v>
      </c>
      <c r="C158" s="90">
        <v>3.94</v>
      </c>
      <c r="D158" s="90">
        <v>33.680000000000007</v>
      </c>
      <c r="E158" s="755">
        <v>13.732421699280001</v>
      </c>
      <c r="F158" s="90">
        <v>40.200000000000003</v>
      </c>
      <c r="G158" s="90">
        <v>10</v>
      </c>
      <c r="H158" t="s">
        <v>4435</v>
      </c>
      <c r="I158">
        <v>32.39</v>
      </c>
      <c r="J158" s="2243" t="s">
        <v>4168</v>
      </c>
      <c r="L158">
        <v>6</v>
      </c>
      <c r="M158">
        <v>50</v>
      </c>
      <c r="T158">
        <v>4</v>
      </c>
      <c r="V158">
        <f t="shared" si="10"/>
        <v>10</v>
      </c>
      <c r="W158" t="str">
        <f t="shared" si="11"/>
        <v>Michigan (Southeast Lower)</v>
      </c>
      <c r="Z158" t="str">
        <f t="shared" si="12"/>
        <v>Michigan</v>
      </c>
      <c r="AA158" t="str">
        <f t="shared" si="13"/>
        <v>Michigan_10</v>
      </c>
      <c r="AI158">
        <v>10</v>
      </c>
      <c r="AJ158">
        <v>467.47003367075092</v>
      </c>
      <c r="AK158" t="s">
        <v>3700</v>
      </c>
      <c r="AL158" t="str">
        <f t="shared" si="14"/>
        <v>Michigan_10</v>
      </c>
    </row>
    <row r="159" spans="2:38" x14ac:dyDescent="0.3">
      <c r="B159" s="90" t="s">
        <v>3958</v>
      </c>
      <c r="C159" s="90">
        <v>4.34</v>
      </c>
      <c r="D159" s="90">
        <v>23.89</v>
      </c>
      <c r="E159" s="755">
        <v>9.7514950627040005</v>
      </c>
      <c r="F159" s="90">
        <v>23.09</v>
      </c>
      <c r="G159" s="90">
        <v>1</v>
      </c>
      <c r="H159" t="s">
        <v>4436</v>
      </c>
      <c r="I159" s="90">
        <v>27</v>
      </c>
      <c r="J159" s="2243" t="s">
        <v>4168</v>
      </c>
      <c r="L159">
        <v>4.75</v>
      </c>
      <c r="M159">
        <v>57.5</v>
      </c>
      <c r="T159">
        <v>3.25</v>
      </c>
      <c r="V159">
        <f t="shared" si="10"/>
        <v>1</v>
      </c>
      <c r="W159" t="str">
        <f t="shared" si="11"/>
        <v>Minnesota (Northwest)</v>
      </c>
      <c r="Z159" t="str">
        <f t="shared" si="12"/>
        <v>Minnesota</v>
      </c>
      <c r="AA159" t="str">
        <f t="shared" si="13"/>
        <v>Minnesota_1</v>
      </c>
      <c r="AI159">
        <v>1</v>
      </c>
      <c r="AJ159">
        <v>466.831323492237</v>
      </c>
      <c r="AK159" t="s">
        <v>3701</v>
      </c>
      <c r="AL159" t="str">
        <f t="shared" si="14"/>
        <v>Minnesota_1</v>
      </c>
    </row>
    <row r="160" spans="2:38" x14ac:dyDescent="0.3">
      <c r="B160" s="90" t="s">
        <v>3959</v>
      </c>
      <c r="C160" s="90">
        <v>4.76</v>
      </c>
      <c r="D160" s="90">
        <v>26.25</v>
      </c>
      <c r="E160" s="755">
        <v>10.077220794912003</v>
      </c>
      <c r="F160" s="90">
        <v>17.579999999999998</v>
      </c>
      <c r="G160" s="90">
        <v>2</v>
      </c>
      <c r="H160" t="s">
        <v>4436</v>
      </c>
      <c r="I160" s="90">
        <v>27</v>
      </c>
      <c r="J160" s="2243" t="s">
        <v>4168</v>
      </c>
      <c r="L160">
        <v>4.75</v>
      </c>
      <c r="M160">
        <v>57.5</v>
      </c>
      <c r="T160">
        <v>3.25</v>
      </c>
      <c r="V160">
        <f t="shared" si="10"/>
        <v>2</v>
      </c>
      <c r="W160" t="str">
        <f t="shared" si="11"/>
        <v>Minnesota (North Central)</v>
      </c>
      <c r="Z160" t="str">
        <f t="shared" si="12"/>
        <v>Minnesota</v>
      </c>
      <c r="AA160" t="str">
        <f t="shared" si="13"/>
        <v>Minnesota_2</v>
      </c>
      <c r="AI160">
        <v>2</v>
      </c>
      <c r="AJ160">
        <v>569.34194653503528</v>
      </c>
      <c r="AK160" t="s">
        <v>3701</v>
      </c>
      <c r="AL160" t="str">
        <f t="shared" si="14"/>
        <v>Minnesota_2</v>
      </c>
    </row>
    <row r="161" spans="2:38" x14ac:dyDescent="0.3">
      <c r="B161" s="90" t="s">
        <v>3960</v>
      </c>
      <c r="C161" s="90">
        <v>4.34</v>
      </c>
      <c r="D161" s="90">
        <v>28.99</v>
      </c>
      <c r="E161" s="755">
        <v>10.316331038784002</v>
      </c>
      <c r="F161" s="90">
        <v>11.14</v>
      </c>
      <c r="G161" s="90">
        <v>3</v>
      </c>
      <c r="H161" t="s">
        <v>4436</v>
      </c>
      <c r="I161" s="90">
        <v>27</v>
      </c>
      <c r="J161" s="2243" t="s">
        <v>4168</v>
      </c>
      <c r="L161">
        <v>4.75</v>
      </c>
      <c r="M161">
        <v>57.5</v>
      </c>
      <c r="T161">
        <v>3.25</v>
      </c>
      <c r="V161">
        <f t="shared" si="10"/>
        <v>3</v>
      </c>
      <c r="W161" t="str">
        <f t="shared" si="11"/>
        <v>Minnesota (Northeast)</v>
      </c>
      <c r="Z161" t="str">
        <f t="shared" si="12"/>
        <v>Minnesota</v>
      </c>
      <c r="AA161" t="str">
        <f t="shared" si="13"/>
        <v>Minnesota_3</v>
      </c>
      <c r="AI161">
        <v>3</v>
      </c>
      <c r="AJ161">
        <v>500.36681089811862</v>
      </c>
      <c r="AK161" t="s">
        <v>3701</v>
      </c>
      <c r="AL161" t="str">
        <f t="shared" si="14"/>
        <v>Minnesota_3</v>
      </c>
    </row>
    <row r="162" spans="2:38" x14ac:dyDescent="0.3">
      <c r="B162" s="90" t="s">
        <v>3961</v>
      </c>
      <c r="C162" s="90">
        <v>4.76</v>
      </c>
      <c r="D162" s="90">
        <v>26.54</v>
      </c>
      <c r="E162" s="755">
        <v>10.779420292448</v>
      </c>
      <c r="F162" s="90">
        <v>31.06</v>
      </c>
      <c r="G162" s="90">
        <v>4</v>
      </c>
      <c r="H162" t="s">
        <v>4437</v>
      </c>
      <c r="I162" s="90">
        <v>44</v>
      </c>
      <c r="J162" s="2243" t="s">
        <v>4168</v>
      </c>
      <c r="L162">
        <v>5</v>
      </c>
      <c r="M162">
        <v>55</v>
      </c>
      <c r="T162">
        <v>3.5</v>
      </c>
      <c r="V162">
        <f t="shared" si="10"/>
        <v>4</v>
      </c>
      <c r="W162" t="str">
        <f t="shared" si="11"/>
        <v>Minnesota (West Central)</v>
      </c>
      <c r="Z162" t="str">
        <f t="shared" si="12"/>
        <v>Minnesota</v>
      </c>
      <c r="AA162" t="str">
        <f t="shared" si="13"/>
        <v>Minnesota_4</v>
      </c>
      <c r="AI162">
        <v>4</v>
      </c>
      <c r="AJ162">
        <v>514.2614605909564</v>
      </c>
      <c r="AK162" t="s">
        <v>3701</v>
      </c>
      <c r="AL162" t="str">
        <f t="shared" si="14"/>
        <v>Minnesota_4</v>
      </c>
    </row>
    <row r="163" spans="2:38" x14ac:dyDescent="0.3">
      <c r="B163" s="90" t="s">
        <v>3962</v>
      </c>
      <c r="C163" s="90">
        <v>4.76</v>
      </c>
      <c r="D163" s="90">
        <v>29.39</v>
      </c>
      <c r="E163" s="755">
        <v>12.037126369440001</v>
      </c>
      <c r="F163" s="90">
        <v>31.37</v>
      </c>
      <c r="G163" s="90">
        <v>5</v>
      </c>
      <c r="H163" t="s">
        <v>4438</v>
      </c>
      <c r="I163" s="90">
        <v>41</v>
      </c>
      <c r="J163" s="2243" t="s">
        <v>4168</v>
      </c>
      <c r="L163">
        <v>5</v>
      </c>
      <c r="M163">
        <v>55</v>
      </c>
      <c r="T163">
        <v>3.5</v>
      </c>
      <c r="V163">
        <f t="shared" si="10"/>
        <v>5</v>
      </c>
      <c r="W163" t="str">
        <f t="shared" si="11"/>
        <v>Minnesota (Central)</v>
      </c>
      <c r="Z163" t="str">
        <f t="shared" si="12"/>
        <v>Minnesota</v>
      </c>
      <c r="AA163" t="str">
        <f t="shared" si="13"/>
        <v>Minnesota_5</v>
      </c>
      <c r="AI163">
        <v>5</v>
      </c>
      <c r="AJ163">
        <v>513.32026806237138</v>
      </c>
      <c r="AK163" t="s">
        <v>3701</v>
      </c>
      <c r="AL163" t="str">
        <f t="shared" si="14"/>
        <v>Minnesota_5</v>
      </c>
    </row>
    <row r="164" spans="2:38" x14ac:dyDescent="0.3">
      <c r="B164" s="90" t="s">
        <v>3963</v>
      </c>
      <c r="C164" s="90">
        <v>4.76</v>
      </c>
      <c r="D164" s="90">
        <v>30.68</v>
      </c>
      <c r="E164" s="755">
        <v>12.508063392384003</v>
      </c>
      <c r="F164" s="90">
        <v>24.94</v>
      </c>
      <c r="G164" s="90">
        <v>6</v>
      </c>
      <c r="H164" t="s">
        <v>4436</v>
      </c>
      <c r="I164" s="90">
        <v>27</v>
      </c>
      <c r="J164" s="2243" t="s">
        <v>4168</v>
      </c>
      <c r="L164">
        <v>5</v>
      </c>
      <c r="M164">
        <v>55</v>
      </c>
      <c r="T164">
        <v>3.5</v>
      </c>
      <c r="V164">
        <f t="shared" si="10"/>
        <v>6</v>
      </c>
      <c r="W164" t="str">
        <f t="shared" si="11"/>
        <v>Minnesota (East Central)</v>
      </c>
      <c r="Z164" t="str">
        <f t="shared" si="12"/>
        <v>Minnesota</v>
      </c>
      <c r="AA164" t="str">
        <f t="shared" si="13"/>
        <v>Minnesota_6</v>
      </c>
      <c r="AI164">
        <v>6</v>
      </c>
      <c r="AJ164">
        <v>555.67573959452955</v>
      </c>
      <c r="AK164" t="s">
        <v>3701</v>
      </c>
      <c r="AL164" t="str">
        <f t="shared" si="14"/>
        <v>Minnesota_6</v>
      </c>
    </row>
    <row r="165" spans="2:38" x14ac:dyDescent="0.3">
      <c r="B165" s="90" t="s">
        <v>3964</v>
      </c>
      <c r="C165" s="90">
        <v>5.24</v>
      </c>
      <c r="D165" s="90">
        <v>29.54</v>
      </c>
      <c r="E165" s="755">
        <v>11.980140803311999</v>
      </c>
      <c r="F165" s="90">
        <v>36.22</v>
      </c>
      <c r="G165" s="90">
        <v>7</v>
      </c>
      <c r="H165" t="s">
        <v>4437</v>
      </c>
      <c r="I165" s="90">
        <v>44</v>
      </c>
      <c r="J165" s="2243" t="s">
        <v>4168</v>
      </c>
      <c r="L165">
        <v>5.5</v>
      </c>
      <c r="M165">
        <v>52.5</v>
      </c>
      <c r="T165">
        <v>3.75</v>
      </c>
      <c r="V165">
        <f t="shared" si="10"/>
        <v>7</v>
      </c>
      <c r="W165" t="str">
        <f t="shared" si="11"/>
        <v>Minnesota (Southwest)</v>
      </c>
      <c r="Z165" t="str">
        <f t="shared" si="12"/>
        <v>Minnesota</v>
      </c>
      <c r="AA165" t="str">
        <f t="shared" si="13"/>
        <v>Minnesota_7</v>
      </c>
      <c r="AI165">
        <v>7</v>
      </c>
      <c r="AJ165">
        <v>497.23348863671117</v>
      </c>
      <c r="AK165" t="s">
        <v>3701</v>
      </c>
      <c r="AL165" t="str">
        <f t="shared" si="14"/>
        <v>Minnesota_7</v>
      </c>
    </row>
    <row r="166" spans="2:38" x14ac:dyDescent="0.3">
      <c r="B166" s="90" t="s">
        <v>3965</v>
      </c>
      <c r="C166" s="90">
        <v>4.76</v>
      </c>
      <c r="D166" s="90">
        <v>33.35</v>
      </c>
      <c r="E166" s="755">
        <v>13.477584420784002</v>
      </c>
      <c r="F166" s="90">
        <v>36.840000000000003</v>
      </c>
      <c r="G166" s="90">
        <v>8</v>
      </c>
      <c r="H166" t="s">
        <v>4438</v>
      </c>
      <c r="I166" s="90">
        <v>41</v>
      </c>
      <c r="J166" s="2243" t="s">
        <v>4168</v>
      </c>
      <c r="L166">
        <v>5.5</v>
      </c>
      <c r="M166">
        <v>52.5</v>
      </c>
      <c r="T166">
        <v>3.75</v>
      </c>
      <c r="V166">
        <f t="shared" si="10"/>
        <v>8</v>
      </c>
      <c r="W166" t="str">
        <f t="shared" si="11"/>
        <v>Minnesota (South Central)</v>
      </c>
      <c r="Z166" t="str">
        <f t="shared" si="12"/>
        <v>Minnesota</v>
      </c>
      <c r="AA166" t="str">
        <f t="shared" si="13"/>
        <v>Minnesota_8</v>
      </c>
      <c r="AI166">
        <v>8</v>
      </c>
      <c r="AJ166">
        <v>486.12053757410268</v>
      </c>
      <c r="AK166" t="s">
        <v>3701</v>
      </c>
      <c r="AL166" t="str">
        <f t="shared" si="14"/>
        <v>Minnesota_8</v>
      </c>
    </row>
    <row r="167" spans="2:38" x14ac:dyDescent="0.3">
      <c r="B167" s="90" t="s">
        <v>3966</v>
      </c>
      <c r="C167" s="90">
        <v>5.7</v>
      </c>
      <c r="D167" s="90">
        <v>35.79</v>
      </c>
      <c r="E167" s="755">
        <v>13.840457135808</v>
      </c>
      <c r="F167" s="90">
        <v>32.28</v>
      </c>
      <c r="G167" s="90">
        <v>9</v>
      </c>
      <c r="H167" t="s">
        <v>4438</v>
      </c>
      <c r="I167" s="90">
        <v>41</v>
      </c>
      <c r="J167" s="2243" t="s">
        <v>4168</v>
      </c>
      <c r="L167">
        <v>5.5</v>
      </c>
      <c r="M167">
        <v>52.5</v>
      </c>
      <c r="T167">
        <v>3.75</v>
      </c>
      <c r="V167">
        <f t="shared" si="10"/>
        <v>9</v>
      </c>
      <c r="W167" t="str">
        <f t="shared" si="11"/>
        <v>Minnesota (Southeast)</v>
      </c>
      <c r="Z167" t="str">
        <f t="shared" si="12"/>
        <v>Minnesota</v>
      </c>
      <c r="AA167" t="str">
        <f t="shared" si="13"/>
        <v>Minnesota_9</v>
      </c>
      <c r="AI167">
        <v>9</v>
      </c>
      <c r="AJ167">
        <v>531.22358787960502</v>
      </c>
      <c r="AK167" t="s">
        <v>3701</v>
      </c>
      <c r="AL167" t="str">
        <f t="shared" si="14"/>
        <v>Minnesota_9</v>
      </c>
    </row>
    <row r="168" spans="2:38" x14ac:dyDescent="0.3">
      <c r="B168" s="90" t="s">
        <v>3967</v>
      </c>
      <c r="C168" s="90">
        <v>7.06</v>
      </c>
      <c r="D168" s="90">
        <v>54.92</v>
      </c>
      <c r="E168" s="755">
        <v>21.884021697664004</v>
      </c>
      <c r="F168" s="90">
        <v>126.45</v>
      </c>
      <c r="G168" s="90">
        <v>1</v>
      </c>
      <c r="H168" t="s">
        <v>4439</v>
      </c>
      <c r="I168" s="90">
        <v>43.71</v>
      </c>
      <c r="J168" s="2238" t="s">
        <v>4172</v>
      </c>
      <c r="L168">
        <v>9.5</v>
      </c>
      <c r="M168">
        <v>41</v>
      </c>
      <c r="T168">
        <v>5.75</v>
      </c>
      <c r="V168">
        <f t="shared" si="10"/>
        <v>1</v>
      </c>
      <c r="W168" t="str">
        <f t="shared" si="11"/>
        <v>Mississippi (Upper Delata)</v>
      </c>
      <c r="Z168" t="str">
        <f t="shared" si="12"/>
        <v>Mississippi</v>
      </c>
      <c r="AA168" t="str">
        <f t="shared" si="13"/>
        <v>Mississippi_1</v>
      </c>
      <c r="AI168">
        <v>1</v>
      </c>
      <c r="AJ168">
        <v>713.21027433120923</v>
      </c>
      <c r="AK168" t="s">
        <v>3702</v>
      </c>
      <c r="AL168" t="str">
        <f t="shared" si="14"/>
        <v>Mississippi_1</v>
      </c>
    </row>
    <row r="169" spans="2:38" x14ac:dyDescent="0.3">
      <c r="B169" s="90" t="s">
        <v>3968</v>
      </c>
      <c r="C169" s="90">
        <v>7.23</v>
      </c>
      <c r="D169" s="90">
        <v>57.06</v>
      </c>
      <c r="E169" s="755">
        <v>21.808920645392</v>
      </c>
      <c r="F169" s="90">
        <v>116.04</v>
      </c>
      <c r="G169" s="90">
        <v>2</v>
      </c>
      <c r="H169" t="s">
        <v>4440</v>
      </c>
      <c r="I169">
        <v>62.1</v>
      </c>
      <c r="J169" s="2238" t="s">
        <v>4172</v>
      </c>
      <c r="L169">
        <v>9.5</v>
      </c>
      <c r="M169">
        <v>41</v>
      </c>
      <c r="T169">
        <v>5.75</v>
      </c>
      <c r="V169">
        <f t="shared" si="10"/>
        <v>2</v>
      </c>
      <c r="W169" t="str">
        <f t="shared" si="11"/>
        <v>Mississippi (North Central)</v>
      </c>
      <c r="Z169" t="str">
        <f t="shared" si="12"/>
        <v>Mississippi</v>
      </c>
      <c r="AA169" t="str">
        <f t="shared" si="13"/>
        <v>Mississippi_2</v>
      </c>
      <c r="AI169">
        <v>2</v>
      </c>
      <c r="AJ169">
        <v>915.21302256782599</v>
      </c>
      <c r="AK169" t="s">
        <v>3702</v>
      </c>
      <c r="AL169" t="str">
        <f t="shared" si="14"/>
        <v>Mississippi_2</v>
      </c>
    </row>
    <row r="170" spans="2:38" x14ac:dyDescent="0.3">
      <c r="B170" s="90" t="s">
        <v>3969</v>
      </c>
      <c r="C170" s="90">
        <v>7.37</v>
      </c>
      <c r="D170" s="90">
        <v>58.290000000000013</v>
      </c>
      <c r="E170" s="755">
        <v>21.993134562047999</v>
      </c>
      <c r="F170" s="90">
        <v>108.09</v>
      </c>
      <c r="G170" s="90">
        <v>3</v>
      </c>
      <c r="H170" t="s">
        <v>4440</v>
      </c>
      <c r="I170">
        <v>62.1</v>
      </c>
      <c r="J170" s="2238" t="s">
        <v>4172</v>
      </c>
      <c r="L170">
        <v>9.5</v>
      </c>
      <c r="M170">
        <v>41</v>
      </c>
      <c r="T170">
        <v>5.75</v>
      </c>
      <c r="V170">
        <f t="shared" si="10"/>
        <v>3</v>
      </c>
      <c r="W170" t="str">
        <f t="shared" si="11"/>
        <v>Mississippi (Northeast)</v>
      </c>
      <c r="Z170" t="str">
        <f t="shared" si="12"/>
        <v>Mississippi</v>
      </c>
      <c r="AA170" t="str">
        <f t="shared" si="13"/>
        <v>Mississippi_3</v>
      </c>
      <c r="AI170">
        <v>3</v>
      </c>
      <c r="AJ170">
        <v>889.05159900573881</v>
      </c>
      <c r="AK170" t="s">
        <v>3702</v>
      </c>
      <c r="AL170" t="str">
        <f t="shared" si="14"/>
        <v>Mississippi_3</v>
      </c>
    </row>
    <row r="171" spans="2:38" x14ac:dyDescent="0.3">
      <c r="B171" s="90" t="s">
        <v>3970</v>
      </c>
      <c r="C171" s="90">
        <v>7.23</v>
      </c>
      <c r="D171" s="90">
        <v>55.88</v>
      </c>
      <c r="E171" s="755">
        <v>22.679194951456005</v>
      </c>
      <c r="F171" s="90">
        <v>135.61000000000001</v>
      </c>
      <c r="G171" s="90">
        <v>4</v>
      </c>
      <c r="H171" t="s">
        <v>4439</v>
      </c>
      <c r="I171" s="90">
        <v>43.71</v>
      </c>
      <c r="J171" s="2238" t="s">
        <v>4172</v>
      </c>
      <c r="L171">
        <v>10</v>
      </c>
      <c r="M171">
        <v>40</v>
      </c>
      <c r="T171">
        <v>6</v>
      </c>
      <c r="V171">
        <f t="shared" si="10"/>
        <v>4</v>
      </c>
      <c r="W171" t="str">
        <f t="shared" si="11"/>
        <v>Mississippi (Lower Delta)</v>
      </c>
      <c r="Z171" t="str">
        <f t="shared" si="12"/>
        <v>Mississippi</v>
      </c>
      <c r="AA171" t="str">
        <f t="shared" si="13"/>
        <v>Mississippi_4</v>
      </c>
      <c r="AI171">
        <v>4</v>
      </c>
      <c r="AJ171">
        <v>816.62129292199211</v>
      </c>
      <c r="AK171" t="s">
        <v>3702</v>
      </c>
      <c r="AL171" t="str">
        <f t="shared" si="14"/>
        <v>Mississippi_4</v>
      </c>
    </row>
    <row r="172" spans="2:38" x14ac:dyDescent="0.3">
      <c r="B172" s="90" t="s">
        <v>3971</v>
      </c>
      <c r="C172" s="90">
        <v>7.23</v>
      </c>
      <c r="D172" s="90">
        <v>57.649999999999991</v>
      </c>
      <c r="E172" s="755">
        <v>22.616265815583997</v>
      </c>
      <c r="F172" s="90">
        <v>123.05</v>
      </c>
      <c r="G172" s="90">
        <v>5</v>
      </c>
      <c r="H172" t="s">
        <v>4441</v>
      </c>
      <c r="I172">
        <v>61.58</v>
      </c>
      <c r="J172" s="2238" t="s">
        <v>4172</v>
      </c>
      <c r="L172">
        <v>10.5</v>
      </c>
      <c r="M172">
        <v>39</v>
      </c>
      <c r="T172">
        <v>6.25</v>
      </c>
      <c r="V172">
        <f t="shared" si="10"/>
        <v>5</v>
      </c>
      <c r="W172" t="str">
        <f t="shared" si="11"/>
        <v>Mississippi (Central)</v>
      </c>
      <c r="Z172" t="str">
        <f t="shared" si="12"/>
        <v>Mississippi</v>
      </c>
      <c r="AA172" t="str">
        <f t="shared" si="13"/>
        <v>Mississippi_5</v>
      </c>
      <c r="AI172">
        <v>5</v>
      </c>
      <c r="AJ172">
        <v>1017.891003280791</v>
      </c>
      <c r="AK172" t="s">
        <v>3702</v>
      </c>
      <c r="AL172" t="str">
        <f t="shared" si="14"/>
        <v>Mississippi_5</v>
      </c>
    </row>
    <row r="173" spans="2:38" x14ac:dyDescent="0.3">
      <c r="B173" s="90" t="s">
        <v>3972</v>
      </c>
      <c r="C173" s="90">
        <v>7.23</v>
      </c>
      <c r="D173" s="90">
        <v>56.34</v>
      </c>
      <c r="E173" s="755">
        <v>22.378251372272</v>
      </c>
      <c r="F173" s="90">
        <v>120.61</v>
      </c>
      <c r="G173" s="90">
        <v>6</v>
      </c>
      <c r="H173" t="s">
        <v>4440</v>
      </c>
      <c r="I173">
        <v>62.1</v>
      </c>
      <c r="J173" s="2238" t="s">
        <v>4172</v>
      </c>
      <c r="L173">
        <v>10.5</v>
      </c>
      <c r="M173">
        <v>39</v>
      </c>
      <c r="T173">
        <v>6.25</v>
      </c>
      <c r="V173">
        <f t="shared" si="10"/>
        <v>6</v>
      </c>
      <c r="W173" t="str">
        <f t="shared" si="11"/>
        <v>Mississippi (East Central)</v>
      </c>
      <c r="Z173" t="str">
        <f t="shared" si="12"/>
        <v>Mississippi</v>
      </c>
      <c r="AA173" t="str">
        <f t="shared" si="13"/>
        <v>Mississippi_6</v>
      </c>
      <c r="AI173">
        <v>6</v>
      </c>
      <c r="AJ173">
        <v>946.2231089866242</v>
      </c>
      <c r="AK173" t="s">
        <v>3702</v>
      </c>
      <c r="AL173" t="str">
        <f t="shared" si="14"/>
        <v>Mississippi_6</v>
      </c>
    </row>
    <row r="174" spans="2:38" x14ac:dyDescent="0.3">
      <c r="B174" s="90" t="s">
        <v>3973</v>
      </c>
      <c r="C174" s="90">
        <v>8.68</v>
      </c>
      <c r="D174" s="90">
        <v>59.349999999999987</v>
      </c>
      <c r="E174" s="755">
        <v>24.057946964079999</v>
      </c>
      <c r="F174" s="90">
        <v>136.51</v>
      </c>
      <c r="G174" s="90">
        <v>7</v>
      </c>
      <c r="H174" t="s">
        <v>4441</v>
      </c>
      <c r="I174">
        <v>61.58</v>
      </c>
      <c r="J174" s="2239" t="s">
        <v>4176</v>
      </c>
      <c r="L174">
        <v>11</v>
      </c>
      <c r="M174">
        <v>38</v>
      </c>
      <c r="T174">
        <v>6.5</v>
      </c>
      <c r="V174">
        <f t="shared" si="10"/>
        <v>7</v>
      </c>
      <c r="W174" t="str">
        <f t="shared" si="11"/>
        <v>Mississippi (Southwest)</v>
      </c>
      <c r="Z174" t="str">
        <f t="shared" si="12"/>
        <v>Mississippi</v>
      </c>
      <c r="AA174" t="str">
        <f t="shared" si="13"/>
        <v>Mississippi_7</v>
      </c>
      <c r="AI174">
        <v>7</v>
      </c>
      <c r="AJ174">
        <v>1124.948101150198</v>
      </c>
      <c r="AK174" t="s">
        <v>3702</v>
      </c>
      <c r="AL174" t="str">
        <f t="shared" si="14"/>
        <v>Mississippi_7</v>
      </c>
    </row>
    <row r="175" spans="2:38" x14ac:dyDescent="0.3">
      <c r="B175" s="90" t="s">
        <v>3974</v>
      </c>
      <c r="C175" s="90">
        <v>8.68</v>
      </c>
      <c r="D175" s="90">
        <v>60.59</v>
      </c>
      <c r="E175" s="755">
        <v>24.242320985728004</v>
      </c>
      <c r="F175" s="90">
        <v>133.74</v>
      </c>
      <c r="G175" s="90">
        <v>8</v>
      </c>
      <c r="H175" t="s">
        <v>4441</v>
      </c>
      <c r="I175">
        <v>61.58</v>
      </c>
      <c r="J175" s="2239" t="s">
        <v>4176</v>
      </c>
      <c r="L175">
        <v>11</v>
      </c>
      <c r="M175">
        <v>38</v>
      </c>
      <c r="T175">
        <v>6.5</v>
      </c>
      <c r="V175">
        <f t="shared" si="10"/>
        <v>8</v>
      </c>
      <c r="W175" t="str">
        <f t="shared" si="11"/>
        <v>Mississippi (South Central)</v>
      </c>
      <c r="Z175" t="str">
        <f t="shared" si="12"/>
        <v>Mississippi</v>
      </c>
      <c r="AA175" t="str">
        <f t="shared" si="13"/>
        <v>Mississippi_8</v>
      </c>
      <c r="AI175">
        <v>8</v>
      </c>
      <c r="AJ175">
        <v>1052.0573811917791</v>
      </c>
      <c r="AK175" t="s">
        <v>3702</v>
      </c>
      <c r="AL175" t="str">
        <f t="shared" si="14"/>
        <v>Mississippi_8</v>
      </c>
    </row>
    <row r="176" spans="2:38" x14ac:dyDescent="0.3">
      <c r="B176" s="90" t="s">
        <v>3975</v>
      </c>
      <c r="C176" s="90">
        <v>10</v>
      </c>
      <c r="D176" s="90">
        <v>59.94</v>
      </c>
      <c r="E176" s="755">
        <v>24.065217305519994</v>
      </c>
      <c r="F176" s="90">
        <v>130.38</v>
      </c>
      <c r="G176" s="90">
        <v>9</v>
      </c>
      <c r="H176" t="s">
        <v>4440</v>
      </c>
      <c r="I176">
        <v>62.1</v>
      </c>
      <c r="J176" s="2238" t="s">
        <v>4172</v>
      </c>
      <c r="L176">
        <v>11</v>
      </c>
      <c r="M176">
        <v>38</v>
      </c>
      <c r="T176">
        <v>6.5</v>
      </c>
      <c r="V176">
        <f t="shared" si="10"/>
        <v>9</v>
      </c>
      <c r="W176" t="str">
        <f t="shared" si="11"/>
        <v>Mississippi (Southeast)</v>
      </c>
      <c r="Z176" t="str">
        <f t="shared" si="12"/>
        <v>Mississippi</v>
      </c>
      <c r="AA176" t="str">
        <f t="shared" si="13"/>
        <v>Mississippi_9</v>
      </c>
      <c r="AI176">
        <v>9</v>
      </c>
      <c r="AJ176">
        <v>1066.9657365737539</v>
      </c>
      <c r="AK176" t="s">
        <v>3702</v>
      </c>
      <c r="AL176" t="str">
        <f t="shared" si="14"/>
        <v>Mississippi_9</v>
      </c>
    </row>
    <row r="177" spans="2:38" x14ac:dyDescent="0.3">
      <c r="B177" s="90" t="s">
        <v>3976</v>
      </c>
      <c r="C177" s="90">
        <v>10</v>
      </c>
      <c r="D177" s="90">
        <v>65.039999999999992</v>
      </c>
      <c r="E177" s="755">
        <v>26.169730496224005</v>
      </c>
      <c r="F177" s="90">
        <v>145.36000000000001</v>
      </c>
      <c r="G177" s="90">
        <v>10</v>
      </c>
      <c r="H177" t="s">
        <v>4440</v>
      </c>
      <c r="I177">
        <v>62.1</v>
      </c>
      <c r="J177" s="2239" t="s">
        <v>4176</v>
      </c>
      <c r="L177">
        <v>11.5</v>
      </c>
      <c r="M177">
        <v>36.5</v>
      </c>
      <c r="T177">
        <v>6.75</v>
      </c>
      <c r="V177">
        <f t="shared" si="10"/>
        <v>10</v>
      </c>
      <c r="W177" t="str">
        <f t="shared" si="11"/>
        <v>Mississippi (Coastal)</v>
      </c>
      <c r="Z177" t="str">
        <f t="shared" si="12"/>
        <v>Mississippi</v>
      </c>
      <c r="AA177" t="str">
        <f t="shared" si="13"/>
        <v>Mississippi_10</v>
      </c>
      <c r="AI177">
        <v>10</v>
      </c>
      <c r="AJ177">
        <v>996.85901513217539</v>
      </c>
      <c r="AK177" t="s">
        <v>3702</v>
      </c>
      <c r="AL177" t="str">
        <f t="shared" si="14"/>
        <v>Mississippi_10</v>
      </c>
    </row>
    <row r="178" spans="2:38" x14ac:dyDescent="0.3">
      <c r="B178" s="90" t="s">
        <v>3977</v>
      </c>
      <c r="C178" s="90">
        <v>6.23</v>
      </c>
      <c r="D178" s="90">
        <v>39.089999999999989</v>
      </c>
      <c r="E178" s="755">
        <v>16.597332552112</v>
      </c>
      <c r="F178" s="90">
        <v>70.780000000000015</v>
      </c>
      <c r="G178" s="90">
        <v>1</v>
      </c>
      <c r="H178" t="s">
        <v>4442</v>
      </c>
      <c r="I178" s="90">
        <v>36.72</v>
      </c>
      <c r="J178" s="2238" t="s">
        <v>4172</v>
      </c>
      <c r="L178">
        <v>6.8</v>
      </c>
      <c r="M178">
        <v>48</v>
      </c>
      <c r="T178">
        <v>4.5</v>
      </c>
      <c r="V178">
        <f t="shared" si="10"/>
        <v>1</v>
      </c>
      <c r="W178" t="str">
        <f t="shared" si="11"/>
        <v>Missouri (Northwest Prairie)</v>
      </c>
      <c r="Z178" t="str">
        <f t="shared" si="12"/>
        <v>Missouri</v>
      </c>
      <c r="AA178" t="str">
        <f t="shared" si="13"/>
        <v>Missouri_1</v>
      </c>
      <c r="AI178">
        <v>1</v>
      </c>
      <c r="AJ178">
        <v>649.44143009416621</v>
      </c>
      <c r="AK178" t="s">
        <v>3703</v>
      </c>
      <c r="AL178" t="str">
        <f t="shared" si="14"/>
        <v>Missouri_1</v>
      </c>
    </row>
    <row r="179" spans="2:38" x14ac:dyDescent="0.3">
      <c r="B179" s="90" t="s">
        <v>3978</v>
      </c>
      <c r="C179" s="90">
        <v>6.09</v>
      </c>
      <c r="D179" s="90">
        <v>41.36</v>
      </c>
      <c r="E179" s="755">
        <v>17.172638344800003</v>
      </c>
      <c r="F179" s="90">
        <v>72.62</v>
      </c>
      <c r="G179" s="90">
        <v>2</v>
      </c>
      <c r="H179" t="s">
        <v>4443</v>
      </c>
      <c r="I179" s="90">
        <v>35.83</v>
      </c>
      <c r="J179" s="2238" t="s">
        <v>4172</v>
      </c>
      <c r="L179">
        <v>7.15</v>
      </c>
      <c r="M179">
        <v>47</v>
      </c>
      <c r="T179">
        <v>4.75</v>
      </c>
      <c r="V179">
        <f t="shared" si="10"/>
        <v>2</v>
      </c>
      <c r="W179" t="str">
        <f t="shared" si="11"/>
        <v>Missouri (Northeast Prairie)</v>
      </c>
      <c r="Z179" t="str">
        <f t="shared" si="12"/>
        <v>Missouri</v>
      </c>
      <c r="AA179" t="str">
        <f t="shared" si="13"/>
        <v>Missouri_2</v>
      </c>
      <c r="AI179">
        <v>2</v>
      </c>
      <c r="AJ179">
        <v>694.81015629301191</v>
      </c>
      <c r="AK179" t="s">
        <v>3703</v>
      </c>
      <c r="AL179" t="str">
        <f t="shared" si="14"/>
        <v>Missouri_2</v>
      </c>
    </row>
    <row r="180" spans="2:38" x14ac:dyDescent="0.3">
      <c r="B180" s="90" t="s">
        <v>3979</v>
      </c>
      <c r="C180" s="90">
        <v>5.76</v>
      </c>
      <c r="D180" s="90">
        <v>42.76</v>
      </c>
      <c r="E180" s="755">
        <v>17.900861465216</v>
      </c>
      <c r="F180" s="90">
        <v>81.499999999999986</v>
      </c>
      <c r="G180" s="90">
        <v>3</v>
      </c>
      <c r="H180" t="s">
        <v>4444</v>
      </c>
      <c r="I180" s="90">
        <v>37.06</v>
      </c>
      <c r="J180" s="2238" t="s">
        <v>4172</v>
      </c>
      <c r="L180">
        <v>7.5</v>
      </c>
      <c r="M180">
        <v>46</v>
      </c>
      <c r="T180">
        <v>5</v>
      </c>
      <c r="V180">
        <f t="shared" si="10"/>
        <v>3</v>
      </c>
      <c r="W180" t="str">
        <f t="shared" si="11"/>
        <v>Missouri (West Central Plains)</v>
      </c>
      <c r="Z180" t="str">
        <f t="shared" si="12"/>
        <v>Missouri</v>
      </c>
      <c r="AA180" t="str">
        <f t="shared" si="13"/>
        <v>Missouri_3</v>
      </c>
      <c r="AI180">
        <v>3</v>
      </c>
      <c r="AJ180">
        <v>788.95337022412696</v>
      </c>
      <c r="AK180" t="s">
        <v>3703</v>
      </c>
      <c r="AL180" t="str">
        <f t="shared" si="14"/>
        <v>Missouri_3</v>
      </c>
    </row>
    <row r="181" spans="2:38" x14ac:dyDescent="0.3">
      <c r="B181" s="90" t="s">
        <v>3980</v>
      </c>
      <c r="C181" s="90">
        <v>6.34</v>
      </c>
      <c r="D181" s="90">
        <v>45.73</v>
      </c>
      <c r="E181" s="755">
        <v>18.398050457504002</v>
      </c>
      <c r="F181" s="90">
        <v>79.95999999999998</v>
      </c>
      <c r="G181" s="90">
        <v>4</v>
      </c>
      <c r="H181" t="s">
        <v>4445</v>
      </c>
      <c r="I181" s="90">
        <v>42.17</v>
      </c>
      <c r="J181" s="2238" t="s">
        <v>4172</v>
      </c>
      <c r="L181">
        <v>8.25</v>
      </c>
      <c r="M181">
        <v>44</v>
      </c>
      <c r="T181">
        <v>5.25</v>
      </c>
      <c r="V181">
        <f t="shared" si="10"/>
        <v>4</v>
      </c>
      <c r="W181" t="str">
        <f t="shared" si="11"/>
        <v>Missouri (West Ozarks)</v>
      </c>
      <c r="Z181" t="str">
        <f t="shared" si="12"/>
        <v>Missouri</v>
      </c>
      <c r="AA181" t="str">
        <f t="shared" si="13"/>
        <v>Missouri_4</v>
      </c>
      <c r="AI181">
        <v>4</v>
      </c>
      <c r="AJ181">
        <v>795.48131169324927</v>
      </c>
      <c r="AK181" t="s">
        <v>3703</v>
      </c>
      <c r="AL181" t="str">
        <f t="shared" si="14"/>
        <v>Missouri_4</v>
      </c>
    </row>
    <row r="182" spans="2:38" x14ac:dyDescent="0.3">
      <c r="B182" s="90" t="s">
        <v>3981</v>
      </c>
      <c r="C182" s="90">
        <v>6.63</v>
      </c>
      <c r="D182" s="90">
        <v>46.74</v>
      </c>
      <c r="E182" s="755">
        <v>18.537583270368</v>
      </c>
      <c r="F182" s="90">
        <v>77.199999999999989</v>
      </c>
      <c r="G182" s="90">
        <v>5</v>
      </c>
      <c r="H182" t="s">
        <v>4446</v>
      </c>
      <c r="I182" s="90">
        <v>31.41</v>
      </c>
      <c r="J182" s="2238" t="s">
        <v>4172</v>
      </c>
      <c r="L182">
        <v>8.25</v>
      </c>
      <c r="M182">
        <v>44</v>
      </c>
      <c r="T182">
        <v>5.25</v>
      </c>
      <c r="V182">
        <f t="shared" si="10"/>
        <v>5</v>
      </c>
      <c r="W182" t="str">
        <f t="shared" si="11"/>
        <v>Missouri (East Ozarks)</v>
      </c>
      <c r="Z182" t="str">
        <f t="shared" si="12"/>
        <v>Missouri</v>
      </c>
      <c r="AA182" t="str">
        <f t="shared" si="13"/>
        <v>Missouri_5</v>
      </c>
      <c r="AI182">
        <v>5</v>
      </c>
      <c r="AJ182">
        <v>829.81575228199188</v>
      </c>
      <c r="AK182" t="s">
        <v>3703</v>
      </c>
      <c r="AL182" t="str">
        <f t="shared" si="14"/>
        <v>Missouri_5</v>
      </c>
    </row>
    <row r="183" spans="2:38" x14ac:dyDescent="0.3">
      <c r="B183" s="90" t="s">
        <v>3982</v>
      </c>
      <c r="C183" s="90">
        <v>6.63</v>
      </c>
      <c r="D183" s="90">
        <v>49.74</v>
      </c>
      <c r="E183" s="755">
        <v>19.817718481936001</v>
      </c>
      <c r="F183" s="90">
        <v>98.61999999999999</v>
      </c>
      <c r="G183" s="90">
        <v>6</v>
      </c>
      <c r="H183" t="s">
        <v>4446</v>
      </c>
      <c r="I183" s="90">
        <v>31.41</v>
      </c>
      <c r="J183" s="2238" t="s">
        <v>4172</v>
      </c>
      <c r="L183">
        <v>9</v>
      </c>
      <c r="M183">
        <v>42</v>
      </c>
      <c r="T183">
        <v>5.5</v>
      </c>
      <c r="V183">
        <f t="shared" si="10"/>
        <v>6</v>
      </c>
      <c r="W183" t="str">
        <f t="shared" si="11"/>
        <v>Missouri (Bootheel)</v>
      </c>
      <c r="Z183" t="str">
        <f t="shared" si="12"/>
        <v>Missouri</v>
      </c>
      <c r="AA183" t="str">
        <f t="shared" si="13"/>
        <v>Missouri_6</v>
      </c>
      <c r="AI183">
        <v>6</v>
      </c>
      <c r="AJ183">
        <v>658.28542885598358</v>
      </c>
      <c r="AK183" t="s">
        <v>3703</v>
      </c>
      <c r="AL183" t="str">
        <f t="shared" si="14"/>
        <v>Missouri_6</v>
      </c>
    </row>
    <row r="184" spans="2:38" x14ac:dyDescent="0.3">
      <c r="B184" s="90" t="s">
        <v>3983</v>
      </c>
      <c r="C184" s="90">
        <v>3</v>
      </c>
      <c r="D184" s="90">
        <v>30.68</v>
      </c>
      <c r="E184" s="755">
        <v>7.3179411790559987</v>
      </c>
      <c r="F184" s="90">
        <v>10.23</v>
      </c>
      <c r="G184" s="90">
        <v>1</v>
      </c>
      <c r="H184" t="s">
        <v>4447</v>
      </c>
      <c r="I184" s="90">
        <v>31</v>
      </c>
      <c r="J184" s="2243" t="s">
        <v>4168</v>
      </c>
      <c r="L184">
        <v>5.5</v>
      </c>
      <c r="M184">
        <v>52.5</v>
      </c>
      <c r="T184">
        <v>3.75</v>
      </c>
      <c r="V184">
        <f t="shared" si="10"/>
        <v>1</v>
      </c>
      <c r="W184" t="str">
        <f t="shared" si="11"/>
        <v>Montana (Western)</v>
      </c>
      <c r="Z184" t="str">
        <f t="shared" si="12"/>
        <v>Montana</v>
      </c>
      <c r="AA184" t="str">
        <f t="shared" si="13"/>
        <v>Montana_1</v>
      </c>
      <c r="AI184">
        <v>1</v>
      </c>
      <c r="AJ184">
        <v>506.01634653263272</v>
      </c>
      <c r="AK184" t="s">
        <v>3704</v>
      </c>
      <c r="AL184" t="str">
        <f t="shared" si="14"/>
        <v>Montana_1</v>
      </c>
    </row>
    <row r="185" spans="2:38" x14ac:dyDescent="0.3">
      <c r="B185" s="90" t="s">
        <v>3984</v>
      </c>
      <c r="C185" s="90">
        <v>2.5</v>
      </c>
      <c r="D185" s="90">
        <v>21.35</v>
      </c>
      <c r="E185" s="755">
        <v>5.5157245859519994</v>
      </c>
      <c r="F185" s="90">
        <v>8.68</v>
      </c>
      <c r="G185" s="90">
        <v>2</v>
      </c>
      <c r="H185" t="s">
        <v>4448</v>
      </c>
      <c r="I185" s="90">
        <v>30</v>
      </c>
      <c r="J185" s="2242" t="s">
        <v>4169</v>
      </c>
      <c r="L185">
        <v>5.5</v>
      </c>
      <c r="M185">
        <v>52.5</v>
      </c>
      <c r="T185">
        <v>3.75</v>
      </c>
      <c r="V185">
        <f t="shared" si="10"/>
        <v>2</v>
      </c>
      <c r="W185" t="str">
        <f t="shared" si="11"/>
        <v>Montana (Southwestern)</v>
      </c>
      <c r="Z185" t="str">
        <f t="shared" si="12"/>
        <v>Montana</v>
      </c>
      <c r="AA185" t="str">
        <f t="shared" si="13"/>
        <v>Montana_2</v>
      </c>
      <c r="AI185">
        <v>2</v>
      </c>
      <c r="AJ185">
        <v>362.89635452845852</v>
      </c>
      <c r="AK185" t="s">
        <v>3704</v>
      </c>
      <c r="AL185" t="str">
        <f t="shared" si="14"/>
        <v>Montana_2</v>
      </c>
    </row>
    <row r="186" spans="2:38" x14ac:dyDescent="0.3">
      <c r="B186" s="90" t="s">
        <v>3985</v>
      </c>
      <c r="C186" s="90">
        <v>4</v>
      </c>
      <c r="D186" s="90">
        <v>15.15</v>
      </c>
      <c r="E186" s="755">
        <v>5.5961182893120007</v>
      </c>
      <c r="F186" s="90">
        <v>20.13</v>
      </c>
      <c r="G186" s="90">
        <v>3</v>
      </c>
      <c r="H186" t="s">
        <v>4449</v>
      </c>
      <c r="I186" s="90">
        <v>39</v>
      </c>
      <c r="J186" s="2242" t="s">
        <v>4169</v>
      </c>
      <c r="L186">
        <v>4.75</v>
      </c>
      <c r="M186">
        <v>57.5</v>
      </c>
      <c r="T186">
        <v>3.25</v>
      </c>
      <c r="V186">
        <f t="shared" si="10"/>
        <v>3</v>
      </c>
      <c r="W186" t="str">
        <f t="shared" si="11"/>
        <v>Montana (North Central)</v>
      </c>
      <c r="Z186" t="str">
        <f t="shared" si="12"/>
        <v>Montana</v>
      </c>
      <c r="AA186" t="str">
        <f t="shared" si="13"/>
        <v>Montana_3</v>
      </c>
      <c r="AI186">
        <v>3</v>
      </c>
      <c r="AJ186">
        <v>302.74537334950202</v>
      </c>
      <c r="AK186" t="s">
        <v>3704</v>
      </c>
      <c r="AL186" t="str">
        <f t="shared" si="14"/>
        <v>Montana_3</v>
      </c>
    </row>
    <row r="187" spans="2:38" x14ac:dyDescent="0.3">
      <c r="B187" s="90" t="s">
        <v>3986</v>
      </c>
      <c r="C187" s="90">
        <v>4</v>
      </c>
      <c r="D187" s="90">
        <v>17.88</v>
      </c>
      <c r="E187" s="755">
        <v>6.2405513807999986</v>
      </c>
      <c r="F187" s="90">
        <v>17.98</v>
      </c>
      <c r="G187" s="90">
        <v>4</v>
      </c>
      <c r="H187" t="s">
        <v>4450</v>
      </c>
      <c r="I187" s="90">
        <v>47</v>
      </c>
      <c r="J187" s="2242" t="s">
        <v>4169</v>
      </c>
      <c r="L187">
        <v>5</v>
      </c>
      <c r="M187">
        <v>55</v>
      </c>
      <c r="T187">
        <v>3.5</v>
      </c>
      <c r="V187">
        <f t="shared" si="10"/>
        <v>4</v>
      </c>
      <c r="W187" t="str">
        <f t="shared" si="11"/>
        <v>Montana (Central)</v>
      </c>
      <c r="Z187" t="str">
        <f t="shared" si="12"/>
        <v>Montana</v>
      </c>
      <c r="AA187" t="str">
        <f t="shared" si="13"/>
        <v>Montana_4</v>
      </c>
      <c r="AI187">
        <v>4</v>
      </c>
      <c r="AJ187">
        <v>359.0470021821817</v>
      </c>
      <c r="AK187" t="s">
        <v>3704</v>
      </c>
      <c r="AL187" t="str">
        <f t="shared" si="14"/>
        <v>Montana_4</v>
      </c>
    </row>
    <row r="188" spans="2:38" x14ac:dyDescent="0.3">
      <c r="B188" s="90" t="s">
        <v>3987</v>
      </c>
      <c r="C188" s="90">
        <v>4</v>
      </c>
      <c r="D188" s="90">
        <v>18.21</v>
      </c>
      <c r="E188" s="755">
        <v>6.6721485074720004</v>
      </c>
      <c r="F188" s="90">
        <v>21.06</v>
      </c>
      <c r="G188" s="90">
        <v>5</v>
      </c>
      <c r="H188" t="s">
        <v>4451</v>
      </c>
      <c r="I188" s="90">
        <v>48.6</v>
      </c>
      <c r="J188" s="2242" t="s">
        <v>4169</v>
      </c>
      <c r="L188">
        <v>5</v>
      </c>
      <c r="M188">
        <v>55</v>
      </c>
      <c r="T188">
        <v>3.5</v>
      </c>
      <c r="V188">
        <f t="shared" si="10"/>
        <v>5</v>
      </c>
      <c r="W188" t="str">
        <f t="shared" si="11"/>
        <v>Montana (South Central)</v>
      </c>
      <c r="Z188" t="str">
        <f t="shared" si="12"/>
        <v>Montana</v>
      </c>
      <c r="AA188" t="str">
        <f t="shared" si="13"/>
        <v>Montana_5</v>
      </c>
      <c r="AI188">
        <v>5</v>
      </c>
      <c r="AJ188">
        <v>350.24843834760469</v>
      </c>
      <c r="AK188" t="s">
        <v>3704</v>
      </c>
      <c r="AL188" t="str">
        <f t="shared" si="14"/>
        <v>Montana_5</v>
      </c>
    </row>
    <row r="189" spans="2:38" x14ac:dyDescent="0.3">
      <c r="B189" s="90" t="s">
        <v>3988</v>
      </c>
      <c r="C189" s="90">
        <v>3</v>
      </c>
      <c r="D189" s="90">
        <v>14.15</v>
      </c>
      <c r="E189" s="755">
        <v>5.9075329974400006</v>
      </c>
      <c r="F189" s="90">
        <v>29.6</v>
      </c>
      <c r="G189" s="90">
        <v>6</v>
      </c>
      <c r="H189" t="s">
        <v>4452</v>
      </c>
      <c r="I189" s="90">
        <v>32.479999999999997</v>
      </c>
      <c r="J189" s="2242" t="s">
        <v>4169</v>
      </c>
      <c r="L189">
        <v>4.5</v>
      </c>
      <c r="M189">
        <v>60</v>
      </c>
      <c r="T189">
        <v>3</v>
      </c>
      <c r="V189">
        <f t="shared" si="10"/>
        <v>6</v>
      </c>
      <c r="W189" t="str">
        <f t="shared" si="11"/>
        <v>Montana (Northeastern)</v>
      </c>
      <c r="Z189" t="str">
        <f t="shared" si="12"/>
        <v>Montana</v>
      </c>
      <c r="AA189" t="str">
        <f t="shared" si="13"/>
        <v>Montana_6</v>
      </c>
      <c r="AI189">
        <v>6</v>
      </c>
      <c r="AJ189">
        <v>371.61330854997618</v>
      </c>
      <c r="AK189" t="s">
        <v>3704</v>
      </c>
      <c r="AL189" t="str">
        <f t="shared" si="14"/>
        <v>Montana_6</v>
      </c>
    </row>
    <row r="190" spans="2:38" x14ac:dyDescent="0.3">
      <c r="B190" s="90" t="s">
        <v>3989</v>
      </c>
      <c r="C190" s="90">
        <v>3</v>
      </c>
      <c r="D190" s="90">
        <v>15.09</v>
      </c>
      <c r="E190" s="755">
        <v>6.3491918042239996</v>
      </c>
      <c r="F190" s="90">
        <v>36.01</v>
      </c>
      <c r="G190" s="90">
        <v>7</v>
      </c>
      <c r="H190" t="s">
        <v>4453</v>
      </c>
      <c r="I190" s="90">
        <v>34.020000000000003</v>
      </c>
      <c r="J190" s="2242" t="s">
        <v>4169</v>
      </c>
      <c r="L190">
        <v>4.75</v>
      </c>
      <c r="M190">
        <v>57.5</v>
      </c>
      <c r="T190">
        <v>3.25</v>
      </c>
      <c r="V190">
        <f t="shared" si="10"/>
        <v>7</v>
      </c>
      <c r="W190" t="str">
        <f t="shared" si="11"/>
        <v>Montana (Southeastern)</v>
      </c>
      <c r="Z190" t="str">
        <f t="shared" si="12"/>
        <v>Montana</v>
      </c>
      <c r="AA190" t="str">
        <f t="shared" si="13"/>
        <v>Montana_7</v>
      </c>
      <c r="AI190">
        <v>7</v>
      </c>
      <c r="AJ190">
        <v>349.60514199808699</v>
      </c>
      <c r="AK190" t="s">
        <v>3704</v>
      </c>
      <c r="AL190" t="str">
        <f t="shared" si="14"/>
        <v>Montana_7</v>
      </c>
    </row>
    <row r="191" spans="2:38" x14ac:dyDescent="0.3">
      <c r="B191" s="90" t="s">
        <v>3990</v>
      </c>
      <c r="C191" s="90">
        <v>3.27</v>
      </c>
      <c r="D191" s="90">
        <v>17.72</v>
      </c>
      <c r="E191" s="755">
        <v>7.6337679608160007</v>
      </c>
      <c r="F191" s="90">
        <v>44.19</v>
      </c>
      <c r="G191" s="90">
        <v>1</v>
      </c>
      <c r="H191" t="s">
        <v>4454</v>
      </c>
      <c r="I191" s="90">
        <v>51.46</v>
      </c>
      <c r="J191" s="2242" t="s">
        <v>4169</v>
      </c>
      <c r="L191">
        <v>6</v>
      </c>
      <c r="M191">
        <v>50</v>
      </c>
      <c r="T191">
        <v>4</v>
      </c>
      <c r="V191">
        <f t="shared" si="10"/>
        <v>1</v>
      </c>
      <c r="W191" t="str">
        <f t="shared" si="11"/>
        <v>Nebraska (Panhandle)</v>
      </c>
      <c r="Z191" t="str">
        <f t="shared" si="12"/>
        <v>Nebraska</v>
      </c>
      <c r="AA191" t="str">
        <f t="shared" si="13"/>
        <v>Nebraska_1</v>
      </c>
      <c r="AI191">
        <v>1</v>
      </c>
      <c r="AJ191">
        <v>397.96495974113873</v>
      </c>
      <c r="AK191" t="s">
        <v>3705</v>
      </c>
      <c r="AL191" t="str">
        <f t="shared" si="14"/>
        <v>Nebraska_1</v>
      </c>
    </row>
    <row r="192" spans="2:38" x14ac:dyDescent="0.3">
      <c r="B192" s="90" t="s">
        <v>3991</v>
      </c>
      <c r="C192" s="90">
        <v>4.4000000000000004</v>
      </c>
      <c r="D192" s="90">
        <v>23.54</v>
      </c>
      <c r="E192" s="755">
        <v>10.476525269631999</v>
      </c>
      <c r="F192" s="90">
        <v>46.94</v>
      </c>
      <c r="G192" s="90">
        <v>2</v>
      </c>
      <c r="H192" t="s">
        <v>4455</v>
      </c>
      <c r="I192" s="90">
        <v>41.38</v>
      </c>
      <c r="J192" s="2242" t="s">
        <v>4169</v>
      </c>
      <c r="L192">
        <v>6</v>
      </c>
      <c r="M192">
        <v>50</v>
      </c>
      <c r="T192">
        <v>4</v>
      </c>
      <c r="V192">
        <f t="shared" si="10"/>
        <v>2</v>
      </c>
      <c r="W192" t="str">
        <f t="shared" si="11"/>
        <v>Nebraska (North Central)</v>
      </c>
      <c r="Z192" t="str">
        <f t="shared" si="12"/>
        <v>Nebraska</v>
      </c>
      <c r="AA192" t="str">
        <f t="shared" si="13"/>
        <v>Nebraska_2</v>
      </c>
      <c r="AI192">
        <v>2</v>
      </c>
      <c r="AJ192">
        <v>439.91703332456899</v>
      </c>
      <c r="AK192" t="s">
        <v>3705</v>
      </c>
      <c r="AL192" t="str">
        <f t="shared" si="14"/>
        <v>Nebraska_2</v>
      </c>
    </row>
    <row r="193" spans="2:38" x14ac:dyDescent="0.3">
      <c r="B193" s="90" t="s">
        <v>3992</v>
      </c>
      <c r="C193" s="90">
        <v>4.67</v>
      </c>
      <c r="D193" s="90">
        <v>28.39</v>
      </c>
      <c r="E193" s="755">
        <v>12.118177553135997</v>
      </c>
      <c r="F193" s="90">
        <v>50.89</v>
      </c>
      <c r="G193" s="90">
        <v>3</v>
      </c>
      <c r="H193" t="s">
        <v>4456</v>
      </c>
      <c r="I193" s="90">
        <v>52.13</v>
      </c>
      <c r="J193" s="2242" t="s">
        <v>4169</v>
      </c>
      <c r="L193">
        <v>6</v>
      </c>
      <c r="M193">
        <v>50</v>
      </c>
      <c r="T193">
        <v>4</v>
      </c>
      <c r="V193">
        <f t="shared" si="10"/>
        <v>3</v>
      </c>
      <c r="W193" t="str">
        <f t="shared" si="11"/>
        <v>Nebraska (Northeast)</v>
      </c>
      <c r="Z193" t="str">
        <f t="shared" si="12"/>
        <v>Nebraska</v>
      </c>
      <c r="AA193" t="str">
        <f t="shared" si="13"/>
        <v>Nebraska_3</v>
      </c>
      <c r="AI193">
        <v>3</v>
      </c>
      <c r="AJ193">
        <v>602.13002862526457</v>
      </c>
      <c r="AK193" t="s">
        <v>3705</v>
      </c>
      <c r="AL193" t="str">
        <f t="shared" si="14"/>
        <v>Nebraska_3</v>
      </c>
    </row>
    <row r="194" spans="2:38" x14ac:dyDescent="0.3">
      <c r="B194" s="90" t="s">
        <v>3993</v>
      </c>
      <c r="C194" s="90">
        <v>4.4000000000000004</v>
      </c>
      <c r="D194" s="90">
        <v>25.25</v>
      </c>
      <c r="E194" s="755">
        <v>10.997207700992004</v>
      </c>
      <c r="F194" s="90">
        <v>53.02</v>
      </c>
      <c r="G194" s="90">
        <v>5</v>
      </c>
      <c r="H194" t="s">
        <v>4457</v>
      </c>
      <c r="I194" s="90">
        <v>43.35</v>
      </c>
      <c r="J194" s="2242" t="s">
        <v>4169</v>
      </c>
      <c r="L194">
        <v>6.4</v>
      </c>
      <c r="M194">
        <v>49</v>
      </c>
      <c r="T194">
        <v>4.25</v>
      </c>
      <c r="V194">
        <f t="shared" si="10"/>
        <v>5</v>
      </c>
      <c r="W194" t="str">
        <f t="shared" si="11"/>
        <v>Nebraska (Central)</v>
      </c>
      <c r="Z194" t="str">
        <f t="shared" si="12"/>
        <v>Nebraska</v>
      </c>
      <c r="AA194" t="str">
        <f t="shared" si="13"/>
        <v>Nebraska_5</v>
      </c>
      <c r="AI194">
        <v>5</v>
      </c>
      <c r="AJ194">
        <v>628.93132093769134</v>
      </c>
      <c r="AK194" t="s">
        <v>3705</v>
      </c>
      <c r="AL194" t="str">
        <f t="shared" si="14"/>
        <v>Nebraska_5</v>
      </c>
    </row>
    <row r="195" spans="2:38" x14ac:dyDescent="0.3">
      <c r="B195" s="90" t="s">
        <v>3994</v>
      </c>
      <c r="C195" s="90">
        <v>4.4000000000000004</v>
      </c>
      <c r="D195" s="90">
        <v>29.9</v>
      </c>
      <c r="E195" s="755">
        <v>13.197076537791999</v>
      </c>
      <c r="F195" s="90">
        <v>60.98</v>
      </c>
      <c r="G195" s="90">
        <v>6</v>
      </c>
      <c r="H195" t="s">
        <v>4458</v>
      </c>
      <c r="I195" s="90">
        <v>43.82</v>
      </c>
      <c r="J195" s="2241" t="s">
        <v>4173</v>
      </c>
      <c r="L195">
        <v>6.4</v>
      </c>
      <c r="M195">
        <v>49</v>
      </c>
      <c r="T195">
        <v>4.25</v>
      </c>
      <c r="V195">
        <f t="shared" si="10"/>
        <v>6</v>
      </c>
      <c r="W195" t="str">
        <f t="shared" si="11"/>
        <v>Nebraska (East Central)</v>
      </c>
      <c r="Z195" t="str">
        <f t="shared" si="12"/>
        <v>Nebraska</v>
      </c>
      <c r="AA195" t="str">
        <f t="shared" si="13"/>
        <v>Nebraska_6</v>
      </c>
      <c r="AI195">
        <v>6</v>
      </c>
      <c r="AJ195">
        <v>650.91884390722487</v>
      </c>
      <c r="AK195" t="s">
        <v>3705</v>
      </c>
      <c r="AL195" t="str">
        <f t="shared" si="14"/>
        <v>Nebraska_6</v>
      </c>
    </row>
    <row r="196" spans="2:38" x14ac:dyDescent="0.3">
      <c r="B196" s="90" t="s">
        <v>3995</v>
      </c>
      <c r="C196" s="90">
        <v>3.99</v>
      </c>
      <c r="D196" s="90">
        <v>20.67</v>
      </c>
      <c r="E196" s="755">
        <v>9.3195081722399973</v>
      </c>
      <c r="F196" s="90">
        <v>57.61</v>
      </c>
      <c r="G196" s="90">
        <v>7</v>
      </c>
      <c r="H196" t="s">
        <v>4459</v>
      </c>
      <c r="I196" s="90">
        <v>55.74</v>
      </c>
      <c r="J196" s="2242" t="s">
        <v>4169</v>
      </c>
      <c r="L196">
        <v>6.4</v>
      </c>
      <c r="M196">
        <v>49</v>
      </c>
      <c r="T196">
        <v>4.25</v>
      </c>
      <c r="V196">
        <f t="shared" si="10"/>
        <v>7</v>
      </c>
      <c r="W196" t="str">
        <f t="shared" si="11"/>
        <v>Nebraska (Southwest)</v>
      </c>
      <c r="Z196" t="str">
        <f t="shared" si="12"/>
        <v>Nebraska</v>
      </c>
      <c r="AA196" t="str">
        <f t="shared" si="13"/>
        <v>Nebraska_7</v>
      </c>
      <c r="AI196">
        <v>7</v>
      </c>
      <c r="AJ196">
        <v>562.37757764229286</v>
      </c>
      <c r="AK196" t="s">
        <v>3705</v>
      </c>
      <c r="AL196" t="str">
        <f t="shared" si="14"/>
        <v>Nebraska_7</v>
      </c>
    </row>
    <row r="197" spans="2:38" x14ac:dyDescent="0.3">
      <c r="B197" s="90" t="s">
        <v>3996</v>
      </c>
      <c r="C197" s="90">
        <v>4.4000000000000004</v>
      </c>
      <c r="D197" s="90">
        <v>25.22</v>
      </c>
      <c r="E197" s="755">
        <v>11.241307446336</v>
      </c>
      <c r="F197" s="90">
        <v>63.11</v>
      </c>
      <c r="G197" s="90">
        <v>8</v>
      </c>
      <c r="H197" t="s">
        <v>4460</v>
      </c>
      <c r="I197" s="90">
        <v>53.34</v>
      </c>
      <c r="J197" s="2241" t="s">
        <v>4173</v>
      </c>
      <c r="L197">
        <v>6.8</v>
      </c>
      <c r="M197">
        <v>48</v>
      </c>
      <c r="T197">
        <v>4.5</v>
      </c>
      <c r="V197">
        <f t="shared" si="10"/>
        <v>8</v>
      </c>
      <c r="W197" t="str">
        <f t="shared" si="11"/>
        <v>Nebraska (South Central)</v>
      </c>
      <c r="Z197" t="str">
        <f t="shared" si="12"/>
        <v>Nebraska</v>
      </c>
      <c r="AA197" t="str">
        <f t="shared" si="13"/>
        <v>Nebraska_8</v>
      </c>
      <c r="AI197">
        <v>8</v>
      </c>
      <c r="AJ197">
        <v>704.17649458833182</v>
      </c>
      <c r="AK197" t="s">
        <v>3705</v>
      </c>
      <c r="AL197" t="str">
        <f t="shared" si="14"/>
        <v>Nebraska_8</v>
      </c>
    </row>
    <row r="198" spans="2:38" x14ac:dyDescent="0.3">
      <c r="B198" s="90" t="s">
        <v>3997</v>
      </c>
      <c r="C198" s="90">
        <v>5.42</v>
      </c>
      <c r="D198" s="90">
        <v>30.83</v>
      </c>
      <c r="E198" s="755">
        <v>13.659815397744003</v>
      </c>
      <c r="F198" s="90">
        <v>68.010000000000005</v>
      </c>
      <c r="G198" s="90">
        <v>9</v>
      </c>
      <c r="H198" t="s">
        <v>4460</v>
      </c>
      <c r="I198" s="90">
        <v>53.34</v>
      </c>
      <c r="J198" s="2241" t="s">
        <v>4173</v>
      </c>
      <c r="L198">
        <v>6.8</v>
      </c>
      <c r="M198">
        <v>48</v>
      </c>
      <c r="T198">
        <v>4.5</v>
      </c>
      <c r="V198">
        <f t="shared" si="10"/>
        <v>9</v>
      </c>
      <c r="W198" t="str">
        <f t="shared" si="11"/>
        <v>Nebraska (Southeast)</v>
      </c>
      <c r="Z198" t="str">
        <f t="shared" si="12"/>
        <v>Nebraska</v>
      </c>
      <c r="AA198" t="str">
        <f t="shared" si="13"/>
        <v>Nebraska_9</v>
      </c>
      <c r="AI198">
        <v>9</v>
      </c>
      <c r="AJ198">
        <v>660.72867853821356</v>
      </c>
      <c r="AK198" t="s">
        <v>3705</v>
      </c>
      <c r="AL198" t="str">
        <f t="shared" si="14"/>
        <v>Nebraska_9</v>
      </c>
    </row>
    <row r="199" spans="2:38" x14ac:dyDescent="0.3">
      <c r="B199" s="90" t="s">
        <v>3998</v>
      </c>
      <c r="C199" s="90">
        <v>2.42</v>
      </c>
      <c r="D199" s="90">
        <v>10.24</v>
      </c>
      <c r="E199" s="755">
        <v>3.4332875114400001</v>
      </c>
      <c r="F199" s="90">
        <v>45.41</v>
      </c>
      <c r="G199" s="90">
        <v>1</v>
      </c>
      <c r="H199" t="s">
        <v>4461</v>
      </c>
      <c r="I199" s="90">
        <v>60.59</v>
      </c>
      <c r="J199" s="2242" t="s">
        <v>4169</v>
      </c>
      <c r="L199">
        <v>8.25</v>
      </c>
      <c r="M199">
        <v>44</v>
      </c>
      <c r="T199">
        <v>5.25</v>
      </c>
      <c r="V199">
        <f t="shared" si="10"/>
        <v>1</v>
      </c>
      <c r="W199" t="str">
        <f t="shared" si="11"/>
        <v>Nevada (Northwestern)</v>
      </c>
      <c r="Z199" t="str">
        <f t="shared" si="12"/>
        <v>Nevada</v>
      </c>
      <c r="AA199" t="str">
        <f t="shared" si="13"/>
        <v>Nevada_1</v>
      </c>
      <c r="AI199">
        <v>1</v>
      </c>
      <c r="AJ199">
        <v>111.4966752913992</v>
      </c>
      <c r="AK199" t="s">
        <v>3706</v>
      </c>
      <c r="AL199" t="str">
        <f t="shared" si="14"/>
        <v>Nevada_1</v>
      </c>
    </row>
    <row r="200" spans="2:38" x14ac:dyDescent="0.3">
      <c r="B200" s="90" t="s">
        <v>3999</v>
      </c>
      <c r="C200" s="90">
        <v>2.27</v>
      </c>
      <c r="D200" s="90">
        <v>12.84</v>
      </c>
      <c r="E200" s="755">
        <v>4.4278570970720006</v>
      </c>
      <c r="F200" s="90">
        <v>31.69</v>
      </c>
      <c r="G200" s="90">
        <v>2</v>
      </c>
      <c r="H200" t="s">
        <v>4462</v>
      </c>
      <c r="I200" s="90">
        <v>48</v>
      </c>
      <c r="J200" s="2242" t="s">
        <v>4169</v>
      </c>
      <c r="L200">
        <v>7.5</v>
      </c>
      <c r="M200">
        <v>46</v>
      </c>
      <c r="T200">
        <v>5</v>
      </c>
      <c r="V200">
        <f t="shared" si="10"/>
        <v>2</v>
      </c>
      <c r="W200" t="str">
        <f t="shared" si="11"/>
        <v>Nevada (Northeastern)</v>
      </c>
      <c r="Z200" t="str">
        <f t="shared" si="12"/>
        <v>Nevada</v>
      </c>
      <c r="AA200" t="str">
        <f t="shared" si="13"/>
        <v>Nevada_2</v>
      </c>
      <c r="AI200">
        <v>2</v>
      </c>
      <c r="AJ200">
        <v>232.50949562433189</v>
      </c>
      <c r="AK200" t="s">
        <v>3706</v>
      </c>
      <c r="AL200" t="str">
        <f t="shared" si="14"/>
        <v>Nevada_2</v>
      </c>
    </row>
    <row r="201" spans="2:38" x14ac:dyDescent="0.3">
      <c r="B201" s="90" t="s">
        <v>4000</v>
      </c>
      <c r="C201" s="90">
        <v>2.79</v>
      </c>
      <c r="D201" s="90">
        <v>8.34</v>
      </c>
      <c r="E201" s="755">
        <v>3.5878754428960011</v>
      </c>
      <c r="F201" s="90">
        <v>54.55</v>
      </c>
      <c r="G201" s="90">
        <v>3</v>
      </c>
      <c r="H201" t="s">
        <v>4463</v>
      </c>
      <c r="I201" s="90">
        <v>57</v>
      </c>
      <c r="J201" s="2242" t="s">
        <v>4169</v>
      </c>
      <c r="L201">
        <v>9</v>
      </c>
      <c r="M201">
        <v>42</v>
      </c>
      <c r="T201">
        <v>5.5</v>
      </c>
      <c r="V201">
        <f t="shared" si="10"/>
        <v>3</v>
      </c>
      <c r="W201" t="str">
        <f t="shared" si="11"/>
        <v>Nevada (South Central)</v>
      </c>
      <c r="Z201" t="str">
        <f t="shared" si="12"/>
        <v>Nevada</v>
      </c>
      <c r="AA201" t="str">
        <f t="shared" si="13"/>
        <v>Nevada_3</v>
      </c>
      <c r="AI201">
        <v>3</v>
      </c>
      <c r="AJ201">
        <v>187.15537212237149</v>
      </c>
      <c r="AK201" t="s">
        <v>3706</v>
      </c>
      <c r="AL201" t="str">
        <f t="shared" si="14"/>
        <v>Nevada_3</v>
      </c>
    </row>
    <row r="202" spans="2:38" x14ac:dyDescent="0.3">
      <c r="B202" s="90" t="s">
        <v>4001</v>
      </c>
      <c r="C202" s="90">
        <v>2.3199999999999998</v>
      </c>
      <c r="D202" s="90">
        <v>6.8999999999999986</v>
      </c>
      <c r="E202" s="755">
        <v>3.0638675521120007</v>
      </c>
      <c r="F202" s="90">
        <v>136.25</v>
      </c>
      <c r="G202" s="90">
        <v>4</v>
      </c>
      <c r="H202" t="s">
        <v>4464</v>
      </c>
      <c r="I202" s="90">
        <v>113.53</v>
      </c>
      <c r="J202" s="2241" t="s">
        <v>4173</v>
      </c>
      <c r="L202">
        <v>9.5</v>
      </c>
      <c r="M202">
        <v>41</v>
      </c>
      <c r="T202">
        <v>5.75</v>
      </c>
      <c r="V202">
        <f t="shared" si="10"/>
        <v>4</v>
      </c>
      <c r="W202" t="str">
        <f t="shared" si="11"/>
        <v>Nevada (Extreme Southern)</v>
      </c>
      <c r="Z202" t="str">
        <f t="shared" si="12"/>
        <v>Nevada</v>
      </c>
      <c r="AA202" t="str">
        <f t="shared" si="13"/>
        <v>Nevada_4</v>
      </c>
      <c r="AI202">
        <v>4</v>
      </c>
      <c r="AJ202">
        <v>252.082612855826</v>
      </c>
      <c r="AK202" t="s">
        <v>3706</v>
      </c>
      <c r="AL202" t="str">
        <f t="shared" si="14"/>
        <v>Nevada_4</v>
      </c>
    </row>
    <row r="203" spans="2:38" x14ac:dyDescent="0.3">
      <c r="B203" s="90" t="s">
        <v>4002</v>
      </c>
      <c r="C203" s="90">
        <v>4.5999999999999996</v>
      </c>
      <c r="D203" s="90">
        <v>47.16</v>
      </c>
      <c r="E203" s="755">
        <v>13.665054243056</v>
      </c>
      <c r="F203" s="90">
        <v>9.61</v>
      </c>
      <c r="G203" s="90">
        <v>1</v>
      </c>
      <c r="H203" t="s">
        <v>4465</v>
      </c>
      <c r="I203" s="90">
        <v>29.91</v>
      </c>
      <c r="J203" s="2243" t="s">
        <v>4168</v>
      </c>
      <c r="L203">
        <v>5</v>
      </c>
      <c r="M203">
        <v>55</v>
      </c>
      <c r="T203">
        <v>3.5</v>
      </c>
      <c r="V203">
        <f t="shared" si="10"/>
        <v>1</v>
      </c>
      <c r="W203" t="str">
        <f t="shared" si="11"/>
        <v>New Hampshire (North)</v>
      </c>
      <c r="Z203" t="str">
        <f t="shared" si="12"/>
        <v>New Hampshire</v>
      </c>
      <c r="AA203" t="str">
        <f t="shared" si="13"/>
        <v>New Hampshire_1</v>
      </c>
      <c r="AI203">
        <v>1</v>
      </c>
      <c r="AJ203">
        <v>506.62952133704351</v>
      </c>
      <c r="AK203" t="s">
        <v>3707</v>
      </c>
      <c r="AL203" t="str">
        <f t="shared" si="14"/>
        <v>New Hampshire_1</v>
      </c>
    </row>
    <row r="204" spans="2:38" x14ac:dyDescent="0.3">
      <c r="B204" s="90" t="s">
        <v>4003</v>
      </c>
      <c r="C204" s="90">
        <v>5.6</v>
      </c>
      <c r="D204" s="90">
        <v>48.22</v>
      </c>
      <c r="E204" s="755">
        <v>15.237230146383997</v>
      </c>
      <c r="F204" s="90">
        <v>24.96</v>
      </c>
      <c r="G204" s="90">
        <v>2</v>
      </c>
      <c r="H204" t="s">
        <v>4466</v>
      </c>
      <c r="I204" s="90">
        <v>24.43</v>
      </c>
      <c r="J204" s="2243" t="s">
        <v>4168</v>
      </c>
      <c r="L204">
        <v>5.5</v>
      </c>
      <c r="M204">
        <v>52.5</v>
      </c>
      <c r="T204">
        <v>3.75</v>
      </c>
      <c r="V204">
        <f t="shared" si="10"/>
        <v>2</v>
      </c>
      <c r="W204" t="str">
        <f t="shared" si="11"/>
        <v>New Hampshire (South)</v>
      </c>
      <c r="Z204" t="str">
        <f t="shared" si="12"/>
        <v>New Hampshire</v>
      </c>
      <c r="AA204" t="str">
        <f t="shared" si="13"/>
        <v>New Hampshire_2</v>
      </c>
      <c r="AI204">
        <v>2</v>
      </c>
      <c r="AJ204">
        <v>575.43533665754956</v>
      </c>
      <c r="AK204" t="s">
        <v>3707</v>
      </c>
      <c r="AL204" t="str">
        <f t="shared" si="14"/>
        <v>New Hampshire_2</v>
      </c>
    </row>
    <row r="205" spans="2:38" x14ac:dyDescent="0.3">
      <c r="B205" s="90" t="s">
        <v>4004</v>
      </c>
      <c r="C205" s="90">
        <v>6.28</v>
      </c>
      <c r="D205" s="90">
        <v>48.74</v>
      </c>
      <c r="E205" s="755">
        <v>17.828305032448004</v>
      </c>
      <c r="F205" s="90">
        <v>49.07</v>
      </c>
      <c r="G205" s="90">
        <v>1</v>
      </c>
      <c r="H205" t="s">
        <v>4467</v>
      </c>
      <c r="I205" s="90">
        <v>25.44</v>
      </c>
      <c r="J205" s="2243" t="s">
        <v>4168</v>
      </c>
      <c r="L205">
        <v>6.8</v>
      </c>
      <c r="M205">
        <v>48</v>
      </c>
      <c r="T205">
        <v>4.5</v>
      </c>
      <c r="V205">
        <f t="shared" si="10"/>
        <v>1</v>
      </c>
      <c r="W205" t="str">
        <f t="shared" si="11"/>
        <v>New Jersey (Northern)</v>
      </c>
      <c r="Z205" t="str">
        <f t="shared" si="12"/>
        <v>New Jersey</v>
      </c>
      <c r="AA205" t="str">
        <f t="shared" si="13"/>
        <v>New Jersey_1</v>
      </c>
      <c r="AI205">
        <v>1</v>
      </c>
      <c r="AJ205">
        <v>540.37329149141522</v>
      </c>
      <c r="AK205" t="s">
        <v>3708</v>
      </c>
      <c r="AL205" t="str">
        <f t="shared" si="14"/>
        <v>New Jersey_1</v>
      </c>
    </row>
    <row r="206" spans="2:38" x14ac:dyDescent="0.3">
      <c r="B206" s="90" t="s">
        <v>4005</v>
      </c>
      <c r="C206" s="90">
        <v>6.62</v>
      </c>
      <c r="D206" s="90">
        <v>46.900000000000013</v>
      </c>
      <c r="E206" s="755">
        <v>18.102390343055998</v>
      </c>
      <c r="F206" s="90">
        <v>67.11</v>
      </c>
      <c r="G206" s="90">
        <v>2</v>
      </c>
      <c r="H206" t="s">
        <v>4468</v>
      </c>
      <c r="I206" s="90">
        <v>30.42</v>
      </c>
      <c r="J206" s="2238" t="s">
        <v>4172</v>
      </c>
      <c r="L206">
        <v>7.5</v>
      </c>
      <c r="M206">
        <v>46</v>
      </c>
      <c r="T206">
        <v>5</v>
      </c>
      <c r="V206">
        <f t="shared" si="10"/>
        <v>2</v>
      </c>
      <c r="W206" t="str">
        <f t="shared" si="11"/>
        <v>New Jersey (Southern)</v>
      </c>
      <c r="Z206" t="str">
        <f t="shared" si="12"/>
        <v>New Jersey</v>
      </c>
      <c r="AA206" t="str">
        <f t="shared" si="13"/>
        <v>New Jersey_2</v>
      </c>
      <c r="AI206">
        <v>2</v>
      </c>
      <c r="AJ206">
        <v>599.29685189217366</v>
      </c>
      <c r="AK206" t="s">
        <v>3708</v>
      </c>
      <c r="AL206" t="str">
        <f t="shared" si="14"/>
        <v>New Jersey_2</v>
      </c>
    </row>
    <row r="207" spans="2:38" x14ac:dyDescent="0.3">
      <c r="B207" s="90" t="s">
        <v>4006</v>
      </c>
      <c r="C207" s="90">
        <v>6.62</v>
      </c>
      <c r="D207" s="90">
        <v>46.570000000000007</v>
      </c>
      <c r="E207" s="755">
        <v>17.728104241840004</v>
      </c>
      <c r="F207" s="90">
        <v>64.7</v>
      </c>
      <c r="G207" s="90">
        <v>3</v>
      </c>
      <c r="H207" t="s">
        <v>4469</v>
      </c>
      <c r="I207" s="90">
        <v>30.42</v>
      </c>
      <c r="J207" s="2238" t="s">
        <v>4172</v>
      </c>
      <c r="L207">
        <v>8.25</v>
      </c>
      <c r="M207">
        <v>44</v>
      </c>
      <c r="T207">
        <v>5.25</v>
      </c>
      <c r="V207">
        <f t="shared" si="10"/>
        <v>3</v>
      </c>
      <c r="W207" t="str">
        <f t="shared" si="11"/>
        <v>New Jersey (Coastal)</v>
      </c>
      <c r="Z207" t="str">
        <f t="shared" si="12"/>
        <v>New Jersey</v>
      </c>
      <c r="AA207" t="str">
        <f t="shared" si="13"/>
        <v>New Jersey_3</v>
      </c>
      <c r="AI207">
        <v>3</v>
      </c>
      <c r="AJ207">
        <v>681.3832175786564</v>
      </c>
      <c r="AK207" t="s">
        <v>3708</v>
      </c>
      <c r="AL207" t="str">
        <f t="shared" si="14"/>
        <v>New Jersey_3</v>
      </c>
    </row>
    <row r="208" spans="2:38" x14ac:dyDescent="0.3">
      <c r="B208" s="90" t="s">
        <v>4007</v>
      </c>
      <c r="C208" s="90">
        <v>1.89</v>
      </c>
      <c r="D208" s="90">
        <v>10.84</v>
      </c>
      <c r="E208" s="755">
        <v>4.7988190512000006</v>
      </c>
      <c r="F208" s="90">
        <v>48.72</v>
      </c>
      <c r="G208" s="90">
        <v>1</v>
      </c>
      <c r="H208" t="s">
        <v>4470</v>
      </c>
      <c r="I208" s="90">
        <v>56.85</v>
      </c>
      <c r="J208" s="2242" t="s">
        <v>4169</v>
      </c>
      <c r="L208">
        <v>9</v>
      </c>
      <c r="M208">
        <v>42</v>
      </c>
      <c r="T208">
        <v>5.5</v>
      </c>
      <c r="V208">
        <f t="shared" si="10"/>
        <v>1</v>
      </c>
      <c r="W208" t="str">
        <f t="shared" si="11"/>
        <v>New Mexico (Northwestern Plateau)</v>
      </c>
      <c r="Z208" t="str">
        <f t="shared" si="12"/>
        <v>New Mexico</v>
      </c>
      <c r="AA208" t="str">
        <f t="shared" si="13"/>
        <v>New Mexico_1</v>
      </c>
      <c r="AI208">
        <v>1</v>
      </c>
      <c r="AJ208">
        <v>287.57851347784998</v>
      </c>
      <c r="AK208" t="s">
        <v>3709</v>
      </c>
      <c r="AL208" t="str">
        <f t="shared" si="14"/>
        <v>New Mexico_1</v>
      </c>
    </row>
    <row r="209" spans="2:38" x14ac:dyDescent="0.3">
      <c r="B209" s="90" t="s">
        <v>4008</v>
      </c>
      <c r="C209" s="90">
        <v>3.17</v>
      </c>
      <c r="D209" s="90">
        <v>16.73</v>
      </c>
      <c r="E209" s="755">
        <v>6.4020435119520007</v>
      </c>
      <c r="F209" s="90">
        <v>28.52</v>
      </c>
      <c r="G209" s="90">
        <v>2</v>
      </c>
      <c r="H209" t="s">
        <v>4471</v>
      </c>
      <c r="I209" s="90">
        <v>44.66</v>
      </c>
      <c r="J209" s="2242" t="s">
        <v>4169</v>
      </c>
      <c r="L209">
        <v>9</v>
      </c>
      <c r="M209">
        <v>42</v>
      </c>
      <c r="T209">
        <v>5.5</v>
      </c>
      <c r="V209">
        <f t="shared" si="10"/>
        <v>2</v>
      </c>
      <c r="W209" t="str">
        <f t="shared" si="11"/>
        <v>New Mexico (Northern Mountains)</v>
      </c>
      <c r="Z209" t="str">
        <f t="shared" si="12"/>
        <v>New Mexico</v>
      </c>
      <c r="AA209" t="str">
        <f t="shared" si="13"/>
        <v>New Mexico_2</v>
      </c>
      <c r="AI209">
        <v>2</v>
      </c>
      <c r="AJ209">
        <v>458.90081720134378</v>
      </c>
      <c r="AK209" t="s">
        <v>3709</v>
      </c>
      <c r="AL209" t="str">
        <f t="shared" si="14"/>
        <v>New Mexico_2</v>
      </c>
    </row>
    <row r="210" spans="2:38" x14ac:dyDescent="0.3">
      <c r="B210" s="90" t="s">
        <v>4009</v>
      </c>
      <c r="C210" s="90">
        <v>4.12</v>
      </c>
      <c r="D210" s="90">
        <v>15.86</v>
      </c>
      <c r="E210" s="755">
        <v>7.4942010272160005</v>
      </c>
      <c r="F210" s="90">
        <v>73.81</v>
      </c>
      <c r="G210" s="90">
        <v>3</v>
      </c>
      <c r="H210" t="s">
        <v>4472</v>
      </c>
      <c r="I210" s="90">
        <v>55.4</v>
      </c>
      <c r="J210" s="2241" t="s">
        <v>4173</v>
      </c>
      <c r="L210">
        <v>9</v>
      </c>
      <c r="M210">
        <v>42</v>
      </c>
      <c r="T210">
        <v>5.5</v>
      </c>
      <c r="V210">
        <f t="shared" si="10"/>
        <v>3</v>
      </c>
      <c r="W210" t="str">
        <f t="shared" si="11"/>
        <v>New Mexico (Northeastern Plains)</v>
      </c>
      <c r="Z210" t="str">
        <f t="shared" si="12"/>
        <v>New Mexico</v>
      </c>
      <c r="AA210" t="str">
        <f t="shared" si="13"/>
        <v>New Mexico_3</v>
      </c>
      <c r="AI210">
        <v>3</v>
      </c>
      <c r="AJ210">
        <v>427.75742546105948</v>
      </c>
      <c r="AK210" t="s">
        <v>3709</v>
      </c>
      <c r="AL210" t="str">
        <f t="shared" si="14"/>
        <v>New Mexico_3</v>
      </c>
    </row>
    <row r="211" spans="2:38" x14ac:dyDescent="0.3">
      <c r="B211" s="90" t="s">
        <v>4010</v>
      </c>
      <c r="C211" s="90">
        <v>2.96</v>
      </c>
      <c r="D211" s="90">
        <v>14.37</v>
      </c>
      <c r="E211" s="755">
        <v>5.5947009664320007</v>
      </c>
      <c r="F211" s="90">
        <v>37.049999999999997</v>
      </c>
      <c r="G211" s="90">
        <v>4</v>
      </c>
      <c r="H211" t="s">
        <v>4473</v>
      </c>
      <c r="I211" s="90">
        <v>68.23</v>
      </c>
      <c r="J211" s="2242" t="s">
        <v>4169</v>
      </c>
      <c r="L211">
        <v>10</v>
      </c>
      <c r="M211">
        <v>40</v>
      </c>
      <c r="T211">
        <v>6</v>
      </c>
      <c r="V211">
        <f t="shared" si="10"/>
        <v>4</v>
      </c>
      <c r="W211" t="str">
        <f t="shared" si="11"/>
        <v>New Mexico (Southwestern Mountains)</v>
      </c>
      <c r="Z211" t="str">
        <f t="shared" si="12"/>
        <v>New Mexico</v>
      </c>
      <c r="AA211" t="str">
        <f t="shared" si="13"/>
        <v>New Mexico_4</v>
      </c>
      <c r="AI211">
        <v>4</v>
      </c>
      <c r="AJ211">
        <v>399.53415765149441</v>
      </c>
      <c r="AK211" t="s">
        <v>3709</v>
      </c>
      <c r="AL211" t="str">
        <f t="shared" si="14"/>
        <v>New Mexico_4</v>
      </c>
    </row>
    <row r="212" spans="2:38" x14ac:dyDescent="0.3">
      <c r="B212" s="90" t="s">
        <v>4011</v>
      </c>
      <c r="C212" s="90">
        <v>3.17</v>
      </c>
      <c r="D212" s="90">
        <v>10.62</v>
      </c>
      <c r="E212" s="755">
        <v>4.690605136976</v>
      </c>
      <c r="F212" s="90">
        <v>79.92</v>
      </c>
      <c r="G212" s="90">
        <v>5</v>
      </c>
      <c r="H212" t="s">
        <v>4474</v>
      </c>
      <c r="I212" s="90">
        <v>93.39</v>
      </c>
      <c r="J212" s="2241" t="s">
        <v>4173</v>
      </c>
      <c r="L212">
        <v>10</v>
      </c>
      <c r="M212">
        <v>40</v>
      </c>
      <c r="T212">
        <v>6</v>
      </c>
      <c r="V212">
        <f t="shared" ref="V212:V275" si="15">G212</f>
        <v>5</v>
      </c>
      <c r="W212" t="str">
        <f t="shared" ref="W212:W275" si="16">B212</f>
        <v>New Mexico (Central Valley)</v>
      </c>
      <c r="Z212" t="str">
        <f t="shared" ref="Z212:Z275" si="17">TRIM(LEFT(B212,SEARCH("(",B212)-1))</f>
        <v>New Mexico</v>
      </c>
      <c r="AA212" t="str">
        <f t="shared" ref="AA212:AA275" si="18">_xlfn.CONCAT(Z212,"_",G212)</f>
        <v>New Mexico_5</v>
      </c>
      <c r="AI212">
        <v>5</v>
      </c>
      <c r="AJ212">
        <v>242.15837809513039</v>
      </c>
      <c r="AK212" t="s">
        <v>3709</v>
      </c>
      <c r="AL212" t="str">
        <f t="shared" ref="AL212:AL275" si="19">_xlfn.CONCAT(AK212,"_",AI212)</f>
        <v>New Mexico_5</v>
      </c>
    </row>
    <row r="213" spans="2:38" x14ac:dyDescent="0.3">
      <c r="B213" s="90" t="s">
        <v>4012</v>
      </c>
      <c r="C213" s="90">
        <v>3.17</v>
      </c>
      <c r="D213" s="90">
        <v>15.44</v>
      </c>
      <c r="E213" s="755">
        <v>7.0342731909760001</v>
      </c>
      <c r="F213" s="90">
        <v>45.62</v>
      </c>
      <c r="G213" s="90">
        <v>6</v>
      </c>
      <c r="H213" t="s">
        <v>4474</v>
      </c>
      <c r="I213" s="90">
        <v>93.39</v>
      </c>
      <c r="J213" s="2241" t="s">
        <v>4173</v>
      </c>
      <c r="L213">
        <v>10</v>
      </c>
      <c r="M213">
        <v>40</v>
      </c>
      <c r="T213">
        <v>6</v>
      </c>
      <c r="V213">
        <f t="shared" si="15"/>
        <v>6</v>
      </c>
      <c r="W213" t="str">
        <f t="shared" si="16"/>
        <v>New Mexico (Central Highlands)</v>
      </c>
      <c r="Z213" t="str">
        <f t="shared" si="17"/>
        <v>New Mexico</v>
      </c>
      <c r="AA213" t="str">
        <f t="shared" si="18"/>
        <v>New Mexico_6</v>
      </c>
      <c r="AI213">
        <v>6</v>
      </c>
      <c r="AJ213">
        <v>431.57665511212622</v>
      </c>
      <c r="AK213" t="s">
        <v>3709</v>
      </c>
      <c r="AL213" t="str">
        <f t="shared" si="19"/>
        <v>New Mexico_6</v>
      </c>
    </row>
    <row r="214" spans="2:38" x14ac:dyDescent="0.3">
      <c r="B214" s="90" t="s">
        <v>4013</v>
      </c>
      <c r="C214" s="90">
        <v>4.41</v>
      </c>
      <c r="D214" s="90">
        <v>13.67</v>
      </c>
      <c r="E214" s="755">
        <v>6.6063361694079994</v>
      </c>
      <c r="F214" s="90">
        <v>95.820000000000007</v>
      </c>
      <c r="G214" s="90">
        <v>7</v>
      </c>
      <c r="H214" t="s">
        <v>4475</v>
      </c>
      <c r="I214" s="90">
        <v>115.83</v>
      </c>
      <c r="J214" s="2241" t="s">
        <v>4173</v>
      </c>
      <c r="L214">
        <v>10</v>
      </c>
      <c r="M214">
        <v>40</v>
      </c>
      <c r="T214">
        <v>6</v>
      </c>
      <c r="V214">
        <f t="shared" si="15"/>
        <v>7</v>
      </c>
      <c r="W214" t="str">
        <f t="shared" si="16"/>
        <v>New Mexico (Southeastern Plains)</v>
      </c>
      <c r="Z214" t="str">
        <f t="shared" si="17"/>
        <v>New Mexico</v>
      </c>
      <c r="AA214" t="str">
        <f t="shared" si="18"/>
        <v>New Mexico_7</v>
      </c>
      <c r="AI214">
        <v>7</v>
      </c>
      <c r="AJ214">
        <v>369.48872935664798</v>
      </c>
      <c r="AK214" t="s">
        <v>3709</v>
      </c>
      <c r="AL214" t="str">
        <f t="shared" si="19"/>
        <v>New Mexico_7</v>
      </c>
    </row>
    <row r="215" spans="2:38" x14ac:dyDescent="0.3">
      <c r="B215" s="90" t="s">
        <v>4014</v>
      </c>
      <c r="C215" s="90">
        <v>2.96</v>
      </c>
      <c r="D215" s="90">
        <v>11.36</v>
      </c>
      <c r="E215" s="755">
        <v>5.3708216941759996</v>
      </c>
      <c r="F215" s="90">
        <v>100.41</v>
      </c>
      <c r="G215" s="90">
        <v>8</v>
      </c>
      <c r="H215" t="s">
        <v>4476</v>
      </c>
      <c r="I215" s="90">
        <v>112.65</v>
      </c>
      <c r="J215" s="2241" t="s">
        <v>4173</v>
      </c>
      <c r="L215">
        <v>11</v>
      </c>
      <c r="M215">
        <v>38</v>
      </c>
      <c r="T215">
        <v>6.5</v>
      </c>
      <c r="V215">
        <f t="shared" si="15"/>
        <v>8</v>
      </c>
      <c r="W215" t="str">
        <f t="shared" si="16"/>
        <v>New Mexico (Southern Desert)</v>
      </c>
      <c r="Z215" t="str">
        <f t="shared" si="17"/>
        <v>New Mexico</v>
      </c>
      <c r="AA215" t="str">
        <f t="shared" si="18"/>
        <v>New Mexico_8</v>
      </c>
      <c r="AI215">
        <v>8</v>
      </c>
      <c r="AJ215">
        <v>242.9480839068616</v>
      </c>
      <c r="AK215" t="s">
        <v>3709</v>
      </c>
      <c r="AL215" t="str">
        <f t="shared" si="19"/>
        <v>New Mexico_8</v>
      </c>
    </row>
    <row r="216" spans="2:38" x14ac:dyDescent="0.3">
      <c r="B216" s="90" t="s">
        <v>4015</v>
      </c>
      <c r="C216" s="90">
        <v>4.4000000000000004</v>
      </c>
      <c r="D216" s="90">
        <v>40.47</v>
      </c>
      <c r="E216" s="755">
        <v>14.192430900352003</v>
      </c>
      <c r="F216" s="90">
        <v>23.08</v>
      </c>
      <c r="G216" s="90">
        <v>1</v>
      </c>
      <c r="H216" t="s">
        <v>4477</v>
      </c>
      <c r="I216" s="90">
        <v>31.21</v>
      </c>
      <c r="J216" s="2243" t="s">
        <v>4168</v>
      </c>
      <c r="L216">
        <v>5.5</v>
      </c>
      <c r="M216">
        <v>52.5</v>
      </c>
      <c r="T216">
        <v>3.75</v>
      </c>
      <c r="V216">
        <f t="shared" si="15"/>
        <v>1</v>
      </c>
      <c r="W216" t="str">
        <f t="shared" si="16"/>
        <v>New York (Western Plateau)</v>
      </c>
      <c r="Z216" t="str">
        <f t="shared" si="17"/>
        <v>New York</v>
      </c>
      <c r="AA216" t="str">
        <f t="shared" si="18"/>
        <v>New York_1</v>
      </c>
      <c r="AI216">
        <v>1</v>
      </c>
      <c r="AJ216">
        <v>581.88207016562819</v>
      </c>
      <c r="AK216" t="s">
        <v>3710</v>
      </c>
      <c r="AL216" t="str">
        <f t="shared" si="19"/>
        <v>New York_1</v>
      </c>
    </row>
    <row r="217" spans="2:38" x14ac:dyDescent="0.3">
      <c r="B217" s="90" t="s">
        <v>4016</v>
      </c>
      <c r="C217" s="90">
        <v>6.68</v>
      </c>
      <c r="D217" s="90">
        <v>46.02</v>
      </c>
      <c r="E217" s="755">
        <v>15.235541169951995</v>
      </c>
      <c r="F217" s="90">
        <v>22.49</v>
      </c>
      <c r="G217" s="90">
        <v>2</v>
      </c>
      <c r="H217" t="s">
        <v>4478</v>
      </c>
      <c r="I217" s="90">
        <v>25.61</v>
      </c>
      <c r="J217" s="2243" t="s">
        <v>4168</v>
      </c>
      <c r="L217">
        <v>5.5</v>
      </c>
      <c r="M217">
        <v>52.5</v>
      </c>
      <c r="T217">
        <v>3.75</v>
      </c>
      <c r="V217">
        <f t="shared" si="15"/>
        <v>2</v>
      </c>
      <c r="W217" t="str">
        <f t="shared" si="16"/>
        <v>New York (Eastern Plateau)</v>
      </c>
      <c r="Z217" t="str">
        <f t="shared" si="17"/>
        <v>New York</v>
      </c>
      <c r="AA217" t="str">
        <f t="shared" si="18"/>
        <v>New York_2</v>
      </c>
      <c r="AI217">
        <v>2</v>
      </c>
      <c r="AJ217">
        <v>572.22415386147043</v>
      </c>
      <c r="AK217" t="s">
        <v>3710</v>
      </c>
      <c r="AL217" t="str">
        <f t="shared" si="19"/>
        <v>New York_2</v>
      </c>
    </row>
    <row r="218" spans="2:38" x14ac:dyDescent="0.3">
      <c r="B218" s="90" t="s">
        <v>4017</v>
      </c>
      <c r="C218" s="90">
        <v>3.88</v>
      </c>
      <c r="D218" s="90">
        <v>48.06</v>
      </c>
      <c r="E218" s="755">
        <v>14.227970271567997</v>
      </c>
      <c r="F218" s="90">
        <v>10.220000000000001</v>
      </c>
      <c r="G218" s="90">
        <v>3</v>
      </c>
      <c r="H218" t="s">
        <v>4478</v>
      </c>
      <c r="I218" s="90">
        <v>25.61</v>
      </c>
      <c r="J218" s="2243" t="s">
        <v>4168</v>
      </c>
      <c r="L218">
        <v>5</v>
      </c>
      <c r="M218">
        <v>55</v>
      </c>
      <c r="T218">
        <v>3.5</v>
      </c>
      <c r="V218">
        <f t="shared" si="15"/>
        <v>3</v>
      </c>
      <c r="W218" t="str">
        <f t="shared" si="16"/>
        <v>New York (Northern Plateau)</v>
      </c>
      <c r="Z218" t="str">
        <f t="shared" si="17"/>
        <v>New York</v>
      </c>
      <c r="AA218" t="str">
        <f t="shared" si="18"/>
        <v>New York_3</v>
      </c>
      <c r="AI218">
        <v>3</v>
      </c>
      <c r="AJ218">
        <v>544.96693267247463</v>
      </c>
      <c r="AK218" t="s">
        <v>3710</v>
      </c>
      <c r="AL218" t="str">
        <f t="shared" si="19"/>
        <v>New York_3</v>
      </c>
    </row>
    <row r="219" spans="2:38" x14ac:dyDescent="0.3">
      <c r="B219" s="90" t="s">
        <v>4018</v>
      </c>
      <c r="C219" s="90">
        <v>6.68</v>
      </c>
      <c r="D219" s="90">
        <v>45.69</v>
      </c>
      <c r="E219" s="755">
        <v>17.741934950944</v>
      </c>
      <c r="F219" s="90">
        <v>54.35</v>
      </c>
      <c r="G219" s="90">
        <v>4</v>
      </c>
      <c r="H219" t="s">
        <v>4479</v>
      </c>
      <c r="I219" s="90">
        <v>29</v>
      </c>
      <c r="J219" s="2243" t="s">
        <v>4168</v>
      </c>
      <c r="L219">
        <v>6.8</v>
      </c>
      <c r="M219">
        <v>48</v>
      </c>
      <c r="T219">
        <v>4.5</v>
      </c>
      <c r="V219">
        <f t="shared" si="15"/>
        <v>4</v>
      </c>
      <c r="W219" t="str">
        <f t="shared" si="16"/>
        <v>New York (Coastal)</v>
      </c>
      <c r="Z219" t="str">
        <f t="shared" si="17"/>
        <v>New York</v>
      </c>
      <c r="AA219" t="str">
        <f t="shared" si="18"/>
        <v>New York_4</v>
      </c>
      <c r="AI219">
        <v>4</v>
      </c>
      <c r="AJ219">
        <v>467.61026668283017</v>
      </c>
      <c r="AK219" t="s">
        <v>3710</v>
      </c>
      <c r="AL219" t="str">
        <f t="shared" si="19"/>
        <v>New York_4</v>
      </c>
    </row>
    <row r="220" spans="2:38" x14ac:dyDescent="0.3">
      <c r="B220" s="90" t="s">
        <v>4019</v>
      </c>
      <c r="C220" s="90">
        <v>6.68</v>
      </c>
      <c r="D220" s="90">
        <v>44.8</v>
      </c>
      <c r="E220" s="755">
        <v>15.906547753103998</v>
      </c>
      <c r="F220" s="90">
        <v>38.4</v>
      </c>
      <c r="G220" s="90">
        <v>5</v>
      </c>
      <c r="H220" t="s">
        <v>4480</v>
      </c>
      <c r="I220" s="90">
        <v>32</v>
      </c>
      <c r="J220" s="2243" t="s">
        <v>4168</v>
      </c>
      <c r="L220">
        <v>5.5</v>
      </c>
      <c r="M220">
        <v>52.5</v>
      </c>
      <c r="T220">
        <v>3.75</v>
      </c>
      <c r="V220">
        <f t="shared" si="15"/>
        <v>5</v>
      </c>
      <c r="W220" t="str">
        <f t="shared" si="16"/>
        <v>New York (Hudson Valley)</v>
      </c>
      <c r="Z220" t="str">
        <f t="shared" si="17"/>
        <v>New York</v>
      </c>
      <c r="AA220" t="str">
        <f t="shared" si="18"/>
        <v>New York_5</v>
      </c>
      <c r="AI220">
        <v>5</v>
      </c>
      <c r="AJ220">
        <v>578.40659674472727</v>
      </c>
      <c r="AK220" t="s">
        <v>3710</v>
      </c>
      <c r="AL220" t="str">
        <f t="shared" si="19"/>
        <v>New York_5</v>
      </c>
    </row>
    <row r="221" spans="2:38" x14ac:dyDescent="0.3">
      <c r="B221" s="90" t="s">
        <v>4020</v>
      </c>
      <c r="C221" s="90">
        <v>4</v>
      </c>
      <c r="D221" s="90">
        <v>46.41</v>
      </c>
      <c r="E221" s="755">
        <v>15.434092357408002</v>
      </c>
      <c r="F221" s="90">
        <v>25.86</v>
      </c>
      <c r="G221" s="90">
        <v>6</v>
      </c>
      <c r="H221" t="s">
        <v>4481</v>
      </c>
      <c r="I221" s="90">
        <v>29.07</v>
      </c>
      <c r="J221" s="2243" t="s">
        <v>4168</v>
      </c>
      <c r="L221">
        <v>5.5</v>
      </c>
      <c r="M221">
        <v>52.5</v>
      </c>
      <c r="T221">
        <v>3.75</v>
      </c>
      <c r="V221">
        <f t="shared" si="15"/>
        <v>6</v>
      </c>
      <c r="W221" t="str">
        <f t="shared" si="16"/>
        <v>New York (Mohawk Valley)</v>
      </c>
      <c r="Z221" t="str">
        <f t="shared" si="17"/>
        <v>New York</v>
      </c>
      <c r="AA221" t="str">
        <f t="shared" si="18"/>
        <v>New York_6</v>
      </c>
      <c r="AI221">
        <v>6</v>
      </c>
      <c r="AJ221">
        <v>546.78729236575498</v>
      </c>
      <c r="AK221" t="s">
        <v>3710</v>
      </c>
      <c r="AL221" t="str">
        <f t="shared" si="19"/>
        <v>New York_6</v>
      </c>
    </row>
    <row r="222" spans="2:38" x14ac:dyDescent="0.3">
      <c r="B222" s="90" t="s">
        <v>4021</v>
      </c>
      <c r="C222" s="90">
        <v>3.88</v>
      </c>
      <c r="D222" s="90">
        <v>41.01</v>
      </c>
      <c r="E222" s="755">
        <v>14.021961078624003</v>
      </c>
      <c r="F222" s="90">
        <v>19.43</v>
      </c>
      <c r="G222" s="90">
        <v>7</v>
      </c>
      <c r="H222" t="s">
        <v>4482</v>
      </c>
      <c r="I222" s="90">
        <v>31.96</v>
      </c>
      <c r="J222" s="2243" t="s">
        <v>4168</v>
      </c>
      <c r="L222">
        <v>5</v>
      </c>
      <c r="M222">
        <v>55</v>
      </c>
      <c r="T222">
        <v>3.5</v>
      </c>
      <c r="V222">
        <f t="shared" si="15"/>
        <v>7</v>
      </c>
      <c r="W222" t="str">
        <f t="shared" si="16"/>
        <v>New York (Champlain Valley)</v>
      </c>
      <c r="Z222" t="str">
        <f t="shared" si="17"/>
        <v>New York</v>
      </c>
      <c r="AA222" t="str">
        <f t="shared" si="18"/>
        <v>New York_7</v>
      </c>
      <c r="AI222">
        <v>7</v>
      </c>
      <c r="AJ222">
        <v>568.95841122744662</v>
      </c>
      <c r="AK222" t="s">
        <v>3710</v>
      </c>
      <c r="AL222" t="str">
        <f t="shared" si="19"/>
        <v>New York_7</v>
      </c>
    </row>
    <row r="223" spans="2:38" x14ac:dyDescent="0.3">
      <c r="B223" s="90" t="s">
        <v>4022</v>
      </c>
      <c r="C223" s="90">
        <v>3.88</v>
      </c>
      <c r="D223" s="90">
        <v>40.580000000000013</v>
      </c>
      <c r="E223" s="755">
        <v>13.483892819935999</v>
      </c>
      <c r="F223" s="90">
        <v>22.8</v>
      </c>
      <c r="G223" s="90">
        <v>8</v>
      </c>
      <c r="H223" t="s">
        <v>4482</v>
      </c>
      <c r="I223" s="90">
        <v>31.96</v>
      </c>
      <c r="J223" s="2243" t="s">
        <v>4168</v>
      </c>
      <c r="L223">
        <v>4.75</v>
      </c>
      <c r="M223">
        <v>57.5</v>
      </c>
      <c r="T223">
        <v>3.25</v>
      </c>
      <c r="V223">
        <f t="shared" si="15"/>
        <v>8</v>
      </c>
      <c r="W223" t="str">
        <f t="shared" si="16"/>
        <v>New York (St. Lawrence Valley)</v>
      </c>
      <c r="Z223" t="str">
        <f t="shared" si="17"/>
        <v>New York</v>
      </c>
      <c r="AA223" t="str">
        <f t="shared" si="18"/>
        <v>New York_8</v>
      </c>
      <c r="AI223">
        <v>8</v>
      </c>
      <c r="AJ223">
        <v>497.82465245260079</v>
      </c>
      <c r="AK223" t="s">
        <v>3710</v>
      </c>
      <c r="AL223" t="str">
        <f t="shared" si="19"/>
        <v>New York_8</v>
      </c>
    </row>
    <row r="224" spans="2:38" x14ac:dyDescent="0.3">
      <c r="B224" s="90" t="s">
        <v>4023</v>
      </c>
      <c r="C224" s="90">
        <v>3.99</v>
      </c>
      <c r="D224" s="90">
        <v>40.74</v>
      </c>
      <c r="E224" s="755">
        <v>14.533940097632001</v>
      </c>
      <c r="F224" s="90">
        <v>28.33</v>
      </c>
      <c r="G224" s="90">
        <v>9</v>
      </c>
      <c r="H224" t="s">
        <v>4483</v>
      </c>
      <c r="I224" s="90">
        <v>25.62</v>
      </c>
      <c r="J224" s="2243" t="s">
        <v>4168</v>
      </c>
      <c r="L224">
        <v>5</v>
      </c>
      <c r="M224">
        <v>55</v>
      </c>
      <c r="T224">
        <v>3.5</v>
      </c>
      <c r="V224">
        <f t="shared" si="15"/>
        <v>9</v>
      </c>
      <c r="W224" t="str">
        <f t="shared" si="16"/>
        <v>New York (Great Lakes)</v>
      </c>
      <c r="Z224" t="str">
        <f t="shared" si="17"/>
        <v>New York</v>
      </c>
      <c r="AA224" t="str">
        <f t="shared" si="18"/>
        <v>New York_9</v>
      </c>
      <c r="AI224">
        <v>9</v>
      </c>
      <c r="AJ224">
        <v>528.98975969127309</v>
      </c>
      <c r="AK224" t="s">
        <v>3710</v>
      </c>
      <c r="AL224" t="str">
        <f t="shared" si="19"/>
        <v>New York_9</v>
      </c>
    </row>
    <row r="225" spans="2:38" x14ac:dyDescent="0.3">
      <c r="B225" s="90" t="s">
        <v>4024</v>
      </c>
      <c r="C225" s="90">
        <v>4</v>
      </c>
      <c r="D225" s="90">
        <v>38.6</v>
      </c>
      <c r="E225" s="755">
        <v>14.034499136768002</v>
      </c>
      <c r="F225" s="90">
        <v>27.71</v>
      </c>
      <c r="G225" s="90">
        <v>10</v>
      </c>
      <c r="H225" t="s">
        <v>4483</v>
      </c>
      <c r="I225" s="90">
        <v>25.62</v>
      </c>
      <c r="J225" s="2243" t="s">
        <v>4168</v>
      </c>
      <c r="L225">
        <v>5.5</v>
      </c>
      <c r="M225">
        <v>52.5</v>
      </c>
      <c r="T225">
        <v>3.75</v>
      </c>
      <c r="V225">
        <f t="shared" si="15"/>
        <v>10</v>
      </c>
      <c r="W225" t="str">
        <f t="shared" si="16"/>
        <v>New York (Central Lakes)</v>
      </c>
      <c r="Z225" t="str">
        <f t="shared" si="17"/>
        <v>New York</v>
      </c>
      <c r="AA225" t="str">
        <f t="shared" si="18"/>
        <v>New York_10</v>
      </c>
      <c r="AI225">
        <v>10</v>
      </c>
      <c r="AJ225">
        <v>538.64381820867936</v>
      </c>
      <c r="AK225" t="s">
        <v>3710</v>
      </c>
      <c r="AL225" t="str">
        <f t="shared" si="19"/>
        <v>New York_10</v>
      </c>
    </row>
    <row r="226" spans="2:38" x14ac:dyDescent="0.3">
      <c r="B226" s="90" t="s">
        <v>4025</v>
      </c>
      <c r="C226" s="90">
        <v>5.75</v>
      </c>
      <c r="D226" s="90">
        <v>58.33</v>
      </c>
      <c r="E226" s="755">
        <v>19.731980946383999</v>
      </c>
      <c r="F226" s="90">
        <v>48.43</v>
      </c>
      <c r="G226" s="90">
        <v>1</v>
      </c>
      <c r="H226" s="90" t="s">
        <v>4484</v>
      </c>
      <c r="I226" s="90">
        <v>21.39</v>
      </c>
      <c r="J226" s="2238" t="s">
        <v>4172</v>
      </c>
      <c r="L226">
        <v>9.5</v>
      </c>
      <c r="M226">
        <v>41</v>
      </c>
      <c r="T226">
        <v>5.75</v>
      </c>
      <c r="V226">
        <f t="shared" si="15"/>
        <v>1</v>
      </c>
      <c r="W226" t="str">
        <f t="shared" si="16"/>
        <v>North Carolina (Southern Mountains)</v>
      </c>
      <c r="Z226" t="str">
        <f t="shared" si="17"/>
        <v>North Carolina</v>
      </c>
      <c r="AA226" t="str">
        <f t="shared" si="18"/>
        <v>North Carolina_1</v>
      </c>
      <c r="AI226">
        <v>1</v>
      </c>
      <c r="AJ226">
        <v>785.01751693821302</v>
      </c>
      <c r="AK226" t="s">
        <v>3711</v>
      </c>
      <c r="AL226" t="str">
        <f t="shared" si="19"/>
        <v>North Carolina_1</v>
      </c>
    </row>
    <row r="227" spans="2:38" x14ac:dyDescent="0.3">
      <c r="B227" s="90" t="s">
        <v>4026</v>
      </c>
      <c r="C227" s="90">
        <v>6.14</v>
      </c>
      <c r="D227" s="90">
        <v>52.12</v>
      </c>
      <c r="E227" s="755">
        <v>18.385358856047997</v>
      </c>
      <c r="F227" s="90">
        <v>53.94</v>
      </c>
      <c r="G227" s="90">
        <v>2</v>
      </c>
      <c r="H227" s="90" t="s">
        <v>4485</v>
      </c>
      <c r="I227" s="90">
        <v>30.17</v>
      </c>
      <c r="J227" s="2238" t="s">
        <v>4172</v>
      </c>
      <c r="L227">
        <v>9</v>
      </c>
      <c r="M227">
        <v>42</v>
      </c>
      <c r="T227">
        <v>5.5</v>
      </c>
      <c r="V227">
        <f t="shared" si="15"/>
        <v>2</v>
      </c>
      <c r="W227" t="str">
        <f t="shared" si="16"/>
        <v>North Carolina (Northern Mountains)</v>
      </c>
      <c r="Z227" t="str">
        <f t="shared" si="17"/>
        <v>North Carolina</v>
      </c>
      <c r="AA227" t="str">
        <f t="shared" si="18"/>
        <v>North Carolina_2</v>
      </c>
      <c r="AI227">
        <v>2</v>
      </c>
      <c r="AJ227">
        <v>716.54038272967557</v>
      </c>
      <c r="AK227" t="s">
        <v>3711</v>
      </c>
      <c r="AL227" t="str">
        <f t="shared" si="19"/>
        <v>North Carolina_2</v>
      </c>
    </row>
    <row r="228" spans="2:38" x14ac:dyDescent="0.3">
      <c r="B228" s="90" t="s">
        <v>4027</v>
      </c>
      <c r="C228" s="90">
        <v>5.98</v>
      </c>
      <c r="D228" s="90">
        <v>46.12</v>
      </c>
      <c r="E228" s="755">
        <v>19.185294577184006</v>
      </c>
      <c r="F228" s="90">
        <v>85.47</v>
      </c>
      <c r="G228" s="90">
        <v>3</v>
      </c>
      <c r="H228" s="90" t="s">
        <v>4486</v>
      </c>
      <c r="I228" s="90">
        <v>46.45</v>
      </c>
      <c r="J228" s="2238" t="s">
        <v>4172</v>
      </c>
      <c r="L228">
        <v>9.5</v>
      </c>
      <c r="M228">
        <v>41</v>
      </c>
      <c r="T228">
        <v>5.75</v>
      </c>
      <c r="V228">
        <f t="shared" si="15"/>
        <v>3</v>
      </c>
      <c r="W228" t="str">
        <f t="shared" si="16"/>
        <v>North Carolina (Northern Piedmont)</v>
      </c>
      <c r="Z228" t="str">
        <f t="shared" si="17"/>
        <v>North Carolina</v>
      </c>
      <c r="AA228" t="str">
        <f t="shared" si="18"/>
        <v>North Carolina_3</v>
      </c>
      <c r="AI228">
        <v>3</v>
      </c>
      <c r="AJ228">
        <v>754.31925967655332</v>
      </c>
      <c r="AK228" t="s">
        <v>3711</v>
      </c>
      <c r="AL228" t="str">
        <f t="shared" si="19"/>
        <v>North Carolina_3</v>
      </c>
    </row>
    <row r="229" spans="2:38" x14ac:dyDescent="0.3">
      <c r="B229" s="90" t="s">
        <v>4028</v>
      </c>
      <c r="C229" s="90">
        <v>5.98</v>
      </c>
      <c r="D229" s="90">
        <v>46.2</v>
      </c>
      <c r="E229" s="755">
        <v>19.272900879200002</v>
      </c>
      <c r="F229" s="90">
        <v>89.45</v>
      </c>
      <c r="G229" s="90">
        <v>4</v>
      </c>
      <c r="H229" s="90" t="s">
        <v>4486</v>
      </c>
      <c r="I229" s="90">
        <v>46.45</v>
      </c>
      <c r="J229" s="2238" t="s">
        <v>4172</v>
      </c>
      <c r="L229">
        <v>9.5</v>
      </c>
      <c r="M229">
        <v>41</v>
      </c>
      <c r="T229">
        <v>5.75</v>
      </c>
      <c r="V229">
        <f t="shared" si="15"/>
        <v>4</v>
      </c>
      <c r="W229" t="str">
        <f t="shared" si="16"/>
        <v>North Carolina (Central Piedmont)</v>
      </c>
      <c r="Z229" t="str">
        <f t="shared" si="17"/>
        <v>North Carolina</v>
      </c>
      <c r="AA229" t="str">
        <f t="shared" si="18"/>
        <v>North Carolina_4</v>
      </c>
      <c r="AI229">
        <v>4</v>
      </c>
      <c r="AJ229">
        <v>741.59730767577901</v>
      </c>
      <c r="AK229" t="s">
        <v>3711</v>
      </c>
      <c r="AL229" t="str">
        <f t="shared" si="19"/>
        <v>North Carolina_4</v>
      </c>
    </row>
    <row r="230" spans="2:38" x14ac:dyDescent="0.3">
      <c r="B230" s="90" t="s">
        <v>4029</v>
      </c>
      <c r="C230" s="90">
        <v>5.98</v>
      </c>
      <c r="D230" s="90">
        <v>45.88</v>
      </c>
      <c r="E230" s="755">
        <v>19.801563625776001</v>
      </c>
      <c r="F230" s="90">
        <v>100.45</v>
      </c>
      <c r="G230" s="90">
        <v>5</v>
      </c>
      <c r="H230" s="90" t="s">
        <v>4486</v>
      </c>
      <c r="I230" s="90">
        <v>46.45</v>
      </c>
      <c r="J230" s="2238" t="s">
        <v>4172</v>
      </c>
      <c r="L230">
        <v>10</v>
      </c>
      <c r="M230">
        <v>40</v>
      </c>
      <c r="T230">
        <v>6</v>
      </c>
      <c r="V230">
        <f t="shared" si="15"/>
        <v>5</v>
      </c>
      <c r="W230" t="str">
        <f t="shared" si="16"/>
        <v>North Carolina (Southern Piedmont)</v>
      </c>
      <c r="Z230" t="str">
        <f t="shared" si="17"/>
        <v>North Carolina</v>
      </c>
      <c r="AA230" t="str">
        <f t="shared" si="18"/>
        <v>North Carolina_5</v>
      </c>
      <c r="AI230">
        <v>5</v>
      </c>
      <c r="AJ230">
        <v>747.72637053898802</v>
      </c>
      <c r="AK230" t="s">
        <v>3711</v>
      </c>
      <c r="AL230" t="str">
        <f t="shared" si="19"/>
        <v>North Carolina_5</v>
      </c>
    </row>
    <row r="231" spans="2:38" x14ac:dyDescent="0.3">
      <c r="B231" s="90" t="s">
        <v>4030</v>
      </c>
      <c r="C231" s="90">
        <v>8.74</v>
      </c>
      <c r="D231" s="90">
        <v>51.73</v>
      </c>
      <c r="E231" s="755">
        <v>22.096984959072</v>
      </c>
      <c r="F231" s="90">
        <v>113.59</v>
      </c>
      <c r="G231" s="90">
        <v>6</v>
      </c>
      <c r="H231" s="90" t="s">
        <v>4487</v>
      </c>
      <c r="I231" s="90">
        <v>60.12</v>
      </c>
      <c r="J231" s="2238" t="s">
        <v>4172</v>
      </c>
      <c r="L231">
        <v>10</v>
      </c>
      <c r="M231">
        <v>40</v>
      </c>
      <c r="T231">
        <v>6</v>
      </c>
      <c r="V231">
        <f t="shared" si="15"/>
        <v>6</v>
      </c>
      <c r="W231" t="str">
        <f t="shared" si="16"/>
        <v>North Carolina (Southern Coastal Plain)</v>
      </c>
      <c r="Z231" t="str">
        <f t="shared" si="17"/>
        <v>North Carolina</v>
      </c>
      <c r="AA231" t="str">
        <f t="shared" si="18"/>
        <v>North Carolina_6</v>
      </c>
      <c r="AI231">
        <v>6</v>
      </c>
      <c r="AJ231">
        <v>822.31554960175492</v>
      </c>
      <c r="AK231" t="s">
        <v>3711</v>
      </c>
      <c r="AL231" t="str">
        <f t="shared" si="19"/>
        <v>North Carolina_6</v>
      </c>
    </row>
    <row r="232" spans="2:38" x14ac:dyDescent="0.3">
      <c r="B232" s="90" t="s">
        <v>4031</v>
      </c>
      <c r="C232" s="90">
        <v>5.98</v>
      </c>
      <c r="D232" s="90">
        <v>53</v>
      </c>
      <c r="E232" s="755">
        <v>22.119024329856003</v>
      </c>
      <c r="F232" s="90">
        <v>109.64</v>
      </c>
      <c r="G232" s="90">
        <v>7</v>
      </c>
      <c r="H232" s="90" t="s">
        <v>4488</v>
      </c>
      <c r="I232" s="90">
        <v>51.84</v>
      </c>
      <c r="J232" s="2238" t="s">
        <v>4172</v>
      </c>
      <c r="L232">
        <v>10</v>
      </c>
      <c r="M232">
        <v>40</v>
      </c>
      <c r="T232">
        <v>6</v>
      </c>
      <c r="V232">
        <f t="shared" si="15"/>
        <v>7</v>
      </c>
      <c r="W232" t="str">
        <f t="shared" si="16"/>
        <v>North Carolina (Central Coastal Plain)</v>
      </c>
      <c r="Z232" t="str">
        <f t="shared" si="17"/>
        <v>North Carolina</v>
      </c>
      <c r="AA232" t="str">
        <f t="shared" si="18"/>
        <v>North Carolina_7</v>
      </c>
      <c r="AI232">
        <v>7</v>
      </c>
      <c r="AJ232">
        <v>824.65127748284624</v>
      </c>
      <c r="AK232" t="s">
        <v>3711</v>
      </c>
      <c r="AL232" t="str">
        <f t="shared" si="19"/>
        <v>North Carolina_7</v>
      </c>
    </row>
    <row r="233" spans="2:38" x14ac:dyDescent="0.3">
      <c r="B233" s="90" t="s">
        <v>4032</v>
      </c>
      <c r="C233" s="90">
        <v>7.01</v>
      </c>
      <c r="D233" s="90">
        <v>49.81</v>
      </c>
      <c r="E233" s="755">
        <v>21.144213275039995</v>
      </c>
      <c r="F233" s="90">
        <v>97.7</v>
      </c>
      <c r="G233" s="90">
        <v>8</v>
      </c>
      <c r="H233" s="90" t="s">
        <v>4488</v>
      </c>
      <c r="I233" s="90">
        <v>51.84</v>
      </c>
      <c r="J233" s="2238" t="s">
        <v>4172</v>
      </c>
      <c r="L233">
        <v>10</v>
      </c>
      <c r="M233">
        <v>40</v>
      </c>
      <c r="T233">
        <v>6</v>
      </c>
      <c r="V233">
        <f t="shared" si="15"/>
        <v>8</v>
      </c>
      <c r="W233" t="str">
        <f t="shared" si="16"/>
        <v>North Carolina (Northern Coastal Plain)</v>
      </c>
      <c r="Z233" t="str">
        <f t="shared" si="17"/>
        <v>North Carolina</v>
      </c>
      <c r="AA233" t="str">
        <f t="shared" si="18"/>
        <v>North Carolina_8</v>
      </c>
      <c r="AI233">
        <v>8</v>
      </c>
      <c r="AJ233">
        <v>843.67588700262377</v>
      </c>
      <c r="AK233" t="s">
        <v>3711</v>
      </c>
      <c r="AL233" t="str">
        <f t="shared" si="19"/>
        <v>North Carolina_8</v>
      </c>
    </row>
    <row r="234" spans="2:38" x14ac:dyDescent="0.3">
      <c r="B234" s="90" t="s">
        <v>4033</v>
      </c>
      <c r="C234" s="90">
        <v>3.23</v>
      </c>
      <c r="D234" s="90">
        <v>16.760000000000002</v>
      </c>
      <c r="E234" s="755">
        <v>6.8256996934879997</v>
      </c>
      <c r="F234" s="90">
        <v>23.46</v>
      </c>
      <c r="G234" s="90">
        <v>1</v>
      </c>
      <c r="H234" s="90" t="s">
        <v>4489</v>
      </c>
      <c r="I234" s="90">
        <v>43</v>
      </c>
      <c r="J234" s="2242" t="s">
        <v>4169</v>
      </c>
      <c r="L234">
        <v>4.5</v>
      </c>
      <c r="M234">
        <v>60</v>
      </c>
      <c r="T234">
        <v>3</v>
      </c>
      <c r="V234">
        <f t="shared" si="15"/>
        <v>1</v>
      </c>
      <c r="W234" t="str">
        <f t="shared" si="16"/>
        <v>North Dakota (Northwest)</v>
      </c>
      <c r="Z234" t="str">
        <f t="shared" si="17"/>
        <v>North Dakota</v>
      </c>
      <c r="AA234" t="str">
        <f t="shared" si="18"/>
        <v>North Dakota_1</v>
      </c>
      <c r="AI234">
        <v>1</v>
      </c>
      <c r="AJ234">
        <v>448.24682641603152</v>
      </c>
      <c r="AK234" t="s">
        <v>3712</v>
      </c>
      <c r="AL234" t="str">
        <f t="shared" si="19"/>
        <v>North Dakota_1</v>
      </c>
    </row>
    <row r="235" spans="2:38" x14ac:dyDescent="0.3">
      <c r="B235" s="90" t="s">
        <v>4034</v>
      </c>
      <c r="C235" s="90">
        <v>3.78</v>
      </c>
      <c r="D235" s="90">
        <v>18.3</v>
      </c>
      <c r="E235" s="755">
        <v>7.4845172998720022</v>
      </c>
      <c r="F235" s="90">
        <v>22.52</v>
      </c>
      <c r="G235" s="90">
        <v>2</v>
      </c>
      <c r="H235" s="90" t="s">
        <v>4490</v>
      </c>
      <c r="I235" s="90">
        <v>43.08</v>
      </c>
      <c r="J235" s="2242" t="s">
        <v>4169</v>
      </c>
      <c r="L235">
        <v>4.5</v>
      </c>
      <c r="M235">
        <v>60</v>
      </c>
      <c r="T235">
        <v>3</v>
      </c>
      <c r="V235">
        <f t="shared" si="15"/>
        <v>2</v>
      </c>
      <c r="W235" t="str">
        <f t="shared" si="16"/>
        <v>North Dakota (North Central)</v>
      </c>
      <c r="Z235" t="str">
        <f t="shared" si="17"/>
        <v>North Dakota</v>
      </c>
      <c r="AA235" t="str">
        <f t="shared" si="18"/>
        <v>North Dakota_2</v>
      </c>
      <c r="AI235">
        <v>2</v>
      </c>
      <c r="AJ235">
        <v>461.27627573767558</v>
      </c>
      <c r="AK235" t="s">
        <v>3712</v>
      </c>
      <c r="AL235" t="str">
        <f t="shared" si="19"/>
        <v>North Dakota_2</v>
      </c>
    </row>
    <row r="236" spans="2:38" x14ac:dyDescent="0.3">
      <c r="B236" s="90" t="s">
        <v>4035</v>
      </c>
      <c r="C236" s="90">
        <v>4.24</v>
      </c>
      <c r="D236" s="90">
        <v>20.8</v>
      </c>
      <c r="E236" s="755">
        <v>8.2781734932480013</v>
      </c>
      <c r="F236" s="90">
        <v>21.58</v>
      </c>
      <c r="G236" s="90">
        <v>3</v>
      </c>
      <c r="H236" s="90" t="s">
        <v>4491</v>
      </c>
      <c r="I236" s="90">
        <v>32</v>
      </c>
      <c r="J236" s="2242" t="s">
        <v>4169</v>
      </c>
      <c r="L236">
        <v>4.5</v>
      </c>
      <c r="M236">
        <v>60</v>
      </c>
      <c r="T236">
        <v>3</v>
      </c>
      <c r="V236">
        <f t="shared" si="15"/>
        <v>3</v>
      </c>
      <c r="W236" t="str">
        <f t="shared" si="16"/>
        <v>North Dakota (Northeast)</v>
      </c>
      <c r="Z236" t="str">
        <f t="shared" si="17"/>
        <v>North Dakota</v>
      </c>
      <c r="AA236" t="str">
        <f t="shared" si="18"/>
        <v>North Dakota_3</v>
      </c>
      <c r="AI236">
        <v>3</v>
      </c>
      <c r="AJ236">
        <v>429.6508702113677</v>
      </c>
      <c r="AK236" t="s">
        <v>3712</v>
      </c>
      <c r="AL236" t="str">
        <f t="shared" si="19"/>
        <v>North Dakota_3</v>
      </c>
    </row>
    <row r="237" spans="2:38" x14ac:dyDescent="0.3">
      <c r="B237" s="90" t="s">
        <v>4036</v>
      </c>
      <c r="C237" s="90">
        <v>3.78</v>
      </c>
      <c r="D237" s="90">
        <v>17.010000000000002</v>
      </c>
      <c r="E237" s="755">
        <v>7.1517325123199988</v>
      </c>
      <c r="F237" s="90">
        <v>28.67</v>
      </c>
      <c r="G237" s="90">
        <v>4</v>
      </c>
      <c r="H237" s="90" t="s">
        <v>4490</v>
      </c>
      <c r="I237" s="90">
        <v>43.08</v>
      </c>
      <c r="J237" s="2242" t="s">
        <v>4169</v>
      </c>
      <c r="L237">
        <v>4.5</v>
      </c>
      <c r="M237">
        <v>60</v>
      </c>
      <c r="T237">
        <v>3</v>
      </c>
      <c r="V237">
        <f t="shared" si="15"/>
        <v>4</v>
      </c>
      <c r="W237" t="str">
        <f t="shared" si="16"/>
        <v>North Dakota (West Central)</v>
      </c>
      <c r="Z237" t="str">
        <f t="shared" si="17"/>
        <v>North Dakota</v>
      </c>
      <c r="AA237" t="str">
        <f t="shared" si="18"/>
        <v>North Dakota_4</v>
      </c>
      <c r="AI237">
        <v>4</v>
      </c>
      <c r="AJ237">
        <v>481.15375080654519</v>
      </c>
      <c r="AK237" t="s">
        <v>3712</v>
      </c>
      <c r="AL237" t="str">
        <f t="shared" si="19"/>
        <v>North Dakota_4</v>
      </c>
    </row>
    <row r="238" spans="2:38" x14ac:dyDescent="0.3">
      <c r="B238" s="90" t="s">
        <v>4037</v>
      </c>
      <c r="C238" s="90">
        <v>3.78</v>
      </c>
      <c r="D238" s="90">
        <v>19.399999999999999</v>
      </c>
      <c r="E238" s="755">
        <v>7.8490383089119993</v>
      </c>
      <c r="F238" s="90">
        <v>25.58</v>
      </c>
      <c r="G238" s="90">
        <v>5</v>
      </c>
      <c r="H238" s="90" t="s">
        <v>4492</v>
      </c>
      <c r="I238" s="90">
        <v>43</v>
      </c>
      <c r="J238" s="2242" t="s">
        <v>4169</v>
      </c>
      <c r="L238">
        <v>4.75</v>
      </c>
      <c r="M238">
        <v>57.5</v>
      </c>
      <c r="T238">
        <v>3.25</v>
      </c>
      <c r="V238">
        <f t="shared" si="15"/>
        <v>5</v>
      </c>
      <c r="W238" t="str">
        <f t="shared" si="16"/>
        <v>North Dakota (Central)</v>
      </c>
      <c r="Z238" t="str">
        <f t="shared" si="17"/>
        <v>North Dakota</v>
      </c>
      <c r="AA238" t="str">
        <f t="shared" si="18"/>
        <v>North Dakota_5</v>
      </c>
      <c r="AI238">
        <v>5</v>
      </c>
      <c r="AJ238">
        <v>488.51046682330491</v>
      </c>
      <c r="AK238" t="s">
        <v>3712</v>
      </c>
      <c r="AL238" t="str">
        <f t="shared" si="19"/>
        <v>North Dakota_5</v>
      </c>
    </row>
    <row r="239" spans="2:38" x14ac:dyDescent="0.3">
      <c r="B239" s="90" t="s">
        <v>4038</v>
      </c>
      <c r="C239" s="90">
        <v>3.78</v>
      </c>
      <c r="D239" s="90">
        <v>22.11</v>
      </c>
      <c r="E239" s="755">
        <v>9.132872995664</v>
      </c>
      <c r="F239" s="90">
        <v>28.01</v>
      </c>
      <c r="G239" s="90">
        <v>6</v>
      </c>
      <c r="H239" s="90" t="s">
        <v>4493</v>
      </c>
      <c r="I239" s="90">
        <v>41</v>
      </c>
      <c r="J239" s="2242" t="s">
        <v>4169</v>
      </c>
      <c r="L239">
        <v>4.75</v>
      </c>
      <c r="M239">
        <v>57.5</v>
      </c>
      <c r="T239">
        <v>3.25</v>
      </c>
      <c r="V239">
        <f t="shared" si="15"/>
        <v>6</v>
      </c>
      <c r="W239" t="str">
        <f t="shared" si="16"/>
        <v>North Dakota (East Central)</v>
      </c>
      <c r="Z239" t="str">
        <f t="shared" si="17"/>
        <v>North Dakota</v>
      </c>
      <c r="AA239" t="str">
        <f t="shared" si="18"/>
        <v>North Dakota_6</v>
      </c>
      <c r="AI239">
        <v>6</v>
      </c>
      <c r="AJ239">
        <v>445.34818420117011</v>
      </c>
      <c r="AK239" t="s">
        <v>3712</v>
      </c>
      <c r="AL239" t="str">
        <f t="shared" si="19"/>
        <v>North Dakota_6</v>
      </c>
    </row>
    <row r="240" spans="2:38" x14ac:dyDescent="0.3">
      <c r="B240" s="90" t="s">
        <v>4039</v>
      </c>
      <c r="C240" s="90">
        <v>3.32</v>
      </c>
      <c r="D240" s="90">
        <v>16.04</v>
      </c>
      <c r="E240" s="755">
        <v>6.5874529667040003</v>
      </c>
      <c r="F240" s="90">
        <v>30.5</v>
      </c>
      <c r="G240" s="90">
        <v>7</v>
      </c>
      <c r="H240" s="90" t="s">
        <v>4492</v>
      </c>
      <c r="I240" s="90">
        <v>43</v>
      </c>
      <c r="J240" s="2242" t="s">
        <v>4169</v>
      </c>
      <c r="L240">
        <v>4.75</v>
      </c>
      <c r="M240">
        <v>57.5</v>
      </c>
      <c r="T240">
        <v>3.25</v>
      </c>
      <c r="V240">
        <f t="shared" si="15"/>
        <v>7</v>
      </c>
      <c r="W240" t="str">
        <f t="shared" si="16"/>
        <v>North Dakota (Southwest)</v>
      </c>
      <c r="Z240" t="str">
        <f t="shared" si="17"/>
        <v>North Dakota</v>
      </c>
      <c r="AA240" t="str">
        <f t="shared" si="18"/>
        <v>North Dakota_7</v>
      </c>
      <c r="AI240">
        <v>7</v>
      </c>
      <c r="AJ240">
        <v>423.01330147603119</v>
      </c>
      <c r="AK240" t="s">
        <v>3712</v>
      </c>
      <c r="AL240" t="str">
        <f t="shared" si="19"/>
        <v>North Dakota_7</v>
      </c>
    </row>
    <row r="241" spans="2:38" x14ac:dyDescent="0.3">
      <c r="B241" s="90" t="s">
        <v>4040</v>
      </c>
      <c r="C241" s="90">
        <v>3.78</v>
      </c>
      <c r="D241" s="90">
        <v>18.169999999999991</v>
      </c>
      <c r="E241" s="755">
        <v>7.4467600808160013</v>
      </c>
      <c r="F241" s="90">
        <v>30.49</v>
      </c>
      <c r="G241" s="90">
        <v>8</v>
      </c>
      <c r="H241" s="90" t="s">
        <v>4494</v>
      </c>
      <c r="I241" s="90">
        <v>37.200000000000003</v>
      </c>
      <c r="J241" s="2242" t="s">
        <v>4169</v>
      </c>
      <c r="L241">
        <v>4.75</v>
      </c>
      <c r="M241">
        <v>57.5</v>
      </c>
      <c r="T241">
        <v>3.25</v>
      </c>
      <c r="V241">
        <f t="shared" si="15"/>
        <v>8</v>
      </c>
      <c r="W241" t="str">
        <f t="shared" si="16"/>
        <v>North Dakota (South Central)</v>
      </c>
      <c r="Z241" t="str">
        <f t="shared" si="17"/>
        <v>North Dakota</v>
      </c>
      <c r="AA241" t="str">
        <f t="shared" si="18"/>
        <v>North Dakota_8</v>
      </c>
      <c r="AI241">
        <v>8</v>
      </c>
      <c r="AJ241">
        <v>438.36718865663249</v>
      </c>
      <c r="AK241" t="s">
        <v>3712</v>
      </c>
      <c r="AL241" t="str">
        <f t="shared" si="19"/>
        <v>North Dakota_8</v>
      </c>
    </row>
    <row r="242" spans="2:38" x14ac:dyDescent="0.3">
      <c r="B242" s="90" t="s">
        <v>4041</v>
      </c>
      <c r="C242" s="90">
        <v>4.47</v>
      </c>
      <c r="D242" s="90">
        <v>22.43</v>
      </c>
      <c r="E242" s="755">
        <v>9.1933861209599996</v>
      </c>
      <c r="F242" s="90">
        <v>28.94</v>
      </c>
      <c r="G242" s="90">
        <v>9</v>
      </c>
      <c r="H242" s="90" t="s">
        <v>4493</v>
      </c>
      <c r="I242" s="90">
        <v>41</v>
      </c>
      <c r="J242" s="2242" t="s">
        <v>4169</v>
      </c>
      <c r="L242">
        <v>4.75</v>
      </c>
      <c r="M242">
        <v>57.5</v>
      </c>
      <c r="T242">
        <v>3.25</v>
      </c>
      <c r="V242">
        <f t="shared" si="15"/>
        <v>9</v>
      </c>
      <c r="W242" t="str">
        <f t="shared" si="16"/>
        <v>North Dakota (Southeast)</v>
      </c>
      <c r="Z242" t="str">
        <f t="shared" si="17"/>
        <v>North Dakota</v>
      </c>
      <c r="AA242" t="str">
        <f t="shared" si="18"/>
        <v>North Dakota_9</v>
      </c>
      <c r="AI242">
        <v>9</v>
      </c>
      <c r="AJ242">
        <v>505.41214921052938</v>
      </c>
      <c r="AK242" t="s">
        <v>3712</v>
      </c>
      <c r="AL242" t="str">
        <f t="shared" si="19"/>
        <v>North Dakota_9</v>
      </c>
    </row>
    <row r="243" spans="2:38" x14ac:dyDescent="0.3">
      <c r="B243" t="s">
        <v>4042</v>
      </c>
      <c r="C243">
        <v>4.24</v>
      </c>
      <c r="D243">
        <v>36.72</v>
      </c>
      <c r="E243" s="78">
        <v>14.994938800048006</v>
      </c>
      <c r="F243">
        <v>51.16</v>
      </c>
      <c r="G243">
        <v>1</v>
      </c>
      <c r="H243" t="s">
        <v>4495</v>
      </c>
      <c r="I243">
        <v>29.23</v>
      </c>
      <c r="J243" s="2243" t="s">
        <v>4168</v>
      </c>
      <c r="L243">
        <v>6</v>
      </c>
      <c r="M243">
        <v>50</v>
      </c>
      <c r="T243">
        <v>4</v>
      </c>
      <c r="V243">
        <f t="shared" si="15"/>
        <v>1</v>
      </c>
      <c r="W243" t="str">
        <f t="shared" si="16"/>
        <v>Ohio (Northwest)</v>
      </c>
      <c r="Z243" t="str">
        <f t="shared" si="17"/>
        <v>Ohio</v>
      </c>
      <c r="AA243" t="str">
        <f t="shared" si="18"/>
        <v>Ohio_1</v>
      </c>
      <c r="AI243">
        <v>1</v>
      </c>
      <c r="AJ243">
        <v>444.37252636377838</v>
      </c>
      <c r="AK243" t="s">
        <v>3713</v>
      </c>
      <c r="AL243" t="str">
        <f t="shared" si="19"/>
        <v>Ohio_1</v>
      </c>
    </row>
    <row r="244" spans="2:38" x14ac:dyDescent="0.3">
      <c r="B244" t="s">
        <v>4043</v>
      </c>
      <c r="C244">
        <v>4.42</v>
      </c>
      <c r="D244">
        <v>37.94</v>
      </c>
      <c r="E244" s="78">
        <v>15.368369258191997</v>
      </c>
      <c r="F244">
        <v>48.73</v>
      </c>
      <c r="G244">
        <v>2</v>
      </c>
      <c r="H244" t="s">
        <v>4495</v>
      </c>
      <c r="I244">
        <v>29.23</v>
      </c>
      <c r="J244" s="2243" t="s">
        <v>4168</v>
      </c>
      <c r="L244">
        <v>6</v>
      </c>
      <c r="M244">
        <v>50</v>
      </c>
      <c r="T244">
        <v>4</v>
      </c>
      <c r="V244">
        <f t="shared" si="15"/>
        <v>2</v>
      </c>
      <c r="W244" t="str">
        <f t="shared" si="16"/>
        <v>Ohio (North Central)</v>
      </c>
      <c r="Z244" t="str">
        <f t="shared" si="17"/>
        <v>Ohio</v>
      </c>
      <c r="AA244" t="str">
        <f t="shared" si="18"/>
        <v>Ohio_2</v>
      </c>
      <c r="AI244">
        <v>2</v>
      </c>
      <c r="AJ244">
        <v>495.2098892649488</v>
      </c>
      <c r="AK244" t="s">
        <v>3713</v>
      </c>
      <c r="AL244" t="str">
        <f t="shared" si="19"/>
        <v>Ohio_2</v>
      </c>
    </row>
    <row r="245" spans="2:38" x14ac:dyDescent="0.3">
      <c r="B245" t="s">
        <v>4044</v>
      </c>
      <c r="C245">
        <v>4.34</v>
      </c>
      <c r="D245">
        <v>41.53</v>
      </c>
      <c r="E245" s="78">
        <v>15.74417373216</v>
      </c>
      <c r="F245">
        <v>40.200000000000003</v>
      </c>
      <c r="G245">
        <v>3</v>
      </c>
      <c r="H245" t="s">
        <v>4496</v>
      </c>
      <c r="I245">
        <v>31.21</v>
      </c>
      <c r="J245" s="2243" t="s">
        <v>4168</v>
      </c>
      <c r="L245">
        <v>6</v>
      </c>
      <c r="M245">
        <v>50</v>
      </c>
      <c r="T245">
        <v>4</v>
      </c>
      <c r="V245">
        <f t="shared" si="15"/>
        <v>3</v>
      </c>
      <c r="W245" t="str">
        <f t="shared" si="16"/>
        <v>Ohio (Northeast)</v>
      </c>
      <c r="Z245" t="str">
        <f t="shared" si="17"/>
        <v>Ohio</v>
      </c>
      <c r="AA245" t="str">
        <f t="shared" si="18"/>
        <v>Ohio_3</v>
      </c>
      <c r="AI245">
        <v>3</v>
      </c>
      <c r="AJ245">
        <v>554.01605224387345</v>
      </c>
      <c r="AK245" t="s">
        <v>3713</v>
      </c>
      <c r="AL245" t="str">
        <f t="shared" si="19"/>
        <v>Ohio_3</v>
      </c>
    </row>
    <row r="246" spans="2:38" x14ac:dyDescent="0.3">
      <c r="B246" t="s">
        <v>4045</v>
      </c>
      <c r="C246">
        <v>4.42</v>
      </c>
      <c r="D246">
        <v>40.510000000000012</v>
      </c>
      <c r="E246" s="78">
        <v>16.037849594575999</v>
      </c>
      <c r="F246">
        <v>52.38</v>
      </c>
      <c r="G246">
        <v>4</v>
      </c>
      <c r="H246" t="s">
        <v>4497</v>
      </c>
      <c r="I246">
        <v>33.17</v>
      </c>
      <c r="J246" s="2238" t="s">
        <v>4172</v>
      </c>
      <c r="L246">
        <v>6</v>
      </c>
      <c r="M246">
        <v>50</v>
      </c>
      <c r="T246">
        <v>4</v>
      </c>
      <c r="V246">
        <f t="shared" si="15"/>
        <v>4</v>
      </c>
      <c r="W246" t="str">
        <f t="shared" si="16"/>
        <v>Ohio (West Central)</v>
      </c>
      <c r="Z246" t="str">
        <f t="shared" si="17"/>
        <v>Ohio</v>
      </c>
      <c r="AA246" t="str">
        <f t="shared" si="18"/>
        <v>Ohio_4</v>
      </c>
      <c r="AI246">
        <v>4</v>
      </c>
      <c r="AJ246">
        <v>492.99554639217388</v>
      </c>
      <c r="AK246" t="s">
        <v>3713</v>
      </c>
      <c r="AL246" t="str">
        <f t="shared" si="19"/>
        <v>Ohio_4</v>
      </c>
    </row>
    <row r="247" spans="2:38" x14ac:dyDescent="0.3">
      <c r="B247" t="s">
        <v>4046</v>
      </c>
      <c r="C247">
        <v>4.42</v>
      </c>
      <c r="D247">
        <v>40.9</v>
      </c>
      <c r="E247" s="78">
        <v>16.517614701792002</v>
      </c>
      <c r="F247">
        <v>54.540000000000013</v>
      </c>
      <c r="G247">
        <v>5</v>
      </c>
      <c r="H247" t="s">
        <v>4498</v>
      </c>
      <c r="I247">
        <v>34.07</v>
      </c>
      <c r="J247" s="2238" t="s">
        <v>4172</v>
      </c>
      <c r="L247">
        <v>6</v>
      </c>
      <c r="M247">
        <v>50</v>
      </c>
      <c r="T247">
        <v>4</v>
      </c>
      <c r="V247">
        <f t="shared" si="15"/>
        <v>5</v>
      </c>
      <c r="W247" t="str">
        <f t="shared" si="16"/>
        <v>Ohio (Central)</v>
      </c>
      <c r="Z247" t="str">
        <f t="shared" si="17"/>
        <v>Ohio</v>
      </c>
      <c r="AA247" t="str">
        <f t="shared" si="18"/>
        <v>Ohio_5</v>
      </c>
      <c r="AI247">
        <v>5</v>
      </c>
      <c r="AJ247">
        <v>506.88039862686207</v>
      </c>
      <c r="AK247" t="s">
        <v>3713</v>
      </c>
      <c r="AL247" t="str">
        <f t="shared" si="19"/>
        <v>Ohio_5</v>
      </c>
    </row>
    <row r="248" spans="2:38" x14ac:dyDescent="0.3">
      <c r="B248" t="s">
        <v>4047</v>
      </c>
      <c r="C248">
        <v>4.42</v>
      </c>
      <c r="D248">
        <v>40.909999999999997</v>
      </c>
      <c r="E248" s="78">
        <v>15.963843030528002</v>
      </c>
      <c r="F248">
        <v>43.52</v>
      </c>
      <c r="G248">
        <v>6</v>
      </c>
      <c r="H248" t="s">
        <v>4499</v>
      </c>
      <c r="I248">
        <v>26.77</v>
      </c>
      <c r="J248" s="2243" t="s">
        <v>4168</v>
      </c>
      <c r="L248">
        <v>6</v>
      </c>
      <c r="M248">
        <v>50</v>
      </c>
      <c r="T248">
        <v>4</v>
      </c>
      <c r="V248">
        <f t="shared" si="15"/>
        <v>6</v>
      </c>
      <c r="W248" t="str">
        <f t="shared" si="16"/>
        <v>Ohio (Central Hills)</v>
      </c>
      <c r="Z248" t="str">
        <f t="shared" si="17"/>
        <v>Ohio</v>
      </c>
      <c r="AA248" t="str">
        <f t="shared" si="18"/>
        <v>Ohio_6</v>
      </c>
      <c r="AI248">
        <v>6</v>
      </c>
      <c r="AJ248">
        <v>591.08336452709898</v>
      </c>
      <c r="AK248" t="s">
        <v>3713</v>
      </c>
      <c r="AL248" t="str">
        <f t="shared" si="19"/>
        <v>Ohio_6</v>
      </c>
    </row>
    <row r="249" spans="2:38" x14ac:dyDescent="0.3">
      <c r="B249" t="s">
        <v>4048</v>
      </c>
      <c r="C249">
        <v>4.34</v>
      </c>
      <c r="D249">
        <v>41.13</v>
      </c>
      <c r="E249" s="78">
        <v>15.981152742367998</v>
      </c>
      <c r="F249">
        <v>44.15</v>
      </c>
      <c r="G249">
        <v>7</v>
      </c>
      <c r="H249" t="s">
        <v>4496</v>
      </c>
      <c r="I249">
        <v>31.21</v>
      </c>
      <c r="J249" s="2243" t="s">
        <v>4168</v>
      </c>
      <c r="L249">
        <v>6</v>
      </c>
      <c r="M249">
        <v>50</v>
      </c>
      <c r="T249">
        <v>4</v>
      </c>
      <c r="V249">
        <f t="shared" si="15"/>
        <v>7</v>
      </c>
      <c r="W249" t="str">
        <f t="shared" si="16"/>
        <v>Ohio (Northeast Hills)</v>
      </c>
      <c r="Z249" t="str">
        <f t="shared" si="17"/>
        <v>Ohio</v>
      </c>
      <c r="AA249" t="str">
        <f t="shared" si="18"/>
        <v>Ohio_7</v>
      </c>
      <c r="AI249">
        <v>7</v>
      </c>
      <c r="AJ249">
        <v>596.99265727864008</v>
      </c>
      <c r="AK249" t="s">
        <v>3713</v>
      </c>
      <c r="AL249" t="str">
        <f t="shared" si="19"/>
        <v>Ohio_7</v>
      </c>
    </row>
    <row r="250" spans="2:38" x14ac:dyDescent="0.3">
      <c r="B250" t="s">
        <v>4049</v>
      </c>
      <c r="C250">
        <v>4.76</v>
      </c>
      <c r="D250">
        <v>43.889999999999993</v>
      </c>
      <c r="E250" s="78">
        <v>17.38368165864</v>
      </c>
      <c r="F250">
        <v>61.28</v>
      </c>
      <c r="G250">
        <v>8</v>
      </c>
      <c r="H250" t="s">
        <v>4500</v>
      </c>
      <c r="I250">
        <v>32</v>
      </c>
      <c r="J250" s="2238" t="s">
        <v>4172</v>
      </c>
      <c r="L250">
        <v>6.8</v>
      </c>
      <c r="M250">
        <v>48</v>
      </c>
      <c r="T250">
        <v>4.5</v>
      </c>
      <c r="V250">
        <f t="shared" si="15"/>
        <v>8</v>
      </c>
      <c r="W250" t="str">
        <f t="shared" si="16"/>
        <v>Ohio (Southwest)</v>
      </c>
      <c r="Z250" t="str">
        <f t="shared" si="17"/>
        <v>Ohio</v>
      </c>
      <c r="AA250" t="str">
        <f t="shared" si="18"/>
        <v>Ohio_8</v>
      </c>
      <c r="AI250">
        <v>8</v>
      </c>
      <c r="AJ250">
        <v>544.47835618349404</v>
      </c>
      <c r="AK250" t="s">
        <v>3713</v>
      </c>
      <c r="AL250" t="str">
        <f t="shared" si="19"/>
        <v>Ohio_8</v>
      </c>
    </row>
    <row r="251" spans="2:38" x14ac:dyDescent="0.3">
      <c r="B251" t="s">
        <v>4050</v>
      </c>
      <c r="C251">
        <v>4.42</v>
      </c>
      <c r="D251">
        <v>43.750000000000007</v>
      </c>
      <c r="E251" s="78">
        <v>17.526849642224004</v>
      </c>
      <c r="F251">
        <v>62.2</v>
      </c>
      <c r="G251">
        <v>9</v>
      </c>
      <c r="H251" t="s">
        <v>4500</v>
      </c>
      <c r="I251">
        <v>32</v>
      </c>
      <c r="J251" s="2238" t="s">
        <v>4172</v>
      </c>
      <c r="L251">
        <v>6.8</v>
      </c>
      <c r="M251">
        <v>48</v>
      </c>
      <c r="T251">
        <v>4.5</v>
      </c>
      <c r="V251">
        <f t="shared" si="15"/>
        <v>9</v>
      </c>
      <c r="W251" t="str">
        <f t="shared" si="16"/>
        <v>Ohio (South Central)</v>
      </c>
      <c r="Z251" t="str">
        <f t="shared" si="17"/>
        <v>Ohio</v>
      </c>
      <c r="AA251" t="str">
        <f t="shared" si="18"/>
        <v>Ohio_9</v>
      </c>
      <c r="AI251">
        <v>9</v>
      </c>
      <c r="AJ251">
        <v>696.62579199163611</v>
      </c>
      <c r="AK251" t="s">
        <v>3713</v>
      </c>
      <c r="AL251" t="str">
        <f t="shared" si="19"/>
        <v>Ohio_9</v>
      </c>
    </row>
    <row r="252" spans="2:38" x14ac:dyDescent="0.3">
      <c r="B252" t="s">
        <v>4051</v>
      </c>
      <c r="C252">
        <v>4.24</v>
      </c>
      <c r="D252">
        <v>42.91</v>
      </c>
      <c r="E252" s="78">
        <v>16.724841742544005</v>
      </c>
      <c r="F252">
        <v>52.71</v>
      </c>
      <c r="G252">
        <v>10</v>
      </c>
      <c r="H252" t="s">
        <v>4501</v>
      </c>
      <c r="I252">
        <v>34.29</v>
      </c>
      <c r="J252" s="2238" t="s">
        <v>4172</v>
      </c>
      <c r="L252">
        <v>6.8</v>
      </c>
      <c r="M252">
        <v>48</v>
      </c>
      <c r="T252">
        <v>4.5</v>
      </c>
      <c r="V252">
        <f t="shared" si="15"/>
        <v>10</v>
      </c>
      <c r="W252" t="str">
        <f t="shared" si="16"/>
        <v>Ohio (Southeast)</v>
      </c>
      <c r="Z252" t="str">
        <f t="shared" si="17"/>
        <v>Ohio</v>
      </c>
      <c r="AA252" t="str">
        <f t="shared" si="18"/>
        <v>Ohio_10</v>
      </c>
      <c r="AI252">
        <v>10</v>
      </c>
      <c r="AJ252">
        <v>675.12353426049037</v>
      </c>
      <c r="AK252" t="s">
        <v>3713</v>
      </c>
      <c r="AL252" t="str">
        <f t="shared" si="19"/>
        <v>Ohio_10</v>
      </c>
    </row>
    <row r="253" spans="2:38" x14ac:dyDescent="0.3">
      <c r="B253" t="s">
        <v>4052</v>
      </c>
      <c r="C253">
        <v>4.62</v>
      </c>
      <c r="D253">
        <v>20.149999999999999</v>
      </c>
      <c r="E253" s="78">
        <v>10.021551501792</v>
      </c>
      <c r="F253">
        <v>86.38</v>
      </c>
      <c r="G253">
        <v>1</v>
      </c>
      <c r="H253" t="s">
        <v>4502</v>
      </c>
      <c r="I253">
        <v>32</v>
      </c>
      <c r="J253" s="2241" t="s">
        <v>4173</v>
      </c>
      <c r="L253">
        <v>9</v>
      </c>
      <c r="M253">
        <v>42</v>
      </c>
      <c r="T253">
        <v>5.5</v>
      </c>
      <c r="V253">
        <f t="shared" si="15"/>
        <v>1</v>
      </c>
      <c r="W253" t="str">
        <f t="shared" si="16"/>
        <v>Oklahoma (Panhandle)</v>
      </c>
      <c r="Z253" t="str">
        <f t="shared" si="17"/>
        <v>Oklahoma</v>
      </c>
      <c r="AA253" t="str">
        <f t="shared" si="18"/>
        <v>Oklahoma_1</v>
      </c>
      <c r="AI253">
        <v>1</v>
      </c>
      <c r="AJ253">
        <v>606.09573307726509</v>
      </c>
      <c r="AK253" t="s">
        <v>3714</v>
      </c>
      <c r="AL253" t="str">
        <f t="shared" si="19"/>
        <v>Oklahoma_1</v>
      </c>
    </row>
    <row r="254" spans="2:38" x14ac:dyDescent="0.3">
      <c r="B254" t="s">
        <v>4053</v>
      </c>
      <c r="C254">
        <v>6.76</v>
      </c>
      <c r="D254">
        <v>31.37</v>
      </c>
      <c r="E254" s="78">
        <v>15.026636963792003</v>
      </c>
      <c r="F254">
        <v>102.92</v>
      </c>
      <c r="G254">
        <v>2</v>
      </c>
      <c r="H254" t="s">
        <v>4503</v>
      </c>
      <c r="I254">
        <v>67.680000000000007</v>
      </c>
      <c r="J254" s="2241" t="s">
        <v>4173</v>
      </c>
      <c r="L254">
        <v>9</v>
      </c>
      <c r="M254">
        <v>42</v>
      </c>
      <c r="T254">
        <v>5.5</v>
      </c>
      <c r="V254">
        <f t="shared" si="15"/>
        <v>2</v>
      </c>
      <c r="W254" t="str">
        <f t="shared" si="16"/>
        <v>Oklahoma (North Central)</v>
      </c>
      <c r="Z254" t="str">
        <f t="shared" si="17"/>
        <v>Oklahoma</v>
      </c>
      <c r="AA254" t="str">
        <f t="shared" si="18"/>
        <v>Oklahoma_2</v>
      </c>
      <c r="AI254">
        <v>2</v>
      </c>
      <c r="AJ254">
        <v>761.99756285193621</v>
      </c>
      <c r="AK254" t="s">
        <v>3714</v>
      </c>
      <c r="AL254" t="str">
        <f t="shared" si="19"/>
        <v>Oklahoma_2</v>
      </c>
    </row>
    <row r="255" spans="2:38" x14ac:dyDescent="0.3">
      <c r="B255" t="s">
        <v>4054</v>
      </c>
      <c r="C255">
        <v>6.9</v>
      </c>
      <c r="D255">
        <v>42.59</v>
      </c>
      <c r="E255" s="78">
        <v>18.564879859167998</v>
      </c>
      <c r="F255">
        <v>101.4</v>
      </c>
      <c r="G255">
        <v>3</v>
      </c>
      <c r="H255" t="s">
        <v>4504</v>
      </c>
      <c r="I255">
        <v>51.65</v>
      </c>
      <c r="J255" s="2238" t="s">
        <v>4172</v>
      </c>
      <c r="L255">
        <v>9</v>
      </c>
      <c r="M255">
        <v>42</v>
      </c>
      <c r="T255">
        <v>5.5</v>
      </c>
      <c r="V255">
        <f t="shared" si="15"/>
        <v>3</v>
      </c>
      <c r="W255" t="str">
        <f t="shared" si="16"/>
        <v>Oklahoma (Northeast)</v>
      </c>
      <c r="Z255" t="str">
        <f t="shared" si="17"/>
        <v>Oklahoma</v>
      </c>
      <c r="AA255" t="str">
        <f t="shared" si="18"/>
        <v>Oklahoma_3</v>
      </c>
      <c r="AI255">
        <v>3</v>
      </c>
      <c r="AJ255">
        <v>844.88428737130448</v>
      </c>
      <c r="AK255" t="s">
        <v>3714</v>
      </c>
      <c r="AL255" t="str">
        <f t="shared" si="19"/>
        <v>Oklahoma_3</v>
      </c>
    </row>
    <row r="256" spans="2:38" x14ac:dyDescent="0.3">
      <c r="B256" t="s">
        <v>4055</v>
      </c>
      <c r="C256">
        <v>6.76</v>
      </c>
      <c r="D256">
        <v>28.01</v>
      </c>
      <c r="E256" s="78">
        <v>13.916129054239997</v>
      </c>
      <c r="F256">
        <v>105.07</v>
      </c>
      <c r="G256">
        <v>4</v>
      </c>
      <c r="H256" t="s">
        <v>4505</v>
      </c>
      <c r="I256">
        <v>82.88</v>
      </c>
      <c r="J256" s="2241" t="s">
        <v>4173</v>
      </c>
      <c r="L256">
        <v>9.5</v>
      </c>
      <c r="M256">
        <v>41</v>
      </c>
      <c r="T256">
        <v>5.75</v>
      </c>
      <c r="V256">
        <f t="shared" si="15"/>
        <v>4</v>
      </c>
      <c r="W256" t="str">
        <f t="shared" si="16"/>
        <v>Oklahoma (West Central)</v>
      </c>
      <c r="Z256" t="str">
        <f t="shared" si="17"/>
        <v>Oklahoma</v>
      </c>
      <c r="AA256" t="str">
        <f t="shared" si="18"/>
        <v>Oklahoma_4</v>
      </c>
      <c r="AI256">
        <v>4</v>
      </c>
      <c r="AJ256">
        <v>734.8506906203005</v>
      </c>
      <c r="AK256" t="s">
        <v>3714</v>
      </c>
      <c r="AL256" t="str">
        <f t="shared" si="19"/>
        <v>Oklahoma_4</v>
      </c>
    </row>
    <row r="257" spans="2:38" x14ac:dyDescent="0.3">
      <c r="B257" t="s">
        <v>4056</v>
      </c>
      <c r="C257">
        <v>6.76</v>
      </c>
      <c r="D257">
        <v>37.39</v>
      </c>
      <c r="E257" s="78">
        <v>17.335042549472007</v>
      </c>
      <c r="F257">
        <v>110.89</v>
      </c>
      <c r="G257">
        <v>5</v>
      </c>
      <c r="H257" t="s">
        <v>4506</v>
      </c>
      <c r="I257">
        <v>44.98</v>
      </c>
      <c r="J257" s="2241" t="s">
        <v>4173</v>
      </c>
      <c r="L257">
        <v>9.5</v>
      </c>
      <c r="M257">
        <v>41</v>
      </c>
      <c r="T257">
        <v>5.75</v>
      </c>
      <c r="V257">
        <f t="shared" si="15"/>
        <v>5</v>
      </c>
      <c r="W257" t="str">
        <f t="shared" si="16"/>
        <v>Oklahoma (Central)</v>
      </c>
      <c r="Z257" t="str">
        <f t="shared" si="17"/>
        <v>Oklahoma</v>
      </c>
      <c r="AA257" t="str">
        <f t="shared" si="18"/>
        <v>Oklahoma_5</v>
      </c>
      <c r="AI257">
        <v>5</v>
      </c>
      <c r="AJ257">
        <v>860.28958654501173</v>
      </c>
      <c r="AK257" t="s">
        <v>3714</v>
      </c>
      <c r="AL257" t="str">
        <f t="shared" si="19"/>
        <v>Oklahoma_5</v>
      </c>
    </row>
    <row r="258" spans="2:38" x14ac:dyDescent="0.3">
      <c r="B258" t="s">
        <v>4057</v>
      </c>
      <c r="C258">
        <v>6.76</v>
      </c>
      <c r="D258">
        <v>46.640000000000008</v>
      </c>
      <c r="E258" s="78">
        <v>19.695209291664003</v>
      </c>
      <c r="F258">
        <v>109.65</v>
      </c>
      <c r="G258">
        <v>6</v>
      </c>
      <c r="H258" s="90" t="s">
        <v>4507</v>
      </c>
      <c r="I258" s="90">
        <v>45.46</v>
      </c>
      <c r="J258" s="2238" t="s">
        <v>4172</v>
      </c>
      <c r="L258">
        <v>9.5</v>
      </c>
      <c r="M258">
        <v>41</v>
      </c>
      <c r="T258">
        <v>5.75</v>
      </c>
      <c r="V258">
        <f t="shared" si="15"/>
        <v>6</v>
      </c>
      <c r="W258" t="str">
        <f t="shared" si="16"/>
        <v>Oklahoma (East Central)</v>
      </c>
      <c r="Z258" t="str">
        <f t="shared" si="17"/>
        <v>Oklahoma</v>
      </c>
      <c r="AA258" t="str">
        <f t="shared" si="18"/>
        <v>Oklahoma_6</v>
      </c>
      <c r="AI258">
        <v>6</v>
      </c>
      <c r="AJ258">
        <v>951.42449554245002</v>
      </c>
      <c r="AK258" t="s">
        <v>3714</v>
      </c>
      <c r="AL258" t="str">
        <f t="shared" si="19"/>
        <v>Oklahoma_6</v>
      </c>
    </row>
    <row r="259" spans="2:38" x14ac:dyDescent="0.3">
      <c r="B259" s="90" t="s">
        <v>4058</v>
      </c>
      <c r="C259" s="90">
        <v>5.95</v>
      </c>
      <c r="D259" s="90">
        <v>29.58</v>
      </c>
      <c r="E259" s="755">
        <v>14.584538524448002</v>
      </c>
      <c r="F259" s="90">
        <v>121.88</v>
      </c>
      <c r="G259" s="90">
        <v>7</v>
      </c>
      <c r="H259" s="90" t="s">
        <v>4508</v>
      </c>
      <c r="I259" s="90">
        <v>59.52</v>
      </c>
      <c r="J259" s="2241" t="s">
        <v>4173</v>
      </c>
      <c r="L259">
        <v>9.5</v>
      </c>
      <c r="M259">
        <v>41</v>
      </c>
      <c r="T259">
        <v>5.75</v>
      </c>
      <c r="V259">
        <f t="shared" si="15"/>
        <v>7</v>
      </c>
      <c r="W259" t="str">
        <f t="shared" si="16"/>
        <v>Oklahoma (Southwest)</v>
      </c>
      <c r="Z259" t="str">
        <f t="shared" si="17"/>
        <v>Oklahoma</v>
      </c>
      <c r="AA259" t="str">
        <f t="shared" si="18"/>
        <v>Oklahoma_7</v>
      </c>
      <c r="AI259">
        <v>7</v>
      </c>
      <c r="AJ259">
        <v>747.84734428558158</v>
      </c>
      <c r="AK259" t="s">
        <v>3714</v>
      </c>
      <c r="AL259" t="str">
        <f t="shared" si="19"/>
        <v>Oklahoma_7</v>
      </c>
    </row>
    <row r="260" spans="2:38" x14ac:dyDescent="0.3">
      <c r="B260" s="90" t="s">
        <v>4059</v>
      </c>
      <c r="C260" s="90">
        <v>6.76</v>
      </c>
      <c r="D260" s="90">
        <v>40.43</v>
      </c>
      <c r="E260" s="755">
        <v>18.249117381872001</v>
      </c>
      <c r="F260" s="90">
        <v>121.88</v>
      </c>
      <c r="G260" s="90">
        <v>8</v>
      </c>
      <c r="H260" s="90" t="s">
        <v>4509</v>
      </c>
      <c r="I260" s="90">
        <v>49.38</v>
      </c>
      <c r="J260" s="2241" t="s">
        <v>4173</v>
      </c>
      <c r="L260">
        <v>10</v>
      </c>
      <c r="M260">
        <v>40</v>
      </c>
      <c r="T260">
        <v>6</v>
      </c>
      <c r="V260">
        <f t="shared" si="15"/>
        <v>8</v>
      </c>
      <c r="W260" t="str">
        <f t="shared" si="16"/>
        <v>Oklahoma (South Central)</v>
      </c>
      <c r="Z260" t="str">
        <f t="shared" si="17"/>
        <v>Oklahoma</v>
      </c>
      <c r="AA260" t="str">
        <f t="shared" si="18"/>
        <v>Oklahoma_8</v>
      </c>
      <c r="AI260">
        <v>8</v>
      </c>
      <c r="AJ260">
        <v>855.4059048645538</v>
      </c>
      <c r="AK260" t="s">
        <v>3714</v>
      </c>
      <c r="AL260" t="str">
        <f t="shared" si="19"/>
        <v>Oklahoma_8</v>
      </c>
    </row>
    <row r="261" spans="2:38" x14ac:dyDescent="0.3">
      <c r="B261" s="90" t="s">
        <v>4060</v>
      </c>
      <c r="C261" s="90">
        <v>7.7</v>
      </c>
      <c r="D261" s="90">
        <v>51.17</v>
      </c>
      <c r="E261" s="755">
        <v>20.433164695856007</v>
      </c>
      <c r="F261" s="90">
        <v>109.64</v>
      </c>
      <c r="G261" s="90">
        <v>9</v>
      </c>
      <c r="H261" s="90" t="s">
        <v>4510</v>
      </c>
      <c r="I261" s="90">
        <v>61.42</v>
      </c>
      <c r="J261" s="2238" t="s">
        <v>4172</v>
      </c>
      <c r="L261">
        <v>10</v>
      </c>
      <c r="M261">
        <v>40</v>
      </c>
      <c r="T261">
        <v>6</v>
      </c>
      <c r="V261">
        <f t="shared" si="15"/>
        <v>9</v>
      </c>
      <c r="W261" t="str">
        <f t="shared" si="16"/>
        <v>Oklahoma (Southeast)</v>
      </c>
      <c r="Z261" t="str">
        <f t="shared" si="17"/>
        <v>Oklahoma</v>
      </c>
      <c r="AA261" t="str">
        <f t="shared" si="18"/>
        <v>Oklahoma_9</v>
      </c>
      <c r="AI261">
        <v>9</v>
      </c>
      <c r="AJ261">
        <v>981.50009010241934</v>
      </c>
      <c r="AK261" t="s">
        <v>3714</v>
      </c>
      <c r="AL261" t="str">
        <f t="shared" si="19"/>
        <v>Oklahoma_9</v>
      </c>
    </row>
    <row r="262" spans="2:38" x14ac:dyDescent="0.3">
      <c r="B262" s="90" t="s">
        <v>4061</v>
      </c>
      <c r="C262" s="90">
        <v>5</v>
      </c>
      <c r="D262" s="90">
        <v>82.64</v>
      </c>
      <c r="E262" s="755">
        <v>17.018781384496002</v>
      </c>
      <c r="F262" s="90">
        <v>8.9699999999999989</v>
      </c>
      <c r="G262" s="90">
        <v>1</v>
      </c>
      <c r="H262" s="90" t="s">
        <v>4511</v>
      </c>
      <c r="I262" s="90">
        <v>30</v>
      </c>
      <c r="J262" s="2243" t="s">
        <v>4168</v>
      </c>
      <c r="L262">
        <v>9.5</v>
      </c>
      <c r="M262">
        <v>41</v>
      </c>
      <c r="T262">
        <v>5.75</v>
      </c>
      <c r="V262">
        <f t="shared" si="15"/>
        <v>1</v>
      </c>
      <c r="W262" t="str">
        <f t="shared" si="16"/>
        <v>Oregon (Coastal Area)</v>
      </c>
      <c r="Z262" t="str">
        <f t="shared" si="17"/>
        <v>Oregon</v>
      </c>
      <c r="AA262" t="str">
        <f t="shared" si="18"/>
        <v>Oregon_1</v>
      </c>
      <c r="AI262">
        <v>1</v>
      </c>
      <c r="AJ262">
        <v>519.31010545873528</v>
      </c>
      <c r="AK262" t="s">
        <v>3715</v>
      </c>
      <c r="AL262" t="str">
        <f t="shared" si="19"/>
        <v>Oregon_1</v>
      </c>
    </row>
    <row r="263" spans="2:38" x14ac:dyDescent="0.3">
      <c r="B263" s="90" t="s">
        <v>4062</v>
      </c>
      <c r="C263" s="90">
        <v>4.5</v>
      </c>
      <c r="D263" s="90">
        <v>57.87</v>
      </c>
      <c r="E263" s="755">
        <v>15.918138304656001</v>
      </c>
      <c r="F263" s="90">
        <v>20.98</v>
      </c>
      <c r="G263" s="90">
        <v>2</v>
      </c>
      <c r="H263" s="90" t="s">
        <v>4512</v>
      </c>
      <c r="I263" s="90">
        <v>30.37</v>
      </c>
      <c r="J263" s="2238" t="s">
        <v>4172</v>
      </c>
      <c r="L263">
        <v>9</v>
      </c>
      <c r="M263">
        <v>42</v>
      </c>
      <c r="T263">
        <v>5.5</v>
      </c>
      <c r="V263">
        <f t="shared" si="15"/>
        <v>2</v>
      </c>
      <c r="W263" t="str">
        <f t="shared" si="16"/>
        <v>Oregon (Willamette Valley)</v>
      </c>
      <c r="Z263" t="str">
        <f t="shared" si="17"/>
        <v>Oregon</v>
      </c>
      <c r="AA263" t="str">
        <f t="shared" si="18"/>
        <v>Oregon_2</v>
      </c>
      <c r="AI263">
        <v>2</v>
      </c>
      <c r="AJ263">
        <v>473.5069352544665</v>
      </c>
      <c r="AK263" t="s">
        <v>3715</v>
      </c>
      <c r="AL263" t="str">
        <f t="shared" si="19"/>
        <v>Oregon_2</v>
      </c>
    </row>
    <row r="264" spans="2:38" x14ac:dyDescent="0.3">
      <c r="B264" s="90" t="s">
        <v>4063</v>
      </c>
      <c r="C264" s="90">
        <v>5</v>
      </c>
      <c r="D264" s="90">
        <v>47.150000000000013</v>
      </c>
      <c r="E264" s="755">
        <v>13.546455814063998</v>
      </c>
      <c r="F264" s="90">
        <v>26.18</v>
      </c>
      <c r="G264" s="90">
        <v>3</v>
      </c>
      <c r="H264" s="90" t="s">
        <v>4513</v>
      </c>
      <c r="I264" s="90">
        <v>44.15</v>
      </c>
      <c r="J264" s="2238" t="s">
        <v>4172</v>
      </c>
      <c r="L264">
        <v>9</v>
      </c>
      <c r="M264">
        <v>42</v>
      </c>
      <c r="T264">
        <v>5.5</v>
      </c>
      <c r="V264">
        <f t="shared" si="15"/>
        <v>3</v>
      </c>
      <c r="W264" t="str">
        <f t="shared" si="16"/>
        <v>Oregon (Southwestern Valleys)</v>
      </c>
      <c r="Z264" t="str">
        <f t="shared" si="17"/>
        <v>Oregon</v>
      </c>
      <c r="AA264" t="str">
        <f t="shared" si="18"/>
        <v>Oregon_3</v>
      </c>
      <c r="AI264">
        <v>3</v>
      </c>
      <c r="AJ264">
        <v>658.35083557304426</v>
      </c>
      <c r="AK264" t="s">
        <v>3715</v>
      </c>
      <c r="AL264" t="str">
        <f t="shared" si="19"/>
        <v>Oregon_3</v>
      </c>
    </row>
    <row r="265" spans="2:38" x14ac:dyDescent="0.3">
      <c r="B265" s="90" t="s">
        <v>4064</v>
      </c>
      <c r="C265" s="90">
        <v>2.5</v>
      </c>
      <c r="D265" s="90">
        <v>80.570000000000007</v>
      </c>
      <c r="E265" s="755">
        <v>15.611214410320006</v>
      </c>
      <c r="F265" s="90">
        <v>7.75</v>
      </c>
      <c r="G265" s="90">
        <v>4</v>
      </c>
      <c r="H265" s="90" t="s">
        <v>4514</v>
      </c>
      <c r="I265" s="90">
        <v>32.56</v>
      </c>
      <c r="J265" s="2243" t="s">
        <v>4168</v>
      </c>
      <c r="L265">
        <v>9</v>
      </c>
      <c r="M265">
        <v>42</v>
      </c>
      <c r="T265">
        <v>5.5</v>
      </c>
      <c r="V265">
        <f t="shared" si="15"/>
        <v>4</v>
      </c>
      <c r="W265" t="str">
        <f t="shared" si="16"/>
        <v>Oregon (Northernern Cascades)</v>
      </c>
      <c r="Z265" t="str">
        <f t="shared" si="17"/>
        <v>Oregon</v>
      </c>
      <c r="AA265" t="str">
        <f t="shared" si="18"/>
        <v>Oregon_4</v>
      </c>
      <c r="AI265">
        <v>4</v>
      </c>
      <c r="AJ265">
        <v>630.14482434977083</v>
      </c>
      <c r="AK265" t="s">
        <v>3715</v>
      </c>
      <c r="AL265" t="str">
        <f t="shared" si="19"/>
        <v>Oregon_4</v>
      </c>
    </row>
    <row r="266" spans="2:38" x14ac:dyDescent="0.3">
      <c r="B266" s="90" t="s">
        <v>4065</v>
      </c>
      <c r="C266" s="90">
        <v>2.5</v>
      </c>
      <c r="D266" s="90">
        <v>25.85</v>
      </c>
      <c r="E266" s="755">
        <v>8.3823650976320003</v>
      </c>
      <c r="F266" s="90">
        <v>15.17</v>
      </c>
      <c r="G266" s="90">
        <v>5</v>
      </c>
      <c r="H266" s="90" t="s">
        <v>4515</v>
      </c>
      <c r="I266" s="90">
        <v>35.47</v>
      </c>
      <c r="J266" s="2242" t="s">
        <v>4169</v>
      </c>
      <c r="L266">
        <v>9</v>
      </c>
      <c r="M266">
        <v>42</v>
      </c>
      <c r="T266">
        <v>5.5</v>
      </c>
      <c r="V266">
        <f t="shared" si="15"/>
        <v>5</v>
      </c>
      <c r="W266" t="str">
        <f t="shared" si="16"/>
        <v>Oregon (High Plateau)</v>
      </c>
      <c r="Z266" t="str">
        <f t="shared" si="17"/>
        <v>Oregon</v>
      </c>
      <c r="AA266" t="str">
        <f t="shared" si="18"/>
        <v>Oregon_5</v>
      </c>
      <c r="AI266">
        <v>5</v>
      </c>
      <c r="AJ266">
        <v>366.18578279316972</v>
      </c>
      <c r="AK266" t="s">
        <v>3715</v>
      </c>
      <c r="AL266" t="str">
        <f t="shared" si="19"/>
        <v>Oregon_5</v>
      </c>
    </row>
    <row r="267" spans="2:38" x14ac:dyDescent="0.3">
      <c r="B267" s="90" t="s">
        <v>4066</v>
      </c>
      <c r="C267" s="90">
        <v>2.5</v>
      </c>
      <c r="D267" s="90">
        <v>18.36</v>
      </c>
      <c r="E267" s="755">
        <v>6.5351485030880019</v>
      </c>
      <c r="F267" s="90">
        <v>32.32</v>
      </c>
      <c r="G267" s="90">
        <v>6</v>
      </c>
      <c r="H267" s="90" t="s">
        <v>4516</v>
      </c>
      <c r="I267" s="90">
        <v>52.08</v>
      </c>
      <c r="J267" s="2242" t="s">
        <v>4169</v>
      </c>
      <c r="L267">
        <v>7.5</v>
      </c>
      <c r="M267">
        <v>46</v>
      </c>
      <c r="T267">
        <v>5</v>
      </c>
      <c r="V267">
        <f t="shared" si="15"/>
        <v>6</v>
      </c>
      <c r="W267" t="str">
        <f t="shared" si="16"/>
        <v>Oregon (North Central)</v>
      </c>
      <c r="Z267" t="str">
        <f t="shared" si="17"/>
        <v>Oregon</v>
      </c>
      <c r="AA267" t="str">
        <f t="shared" si="18"/>
        <v>Oregon_6</v>
      </c>
      <c r="AI267">
        <v>6</v>
      </c>
      <c r="AJ267">
        <v>193.31967133441901</v>
      </c>
      <c r="AK267" t="s">
        <v>3715</v>
      </c>
      <c r="AL267" t="str">
        <f t="shared" si="19"/>
        <v>Oregon_6</v>
      </c>
    </row>
    <row r="268" spans="2:38" x14ac:dyDescent="0.3">
      <c r="B268" s="90" t="s">
        <v>4067</v>
      </c>
      <c r="C268" s="90">
        <v>2.5</v>
      </c>
      <c r="D268" s="90">
        <v>15.37</v>
      </c>
      <c r="E268" s="755">
        <v>4.6286550037599996</v>
      </c>
      <c r="F268" s="90">
        <v>23.15</v>
      </c>
      <c r="G268" s="90">
        <v>7</v>
      </c>
      <c r="H268" s="90" t="s">
        <v>4517</v>
      </c>
      <c r="I268" s="90">
        <v>47.34</v>
      </c>
      <c r="J268" s="2242" t="s">
        <v>4169</v>
      </c>
      <c r="L268">
        <v>7.5</v>
      </c>
      <c r="M268">
        <v>46</v>
      </c>
      <c r="T268">
        <v>5</v>
      </c>
      <c r="V268">
        <f t="shared" si="15"/>
        <v>7</v>
      </c>
      <c r="W268" t="str">
        <f t="shared" si="16"/>
        <v>Oregon (South Central)</v>
      </c>
      <c r="Z268" t="str">
        <f t="shared" si="17"/>
        <v>Oregon</v>
      </c>
      <c r="AA268" t="str">
        <f t="shared" si="18"/>
        <v>Oregon_7</v>
      </c>
      <c r="AI268">
        <v>7</v>
      </c>
      <c r="AJ268">
        <v>198.65241131207901</v>
      </c>
      <c r="AK268" t="s">
        <v>3715</v>
      </c>
      <c r="AL268" t="str">
        <f t="shared" si="19"/>
        <v>Oregon_7</v>
      </c>
    </row>
    <row r="269" spans="2:38" x14ac:dyDescent="0.3">
      <c r="B269" s="90" t="s">
        <v>4068</v>
      </c>
      <c r="C269" s="90">
        <v>2.5</v>
      </c>
      <c r="D269" s="90">
        <v>24.6</v>
      </c>
      <c r="E269" s="755">
        <v>6.545263988976</v>
      </c>
      <c r="F269" s="90">
        <v>17.05</v>
      </c>
      <c r="G269" s="90">
        <v>8</v>
      </c>
      <c r="H269" s="90" t="s">
        <v>4518</v>
      </c>
      <c r="I269" s="90">
        <v>43.33</v>
      </c>
      <c r="J269" s="2242" t="s">
        <v>4169</v>
      </c>
      <c r="L269">
        <v>6.8</v>
      </c>
      <c r="M269">
        <v>48</v>
      </c>
      <c r="T269">
        <v>4.5</v>
      </c>
      <c r="V269">
        <f t="shared" si="15"/>
        <v>8</v>
      </c>
      <c r="W269" t="str">
        <f t="shared" si="16"/>
        <v>Oregon (Northeast)</v>
      </c>
      <c r="Z269" t="str">
        <f t="shared" si="17"/>
        <v>Oregon</v>
      </c>
      <c r="AA269" t="str">
        <f t="shared" si="18"/>
        <v>Oregon_8</v>
      </c>
      <c r="AI269">
        <v>8</v>
      </c>
      <c r="AJ269">
        <v>398.46113330196027</v>
      </c>
      <c r="AK269" t="s">
        <v>3715</v>
      </c>
      <c r="AL269" t="str">
        <f t="shared" si="19"/>
        <v>Oregon_8</v>
      </c>
    </row>
    <row r="270" spans="2:38" x14ac:dyDescent="0.3">
      <c r="B270" s="90" t="s">
        <v>4069</v>
      </c>
      <c r="C270" s="90">
        <v>2</v>
      </c>
      <c r="D270" s="90">
        <v>12.6</v>
      </c>
      <c r="E270" s="755">
        <v>4.2484082724320009</v>
      </c>
      <c r="F270" s="90">
        <v>38.42</v>
      </c>
      <c r="G270" s="90">
        <v>9</v>
      </c>
      <c r="H270" s="90" t="s">
        <v>4519</v>
      </c>
      <c r="I270" s="90">
        <v>43.33</v>
      </c>
      <c r="J270" s="2242" t="s">
        <v>4169</v>
      </c>
      <c r="L270">
        <v>7.15</v>
      </c>
      <c r="M270">
        <v>47</v>
      </c>
      <c r="T270">
        <v>4.75</v>
      </c>
      <c r="V270">
        <f t="shared" si="15"/>
        <v>9</v>
      </c>
      <c r="W270" t="str">
        <f t="shared" si="16"/>
        <v>Oregon (Southeast)</v>
      </c>
      <c r="Z270" t="str">
        <f t="shared" si="17"/>
        <v>Oregon</v>
      </c>
      <c r="AA270" t="str">
        <f t="shared" si="18"/>
        <v>Oregon_9</v>
      </c>
      <c r="AI270">
        <v>9</v>
      </c>
      <c r="AJ270">
        <v>111.18203925728061</v>
      </c>
      <c r="AK270" t="s">
        <v>3715</v>
      </c>
      <c r="AL270" t="str">
        <f t="shared" si="19"/>
        <v>Oregon_9</v>
      </c>
    </row>
    <row r="271" spans="2:38" x14ac:dyDescent="0.3">
      <c r="B271" s="90" t="s">
        <v>4070</v>
      </c>
      <c r="C271" s="90">
        <v>5.18</v>
      </c>
      <c r="D271" s="90">
        <v>47.280000000000008</v>
      </c>
      <c r="E271" s="755">
        <v>15.713995253504001</v>
      </c>
      <c r="F271" s="90">
        <v>26.79</v>
      </c>
      <c r="G271" s="90">
        <v>1</v>
      </c>
      <c r="H271" s="90" t="s">
        <v>4520</v>
      </c>
      <c r="I271" s="90">
        <v>26.94</v>
      </c>
      <c r="J271" s="2243" t="s">
        <v>4168</v>
      </c>
      <c r="L271">
        <v>6</v>
      </c>
      <c r="M271">
        <v>50</v>
      </c>
      <c r="T271">
        <v>4</v>
      </c>
      <c r="V271">
        <f t="shared" si="15"/>
        <v>1</v>
      </c>
      <c r="W271" t="str">
        <f t="shared" si="16"/>
        <v>Pennsylvania (Pocono Mountains)</v>
      </c>
      <c r="Z271" t="str">
        <f t="shared" si="17"/>
        <v>Pennsylvania</v>
      </c>
      <c r="AA271" t="str">
        <f t="shared" si="18"/>
        <v>Pennsylvania_1</v>
      </c>
      <c r="AI271">
        <v>1</v>
      </c>
      <c r="AJ271">
        <v>567.32481541503648</v>
      </c>
      <c r="AK271" t="s">
        <v>3716</v>
      </c>
      <c r="AL271" t="str">
        <f t="shared" si="19"/>
        <v>Pennsylvania_1</v>
      </c>
    </row>
    <row r="272" spans="2:38" x14ac:dyDescent="0.3">
      <c r="B272" s="90" t="s">
        <v>4071</v>
      </c>
      <c r="C272" s="90">
        <v>4.66</v>
      </c>
      <c r="D272" s="90">
        <v>50.070000000000007</v>
      </c>
      <c r="E272" s="755">
        <v>17.482568800912002</v>
      </c>
      <c r="F272" s="90">
        <v>40.840000000000003</v>
      </c>
      <c r="G272" s="90">
        <v>2</v>
      </c>
      <c r="H272" s="90" t="s">
        <v>4520</v>
      </c>
      <c r="I272" s="90">
        <v>26.94</v>
      </c>
      <c r="J272" s="2243" t="s">
        <v>4168</v>
      </c>
      <c r="L272">
        <v>6.8</v>
      </c>
      <c r="M272">
        <v>48</v>
      </c>
      <c r="T272">
        <v>4.5</v>
      </c>
      <c r="V272">
        <f t="shared" si="15"/>
        <v>2</v>
      </c>
      <c r="W272" t="str">
        <f t="shared" si="16"/>
        <v>Pennsylvania (East Central Mountains)</v>
      </c>
      <c r="Z272" t="str">
        <f t="shared" si="17"/>
        <v>Pennsylvania</v>
      </c>
      <c r="AA272" t="str">
        <f t="shared" si="18"/>
        <v>Pennsylvania_2</v>
      </c>
      <c r="AI272">
        <v>2</v>
      </c>
      <c r="AJ272">
        <v>530.07939234806361</v>
      </c>
      <c r="AK272" t="s">
        <v>3716</v>
      </c>
      <c r="AL272" t="str">
        <f t="shared" si="19"/>
        <v>Pennsylvania_2</v>
      </c>
    </row>
    <row r="273" spans="2:38" x14ac:dyDescent="0.3">
      <c r="B273" s="90" t="s">
        <v>4072</v>
      </c>
      <c r="C273" s="90">
        <v>5.85</v>
      </c>
      <c r="D273" s="90">
        <v>47.42</v>
      </c>
      <c r="E273" s="755">
        <v>17.756581933040007</v>
      </c>
      <c r="F273" s="90">
        <v>59.169999999999987</v>
      </c>
      <c r="G273" s="90">
        <v>3</v>
      </c>
      <c r="H273" s="90" t="s">
        <v>4521</v>
      </c>
      <c r="I273" s="90">
        <v>32.630000000000003</v>
      </c>
      <c r="J273" s="2238" t="s">
        <v>4172</v>
      </c>
      <c r="L273">
        <v>7.15</v>
      </c>
      <c r="M273">
        <v>47</v>
      </c>
      <c r="T273">
        <v>4.75</v>
      </c>
      <c r="V273">
        <f t="shared" si="15"/>
        <v>3</v>
      </c>
      <c r="W273" t="str">
        <f t="shared" si="16"/>
        <v>Pennsylvania (Southeastern Piedmont)</v>
      </c>
      <c r="Z273" t="str">
        <f t="shared" si="17"/>
        <v>Pennsylvania</v>
      </c>
      <c r="AA273" t="str">
        <f t="shared" si="18"/>
        <v>Pennsylvania_3</v>
      </c>
      <c r="AI273">
        <v>3</v>
      </c>
      <c r="AJ273">
        <v>517.30255687024476</v>
      </c>
      <c r="AK273" t="s">
        <v>3716</v>
      </c>
      <c r="AL273" t="str">
        <f t="shared" si="19"/>
        <v>Pennsylvania_3</v>
      </c>
    </row>
    <row r="274" spans="2:38" x14ac:dyDescent="0.3">
      <c r="B274" s="90" t="s">
        <v>4073</v>
      </c>
      <c r="C274" s="90">
        <v>4.66</v>
      </c>
      <c r="D274" s="90">
        <v>44.3</v>
      </c>
      <c r="E274" s="755">
        <v>16.783597649936002</v>
      </c>
      <c r="F274" s="90">
        <v>55.8</v>
      </c>
      <c r="G274" s="90">
        <v>4</v>
      </c>
      <c r="H274" s="90" t="s">
        <v>4521</v>
      </c>
      <c r="I274" s="90">
        <v>32.630000000000003</v>
      </c>
      <c r="J274" s="2238" t="s">
        <v>4172</v>
      </c>
      <c r="L274">
        <v>6.8</v>
      </c>
      <c r="M274">
        <v>48</v>
      </c>
      <c r="T274">
        <v>4.5</v>
      </c>
      <c r="V274">
        <f t="shared" si="15"/>
        <v>4</v>
      </c>
      <c r="W274" t="str">
        <f t="shared" si="16"/>
        <v>Pennsylvania (Lower Susquehanna)</v>
      </c>
      <c r="Z274" t="str">
        <f t="shared" si="17"/>
        <v>Pennsylvania</v>
      </c>
      <c r="AA274" t="str">
        <f t="shared" si="18"/>
        <v>Pennsylvania_4</v>
      </c>
      <c r="AI274">
        <v>4</v>
      </c>
      <c r="AJ274">
        <v>560.13029608387353</v>
      </c>
      <c r="AK274" t="s">
        <v>3716</v>
      </c>
      <c r="AL274" t="str">
        <f t="shared" si="19"/>
        <v>Pennsylvania_4</v>
      </c>
    </row>
    <row r="275" spans="2:38" x14ac:dyDescent="0.3">
      <c r="B275" s="90" t="s">
        <v>4074</v>
      </c>
      <c r="C275" s="90">
        <v>4.66</v>
      </c>
      <c r="D275" s="90">
        <v>44.489999999999988</v>
      </c>
      <c r="E275" s="755">
        <v>16.345530706784004</v>
      </c>
      <c r="F275" s="90">
        <v>41.13</v>
      </c>
      <c r="G275" s="90">
        <v>5</v>
      </c>
      <c r="H275" s="90" t="s">
        <v>4522</v>
      </c>
      <c r="I275" s="90">
        <v>36</v>
      </c>
      <c r="J275" s="2243" t="s">
        <v>4168</v>
      </c>
      <c r="L275">
        <v>6.8</v>
      </c>
      <c r="M275">
        <v>48</v>
      </c>
      <c r="T275">
        <v>4.5</v>
      </c>
      <c r="V275">
        <f t="shared" si="15"/>
        <v>5</v>
      </c>
      <c r="W275" t="str">
        <f t="shared" si="16"/>
        <v>Pennsylvania (Middle Susquehanna)</v>
      </c>
      <c r="Z275" t="str">
        <f t="shared" si="17"/>
        <v>Pennsylvania</v>
      </c>
      <c r="AA275" t="str">
        <f t="shared" si="18"/>
        <v>Pennsylvania_5</v>
      </c>
      <c r="AI275">
        <v>5</v>
      </c>
      <c r="AJ275">
        <v>610.32508639560524</v>
      </c>
      <c r="AK275" t="s">
        <v>3716</v>
      </c>
      <c r="AL275" t="str">
        <f t="shared" si="19"/>
        <v>Pennsylvania_5</v>
      </c>
    </row>
    <row r="276" spans="2:38" x14ac:dyDescent="0.3">
      <c r="B276" s="90" t="s">
        <v>4075</v>
      </c>
      <c r="C276" s="90">
        <v>4.66</v>
      </c>
      <c r="D276" s="90">
        <v>42.78</v>
      </c>
      <c r="E276" s="755">
        <v>14.53539416592</v>
      </c>
      <c r="F276" s="90">
        <v>24.63</v>
      </c>
      <c r="G276" s="90">
        <v>6</v>
      </c>
      <c r="H276" s="90" t="s">
        <v>4522</v>
      </c>
      <c r="I276" s="90">
        <v>36</v>
      </c>
      <c r="J276" s="2243" t="s">
        <v>4168</v>
      </c>
      <c r="L276">
        <v>6</v>
      </c>
      <c r="M276">
        <v>50</v>
      </c>
      <c r="T276">
        <v>4</v>
      </c>
      <c r="V276">
        <f t="shared" ref="V276:V339" si="20">G276</f>
        <v>6</v>
      </c>
      <c r="W276" t="str">
        <f t="shared" ref="W276:W339" si="21">B276</f>
        <v>Pennsylvania (Upper Susquehanna)</v>
      </c>
      <c r="Z276" t="str">
        <f t="shared" ref="Z276:Z339" si="22">TRIM(LEFT(B276,SEARCH("(",B276)-1))</f>
        <v>Pennsylvania</v>
      </c>
      <c r="AA276" t="str">
        <f t="shared" ref="AA276:AA339" si="23">_xlfn.CONCAT(Z276,"_",G276)</f>
        <v>Pennsylvania_6</v>
      </c>
      <c r="AI276">
        <v>6</v>
      </c>
      <c r="AJ276">
        <v>559.83378271370725</v>
      </c>
      <c r="AK276" t="s">
        <v>3716</v>
      </c>
      <c r="AL276" t="str">
        <f t="shared" ref="AL276:AL339" si="24">_xlfn.CONCAT(AK276,"_",AI276)</f>
        <v>Pennsylvania_6</v>
      </c>
    </row>
    <row r="277" spans="2:38" x14ac:dyDescent="0.3">
      <c r="B277" s="90" t="s">
        <v>4076</v>
      </c>
      <c r="C277" s="90">
        <v>4.66</v>
      </c>
      <c r="D277" s="90">
        <v>43.92</v>
      </c>
      <c r="E277" s="755">
        <v>15.465194720607995</v>
      </c>
      <c r="F277" s="90">
        <v>29.82</v>
      </c>
      <c r="G277" s="90">
        <v>7</v>
      </c>
      <c r="H277" s="90" t="s">
        <v>4522</v>
      </c>
      <c r="I277" s="90">
        <v>36</v>
      </c>
      <c r="J277" s="2243" t="s">
        <v>4168</v>
      </c>
      <c r="L277">
        <v>6</v>
      </c>
      <c r="M277">
        <v>50</v>
      </c>
      <c r="T277">
        <v>4</v>
      </c>
      <c r="V277">
        <f t="shared" si="20"/>
        <v>7</v>
      </c>
      <c r="W277" t="str">
        <f t="shared" si="21"/>
        <v>Pennsylvania (Central Mountains)</v>
      </c>
      <c r="Z277" t="str">
        <f t="shared" si="22"/>
        <v>Pennsylvania</v>
      </c>
      <c r="AA277" t="str">
        <f t="shared" si="23"/>
        <v>Pennsylvania_7</v>
      </c>
      <c r="AI277">
        <v>7</v>
      </c>
      <c r="AJ277">
        <v>625.7211849345772</v>
      </c>
      <c r="AK277" t="s">
        <v>3716</v>
      </c>
      <c r="AL277" t="str">
        <f t="shared" si="24"/>
        <v>Pennsylvania_7</v>
      </c>
    </row>
    <row r="278" spans="2:38" x14ac:dyDescent="0.3">
      <c r="B278" s="90" t="s">
        <v>4077</v>
      </c>
      <c r="C278" s="90">
        <v>4.66</v>
      </c>
      <c r="D278" s="90">
        <v>42.24</v>
      </c>
      <c r="E278" s="755">
        <v>15.179534606480003</v>
      </c>
      <c r="F278" s="90">
        <v>39.889999999999993</v>
      </c>
      <c r="G278" s="90">
        <v>8</v>
      </c>
      <c r="H278" s="90" t="s">
        <v>4523</v>
      </c>
      <c r="I278" s="90">
        <v>26.81</v>
      </c>
      <c r="J278" s="2243" t="s">
        <v>4168</v>
      </c>
      <c r="L278">
        <v>6.8</v>
      </c>
      <c r="M278">
        <v>48</v>
      </c>
      <c r="T278">
        <v>4.5</v>
      </c>
      <c r="V278">
        <f t="shared" si="20"/>
        <v>8</v>
      </c>
      <c r="W278" t="str">
        <f t="shared" si="21"/>
        <v>Pennsylvania (South Central Mountains)</v>
      </c>
      <c r="Z278" t="str">
        <f t="shared" si="22"/>
        <v>Pennsylvania</v>
      </c>
      <c r="AA278" t="str">
        <f t="shared" si="23"/>
        <v>Pennsylvania_8</v>
      </c>
      <c r="AI278">
        <v>8</v>
      </c>
      <c r="AJ278">
        <v>625.2045436646797</v>
      </c>
      <c r="AK278" t="s">
        <v>3716</v>
      </c>
      <c r="AL278" t="str">
        <f t="shared" si="24"/>
        <v>Pennsylvania_8</v>
      </c>
    </row>
    <row r="279" spans="2:38" x14ac:dyDescent="0.3">
      <c r="B279" s="90" t="s">
        <v>4078</v>
      </c>
      <c r="C279" s="90">
        <v>3.96</v>
      </c>
      <c r="D279" s="90">
        <v>44.650000000000013</v>
      </c>
      <c r="E279" s="755">
        <v>16.382673752591998</v>
      </c>
      <c r="F279" s="90">
        <v>39.26</v>
      </c>
      <c r="G279" s="90">
        <v>9</v>
      </c>
      <c r="H279" s="90" t="s">
        <v>4524</v>
      </c>
      <c r="I279" s="90">
        <v>25.23</v>
      </c>
      <c r="J279" s="2243" t="s">
        <v>4168</v>
      </c>
      <c r="L279">
        <v>6.8</v>
      </c>
      <c r="M279">
        <v>48</v>
      </c>
      <c r="T279">
        <v>4.5</v>
      </c>
      <c r="V279">
        <f t="shared" si="20"/>
        <v>9</v>
      </c>
      <c r="W279" t="str">
        <f t="shared" si="21"/>
        <v>Pennsylvania (Southwest Plateau)</v>
      </c>
      <c r="Z279" t="str">
        <f t="shared" si="22"/>
        <v>Pennsylvania</v>
      </c>
      <c r="AA279" t="str">
        <f t="shared" si="23"/>
        <v>Pennsylvania_9</v>
      </c>
      <c r="AI279">
        <v>9</v>
      </c>
      <c r="AJ279">
        <v>596.36370035084565</v>
      </c>
      <c r="AK279" t="s">
        <v>3716</v>
      </c>
      <c r="AL279" t="str">
        <f t="shared" si="24"/>
        <v>Pennsylvania_9</v>
      </c>
    </row>
    <row r="280" spans="2:38" x14ac:dyDescent="0.3">
      <c r="B280" s="90" t="s">
        <v>4079</v>
      </c>
      <c r="C280" s="90">
        <v>4.2</v>
      </c>
      <c r="D280" s="90">
        <v>45.44</v>
      </c>
      <c r="E280" s="755">
        <v>15.271075291823998</v>
      </c>
      <c r="F280" s="90">
        <v>27.36</v>
      </c>
      <c r="G280" s="90">
        <v>10</v>
      </c>
      <c r="H280" s="90" t="s">
        <v>4525</v>
      </c>
      <c r="I280" s="90">
        <v>24.66</v>
      </c>
      <c r="J280" s="2243" t="s">
        <v>4168</v>
      </c>
      <c r="L280">
        <v>5.5</v>
      </c>
      <c r="M280">
        <v>52.5</v>
      </c>
      <c r="T280">
        <v>3.75</v>
      </c>
      <c r="V280">
        <f t="shared" si="20"/>
        <v>10</v>
      </c>
      <c r="W280" t="str">
        <f t="shared" si="21"/>
        <v>Pennsylvania (Northwest Plateau)</v>
      </c>
      <c r="Z280" t="str">
        <f t="shared" si="22"/>
        <v>Pennsylvania</v>
      </c>
      <c r="AA280" t="str">
        <f t="shared" si="23"/>
        <v>Pennsylvania_10</v>
      </c>
      <c r="AI280">
        <v>10</v>
      </c>
      <c r="AJ280">
        <v>636.6517919248696</v>
      </c>
      <c r="AK280" t="s">
        <v>3716</v>
      </c>
      <c r="AL280" t="str">
        <f t="shared" si="24"/>
        <v>Pennsylvania_10</v>
      </c>
    </row>
    <row r="281" spans="2:38" x14ac:dyDescent="0.3">
      <c r="B281" s="90" t="s">
        <v>4080</v>
      </c>
      <c r="C281" s="90">
        <v>6.26</v>
      </c>
      <c r="D281" s="90">
        <v>49.13</v>
      </c>
      <c r="E281" s="755">
        <v>16.987686895312002</v>
      </c>
      <c r="F281" s="90">
        <v>39.369999999999997</v>
      </c>
      <c r="G281" s="90">
        <v>1</v>
      </c>
      <c r="H281" t="s">
        <v>4526</v>
      </c>
      <c r="I281" s="90">
        <v>27.43</v>
      </c>
      <c r="J281" s="2243" t="s">
        <v>4168</v>
      </c>
      <c r="L281">
        <v>7.5</v>
      </c>
      <c r="M281">
        <v>46</v>
      </c>
      <c r="T281">
        <v>5</v>
      </c>
      <c r="V281">
        <f t="shared" si="20"/>
        <v>1</v>
      </c>
      <c r="W281" t="str">
        <f t="shared" si="21"/>
        <v>Rhode Island (Rhode Island)</v>
      </c>
      <c r="Z281" t="str">
        <f t="shared" si="22"/>
        <v>Rhode Island</v>
      </c>
      <c r="AA281" t="str">
        <f t="shared" si="23"/>
        <v>Rhode Island_1</v>
      </c>
      <c r="AI281">
        <v>1</v>
      </c>
      <c r="AJ281">
        <v>567.68580842343079</v>
      </c>
      <c r="AK281" t="s">
        <v>3717</v>
      </c>
      <c r="AL281" t="str">
        <f t="shared" si="24"/>
        <v>Rhode Island_1</v>
      </c>
    </row>
    <row r="282" spans="2:38" x14ac:dyDescent="0.3">
      <c r="B282" s="90" t="s">
        <v>4081</v>
      </c>
      <c r="C282" s="90">
        <v>7.1</v>
      </c>
      <c r="D282" s="90">
        <v>64.849999999999994</v>
      </c>
      <c r="E282" s="755">
        <v>20.869751324000003</v>
      </c>
      <c r="F282" s="90">
        <v>81.179999999999993</v>
      </c>
      <c r="G282" s="90">
        <v>1</v>
      </c>
      <c r="H282" s="90" t="s">
        <v>4527</v>
      </c>
      <c r="I282" s="90">
        <v>38.31</v>
      </c>
      <c r="J282" s="2238" t="s">
        <v>4172</v>
      </c>
      <c r="L282">
        <v>9.5</v>
      </c>
      <c r="M282">
        <v>41</v>
      </c>
      <c r="T282">
        <v>5.75</v>
      </c>
      <c r="V282">
        <f t="shared" si="20"/>
        <v>1</v>
      </c>
      <c r="W282" t="str">
        <f t="shared" si="21"/>
        <v>South Carolina (Mountain)</v>
      </c>
      <c r="Z282" t="str">
        <f t="shared" si="22"/>
        <v>South Carolina</v>
      </c>
      <c r="AA282" t="str">
        <f t="shared" si="23"/>
        <v>South Carolina_1</v>
      </c>
      <c r="AI282">
        <v>1</v>
      </c>
      <c r="AJ282">
        <v>857.49205490940744</v>
      </c>
      <c r="AK282" t="s">
        <v>3718</v>
      </c>
      <c r="AL282" t="str">
        <f t="shared" si="24"/>
        <v>South Carolina_1</v>
      </c>
    </row>
    <row r="283" spans="2:38" x14ac:dyDescent="0.3">
      <c r="B283" s="90" t="s">
        <v>4082</v>
      </c>
      <c r="C283" s="90">
        <v>7.1</v>
      </c>
      <c r="D283" s="90">
        <v>49.13</v>
      </c>
      <c r="E283" s="755">
        <v>20.002881217520002</v>
      </c>
      <c r="F283" s="90">
        <v>102.58</v>
      </c>
      <c r="G283" s="90">
        <v>2</v>
      </c>
      <c r="H283" s="90" t="s">
        <v>4528</v>
      </c>
      <c r="I283" s="90">
        <v>52.89</v>
      </c>
      <c r="J283" s="2238" t="s">
        <v>4172</v>
      </c>
      <c r="L283">
        <v>9.5</v>
      </c>
      <c r="M283">
        <v>41</v>
      </c>
      <c r="T283">
        <v>5.75</v>
      </c>
      <c r="V283">
        <f t="shared" si="20"/>
        <v>2</v>
      </c>
      <c r="W283" t="str">
        <f t="shared" si="21"/>
        <v>South Carolina (Northwest)</v>
      </c>
      <c r="Z283" t="str">
        <f t="shared" si="22"/>
        <v>South Carolina</v>
      </c>
      <c r="AA283" t="str">
        <f t="shared" si="23"/>
        <v>South Carolina_2</v>
      </c>
      <c r="AI283">
        <v>2</v>
      </c>
      <c r="AJ283">
        <v>758.49643179889301</v>
      </c>
      <c r="AK283" t="s">
        <v>3718</v>
      </c>
      <c r="AL283" t="str">
        <f t="shared" si="24"/>
        <v>South Carolina_2</v>
      </c>
    </row>
    <row r="284" spans="2:38" x14ac:dyDescent="0.3">
      <c r="B284" s="90" t="s">
        <v>4083</v>
      </c>
      <c r="C284" s="90">
        <v>6.37</v>
      </c>
      <c r="D284" s="90">
        <v>43.9</v>
      </c>
      <c r="E284" s="755">
        <v>19.202941559376001</v>
      </c>
      <c r="F284" s="90">
        <v>108.68</v>
      </c>
      <c r="G284" s="90">
        <v>3</v>
      </c>
      <c r="H284" s="90" t="s">
        <v>4529</v>
      </c>
      <c r="I284" s="90">
        <v>50.62</v>
      </c>
      <c r="J284" s="2238" t="s">
        <v>4172</v>
      </c>
      <c r="L284">
        <v>10</v>
      </c>
      <c r="M284">
        <v>40</v>
      </c>
      <c r="T284">
        <v>6</v>
      </c>
      <c r="V284">
        <f t="shared" si="20"/>
        <v>3</v>
      </c>
      <c r="W284" t="str">
        <f t="shared" si="21"/>
        <v>South Carolina (North Central)</v>
      </c>
      <c r="Z284" t="str">
        <f t="shared" si="22"/>
        <v>South Carolina</v>
      </c>
      <c r="AA284" t="str">
        <f t="shared" si="23"/>
        <v>South Carolina_3</v>
      </c>
      <c r="AI284">
        <v>3</v>
      </c>
      <c r="AJ284">
        <v>859.50326447634836</v>
      </c>
      <c r="AK284" t="s">
        <v>3718</v>
      </c>
      <c r="AL284" t="str">
        <f t="shared" si="24"/>
        <v>South Carolina_3</v>
      </c>
    </row>
    <row r="285" spans="2:38" x14ac:dyDescent="0.3">
      <c r="B285" s="90" t="s">
        <v>4084</v>
      </c>
      <c r="C285" s="90">
        <v>6.92</v>
      </c>
      <c r="D285" s="90">
        <v>49.280000000000008</v>
      </c>
      <c r="E285" s="755">
        <v>21.681257911647993</v>
      </c>
      <c r="F285" s="90">
        <v>122.75</v>
      </c>
      <c r="G285" s="90">
        <v>4</v>
      </c>
      <c r="H285" s="90" t="s">
        <v>4529</v>
      </c>
      <c r="I285" s="90">
        <v>50.62</v>
      </c>
      <c r="J285" s="2238" t="s">
        <v>4172</v>
      </c>
      <c r="L285">
        <v>10</v>
      </c>
      <c r="M285">
        <v>40</v>
      </c>
      <c r="T285">
        <v>6</v>
      </c>
      <c r="V285">
        <f t="shared" si="20"/>
        <v>4</v>
      </c>
      <c r="W285" t="str">
        <f t="shared" si="21"/>
        <v>South Carolina (Northeast)</v>
      </c>
      <c r="Z285" t="str">
        <f t="shared" si="22"/>
        <v>South Carolina</v>
      </c>
      <c r="AA285" t="str">
        <f t="shared" si="23"/>
        <v>South Carolina_4</v>
      </c>
      <c r="AI285">
        <v>4</v>
      </c>
      <c r="AJ285">
        <v>878.38068676932801</v>
      </c>
      <c r="AK285" t="s">
        <v>3718</v>
      </c>
      <c r="AL285" t="str">
        <f t="shared" si="24"/>
        <v>South Carolina_4</v>
      </c>
    </row>
    <row r="286" spans="2:38" x14ac:dyDescent="0.3">
      <c r="B286" s="90" t="s">
        <v>4085</v>
      </c>
      <c r="C286" s="90">
        <v>6.37</v>
      </c>
      <c r="D286" s="90">
        <v>46.24</v>
      </c>
      <c r="E286" s="755">
        <v>19.974172555184001</v>
      </c>
      <c r="F286" s="90">
        <v>117.55</v>
      </c>
      <c r="G286" s="90">
        <v>5</v>
      </c>
      <c r="H286" s="90" t="s">
        <v>4530</v>
      </c>
      <c r="I286" s="90"/>
      <c r="J286" s="2238" t="s">
        <v>4172</v>
      </c>
      <c r="L286">
        <v>10</v>
      </c>
      <c r="M286">
        <v>40</v>
      </c>
      <c r="T286">
        <v>6</v>
      </c>
      <c r="V286">
        <f t="shared" si="20"/>
        <v>5</v>
      </c>
      <c r="W286" t="str">
        <f t="shared" si="21"/>
        <v>South Carolina (West Central)</v>
      </c>
      <c r="Z286" t="str">
        <f t="shared" si="22"/>
        <v>South Carolina</v>
      </c>
      <c r="AA286" t="str">
        <f t="shared" si="23"/>
        <v>South Carolina_5</v>
      </c>
      <c r="AI286">
        <v>5</v>
      </c>
      <c r="AJ286">
        <v>895.52979663391318</v>
      </c>
      <c r="AK286" t="s">
        <v>3718</v>
      </c>
      <c r="AL286" t="str">
        <f t="shared" si="24"/>
        <v>South Carolina_5</v>
      </c>
    </row>
    <row r="287" spans="2:38" x14ac:dyDescent="0.3">
      <c r="B287" s="90" t="s">
        <v>4086</v>
      </c>
      <c r="C287" s="90">
        <v>6.37</v>
      </c>
      <c r="D287" s="90">
        <v>47.150000000000013</v>
      </c>
      <c r="E287" s="755">
        <v>21.097303824720001</v>
      </c>
      <c r="F287" s="90">
        <v>124.89</v>
      </c>
      <c r="G287" s="90">
        <v>6</v>
      </c>
      <c r="H287" s="90" t="s">
        <v>4531</v>
      </c>
      <c r="I287" s="90">
        <v>56.2</v>
      </c>
      <c r="J287" s="2238" t="s">
        <v>4172</v>
      </c>
      <c r="L287">
        <v>10</v>
      </c>
      <c r="M287">
        <v>40</v>
      </c>
      <c r="T287">
        <v>6</v>
      </c>
      <c r="V287">
        <f t="shared" si="20"/>
        <v>6</v>
      </c>
      <c r="W287" t="str">
        <f t="shared" si="21"/>
        <v>South Carolina (Central)</v>
      </c>
      <c r="Z287" t="str">
        <f t="shared" si="22"/>
        <v>South Carolina</v>
      </c>
      <c r="AA287" t="str">
        <f t="shared" si="23"/>
        <v>South Carolina_6</v>
      </c>
      <c r="AI287">
        <v>6</v>
      </c>
      <c r="AJ287">
        <v>865.09340754355696</v>
      </c>
      <c r="AK287" t="s">
        <v>3718</v>
      </c>
      <c r="AL287" t="str">
        <f t="shared" si="24"/>
        <v>South Carolina_6</v>
      </c>
    </row>
    <row r="288" spans="2:38" x14ac:dyDescent="0.3">
      <c r="B288" s="90" t="s">
        <v>4087</v>
      </c>
      <c r="C288" s="90">
        <v>7.74</v>
      </c>
      <c r="D288" s="90">
        <v>48.97</v>
      </c>
      <c r="E288" s="755">
        <v>22.363681818000003</v>
      </c>
      <c r="F288" s="90">
        <v>135.91</v>
      </c>
      <c r="G288" s="90">
        <v>7</v>
      </c>
      <c r="H288" s="90" t="s">
        <v>4532</v>
      </c>
      <c r="I288" s="90">
        <v>61.81</v>
      </c>
      <c r="J288" s="2239" t="s">
        <v>4176</v>
      </c>
      <c r="L288">
        <v>10</v>
      </c>
      <c r="M288">
        <v>40</v>
      </c>
      <c r="T288">
        <v>6</v>
      </c>
      <c r="V288">
        <f t="shared" si="20"/>
        <v>7</v>
      </c>
      <c r="W288" t="str">
        <f t="shared" si="21"/>
        <v>South Carolina (Southern)</v>
      </c>
      <c r="Z288" t="str">
        <f t="shared" si="22"/>
        <v>South Carolina</v>
      </c>
      <c r="AA288" t="str">
        <f t="shared" si="23"/>
        <v>South Carolina_7</v>
      </c>
      <c r="AI288">
        <v>7</v>
      </c>
      <c r="AJ288">
        <v>1049.3617359495649</v>
      </c>
      <c r="AK288" t="s">
        <v>3718</v>
      </c>
      <c r="AL288" t="str">
        <f t="shared" si="24"/>
        <v>South Carolina_7</v>
      </c>
    </row>
    <row r="289" spans="2:38" x14ac:dyDescent="0.3">
      <c r="B289" s="90" t="s">
        <v>4088</v>
      </c>
      <c r="C289" s="90">
        <v>3.24</v>
      </c>
      <c r="D289" s="90">
        <v>17.13</v>
      </c>
      <c r="E289" s="755">
        <v>7.5998178284959996</v>
      </c>
      <c r="F289" s="90">
        <v>38.119999999999997</v>
      </c>
      <c r="G289" s="90">
        <v>1</v>
      </c>
      <c r="H289" s="90" t="s">
        <v>4533</v>
      </c>
      <c r="I289" s="90">
        <v>46.25</v>
      </c>
      <c r="J289" s="2242" t="s">
        <v>4169</v>
      </c>
      <c r="L289">
        <v>5</v>
      </c>
      <c r="M289">
        <v>55</v>
      </c>
      <c r="T289">
        <v>3.5</v>
      </c>
      <c r="V289">
        <f t="shared" si="20"/>
        <v>1</v>
      </c>
      <c r="W289" t="str">
        <f t="shared" si="21"/>
        <v>South Dakota (Northwest)</v>
      </c>
      <c r="Z289" t="str">
        <f t="shared" si="22"/>
        <v>South Dakota</v>
      </c>
      <c r="AA289" t="str">
        <f t="shared" si="23"/>
        <v>South Dakota_1</v>
      </c>
      <c r="AI289">
        <v>1</v>
      </c>
      <c r="AJ289">
        <v>372.79993335045049</v>
      </c>
      <c r="AK289" t="s">
        <v>3719</v>
      </c>
      <c r="AL289" t="str">
        <f t="shared" si="24"/>
        <v>South Dakota_1</v>
      </c>
    </row>
    <row r="290" spans="2:38" x14ac:dyDescent="0.3">
      <c r="B290" s="90" t="s">
        <v>4089</v>
      </c>
      <c r="C290" s="90">
        <v>3.69</v>
      </c>
      <c r="D290" s="90">
        <v>19.420000000000002</v>
      </c>
      <c r="E290" s="755">
        <v>8.2001958004639999</v>
      </c>
      <c r="F290" s="90">
        <v>36.590000000000003</v>
      </c>
      <c r="G290" s="90">
        <v>2</v>
      </c>
      <c r="H290" s="90" t="s">
        <v>4534</v>
      </c>
      <c r="I290" s="90">
        <v>45.87</v>
      </c>
      <c r="J290" s="2242" t="s">
        <v>4169</v>
      </c>
      <c r="L290">
        <v>5</v>
      </c>
      <c r="M290">
        <v>55</v>
      </c>
      <c r="T290">
        <v>3.5</v>
      </c>
      <c r="V290">
        <f t="shared" si="20"/>
        <v>2</v>
      </c>
      <c r="W290" t="str">
        <f t="shared" si="21"/>
        <v>South Dakota (North Central)</v>
      </c>
      <c r="Z290" t="str">
        <f t="shared" si="22"/>
        <v>South Dakota</v>
      </c>
      <c r="AA290" t="str">
        <f t="shared" si="23"/>
        <v>South Dakota_2</v>
      </c>
      <c r="AI290">
        <v>2</v>
      </c>
      <c r="AJ290">
        <v>462.28835175756558</v>
      </c>
      <c r="AK290" t="s">
        <v>3719</v>
      </c>
      <c r="AL290" t="str">
        <f t="shared" si="24"/>
        <v>South Dakota_2</v>
      </c>
    </row>
    <row r="291" spans="2:38" x14ac:dyDescent="0.3">
      <c r="B291" s="90" t="s">
        <v>4090</v>
      </c>
      <c r="C291" s="90">
        <v>4.46</v>
      </c>
      <c r="D291" s="90">
        <v>23.18</v>
      </c>
      <c r="E291" s="755">
        <v>9.7710541184480011</v>
      </c>
      <c r="F291" s="90">
        <v>32.61</v>
      </c>
      <c r="G291" s="90">
        <v>3</v>
      </c>
      <c r="H291" s="90" t="s">
        <v>4535</v>
      </c>
      <c r="I291" s="90">
        <v>44.26</v>
      </c>
      <c r="J291" s="2242" t="s">
        <v>4169</v>
      </c>
      <c r="L291">
        <v>5</v>
      </c>
      <c r="M291">
        <v>55</v>
      </c>
      <c r="T291">
        <v>3.5</v>
      </c>
      <c r="V291">
        <f t="shared" si="20"/>
        <v>3</v>
      </c>
      <c r="W291" t="str">
        <f t="shared" si="21"/>
        <v>South Dakota (Northeast)</v>
      </c>
      <c r="Z291" t="str">
        <f t="shared" si="22"/>
        <v>South Dakota</v>
      </c>
      <c r="AA291" t="str">
        <f t="shared" si="23"/>
        <v>South Dakota_3</v>
      </c>
      <c r="AI291">
        <v>3</v>
      </c>
      <c r="AJ291">
        <v>530.54767487260074</v>
      </c>
      <c r="AK291" t="s">
        <v>3719</v>
      </c>
      <c r="AL291" t="str">
        <f t="shared" si="24"/>
        <v>South Dakota_3</v>
      </c>
    </row>
    <row r="292" spans="2:38" x14ac:dyDescent="0.3">
      <c r="B292" s="90" t="s">
        <v>4091</v>
      </c>
      <c r="C292" s="90">
        <v>3.64</v>
      </c>
      <c r="D292" s="90">
        <v>21.43</v>
      </c>
      <c r="E292" s="755">
        <v>9.2970186702079989</v>
      </c>
      <c r="F292" s="90">
        <v>24.09</v>
      </c>
      <c r="G292" s="90">
        <v>4</v>
      </c>
      <c r="H292" s="90" t="s">
        <v>4536</v>
      </c>
      <c r="I292" s="90">
        <v>29.05</v>
      </c>
      <c r="J292" s="2242" t="s">
        <v>4169</v>
      </c>
      <c r="L292">
        <v>5</v>
      </c>
      <c r="M292">
        <v>55</v>
      </c>
      <c r="T292">
        <v>3.5</v>
      </c>
      <c r="V292">
        <f t="shared" si="20"/>
        <v>4</v>
      </c>
      <c r="W292" t="str">
        <f t="shared" si="21"/>
        <v>South Dakota (Black Hills)</v>
      </c>
      <c r="Z292" t="str">
        <f t="shared" si="22"/>
        <v>South Dakota</v>
      </c>
      <c r="AA292" t="str">
        <f t="shared" si="23"/>
        <v>South Dakota_4</v>
      </c>
      <c r="AI292">
        <v>4</v>
      </c>
      <c r="AJ292">
        <v>579.95998550243462</v>
      </c>
      <c r="AK292" t="s">
        <v>3719</v>
      </c>
      <c r="AL292" t="str">
        <f t="shared" si="24"/>
        <v>South Dakota_4</v>
      </c>
    </row>
    <row r="293" spans="2:38" x14ac:dyDescent="0.3">
      <c r="B293" s="90" t="s">
        <v>4092</v>
      </c>
      <c r="C293" s="90">
        <v>3.64</v>
      </c>
      <c r="D293" s="90">
        <v>18.72</v>
      </c>
      <c r="E293" s="755">
        <v>8.2105396328159994</v>
      </c>
      <c r="F293" s="90">
        <v>47.88</v>
      </c>
      <c r="G293" s="90">
        <v>5</v>
      </c>
      <c r="H293" s="90" t="s">
        <v>4537</v>
      </c>
      <c r="I293" s="90">
        <v>47.58</v>
      </c>
      <c r="J293" s="2242" t="s">
        <v>4169</v>
      </c>
      <c r="L293">
        <v>5</v>
      </c>
      <c r="M293">
        <v>55</v>
      </c>
      <c r="T293">
        <v>3.5</v>
      </c>
      <c r="V293">
        <f t="shared" si="20"/>
        <v>5</v>
      </c>
      <c r="W293" t="str">
        <f t="shared" si="21"/>
        <v>South Dakota (Southwest)</v>
      </c>
      <c r="Z293" t="str">
        <f t="shared" si="22"/>
        <v>South Dakota</v>
      </c>
      <c r="AA293" t="str">
        <f t="shared" si="23"/>
        <v>South Dakota_5</v>
      </c>
      <c r="AI293">
        <v>5</v>
      </c>
      <c r="AJ293">
        <v>400.18248605601588</v>
      </c>
      <c r="AK293" t="s">
        <v>3719</v>
      </c>
      <c r="AL293" t="str">
        <f t="shared" si="24"/>
        <v>South Dakota_5</v>
      </c>
    </row>
    <row r="294" spans="2:38" x14ac:dyDescent="0.3">
      <c r="B294" s="90" t="s">
        <v>4093</v>
      </c>
      <c r="C294" s="90">
        <v>3.69</v>
      </c>
      <c r="D294" s="90">
        <v>20.09</v>
      </c>
      <c r="E294" s="755">
        <v>8.7971826962080009</v>
      </c>
      <c r="F294" s="90">
        <v>47.57</v>
      </c>
      <c r="G294" s="90">
        <v>6</v>
      </c>
      <c r="H294" s="90" t="s">
        <v>4538</v>
      </c>
      <c r="I294" s="90">
        <v>51.62</v>
      </c>
      <c r="J294" s="2242" t="s">
        <v>4169</v>
      </c>
      <c r="L294">
        <v>5</v>
      </c>
      <c r="M294">
        <v>55</v>
      </c>
      <c r="T294">
        <v>3.5</v>
      </c>
      <c r="V294">
        <f t="shared" si="20"/>
        <v>6</v>
      </c>
      <c r="W294" t="str">
        <f t="shared" si="21"/>
        <v>South Dakota (Central)</v>
      </c>
      <c r="Z294" t="str">
        <f t="shared" si="22"/>
        <v>South Dakota</v>
      </c>
      <c r="AA294" t="str">
        <f t="shared" si="23"/>
        <v>South Dakota_6</v>
      </c>
      <c r="AI294">
        <v>6</v>
      </c>
      <c r="AJ294">
        <v>484.93102155206321</v>
      </c>
      <c r="AK294" t="s">
        <v>3719</v>
      </c>
      <c r="AL294" t="str">
        <f t="shared" si="24"/>
        <v>South Dakota_6</v>
      </c>
    </row>
    <row r="295" spans="2:38" x14ac:dyDescent="0.3">
      <c r="B295" s="90" t="s">
        <v>4094</v>
      </c>
      <c r="C295" s="90">
        <v>3.69</v>
      </c>
      <c r="D295" s="90">
        <v>24.58</v>
      </c>
      <c r="E295" s="755">
        <v>10.303720802159999</v>
      </c>
      <c r="F295" s="90">
        <v>37.179999999999993</v>
      </c>
      <c r="G295" s="90">
        <v>7</v>
      </c>
      <c r="H295" s="90" t="s">
        <v>4539</v>
      </c>
      <c r="I295" s="90">
        <v>42.03</v>
      </c>
      <c r="J295" s="2242" t="s">
        <v>4169</v>
      </c>
      <c r="L295">
        <v>5</v>
      </c>
      <c r="M295">
        <v>55</v>
      </c>
      <c r="T295">
        <v>3.5</v>
      </c>
      <c r="V295">
        <f t="shared" si="20"/>
        <v>7</v>
      </c>
      <c r="W295" t="str">
        <f t="shared" si="21"/>
        <v>South Dakota (East Central)</v>
      </c>
      <c r="Z295" t="str">
        <f t="shared" si="22"/>
        <v>South Dakota</v>
      </c>
      <c r="AA295" t="str">
        <f t="shared" si="23"/>
        <v>South Dakota_7</v>
      </c>
      <c r="AI295">
        <v>7</v>
      </c>
      <c r="AJ295">
        <v>531.58345332773138</v>
      </c>
      <c r="AK295" t="s">
        <v>3719</v>
      </c>
      <c r="AL295" t="str">
        <f t="shared" si="24"/>
        <v>South Dakota_7</v>
      </c>
    </row>
    <row r="296" spans="2:38" x14ac:dyDescent="0.3">
      <c r="B296" s="90" t="s">
        <v>4095</v>
      </c>
      <c r="C296" s="90">
        <v>3.69</v>
      </c>
      <c r="D296" s="90">
        <v>21.98</v>
      </c>
      <c r="E296" s="755">
        <v>9.8338887661280001</v>
      </c>
      <c r="F296" s="90">
        <v>50.010000000000012</v>
      </c>
      <c r="G296" s="90">
        <v>8</v>
      </c>
      <c r="H296" s="90" t="s">
        <v>4540</v>
      </c>
      <c r="I296" s="90">
        <v>57.14</v>
      </c>
      <c r="J296" s="2242" t="s">
        <v>4169</v>
      </c>
      <c r="L296">
        <v>5.5</v>
      </c>
      <c r="M296">
        <v>52.5</v>
      </c>
      <c r="T296">
        <v>3.75</v>
      </c>
      <c r="V296">
        <f t="shared" si="20"/>
        <v>8</v>
      </c>
      <c r="W296" t="str">
        <f t="shared" si="21"/>
        <v>South Dakota (South Central)</v>
      </c>
      <c r="Z296" t="str">
        <f t="shared" si="22"/>
        <v>South Dakota</v>
      </c>
      <c r="AA296" t="str">
        <f t="shared" si="23"/>
        <v>South Dakota_8</v>
      </c>
      <c r="AI296">
        <v>8</v>
      </c>
      <c r="AJ296">
        <v>495.46281955560488</v>
      </c>
      <c r="AK296" t="s">
        <v>3719</v>
      </c>
      <c r="AL296" t="str">
        <f t="shared" si="24"/>
        <v>South Dakota_8</v>
      </c>
    </row>
    <row r="297" spans="2:38" x14ac:dyDescent="0.3">
      <c r="B297" s="90" t="s">
        <v>4096</v>
      </c>
      <c r="C297" s="90">
        <v>4.66</v>
      </c>
      <c r="D297" s="90">
        <v>26.24</v>
      </c>
      <c r="E297" s="755">
        <v>11.249852066031998</v>
      </c>
      <c r="F297" s="90">
        <v>48.15</v>
      </c>
      <c r="G297" s="90">
        <v>9</v>
      </c>
      <c r="H297" s="90" t="s">
        <v>4541</v>
      </c>
      <c r="I297" s="90">
        <v>40.64</v>
      </c>
      <c r="J297" s="2242" t="s">
        <v>4169</v>
      </c>
      <c r="L297">
        <v>5.5</v>
      </c>
      <c r="M297">
        <v>52.5</v>
      </c>
      <c r="T297">
        <v>3.75</v>
      </c>
      <c r="V297">
        <f t="shared" si="20"/>
        <v>9</v>
      </c>
      <c r="W297" t="str">
        <f t="shared" si="21"/>
        <v>South Dakota (Southeast)</v>
      </c>
      <c r="Z297" t="str">
        <f t="shared" si="22"/>
        <v>South Dakota</v>
      </c>
      <c r="AA297" t="str">
        <f t="shared" si="23"/>
        <v>South Dakota_9</v>
      </c>
      <c r="AI297">
        <v>9</v>
      </c>
      <c r="AJ297">
        <v>574.76714389413416</v>
      </c>
      <c r="AK297" t="s">
        <v>3719</v>
      </c>
      <c r="AL297" t="str">
        <f t="shared" si="24"/>
        <v>South Dakota_9</v>
      </c>
    </row>
    <row r="298" spans="2:38" x14ac:dyDescent="0.3">
      <c r="B298" s="90" t="s">
        <v>4097</v>
      </c>
      <c r="C298" s="90">
        <v>5.75</v>
      </c>
      <c r="D298" s="90">
        <v>53.44</v>
      </c>
      <c r="E298" s="755">
        <v>19.998158120256001</v>
      </c>
      <c r="F298" s="90">
        <v>75.660000000000011</v>
      </c>
      <c r="G298" s="90">
        <v>1</v>
      </c>
      <c r="H298" s="90" t="s">
        <v>4542</v>
      </c>
      <c r="I298" s="90">
        <v>41.7</v>
      </c>
      <c r="J298" s="2238" t="s">
        <v>4172</v>
      </c>
      <c r="L298">
        <v>9</v>
      </c>
      <c r="M298">
        <v>42</v>
      </c>
      <c r="T298">
        <v>5.5</v>
      </c>
      <c r="V298">
        <f t="shared" si="20"/>
        <v>1</v>
      </c>
      <c r="W298" t="str">
        <f t="shared" si="21"/>
        <v>Tennessee (Eastern)</v>
      </c>
      <c r="Z298" t="str">
        <f t="shared" si="22"/>
        <v>Tennessee</v>
      </c>
      <c r="AA298" t="str">
        <f t="shared" si="23"/>
        <v>Tennessee_1</v>
      </c>
      <c r="AI298">
        <v>1</v>
      </c>
      <c r="AJ298">
        <v>751.6943684269562</v>
      </c>
      <c r="AK298" t="s">
        <v>3720</v>
      </c>
      <c r="AL298" t="str">
        <f t="shared" si="24"/>
        <v>Tennessee_1</v>
      </c>
    </row>
    <row r="299" spans="2:38" x14ac:dyDescent="0.3">
      <c r="B299" s="90" t="s">
        <v>4098</v>
      </c>
      <c r="C299" s="90">
        <v>4.08</v>
      </c>
      <c r="D299" s="90">
        <v>58.830000000000013</v>
      </c>
      <c r="E299" s="755">
        <v>20.568019030880006</v>
      </c>
      <c r="F299" s="90">
        <v>70.77</v>
      </c>
      <c r="G299" s="90">
        <v>2</v>
      </c>
      <c r="H299" s="90" t="s">
        <v>4543</v>
      </c>
      <c r="I299" s="90">
        <v>36.590000000000003</v>
      </c>
      <c r="J299" s="2238" t="s">
        <v>4172</v>
      </c>
      <c r="L299">
        <v>9</v>
      </c>
      <c r="M299">
        <v>42</v>
      </c>
      <c r="T299">
        <v>5.5</v>
      </c>
      <c r="V299">
        <f t="shared" si="20"/>
        <v>2</v>
      </c>
      <c r="W299" t="str">
        <f t="shared" si="21"/>
        <v>Tennessee (Cumberland Plateau)</v>
      </c>
      <c r="Z299" t="str">
        <f t="shared" si="22"/>
        <v>Tennessee</v>
      </c>
      <c r="AA299" t="str">
        <f t="shared" si="23"/>
        <v>Tennessee_2</v>
      </c>
      <c r="AI299">
        <v>2</v>
      </c>
      <c r="AJ299">
        <v>768.56219344377871</v>
      </c>
      <c r="AK299" t="s">
        <v>3720</v>
      </c>
      <c r="AL299" t="str">
        <f t="shared" si="24"/>
        <v>Tennessee_2</v>
      </c>
    </row>
    <row r="300" spans="2:38" x14ac:dyDescent="0.3">
      <c r="B300" s="90" t="s">
        <v>4099</v>
      </c>
      <c r="C300" s="90">
        <v>6.11</v>
      </c>
      <c r="D300" s="90">
        <v>54.990000000000009</v>
      </c>
      <c r="E300" s="755">
        <v>20.765542659247998</v>
      </c>
      <c r="F300" s="90">
        <v>88.52000000000001</v>
      </c>
      <c r="G300" s="90">
        <v>3</v>
      </c>
      <c r="H300" s="90" t="s">
        <v>4544</v>
      </c>
      <c r="I300" s="90">
        <v>46.98</v>
      </c>
      <c r="J300" s="2238" t="s">
        <v>4172</v>
      </c>
      <c r="L300">
        <v>9</v>
      </c>
      <c r="M300">
        <v>42</v>
      </c>
      <c r="T300">
        <v>5.5</v>
      </c>
      <c r="V300">
        <f t="shared" si="20"/>
        <v>3</v>
      </c>
      <c r="W300" t="str">
        <f t="shared" si="21"/>
        <v>Tennessee (Middle)</v>
      </c>
      <c r="Z300" t="str">
        <f t="shared" si="22"/>
        <v>Tennessee</v>
      </c>
      <c r="AA300" t="str">
        <f t="shared" si="23"/>
        <v>Tennessee_3</v>
      </c>
      <c r="AI300">
        <v>3</v>
      </c>
      <c r="AJ300">
        <v>807.88517001059256</v>
      </c>
      <c r="AK300" t="s">
        <v>3720</v>
      </c>
      <c r="AL300" t="str">
        <f t="shared" si="24"/>
        <v>Tennessee_3</v>
      </c>
    </row>
    <row r="301" spans="2:38" x14ac:dyDescent="0.3">
      <c r="B301" s="90" t="s">
        <v>4100</v>
      </c>
      <c r="C301" s="90">
        <v>6.58</v>
      </c>
      <c r="D301" s="90">
        <v>54.52</v>
      </c>
      <c r="E301" s="755">
        <v>21.212798579071997</v>
      </c>
      <c r="F301" s="90">
        <v>101.99</v>
      </c>
      <c r="G301" s="90">
        <v>4</v>
      </c>
      <c r="H301" s="90" t="s">
        <v>4545</v>
      </c>
      <c r="I301" s="90">
        <v>31</v>
      </c>
      <c r="J301" s="2238" t="s">
        <v>4172</v>
      </c>
      <c r="L301">
        <v>9</v>
      </c>
      <c r="M301">
        <v>42</v>
      </c>
      <c r="T301">
        <v>5.5</v>
      </c>
      <c r="V301">
        <f t="shared" si="20"/>
        <v>4</v>
      </c>
      <c r="W301" t="str">
        <f t="shared" si="21"/>
        <v>Tennessee (Western)</v>
      </c>
      <c r="Z301" t="str">
        <f t="shared" si="22"/>
        <v>Tennessee</v>
      </c>
      <c r="AA301" t="str">
        <f t="shared" si="23"/>
        <v>Tennessee_4</v>
      </c>
      <c r="AI301">
        <v>4</v>
      </c>
      <c r="AJ301">
        <v>760.18124417530419</v>
      </c>
      <c r="AK301" t="s">
        <v>3720</v>
      </c>
      <c r="AL301" t="str">
        <f t="shared" si="24"/>
        <v>Tennessee_4</v>
      </c>
    </row>
    <row r="302" spans="2:38" x14ac:dyDescent="0.3">
      <c r="B302" s="90" t="s">
        <v>4101</v>
      </c>
      <c r="C302" s="90">
        <v>5.23</v>
      </c>
      <c r="D302" s="90">
        <v>18.55</v>
      </c>
      <c r="E302" s="755">
        <v>9.3358664404800003</v>
      </c>
      <c r="F302" s="90">
        <v>98.29</v>
      </c>
      <c r="G302" s="90">
        <v>1</v>
      </c>
      <c r="H302" s="90" t="s">
        <v>4546</v>
      </c>
      <c r="I302" s="90">
        <v>73.540000000000006</v>
      </c>
      <c r="J302" s="2241" t="s">
        <v>4173</v>
      </c>
      <c r="L302">
        <v>9</v>
      </c>
      <c r="M302">
        <v>42</v>
      </c>
      <c r="T302">
        <v>5.5</v>
      </c>
      <c r="V302">
        <f t="shared" si="20"/>
        <v>1</v>
      </c>
      <c r="W302" t="str">
        <f t="shared" si="21"/>
        <v>Texas (High Plains)</v>
      </c>
      <c r="Z302" t="str">
        <f t="shared" si="22"/>
        <v>Texas</v>
      </c>
      <c r="AA302" t="str">
        <f t="shared" si="23"/>
        <v>Texas_1</v>
      </c>
      <c r="AI302">
        <v>1</v>
      </c>
      <c r="AJ302">
        <v>590.53827672763668</v>
      </c>
      <c r="AK302" t="s">
        <v>3721</v>
      </c>
      <c r="AL302" t="str">
        <f t="shared" si="24"/>
        <v>Texas_1</v>
      </c>
    </row>
    <row r="303" spans="2:38" x14ac:dyDescent="0.3">
      <c r="B303" s="90" t="s">
        <v>4102</v>
      </c>
      <c r="C303" s="90">
        <v>5.23</v>
      </c>
      <c r="D303" s="90">
        <v>23.96</v>
      </c>
      <c r="E303" s="755">
        <v>12.296752361999998</v>
      </c>
      <c r="F303" s="90">
        <v>127.97</v>
      </c>
      <c r="G303" s="90">
        <v>2</v>
      </c>
      <c r="H303" s="90" t="s">
        <v>4547</v>
      </c>
      <c r="I303" s="90">
        <v>100.73</v>
      </c>
      <c r="J303" s="2241" t="s">
        <v>4173</v>
      </c>
      <c r="L303">
        <v>9.5</v>
      </c>
      <c r="M303">
        <v>41</v>
      </c>
      <c r="T303">
        <v>5.75</v>
      </c>
      <c r="V303">
        <f t="shared" si="20"/>
        <v>2</v>
      </c>
      <c r="W303" t="str">
        <f t="shared" si="21"/>
        <v>Texas (Low Rolling Plains)</v>
      </c>
      <c r="Z303" t="str">
        <f t="shared" si="22"/>
        <v>Texas</v>
      </c>
      <c r="AA303" t="str">
        <f t="shared" si="23"/>
        <v>Texas_2</v>
      </c>
      <c r="AI303">
        <v>2</v>
      </c>
      <c r="AJ303">
        <v>703.5351618156518</v>
      </c>
      <c r="AK303" t="s">
        <v>3721</v>
      </c>
      <c r="AL303" t="str">
        <f t="shared" si="24"/>
        <v>Texas_2</v>
      </c>
    </row>
    <row r="304" spans="2:38" x14ac:dyDescent="0.3">
      <c r="B304" s="90" t="s">
        <v>4103</v>
      </c>
      <c r="C304" s="90">
        <v>6.65</v>
      </c>
      <c r="D304" s="90">
        <v>35.93</v>
      </c>
      <c r="E304" s="755">
        <v>17.745744662352003</v>
      </c>
      <c r="F304" s="90">
        <v>140.51</v>
      </c>
      <c r="G304" s="90">
        <v>3</v>
      </c>
      <c r="H304" s="90" t="s">
        <v>4548</v>
      </c>
      <c r="I304" s="90">
        <v>86.73</v>
      </c>
      <c r="J304" s="2241" t="s">
        <v>4173</v>
      </c>
      <c r="L304">
        <v>10</v>
      </c>
      <c r="M304">
        <v>40</v>
      </c>
      <c r="T304">
        <v>6</v>
      </c>
      <c r="V304">
        <f t="shared" si="20"/>
        <v>3</v>
      </c>
      <c r="W304" t="str">
        <f t="shared" si="21"/>
        <v>Texas (North Central)</v>
      </c>
      <c r="Z304" t="str">
        <f t="shared" si="22"/>
        <v>Texas</v>
      </c>
      <c r="AA304" t="str">
        <f t="shared" si="23"/>
        <v>Texas_3</v>
      </c>
      <c r="AI304">
        <v>3</v>
      </c>
      <c r="AJ304">
        <v>750.62755127416619</v>
      </c>
      <c r="AK304" t="s">
        <v>3721</v>
      </c>
      <c r="AL304" t="str">
        <f t="shared" si="24"/>
        <v>Texas_3</v>
      </c>
    </row>
    <row r="305" spans="2:38" x14ac:dyDescent="0.3">
      <c r="B305" s="90" t="s">
        <v>4104</v>
      </c>
      <c r="C305" s="90">
        <v>7.66</v>
      </c>
      <c r="D305" s="90">
        <v>49.41</v>
      </c>
      <c r="E305" s="755">
        <v>21.711264474288001</v>
      </c>
      <c r="F305" s="90">
        <v>144.47</v>
      </c>
      <c r="G305" s="90">
        <v>4</v>
      </c>
      <c r="H305" s="90" t="s">
        <v>4549</v>
      </c>
      <c r="I305" s="90">
        <v>68</v>
      </c>
      <c r="J305" s="2239" t="s">
        <v>4176</v>
      </c>
      <c r="L305">
        <v>10.5</v>
      </c>
      <c r="M305">
        <v>39</v>
      </c>
      <c r="T305">
        <v>6.25</v>
      </c>
      <c r="V305">
        <f t="shared" si="20"/>
        <v>4</v>
      </c>
      <c r="W305" t="str">
        <f t="shared" si="21"/>
        <v>Texas (East Texas)</v>
      </c>
      <c r="Z305" t="str">
        <f t="shared" si="22"/>
        <v>Texas</v>
      </c>
      <c r="AA305" t="str">
        <f t="shared" si="23"/>
        <v>Texas_4</v>
      </c>
      <c r="AI305">
        <v>4</v>
      </c>
      <c r="AJ305">
        <v>1016.975685728063</v>
      </c>
      <c r="AK305" t="s">
        <v>3721</v>
      </c>
      <c r="AL305" t="str">
        <f t="shared" si="24"/>
        <v>Texas_4</v>
      </c>
    </row>
    <row r="306" spans="2:38" x14ac:dyDescent="0.3">
      <c r="B306" s="90" t="s">
        <v>4105</v>
      </c>
      <c r="C306" s="90">
        <v>5.36</v>
      </c>
      <c r="D306" s="90">
        <v>12.41</v>
      </c>
      <c r="E306" s="755">
        <v>6.4127351133440014</v>
      </c>
      <c r="F306" s="90">
        <v>130.66999999999999</v>
      </c>
      <c r="G306" s="90">
        <v>5</v>
      </c>
      <c r="H306" s="90" t="s">
        <v>4550</v>
      </c>
      <c r="I306" s="90">
        <v>108.03</v>
      </c>
      <c r="J306" s="2241" t="s">
        <v>4173</v>
      </c>
      <c r="L306">
        <v>11</v>
      </c>
      <c r="M306">
        <v>38</v>
      </c>
      <c r="T306">
        <v>6.5</v>
      </c>
      <c r="V306">
        <f t="shared" si="20"/>
        <v>5</v>
      </c>
      <c r="W306" t="str">
        <f t="shared" si="21"/>
        <v>Texas (Trans Pecos)</v>
      </c>
      <c r="Z306" t="str">
        <f t="shared" si="22"/>
        <v>Texas</v>
      </c>
      <c r="AA306" t="str">
        <f t="shared" si="23"/>
        <v>Texas_5</v>
      </c>
      <c r="AI306">
        <v>5</v>
      </c>
      <c r="AJ306">
        <v>370.80165734817388</v>
      </c>
      <c r="AK306" t="s">
        <v>3721</v>
      </c>
      <c r="AL306" t="str">
        <f t="shared" si="24"/>
        <v>Texas_5</v>
      </c>
    </row>
    <row r="307" spans="2:38" x14ac:dyDescent="0.3">
      <c r="B307" s="90" t="s">
        <v>4106</v>
      </c>
      <c r="C307" s="90">
        <v>5.36</v>
      </c>
      <c r="D307" s="90">
        <v>23.99</v>
      </c>
      <c r="E307" s="755">
        <v>12.840545030319998</v>
      </c>
      <c r="F307" s="90">
        <v>143.22999999999999</v>
      </c>
      <c r="G307" s="90">
        <v>6</v>
      </c>
      <c r="H307" s="90" t="s">
        <v>4551</v>
      </c>
      <c r="I307" s="90">
        <v>71.400000000000006</v>
      </c>
      <c r="J307" s="2240" t="s">
        <v>4177</v>
      </c>
      <c r="L307">
        <v>11</v>
      </c>
      <c r="M307">
        <v>38</v>
      </c>
      <c r="T307">
        <v>6.5</v>
      </c>
      <c r="V307">
        <f t="shared" si="20"/>
        <v>6</v>
      </c>
      <c r="W307" t="str">
        <f t="shared" si="21"/>
        <v>Texas (Edwards Plateau)</v>
      </c>
      <c r="Z307" t="str">
        <f t="shared" si="22"/>
        <v>Texas</v>
      </c>
      <c r="AA307" t="str">
        <f t="shared" si="23"/>
        <v>Texas_6</v>
      </c>
      <c r="AI307">
        <v>6</v>
      </c>
      <c r="AJ307">
        <v>681.95205563805462</v>
      </c>
      <c r="AK307" t="s">
        <v>3721</v>
      </c>
      <c r="AL307" t="str">
        <f t="shared" si="24"/>
        <v>Texas_6</v>
      </c>
    </row>
    <row r="308" spans="2:38" x14ac:dyDescent="0.3">
      <c r="B308" s="90" t="s">
        <v>4107</v>
      </c>
      <c r="C308" s="90">
        <v>6.65</v>
      </c>
      <c r="D308" s="90">
        <v>35.179999999999993</v>
      </c>
      <c r="E308" s="755">
        <v>18.377874603840002</v>
      </c>
      <c r="F308" s="90">
        <v>171.31</v>
      </c>
      <c r="G308" s="90">
        <v>7</v>
      </c>
      <c r="H308" s="90" t="s">
        <v>4552</v>
      </c>
      <c r="I308" s="90">
        <v>68.790000000000006</v>
      </c>
      <c r="J308" s="2240" t="s">
        <v>4177</v>
      </c>
      <c r="L308">
        <v>11.5</v>
      </c>
      <c r="M308">
        <v>36.5</v>
      </c>
      <c r="T308">
        <v>6.75</v>
      </c>
      <c r="V308">
        <f t="shared" si="20"/>
        <v>7</v>
      </c>
      <c r="W308" t="str">
        <f t="shared" si="21"/>
        <v>Texas (South Central)</v>
      </c>
      <c r="Z308" t="str">
        <f t="shared" si="22"/>
        <v>Texas</v>
      </c>
      <c r="AA308" t="str">
        <f t="shared" si="23"/>
        <v>Texas_7</v>
      </c>
      <c r="AI308">
        <v>7</v>
      </c>
      <c r="AJ308">
        <v>825.79869879367641</v>
      </c>
      <c r="AK308" t="s">
        <v>3721</v>
      </c>
      <c r="AL308" t="str">
        <f t="shared" si="24"/>
        <v>Texas_7</v>
      </c>
    </row>
    <row r="309" spans="2:38" x14ac:dyDescent="0.3">
      <c r="B309" s="90" t="s">
        <v>4108</v>
      </c>
      <c r="C309" s="90">
        <v>10.199999999999999</v>
      </c>
      <c r="D309" s="90">
        <v>50.32</v>
      </c>
      <c r="E309" s="755">
        <v>24.580385301008</v>
      </c>
      <c r="F309" s="90">
        <v>171.29</v>
      </c>
      <c r="G309" s="90">
        <v>8</v>
      </c>
      <c r="H309" s="90" t="s">
        <v>4553</v>
      </c>
      <c r="I309" s="90">
        <v>79.75</v>
      </c>
      <c r="J309" s="2239" t="s">
        <v>4176</v>
      </c>
      <c r="L309">
        <v>11.5</v>
      </c>
      <c r="M309">
        <v>36.5</v>
      </c>
      <c r="T309">
        <v>6.75</v>
      </c>
      <c r="V309">
        <f t="shared" si="20"/>
        <v>8</v>
      </c>
      <c r="W309" t="str">
        <f t="shared" si="21"/>
        <v>Texas (Upper Coast)</v>
      </c>
      <c r="Z309" t="str">
        <f t="shared" si="22"/>
        <v>Texas</v>
      </c>
      <c r="AA309" t="str">
        <f t="shared" si="23"/>
        <v>Texas_8</v>
      </c>
      <c r="AI309">
        <v>8</v>
      </c>
      <c r="AJ309">
        <v>921.34100530467992</v>
      </c>
      <c r="AK309" t="s">
        <v>3721</v>
      </c>
      <c r="AL309" t="str">
        <f t="shared" si="24"/>
        <v>Texas_8</v>
      </c>
    </row>
    <row r="310" spans="2:38" x14ac:dyDescent="0.3">
      <c r="B310" s="90" t="s">
        <v>4109</v>
      </c>
      <c r="C310" s="90">
        <v>10.199999999999999</v>
      </c>
      <c r="D310" s="90">
        <v>23.16</v>
      </c>
      <c r="E310" s="755">
        <v>13.552518806383999</v>
      </c>
      <c r="F310" s="90">
        <v>195.67</v>
      </c>
      <c r="G310" s="90">
        <v>9</v>
      </c>
      <c r="H310" s="90" t="s">
        <v>4554</v>
      </c>
      <c r="I310" s="90">
        <v>79.72</v>
      </c>
      <c r="J310" s="2240" t="s">
        <v>4177</v>
      </c>
      <c r="L310">
        <v>12</v>
      </c>
      <c r="M310">
        <v>35</v>
      </c>
      <c r="T310">
        <v>7</v>
      </c>
      <c r="V310">
        <f t="shared" si="20"/>
        <v>9</v>
      </c>
      <c r="W310" t="str">
        <f t="shared" si="21"/>
        <v>Texas (South)</v>
      </c>
      <c r="Z310" t="str">
        <f t="shared" si="22"/>
        <v>Texas</v>
      </c>
      <c r="AA310" t="str">
        <f t="shared" si="23"/>
        <v>Texas_9</v>
      </c>
      <c r="AI310">
        <v>9</v>
      </c>
      <c r="AJ310">
        <v>722.11862096485379</v>
      </c>
      <c r="AK310" t="s">
        <v>3721</v>
      </c>
      <c r="AL310" t="str">
        <f t="shared" si="24"/>
        <v>Texas_9</v>
      </c>
    </row>
    <row r="311" spans="2:38" x14ac:dyDescent="0.3">
      <c r="B311" s="90" t="s">
        <v>4110</v>
      </c>
      <c r="C311" s="90">
        <v>10.199999999999999</v>
      </c>
      <c r="D311" s="90">
        <v>24.28</v>
      </c>
      <c r="E311" s="755">
        <v>14.287563449327997</v>
      </c>
      <c r="F311" s="90">
        <v>221.28</v>
      </c>
      <c r="G311" s="90">
        <v>10</v>
      </c>
      <c r="H311" s="90" t="s">
        <v>4555</v>
      </c>
      <c r="I311" s="90">
        <v>82.62</v>
      </c>
      <c r="J311" s="2240" t="s">
        <v>4177</v>
      </c>
      <c r="L311">
        <v>12</v>
      </c>
      <c r="M311">
        <v>35</v>
      </c>
      <c r="T311">
        <v>7</v>
      </c>
      <c r="V311">
        <f t="shared" si="20"/>
        <v>10</v>
      </c>
      <c r="W311" t="str">
        <f t="shared" si="21"/>
        <v>Texas (Lower Valley)</v>
      </c>
      <c r="Z311" t="str">
        <f t="shared" si="22"/>
        <v>Texas</v>
      </c>
      <c r="AA311" t="str">
        <f t="shared" si="23"/>
        <v>Texas_10</v>
      </c>
      <c r="AI311">
        <v>10</v>
      </c>
      <c r="AJ311">
        <v>735.35273822513841</v>
      </c>
      <c r="AK311" t="s">
        <v>3721</v>
      </c>
      <c r="AL311" t="str">
        <f t="shared" si="24"/>
        <v>Texas_10</v>
      </c>
    </row>
    <row r="312" spans="2:38" x14ac:dyDescent="0.3">
      <c r="B312" s="90" t="s">
        <v>4111</v>
      </c>
      <c r="C312" s="90">
        <v>1.62</v>
      </c>
      <c r="D312" s="90">
        <v>10.08</v>
      </c>
      <c r="E312" s="755">
        <v>3.6671510359839989</v>
      </c>
      <c r="F312" s="90">
        <v>55.2</v>
      </c>
      <c r="G312" s="90">
        <v>1</v>
      </c>
      <c r="H312" s="90" t="s">
        <v>4556</v>
      </c>
      <c r="I312" s="90">
        <v>71</v>
      </c>
      <c r="J312" s="2242" t="s">
        <v>4169</v>
      </c>
      <c r="L312">
        <v>7.5</v>
      </c>
      <c r="M312">
        <v>46</v>
      </c>
      <c r="T312">
        <v>5</v>
      </c>
      <c r="V312">
        <f t="shared" si="20"/>
        <v>1</v>
      </c>
      <c r="W312" t="str">
        <f t="shared" si="21"/>
        <v>Utah (Western)</v>
      </c>
      <c r="Z312" t="str">
        <f t="shared" si="22"/>
        <v>Utah</v>
      </c>
      <c r="AA312" t="str">
        <f t="shared" si="23"/>
        <v>Utah_1</v>
      </c>
      <c r="AI312">
        <v>1</v>
      </c>
      <c r="AJ312">
        <v>242.90939648874311</v>
      </c>
      <c r="AK312" t="s">
        <v>3722</v>
      </c>
      <c r="AL312" t="str">
        <f t="shared" si="24"/>
        <v>Utah_1</v>
      </c>
    </row>
    <row r="313" spans="2:38" x14ac:dyDescent="0.3">
      <c r="B313" s="90" t="s">
        <v>4112</v>
      </c>
      <c r="C313" s="90">
        <v>3.03</v>
      </c>
      <c r="D313" s="90">
        <v>13.22</v>
      </c>
      <c r="E313" s="755">
        <v>5.9527875920639994</v>
      </c>
      <c r="F313" s="90">
        <v>98.32</v>
      </c>
      <c r="G313" s="90">
        <v>2</v>
      </c>
      <c r="H313" s="90" t="s">
        <v>4557</v>
      </c>
      <c r="I313" s="90">
        <v>67.87</v>
      </c>
      <c r="J313" s="2241" t="s">
        <v>4173</v>
      </c>
      <c r="L313">
        <v>9</v>
      </c>
      <c r="M313">
        <v>42</v>
      </c>
      <c r="T313">
        <v>5.5</v>
      </c>
      <c r="V313">
        <f t="shared" si="20"/>
        <v>2</v>
      </c>
      <c r="W313" t="str">
        <f t="shared" si="21"/>
        <v>Utah (Dixie)</v>
      </c>
      <c r="Z313" t="str">
        <f t="shared" si="22"/>
        <v>Utah</v>
      </c>
      <c r="AA313" t="str">
        <f t="shared" si="23"/>
        <v>Utah_2</v>
      </c>
      <c r="AI313">
        <v>2</v>
      </c>
      <c r="AJ313">
        <v>373.56744051158898</v>
      </c>
      <c r="AK313" t="s">
        <v>3722</v>
      </c>
      <c r="AL313" t="str">
        <f t="shared" si="24"/>
        <v>Utah_2</v>
      </c>
    </row>
    <row r="314" spans="2:38" x14ac:dyDescent="0.3">
      <c r="B314" s="90" t="s">
        <v>4113</v>
      </c>
      <c r="C314" s="90">
        <v>2.34</v>
      </c>
      <c r="D314" s="90">
        <v>17.09</v>
      </c>
      <c r="E314" s="755">
        <v>7.5090382980320012</v>
      </c>
      <c r="F314" s="90">
        <v>46.68</v>
      </c>
      <c r="G314" s="90">
        <v>3</v>
      </c>
      <c r="H314" s="90" t="s">
        <v>4558</v>
      </c>
      <c r="I314" s="90">
        <v>44</v>
      </c>
      <c r="J314" s="2241" t="s">
        <v>4173</v>
      </c>
      <c r="L314">
        <v>7.15</v>
      </c>
      <c r="M314">
        <v>47</v>
      </c>
      <c r="T314">
        <v>4.75</v>
      </c>
      <c r="V314">
        <f t="shared" si="20"/>
        <v>3</v>
      </c>
      <c r="W314" t="str">
        <f t="shared" si="21"/>
        <v>Utah (North Central)</v>
      </c>
      <c r="Z314" t="str">
        <f t="shared" si="22"/>
        <v>Utah</v>
      </c>
      <c r="AA314" t="str">
        <f t="shared" si="23"/>
        <v>Utah_3</v>
      </c>
      <c r="AI314">
        <v>3</v>
      </c>
      <c r="AJ314">
        <v>518.45817930403211</v>
      </c>
      <c r="AK314" t="s">
        <v>3722</v>
      </c>
      <c r="AL314" t="str">
        <f t="shared" si="24"/>
        <v>Utah_3</v>
      </c>
    </row>
    <row r="315" spans="2:38" x14ac:dyDescent="0.3">
      <c r="B315" s="90" t="s">
        <v>4114</v>
      </c>
      <c r="C315" s="90">
        <v>2.34</v>
      </c>
      <c r="D315" s="90">
        <v>15.79</v>
      </c>
      <c r="E315" s="755">
        <v>5.4713046370240015</v>
      </c>
      <c r="F315" s="90">
        <v>32.270000000000003</v>
      </c>
      <c r="G315" s="90">
        <v>4</v>
      </c>
      <c r="H315" s="90" t="s">
        <v>4557</v>
      </c>
      <c r="I315" s="90">
        <v>67.87</v>
      </c>
      <c r="J315" s="2242" t="s">
        <v>4169</v>
      </c>
      <c r="L315">
        <v>7.5</v>
      </c>
      <c r="M315">
        <v>46</v>
      </c>
      <c r="T315">
        <v>5</v>
      </c>
      <c r="V315">
        <f t="shared" si="20"/>
        <v>4</v>
      </c>
      <c r="W315" t="str">
        <f t="shared" si="21"/>
        <v>Utah (South Central)</v>
      </c>
      <c r="Z315" t="str">
        <f t="shared" si="22"/>
        <v>Utah</v>
      </c>
      <c r="AA315" t="str">
        <f t="shared" si="23"/>
        <v>Utah_4</v>
      </c>
      <c r="AI315">
        <v>4</v>
      </c>
      <c r="AJ315">
        <v>468.142774716237</v>
      </c>
      <c r="AK315" t="s">
        <v>3722</v>
      </c>
      <c r="AL315" t="str">
        <f t="shared" si="24"/>
        <v>Utah_4</v>
      </c>
    </row>
    <row r="316" spans="2:38" x14ac:dyDescent="0.3">
      <c r="B316" s="90" t="s">
        <v>4115</v>
      </c>
      <c r="C316" s="90">
        <v>2.64</v>
      </c>
      <c r="D316" s="90">
        <v>23.4</v>
      </c>
      <c r="E316" s="755">
        <v>7.5348165140800001</v>
      </c>
      <c r="F316" s="90">
        <v>12.09</v>
      </c>
      <c r="G316" s="90">
        <v>5</v>
      </c>
      <c r="H316" s="90" t="s">
        <v>4559</v>
      </c>
      <c r="I316" s="90">
        <v>37</v>
      </c>
      <c r="J316" s="2242" t="s">
        <v>4169</v>
      </c>
      <c r="L316">
        <v>6.8</v>
      </c>
      <c r="M316">
        <v>48</v>
      </c>
      <c r="T316">
        <v>4.5</v>
      </c>
      <c r="V316">
        <f t="shared" si="20"/>
        <v>5</v>
      </c>
      <c r="W316" t="str">
        <f t="shared" si="21"/>
        <v>Utah (Northern Mountains)</v>
      </c>
      <c r="Z316" t="str">
        <f t="shared" si="22"/>
        <v>Utah</v>
      </c>
      <c r="AA316" t="str">
        <f t="shared" si="23"/>
        <v>Utah_5</v>
      </c>
      <c r="AI316">
        <v>5</v>
      </c>
      <c r="AJ316">
        <v>556.27700208265571</v>
      </c>
      <c r="AK316" t="s">
        <v>3722</v>
      </c>
      <c r="AL316" t="str">
        <f t="shared" si="24"/>
        <v>Utah_5</v>
      </c>
    </row>
    <row r="317" spans="2:38" x14ac:dyDescent="0.3">
      <c r="B317" s="90" t="s">
        <v>4116</v>
      </c>
      <c r="C317" s="90">
        <v>2.64</v>
      </c>
      <c r="D317" s="90">
        <v>10.77</v>
      </c>
      <c r="E317" s="755">
        <v>3.3595224172159996</v>
      </c>
      <c r="F317" s="90">
        <v>41.43</v>
      </c>
      <c r="G317" s="90">
        <v>6</v>
      </c>
      <c r="H317" s="90" t="s">
        <v>4560</v>
      </c>
      <c r="I317" s="90">
        <v>30.4</v>
      </c>
      <c r="J317" s="2242" t="s">
        <v>4169</v>
      </c>
      <c r="L317">
        <v>6.8</v>
      </c>
      <c r="M317">
        <v>48</v>
      </c>
      <c r="T317">
        <v>4.5</v>
      </c>
      <c r="V317">
        <f t="shared" si="20"/>
        <v>6</v>
      </c>
      <c r="W317" t="str">
        <f t="shared" si="21"/>
        <v>Utah (Uinta Basin)</v>
      </c>
      <c r="Z317" t="str">
        <f t="shared" si="22"/>
        <v>Utah</v>
      </c>
      <c r="AA317" t="str">
        <f t="shared" si="23"/>
        <v>Utah_6</v>
      </c>
      <c r="AI317">
        <v>6</v>
      </c>
      <c r="AJ317">
        <v>320.33076705396053</v>
      </c>
      <c r="AK317" t="s">
        <v>3722</v>
      </c>
      <c r="AL317" t="str">
        <f t="shared" si="24"/>
        <v>Utah_6</v>
      </c>
    </row>
    <row r="318" spans="2:38" x14ac:dyDescent="0.3">
      <c r="B318" s="90" t="s">
        <v>4117</v>
      </c>
      <c r="C318" s="90">
        <v>2.27</v>
      </c>
      <c r="D318" s="90">
        <v>9.6900000000000013</v>
      </c>
      <c r="E318" s="755">
        <v>4.2209148332319995</v>
      </c>
      <c r="F318" s="90">
        <v>68.33</v>
      </c>
      <c r="G318" s="90">
        <v>7</v>
      </c>
      <c r="H318" s="90" t="s">
        <v>4561</v>
      </c>
      <c r="I318" s="90">
        <v>74.02</v>
      </c>
      <c r="J318" s="2241" t="s">
        <v>4173</v>
      </c>
      <c r="L318">
        <v>7.5</v>
      </c>
      <c r="M318">
        <v>46</v>
      </c>
      <c r="T318">
        <v>5</v>
      </c>
      <c r="V318">
        <f t="shared" si="20"/>
        <v>7</v>
      </c>
      <c r="W318" t="str">
        <f t="shared" si="21"/>
        <v>Utah (Southeast)</v>
      </c>
      <c r="Z318" t="str">
        <f t="shared" si="22"/>
        <v>Utah</v>
      </c>
      <c r="AA318" t="str">
        <f t="shared" si="23"/>
        <v>Utah_7</v>
      </c>
      <c r="AI318">
        <v>7</v>
      </c>
      <c r="AJ318">
        <v>300.12250959623719</v>
      </c>
      <c r="AK318" t="s">
        <v>3722</v>
      </c>
      <c r="AL318" t="str">
        <f t="shared" si="24"/>
        <v>Utah_7</v>
      </c>
    </row>
    <row r="319" spans="2:38" x14ac:dyDescent="0.3">
      <c r="B319" s="90" t="s">
        <v>4118</v>
      </c>
      <c r="C319" s="90">
        <v>5.0599999999999996</v>
      </c>
      <c r="D319" s="90">
        <v>46.249999999999993</v>
      </c>
      <c r="E319" s="755">
        <v>14.303407281856005</v>
      </c>
      <c r="F319" s="90">
        <v>12.37</v>
      </c>
      <c r="G319" s="90">
        <v>1</v>
      </c>
      <c r="H319" s="90" t="s">
        <v>4562</v>
      </c>
      <c r="I319" s="90">
        <v>27.77</v>
      </c>
      <c r="J319" s="2243" t="s">
        <v>4168</v>
      </c>
      <c r="L319">
        <v>5</v>
      </c>
      <c r="M319">
        <v>55</v>
      </c>
      <c r="T319">
        <v>3.5</v>
      </c>
      <c r="V319">
        <f t="shared" si="20"/>
        <v>1</v>
      </c>
      <c r="W319" t="str">
        <f t="shared" si="21"/>
        <v>Vermont (Northeastern)</v>
      </c>
      <c r="Z319" t="str">
        <f t="shared" si="22"/>
        <v>Vermont</v>
      </c>
      <c r="AA319" t="str">
        <f t="shared" si="23"/>
        <v>Vermont_1</v>
      </c>
      <c r="AI319">
        <v>1</v>
      </c>
      <c r="AJ319">
        <v>515.00936743214197</v>
      </c>
      <c r="AK319" t="s">
        <v>3723</v>
      </c>
      <c r="AL319" t="str">
        <f t="shared" si="24"/>
        <v>Vermont_1</v>
      </c>
    </row>
    <row r="320" spans="2:38" x14ac:dyDescent="0.3">
      <c r="B320" s="90" t="s">
        <v>4119</v>
      </c>
      <c r="C320" s="90">
        <v>4.3600000000000003</v>
      </c>
      <c r="D320" s="90">
        <v>44.66</v>
      </c>
      <c r="E320" s="755">
        <v>14.320386285023998</v>
      </c>
      <c r="F320" s="90">
        <v>19.739999999999998</v>
      </c>
      <c r="G320" s="90">
        <v>2</v>
      </c>
      <c r="H320" s="90" t="s">
        <v>4562</v>
      </c>
      <c r="I320" s="90">
        <v>27.77</v>
      </c>
      <c r="J320" s="2243" t="s">
        <v>4168</v>
      </c>
      <c r="L320">
        <v>5</v>
      </c>
      <c r="M320">
        <v>55</v>
      </c>
      <c r="T320">
        <v>3.5</v>
      </c>
      <c r="V320">
        <f t="shared" si="20"/>
        <v>2</v>
      </c>
      <c r="W320" t="str">
        <f t="shared" si="21"/>
        <v>Vermont (Western)</v>
      </c>
      <c r="Z320" t="str">
        <f t="shared" si="22"/>
        <v>Vermont</v>
      </c>
      <c r="AA320" t="str">
        <f t="shared" si="23"/>
        <v>Vermont_2</v>
      </c>
      <c r="AI320">
        <v>2</v>
      </c>
      <c r="AJ320">
        <v>557.87898267637934</v>
      </c>
      <c r="AK320" t="s">
        <v>3723</v>
      </c>
      <c r="AL320" t="str">
        <f t="shared" si="24"/>
        <v>Vermont_2</v>
      </c>
    </row>
    <row r="321" spans="2:38" x14ac:dyDescent="0.3">
      <c r="B321" s="90" t="s">
        <v>4120</v>
      </c>
      <c r="C321" s="90">
        <v>5.74</v>
      </c>
      <c r="D321" s="90">
        <v>47.98</v>
      </c>
      <c r="E321" s="755">
        <v>14.871190764592003</v>
      </c>
      <c r="F321" s="90">
        <v>19.73</v>
      </c>
      <c r="G321" s="90">
        <v>3</v>
      </c>
      <c r="H321" s="90" t="s">
        <v>4562</v>
      </c>
      <c r="I321" s="90">
        <v>27.77</v>
      </c>
      <c r="J321" s="2243" t="s">
        <v>4168</v>
      </c>
      <c r="L321">
        <v>5</v>
      </c>
      <c r="M321">
        <v>55</v>
      </c>
      <c r="T321">
        <v>3.5</v>
      </c>
      <c r="V321">
        <f t="shared" si="20"/>
        <v>3</v>
      </c>
      <c r="W321" t="str">
        <f t="shared" si="21"/>
        <v>Vermont (Southeastern)</v>
      </c>
      <c r="Z321" t="str">
        <f t="shared" si="22"/>
        <v>Vermont</v>
      </c>
      <c r="AA321" t="str">
        <f t="shared" si="23"/>
        <v>Vermont_3</v>
      </c>
      <c r="AI321">
        <v>3</v>
      </c>
      <c r="AJ321">
        <v>569.74238904635581</v>
      </c>
      <c r="AK321" t="s">
        <v>3723</v>
      </c>
      <c r="AL321" t="str">
        <f t="shared" si="24"/>
        <v>Vermont_3</v>
      </c>
    </row>
    <row r="322" spans="2:38" x14ac:dyDescent="0.3">
      <c r="B322" s="90" t="s">
        <v>4121</v>
      </c>
      <c r="C322" s="90">
        <v>6.91</v>
      </c>
      <c r="D322" s="90">
        <v>47.55</v>
      </c>
      <c r="E322" s="755">
        <v>19.863757853488003</v>
      </c>
      <c r="F322" s="90">
        <v>90.66</v>
      </c>
      <c r="G322" s="90">
        <v>1</v>
      </c>
      <c r="H322" s="90" t="s">
        <v>4563</v>
      </c>
      <c r="I322" s="90">
        <v>38.049999999999997</v>
      </c>
      <c r="J322" s="2238" t="s">
        <v>4172</v>
      </c>
      <c r="L322">
        <v>10</v>
      </c>
      <c r="M322">
        <v>40</v>
      </c>
      <c r="T322">
        <v>6</v>
      </c>
      <c r="V322">
        <f t="shared" si="20"/>
        <v>1</v>
      </c>
      <c r="W322" t="str">
        <f t="shared" si="21"/>
        <v>Virginia (Tidewater)</v>
      </c>
      <c r="Z322" t="str">
        <f t="shared" si="22"/>
        <v>Virginia</v>
      </c>
      <c r="AA322" t="str">
        <f t="shared" si="23"/>
        <v>Virginia_1</v>
      </c>
      <c r="AI322">
        <v>1</v>
      </c>
      <c r="AJ322">
        <v>839.51187565532052</v>
      </c>
      <c r="AK322" t="s">
        <v>3724</v>
      </c>
      <c r="AL322" t="str">
        <f t="shared" si="24"/>
        <v>Virginia_1</v>
      </c>
    </row>
    <row r="323" spans="2:38" x14ac:dyDescent="0.3">
      <c r="B323" s="90" t="s">
        <v>4122</v>
      </c>
      <c r="C323" s="90">
        <v>6.31</v>
      </c>
      <c r="D323" s="90">
        <v>45.640000000000008</v>
      </c>
      <c r="E323" s="755">
        <v>18.374782740224003</v>
      </c>
      <c r="F323" s="90">
        <v>81.180000000000007</v>
      </c>
      <c r="G323" s="90">
        <v>2</v>
      </c>
      <c r="H323" s="90" t="s">
        <v>4564</v>
      </c>
      <c r="I323" s="90">
        <v>34.590000000000003</v>
      </c>
      <c r="J323" s="2238" t="s">
        <v>4172</v>
      </c>
      <c r="L323">
        <v>9</v>
      </c>
      <c r="M323">
        <v>42</v>
      </c>
      <c r="T323">
        <v>5.5</v>
      </c>
      <c r="V323">
        <f t="shared" si="20"/>
        <v>2</v>
      </c>
      <c r="W323" t="str">
        <f t="shared" si="21"/>
        <v>Virginia (Eastern Piedmont)</v>
      </c>
      <c r="Z323" t="str">
        <f t="shared" si="22"/>
        <v>Virginia</v>
      </c>
      <c r="AA323" t="str">
        <f t="shared" si="23"/>
        <v>Virginia_2</v>
      </c>
      <c r="AI323">
        <v>2</v>
      </c>
      <c r="AJ323">
        <v>775.42260951533603</v>
      </c>
      <c r="AK323" t="s">
        <v>3724</v>
      </c>
      <c r="AL323" t="str">
        <f t="shared" si="24"/>
        <v>Virginia_2</v>
      </c>
    </row>
    <row r="324" spans="2:38" x14ac:dyDescent="0.3">
      <c r="B324" s="90" t="s">
        <v>4123</v>
      </c>
      <c r="C324" s="90">
        <v>6.31</v>
      </c>
      <c r="D324" s="90">
        <v>46.41</v>
      </c>
      <c r="E324" s="755">
        <v>18.381816861184003</v>
      </c>
      <c r="F324" s="90">
        <v>71.399999999999991</v>
      </c>
      <c r="G324" s="90">
        <v>3</v>
      </c>
      <c r="H324" s="90" t="s">
        <v>4565</v>
      </c>
      <c r="I324" s="90">
        <v>33.71</v>
      </c>
      <c r="J324" s="2238" t="s">
        <v>4172</v>
      </c>
      <c r="L324">
        <v>9</v>
      </c>
      <c r="M324">
        <v>42</v>
      </c>
      <c r="T324">
        <v>5.5</v>
      </c>
      <c r="V324">
        <f t="shared" si="20"/>
        <v>3</v>
      </c>
      <c r="W324" t="str">
        <f t="shared" si="21"/>
        <v>Virginia (Western Piedmont)</v>
      </c>
      <c r="Z324" t="str">
        <f t="shared" si="22"/>
        <v>Virginia</v>
      </c>
      <c r="AA324" t="str">
        <f t="shared" si="23"/>
        <v>Virginia_3</v>
      </c>
      <c r="AI324">
        <v>3</v>
      </c>
      <c r="AJ324">
        <v>728.82870485383376</v>
      </c>
      <c r="AK324" t="s">
        <v>3724</v>
      </c>
      <c r="AL324" t="str">
        <f t="shared" si="24"/>
        <v>Virginia_3</v>
      </c>
    </row>
    <row r="325" spans="2:38" x14ac:dyDescent="0.3">
      <c r="B325" s="90" t="s">
        <v>4124</v>
      </c>
      <c r="C325" s="90">
        <v>5.99</v>
      </c>
      <c r="D325" s="90">
        <v>42.9</v>
      </c>
      <c r="E325" s="755">
        <v>17.094541229440001</v>
      </c>
      <c r="F325" s="90">
        <v>63.750000000000007</v>
      </c>
      <c r="G325" s="90">
        <v>4</v>
      </c>
      <c r="H325" s="90" t="s">
        <v>4566</v>
      </c>
      <c r="I325" s="90">
        <v>33.58</v>
      </c>
      <c r="J325" s="2238" t="s">
        <v>4172</v>
      </c>
      <c r="L325">
        <v>7.5</v>
      </c>
      <c r="M325">
        <v>46</v>
      </c>
      <c r="T325">
        <v>5</v>
      </c>
      <c r="V325">
        <f t="shared" si="20"/>
        <v>4</v>
      </c>
      <c r="W325" t="str">
        <f t="shared" si="21"/>
        <v>Virginia (Northern)</v>
      </c>
      <c r="Z325" t="str">
        <f t="shared" si="22"/>
        <v>Virginia</v>
      </c>
      <c r="AA325" t="str">
        <f t="shared" si="23"/>
        <v>Virginia_4</v>
      </c>
      <c r="AI325">
        <v>4</v>
      </c>
      <c r="AJ325">
        <v>649.68513064543868</v>
      </c>
      <c r="AK325" t="s">
        <v>3724</v>
      </c>
      <c r="AL325" t="str">
        <f t="shared" si="24"/>
        <v>Virginia_4</v>
      </c>
    </row>
    <row r="326" spans="2:38" x14ac:dyDescent="0.3">
      <c r="B326" s="90" t="s">
        <v>4125</v>
      </c>
      <c r="C326" s="90">
        <v>6.31</v>
      </c>
      <c r="D326" s="90">
        <v>44.000000000000007</v>
      </c>
      <c r="E326" s="755">
        <v>16.790560904752002</v>
      </c>
      <c r="F326" s="90">
        <v>49.67</v>
      </c>
      <c r="G326" s="90">
        <v>5</v>
      </c>
      <c r="H326" s="90" t="s">
        <v>4567</v>
      </c>
      <c r="I326" s="90">
        <v>26.77</v>
      </c>
      <c r="J326" s="2238" t="s">
        <v>4172</v>
      </c>
      <c r="L326">
        <v>7.5</v>
      </c>
      <c r="M326">
        <v>46</v>
      </c>
      <c r="T326">
        <v>5</v>
      </c>
      <c r="V326">
        <f t="shared" si="20"/>
        <v>5</v>
      </c>
      <c r="W326" t="str">
        <f t="shared" si="21"/>
        <v>Virginia (Central Mountain)</v>
      </c>
      <c r="Z326" t="str">
        <f t="shared" si="22"/>
        <v>Virginia</v>
      </c>
      <c r="AA326" t="str">
        <f t="shared" si="23"/>
        <v>Virginia_5</v>
      </c>
      <c r="AI326">
        <v>5</v>
      </c>
      <c r="AJ326">
        <v>665.44480317049806</v>
      </c>
      <c r="AK326" t="s">
        <v>3724</v>
      </c>
      <c r="AL326" t="str">
        <f t="shared" si="24"/>
        <v>Virginia_5</v>
      </c>
    </row>
    <row r="327" spans="2:38" x14ac:dyDescent="0.3">
      <c r="B327" s="90" t="s">
        <v>4126</v>
      </c>
      <c r="C327" s="90">
        <v>4.43</v>
      </c>
      <c r="D327" s="90">
        <v>46.85</v>
      </c>
      <c r="E327" s="755">
        <v>17.192950681408</v>
      </c>
      <c r="F327" s="90">
        <v>45.98</v>
      </c>
      <c r="G327" s="90">
        <v>6</v>
      </c>
      <c r="H327" s="90" t="s">
        <v>4568</v>
      </c>
      <c r="I327" s="90">
        <v>26.79</v>
      </c>
      <c r="J327" s="2238" t="s">
        <v>4172</v>
      </c>
      <c r="L327">
        <v>8.25</v>
      </c>
      <c r="M327">
        <v>44</v>
      </c>
      <c r="T327">
        <v>5.25</v>
      </c>
      <c r="V327">
        <f t="shared" si="20"/>
        <v>6</v>
      </c>
      <c r="W327" t="str">
        <f t="shared" si="21"/>
        <v>Virginia (Southwestern Mountain)</v>
      </c>
      <c r="Z327" t="str">
        <f t="shared" si="22"/>
        <v>Virginia</v>
      </c>
      <c r="AA327" t="str">
        <f t="shared" si="23"/>
        <v>Virginia_6</v>
      </c>
      <c r="AI327">
        <v>6</v>
      </c>
      <c r="AJ327">
        <v>712.98866853120956</v>
      </c>
      <c r="AK327" t="s">
        <v>3724</v>
      </c>
      <c r="AL327" t="str">
        <f t="shared" si="24"/>
        <v>Virginia_6</v>
      </c>
    </row>
    <row r="328" spans="2:38" x14ac:dyDescent="0.3">
      <c r="B328" s="90" t="s">
        <v>4127</v>
      </c>
      <c r="C328" s="90">
        <v>6</v>
      </c>
      <c r="D328" s="90">
        <v>109.76</v>
      </c>
      <c r="E328" s="755">
        <v>17.912319470832003</v>
      </c>
      <c r="F328" s="90">
        <v>0</v>
      </c>
      <c r="G328" s="90">
        <v>1</v>
      </c>
      <c r="H328" s="90" t="s">
        <v>4569</v>
      </c>
      <c r="I328" s="90">
        <v>26.93</v>
      </c>
      <c r="J328" s="2243" t="s">
        <v>4168</v>
      </c>
      <c r="L328">
        <v>8.25</v>
      </c>
      <c r="M328">
        <v>44</v>
      </c>
      <c r="T328">
        <v>5.25</v>
      </c>
      <c r="V328">
        <f t="shared" si="20"/>
        <v>1</v>
      </c>
      <c r="W328" t="str">
        <f t="shared" si="21"/>
        <v>Washington (West Olympic Coast)</v>
      </c>
      <c r="Z328" t="str">
        <f t="shared" si="22"/>
        <v>Washington</v>
      </c>
      <c r="AA328" t="str">
        <f t="shared" si="23"/>
        <v>Washington_1</v>
      </c>
      <c r="AI328">
        <v>1</v>
      </c>
      <c r="AJ328">
        <v>437.82648084483787</v>
      </c>
      <c r="AK328" t="s">
        <v>3725</v>
      </c>
      <c r="AL328" t="str">
        <f t="shared" si="24"/>
        <v>Washington_1</v>
      </c>
    </row>
    <row r="329" spans="2:38" x14ac:dyDescent="0.3">
      <c r="B329" s="90" t="s">
        <v>4128</v>
      </c>
      <c r="C329" s="90">
        <v>6</v>
      </c>
      <c r="D329" s="90">
        <v>29.02</v>
      </c>
      <c r="E329" s="755">
        <v>10.682432100368002</v>
      </c>
      <c r="F329" s="90">
        <v>1.24</v>
      </c>
      <c r="G329" s="90">
        <v>2</v>
      </c>
      <c r="H329" s="90" t="s">
        <v>4570</v>
      </c>
      <c r="I329" s="90">
        <v>24.82</v>
      </c>
      <c r="J329" s="2243" t="s">
        <v>4168</v>
      </c>
      <c r="L329">
        <v>7.5</v>
      </c>
      <c r="M329">
        <v>46</v>
      </c>
      <c r="T329">
        <v>5</v>
      </c>
      <c r="V329">
        <f t="shared" si="20"/>
        <v>2</v>
      </c>
      <c r="W329" t="str">
        <f t="shared" si="21"/>
        <v>Washington (North East Olympic)</v>
      </c>
      <c r="Z329" t="str">
        <f t="shared" si="22"/>
        <v>Washington</v>
      </c>
      <c r="AA329" t="str">
        <f t="shared" si="23"/>
        <v>Washington_2</v>
      </c>
      <c r="AI329">
        <v>2</v>
      </c>
      <c r="AJ329">
        <v>487.53762322852151</v>
      </c>
      <c r="AK329" t="s">
        <v>3725</v>
      </c>
      <c r="AL329" t="str">
        <f t="shared" si="24"/>
        <v>Washington_2</v>
      </c>
    </row>
    <row r="330" spans="2:38" x14ac:dyDescent="0.3">
      <c r="B330" s="90" t="s">
        <v>4129</v>
      </c>
      <c r="C330" s="90">
        <v>6</v>
      </c>
      <c r="D330" s="90">
        <v>45.44</v>
      </c>
      <c r="E330" s="755">
        <v>15.133858752000002</v>
      </c>
      <c r="F330" s="90">
        <v>9.92</v>
      </c>
      <c r="G330" s="90">
        <v>3</v>
      </c>
      <c r="H330" s="90" t="s">
        <v>4571</v>
      </c>
      <c r="I330" s="90">
        <v>18.82</v>
      </c>
      <c r="J330" s="2243" t="s">
        <v>4168</v>
      </c>
      <c r="L330">
        <v>7.5</v>
      </c>
      <c r="M330">
        <v>46</v>
      </c>
      <c r="T330">
        <v>5</v>
      </c>
      <c r="V330">
        <f t="shared" si="20"/>
        <v>3</v>
      </c>
      <c r="W330" t="str">
        <f t="shared" si="21"/>
        <v>Washington (Puget Sound Lowlands)</v>
      </c>
      <c r="Z330" t="str">
        <f t="shared" si="22"/>
        <v>Washington</v>
      </c>
      <c r="AA330" t="str">
        <f t="shared" si="23"/>
        <v>Washington_3</v>
      </c>
      <c r="AI330">
        <v>3</v>
      </c>
      <c r="AJ330">
        <v>344.50486998697249</v>
      </c>
      <c r="AK330" t="s">
        <v>3725</v>
      </c>
      <c r="AL330" t="str">
        <f t="shared" si="24"/>
        <v>Washington_3</v>
      </c>
    </row>
    <row r="331" spans="2:38" x14ac:dyDescent="0.3">
      <c r="B331" s="90" t="s">
        <v>4130</v>
      </c>
      <c r="C331" s="90">
        <v>7</v>
      </c>
      <c r="D331" s="90">
        <v>76.41</v>
      </c>
      <c r="E331" s="755">
        <v>16.755702635920002</v>
      </c>
      <c r="F331" s="90">
        <v>5.8900000000000006</v>
      </c>
      <c r="G331" s="90">
        <v>4</v>
      </c>
      <c r="H331" s="90" t="s">
        <v>4570</v>
      </c>
      <c r="I331" s="90">
        <v>24.82</v>
      </c>
      <c r="J331" s="2243" t="s">
        <v>4168</v>
      </c>
      <c r="L331">
        <v>7.5</v>
      </c>
      <c r="M331">
        <v>46</v>
      </c>
      <c r="T331">
        <v>5</v>
      </c>
      <c r="V331">
        <f t="shared" si="20"/>
        <v>4</v>
      </c>
      <c r="W331" t="str">
        <f t="shared" si="21"/>
        <v>Washington (East Olympic Cascade)</v>
      </c>
      <c r="Z331" t="str">
        <f t="shared" si="22"/>
        <v>Washington</v>
      </c>
      <c r="AA331" t="str">
        <f t="shared" si="23"/>
        <v>Washington_4</v>
      </c>
      <c r="AI331">
        <v>4</v>
      </c>
      <c r="AJ331">
        <v>456.74514415095672</v>
      </c>
      <c r="AK331" t="s">
        <v>3725</v>
      </c>
      <c r="AL331" t="str">
        <f t="shared" si="24"/>
        <v>Washington_4</v>
      </c>
    </row>
    <row r="332" spans="2:38" x14ac:dyDescent="0.3">
      <c r="B332" s="90" t="s">
        <v>4131</v>
      </c>
      <c r="C332" s="90">
        <v>7</v>
      </c>
      <c r="D332" s="90">
        <v>89.339999999999989</v>
      </c>
      <c r="E332" s="755">
        <v>16.398937532640005</v>
      </c>
      <c r="F332" s="90">
        <v>0</v>
      </c>
      <c r="G332" s="90">
        <v>5</v>
      </c>
      <c r="H332" s="90" t="s">
        <v>4572</v>
      </c>
      <c r="I332" s="90">
        <v>45.65</v>
      </c>
      <c r="J332" s="2243" t="s">
        <v>4168</v>
      </c>
      <c r="L332">
        <v>7.5</v>
      </c>
      <c r="M332">
        <v>46</v>
      </c>
      <c r="T332">
        <v>5</v>
      </c>
      <c r="V332">
        <f t="shared" si="20"/>
        <v>5</v>
      </c>
      <c r="W332" t="str">
        <f t="shared" si="21"/>
        <v>Washington (Cascade Mountains West)</v>
      </c>
      <c r="Z332" t="str">
        <f t="shared" si="22"/>
        <v>Washington</v>
      </c>
      <c r="AA332" t="str">
        <f t="shared" si="23"/>
        <v>Washington_5</v>
      </c>
      <c r="AI332">
        <v>5</v>
      </c>
      <c r="AJ332">
        <v>494.80824401274288</v>
      </c>
      <c r="AK332" t="s">
        <v>3725</v>
      </c>
      <c r="AL332" t="str">
        <f t="shared" si="24"/>
        <v>Washington_5</v>
      </c>
    </row>
    <row r="333" spans="2:38" x14ac:dyDescent="0.3">
      <c r="B333" s="90" t="s">
        <v>4132</v>
      </c>
      <c r="C333" s="90">
        <v>3</v>
      </c>
      <c r="D333" s="90">
        <v>37.270000000000003</v>
      </c>
      <c r="E333" s="755">
        <v>10.108362528192004</v>
      </c>
      <c r="F333" s="90">
        <v>6.2</v>
      </c>
      <c r="G333" s="90">
        <v>6</v>
      </c>
      <c r="H333" s="90" t="s">
        <v>4573</v>
      </c>
      <c r="I333" s="90">
        <v>44</v>
      </c>
      <c r="J333" s="2243" t="s">
        <v>4168</v>
      </c>
      <c r="L333">
        <v>7.15</v>
      </c>
      <c r="M333">
        <v>47</v>
      </c>
      <c r="T333">
        <v>4.75</v>
      </c>
      <c r="V333">
        <f t="shared" si="20"/>
        <v>6</v>
      </c>
      <c r="W333" t="str">
        <f t="shared" si="21"/>
        <v>Washington (East Slope Cascades)</v>
      </c>
      <c r="Z333" t="str">
        <f t="shared" si="22"/>
        <v>Washington</v>
      </c>
      <c r="AA333" t="str">
        <f t="shared" si="23"/>
        <v>Washington_6</v>
      </c>
      <c r="AI333">
        <v>6</v>
      </c>
      <c r="AJ333">
        <v>390.57521705141522</v>
      </c>
      <c r="AK333" t="s">
        <v>3725</v>
      </c>
      <c r="AL333" t="str">
        <f t="shared" si="24"/>
        <v>Washington_6</v>
      </c>
    </row>
    <row r="334" spans="2:38" x14ac:dyDescent="0.3">
      <c r="B334" s="90" t="s">
        <v>4133</v>
      </c>
      <c r="C334" s="90">
        <v>2.5</v>
      </c>
      <c r="D334" s="90">
        <v>13.38</v>
      </c>
      <c r="E334" s="755">
        <v>5.0882114489120003</v>
      </c>
      <c r="F334" s="90">
        <v>32.020000000000003</v>
      </c>
      <c r="G334" s="90">
        <v>7</v>
      </c>
      <c r="H334" s="90" t="s">
        <v>4574</v>
      </c>
      <c r="I334" s="90">
        <v>50.33</v>
      </c>
      <c r="J334" s="2242" t="s">
        <v>4169</v>
      </c>
      <c r="L334">
        <v>6.8</v>
      </c>
      <c r="M334">
        <v>48</v>
      </c>
      <c r="T334">
        <v>4.5</v>
      </c>
      <c r="V334">
        <f t="shared" si="20"/>
        <v>7</v>
      </c>
      <c r="W334" t="str">
        <f t="shared" si="21"/>
        <v>Washington (Okanogan Big Bend)</v>
      </c>
      <c r="Z334" t="str">
        <f t="shared" si="22"/>
        <v>Washington</v>
      </c>
      <c r="AA334" t="str">
        <f t="shared" si="23"/>
        <v>Washington_7</v>
      </c>
      <c r="AI334">
        <v>7</v>
      </c>
      <c r="AJ334">
        <v>199.99445290292499</v>
      </c>
      <c r="AK334" t="s">
        <v>3725</v>
      </c>
      <c r="AL334" t="str">
        <f t="shared" si="24"/>
        <v>Washington_7</v>
      </c>
    </row>
    <row r="335" spans="2:38" x14ac:dyDescent="0.3">
      <c r="B335" s="90" t="s">
        <v>4134</v>
      </c>
      <c r="C335" s="90">
        <v>2</v>
      </c>
      <c r="D335" s="90">
        <v>10.51</v>
      </c>
      <c r="E335" s="755">
        <v>4.2495093223360003</v>
      </c>
      <c r="F335" s="90">
        <v>44.2</v>
      </c>
      <c r="G335" s="90">
        <v>8</v>
      </c>
      <c r="H335" s="90" t="s">
        <v>4575</v>
      </c>
      <c r="I335" s="90">
        <v>38.1</v>
      </c>
      <c r="J335" s="2241" t="s">
        <v>4173</v>
      </c>
      <c r="L335">
        <v>6.8</v>
      </c>
      <c r="M335">
        <v>48</v>
      </c>
      <c r="T335">
        <v>4.5</v>
      </c>
      <c r="V335">
        <f t="shared" si="20"/>
        <v>8</v>
      </c>
      <c r="W335" t="str">
        <f t="shared" si="21"/>
        <v>Washington (Central Basin)</v>
      </c>
      <c r="Z335" t="str">
        <f t="shared" si="22"/>
        <v>Washington</v>
      </c>
      <c r="AA335" t="str">
        <f t="shared" si="23"/>
        <v>Washington_8</v>
      </c>
      <c r="AI335">
        <v>8</v>
      </c>
      <c r="AJ335">
        <v>199.91019798782611</v>
      </c>
      <c r="AK335" t="s">
        <v>3725</v>
      </c>
      <c r="AL335" t="str">
        <f t="shared" si="24"/>
        <v>Washington_8</v>
      </c>
    </row>
    <row r="336" spans="2:38" x14ac:dyDescent="0.3">
      <c r="B336" s="90" t="s">
        <v>4135</v>
      </c>
      <c r="C336" s="90">
        <v>2.5</v>
      </c>
      <c r="D336" s="90">
        <v>23.44</v>
      </c>
      <c r="E336" s="755">
        <v>8.3833703470080003</v>
      </c>
      <c r="F336" s="90">
        <v>17.05</v>
      </c>
      <c r="G336" s="90">
        <v>9</v>
      </c>
      <c r="H336" s="90" t="s">
        <v>4574</v>
      </c>
      <c r="I336" s="90">
        <v>50.33</v>
      </c>
      <c r="J336" s="2242" t="s">
        <v>4169</v>
      </c>
      <c r="L336">
        <v>6</v>
      </c>
      <c r="M336">
        <v>50</v>
      </c>
      <c r="T336">
        <v>4</v>
      </c>
      <c r="V336">
        <f t="shared" si="20"/>
        <v>9</v>
      </c>
      <c r="W336" t="str">
        <f t="shared" si="21"/>
        <v>Washington (Northeastern)</v>
      </c>
      <c r="Z336" t="str">
        <f t="shared" si="22"/>
        <v>Washington</v>
      </c>
      <c r="AA336" t="str">
        <f t="shared" si="23"/>
        <v>Washington_9</v>
      </c>
      <c r="AI336">
        <v>9</v>
      </c>
      <c r="AJ336">
        <v>505.35438553441878</v>
      </c>
      <c r="AK336" t="s">
        <v>3725</v>
      </c>
      <c r="AL336" t="str">
        <f t="shared" si="24"/>
        <v>Washington_9</v>
      </c>
    </row>
    <row r="337" spans="2:38" x14ac:dyDescent="0.3">
      <c r="B337" s="90" t="s">
        <v>4136</v>
      </c>
      <c r="C337" s="90">
        <v>2</v>
      </c>
      <c r="D337" s="90">
        <v>19.84</v>
      </c>
      <c r="E337" s="755">
        <v>7.33820233456</v>
      </c>
      <c r="F337" s="90">
        <v>29.59</v>
      </c>
      <c r="G337" s="90">
        <v>10</v>
      </c>
      <c r="H337" s="90" t="s">
        <v>4576</v>
      </c>
      <c r="I337" s="90">
        <v>40.96</v>
      </c>
      <c r="J337" s="2242" t="s">
        <v>4169</v>
      </c>
      <c r="L337">
        <v>6.4</v>
      </c>
      <c r="M337">
        <v>49</v>
      </c>
      <c r="T337">
        <v>4.25</v>
      </c>
      <c r="V337">
        <f t="shared" si="20"/>
        <v>10</v>
      </c>
      <c r="W337" t="str">
        <f t="shared" si="21"/>
        <v>Washington (Plouse Blue Mountains)</v>
      </c>
      <c r="Z337" t="str">
        <f t="shared" si="22"/>
        <v>Washington</v>
      </c>
      <c r="AA337" t="str">
        <f t="shared" si="23"/>
        <v>Washington_10</v>
      </c>
      <c r="AI337">
        <v>10</v>
      </c>
      <c r="AJ337">
        <v>245.66837181690099</v>
      </c>
      <c r="AK337" t="s">
        <v>3725</v>
      </c>
      <c r="AL337" t="str">
        <f t="shared" si="24"/>
        <v>Washington_10</v>
      </c>
    </row>
    <row r="338" spans="2:38" x14ac:dyDescent="0.3">
      <c r="B338" s="90" t="s">
        <v>4137</v>
      </c>
      <c r="C338" s="90">
        <v>4.1399999999999997</v>
      </c>
      <c r="D338" s="90">
        <v>45.389999999999993</v>
      </c>
      <c r="E338" s="755">
        <v>17.209980865680002</v>
      </c>
      <c r="F338" s="90">
        <v>56.699999999999989</v>
      </c>
      <c r="G338" s="90">
        <v>1</v>
      </c>
      <c r="H338" s="90" t="s">
        <v>4577</v>
      </c>
      <c r="I338" s="90">
        <v>32.43</v>
      </c>
      <c r="J338" s="2238" t="s">
        <v>4172</v>
      </c>
      <c r="L338">
        <v>6.8</v>
      </c>
      <c r="M338">
        <v>48</v>
      </c>
      <c r="T338">
        <v>4.5</v>
      </c>
      <c r="V338">
        <f t="shared" si="20"/>
        <v>1</v>
      </c>
      <c r="W338" t="str">
        <f t="shared" si="21"/>
        <v>West Virginia (Northwestern)</v>
      </c>
      <c r="Z338" t="str">
        <f t="shared" si="22"/>
        <v>West Virginia</v>
      </c>
      <c r="AA338" t="str">
        <f t="shared" si="23"/>
        <v>West Virginia_1</v>
      </c>
      <c r="AI338">
        <v>1</v>
      </c>
      <c r="AJ338">
        <v>699.64864470607097</v>
      </c>
      <c r="AK338" t="s">
        <v>3726</v>
      </c>
      <c r="AL338" t="str">
        <f t="shared" si="24"/>
        <v>West Virginia_1</v>
      </c>
    </row>
    <row r="339" spans="2:38" x14ac:dyDescent="0.3">
      <c r="B339" s="90" t="s">
        <v>4138</v>
      </c>
      <c r="C339" s="90">
        <v>4.29</v>
      </c>
      <c r="D339" s="90">
        <v>48.459999999999987</v>
      </c>
      <c r="E339" s="755">
        <v>18.047613438416001</v>
      </c>
      <c r="F339" s="90">
        <v>54.86</v>
      </c>
      <c r="G339" s="90">
        <v>2</v>
      </c>
      <c r="H339" s="90" t="s">
        <v>4578</v>
      </c>
      <c r="I339" s="90">
        <v>27.36</v>
      </c>
      <c r="J339" s="2238" t="s">
        <v>4172</v>
      </c>
      <c r="L339">
        <v>7.15</v>
      </c>
      <c r="M339">
        <v>47</v>
      </c>
      <c r="T339">
        <v>4.75</v>
      </c>
      <c r="V339">
        <f t="shared" si="20"/>
        <v>2</v>
      </c>
      <c r="W339" t="str">
        <f t="shared" si="21"/>
        <v>West Virginia (North Central)</v>
      </c>
      <c r="Z339" t="str">
        <f t="shared" si="22"/>
        <v>West Virginia</v>
      </c>
      <c r="AA339" t="str">
        <f t="shared" si="23"/>
        <v>West Virginia_2</v>
      </c>
      <c r="AI339">
        <v>2</v>
      </c>
      <c r="AJ339">
        <v>688.4048400033198</v>
      </c>
      <c r="AK339" t="s">
        <v>3726</v>
      </c>
      <c r="AL339" t="str">
        <f t="shared" si="24"/>
        <v>West Virginia_2</v>
      </c>
    </row>
    <row r="340" spans="2:38" x14ac:dyDescent="0.3">
      <c r="B340" s="90" t="s">
        <v>4139</v>
      </c>
      <c r="C340" s="90">
        <v>4.29</v>
      </c>
      <c r="D340" s="90">
        <v>46.9</v>
      </c>
      <c r="E340" s="755">
        <v>18.591201382320001</v>
      </c>
      <c r="F340" s="90">
        <v>67.099999999999994</v>
      </c>
      <c r="G340" s="90">
        <v>3</v>
      </c>
      <c r="H340" s="90" t="s">
        <v>4579</v>
      </c>
      <c r="I340" s="90">
        <v>31.93</v>
      </c>
      <c r="J340" s="2238" t="s">
        <v>4172</v>
      </c>
      <c r="L340">
        <v>7.15</v>
      </c>
      <c r="M340">
        <v>47</v>
      </c>
      <c r="T340">
        <v>4.75</v>
      </c>
      <c r="V340">
        <f t="shared" ref="V340:V362" si="25">G340</f>
        <v>3</v>
      </c>
      <c r="W340" t="str">
        <f t="shared" ref="W340:W362" si="26">B340</f>
        <v>West Virginia (Southwestern)</v>
      </c>
      <c r="Z340" t="str">
        <f t="shared" ref="Z340:Z362" si="27">TRIM(LEFT(B340,SEARCH("(",B340)-1))</f>
        <v>West Virginia</v>
      </c>
      <c r="AA340" t="str">
        <f t="shared" ref="AA340:AA362" si="28">_xlfn.CONCAT(Z340,"_",G340)</f>
        <v>West Virginia_3</v>
      </c>
      <c r="AI340">
        <v>3</v>
      </c>
      <c r="AJ340">
        <v>750.56165536823721</v>
      </c>
      <c r="AK340" t="s">
        <v>3726</v>
      </c>
      <c r="AL340" t="str">
        <f t="shared" ref="AL340:AL362" si="29">_xlfn.CONCAT(AK340,"_",AI340)</f>
        <v>West Virginia_3</v>
      </c>
    </row>
    <row r="341" spans="2:38" x14ac:dyDescent="0.3">
      <c r="B341" s="90" t="s">
        <v>4140</v>
      </c>
      <c r="C341" s="90">
        <v>4.29</v>
      </c>
      <c r="D341" s="90">
        <v>50.56</v>
      </c>
      <c r="E341" s="755">
        <v>17.189038607792003</v>
      </c>
      <c r="F341" s="90">
        <v>28.27</v>
      </c>
      <c r="G341" s="90">
        <v>4</v>
      </c>
      <c r="H341" s="90" t="s">
        <v>4580</v>
      </c>
      <c r="I341" s="90">
        <v>26</v>
      </c>
      <c r="J341" s="2243" t="s">
        <v>4168</v>
      </c>
      <c r="L341">
        <v>7.15</v>
      </c>
      <c r="M341">
        <v>47</v>
      </c>
      <c r="T341">
        <v>4.75</v>
      </c>
      <c r="V341">
        <f t="shared" si="25"/>
        <v>4</v>
      </c>
      <c r="W341" t="str">
        <f t="shared" si="26"/>
        <v>West Virginia (Central)</v>
      </c>
      <c r="Z341" t="str">
        <f t="shared" si="27"/>
        <v>West Virginia</v>
      </c>
      <c r="AA341" t="str">
        <f t="shared" si="28"/>
        <v>West Virginia_4</v>
      </c>
      <c r="AI341">
        <v>4</v>
      </c>
      <c r="AJ341">
        <v>636.46849229150996</v>
      </c>
      <c r="AK341" t="s">
        <v>3726</v>
      </c>
      <c r="AL341" t="str">
        <f t="shared" si="29"/>
        <v>West Virginia_4</v>
      </c>
    </row>
    <row r="342" spans="2:38" x14ac:dyDescent="0.3">
      <c r="B342" s="90" t="s">
        <v>4141</v>
      </c>
      <c r="C342" s="90">
        <v>4.87</v>
      </c>
      <c r="D342" s="90">
        <v>44.52</v>
      </c>
      <c r="E342" s="755">
        <v>16.950315503039995</v>
      </c>
      <c r="F342" s="90">
        <v>46.59</v>
      </c>
      <c r="G342" s="90">
        <v>5</v>
      </c>
      <c r="H342" s="90" t="s">
        <v>4581</v>
      </c>
      <c r="I342" s="90">
        <v>27.35</v>
      </c>
      <c r="J342" s="2238" t="s">
        <v>4172</v>
      </c>
      <c r="L342">
        <v>7.5</v>
      </c>
      <c r="M342">
        <v>46</v>
      </c>
      <c r="T342">
        <v>5</v>
      </c>
      <c r="V342">
        <f t="shared" si="25"/>
        <v>5</v>
      </c>
      <c r="W342" t="str">
        <f t="shared" si="26"/>
        <v>West Virginia (Southern)</v>
      </c>
      <c r="Z342" t="str">
        <f t="shared" si="27"/>
        <v>West Virginia</v>
      </c>
      <c r="AA342" t="str">
        <f t="shared" si="28"/>
        <v>West Virginia_5</v>
      </c>
      <c r="AI342">
        <v>5</v>
      </c>
      <c r="AJ342">
        <v>711.40312936069597</v>
      </c>
      <c r="AK342" t="s">
        <v>3726</v>
      </c>
      <c r="AL342" t="str">
        <f t="shared" si="29"/>
        <v>West Virginia_5</v>
      </c>
    </row>
    <row r="343" spans="2:38" x14ac:dyDescent="0.3">
      <c r="B343" s="90" t="s">
        <v>4142</v>
      </c>
      <c r="C343" s="90">
        <v>4.7</v>
      </c>
      <c r="D343" s="90">
        <v>40.159999999999997</v>
      </c>
      <c r="E343" s="755">
        <v>15.600025433584003</v>
      </c>
      <c r="F343" s="90">
        <v>52.1</v>
      </c>
      <c r="G343" s="90">
        <v>6</v>
      </c>
      <c r="H343" s="90" t="s">
        <v>4582</v>
      </c>
      <c r="I343" s="90">
        <v>31.76</v>
      </c>
      <c r="J343" s="2238" t="s">
        <v>4172</v>
      </c>
      <c r="L343">
        <v>7.5</v>
      </c>
      <c r="M343">
        <v>46</v>
      </c>
      <c r="T343">
        <v>5</v>
      </c>
      <c r="V343">
        <f t="shared" si="25"/>
        <v>6</v>
      </c>
      <c r="W343" t="str">
        <f t="shared" si="26"/>
        <v>West Virginia (Northeastern)</v>
      </c>
      <c r="Z343" t="str">
        <f t="shared" si="27"/>
        <v>West Virginia</v>
      </c>
      <c r="AA343" t="str">
        <f t="shared" si="28"/>
        <v>West Virginia_6</v>
      </c>
      <c r="AI343">
        <v>6</v>
      </c>
      <c r="AJ343">
        <v>654.09005332543904</v>
      </c>
      <c r="AK343" t="s">
        <v>3726</v>
      </c>
      <c r="AL343" t="str">
        <f t="shared" si="29"/>
        <v>West Virginia_6</v>
      </c>
    </row>
    <row r="344" spans="2:38" x14ac:dyDescent="0.3">
      <c r="B344" s="90" t="s">
        <v>4143</v>
      </c>
      <c r="C344" s="90">
        <v>5.23</v>
      </c>
      <c r="D344" s="90">
        <v>32.57</v>
      </c>
      <c r="E344" s="755">
        <v>12.193251046352003</v>
      </c>
      <c r="F344" s="90">
        <v>21.56</v>
      </c>
      <c r="G344" s="90">
        <v>1</v>
      </c>
      <c r="H344" s="90" t="s">
        <v>4583</v>
      </c>
      <c r="I344" s="90">
        <v>33.36</v>
      </c>
      <c r="J344" s="2243" t="s">
        <v>4168</v>
      </c>
      <c r="L344">
        <v>4.75</v>
      </c>
      <c r="M344">
        <v>57.5</v>
      </c>
      <c r="T344">
        <v>3.25</v>
      </c>
      <c r="V344">
        <f t="shared" si="25"/>
        <v>1</v>
      </c>
      <c r="W344" t="str">
        <f t="shared" si="26"/>
        <v>Wisconsin (Northwest)</v>
      </c>
      <c r="Z344" t="str">
        <f t="shared" si="27"/>
        <v>Wisconsin</v>
      </c>
      <c r="AA344" t="str">
        <f t="shared" si="28"/>
        <v>Wisconsin_1</v>
      </c>
      <c r="AI344">
        <v>1</v>
      </c>
      <c r="AJ344">
        <v>562.48517667941508</v>
      </c>
      <c r="AK344" t="s">
        <v>3727</v>
      </c>
      <c r="AL344" t="str">
        <f t="shared" si="29"/>
        <v>Wisconsin_1</v>
      </c>
    </row>
    <row r="345" spans="2:38" x14ac:dyDescent="0.3">
      <c r="B345" s="90" t="s">
        <v>4144</v>
      </c>
      <c r="C345" s="90">
        <v>4.5199999999999996</v>
      </c>
      <c r="D345" s="90">
        <v>33.39</v>
      </c>
      <c r="E345" s="755">
        <v>12.027186736576002</v>
      </c>
      <c r="F345" s="90">
        <v>17.87</v>
      </c>
      <c r="G345" s="90">
        <v>2</v>
      </c>
      <c r="H345" s="90" t="s">
        <v>4584</v>
      </c>
      <c r="I345" s="90">
        <v>25.02</v>
      </c>
      <c r="J345" s="2243" t="s">
        <v>4168</v>
      </c>
      <c r="L345">
        <v>4.75</v>
      </c>
      <c r="M345">
        <v>57.5</v>
      </c>
      <c r="T345">
        <v>3.25</v>
      </c>
      <c r="V345">
        <f t="shared" si="25"/>
        <v>2</v>
      </c>
      <c r="W345" t="str">
        <f t="shared" si="26"/>
        <v>Wisconsin (North Central)</v>
      </c>
      <c r="Z345" t="str">
        <f t="shared" si="27"/>
        <v>Wisconsin</v>
      </c>
      <c r="AA345" t="str">
        <f t="shared" si="28"/>
        <v>Wisconsin_2</v>
      </c>
      <c r="AI345">
        <v>2</v>
      </c>
      <c r="AJ345">
        <v>554.18511515302805</v>
      </c>
      <c r="AK345" t="s">
        <v>3727</v>
      </c>
      <c r="AL345" t="str">
        <f t="shared" si="29"/>
        <v>Wisconsin_2</v>
      </c>
    </row>
    <row r="346" spans="2:38" x14ac:dyDescent="0.3">
      <c r="B346" s="90" t="s">
        <v>4145</v>
      </c>
      <c r="C346" s="90">
        <v>4.0199999999999996</v>
      </c>
      <c r="D346" s="90">
        <v>32.08</v>
      </c>
      <c r="E346" s="755">
        <v>11.867580432256</v>
      </c>
      <c r="F346" s="90">
        <v>20.63</v>
      </c>
      <c r="G346" s="90">
        <v>3</v>
      </c>
      <c r="H346" s="90" t="s">
        <v>4585</v>
      </c>
      <c r="I346" s="90">
        <v>33.07</v>
      </c>
      <c r="J346" s="2243" t="s">
        <v>4168</v>
      </c>
      <c r="L346">
        <v>5</v>
      </c>
      <c r="M346">
        <v>55</v>
      </c>
      <c r="T346">
        <v>3.5</v>
      </c>
      <c r="V346">
        <f t="shared" si="25"/>
        <v>3</v>
      </c>
      <c r="W346" t="str">
        <f t="shared" si="26"/>
        <v>Wisconsin (Northeast)</v>
      </c>
      <c r="Z346" t="str">
        <f t="shared" si="27"/>
        <v>Wisconsin</v>
      </c>
      <c r="AA346" t="str">
        <f t="shared" si="28"/>
        <v>Wisconsin_3</v>
      </c>
      <c r="AI346">
        <v>3</v>
      </c>
      <c r="AJ346">
        <v>543.12173670450613</v>
      </c>
      <c r="AK346" t="s">
        <v>3727</v>
      </c>
      <c r="AL346" t="str">
        <f t="shared" si="29"/>
        <v>Wisconsin_3</v>
      </c>
    </row>
    <row r="347" spans="2:38" x14ac:dyDescent="0.3">
      <c r="B347" s="90" t="s">
        <v>4146</v>
      </c>
      <c r="C347" s="90">
        <v>4.5199999999999996</v>
      </c>
      <c r="D347" s="90">
        <v>34.869999999999997</v>
      </c>
      <c r="E347" s="755">
        <v>13.660861329536003</v>
      </c>
      <c r="F347" s="90">
        <v>31.37</v>
      </c>
      <c r="G347" s="90">
        <v>4</v>
      </c>
      <c r="H347" s="90" t="s">
        <v>4583</v>
      </c>
      <c r="I347" s="90">
        <v>33.36</v>
      </c>
      <c r="J347" s="2243" t="s">
        <v>4168</v>
      </c>
      <c r="L347">
        <v>5</v>
      </c>
      <c r="M347">
        <v>55</v>
      </c>
      <c r="T347">
        <v>3.5</v>
      </c>
      <c r="V347">
        <f t="shared" si="25"/>
        <v>4</v>
      </c>
      <c r="W347" t="str">
        <f t="shared" si="26"/>
        <v>Wisconsin (West Central)</v>
      </c>
      <c r="Z347" t="str">
        <f t="shared" si="27"/>
        <v>Wisconsin</v>
      </c>
      <c r="AA347" t="str">
        <f t="shared" si="28"/>
        <v>Wisconsin_4</v>
      </c>
      <c r="AI347">
        <v>4</v>
      </c>
      <c r="AJ347">
        <v>557.56059047407098</v>
      </c>
      <c r="AK347" t="s">
        <v>3727</v>
      </c>
      <c r="AL347" t="str">
        <f t="shared" si="29"/>
        <v>Wisconsin_4</v>
      </c>
    </row>
    <row r="348" spans="2:38" x14ac:dyDescent="0.3">
      <c r="B348" s="90" t="s">
        <v>4147</v>
      </c>
      <c r="C348" s="90">
        <v>4.5199999999999996</v>
      </c>
      <c r="D348" s="90">
        <v>33.950000000000003</v>
      </c>
      <c r="E348" s="755">
        <v>13.338319324464003</v>
      </c>
      <c r="F348" s="90">
        <v>29.83</v>
      </c>
      <c r="G348" s="90">
        <v>5</v>
      </c>
      <c r="H348" s="90" t="s">
        <v>4585</v>
      </c>
      <c r="I348" s="90">
        <v>33.07</v>
      </c>
      <c r="J348" s="2243" t="s">
        <v>4168</v>
      </c>
      <c r="L348">
        <v>5</v>
      </c>
      <c r="M348">
        <v>55</v>
      </c>
      <c r="T348">
        <v>3.5</v>
      </c>
      <c r="V348">
        <f t="shared" si="25"/>
        <v>5</v>
      </c>
      <c r="W348" t="str">
        <f t="shared" si="26"/>
        <v>Wisconsin (Central)</v>
      </c>
      <c r="Z348" t="str">
        <f t="shared" si="27"/>
        <v>Wisconsin</v>
      </c>
      <c r="AA348" t="str">
        <f t="shared" si="28"/>
        <v>Wisconsin_5</v>
      </c>
      <c r="AI348">
        <v>5</v>
      </c>
      <c r="AJ348">
        <v>504.66179920866409</v>
      </c>
      <c r="AK348" t="s">
        <v>3727</v>
      </c>
      <c r="AL348" t="str">
        <f t="shared" si="29"/>
        <v>Wisconsin_5</v>
      </c>
    </row>
    <row r="349" spans="2:38" x14ac:dyDescent="0.3">
      <c r="B349" s="90" t="s">
        <v>4148</v>
      </c>
      <c r="C349" s="90">
        <v>4.5199999999999996</v>
      </c>
      <c r="D349" s="90">
        <v>32.659999999999997</v>
      </c>
      <c r="E349" s="755">
        <v>12.434022707600001</v>
      </c>
      <c r="F349" s="90">
        <v>26.8</v>
      </c>
      <c r="G349" s="90">
        <v>6</v>
      </c>
      <c r="H349" s="90" t="s">
        <v>4585</v>
      </c>
      <c r="I349" s="90">
        <v>33.07</v>
      </c>
      <c r="J349" s="2243" t="s">
        <v>4168</v>
      </c>
      <c r="L349">
        <v>5</v>
      </c>
      <c r="M349">
        <v>55</v>
      </c>
      <c r="T349">
        <v>3.5</v>
      </c>
      <c r="V349">
        <f t="shared" si="25"/>
        <v>6</v>
      </c>
      <c r="W349" t="str">
        <f t="shared" si="26"/>
        <v>Wisconsin (East Central)</v>
      </c>
      <c r="Z349" t="str">
        <f t="shared" si="27"/>
        <v>Wisconsin</v>
      </c>
      <c r="AA349" t="str">
        <f t="shared" si="28"/>
        <v>Wisconsin_6</v>
      </c>
      <c r="AI349">
        <v>6</v>
      </c>
      <c r="AJ349">
        <v>487.45720229620548</v>
      </c>
      <c r="AK349" t="s">
        <v>3727</v>
      </c>
      <c r="AL349" t="str">
        <f t="shared" si="29"/>
        <v>Wisconsin_6</v>
      </c>
    </row>
    <row r="350" spans="2:38" x14ac:dyDescent="0.3">
      <c r="B350" s="90" t="s">
        <v>4149</v>
      </c>
      <c r="C350" s="90">
        <v>5.49</v>
      </c>
      <c r="D350" s="90">
        <v>37.599999999999987</v>
      </c>
      <c r="E350" s="755">
        <v>14.341315419551998</v>
      </c>
      <c r="F350" s="90">
        <v>36.24</v>
      </c>
      <c r="G350" s="90">
        <v>7</v>
      </c>
      <c r="H350" s="90" t="s">
        <v>4583</v>
      </c>
      <c r="I350" s="90">
        <v>33.36</v>
      </c>
      <c r="J350" s="2243" t="s">
        <v>4168</v>
      </c>
      <c r="L350">
        <v>5.5</v>
      </c>
      <c r="M350">
        <v>52.5</v>
      </c>
      <c r="T350">
        <v>3.75</v>
      </c>
      <c r="V350">
        <f t="shared" si="25"/>
        <v>7</v>
      </c>
      <c r="W350" t="str">
        <f t="shared" si="26"/>
        <v>Wisconsin (Southwest)</v>
      </c>
      <c r="Z350" t="str">
        <f t="shared" si="27"/>
        <v>Wisconsin</v>
      </c>
      <c r="AA350" t="str">
        <f t="shared" si="28"/>
        <v>Wisconsin_7</v>
      </c>
      <c r="AI350">
        <v>7</v>
      </c>
      <c r="AJ350">
        <v>571.4960398947037</v>
      </c>
      <c r="AK350" t="s">
        <v>3727</v>
      </c>
      <c r="AL350" t="str">
        <f t="shared" si="29"/>
        <v>Wisconsin_7</v>
      </c>
    </row>
    <row r="351" spans="2:38" x14ac:dyDescent="0.3">
      <c r="B351" s="90" t="s">
        <v>4150</v>
      </c>
      <c r="C351" s="90">
        <v>4.5199999999999996</v>
      </c>
      <c r="D351" s="90">
        <v>36.650000000000013</v>
      </c>
      <c r="E351" s="755">
        <v>14.349693372576004</v>
      </c>
      <c r="F351" s="90">
        <v>37.76</v>
      </c>
      <c r="G351" s="90">
        <v>8</v>
      </c>
      <c r="H351" s="90" t="s">
        <v>4586</v>
      </c>
      <c r="I351" s="90">
        <v>33.36</v>
      </c>
      <c r="J351" s="2243" t="s">
        <v>4168</v>
      </c>
      <c r="L351">
        <v>5.5</v>
      </c>
      <c r="M351">
        <v>52.5</v>
      </c>
      <c r="T351">
        <v>3.75</v>
      </c>
      <c r="V351">
        <f t="shared" si="25"/>
        <v>8</v>
      </c>
      <c r="W351" t="str">
        <f t="shared" si="26"/>
        <v>Wisconsin (South Central)</v>
      </c>
      <c r="Z351" t="str">
        <f t="shared" si="27"/>
        <v>Wisconsin</v>
      </c>
      <c r="AA351" t="str">
        <f t="shared" si="28"/>
        <v>Wisconsin_8</v>
      </c>
      <c r="AI351">
        <v>8</v>
      </c>
      <c r="AJ351">
        <v>502.34867049471939</v>
      </c>
      <c r="AK351" t="s">
        <v>3727</v>
      </c>
      <c r="AL351" t="str">
        <f t="shared" si="29"/>
        <v>Wisconsin_8</v>
      </c>
    </row>
    <row r="352" spans="2:38" x14ac:dyDescent="0.3">
      <c r="B352" s="90" t="s">
        <v>4151</v>
      </c>
      <c r="C352" s="90">
        <v>4.68</v>
      </c>
      <c r="D352" s="90">
        <v>35.28</v>
      </c>
      <c r="E352" s="755">
        <v>13.749016188000002</v>
      </c>
      <c r="F352" s="90">
        <v>35.04</v>
      </c>
      <c r="G352" s="90">
        <v>9</v>
      </c>
      <c r="H352" s="90" t="s">
        <v>4586</v>
      </c>
      <c r="I352" s="90">
        <v>33.36</v>
      </c>
      <c r="J352" s="2243" t="s">
        <v>4168</v>
      </c>
      <c r="L352">
        <v>5.5</v>
      </c>
      <c r="M352">
        <v>52.5</v>
      </c>
      <c r="T352">
        <v>3.75</v>
      </c>
      <c r="V352">
        <f t="shared" si="25"/>
        <v>9</v>
      </c>
      <c r="W352" t="str">
        <f t="shared" si="26"/>
        <v>Wisconsin (Southeast)</v>
      </c>
      <c r="Z352" t="str">
        <f t="shared" si="27"/>
        <v>Wisconsin</v>
      </c>
      <c r="AA352" t="str">
        <f t="shared" si="28"/>
        <v>Wisconsin_9</v>
      </c>
      <c r="AI352">
        <v>9</v>
      </c>
      <c r="AJ352">
        <v>475.50490145051378</v>
      </c>
      <c r="AK352" t="s">
        <v>3727</v>
      </c>
      <c r="AL352" t="str">
        <f t="shared" si="29"/>
        <v>Wisconsin_9</v>
      </c>
    </row>
    <row r="353" spans="1:38" x14ac:dyDescent="0.3">
      <c r="B353" s="90" t="s">
        <v>4152</v>
      </c>
      <c r="C353" s="90">
        <v>3</v>
      </c>
      <c r="D353" s="90">
        <v>28.21</v>
      </c>
      <c r="E353" s="755">
        <v>5.2190198520479996</v>
      </c>
      <c r="F353" s="90">
        <v>2.79</v>
      </c>
      <c r="G353" s="90">
        <v>1</v>
      </c>
      <c r="H353" s="90" t="s">
        <v>4587</v>
      </c>
      <c r="I353" s="90">
        <v>38.5</v>
      </c>
      <c r="J353" s="2242" t="s">
        <v>4169</v>
      </c>
      <c r="L353">
        <v>5.5</v>
      </c>
      <c r="M353">
        <v>52.5</v>
      </c>
      <c r="T353">
        <v>3.75</v>
      </c>
      <c r="V353">
        <f t="shared" si="25"/>
        <v>1</v>
      </c>
      <c r="W353" t="str">
        <f t="shared" si="26"/>
        <v>Wyoming (Yellowstone Drainage)</v>
      </c>
      <c r="Z353" t="str">
        <f t="shared" si="27"/>
        <v>Wyoming</v>
      </c>
      <c r="AA353" t="str">
        <f t="shared" si="28"/>
        <v>Wyoming_1</v>
      </c>
      <c r="AI353">
        <v>1</v>
      </c>
      <c r="AJ353">
        <v>429.61881139057698</v>
      </c>
      <c r="AK353" t="s">
        <v>3728</v>
      </c>
      <c r="AL353" t="str">
        <f t="shared" si="29"/>
        <v>Wyoming_1</v>
      </c>
    </row>
    <row r="354" spans="1:38" x14ac:dyDescent="0.3">
      <c r="B354" s="90" t="s">
        <v>4153</v>
      </c>
      <c r="C354" s="90">
        <v>3</v>
      </c>
      <c r="D354" s="90">
        <v>33.96</v>
      </c>
      <c r="E354" s="755">
        <v>7.4343611302880008</v>
      </c>
      <c r="F354" s="90">
        <v>2.48</v>
      </c>
      <c r="G354" s="90">
        <v>2</v>
      </c>
      <c r="H354" s="90" t="s">
        <v>4588</v>
      </c>
      <c r="I354" s="90">
        <v>44.54</v>
      </c>
      <c r="J354" s="2244" t="s">
        <v>4170</v>
      </c>
      <c r="L354">
        <v>6</v>
      </c>
      <c r="M354">
        <v>50</v>
      </c>
      <c r="T354">
        <v>4</v>
      </c>
      <c r="V354">
        <f t="shared" si="25"/>
        <v>2</v>
      </c>
      <c r="W354" t="str">
        <f t="shared" si="26"/>
        <v>Wyoming (Snake Drainage)</v>
      </c>
      <c r="Z354" t="str">
        <f t="shared" si="27"/>
        <v>Wyoming</v>
      </c>
      <c r="AA354" t="str">
        <f t="shared" si="28"/>
        <v>Wyoming_2</v>
      </c>
      <c r="AI354">
        <v>2</v>
      </c>
      <c r="AJ354">
        <v>583.15379179280649</v>
      </c>
      <c r="AK354" t="s">
        <v>3728</v>
      </c>
      <c r="AL354" t="str">
        <f t="shared" si="29"/>
        <v>Wyoming_2</v>
      </c>
    </row>
    <row r="355" spans="1:38" x14ac:dyDescent="0.3">
      <c r="B355" s="90" t="s">
        <v>4154</v>
      </c>
      <c r="C355" s="90">
        <v>2</v>
      </c>
      <c r="D355" s="90">
        <v>13.49</v>
      </c>
      <c r="E355" s="755">
        <v>3.3938334419359997</v>
      </c>
      <c r="F355" s="90">
        <v>14.26</v>
      </c>
      <c r="G355" s="90">
        <v>3</v>
      </c>
      <c r="H355" s="90" t="s">
        <v>4589</v>
      </c>
      <c r="I355" s="90">
        <v>49.47</v>
      </c>
      <c r="J355" s="2242" t="s">
        <v>4169</v>
      </c>
      <c r="L355">
        <v>6.4</v>
      </c>
      <c r="M355">
        <v>49</v>
      </c>
      <c r="T355">
        <v>4.25</v>
      </c>
      <c r="V355">
        <f t="shared" si="25"/>
        <v>3</v>
      </c>
      <c r="W355" t="str">
        <f t="shared" si="26"/>
        <v>Wyoming (Green and Bear Drainage)</v>
      </c>
      <c r="Z355" t="str">
        <f t="shared" si="27"/>
        <v>Wyoming</v>
      </c>
      <c r="AA355" t="str">
        <f t="shared" si="28"/>
        <v>Wyoming_3</v>
      </c>
      <c r="AI355">
        <v>3</v>
      </c>
      <c r="AJ355">
        <v>289.50539417008702</v>
      </c>
      <c r="AK355" t="s">
        <v>3728</v>
      </c>
      <c r="AL355" t="str">
        <f t="shared" si="29"/>
        <v>Wyoming_3</v>
      </c>
    </row>
    <row r="356" spans="1:38" x14ac:dyDescent="0.3">
      <c r="B356" s="90" t="s">
        <v>4155</v>
      </c>
      <c r="C356" s="90">
        <v>2.5</v>
      </c>
      <c r="D356" s="90">
        <v>15.16</v>
      </c>
      <c r="E356" s="755">
        <v>4.2992048619840002</v>
      </c>
      <c r="F356" s="90">
        <v>18.89</v>
      </c>
      <c r="G356" s="90">
        <v>4</v>
      </c>
      <c r="H356" s="90" t="s">
        <v>4590</v>
      </c>
      <c r="I356" s="90">
        <v>46.05</v>
      </c>
      <c r="J356" s="2242" t="s">
        <v>4169</v>
      </c>
      <c r="L356">
        <v>5.5</v>
      </c>
      <c r="M356">
        <v>52.5</v>
      </c>
      <c r="T356">
        <v>3.75</v>
      </c>
      <c r="V356">
        <f t="shared" si="25"/>
        <v>4</v>
      </c>
      <c r="W356" t="str">
        <f t="shared" si="26"/>
        <v>Wyoming (Big Horn)</v>
      </c>
      <c r="Z356" t="str">
        <f t="shared" si="27"/>
        <v>Wyoming</v>
      </c>
      <c r="AA356" t="str">
        <f t="shared" si="28"/>
        <v>Wyoming_4</v>
      </c>
      <c r="AI356">
        <v>4</v>
      </c>
      <c r="AJ356">
        <v>260.6961840389406</v>
      </c>
      <c r="AK356" t="s">
        <v>3728</v>
      </c>
      <c r="AL356" t="str">
        <f t="shared" si="29"/>
        <v>Wyoming_4</v>
      </c>
    </row>
    <row r="357" spans="1:38" x14ac:dyDescent="0.3">
      <c r="B357" s="90" t="s">
        <v>4156</v>
      </c>
      <c r="C357" s="90">
        <v>2.5</v>
      </c>
      <c r="D357" s="90">
        <v>15.3</v>
      </c>
      <c r="E357" s="755">
        <v>6.2138177841440028</v>
      </c>
      <c r="F357" s="90">
        <v>27.77</v>
      </c>
      <c r="G357" s="90">
        <v>5</v>
      </c>
      <c r="H357" s="90" t="s">
        <v>4591</v>
      </c>
      <c r="I357" s="90">
        <v>48.56</v>
      </c>
      <c r="J357" s="2242" t="s">
        <v>4169</v>
      </c>
      <c r="L357">
        <v>5</v>
      </c>
      <c r="M357">
        <v>55</v>
      </c>
      <c r="T357">
        <v>3.5</v>
      </c>
      <c r="V357">
        <f t="shared" si="25"/>
        <v>5</v>
      </c>
      <c r="W357" t="str">
        <f t="shared" si="26"/>
        <v>Wyoming (Powder, Little Mo &amp; Tongue Drainages)</v>
      </c>
      <c r="Z357" t="str">
        <f t="shared" si="27"/>
        <v>Wyoming</v>
      </c>
      <c r="AA357" t="str">
        <f t="shared" si="28"/>
        <v>Wyoming_5</v>
      </c>
      <c r="AI357">
        <v>5</v>
      </c>
      <c r="AJ357">
        <v>304.64735571917788</v>
      </c>
      <c r="AK357" t="s">
        <v>3728</v>
      </c>
      <c r="AL357" t="str">
        <f t="shared" si="29"/>
        <v>Wyoming_5</v>
      </c>
    </row>
    <row r="358" spans="1:38" x14ac:dyDescent="0.3">
      <c r="B358" s="90" t="s">
        <v>4157</v>
      </c>
      <c r="C358" s="90">
        <v>3</v>
      </c>
      <c r="D358" s="90">
        <v>17.32</v>
      </c>
      <c r="E358" s="755">
        <v>6.925463476207999</v>
      </c>
      <c r="F358" s="90">
        <v>30.5</v>
      </c>
      <c r="G358" s="90">
        <v>6</v>
      </c>
      <c r="H358" s="90" t="s">
        <v>4592</v>
      </c>
      <c r="I358" s="90">
        <v>42.45</v>
      </c>
      <c r="J358" s="2242" t="s">
        <v>4169</v>
      </c>
      <c r="L358">
        <v>5</v>
      </c>
      <c r="M358">
        <v>55</v>
      </c>
      <c r="T358">
        <v>3.5</v>
      </c>
      <c r="V358">
        <f t="shared" si="25"/>
        <v>6</v>
      </c>
      <c r="W358" t="str">
        <f t="shared" si="26"/>
        <v>Wyoming (Belle Fourche Drainage)</v>
      </c>
      <c r="Z358" t="str">
        <f t="shared" si="27"/>
        <v>Wyoming</v>
      </c>
      <c r="AA358" t="str">
        <f t="shared" si="28"/>
        <v>Wyoming_6</v>
      </c>
      <c r="AI358">
        <v>6</v>
      </c>
      <c r="AJ358">
        <v>392.71313075786588</v>
      </c>
      <c r="AK358" t="s">
        <v>3728</v>
      </c>
      <c r="AL358" t="str">
        <f t="shared" si="29"/>
        <v>Wyoming_6</v>
      </c>
    </row>
    <row r="359" spans="1:38" x14ac:dyDescent="0.3">
      <c r="B359" s="90" t="s">
        <v>4158</v>
      </c>
      <c r="C359" s="90">
        <v>2.5</v>
      </c>
      <c r="D359" s="90">
        <v>14.85</v>
      </c>
      <c r="E359" s="755">
        <v>6.6579700293279993</v>
      </c>
      <c r="F359" s="90">
        <v>37.19</v>
      </c>
      <c r="G359" s="90">
        <v>7</v>
      </c>
      <c r="H359" s="90" t="s">
        <v>4593</v>
      </c>
      <c r="I359" s="90">
        <v>48.49</v>
      </c>
      <c r="J359" s="2242" t="s">
        <v>4169</v>
      </c>
      <c r="L359">
        <v>5</v>
      </c>
      <c r="M359">
        <v>55</v>
      </c>
      <c r="T359">
        <v>3.5</v>
      </c>
      <c r="V359">
        <f t="shared" si="25"/>
        <v>7</v>
      </c>
      <c r="W359" t="str">
        <f t="shared" si="26"/>
        <v>Wyoming (Cheyenne Niobrara Drainage)</v>
      </c>
      <c r="Z359" t="str">
        <f t="shared" si="27"/>
        <v>Wyoming</v>
      </c>
      <c r="AA359" t="str">
        <f t="shared" si="28"/>
        <v>Wyoming_7</v>
      </c>
      <c r="AI359">
        <v>7</v>
      </c>
      <c r="AJ359">
        <v>279.4449851672727</v>
      </c>
      <c r="AK359" t="s">
        <v>3728</v>
      </c>
      <c r="AL359" t="str">
        <f t="shared" si="29"/>
        <v>Wyoming_7</v>
      </c>
    </row>
    <row r="360" spans="1:38" x14ac:dyDescent="0.3">
      <c r="B360" s="90" t="s">
        <v>4159</v>
      </c>
      <c r="C360" s="90">
        <v>2.5</v>
      </c>
      <c r="D360" s="90">
        <v>14.79</v>
      </c>
      <c r="E360" s="755">
        <v>6.2175973118240009</v>
      </c>
      <c r="F360" s="90">
        <v>31.38</v>
      </c>
      <c r="G360" s="90">
        <v>8</v>
      </c>
      <c r="H360" s="90" t="s">
        <v>4594</v>
      </c>
      <c r="I360" s="90">
        <v>39</v>
      </c>
      <c r="J360" s="2242" t="s">
        <v>4169</v>
      </c>
      <c r="L360">
        <v>6</v>
      </c>
      <c r="M360">
        <v>50</v>
      </c>
      <c r="T360">
        <v>4</v>
      </c>
      <c r="V360">
        <f t="shared" si="25"/>
        <v>8</v>
      </c>
      <c r="W360" t="str">
        <f t="shared" si="26"/>
        <v>Wyoming (Lower Platte)</v>
      </c>
      <c r="Z360" t="str">
        <f t="shared" si="27"/>
        <v>Wyoming</v>
      </c>
      <c r="AA360" t="str">
        <f t="shared" si="28"/>
        <v>Wyoming_8</v>
      </c>
      <c r="AI360">
        <v>8</v>
      </c>
      <c r="AJ360">
        <v>312.91606148992872</v>
      </c>
      <c r="AK360" t="s">
        <v>3728</v>
      </c>
      <c r="AL360" t="str">
        <f t="shared" si="29"/>
        <v>Wyoming_8</v>
      </c>
    </row>
    <row r="361" spans="1:38" x14ac:dyDescent="0.3">
      <c r="B361" s="90" t="s">
        <v>4160</v>
      </c>
      <c r="C361" s="90">
        <v>2.5</v>
      </c>
      <c r="D361" s="90">
        <v>14.87</v>
      </c>
      <c r="E361" s="755">
        <v>4.0637809699360004</v>
      </c>
      <c r="F361" s="90">
        <v>16.739999999999998</v>
      </c>
      <c r="G361" s="90">
        <v>9</v>
      </c>
      <c r="H361" s="90" t="s">
        <v>4595</v>
      </c>
      <c r="I361" s="90">
        <v>39.83</v>
      </c>
      <c r="J361" s="2242" t="s">
        <v>4169</v>
      </c>
      <c r="L361">
        <v>6</v>
      </c>
      <c r="M361">
        <v>50</v>
      </c>
      <c r="T361">
        <v>4</v>
      </c>
      <c r="V361">
        <f t="shared" si="25"/>
        <v>9</v>
      </c>
      <c r="W361" t="str">
        <f t="shared" si="26"/>
        <v>Wyoming (Wind River)</v>
      </c>
      <c r="Z361" t="str">
        <f t="shared" si="27"/>
        <v>Wyoming</v>
      </c>
      <c r="AA361" t="str">
        <f t="shared" si="28"/>
        <v>Wyoming_9</v>
      </c>
      <c r="AI361">
        <v>9</v>
      </c>
      <c r="AJ361">
        <v>296.36105003022931</v>
      </c>
      <c r="AK361" t="s">
        <v>3728</v>
      </c>
      <c r="AL361" t="str">
        <f t="shared" si="29"/>
        <v>Wyoming_9</v>
      </c>
    </row>
    <row r="362" spans="1:38" x14ac:dyDescent="0.3">
      <c r="B362" s="90" t="s">
        <v>4161</v>
      </c>
      <c r="C362" s="90">
        <v>2.5</v>
      </c>
      <c r="D362" s="90">
        <v>13</v>
      </c>
      <c r="E362" s="755">
        <v>4.3550342600960006</v>
      </c>
      <c r="F362" s="90">
        <v>18.239999999999998</v>
      </c>
      <c r="G362" s="90">
        <v>10</v>
      </c>
      <c r="H362" s="90" t="s">
        <v>4596</v>
      </c>
      <c r="I362" s="90">
        <v>53</v>
      </c>
      <c r="J362" s="2242" t="s">
        <v>4169</v>
      </c>
      <c r="L362">
        <v>6.4</v>
      </c>
      <c r="M362">
        <v>49</v>
      </c>
      <c r="T362">
        <v>4.25</v>
      </c>
      <c r="V362">
        <f t="shared" si="25"/>
        <v>10</v>
      </c>
      <c r="W362" t="str">
        <f t="shared" si="26"/>
        <v>Wyoming (Upper Platte)</v>
      </c>
      <c r="Z362" t="str">
        <f t="shared" si="27"/>
        <v>Wyoming</v>
      </c>
      <c r="AA362" t="str">
        <f t="shared" si="28"/>
        <v>Wyoming_10</v>
      </c>
      <c r="AI362">
        <v>10</v>
      </c>
      <c r="AJ362">
        <v>312.00672545013441</v>
      </c>
      <c r="AK362" t="s">
        <v>3728</v>
      </c>
      <c r="AL362" t="str">
        <f t="shared" si="29"/>
        <v>Wyoming_10</v>
      </c>
    </row>
    <row r="363" spans="1:38" x14ac:dyDescent="0.3">
      <c r="A363" s="818"/>
      <c r="B363" s="818"/>
      <c r="C363" s="818"/>
      <c r="D363" s="818"/>
      <c r="E363" s="818"/>
      <c r="F363" s="818"/>
      <c r="G363" s="818"/>
      <c r="H363" s="818"/>
      <c r="I363" s="818"/>
      <c r="J363" s="818"/>
      <c r="K363" s="818"/>
      <c r="L363" s="818"/>
      <c r="M363" s="818"/>
      <c r="N363" s="818"/>
      <c r="O363" s="818"/>
      <c r="P363" s="818"/>
      <c r="Q363" s="818"/>
      <c r="R363" s="818"/>
      <c r="S363" s="818"/>
      <c r="T363" s="818"/>
      <c r="U363" s="818"/>
      <c r="V363" s="818"/>
      <c r="W363" s="818"/>
      <c r="X363" s="818"/>
      <c r="Y363" s="818"/>
      <c r="Z363" s="818"/>
      <c r="AA363" s="818"/>
      <c r="AB363" s="818"/>
      <c r="AC363" s="818"/>
      <c r="AD363" s="81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118F-1C99-4557-9E78-726CA4A1BF7A}">
  <dimension ref="A1:O62"/>
  <sheetViews>
    <sheetView workbookViewId="0">
      <selection sqref="A1:C1"/>
    </sheetView>
  </sheetViews>
  <sheetFormatPr defaultColWidth="9.109375" defaultRowHeight="15.6" x14ac:dyDescent="0.3"/>
  <cols>
    <col min="1" max="1" width="83.6640625" style="2197" customWidth="1"/>
    <col min="2" max="2" width="25.44140625" style="2197" customWidth="1"/>
    <col min="3" max="3" width="18.6640625" style="2197" bestFit="1" customWidth="1"/>
    <col min="4" max="4" width="16.5546875" style="2197" bestFit="1" customWidth="1"/>
    <col min="5" max="5" width="21" style="2197" customWidth="1"/>
    <col min="6" max="6" width="11.88671875" style="2197" bestFit="1" customWidth="1"/>
    <col min="7" max="7" width="20.109375" style="2197" bestFit="1" customWidth="1"/>
    <col min="8" max="8" width="18" style="2197" bestFit="1" customWidth="1"/>
    <col min="9" max="9" width="18.5546875" style="2197" bestFit="1" customWidth="1"/>
    <col min="10" max="10" width="13.5546875" style="2197" bestFit="1" customWidth="1"/>
    <col min="11" max="11" width="15.44140625" style="2197" bestFit="1" customWidth="1"/>
    <col min="12" max="12" width="13.33203125" style="2197" bestFit="1" customWidth="1"/>
    <col min="13" max="13" width="15.44140625" style="2197" customWidth="1"/>
    <col min="14" max="14" width="19.109375" style="2197" customWidth="1"/>
    <col min="15" max="15" width="9.88671875" style="2197" customWidth="1"/>
    <col min="16" max="16384" width="9.109375" style="2197"/>
  </cols>
  <sheetData>
    <row r="1" spans="1:15" x14ac:dyDescent="0.3">
      <c r="A1" s="2195" t="s">
        <v>4597</v>
      </c>
      <c r="B1" s="2196"/>
      <c r="C1" s="2196"/>
      <c r="D1" s="2196"/>
      <c r="E1" s="2251" t="s">
        <v>4598</v>
      </c>
      <c r="F1" s="2196"/>
      <c r="G1" s="2196"/>
      <c r="H1" s="2196"/>
      <c r="I1" s="2196"/>
      <c r="J1" s="2196"/>
      <c r="K1" s="2196"/>
      <c r="L1" s="2196"/>
      <c r="N1" s="2233"/>
      <c r="O1" s="2233"/>
    </row>
    <row r="2" spans="1:15" x14ac:dyDescent="0.3">
      <c r="A2" s="2198"/>
      <c r="B2" s="2199"/>
      <c r="C2" s="2200" t="s">
        <v>4599</v>
      </c>
      <c r="D2" s="2201"/>
      <c r="E2" s="2201"/>
      <c r="F2" s="2201"/>
      <c r="G2" s="2201"/>
      <c r="H2" s="2201"/>
      <c r="I2" s="2201"/>
      <c r="J2" s="2201"/>
      <c r="K2" s="2201"/>
      <c r="L2" s="2202"/>
      <c r="N2" s="2233"/>
      <c r="O2" s="2233"/>
    </row>
    <row r="3" spans="1:15" x14ac:dyDescent="0.3">
      <c r="A3" s="2203"/>
      <c r="B3" s="2204"/>
      <c r="C3" s="2205" t="s">
        <v>4600</v>
      </c>
      <c r="D3" s="2205" t="s">
        <v>4600</v>
      </c>
      <c r="E3" s="2205" t="s">
        <v>4600</v>
      </c>
      <c r="F3" s="2205" t="s">
        <v>4600</v>
      </c>
      <c r="G3" s="2206" t="s">
        <v>4601</v>
      </c>
      <c r="H3" s="2206" t="s">
        <v>4601</v>
      </c>
      <c r="I3" s="2206" t="s">
        <v>4602</v>
      </c>
      <c r="J3" s="2206" t="s">
        <v>4602</v>
      </c>
      <c r="K3" s="2206" t="s">
        <v>4602</v>
      </c>
      <c r="L3" s="2206" t="s">
        <v>4602</v>
      </c>
      <c r="M3" s="2248" t="s">
        <v>4603</v>
      </c>
      <c r="N3" s="2233"/>
      <c r="O3" s="2233"/>
    </row>
    <row r="4" spans="1:15" x14ac:dyDescent="0.3">
      <c r="A4" s="2208" t="s">
        <v>4604</v>
      </c>
      <c r="B4" s="2209"/>
      <c r="C4" s="2210" t="s">
        <v>4605</v>
      </c>
      <c r="D4" s="2210" t="s">
        <v>4606</v>
      </c>
      <c r="E4" s="2210" t="s">
        <v>4607</v>
      </c>
      <c r="F4" s="2210" t="s">
        <v>4608</v>
      </c>
      <c r="G4" s="2210" t="s">
        <v>4609</v>
      </c>
      <c r="H4" s="2210" t="s">
        <v>4610</v>
      </c>
      <c r="I4" s="2210" t="s">
        <v>4611</v>
      </c>
      <c r="J4" s="2210" t="s">
        <v>4612</v>
      </c>
      <c r="K4" s="2210" t="s">
        <v>4613</v>
      </c>
      <c r="L4" s="2205" t="s">
        <v>4614</v>
      </c>
      <c r="M4" s="2248"/>
      <c r="N4" s="2233"/>
      <c r="O4" s="2233"/>
    </row>
    <row r="5" spans="1:15" x14ac:dyDescent="0.3">
      <c r="A5" s="2208"/>
      <c r="B5" s="2209"/>
      <c r="C5" s="2210">
        <v>4.5999999999999996</v>
      </c>
      <c r="D5" s="2210">
        <v>5.8</v>
      </c>
      <c r="E5" s="2210">
        <v>4.5999999999999996</v>
      </c>
      <c r="F5" s="2210">
        <v>5.8</v>
      </c>
      <c r="G5" s="2210">
        <v>13.9</v>
      </c>
      <c r="H5" s="2210">
        <v>14</v>
      </c>
      <c r="I5" s="2210">
        <v>21.5</v>
      </c>
      <c r="J5" s="2210">
        <v>25.9</v>
      </c>
      <c r="K5" s="2210">
        <v>25.2</v>
      </c>
      <c r="L5" s="2205">
        <v>25.6</v>
      </c>
      <c r="M5" s="2248"/>
      <c r="N5" s="2212"/>
      <c r="O5" s="2212"/>
    </row>
    <row r="6" spans="1:15" x14ac:dyDescent="0.3">
      <c r="A6" s="2213" t="s">
        <v>4615</v>
      </c>
      <c r="B6" s="2214"/>
      <c r="C6" s="2215">
        <v>0.6</v>
      </c>
      <c r="D6" s="2215">
        <v>0.67</v>
      </c>
      <c r="E6" s="2215">
        <v>0.5</v>
      </c>
      <c r="F6" s="2215">
        <v>0.49</v>
      </c>
      <c r="G6" s="2215">
        <v>0.73</v>
      </c>
      <c r="H6" s="2215">
        <v>0.76</v>
      </c>
      <c r="I6" s="2215">
        <v>0.76</v>
      </c>
      <c r="J6" s="2215">
        <v>0.8</v>
      </c>
      <c r="K6" s="2215">
        <v>0.8</v>
      </c>
      <c r="L6" s="2222">
        <v>0.8</v>
      </c>
      <c r="M6" s="2248"/>
      <c r="N6" s="2233"/>
      <c r="O6" s="2233"/>
    </row>
    <row r="7" spans="1:15" x14ac:dyDescent="0.3">
      <c r="A7" s="2217" t="s">
        <v>4616</v>
      </c>
      <c r="B7" s="2214" t="s">
        <v>4617</v>
      </c>
      <c r="C7" s="2235">
        <f>-0.00000125*$M7^2+0.00125055*$M7+0.02102851</f>
        <v>0.31094801</v>
      </c>
      <c r="D7" s="2235">
        <f>-0.00000096*$M7^2+0.00139446*$M7+0.03953161</f>
        <v>0.42061350999999997</v>
      </c>
      <c r="E7" s="2235">
        <f>-0.00000066*$M7^2+0.00077594*$M7+0.01501207</f>
        <v>0.21030167</v>
      </c>
      <c r="F7" s="2235">
        <f>-0.0000008*$M7^2+0.00080541*$M7+0.0139566</f>
        <v>0.20135124999999998</v>
      </c>
      <c r="G7" s="2235">
        <f>-0.00000196*$M7^2+0.00202234*$M7+0.07258716</f>
        <v>0.54962026000000008</v>
      </c>
      <c r="H7" s="2235">
        <f>-0.0000016*$M7^2+0.00207459*$M7+0.09469492</f>
        <v>0.63876026999999991</v>
      </c>
      <c r="I7" s="2235">
        <f>-0.00000485*$M7^2+0.00332223*$M7+0.16168823</f>
        <v>0.72816092999999993</v>
      </c>
      <c r="J7" s="2235">
        <f>0.00000002*$M7^3-0.00002067*$M7^2+0.00592606*$M7+0.22106725</f>
        <v>0.60286090000000003</v>
      </c>
      <c r="K7" s="2235">
        <f>0.00000002*$M7^3-0.00001705*$M7^2+0.00531747*$M7+0.21538333</f>
        <v>0.85731612999999973</v>
      </c>
      <c r="L7" s="2221">
        <f>0.00000003*$M7^3-0.0000221*$M7^2+0.00565215*$M7+0.26949227</f>
        <v>0.84706826999999985</v>
      </c>
      <c r="M7" s="2249">
        <f>UDV.dpss.HRT</f>
        <v>365</v>
      </c>
      <c r="N7" s="2233"/>
      <c r="O7" s="2233"/>
    </row>
    <row r="8" spans="1:15" x14ac:dyDescent="0.3">
      <c r="A8" s="2217" t="s">
        <v>4616</v>
      </c>
      <c r="B8" s="2214" t="s">
        <v>4618</v>
      </c>
      <c r="C8" s="2235">
        <f t="shared" ref="C8:C12" si="0">-0.00000125*$M8^2+0.00125055*$M8+0.02102851</f>
        <v>2.9721110000000002E-2</v>
      </c>
      <c r="D8" s="2235">
        <f t="shared" ref="D8:D12" si="1">-0.00000096*$M8^2+0.00139446*$M8+0.03953161</f>
        <v>4.9245789999999998E-2</v>
      </c>
      <c r="E8" s="2235">
        <f t="shared" ref="E8:E12" si="2">-0.00000066*$M8^2+0.00077594*$M8+0.01501207</f>
        <v>2.0411310000000002E-2</v>
      </c>
      <c r="F8" s="2235">
        <f t="shared" ref="F8:F12" si="3">-0.0000008*$M8^2+0.00080541*$M8+0.0139566</f>
        <v>1.955527E-2</v>
      </c>
      <c r="G8" s="2235">
        <f t="shared" ref="G8:G12" si="4">-0.00000196*$M8^2+0.00202234*$M8+0.07258716</f>
        <v>8.6647500000000002E-2</v>
      </c>
      <c r="H8" s="2235">
        <f t="shared" ref="H8:H12" si="5">-0.0000016*$M8^2+0.00207459*$M8+0.09469492</f>
        <v>0.10913865</v>
      </c>
      <c r="I8" s="2235">
        <f t="shared" ref="I8:I12" si="6">-0.00000485*$M8^2+0.00332223*$M8+0.16168823</f>
        <v>0.18470618999999999</v>
      </c>
      <c r="J8" s="2235">
        <f t="shared" ref="J8:J12" si="7">0.00000002*$M8^3-0.00002067*$M8^2+0.00592606*$M8+0.22106725</f>
        <v>0.26154369999999999</v>
      </c>
      <c r="K8" s="2235">
        <f t="shared" ref="K8:K12" si="8">0.00000002*$M8^3-0.00001705*$M8^2+0.00531747*$M8+0.21538333</f>
        <v>0.25177703000000001</v>
      </c>
      <c r="L8" s="2221">
        <f t="shared" ref="L8:L12" si="9">0.00000003*$M8^3-0.0000221*$M8^2+0.00565215*$M8+0.26949227</f>
        <v>0.30798470999999999</v>
      </c>
      <c r="M8" s="2249">
        <f>UDV.shallow_pit.flush_waste_storage</f>
        <v>7</v>
      </c>
      <c r="N8" s="2233"/>
      <c r="O8" s="2233"/>
    </row>
    <row r="9" spans="1:15" x14ac:dyDescent="0.3">
      <c r="A9" s="2217" t="s">
        <v>4616</v>
      </c>
      <c r="B9" s="2214" t="s">
        <v>4619</v>
      </c>
      <c r="C9" s="2235">
        <f t="shared" si="0"/>
        <v>2.9721110000000002E-2</v>
      </c>
      <c r="D9" s="2235">
        <f t="shared" si="1"/>
        <v>4.9245789999999998E-2</v>
      </c>
      <c r="E9" s="2235">
        <f t="shared" si="2"/>
        <v>2.0411310000000002E-2</v>
      </c>
      <c r="F9" s="2235">
        <f t="shared" si="3"/>
        <v>1.955527E-2</v>
      </c>
      <c r="G9" s="2235">
        <f t="shared" si="4"/>
        <v>8.6647500000000002E-2</v>
      </c>
      <c r="H9" s="2235">
        <f t="shared" si="5"/>
        <v>0.10913865</v>
      </c>
      <c r="I9" s="2235">
        <f t="shared" si="6"/>
        <v>0.18470618999999999</v>
      </c>
      <c r="J9" s="2235">
        <f t="shared" si="7"/>
        <v>0.26154369999999999</v>
      </c>
      <c r="K9" s="2235">
        <f t="shared" si="8"/>
        <v>0.25177703000000001</v>
      </c>
      <c r="L9" s="2221">
        <f t="shared" si="9"/>
        <v>0.30798470999999999</v>
      </c>
      <c r="M9" s="1346">
        <f>UDV.shallow_pit.scrape_waste_storage</f>
        <v>7</v>
      </c>
      <c r="N9" s="2233"/>
      <c r="O9" s="2233"/>
    </row>
    <row r="10" spans="1:15" x14ac:dyDescent="0.3">
      <c r="A10" s="2217" t="s">
        <v>4616</v>
      </c>
      <c r="B10" s="2214" t="s">
        <v>4620</v>
      </c>
      <c r="C10" s="2235">
        <f t="shared" si="0"/>
        <v>4.6738810000000006E-2</v>
      </c>
      <c r="D10" s="2235">
        <f t="shared" si="1"/>
        <v>6.839191E-2</v>
      </c>
      <c r="E10" s="2235">
        <f t="shared" si="2"/>
        <v>3.1015750000000002E-2</v>
      </c>
      <c r="F10" s="2235">
        <f t="shared" si="3"/>
        <v>3.0517409999999998E-2</v>
      </c>
      <c r="G10" s="2235">
        <f t="shared" si="4"/>
        <v>0.11419193999999999</v>
      </c>
      <c r="H10" s="2235">
        <f t="shared" si="5"/>
        <v>0.13755571</v>
      </c>
      <c r="I10" s="2235">
        <f t="shared" si="6"/>
        <v>0.22931620999999999</v>
      </c>
      <c r="J10" s="2235">
        <f t="shared" si="7"/>
        <v>0.33658425999999997</v>
      </c>
      <c r="K10" s="2235">
        <f t="shared" si="8"/>
        <v>0.31971637000000003</v>
      </c>
      <c r="L10" s="2221">
        <f t="shared" si="9"/>
        <v>0.37871915</v>
      </c>
      <c r="M10" s="1346">
        <f>UDV.shallow_pit.scrape_compost_storage</f>
        <v>21</v>
      </c>
      <c r="N10" s="2233"/>
      <c r="O10" s="2233"/>
    </row>
    <row r="11" spans="1:15" x14ac:dyDescent="0.3">
      <c r="A11" s="2217" t="s">
        <v>4616</v>
      </c>
      <c r="B11" s="2214" t="s">
        <v>4621</v>
      </c>
      <c r="C11" s="2235">
        <f t="shared" si="0"/>
        <v>3.8291210000000006E-2</v>
      </c>
      <c r="D11" s="2235">
        <f t="shared" si="1"/>
        <v>5.8865890000000004E-2</v>
      </c>
      <c r="E11" s="2235">
        <f t="shared" si="2"/>
        <v>2.5745870000000001E-2</v>
      </c>
      <c r="F11" s="2235">
        <f t="shared" si="3"/>
        <v>2.507554E-2</v>
      </c>
      <c r="G11" s="2235">
        <f t="shared" si="4"/>
        <v>0.10051576</v>
      </c>
      <c r="H11" s="2235">
        <f t="shared" si="5"/>
        <v>0.12342558000000001</v>
      </c>
      <c r="I11" s="2235">
        <f t="shared" si="6"/>
        <v>0.20724884999999998</v>
      </c>
      <c r="J11" s="2235">
        <f t="shared" si="7"/>
        <v>0.30003564999999999</v>
      </c>
      <c r="K11" s="2235">
        <f t="shared" si="8"/>
        <v>0.28654099</v>
      </c>
      <c r="L11" s="2221">
        <f t="shared" si="9"/>
        <v>0.34437308999999999</v>
      </c>
      <c r="M11" s="1346">
        <f>UDV.shallow_pit.plug_waste_storage</f>
        <v>14</v>
      </c>
      <c r="N11" s="2233"/>
      <c r="O11" s="2233"/>
    </row>
    <row r="12" spans="1:15" x14ac:dyDescent="0.3">
      <c r="A12" s="2217" t="s">
        <v>4616</v>
      </c>
      <c r="B12" s="2214" t="s">
        <v>4622</v>
      </c>
      <c r="C12" s="2235">
        <f t="shared" si="0"/>
        <v>0.20562750999999999</v>
      </c>
      <c r="D12" s="2235">
        <f t="shared" si="1"/>
        <v>0.25943041</v>
      </c>
      <c r="E12" s="2235">
        <f t="shared" si="2"/>
        <v>0.13329727</v>
      </c>
      <c r="F12" s="2235">
        <f t="shared" si="3"/>
        <v>0.13301040000000003</v>
      </c>
      <c r="G12" s="2235">
        <f t="shared" si="4"/>
        <v>0.37310435999999997</v>
      </c>
      <c r="H12" s="2235">
        <f t="shared" si="5"/>
        <v>0.41628112</v>
      </c>
      <c r="I12" s="2235">
        <f t="shared" si="6"/>
        <v>0.60254962999999995</v>
      </c>
      <c r="J12" s="2235">
        <f t="shared" si="7"/>
        <v>0.73469005000000021</v>
      </c>
      <c r="K12" s="2235">
        <f t="shared" si="8"/>
        <v>0.73674793000000005</v>
      </c>
      <c r="L12" s="2221">
        <f t="shared" si="9"/>
        <v>0.74579927000000013</v>
      </c>
      <c r="M12" s="1346">
        <f>UDV.storage_tank.HRT</f>
        <v>180</v>
      </c>
      <c r="N12" s="2233"/>
      <c r="O12" s="2233"/>
    </row>
    <row r="13" spans="1:15" x14ac:dyDescent="0.3">
      <c r="A13" s="2217" t="s">
        <v>4616</v>
      </c>
      <c r="B13" s="2218" t="s">
        <v>4623</v>
      </c>
      <c r="C13" s="2215">
        <v>0.06</v>
      </c>
      <c r="D13" s="2215">
        <v>0.08</v>
      </c>
      <c r="E13" s="2215">
        <v>0.04</v>
      </c>
      <c r="F13" s="2215">
        <v>0.04</v>
      </c>
      <c r="G13" s="2215">
        <v>0.13</v>
      </c>
      <c r="H13" s="2215">
        <v>0.15</v>
      </c>
      <c r="I13" s="2215">
        <v>0.25</v>
      </c>
      <c r="J13" s="2215">
        <v>0.38</v>
      </c>
      <c r="K13" s="2215">
        <v>0.36</v>
      </c>
      <c r="L13" s="2222">
        <v>0.42</v>
      </c>
      <c r="M13" s="2250">
        <v>30</v>
      </c>
      <c r="N13" s="2233"/>
      <c r="O13" s="2233"/>
    </row>
    <row r="14" spans="1:15" x14ac:dyDescent="0.3">
      <c r="A14" s="2217" t="s">
        <v>4616</v>
      </c>
      <c r="B14" s="2219" t="s">
        <v>4624</v>
      </c>
      <c r="C14" s="2215">
        <v>0.12</v>
      </c>
      <c r="D14" s="2215">
        <v>0.16</v>
      </c>
      <c r="E14" s="2215">
        <v>0.08</v>
      </c>
      <c r="F14" s="2215">
        <v>0.08</v>
      </c>
      <c r="G14" s="2215">
        <v>0.24</v>
      </c>
      <c r="H14" s="2215">
        <v>0.28000000000000003</v>
      </c>
      <c r="I14" s="2215">
        <v>0.43</v>
      </c>
      <c r="J14" s="2215">
        <v>0.61</v>
      </c>
      <c r="K14" s="2215">
        <v>0.56999999999999995</v>
      </c>
      <c r="L14" s="2222">
        <v>0.62</v>
      </c>
      <c r="M14" s="2250">
        <v>90</v>
      </c>
      <c r="N14" s="2233"/>
      <c r="O14" s="2233"/>
    </row>
    <row r="15" spans="1:15" x14ac:dyDescent="0.3">
      <c r="A15" s="2217" t="s">
        <v>4616</v>
      </c>
      <c r="B15" s="2219" t="s">
        <v>4625</v>
      </c>
      <c r="C15" s="2215">
        <v>0.15</v>
      </c>
      <c r="D15" s="2215">
        <v>0.19</v>
      </c>
      <c r="E15" s="2215">
        <v>0.09</v>
      </c>
      <c r="F15" s="2215">
        <v>0.09</v>
      </c>
      <c r="G15" s="2215">
        <v>0.28999999999999998</v>
      </c>
      <c r="H15" s="2215">
        <v>0.32</v>
      </c>
      <c r="I15" s="2215">
        <v>0.5</v>
      </c>
      <c r="J15" s="2215">
        <v>0.67</v>
      </c>
      <c r="K15" s="2215">
        <v>0.64</v>
      </c>
      <c r="L15" s="2222">
        <v>0.68</v>
      </c>
      <c r="M15" s="2250">
        <v>120</v>
      </c>
      <c r="N15" s="2233"/>
      <c r="O15" s="2233"/>
    </row>
    <row r="16" spans="1:15" x14ac:dyDescent="0.3">
      <c r="A16" s="2217" t="s">
        <v>4616</v>
      </c>
      <c r="B16" s="2219" t="s">
        <v>4626</v>
      </c>
      <c r="C16" s="2215">
        <v>0.21</v>
      </c>
      <c r="D16" s="2215">
        <v>0.26</v>
      </c>
      <c r="E16" s="2215">
        <v>0.14000000000000001</v>
      </c>
      <c r="F16" s="2215">
        <v>0.14000000000000001</v>
      </c>
      <c r="G16" s="2215">
        <v>0.37</v>
      </c>
      <c r="H16" s="2215">
        <v>0.41</v>
      </c>
      <c r="I16" s="2215">
        <v>0.59</v>
      </c>
      <c r="J16" s="2215">
        <v>0.76</v>
      </c>
      <c r="K16" s="2215">
        <v>0.73</v>
      </c>
      <c r="L16" s="2222">
        <v>0.74</v>
      </c>
      <c r="M16" s="2250">
        <v>180</v>
      </c>
      <c r="N16" s="2233"/>
      <c r="O16" s="2233"/>
    </row>
    <row r="17" spans="1:15" x14ac:dyDescent="0.3">
      <c r="A17" s="2217" t="s">
        <v>4616</v>
      </c>
      <c r="B17" s="2219" t="s">
        <v>4627</v>
      </c>
      <c r="C17" s="2215">
        <v>0.31</v>
      </c>
      <c r="D17" s="2215">
        <v>0.42</v>
      </c>
      <c r="E17" s="2215">
        <v>0.21</v>
      </c>
      <c r="F17" s="2215">
        <v>0.2</v>
      </c>
      <c r="G17" s="2215">
        <v>0.55000000000000004</v>
      </c>
      <c r="H17" s="2215">
        <v>0.64</v>
      </c>
      <c r="I17" s="2215">
        <v>0.73</v>
      </c>
      <c r="J17" s="2215">
        <v>0.8</v>
      </c>
      <c r="K17" s="2215">
        <v>0.8</v>
      </c>
      <c r="L17" s="2222">
        <v>0.8</v>
      </c>
      <c r="M17" s="2250">
        <v>365</v>
      </c>
      <c r="N17" s="2233"/>
      <c r="O17" s="2233"/>
    </row>
    <row r="18" spans="1:15" ht="17.399999999999999" x14ac:dyDescent="0.3">
      <c r="A18" s="2220" t="s">
        <v>4628</v>
      </c>
      <c r="B18" s="2219" t="s">
        <v>4629</v>
      </c>
      <c r="C18" s="2215">
        <v>0.21</v>
      </c>
      <c r="D18" s="2215">
        <v>0.26</v>
      </c>
      <c r="E18" s="2215">
        <v>0.14000000000000001</v>
      </c>
      <c r="F18" s="2215">
        <v>0.14000000000000001</v>
      </c>
      <c r="G18" s="2215">
        <v>0.37</v>
      </c>
      <c r="H18" s="2215">
        <v>0.41</v>
      </c>
      <c r="I18" s="2215">
        <v>0.59</v>
      </c>
      <c r="J18" s="2215">
        <v>0.76</v>
      </c>
      <c r="K18" s="2215">
        <v>0.73</v>
      </c>
      <c r="L18" s="2216">
        <v>0.74</v>
      </c>
      <c r="N18" s="2233"/>
      <c r="O18" s="2233"/>
    </row>
    <row r="19" spans="1:15" ht="17.399999999999999" x14ac:dyDescent="0.3">
      <c r="A19" s="2220" t="s">
        <v>4628</v>
      </c>
      <c r="B19" s="2219" t="s">
        <v>4630</v>
      </c>
      <c r="C19" s="2221">
        <v>2.75E-2</v>
      </c>
      <c r="D19" s="2221">
        <v>2.75E-2</v>
      </c>
      <c r="E19" s="2221">
        <v>2.75E-2</v>
      </c>
      <c r="F19" s="2221">
        <v>2.75E-2</v>
      </c>
      <c r="G19" s="2221">
        <v>6.5000000000000002E-2</v>
      </c>
      <c r="H19" s="2221">
        <v>6.5000000000000002E-2</v>
      </c>
      <c r="I19" s="2222">
        <v>0.18</v>
      </c>
      <c r="J19" s="2222">
        <v>0.18</v>
      </c>
      <c r="K19" s="2222">
        <v>0.18</v>
      </c>
      <c r="L19" s="2216">
        <v>0.18</v>
      </c>
      <c r="N19" s="2233"/>
      <c r="O19" s="2233"/>
    </row>
    <row r="20" spans="1:15" x14ac:dyDescent="0.3">
      <c r="A20" s="2223" t="s">
        <v>4631</v>
      </c>
      <c r="B20" s="2214"/>
      <c r="C20" s="2221">
        <v>0.02</v>
      </c>
      <c r="D20" s="2221">
        <v>0.02</v>
      </c>
      <c r="E20" s="2221">
        <v>0.02</v>
      </c>
      <c r="F20" s="2221">
        <v>0.02</v>
      </c>
      <c r="G20" s="2221">
        <v>0.04</v>
      </c>
      <c r="H20" s="2221">
        <v>0.04</v>
      </c>
      <c r="I20" s="2221">
        <v>0.05</v>
      </c>
      <c r="J20" s="2221">
        <v>0.05</v>
      </c>
      <c r="K20" s="2221">
        <v>0.05</v>
      </c>
      <c r="L20" s="2224">
        <v>0.05</v>
      </c>
      <c r="N20" s="2233"/>
      <c r="O20" s="2233"/>
    </row>
    <row r="21" spans="1:15" x14ac:dyDescent="0.3">
      <c r="A21" s="2223" t="s">
        <v>4632</v>
      </c>
      <c r="B21" s="2214"/>
      <c r="C21" s="2221">
        <v>0.02</v>
      </c>
      <c r="D21" s="2221">
        <v>0.02</v>
      </c>
      <c r="E21" s="2221">
        <v>0.02</v>
      </c>
      <c r="F21" s="2221">
        <v>0.02</v>
      </c>
      <c r="G21" s="2221">
        <v>0.04</v>
      </c>
      <c r="H21" s="2221">
        <v>0.04</v>
      </c>
      <c r="I21" s="2221">
        <v>0.05</v>
      </c>
      <c r="J21" s="2221">
        <v>0.05</v>
      </c>
      <c r="K21" s="2221">
        <v>0.05</v>
      </c>
      <c r="L21" s="2224">
        <v>0.05</v>
      </c>
      <c r="N21" s="2233"/>
      <c r="O21" s="2233"/>
    </row>
    <row r="22" spans="1:15" x14ac:dyDescent="0.3">
      <c r="A22" s="2223" t="s">
        <v>4633</v>
      </c>
      <c r="B22" s="2214"/>
      <c r="C22" s="2221">
        <v>5.0000000000000001E-3</v>
      </c>
      <c r="D22" s="2221">
        <v>5.0000000000000001E-3</v>
      </c>
      <c r="E22" s="2221">
        <v>5.0000000000000001E-3</v>
      </c>
      <c r="F22" s="2221">
        <v>5.0000000000000001E-3</v>
      </c>
      <c r="G22" s="2221">
        <v>0.01</v>
      </c>
      <c r="H22" s="2221">
        <v>0.01</v>
      </c>
      <c r="I22" s="2221">
        <v>1.4999999999999999E-2</v>
      </c>
      <c r="J22" s="2221">
        <v>1.4999999999999999E-2</v>
      </c>
      <c r="K22" s="2221">
        <v>1.4999999999999999E-2</v>
      </c>
      <c r="L22" s="2224">
        <v>1.4999999999999999E-2</v>
      </c>
      <c r="N22" s="2233"/>
      <c r="O22" s="2233"/>
    </row>
    <row r="23" spans="1:15" x14ac:dyDescent="0.3">
      <c r="A23" s="2223" t="s">
        <v>4634</v>
      </c>
      <c r="B23" s="2214"/>
      <c r="C23" s="2221">
        <v>0.01</v>
      </c>
      <c r="D23" s="2221">
        <v>0.01</v>
      </c>
      <c r="E23" s="2221">
        <v>0.01</v>
      </c>
      <c r="F23" s="2221">
        <v>0.01</v>
      </c>
      <c r="G23" s="2221">
        <v>0.02</v>
      </c>
      <c r="H23" s="2221">
        <v>0.02</v>
      </c>
      <c r="I23" s="2221">
        <v>2.5000000000000001E-2</v>
      </c>
      <c r="J23" s="2221">
        <v>2.5000000000000001E-2</v>
      </c>
      <c r="K23" s="2221">
        <v>2.5000000000000001E-2</v>
      </c>
      <c r="L23" s="2224">
        <v>2.5000000000000001E-2</v>
      </c>
      <c r="N23" s="2234"/>
      <c r="O23" s="2234"/>
    </row>
    <row r="24" spans="1:15" x14ac:dyDescent="0.3">
      <c r="A24" s="2223" t="s">
        <v>4635</v>
      </c>
      <c r="B24" s="2214"/>
      <c r="C24" s="2221">
        <v>0.01</v>
      </c>
      <c r="D24" s="2221">
        <v>0.01</v>
      </c>
      <c r="E24" s="2221">
        <v>0.01</v>
      </c>
      <c r="F24" s="2221">
        <v>0.01</v>
      </c>
      <c r="G24" s="2221">
        <v>1.4999999999999999E-2</v>
      </c>
      <c r="H24" s="2221">
        <v>1.4999999999999999E-2</v>
      </c>
      <c r="I24" s="2221">
        <v>0.02</v>
      </c>
      <c r="J24" s="2221">
        <v>0.02</v>
      </c>
      <c r="K24" s="2221">
        <v>0.02</v>
      </c>
      <c r="L24" s="2224">
        <v>0.02</v>
      </c>
      <c r="N24" s="2233"/>
      <c r="O24" s="2233"/>
    </row>
    <row r="25" spans="1:15" x14ac:dyDescent="0.3">
      <c r="A25" s="2223" t="s">
        <v>4636</v>
      </c>
      <c r="B25" s="2214"/>
      <c r="C25" s="2221">
        <v>1E-3</v>
      </c>
      <c r="D25" s="2221">
        <v>1E-3</v>
      </c>
      <c r="E25" s="2221">
        <v>1E-3</v>
      </c>
      <c r="F25" s="2221">
        <v>1E-3</v>
      </c>
      <c r="G25" s="2221">
        <v>5.0000000000000001E-3</v>
      </c>
      <c r="H25" s="2221">
        <v>5.0000000000000001E-3</v>
      </c>
      <c r="I25" s="2221">
        <v>0.01</v>
      </c>
      <c r="J25" s="2221">
        <v>0.01</v>
      </c>
      <c r="K25" s="2221">
        <v>0.01</v>
      </c>
      <c r="L25" s="2224">
        <v>0.01</v>
      </c>
      <c r="N25" s="2233"/>
      <c r="O25" s="2233"/>
    </row>
    <row r="26" spans="1:15" x14ac:dyDescent="0.3">
      <c r="A26" s="2223" t="s">
        <v>4637</v>
      </c>
      <c r="B26" s="2214"/>
      <c r="C26" s="2221">
        <v>5.0000000000000001E-3</v>
      </c>
      <c r="D26" s="2221">
        <v>5.0000000000000001E-3</v>
      </c>
      <c r="E26" s="2221">
        <v>5.0000000000000001E-3</v>
      </c>
      <c r="F26" s="2221">
        <v>5.0000000000000001E-3</v>
      </c>
      <c r="G26" s="2221">
        <v>5.0000000000000001E-3</v>
      </c>
      <c r="H26" s="2221">
        <v>5.0000000000000001E-3</v>
      </c>
      <c r="I26" s="2221">
        <v>5.0000000000000001E-3</v>
      </c>
      <c r="J26" s="2221">
        <v>5.0000000000000001E-3</v>
      </c>
      <c r="K26" s="2221">
        <v>5.0000000000000001E-3</v>
      </c>
      <c r="L26" s="2224">
        <v>5.0000000000000001E-3</v>
      </c>
      <c r="N26" s="2233"/>
      <c r="O26" s="2233"/>
    </row>
    <row r="27" spans="1:15" x14ac:dyDescent="0.3">
      <c r="A27" s="2223" t="s">
        <v>4638</v>
      </c>
      <c r="B27" s="2214"/>
      <c r="C27" s="2221">
        <v>0.01</v>
      </c>
      <c r="D27" s="2221">
        <v>0.01</v>
      </c>
      <c r="E27" s="2221">
        <v>0.01</v>
      </c>
      <c r="F27" s="2221">
        <v>0.01</v>
      </c>
      <c r="G27" s="2221">
        <v>0.02</v>
      </c>
      <c r="H27" s="2221">
        <v>0.02</v>
      </c>
      <c r="I27" s="2221">
        <v>2.5000000000000001E-2</v>
      </c>
      <c r="J27" s="2221">
        <v>2.5000000000000001E-2</v>
      </c>
      <c r="K27" s="2221">
        <v>2.5000000000000001E-2</v>
      </c>
      <c r="L27" s="2224">
        <v>2.5000000000000001E-2</v>
      </c>
      <c r="N27" s="2233"/>
      <c r="O27" s="2233"/>
    </row>
    <row r="28" spans="1:15" x14ac:dyDescent="0.3">
      <c r="A28" s="2223" t="s">
        <v>4639</v>
      </c>
      <c r="B28" s="2214"/>
      <c r="C28" s="2221">
        <v>5.0000000000000001E-3</v>
      </c>
      <c r="D28" s="2221">
        <v>5.0000000000000001E-3</v>
      </c>
      <c r="E28" s="2221">
        <v>5.0000000000000001E-3</v>
      </c>
      <c r="F28" s="2221">
        <v>5.0000000000000001E-3</v>
      </c>
      <c r="G28" s="2221">
        <v>0.01</v>
      </c>
      <c r="H28" s="2221">
        <v>0.01</v>
      </c>
      <c r="I28" s="2225">
        <v>1.4999999999999999E-2</v>
      </c>
      <c r="J28" s="2225">
        <v>1.4999999999999999E-2</v>
      </c>
      <c r="K28" s="2225">
        <v>1.4999999999999999E-2</v>
      </c>
      <c r="L28" s="2226">
        <v>1.4999999999999999E-2</v>
      </c>
      <c r="N28" s="2233"/>
      <c r="O28" s="2233"/>
    </row>
    <row r="29" spans="1:15" x14ac:dyDescent="0.3">
      <c r="A29" s="2223" t="s">
        <v>4640</v>
      </c>
      <c r="B29" s="2214"/>
      <c r="C29" s="2221">
        <v>0.01</v>
      </c>
      <c r="D29" s="2221">
        <v>0.01</v>
      </c>
      <c r="E29" s="2221">
        <v>0.01</v>
      </c>
      <c r="F29" s="2221">
        <v>0.01</v>
      </c>
      <c r="G29" s="2221">
        <v>0.02</v>
      </c>
      <c r="H29" s="2221">
        <v>0.02</v>
      </c>
      <c r="I29" s="2221">
        <v>2.5000000000000001E-2</v>
      </c>
      <c r="J29" s="2221">
        <v>2.5000000000000001E-2</v>
      </c>
      <c r="K29" s="2221">
        <v>2.5000000000000001E-2</v>
      </c>
      <c r="L29" s="2224">
        <v>2.5000000000000001E-2</v>
      </c>
      <c r="N29" s="2233"/>
      <c r="O29" s="2233"/>
    </row>
    <row r="30" spans="1:15" x14ac:dyDescent="0.3">
      <c r="A30" s="2223" t="s">
        <v>4641</v>
      </c>
      <c r="B30" s="2214"/>
      <c r="C30" s="2221">
        <v>0</v>
      </c>
      <c r="D30" s="2221">
        <v>0</v>
      </c>
      <c r="E30" s="2221">
        <v>0</v>
      </c>
      <c r="F30" s="2221">
        <v>0</v>
      </c>
      <c r="G30" s="2221">
        <v>0</v>
      </c>
      <c r="H30" s="2221">
        <v>0</v>
      </c>
      <c r="I30" s="2221">
        <v>0</v>
      </c>
      <c r="J30" s="2221">
        <v>0</v>
      </c>
      <c r="K30" s="2221">
        <v>0</v>
      </c>
      <c r="L30" s="2224">
        <v>0</v>
      </c>
      <c r="O30" s="2212"/>
    </row>
    <row r="31" spans="1:15" x14ac:dyDescent="0.3">
      <c r="A31" s="2223" t="s">
        <v>4642</v>
      </c>
      <c r="B31" s="2214"/>
      <c r="C31" s="2221">
        <v>0.1</v>
      </c>
      <c r="D31" s="2221">
        <v>0.1</v>
      </c>
      <c r="E31" s="2221">
        <v>0.1</v>
      </c>
      <c r="F31" s="2221">
        <v>0.1</v>
      </c>
      <c r="G31" s="2221">
        <v>0.1</v>
      </c>
      <c r="H31" s="2221">
        <v>0.1</v>
      </c>
      <c r="I31" s="2221">
        <v>0.1</v>
      </c>
      <c r="J31" s="2221">
        <v>0.1</v>
      </c>
      <c r="K31" s="2221">
        <v>0.1</v>
      </c>
      <c r="L31" s="2224">
        <v>0.1</v>
      </c>
      <c r="O31" s="2212"/>
    </row>
    <row r="32" spans="1:15" x14ac:dyDescent="0.3">
      <c r="A32" s="2213" t="s">
        <v>4643</v>
      </c>
      <c r="B32" s="2214"/>
      <c r="C32" s="2227">
        <v>0.01</v>
      </c>
      <c r="D32" s="2227">
        <v>0.01</v>
      </c>
      <c r="E32" s="2227">
        <v>0.01</v>
      </c>
      <c r="F32" s="2227">
        <v>0.01</v>
      </c>
      <c r="G32" s="2227">
        <v>0.01</v>
      </c>
      <c r="H32" s="2227">
        <v>0.01</v>
      </c>
      <c r="I32" s="2227">
        <v>0.01</v>
      </c>
      <c r="J32" s="2227">
        <v>0.01</v>
      </c>
      <c r="K32" s="2227">
        <v>0.01</v>
      </c>
      <c r="L32" s="2228">
        <v>0.01</v>
      </c>
      <c r="O32" s="2229"/>
    </row>
    <row r="33" spans="1:15" x14ac:dyDescent="0.3">
      <c r="A33" s="2213" t="s">
        <v>4644</v>
      </c>
      <c r="B33" s="2214"/>
      <c r="C33" s="2227">
        <v>1.41E-2</v>
      </c>
      <c r="D33" s="2227">
        <v>1.41E-2</v>
      </c>
      <c r="E33" s="2227">
        <v>1.41E-2</v>
      </c>
      <c r="F33" s="2227">
        <v>1.41E-2</v>
      </c>
      <c r="G33" s="2227">
        <v>1.41E-2</v>
      </c>
      <c r="H33" s="2227">
        <v>1.41E-2</v>
      </c>
      <c r="I33" s="2227">
        <v>1.41E-2</v>
      </c>
      <c r="J33" s="2227">
        <v>1.41E-2</v>
      </c>
      <c r="K33" s="2227">
        <v>1.41E-2</v>
      </c>
      <c r="L33" s="2228">
        <v>1.41E-2</v>
      </c>
      <c r="O33" s="2229"/>
    </row>
    <row r="34" spans="1:15" x14ac:dyDescent="0.3">
      <c r="A34" s="2213" t="s">
        <v>4645</v>
      </c>
      <c r="B34" s="2214"/>
      <c r="C34" s="2221">
        <v>3.5499999999999997E-2</v>
      </c>
      <c r="D34" s="2221">
        <v>3.5499999999999997E-2</v>
      </c>
      <c r="E34" s="2221">
        <v>3.5499999999999997E-2</v>
      </c>
      <c r="F34" s="2221">
        <v>3.5499999999999997E-2</v>
      </c>
      <c r="G34" s="2221">
        <v>4.3799999999999999E-2</v>
      </c>
      <c r="H34" s="2221">
        <v>4.3799999999999999E-2</v>
      </c>
      <c r="I34" s="2221">
        <v>4.5900000000000003E-2</v>
      </c>
      <c r="J34" s="2221">
        <v>4.5900000000000003E-2</v>
      </c>
      <c r="K34" s="2221">
        <v>4.5900000000000003E-2</v>
      </c>
      <c r="L34" s="2224">
        <v>4.5900000000000003E-2</v>
      </c>
      <c r="O34" s="2212"/>
    </row>
    <row r="35" spans="1:15" x14ac:dyDescent="0.3">
      <c r="A35" s="2213" t="s">
        <v>4646</v>
      </c>
      <c r="B35" s="2214"/>
      <c r="C35" s="2227">
        <v>9.5899999999999999E-2</v>
      </c>
      <c r="D35" s="2227">
        <v>9.5899999999999999E-2</v>
      </c>
      <c r="E35" s="2227">
        <v>9.5899999999999999E-2</v>
      </c>
      <c r="F35" s="2227">
        <v>9.5899999999999999E-2</v>
      </c>
      <c r="G35" s="2227">
        <v>9.5899999999999999E-2</v>
      </c>
      <c r="H35" s="2227">
        <v>9.5899999999999999E-2</v>
      </c>
      <c r="I35" s="2227">
        <v>9.5899999999999999E-2</v>
      </c>
      <c r="J35" s="2227">
        <v>9.5899999999999999E-2</v>
      </c>
      <c r="K35" s="2227">
        <v>9.5899999999999999E-2</v>
      </c>
      <c r="L35" s="2228">
        <v>9.5899999999999999E-2</v>
      </c>
      <c r="O35" s="2229"/>
    </row>
    <row r="36" spans="1:15" x14ac:dyDescent="0.3">
      <c r="A36" s="2213" t="s">
        <v>4647</v>
      </c>
      <c r="B36" s="2214"/>
      <c r="C36" s="2227">
        <v>0.1</v>
      </c>
      <c r="D36" s="2227">
        <v>0.1</v>
      </c>
      <c r="E36" s="2227">
        <v>0.1</v>
      </c>
      <c r="F36" s="2227">
        <v>0.1</v>
      </c>
      <c r="G36" s="2227">
        <v>0.1</v>
      </c>
      <c r="H36" s="2227">
        <v>0.1</v>
      </c>
      <c r="I36" s="2227">
        <v>0.1</v>
      </c>
      <c r="J36" s="2227">
        <v>0.1</v>
      </c>
      <c r="K36" s="2227">
        <v>0.1</v>
      </c>
      <c r="L36" s="2228">
        <v>0.1</v>
      </c>
      <c r="O36" s="2229"/>
    </row>
    <row r="37" spans="1:15" x14ac:dyDescent="0.3">
      <c r="A37" s="2230" t="s">
        <v>4648</v>
      </c>
      <c r="B37" s="2214"/>
      <c r="C37" s="2221">
        <v>0.12139999999999999</v>
      </c>
      <c r="D37" s="2221">
        <v>0.12139999999999999</v>
      </c>
      <c r="E37" s="2221">
        <v>0.12139999999999999</v>
      </c>
      <c r="F37" s="2221">
        <v>0.12139999999999999</v>
      </c>
      <c r="G37" s="2221">
        <v>0.12970000000000001</v>
      </c>
      <c r="H37" s="2221">
        <v>0.12970000000000001</v>
      </c>
      <c r="I37" s="2221">
        <v>0.13170000000000001</v>
      </c>
      <c r="J37" s="2221">
        <v>0.13170000000000001</v>
      </c>
      <c r="K37" s="2221">
        <v>0.13170000000000001</v>
      </c>
      <c r="L37" s="2224">
        <v>0.13170000000000001</v>
      </c>
      <c r="O37" s="2212"/>
    </row>
    <row r="38" spans="1:15" x14ac:dyDescent="0.3">
      <c r="A38" s="2231"/>
      <c r="B38" s="2232"/>
      <c r="C38" s="2232"/>
      <c r="D38" s="2232"/>
      <c r="E38" s="2232"/>
      <c r="F38" s="2232"/>
      <c r="G38" s="2232"/>
      <c r="H38" s="2232"/>
      <c r="I38" s="2232"/>
      <c r="J38" s="2232"/>
      <c r="K38" s="2232"/>
      <c r="L38" s="2232"/>
      <c r="O38" s="2229"/>
    </row>
    <row r="39" spans="1:15" x14ac:dyDescent="0.3">
      <c r="C39" s="2197" t="s">
        <v>4168</v>
      </c>
      <c r="D39" s="2197" t="s">
        <v>4169</v>
      </c>
      <c r="E39" s="2197" t="s">
        <v>4170</v>
      </c>
      <c r="F39" s="2197" t="s">
        <v>4171</v>
      </c>
      <c r="G39" s="2197" t="s">
        <v>4172</v>
      </c>
      <c r="H39" s="2197" t="s">
        <v>4173</v>
      </c>
      <c r="I39" s="2197" t="s">
        <v>4174</v>
      </c>
      <c r="J39" s="2197" t="s">
        <v>4175</v>
      </c>
      <c r="K39" s="2197" t="s">
        <v>4176</v>
      </c>
      <c r="L39" s="2197" t="s">
        <v>4177</v>
      </c>
    </row>
    <row r="40" spans="1:15" x14ac:dyDescent="0.3">
      <c r="C40" s="2205" t="s">
        <v>4600</v>
      </c>
      <c r="D40" s="2205" t="s">
        <v>4600</v>
      </c>
      <c r="E40" s="2205" t="s">
        <v>4600</v>
      </c>
      <c r="F40" s="2205" t="s">
        <v>4600</v>
      </c>
      <c r="G40" s="2206" t="s">
        <v>4601</v>
      </c>
      <c r="H40" s="2206" t="s">
        <v>4601</v>
      </c>
      <c r="I40" s="2206" t="s">
        <v>4602</v>
      </c>
      <c r="J40" s="2206" t="s">
        <v>4602</v>
      </c>
      <c r="K40" s="2206" t="s">
        <v>4602</v>
      </c>
      <c r="L40" s="2207" t="s">
        <v>4602</v>
      </c>
    </row>
    <row r="41" spans="1:15" x14ac:dyDescent="0.3">
      <c r="C41" s="2210" t="s">
        <v>4605</v>
      </c>
      <c r="D41" s="2210" t="s">
        <v>4606</v>
      </c>
      <c r="E41" s="2210" t="s">
        <v>4607</v>
      </c>
      <c r="F41" s="2210" t="s">
        <v>4608</v>
      </c>
      <c r="G41" s="2210" t="s">
        <v>4609</v>
      </c>
      <c r="H41" s="2210" t="s">
        <v>4610</v>
      </c>
      <c r="I41" s="2210" t="s">
        <v>4611</v>
      </c>
      <c r="J41" s="2210" t="s">
        <v>4612</v>
      </c>
      <c r="K41" s="2210" t="s">
        <v>4613</v>
      </c>
      <c r="L41" s="2211" t="s">
        <v>4614</v>
      </c>
    </row>
    <row r="44" spans="1:15" x14ac:dyDescent="0.3">
      <c r="A44" s="2197" t="s">
        <v>4649</v>
      </c>
      <c r="B44" s="2197" t="str">
        <f>UDV.u.state_region</f>
        <v>Iowa (Northwest)</v>
      </c>
    </row>
    <row r="45" spans="1:15" x14ac:dyDescent="0.3">
      <c r="A45" s="2197" t="s">
        <v>4650</v>
      </c>
      <c r="B45" s="2197" t="str">
        <f>UDV.u.state_climate_zone</f>
        <v>CoolTempMoist</v>
      </c>
    </row>
    <row r="48" spans="1:15" x14ac:dyDescent="0.3">
      <c r="A48" s="2197" t="s">
        <v>4651</v>
      </c>
      <c r="B48" s="2197">
        <f>MATCH(B45,C39:L39,0)</f>
        <v>1</v>
      </c>
    </row>
    <row r="49" spans="1:2" x14ac:dyDescent="0.3">
      <c r="A49" s="2197" t="str">
        <f t="shared" ref="A49:A55" si="10">_xlfn.CONCAT("Est MCF for ", A6, " (",B6,")")</f>
        <v>Est MCF for Uncovered anaerobic lagoon ()</v>
      </c>
      <c r="B49" s="2197" cm="1">
        <f t="array" ref="B49">INDEX($C$6:$L$6,1,$B$48)</f>
        <v>0.6</v>
      </c>
    </row>
    <row r="50" spans="1:2" x14ac:dyDescent="0.3">
      <c r="A50" s="2197" t="str">
        <f t="shared" si="10"/>
        <v>Est MCF for Liquid/Slurry, and Pit storage below animal confinements (DPSS)</v>
      </c>
      <c r="B50" s="2197" cm="1">
        <f t="array" ref="B50">INDEX($C7:$L7,1,$B$48)</f>
        <v>0.31094801</v>
      </c>
    </row>
    <row r="51" spans="1:2" x14ac:dyDescent="0.3">
      <c r="A51" s="2197" t="str">
        <f t="shared" si="10"/>
        <v>Est MCF for Liquid/Slurry, and Pit storage below animal confinements (Shallow flush)</v>
      </c>
      <c r="B51" s="2197" cm="1">
        <f t="array" ref="B51">INDEX($C8:$L8,1,$B$48)</f>
        <v>2.9721110000000002E-2</v>
      </c>
    </row>
    <row r="52" spans="1:2" x14ac:dyDescent="0.3">
      <c r="A52" s="2197" t="str">
        <f t="shared" si="10"/>
        <v>Est MCF for Liquid/Slurry, and Pit storage below animal confinements (Shallow scrape)</v>
      </c>
      <c r="B52" s="2197" cm="1">
        <f t="array" ref="B52">INDEX($C9:$L9,1,$B$48)</f>
        <v>2.9721110000000002E-2</v>
      </c>
    </row>
    <row r="53" spans="1:2" x14ac:dyDescent="0.3">
      <c r="A53" s="2197" t="str">
        <f t="shared" si="10"/>
        <v>Est MCF for Liquid/Slurry, and Pit storage below animal confinements (Shallow scrape + compost)</v>
      </c>
      <c r="B53" s="2197" cm="1">
        <f t="array" ref="B53">INDEX($C10:$L10,1,$B$48)</f>
        <v>4.6738810000000006E-2</v>
      </c>
    </row>
    <row r="54" spans="1:2" x14ac:dyDescent="0.3">
      <c r="A54" s="2197" t="str">
        <f t="shared" si="10"/>
        <v>Est MCF for Liquid/Slurry, and Pit storage below animal confinements (Shallow plug)</v>
      </c>
      <c r="B54" s="2197" cm="1">
        <f t="array" ref="B54">INDEX($C11:$L11,1,$B$48)</f>
        <v>3.8291210000000006E-2</v>
      </c>
    </row>
    <row r="55" spans="1:2" x14ac:dyDescent="0.3">
      <c r="A55" s="2197" t="str">
        <f t="shared" si="10"/>
        <v>Est MCF for Liquid/Slurry, and Pit storage below animal confinements (Storage tank)</v>
      </c>
      <c r="B55" s="2197" cm="1">
        <f t="array" ref="B55">INDEX($C12:$L12,1,$B$48)</f>
        <v>0.20562750999999999</v>
      </c>
    </row>
    <row r="56" spans="1:2" x14ac:dyDescent="0.3">
      <c r="A56" s="2197" t="str">
        <f>_xlfn.CONCAT("Est MCF for ", A20)</f>
        <v>Est MCF for Solid storage</v>
      </c>
      <c r="B56" s="2197" cm="1">
        <f t="array" ref="B56">INDEX($C20:$L20,1,$B$48)</f>
        <v>0.02</v>
      </c>
    </row>
    <row r="57" spans="1:2" x14ac:dyDescent="0.3">
      <c r="A57" s="2197" t="str">
        <f>_xlfn.CONCAT("Est MCF for ", A21)</f>
        <v>Est MCF for Solid storage – Covered/compacted</v>
      </c>
      <c r="B57" s="2197" cm="1">
        <f t="array" ref="B57">INDEX($C21:$L21,1,$B$48)</f>
        <v>0.02</v>
      </c>
    </row>
    <row r="58" spans="1:2" x14ac:dyDescent="0.3">
      <c r="A58" s="2197" t="str">
        <f>_xlfn.CONCAT("Est MCF for ", A28)</f>
        <v>Est MCF for Composting - Intensive windrow</v>
      </c>
      <c r="B58" s="2197" cm="1">
        <f t="array" ref="B58">INDEX($C28:$L28,1,$B$48)</f>
        <v>5.0000000000000001E-3</v>
      </c>
    </row>
    <row r="59" spans="1:2" x14ac:dyDescent="0.3">
      <c r="A59" s="2197" t="str">
        <f>_xlfn.CONCAT("Est MCF for ", A29)</f>
        <v>Est MCF for Composting – Passive windrow (Unfrequent turning)</v>
      </c>
      <c r="B59" s="2197" cm="1">
        <f t="array" ref="B59">INDEX($C29:$L29,1,$B$48)</f>
        <v>0.01</v>
      </c>
    </row>
    <row r="60" spans="1:2" x14ac:dyDescent="0.3">
      <c r="A60" s="2197" t="s">
        <v>4652</v>
      </c>
      <c r="B60" s="2197" cm="1">
        <f t="array" ref="B60">INDEX($C33:$L33,1,$B$48)</f>
        <v>1.41E-2</v>
      </c>
    </row>
    <row r="61" spans="1:2" x14ac:dyDescent="0.3">
      <c r="A61" s="2197" t="s">
        <v>4653</v>
      </c>
      <c r="B61" s="2197" cm="1">
        <f t="array" ref="B61">INDEX($C36:$L36,1,$B$48)</f>
        <v>0.1</v>
      </c>
    </row>
    <row r="62" spans="1:2" x14ac:dyDescent="0.3">
      <c r="A62" s="2197" t="s">
        <v>4654</v>
      </c>
      <c r="B62" s="2197" cm="1">
        <f t="array" ref="B62">(INDEX($C7:$L7,1,$B$48) + INDEX($C30:$L30,1,$B$48))/2</f>
        <v>0.155474005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FF9BA-4CD1-47E1-91AD-026ACEDCCBC0}">
  <dimension ref="B1:Y28"/>
  <sheetViews>
    <sheetView workbookViewId="0">
      <selection sqref="A1:C1"/>
    </sheetView>
  </sheetViews>
  <sheetFormatPr defaultRowHeight="14.4" x14ac:dyDescent="0.3"/>
  <cols>
    <col min="1" max="1" width="5.5546875" customWidth="1"/>
    <col min="2" max="2" width="55.44140625" customWidth="1"/>
    <col min="3" max="3" width="13.33203125" customWidth="1"/>
    <col min="4" max="4" width="14.5546875" customWidth="1"/>
    <col min="5" max="5" width="12.5546875" customWidth="1"/>
    <col min="6" max="6" width="20" style="42" bestFit="1" customWidth="1"/>
    <col min="7" max="9" width="12.109375" customWidth="1"/>
    <col min="10" max="10" width="43.6640625" customWidth="1"/>
    <col min="11" max="11" width="10.5546875" customWidth="1"/>
    <col min="12" max="12" width="18.88671875" customWidth="1"/>
    <col min="13" max="14" width="18.44140625" customWidth="1"/>
    <col min="15" max="15" width="16.6640625" customWidth="1"/>
  </cols>
  <sheetData>
    <row r="1" spans="2:25" x14ac:dyDescent="0.3">
      <c r="B1" s="76" t="s">
        <v>602</v>
      </c>
      <c r="C1" s="76" t="s">
        <v>516</v>
      </c>
      <c r="D1" s="76" t="s">
        <v>4655</v>
      </c>
      <c r="E1" s="76" t="s">
        <v>4656</v>
      </c>
      <c r="F1" s="9" t="s">
        <v>4657</v>
      </c>
      <c r="G1" s="49" t="s">
        <v>4658</v>
      </c>
      <c r="H1" s="391"/>
      <c r="I1" s="391"/>
      <c r="J1" s="629" t="s">
        <v>4659</v>
      </c>
      <c r="K1" s="67" t="s">
        <v>516</v>
      </c>
      <c r="L1" s="67" t="s">
        <v>4660</v>
      </c>
      <c r="M1" s="67" t="s">
        <v>4656</v>
      </c>
      <c r="N1" s="67"/>
      <c r="O1" s="67" t="s">
        <v>4661</v>
      </c>
      <c r="Q1" s="1227" t="s">
        <v>4662</v>
      </c>
      <c r="R1" s="1227" t="s">
        <v>4663</v>
      </c>
      <c r="S1" s="1227" t="s">
        <v>4664</v>
      </c>
      <c r="T1" s="1227" t="s">
        <v>4665</v>
      </c>
      <c r="U1" s="1227" t="s">
        <v>4666</v>
      </c>
      <c r="W1" s="36" t="s">
        <v>519</v>
      </c>
      <c r="X1" s="36" t="s">
        <v>4667</v>
      </c>
      <c r="Y1" s="36" t="s">
        <v>4664</v>
      </c>
    </row>
    <row r="2" spans="2:25" ht="15.6" x14ac:dyDescent="0.3">
      <c r="B2" s="49" t="s">
        <v>65</v>
      </c>
      <c r="C2" s="654">
        <f>AVERAGE(K2,K15)</f>
        <v>4.25</v>
      </c>
      <c r="D2" s="654">
        <f>PRODUCT(L2,L15)</f>
        <v>0.99401458997935832</v>
      </c>
      <c r="E2" s="654">
        <f>MIN(M2,M15)</f>
        <v>2.75</v>
      </c>
      <c r="F2" s="48">
        <v>2</v>
      </c>
      <c r="G2" s="57">
        <f t="shared" ref="G2:G28" si="0">SUM(C2:E2)</f>
        <v>7.9940145899793587</v>
      </c>
      <c r="H2" s="1228"/>
      <c r="I2" s="1228"/>
      <c r="J2" s="1229" t="s">
        <v>4668</v>
      </c>
      <c r="K2" s="77">
        <v>4.5</v>
      </c>
      <c r="L2" s="1230">
        <f t="shared" ref="L2:L16" si="1">U2</f>
        <v>0.99811643835616437</v>
      </c>
      <c r="M2" s="77">
        <v>2.75</v>
      </c>
      <c r="N2" s="77"/>
      <c r="O2" s="77">
        <v>4.625</v>
      </c>
      <c r="Q2" s="205">
        <f t="shared" ref="Q2:Q16" si="2">O2</f>
        <v>4.625</v>
      </c>
      <c r="R2">
        <f t="shared" ref="R2:R16" si="3">ROUNDDOWN(IF(Q2&lt;1,1,IF(Q2&gt;5,5,Q2)),0)</f>
        <v>4</v>
      </c>
      <c r="S2" cm="1">
        <f t="array" ref="S2">INDEX($Y$2:$Y$6,R2)</f>
        <v>1.369863013698569E-3</v>
      </c>
      <c r="T2" cm="1">
        <f t="array" ref="T2">INDEX($X$2:$X$6,R2)</f>
        <v>0.99726027397260275</v>
      </c>
      <c r="U2">
        <f t="shared" ref="U2:U16" si="4">S2*(Q2-R2) + T2</f>
        <v>0.99811643835616437</v>
      </c>
      <c r="W2">
        <v>1</v>
      </c>
      <c r="X2">
        <v>0.8575342465753425</v>
      </c>
      <c r="Y2">
        <f>(X2-X3)/(W2-W3)</f>
        <v>0.1095890410958904</v>
      </c>
    </row>
    <row r="3" spans="2:25" ht="15.6" x14ac:dyDescent="0.3">
      <c r="B3" s="49" t="s">
        <v>4669</v>
      </c>
      <c r="C3" s="654">
        <f>AVERAGE(K2,K16)</f>
        <v>4.5</v>
      </c>
      <c r="D3" s="654">
        <f>PRODUCT(L2,L16)</f>
        <v>0.99538187277162693</v>
      </c>
      <c r="E3" s="654">
        <f>MIN(M2,M16)</f>
        <v>2.75</v>
      </c>
      <c r="F3" s="48">
        <v>2</v>
      </c>
      <c r="G3" s="57">
        <f t="shared" si="0"/>
        <v>8.2453818727716275</v>
      </c>
      <c r="H3" s="1228"/>
      <c r="I3" s="1228"/>
      <c r="J3" s="1229" t="s">
        <v>4670</v>
      </c>
      <c r="K3" s="77">
        <v>2</v>
      </c>
      <c r="L3" s="1230">
        <f t="shared" si="1"/>
        <v>0.9853881278538813</v>
      </c>
      <c r="M3" s="77">
        <v>3</v>
      </c>
      <c r="N3" s="77"/>
      <c r="O3" s="77">
        <v>2.6666666666666665</v>
      </c>
      <c r="Q3" s="205">
        <f t="shared" si="2"/>
        <v>2.6666666666666665</v>
      </c>
      <c r="R3">
        <f t="shared" si="3"/>
        <v>2</v>
      </c>
      <c r="S3" cm="1">
        <f t="array" ref="S3">INDEX($Y$2:$Y$6,R3)</f>
        <v>2.7397260273972601E-2</v>
      </c>
      <c r="T3" cm="1">
        <f t="array" ref="T3">INDEX($X$2:$X$6,R3)</f>
        <v>0.9671232876712329</v>
      </c>
      <c r="U3">
        <f t="shared" si="4"/>
        <v>0.9853881278538813</v>
      </c>
      <c r="W3">
        <v>2</v>
      </c>
      <c r="X3">
        <v>0.9671232876712329</v>
      </c>
      <c r="Y3">
        <f>(X3-X4)/(W3-W4)</f>
        <v>2.7397260273972601E-2</v>
      </c>
    </row>
    <row r="4" spans="2:25" ht="15.6" x14ac:dyDescent="0.3">
      <c r="B4" s="49" t="s">
        <v>4671</v>
      </c>
      <c r="C4" s="654">
        <f>AVERAGE(K2,K3,K15)</f>
        <v>3.5</v>
      </c>
      <c r="D4" s="654">
        <f>PRODUCT(L2,L3,L15)</f>
        <v>0.97949017587920328</v>
      </c>
      <c r="E4" s="654">
        <f>MIN(M2,M3,M15)</f>
        <v>2.75</v>
      </c>
      <c r="F4" s="9">
        <v>3</v>
      </c>
      <c r="G4" s="57">
        <f t="shared" si="0"/>
        <v>7.229490175879203</v>
      </c>
      <c r="H4" s="653"/>
      <c r="I4" s="653"/>
      <c r="J4" s="1229" t="s">
        <v>4672</v>
      </c>
      <c r="K4" s="77">
        <v>4</v>
      </c>
      <c r="L4" s="1230">
        <f t="shared" si="1"/>
        <v>0.99657534246575341</v>
      </c>
      <c r="M4" s="77">
        <v>3.25</v>
      </c>
      <c r="N4" s="77"/>
      <c r="O4" s="77">
        <v>3.75</v>
      </c>
      <c r="Q4" s="205">
        <f t="shared" si="2"/>
        <v>3.75</v>
      </c>
      <c r="R4">
        <f t="shared" si="3"/>
        <v>3</v>
      </c>
      <c r="S4" cm="1">
        <f t="array" ref="S4">INDEX($Y$2:$Y$6,R4)</f>
        <v>2.739726027397249E-3</v>
      </c>
      <c r="T4" cm="1">
        <f t="array" ref="T4">INDEX($X$2:$X$6,R4)</f>
        <v>0.9945205479452055</v>
      </c>
      <c r="U4">
        <f t="shared" si="4"/>
        <v>0.99657534246575341</v>
      </c>
      <c r="W4">
        <v>3</v>
      </c>
      <c r="X4">
        <v>0.9945205479452055</v>
      </c>
      <c r="Y4">
        <f>(X4-X5)/(W4-W5)</f>
        <v>2.739726027397249E-3</v>
      </c>
    </row>
    <row r="5" spans="2:25" ht="31.2" x14ac:dyDescent="0.3">
      <c r="B5" s="49" t="s">
        <v>4673</v>
      </c>
      <c r="C5" s="654">
        <f>AVERAGE(K2,K3,K16)</f>
        <v>3.6666666666666665</v>
      </c>
      <c r="D5" s="654">
        <f>PRODUCT(L2,L3,L16)</f>
        <v>0.98083748011012373</v>
      </c>
      <c r="E5" s="654">
        <f>MIN(M2,M3,M16)</f>
        <v>2.75</v>
      </c>
      <c r="F5" s="9">
        <v>3</v>
      </c>
      <c r="G5" s="57">
        <f t="shared" si="0"/>
        <v>7.3975041467767904</v>
      </c>
      <c r="H5" s="653"/>
      <c r="I5" s="653"/>
      <c r="J5" s="1229" t="s">
        <v>4674</v>
      </c>
      <c r="K5" s="77">
        <v>2</v>
      </c>
      <c r="L5" s="1230">
        <f t="shared" si="1"/>
        <v>0.97397260273972608</v>
      </c>
      <c r="M5" s="77">
        <v>2.5</v>
      </c>
      <c r="N5" s="77"/>
      <c r="O5" s="77">
        <v>2.25</v>
      </c>
      <c r="Q5" s="205">
        <f t="shared" si="2"/>
        <v>2.25</v>
      </c>
      <c r="R5">
        <f t="shared" si="3"/>
        <v>2</v>
      </c>
      <c r="S5" cm="1">
        <f t="array" ref="S5">INDEX($Y$2:$Y$6,R5)</f>
        <v>2.7397260273972601E-2</v>
      </c>
      <c r="T5" cm="1">
        <f t="array" ref="T5">INDEX($X$2:$X$6,R5)</f>
        <v>0.9671232876712329</v>
      </c>
      <c r="U5">
        <f t="shared" si="4"/>
        <v>0.97397260273972608</v>
      </c>
      <c r="W5">
        <v>4</v>
      </c>
      <c r="X5">
        <v>0.99726027397260275</v>
      </c>
      <c r="Y5">
        <f>(X5-X6)/(W5-W6)</f>
        <v>1.369863013698569E-3</v>
      </c>
    </row>
    <row r="6" spans="2:25" ht="15.6" x14ac:dyDescent="0.3">
      <c r="B6" s="49" t="s">
        <v>4675</v>
      </c>
      <c r="C6" s="102">
        <f>AVERAGE(K4,K14,K15)</f>
        <v>3.5</v>
      </c>
      <c r="D6" s="102">
        <f>PRODUCT(L4,L14,L15)</f>
        <v>0.98772136243403252</v>
      </c>
      <c r="E6" s="102">
        <f>MIN(M4,M14,M15)</f>
        <v>2</v>
      </c>
      <c r="F6" s="9">
        <v>3</v>
      </c>
      <c r="G6" s="57">
        <f t="shared" si="0"/>
        <v>6.4877213624340326</v>
      </c>
      <c r="H6" s="653"/>
      <c r="I6" s="653"/>
      <c r="J6" s="1229" t="s">
        <v>4676</v>
      </c>
      <c r="K6" s="77">
        <v>3</v>
      </c>
      <c r="L6" s="1230">
        <f t="shared" si="1"/>
        <v>0.99589041095890418</v>
      </c>
      <c r="M6" s="77">
        <v>2.25</v>
      </c>
      <c r="N6" s="77"/>
      <c r="O6" s="77">
        <v>3.5</v>
      </c>
      <c r="Q6" s="205">
        <f t="shared" si="2"/>
        <v>3.5</v>
      </c>
      <c r="R6">
        <f t="shared" si="3"/>
        <v>3</v>
      </c>
      <c r="S6" cm="1">
        <f t="array" ref="S6">INDEX($Y$2:$Y$6,R6)</f>
        <v>2.739726027397249E-3</v>
      </c>
      <c r="T6" cm="1">
        <f t="array" ref="T6">INDEX($X$2:$X$6,R6)</f>
        <v>0.9945205479452055</v>
      </c>
      <c r="U6">
        <f t="shared" si="4"/>
        <v>0.99589041095890418</v>
      </c>
      <c r="W6">
        <v>5</v>
      </c>
      <c r="X6">
        <v>0.99863013698630132</v>
      </c>
      <c r="Y6">
        <v>0</v>
      </c>
    </row>
    <row r="7" spans="2:25" ht="15.6" x14ac:dyDescent="0.3">
      <c r="B7" s="49" t="s">
        <v>4677</v>
      </c>
      <c r="C7" s="102">
        <f>AVERAGE(K4,K14,K16)</f>
        <v>3.6666666666666665</v>
      </c>
      <c r="D7" s="102">
        <f>PRODUCT(L4,L14,L16)</f>
        <v>0.98907998879226355</v>
      </c>
      <c r="E7" s="102">
        <f>MIN(M4,M14,M16)</f>
        <v>2</v>
      </c>
      <c r="F7" s="9">
        <v>3</v>
      </c>
      <c r="G7" s="57">
        <f t="shared" si="0"/>
        <v>6.6557466554589304</v>
      </c>
      <c r="H7" s="653"/>
      <c r="I7" s="653"/>
      <c r="J7" s="1229" t="s">
        <v>3086</v>
      </c>
      <c r="K7" s="77">
        <v>1.5</v>
      </c>
      <c r="L7" s="1230">
        <f t="shared" si="1"/>
        <v>0.9671232876712329</v>
      </c>
      <c r="M7" s="77">
        <v>2.5</v>
      </c>
      <c r="N7" s="77"/>
      <c r="O7" s="77">
        <v>2</v>
      </c>
      <c r="Q7" s="205">
        <f t="shared" si="2"/>
        <v>2</v>
      </c>
      <c r="R7">
        <f t="shared" si="3"/>
        <v>2</v>
      </c>
      <c r="S7" cm="1">
        <f t="array" ref="S7">INDEX($Y$2:$Y$6,R7)</f>
        <v>2.7397260273972601E-2</v>
      </c>
      <c r="T7" cm="1">
        <f t="array" ref="T7">INDEX($X$2:$X$6,R7)</f>
        <v>0.9671232876712329</v>
      </c>
      <c r="U7">
        <f t="shared" si="4"/>
        <v>0.9671232876712329</v>
      </c>
    </row>
    <row r="8" spans="2:25" ht="15.6" x14ac:dyDescent="0.3">
      <c r="B8" s="49" t="s">
        <v>4678</v>
      </c>
      <c r="C8" s="102">
        <f>AVERAGE(K5,K14,K15)</f>
        <v>2.8333333333333335</v>
      </c>
      <c r="D8" s="102">
        <f>PRODUCT(L5,L14,L15)</f>
        <v>0.96531943462625036</v>
      </c>
      <c r="E8" s="102">
        <f>MIN(M5,M14,M15)</f>
        <v>2</v>
      </c>
      <c r="F8" s="9">
        <v>3</v>
      </c>
      <c r="G8" s="57">
        <f t="shared" si="0"/>
        <v>5.7986527679595836</v>
      </c>
      <c r="H8" s="653"/>
      <c r="I8" s="653"/>
      <c r="J8" s="1229" t="s">
        <v>4679</v>
      </c>
      <c r="K8" s="77">
        <v>1</v>
      </c>
      <c r="L8" s="1230">
        <f t="shared" si="1"/>
        <v>0.9671232876712329</v>
      </c>
      <c r="M8" s="77">
        <v>2.75</v>
      </c>
      <c r="N8" s="77"/>
      <c r="O8" s="77">
        <v>2</v>
      </c>
      <c r="Q8" s="205">
        <f t="shared" si="2"/>
        <v>2</v>
      </c>
      <c r="R8">
        <f t="shared" si="3"/>
        <v>2</v>
      </c>
      <c r="S8" cm="1">
        <f t="array" ref="S8">INDEX($Y$2:$Y$6,R8)</f>
        <v>2.7397260273972601E-2</v>
      </c>
      <c r="T8" cm="1">
        <f t="array" ref="T8">INDEX($X$2:$X$6,R8)</f>
        <v>0.9671232876712329</v>
      </c>
      <c r="U8">
        <f t="shared" si="4"/>
        <v>0.9671232876712329</v>
      </c>
    </row>
    <row r="9" spans="2:25" ht="31.2" x14ac:dyDescent="0.3">
      <c r="B9" s="49" t="s">
        <v>4680</v>
      </c>
      <c r="C9" s="102">
        <f>AVERAGE(K5,K14,K16)</f>
        <v>3</v>
      </c>
      <c r="D9" s="102">
        <f>PRODUCT(L5,L14,L16)</f>
        <v>0.96664724677841851</v>
      </c>
      <c r="E9" s="102">
        <f>MIN(M5,M14,M16)</f>
        <v>2</v>
      </c>
      <c r="F9" s="9">
        <v>3</v>
      </c>
      <c r="G9" s="57">
        <f t="shared" si="0"/>
        <v>5.9666472467784182</v>
      </c>
      <c r="H9" s="653"/>
      <c r="I9" s="653"/>
      <c r="J9" s="1229" t="s">
        <v>4681</v>
      </c>
      <c r="K9" s="77">
        <v>1</v>
      </c>
      <c r="L9" s="1230">
        <f t="shared" si="1"/>
        <v>0.9397260273972603</v>
      </c>
      <c r="M9" s="77">
        <v>2.75</v>
      </c>
      <c r="N9" s="77"/>
      <c r="O9" s="77">
        <v>1.75</v>
      </c>
      <c r="Q9" s="205">
        <f t="shared" si="2"/>
        <v>1.75</v>
      </c>
      <c r="R9">
        <f t="shared" si="3"/>
        <v>1</v>
      </c>
      <c r="S9" cm="1">
        <f t="array" ref="S9">INDEX($Y$2:$Y$6,R9)</f>
        <v>0.1095890410958904</v>
      </c>
      <c r="T9" cm="1">
        <f t="array" ref="T9">INDEX($X$2:$X$6,R9)</f>
        <v>0.8575342465753425</v>
      </c>
      <c r="U9">
        <f t="shared" si="4"/>
        <v>0.9397260273972603</v>
      </c>
    </row>
    <row r="10" spans="2:25" ht="15.6" x14ac:dyDescent="0.3">
      <c r="B10" s="49" t="s">
        <v>4682</v>
      </c>
      <c r="C10" s="102">
        <f>AVERAGE(K6,K14,K15)</f>
        <v>3.1666666666666665</v>
      </c>
      <c r="D10" s="102">
        <f>PRODUCT(L6,L14,L15)</f>
        <v>0.98704251613682714</v>
      </c>
      <c r="E10" s="102">
        <f>MIN(M6,M14,M15)</f>
        <v>2</v>
      </c>
      <c r="F10" s="9">
        <v>3</v>
      </c>
      <c r="G10" s="57">
        <f t="shared" si="0"/>
        <v>6.1537091828034933</v>
      </c>
      <c r="H10" s="653"/>
      <c r="I10" s="653"/>
      <c r="J10" s="1229" t="s">
        <v>4683</v>
      </c>
      <c r="K10" s="77">
        <v>1.5</v>
      </c>
      <c r="L10" s="1230">
        <f t="shared" si="1"/>
        <v>0.97739726027397267</v>
      </c>
      <c r="M10" s="77">
        <v>2.25</v>
      </c>
      <c r="N10" s="77"/>
      <c r="O10" s="77">
        <v>2.375</v>
      </c>
      <c r="Q10" s="205">
        <f t="shared" si="2"/>
        <v>2.375</v>
      </c>
      <c r="R10">
        <f t="shared" si="3"/>
        <v>2</v>
      </c>
      <c r="S10" cm="1">
        <f t="array" ref="S10">INDEX($Y$2:$Y$6,R10)</f>
        <v>2.7397260273972601E-2</v>
      </c>
      <c r="T10" cm="1">
        <f t="array" ref="T10">INDEX($X$2:$X$6,R10)</f>
        <v>0.9671232876712329</v>
      </c>
      <c r="U10">
        <f t="shared" si="4"/>
        <v>0.97739726027397267</v>
      </c>
    </row>
    <row r="11" spans="2:25" ht="15.6" x14ac:dyDescent="0.3">
      <c r="B11" s="49" t="s">
        <v>4684</v>
      </c>
      <c r="C11" s="102">
        <f>AVERAGE(K6,K14,K16)</f>
        <v>3.3333333333333335</v>
      </c>
      <c r="D11" s="102">
        <f>PRODUCT(L6,L14,L16)</f>
        <v>0.98840020873123813</v>
      </c>
      <c r="E11" s="102">
        <f>MIN(M6,M14,M16)</f>
        <v>2</v>
      </c>
      <c r="F11" s="9">
        <v>3</v>
      </c>
      <c r="G11" s="57">
        <f t="shared" si="0"/>
        <v>6.3217335420645719</v>
      </c>
      <c r="H11" s="653"/>
      <c r="I11" s="653"/>
      <c r="J11" s="1229" t="s">
        <v>2798</v>
      </c>
      <c r="K11" s="77">
        <v>2</v>
      </c>
      <c r="L11" s="1230">
        <f t="shared" si="1"/>
        <v>0.99520547945205484</v>
      </c>
      <c r="M11" s="77">
        <v>2.5</v>
      </c>
      <c r="N11" s="77"/>
      <c r="O11" s="77">
        <v>3.25</v>
      </c>
      <c r="Q11" s="205">
        <f t="shared" si="2"/>
        <v>3.25</v>
      </c>
      <c r="R11">
        <f t="shared" si="3"/>
        <v>3</v>
      </c>
      <c r="S11" cm="1">
        <f t="array" ref="S11">INDEX($Y$2:$Y$6,R11)</f>
        <v>2.739726027397249E-3</v>
      </c>
      <c r="T11" cm="1">
        <f t="array" ref="T11">INDEX($X$2:$X$6,R11)</f>
        <v>0.9945205479452055</v>
      </c>
      <c r="U11">
        <f t="shared" si="4"/>
        <v>0.99520547945205484</v>
      </c>
    </row>
    <row r="12" spans="2:25" ht="15.6" x14ac:dyDescent="0.3">
      <c r="B12" s="49" t="s">
        <v>4685</v>
      </c>
      <c r="C12" s="102">
        <f>AVERAGE(K4,K7,K14,K15)</f>
        <v>3</v>
      </c>
      <c r="D12" s="102">
        <f>PRODUCT(L4,L7,L14,L15)</f>
        <v>0.95524833134031095</v>
      </c>
      <c r="E12" s="102">
        <f>MIN(M4,M7,M14,M15)</f>
        <v>2</v>
      </c>
      <c r="F12" s="9">
        <v>4</v>
      </c>
      <c r="G12" s="57">
        <f t="shared" si="0"/>
        <v>5.9552483313403108</v>
      </c>
      <c r="H12" s="653"/>
      <c r="I12" s="653"/>
      <c r="J12" s="1229" t="s">
        <v>4686</v>
      </c>
      <c r="K12" s="77">
        <v>1</v>
      </c>
      <c r="L12" s="1230">
        <f t="shared" si="1"/>
        <v>0.9762557077625571</v>
      </c>
      <c r="M12" s="77">
        <v>2.75</v>
      </c>
      <c r="N12" s="77"/>
      <c r="O12" s="77">
        <v>2.3333333333333335</v>
      </c>
      <c r="Q12" s="205">
        <f t="shared" si="2"/>
        <v>2.3333333333333335</v>
      </c>
      <c r="R12">
        <f t="shared" si="3"/>
        <v>2</v>
      </c>
      <c r="S12" cm="1">
        <f t="array" ref="S12">INDEX($Y$2:$Y$6,R12)</f>
        <v>2.7397260273972601E-2</v>
      </c>
      <c r="T12" cm="1">
        <f t="array" ref="T12">INDEX($X$2:$X$6,R12)</f>
        <v>0.9671232876712329</v>
      </c>
      <c r="U12">
        <f t="shared" si="4"/>
        <v>0.9762557077625571</v>
      </c>
    </row>
    <row r="13" spans="2:25" ht="15.6" x14ac:dyDescent="0.3">
      <c r="B13" s="49" t="s">
        <v>4687</v>
      </c>
      <c r="C13" s="102">
        <f>AVERAGE(K4,K7,K14,K16)</f>
        <v>3.125</v>
      </c>
      <c r="D13" s="102">
        <f>PRODUCT(L4,L7,L14,L16)</f>
        <v>0.95656229053060027</v>
      </c>
      <c r="E13" s="102">
        <f>MIN(M4,M7,M14,M16)</f>
        <v>2</v>
      </c>
      <c r="F13" s="9">
        <v>4</v>
      </c>
      <c r="G13" s="57">
        <f t="shared" si="0"/>
        <v>6.0815622905306004</v>
      </c>
      <c r="H13" s="653"/>
      <c r="I13" s="653"/>
      <c r="J13" s="1229" t="s">
        <v>4688</v>
      </c>
      <c r="K13" s="77">
        <v>1</v>
      </c>
      <c r="L13" s="1230">
        <f t="shared" si="1"/>
        <v>0.9671232876712329</v>
      </c>
      <c r="M13" s="77">
        <v>2.5</v>
      </c>
      <c r="N13" s="77"/>
      <c r="O13" s="77">
        <v>2</v>
      </c>
      <c r="Q13" s="205">
        <f t="shared" si="2"/>
        <v>2</v>
      </c>
      <c r="R13">
        <f t="shared" si="3"/>
        <v>2</v>
      </c>
      <c r="S13" cm="1">
        <f t="array" ref="S13">INDEX($Y$2:$Y$6,R13)</f>
        <v>2.7397260273972601E-2</v>
      </c>
      <c r="T13" cm="1">
        <f t="array" ref="T13">INDEX($X$2:$X$6,R13)</f>
        <v>0.9671232876712329</v>
      </c>
      <c r="U13">
        <f t="shared" si="4"/>
        <v>0.9671232876712329</v>
      </c>
    </row>
    <row r="14" spans="2:25" ht="15.6" x14ac:dyDescent="0.3">
      <c r="B14" s="49" t="s">
        <v>4689</v>
      </c>
      <c r="C14" s="102">
        <f>AVERAGE(K5,K7,K14,K15)</f>
        <v>2.5</v>
      </c>
      <c r="D14" s="102">
        <f>PRODUCT(L5,L7,L14,L15)</f>
        <v>0.93358290526867516</v>
      </c>
      <c r="E14" s="102">
        <f>MIN(M5,M7,M14,M15)</f>
        <v>2</v>
      </c>
      <c r="F14" s="9">
        <v>4</v>
      </c>
      <c r="G14" s="57">
        <f t="shared" si="0"/>
        <v>5.4335829052686755</v>
      </c>
      <c r="H14" s="653"/>
      <c r="I14" s="653"/>
      <c r="J14" s="1229" t="s">
        <v>4690</v>
      </c>
      <c r="K14" s="77">
        <v>2.5</v>
      </c>
      <c r="L14" s="1230">
        <f t="shared" si="1"/>
        <v>0.99520547945205484</v>
      </c>
      <c r="M14" s="77">
        <v>2</v>
      </c>
      <c r="N14" s="77"/>
      <c r="O14" s="77">
        <v>3.25</v>
      </c>
      <c r="Q14" s="205">
        <f t="shared" si="2"/>
        <v>3.25</v>
      </c>
      <c r="R14">
        <f t="shared" si="3"/>
        <v>3</v>
      </c>
      <c r="S14" cm="1">
        <f t="array" ref="S14">INDEX($Y$2:$Y$6,R14)</f>
        <v>2.739726027397249E-3</v>
      </c>
      <c r="T14" cm="1">
        <f t="array" ref="T14">INDEX($X$2:$X$6,R14)</f>
        <v>0.9945205479452055</v>
      </c>
      <c r="U14">
        <f t="shared" si="4"/>
        <v>0.99520547945205484</v>
      </c>
    </row>
    <row r="15" spans="2:25" ht="15.6" x14ac:dyDescent="0.3">
      <c r="B15" s="336" t="s">
        <v>4691</v>
      </c>
      <c r="C15" s="715">
        <f>AVERAGE(K5, K7, K14, K16)</f>
        <v>2.625</v>
      </c>
      <c r="D15" s="715">
        <f>PRODUCT(L5, L7, L14, L16)</f>
        <v>0.93486706332268976</v>
      </c>
      <c r="E15" s="715">
        <f>MIN(M5, M7, M14, M16)</f>
        <v>2</v>
      </c>
      <c r="F15" s="48">
        <v>4</v>
      </c>
      <c r="G15" s="57">
        <f t="shared" si="0"/>
        <v>5.5598670633226899</v>
      </c>
      <c r="H15" s="1228"/>
      <c r="I15" s="1228"/>
      <c r="J15" s="1229" t="s">
        <v>4692</v>
      </c>
      <c r="K15" s="77">
        <v>4</v>
      </c>
      <c r="L15" s="1230">
        <f t="shared" si="1"/>
        <v>0.99589041095890418</v>
      </c>
      <c r="M15" s="77">
        <v>3.25</v>
      </c>
      <c r="N15" s="77"/>
      <c r="O15" s="77">
        <v>3.5</v>
      </c>
      <c r="Q15" s="205">
        <f t="shared" si="2"/>
        <v>3.5</v>
      </c>
      <c r="R15">
        <f t="shared" si="3"/>
        <v>3</v>
      </c>
      <c r="S15" cm="1">
        <f t="array" ref="S15">INDEX($Y$2:$Y$6,R15)</f>
        <v>2.739726027397249E-3</v>
      </c>
      <c r="T15" cm="1">
        <f t="array" ref="T15">INDEX($X$2:$X$6,R15)</f>
        <v>0.9945205479452055</v>
      </c>
      <c r="U15">
        <f t="shared" si="4"/>
        <v>0.99589041095890418</v>
      </c>
    </row>
    <row r="16" spans="2:25" ht="15.6" x14ac:dyDescent="0.3">
      <c r="B16" s="49" t="s">
        <v>4693</v>
      </c>
      <c r="C16" s="102">
        <f>AVERAGE(K6,K7,K14,K15)</f>
        <v>2.75</v>
      </c>
      <c r="D16" s="102">
        <f>PRODUCT(L6,L7,L14,L15)</f>
        <v>0.95459180327753412</v>
      </c>
      <c r="E16" s="102">
        <f>MIN(M6,M7,M14,M15)</f>
        <v>2</v>
      </c>
      <c r="F16" s="9">
        <v>4</v>
      </c>
      <c r="G16" s="57">
        <f t="shared" si="0"/>
        <v>5.704591803277534</v>
      </c>
      <c r="H16" s="653"/>
      <c r="I16" s="653"/>
      <c r="J16" s="1229" t="s">
        <v>4694</v>
      </c>
      <c r="K16" s="77">
        <v>4.5</v>
      </c>
      <c r="L16" s="1230">
        <f t="shared" si="1"/>
        <v>0.99726027397260275</v>
      </c>
      <c r="M16" s="77">
        <v>3</v>
      </c>
      <c r="N16" s="77"/>
      <c r="O16" s="77">
        <v>4</v>
      </c>
      <c r="Q16" s="205">
        <f t="shared" si="2"/>
        <v>4</v>
      </c>
      <c r="R16">
        <f t="shared" si="3"/>
        <v>4</v>
      </c>
      <c r="S16" cm="1">
        <f t="array" ref="S16">INDEX($Y$2:$Y$6,R16)</f>
        <v>1.369863013698569E-3</v>
      </c>
      <c r="T16" cm="1">
        <f t="array" ref="T16">INDEX($X$2:$X$6,R16)</f>
        <v>0.99726027397260275</v>
      </c>
      <c r="U16">
        <f t="shared" si="4"/>
        <v>0.99726027397260275</v>
      </c>
    </row>
    <row r="17" spans="2:7" x14ac:dyDescent="0.3">
      <c r="B17" s="49" t="s">
        <v>4695</v>
      </c>
      <c r="C17" s="102">
        <f>AVERAGE(K6,K7,K14,K16)</f>
        <v>2.875</v>
      </c>
      <c r="D17" s="102">
        <f>PRODUCT(L6,L7,L14,L16)</f>
        <v>0.95590485940308767</v>
      </c>
      <c r="E17" s="102">
        <f>MIN(M6,M7,M14,M16)</f>
        <v>2</v>
      </c>
      <c r="F17" s="9">
        <v>4</v>
      </c>
      <c r="G17" s="57">
        <f t="shared" si="0"/>
        <v>5.8309048594030877</v>
      </c>
    </row>
    <row r="18" spans="2:7" x14ac:dyDescent="0.3">
      <c r="B18" s="49" t="s">
        <v>4696</v>
      </c>
      <c r="C18" s="102">
        <f>AVERAGE(K4,K10,K14,K15)</f>
        <v>3</v>
      </c>
      <c r="D18" s="102">
        <f>PRODUCT(L4,L10,L14,L15)</f>
        <v>0.96539615355709907</v>
      </c>
      <c r="E18" s="102">
        <f>MIN(M4,M10,M14,M15)</f>
        <v>2</v>
      </c>
      <c r="F18" s="9">
        <v>4</v>
      </c>
      <c r="G18" s="57">
        <f t="shared" si="0"/>
        <v>5.9653961535570996</v>
      </c>
    </row>
    <row r="19" spans="2:7" x14ac:dyDescent="0.3">
      <c r="B19" s="49" t="s">
        <v>4697</v>
      </c>
      <c r="C19" s="102">
        <f>AVERAGE(K4,K10,K14,K16)</f>
        <v>3.125</v>
      </c>
      <c r="D19" s="102">
        <f>PRODUCT(L4,L10,L14,L16)</f>
        <v>0.96672407123737003</v>
      </c>
      <c r="E19" s="102">
        <f>MIN(M4,M10,M14,M16)</f>
        <v>2</v>
      </c>
      <c r="F19" s="9">
        <v>4</v>
      </c>
      <c r="G19" s="57">
        <f t="shared" si="0"/>
        <v>6.0917240712373699</v>
      </c>
    </row>
    <row r="20" spans="2:7" x14ac:dyDescent="0.3">
      <c r="B20" s="49" t="s">
        <v>4698</v>
      </c>
      <c r="C20" s="102">
        <f>AVERAGE(K5,K10,K14,K15)</f>
        <v>2.5</v>
      </c>
      <c r="D20" s="102">
        <f>PRODUCT(L5,L10,L14,L15)</f>
        <v>0.94350057069291748</v>
      </c>
      <c r="E20" s="102">
        <f>MIN(M5,M10,M14,M15)</f>
        <v>2</v>
      </c>
      <c r="F20" s="9">
        <v>4</v>
      </c>
      <c r="G20" s="57">
        <f t="shared" si="0"/>
        <v>5.4435005706929172</v>
      </c>
    </row>
    <row r="21" spans="2:7" x14ac:dyDescent="0.3">
      <c r="B21" s="49" t="s">
        <v>4699</v>
      </c>
      <c r="C21" s="102">
        <f>AVERAGE(K5,K10,K14,K16)</f>
        <v>2.625</v>
      </c>
      <c r="D21" s="102">
        <f>PRODUCT(L5,L10,L14,L16)</f>
        <v>0.94479837065260508</v>
      </c>
      <c r="E21" s="102">
        <f>MIN(M5,M10,M14,M16)</f>
        <v>2</v>
      </c>
      <c r="F21" s="9">
        <v>4</v>
      </c>
      <c r="G21" s="57">
        <f t="shared" si="0"/>
        <v>5.5697983706526051</v>
      </c>
    </row>
    <row r="22" spans="2:7" x14ac:dyDescent="0.3">
      <c r="B22" s="49" t="s">
        <v>4700</v>
      </c>
      <c r="C22" s="102">
        <f>AVERAGE(K6,K10,K14,K15)</f>
        <v>2.75</v>
      </c>
      <c r="D22" s="102">
        <f>PRODUCT(L6,L10,L14,L15)</f>
        <v>0.96473265104606332</v>
      </c>
      <c r="E22" s="102">
        <f>MIN(M6,M10,M14,M15)</f>
        <v>2</v>
      </c>
      <c r="F22" s="9">
        <v>4</v>
      </c>
      <c r="G22" s="57">
        <f t="shared" si="0"/>
        <v>5.714732651046063</v>
      </c>
    </row>
    <row r="23" spans="2:7" x14ac:dyDescent="0.3">
      <c r="B23" s="49" t="s">
        <v>4701</v>
      </c>
      <c r="C23" s="102">
        <f>AVERAGE(K6,K10,K14,K16)</f>
        <v>2.875</v>
      </c>
      <c r="D23" s="102">
        <f>PRODUCT(L6,L10,L14,L16)</f>
        <v>0.96605965606813482</v>
      </c>
      <c r="E23" s="102">
        <f>MIN(M6,M10,M14,M16)</f>
        <v>2</v>
      </c>
      <c r="F23" s="9">
        <v>4</v>
      </c>
      <c r="G23" s="57">
        <f t="shared" si="0"/>
        <v>5.8410596560681345</v>
      </c>
    </row>
    <row r="24" spans="2:7" x14ac:dyDescent="0.3">
      <c r="B24" s="49" t="s">
        <v>4702</v>
      </c>
      <c r="C24" s="102">
        <f>AVERAGE(K5,K11,K15)</f>
        <v>2.6666666666666665</v>
      </c>
      <c r="D24" s="102">
        <f>PRODUCT(L5,L11,L15)</f>
        <v>0.96531943462625036</v>
      </c>
      <c r="E24" s="102">
        <f>MIN(M5,M11,M15)</f>
        <v>2.5</v>
      </c>
      <c r="F24" s="9">
        <v>3</v>
      </c>
      <c r="G24" s="57">
        <f t="shared" si="0"/>
        <v>6.1319861012929167</v>
      </c>
    </row>
    <row r="25" spans="2:7" x14ac:dyDescent="0.3">
      <c r="B25" s="49" t="s">
        <v>4703</v>
      </c>
      <c r="C25" s="102">
        <f>AVERAGE(K5,K11,K16)</f>
        <v>2.8333333333333335</v>
      </c>
      <c r="D25" s="102">
        <f>PRODUCT(L5,L11,L16)</f>
        <v>0.96664724677841851</v>
      </c>
      <c r="E25" s="102">
        <f>MIN(M5,M11,M16)</f>
        <v>2.5</v>
      </c>
      <c r="F25" s="9">
        <v>3</v>
      </c>
      <c r="G25" s="57">
        <f t="shared" si="0"/>
        <v>6.2999805801117521</v>
      </c>
    </row>
    <row r="26" spans="2:7" x14ac:dyDescent="0.3">
      <c r="B26" s="18" t="s">
        <v>4704</v>
      </c>
      <c r="C26" s="102">
        <f>AVERAGE(K5,K12,K15)</f>
        <v>2.3333333333333335</v>
      </c>
      <c r="D26" s="102">
        <f>PRODUCT(L5,L12,L15)</f>
        <v>0.94693872504286458</v>
      </c>
      <c r="E26" s="102">
        <f>MIN(M5,M12,M15)</f>
        <v>2.5</v>
      </c>
      <c r="F26" s="9">
        <v>3</v>
      </c>
      <c r="G26" s="57">
        <f t="shared" si="0"/>
        <v>5.7802720583761982</v>
      </c>
    </row>
    <row r="27" spans="2:7" x14ac:dyDescent="0.3">
      <c r="B27" s="49" t="s">
        <v>4705</v>
      </c>
      <c r="C27" s="102">
        <f>AVERAGE(K5,K13,K14,K15)</f>
        <v>2.375</v>
      </c>
      <c r="D27" s="102">
        <f>PRODUCT(L5,L13,L14,L15)</f>
        <v>0.93358290526867516</v>
      </c>
      <c r="E27" s="102">
        <f>MIN(M5,M13,M14,M15)</f>
        <v>2</v>
      </c>
      <c r="F27" s="9">
        <v>4</v>
      </c>
      <c r="G27" s="57">
        <f t="shared" si="0"/>
        <v>5.3085829052686755</v>
      </c>
    </row>
    <row r="28" spans="2:7" x14ac:dyDescent="0.3">
      <c r="B28" s="49" t="s">
        <v>4706</v>
      </c>
      <c r="C28" s="102">
        <f>AVERAGE(K5,K13,K14,K16)</f>
        <v>2.5</v>
      </c>
      <c r="D28" s="102">
        <f>PRODUCT(L5,L13,L14,L16)</f>
        <v>0.93486706332268976</v>
      </c>
      <c r="E28" s="102">
        <f>MIN(M5,M13,M14,M16)</f>
        <v>2</v>
      </c>
      <c r="F28" s="9">
        <v>4</v>
      </c>
      <c r="G28" s="57">
        <f t="shared" si="0"/>
        <v>5.4348670633226899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0703-64B6-42C5-ABF7-6682156A3943}">
  <dimension ref="A1:BL89"/>
  <sheetViews>
    <sheetView workbookViewId="0">
      <selection sqref="A1:C1"/>
    </sheetView>
  </sheetViews>
  <sheetFormatPr defaultRowHeight="14.4" x14ac:dyDescent="0.3"/>
  <cols>
    <col min="1" max="1" width="70.88671875" bestFit="1" customWidth="1"/>
    <col min="6" max="9" width="17.88671875" customWidth="1"/>
    <col min="10" max="10" width="10.5546875" bestFit="1" customWidth="1"/>
    <col min="11" max="11" width="23.44140625" bestFit="1" customWidth="1"/>
    <col min="14" max="14" width="11.5546875" bestFit="1" customWidth="1"/>
    <col min="15" max="15" width="33.88671875" bestFit="1" customWidth="1"/>
    <col min="16" max="17" width="11.5546875" bestFit="1" customWidth="1"/>
    <col min="18" max="18" width="10.5546875" bestFit="1" customWidth="1"/>
    <col min="19" max="19" width="10.5546875" customWidth="1"/>
    <col min="24" max="24" width="13.33203125" bestFit="1" customWidth="1"/>
    <col min="25" max="25" width="22.44140625" customWidth="1"/>
    <col min="32" max="32" width="22.44140625" customWidth="1"/>
    <col min="34" max="34" width="17" customWidth="1"/>
    <col min="66" max="66" width="34.5546875" customWidth="1"/>
    <col min="71" max="74" width="27.44140625" customWidth="1"/>
  </cols>
  <sheetData>
    <row r="1" spans="1:10" x14ac:dyDescent="0.3">
      <c r="A1" t="s">
        <v>4707</v>
      </c>
      <c r="F1" s="82" t="s">
        <v>4708</v>
      </c>
      <c r="G1" s="82"/>
      <c r="H1" s="82"/>
      <c r="I1" s="82"/>
    </row>
    <row r="2" spans="1:10" x14ac:dyDescent="0.3">
      <c r="A2" t="s">
        <v>4709</v>
      </c>
      <c r="F2">
        <v>0</v>
      </c>
      <c r="G2">
        <v>1.6180000000000001</v>
      </c>
      <c r="H2">
        <v>1.6180000000000001</v>
      </c>
      <c r="I2">
        <v>1.25</v>
      </c>
    </row>
    <row r="3" spans="1:10" x14ac:dyDescent="0.3">
      <c r="A3" t="s">
        <v>4710</v>
      </c>
      <c r="F3">
        <v>1</v>
      </c>
      <c r="G3">
        <v>1.0618000000000001</v>
      </c>
      <c r="H3">
        <v>1.0618000000000001</v>
      </c>
      <c r="I3">
        <v>1.0249999999999999</v>
      </c>
    </row>
    <row r="4" spans="1:10" x14ac:dyDescent="0.3">
      <c r="A4" s="82" t="s">
        <v>4711</v>
      </c>
      <c r="F4">
        <v>2</v>
      </c>
      <c r="G4">
        <v>1.0061800000000001</v>
      </c>
      <c r="H4">
        <v>1.0061800000000001</v>
      </c>
      <c r="I4">
        <v>1.0024999999999999</v>
      </c>
    </row>
    <row r="5" spans="1:10" x14ac:dyDescent="0.3">
      <c r="A5" t="s">
        <v>4712</v>
      </c>
      <c r="B5" s="1359">
        <f>UDV.cover_digest.depth</f>
        <v>4.5720000000000001</v>
      </c>
      <c r="C5" t="s">
        <v>2337</v>
      </c>
      <c r="F5">
        <v>3</v>
      </c>
      <c r="G5">
        <v>1.000618</v>
      </c>
      <c r="H5">
        <v>1.000618</v>
      </c>
      <c r="I5">
        <v>1.0002500000000001</v>
      </c>
    </row>
    <row r="6" spans="1:10" x14ac:dyDescent="0.3">
      <c r="A6" t="s">
        <v>4713</v>
      </c>
      <c r="B6" s="1359" cm="1">
        <f t="array" ref="B6">UDV.cover_digest.slope</f>
        <v>3</v>
      </c>
      <c r="C6" t="s">
        <v>2446</v>
      </c>
      <c r="F6">
        <v>4</v>
      </c>
      <c r="G6">
        <v>1.0000617999999999</v>
      </c>
      <c r="H6">
        <v>1.0000617999999999</v>
      </c>
      <c r="I6">
        <v>1.0000249999999999</v>
      </c>
    </row>
    <row r="7" spans="1:10" x14ac:dyDescent="0.3">
      <c r="A7" s="602" t="s">
        <v>4714</v>
      </c>
      <c r="B7" s="205">
        <f>B5*B6*2</f>
        <v>27.432000000000002</v>
      </c>
      <c r="C7" t="s">
        <v>2337</v>
      </c>
      <c r="F7">
        <v>5</v>
      </c>
      <c r="G7">
        <v>1</v>
      </c>
      <c r="H7">
        <v>1</v>
      </c>
      <c r="I7">
        <v>1</v>
      </c>
    </row>
    <row r="8" spans="1:10" x14ac:dyDescent="0.3">
      <c r="A8" t="s">
        <v>4715</v>
      </c>
      <c r="B8" s="1579">
        <f>UDV.cover_digest.berm_width</f>
        <v>2.5</v>
      </c>
      <c r="C8" t="s">
        <v>2337</v>
      </c>
    </row>
    <row r="9" spans="1:10" x14ac:dyDescent="0.3">
      <c r="A9" t="s">
        <v>4716</v>
      </c>
      <c r="B9" s="1359">
        <f>UDV.cover_digest.freeboard</f>
        <v>0.30480000000000002</v>
      </c>
      <c r="C9" t="s">
        <v>2337</v>
      </c>
      <c r="F9" s="82" t="s">
        <v>4717</v>
      </c>
      <c r="G9" s="82" t="str">
        <f>A25</f>
        <v>Sc9</v>
      </c>
      <c r="H9" s="82" t="str">
        <f>O25</f>
        <v>Sc10</v>
      </c>
      <c r="I9" s="82" t="str">
        <f>AF25</f>
        <v>Sc11</v>
      </c>
      <c r="J9" s="82"/>
    </row>
    <row r="10" spans="1:10" x14ac:dyDescent="0.3">
      <c r="A10" t="s">
        <v>4718</v>
      </c>
      <c r="B10" s="1369">
        <f>UDV.rain.drainage_area</f>
        <v>0</v>
      </c>
      <c r="C10" t="s">
        <v>2268</v>
      </c>
      <c r="F10" s="82" t="str">
        <f t="shared" ref="F10:F19" si="0">F26</f>
        <v>Best diff</v>
      </c>
      <c r="G10" s="205">
        <f t="shared" ref="G10:G19" si="1">J26</f>
        <v>7.253248795223044E-2</v>
      </c>
      <c r="H10" s="205">
        <f t="shared" ref="H10:H19" si="2">X26</f>
        <v>7.253248795223044E-2</v>
      </c>
      <c r="I10" s="205">
        <f t="shared" ref="I10:I19" si="3">AO26</f>
        <v>7.253248795223044E-2</v>
      </c>
      <c r="J10" s="205" t="str">
        <f t="shared" ref="J10:J19" si="4">K26</f>
        <v>m3</v>
      </c>
    </row>
    <row r="11" spans="1:10" x14ac:dyDescent="0.3">
      <c r="A11" t="s">
        <v>4719</v>
      </c>
      <c r="B11" s="147">
        <f>B8*2+B7</f>
        <v>32.432000000000002</v>
      </c>
      <c r="C11" t="s">
        <v>2337</v>
      </c>
      <c r="F11" s="82" t="str">
        <f t="shared" si="0"/>
        <v>Final width</v>
      </c>
      <c r="G11" s="205">
        <f t="shared" si="1"/>
        <v>35.760154737272494</v>
      </c>
      <c r="H11" s="205">
        <f t="shared" si="2"/>
        <v>35.760154737272494</v>
      </c>
      <c r="I11" s="205">
        <f t="shared" si="3"/>
        <v>35.760154737272494</v>
      </c>
      <c r="J11" s="205" t="str">
        <f t="shared" si="4"/>
        <v>m</v>
      </c>
    </row>
    <row r="12" spans="1:10" x14ac:dyDescent="0.3">
      <c r="F12" s="82" t="str">
        <f t="shared" si="0"/>
        <v>Final width + berm width</v>
      </c>
      <c r="G12" s="205">
        <f t="shared" si="1"/>
        <v>40.760154737272494</v>
      </c>
      <c r="H12" s="205">
        <f t="shared" si="2"/>
        <v>40.760154737272494</v>
      </c>
      <c r="I12" s="205">
        <f t="shared" si="3"/>
        <v>40.760154737272494</v>
      </c>
      <c r="J12" s="205" t="str">
        <f t="shared" si="4"/>
        <v>m</v>
      </c>
    </row>
    <row r="13" spans="1:10" x14ac:dyDescent="0.3">
      <c r="F13" s="82" t="str">
        <f t="shared" si="0"/>
        <v>Freeboard volume</v>
      </c>
      <c r="G13" s="147">
        <f t="shared" si="1"/>
        <v>192.04340436990438</v>
      </c>
      <c r="H13" s="205">
        <f t="shared" si="2"/>
        <v>192.04340436990438</v>
      </c>
      <c r="I13" s="205">
        <f t="shared" si="3"/>
        <v>192.04340436990438</v>
      </c>
      <c r="J13" s="205" t="str">
        <f t="shared" si="4"/>
        <v>m3</v>
      </c>
    </row>
    <row r="14" spans="1:10" x14ac:dyDescent="0.3">
      <c r="F14" s="82" t="str">
        <f t="shared" si="0"/>
        <v>Lagoon volume</v>
      </c>
      <c r="G14" s="147">
        <f t="shared" si="1"/>
        <v>2508.4475056894785</v>
      </c>
      <c r="H14" s="205">
        <f t="shared" si="2"/>
        <v>2508.4475056894785</v>
      </c>
      <c r="I14" s="205">
        <f t="shared" si="3"/>
        <v>2508.4475056894785</v>
      </c>
      <c r="J14" s="205" t="str">
        <f t="shared" si="4"/>
        <v>m3/HRT</v>
      </c>
    </row>
    <row r="15" spans="1:10" x14ac:dyDescent="0.3">
      <c r="F15" s="82" t="str">
        <f t="shared" si="0"/>
        <v>Best result</v>
      </c>
      <c r="G15" s="205">
        <f t="shared" si="1"/>
        <v>1.000618</v>
      </c>
      <c r="H15" s="205">
        <f t="shared" si="2"/>
        <v>1.000618</v>
      </c>
      <c r="I15" s="205">
        <f t="shared" si="3"/>
        <v>1.000618</v>
      </c>
      <c r="J15" s="205" t="str">
        <f t="shared" si="4"/>
        <v>multiplier</v>
      </c>
    </row>
    <row r="16" spans="1:10" x14ac:dyDescent="0.3">
      <c r="F16" s="82" t="str">
        <f t="shared" si="0"/>
        <v>Iterations</v>
      </c>
      <c r="G16" s="147">
        <f t="shared" si="1"/>
        <v>13</v>
      </c>
      <c r="H16" s="205">
        <f t="shared" si="2"/>
        <v>13</v>
      </c>
      <c r="I16" s="205">
        <f t="shared" si="3"/>
        <v>13</v>
      </c>
      <c r="J16" s="205" t="str">
        <f t="shared" si="4"/>
        <v>iterations</v>
      </c>
    </row>
    <row r="17" spans="1:64" x14ac:dyDescent="0.3">
      <c r="F17" s="82" t="str">
        <f t="shared" si="0"/>
        <v>Non-applied volume</v>
      </c>
      <c r="G17" s="147">
        <f t="shared" si="1"/>
        <v>192.04340436990438</v>
      </c>
      <c r="H17" s="205">
        <f t="shared" si="2"/>
        <v>192.04340436990438</v>
      </c>
      <c r="I17" s="205">
        <f t="shared" si="3"/>
        <v>192.04340436990438</v>
      </c>
      <c r="J17" s="205" t="str">
        <f t="shared" si="4"/>
        <v>m3/HRT</v>
      </c>
      <c r="M17" s="205"/>
      <c r="N17" s="205"/>
    </row>
    <row r="18" spans="1:64" x14ac:dyDescent="0.3">
      <c r="F18" s="69" t="str">
        <f t="shared" si="0"/>
        <v>Surface area</v>
      </c>
      <c r="G18" s="147">
        <f t="shared" si="1"/>
        <v>1661.3902142063973</v>
      </c>
      <c r="H18" s="205">
        <f t="shared" si="2"/>
        <v>1661.3902142063973</v>
      </c>
      <c r="I18" s="205">
        <f t="shared" si="3"/>
        <v>1661.3902142063973</v>
      </c>
      <c r="J18" s="205" t="str">
        <f t="shared" si="4"/>
        <v>m2</v>
      </c>
      <c r="M18" s="205"/>
      <c r="N18" s="205"/>
    </row>
    <row r="19" spans="1:64" x14ac:dyDescent="0.3">
      <c r="F19" s="69" t="str">
        <f t="shared" si="0"/>
        <v>Built volume</v>
      </c>
      <c r="G19" s="147">
        <f t="shared" si="1"/>
        <v>2700.4909100593827</v>
      </c>
      <c r="H19" s="205">
        <f t="shared" si="2"/>
        <v>2700.4909100593827</v>
      </c>
      <c r="I19" s="205">
        <f t="shared" si="3"/>
        <v>2700.4909100593827</v>
      </c>
      <c r="J19" s="205" t="str">
        <f t="shared" si="4"/>
        <v>m3/HRT</v>
      </c>
      <c r="M19" s="205"/>
      <c r="N19" s="205"/>
    </row>
    <row r="20" spans="1:64" x14ac:dyDescent="0.3">
      <c r="M20" s="205"/>
      <c r="N20" s="205"/>
    </row>
    <row r="21" spans="1:64" x14ac:dyDescent="0.3">
      <c r="M21" s="205"/>
      <c r="N21" s="205"/>
    </row>
    <row r="22" spans="1:64" x14ac:dyDescent="0.3">
      <c r="N22" s="205"/>
      <c r="Z22" s="79"/>
      <c r="AC22" s="42"/>
      <c r="AD22" s="79"/>
      <c r="AE22" s="42"/>
      <c r="AF22" s="42"/>
      <c r="AG22" s="42"/>
      <c r="AH22" s="42"/>
      <c r="AI22" s="42"/>
      <c r="AJ22" s="42"/>
      <c r="AK22" s="42"/>
      <c r="AL22" s="42"/>
      <c r="AM22" s="42"/>
      <c r="AN22" s="42"/>
      <c r="AO22" s="42"/>
      <c r="AP22" s="42"/>
      <c r="AQ22" s="42"/>
      <c r="AR22" s="42"/>
      <c r="AS22" s="42"/>
      <c r="AT22" s="42"/>
      <c r="AU22" s="42"/>
      <c r="AV22" s="42"/>
    </row>
    <row r="23" spans="1:64" x14ac:dyDescent="0.3">
      <c r="M23" s="314"/>
      <c r="Z23" s="7"/>
      <c r="AA23" s="7"/>
      <c r="AB23" s="7"/>
      <c r="AC23" s="7"/>
      <c r="AD23" s="7"/>
      <c r="AE23" s="7"/>
      <c r="AF23" s="7"/>
      <c r="AG23" s="7"/>
      <c r="AH23" s="7"/>
      <c r="AI23" s="7"/>
      <c r="AJ23" s="7"/>
      <c r="AK23" s="7"/>
      <c r="AL23" s="7"/>
      <c r="AM23" s="7"/>
      <c r="AN23" s="7"/>
      <c r="AO23" s="7"/>
      <c r="AP23" s="7"/>
      <c r="AQ23" s="7"/>
      <c r="AR23" s="7"/>
      <c r="AS23" s="7"/>
      <c r="AT23" s="7"/>
      <c r="AU23" s="7"/>
      <c r="AV23" s="7"/>
    </row>
    <row r="24" spans="1:64" ht="15" thickBot="1" x14ac:dyDescent="0.35">
      <c r="A24" s="1106" t="s">
        <v>4720</v>
      </c>
      <c r="B24" s="956"/>
      <c r="C24" s="95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row>
    <row r="25" spans="1:64" ht="15" thickBot="1" x14ac:dyDescent="0.35">
      <c r="A25" s="2989" t="s">
        <v>4721</v>
      </c>
      <c r="B25" s="2990"/>
      <c r="C25" s="2990"/>
      <c r="D25" s="2990"/>
      <c r="E25" s="2990"/>
      <c r="F25" s="2990"/>
      <c r="G25" s="2990"/>
      <c r="H25" s="2990"/>
      <c r="I25" s="2990"/>
      <c r="J25" s="2990"/>
      <c r="K25" s="2990"/>
      <c r="L25" s="2990"/>
      <c r="M25" s="2990"/>
      <c r="O25" s="2989" t="s">
        <v>4722</v>
      </c>
      <c r="P25" s="2990"/>
      <c r="Q25" s="2990"/>
      <c r="R25" s="2990"/>
      <c r="S25" s="2990"/>
      <c r="T25" s="2990"/>
      <c r="U25" s="2990"/>
      <c r="V25" s="2990"/>
      <c r="W25" s="2990"/>
      <c r="X25" s="2990"/>
      <c r="Y25" s="2990"/>
      <c r="Z25" s="2990"/>
      <c r="AA25" s="2990"/>
      <c r="AB25" s="2990"/>
      <c r="AC25" s="2990"/>
      <c r="AD25" s="2991"/>
      <c r="AF25" s="2989" t="s">
        <v>4723</v>
      </c>
      <c r="AG25" s="2990"/>
      <c r="AH25" s="2990"/>
      <c r="AI25" s="2990"/>
      <c r="AJ25" s="2990"/>
      <c r="AK25" s="2990"/>
      <c r="AL25" s="2990"/>
      <c r="AM25" s="2990"/>
      <c r="AN25" s="2990"/>
      <c r="AO25" s="2990"/>
      <c r="AP25" s="2990"/>
      <c r="AQ25" s="2990"/>
      <c r="AR25" s="2990"/>
      <c r="AS25" s="2990"/>
      <c r="AT25" s="2990"/>
      <c r="AU25" s="2991"/>
      <c r="AW25" s="2989" t="s">
        <v>4724</v>
      </c>
      <c r="AX25" s="2990"/>
      <c r="AY25" s="2990"/>
      <c r="AZ25" s="2990"/>
      <c r="BA25" s="2990"/>
      <c r="BB25" s="2990"/>
      <c r="BC25" s="2990"/>
      <c r="BD25" s="2990"/>
      <c r="BE25" s="2990"/>
      <c r="BF25" s="2990"/>
      <c r="BG25" s="2990"/>
      <c r="BH25" s="2990"/>
      <c r="BI25" s="2990"/>
      <c r="BJ25" s="2990"/>
      <c r="BK25" s="2990"/>
      <c r="BL25" s="2991"/>
    </row>
    <row r="26" spans="1:64" x14ac:dyDescent="0.3">
      <c r="A26" s="602" t="s">
        <v>4725</v>
      </c>
      <c r="B26" s="147">
        <f>PT.cover_digest!G47</f>
        <v>2508.5200381774307</v>
      </c>
      <c r="C26" t="s">
        <v>2478</v>
      </c>
      <c r="D26" s="36"/>
      <c r="E26" s="36"/>
      <c r="F26" t="s">
        <v>4726</v>
      </c>
      <c r="J26" s="78">
        <f>MIN(L$40:L89)</f>
        <v>7.253248795223044E-2</v>
      </c>
      <c r="K26" t="s">
        <v>2478</v>
      </c>
      <c r="L26" s="36"/>
      <c r="M26" s="36"/>
      <c r="O26" s="602" t="s">
        <v>4725</v>
      </c>
      <c r="P26" s="147">
        <f>PT.cover_digest!H47</f>
        <v>2508.5200381774307</v>
      </c>
      <c r="Q26" t="s">
        <v>2478</v>
      </c>
      <c r="R26" s="36"/>
      <c r="S26" s="36"/>
      <c r="T26" t="s">
        <v>4726</v>
      </c>
      <c r="X26" s="78">
        <f>MIN(Z$40:Z89)</f>
        <v>7.253248795223044E-2</v>
      </c>
      <c r="Y26" t="s">
        <v>2478</v>
      </c>
      <c r="Z26" s="36"/>
      <c r="AA26" s="36"/>
      <c r="AB26" s="36"/>
      <c r="AC26" s="36"/>
      <c r="AD26" s="36"/>
      <c r="AF26" s="602" t="s">
        <v>4725</v>
      </c>
      <c r="AG26" s="147">
        <f>PT.cover_digest!I47</f>
        <v>2508.5200381774307</v>
      </c>
      <c r="AH26" t="s">
        <v>2478</v>
      </c>
      <c r="AI26" s="36"/>
      <c r="AJ26" s="36"/>
      <c r="AK26" t="s">
        <v>4726</v>
      </c>
      <c r="AO26" s="78">
        <f>MIN(AQ$40:AQ89)</f>
        <v>7.253248795223044E-2</v>
      </c>
      <c r="AP26" t="s">
        <v>2478</v>
      </c>
      <c r="AQ26" s="36"/>
      <c r="AR26" s="36"/>
      <c r="AS26" s="36"/>
      <c r="AT26" s="36"/>
      <c r="AU26" s="36"/>
      <c r="AX26" s="147"/>
      <c r="AZ26" s="36"/>
      <c r="BA26" s="36"/>
      <c r="BF26" s="78"/>
      <c r="BH26" s="36"/>
      <c r="BI26" s="36"/>
      <c r="BJ26" s="36"/>
      <c r="BK26" s="36"/>
      <c r="BL26" s="36"/>
    </row>
    <row r="27" spans="1:64" x14ac:dyDescent="0.3">
      <c r="B27" s="147"/>
      <c r="D27" s="36"/>
      <c r="E27" s="36"/>
      <c r="F27" t="s">
        <v>4727</v>
      </c>
      <c r="J27" s="147">
        <f>INDEX(D$40:D89,MATCH(J$26,L$40:L89,0))</f>
        <v>35.760154737272494</v>
      </c>
      <c r="K27" t="s">
        <v>2337</v>
      </c>
      <c r="L27" s="36"/>
      <c r="M27" s="36"/>
      <c r="P27" s="147"/>
      <c r="R27" s="36"/>
      <c r="S27" s="36"/>
      <c r="T27" t="s">
        <v>4727</v>
      </c>
      <c r="X27" s="147">
        <f>INDEX(R$40:R89,MATCH(X$26,Z$40:Z89,0))</f>
        <v>35.760154737272494</v>
      </c>
      <c r="Y27" t="s">
        <v>2337</v>
      </c>
      <c r="Z27" s="36"/>
      <c r="AA27" s="36"/>
      <c r="AB27" s="36"/>
      <c r="AC27" s="36"/>
      <c r="AD27" s="36"/>
      <c r="AG27" s="147"/>
      <c r="AI27" s="36"/>
      <c r="AJ27" s="36"/>
      <c r="AK27" t="s">
        <v>4727</v>
      </c>
      <c r="AO27" s="147">
        <f>INDEX(AI$40:AI89,MATCH(AO$26,AQ$40:AQ89,0))</f>
        <v>35.760154737272494</v>
      </c>
      <c r="AP27" t="s">
        <v>2337</v>
      </c>
      <c r="AQ27" s="36"/>
      <c r="AR27" s="36"/>
      <c r="AS27" s="36"/>
      <c r="AT27" s="36"/>
      <c r="AU27" s="36"/>
      <c r="AX27" s="147"/>
      <c r="AZ27" s="36"/>
      <c r="BA27" s="36"/>
      <c r="BF27" s="147"/>
      <c r="BH27" s="36"/>
      <c r="BI27" s="36"/>
      <c r="BJ27" s="36"/>
      <c r="BK27" s="36"/>
      <c r="BL27" s="36"/>
    </row>
    <row r="28" spans="1:64" x14ac:dyDescent="0.3">
      <c r="B28" s="147"/>
      <c r="D28" s="36"/>
      <c r="E28" s="36"/>
      <c r="F28" t="s">
        <v>4728</v>
      </c>
      <c r="J28" s="147">
        <f>J27+$B$8*2</f>
        <v>40.760154737272494</v>
      </c>
      <c r="K28" t="s">
        <v>2337</v>
      </c>
      <c r="L28" s="36"/>
      <c r="M28" s="36"/>
      <c r="P28" s="147"/>
      <c r="R28" s="36"/>
      <c r="S28" s="36"/>
      <c r="T28" t="s">
        <v>4728</v>
      </c>
      <c r="X28" s="147">
        <f>X27+$B$8*2</f>
        <v>40.760154737272494</v>
      </c>
      <c r="Y28" t="s">
        <v>2337</v>
      </c>
      <c r="Z28" s="36"/>
      <c r="AA28" s="36"/>
      <c r="AB28" s="36"/>
      <c r="AC28" s="36"/>
      <c r="AD28" s="36"/>
      <c r="AG28" s="147"/>
      <c r="AI28" s="36"/>
      <c r="AJ28" s="36"/>
      <c r="AK28" t="s">
        <v>4728</v>
      </c>
      <c r="AO28" s="147">
        <f>AO27+$B$8*2</f>
        <v>40.760154737272494</v>
      </c>
      <c r="AP28" t="s">
        <v>2337</v>
      </c>
      <c r="AQ28" s="36"/>
      <c r="AR28" s="36"/>
      <c r="AS28" s="36"/>
      <c r="AT28" s="36"/>
      <c r="AU28" s="36"/>
      <c r="AX28" s="147"/>
      <c r="AZ28" s="36"/>
      <c r="BA28" s="36"/>
      <c r="BF28" s="147"/>
      <c r="BH28" s="36"/>
      <c r="BI28" s="36"/>
      <c r="BJ28" s="36"/>
      <c r="BK28" s="36"/>
      <c r="BL28" s="36"/>
    </row>
    <row r="29" spans="1:64" x14ac:dyDescent="0.3">
      <c r="D29" s="36"/>
      <c r="E29" s="36"/>
      <c r="F29" t="s">
        <v>4729</v>
      </c>
      <c r="J29" s="147">
        <f>1/3*UDV.anaer_lagoon.freeboard*(J28^2 + (J28 - J27)^2 + J28 * (J28 - J27))</f>
        <v>192.04340436990438</v>
      </c>
      <c r="K29" t="s">
        <v>2478</v>
      </c>
      <c r="L29" s="36"/>
      <c r="M29" s="36"/>
      <c r="R29" s="36"/>
      <c r="S29" s="36"/>
      <c r="T29" t="s">
        <v>4729</v>
      </c>
      <c r="X29" s="147">
        <f>1/3*UDV.anaer_lagoon.freeboard*(X28^2 + (X28 - X27)^2 + X28 * (X28 - X27))</f>
        <v>192.04340436990438</v>
      </c>
      <c r="Y29" t="s">
        <v>2478</v>
      </c>
      <c r="Z29" s="36"/>
      <c r="AA29" s="36"/>
      <c r="AB29" s="36"/>
      <c r="AC29" s="36"/>
      <c r="AD29" s="36"/>
      <c r="AI29" s="36"/>
      <c r="AJ29" s="36"/>
      <c r="AK29" t="s">
        <v>4729</v>
      </c>
      <c r="AO29" s="147">
        <f>1/3*UDV.anaer_lagoon.freeboard*(AO28^2 + (AO28 - AO27)^2 + AO28 * (AO28 - AO27))</f>
        <v>192.04340436990438</v>
      </c>
      <c r="AP29" t="s">
        <v>2478</v>
      </c>
      <c r="AQ29" s="36"/>
      <c r="AR29" s="36"/>
      <c r="AS29" s="36"/>
      <c r="AT29" s="36"/>
      <c r="AU29" s="36"/>
      <c r="AX29" s="147"/>
      <c r="AZ29" s="36"/>
      <c r="BA29" s="36"/>
      <c r="BF29" s="147"/>
      <c r="BH29" s="36"/>
      <c r="BI29" s="36"/>
      <c r="BJ29" s="36"/>
      <c r="BK29" s="36"/>
      <c r="BL29" s="36"/>
    </row>
    <row r="30" spans="1:64" x14ac:dyDescent="0.3">
      <c r="F30" t="s">
        <v>4730</v>
      </c>
      <c r="J30" s="147">
        <f>INDEX(G$40:G89,MATCH(J$26,L$40:L89,0))</f>
        <v>2508.4475056894785</v>
      </c>
      <c r="K30" t="s">
        <v>4731</v>
      </c>
      <c r="T30" t="s">
        <v>4730</v>
      </c>
      <c r="X30" s="147">
        <f>INDEX(U$40:U89,MATCH(X$26,Z$40:Z89,0))</f>
        <v>2508.4475056894785</v>
      </c>
      <c r="Y30" t="s">
        <v>4731</v>
      </c>
      <c r="AK30" t="s">
        <v>4730</v>
      </c>
      <c r="AO30" s="147">
        <f>INDEX(AL$40:AL89,MATCH(AO$26,AQ$40:AQ89,0))</f>
        <v>2508.4475056894785</v>
      </c>
      <c r="AP30" t="s">
        <v>4731</v>
      </c>
      <c r="AX30" s="147"/>
      <c r="BF30" s="147"/>
    </row>
    <row r="31" spans="1:64" x14ac:dyDescent="0.3">
      <c r="F31" t="s">
        <v>4732</v>
      </c>
      <c r="J31">
        <f>INDEX(K$40:K89,MATCH(J$26,L$40:L89,0))</f>
        <v>1.000618</v>
      </c>
      <c r="K31" t="s">
        <v>2426</v>
      </c>
      <c r="T31" t="s">
        <v>4732</v>
      </c>
      <c r="X31">
        <f>INDEX(Y$40:Y89,MATCH(X$26,Z$40:Z89,0))</f>
        <v>1.000618</v>
      </c>
      <c r="Y31" t="s">
        <v>2426</v>
      </c>
      <c r="AK31" t="s">
        <v>4732</v>
      </c>
      <c r="AO31">
        <f>INDEX(AP$40:AP89,MATCH(AO$26,AQ$40:AQ89,0))</f>
        <v>1.000618</v>
      </c>
      <c r="AP31" t="s">
        <v>2426</v>
      </c>
      <c r="BF31" s="147"/>
    </row>
    <row r="32" spans="1:64" x14ac:dyDescent="0.3">
      <c r="B32" s="205"/>
      <c r="F32" t="s">
        <v>4733</v>
      </c>
      <c r="J32">
        <f>MATCH(J$26,L$40:L89,0)</f>
        <v>13</v>
      </c>
      <c r="K32" t="s">
        <v>4734</v>
      </c>
      <c r="P32" s="205"/>
      <c r="T32" t="s">
        <v>4733</v>
      </c>
      <c r="X32">
        <f>MATCH(X$26,Z$40:Z89,0)</f>
        <v>13</v>
      </c>
      <c r="Y32" t="s">
        <v>4734</v>
      </c>
      <c r="AG32" s="205"/>
      <c r="AK32" t="s">
        <v>4733</v>
      </c>
      <c r="AO32">
        <f>MATCH(AO$26,AQ$40:AQ89,0)</f>
        <v>13</v>
      </c>
      <c r="AP32" t="s">
        <v>4734</v>
      </c>
    </row>
    <row r="33" spans="1:47" x14ac:dyDescent="0.3">
      <c r="B33" s="147"/>
      <c r="F33" t="s">
        <v>4735</v>
      </c>
      <c r="J33" s="147">
        <f>J29</f>
        <v>192.04340436990438</v>
      </c>
      <c r="K33" t="s">
        <v>4731</v>
      </c>
      <c r="P33" s="147"/>
      <c r="T33" t="s">
        <v>4735</v>
      </c>
      <c r="X33" s="147">
        <f>X29</f>
        <v>192.04340436990438</v>
      </c>
      <c r="Y33" t="s">
        <v>4731</v>
      </c>
      <c r="AG33" s="147"/>
      <c r="AK33" t="s">
        <v>4735</v>
      </c>
      <c r="AO33" s="147">
        <f>AO29</f>
        <v>192.04340436990438</v>
      </c>
      <c r="AP33" t="s">
        <v>4731</v>
      </c>
    </row>
    <row r="34" spans="1:47" x14ac:dyDescent="0.3">
      <c r="B34" s="147"/>
      <c r="F34" t="s">
        <v>4736</v>
      </c>
      <c r="J34" s="147">
        <f>J28*J28</f>
        <v>1661.3902142063973</v>
      </c>
      <c r="K34" t="s">
        <v>2268</v>
      </c>
      <c r="P34" s="147"/>
      <c r="T34" t="s">
        <v>4736</v>
      </c>
      <c r="X34" s="147">
        <f>X28*X28</f>
        <v>1661.3902142063973</v>
      </c>
      <c r="Y34" t="s">
        <v>2268</v>
      </c>
      <c r="AG34" s="147"/>
      <c r="AK34" t="s">
        <v>4736</v>
      </c>
      <c r="AO34" s="147">
        <f>AO28*AO28</f>
        <v>1661.3902142063973</v>
      </c>
      <c r="AP34" t="s">
        <v>2268</v>
      </c>
    </row>
    <row r="35" spans="1:47" x14ac:dyDescent="0.3">
      <c r="F35" t="s">
        <v>4737</v>
      </c>
      <c r="J35" s="147">
        <f>J30+J29</f>
        <v>2700.4909100593827</v>
      </c>
      <c r="K35" t="s">
        <v>4731</v>
      </c>
      <c r="T35" t="s">
        <v>4737</v>
      </c>
      <c r="X35" s="147">
        <f>X30+X29</f>
        <v>2700.4909100593827</v>
      </c>
      <c r="Y35" t="s">
        <v>4731</v>
      </c>
      <c r="AK35" t="s">
        <v>4737</v>
      </c>
      <c r="AO35" s="147">
        <f>AO30+AO29</f>
        <v>2700.4909100593827</v>
      </c>
      <c r="AP35" t="s">
        <v>4731</v>
      </c>
    </row>
    <row r="36" spans="1:47" x14ac:dyDescent="0.3">
      <c r="B36" s="147"/>
      <c r="J36" s="147"/>
      <c r="P36" s="147"/>
      <c r="X36" s="147"/>
      <c r="AG36" s="147"/>
      <c r="AO36" s="147"/>
    </row>
    <row r="38" spans="1:47" x14ac:dyDescent="0.3">
      <c r="A38" t="s">
        <v>4738</v>
      </c>
      <c r="C38" s="82" t="s">
        <v>4739</v>
      </c>
      <c r="D38" s="82" t="s">
        <v>4740</v>
      </c>
      <c r="E38" s="82" t="s">
        <v>4741</v>
      </c>
      <c r="F38" s="82" t="s">
        <v>4742</v>
      </c>
      <c r="G38" s="82" t="s">
        <v>4743</v>
      </c>
      <c r="H38" s="82" t="s">
        <v>4744</v>
      </c>
      <c r="I38" s="82" t="s">
        <v>4745</v>
      </c>
      <c r="J38" s="82" t="s">
        <v>4746</v>
      </c>
      <c r="K38" s="82" t="s">
        <v>2425</v>
      </c>
      <c r="L38" s="82" t="s">
        <v>4747</v>
      </c>
      <c r="N38" s="82"/>
      <c r="O38" t="s">
        <v>4738</v>
      </c>
      <c r="Q38" s="82" t="s">
        <v>4739</v>
      </c>
      <c r="R38" s="82" t="s">
        <v>4740</v>
      </c>
      <c r="S38" s="82" t="s">
        <v>4741</v>
      </c>
      <c r="T38" s="82" t="s">
        <v>4742</v>
      </c>
      <c r="U38" s="82" t="s">
        <v>4743</v>
      </c>
      <c r="V38" s="82" t="s">
        <v>4744</v>
      </c>
      <c r="W38" s="82" t="s">
        <v>4745</v>
      </c>
      <c r="X38" s="82" t="s">
        <v>4746</v>
      </c>
      <c r="Y38" s="82" t="s">
        <v>2425</v>
      </c>
      <c r="Z38" s="82" t="s">
        <v>4747</v>
      </c>
      <c r="AA38" s="82" t="str">
        <f>$I38</f>
        <v>Greater?</v>
      </c>
      <c r="AB38" s="82" t="str">
        <f>$J38</f>
        <v>Gate</v>
      </c>
      <c r="AC38" s="82" t="str">
        <f>$K38</f>
        <v>Multiplier</v>
      </c>
      <c r="AD38" s="82" t="str">
        <f>$L38</f>
        <v>AbsDiff</v>
      </c>
      <c r="AE38" s="82"/>
      <c r="AF38" t="s">
        <v>4738</v>
      </c>
      <c r="AH38" s="82" t="s">
        <v>4739</v>
      </c>
      <c r="AI38" s="82" t="s">
        <v>4740</v>
      </c>
      <c r="AJ38" s="82" t="s">
        <v>4741</v>
      </c>
      <c r="AK38" s="82" t="s">
        <v>4742</v>
      </c>
      <c r="AL38" s="82" t="s">
        <v>4743</v>
      </c>
      <c r="AM38" s="82" t="s">
        <v>4744</v>
      </c>
      <c r="AN38" s="82" t="s">
        <v>4745</v>
      </c>
      <c r="AO38" s="82" t="s">
        <v>4746</v>
      </c>
      <c r="AP38" s="82" t="s">
        <v>2425</v>
      </c>
      <c r="AQ38" s="82" t="s">
        <v>4747</v>
      </c>
      <c r="AR38" s="82" t="str">
        <f>$I38</f>
        <v>Greater?</v>
      </c>
      <c r="AS38" s="82" t="str">
        <f>$J38</f>
        <v>Gate</v>
      </c>
      <c r="AT38" s="82" t="str">
        <f>$K38</f>
        <v>Multiplier</v>
      </c>
      <c r="AU38" s="82" t="str">
        <f>$L38</f>
        <v>AbsDiff</v>
      </c>
    </row>
    <row r="39" spans="1:47" x14ac:dyDescent="0.3">
      <c r="A39" t="s">
        <v>4748</v>
      </c>
      <c r="C39" s="199" t="s">
        <v>4749</v>
      </c>
      <c r="D39" s="199" t="s">
        <v>2337</v>
      </c>
      <c r="E39" s="199" t="s">
        <v>2337</v>
      </c>
      <c r="F39" s="199" t="s">
        <v>4731</v>
      </c>
      <c r="G39" s="199" t="s">
        <v>2478</v>
      </c>
      <c r="H39" s="199" t="s">
        <v>2478</v>
      </c>
      <c r="I39" s="199" t="s">
        <v>4750</v>
      </c>
      <c r="J39" s="199" t="s">
        <v>4751</v>
      </c>
      <c r="K39" s="199"/>
      <c r="L39" s="199" t="s">
        <v>2478</v>
      </c>
      <c r="N39" s="199"/>
      <c r="O39" t="s">
        <v>4748</v>
      </c>
      <c r="Q39" s="199" t="s">
        <v>4749</v>
      </c>
      <c r="R39" s="199" t="s">
        <v>2337</v>
      </c>
      <c r="S39" s="199" t="s">
        <v>2337</v>
      </c>
      <c r="T39" s="199" t="s">
        <v>4731</v>
      </c>
      <c r="U39" s="199" t="s">
        <v>2478</v>
      </c>
      <c r="V39" s="199" t="s">
        <v>2478</v>
      </c>
      <c r="W39" s="199" t="s">
        <v>4750</v>
      </c>
      <c r="X39" s="199" t="s">
        <v>4751</v>
      </c>
      <c r="Y39" s="199"/>
      <c r="Z39" s="199" t="s">
        <v>2478</v>
      </c>
      <c r="AA39" s="82" t="str">
        <f>$I39</f>
        <v>Yes/No</v>
      </c>
      <c r="AB39" s="82" t="str">
        <f>$J39</f>
        <v># of yes</v>
      </c>
      <c r="AC39" s="82">
        <f>$K39</f>
        <v>0</v>
      </c>
      <c r="AD39" s="82" t="str">
        <f>$L39</f>
        <v>m3</v>
      </c>
      <c r="AE39" s="199"/>
      <c r="AF39" t="s">
        <v>4748</v>
      </c>
      <c r="AH39" s="199" t="s">
        <v>4749</v>
      </c>
      <c r="AI39" s="199" t="s">
        <v>2337</v>
      </c>
      <c r="AJ39" s="199" t="s">
        <v>2337</v>
      </c>
      <c r="AK39" s="199" t="s">
        <v>4731</v>
      </c>
      <c r="AL39" s="199" t="s">
        <v>2478</v>
      </c>
      <c r="AM39" s="199" t="s">
        <v>2478</v>
      </c>
      <c r="AN39" s="199" t="s">
        <v>4750</v>
      </c>
      <c r="AO39" s="199" t="s">
        <v>4751</v>
      </c>
      <c r="AP39" s="199"/>
      <c r="AQ39" s="199" t="s">
        <v>2478</v>
      </c>
      <c r="AR39" s="82" t="str">
        <f>$I39</f>
        <v>Yes/No</v>
      </c>
      <c r="AS39" s="82" t="str">
        <f>$J39</f>
        <v># of yes</v>
      </c>
      <c r="AT39" s="82">
        <f>$K39</f>
        <v>0</v>
      </c>
      <c r="AU39" s="82" t="str">
        <f>$L39</f>
        <v>m3</v>
      </c>
    </row>
    <row r="40" spans="1:47" x14ac:dyDescent="0.3">
      <c r="A40" t="s">
        <v>4752</v>
      </c>
      <c r="C40">
        <v>1</v>
      </c>
      <c r="D40" s="147">
        <f>$B$7</f>
        <v>27.432000000000002</v>
      </c>
      <c r="E40" s="147">
        <f t="shared" ref="E40:E71" si="5">D40-$B$7</f>
        <v>0</v>
      </c>
      <c r="F40" s="147">
        <f t="shared" ref="F40:F71" si="6">B$26</f>
        <v>2508.5200381774307</v>
      </c>
      <c r="G40" s="147">
        <f t="shared" ref="G40:G71" si="7">1/3*$B$5*(D40^2 + (D40 - $B$7)^2 + D40 * (D40 - $B$7))</f>
        <v>1146.8322869760002</v>
      </c>
      <c r="H40" s="147">
        <f t="shared" ref="H40:H41" si="8">G40 - F40</f>
        <v>-1361.6877512014305</v>
      </c>
      <c r="I40" t="str">
        <f t="shared" ref="I40:I89" si="9">IF(H40 &gt;= 0,"Yes", "No")</f>
        <v>No</v>
      </c>
      <c r="J40">
        <f>COUNTIF(I40,"Yes")</f>
        <v>0</v>
      </c>
      <c r="K40" cm="1">
        <f t="array" ref="K40">INDEX($G$2:$G$7,IF(J40&gt;5,6,J40+1))</f>
        <v>1.6180000000000001</v>
      </c>
      <c r="L40" s="147">
        <f t="shared" ref="L40:L71" si="10">ABS(H40)</f>
        <v>1361.6877512014305</v>
      </c>
      <c r="O40" t="s">
        <v>4752</v>
      </c>
      <c r="Q40">
        <v>1</v>
      </c>
      <c r="R40" s="147">
        <f>$B$7</f>
        <v>27.432000000000002</v>
      </c>
      <c r="S40" s="147">
        <f t="shared" ref="S40:S71" si="11">R40-$B$7</f>
        <v>0</v>
      </c>
      <c r="T40" s="147">
        <f t="shared" ref="T40:T71" si="12">P$26</f>
        <v>2508.5200381774307</v>
      </c>
      <c r="U40" s="147">
        <f t="shared" ref="U40:U71" si="13">1/3*$B$5*(R40^2 + (R40 - $B$7)^2 + R40 * (R40 - $B$7))</f>
        <v>1146.8322869760002</v>
      </c>
      <c r="V40" s="147">
        <f t="shared" ref="V40:V41" si="14">U40 - T40</f>
        <v>-1361.6877512014305</v>
      </c>
      <c r="W40" t="str">
        <f t="shared" ref="W40:W89" si="15">IF(V40 &gt;= 0,"Yes", "No")</f>
        <v>No</v>
      </c>
      <c r="X40">
        <f>COUNTIF(W40,"Yes")</f>
        <v>0</v>
      </c>
      <c r="Y40" cm="1">
        <f t="array" ref="Y40">INDEX($G$2:$G$7,IF(X40&gt;5,6,X40+1))</f>
        <v>1.6180000000000001</v>
      </c>
      <c r="Z40" s="147">
        <f t="shared" ref="Z40:Z89" si="16">ABS(V40)</f>
        <v>1361.6877512014305</v>
      </c>
      <c r="AA40" t="str">
        <f t="shared" ref="AA40:AA89" si="17">IF(Z40 &gt;= 0,"Yes", "No")</f>
        <v>Yes</v>
      </c>
      <c r="AB40">
        <f>COUNTIF(AA40,"Yes")</f>
        <v>1</v>
      </c>
      <c r="AC40" cm="1">
        <f t="array" ref="AC40">INDEX($G$2:$G$7,IF(AB40&gt;5,6,AB40+1))</f>
        <v>1.0618000000000001</v>
      </c>
      <c r="AD40" s="147">
        <f t="shared" ref="AD40:AD89" si="18">ABS(Z40)</f>
        <v>1361.6877512014305</v>
      </c>
      <c r="AF40" t="s">
        <v>4752</v>
      </c>
      <c r="AH40">
        <v>1</v>
      </c>
      <c r="AI40" s="147">
        <f>$B$7</f>
        <v>27.432000000000002</v>
      </c>
      <c r="AJ40" s="147">
        <f t="shared" ref="AJ40:AJ71" si="19">AI40-$B$7</f>
        <v>0</v>
      </c>
      <c r="AK40" s="147">
        <f t="shared" ref="AK40:AK71" si="20">AG$26</f>
        <v>2508.5200381774307</v>
      </c>
      <c r="AL40" s="147">
        <f t="shared" ref="AL40:AL71" si="21">1/3*$B$5*(AI40^2 + (AI40 - $B$7)^2 + AI40 * (AI40 - $B$7))</f>
        <v>1146.8322869760002</v>
      </c>
      <c r="AM40" s="147">
        <f t="shared" ref="AM40:AM41" si="22">AL40 - AK40</f>
        <v>-1361.6877512014305</v>
      </c>
      <c r="AN40" t="str">
        <f t="shared" ref="AN40:AN89" si="23">IF(AM40 &gt;= 0,"Yes", "No")</f>
        <v>No</v>
      </c>
      <c r="AO40">
        <f>COUNTIF(AN40,"Yes")</f>
        <v>0</v>
      </c>
      <c r="AP40" cm="1">
        <f t="array" ref="AP40">INDEX($G$2:$G$7,IF(AO40&gt;5,6,AO40+1))</f>
        <v>1.6180000000000001</v>
      </c>
      <c r="AQ40" s="147">
        <f t="shared" ref="AQ40:AQ89" si="24">ABS(AM40)</f>
        <v>1361.6877512014305</v>
      </c>
      <c r="AR40" t="str">
        <f t="shared" ref="AR40:AR89" si="25">IF(AQ40 &gt;= 0,"Yes", "No")</f>
        <v>Yes</v>
      </c>
      <c r="AS40">
        <f>COUNTIF(AR40,"Yes")</f>
        <v>1</v>
      </c>
      <c r="AT40" cm="1">
        <f t="array" ref="AT40">INDEX($G$2:$G$7,IF(AS40&gt;5,6,AS40+1))</f>
        <v>1.0618000000000001</v>
      </c>
      <c r="AU40" s="147">
        <f t="shared" ref="AU40:AU89" si="26">ABS(AQ40)</f>
        <v>1361.6877512014305</v>
      </c>
    </row>
    <row r="41" spans="1:47" x14ac:dyDescent="0.3">
      <c r="A41" t="s">
        <v>4753</v>
      </c>
      <c r="C41">
        <v>2</v>
      </c>
      <c r="D41" s="147">
        <f>D40*K40</f>
        <v>44.384976000000009</v>
      </c>
      <c r="E41" s="147">
        <f t="shared" si="5"/>
        <v>16.952976000000007</v>
      </c>
      <c r="F41" s="147">
        <f t="shared" si="6"/>
        <v>2508.5200381774307</v>
      </c>
      <c r="G41" s="147">
        <f t="shared" si="7"/>
        <v>4587.0676701425718</v>
      </c>
      <c r="H41" s="147">
        <f t="shared" si="8"/>
        <v>2078.5476319651411</v>
      </c>
      <c r="I41" t="str">
        <f t="shared" si="9"/>
        <v>Yes</v>
      </c>
      <c r="J41">
        <f>COUNTIF(I$40:I41,"Yes")</f>
        <v>1</v>
      </c>
      <c r="K41" cm="1">
        <f t="array" ref="K41">INDEX($G$2:$G$7,IF(J41&gt;5,6,J41+1))</f>
        <v>1.0618000000000001</v>
      </c>
      <c r="L41" s="147">
        <f t="shared" si="10"/>
        <v>2078.5476319651411</v>
      </c>
      <c r="O41" t="s">
        <v>4753</v>
      </c>
      <c r="Q41">
        <v>2</v>
      </c>
      <c r="R41" s="147">
        <f>R40*Y40</f>
        <v>44.384976000000009</v>
      </c>
      <c r="S41" s="147">
        <f t="shared" si="11"/>
        <v>16.952976000000007</v>
      </c>
      <c r="T41" s="147">
        <f t="shared" si="12"/>
        <v>2508.5200381774307</v>
      </c>
      <c r="U41" s="147">
        <f t="shared" si="13"/>
        <v>4587.0676701425718</v>
      </c>
      <c r="V41" s="147">
        <f t="shared" si="14"/>
        <v>2078.5476319651411</v>
      </c>
      <c r="W41" t="str">
        <f t="shared" si="15"/>
        <v>Yes</v>
      </c>
      <c r="X41">
        <f>COUNTIF(W$40:W41,"Yes")</f>
        <v>1</v>
      </c>
      <c r="Y41" cm="1">
        <f t="array" ref="Y41">INDEX($G$2:$G$7,IF(X41&gt;5,6,X41+1))</f>
        <v>1.0618000000000001</v>
      </c>
      <c r="Z41" s="147">
        <f t="shared" si="16"/>
        <v>2078.5476319651411</v>
      </c>
      <c r="AA41" t="str">
        <f t="shared" si="17"/>
        <v>Yes</v>
      </c>
      <c r="AB41">
        <f>COUNTIF(AA$40:AA41,"Yes")</f>
        <v>2</v>
      </c>
      <c r="AC41" cm="1">
        <f t="array" ref="AC41">INDEX($G$2:$G$7,IF(AB41&gt;5,6,AB41+1))</f>
        <v>1.0061800000000001</v>
      </c>
      <c r="AD41" s="147">
        <f t="shared" si="18"/>
        <v>2078.5476319651411</v>
      </c>
      <c r="AF41" t="s">
        <v>4753</v>
      </c>
      <c r="AH41">
        <v>2</v>
      </c>
      <c r="AI41" s="147">
        <f>AI40*AP40</f>
        <v>44.384976000000009</v>
      </c>
      <c r="AJ41" s="147">
        <f t="shared" si="19"/>
        <v>16.952976000000007</v>
      </c>
      <c r="AK41" s="147">
        <f t="shared" si="20"/>
        <v>2508.5200381774307</v>
      </c>
      <c r="AL41" s="147">
        <f t="shared" si="21"/>
        <v>4587.0676701425718</v>
      </c>
      <c r="AM41" s="147">
        <f t="shared" si="22"/>
        <v>2078.5476319651411</v>
      </c>
      <c r="AN41" t="str">
        <f t="shared" si="23"/>
        <v>Yes</v>
      </c>
      <c r="AO41">
        <f>COUNTIF(AN$40:AN41,"Yes")</f>
        <v>1</v>
      </c>
      <c r="AP41" cm="1">
        <f t="array" ref="AP41">INDEX($G$2:$G$7,IF(AO41&gt;5,6,AO41+1))</f>
        <v>1.0618000000000001</v>
      </c>
      <c r="AQ41" s="147">
        <f t="shared" si="24"/>
        <v>2078.5476319651411</v>
      </c>
      <c r="AR41" t="str">
        <f t="shared" si="25"/>
        <v>Yes</v>
      </c>
      <c r="AS41">
        <f>COUNTIF(AR$40:AR41,"Yes")</f>
        <v>2</v>
      </c>
      <c r="AT41" cm="1">
        <f t="array" ref="AT41">INDEX($G$2:$G$7,IF(AS41&gt;5,6,AS41+1))</f>
        <v>1.0061800000000001</v>
      </c>
      <c r="AU41" s="147">
        <f t="shared" si="26"/>
        <v>2078.5476319651411</v>
      </c>
    </row>
    <row r="42" spans="1:47" x14ac:dyDescent="0.3">
      <c r="C42">
        <v>3</v>
      </c>
      <c r="D42" s="147">
        <f>IF(I41="Yes",D40*K41,D41*K41)</f>
        <v>29.127297600000006</v>
      </c>
      <c r="E42" s="147">
        <f t="shared" si="5"/>
        <v>1.6952976000000035</v>
      </c>
      <c r="F42" s="147">
        <f t="shared" si="6"/>
        <v>2508.5200381774307</v>
      </c>
      <c r="G42" s="147">
        <f t="shared" si="7"/>
        <v>1372.5950762124819</v>
      </c>
      <c r="H42" s="147">
        <f>G42 - F42</f>
        <v>-1135.9249619649488</v>
      </c>
      <c r="I42" t="str">
        <f t="shared" si="9"/>
        <v>No</v>
      </c>
      <c r="J42">
        <f>COUNTIF(I$40:I42,"Yes")</f>
        <v>1</v>
      </c>
      <c r="K42" cm="1">
        <f t="array" ref="K42">INDEX($G$2:$G$7,IF(J42&gt;5,6,J42+1))</f>
        <v>1.0618000000000001</v>
      </c>
      <c r="L42" s="147">
        <f t="shared" si="10"/>
        <v>1135.9249619649488</v>
      </c>
      <c r="Q42">
        <v>3</v>
      </c>
      <c r="R42" s="147">
        <f>IF(W41="Yes",R40*Y41,R41*Y41)</f>
        <v>29.127297600000006</v>
      </c>
      <c r="S42" s="147">
        <f t="shared" si="11"/>
        <v>1.6952976000000035</v>
      </c>
      <c r="T42" s="147">
        <f t="shared" si="12"/>
        <v>2508.5200381774307</v>
      </c>
      <c r="U42" s="147">
        <f t="shared" si="13"/>
        <v>1372.5950762124819</v>
      </c>
      <c r="V42" s="147">
        <f>U42 - T42</f>
        <v>-1135.9249619649488</v>
      </c>
      <c r="W42" t="str">
        <f t="shared" si="15"/>
        <v>No</v>
      </c>
      <c r="X42">
        <f>COUNTIF(W$40:W42,"Yes")</f>
        <v>1</v>
      </c>
      <c r="Y42" cm="1">
        <f t="array" ref="Y42">INDEX($G$2:$G$7,IF(X42&gt;5,6,X42+1))</f>
        <v>1.0618000000000001</v>
      </c>
      <c r="Z42" s="147">
        <f t="shared" si="16"/>
        <v>1135.9249619649488</v>
      </c>
      <c r="AA42" t="str">
        <f t="shared" si="17"/>
        <v>Yes</v>
      </c>
      <c r="AB42">
        <f>COUNTIF(AA$40:AA42,"Yes")</f>
        <v>3</v>
      </c>
      <c r="AC42" cm="1">
        <f t="array" ref="AC42">INDEX($G$2:$G$7,IF(AB42&gt;5,6,AB42+1))</f>
        <v>1.000618</v>
      </c>
      <c r="AD42" s="147">
        <f t="shared" si="18"/>
        <v>1135.9249619649488</v>
      </c>
      <c r="AH42">
        <v>3</v>
      </c>
      <c r="AI42" s="147">
        <f>IF(AN41="Yes",AI40*AP41,AI41*AP41)</f>
        <v>29.127297600000006</v>
      </c>
      <c r="AJ42" s="147">
        <f t="shared" si="19"/>
        <v>1.6952976000000035</v>
      </c>
      <c r="AK42" s="147">
        <f t="shared" si="20"/>
        <v>2508.5200381774307</v>
      </c>
      <c r="AL42" s="147">
        <f t="shared" si="21"/>
        <v>1372.5950762124819</v>
      </c>
      <c r="AM42" s="147">
        <f>AL42 - AK42</f>
        <v>-1135.9249619649488</v>
      </c>
      <c r="AN42" t="str">
        <f t="shared" si="23"/>
        <v>No</v>
      </c>
      <c r="AO42">
        <f>COUNTIF(AN$40:AN42,"Yes")</f>
        <v>1</v>
      </c>
      <c r="AP42" cm="1">
        <f t="array" ref="AP42">INDEX($G$2:$G$7,IF(AO42&gt;5,6,AO42+1))</f>
        <v>1.0618000000000001</v>
      </c>
      <c r="AQ42" s="147">
        <f t="shared" si="24"/>
        <v>1135.9249619649488</v>
      </c>
      <c r="AR42" t="str">
        <f t="shared" si="25"/>
        <v>Yes</v>
      </c>
      <c r="AS42">
        <f>COUNTIF(AR$40:AR42,"Yes")</f>
        <v>3</v>
      </c>
      <c r="AT42" cm="1">
        <f t="array" ref="AT42">INDEX($G$2:$G$7,IF(AS42&gt;5,6,AS42+1))</f>
        <v>1.000618</v>
      </c>
      <c r="AU42" s="147">
        <f t="shared" si="26"/>
        <v>1135.9249619649488</v>
      </c>
    </row>
    <row r="43" spans="1:47" x14ac:dyDescent="0.3">
      <c r="C43">
        <v>4</v>
      </c>
      <c r="D43" s="147">
        <f>IF(I42="Yes",IF(I41="Yes",D40*K42,D41*K42),D42*K42)</f>
        <v>30.927364591680007</v>
      </c>
      <c r="E43" s="147">
        <f t="shared" si="5"/>
        <v>3.4953645916800049</v>
      </c>
      <c r="F43" s="147">
        <f t="shared" si="6"/>
        <v>2508.5200381774307</v>
      </c>
      <c r="G43" s="147">
        <f t="shared" si="7"/>
        <v>1641.0765288485702</v>
      </c>
      <c r="H43" s="147">
        <f t="shared" ref="H43:H89" si="27">G43 - F43</f>
        <v>-867.4435093288605</v>
      </c>
      <c r="I43" t="str">
        <f t="shared" si="9"/>
        <v>No</v>
      </c>
      <c r="J43">
        <f>COUNTIF(I$40:I43,"Yes")</f>
        <v>1</v>
      </c>
      <c r="K43" cm="1">
        <f t="array" ref="K43">INDEX($G$2:$G$7,IF(J43&gt;5,6,J43+1))</f>
        <v>1.0618000000000001</v>
      </c>
      <c r="L43" s="147">
        <f t="shared" si="10"/>
        <v>867.4435093288605</v>
      </c>
      <c r="Q43">
        <v>4</v>
      </c>
      <c r="R43" s="147">
        <f>IF(W42="Yes",IF(W41="Yes",R40*Y42,R41*Y42),R42*Y42)</f>
        <v>30.927364591680007</v>
      </c>
      <c r="S43" s="147">
        <f t="shared" si="11"/>
        <v>3.4953645916800049</v>
      </c>
      <c r="T43" s="147">
        <f t="shared" si="12"/>
        <v>2508.5200381774307</v>
      </c>
      <c r="U43" s="147">
        <f t="shared" si="13"/>
        <v>1641.0765288485702</v>
      </c>
      <c r="V43" s="147">
        <f t="shared" ref="V43:V89" si="28">U43 - T43</f>
        <v>-867.4435093288605</v>
      </c>
      <c r="W43" t="str">
        <f t="shared" si="15"/>
        <v>No</v>
      </c>
      <c r="X43">
        <f>COUNTIF(W$40:W43,"Yes")</f>
        <v>1</v>
      </c>
      <c r="Y43" cm="1">
        <f t="array" ref="Y43">INDEX($G$2:$G$7,IF(X43&gt;5,6,X43+1))</f>
        <v>1.0618000000000001</v>
      </c>
      <c r="Z43" s="147">
        <f t="shared" si="16"/>
        <v>867.4435093288605</v>
      </c>
      <c r="AA43" t="str">
        <f t="shared" si="17"/>
        <v>Yes</v>
      </c>
      <c r="AB43">
        <f>COUNTIF(AA$40:AA43,"Yes")</f>
        <v>4</v>
      </c>
      <c r="AC43" cm="1">
        <f t="array" ref="AC43">INDEX($G$2:$G$7,IF(AB43&gt;5,6,AB43+1))</f>
        <v>1.0000617999999999</v>
      </c>
      <c r="AD43" s="147">
        <f t="shared" si="18"/>
        <v>867.4435093288605</v>
      </c>
      <c r="AH43">
        <v>4</v>
      </c>
      <c r="AI43" s="147">
        <f>IF(AN42="Yes",IF(AN41="Yes",AI40*AP42,AI41*AP42),AI42*AP42)</f>
        <v>30.927364591680007</v>
      </c>
      <c r="AJ43" s="147">
        <f t="shared" si="19"/>
        <v>3.4953645916800049</v>
      </c>
      <c r="AK43" s="147">
        <f t="shared" si="20"/>
        <v>2508.5200381774307</v>
      </c>
      <c r="AL43" s="147">
        <f t="shared" si="21"/>
        <v>1641.0765288485702</v>
      </c>
      <c r="AM43" s="147">
        <f t="shared" ref="AM43:AM89" si="29">AL43 - AK43</f>
        <v>-867.4435093288605</v>
      </c>
      <c r="AN43" t="str">
        <f t="shared" si="23"/>
        <v>No</v>
      </c>
      <c r="AO43">
        <f>COUNTIF(AN$40:AN43,"Yes")</f>
        <v>1</v>
      </c>
      <c r="AP43" cm="1">
        <f t="array" ref="AP43">INDEX($G$2:$G$7,IF(AO43&gt;5,6,AO43+1))</f>
        <v>1.0618000000000001</v>
      </c>
      <c r="AQ43" s="147">
        <f t="shared" si="24"/>
        <v>867.4435093288605</v>
      </c>
      <c r="AR43" t="str">
        <f t="shared" si="25"/>
        <v>Yes</v>
      </c>
      <c r="AS43">
        <f>COUNTIF(AR$40:AR43,"Yes")</f>
        <v>4</v>
      </c>
      <c r="AT43" cm="1">
        <f t="array" ref="AT43">INDEX($G$2:$G$7,IF(AS43&gt;5,6,AS43+1))</f>
        <v>1.0000617999999999</v>
      </c>
      <c r="AU43" s="147">
        <f t="shared" si="26"/>
        <v>867.4435093288605</v>
      </c>
    </row>
    <row r="44" spans="1:47" x14ac:dyDescent="0.3">
      <c r="C44">
        <v>5</v>
      </c>
      <c r="D44" s="147">
        <f t="shared" ref="D44:D89" si="30">IF(I43="Yes",IF(I42="Yes",IF(I41="Yes",D40*K43,D41*K43),D42*K43),D43*K43)</f>
        <v>32.838675723445832</v>
      </c>
      <c r="E44" s="147">
        <f t="shared" si="5"/>
        <v>5.4066757234458294</v>
      </c>
      <c r="F44" s="147">
        <f t="shared" si="6"/>
        <v>2508.5200381774307</v>
      </c>
      <c r="G44" s="147">
        <f t="shared" si="7"/>
        <v>1958.5820667836233</v>
      </c>
      <c r="H44" s="147">
        <f t="shared" si="27"/>
        <v>-549.9379713938074</v>
      </c>
      <c r="I44" t="str">
        <f t="shared" si="9"/>
        <v>No</v>
      </c>
      <c r="J44">
        <f>COUNTIF(I$40:I44,"Yes")</f>
        <v>1</v>
      </c>
      <c r="K44" cm="1">
        <f t="array" ref="K44">INDEX($G$2:$G$7,IF(J44&gt;5,6,J44+1))</f>
        <v>1.0618000000000001</v>
      </c>
      <c r="L44" s="147">
        <f t="shared" si="10"/>
        <v>549.9379713938074</v>
      </c>
      <c r="Q44">
        <v>5</v>
      </c>
      <c r="R44" s="147">
        <f t="shared" ref="R44:R89" si="31">IF(W43="Yes",IF(W42="Yes",IF(W41="Yes",R40*Y43,R41*Y43),R42*Y43),R43*Y43)</f>
        <v>32.838675723445832</v>
      </c>
      <c r="S44" s="147">
        <f t="shared" si="11"/>
        <v>5.4066757234458294</v>
      </c>
      <c r="T44" s="147">
        <f t="shared" si="12"/>
        <v>2508.5200381774307</v>
      </c>
      <c r="U44" s="147">
        <f t="shared" si="13"/>
        <v>1958.5820667836233</v>
      </c>
      <c r="V44" s="147">
        <f t="shared" si="28"/>
        <v>-549.9379713938074</v>
      </c>
      <c r="W44" t="str">
        <f t="shared" si="15"/>
        <v>No</v>
      </c>
      <c r="X44">
        <f>COUNTIF(W$40:W44,"Yes")</f>
        <v>1</v>
      </c>
      <c r="Y44" cm="1">
        <f t="array" ref="Y44">INDEX($G$2:$G$7,IF(X44&gt;5,6,X44+1))</f>
        <v>1.0618000000000001</v>
      </c>
      <c r="Z44" s="147">
        <f t="shared" si="16"/>
        <v>549.9379713938074</v>
      </c>
      <c r="AA44" t="str">
        <f t="shared" si="17"/>
        <v>Yes</v>
      </c>
      <c r="AB44">
        <f>COUNTIF(AA$40:AA44,"Yes")</f>
        <v>5</v>
      </c>
      <c r="AC44" cm="1">
        <f t="array" ref="AC44">INDEX($G$2:$G$7,IF(AB44&gt;5,6,AB44+1))</f>
        <v>1</v>
      </c>
      <c r="AD44" s="147">
        <f t="shared" si="18"/>
        <v>549.9379713938074</v>
      </c>
      <c r="AH44">
        <v>5</v>
      </c>
      <c r="AI44" s="147">
        <f t="shared" ref="AI44:AI89" si="32">IF(AN43="Yes",IF(AN42="Yes",IF(AN41="Yes",AI40*AP43,AI41*AP43),AI42*AP43),AI43*AP43)</f>
        <v>32.838675723445832</v>
      </c>
      <c r="AJ44" s="147">
        <f t="shared" si="19"/>
        <v>5.4066757234458294</v>
      </c>
      <c r="AK44" s="147">
        <f t="shared" si="20"/>
        <v>2508.5200381774307</v>
      </c>
      <c r="AL44" s="147">
        <f t="shared" si="21"/>
        <v>1958.5820667836233</v>
      </c>
      <c r="AM44" s="147">
        <f t="shared" si="29"/>
        <v>-549.9379713938074</v>
      </c>
      <c r="AN44" t="str">
        <f t="shared" si="23"/>
        <v>No</v>
      </c>
      <c r="AO44">
        <f>COUNTIF(AN$40:AN44,"Yes")</f>
        <v>1</v>
      </c>
      <c r="AP44" cm="1">
        <f t="array" ref="AP44">INDEX($G$2:$G$7,IF(AO44&gt;5,6,AO44+1))</f>
        <v>1.0618000000000001</v>
      </c>
      <c r="AQ44" s="147">
        <f t="shared" si="24"/>
        <v>549.9379713938074</v>
      </c>
      <c r="AR44" t="str">
        <f t="shared" si="25"/>
        <v>Yes</v>
      </c>
      <c r="AS44">
        <f>COUNTIF(AR$40:AR44,"Yes")</f>
        <v>5</v>
      </c>
      <c r="AT44" cm="1">
        <f t="array" ref="AT44">INDEX($G$2:$G$7,IF(AS44&gt;5,6,AS44+1))</f>
        <v>1</v>
      </c>
      <c r="AU44" s="147">
        <f t="shared" si="26"/>
        <v>549.9379713938074</v>
      </c>
    </row>
    <row r="45" spans="1:47" x14ac:dyDescent="0.3">
      <c r="C45">
        <v>6</v>
      </c>
      <c r="D45" s="147">
        <f t="shared" si="30"/>
        <v>34.868105883154783</v>
      </c>
      <c r="E45" s="147">
        <f t="shared" si="5"/>
        <v>7.4361058831547808</v>
      </c>
      <c r="F45" s="147">
        <f t="shared" si="6"/>
        <v>2508.5200381774307</v>
      </c>
      <c r="G45" s="147">
        <f t="shared" si="7"/>
        <v>2332.2738305558978</v>
      </c>
      <c r="H45" s="147">
        <f t="shared" si="27"/>
        <v>-176.2462076215329</v>
      </c>
      <c r="I45" t="str">
        <f t="shared" si="9"/>
        <v>No</v>
      </c>
      <c r="J45">
        <f>COUNTIF(I$40:I45,"Yes")</f>
        <v>1</v>
      </c>
      <c r="K45" cm="1">
        <f t="array" ref="K45">INDEX($G$2:$G$7,IF(J45&gt;5,6,J45+1))</f>
        <v>1.0618000000000001</v>
      </c>
      <c r="L45" s="147">
        <f t="shared" si="10"/>
        <v>176.2462076215329</v>
      </c>
      <c r="Q45">
        <v>6</v>
      </c>
      <c r="R45" s="147">
        <f t="shared" si="31"/>
        <v>34.868105883154783</v>
      </c>
      <c r="S45" s="147">
        <f t="shared" si="11"/>
        <v>7.4361058831547808</v>
      </c>
      <c r="T45" s="147">
        <f t="shared" si="12"/>
        <v>2508.5200381774307</v>
      </c>
      <c r="U45" s="147">
        <f t="shared" si="13"/>
        <v>2332.2738305558978</v>
      </c>
      <c r="V45" s="147">
        <f t="shared" si="28"/>
        <v>-176.2462076215329</v>
      </c>
      <c r="W45" t="str">
        <f t="shared" si="15"/>
        <v>No</v>
      </c>
      <c r="X45">
        <f>COUNTIF(W$40:W45,"Yes")</f>
        <v>1</v>
      </c>
      <c r="Y45" cm="1">
        <f t="array" ref="Y45">INDEX($G$2:$G$7,IF(X45&gt;5,6,X45+1))</f>
        <v>1.0618000000000001</v>
      </c>
      <c r="Z45" s="147">
        <f t="shared" si="16"/>
        <v>176.2462076215329</v>
      </c>
      <c r="AA45" t="str">
        <f t="shared" si="17"/>
        <v>Yes</v>
      </c>
      <c r="AB45">
        <f>COUNTIF(AA$40:AA45,"Yes")</f>
        <v>6</v>
      </c>
      <c r="AC45" cm="1">
        <f t="array" ref="AC45">INDEX($G$2:$G$7,IF(AB45&gt;5,6,AB45+1))</f>
        <v>1</v>
      </c>
      <c r="AD45" s="147">
        <f t="shared" si="18"/>
        <v>176.2462076215329</v>
      </c>
      <c r="AH45">
        <v>6</v>
      </c>
      <c r="AI45" s="147">
        <f t="shared" si="32"/>
        <v>34.868105883154783</v>
      </c>
      <c r="AJ45" s="147">
        <f t="shared" si="19"/>
        <v>7.4361058831547808</v>
      </c>
      <c r="AK45" s="147">
        <f t="shared" si="20"/>
        <v>2508.5200381774307</v>
      </c>
      <c r="AL45" s="147">
        <f t="shared" si="21"/>
        <v>2332.2738305558978</v>
      </c>
      <c r="AM45" s="147">
        <f t="shared" si="29"/>
        <v>-176.2462076215329</v>
      </c>
      <c r="AN45" t="str">
        <f t="shared" si="23"/>
        <v>No</v>
      </c>
      <c r="AO45">
        <f>COUNTIF(AN$40:AN45,"Yes")</f>
        <v>1</v>
      </c>
      <c r="AP45" cm="1">
        <f t="array" ref="AP45">INDEX($G$2:$G$7,IF(AO45&gt;5,6,AO45+1))</f>
        <v>1.0618000000000001</v>
      </c>
      <c r="AQ45" s="147">
        <f t="shared" si="24"/>
        <v>176.2462076215329</v>
      </c>
      <c r="AR45" t="str">
        <f t="shared" si="25"/>
        <v>Yes</v>
      </c>
      <c r="AS45">
        <f>COUNTIF(AR$40:AR45,"Yes")</f>
        <v>6</v>
      </c>
      <c r="AT45" cm="1">
        <f t="array" ref="AT45">INDEX($G$2:$G$7,IF(AS45&gt;5,6,AS45+1))</f>
        <v>1</v>
      </c>
      <c r="AU45" s="147">
        <f t="shared" si="26"/>
        <v>176.2462076215329</v>
      </c>
    </row>
    <row r="46" spans="1:47" x14ac:dyDescent="0.3">
      <c r="C46">
        <v>7</v>
      </c>
      <c r="D46" s="147">
        <f t="shared" si="30"/>
        <v>37.022954826733752</v>
      </c>
      <c r="E46" s="147">
        <f t="shared" si="5"/>
        <v>9.5909548267337499</v>
      </c>
      <c r="F46" s="147">
        <f t="shared" si="6"/>
        <v>2508.5200381774307</v>
      </c>
      <c r="G46" s="147">
        <f t="shared" si="7"/>
        <v>2770.2831348906043</v>
      </c>
      <c r="H46" s="147">
        <f t="shared" si="27"/>
        <v>261.76309671317358</v>
      </c>
      <c r="I46" t="str">
        <f t="shared" si="9"/>
        <v>Yes</v>
      </c>
      <c r="J46">
        <f>COUNTIF(I$40:I46,"Yes")</f>
        <v>2</v>
      </c>
      <c r="K46" cm="1">
        <f t="array" ref="K46">INDEX($G$2:$G$7,IF(J46&gt;5,6,J46+1))</f>
        <v>1.0061800000000001</v>
      </c>
      <c r="L46" s="147">
        <f t="shared" si="10"/>
        <v>261.76309671317358</v>
      </c>
      <c r="Q46">
        <v>7</v>
      </c>
      <c r="R46" s="147">
        <f t="shared" si="31"/>
        <v>37.022954826733752</v>
      </c>
      <c r="S46" s="147">
        <f t="shared" si="11"/>
        <v>9.5909548267337499</v>
      </c>
      <c r="T46" s="147">
        <f t="shared" si="12"/>
        <v>2508.5200381774307</v>
      </c>
      <c r="U46" s="147">
        <f t="shared" si="13"/>
        <v>2770.2831348906043</v>
      </c>
      <c r="V46" s="147">
        <f t="shared" si="28"/>
        <v>261.76309671317358</v>
      </c>
      <c r="W46" t="str">
        <f t="shared" si="15"/>
        <v>Yes</v>
      </c>
      <c r="X46">
        <f>COUNTIF(W$40:W46,"Yes")</f>
        <v>2</v>
      </c>
      <c r="Y46" cm="1">
        <f t="array" ref="Y46">INDEX($G$2:$G$7,IF(X46&gt;5,6,X46+1))</f>
        <v>1.0061800000000001</v>
      </c>
      <c r="Z46" s="147">
        <f t="shared" si="16"/>
        <v>261.76309671317358</v>
      </c>
      <c r="AA46" t="str">
        <f t="shared" si="17"/>
        <v>Yes</v>
      </c>
      <c r="AB46">
        <f>COUNTIF(AA$40:AA46,"Yes")</f>
        <v>7</v>
      </c>
      <c r="AC46" cm="1">
        <f t="array" ref="AC46">INDEX($G$2:$G$7,IF(AB46&gt;5,6,AB46+1))</f>
        <v>1</v>
      </c>
      <c r="AD46" s="147">
        <f t="shared" si="18"/>
        <v>261.76309671317358</v>
      </c>
      <c r="AH46">
        <v>7</v>
      </c>
      <c r="AI46" s="147">
        <f t="shared" si="32"/>
        <v>37.022954826733752</v>
      </c>
      <c r="AJ46" s="147">
        <f t="shared" si="19"/>
        <v>9.5909548267337499</v>
      </c>
      <c r="AK46" s="147">
        <f t="shared" si="20"/>
        <v>2508.5200381774307</v>
      </c>
      <c r="AL46" s="147">
        <f t="shared" si="21"/>
        <v>2770.2831348906043</v>
      </c>
      <c r="AM46" s="147">
        <f t="shared" si="29"/>
        <v>261.76309671317358</v>
      </c>
      <c r="AN46" t="str">
        <f t="shared" si="23"/>
        <v>Yes</v>
      </c>
      <c r="AO46">
        <f>COUNTIF(AN$40:AN46,"Yes")</f>
        <v>2</v>
      </c>
      <c r="AP46" cm="1">
        <f t="array" ref="AP46">INDEX($G$2:$G$7,IF(AO46&gt;5,6,AO46+1))</f>
        <v>1.0061800000000001</v>
      </c>
      <c r="AQ46" s="147">
        <f t="shared" si="24"/>
        <v>261.76309671317358</v>
      </c>
      <c r="AR46" t="str">
        <f t="shared" si="25"/>
        <v>Yes</v>
      </c>
      <c r="AS46">
        <f>COUNTIF(AR$40:AR46,"Yes")</f>
        <v>7</v>
      </c>
      <c r="AT46" cm="1">
        <f t="array" ref="AT46">INDEX($G$2:$G$7,IF(AS46&gt;5,6,AS46+1))</f>
        <v>1</v>
      </c>
      <c r="AU46" s="147">
        <f t="shared" si="26"/>
        <v>261.76309671317358</v>
      </c>
    </row>
    <row r="47" spans="1:47" x14ac:dyDescent="0.3">
      <c r="C47">
        <v>8</v>
      </c>
      <c r="D47" s="147">
        <f t="shared" si="30"/>
        <v>35.083590777512683</v>
      </c>
      <c r="E47" s="147">
        <f t="shared" si="5"/>
        <v>7.6515907775126806</v>
      </c>
      <c r="F47" s="147">
        <f t="shared" si="6"/>
        <v>2508.5200381774307</v>
      </c>
      <c r="G47" s="147">
        <f t="shared" si="7"/>
        <v>2374.1641054683405</v>
      </c>
      <c r="H47" s="147">
        <f t="shared" si="27"/>
        <v>-134.35593270909021</v>
      </c>
      <c r="I47" t="str">
        <f t="shared" si="9"/>
        <v>No</v>
      </c>
      <c r="J47">
        <f>COUNTIF(I$40:I47,"Yes")</f>
        <v>2</v>
      </c>
      <c r="K47" cm="1">
        <f t="array" ref="K47">INDEX($G$2:$G$7,IF(J47&gt;5,6,J47+1))</f>
        <v>1.0061800000000001</v>
      </c>
      <c r="L47" s="147">
        <f t="shared" si="10"/>
        <v>134.35593270909021</v>
      </c>
      <c r="Q47">
        <v>8</v>
      </c>
      <c r="R47" s="147">
        <f t="shared" si="31"/>
        <v>35.083590777512683</v>
      </c>
      <c r="S47" s="147">
        <f t="shared" si="11"/>
        <v>7.6515907775126806</v>
      </c>
      <c r="T47" s="147">
        <f t="shared" si="12"/>
        <v>2508.5200381774307</v>
      </c>
      <c r="U47" s="147">
        <f t="shared" si="13"/>
        <v>2374.1641054683405</v>
      </c>
      <c r="V47" s="147">
        <f t="shared" si="28"/>
        <v>-134.35593270909021</v>
      </c>
      <c r="W47" t="str">
        <f t="shared" si="15"/>
        <v>No</v>
      </c>
      <c r="X47">
        <f>COUNTIF(W$40:W47,"Yes")</f>
        <v>2</v>
      </c>
      <c r="Y47" cm="1">
        <f t="array" ref="Y47">INDEX($G$2:$G$7,IF(X47&gt;5,6,X47+1))</f>
        <v>1.0061800000000001</v>
      </c>
      <c r="Z47" s="147">
        <f t="shared" si="16"/>
        <v>134.35593270909021</v>
      </c>
      <c r="AA47" t="str">
        <f t="shared" si="17"/>
        <v>Yes</v>
      </c>
      <c r="AB47">
        <f>COUNTIF(AA$40:AA47,"Yes")</f>
        <v>8</v>
      </c>
      <c r="AC47" cm="1">
        <f t="array" ref="AC47">INDEX($G$2:$G$7,IF(AB47&gt;5,6,AB47+1))</f>
        <v>1</v>
      </c>
      <c r="AD47" s="147">
        <f t="shared" si="18"/>
        <v>134.35593270909021</v>
      </c>
      <c r="AH47">
        <v>8</v>
      </c>
      <c r="AI47" s="147">
        <f t="shared" si="32"/>
        <v>35.083590777512683</v>
      </c>
      <c r="AJ47" s="147">
        <f t="shared" si="19"/>
        <v>7.6515907775126806</v>
      </c>
      <c r="AK47" s="147">
        <f t="shared" si="20"/>
        <v>2508.5200381774307</v>
      </c>
      <c r="AL47" s="147">
        <f t="shared" si="21"/>
        <v>2374.1641054683405</v>
      </c>
      <c r="AM47" s="147">
        <f t="shared" si="29"/>
        <v>-134.35593270909021</v>
      </c>
      <c r="AN47" t="str">
        <f t="shared" si="23"/>
        <v>No</v>
      </c>
      <c r="AO47">
        <f>COUNTIF(AN$40:AN47,"Yes")</f>
        <v>2</v>
      </c>
      <c r="AP47" cm="1">
        <f t="array" ref="AP47">INDEX($G$2:$G$7,IF(AO47&gt;5,6,AO47+1))</f>
        <v>1.0061800000000001</v>
      </c>
      <c r="AQ47" s="147">
        <f t="shared" si="24"/>
        <v>134.35593270909021</v>
      </c>
      <c r="AR47" t="str">
        <f t="shared" si="25"/>
        <v>Yes</v>
      </c>
      <c r="AS47">
        <f>COUNTIF(AR$40:AR47,"Yes")</f>
        <v>8</v>
      </c>
      <c r="AT47" cm="1">
        <f t="array" ref="AT47">INDEX($G$2:$G$7,IF(AS47&gt;5,6,AS47+1))</f>
        <v>1</v>
      </c>
      <c r="AU47" s="147">
        <f t="shared" si="26"/>
        <v>134.35593270909021</v>
      </c>
    </row>
    <row r="48" spans="1:47" x14ac:dyDescent="0.3">
      <c r="C48">
        <v>9</v>
      </c>
      <c r="D48" s="147">
        <f t="shared" si="30"/>
        <v>35.30040736851771</v>
      </c>
      <c r="E48" s="147">
        <f t="shared" si="5"/>
        <v>7.8684073685177083</v>
      </c>
      <c r="F48" s="147">
        <f t="shared" si="6"/>
        <v>2508.5200381774307</v>
      </c>
      <c r="G48" s="147">
        <f t="shared" si="7"/>
        <v>2416.7417964539563</v>
      </c>
      <c r="H48" s="147">
        <f t="shared" si="27"/>
        <v>-91.778241723474366</v>
      </c>
      <c r="I48" t="str">
        <f t="shared" si="9"/>
        <v>No</v>
      </c>
      <c r="J48">
        <f>COUNTIF(I$40:I48,"Yes")</f>
        <v>2</v>
      </c>
      <c r="K48" cm="1">
        <f t="array" ref="K48">INDEX($G$2:$G$7,IF(J48&gt;5,6,J48+1))</f>
        <v>1.0061800000000001</v>
      </c>
      <c r="L48" s="147">
        <f t="shared" si="10"/>
        <v>91.778241723474366</v>
      </c>
      <c r="Q48">
        <v>9</v>
      </c>
      <c r="R48" s="147">
        <f t="shared" si="31"/>
        <v>35.30040736851771</v>
      </c>
      <c r="S48" s="147">
        <f t="shared" si="11"/>
        <v>7.8684073685177083</v>
      </c>
      <c r="T48" s="147">
        <f t="shared" si="12"/>
        <v>2508.5200381774307</v>
      </c>
      <c r="U48" s="147">
        <f t="shared" si="13"/>
        <v>2416.7417964539563</v>
      </c>
      <c r="V48" s="147">
        <f t="shared" si="28"/>
        <v>-91.778241723474366</v>
      </c>
      <c r="W48" t="str">
        <f t="shared" si="15"/>
        <v>No</v>
      </c>
      <c r="X48">
        <f>COUNTIF(W$40:W48,"Yes")</f>
        <v>2</v>
      </c>
      <c r="Y48" cm="1">
        <f t="array" ref="Y48">INDEX($G$2:$G$7,IF(X48&gt;5,6,X48+1))</f>
        <v>1.0061800000000001</v>
      </c>
      <c r="Z48" s="147">
        <f t="shared" si="16"/>
        <v>91.778241723474366</v>
      </c>
      <c r="AA48" t="str">
        <f t="shared" si="17"/>
        <v>Yes</v>
      </c>
      <c r="AB48">
        <f>COUNTIF(AA$40:AA48,"Yes")</f>
        <v>9</v>
      </c>
      <c r="AC48" cm="1">
        <f t="array" ref="AC48">INDEX($G$2:$G$7,IF(AB48&gt;5,6,AB48+1))</f>
        <v>1</v>
      </c>
      <c r="AD48" s="147">
        <f t="shared" si="18"/>
        <v>91.778241723474366</v>
      </c>
      <c r="AH48">
        <v>9</v>
      </c>
      <c r="AI48" s="147">
        <f t="shared" si="32"/>
        <v>35.30040736851771</v>
      </c>
      <c r="AJ48" s="147">
        <f t="shared" si="19"/>
        <v>7.8684073685177083</v>
      </c>
      <c r="AK48" s="147">
        <f t="shared" si="20"/>
        <v>2508.5200381774307</v>
      </c>
      <c r="AL48" s="147">
        <f t="shared" si="21"/>
        <v>2416.7417964539563</v>
      </c>
      <c r="AM48" s="147">
        <f t="shared" si="29"/>
        <v>-91.778241723474366</v>
      </c>
      <c r="AN48" t="str">
        <f t="shared" si="23"/>
        <v>No</v>
      </c>
      <c r="AO48">
        <f>COUNTIF(AN$40:AN48,"Yes")</f>
        <v>2</v>
      </c>
      <c r="AP48" cm="1">
        <f t="array" ref="AP48">INDEX($G$2:$G$7,IF(AO48&gt;5,6,AO48+1))</f>
        <v>1.0061800000000001</v>
      </c>
      <c r="AQ48" s="147">
        <f t="shared" si="24"/>
        <v>91.778241723474366</v>
      </c>
      <c r="AR48" t="str">
        <f t="shared" si="25"/>
        <v>Yes</v>
      </c>
      <c r="AS48">
        <f>COUNTIF(AR$40:AR48,"Yes")</f>
        <v>9</v>
      </c>
      <c r="AT48" cm="1">
        <f t="array" ref="AT48">INDEX($G$2:$G$7,IF(AS48&gt;5,6,AS48+1))</f>
        <v>1</v>
      </c>
      <c r="AU48" s="147">
        <f t="shared" si="26"/>
        <v>91.778241723474366</v>
      </c>
    </row>
    <row r="49" spans="3:47" x14ac:dyDescent="0.3">
      <c r="C49">
        <v>10</v>
      </c>
      <c r="D49" s="147">
        <f t="shared" si="30"/>
        <v>35.518563886055155</v>
      </c>
      <c r="E49" s="147">
        <f t="shared" si="5"/>
        <v>8.0865638860551528</v>
      </c>
      <c r="F49" s="147">
        <f t="shared" si="6"/>
        <v>2508.5200381774307</v>
      </c>
      <c r="G49" s="147">
        <f t="shared" si="7"/>
        <v>2460.0164647932211</v>
      </c>
      <c r="H49" s="147">
        <f t="shared" si="27"/>
        <v>-48.503573384209631</v>
      </c>
      <c r="I49" t="str">
        <f t="shared" si="9"/>
        <v>No</v>
      </c>
      <c r="J49">
        <f>COUNTIF(I$40:I49,"Yes")</f>
        <v>2</v>
      </c>
      <c r="K49" cm="1">
        <f t="array" ref="K49">INDEX($G$2:$G$7,IF(J49&gt;5,6,J49+1))</f>
        <v>1.0061800000000001</v>
      </c>
      <c r="L49" s="147">
        <f t="shared" si="10"/>
        <v>48.503573384209631</v>
      </c>
      <c r="Q49">
        <v>10</v>
      </c>
      <c r="R49" s="147">
        <f t="shared" si="31"/>
        <v>35.518563886055155</v>
      </c>
      <c r="S49" s="147">
        <f t="shared" si="11"/>
        <v>8.0865638860551528</v>
      </c>
      <c r="T49" s="147">
        <f t="shared" si="12"/>
        <v>2508.5200381774307</v>
      </c>
      <c r="U49" s="147">
        <f t="shared" si="13"/>
        <v>2460.0164647932211</v>
      </c>
      <c r="V49" s="147">
        <f t="shared" si="28"/>
        <v>-48.503573384209631</v>
      </c>
      <c r="W49" t="str">
        <f t="shared" si="15"/>
        <v>No</v>
      </c>
      <c r="X49">
        <f>COUNTIF(W$40:W49,"Yes")</f>
        <v>2</v>
      </c>
      <c r="Y49" cm="1">
        <f t="array" ref="Y49">INDEX($G$2:$G$7,IF(X49&gt;5,6,X49+1))</f>
        <v>1.0061800000000001</v>
      </c>
      <c r="Z49" s="147">
        <f t="shared" si="16"/>
        <v>48.503573384209631</v>
      </c>
      <c r="AA49" t="str">
        <f t="shared" si="17"/>
        <v>Yes</v>
      </c>
      <c r="AB49">
        <f>COUNTIF(AA$40:AA49,"Yes")</f>
        <v>10</v>
      </c>
      <c r="AC49" cm="1">
        <f t="array" ref="AC49">INDEX($G$2:$G$7,IF(AB49&gt;5,6,AB49+1))</f>
        <v>1</v>
      </c>
      <c r="AD49" s="147">
        <f t="shared" si="18"/>
        <v>48.503573384209631</v>
      </c>
      <c r="AH49">
        <v>10</v>
      </c>
      <c r="AI49" s="147">
        <f t="shared" si="32"/>
        <v>35.518563886055155</v>
      </c>
      <c r="AJ49" s="147">
        <f t="shared" si="19"/>
        <v>8.0865638860551528</v>
      </c>
      <c r="AK49" s="147">
        <f t="shared" si="20"/>
        <v>2508.5200381774307</v>
      </c>
      <c r="AL49" s="147">
        <f t="shared" si="21"/>
        <v>2460.0164647932211</v>
      </c>
      <c r="AM49" s="147">
        <f t="shared" si="29"/>
        <v>-48.503573384209631</v>
      </c>
      <c r="AN49" t="str">
        <f t="shared" si="23"/>
        <v>No</v>
      </c>
      <c r="AO49">
        <f>COUNTIF(AN$40:AN49,"Yes")</f>
        <v>2</v>
      </c>
      <c r="AP49" cm="1">
        <f t="array" ref="AP49">INDEX($G$2:$G$7,IF(AO49&gt;5,6,AO49+1))</f>
        <v>1.0061800000000001</v>
      </c>
      <c r="AQ49" s="147">
        <f t="shared" si="24"/>
        <v>48.503573384209631</v>
      </c>
      <c r="AR49" t="str">
        <f t="shared" si="25"/>
        <v>Yes</v>
      </c>
      <c r="AS49">
        <f>COUNTIF(AR$40:AR49,"Yes")</f>
        <v>10</v>
      </c>
      <c r="AT49" cm="1">
        <f t="array" ref="AT49">INDEX($G$2:$G$7,IF(AS49&gt;5,6,AS49+1))</f>
        <v>1</v>
      </c>
      <c r="AU49" s="147">
        <f t="shared" si="26"/>
        <v>48.503573384209631</v>
      </c>
    </row>
    <row r="50" spans="3:47" x14ac:dyDescent="0.3">
      <c r="C50">
        <v>11</v>
      </c>
      <c r="D50" s="147">
        <f t="shared" si="30"/>
        <v>35.738068610870975</v>
      </c>
      <c r="E50" s="147">
        <f t="shared" si="5"/>
        <v>8.3060686108709731</v>
      </c>
      <c r="F50" s="147">
        <f t="shared" si="6"/>
        <v>2508.5200381774307</v>
      </c>
      <c r="G50" s="147">
        <f t="shared" si="7"/>
        <v>2503.9977967275267</v>
      </c>
      <c r="H50" s="147">
        <f t="shared" si="27"/>
        <v>-4.5222414499039587</v>
      </c>
      <c r="I50" t="str">
        <f t="shared" si="9"/>
        <v>No</v>
      </c>
      <c r="J50">
        <f>COUNTIF(I$40:I50,"Yes")</f>
        <v>2</v>
      </c>
      <c r="K50" cm="1">
        <f t="array" ref="K50">INDEX($G$2:$G$7,IF(J50&gt;5,6,J50+1))</f>
        <v>1.0061800000000001</v>
      </c>
      <c r="L50" s="147">
        <f t="shared" si="10"/>
        <v>4.5222414499039587</v>
      </c>
      <c r="Q50">
        <v>11</v>
      </c>
      <c r="R50" s="147">
        <f t="shared" si="31"/>
        <v>35.738068610870975</v>
      </c>
      <c r="S50" s="147">
        <f t="shared" si="11"/>
        <v>8.3060686108709731</v>
      </c>
      <c r="T50" s="147">
        <f t="shared" si="12"/>
        <v>2508.5200381774307</v>
      </c>
      <c r="U50" s="147">
        <f t="shared" si="13"/>
        <v>2503.9977967275267</v>
      </c>
      <c r="V50" s="147">
        <f t="shared" si="28"/>
        <v>-4.5222414499039587</v>
      </c>
      <c r="W50" t="str">
        <f t="shared" si="15"/>
        <v>No</v>
      </c>
      <c r="X50">
        <f>COUNTIF(W$40:W50,"Yes")</f>
        <v>2</v>
      </c>
      <c r="Y50" cm="1">
        <f t="array" ref="Y50">INDEX($G$2:$G$7,IF(X50&gt;5,6,X50+1))</f>
        <v>1.0061800000000001</v>
      </c>
      <c r="Z50" s="147">
        <f t="shared" si="16"/>
        <v>4.5222414499039587</v>
      </c>
      <c r="AA50" t="str">
        <f t="shared" si="17"/>
        <v>Yes</v>
      </c>
      <c r="AB50">
        <f>COUNTIF(AA$40:AA50,"Yes")</f>
        <v>11</v>
      </c>
      <c r="AC50" cm="1">
        <f t="array" ref="AC50">INDEX($G$2:$G$7,IF(AB50&gt;5,6,AB50+1))</f>
        <v>1</v>
      </c>
      <c r="AD50" s="147">
        <f t="shared" si="18"/>
        <v>4.5222414499039587</v>
      </c>
      <c r="AH50">
        <v>11</v>
      </c>
      <c r="AI50" s="147">
        <f t="shared" si="32"/>
        <v>35.738068610870975</v>
      </c>
      <c r="AJ50" s="147">
        <f t="shared" si="19"/>
        <v>8.3060686108709731</v>
      </c>
      <c r="AK50" s="147">
        <f t="shared" si="20"/>
        <v>2508.5200381774307</v>
      </c>
      <c r="AL50" s="147">
        <f t="shared" si="21"/>
        <v>2503.9977967275267</v>
      </c>
      <c r="AM50" s="147">
        <f t="shared" si="29"/>
        <v>-4.5222414499039587</v>
      </c>
      <c r="AN50" t="str">
        <f t="shared" si="23"/>
        <v>No</v>
      </c>
      <c r="AO50">
        <f>COUNTIF(AN$40:AN50,"Yes")</f>
        <v>2</v>
      </c>
      <c r="AP50" cm="1">
        <f t="array" ref="AP50">INDEX($G$2:$G$7,IF(AO50&gt;5,6,AO50+1))</f>
        <v>1.0061800000000001</v>
      </c>
      <c r="AQ50" s="147">
        <f t="shared" si="24"/>
        <v>4.5222414499039587</v>
      </c>
      <c r="AR50" t="str">
        <f t="shared" si="25"/>
        <v>Yes</v>
      </c>
      <c r="AS50">
        <f>COUNTIF(AR$40:AR50,"Yes")</f>
        <v>11</v>
      </c>
      <c r="AT50" cm="1">
        <f t="array" ref="AT50">INDEX($G$2:$G$7,IF(AS50&gt;5,6,AS50+1))</f>
        <v>1</v>
      </c>
      <c r="AU50" s="147">
        <f t="shared" si="26"/>
        <v>4.5222414499039587</v>
      </c>
    </row>
    <row r="51" spans="3:47" x14ac:dyDescent="0.3">
      <c r="C51">
        <v>12</v>
      </c>
      <c r="D51" s="147">
        <f t="shared" si="30"/>
        <v>35.958929874886159</v>
      </c>
      <c r="E51" s="147">
        <f t="shared" si="5"/>
        <v>8.5269298748861573</v>
      </c>
      <c r="F51" s="147">
        <f t="shared" si="6"/>
        <v>2508.5200381774307</v>
      </c>
      <c r="G51" s="147">
        <f t="shared" si="7"/>
        <v>2548.6956050481394</v>
      </c>
      <c r="H51" s="147">
        <f t="shared" si="27"/>
        <v>40.175566870708735</v>
      </c>
      <c r="I51" t="str">
        <f t="shared" si="9"/>
        <v>Yes</v>
      </c>
      <c r="J51">
        <f>COUNTIF(I$40:I51,"Yes")</f>
        <v>3</v>
      </c>
      <c r="K51" cm="1">
        <f t="array" ref="K51">INDEX($G$2:$G$7,IF(J51&gt;5,6,J51+1))</f>
        <v>1.000618</v>
      </c>
      <c r="L51" s="147">
        <f t="shared" si="10"/>
        <v>40.175566870708735</v>
      </c>
      <c r="Q51">
        <v>12</v>
      </c>
      <c r="R51" s="147">
        <f t="shared" si="31"/>
        <v>35.958929874886159</v>
      </c>
      <c r="S51" s="147">
        <f t="shared" si="11"/>
        <v>8.5269298748861573</v>
      </c>
      <c r="T51" s="147">
        <f t="shared" si="12"/>
        <v>2508.5200381774307</v>
      </c>
      <c r="U51" s="147">
        <f t="shared" si="13"/>
        <v>2548.6956050481394</v>
      </c>
      <c r="V51" s="147">
        <f t="shared" si="28"/>
        <v>40.175566870708735</v>
      </c>
      <c r="W51" t="str">
        <f t="shared" si="15"/>
        <v>Yes</v>
      </c>
      <c r="X51">
        <f>COUNTIF(W$40:W51,"Yes")</f>
        <v>3</v>
      </c>
      <c r="Y51" cm="1">
        <f t="array" ref="Y51">INDEX($G$2:$G$7,IF(X51&gt;5,6,X51+1))</f>
        <v>1.000618</v>
      </c>
      <c r="Z51" s="147">
        <f t="shared" si="16"/>
        <v>40.175566870708735</v>
      </c>
      <c r="AA51" t="str">
        <f t="shared" si="17"/>
        <v>Yes</v>
      </c>
      <c r="AB51">
        <f>COUNTIF(AA$40:AA51,"Yes")</f>
        <v>12</v>
      </c>
      <c r="AC51" cm="1">
        <f t="array" ref="AC51">INDEX($G$2:$G$7,IF(AB51&gt;5,6,AB51+1))</f>
        <v>1</v>
      </c>
      <c r="AD51" s="147">
        <f t="shared" si="18"/>
        <v>40.175566870708735</v>
      </c>
      <c r="AH51">
        <v>12</v>
      </c>
      <c r="AI51" s="147">
        <f t="shared" si="32"/>
        <v>35.958929874886159</v>
      </c>
      <c r="AJ51" s="147">
        <f t="shared" si="19"/>
        <v>8.5269298748861573</v>
      </c>
      <c r="AK51" s="147">
        <f t="shared" si="20"/>
        <v>2508.5200381774307</v>
      </c>
      <c r="AL51" s="147">
        <f t="shared" si="21"/>
        <v>2548.6956050481394</v>
      </c>
      <c r="AM51" s="147">
        <f t="shared" si="29"/>
        <v>40.175566870708735</v>
      </c>
      <c r="AN51" t="str">
        <f t="shared" si="23"/>
        <v>Yes</v>
      </c>
      <c r="AO51">
        <f>COUNTIF(AN$40:AN51,"Yes")</f>
        <v>3</v>
      </c>
      <c r="AP51" cm="1">
        <f t="array" ref="AP51">INDEX($G$2:$G$7,IF(AO51&gt;5,6,AO51+1))</f>
        <v>1.000618</v>
      </c>
      <c r="AQ51" s="147">
        <f t="shared" si="24"/>
        <v>40.175566870708735</v>
      </c>
      <c r="AR51" t="str">
        <f t="shared" si="25"/>
        <v>Yes</v>
      </c>
      <c r="AS51">
        <f>COUNTIF(AR$40:AR51,"Yes")</f>
        <v>12</v>
      </c>
      <c r="AT51" cm="1">
        <f t="array" ref="AT51">INDEX($G$2:$G$7,IF(AS51&gt;5,6,AS51+1))</f>
        <v>1</v>
      </c>
      <c r="AU51" s="147">
        <f t="shared" si="26"/>
        <v>40.175566870708735</v>
      </c>
    </row>
    <row r="52" spans="3:47" x14ac:dyDescent="0.3">
      <c r="C52">
        <v>13</v>
      </c>
      <c r="D52" s="147">
        <f t="shared" si="30"/>
        <v>35.760154737272494</v>
      </c>
      <c r="E52" s="147">
        <f t="shared" si="5"/>
        <v>8.3281547372724916</v>
      </c>
      <c r="F52" s="147">
        <f t="shared" si="6"/>
        <v>2508.5200381774307</v>
      </c>
      <c r="G52" s="147">
        <f t="shared" si="7"/>
        <v>2508.4475056894785</v>
      </c>
      <c r="H52" s="147">
        <f t="shared" si="27"/>
        <v>-7.253248795223044E-2</v>
      </c>
      <c r="I52" t="str">
        <f t="shared" si="9"/>
        <v>No</v>
      </c>
      <c r="J52">
        <f>COUNTIF(I$40:I52,"Yes")</f>
        <v>3</v>
      </c>
      <c r="K52" cm="1">
        <f t="array" ref="K52">INDEX($G$2:$G$7,IF(J52&gt;5,6,J52+1))</f>
        <v>1.000618</v>
      </c>
      <c r="L52" s="147">
        <f t="shared" si="10"/>
        <v>7.253248795223044E-2</v>
      </c>
      <c r="Q52">
        <v>13</v>
      </c>
      <c r="R52" s="147">
        <f t="shared" si="31"/>
        <v>35.760154737272494</v>
      </c>
      <c r="S52" s="147">
        <f t="shared" si="11"/>
        <v>8.3281547372724916</v>
      </c>
      <c r="T52" s="147">
        <f t="shared" si="12"/>
        <v>2508.5200381774307</v>
      </c>
      <c r="U52" s="147">
        <f t="shared" si="13"/>
        <v>2508.4475056894785</v>
      </c>
      <c r="V52" s="147">
        <f t="shared" si="28"/>
        <v>-7.253248795223044E-2</v>
      </c>
      <c r="W52" t="str">
        <f t="shared" si="15"/>
        <v>No</v>
      </c>
      <c r="X52">
        <f>COUNTIF(W$40:W52,"Yes")</f>
        <v>3</v>
      </c>
      <c r="Y52" cm="1">
        <f t="array" ref="Y52">INDEX($G$2:$G$7,IF(X52&gt;5,6,X52+1))</f>
        <v>1.000618</v>
      </c>
      <c r="Z52" s="147">
        <f t="shared" si="16"/>
        <v>7.253248795223044E-2</v>
      </c>
      <c r="AA52" t="str">
        <f t="shared" si="17"/>
        <v>Yes</v>
      </c>
      <c r="AB52">
        <f>COUNTIF(AA$40:AA52,"Yes")</f>
        <v>13</v>
      </c>
      <c r="AC52" cm="1">
        <f t="array" ref="AC52">INDEX($G$2:$G$7,IF(AB52&gt;5,6,AB52+1))</f>
        <v>1</v>
      </c>
      <c r="AD52" s="147">
        <f t="shared" si="18"/>
        <v>7.253248795223044E-2</v>
      </c>
      <c r="AH52">
        <v>13</v>
      </c>
      <c r="AI52" s="147">
        <f t="shared" si="32"/>
        <v>35.760154737272494</v>
      </c>
      <c r="AJ52" s="147">
        <f t="shared" si="19"/>
        <v>8.3281547372724916</v>
      </c>
      <c r="AK52" s="147">
        <f t="shared" si="20"/>
        <v>2508.5200381774307</v>
      </c>
      <c r="AL52" s="147">
        <f t="shared" si="21"/>
        <v>2508.4475056894785</v>
      </c>
      <c r="AM52" s="147">
        <f t="shared" si="29"/>
        <v>-7.253248795223044E-2</v>
      </c>
      <c r="AN52" t="str">
        <f t="shared" si="23"/>
        <v>No</v>
      </c>
      <c r="AO52">
        <f>COUNTIF(AN$40:AN52,"Yes")</f>
        <v>3</v>
      </c>
      <c r="AP52" cm="1">
        <f t="array" ref="AP52">INDEX($G$2:$G$7,IF(AO52&gt;5,6,AO52+1))</f>
        <v>1.000618</v>
      </c>
      <c r="AQ52" s="147">
        <f t="shared" si="24"/>
        <v>7.253248795223044E-2</v>
      </c>
      <c r="AR52" t="str">
        <f t="shared" si="25"/>
        <v>Yes</v>
      </c>
      <c r="AS52">
        <f>COUNTIF(AR$40:AR52,"Yes")</f>
        <v>13</v>
      </c>
      <c r="AT52" cm="1">
        <f t="array" ref="AT52">INDEX($G$2:$G$7,IF(AS52&gt;5,6,AS52+1))</f>
        <v>1</v>
      </c>
      <c r="AU52" s="147">
        <f t="shared" si="26"/>
        <v>7.253248795223044E-2</v>
      </c>
    </row>
    <row r="53" spans="3:47" x14ac:dyDescent="0.3">
      <c r="C53">
        <v>14</v>
      </c>
      <c r="D53" s="147">
        <f t="shared" si="30"/>
        <v>35.782254512900131</v>
      </c>
      <c r="E53" s="147">
        <f t="shared" si="5"/>
        <v>8.3502545129001291</v>
      </c>
      <c r="F53" s="147">
        <f t="shared" si="6"/>
        <v>2508.5200381774307</v>
      </c>
      <c r="G53" s="147">
        <f t="shared" si="7"/>
        <v>2512.9044291228065</v>
      </c>
      <c r="H53" s="147">
        <f t="shared" si="27"/>
        <v>4.3843909453757988</v>
      </c>
      <c r="I53" t="str">
        <f t="shared" si="9"/>
        <v>Yes</v>
      </c>
      <c r="J53">
        <f>COUNTIF(I$40:I53,"Yes")</f>
        <v>4</v>
      </c>
      <c r="K53" cm="1">
        <f t="array" ref="K53">INDEX($G$2:$G$7,IF(J53&gt;5,6,J53+1))</f>
        <v>1.0000617999999999</v>
      </c>
      <c r="L53" s="147">
        <f t="shared" si="10"/>
        <v>4.3843909453757988</v>
      </c>
      <c r="Q53">
        <v>14</v>
      </c>
      <c r="R53" s="147">
        <f t="shared" si="31"/>
        <v>35.782254512900131</v>
      </c>
      <c r="S53" s="147">
        <f t="shared" si="11"/>
        <v>8.3502545129001291</v>
      </c>
      <c r="T53" s="147">
        <f t="shared" si="12"/>
        <v>2508.5200381774307</v>
      </c>
      <c r="U53" s="147">
        <f t="shared" si="13"/>
        <v>2512.9044291228065</v>
      </c>
      <c r="V53" s="147">
        <f t="shared" si="28"/>
        <v>4.3843909453757988</v>
      </c>
      <c r="W53" t="str">
        <f t="shared" si="15"/>
        <v>Yes</v>
      </c>
      <c r="X53">
        <f>COUNTIF(W$40:W53,"Yes")</f>
        <v>4</v>
      </c>
      <c r="Y53" cm="1">
        <f t="array" ref="Y53">INDEX($G$2:$G$7,IF(X53&gt;5,6,X53+1))</f>
        <v>1.0000617999999999</v>
      </c>
      <c r="Z53" s="147">
        <f t="shared" si="16"/>
        <v>4.3843909453757988</v>
      </c>
      <c r="AA53" t="str">
        <f t="shared" si="17"/>
        <v>Yes</v>
      </c>
      <c r="AB53">
        <f>COUNTIF(AA$40:AA53,"Yes")</f>
        <v>14</v>
      </c>
      <c r="AC53" cm="1">
        <f t="array" ref="AC53">INDEX($G$2:$G$7,IF(AB53&gt;5,6,AB53+1))</f>
        <v>1</v>
      </c>
      <c r="AD53" s="147">
        <f t="shared" si="18"/>
        <v>4.3843909453757988</v>
      </c>
      <c r="AH53">
        <v>14</v>
      </c>
      <c r="AI53" s="147">
        <f t="shared" si="32"/>
        <v>35.782254512900131</v>
      </c>
      <c r="AJ53" s="147">
        <f t="shared" si="19"/>
        <v>8.3502545129001291</v>
      </c>
      <c r="AK53" s="147">
        <f t="shared" si="20"/>
        <v>2508.5200381774307</v>
      </c>
      <c r="AL53" s="147">
        <f t="shared" si="21"/>
        <v>2512.9044291228065</v>
      </c>
      <c r="AM53" s="147">
        <f t="shared" si="29"/>
        <v>4.3843909453757988</v>
      </c>
      <c r="AN53" t="str">
        <f t="shared" si="23"/>
        <v>Yes</v>
      </c>
      <c r="AO53">
        <f>COUNTIF(AN$40:AN53,"Yes")</f>
        <v>4</v>
      </c>
      <c r="AP53" cm="1">
        <f t="array" ref="AP53">INDEX($G$2:$G$7,IF(AO53&gt;5,6,AO53+1))</f>
        <v>1.0000617999999999</v>
      </c>
      <c r="AQ53" s="147">
        <f t="shared" si="24"/>
        <v>4.3843909453757988</v>
      </c>
      <c r="AR53" t="str">
        <f t="shared" si="25"/>
        <v>Yes</v>
      </c>
      <c r="AS53">
        <f>COUNTIF(AR$40:AR53,"Yes")</f>
        <v>14</v>
      </c>
      <c r="AT53" cm="1">
        <f t="array" ref="AT53">INDEX($G$2:$G$7,IF(AS53&gt;5,6,AS53+1))</f>
        <v>1</v>
      </c>
      <c r="AU53" s="147">
        <f t="shared" si="26"/>
        <v>4.3843909453757988</v>
      </c>
    </row>
    <row r="54" spans="3:47" x14ac:dyDescent="0.3">
      <c r="C54">
        <v>15</v>
      </c>
      <c r="D54" s="147">
        <f t="shared" si="30"/>
        <v>35.76236471483525</v>
      </c>
      <c r="E54" s="147">
        <f t="shared" si="5"/>
        <v>8.3303647148352482</v>
      </c>
      <c r="F54" s="147">
        <f t="shared" si="6"/>
        <v>2508.5200381774307</v>
      </c>
      <c r="G54" s="147">
        <f t="shared" si="7"/>
        <v>2508.8929970659437</v>
      </c>
      <c r="H54" s="147">
        <f t="shared" si="27"/>
        <v>0.37295888851303971</v>
      </c>
      <c r="I54" t="str">
        <f t="shared" si="9"/>
        <v>Yes</v>
      </c>
      <c r="J54">
        <f>COUNTIF(I$40:I54,"Yes")</f>
        <v>5</v>
      </c>
      <c r="K54" cm="1">
        <f t="array" ref="K54">INDEX($G$2:$G$7,IF(J54&gt;5,6,J54+1))</f>
        <v>1</v>
      </c>
      <c r="L54" s="147">
        <f t="shared" si="10"/>
        <v>0.37295888851303971</v>
      </c>
      <c r="Q54">
        <v>15</v>
      </c>
      <c r="R54" s="147">
        <f t="shared" si="31"/>
        <v>35.76236471483525</v>
      </c>
      <c r="S54" s="147">
        <f t="shared" si="11"/>
        <v>8.3303647148352482</v>
      </c>
      <c r="T54" s="147">
        <f t="shared" si="12"/>
        <v>2508.5200381774307</v>
      </c>
      <c r="U54" s="147">
        <f t="shared" si="13"/>
        <v>2508.8929970659437</v>
      </c>
      <c r="V54" s="147">
        <f t="shared" si="28"/>
        <v>0.37295888851303971</v>
      </c>
      <c r="W54" t="str">
        <f t="shared" si="15"/>
        <v>Yes</v>
      </c>
      <c r="X54">
        <f>COUNTIF(W$40:W54,"Yes")</f>
        <v>5</v>
      </c>
      <c r="Y54" cm="1">
        <f t="array" ref="Y54">INDEX($G$2:$G$7,IF(X54&gt;5,6,X54+1))</f>
        <v>1</v>
      </c>
      <c r="Z54" s="147">
        <f t="shared" si="16"/>
        <v>0.37295888851303971</v>
      </c>
      <c r="AA54" t="str">
        <f t="shared" si="17"/>
        <v>Yes</v>
      </c>
      <c r="AB54">
        <f>COUNTIF(AA$40:AA54,"Yes")</f>
        <v>15</v>
      </c>
      <c r="AC54" cm="1">
        <f t="array" ref="AC54">INDEX($G$2:$G$7,IF(AB54&gt;5,6,AB54+1))</f>
        <v>1</v>
      </c>
      <c r="AD54" s="147">
        <f t="shared" si="18"/>
        <v>0.37295888851303971</v>
      </c>
      <c r="AH54">
        <v>15</v>
      </c>
      <c r="AI54" s="147">
        <f t="shared" si="32"/>
        <v>35.76236471483525</v>
      </c>
      <c r="AJ54" s="147">
        <f t="shared" si="19"/>
        <v>8.3303647148352482</v>
      </c>
      <c r="AK54" s="147">
        <f t="shared" si="20"/>
        <v>2508.5200381774307</v>
      </c>
      <c r="AL54" s="147">
        <f t="shared" si="21"/>
        <v>2508.8929970659437</v>
      </c>
      <c r="AM54" s="147">
        <f t="shared" si="29"/>
        <v>0.37295888851303971</v>
      </c>
      <c r="AN54" t="str">
        <f t="shared" si="23"/>
        <v>Yes</v>
      </c>
      <c r="AO54">
        <f>COUNTIF(AN$40:AN54,"Yes")</f>
        <v>5</v>
      </c>
      <c r="AP54" cm="1">
        <f t="array" ref="AP54">INDEX($G$2:$G$7,IF(AO54&gt;5,6,AO54+1))</f>
        <v>1</v>
      </c>
      <c r="AQ54" s="147">
        <f t="shared" si="24"/>
        <v>0.37295888851303971</v>
      </c>
      <c r="AR54" t="str">
        <f t="shared" si="25"/>
        <v>Yes</v>
      </c>
      <c r="AS54">
        <f>COUNTIF(AR$40:AR54,"Yes")</f>
        <v>15</v>
      </c>
      <c r="AT54" cm="1">
        <f t="array" ref="AT54">INDEX($G$2:$G$7,IF(AS54&gt;5,6,AS54+1))</f>
        <v>1</v>
      </c>
      <c r="AU54" s="147">
        <f t="shared" si="26"/>
        <v>0.37295888851303971</v>
      </c>
    </row>
    <row r="55" spans="3:47" x14ac:dyDescent="0.3">
      <c r="C55">
        <v>16</v>
      </c>
      <c r="D55" s="147">
        <f t="shared" si="30"/>
        <v>35.760154737272494</v>
      </c>
      <c r="E55" s="147">
        <f t="shared" si="5"/>
        <v>8.3281547372724916</v>
      </c>
      <c r="F55" s="147">
        <f t="shared" si="6"/>
        <v>2508.5200381774307</v>
      </c>
      <c r="G55" s="147">
        <f t="shared" si="7"/>
        <v>2508.4475056894785</v>
      </c>
      <c r="H55" s="147">
        <f t="shared" si="27"/>
        <v>-7.253248795223044E-2</v>
      </c>
      <c r="I55" t="str">
        <f t="shared" si="9"/>
        <v>No</v>
      </c>
      <c r="J55">
        <f>COUNTIF(I$40:I55,"Yes")</f>
        <v>5</v>
      </c>
      <c r="K55" cm="1">
        <f t="array" ref="K55">INDEX($G$2:$G$7,IF(J55&gt;5,6,J55+1))</f>
        <v>1</v>
      </c>
      <c r="L55" s="147">
        <f t="shared" si="10"/>
        <v>7.253248795223044E-2</v>
      </c>
      <c r="Q55">
        <v>16</v>
      </c>
      <c r="R55" s="147">
        <f t="shared" si="31"/>
        <v>35.760154737272494</v>
      </c>
      <c r="S55" s="147">
        <f t="shared" si="11"/>
        <v>8.3281547372724916</v>
      </c>
      <c r="T55" s="147">
        <f t="shared" si="12"/>
        <v>2508.5200381774307</v>
      </c>
      <c r="U55" s="147">
        <f t="shared" si="13"/>
        <v>2508.4475056894785</v>
      </c>
      <c r="V55" s="147">
        <f t="shared" si="28"/>
        <v>-7.253248795223044E-2</v>
      </c>
      <c r="W55" t="str">
        <f t="shared" si="15"/>
        <v>No</v>
      </c>
      <c r="X55">
        <f>COUNTIF(W$40:W55,"Yes")</f>
        <v>5</v>
      </c>
      <c r="Y55" cm="1">
        <f t="array" ref="Y55">INDEX($G$2:$G$7,IF(X55&gt;5,6,X55+1))</f>
        <v>1</v>
      </c>
      <c r="Z55" s="147">
        <f t="shared" si="16"/>
        <v>7.253248795223044E-2</v>
      </c>
      <c r="AA55" t="str">
        <f t="shared" si="17"/>
        <v>Yes</v>
      </c>
      <c r="AB55">
        <f>COUNTIF(AA$40:AA55,"Yes")</f>
        <v>16</v>
      </c>
      <c r="AC55" cm="1">
        <f t="array" ref="AC55">INDEX($G$2:$G$7,IF(AB55&gt;5,6,AB55+1))</f>
        <v>1</v>
      </c>
      <c r="AD55" s="147">
        <f t="shared" si="18"/>
        <v>7.253248795223044E-2</v>
      </c>
      <c r="AH55">
        <v>16</v>
      </c>
      <c r="AI55" s="147">
        <f t="shared" si="32"/>
        <v>35.760154737272494</v>
      </c>
      <c r="AJ55" s="147">
        <f t="shared" si="19"/>
        <v>8.3281547372724916</v>
      </c>
      <c r="AK55" s="147">
        <f t="shared" si="20"/>
        <v>2508.5200381774307</v>
      </c>
      <c r="AL55" s="147">
        <f t="shared" si="21"/>
        <v>2508.4475056894785</v>
      </c>
      <c r="AM55" s="147">
        <f t="shared" si="29"/>
        <v>-7.253248795223044E-2</v>
      </c>
      <c r="AN55" t="str">
        <f t="shared" si="23"/>
        <v>No</v>
      </c>
      <c r="AO55">
        <f>COUNTIF(AN$40:AN55,"Yes")</f>
        <v>5</v>
      </c>
      <c r="AP55" cm="1">
        <f t="array" ref="AP55">INDEX($G$2:$G$7,IF(AO55&gt;5,6,AO55+1))</f>
        <v>1</v>
      </c>
      <c r="AQ55" s="147">
        <f t="shared" si="24"/>
        <v>7.253248795223044E-2</v>
      </c>
      <c r="AR55" t="str">
        <f t="shared" si="25"/>
        <v>Yes</v>
      </c>
      <c r="AS55">
        <f>COUNTIF(AR$40:AR55,"Yes")</f>
        <v>16</v>
      </c>
      <c r="AT55" cm="1">
        <f t="array" ref="AT55">INDEX($G$2:$G$7,IF(AS55&gt;5,6,AS55+1))</f>
        <v>1</v>
      </c>
      <c r="AU55" s="147">
        <f t="shared" si="26"/>
        <v>7.253248795223044E-2</v>
      </c>
    </row>
    <row r="56" spans="3:47" x14ac:dyDescent="0.3">
      <c r="C56">
        <v>17</v>
      </c>
      <c r="D56" s="147">
        <f t="shared" si="30"/>
        <v>35.760154737272494</v>
      </c>
      <c r="E56" s="147">
        <f t="shared" si="5"/>
        <v>8.3281547372724916</v>
      </c>
      <c r="F56" s="147">
        <f t="shared" si="6"/>
        <v>2508.5200381774307</v>
      </c>
      <c r="G56" s="147">
        <f t="shared" si="7"/>
        <v>2508.4475056894785</v>
      </c>
      <c r="H56" s="147">
        <f t="shared" si="27"/>
        <v>-7.253248795223044E-2</v>
      </c>
      <c r="I56" t="str">
        <f t="shared" si="9"/>
        <v>No</v>
      </c>
      <c r="J56">
        <f>COUNTIF(I$40:I56,"Yes")</f>
        <v>5</v>
      </c>
      <c r="K56" cm="1">
        <f t="array" ref="K56">INDEX($G$2:$G$7,IF(J56&gt;5,6,J56+1))</f>
        <v>1</v>
      </c>
      <c r="L56" s="147">
        <f t="shared" si="10"/>
        <v>7.253248795223044E-2</v>
      </c>
      <c r="Q56">
        <v>17</v>
      </c>
      <c r="R56" s="147">
        <f t="shared" si="31"/>
        <v>35.760154737272494</v>
      </c>
      <c r="S56" s="147">
        <f t="shared" si="11"/>
        <v>8.3281547372724916</v>
      </c>
      <c r="T56" s="147">
        <f t="shared" si="12"/>
        <v>2508.5200381774307</v>
      </c>
      <c r="U56" s="147">
        <f t="shared" si="13"/>
        <v>2508.4475056894785</v>
      </c>
      <c r="V56" s="147">
        <f t="shared" si="28"/>
        <v>-7.253248795223044E-2</v>
      </c>
      <c r="W56" t="str">
        <f t="shared" si="15"/>
        <v>No</v>
      </c>
      <c r="X56">
        <f>COUNTIF(W$40:W56,"Yes")</f>
        <v>5</v>
      </c>
      <c r="Y56" cm="1">
        <f t="array" ref="Y56">INDEX($G$2:$G$7,IF(X56&gt;5,6,X56+1))</f>
        <v>1</v>
      </c>
      <c r="Z56" s="147">
        <f t="shared" si="16"/>
        <v>7.253248795223044E-2</v>
      </c>
      <c r="AA56" t="str">
        <f t="shared" si="17"/>
        <v>Yes</v>
      </c>
      <c r="AB56">
        <f>COUNTIF(AA$40:AA56,"Yes")</f>
        <v>17</v>
      </c>
      <c r="AC56" cm="1">
        <f t="array" ref="AC56">INDEX($G$2:$G$7,IF(AB56&gt;5,6,AB56+1))</f>
        <v>1</v>
      </c>
      <c r="AD56" s="147">
        <f t="shared" si="18"/>
        <v>7.253248795223044E-2</v>
      </c>
      <c r="AH56">
        <v>17</v>
      </c>
      <c r="AI56" s="147">
        <f t="shared" si="32"/>
        <v>35.760154737272494</v>
      </c>
      <c r="AJ56" s="147">
        <f t="shared" si="19"/>
        <v>8.3281547372724916</v>
      </c>
      <c r="AK56" s="147">
        <f t="shared" si="20"/>
        <v>2508.5200381774307</v>
      </c>
      <c r="AL56" s="147">
        <f t="shared" si="21"/>
        <v>2508.4475056894785</v>
      </c>
      <c r="AM56" s="147">
        <f t="shared" si="29"/>
        <v>-7.253248795223044E-2</v>
      </c>
      <c r="AN56" t="str">
        <f t="shared" si="23"/>
        <v>No</v>
      </c>
      <c r="AO56">
        <f>COUNTIF(AN$40:AN56,"Yes")</f>
        <v>5</v>
      </c>
      <c r="AP56" cm="1">
        <f t="array" ref="AP56">INDEX($G$2:$G$7,IF(AO56&gt;5,6,AO56+1))</f>
        <v>1</v>
      </c>
      <c r="AQ56" s="147">
        <f t="shared" si="24"/>
        <v>7.253248795223044E-2</v>
      </c>
      <c r="AR56" t="str">
        <f t="shared" si="25"/>
        <v>Yes</v>
      </c>
      <c r="AS56">
        <f>COUNTIF(AR$40:AR56,"Yes")</f>
        <v>17</v>
      </c>
      <c r="AT56" cm="1">
        <f t="array" ref="AT56">INDEX($G$2:$G$7,IF(AS56&gt;5,6,AS56+1))</f>
        <v>1</v>
      </c>
      <c r="AU56" s="147">
        <f t="shared" si="26"/>
        <v>7.253248795223044E-2</v>
      </c>
    </row>
    <row r="57" spans="3:47" x14ac:dyDescent="0.3">
      <c r="C57">
        <v>18</v>
      </c>
      <c r="D57" s="147">
        <f t="shared" si="30"/>
        <v>35.760154737272494</v>
      </c>
      <c r="E57" s="147">
        <f t="shared" si="5"/>
        <v>8.3281547372724916</v>
      </c>
      <c r="F57" s="147">
        <f t="shared" si="6"/>
        <v>2508.5200381774307</v>
      </c>
      <c r="G57" s="147">
        <f t="shared" si="7"/>
        <v>2508.4475056894785</v>
      </c>
      <c r="H57" s="147">
        <f t="shared" si="27"/>
        <v>-7.253248795223044E-2</v>
      </c>
      <c r="I57" t="str">
        <f t="shared" si="9"/>
        <v>No</v>
      </c>
      <c r="J57">
        <f>COUNTIF(I$40:I57,"Yes")</f>
        <v>5</v>
      </c>
      <c r="K57" cm="1">
        <f t="array" ref="K57">INDEX($G$2:$G$7,IF(J57&gt;5,6,J57+1))</f>
        <v>1</v>
      </c>
      <c r="L57" s="147">
        <f t="shared" si="10"/>
        <v>7.253248795223044E-2</v>
      </c>
      <c r="Q57">
        <v>18</v>
      </c>
      <c r="R57" s="147">
        <f t="shared" si="31"/>
        <v>35.760154737272494</v>
      </c>
      <c r="S57" s="147">
        <f t="shared" si="11"/>
        <v>8.3281547372724916</v>
      </c>
      <c r="T57" s="147">
        <f t="shared" si="12"/>
        <v>2508.5200381774307</v>
      </c>
      <c r="U57" s="147">
        <f t="shared" si="13"/>
        <v>2508.4475056894785</v>
      </c>
      <c r="V57" s="147">
        <f t="shared" si="28"/>
        <v>-7.253248795223044E-2</v>
      </c>
      <c r="W57" t="str">
        <f t="shared" si="15"/>
        <v>No</v>
      </c>
      <c r="X57">
        <f>COUNTIF(W$40:W57,"Yes")</f>
        <v>5</v>
      </c>
      <c r="Y57" cm="1">
        <f t="array" ref="Y57">INDEX($G$2:$G$7,IF(X57&gt;5,6,X57+1))</f>
        <v>1</v>
      </c>
      <c r="Z57" s="147">
        <f t="shared" si="16"/>
        <v>7.253248795223044E-2</v>
      </c>
      <c r="AA57" t="str">
        <f t="shared" si="17"/>
        <v>Yes</v>
      </c>
      <c r="AB57">
        <f>COUNTIF(AA$40:AA57,"Yes")</f>
        <v>18</v>
      </c>
      <c r="AC57" cm="1">
        <f t="array" ref="AC57">INDEX($G$2:$G$7,IF(AB57&gt;5,6,AB57+1))</f>
        <v>1</v>
      </c>
      <c r="AD57" s="147">
        <f t="shared" si="18"/>
        <v>7.253248795223044E-2</v>
      </c>
      <c r="AH57">
        <v>18</v>
      </c>
      <c r="AI57" s="147">
        <f t="shared" si="32"/>
        <v>35.760154737272494</v>
      </c>
      <c r="AJ57" s="147">
        <f t="shared" si="19"/>
        <v>8.3281547372724916</v>
      </c>
      <c r="AK57" s="147">
        <f t="shared" si="20"/>
        <v>2508.5200381774307</v>
      </c>
      <c r="AL57" s="147">
        <f t="shared" si="21"/>
        <v>2508.4475056894785</v>
      </c>
      <c r="AM57" s="147">
        <f t="shared" si="29"/>
        <v>-7.253248795223044E-2</v>
      </c>
      <c r="AN57" t="str">
        <f t="shared" si="23"/>
        <v>No</v>
      </c>
      <c r="AO57">
        <f>COUNTIF(AN$40:AN57,"Yes")</f>
        <v>5</v>
      </c>
      <c r="AP57" cm="1">
        <f t="array" ref="AP57">INDEX($G$2:$G$7,IF(AO57&gt;5,6,AO57+1))</f>
        <v>1</v>
      </c>
      <c r="AQ57" s="147">
        <f t="shared" si="24"/>
        <v>7.253248795223044E-2</v>
      </c>
      <c r="AR57" t="str">
        <f t="shared" si="25"/>
        <v>Yes</v>
      </c>
      <c r="AS57">
        <f>COUNTIF(AR$40:AR57,"Yes")</f>
        <v>18</v>
      </c>
      <c r="AT57" cm="1">
        <f t="array" ref="AT57">INDEX($G$2:$G$7,IF(AS57&gt;5,6,AS57+1))</f>
        <v>1</v>
      </c>
      <c r="AU57" s="147">
        <f t="shared" si="26"/>
        <v>7.253248795223044E-2</v>
      </c>
    </row>
    <row r="58" spans="3:47" x14ac:dyDescent="0.3">
      <c r="C58">
        <v>19</v>
      </c>
      <c r="D58" s="147">
        <f t="shared" si="30"/>
        <v>35.760154737272494</v>
      </c>
      <c r="E58" s="147">
        <f t="shared" si="5"/>
        <v>8.3281547372724916</v>
      </c>
      <c r="F58" s="147">
        <f t="shared" si="6"/>
        <v>2508.5200381774307</v>
      </c>
      <c r="G58" s="147">
        <f t="shared" si="7"/>
        <v>2508.4475056894785</v>
      </c>
      <c r="H58" s="147">
        <f t="shared" si="27"/>
        <v>-7.253248795223044E-2</v>
      </c>
      <c r="I58" t="str">
        <f t="shared" si="9"/>
        <v>No</v>
      </c>
      <c r="J58">
        <f>COUNTIF(I$40:I58,"Yes")</f>
        <v>5</v>
      </c>
      <c r="K58" cm="1">
        <f t="array" ref="K58">INDEX($G$2:$G$7,IF(J58&gt;5,6,J58+1))</f>
        <v>1</v>
      </c>
      <c r="L58" s="147">
        <f t="shared" si="10"/>
        <v>7.253248795223044E-2</v>
      </c>
      <c r="Q58">
        <v>19</v>
      </c>
      <c r="R58" s="147">
        <f t="shared" si="31"/>
        <v>35.760154737272494</v>
      </c>
      <c r="S58" s="147">
        <f t="shared" si="11"/>
        <v>8.3281547372724916</v>
      </c>
      <c r="T58" s="147">
        <f t="shared" si="12"/>
        <v>2508.5200381774307</v>
      </c>
      <c r="U58" s="147">
        <f t="shared" si="13"/>
        <v>2508.4475056894785</v>
      </c>
      <c r="V58" s="147">
        <f t="shared" si="28"/>
        <v>-7.253248795223044E-2</v>
      </c>
      <c r="W58" t="str">
        <f t="shared" si="15"/>
        <v>No</v>
      </c>
      <c r="X58">
        <f>COUNTIF(W$40:W58,"Yes")</f>
        <v>5</v>
      </c>
      <c r="Y58" cm="1">
        <f t="array" ref="Y58">INDEX($G$2:$G$7,IF(X58&gt;5,6,X58+1))</f>
        <v>1</v>
      </c>
      <c r="Z58" s="147">
        <f t="shared" si="16"/>
        <v>7.253248795223044E-2</v>
      </c>
      <c r="AA58" t="str">
        <f t="shared" si="17"/>
        <v>Yes</v>
      </c>
      <c r="AB58">
        <f>COUNTIF(AA$40:AA58,"Yes")</f>
        <v>19</v>
      </c>
      <c r="AC58" cm="1">
        <f t="array" ref="AC58">INDEX($G$2:$G$7,IF(AB58&gt;5,6,AB58+1))</f>
        <v>1</v>
      </c>
      <c r="AD58" s="147">
        <f t="shared" si="18"/>
        <v>7.253248795223044E-2</v>
      </c>
      <c r="AH58">
        <v>19</v>
      </c>
      <c r="AI58" s="147">
        <f t="shared" si="32"/>
        <v>35.760154737272494</v>
      </c>
      <c r="AJ58" s="147">
        <f t="shared" si="19"/>
        <v>8.3281547372724916</v>
      </c>
      <c r="AK58" s="147">
        <f t="shared" si="20"/>
        <v>2508.5200381774307</v>
      </c>
      <c r="AL58" s="147">
        <f t="shared" si="21"/>
        <v>2508.4475056894785</v>
      </c>
      <c r="AM58" s="147">
        <f t="shared" si="29"/>
        <v>-7.253248795223044E-2</v>
      </c>
      <c r="AN58" t="str">
        <f t="shared" si="23"/>
        <v>No</v>
      </c>
      <c r="AO58">
        <f>COUNTIF(AN$40:AN58,"Yes")</f>
        <v>5</v>
      </c>
      <c r="AP58" cm="1">
        <f t="array" ref="AP58">INDEX($G$2:$G$7,IF(AO58&gt;5,6,AO58+1))</f>
        <v>1</v>
      </c>
      <c r="AQ58" s="147">
        <f t="shared" si="24"/>
        <v>7.253248795223044E-2</v>
      </c>
      <c r="AR58" t="str">
        <f t="shared" si="25"/>
        <v>Yes</v>
      </c>
      <c r="AS58">
        <f>COUNTIF(AR$40:AR58,"Yes")</f>
        <v>19</v>
      </c>
      <c r="AT58" cm="1">
        <f t="array" ref="AT58">INDEX($G$2:$G$7,IF(AS58&gt;5,6,AS58+1))</f>
        <v>1</v>
      </c>
      <c r="AU58" s="147">
        <f t="shared" si="26"/>
        <v>7.253248795223044E-2</v>
      </c>
    </row>
    <row r="59" spans="3:47" x14ac:dyDescent="0.3">
      <c r="C59">
        <v>20</v>
      </c>
      <c r="D59" s="147">
        <f t="shared" si="30"/>
        <v>35.760154737272494</v>
      </c>
      <c r="E59" s="147">
        <f t="shared" si="5"/>
        <v>8.3281547372724916</v>
      </c>
      <c r="F59" s="147">
        <f t="shared" si="6"/>
        <v>2508.5200381774307</v>
      </c>
      <c r="G59" s="147">
        <f t="shared" si="7"/>
        <v>2508.4475056894785</v>
      </c>
      <c r="H59" s="147">
        <f t="shared" si="27"/>
        <v>-7.253248795223044E-2</v>
      </c>
      <c r="I59" t="str">
        <f t="shared" si="9"/>
        <v>No</v>
      </c>
      <c r="J59">
        <f>COUNTIF(I$40:I59,"Yes")</f>
        <v>5</v>
      </c>
      <c r="K59" cm="1">
        <f t="array" ref="K59">INDEX($G$2:$G$7,IF(J59&gt;5,6,J59+1))</f>
        <v>1</v>
      </c>
      <c r="L59" s="147">
        <f t="shared" si="10"/>
        <v>7.253248795223044E-2</v>
      </c>
      <c r="Q59">
        <v>20</v>
      </c>
      <c r="R59" s="147">
        <f t="shared" si="31"/>
        <v>35.760154737272494</v>
      </c>
      <c r="S59" s="147">
        <f t="shared" si="11"/>
        <v>8.3281547372724916</v>
      </c>
      <c r="T59" s="147">
        <f t="shared" si="12"/>
        <v>2508.5200381774307</v>
      </c>
      <c r="U59" s="147">
        <f t="shared" si="13"/>
        <v>2508.4475056894785</v>
      </c>
      <c r="V59" s="147">
        <f t="shared" si="28"/>
        <v>-7.253248795223044E-2</v>
      </c>
      <c r="W59" t="str">
        <f t="shared" si="15"/>
        <v>No</v>
      </c>
      <c r="X59">
        <f>COUNTIF(W$40:W59,"Yes")</f>
        <v>5</v>
      </c>
      <c r="Y59" cm="1">
        <f t="array" ref="Y59">INDEX($G$2:$G$7,IF(X59&gt;5,6,X59+1))</f>
        <v>1</v>
      </c>
      <c r="Z59" s="147">
        <f t="shared" si="16"/>
        <v>7.253248795223044E-2</v>
      </c>
      <c r="AA59" t="str">
        <f t="shared" si="17"/>
        <v>Yes</v>
      </c>
      <c r="AB59">
        <f>COUNTIF(AA$40:AA59,"Yes")</f>
        <v>20</v>
      </c>
      <c r="AC59" cm="1">
        <f t="array" ref="AC59">INDEX($G$2:$G$7,IF(AB59&gt;5,6,AB59+1))</f>
        <v>1</v>
      </c>
      <c r="AD59" s="147">
        <f t="shared" si="18"/>
        <v>7.253248795223044E-2</v>
      </c>
      <c r="AH59">
        <v>20</v>
      </c>
      <c r="AI59" s="147">
        <f t="shared" si="32"/>
        <v>35.760154737272494</v>
      </c>
      <c r="AJ59" s="147">
        <f t="shared" si="19"/>
        <v>8.3281547372724916</v>
      </c>
      <c r="AK59" s="147">
        <f t="shared" si="20"/>
        <v>2508.5200381774307</v>
      </c>
      <c r="AL59" s="147">
        <f t="shared" si="21"/>
        <v>2508.4475056894785</v>
      </c>
      <c r="AM59" s="147">
        <f t="shared" si="29"/>
        <v>-7.253248795223044E-2</v>
      </c>
      <c r="AN59" t="str">
        <f t="shared" si="23"/>
        <v>No</v>
      </c>
      <c r="AO59">
        <f>COUNTIF(AN$40:AN59,"Yes")</f>
        <v>5</v>
      </c>
      <c r="AP59" cm="1">
        <f t="array" ref="AP59">INDEX($G$2:$G$7,IF(AO59&gt;5,6,AO59+1))</f>
        <v>1</v>
      </c>
      <c r="AQ59" s="147">
        <f t="shared" si="24"/>
        <v>7.253248795223044E-2</v>
      </c>
      <c r="AR59" t="str">
        <f t="shared" si="25"/>
        <v>Yes</v>
      </c>
      <c r="AS59">
        <f>COUNTIF(AR$40:AR59,"Yes")</f>
        <v>20</v>
      </c>
      <c r="AT59" cm="1">
        <f t="array" ref="AT59">INDEX($G$2:$G$7,IF(AS59&gt;5,6,AS59+1))</f>
        <v>1</v>
      </c>
      <c r="AU59" s="147">
        <f t="shared" si="26"/>
        <v>7.253248795223044E-2</v>
      </c>
    </row>
    <row r="60" spans="3:47" x14ac:dyDescent="0.3">
      <c r="C60">
        <v>21</v>
      </c>
      <c r="D60" s="147">
        <f t="shared" si="30"/>
        <v>35.760154737272494</v>
      </c>
      <c r="E60" s="147">
        <f t="shared" si="5"/>
        <v>8.3281547372724916</v>
      </c>
      <c r="F60" s="147">
        <f t="shared" si="6"/>
        <v>2508.5200381774307</v>
      </c>
      <c r="G60" s="147">
        <f t="shared" si="7"/>
        <v>2508.4475056894785</v>
      </c>
      <c r="H60" s="147">
        <f t="shared" si="27"/>
        <v>-7.253248795223044E-2</v>
      </c>
      <c r="I60" t="str">
        <f t="shared" si="9"/>
        <v>No</v>
      </c>
      <c r="J60">
        <f>COUNTIF(I$40:I60,"Yes")</f>
        <v>5</v>
      </c>
      <c r="K60" cm="1">
        <f t="array" ref="K60">INDEX($G$2:$G$7,IF(J60&gt;5,6,J60+1))</f>
        <v>1</v>
      </c>
      <c r="L60" s="147">
        <f t="shared" si="10"/>
        <v>7.253248795223044E-2</v>
      </c>
      <c r="Q60">
        <v>21</v>
      </c>
      <c r="R60" s="147">
        <f t="shared" si="31"/>
        <v>35.760154737272494</v>
      </c>
      <c r="S60" s="147">
        <f t="shared" si="11"/>
        <v>8.3281547372724916</v>
      </c>
      <c r="T60" s="147">
        <f t="shared" si="12"/>
        <v>2508.5200381774307</v>
      </c>
      <c r="U60" s="147">
        <f t="shared" si="13"/>
        <v>2508.4475056894785</v>
      </c>
      <c r="V60" s="147">
        <f t="shared" si="28"/>
        <v>-7.253248795223044E-2</v>
      </c>
      <c r="W60" t="str">
        <f t="shared" si="15"/>
        <v>No</v>
      </c>
      <c r="X60">
        <f>COUNTIF(W$40:W60,"Yes")</f>
        <v>5</v>
      </c>
      <c r="Y60" cm="1">
        <f t="array" ref="Y60">INDEX($G$2:$G$7,IF(X60&gt;5,6,X60+1))</f>
        <v>1</v>
      </c>
      <c r="Z60" s="147">
        <f t="shared" si="16"/>
        <v>7.253248795223044E-2</v>
      </c>
      <c r="AA60" t="str">
        <f t="shared" si="17"/>
        <v>Yes</v>
      </c>
      <c r="AB60">
        <f>COUNTIF(AA$40:AA60,"Yes")</f>
        <v>21</v>
      </c>
      <c r="AC60" cm="1">
        <f t="array" ref="AC60">INDEX($G$2:$G$7,IF(AB60&gt;5,6,AB60+1))</f>
        <v>1</v>
      </c>
      <c r="AD60" s="147">
        <f t="shared" si="18"/>
        <v>7.253248795223044E-2</v>
      </c>
      <c r="AH60">
        <v>21</v>
      </c>
      <c r="AI60" s="147">
        <f t="shared" si="32"/>
        <v>35.760154737272494</v>
      </c>
      <c r="AJ60" s="147">
        <f t="shared" si="19"/>
        <v>8.3281547372724916</v>
      </c>
      <c r="AK60" s="147">
        <f t="shared" si="20"/>
        <v>2508.5200381774307</v>
      </c>
      <c r="AL60" s="147">
        <f t="shared" si="21"/>
        <v>2508.4475056894785</v>
      </c>
      <c r="AM60" s="147">
        <f t="shared" si="29"/>
        <v>-7.253248795223044E-2</v>
      </c>
      <c r="AN60" t="str">
        <f t="shared" si="23"/>
        <v>No</v>
      </c>
      <c r="AO60">
        <f>COUNTIF(AN$40:AN60,"Yes")</f>
        <v>5</v>
      </c>
      <c r="AP60" cm="1">
        <f t="array" ref="AP60">INDEX($G$2:$G$7,IF(AO60&gt;5,6,AO60+1))</f>
        <v>1</v>
      </c>
      <c r="AQ60" s="147">
        <f t="shared" si="24"/>
        <v>7.253248795223044E-2</v>
      </c>
      <c r="AR60" t="str">
        <f t="shared" si="25"/>
        <v>Yes</v>
      </c>
      <c r="AS60">
        <f>COUNTIF(AR$40:AR60,"Yes")</f>
        <v>21</v>
      </c>
      <c r="AT60" cm="1">
        <f t="array" ref="AT60">INDEX($G$2:$G$7,IF(AS60&gt;5,6,AS60+1))</f>
        <v>1</v>
      </c>
      <c r="AU60" s="147">
        <f t="shared" si="26"/>
        <v>7.253248795223044E-2</v>
      </c>
    </row>
    <row r="61" spans="3:47" x14ac:dyDescent="0.3">
      <c r="C61">
        <v>22</v>
      </c>
      <c r="D61" s="147">
        <f t="shared" si="30"/>
        <v>35.760154737272494</v>
      </c>
      <c r="E61" s="147">
        <f t="shared" si="5"/>
        <v>8.3281547372724916</v>
      </c>
      <c r="F61" s="147">
        <f t="shared" si="6"/>
        <v>2508.5200381774307</v>
      </c>
      <c r="G61" s="147">
        <f t="shared" si="7"/>
        <v>2508.4475056894785</v>
      </c>
      <c r="H61" s="147">
        <f t="shared" si="27"/>
        <v>-7.253248795223044E-2</v>
      </c>
      <c r="I61" t="str">
        <f t="shared" si="9"/>
        <v>No</v>
      </c>
      <c r="J61">
        <f>COUNTIF(I$40:I61,"Yes")</f>
        <v>5</v>
      </c>
      <c r="K61" cm="1">
        <f t="array" ref="K61">INDEX($G$2:$G$7,IF(J61&gt;5,6,J61+1))</f>
        <v>1</v>
      </c>
      <c r="L61" s="147">
        <f t="shared" si="10"/>
        <v>7.253248795223044E-2</v>
      </c>
      <c r="Q61">
        <v>22</v>
      </c>
      <c r="R61" s="147">
        <f t="shared" si="31"/>
        <v>35.760154737272494</v>
      </c>
      <c r="S61" s="147">
        <f t="shared" si="11"/>
        <v>8.3281547372724916</v>
      </c>
      <c r="T61" s="147">
        <f t="shared" si="12"/>
        <v>2508.5200381774307</v>
      </c>
      <c r="U61" s="147">
        <f t="shared" si="13"/>
        <v>2508.4475056894785</v>
      </c>
      <c r="V61" s="147">
        <f t="shared" si="28"/>
        <v>-7.253248795223044E-2</v>
      </c>
      <c r="W61" t="str">
        <f t="shared" si="15"/>
        <v>No</v>
      </c>
      <c r="X61">
        <f>COUNTIF(W$40:W61,"Yes")</f>
        <v>5</v>
      </c>
      <c r="Y61" cm="1">
        <f t="array" ref="Y61">INDEX($G$2:$G$7,IF(X61&gt;5,6,X61+1))</f>
        <v>1</v>
      </c>
      <c r="Z61" s="147">
        <f t="shared" si="16"/>
        <v>7.253248795223044E-2</v>
      </c>
      <c r="AA61" t="str">
        <f t="shared" si="17"/>
        <v>Yes</v>
      </c>
      <c r="AB61">
        <f>COUNTIF(AA$40:AA61,"Yes")</f>
        <v>22</v>
      </c>
      <c r="AC61" cm="1">
        <f t="array" ref="AC61">INDEX($G$2:$G$7,IF(AB61&gt;5,6,AB61+1))</f>
        <v>1</v>
      </c>
      <c r="AD61" s="147">
        <f t="shared" si="18"/>
        <v>7.253248795223044E-2</v>
      </c>
      <c r="AH61">
        <v>22</v>
      </c>
      <c r="AI61" s="147">
        <f t="shared" si="32"/>
        <v>35.760154737272494</v>
      </c>
      <c r="AJ61" s="147">
        <f t="shared" si="19"/>
        <v>8.3281547372724916</v>
      </c>
      <c r="AK61" s="147">
        <f t="shared" si="20"/>
        <v>2508.5200381774307</v>
      </c>
      <c r="AL61" s="147">
        <f t="shared" si="21"/>
        <v>2508.4475056894785</v>
      </c>
      <c r="AM61" s="147">
        <f t="shared" si="29"/>
        <v>-7.253248795223044E-2</v>
      </c>
      <c r="AN61" t="str">
        <f t="shared" si="23"/>
        <v>No</v>
      </c>
      <c r="AO61">
        <f>COUNTIF(AN$40:AN61,"Yes")</f>
        <v>5</v>
      </c>
      <c r="AP61" cm="1">
        <f t="array" ref="AP61">INDEX($G$2:$G$7,IF(AO61&gt;5,6,AO61+1))</f>
        <v>1</v>
      </c>
      <c r="AQ61" s="147">
        <f t="shared" si="24"/>
        <v>7.253248795223044E-2</v>
      </c>
      <c r="AR61" t="str">
        <f t="shared" si="25"/>
        <v>Yes</v>
      </c>
      <c r="AS61">
        <f>COUNTIF(AR$40:AR61,"Yes")</f>
        <v>22</v>
      </c>
      <c r="AT61" cm="1">
        <f t="array" ref="AT61">INDEX($G$2:$G$7,IF(AS61&gt;5,6,AS61+1))</f>
        <v>1</v>
      </c>
      <c r="AU61" s="147">
        <f t="shared" si="26"/>
        <v>7.253248795223044E-2</v>
      </c>
    </row>
    <row r="62" spans="3:47" x14ac:dyDescent="0.3">
      <c r="C62">
        <v>23</v>
      </c>
      <c r="D62" s="147">
        <f t="shared" si="30"/>
        <v>35.760154737272494</v>
      </c>
      <c r="E62" s="147">
        <f t="shared" si="5"/>
        <v>8.3281547372724916</v>
      </c>
      <c r="F62" s="147">
        <f t="shared" si="6"/>
        <v>2508.5200381774307</v>
      </c>
      <c r="G62" s="147">
        <f t="shared" si="7"/>
        <v>2508.4475056894785</v>
      </c>
      <c r="H62" s="147">
        <f t="shared" si="27"/>
        <v>-7.253248795223044E-2</v>
      </c>
      <c r="I62" t="str">
        <f t="shared" si="9"/>
        <v>No</v>
      </c>
      <c r="J62">
        <f>COUNTIF(I$40:I62,"Yes")</f>
        <v>5</v>
      </c>
      <c r="K62" cm="1">
        <f t="array" ref="K62">INDEX($G$2:$G$7,IF(J62&gt;5,6,J62+1))</f>
        <v>1</v>
      </c>
      <c r="L62" s="147">
        <f t="shared" si="10"/>
        <v>7.253248795223044E-2</v>
      </c>
      <c r="Q62">
        <v>23</v>
      </c>
      <c r="R62" s="147">
        <f t="shared" si="31"/>
        <v>35.760154737272494</v>
      </c>
      <c r="S62" s="147">
        <f t="shared" si="11"/>
        <v>8.3281547372724916</v>
      </c>
      <c r="T62" s="147">
        <f t="shared" si="12"/>
        <v>2508.5200381774307</v>
      </c>
      <c r="U62" s="147">
        <f t="shared" si="13"/>
        <v>2508.4475056894785</v>
      </c>
      <c r="V62" s="147">
        <f t="shared" si="28"/>
        <v>-7.253248795223044E-2</v>
      </c>
      <c r="W62" t="str">
        <f t="shared" si="15"/>
        <v>No</v>
      </c>
      <c r="X62">
        <f>COUNTIF(W$40:W62,"Yes")</f>
        <v>5</v>
      </c>
      <c r="Y62" cm="1">
        <f t="array" ref="Y62">INDEX($G$2:$G$7,IF(X62&gt;5,6,X62+1))</f>
        <v>1</v>
      </c>
      <c r="Z62" s="147">
        <f t="shared" si="16"/>
        <v>7.253248795223044E-2</v>
      </c>
      <c r="AA62" t="str">
        <f t="shared" si="17"/>
        <v>Yes</v>
      </c>
      <c r="AB62">
        <f>COUNTIF(AA$40:AA62,"Yes")</f>
        <v>23</v>
      </c>
      <c r="AC62" cm="1">
        <f t="array" ref="AC62">INDEX($G$2:$G$7,IF(AB62&gt;5,6,AB62+1))</f>
        <v>1</v>
      </c>
      <c r="AD62" s="147">
        <f t="shared" si="18"/>
        <v>7.253248795223044E-2</v>
      </c>
      <c r="AH62">
        <v>23</v>
      </c>
      <c r="AI62" s="147">
        <f t="shared" si="32"/>
        <v>35.760154737272494</v>
      </c>
      <c r="AJ62" s="147">
        <f t="shared" si="19"/>
        <v>8.3281547372724916</v>
      </c>
      <c r="AK62" s="147">
        <f t="shared" si="20"/>
        <v>2508.5200381774307</v>
      </c>
      <c r="AL62" s="147">
        <f t="shared" si="21"/>
        <v>2508.4475056894785</v>
      </c>
      <c r="AM62" s="147">
        <f t="shared" si="29"/>
        <v>-7.253248795223044E-2</v>
      </c>
      <c r="AN62" t="str">
        <f t="shared" si="23"/>
        <v>No</v>
      </c>
      <c r="AO62">
        <f>COUNTIF(AN$40:AN62,"Yes")</f>
        <v>5</v>
      </c>
      <c r="AP62" cm="1">
        <f t="array" ref="AP62">INDEX($G$2:$G$7,IF(AO62&gt;5,6,AO62+1))</f>
        <v>1</v>
      </c>
      <c r="AQ62" s="147">
        <f t="shared" si="24"/>
        <v>7.253248795223044E-2</v>
      </c>
      <c r="AR62" t="str">
        <f t="shared" si="25"/>
        <v>Yes</v>
      </c>
      <c r="AS62">
        <f>COUNTIF(AR$40:AR62,"Yes")</f>
        <v>23</v>
      </c>
      <c r="AT62" cm="1">
        <f t="array" ref="AT62">INDEX($G$2:$G$7,IF(AS62&gt;5,6,AS62+1))</f>
        <v>1</v>
      </c>
      <c r="AU62" s="147">
        <f t="shared" si="26"/>
        <v>7.253248795223044E-2</v>
      </c>
    </row>
    <row r="63" spans="3:47" x14ac:dyDescent="0.3">
      <c r="C63">
        <v>24</v>
      </c>
      <c r="D63" s="147">
        <f t="shared" si="30"/>
        <v>35.760154737272494</v>
      </c>
      <c r="E63" s="147">
        <f t="shared" si="5"/>
        <v>8.3281547372724916</v>
      </c>
      <c r="F63" s="147">
        <f t="shared" si="6"/>
        <v>2508.5200381774307</v>
      </c>
      <c r="G63" s="147">
        <f t="shared" si="7"/>
        <v>2508.4475056894785</v>
      </c>
      <c r="H63" s="147">
        <f t="shared" si="27"/>
        <v>-7.253248795223044E-2</v>
      </c>
      <c r="I63" t="str">
        <f t="shared" si="9"/>
        <v>No</v>
      </c>
      <c r="J63">
        <f>COUNTIF(I$40:I63,"Yes")</f>
        <v>5</v>
      </c>
      <c r="K63" cm="1">
        <f t="array" ref="K63">INDEX($G$2:$G$7,IF(J63&gt;5,6,J63+1))</f>
        <v>1</v>
      </c>
      <c r="L63" s="147">
        <f t="shared" si="10"/>
        <v>7.253248795223044E-2</v>
      </c>
      <c r="Q63">
        <v>24</v>
      </c>
      <c r="R63" s="147">
        <f t="shared" si="31"/>
        <v>35.760154737272494</v>
      </c>
      <c r="S63" s="147">
        <f t="shared" si="11"/>
        <v>8.3281547372724916</v>
      </c>
      <c r="T63" s="147">
        <f t="shared" si="12"/>
        <v>2508.5200381774307</v>
      </c>
      <c r="U63" s="147">
        <f t="shared" si="13"/>
        <v>2508.4475056894785</v>
      </c>
      <c r="V63" s="147">
        <f t="shared" si="28"/>
        <v>-7.253248795223044E-2</v>
      </c>
      <c r="W63" t="str">
        <f t="shared" si="15"/>
        <v>No</v>
      </c>
      <c r="X63">
        <f>COUNTIF(W$40:W63,"Yes")</f>
        <v>5</v>
      </c>
      <c r="Y63" cm="1">
        <f t="array" ref="Y63">INDEX($G$2:$G$7,IF(X63&gt;5,6,X63+1))</f>
        <v>1</v>
      </c>
      <c r="Z63" s="147">
        <f t="shared" si="16"/>
        <v>7.253248795223044E-2</v>
      </c>
      <c r="AA63" t="str">
        <f t="shared" si="17"/>
        <v>Yes</v>
      </c>
      <c r="AB63">
        <f>COUNTIF(AA$40:AA63,"Yes")</f>
        <v>24</v>
      </c>
      <c r="AC63" cm="1">
        <f t="array" ref="AC63">INDEX($G$2:$G$7,IF(AB63&gt;5,6,AB63+1))</f>
        <v>1</v>
      </c>
      <c r="AD63" s="147">
        <f t="shared" si="18"/>
        <v>7.253248795223044E-2</v>
      </c>
      <c r="AH63">
        <v>24</v>
      </c>
      <c r="AI63" s="147">
        <f t="shared" si="32"/>
        <v>35.760154737272494</v>
      </c>
      <c r="AJ63" s="147">
        <f t="shared" si="19"/>
        <v>8.3281547372724916</v>
      </c>
      <c r="AK63" s="147">
        <f t="shared" si="20"/>
        <v>2508.5200381774307</v>
      </c>
      <c r="AL63" s="147">
        <f t="shared" si="21"/>
        <v>2508.4475056894785</v>
      </c>
      <c r="AM63" s="147">
        <f t="shared" si="29"/>
        <v>-7.253248795223044E-2</v>
      </c>
      <c r="AN63" t="str">
        <f t="shared" si="23"/>
        <v>No</v>
      </c>
      <c r="AO63">
        <f>COUNTIF(AN$40:AN63,"Yes")</f>
        <v>5</v>
      </c>
      <c r="AP63" cm="1">
        <f t="array" ref="AP63">INDEX($G$2:$G$7,IF(AO63&gt;5,6,AO63+1))</f>
        <v>1</v>
      </c>
      <c r="AQ63" s="147">
        <f t="shared" si="24"/>
        <v>7.253248795223044E-2</v>
      </c>
      <c r="AR63" t="str">
        <f t="shared" si="25"/>
        <v>Yes</v>
      </c>
      <c r="AS63">
        <f>COUNTIF(AR$40:AR63,"Yes")</f>
        <v>24</v>
      </c>
      <c r="AT63" cm="1">
        <f t="array" ref="AT63">INDEX($G$2:$G$7,IF(AS63&gt;5,6,AS63+1))</f>
        <v>1</v>
      </c>
      <c r="AU63" s="147">
        <f t="shared" si="26"/>
        <v>7.253248795223044E-2</v>
      </c>
    </row>
    <row r="64" spans="3:47" x14ac:dyDescent="0.3">
      <c r="C64">
        <v>25</v>
      </c>
      <c r="D64" s="147">
        <f t="shared" si="30"/>
        <v>35.760154737272494</v>
      </c>
      <c r="E64" s="147">
        <f t="shared" si="5"/>
        <v>8.3281547372724916</v>
      </c>
      <c r="F64" s="147">
        <f t="shared" si="6"/>
        <v>2508.5200381774307</v>
      </c>
      <c r="G64" s="147">
        <f t="shared" si="7"/>
        <v>2508.4475056894785</v>
      </c>
      <c r="H64" s="147">
        <f t="shared" si="27"/>
        <v>-7.253248795223044E-2</v>
      </c>
      <c r="I64" t="str">
        <f t="shared" si="9"/>
        <v>No</v>
      </c>
      <c r="J64">
        <f>COUNTIF(I$40:I64,"Yes")</f>
        <v>5</v>
      </c>
      <c r="K64" cm="1">
        <f t="array" ref="K64">INDEX($G$2:$G$7,IF(J64&gt;5,6,J64+1))</f>
        <v>1</v>
      </c>
      <c r="L64" s="147">
        <f t="shared" si="10"/>
        <v>7.253248795223044E-2</v>
      </c>
      <c r="Q64">
        <v>25</v>
      </c>
      <c r="R64" s="147">
        <f t="shared" si="31"/>
        <v>35.760154737272494</v>
      </c>
      <c r="S64" s="147">
        <f t="shared" si="11"/>
        <v>8.3281547372724916</v>
      </c>
      <c r="T64" s="147">
        <f t="shared" si="12"/>
        <v>2508.5200381774307</v>
      </c>
      <c r="U64" s="147">
        <f t="shared" si="13"/>
        <v>2508.4475056894785</v>
      </c>
      <c r="V64" s="147">
        <f t="shared" si="28"/>
        <v>-7.253248795223044E-2</v>
      </c>
      <c r="W64" t="str">
        <f t="shared" si="15"/>
        <v>No</v>
      </c>
      <c r="X64">
        <f>COUNTIF(W$40:W64,"Yes")</f>
        <v>5</v>
      </c>
      <c r="Y64" cm="1">
        <f t="array" ref="Y64">INDEX($G$2:$G$7,IF(X64&gt;5,6,X64+1))</f>
        <v>1</v>
      </c>
      <c r="Z64" s="147">
        <f t="shared" si="16"/>
        <v>7.253248795223044E-2</v>
      </c>
      <c r="AA64" t="str">
        <f t="shared" si="17"/>
        <v>Yes</v>
      </c>
      <c r="AB64">
        <f>COUNTIF(AA$40:AA64,"Yes")</f>
        <v>25</v>
      </c>
      <c r="AC64" cm="1">
        <f t="array" ref="AC64">INDEX($G$2:$G$7,IF(AB64&gt;5,6,AB64+1))</f>
        <v>1</v>
      </c>
      <c r="AD64" s="147">
        <f t="shared" si="18"/>
        <v>7.253248795223044E-2</v>
      </c>
      <c r="AH64">
        <v>25</v>
      </c>
      <c r="AI64" s="147">
        <f t="shared" si="32"/>
        <v>35.760154737272494</v>
      </c>
      <c r="AJ64" s="147">
        <f t="shared" si="19"/>
        <v>8.3281547372724916</v>
      </c>
      <c r="AK64" s="147">
        <f t="shared" si="20"/>
        <v>2508.5200381774307</v>
      </c>
      <c r="AL64" s="147">
        <f t="shared" si="21"/>
        <v>2508.4475056894785</v>
      </c>
      <c r="AM64" s="147">
        <f t="shared" si="29"/>
        <v>-7.253248795223044E-2</v>
      </c>
      <c r="AN64" t="str">
        <f t="shared" si="23"/>
        <v>No</v>
      </c>
      <c r="AO64">
        <f>COUNTIF(AN$40:AN64,"Yes")</f>
        <v>5</v>
      </c>
      <c r="AP64" cm="1">
        <f t="array" ref="AP64">INDEX($G$2:$G$7,IF(AO64&gt;5,6,AO64+1))</f>
        <v>1</v>
      </c>
      <c r="AQ64" s="147">
        <f t="shared" si="24"/>
        <v>7.253248795223044E-2</v>
      </c>
      <c r="AR64" t="str">
        <f t="shared" si="25"/>
        <v>Yes</v>
      </c>
      <c r="AS64">
        <f>COUNTIF(AR$40:AR64,"Yes")</f>
        <v>25</v>
      </c>
      <c r="AT64" cm="1">
        <f t="array" ref="AT64">INDEX($G$2:$G$7,IF(AS64&gt;5,6,AS64+1))</f>
        <v>1</v>
      </c>
      <c r="AU64" s="147">
        <f t="shared" si="26"/>
        <v>7.253248795223044E-2</v>
      </c>
    </row>
    <row r="65" spans="3:47" x14ac:dyDescent="0.3">
      <c r="C65">
        <v>26</v>
      </c>
      <c r="D65" s="147">
        <f t="shared" si="30"/>
        <v>35.760154737272494</v>
      </c>
      <c r="E65" s="147">
        <f t="shared" si="5"/>
        <v>8.3281547372724916</v>
      </c>
      <c r="F65" s="147">
        <f t="shared" si="6"/>
        <v>2508.5200381774307</v>
      </c>
      <c r="G65" s="147">
        <f t="shared" si="7"/>
        <v>2508.4475056894785</v>
      </c>
      <c r="H65" s="147">
        <f t="shared" si="27"/>
        <v>-7.253248795223044E-2</v>
      </c>
      <c r="I65" t="str">
        <f t="shared" si="9"/>
        <v>No</v>
      </c>
      <c r="J65">
        <f>COUNTIF(I$40:I65,"Yes")</f>
        <v>5</v>
      </c>
      <c r="K65" cm="1">
        <f t="array" ref="K65">INDEX($G$2:$G$7,IF(J65&gt;5,6,J65+1))</f>
        <v>1</v>
      </c>
      <c r="L65" s="147">
        <f t="shared" si="10"/>
        <v>7.253248795223044E-2</v>
      </c>
      <c r="Q65">
        <v>26</v>
      </c>
      <c r="R65" s="147">
        <f t="shared" si="31"/>
        <v>35.760154737272494</v>
      </c>
      <c r="S65" s="147">
        <f t="shared" si="11"/>
        <v>8.3281547372724916</v>
      </c>
      <c r="T65" s="147">
        <f t="shared" si="12"/>
        <v>2508.5200381774307</v>
      </c>
      <c r="U65" s="147">
        <f t="shared" si="13"/>
        <v>2508.4475056894785</v>
      </c>
      <c r="V65" s="147">
        <f t="shared" si="28"/>
        <v>-7.253248795223044E-2</v>
      </c>
      <c r="W65" t="str">
        <f t="shared" si="15"/>
        <v>No</v>
      </c>
      <c r="X65">
        <f>COUNTIF(W$40:W65,"Yes")</f>
        <v>5</v>
      </c>
      <c r="Y65" cm="1">
        <f t="array" ref="Y65">INDEX($G$2:$G$7,IF(X65&gt;5,6,X65+1))</f>
        <v>1</v>
      </c>
      <c r="Z65" s="147">
        <f t="shared" si="16"/>
        <v>7.253248795223044E-2</v>
      </c>
      <c r="AA65" t="str">
        <f t="shared" si="17"/>
        <v>Yes</v>
      </c>
      <c r="AB65">
        <f>COUNTIF(AA$40:AA65,"Yes")</f>
        <v>26</v>
      </c>
      <c r="AC65" cm="1">
        <f t="array" ref="AC65">INDEX($G$2:$G$7,IF(AB65&gt;5,6,AB65+1))</f>
        <v>1</v>
      </c>
      <c r="AD65" s="147">
        <f t="shared" si="18"/>
        <v>7.253248795223044E-2</v>
      </c>
      <c r="AH65">
        <v>26</v>
      </c>
      <c r="AI65" s="147">
        <f t="shared" si="32"/>
        <v>35.760154737272494</v>
      </c>
      <c r="AJ65" s="147">
        <f t="shared" si="19"/>
        <v>8.3281547372724916</v>
      </c>
      <c r="AK65" s="147">
        <f t="shared" si="20"/>
        <v>2508.5200381774307</v>
      </c>
      <c r="AL65" s="147">
        <f t="shared" si="21"/>
        <v>2508.4475056894785</v>
      </c>
      <c r="AM65" s="147">
        <f t="shared" si="29"/>
        <v>-7.253248795223044E-2</v>
      </c>
      <c r="AN65" t="str">
        <f t="shared" si="23"/>
        <v>No</v>
      </c>
      <c r="AO65">
        <f>COUNTIF(AN$40:AN65,"Yes")</f>
        <v>5</v>
      </c>
      <c r="AP65" cm="1">
        <f t="array" ref="AP65">INDEX($G$2:$G$7,IF(AO65&gt;5,6,AO65+1))</f>
        <v>1</v>
      </c>
      <c r="AQ65" s="147">
        <f t="shared" si="24"/>
        <v>7.253248795223044E-2</v>
      </c>
      <c r="AR65" t="str">
        <f t="shared" si="25"/>
        <v>Yes</v>
      </c>
      <c r="AS65">
        <f>COUNTIF(AR$40:AR65,"Yes")</f>
        <v>26</v>
      </c>
      <c r="AT65" cm="1">
        <f t="array" ref="AT65">INDEX($G$2:$G$7,IF(AS65&gt;5,6,AS65+1))</f>
        <v>1</v>
      </c>
      <c r="AU65" s="147">
        <f t="shared" si="26"/>
        <v>7.253248795223044E-2</v>
      </c>
    </row>
    <row r="66" spans="3:47" x14ac:dyDescent="0.3">
      <c r="C66">
        <v>27</v>
      </c>
      <c r="D66" s="147">
        <f t="shared" si="30"/>
        <v>35.760154737272494</v>
      </c>
      <c r="E66" s="147">
        <f t="shared" si="5"/>
        <v>8.3281547372724916</v>
      </c>
      <c r="F66" s="147">
        <f t="shared" si="6"/>
        <v>2508.5200381774307</v>
      </c>
      <c r="G66" s="147">
        <f t="shared" si="7"/>
        <v>2508.4475056894785</v>
      </c>
      <c r="H66" s="147">
        <f t="shared" si="27"/>
        <v>-7.253248795223044E-2</v>
      </c>
      <c r="I66" t="str">
        <f t="shared" si="9"/>
        <v>No</v>
      </c>
      <c r="J66">
        <f>COUNTIF(I$40:I66,"Yes")</f>
        <v>5</v>
      </c>
      <c r="K66" cm="1">
        <f t="array" ref="K66">INDEX($G$2:$G$7,IF(J66&gt;5,6,J66+1))</f>
        <v>1</v>
      </c>
      <c r="L66" s="147">
        <f t="shared" si="10"/>
        <v>7.253248795223044E-2</v>
      </c>
      <c r="Q66">
        <v>27</v>
      </c>
      <c r="R66" s="147">
        <f t="shared" si="31"/>
        <v>35.760154737272494</v>
      </c>
      <c r="S66" s="147">
        <f t="shared" si="11"/>
        <v>8.3281547372724916</v>
      </c>
      <c r="T66" s="147">
        <f t="shared" si="12"/>
        <v>2508.5200381774307</v>
      </c>
      <c r="U66" s="147">
        <f t="shared" si="13"/>
        <v>2508.4475056894785</v>
      </c>
      <c r="V66" s="147">
        <f t="shared" si="28"/>
        <v>-7.253248795223044E-2</v>
      </c>
      <c r="W66" t="str">
        <f t="shared" si="15"/>
        <v>No</v>
      </c>
      <c r="X66">
        <f>COUNTIF(W$40:W66,"Yes")</f>
        <v>5</v>
      </c>
      <c r="Y66" cm="1">
        <f t="array" ref="Y66">INDEX($G$2:$G$7,IF(X66&gt;5,6,X66+1))</f>
        <v>1</v>
      </c>
      <c r="Z66" s="147">
        <f t="shared" si="16"/>
        <v>7.253248795223044E-2</v>
      </c>
      <c r="AA66" t="str">
        <f t="shared" si="17"/>
        <v>Yes</v>
      </c>
      <c r="AB66">
        <f>COUNTIF(AA$40:AA66,"Yes")</f>
        <v>27</v>
      </c>
      <c r="AC66" cm="1">
        <f t="array" ref="AC66">INDEX($G$2:$G$7,IF(AB66&gt;5,6,AB66+1))</f>
        <v>1</v>
      </c>
      <c r="AD66" s="147">
        <f t="shared" si="18"/>
        <v>7.253248795223044E-2</v>
      </c>
      <c r="AH66">
        <v>27</v>
      </c>
      <c r="AI66" s="147">
        <f t="shared" si="32"/>
        <v>35.760154737272494</v>
      </c>
      <c r="AJ66" s="147">
        <f t="shared" si="19"/>
        <v>8.3281547372724916</v>
      </c>
      <c r="AK66" s="147">
        <f t="shared" si="20"/>
        <v>2508.5200381774307</v>
      </c>
      <c r="AL66" s="147">
        <f t="shared" si="21"/>
        <v>2508.4475056894785</v>
      </c>
      <c r="AM66" s="147">
        <f t="shared" si="29"/>
        <v>-7.253248795223044E-2</v>
      </c>
      <c r="AN66" t="str">
        <f t="shared" si="23"/>
        <v>No</v>
      </c>
      <c r="AO66">
        <f>COUNTIF(AN$40:AN66,"Yes")</f>
        <v>5</v>
      </c>
      <c r="AP66" cm="1">
        <f t="array" ref="AP66">INDEX($G$2:$G$7,IF(AO66&gt;5,6,AO66+1))</f>
        <v>1</v>
      </c>
      <c r="AQ66" s="147">
        <f t="shared" si="24"/>
        <v>7.253248795223044E-2</v>
      </c>
      <c r="AR66" t="str">
        <f t="shared" si="25"/>
        <v>Yes</v>
      </c>
      <c r="AS66">
        <f>COUNTIF(AR$40:AR66,"Yes")</f>
        <v>27</v>
      </c>
      <c r="AT66" cm="1">
        <f t="array" ref="AT66">INDEX($G$2:$G$7,IF(AS66&gt;5,6,AS66+1))</f>
        <v>1</v>
      </c>
      <c r="AU66" s="147">
        <f t="shared" si="26"/>
        <v>7.253248795223044E-2</v>
      </c>
    </row>
    <row r="67" spans="3:47" x14ac:dyDescent="0.3">
      <c r="C67">
        <v>28</v>
      </c>
      <c r="D67" s="147">
        <f t="shared" si="30"/>
        <v>35.760154737272494</v>
      </c>
      <c r="E67" s="147">
        <f t="shared" si="5"/>
        <v>8.3281547372724916</v>
      </c>
      <c r="F67" s="147">
        <f t="shared" si="6"/>
        <v>2508.5200381774307</v>
      </c>
      <c r="G67" s="147">
        <f t="shared" si="7"/>
        <v>2508.4475056894785</v>
      </c>
      <c r="H67" s="147">
        <f t="shared" si="27"/>
        <v>-7.253248795223044E-2</v>
      </c>
      <c r="I67" t="str">
        <f t="shared" si="9"/>
        <v>No</v>
      </c>
      <c r="J67">
        <f>COUNTIF(I$40:I67,"Yes")</f>
        <v>5</v>
      </c>
      <c r="K67" cm="1">
        <f t="array" ref="K67">INDEX($G$2:$G$7,IF(J67&gt;5,6,J67+1))</f>
        <v>1</v>
      </c>
      <c r="L67" s="147">
        <f t="shared" si="10"/>
        <v>7.253248795223044E-2</v>
      </c>
      <c r="Q67">
        <v>28</v>
      </c>
      <c r="R67" s="147">
        <f t="shared" si="31"/>
        <v>35.760154737272494</v>
      </c>
      <c r="S67" s="147">
        <f t="shared" si="11"/>
        <v>8.3281547372724916</v>
      </c>
      <c r="T67" s="147">
        <f t="shared" si="12"/>
        <v>2508.5200381774307</v>
      </c>
      <c r="U67" s="147">
        <f t="shared" si="13"/>
        <v>2508.4475056894785</v>
      </c>
      <c r="V67" s="147">
        <f t="shared" si="28"/>
        <v>-7.253248795223044E-2</v>
      </c>
      <c r="W67" t="str">
        <f t="shared" si="15"/>
        <v>No</v>
      </c>
      <c r="X67">
        <f>COUNTIF(W$40:W67,"Yes")</f>
        <v>5</v>
      </c>
      <c r="Y67" cm="1">
        <f t="array" ref="Y67">INDEX($G$2:$G$7,IF(X67&gt;5,6,X67+1))</f>
        <v>1</v>
      </c>
      <c r="Z67" s="147">
        <f t="shared" si="16"/>
        <v>7.253248795223044E-2</v>
      </c>
      <c r="AA67" t="str">
        <f t="shared" si="17"/>
        <v>Yes</v>
      </c>
      <c r="AB67">
        <f>COUNTIF(AA$40:AA67,"Yes")</f>
        <v>28</v>
      </c>
      <c r="AC67" cm="1">
        <f t="array" ref="AC67">INDEX($G$2:$G$7,IF(AB67&gt;5,6,AB67+1))</f>
        <v>1</v>
      </c>
      <c r="AD67" s="147">
        <f t="shared" si="18"/>
        <v>7.253248795223044E-2</v>
      </c>
      <c r="AH67">
        <v>28</v>
      </c>
      <c r="AI67" s="147">
        <f t="shared" si="32"/>
        <v>35.760154737272494</v>
      </c>
      <c r="AJ67" s="147">
        <f t="shared" si="19"/>
        <v>8.3281547372724916</v>
      </c>
      <c r="AK67" s="147">
        <f t="shared" si="20"/>
        <v>2508.5200381774307</v>
      </c>
      <c r="AL67" s="147">
        <f t="shared" si="21"/>
        <v>2508.4475056894785</v>
      </c>
      <c r="AM67" s="147">
        <f t="shared" si="29"/>
        <v>-7.253248795223044E-2</v>
      </c>
      <c r="AN67" t="str">
        <f t="shared" si="23"/>
        <v>No</v>
      </c>
      <c r="AO67">
        <f>COUNTIF(AN$40:AN67,"Yes")</f>
        <v>5</v>
      </c>
      <c r="AP67" cm="1">
        <f t="array" ref="AP67">INDEX($G$2:$G$7,IF(AO67&gt;5,6,AO67+1))</f>
        <v>1</v>
      </c>
      <c r="AQ67" s="147">
        <f t="shared" si="24"/>
        <v>7.253248795223044E-2</v>
      </c>
      <c r="AR67" t="str">
        <f t="shared" si="25"/>
        <v>Yes</v>
      </c>
      <c r="AS67">
        <f>COUNTIF(AR$40:AR67,"Yes")</f>
        <v>28</v>
      </c>
      <c r="AT67" cm="1">
        <f t="array" ref="AT67">INDEX($G$2:$G$7,IF(AS67&gt;5,6,AS67+1))</f>
        <v>1</v>
      </c>
      <c r="AU67" s="147">
        <f t="shared" si="26"/>
        <v>7.253248795223044E-2</v>
      </c>
    </row>
    <row r="68" spans="3:47" x14ac:dyDescent="0.3">
      <c r="C68">
        <v>29</v>
      </c>
      <c r="D68" s="147">
        <f t="shared" si="30"/>
        <v>35.760154737272494</v>
      </c>
      <c r="E68" s="147">
        <f t="shared" si="5"/>
        <v>8.3281547372724916</v>
      </c>
      <c r="F68" s="147">
        <f t="shared" si="6"/>
        <v>2508.5200381774307</v>
      </c>
      <c r="G68" s="147">
        <f t="shared" si="7"/>
        <v>2508.4475056894785</v>
      </c>
      <c r="H68" s="147">
        <f t="shared" si="27"/>
        <v>-7.253248795223044E-2</v>
      </c>
      <c r="I68" t="str">
        <f t="shared" si="9"/>
        <v>No</v>
      </c>
      <c r="J68">
        <f>COUNTIF(I$40:I68,"Yes")</f>
        <v>5</v>
      </c>
      <c r="K68" cm="1">
        <f t="array" ref="K68">INDEX($G$2:$G$7,IF(J68&gt;5,6,J68+1))</f>
        <v>1</v>
      </c>
      <c r="L68" s="147">
        <f t="shared" si="10"/>
        <v>7.253248795223044E-2</v>
      </c>
      <c r="Q68">
        <v>29</v>
      </c>
      <c r="R68" s="147">
        <f t="shared" si="31"/>
        <v>35.760154737272494</v>
      </c>
      <c r="S68" s="147">
        <f t="shared" si="11"/>
        <v>8.3281547372724916</v>
      </c>
      <c r="T68" s="147">
        <f t="shared" si="12"/>
        <v>2508.5200381774307</v>
      </c>
      <c r="U68" s="147">
        <f t="shared" si="13"/>
        <v>2508.4475056894785</v>
      </c>
      <c r="V68" s="147">
        <f t="shared" si="28"/>
        <v>-7.253248795223044E-2</v>
      </c>
      <c r="W68" t="str">
        <f t="shared" si="15"/>
        <v>No</v>
      </c>
      <c r="X68">
        <f>COUNTIF(W$40:W68,"Yes")</f>
        <v>5</v>
      </c>
      <c r="Y68" cm="1">
        <f t="array" ref="Y68">INDEX($G$2:$G$7,IF(X68&gt;5,6,X68+1))</f>
        <v>1</v>
      </c>
      <c r="Z68" s="147">
        <f t="shared" si="16"/>
        <v>7.253248795223044E-2</v>
      </c>
      <c r="AA68" t="str">
        <f t="shared" si="17"/>
        <v>Yes</v>
      </c>
      <c r="AB68">
        <f>COUNTIF(AA$40:AA68,"Yes")</f>
        <v>29</v>
      </c>
      <c r="AC68" cm="1">
        <f t="array" ref="AC68">INDEX($G$2:$G$7,IF(AB68&gt;5,6,AB68+1))</f>
        <v>1</v>
      </c>
      <c r="AD68" s="147">
        <f t="shared" si="18"/>
        <v>7.253248795223044E-2</v>
      </c>
      <c r="AH68">
        <v>29</v>
      </c>
      <c r="AI68" s="147">
        <f t="shared" si="32"/>
        <v>35.760154737272494</v>
      </c>
      <c r="AJ68" s="147">
        <f t="shared" si="19"/>
        <v>8.3281547372724916</v>
      </c>
      <c r="AK68" s="147">
        <f t="shared" si="20"/>
        <v>2508.5200381774307</v>
      </c>
      <c r="AL68" s="147">
        <f t="shared" si="21"/>
        <v>2508.4475056894785</v>
      </c>
      <c r="AM68" s="147">
        <f t="shared" si="29"/>
        <v>-7.253248795223044E-2</v>
      </c>
      <c r="AN68" t="str">
        <f t="shared" si="23"/>
        <v>No</v>
      </c>
      <c r="AO68">
        <f>COUNTIF(AN$40:AN68,"Yes")</f>
        <v>5</v>
      </c>
      <c r="AP68" cm="1">
        <f t="array" ref="AP68">INDEX($G$2:$G$7,IF(AO68&gt;5,6,AO68+1))</f>
        <v>1</v>
      </c>
      <c r="AQ68" s="147">
        <f t="shared" si="24"/>
        <v>7.253248795223044E-2</v>
      </c>
      <c r="AR68" t="str">
        <f t="shared" si="25"/>
        <v>Yes</v>
      </c>
      <c r="AS68">
        <f>COUNTIF(AR$40:AR68,"Yes")</f>
        <v>29</v>
      </c>
      <c r="AT68" cm="1">
        <f t="array" ref="AT68">INDEX($G$2:$G$7,IF(AS68&gt;5,6,AS68+1))</f>
        <v>1</v>
      </c>
      <c r="AU68" s="147">
        <f t="shared" si="26"/>
        <v>7.253248795223044E-2</v>
      </c>
    </row>
    <row r="69" spans="3:47" x14ac:dyDescent="0.3">
      <c r="C69">
        <v>30</v>
      </c>
      <c r="D69" s="147">
        <f t="shared" si="30"/>
        <v>35.760154737272494</v>
      </c>
      <c r="E69" s="147">
        <f t="shared" si="5"/>
        <v>8.3281547372724916</v>
      </c>
      <c r="F69" s="147">
        <f t="shared" si="6"/>
        <v>2508.5200381774307</v>
      </c>
      <c r="G69" s="147">
        <f t="shared" si="7"/>
        <v>2508.4475056894785</v>
      </c>
      <c r="H69" s="147">
        <f t="shared" si="27"/>
        <v>-7.253248795223044E-2</v>
      </c>
      <c r="I69" t="str">
        <f t="shared" si="9"/>
        <v>No</v>
      </c>
      <c r="J69">
        <f>COUNTIF(I$40:I69,"Yes")</f>
        <v>5</v>
      </c>
      <c r="K69" cm="1">
        <f t="array" ref="K69">INDEX($G$2:$G$7,IF(J69&gt;5,6,J69+1))</f>
        <v>1</v>
      </c>
      <c r="L69" s="147">
        <f t="shared" si="10"/>
        <v>7.253248795223044E-2</v>
      </c>
      <c r="Q69">
        <v>30</v>
      </c>
      <c r="R69" s="147">
        <f t="shared" si="31"/>
        <v>35.760154737272494</v>
      </c>
      <c r="S69" s="147">
        <f t="shared" si="11"/>
        <v>8.3281547372724916</v>
      </c>
      <c r="T69" s="147">
        <f t="shared" si="12"/>
        <v>2508.5200381774307</v>
      </c>
      <c r="U69" s="147">
        <f t="shared" si="13"/>
        <v>2508.4475056894785</v>
      </c>
      <c r="V69" s="147">
        <f t="shared" si="28"/>
        <v>-7.253248795223044E-2</v>
      </c>
      <c r="W69" t="str">
        <f t="shared" si="15"/>
        <v>No</v>
      </c>
      <c r="X69">
        <f>COUNTIF(W$40:W69,"Yes")</f>
        <v>5</v>
      </c>
      <c r="Y69" cm="1">
        <f t="array" ref="Y69">INDEX($G$2:$G$7,IF(X69&gt;5,6,X69+1))</f>
        <v>1</v>
      </c>
      <c r="Z69" s="147">
        <f t="shared" si="16"/>
        <v>7.253248795223044E-2</v>
      </c>
      <c r="AA69" t="str">
        <f t="shared" si="17"/>
        <v>Yes</v>
      </c>
      <c r="AB69">
        <f>COUNTIF(AA$40:AA69,"Yes")</f>
        <v>30</v>
      </c>
      <c r="AC69" cm="1">
        <f t="array" ref="AC69">INDEX($G$2:$G$7,IF(AB69&gt;5,6,AB69+1))</f>
        <v>1</v>
      </c>
      <c r="AD69" s="147">
        <f t="shared" si="18"/>
        <v>7.253248795223044E-2</v>
      </c>
      <c r="AH69">
        <v>30</v>
      </c>
      <c r="AI69" s="147">
        <f t="shared" si="32"/>
        <v>35.760154737272494</v>
      </c>
      <c r="AJ69" s="147">
        <f t="shared" si="19"/>
        <v>8.3281547372724916</v>
      </c>
      <c r="AK69" s="147">
        <f t="shared" si="20"/>
        <v>2508.5200381774307</v>
      </c>
      <c r="AL69" s="147">
        <f t="shared" si="21"/>
        <v>2508.4475056894785</v>
      </c>
      <c r="AM69" s="147">
        <f t="shared" si="29"/>
        <v>-7.253248795223044E-2</v>
      </c>
      <c r="AN69" t="str">
        <f t="shared" si="23"/>
        <v>No</v>
      </c>
      <c r="AO69">
        <f>COUNTIF(AN$40:AN69,"Yes")</f>
        <v>5</v>
      </c>
      <c r="AP69" cm="1">
        <f t="array" ref="AP69">INDEX($G$2:$G$7,IF(AO69&gt;5,6,AO69+1))</f>
        <v>1</v>
      </c>
      <c r="AQ69" s="147">
        <f t="shared" si="24"/>
        <v>7.253248795223044E-2</v>
      </c>
      <c r="AR69" t="str">
        <f t="shared" si="25"/>
        <v>Yes</v>
      </c>
      <c r="AS69">
        <f>COUNTIF(AR$40:AR69,"Yes")</f>
        <v>30</v>
      </c>
      <c r="AT69" cm="1">
        <f t="array" ref="AT69">INDEX($G$2:$G$7,IF(AS69&gt;5,6,AS69+1))</f>
        <v>1</v>
      </c>
      <c r="AU69" s="147">
        <f t="shared" si="26"/>
        <v>7.253248795223044E-2</v>
      </c>
    </row>
    <row r="70" spans="3:47" x14ac:dyDescent="0.3">
      <c r="C70">
        <v>31</v>
      </c>
      <c r="D70" s="147">
        <f t="shared" si="30"/>
        <v>35.760154737272494</v>
      </c>
      <c r="E70" s="147">
        <f t="shared" si="5"/>
        <v>8.3281547372724916</v>
      </c>
      <c r="F70" s="147">
        <f t="shared" si="6"/>
        <v>2508.5200381774307</v>
      </c>
      <c r="G70" s="147">
        <f t="shared" si="7"/>
        <v>2508.4475056894785</v>
      </c>
      <c r="H70" s="147">
        <f t="shared" si="27"/>
        <v>-7.253248795223044E-2</v>
      </c>
      <c r="I70" t="str">
        <f t="shared" si="9"/>
        <v>No</v>
      </c>
      <c r="J70">
        <f>COUNTIF(I$40:I70,"Yes")</f>
        <v>5</v>
      </c>
      <c r="K70" cm="1">
        <f t="array" ref="K70">INDEX($G$2:$G$7,IF(J70&gt;5,6,J70+1))</f>
        <v>1</v>
      </c>
      <c r="L70" s="147">
        <f t="shared" si="10"/>
        <v>7.253248795223044E-2</v>
      </c>
      <c r="Q70">
        <v>31</v>
      </c>
      <c r="R70" s="147">
        <f t="shared" si="31"/>
        <v>35.760154737272494</v>
      </c>
      <c r="S70" s="147">
        <f t="shared" si="11"/>
        <v>8.3281547372724916</v>
      </c>
      <c r="T70" s="147">
        <f t="shared" si="12"/>
        <v>2508.5200381774307</v>
      </c>
      <c r="U70" s="147">
        <f t="shared" si="13"/>
        <v>2508.4475056894785</v>
      </c>
      <c r="V70" s="147">
        <f t="shared" si="28"/>
        <v>-7.253248795223044E-2</v>
      </c>
      <c r="W70" t="str">
        <f t="shared" si="15"/>
        <v>No</v>
      </c>
      <c r="X70">
        <f>COUNTIF(W$40:W70,"Yes")</f>
        <v>5</v>
      </c>
      <c r="Y70" cm="1">
        <f t="array" ref="Y70">INDEX($G$2:$G$7,IF(X70&gt;5,6,X70+1))</f>
        <v>1</v>
      </c>
      <c r="Z70" s="147">
        <f t="shared" si="16"/>
        <v>7.253248795223044E-2</v>
      </c>
      <c r="AA70" t="str">
        <f t="shared" si="17"/>
        <v>Yes</v>
      </c>
      <c r="AB70">
        <f>COUNTIF(AA$40:AA70,"Yes")</f>
        <v>31</v>
      </c>
      <c r="AC70" cm="1">
        <f t="array" ref="AC70">INDEX($G$2:$G$7,IF(AB70&gt;5,6,AB70+1))</f>
        <v>1</v>
      </c>
      <c r="AD70" s="147">
        <f t="shared" si="18"/>
        <v>7.253248795223044E-2</v>
      </c>
      <c r="AH70">
        <v>31</v>
      </c>
      <c r="AI70" s="147">
        <f t="shared" si="32"/>
        <v>35.760154737272494</v>
      </c>
      <c r="AJ70" s="147">
        <f t="shared" si="19"/>
        <v>8.3281547372724916</v>
      </c>
      <c r="AK70" s="147">
        <f t="shared" si="20"/>
        <v>2508.5200381774307</v>
      </c>
      <c r="AL70" s="147">
        <f t="shared" si="21"/>
        <v>2508.4475056894785</v>
      </c>
      <c r="AM70" s="147">
        <f t="shared" si="29"/>
        <v>-7.253248795223044E-2</v>
      </c>
      <c r="AN70" t="str">
        <f t="shared" si="23"/>
        <v>No</v>
      </c>
      <c r="AO70">
        <f>COUNTIF(AN$40:AN70,"Yes")</f>
        <v>5</v>
      </c>
      <c r="AP70" cm="1">
        <f t="array" ref="AP70">INDEX($G$2:$G$7,IF(AO70&gt;5,6,AO70+1))</f>
        <v>1</v>
      </c>
      <c r="AQ70" s="147">
        <f t="shared" si="24"/>
        <v>7.253248795223044E-2</v>
      </c>
      <c r="AR70" t="str">
        <f t="shared" si="25"/>
        <v>Yes</v>
      </c>
      <c r="AS70">
        <f>COUNTIF(AR$40:AR70,"Yes")</f>
        <v>31</v>
      </c>
      <c r="AT70" cm="1">
        <f t="array" ref="AT70">INDEX($G$2:$G$7,IF(AS70&gt;5,6,AS70+1))</f>
        <v>1</v>
      </c>
      <c r="AU70" s="147">
        <f t="shared" si="26"/>
        <v>7.253248795223044E-2</v>
      </c>
    </row>
    <row r="71" spans="3:47" x14ac:dyDescent="0.3">
      <c r="C71">
        <v>32</v>
      </c>
      <c r="D71" s="147">
        <f t="shared" si="30"/>
        <v>35.760154737272494</v>
      </c>
      <c r="E71" s="147">
        <f t="shared" si="5"/>
        <v>8.3281547372724916</v>
      </c>
      <c r="F71" s="147">
        <f t="shared" si="6"/>
        <v>2508.5200381774307</v>
      </c>
      <c r="G71" s="147">
        <f t="shared" si="7"/>
        <v>2508.4475056894785</v>
      </c>
      <c r="H71" s="147">
        <f t="shared" si="27"/>
        <v>-7.253248795223044E-2</v>
      </c>
      <c r="I71" t="str">
        <f t="shared" si="9"/>
        <v>No</v>
      </c>
      <c r="J71">
        <f>COUNTIF(I$40:I71,"Yes")</f>
        <v>5</v>
      </c>
      <c r="K71" cm="1">
        <f t="array" ref="K71">INDEX($G$2:$G$7,IF(J71&gt;5,6,J71+1))</f>
        <v>1</v>
      </c>
      <c r="L71" s="147">
        <f t="shared" si="10"/>
        <v>7.253248795223044E-2</v>
      </c>
      <c r="Q71">
        <v>32</v>
      </c>
      <c r="R71" s="147">
        <f t="shared" si="31"/>
        <v>35.760154737272494</v>
      </c>
      <c r="S71" s="147">
        <f t="shared" si="11"/>
        <v>8.3281547372724916</v>
      </c>
      <c r="T71" s="147">
        <f t="shared" si="12"/>
        <v>2508.5200381774307</v>
      </c>
      <c r="U71" s="147">
        <f t="shared" si="13"/>
        <v>2508.4475056894785</v>
      </c>
      <c r="V71" s="147">
        <f t="shared" si="28"/>
        <v>-7.253248795223044E-2</v>
      </c>
      <c r="W71" t="str">
        <f t="shared" si="15"/>
        <v>No</v>
      </c>
      <c r="X71">
        <f>COUNTIF(W$40:W71,"Yes")</f>
        <v>5</v>
      </c>
      <c r="Y71" cm="1">
        <f t="array" ref="Y71">INDEX($G$2:$G$7,IF(X71&gt;5,6,X71+1))</f>
        <v>1</v>
      </c>
      <c r="Z71" s="147">
        <f t="shared" si="16"/>
        <v>7.253248795223044E-2</v>
      </c>
      <c r="AA71" t="str">
        <f t="shared" si="17"/>
        <v>Yes</v>
      </c>
      <c r="AB71">
        <f>COUNTIF(AA$40:AA71,"Yes")</f>
        <v>32</v>
      </c>
      <c r="AC71" cm="1">
        <f t="array" ref="AC71">INDEX($G$2:$G$7,IF(AB71&gt;5,6,AB71+1))</f>
        <v>1</v>
      </c>
      <c r="AD71" s="147">
        <f t="shared" si="18"/>
        <v>7.253248795223044E-2</v>
      </c>
      <c r="AH71">
        <v>32</v>
      </c>
      <c r="AI71" s="147">
        <f t="shared" si="32"/>
        <v>35.760154737272494</v>
      </c>
      <c r="AJ71" s="147">
        <f t="shared" si="19"/>
        <v>8.3281547372724916</v>
      </c>
      <c r="AK71" s="147">
        <f t="shared" si="20"/>
        <v>2508.5200381774307</v>
      </c>
      <c r="AL71" s="147">
        <f t="shared" si="21"/>
        <v>2508.4475056894785</v>
      </c>
      <c r="AM71" s="147">
        <f t="shared" si="29"/>
        <v>-7.253248795223044E-2</v>
      </c>
      <c r="AN71" t="str">
        <f t="shared" si="23"/>
        <v>No</v>
      </c>
      <c r="AO71">
        <f>COUNTIF(AN$40:AN71,"Yes")</f>
        <v>5</v>
      </c>
      <c r="AP71" cm="1">
        <f t="array" ref="AP71">INDEX($G$2:$G$7,IF(AO71&gt;5,6,AO71+1))</f>
        <v>1</v>
      </c>
      <c r="AQ71" s="147">
        <f t="shared" si="24"/>
        <v>7.253248795223044E-2</v>
      </c>
      <c r="AR71" t="str">
        <f t="shared" si="25"/>
        <v>Yes</v>
      </c>
      <c r="AS71">
        <f>COUNTIF(AR$40:AR71,"Yes")</f>
        <v>32</v>
      </c>
      <c r="AT71" cm="1">
        <f t="array" ref="AT71">INDEX($G$2:$G$7,IF(AS71&gt;5,6,AS71+1))</f>
        <v>1</v>
      </c>
      <c r="AU71" s="147">
        <f t="shared" si="26"/>
        <v>7.253248795223044E-2</v>
      </c>
    </row>
    <row r="72" spans="3:47" x14ac:dyDescent="0.3">
      <c r="C72">
        <v>33</v>
      </c>
      <c r="D72" s="147">
        <f t="shared" si="30"/>
        <v>35.760154737272494</v>
      </c>
      <c r="E72" s="147">
        <f t="shared" ref="E72:E89" si="33">D72-$B$7</f>
        <v>8.3281547372724916</v>
      </c>
      <c r="F72" s="147">
        <f t="shared" ref="F72:F89" si="34">B$26</f>
        <v>2508.5200381774307</v>
      </c>
      <c r="G72" s="147">
        <f t="shared" ref="G72:G89" si="35">1/3*$B$5*(D72^2 + (D72 - $B$7)^2 + D72 * (D72 - $B$7))</f>
        <v>2508.4475056894785</v>
      </c>
      <c r="H72" s="147">
        <f t="shared" si="27"/>
        <v>-7.253248795223044E-2</v>
      </c>
      <c r="I72" t="str">
        <f t="shared" si="9"/>
        <v>No</v>
      </c>
      <c r="J72">
        <f>COUNTIF(I$40:I72,"Yes")</f>
        <v>5</v>
      </c>
      <c r="K72" cm="1">
        <f t="array" ref="K72">INDEX($G$2:$G$7,IF(J72&gt;5,6,J72+1))</f>
        <v>1</v>
      </c>
      <c r="L72" s="147">
        <f t="shared" ref="L72:L89" si="36">ABS(H72)</f>
        <v>7.253248795223044E-2</v>
      </c>
      <c r="Q72">
        <v>33</v>
      </c>
      <c r="R72" s="147">
        <f t="shared" si="31"/>
        <v>35.760154737272494</v>
      </c>
      <c r="S72" s="147">
        <f t="shared" ref="S72:S89" si="37">R72-$B$7</f>
        <v>8.3281547372724916</v>
      </c>
      <c r="T72" s="147">
        <f t="shared" ref="T72:T89" si="38">P$26</f>
        <v>2508.5200381774307</v>
      </c>
      <c r="U72" s="147">
        <f t="shared" ref="U72:U89" si="39">1/3*$B$5*(R72^2 + (R72 - $B$7)^2 + R72 * (R72 - $B$7))</f>
        <v>2508.4475056894785</v>
      </c>
      <c r="V72" s="147">
        <f t="shared" si="28"/>
        <v>-7.253248795223044E-2</v>
      </c>
      <c r="W72" t="str">
        <f t="shared" si="15"/>
        <v>No</v>
      </c>
      <c r="X72">
        <f>COUNTIF(W$40:W72,"Yes")</f>
        <v>5</v>
      </c>
      <c r="Y72" cm="1">
        <f t="array" ref="Y72">INDEX($G$2:$G$7,IF(X72&gt;5,6,X72+1))</f>
        <v>1</v>
      </c>
      <c r="Z72" s="147">
        <f t="shared" si="16"/>
        <v>7.253248795223044E-2</v>
      </c>
      <c r="AA72" t="str">
        <f t="shared" si="17"/>
        <v>Yes</v>
      </c>
      <c r="AB72">
        <f>COUNTIF(AA$40:AA72,"Yes")</f>
        <v>33</v>
      </c>
      <c r="AC72" cm="1">
        <f t="array" ref="AC72">INDEX($G$2:$G$7,IF(AB72&gt;5,6,AB72+1))</f>
        <v>1</v>
      </c>
      <c r="AD72" s="147">
        <f t="shared" si="18"/>
        <v>7.253248795223044E-2</v>
      </c>
      <c r="AH72">
        <v>33</v>
      </c>
      <c r="AI72" s="147">
        <f t="shared" si="32"/>
        <v>35.760154737272494</v>
      </c>
      <c r="AJ72" s="147">
        <f t="shared" ref="AJ72:AJ89" si="40">AI72-$B$7</f>
        <v>8.3281547372724916</v>
      </c>
      <c r="AK72" s="147">
        <f t="shared" ref="AK72:AK89" si="41">AG$26</f>
        <v>2508.5200381774307</v>
      </c>
      <c r="AL72" s="147">
        <f t="shared" ref="AL72:AL89" si="42">1/3*$B$5*(AI72^2 + (AI72 - $B$7)^2 + AI72 * (AI72 - $B$7))</f>
        <v>2508.4475056894785</v>
      </c>
      <c r="AM72" s="147">
        <f t="shared" si="29"/>
        <v>-7.253248795223044E-2</v>
      </c>
      <c r="AN72" t="str">
        <f t="shared" si="23"/>
        <v>No</v>
      </c>
      <c r="AO72">
        <f>COUNTIF(AN$40:AN72,"Yes")</f>
        <v>5</v>
      </c>
      <c r="AP72" cm="1">
        <f t="array" ref="AP72">INDEX($G$2:$G$7,IF(AO72&gt;5,6,AO72+1))</f>
        <v>1</v>
      </c>
      <c r="AQ72" s="147">
        <f t="shared" si="24"/>
        <v>7.253248795223044E-2</v>
      </c>
      <c r="AR72" t="str">
        <f t="shared" si="25"/>
        <v>Yes</v>
      </c>
      <c r="AS72">
        <f>COUNTIF(AR$40:AR72,"Yes")</f>
        <v>33</v>
      </c>
      <c r="AT72" cm="1">
        <f t="array" ref="AT72">INDEX($G$2:$G$7,IF(AS72&gt;5,6,AS72+1))</f>
        <v>1</v>
      </c>
      <c r="AU72" s="147">
        <f t="shared" si="26"/>
        <v>7.253248795223044E-2</v>
      </c>
    </row>
    <row r="73" spans="3:47" x14ac:dyDescent="0.3">
      <c r="C73">
        <v>34</v>
      </c>
      <c r="D73" s="147">
        <f t="shared" si="30"/>
        <v>35.760154737272494</v>
      </c>
      <c r="E73" s="147">
        <f t="shared" si="33"/>
        <v>8.3281547372724916</v>
      </c>
      <c r="F73" s="147">
        <f t="shared" si="34"/>
        <v>2508.5200381774307</v>
      </c>
      <c r="G73" s="147">
        <f t="shared" si="35"/>
        <v>2508.4475056894785</v>
      </c>
      <c r="H73" s="147">
        <f t="shared" si="27"/>
        <v>-7.253248795223044E-2</v>
      </c>
      <c r="I73" t="str">
        <f t="shared" si="9"/>
        <v>No</v>
      </c>
      <c r="J73">
        <f>COUNTIF(I$40:I73,"Yes")</f>
        <v>5</v>
      </c>
      <c r="K73" cm="1">
        <f t="array" ref="K73">INDEX($G$2:$G$7,IF(J73&gt;5,6,J73+1))</f>
        <v>1</v>
      </c>
      <c r="L73" s="147">
        <f t="shared" si="36"/>
        <v>7.253248795223044E-2</v>
      </c>
      <c r="Q73">
        <v>34</v>
      </c>
      <c r="R73" s="147">
        <f t="shared" si="31"/>
        <v>35.760154737272494</v>
      </c>
      <c r="S73" s="147">
        <f t="shared" si="37"/>
        <v>8.3281547372724916</v>
      </c>
      <c r="T73" s="147">
        <f t="shared" si="38"/>
        <v>2508.5200381774307</v>
      </c>
      <c r="U73" s="147">
        <f t="shared" si="39"/>
        <v>2508.4475056894785</v>
      </c>
      <c r="V73" s="147">
        <f t="shared" si="28"/>
        <v>-7.253248795223044E-2</v>
      </c>
      <c r="W73" t="str">
        <f t="shared" si="15"/>
        <v>No</v>
      </c>
      <c r="X73">
        <f>COUNTIF(W$40:W73,"Yes")</f>
        <v>5</v>
      </c>
      <c r="Y73" cm="1">
        <f t="array" ref="Y73">INDEX($G$2:$G$7,IF(X73&gt;5,6,X73+1))</f>
        <v>1</v>
      </c>
      <c r="Z73" s="147">
        <f t="shared" si="16"/>
        <v>7.253248795223044E-2</v>
      </c>
      <c r="AA73" t="str">
        <f t="shared" si="17"/>
        <v>Yes</v>
      </c>
      <c r="AB73">
        <f>COUNTIF(AA$40:AA73,"Yes")</f>
        <v>34</v>
      </c>
      <c r="AC73" cm="1">
        <f t="array" ref="AC73">INDEX($G$2:$G$7,IF(AB73&gt;5,6,AB73+1))</f>
        <v>1</v>
      </c>
      <c r="AD73" s="147">
        <f t="shared" si="18"/>
        <v>7.253248795223044E-2</v>
      </c>
      <c r="AH73">
        <v>34</v>
      </c>
      <c r="AI73" s="147">
        <f t="shared" si="32"/>
        <v>35.760154737272494</v>
      </c>
      <c r="AJ73" s="147">
        <f t="shared" si="40"/>
        <v>8.3281547372724916</v>
      </c>
      <c r="AK73" s="147">
        <f t="shared" si="41"/>
        <v>2508.5200381774307</v>
      </c>
      <c r="AL73" s="147">
        <f t="shared" si="42"/>
        <v>2508.4475056894785</v>
      </c>
      <c r="AM73" s="147">
        <f t="shared" si="29"/>
        <v>-7.253248795223044E-2</v>
      </c>
      <c r="AN73" t="str">
        <f t="shared" si="23"/>
        <v>No</v>
      </c>
      <c r="AO73">
        <f>COUNTIF(AN$40:AN73,"Yes")</f>
        <v>5</v>
      </c>
      <c r="AP73" cm="1">
        <f t="array" ref="AP73">INDEX($G$2:$G$7,IF(AO73&gt;5,6,AO73+1))</f>
        <v>1</v>
      </c>
      <c r="AQ73" s="147">
        <f t="shared" si="24"/>
        <v>7.253248795223044E-2</v>
      </c>
      <c r="AR73" t="str">
        <f t="shared" si="25"/>
        <v>Yes</v>
      </c>
      <c r="AS73">
        <f>COUNTIF(AR$40:AR73,"Yes")</f>
        <v>34</v>
      </c>
      <c r="AT73" cm="1">
        <f t="array" ref="AT73">INDEX($G$2:$G$7,IF(AS73&gt;5,6,AS73+1))</f>
        <v>1</v>
      </c>
      <c r="AU73" s="147">
        <f t="shared" si="26"/>
        <v>7.253248795223044E-2</v>
      </c>
    </row>
    <row r="74" spans="3:47" x14ac:dyDescent="0.3">
      <c r="C74">
        <v>35</v>
      </c>
      <c r="D74" s="147">
        <f t="shared" si="30"/>
        <v>35.760154737272494</v>
      </c>
      <c r="E74" s="147">
        <f t="shared" si="33"/>
        <v>8.3281547372724916</v>
      </c>
      <c r="F74" s="147">
        <f t="shared" si="34"/>
        <v>2508.5200381774307</v>
      </c>
      <c r="G74" s="147">
        <f t="shared" si="35"/>
        <v>2508.4475056894785</v>
      </c>
      <c r="H74" s="147">
        <f t="shared" si="27"/>
        <v>-7.253248795223044E-2</v>
      </c>
      <c r="I74" t="str">
        <f t="shared" si="9"/>
        <v>No</v>
      </c>
      <c r="J74">
        <f>COUNTIF(I$40:I74,"Yes")</f>
        <v>5</v>
      </c>
      <c r="K74" cm="1">
        <f t="array" ref="K74">INDEX($G$2:$G$7,IF(J74&gt;5,6,J74+1))</f>
        <v>1</v>
      </c>
      <c r="L74" s="147">
        <f t="shared" si="36"/>
        <v>7.253248795223044E-2</v>
      </c>
      <c r="Q74">
        <v>35</v>
      </c>
      <c r="R74" s="147">
        <f t="shared" si="31"/>
        <v>35.760154737272494</v>
      </c>
      <c r="S74" s="147">
        <f t="shared" si="37"/>
        <v>8.3281547372724916</v>
      </c>
      <c r="T74" s="147">
        <f t="shared" si="38"/>
        <v>2508.5200381774307</v>
      </c>
      <c r="U74" s="147">
        <f t="shared" si="39"/>
        <v>2508.4475056894785</v>
      </c>
      <c r="V74" s="147">
        <f t="shared" si="28"/>
        <v>-7.253248795223044E-2</v>
      </c>
      <c r="W74" t="str">
        <f t="shared" si="15"/>
        <v>No</v>
      </c>
      <c r="X74">
        <f>COUNTIF(W$40:W74,"Yes")</f>
        <v>5</v>
      </c>
      <c r="Y74" cm="1">
        <f t="array" ref="Y74">INDEX($G$2:$G$7,IF(X74&gt;5,6,X74+1))</f>
        <v>1</v>
      </c>
      <c r="Z74" s="147">
        <f t="shared" si="16"/>
        <v>7.253248795223044E-2</v>
      </c>
      <c r="AA74" t="str">
        <f t="shared" si="17"/>
        <v>Yes</v>
      </c>
      <c r="AB74">
        <f>COUNTIF(AA$40:AA74,"Yes")</f>
        <v>35</v>
      </c>
      <c r="AC74" cm="1">
        <f t="array" ref="AC74">INDEX($G$2:$G$7,IF(AB74&gt;5,6,AB74+1))</f>
        <v>1</v>
      </c>
      <c r="AD74" s="147">
        <f t="shared" si="18"/>
        <v>7.253248795223044E-2</v>
      </c>
      <c r="AH74">
        <v>35</v>
      </c>
      <c r="AI74" s="147">
        <f t="shared" si="32"/>
        <v>35.760154737272494</v>
      </c>
      <c r="AJ74" s="147">
        <f t="shared" si="40"/>
        <v>8.3281547372724916</v>
      </c>
      <c r="AK74" s="147">
        <f t="shared" si="41"/>
        <v>2508.5200381774307</v>
      </c>
      <c r="AL74" s="147">
        <f t="shared" si="42"/>
        <v>2508.4475056894785</v>
      </c>
      <c r="AM74" s="147">
        <f t="shared" si="29"/>
        <v>-7.253248795223044E-2</v>
      </c>
      <c r="AN74" t="str">
        <f t="shared" si="23"/>
        <v>No</v>
      </c>
      <c r="AO74">
        <f>COUNTIF(AN$40:AN74,"Yes")</f>
        <v>5</v>
      </c>
      <c r="AP74" cm="1">
        <f t="array" ref="AP74">INDEX($G$2:$G$7,IF(AO74&gt;5,6,AO74+1))</f>
        <v>1</v>
      </c>
      <c r="AQ74" s="147">
        <f t="shared" si="24"/>
        <v>7.253248795223044E-2</v>
      </c>
      <c r="AR74" t="str">
        <f t="shared" si="25"/>
        <v>Yes</v>
      </c>
      <c r="AS74">
        <f>COUNTIF(AR$40:AR74,"Yes")</f>
        <v>35</v>
      </c>
      <c r="AT74" cm="1">
        <f t="array" ref="AT74">INDEX($G$2:$G$7,IF(AS74&gt;5,6,AS74+1))</f>
        <v>1</v>
      </c>
      <c r="AU74" s="147">
        <f t="shared" si="26"/>
        <v>7.253248795223044E-2</v>
      </c>
    </row>
    <row r="75" spans="3:47" x14ac:dyDescent="0.3">
      <c r="C75">
        <v>36</v>
      </c>
      <c r="D75" s="147">
        <f t="shared" si="30"/>
        <v>35.760154737272494</v>
      </c>
      <c r="E75" s="147">
        <f t="shared" si="33"/>
        <v>8.3281547372724916</v>
      </c>
      <c r="F75" s="147">
        <f t="shared" si="34"/>
        <v>2508.5200381774307</v>
      </c>
      <c r="G75" s="147">
        <f t="shared" si="35"/>
        <v>2508.4475056894785</v>
      </c>
      <c r="H75" s="147">
        <f t="shared" si="27"/>
        <v>-7.253248795223044E-2</v>
      </c>
      <c r="I75" t="str">
        <f t="shared" si="9"/>
        <v>No</v>
      </c>
      <c r="J75">
        <f>COUNTIF(I$40:I75,"Yes")</f>
        <v>5</v>
      </c>
      <c r="K75" cm="1">
        <f t="array" ref="K75">INDEX($G$2:$G$7,IF(J75&gt;5,6,J75+1))</f>
        <v>1</v>
      </c>
      <c r="L75" s="147">
        <f t="shared" si="36"/>
        <v>7.253248795223044E-2</v>
      </c>
      <c r="Q75">
        <v>36</v>
      </c>
      <c r="R75" s="147">
        <f t="shared" si="31"/>
        <v>35.760154737272494</v>
      </c>
      <c r="S75" s="147">
        <f t="shared" si="37"/>
        <v>8.3281547372724916</v>
      </c>
      <c r="T75" s="147">
        <f t="shared" si="38"/>
        <v>2508.5200381774307</v>
      </c>
      <c r="U75" s="147">
        <f t="shared" si="39"/>
        <v>2508.4475056894785</v>
      </c>
      <c r="V75" s="147">
        <f t="shared" si="28"/>
        <v>-7.253248795223044E-2</v>
      </c>
      <c r="W75" t="str">
        <f t="shared" si="15"/>
        <v>No</v>
      </c>
      <c r="X75">
        <f>COUNTIF(W$40:W75,"Yes")</f>
        <v>5</v>
      </c>
      <c r="Y75" cm="1">
        <f t="array" ref="Y75">INDEX($G$2:$G$7,IF(X75&gt;5,6,X75+1))</f>
        <v>1</v>
      </c>
      <c r="Z75" s="147">
        <f t="shared" si="16"/>
        <v>7.253248795223044E-2</v>
      </c>
      <c r="AA75" t="str">
        <f t="shared" si="17"/>
        <v>Yes</v>
      </c>
      <c r="AB75">
        <f>COUNTIF(AA$40:AA75,"Yes")</f>
        <v>36</v>
      </c>
      <c r="AC75" cm="1">
        <f t="array" ref="AC75">INDEX($G$2:$G$7,IF(AB75&gt;5,6,AB75+1))</f>
        <v>1</v>
      </c>
      <c r="AD75" s="147">
        <f t="shared" si="18"/>
        <v>7.253248795223044E-2</v>
      </c>
      <c r="AH75">
        <v>36</v>
      </c>
      <c r="AI75" s="147">
        <f t="shared" si="32"/>
        <v>35.760154737272494</v>
      </c>
      <c r="AJ75" s="147">
        <f t="shared" si="40"/>
        <v>8.3281547372724916</v>
      </c>
      <c r="AK75" s="147">
        <f t="shared" si="41"/>
        <v>2508.5200381774307</v>
      </c>
      <c r="AL75" s="147">
        <f t="shared" si="42"/>
        <v>2508.4475056894785</v>
      </c>
      <c r="AM75" s="147">
        <f t="shared" si="29"/>
        <v>-7.253248795223044E-2</v>
      </c>
      <c r="AN75" t="str">
        <f t="shared" si="23"/>
        <v>No</v>
      </c>
      <c r="AO75">
        <f>COUNTIF(AN$40:AN75,"Yes")</f>
        <v>5</v>
      </c>
      <c r="AP75" cm="1">
        <f t="array" ref="AP75">INDEX($G$2:$G$7,IF(AO75&gt;5,6,AO75+1))</f>
        <v>1</v>
      </c>
      <c r="AQ75" s="147">
        <f t="shared" si="24"/>
        <v>7.253248795223044E-2</v>
      </c>
      <c r="AR75" t="str">
        <f t="shared" si="25"/>
        <v>Yes</v>
      </c>
      <c r="AS75">
        <f>COUNTIF(AR$40:AR75,"Yes")</f>
        <v>36</v>
      </c>
      <c r="AT75" cm="1">
        <f t="array" ref="AT75">INDEX($G$2:$G$7,IF(AS75&gt;5,6,AS75+1))</f>
        <v>1</v>
      </c>
      <c r="AU75" s="147">
        <f t="shared" si="26"/>
        <v>7.253248795223044E-2</v>
      </c>
    </row>
    <row r="76" spans="3:47" x14ac:dyDescent="0.3">
      <c r="C76">
        <v>37</v>
      </c>
      <c r="D76" s="147">
        <f t="shared" si="30"/>
        <v>35.760154737272494</v>
      </c>
      <c r="E76" s="147">
        <f t="shared" si="33"/>
        <v>8.3281547372724916</v>
      </c>
      <c r="F76" s="147">
        <f t="shared" si="34"/>
        <v>2508.5200381774307</v>
      </c>
      <c r="G76" s="147">
        <f t="shared" si="35"/>
        <v>2508.4475056894785</v>
      </c>
      <c r="H76" s="147">
        <f t="shared" si="27"/>
        <v>-7.253248795223044E-2</v>
      </c>
      <c r="I76" t="str">
        <f t="shared" si="9"/>
        <v>No</v>
      </c>
      <c r="J76">
        <f>COUNTIF(I$40:I76,"Yes")</f>
        <v>5</v>
      </c>
      <c r="K76" cm="1">
        <f t="array" ref="K76">INDEX($G$2:$G$7,IF(J76&gt;5,6,J76+1))</f>
        <v>1</v>
      </c>
      <c r="L76" s="147">
        <f t="shared" si="36"/>
        <v>7.253248795223044E-2</v>
      </c>
      <c r="Q76">
        <v>37</v>
      </c>
      <c r="R76" s="147">
        <f t="shared" si="31"/>
        <v>35.760154737272494</v>
      </c>
      <c r="S76" s="147">
        <f t="shared" si="37"/>
        <v>8.3281547372724916</v>
      </c>
      <c r="T76" s="147">
        <f t="shared" si="38"/>
        <v>2508.5200381774307</v>
      </c>
      <c r="U76" s="147">
        <f t="shared" si="39"/>
        <v>2508.4475056894785</v>
      </c>
      <c r="V76" s="147">
        <f t="shared" si="28"/>
        <v>-7.253248795223044E-2</v>
      </c>
      <c r="W76" t="str">
        <f t="shared" si="15"/>
        <v>No</v>
      </c>
      <c r="X76">
        <f>COUNTIF(W$40:W76,"Yes")</f>
        <v>5</v>
      </c>
      <c r="Y76" cm="1">
        <f t="array" ref="Y76">INDEX($G$2:$G$7,IF(X76&gt;5,6,X76+1))</f>
        <v>1</v>
      </c>
      <c r="Z76" s="147">
        <f t="shared" si="16"/>
        <v>7.253248795223044E-2</v>
      </c>
      <c r="AA76" t="str">
        <f t="shared" si="17"/>
        <v>Yes</v>
      </c>
      <c r="AB76">
        <f>COUNTIF(AA$40:AA76,"Yes")</f>
        <v>37</v>
      </c>
      <c r="AC76" cm="1">
        <f t="array" ref="AC76">INDEX($G$2:$G$7,IF(AB76&gt;5,6,AB76+1))</f>
        <v>1</v>
      </c>
      <c r="AD76" s="147">
        <f t="shared" si="18"/>
        <v>7.253248795223044E-2</v>
      </c>
      <c r="AH76">
        <v>37</v>
      </c>
      <c r="AI76" s="147">
        <f t="shared" si="32"/>
        <v>35.760154737272494</v>
      </c>
      <c r="AJ76" s="147">
        <f t="shared" si="40"/>
        <v>8.3281547372724916</v>
      </c>
      <c r="AK76" s="147">
        <f t="shared" si="41"/>
        <v>2508.5200381774307</v>
      </c>
      <c r="AL76" s="147">
        <f t="shared" si="42"/>
        <v>2508.4475056894785</v>
      </c>
      <c r="AM76" s="147">
        <f t="shared" si="29"/>
        <v>-7.253248795223044E-2</v>
      </c>
      <c r="AN76" t="str">
        <f t="shared" si="23"/>
        <v>No</v>
      </c>
      <c r="AO76">
        <f>COUNTIF(AN$40:AN76,"Yes")</f>
        <v>5</v>
      </c>
      <c r="AP76" cm="1">
        <f t="array" ref="AP76">INDEX($G$2:$G$7,IF(AO76&gt;5,6,AO76+1))</f>
        <v>1</v>
      </c>
      <c r="AQ76" s="147">
        <f t="shared" si="24"/>
        <v>7.253248795223044E-2</v>
      </c>
      <c r="AR76" t="str">
        <f t="shared" si="25"/>
        <v>Yes</v>
      </c>
      <c r="AS76">
        <f>COUNTIF(AR$40:AR76,"Yes")</f>
        <v>37</v>
      </c>
      <c r="AT76" cm="1">
        <f t="array" ref="AT76">INDEX($G$2:$G$7,IF(AS76&gt;5,6,AS76+1))</f>
        <v>1</v>
      </c>
      <c r="AU76" s="147">
        <f t="shared" si="26"/>
        <v>7.253248795223044E-2</v>
      </c>
    </row>
    <row r="77" spans="3:47" x14ac:dyDescent="0.3">
      <c r="C77">
        <v>38</v>
      </c>
      <c r="D77" s="147">
        <f t="shared" si="30"/>
        <v>35.760154737272494</v>
      </c>
      <c r="E77" s="147">
        <f t="shared" si="33"/>
        <v>8.3281547372724916</v>
      </c>
      <c r="F77" s="147">
        <f t="shared" si="34"/>
        <v>2508.5200381774307</v>
      </c>
      <c r="G77" s="147">
        <f t="shared" si="35"/>
        <v>2508.4475056894785</v>
      </c>
      <c r="H77" s="147">
        <f t="shared" si="27"/>
        <v>-7.253248795223044E-2</v>
      </c>
      <c r="I77" t="str">
        <f t="shared" si="9"/>
        <v>No</v>
      </c>
      <c r="J77">
        <f>COUNTIF(I$40:I77,"Yes")</f>
        <v>5</v>
      </c>
      <c r="K77" cm="1">
        <f t="array" ref="K77">INDEX($G$2:$G$7,IF(J77&gt;5,6,J77+1))</f>
        <v>1</v>
      </c>
      <c r="L77" s="147">
        <f t="shared" si="36"/>
        <v>7.253248795223044E-2</v>
      </c>
      <c r="Q77">
        <v>38</v>
      </c>
      <c r="R77" s="147">
        <f t="shared" si="31"/>
        <v>35.760154737272494</v>
      </c>
      <c r="S77" s="147">
        <f t="shared" si="37"/>
        <v>8.3281547372724916</v>
      </c>
      <c r="T77" s="147">
        <f t="shared" si="38"/>
        <v>2508.5200381774307</v>
      </c>
      <c r="U77" s="147">
        <f t="shared" si="39"/>
        <v>2508.4475056894785</v>
      </c>
      <c r="V77" s="147">
        <f t="shared" si="28"/>
        <v>-7.253248795223044E-2</v>
      </c>
      <c r="W77" t="str">
        <f t="shared" si="15"/>
        <v>No</v>
      </c>
      <c r="X77">
        <f>COUNTIF(W$40:W77,"Yes")</f>
        <v>5</v>
      </c>
      <c r="Y77" cm="1">
        <f t="array" ref="Y77">INDEX($G$2:$G$7,IF(X77&gt;5,6,X77+1))</f>
        <v>1</v>
      </c>
      <c r="Z77" s="147">
        <f t="shared" si="16"/>
        <v>7.253248795223044E-2</v>
      </c>
      <c r="AA77" t="str">
        <f t="shared" si="17"/>
        <v>Yes</v>
      </c>
      <c r="AB77">
        <f>COUNTIF(AA$40:AA77,"Yes")</f>
        <v>38</v>
      </c>
      <c r="AC77" cm="1">
        <f t="array" ref="AC77">INDEX($G$2:$G$7,IF(AB77&gt;5,6,AB77+1))</f>
        <v>1</v>
      </c>
      <c r="AD77" s="147">
        <f t="shared" si="18"/>
        <v>7.253248795223044E-2</v>
      </c>
      <c r="AH77">
        <v>38</v>
      </c>
      <c r="AI77" s="147">
        <f t="shared" si="32"/>
        <v>35.760154737272494</v>
      </c>
      <c r="AJ77" s="147">
        <f t="shared" si="40"/>
        <v>8.3281547372724916</v>
      </c>
      <c r="AK77" s="147">
        <f t="shared" si="41"/>
        <v>2508.5200381774307</v>
      </c>
      <c r="AL77" s="147">
        <f t="shared" si="42"/>
        <v>2508.4475056894785</v>
      </c>
      <c r="AM77" s="147">
        <f t="shared" si="29"/>
        <v>-7.253248795223044E-2</v>
      </c>
      <c r="AN77" t="str">
        <f t="shared" si="23"/>
        <v>No</v>
      </c>
      <c r="AO77">
        <f>COUNTIF(AN$40:AN77,"Yes")</f>
        <v>5</v>
      </c>
      <c r="AP77" cm="1">
        <f t="array" ref="AP77">INDEX($G$2:$G$7,IF(AO77&gt;5,6,AO77+1))</f>
        <v>1</v>
      </c>
      <c r="AQ77" s="147">
        <f t="shared" si="24"/>
        <v>7.253248795223044E-2</v>
      </c>
      <c r="AR77" t="str">
        <f t="shared" si="25"/>
        <v>Yes</v>
      </c>
      <c r="AS77">
        <f>COUNTIF(AR$40:AR77,"Yes")</f>
        <v>38</v>
      </c>
      <c r="AT77" cm="1">
        <f t="array" ref="AT77">INDEX($G$2:$G$7,IF(AS77&gt;5,6,AS77+1))</f>
        <v>1</v>
      </c>
      <c r="AU77" s="147">
        <f t="shared" si="26"/>
        <v>7.253248795223044E-2</v>
      </c>
    </row>
    <row r="78" spans="3:47" x14ac:dyDescent="0.3">
      <c r="C78">
        <v>39</v>
      </c>
      <c r="D78" s="147">
        <f t="shared" si="30"/>
        <v>35.760154737272494</v>
      </c>
      <c r="E78" s="147">
        <f t="shared" si="33"/>
        <v>8.3281547372724916</v>
      </c>
      <c r="F78" s="147">
        <f t="shared" si="34"/>
        <v>2508.5200381774307</v>
      </c>
      <c r="G78" s="147">
        <f t="shared" si="35"/>
        <v>2508.4475056894785</v>
      </c>
      <c r="H78" s="147">
        <f t="shared" si="27"/>
        <v>-7.253248795223044E-2</v>
      </c>
      <c r="I78" t="str">
        <f t="shared" si="9"/>
        <v>No</v>
      </c>
      <c r="J78">
        <f>COUNTIF(I$40:I78,"Yes")</f>
        <v>5</v>
      </c>
      <c r="K78" cm="1">
        <f t="array" ref="K78">INDEX($G$2:$G$7,IF(J78&gt;5,6,J78+1))</f>
        <v>1</v>
      </c>
      <c r="L78" s="147">
        <f t="shared" si="36"/>
        <v>7.253248795223044E-2</v>
      </c>
      <c r="Q78">
        <v>39</v>
      </c>
      <c r="R78" s="147">
        <f t="shared" si="31"/>
        <v>35.760154737272494</v>
      </c>
      <c r="S78" s="147">
        <f t="shared" si="37"/>
        <v>8.3281547372724916</v>
      </c>
      <c r="T78" s="147">
        <f t="shared" si="38"/>
        <v>2508.5200381774307</v>
      </c>
      <c r="U78" s="147">
        <f t="shared" si="39"/>
        <v>2508.4475056894785</v>
      </c>
      <c r="V78" s="147">
        <f t="shared" si="28"/>
        <v>-7.253248795223044E-2</v>
      </c>
      <c r="W78" t="str">
        <f t="shared" si="15"/>
        <v>No</v>
      </c>
      <c r="X78">
        <f>COUNTIF(W$40:W78,"Yes")</f>
        <v>5</v>
      </c>
      <c r="Y78" cm="1">
        <f t="array" ref="Y78">INDEX($G$2:$G$7,IF(X78&gt;5,6,X78+1))</f>
        <v>1</v>
      </c>
      <c r="Z78" s="147">
        <f t="shared" si="16"/>
        <v>7.253248795223044E-2</v>
      </c>
      <c r="AA78" t="str">
        <f t="shared" si="17"/>
        <v>Yes</v>
      </c>
      <c r="AB78">
        <f>COUNTIF(AA$40:AA78,"Yes")</f>
        <v>39</v>
      </c>
      <c r="AC78" cm="1">
        <f t="array" ref="AC78">INDEX($G$2:$G$7,IF(AB78&gt;5,6,AB78+1))</f>
        <v>1</v>
      </c>
      <c r="AD78" s="147">
        <f t="shared" si="18"/>
        <v>7.253248795223044E-2</v>
      </c>
      <c r="AH78">
        <v>39</v>
      </c>
      <c r="AI78" s="147">
        <f t="shared" si="32"/>
        <v>35.760154737272494</v>
      </c>
      <c r="AJ78" s="147">
        <f t="shared" si="40"/>
        <v>8.3281547372724916</v>
      </c>
      <c r="AK78" s="147">
        <f t="shared" si="41"/>
        <v>2508.5200381774307</v>
      </c>
      <c r="AL78" s="147">
        <f t="shared" si="42"/>
        <v>2508.4475056894785</v>
      </c>
      <c r="AM78" s="147">
        <f t="shared" si="29"/>
        <v>-7.253248795223044E-2</v>
      </c>
      <c r="AN78" t="str">
        <f t="shared" si="23"/>
        <v>No</v>
      </c>
      <c r="AO78">
        <f>COUNTIF(AN$40:AN78,"Yes")</f>
        <v>5</v>
      </c>
      <c r="AP78" cm="1">
        <f t="array" ref="AP78">INDEX($G$2:$G$7,IF(AO78&gt;5,6,AO78+1))</f>
        <v>1</v>
      </c>
      <c r="AQ78" s="147">
        <f t="shared" si="24"/>
        <v>7.253248795223044E-2</v>
      </c>
      <c r="AR78" t="str">
        <f t="shared" si="25"/>
        <v>Yes</v>
      </c>
      <c r="AS78">
        <f>COUNTIF(AR$40:AR78,"Yes")</f>
        <v>39</v>
      </c>
      <c r="AT78" cm="1">
        <f t="array" ref="AT78">INDEX($G$2:$G$7,IF(AS78&gt;5,6,AS78+1))</f>
        <v>1</v>
      </c>
      <c r="AU78" s="147">
        <f t="shared" si="26"/>
        <v>7.253248795223044E-2</v>
      </c>
    </row>
    <row r="79" spans="3:47" x14ac:dyDescent="0.3">
      <c r="C79">
        <v>40</v>
      </c>
      <c r="D79" s="147">
        <f t="shared" si="30"/>
        <v>35.760154737272494</v>
      </c>
      <c r="E79" s="147">
        <f t="shared" si="33"/>
        <v>8.3281547372724916</v>
      </c>
      <c r="F79" s="147">
        <f t="shared" si="34"/>
        <v>2508.5200381774307</v>
      </c>
      <c r="G79" s="147">
        <f t="shared" si="35"/>
        <v>2508.4475056894785</v>
      </c>
      <c r="H79" s="147">
        <f t="shared" si="27"/>
        <v>-7.253248795223044E-2</v>
      </c>
      <c r="I79" t="str">
        <f t="shared" si="9"/>
        <v>No</v>
      </c>
      <c r="J79">
        <f>COUNTIF(I$40:I79,"Yes")</f>
        <v>5</v>
      </c>
      <c r="K79" cm="1">
        <f t="array" ref="K79">INDEX($G$2:$G$7,IF(J79&gt;5,6,J79+1))</f>
        <v>1</v>
      </c>
      <c r="L79" s="147">
        <f t="shared" si="36"/>
        <v>7.253248795223044E-2</v>
      </c>
      <c r="Q79">
        <v>40</v>
      </c>
      <c r="R79" s="147">
        <f t="shared" si="31"/>
        <v>35.760154737272494</v>
      </c>
      <c r="S79" s="147">
        <f t="shared" si="37"/>
        <v>8.3281547372724916</v>
      </c>
      <c r="T79" s="147">
        <f t="shared" si="38"/>
        <v>2508.5200381774307</v>
      </c>
      <c r="U79" s="147">
        <f t="shared" si="39"/>
        <v>2508.4475056894785</v>
      </c>
      <c r="V79" s="147">
        <f t="shared" si="28"/>
        <v>-7.253248795223044E-2</v>
      </c>
      <c r="W79" t="str">
        <f t="shared" si="15"/>
        <v>No</v>
      </c>
      <c r="X79">
        <f>COUNTIF(W$40:W79,"Yes")</f>
        <v>5</v>
      </c>
      <c r="Y79" cm="1">
        <f t="array" ref="Y79">INDEX($G$2:$G$7,IF(X79&gt;5,6,X79+1))</f>
        <v>1</v>
      </c>
      <c r="Z79" s="147">
        <f t="shared" si="16"/>
        <v>7.253248795223044E-2</v>
      </c>
      <c r="AA79" t="str">
        <f t="shared" si="17"/>
        <v>Yes</v>
      </c>
      <c r="AB79">
        <f>COUNTIF(AA$40:AA79,"Yes")</f>
        <v>40</v>
      </c>
      <c r="AC79" cm="1">
        <f t="array" ref="AC79">INDEX($G$2:$G$7,IF(AB79&gt;5,6,AB79+1))</f>
        <v>1</v>
      </c>
      <c r="AD79" s="147">
        <f t="shared" si="18"/>
        <v>7.253248795223044E-2</v>
      </c>
      <c r="AH79">
        <v>40</v>
      </c>
      <c r="AI79" s="147">
        <f t="shared" si="32"/>
        <v>35.760154737272494</v>
      </c>
      <c r="AJ79" s="147">
        <f t="shared" si="40"/>
        <v>8.3281547372724916</v>
      </c>
      <c r="AK79" s="147">
        <f t="shared" si="41"/>
        <v>2508.5200381774307</v>
      </c>
      <c r="AL79" s="147">
        <f t="shared" si="42"/>
        <v>2508.4475056894785</v>
      </c>
      <c r="AM79" s="147">
        <f t="shared" si="29"/>
        <v>-7.253248795223044E-2</v>
      </c>
      <c r="AN79" t="str">
        <f t="shared" si="23"/>
        <v>No</v>
      </c>
      <c r="AO79">
        <f>COUNTIF(AN$40:AN79,"Yes")</f>
        <v>5</v>
      </c>
      <c r="AP79" cm="1">
        <f t="array" ref="AP79">INDEX($G$2:$G$7,IF(AO79&gt;5,6,AO79+1))</f>
        <v>1</v>
      </c>
      <c r="AQ79" s="147">
        <f t="shared" si="24"/>
        <v>7.253248795223044E-2</v>
      </c>
      <c r="AR79" t="str">
        <f t="shared" si="25"/>
        <v>Yes</v>
      </c>
      <c r="AS79">
        <f>COUNTIF(AR$40:AR79,"Yes")</f>
        <v>40</v>
      </c>
      <c r="AT79" cm="1">
        <f t="array" ref="AT79">INDEX($G$2:$G$7,IF(AS79&gt;5,6,AS79+1))</f>
        <v>1</v>
      </c>
      <c r="AU79" s="147">
        <f t="shared" si="26"/>
        <v>7.253248795223044E-2</v>
      </c>
    </row>
    <row r="80" spans="3:47" x14ac:dyDescent="0.3">
      <c r="C80">
        <v>41</v>
      </c>
      <c r="D80" s="147">
        <f t="shared" si="30"/>
        <v>35.760154737272494</v>
      </c>
      <c r="E80" s="147">
        <f t="shared" si="33"/>
        <v>8.3281547372724916</v>
      </c>
      <c r="F80" s="147">
        <f t="shared" si="34"/>
        <v>2508.5200381774307</v>
      </c>
      <c r="G80" s="147">
        <f t="shared" si="35"/>
        <v>2508.4475056894785</v>
      </c>
      <c r="H80" s="147">
        <f t="shared" si="27"/>
        <v>-7.253248795223044E-2</v>
      </c>
      <c r="I80" t="str">
        <f t="shared" si="9"/>
        <v>No</v>
      </c>
      <c r="J80">
        <f>COUNTIF(I$40:I80,"Yes")</f>
        <v>5</v>
      </c>
      <c r="K80" cm="1">
        <f t="array" ref="K80">INDEX($G$2:$G$7,IF(J80&gt;5,6,J80+1))</f>
        <v>1</v>
      </c>
      <c r="L80" s="147">
        <f t="shared" si="36"/>
        <v>7.253248795223044E-2</v>
      </c>
      <c r="Q80">
        <v>41</v>
      </c>
      <c r="R80" s="147">
        <f t="shared" si="31"/>
        <v>35.760154737272494</v>
      </c>
      <c r="S80" s="147">
        <f t="shared" si="37"/>
        <v>8.3281547372724916</v>
      </c>
      <c r="T80" s="147">
        <f t="shared" si="38"/>
        <v>2508.5200381774307</v>
      </c>
      <c r="U80" s="147">
        <f t="shared" si="39"/>
        <v>2508.4475056894785</v>
      </c>
      <c r="V80" s="147">
        <f t="shared" si="28"/>
        <v>-7.253248795223044E-2</v>
      </c>
      <c r="W80" t="str">
        <f t="shared" si="15"/>
        <v>No</v>
      </c>
      <c r="X80">
        <f>COUNTIF(W$40:W80,"Yes")</f>
        <v>5</v>
      </c>
      <c r="Y80" cm="1">
        <f t="array" ref="Y80">INDEX($G$2:$G$7,IF(X80&gt;5,6,X80+1))</f>
        <v>1</v>
      </c>
      <c r="Z80" s="147">
        <f t="shared" si="16"/>
        <v>7.253248795223044E-2</v>
      </c>
      <c r="AA80" t="str">
        <f t="shared" si="17"/>
        <v>Yes</v>
      </c>
      <c r="AB80">
        <f>COUNTIF(AA$40:AA80,"Yes")</f>
        <v>41</v>
      </c>
      <c r="AC80" cm="1">
        <f t="array" ref="AC80">INDEX($G$2:$G$7,IF(AB80&gt;5,6,AB80+1))</f>
        <v>1</v>
      </c>
      <c r="AD80" s="147">
        <f t="shared" si="18"/>
        <v>7.253248795223044E-2</v>
      </c>
      <c r="AH80">
        <v>41</v>
      </c>
      <c r="AI80" s="147">
        <f t="shared" si="32"/>
        <v>35.760154737272494</v>
      </c>
      <c r="AJ80" s="147">
        <f t="shared" si="40"/>
        <v>8.3281547372724916</v>
      </c>
      <c r="AK80" s="147">
        <f t="shared" si="41"/>
        <v>2508.5200381774307</v>
      </c>
      <c r="AL80" s="147">
        <f t="shared" si="42"/>
        <v>2508.4475056894785</v>
      </c>
      <c r="AM80" s="147">
        <f t="shared" si="29"/>
        <v>-7.253248795223044E-2</v>
      </c>
      <c r="AN80" t="str">
        <f t="shared" si="23"/>
        <v>No</v>
      </c>
      <c r="AO80">
        <f>COUNTIF(AN$40:AN80,"Yes")</f>
        <v>5</v>
      </c>
      <c r="AP80" cm="1">
        <f t="array" ref="AP80">INDEX($G$2:$G$7,IF(AO80&gt;5,6,AO80+1))</f>
        <v>1</v>
      </c>
      <c r="AQ80" s="147">
        <f t="shared" si="24"/>
        <v>7.253248795223044E-2</v>
      </c>
      <c r="AR80" t="str">
        <f t="shared" si="25"/>
        <v>Yes</v>
      </c>
      <c r="AS80">
        <f>COUNTIF(AR$40:AR80,"Yes")</f>
        <v>41</v>
      </c>
      <c r="AT80" cm="1">
        <f t="array" ref="AT80">INDEX($G$2:$G$7,IF(AS80&gt;5,6,AS80+1))</f>
        <v>1</v>
      </c>
      <c r="AU80" s="147">
        <f t="shared" si="26"/>
        <v>7.253248795223044E-2</v>
      </c>
    </row>
    <row r="81" spans="3:47" x14ac:dyDescent="0.3">
      <c r="C81">
        <v>42</v>
      </c>
      <c r="D81" s="147">
        <f t="shared" si="30"/>
        <v>35.760154737272494</v>
      </c>
      <c r="E81" s="147">
        <f t="shared" si="33"/>
        <v>8.3281547372724916</v>
      </c>
      <c r="F81" s="147">
        <f t="shared" si="34"/>
        <v>2508.5200381774307</v>
      </c>
      <c r="G81" s="147">
        <f t="shared" si="35"/>
        <v>2508.4475056894785</v>
      </c>
      <c r="H81" s="147">
        <f t="shared" si="27"/>
        <v>-7.253248795223044E-2</v>
      </c>
      <c r="I81" t="str">
        <f t="shared" si="9"/>
        <v>No</v>
      </c>
      <c r="J81">
        <f>COUNTIF(I$40:I81,"Yes")</f>
        <v>5</v>
      </c>
      <c r="K81" cm="1">
        <f t="array" ref="K81">INDEX($G$2:$G$7,IF(J81&gt;5,6,J81+1))</f>
        <v>1</v>
      </c>
      <c r="L81" s="147">
        <f t="shared" si="36"/>
        <v>7.253248795223044E-2</v>
      </c>
      <c r="Q81">
        <v>42</v>
      </c>
      <c r="R81" s="147">
        <f t="shared" si="31"/>
        <v>35.760154737272494</v>
      </c>
      <c r="S81" s="147">
        <f t="shared" si="37"/>
        <v>8.3281547372724916</v>
      </c>
      <c r="T81" s="147">
        <f t="shared" si="38"/>
        <v>2508.5200381774307</v>
      </c>
      <c r="U81" s="147">
        <f t="shared" si="39"/>
        <v>2508.4475056894785</v>
      </c>
      <c r="V81" s="147">
        <f t="shared" si="28"/>
        <v>-7.253248795223044E-2</v>
      </c>
      <c r="W81" t="str">
        <f t="shared" si="15"/>
        <v>No</v>
      </c>
      <c r="X81">
        <f>COUNTIF(W$40:W81,"Yes")</f>
        <v>5</v>
      </c>
      <c r="Y81" cm="1">
        <f t="array" ref="Y81">INDEX($G$2:$G$7,IF(X81&gt;5,6,X81+1))</f>
        <v>1</v>
      </c>
      <c r="Z81" s="147">
        <f t="shared" si="16"/>
        <v>7.253248795223044E-2</v>
      </c>
      <c r="AA81" t="str">
        <f t="shared" si="17"/>
        <v>Yes</v>
      </c>
      <c r="AB81">
        <f>COUNTIF(AA$40:AA81,"Yes")</f>
        <v>42</v>
      </c>
      <c r="AC81" cm="1">
        <f t="array" ref="AC81">INDEX($G$2:$G$7,IF(AB81&gt;5,6,AB81+1))</f>
        <v>1</v>
      </c>
      <c r="AD81" s="147">
        <f t="shared" si="18"/>
        <v>7.253248795223044E-2</v>
      </c>
      <c r="AH81">
        <v>42</v>
      </c>
      <c r="AI81" s="147">
        <f t="shared" si="32"/>
        <v>35.760154737272494</v>
      </c>
      <c r="AJ81" s="147">
        <f t="shared" si="40"/>
        <v>8.3281547372724916</v>
      </c>
      <c r="AK81" s="147">
        <f t="shared" si="41"/>
        <v>2508.5200381774307</v>
      </c>
      <c r="AL81" s="147">
        <f t="shared" si="42"/>
        <v>2508.4475056894785</v>
      </c>
      <c r="AM81" s="147">
        <f t="shared" si="29"/>
        <v>-7.253248795223044E-2</v>
      </c>
      <c r="AN81" t="str">
        <f t="shared" si="23"/>
        <v>No</v>
      </c>
      <c r="AO81">
        <f>COUNTIF(AN$40:AN81,"Yes")</f>
        <v>5</v>
      </c>
      <c r="AP81" cm="1">
        <f t="array" ref="AP81">INDEX($G$2:$G$7,IF(AO81&gt;5,6,AO81+1))</f>
        <v>1</v>
      </c>
      <c r="AQ81" s="147">
        <f t="shared" si="24"/>
        <v>7.253248795223044E-2</v>
      </c>
      <c r="AR81" t="str">
        <f t="shared" si="25"/>
        <v>Yes</v>
      </c>
      <c r="AS81">
        <f>COUNTIF(AR$40:AR81,"Yes")</f>
        <v>42</v>
      </c>
      <c r="AT81" cm="1">
        <f t="array" ref="AT81">INDEX($G$2:$G$7,IF(AS81&gt;5,6,AS81+1))</f>
        <v>1</v>
      </c>
      <c r="AU81" s="147">
        <f t="shared" si="26"/>
        <v>7.253248795223044E-2</v>
      </c>
    </row>
    <row r="82" spans="3:47" x14ac:dyDescent="0.3">
      <c r="C82">
        <v>43</v>
      </c>
      <c r="D82" s="147">
        <f t="shared" si="30"/>
        <v>35.760154737272494</v>
      </c>
      <c r="E82" s="147">
        <f t="shared" si="33"/>
        <v>8.3281547372724916</v>
      </c>
      <c r="F82" s="147">
        <f t="shared" si="34"/>
        <v>2508.5200381774307</v>
      </c>
      <c r="G82" s="147">
        <f t="shared" si="35"/>
        <v>2508.4475056894785</v>
      </c>
      <c r="H82" s="147">
        <f t="shared" si="27"/>
        <v>-7.253248795223044E-2</v>
      </c>
      <c r="I82" t="str">
        <f t="shared" si="9"/>
        <v>No</v>
      </c>
      <c r="J82">
        <f>COUNTIF(I$40:I82,"Yes")</f>
        <v>5</v>
      </c>
      <c r="K82" cm="1">
        <f t="array" ref="K82">INDEX($G$2:$G$7,IF(J82&gt;5,6,J82+1))</f>
        <v>1</v>
      </c>
      <c r="L82" s="147">
        <f t="shared" si="36"/>
        <v>7.253248795223044E-2</v>
      </c>
      <c r="Q82">
        <v>43</v>
      </c>
      <c r="R82" s="147">
        <f t="shared" si="31"/>
        <v>35.760154737272494</v>
      </c>
      <c r="S82" s="147">
        <f t="shared" si="37"/>
        <v>8.3281547372724916</v>
      </c>
      <c r="T82" s="147">
        <f t="shared" si="38"/>
        <v>2508.5200381774307</v>
      </c>
      <c r="U82" s="147">
        <f t="shared" si="39"/>
        <v>2508.4475056894785</v>
      </c>
      <c r="V82" s="147">
        <f t="shared" si="28"/>
        <v>-7.253248795223044E-2</v>
      </c>
      <c r="W82" t="str">
        <f t="shared" si="15"/>
        <v>No</v>
      </c>
      <c r="X82">
        <f>COUNTIF(W$40:W82,"Yes")</f>
        <v>5</v>
      </c>
      <c r="Y82" cm="1">
        <f t="array" ref="Y82">INDEX($G$2:$G$7,IF(X82&gt;5,6,X82+1))</f>
        <v>1</v>
      </c>
      <c r="Z82" s="147">
        <f t="shared" si="16"/>
        <v>7.253248795223044E-2</v>
      </c>
      <c r="AA82" t="str">
        <f t="shared" si="17"/>
        <v>Yes</v>
      </c>
      <c r="AB82">
        <f>COUNTIF(AA$40:AA82,"Yes")</f>
        <v>43</v>
      </c>
      <c r="AC82" cm="1">
        <f t="array" ref="AC82">INDEX($G$2:$G$7,IF(AB82&gt;5,6,AB82+1))</f>
        <v>1</v>
      </c>
      <c r="AD82" s="147">
        <f t="shared" si="18"/>
        <v>7.253248795223044E-2</v>
      </c>
      <c r="AH82">
        <v>43</v>
      </c>
      <c r="AI82" s="147">
        <f t="shared" si="32"/>
        <v>35.760154737272494</v>
      </c>
      <c r="AJ82" s="147">
        <f t="shared" si="40"/>
        <v>8.3281547372724916</v>
      </c>
      <c r="AK82" s="147">
        <f t="shared" si="41"/>
        <v>2508.5200381774307</v>
      </c>
      <c r="AL82" s="147">
        <f t="shared" si="42"/>
        <v>2508.4475056894785</v>
      </c>
      <c r="AM82" s="147">
        <f t="shared" si="29"/>
        <v>-7.253248795223044E-2</v>
      </c>
      <c r="AN82" t="str">
        <f t="shared" si="23"/>
        <v>No</v>
      </c>
      <c r="AO82">
        <f>COUNTIF(AN$40:AN82,"Yes")</f>
        <v>5</v>
      </c>
      <c r="AP82" cm="1">
        <f t="array" ref="AP82">INDEX($G$2:$G$7,IF(AO82&gt;5,6,AO82+1))</f>
        <v>1</v>
      </c>
      <c r="AQ82" s="147">
        <f t="shared" si="24"/>
        <v>7.253248795223044E-2</v>
      </c>
      <c r="AR82" t="str">
        <f t="shared" si="25"/>
        <v>Yes</v>
      </c>
      <c r="AS82">
        <f>COUNTIF(AR$40:AR82,"Yes")</f>
        <v>43</v>
      </c>
      <c r="AT82" cm="1">
        <f t="array" ref="AT82">INDEX($G$2:$G$7,IF(AS82&gt;5,6,AS82+1))</f>
        <v>1</v>
      </c>
      <c r="AU82" s="147">
        <f t="shared" si="26"/>
        <v>7.253248795223044E-2</v>
      </c>
    </row>
    <row r="83" spans="3:47" x14ac:dyDescent="0.3">
      <c r="C83">
        <v>44</v>
      </c>
      <c r="D83" s="147">
        <f t="shared" si="30"/>
        <v>35.760154737272494</v>
      </c>
      <c r="E83" s="147">
        <f t="shared" si="33"/>
        <v>8.3281547372724916</v>
      </c>
      <c r="F83" s="147">
        <f t="shared" si="34"/>
        <v>2508.5200381774307</v>
      </c>
      <c r="G83" s="147">
        <f t="shared" si="35"/>
        <v>2508.4475056894785</v>
      </c>
      <c r="H83" s="147">
        <f t="shared" si="27"/>
        <v>-7.253248795223044E-2</v>
      </c>
      <c r="I83" t="str">
        <f t="shared" si="9"/>
        <v>No</v>
      </c>
      <c r="J83">
        <f>COUNTIF(I$40:I83,"Yes")</f>
        <v>5</v>
      </c>
      <c r="K83" cm="1">
        <f t="array" ref="K83">INDEX($G$2:$G$7,IF(J83&gt;5,6,J83+1))</f>
        <v>1</v>
      </c>
      <c r="L83" s="147">
        <f t="shared" si="36"/>
        <v>7.253248795223044E-2</v>
      </c>
      <c r="Q83">
        <v>44</v>
      </c>
      <c r="R83" s="147">
        <f t="shared" si="31"/>
        <v>35.760154737272494</v>
      </c>
      <c r="S83" s="147">
        <f t="shared" si="37"/>
        <v>8.3281547372724916</v>
      </c>
      <c r="T83" s="147">
        <f t="shared" si="38"/>
        <v>2508.5200381774307</v>
      </c>
      <c r="U83" s="147">
        <f t="shared" si="39"/>
        <v>2508.4475056894785</v>
      </c>
      <c r="V83" s="147">
        <f t="shared" si="28"/>
        <v>-7.253248795223044E-2</v>
      </c>
      <c r="W83" t="str">
        <f t="shared" si="15"/>
        <v>No</v>
      </c>
      <c r="X83">
        <f>COUNTIF(W$40:W83,"Yes")</f>
        <v>5</v>
      </c>
      <c r="Y83" cm="1">
        <f t="array" ref="Y83">INDEX($G$2:$G$7,IF(X83&gt;5,6,X83+1))</f>
        <v>1</v>
      </c>
      <c r="Z83" s="147">
        <f t="shared" si="16"/>
        <v>7.253248795223044E-2</v>
      </c>
      <c r="AA83" t="str">
        <f t="shared" si="17"/>
        <v>Yes</v>
      </c>
      <c r="AB83">
        <f>COUNTIF(AA$40:AA83,"Yes")</f>
        <v>44</v>
      </c>
      <c r="AC83" cm="1">
        <f t="array" ref="AC83">INDEX($G$2:$G$7,IF(AB83&gt;5,6,AB83+1))</f>
        <v>1</v>
      </c>
      <c r="AD83" s="147">
        <f t="shared" si="18"/>
        <v>7.253248795223044E-2</v>
      </c>
      <c r="AH83">
        <v>44</v>
      </c>
      <c r="AI83" s="147">
        <f t="shared" si="32"/>
        <v>35.760154737272494</v>
      </c>
      <c r="AJ83" s="147">
        <f t="shared" si="40"/>
        <v>8.3281547372724916</v>
      </c>
      <c r="AK83" s="147">
        <f t="shared" si="41"/>
        <v>2508.5200381774307</v>
      </c>
      <c r="AL83" s="147">
        <f t="shared" si="42"/>
        <v>2508.4475056894785</v>
      </c>
      <c r="AM83" s="147">
        <f t="shared" si="29"/>
        <v>-7.253248795223044E-2</v>
      </c>
      <c r="AN83" t="str">
        <f t="shared" si="23"/>
        <v>No</v>
      </c>
      <c r="AO83">
        <f>COUNTIF(AN$40:AN83,"Yes")</f>
        <v>5</v>
      </c>
      <c r="AP83" cm="1">
        <f t="array" ref="AP83">INDEX($G$2:$G$7,IF(AO83&gt;5,6,AO83+1))</f>
        <v>1</v>
      </c>
      <c r="AQ83" s="147">
        <f t="shared" si="24"/>
        <v>7.253248795223044E-2</v>
      </c>
      <c r="AR83" t="str">
        <f t="shared" si="25"/>
        <v>Yes</v>
      </c>
      <c r="AS83">
        <f>COUNTIF(AR$40:AR83,"Yes")</f>
        <v>44</v>
      </c>
      <c r="AT83" cm="1">
        <f t="array" ref="AT83">INDEX($G$2:$G$7,IF(AS83&gt;5,6,AS83+1))</f>
        <v>1</v>
      </c>
      <c r="AU83" s="147">
        <f t="shared" si="26"/>
        <v>7.253248795223044E-2</v>
      </c>
    </row>
    <row r="84" spans="3:47" x14ac:dyDescent="0.3">
      <c r="C84">
        <v>45</v>
      </c>
      <c r="D84" s="147">
        <f t="shared" si="30"/>
        <v>35.760154737272494</v>
      </c>
      <c r="E84" s="147">
        <f t="shared" si="33"/>
        <v>8.3281547372724916</v>
      </c>
      <c r="F84" s="147">
        <f t="shared" si="34"/>
        <v>2508.5200381774307</v>
      </c>
      <c r="G84" s="147">
        <f t="shared" si="35"/>
        <v>2508.4475056894785</v>
      </c>
      <c r="H84" s="147">
        <f t="shared" si="27"/>
        <v>-7.253248795223044E-2</v>
      </c>
      <c r="I84" t="str">
        <f t="shared" si="9"/>
        <v>No</v>
      </c>
      <c r="J84">
        <f>COUNTIF(I$40:I84,"Yes")</f>
        <v>5</v>
      </c>
      <c r="K84" cm="1">
        <f t="array" ref="K84">INDEX($G$2:$G$7,IF(J84&gt;5,6,J84+1))</f>
        <v>1</v>
      </c>
      <c r="L84" s="147">
        <f t="shared" si="36"/>
        <v>7.253248795223044E-2</v>
      </c>
      <c r="Q84">
        <v>45</v>
      </c>
      <c r="R84" s="147">
        <f t="shared" si="31"/>
        <v>35.760154737272494</v>
      </c>
      <c r="S84" s="147">
        <f t="shared" si="37"/>
        <v>8.3281547372724916</v>
      </c>
      <c r="T84" s="147">
        <f t="shared" si="38"/>
        <v>2508.5200381774307</v>
      </c>
      <c r="U84" s="147">
        <f t="shared" si="39"/>
        <v>2508.4475056894785</v>
      </c>
      <c r="V84" s="147">
        <f t="shared" si="28"/>
        <v>-7.253248795223044E-2</v>
      </c>
      <c r="W84" t="str">
        <f t="shared" si="15"/>
        <v>No</v>
      </c>
      <c r="X84">
        <f>COUNTIF(W$40:W84,"Yes")</f>
        <v>5</v>
      </c>
      <c r="Y84" cm="1">
        <f t="array" ref="Y84">INDEX($G$2:$G$7,IF(X84&gt;5,6,X84+1))</f>
        <v>1</v>
      </c>
      <c r="Z84" s="147">
        <f t="shared" si="16"/>
        <v>7.253248795223044E-2</v>
      </c>
      <c r="AA84" t="str">
        <f t="shared" si="17"/>
        <v>Yes</v>
      </c>
      <c r="AB84">
        <f>COUNTIF(AA$40:AA84,"Yes")</f>
        <v>45</v>
      </c>
      <c r="AC84" cm="1">
        <f t="array" ref="AC84">INDEX($G$2:$G$7,IF(AB84&gt;5,6,AB84+1))</f>
        <v>1</v>
      </c>
      <c r="AD84" s="147">
        <f t="shared" si="18"/>
        <v>7.253248795223044E-2</v>
      </c>
      <c r="AH84">
        <v>45</v>
      </c>
      <c r="AI84" s="147">
        <f t="shared" si="32"/>
        <v>35.760154737272494</v>
      </c>
      <c r="AJ84" s="147">
        <f t="shared" si="40"/>
        <v>8.3281547372724916</v>
      </c>
      <c r="AK84" s="147">
        <f t="shared" si="41"/>
        <v>2508.5200381774307</v>
      </c>
      <c r="AL84" s="147">
        <f t="shared" si="42"/>
        <v>2508.4475056894785</v>
      </c>
      <c r="AM84" s="147">
        <f t="shared" si="29"/>
        <v>-7.253248795223044E-2</v>
      </c>
      <c r="AN84" t="str">
        <f t="shared" si="23"/>
        <v>No</v>
      </c>
      <c r="AO84">
        <f>COUNTIF(AN$40:AN84,"Yes")</f>
        <v>5</v>
      </c>
      <c r="AP84" cm="1">
        <f t="array" ref="AP84">INDEX($G$2:$G$7,IF(AO84&gt;5,6,AO84+1))</f>
        <v>1</v>
      </c>
      <c r="AQ84" s="147">
        <f t="shared" si="24"/>
        <v>7.253248795223044E-2</v>
      </c>
      <c r="AR84" t="str">
        <f t="shared" si="25"/>
        <v>Yes</v>
      </c>
      <c r="AS84">
        <f>COUNTIF(AR$40:AR84,"Yes")</f>
        <v>45</v>
      </c>
      <c r="AT84" cm="1">
        <f t="array" ref="AT84">INDEX($G$2:$G$7,IF(AS84&gt;5,6,AS84+1))</f>
        <v>1</v>
      </c>
      <c r="AU84" s="147">
        <f t="shared" si="26"/>
        <v>7.253248795223044E-2</v>
      </c>
    </row>
    <row r="85" spans="3:47" x14ac:dyDescent="0.3">
      <c r="C85">
        <v>46</v>
      </c>
      <c r="D85" s="147">
        <f t="shared" si="30"/>
        <v>35.760154737272494</v>
      </c>
      <c r="E85" s="147">
        <f t="shared" si="33"/>
        <v>8.3281547372724916</v>
      </c>
      <c r="F85" s="147">
        <f t="shared" si="34"/>
        <v>2508.5200381774307</v>
      </c>
      <c r="G85" s="147">
        <f t="shared" si="35"/>
        <v>2508.4475056894785</v>
      </c>
      <c r="H85" s="147">
        <f t="shared" si="27"/>
        <v>-7.253248795223044E-2</v>
      </c>
      <c r="I85" t="str">
        <f t="shared" si="9"/>
        <v>No</v>
      </c>
      <c r="J85">
        <f>COUNTIF(I$40:I85,"Yes")</f>
        <v>5</v>
      </c>
      <c r="K85" cm="1">
        <f t="array" ref="K85">INDEX($G$2:$G$7,IF(J85&gt;5,6,J85+1))</f>
        <v>1</v>
      </c>
      <c r="L85" s="147">
        <f t="shared" si="36"/>
        <v>7.253248795223044E-2</v>
      </c>
      <c r="Q85">
        <v>46</v>
      </c>
      <c r="R85" s="147">
        <f t="shared" si="31"/>
        <v>35.760154737272494</v>
      </c>
      <c r="S85" s="147">
        <f t="shared" si="37"/>
        <v>8.3281547372724916</v>
      </c>
      <c r="T85" s="147">
        <f t="shared" si="38"/>
        <v>2508.5200381774307</v>
      </c>
      <c r="U85" s="147">
        <f t="shared" si="39"/>
        <v>2508.4475056894785</v>
      </c>
      <c r="V85" s="147">
        <f t="shared" si="28"/>
        <v>-7.253248795223044E-2</v>
      </c>
      <c r="W85" t="str">
        <f t="shared" si="15"/>
        <v>No</v>
      </c>
      <c r="X85">
        <f>COUNTIF(W$40:W85,"Yes")</f>
        <v>5</v>
      </c>
      <c r="Y85" cm="1">
        <f t="array" ref="Y85">INDEX($G$2:$G$7,IF(X85&gt;5,6,X85+1))</f>
        <v>1</v>
      </c>
      <c r="Z85" s="147">
        <f t="shared" si="16"/>
        <v>7.253248795223044E-2</v>
      </c>
      <c r="AA85" t="str">
        <f t="shared" si="17"/>
        <v>Yes</v>
      </c>
      <c r="AB85">
        <f>COUNTIF(AA$40:AA85,"Yes")</f>
        <v>46</v>
      </c>
      <c r="AC85" cm="1">
        <f t="array" ref="AC85">INDEX($G$2:$G$7,IF(AB85&gt;5,6,AB85+1))</f>
        <v>1</v>
      </c>
      <c r="AD85" s="147">
        <f t="shared" si="18"/>
        <v>7.253248795223044E-2</v>
      </c>
      <c r="AH85">
        <v>46</v>
      </c>
      <c r="AI85" s="147">
        <f t="shared" si="32"/>
        <v>35.760154737272494</v>
      </c>
      <c r="AJ85" s="147">
        <f t="shared" si="40"/>
        <v>8.3281547372724916</v>
      </c>
      <c r="AK85" s="147">
        <f t="shared" si="41"/>
        <v>2508.5200381774307</v>
      </c>
      <c r="AL85" s="147">
        <f t="shared" si="42"/>
        <v>2508.4475056894785</v>
      </c>
      <c r="AM85" s="147">
        <f t="shared" si="29"/>
        <v>-7.253248795223044E-2</v>
      </c>
      <c r="AN85" t="str">
        <f t="shared" si="23"/>
        <v>No</v>
      </c>
      <c r="AO85">
        <f>COUNTIF(AN$40:AN85,"Yes")</f>
        <v>5</v>
      </c>
      <c r="AP85" cm="1">
        <f t="array" ref="AP85">INDEX($G$2:$G$7,IF(AO85&gt;5,6,AO85+1))</f>
        <v>1</v>
      </c>
      <c r="AQ85" s="147">
        <f t="shared" si="24"/>
        <v>7.253248795223044E-2</v>
      </c>
      <c r="AR85" t="str">
        <f t="shared" si="25"/>
        <v>Yes</v>
      </c>
      <c r="AS85">
        <f>COUNTIF(AR$40:AR85,"Yes")</f>
        <v>46</v>
      </c>
      <c r="AT85" cm="1">
        <f t="array" ref="AT85">INDEX($G$2:$G$7,IF(AS85&gt;5,6,AS85+1))</f>
        <v>1</v>
      </c>
      <c r="AU85" s="147">
        <f t="shared" si="26"/>
        <v>7.253248795223044E-2</v>
      </c>
    </row>
    <row r="86" spans="3:47" x14ac:dyDescent="0.3">
      <c r="C86">
        <v>47</v>
      </c>
      <c r="D86" s="147">
        <f t="shared" si="30"/>
        <v>35.760154737272494</v>
      </c>
      <c r="E86" s="147">
        <f t="shared" si="33"/>
        <v>8.3281547372724916</v>
      </c>
      <c r="F86" s="147">
        <f t="shared" si="34"/>
        <v>2508.5200381774307</v>
      </c>
      <c r="G86" s="147">
        <f t="shared" si="35"/>
        <v>2508.4475056894785</v>
      </c>
      <c r="H86" s="147">
        <f t="shared" si="27"/>
        <v>-7.253248795223044E-2</v>
      </c>
      <c r="I86" t="str">
        <f t="shared" si="9"/>
        <v>No</v>
      </c>
      <c r="J86">
        <f>COUNTIF(I$40:I86,"Yes")</f>
        <v>5</v>
      </c>
      <c r="K86" cm="1">
        <f t="array" ref="K86">INDEX($G$2:$G$7,IF(J86&gt;5,6,J86+1))</f>
        <v>1</v>
      </c>
      <c r="L86" s="147">
        <f t="shared" si="36"/>
        <v>7.253248795223044E-2</v>
      </c>
      <c r="Q86">
        <v>47</v>
      </c>
      <c r="R86" s="147">
        <f t="shared" si="31"/>
        <v>35.760154737272494</v>
      </c>
      <c r="S86" s="147">
        <f t="shared" si="37"/>
        <v>8.3281547372724916</v>
      </c>
      <c r="T86" s="147">
        <f t="shared" si="38"/>
        <v>2508.5200381774307</v>
      </c>
      <c r="U86" s="147">
        <f t="shared" si="39"/>
        <v>2508.4475056894785</v>
      </c>
      <c r="V86" s="147">
        <f t="shared" si="28"/>
        <v>-7.253248795223044E-2</v>
      </c>
      <c r="W86" t="str">
        <f t="shared" si="15"/>
        <v>No</v>
      </c>
      <c r="X86">
        <f>COUNTIF(W$40:W86,"Yes")</f>
        <v>5</v>
      </c>
      <c r="Y86" cm="1">
        <f t="array" ref="Y86">INDEX($G$2:$G$7,IF(X86&gt;5,6,X86+1))</f>
        <v>1</v>
      </c>
      <c r="Z86" s="147">
        <f t="shared" si="16"/>
        <v>7.253248795223044E-2</v>
      </c>
      <c r="AA86" t="str">
        <f t="shared" si="17"/>
        <v>Yes</v>
      </c>
      <c r="AB86">
        <f>COUNTIF(AA$40:AA86,"Yes")</f>
        <v>47</v>
      </c>
      <c r="AC86" cm="1">
        <f t="array" ref="AC86">INDEX($G$2:$G$7,IF(AB86&gt;5,6,AB86+1))</f>
        <v>1</v>
      </c>
      <c r="AD86" s="147">
        <f t="shared" si="18"/>
        <v>7.253248795223044E-2</v>
      </c>
      <c r="AH86">
        <v>47</v>
      </c>
      <c r="AI86" s="147">
        <f t="shared" si="32"/>
        <v>35.760154737272494</v>
      </c>
      <c r="AJ86" s="147">
        <f t="shared" si="40"/>
        <v>8.3281547372724916</v>
      </c>
      <c r="AK86" s="147">
        <f t="shared" si="41"/>
        <v>2508.5200381774307</v>
      </c>
      <c r="AL86" s="147">
        <f t="shared" si="42"/>
        <v>2508.4475056894785</v>
      </c>
      <c r="AM86" s="147">
        <f t="shared" si="29"/>
        <v>-7.253248795223044E-2</v>
      </c>
      <c r="AN86" t="str">
        <f t="shared" si="23"/>
        <v>No</v>
      </c>
      <c r="AO86">
        <f>COUNTIF(AN$40:AN86,"Yes")</f>
        <v>5</v>
      </c>
      <c r="AP86" cm="1">
        <f t="array" ref="AP86">INDEX($G$2:$G$7,IF(AO86&gt;5,6,AO86+1))</f>
        <v>1</v>
      </c>
      <c r="AQ86" s="147">
        <f t="shared" si="24"/>
        <v>7.253248795223044E-2</v>
      </c>
      <c r="AR86" t="str">
        <f t="shared" si="25"/>
        <v>Yes</v>
      </c>
      <c r="AS86">
        <f>COUNTIF(AR$40:AR86,"Yes")</f>
        <v>47</v>
      </c>
      <c r="AT86" cm="1">
        <f t="array" ref="AT86">INDEX($G$2:$G$7,IF(AS86&gt;5,6,AS86+1))</f>
        <v>1</v>
      </c>
      <c r="AU86" s="147">
        <f t="shared" si="26"/>
        <v>7.253248795223044E-2</v>
      </c>
    </row>
    <row r="87" spans="3:47" x14ac:dyDescent="0.3">
      <c r="C87">
        <v>48</v>
      </c>
      <c r="D87" s="147">
        <f t="shared" si="30"/>
        <v>35.760154737272494</v>
      </c>
      <c r="E87" s="147">
        <f t="shared" si="33"/>
        <v>8.3281547372724916</v>
      </c>
      <c r="F87" s="147">
        <f t="shared" si="34"/>
        <v>2508.5200381774307</v>
      </c>
      <c r="G87" s="147">
        <f t="shared" si="35"/>
        <v>2508.4475056894785</v>
      </c>
      <c r="H87" s="147">
        <f t="shared" si="27"/>
        <v>-7.253248795223044E-2</v>
      </c>
      <c r="I87" t="str">
        <f t="shared" si="9"/>
        <v>No</v>
      </c>
      <c r="J87">
        <f>COUNTIF(I$40:I87,"Yes")</f>
        <v>5</v>
      </c>
      <c r="K87" cm="1">
        <f t="array" ref="K87">INDEX($G$2:$G$7,IF(J87&gt;5,6,J87+1))</f>
        <v>1</v>
      </c>
      <c r="L87" s="147">
        <f t="shared" si="36"/>
        <v>7.253248795223044E-2</v>
      </c>
      <c r="Q87">
        <v>48</v>
      </c>
      <c r="R87" s="147">
        <f t="shared" si="31"/>
        <v>35.760154737272494</v>
      </c>
      <c r="S87" s="147">
        <f t="shared" si="37"/>
        <v>8.3281547372724916</v>
      </c>
      <c r="T87" s="147">
        <f t="shared" si="38"/>
        <v>2508.5200381774307</v>
      </c>
      <c r="U87" s="147">
        <f t="shared" si="39"/>
        <v>2508.4475056894785</v>
      </c>
      <c r="V87" s="147">
        <f t="shared" si="28"/>
        <v>-7.253248795223044E-2</v>
      </c>
      <c r="W87" t="str">
        <f t="shared" si="15"/>
        <v>No</v>
      </c>
      <c r="X87">
        <f>COUNTIF(W$40:W87,"Yes")</f>
        <v>5</v>
      </c>
      <c r="Y87" cm="1">
        <f t="array" ref="Y87">INDEX($G$2:$G$7,IF(X87&gt;5,6,X87+1))</f>
        <v>1</v>
      </c>
      <c r="Z87" s="147">
        <f t="shared" si="16"/>
        <v>7.253248795223044E-2</v>
      </c>
      <c r="AA87" t="str">
        <f t="shared" si="17"/>
        <v>Yes</v>
      </c>
      <c r="AB87">
        <f>COUNTIF(AA$40:AA87,"Yes")</f>
        <v>48</v>
      </c>
      <c r="AC87" cm="1">
        <f t="array" ref="AC87">INDEX($G$2:$G$7,IF(AB87&gt;5,6,AB87+1))</f>
        <v>1</v>
      </c>
      <c r="AD87" s="147">
        <f t="shared" si="18"/>
        <v>7.253248795223044E-2</v>
      </c>
      <c r="AH87">
        <v>48</v>
      </c>
      <c r="AI87" s="147">
        <f t="shared" si="32"/>
        <v>35.760154737272494</v>
      </c>
      <c r="AJ87" s="147">
        <f t="shared" si="40"/>
        <v>8.3281547372724916</v>
      </c>
      <c r="AK87" s="147">
        <f t="shared" si="41"/>
        <v>2508.5200381774307</v>
      </c>
      <c r="AL87" s="147">
        <f t="shared" si="42"/>
        <v>2508.4475056894785</v>
      </c>
      <c r="AM87" s="147">
        <f t="shared" si="29"/>
        <v>-7.253248795223044E-2</v>
      </c>
      <c r="AN87" t="str">
        <f t="shared" si="23"/>
        <v>No</v>
      </c>
      <c r="AO87">
        <f>COUNTIF(AN$40:AN87,"Yes")</f>
        <v>5</v>
      </c>
      <c r="AP87" cm="1">
        <f t="array" ref="AP87">INDEX($G$2:$G$7,IF(AO87&gt;5,6,AO87+1))</f>
        <v>1</v>
      </c>
      <c r="AQ87" s="147">
        <f t="shared" si="24"/>
        <v>7.253248795223044E-2</v>
      </c>
      <c r="AR87" t="str">
        <f t="shared" si="25"/>
        <v>Yes</v>
      </c>
      <c r="AS87">
        <f>COUNTIF(AR$40:AR87,"Yes")</f>
        <v>48</v>
      </c>
      <c r="AT87" cm="1">
        <f t="array" ref="AT87">INDEX($G$2:$G$7,IF(AS87&gt;5,6,AS87+1))</f>
        <v>1</v>
      </c>
      <c r="AU87" s="147">
        <f t="shared" si="26"/>
        <v>7.253248795223044E-2</v>
      </c>
    </row>
    <row r="88" spans="3:47" x14ac:dyDescent="0.3">
      <c r="C88">
        <v>49</v>
      </c>
      <c r="D88" s="147">
        <f t="shared" si="30"/>
        <v>35.760154737272494</v>
      </c>
      <c r="E88" s="147">
        <f t="shared" si="33"/>
        <v>8.3281547372724916</v>
      </c>
      <c r="F88" s="147">
        <f t="shared" si="34"/>
        <v>2508.5200381774307</v>
      </c>
      <c r="G88" s="147">
        <f t="shared" si="35"/>
        <v>2508.4475056894785</v>
      </c>
      <c r="H88" s="147">
        <f t="shared" si="27"/>
        <v>-7.253248795223044E-2</v>
      </c>
      <c r="I88" t="str">
        <f t="shared" si="9"/>
        <v>No</v>
      </c>
      <c r="J88">
        <f>COUNTIF(I$40:I88,"Yes")</f>
        <v>5</v>
      </c>
      <c r="K88" cm="1">
        <f t="array" ref="K88">INDEX($G$2:$G$7,IF(J88&gt;5,6,J88+1))</f>
        <v>1</v>
      </c>
      <c r="L88" s="147">
        <f t="shared" si="36"/>
        <v>7.253248795223044E-2</v>
      </c>
      <c r="Q88">
        <v>49</v>
      </c>
      <c r="R88" s="147">
        <f t="shared" si="31"/>
        <v>35.760154737272494</v>
      </c>
      <c r="S88" s="147">
        <f t="shared" si="37"/>
        <v>8.3281547372724916</v>
      </c>
      <c r="T88" s="147">
        <f t="shared" si="38"/>
        <v>2508.5200381774307</v>
      </c>
      <c r="U88" s="147">
        <f t="shared" si="39"/>
        <v>2508.4475056894785</v>
      </c>
      <c r="V88" s="147">
        <f t="shared" si="28"/>
        <v>-7.253248795223044E-2</v>
      </c>
      <c r="W88" t="str">
        <f t="shared" si="15"/>
        <v>No</v>
      </c>
      <c r="X88">
        <f>COUNTIF(W$40:W88,"Yes")</f>
        <v>5</v>
      </c>
      <c r="Y88" cm="1">
        <f t="array" ref="Y88">INDEX($G$2:$G$7,IF(X88&gt;5,6,X88+1))</f>
        <v>1</v>
      </c>
      <c r="Z88" s="147">
        <f t="shared" si="16"/>
        <v>7.253248795223044E-2</v>
      </c>
      <c r="AA88" t="str">
        <f t="shared" si="17"/>
        <v>Yes</v>
      </c>
      <c r="AB88">
        <f>COUNTIF(AA$40:AA88,"Yes")</f>
        <v>49</v>
      </c>
      <c r="AC88" cm="1">
        <f t="array" ref="AC88">INDEX($G$2:$G$7,IF(AB88&gt;5,6,AB88+1))</f>
        <v>1</v>
      </c>
      <c r="AD88" s="147">
        <f t="shared" si="18"/>
        <v>7.253248795223044E-2</v>
      </c>
      <c r="AH88">
        <v>49</v>
      </c>
      <c r="AI88" s="147">
        <f t="shared" si="32"/>
        <v>35.760154737272494</v>
      </c>
      <c r="AJ88" s="147">
        <f t="shared" si="40"/>
        <v>8.3281547372724916</v>
      </c>
      <c r="AK88" s="147">
        <f t="shared" si="41"/>
        <v>2508.5200381774307</v>
      </c>
      <c r="AL88" s="147">
        <f t="shared" si="42"/>
        <v>2508.4475056894785</v>
      </c>
      <c r="AM88" s="147">
        <f t="shared" si="29"/>
        <v>-7.253248795223044E-2</v>
      </c>
      <c r="AN88" t="str">
        <f t="shared" si="23"/>
        <v>No</v>
      </c>
      <c r="AO88">
        <f>COUNTIF(AN$40:AN88,"Yes")</f>
        <v>5</v>
      </c>
      <c r="AP88" cm="1">
        <f t="array" ref="AP88">INDEX($G$2:$G$7,IF(AO88&gt;5,6,AO88+1))</f>
        <v>1</v>
      </c>
      <c r="AQ88" s="147">
        <f t="shared" si="24"/>
        <v>7.253248795223044E-2</v>
      </c>
      <c r="AR88" t="str">
        <f t="shared" si="25"/>
        <v>Yes</v>
      </c>
      <c r="AS88">
        <f>COUNTIF(AR$40:AR88,"Yes")</f>
        <v>49</v>
      </c>
      <c r="AT88" cm="1">
        <f t="array" ref="AT88">INDEX($G$2:$G$7,IF(AS88&gt;5,6,AS88+1))</f>
        <v>1</v>
      </c>
      <c r="AU88" s="147">
        <f t="shared" si="26"/>
        <v>7.253248795223044E-2</v>
      </c>
    </row>
    <row r="89" spans="3:47" x14ac:dyDescent="0.3">
      <c r="C89">
        <v>50</v>
      </c>
      <c r="D89" s="147">
        <f t="shared" si="30"/>
        <v>35.760154737272494</v>
      </c>
      <c r="E89" s="147">
        <f t="shared" si="33"/>
        <v>8.3281547372724916</v>
      </c>
      <c r="F89" s="147">
        <f t="shared" si="34"/>
        <v>2508.5200381774307</v>
      </c>
      <c r="G89" s="147">
        <f t="shared" si="35"/>
        <v>2508.4475056894785</v>
      </c>
      <c r="H89" s="147">
        <f t="shared" si="27"/>
        <v>-7.253248795223044E-2</v>
      </c>
      <c r="I89" t="str">
        <f t="shared" si="9"/>
        <v>No</v>
      </c>
      <c r="J89">
        <f>COUNTIF(I$40:I89,"Yes")</f>
        <v>5</v>
      </c>
      <c r="K89" cm="1">
        <f t="array" ref="K89">INDEX($G$2:$G$7,IF(J89&gt;5,6,J89+1))</f>
        <v>1</v>
      </c>
      <c r="L89" s="147">
        <f t="shared" si="36"/>
        <v>7.253248795223044E-2</v>
      </c>
      <c r="Q89">
        <v>50</v>
      </c>
      <c r="R89" s="147">
        <f t="shared" si="31"/>
        <v>35.760154737272494</v>
      </c>
      <c r="S89" s="147">
        <f t="shared" si="37"/>
        <v>8.3281547372724916</v>
      </c>
      <c r="T89" s="147">
        <f t="shared" si="38"/>
        <v>2508.5200381774307</v>
      </c>
      <c r="U89" s="147">
        <f t="shared" si="39"/>
        <v>2508.4475056894785</v>
      </c>
      <c r="V89" s="147">
        <f t="shared" si="28"/>
        <v>-7.253248795223044E-2</v>
      </c>
      <c r="W89" t="str">
        <f t="shared" si="15"/>
        <v>No</v>
      </c>
      <c r="X89">
        <f>COUNTIF(W$40:W89,"Yes")</f>
        <v>5</v>
      </c>
      <c r="Y89" cm="1">
        <f t="array" ref="Y89">INDEX($G$2:$G$7,IF(X89&gt;5,6,X89+1))</f>
        <v>1</v>
      </c>
      <c r="Z89" s="147">
        <f t="shared" si="16"/>
        <v>7.253248795223044E-2</v>
      </c>
      <c r="AA89" t="str">
        <f t="shared" si="17"/>
        <v>Yes</v>
      </c>
      <c r="AB89">
        <f>COUNTIF(AA$40:AA89,"Yes")</f>
        <v>50</v>
      </c>
      <c r="AC89" cm="1">
        <f t="array" ref="AC89">INDEX($G$2:$G$7,IF(AB89&gt;5,6,AB89+1))</f>
        <v>1</v>
      </c>
      <c r="AD89" s="147">
        <f t="shared" si="18"/>
        <v>7.253248795223044E-2</v>
      </c>
      <c r="AH89">
        <v>50</v>
      </c>
      <c r="AI89" s="147">
        <f t="shared" si="32"/>
        <v>35.760154737272494</v>
      </c>
      <c r="AJ89" s="147">
        <f t="shared" si="40"/>
        <v>8.3281547372724916</v>
      </c>
      <c r="AK89" s="147">
        <f t="shared" si="41"/>
        <v>2508.5200381774307</v>
      </c>
      <c r="AL89" s="147">
        <f t="shared" si="42"/>
        <v>2508.4475056894785</v>
      </c>
      <c r="AM89" s="147">
        <f t="shared" si="29"/>
        <v>-7.253248795223044E-2</v>
      </c>
      <c r="AN89" t="str">
        <f t="shared" si="23"/>
        <v>No</v>
      </c>
      <c r="AO89">
        <f>COUNTIF(AN$40:AN89,"Yes")</f>
        <v>5</v>
      </c>
      <c r="AP89" cm="1">
        <f t="array" ref="AP89">INDEX($G$2:$G$7,IF(AO89&gt;5,6,AO89+1))</f>
        <v>1</v>
      </c>
      <c r="AQ89" s="147">
        <f t="shared" si="24"/>
        <v>7.253248795223044E-2</v>
      </c>
      <c r="AR89" t="str">
        <f t="shared" si="25"/>
        <v>Yes</v>
      </c>
      <c r="AS89">
        <f>COUNTIF(AR$40:AR89,"Yes")</f>
        <v>50</v>
      </c>
      <c r="AT89" cm="1">
        <f t="array" ref="AT89">INDEX($G$2:$G$7,IF(AS89&gt;5,6,AS89+1))</f>
        <v>1</v>
      </c>
      <c r="AU89" s="147">
        <f t="shared" si="26"/>
        <v>7.253248795223044E-2</v>
      </c>
    </row>
  </sheetData>
  <mergeCells count="4">
    <mergeCell ref="A25:M25"/>
    <mergeCell ref="O25:AD25"/>
    <mergeCell ref="AF25:AU25"/>
    <mergeCell ref="AW25:BL2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A060-EEF1-4FFD-9F2A-CC5D7C68EAB3}">
  <dimension ref="A1:FM103"/>
  <sheetViews>
    <sheetView workbookViewId="0">
      <selection sqref="A1:C1"/>
    </sheetView>
  </sheetViews>
  <sheetFormatPr defaultRowHeight="14.4" x14ac:dyDescent="0.3"/>
  <cols>
    <col min="1" max="1" width="70.88671875" bestFit="1" customWidth="1"/>
    <col min="6" max="9" width="17.88671875" customWidth="1"/>
    <col min="10" max="10" width="10.5546875" bestFit="1" customWidth="1"/>
    <col min="14" max="14" width="28.109375" customWidth="1"/>
    <col min="15" max="17" width="11.5546875" bestFit="1" customWidth="1"/>
    <col min="18" max="18" width="25.33203125" customWidth="1"/>
    <col min="19" max="20" width="11.5546875" bestFit="1" customWidth="1"/>
    <col min="21" max="21" width="10.5546875" bestFit="1" customWidth="1"/>
    <col min="22" max="22" width="10.5546875" customWidth="1"/>
    <col min="23" max="23" width="16.44140625" customWidth="1"/>
    <col min="27" max="27" width="13.33203125" bestFit="1" customWidth="1"/>
    <col min="28" max="28" width="22.44140625" customWidth="1"/>
    <col min="35" max="35" width="22.44140625" customWidth="1"/>
    <col min="37" max="37" width="17" customWidth="1"/>
    <col min="69" max="69" width="34.5546875" customWidth="1"/>
    <col min="74" max="77" width="27.44140625" customWidth="1"/>
    <col min="86" max="86" width="68.88671875" bestFit="1" customWidth="1"/>
    <col min="103" max="103" width="33.5546875" customWidth="1"/>
    <col min="137" max="137" width="27.5546875" customWidth="1"/>
    <col min="154" max="154" width="37.44140625" customWidth="1"/>
  </cols>
  <sheetData>
    <row r="1" spans="1:25" x14ac:dyDescent="0.3">
      <c r="A1" t="s">
        <v>4754</v>
      </c>
      <c r="F1" s="82" t="s">
        <v>4708</v>
      </c>
      <c r="G1" s="82"/>
      <c r="H1" s="82"/>
      <c r="I1" s="82"/>
      <c r="M1" s="82"/>
      <c r="N1" s="82" t="s">
        <v>602</v>
      </c>
      <c r="O1" s="82">
        <v>3</v>
      </c>
      <c r="P1" s="82">
        <v>4</v>
      </c>
      <c r="Q1" s="82">
        <v>5</v>
      </c>
      <c r="R1" s="82">
        <v>6</v>
      </c>
      <c r="S1" s="82">
        <v>7</v>
      </c>
      <c r="T1" s="82">
        <v>8</v>
      </c>
      <c r="U1" s="82">
        <v>9</v>
      </c>
      <c r="V1" s="82">
        <v>10</v>
      </c>
      <c r="W1" s="82">
        <v>11</v>
      </c>
      <c r="X1" s="82">
        <v>14</v>
      </c>
    </row>
    <row r="2" spans="1:25" x14ac:dyDescent="0.3">
      <c r="A2" t="s">
        <v>4755</v>
      </c>
      <c r="F2">
        <v>0</v>
      </c>
      <c r="J2">
        <v>1.6180000000000001</v>
      </c>
      <c r="K2">
        <v>1.6180000000000001</v>
      </c>
      <c r="L2">
        <v>1.25</v>
      </c>
      <c r="N2" s="76" t="str">
        <f t="shared" ref="N2:N19" si="0">F34</f>
        <v>Best diff</v>
      </c>
      <c r="O2" s="1360">
        <f>J34</f>
        <v>0.33852903207298368</v>
      </c>
      <c r="P2" s="1360">
        <f>AA34</f>
        <v>0.33852903207116469</v>
      </c>
      <c r="Q2" s="1360">
        <f>AR34</f>
        <v>0.48985356623234111</v>
      </c>
      <c r="R2" s="1360">
        <f>BI34</f>
        <v>0.20313689209342556</v>
      </c>
      <c r="S2" s="1360">
        <f>BZ34</f>
        <v>0.20313689209342556</v>
      </c>
      <c r="T2" s="1360">
        <f>CQ34</f>
        <v>0.20313689209342556</v>
      </c>
      <c r="U2" s="1360">
        <f>DH34</f>
        <v>3.4038310248433845E-2</v>
      </c>
      <c r="V2" s="1360">
        <f>DY34</f>
        <v>3.4038310248433845E-2</v>
      </c>
      <c r="W2" s="1209">
        <f>EP34</f>
        <v>3.4038310248433845E-2</v>
      </c>
      <c r="X2" s="1209">
        <f>FG34</f>
        <v>1.1744643538804667E-3</v>
      </c>
      <c r="Y2" s="49" t="str">
        <f t="shared" ref="Y2:Y19" si="1">K34</f>
        <v>m3</v>
      </c>
    </row>
    <row r="3" spans="1:25" x14ac:dyDescent="0.3">
      <c r="A3" t="s">
        <v>4710</v>
      </c>
      <c r="F3">
        <v>1</v>
      </c>
      <c r="J3">
        <v>1.0618000000000001</v>
      </c>
      <c r="K3">
        <v>1.0618000000000001</v>
      </c>
      <c r="L3">
        <v>1.0249999999999999</v>
      </c>
      <c r="N3" s="76" t="str">
        <f t="shared" si="0"/>
        <v>Final width</v>
      </c>
      <c r="O3" s="1360">
        <f t="shared" ref="O3:O19" si="2">J35</f>
        <v>53.040791160845636</v>
      </c>
      <c r="P3" s="1360">
        <f t="shared" ref="P3:P19" si="3">AA35</f>
        <v>53.040791160845636</v>
      </c>
      <c r="Q3" s="1360">
        <f t="shared" ref="Q3:Q19" si="4">AR35</f>
        <v>52.868300839584876</v>
      </c>
      <c r="R3" s="1360">
        <f t="shared" ref="R3:R19" si="5">BI35</f>
        <v>46.619587119564621</v>
      </c>
      <c r="S3" s="1360">
        <f t="shared" ref="S3:S19" si="6">BZ35</f>
        <v>46.619587119564621</v>
      </c>
      <c r="T3" s="1360">
        <f t="shared" ref="T3:T19" si="7">CQ35</f>
        <v>46.619587119564621</v>
      </c>
      <c r="U3" s="1360">
        <f t="shared" ref="U3:U19" si="8">DH35</f>
        <v>45.202575649756049</v>
      </c>
      <c r="V3" s="1360">
        <f t="shared" ref="V3:V19" si="9">DY35</f>
        <v>45.202575649756049</v>
      </c>
      <c r="W3" s="1209">
        <f t="shared" ref="W3:W19" si="10">EP35</f>
        <v>45.202575649756049</v>
      </c>
      <c r="X3" s="1209">
        <f t="shared" ref="X3:X19" si="11">FG35</f>
        <v>39.013784152366142</v>
      </c>
      <c r="Y3" s="49" t="str">
        <f t="shared" si="1"/>
        <v>m</v>
      </c>
    </row>
    <row r="4" spans="1:25" x14ac:dyDescent="0.3">
      <c r="A4" s="82" t="s">
        <v>4711</v>
      </c>
      <c r="F4">
        <v>2</v>
      </c>
      <c r="J4">
        <v>1.0061800000000001</v>
      </c>
      <c r="K4">
        <v>1.0061800000000001</v>
      </c>
      <c r="L4">
        <v>1.0024999999999999</v>
      </c>
      <c r="N4" s="76" t="str">
        <f t="shared" si="0"/>
        <v>Final width + berm width</v>
      </c>
      <c r="O4" s="1360">
        <f t="shared" si="2"/>
        <v>58.040791160845636</v>
      </c>
      <c r="P4" s="1360">
        <f t="shared" si="3"/>
        <v>58.040791160845636</v>
      </c>
      <c r="Q4" s="1360">
        <f t="shared" si="4"/>
        <v>57.868300839584876</v>
      </c>
      <c r="R4" s="1360">
        <f t="shared" si="5"/>
        <v>51.619587119564621</v>
      </c>
      <c r="S4" s="1360">
        <f t="shared" si="6"/>
        <v>51.619587119564621</v>
      </c>
      <c r="T4" s="1360">
        <f t="shared" si="7"/>
        <v>51.619587119564621</v>
      </c>
      <c r="U4" s="1360">
        <f t="shared" si="8"/>
        <v>50.202575649756049</v>
      </c>
      <c r="V4" s="1360">
        <f t="shared" si="9"/>
        <v>50.202575649756049</v>
      </c>
      <c r="W4" s="1209">
        <f t="shared" si="10"/>
        <v>50.202575649756049</v>
      </c>
      <c r="X4" s="1209">
        <f t="shared" si="11"/>
        <v>44.013784152366142</v>
      </c>
      <c r="Y4" s="49" t="str">
        <f t="shared" si="1"/>
        <v>m</v>
      </c>
    </row>
    <row r="5" spans="1:25" x14ac:dyDescent="0.3">
      <c r="A5" t="s">
        <v>761</v>
      </c>
      <c r="B5" s="1365">
        <f>UDV.anaer_lagoon.HRT</f>
        <v>365</v>
      </c>
      <c r="C5" t="s">
        <v>4756</v>
      </c>
      <c r="F5">
        <v>3</v>
      </c>
      <c r="J5">
        <v>1.000618</v>
      </c>
      <c r="K5">
        <v>1.000618</v>
      </c>
      <c r="L5">
        <v>1.0002500000000001</v>
      </c>
      <c r="N5" s="76" t="str">
        <f t="shared" si="0"/>
        <v>Freeboard volume</v>
      </c>
      <c r="O5" s="1360">
        <f t="shared" si="2"/>
        <v>374.28803926912229</v>
      </c>
      <c r="P5" s="1360">
        <f t="shared" si="3"/>
        <v>374.28803926912229</v>
      </c>
      <c r="Q5" s="1360">
        <f t="shared" si="4"/>
        <v>372.16910541987613</v>
      </c>
      <c r="R5" s="1360">
        <f t="shared" si="5"/>
        <v>299.48425853520189</v>
      </c>
      <c r="S5" s="1360">
        <f t="shared" si="6"/>
        <v>299.48425853520189</v>
      </c>
      <c r="T5" s="1360">
        <f t="shared" si="7"/>
        <v>299.48425853520189</v>
      </c>
      <c r="U5" s="1360">
        <f t="shared" si="8"/>
        <v>284.10524638001516</v>
      </c>
      <c r="V5" s="1360">
        <f t="shared" si="9"/>
        <v>284.10524638001516</v>
      </c>
      <c r="W5" s="1209">
        <f t="shared" si="10"/>
        <v>284.10524638001516</v>
      </c>
      <c r="X5" s="1209">
        <f t="shared" si="11"/>
        <v>221.7198630031674</v>
      </c>
      <c r="Y5" s="49" t="str">
        <f t="shared" si="1"/>
        <v>m3</v>
      </c>
    </row>
    <row r="6" spans="1:25" x14ac:dyDescent="0.3">
      <c r="A6" t="s">
        <v>4757</v>
      </c>
      <c r="B6">
        <f>B5/UC.year_to_day</f>
        <v>1</v>
      </c>
      <c r="C6" t="s">
        <v>4758</v>
      </c>
      <c r="F6">
        <v>4</v>
      </c>
      <c r="J6">
        <v>1.0000617999999999</v>
      </c>
      <c r="K6">
        <v>1.0000617999999999</v>
      </c>
      <c r="L6">
        <v>1.0000249999999999</v>
      </c>
      <c r="N6" s="76" t="str">
        <f t="shared" si="0"/>
        <v>Lagoon volume</v>
      </c>
      <c r="O6" s="1360">
        <f t="shared" si="2"/>
        <v>7357.0280934313305</v>
      </c>
      <c r="P6" s="1360">
        <f t="shared" si="3"/>
        <v>7357.0280934313305</v>
      </c>
      <c r="Q6" s="1360">
        <f t="shared" si="4"/>
        <v>7295.1390379885152</v>
      </c>
      <c r="R6" s="1360">
        <f t="shared" si="5"/>
        <v>5236.5657910146083</v>
      </c>
      <c r="S6" s="1360">
        <f t="shared" si="6"/>
        <v>5236.5657910146083</v>
      </c>
      <c r="T6" s="1360">
        <f t="shared" si="7"/>
        <v>5236.5657910146083</v>
      </c>
      <c r="U6" s="1360">
        <f t="shared" si="8"/>
        <v>4819.4091995317904</v>
      </c>
      <c r="V6" s="1360">
        <f t="shared" si="9"/>
        <v>4819.4091995317904</v>
      </c>
      <c r="W6" s="1209">
        <f t="shared" si="10"/>
        <v>4819.4091995317904</v>
      </c>
      <c r="X6" s="1209">
        <f t="shared" si="11"/>
        <v>3212.6869529101027</v>
      </c>
      <c r="Y6" s="49" t="str">
        <f t="shared" si="1"/>
        <v>m3/HRT</v>
      </c>
    </row>
    <row r="7" spans="1:25" x14ac:dyDescent="0.3">
      <c r="A7" t="s">
        <v>4759</v>
      </c>
      <c r="B7" s="1366">
        <f>UDV.rain.storm2524</f>
        <v>0.14427199999999998</v>
      </c>
      <c r="C7" t="s">
        <v>4760</v>
      </c>
      <c r="F7">
        <v>5</v>
      </c>
      <c r="J7">
        <v>1</v>
      </c>
      <c r="K7">
        <v>1</v>
      </c>
      <c r="L7">
        <v>1</v>
      </c>
      <c r="N7" s="76" t="str">
        <f t="shared" si="0"/>
        <v>Best result</v>
      </c>
      <c r="O7" s="1360">
        <f t="shared" si="2"/>
        <v>1.0000617999999999</v>
      </c>
      <c r="P7" s="1360">
        <f t="shared" si="3"/>
        <v>1.0000617999999999</v>
      </c>
      <c r="Q7" s="1360">
        <f t="shared" si="4"/>
        <v>1</v>
      </c>
      <c r="R7" s="1360">
        <f t="shared" si="5"/>
        <v>1.0000617999999999</v>
      </c>
      <c r="S7" s="1360">
        <f t="shared" si="6"/>
        <v>1.0000617999999999</v>
      </c>
      <c r="T7" s="1360">
        <f t="shared" si="7"/>
        <v>1.0000617999999999</v>
      </c>
      <c r="U7" s="1360">
        <f t="shared" si="8"/>
        <v>1</v>
      </c>
      <c r="V7" s="1360">
        <f t="shared" si="9"/>
        <v>1</v>
      </c>
      <c r="W7" s="1209">
        <f t="shared" si="10"/>
        <v>1</v>
      </c>
      <c r="X7" s="1209">
        <f t="shared" si="11"/>
        <v>1.0000617999999999</v>
      </c>
      <c r="Y7" s="49" t="str">
        <f t="shared" si="1"/>
        <v>multiplier</v>
      </c>
    </row>
    <row r="8" spans="1:25" x14ac:dyDescent="0.3">
      <c r="A8" t="s">
        <v>4761</v>
      </c>
      <c r="B8" s="1367">
        <f>UDV.rain.regular*B6</f>
        <v>0.78079599999999971</v>
      </c>
      <c r="C8" t="s">
        <v>4760</v>
      </c>
      <c r="N8" s="76" t="str">
        <f t="shared" si="0"/>
        <v>Iterations</v>
      </c>
      <c r="O8" s="1360">
        <f t="shared" si="2"/>
        <v>26</v>
      </c>
      <c r="P8" s="1360">
        <f t="shared" si="3"/>
        <v>26</v>
      </c>
      <c r="Q8" s="1360">
        <f t="shared" si="4"/>
        <v>27</v>
      </c>
      <c r="R8" s="1360">
        <f t="shared" si="5"/>
        <v>29</v>
      </c>
      <c r="S8" s="1360">
        <f t="shared" si="6"/>
        <v>29</v>
      </c>
      <c r="T8" s="1360">
        <f t="shared" si="7"/>
        <v>29</v>
      </c>
      <c r="U8" s="1360">
        <f t="shared" si="8"/>
        <v>23</v>
      </c>
      <c r="V8" s="1360">
        <f t="shared" si="9"/>
        <v>23</v>
      </c>
      <c r="W8" s="1209">
        <f t="shared" si="10"/>
        <v>23</v>
      </c>
      <c r="X8" s="1209">
        <f t="shared" si="11"/>
        <v>22</v>
      </c>
      <c r="Y8" s="49" t="str">
        <f t="shared" si="1"/>
        <v>iterations</v>
      </c>
    </row>
    <row r="9" spans="1:25" x14ac:dyDescent="0.3">
      <c r="A9" t="s">
        <v>4762</v>
      </c>
      <c r="B9" s="1368">
        <f>B6*UDV.rain.evaporation</f>
        <v>0.91262199999999993</v>
      </c>
      <c r="C9" t="s">
        <v>4760</v>
      </c>
      <c r="N9" s="76" t="str">
        <f t="shared" si="0"/>
        <v>24 hr, 25 year rain volume</v>
      </c>
      <c r="O9" s="1360">
        <f t="shared" si="2"/>
        <v>486.01391065036597</v>
      </c>
      <c r="P9" s="1360">
        <f t="shared" si="3"/>
        <v>486.01391065036597</v>
      </c>
      <c r="Q9" s="1360">
        <f t="shared" si="4"/>
        <v>483.12945220258121</v>
      </c>
      <c r="R9" s="1360">
        <f t="shared" si="5"/>
        <v>384.42454175541752</v>
      </c>
      <c r="S9" s="1360">
        <f t="shared" si="6"/>
        <v>384.42454175541752</v>
      </c>
      <c r="T9" s="1360">
        <f t="shared" si="7"/>
        <v>384.42454175541752</v>
      </c>
      <c r="U9" s="1360">
        <f t="shared" si="8"/>
        <v>363.60851988891346</v>
      </c>
      <c r="V9" s="1360">
        <f t="shared" si="9"/>
        <v>363.60851988891346</v>
      </c>
      <c r="W9" s="1209">
        <f t="shared" si="10"/>
        <v>363.60851988891346</v>
      </c>
      <c r="X9" s="1209">
        <f t="shared" si="11"/>
        <v>279.48562212834685</v>
      </c>
      <c r="Y9" s="49" t="str">
        <f t="shared" si="1"/>
        <v>m3/HRT</v>
      </c>
    </row>
    <row r="10" spans="1:25" x14ac:dyDescent="0.3">
      <c r="A10" t="s">
        <v>4763</v>
      </c>
      <c r="B10" s="78">
        <f>B7+B8</f>
        <v>0.92506799999999967</v>
      </c>
      <c r="C10" t="s">
        <v>4760</v>
      </c>
      <c r="N10" s="76" t="str">
        <f t="shared" si="0"/>
        <v>Regular rain volume</v>
      </c>
      <c r="O10" s="1360">
        <f t="shared" si="2"/>
        <v>2630.2935939070858</v>
      </c>
      <c r="P10" s="1360">
        <f t="shared" si="3"/>
        <v>2630.2935939070858</v>
      </c>
      <c r="Q10" s="1360">
        <f t="shared" si="4"/>
        <v>2614.6829860400248</v>
      </c>
      <c r="R10" s="1360">
        <f t="shared" si="5"/>
        <v>2080.4947911199879</v>
      </c>
      <c r="S10" s="1360">
        <f t="shared" si="6"/>
        <v>2080.4947911199879</v>
      </c>
      <c r="T10" s="1360">
        <f t="shared" si="7"/>
        <v>2080.4947911199879</v>
      </c>
      <c r="U10" s="1360">
        <f t="shared" si="8"/>
        <v>1967.8390671452812</v>
      </c>
      <c r="V10" s="1360">
        <f t="shared" si="9"/>
        <v>1967.8390671452812</v>
      </c>
      <c r="W10" s="1209">
        <f t="shared" si="10"/>
        <v>1967.8390671452812</v>
      </c>
      <c r="X10" s="1209">
        <f t="shared" si="11"/>
        <v>1512.5683141241866</v>
      </c>
      <c r="Y10" s="49" t="str">
        <f t="shared" si="1"/>
        <v>m3/HRT</v>
      </c>
    </row>
    <row r="11" spans="1:25" x14ac:dyDescent="0.3">
      <c r="A11" t="s">
        <v>4764</v>
      </c>
      <c r="B11" s="1369">
        <f>UDV.anaer_lagoon.depth</f>
        <v>4.5720000000000001</v>
      </c>
      <c r="C11" t="s">
        <v>2337</v>
      </c>
      <c r="N11" s="76" t="str">
        <f t="shared" si="0"/>
        <v>Evaporated volume</v>
      </c>
      <c r="O11" s="1360">
        <f t="shared" si="2"/>
        <v>1340.7487136681357</v>
      </c>
      <c r="P11" s="1360">
        <f t="shared" si="3"/>
        <v>1340.7487136681357</v>
      </c>
      <c r="Q11" s="1360">
        <f t="shared" si="4"/>
        <v>1384.9710853944098</v>
      </c>
      <c r="R11" s="1360">
        <f t="shared" si="5"/>
        <v>978.16613319366127</v>
      </c>
      <c r="S11" s="1360">
        <f t="shared" si="6"/>
        <v>978.16613319366127</v>
      </c>
      <c r="T11" s="1360">
        <f t="shared" si="7"/>
        <v>978.16613319366127</v>
      </c>
      <c r="U11" s="1360">
        <f t="shared" si="8"/>
        <v>895.72973336778398</v>
      </c>
      <c r="V11" s="1360">
        <f t="shared" si="9"/>
        <v>895.72973336778398</v>
      </c>
      <c r="W11" s="1209">
        <f t="shared" si="10"/>
        <v>895.72973336778398</v>
      </c>
      <c r="X11" s="1209">
        <f t="shared" si="11"/>
        <v>578.21731660163937</v>
      </c>
      <c r="Y11" s="49" t="str">
        <f t="shared" si="1"/>
        <v>m3/HRT</v>
      </c>
    </row>
    <row r="12" spans="1:25" x14ac:dyDescent="0.3">
      <c r="A12" t="s">
        <v>4712</v>
      </c>
      <c r="B12">
        <f>IF(B11&lt;B10,B10*1.15,B11)</f>
        <v>4.5720000000000001</v>
      </c>
      <c r="C12" t="s">
        <v>2337</v>
      </c>
      <c r="N12" s="76" t="str">
        <f t="shared" si="0"/>
        <v>Evap check volume</v>
      </c>
      <c r="O12" s="1360">
        <f t="shared" si="2"/>
        <v>2245.5096404836386</v>
      </c>
      <c r="P12" s="1360">
        <f t="shared" si="3"/>
        <v>2245.5096404836368</v>
      </c>
      <c r="Q12" s="1360">
        <f t="shared" si="4"/>
        <v>2185.6766608903026</v>
      </c>
      <c r="R12" s="1360">
        <f t="shared" si="5"/>
        <v>2098.8702001126653</v>
      </c>
      <c r="S12" s="1360">
        <f t="shared" si="6"/>
        <v>2098.8702001126653</v>
      </c>
      <c r="T12" s="1360">
        <f t="shared" si="7"/>
        <v>2098.8702001126653</v>
      </c>
      <c r="U12" s="1360">
        <f t="shared" si="8"/>
        <v>2076.7662323521658</v>
      </c>
      <c r="V12" s="1360">
        <f t="shared" si="9"/>
        <v>2076.7662323521658</v>
      </c>
      <c r="W12" s="1209">
        <f t="shared" si="10"/>
        <v>2076.7662323521658</v>
      </c>
      <c r="X12" s="1209">
        <f t="shared" si="11"/>
        <v>1625.6602064593883</v>
      </c>
      <c r="Y12" s="49" t="str">
        <f t="shared" si="1"/>
        <v>m3/HRT</v>
      </c>
    </row>
    <row r="13" spans="1:25" x14ac:dyDescent="0.3">
      <c r="A13" t="s">
        <v>4713</v>
      </c>
      <c r="B13" s="1369">
        <f>UDV.anaer_lagoon.slope</f>
        <v>3</v>
      </c>
      <c r="C13" t="s">
        <v>2446</v>
      </c>
      <c r="N13" s="76" t="str">
        <f t="shared" si="0"/>
        <v>Applicable volume</v>
      </c>
      <c r="O13" s="1360">
        <f t="shared" si="2"/>
        <v>2345.7579553729747</v>
      </c>
      <c r="P13" s="1360">
        <f t="shared" si="3"/>
        <v>2345.7579553729743</v>
      </c>
      <c r="Q13" s="1360">
        <f t="shared" si="4"/>
        <v>2285.9249757796392</v>
      </c>
      <c r="R13" s="1360">
        <f t="shared" si="5"/>
        <v>2158.5417330603514</v>
      </c>
      <c r="S13" s="1360">
        <f t="shared" si="6"/>
        <v>2158.5417330603514</v>
      </c>
      <c r="T13" s="1360">
        <f t="shared" si="7"/>
        <v>2158.5417330603514</v>
      </c>
      <c r="U13" s="1360">
        <f t="shared" si="8"/>
        <v>2128.3224089115215</v>
      </c>
      <c r="V13" s="1360">
        <f t="shared" si="9"/>
        <v>2128.3224089115215</v>
      </c>
      <c r="W13" s="1209">
        <f t="shared" si="10"/>
        <v>2128.322408911522</v>
      </c>
      <c r="X13" s="1209">
        <f t="shared" si="11"/>
        <v>1705.8588583708572</v>
      </c>
      <c r="Y13" s="49" t="str">
        <f t="shared" si="1"/>
        <v>m3/HRT</v>
      </c>
    </row>
    <row r="14" spans="1:25" x14ac:dyDescent="0.3">
      <c r="A14" t="s">
        <v>4765</v>
      </c>
      <c r="B14" s="205">
        <f>B12*B13*2</f>
        <v>27.432000000000002</v>
      </c>
      <c r="C14" t="s">
        <v>2337</v>
      </c>
      <c r="N14" s="76" t="str">
        <f t="shared" si="0"/>
        <v>Supplemental water needs</v>
      </c>
      <c r="O14" s="1360">
        <f t="shared" si="2"/>
        <v>56.51613864993692</v>
      </c>
      <c r="P14" s="1360">
        <f t="shared" si="3"/>
        <v>56.51613864993692</v>
      </c>
      <c r="Q14" s="1360">
        <f t="shared" si="4"/>
        <v>100.73851037621102</v>
      </c>
      <c r="R14" s="1360">
        <f t="shared" si="5"/>
        <v>213.74304541124559</v>
      </c>
      <c r="S14" s="1360">
        <f t="shared" si="6"/>
        <v>213.74304541124559</v>
      </c>
      <c r="T14" s="1360">
        <f t="shared" si="7"/>
        <v>213.74304541124559</v>
      </c>
      <c r="U14" s="1360">
        <f t="shared" si="8"/>
        <v>235.26854303252424</v>
      </c>
      <c r="V14" s="1360">
        <f t="shared" si="9"/>
        <v>235.26854303252424</v>
      </c>
      <c r="W14" s="1209">
        <f t="shared" si="10"/>
        <v>235.26854303252424</v>
      </c>
      <c r="X14" s="1209">
        <f t="shared" si="11"/>
        <v>1943.9657637925852</v>
      </c>
      <c r="Y14" s="49" t="str">
        <f t="shared" si="1"/>
        <v>m3/HRT</v>
      </c>
    </row>
    <row r="15" spans="1:25" x14ac:dyDescent="0.3">
      <c r="A15" t="s">
        <v>4715</v>
      </c>
      <c r="B15" s="1369">
        <f>UDV.anaer_lagoon.berm_width</f>
        <v>2.5</v>
      </c>
      <c r="C15" t="s">
        <v>2337</v>
      </c>
      <c r="N15" s="76" t="str">
        <f t="shared" si="0"/>
        <v>Non-applied volume</v>
      </c>
      <c r="O15" s="1360">
        <f t="shared" si="2"/>
        <v>860.30194991948827</v>
      </c>
      <c r="P15" s="1360">
        <f t="shared" si="3"/>
        <v>860.30194991948827</v>
      </c>
      <c r="Q15" s="1360">
        <f t="shared" si="4"/>
        <v>855.29855762245734</v>
      </c>
      <c r="R15" s="1360">
        <f t="shared" si="5"/>
        <v>683.90880029061941</v>
      </c>
      <c r="S15" s="1360">
        <f t="shared" si="6"/>
        <v>683.90880029061941</v>
      </c>
      <c r="T15" s="1360">
        <f t="shared" si="7"/>
        <v>683.90880029061941</v>
      </c>
      <c r="U15" s="1360">
        <f t="shared" si="8"/>
        <v>647.71376626892857</v>
      </c>
      <c r="V15" s="1360">
        <f t="shared" si="9"/>
        <v>647.71376626892857</v>
      </c>
      <c r="W15" s="1209">
        <f t="shared" si="10"/>
        <v>647.71376626892857</v>
      </c>
      <c r="X15" s="1209">
        <f t="shared" si="11"/>
        <v>501.20548513151425</v>
      </c>
      <c r="Y15" s="49" t="str">
        <f t="shared" si="1"/>
        <v>m3/HRT</v>
      </c>
    </row>
    <row r="16" spans="1:25" x14ac:dyDescent="0.3">
      <c r="A16" t="s">
        <v>4716</v>
      </c>
      <c r="B16" s="1369">
        <f>UDV.anaer_lagoon.freeboard</f>
        <v>0.30480000000000002</v>
      </c>
      <c r="C16" t="s">
        <v>2337</v>
      </c>
      <c r="N16" s="31" t="str">
        <f t="shared" si="0"/>
        <v>Surface area</v>
      </c>
      <c r="O16" s="1370">
        <f t="shared" si="2"/>
        <v>3368.7334385768968</v>
      </c>
      <c r="P16" s="1370">
        <f t="shared" si="3"/>
        <v>3368.7334385768968</v>
      </c>
      <c r="Q16" s="1370">
        <f t="shared" si="4"/>
        <v>3348.7402420606995</v>
      </c>
      <c r="R16" s="1370">
        <f t="shared" si="5"/>
        <v>2664.5817743943217</v>
      </c>
      <c r="S16" s="1370">
        <f t="shared" si="6"/>
        <v>2664.5817743943217</v>
      </c>
      <c r="T16" s="1370">
        <f t="shared" si="7"/>
        <v>2664.5817743943217</v>
      </c>
      <c r="U16" s="1370">
        <f t="shared" si="8"/>
        <v>2520.2986018694792</v>
      </c>
      <c r="V16" s="1370">
        <f t="shared" si="9"/>
        <v>2520.2986018694792</v>
      </c>
      <c r="W16" s="1649">
        <f t="shared" si="10"/>
        <v>2520.2986018694792</v>
      </c>
      <c r="X16" s="1649">
        <f t="shared" si="11"/>
        <v>1937.2131954110769</v>
      </c>
      <c r="Y16" s="49" t="str">
        <f t="shared" si="1"/>
        <v>m2</v>
      </c>
    </row>
    <row r="17" spans="1:169" x14ac:dyDescent="0.3">
      <c r="A17" t="s">
        <v>4718</v>
      </c>
      <c r="B17" s="1369">
        <f>UDV.rain.drainage_area</f>
        <v>0</v>
      </c>
      <c r="C17" t="s">
        <v>2268</v>
      </c>
      <c r="N17" s="31" t="str">
        <f t="shared" si="0"/>
        <v>Built volume</v>
      </c>
      <c r="O17" s="1370">
        <f t="shared" si="2"/>
        <v>7731.3161327004527</v>
      </c>
      <c r="P17" s="1370">
        <f t="shared" si="3"/>
        <v>7731.3161327004527</v>
      </c>
      <c r="Q17" s="1370">
        <f t="shared" si="4"/>
        <v>7667.3081434083915</v>
      </c>
      <c r="R17" s="1370">
        <f t="shared" si="5"/>
        <v>5536.05004954981</v>
      </c>
      <c r="S17" s="1370">
        <f t="shared" si="6"/>
        <v>5536.05004954981</v>
      </c>
      <c r="T17" s="1370">
        <f t="shared" si="7"/>
        <v>5536.05004954981</v>
      </c>
      <c r="U17" s="1370">
        <f t="shared" si="8"/>
        <v>5103.5144459118055</v>
      </c>
      <c r="V17" s="1370">
        <f t="shared" si="9"/>
        <v>5103.5144459118055</v>
      </c>
      <c r="W17" s="1649">
        <f t="shared" si="10"/>
        <v>5103.5144459118055</v>
      </c>
      <c r="X17" s="1649">
        <f t="shared" si="11"/>
        <v>3434.4068159132703</v>
      </c>
      <c r="Y17" s="49" t="str">
        <f t="shared" si="1"/>
        <v>m3/HRT</v>
      </c>
      <c r="AC17" s="42"/>
      <c r="AD17" s="42"/>
      <c r="AE17" s="42"/>
      <c r="AF17" s="42"/>
      <c r="AG17" s="42"/>
      <c r="AH17" s="42"/>
      <c r="AI17" s="42"/>
      <c r="AJ17" s="42"/>
      <c r="AK17" s="42"/>
      <c r="AL17" s="42"/>
      <c r="AM17" s="42"/>
      <c r="AN17" s="42"/>
      <c r="AO17" s="42"/>
      <c r="AP17" s="42"/>
      <c r="AQ17" s="42"/>
      <c r="AR17" s="42"/>
      <c r="AS17" s="42"/>
      <c r="AT17" s="42"/>
      <c r="AU17" s="42"/>
      <c r="AV17" s="42"/>
      <c r="AW17" s="42"/>
      <c r="AX17" s="42"/>
      <c r="AY17" s="42"/>
    </row>
    <row r="18" spans="1:169" x14ac:dyDescent="0.3">
      <c r="A18" t="s">
        <v>4766</v>
      </c>
      <c r="B18">
        <f>B14+B15*2</f>
        <v>32.432000000000002</v>
      </c>
      <c r="C18" t="s">
        <v>2337</v>
      </c>
      <c r="N18" s="31" t="str">
        <f t="shared" si="0"/>
        <v>Applied non sludge volume</v>
      </c>
      <c r="O18" s="1370">
        <f t="shared" si="2"/>
        <v>2402.2740940229114</v>
      </c>
      <c r="P18" s="1370">
        <f t="shared" si="3"/>
        <v>2402.2740940229114</v>
      </c>
      <c r="Q18" s="1370">
        <f t="shared" si="4"/>
        <v>2386.6634861558505</v>
      </c>
      <c r="R18" s="1370">
        <f t="shared" si="5"/>
        <v>2372.2847784715968</v>
      </c>
      <c r="S18" s="1370">
        <f t="shared" si="6"/>
        <v>2372.2847784715968</v>
      </c>
      <c r="T18" s="1370">
        <f t="shared" si="7"/>
        <v>2372.2847784715968</v>
      </c>
      <c r="U18" s="1370">
        <f t="shared" si="8"/>
        <v>2363.5909519440456</v>
      </c>
      <c r="V18" s="1370">
        <f t="shared" si="9"/>
        <v>2363.5909519440456</v>
      </c>
      <c r="W18" s="1649">
        <f t="shared" si="10"/>
        <v>2363.5909519440461</v>
      </c>
      <c r="X18" s="1649">
        <f t="shared" si="11"/>
        <v>3649.8246221634427</v>
      </c>
      <c r="Y18" s="49" t="str">
        <f t="shared" si="1"/>
        <v>m3/HRT</v>
      </c>
      <c r="AC18" s="42"/>
      <c r="AD18" s="42"/>
      <c r="AE18" s="42"/>
      <c r="AF18" s="42"/>
      <c r="AG18" s="79"/>
      <c r="AH18" s="42"/>
      <c r="AI18" s="42"/>
      <c r="AJ18" s="42"/>
      <c r="AK18" s="42"/>
      <c r="AL18" s="42"/>
      <c r="AM18" s="42"/>
      <c r="AN18" s="42"/>
      <c r="AO18" s="42"/>
      <c r="AP18" s="42"/>
      <c r="AQ18" s="42"/>
      <c r="AR18" s="42"/>
      <c r="AS18" s="42"/>
      <c r="AT18" s="42"/>
      <c r="AU18" s="42"/>
      <c r="AV18" s="42"/>
      <c r="AW18" s="42"/>
      <c r="AX18" s="42"/>
      <c r="AY18" s="42"/>
    </row>
    <row r="19" spans="1:169" x14ac:dyDescent="0.3">
      <c r="A19" t="s">
        <v>4767</v>
      </c>
      <c r="B19" s="205">
        <f>B18*B18</f>
        <v>1051.8346240000001</v>
      </c>
      <c r="C19" t="s">
        <v>2268</v>
      </c>
      <c r="N19" s="31" t="str">
        <f t="shared" si="0"/>
        <v>Supplemental water used</v>
      </c>
      <c r="O19" s="1370">
        <f t="shared" si="2"/>
        <v>56.51613864993692</v>
      </c>
      <c r="P19" s="1370">
        <f t="shared" si="3"/>
        <v>56.51613864993692</v>
      </c>
      <c r="Q19" s="1370">
        <f t="shared" si="4"/>
        <v>100.73851037621102</v>
      </c>
      <c r="R19" s="1370">
        <f t="shared" si="5"/>
        <v>213.74304541124559</v>
      </c>
      <c r="S19" s="1370">
        <f t="shared" si="6"/>
        <v>213.74304541124559</v>
      </c>
      <c r="T19" s="1370">
        <f t="shared" si="7"/>
        <v>213.74304541124559</v>
      </c>
      <c r="U19" s="1370">
        <f t="shared" si="8"/>
        <v>235.26854303252424</v>
      </c>
      <c r="V19" s="1370">
        <f t="shared" si="9"/>
        <v>235.26854303252424</v>
      </c>
      <c r="W19" s="1649">
        <f t="shared" si="10"/>
        <v>235.26854303252424</v>
      </c>
      <c r="X19" s="1649">
        <f t="shared" si="11"/>
        <v>1943.9657637925852</v>
      </c>
      <c r="Y19" s="49" t="str">
        <f t="shared" si="1"/>
        <v>m3/HRT</v>
      </c>
      <c r="AC19" s="42"/>
      <c r="AD19" s="42"/>
      <c r="AE19" s="42"/>
      <c r="AF19" s="42"/>
      <c r="AG19" s="42"/>
      <c r="AH19" s="42"/>
      <c r="AI19" s="42"/>
      <c r="AJ19" s="42"/>
      <c r="AK19" s="42"/>
      <c r="AL19" s="42"/>
      <c r="AM19" s="42"/>
      <c r="AN19" s="42"/>
      <c r="AO19" s="42"/>
      <c r="AP19" s="42"/>
      <c r="AQ19" s="42"/>
      <c r="AR19" s="42"/>
      <c r="AS19" s="42"/>
      <c r="AT19" s="42"/>
      <c r="AU19" s="42"/>
      <c r="AV19" s="42"/>
      <c r="AW19" s="42"/>
      <c r="AX19" s="42"/>
      <c r="AY19" s="42"/>
    </row>
    <row r="20" spans="1:169" x14ac:dyDescent="0.3">
      <c r="A20" t="s">
        <v>4768</v>
      </c>
      <c r="B20" s="205">
        <f>B7*(B17 + B19)</f>
        <v>151.75028487372799</v>
      </c>
      <c r="C20" t="s">
        <v>4731</v>
      </c>
      <c r="AC20" s="42"/>
      <c r="AD20" s="42"/>
      <c r="AE20" s="42"/>
      <c r="AF20" s="42"/>
      <c r="AG20" s="42"/>
      <c r="AH20" s="42"/>
      <c r="AI20" s="42"/>
      <c r="AJ20" s="42"/>
      <c r="AK20" s="42"/>
      <c r="AL20" s="42"/>
      <c r="AM20" s="42"/>
      <c r="AN20" s="42"/>
      <c r="AO20" s="42"/>
      <c r="AP20" s="42"/>
      <c r="AQ20" s="42"/>
      <c r="AR20" s="42"/>
      <c r="AS20" s="42"/>
      <c r="AT20" s="42"/>
      <c r="AU20" s="42"/>
      <c r="AV20" s="42"/>
      <c r="AW20" s="42"/>
      <c r="AX20" s="42"/>
      <c r="AY20" s="42"/>
    </row>
    <row r="21" spans="1:169" x14ac:dyDescent="0.3">
      <c r="A21" t="s">
        <v>4769</v>
      </c>
      <c r="B21" s="205">
        <f>B8*(B17 + B19)</f>
        <v>821.26826708070371</v>
      </c>
      <c r="C21" t="s">
        <v>4731</v>
      </c>
      <c r="AC21" s="42"/>
      <c r="AD21" s="79"/>
      <c r="AE21" s="79"/>
      <c r="AF21" s="79"/>
      <c r="AG21" s="79"/>
      <c r="AH21" s="79"/>
      <c r="AI21" s="42"/>
      <c r="AJ21" s="42"/>
      <c r="AK21" s="42"/>
      <c r="AL21" s="42"/>
      <c r="AM21" s="42"/>
      <c r="AN21" s="42"/>
      <c r="AO21" s="42"/>
      <c r="AP21" s="42"/>
      <c r="AQ21" s="42"/>
      <c r="AR21" s="42"/>
      <c r="AS21" s="42"/>
      <c r="AT21" s="42"/>
      <c r="AU21" s="42"/>
      <c r="AV21" s="42"/>
      <c r="AW21" s="42"/>
      <c r="AX21" s="42"/>
      <c r="AY21" s="42"/>
    </row>
    <row r="22" spans="1:169" x14ac:dyDescent="0.3">
      <c r="A22" t="s">
        <v>4770</v>
      </c>
      <c r="B22" s="205">
        <f>B20+B21</f>
        <v>973.0185519544317</v>
      </c>
      <c r="C22" t="s">
        <v>4731</v>
      </c>
      <c r="AC22" s="79"/>
      <c r="AD22" s="79"/>
      <c r="AE22" s="79"/>
      <c r="AF22" s="1062"/>
      <c r="AG22" s="79"/>
      <c r="AH22" s="79"/>
      <c r="AI22" s="147"/>
      <c r="AJ22" s="79"/>
      <c r="AK22" s="803"/>
      <c r="AL22" s="42"/>
      <c r="AM22" s="42"/>
      <c r="AN22" s="79"/>
      <c r="AO22" s="79"/>
      <c r="AP22" s="79"/>
      <c r="AQ22" s="79"/>
      <c r="AR22" s="79"/>
      <c r="AS22" s="79"/>
      <c r="AT22" s="79"/>
      <c r="AU22" s="79"/>
      <c r="AV22" s="79"/>
      <c r="AW22" s="79"/>
      <c r="AX22" s="42"/>
      <c r="AY22" s="79"/>
    </row>
    <row r="23" spans="1:169" x14ac:dyDescent="0.3">
      <c r="A23" t="s">
        <v>4771</v>
      </c>
      <c r="B23" s="205">
        <f>1/3*B16*(B18^2 + (B18 - B14)^2 + B18 * (B18 - B14))</f>
        <v>125.88185379840002</v>
      </c>
      <c r="C23" t="s">
        <v>4731</v>
      </c>
      <c r="AC23" s="79"/>
      <c r="AD23" s="79"/>
      <c r="AE23" s="79"/>
      <c r="AF23" s="79"/>
      <c r="AG23" s="79"/>
      <c r="AH23" s="79"/>
      <c r="AI23" s="79"/>
      <c r="AJ23" s="79"/>
      <c r="AK23" s="79"/>
      <c r="AL23" s="79"/>
      <c r="AM23" s="79"/>
      <c r="AN23" s="79"/>
      <c r="AO23" s="79"/>
      <c r="AP23" s="79"/>
      <c r="AQ23" s="79"/>
      <c r="AR23" s="79"/>
      <c r="AS23" s="79"/>
      <c r="AT23" s="79"/>
      <c r="AU23" s="79"/>
      <c r="AV23" s="79"/>
      <c r="AW23" s="79"/>
      <c r="AX23" s="79"/>
      <c r="AY23" s="79"/>
    </row>
    <row r="24" spans="1:169" x14ac:dyDescent="0.3">
      <c r="A24" t="s">
        <v>4772</v>
      </c>
      <c r="B24" s="205">
        <f>1/3*B14^2*B12</f>
        <v>1146.8322869760002</v>
      </c>
      <c r="C24" t="s">
        <v>4731</v>
      </c>
      <c r="AC24" s="79"/>
      <c r="AD24" s="79"/>
      <c r="AE24" s="79"/>
      <c r="AF24" s="79"/>
      <c r="AG24" s="79"/>
      <c r="AH24" s="79"/>
      <c r="AI24" s="79"/>
      <c r="AJ24" s="79"/>
      <c r="AK24" s="79"/>
      <c r="AL24" s="79"/>
      <c r="AM24" s="79"/>
      <c r="AN24" s="79"/>
      <c r="AO24" s="79"/>
      <c r="AP24" s="79"/>
      <c r="AQ24" s="79"/>
      <c r="AR24" s="79"/>
      <c r="AS24" s="79"/>
      <c r="AT24" s="79"/>
      <c r="AU24" s="79"/>
      <c r="AV24" s="79"/>
      <c r="AW24" s="79"/>
      <c r="AX24" s="79"/>
      <c r="AY24" s="79"/>
    </row>
    <row r="25" spans="1:169" x14ac:dyDescent="0.3">
      <c r="A25" t="s">
        <v>4773</v>
      </c>
      <c r="B25">
        <f>$B$17*B7</f>
        <v>0</v>
      </c>
      <c r="C25" t="s">
        <v>4731</v>
      </c>
      <c r="M25" s="314"/>
      <c r="AC25" s="7"/>
      <c r="AD25" s="7"/>
      <c r="AE25" s="7"/>
      <c r="AF25" s="7"/>
      <c r="AG25" s="7"/>
      <c r="AH25" s="7"/>
      <c r="AI25" s="7"/>
      <c r="AJ25" s="7"/>
      <c r="AK25" s="7"/>
      <c r="AL25" s="7"/>
      <c r="AM25" s="7"/>
      <c r="AN25" s="7"/>
      <c r="AO25" s="7"/>
      <c r="AP25" s="7"/>
      <c r="AQ25" s="7"/>
      <c r="AR25" s="7"/>
      <c r="AS25" s="7"/>
      <c r="AT25" s="7"/>
      <c r="AU25" s="7"/>
      <c r="AV25" s="7"/>
      <c r="AW25" s="7"/>
      <c r="AX25" s="7"/>
      <c r="AY25" s="7"/>
    </row>
    <row r="26" spans="1:169" x14ac:dyDescent="0.3">
      <c r="A26" t="s">
        <v>4774</v>
      </c>
      <c r="B26">
        <f>$B$17*B8</f>
        <v>0</v>
      </c>
      <c r="C26" t="s">
        <v>4731</v>
      </c>
      <c r="M26" s="314"/>
      <c r="AC26" s="7"/>
      <c r="AD26" s="7"/>
      <c r="AE26" s="7"/>
      <c r="AF26" s="7"/>
      <c r="AG26" s="7"/>
      <c r="AH26" s="7"/>
      <c r="AI26" s="7"/>
      <c r="AJ26" s="7"/>
      <c r="AK26" s="7"/>
      <c r="AL26" s="7"/>
      <c r="AM26" s="7"/>
      <c r="AN26" s="7"/>
      <c r="AO26" s="7"/>
      <c r="AP26" s="7"/>
      <c r="AQ26" s="7"/>
      <c r="AR26" s="7"/>
      <c r="AS26" s="7"/>
      <c r="AT26" s="7"/>
      <c r="AU26" s="7"/>
      <c r="AV26" s="7"/>
      <c r="AW26" s="7"/>
      <c r="AX26" s="7"/>
      <c r="AY26" s="7"/>
    </row>
    <row r="27" spans="1:169" x14ac:dyDescent="0.3">
      <c r="A27" t="s">
        <v>4775</v>
      </c>
      <c r="B27">
        <f>B25+B26</f>
        <v>0</v>
      </c>
      <c r="C27" t="s">
        <v>4731</v>
      </c>
      <c r="M27" s="314"/>
      <c r="AC27" s="7"/>
      <c r="AD27" s="7"/>
      <c r="AE27" s="7"/>
      <c r="AF27" s="7"/>
      <c r="AG27" s="7"/>
      <c r="AH27" s="7"/>
      <c r="AI27" s="7"/>
      <c r="AJ27" s="7"/>
      <c r="AK27" s="7"/>
      <c r="AL27" s="7"/>
      <c r="AM27" s="7"/>
      <c r="AN27" s="7"/>
      <c r="AO27" s="7"/>
      <c r="AP27" s="7"/>
      <c r="AQ27" s="7"/>
      <c r="AR27" s="7"/>
      <c r="AS27" s="7"/>
      <c r="AT27" s="7"/>
      <c r="AU27" s="7"/>
      <c r="AV27" s="7"/>
      <c r="AW27" s="7"/>
      <c r="AX27" s="7"/>
      <c r="AY27" s="7"/>
    </row>
    <row r="28" spans="1:169" x14ac:dyDescent="0.3">
      <c r="M28" s="314"/>
      <c r="AC28" s="7"/>
      <c r="AD28" s="7"/>
      <c r="AE28" s="7"/>
      <c r="AF28" s="7"/>
      <c r="AG28" s="7"/>
      <c r="AH28" s="7"/>
      <c r="AI28" s="7"/>
      <c r="AJ28" s="7"/>
      <c r="AK28" s="7"/>
      <c r="AL28" s="7"/>
      <c r="AM28" s="7"/>
      <c r="AN28" s="7"/>
      <c r="AO28" s="7"/>
      <c r="AP28" s="7"/>
      <c r="AQ28" s="7"/>
      <c r="AR28" s="7"/>
      <c r="AS28" s="7"/>
      <c r="AT28" s="7"/>
      <c r="AU28" s="7"/>
      <c r="AV28" s="7"/>
      <c r="AW28" s="7"/>
      <c r="AX28" s="7"/>
      <c r="AY28" s="7"/>
    </row>
    <row r="29" spans="1:169" s="956" customFormat="1" ht="15" thickBot="1" x14ac:dyDescent="0.35">
      <c r="A29" s="1106" t="s">
        <v>4720</v>
      </c>
    </row>
    <row r="30" spans="1:169" ht="15" thickBot="1" x14ac:dyDescent="0.35">
      <c r="A30" s="2989" t="s">
        <v>4776</v>
      </c>
      <c r="B30" s="2990"/>
      <c r="C30" s="2990"/>
      <c r="D30" s="2990"/>
      <c r="E30" s="2990"/>
      <c r="F30" s="2990"/>
      <c r="G30" s="2990"/>
      <c r="H30" s="2990"/>
      <c r="I30" s="2990"/>
      <c r="J30" s="2990"/>
      <c r="K30" s="2990"/>
      <c r="L30" s="2990"/>
      <c r="M30" s="2990"/>
      <c r="N30" s="2990"/>
      <c r="O30" s="2990"/>
      <c r="P30" s="2991"/>
      <c r="R30" s="2989" t="s">
        <v>4777</v>
      </c>
      <c r="S30" s="2990"/>
      <c r="T30" s="2990"/>
      <c r="U30" s="2990"/>
      <c r="V30" s="2990"/>
      <c r="W30" s="2990"/>
      <c r="X30" s="2990"/>
      <c r="Y30" s="2990"/>
      <c r="Z30" s="2990"/>
      <c r="AA30" s="2990"/>
      <c r="AB30" s="2990"/>
      <c r="AC30" s="2990"/>
      <c r="AD30" s="2990"/>
      <c r="AE30" s="2990"/>
      <c r="AF30" s="2990"/>
      <c r="AG30" s="2991"/>
      <c r="AI30" s="2989" t="s">
        <v>4778</v>
      </c>
      <c r="AJ30" s="2990"/>
      <c r="AK30" s="2990"/>
      <c r="AL30" s="2990"/>
      <c r="AM30" s="2990"/>
      <c r="AN30" s="2990"/>
      <c r="AO30" s="2990"/>
      <c r="AP30" s="2990"/>
      <c r="AQ30" s="2990"/>
      <c r="AR30" s="2990"/>
      <c r="AS30" s="2990"/>
      <c r="AT30" s="2990"/>
      <c r="AU30" s="2990"/>
      <c r="AV30" s="2990"/>
      <c r="AW30" s="2990"/>
      <c r="AX30" s="2991"/>
      <c r="AZ30" s="2989" t="s">
        <v>4779</v>
      </c>
      <c r="BA30" s="2990"/>
      <c r="BB30" s="2990"/>
      <c r="BC30" s="2990"/>
      <c r="BD30" s="2990"/>
      <c r="BE30" s="2990"/>
      <c r="BF30" s="2990"/>
      <c r="BG30" s="2990"/>
      <c r="BH30" s="2990"/>
      <c r="BI30" s="2990"/>
      <c r="BJ30" s="2990"/>
      <c r="BK30" s="2990"/>
      <c r="BL30" s="2990"/>
      <c r="BM30" s="2990"/>
      <c r="BN30" s="2990"/>
      <c r="BO30" s="2991"/>
      <c r="BQ30" s="2989" t="s">
        <v>4780</v>
      </c>
      <c r="BR30" s="2990"/>
      <c r="BS30" s="2990"/>
      <c r="BT30" s="2990"/>
      <c r="BU30" s="2990"/>
      <c r="BV30" s="2990"/>
      <c r="BW30" s="2990"/>
      <c r="BX30" s="2990"/>
      <c r="BY30" s="2990"/>
      <c r="BZ30" s="2990"/>
      <c r="CA30" s="2990"/>
      <c r="CB30" s="2990"/>
      <c r="CC30" s="2990"/>
      <c r="CD30" s="2990"/>
      <c r="CE30" s="2990"/>
      <c r="CF30" s="2991"/>
      <c r="CH30" s="2989" t="s">
        <v>4781</v>
      </c>
      <c r="CI30" s="2990"/>
      <c r="CJ30" s="2990"/>
      <c r="CK30" s="2990"/>
      <c r="CL30" s="2990"/>
      <c r="CM30" s="2990"/>
      <c r="CN30" s="2990"/>
      <c r="CO30" s="2990"/>
      <c r="CP30" s="2990"/>
      <c r="CQ30" s="2990"/>
      <c r="CR30" s="2990"/>
      <c r="CS30" s="2990"/>
      <c r="CT30" s="2990"/>
      <c r="CU30" s="2990"/>
      <c r="CV30" s="2990"/>
      <c r="CW30" s="2991"/>
      <c r="CY30" s="2989" t="s">
        <v>4721</v>
      </c>
      <c r="CZ30" s="2990"/>
      <c r="DA30" s="2990"/>
      <c r="DB30" s="2990"/>
      <c r="DC30" s="2990"/>
      <c r="DD30" s="2990"/>
      <c r="DE30" s="2990"/>
      <c r="DF30" s="2990"/>
      <c r="DG30" s="2990"/>
      <c r="DH30" s="2990"/>
      <c r="DI30" s="2990"/>
      <c r="DJ30" s="2990"/>
      <c r="DK30" s="2990"/>
      <c r="DL30" s="2990"/>
      <c r="DM30" s="2990"/>
      <c r="DN30" s="2991"/>
      <c r="DP30" s="2989" t="s">
        <v>4722</v>
      </c>
      <c r="DQ30" s="2990"/>
      <c r="DR30" s="2990"/>
      <c r="DS30" s="2990"/>
      <c r="DT30" s="2990"/>
      <c r="DU30" s="2990"/>
      <c r="DV30" s="2990"/>
      <c r="DW30" s="2990"/>
      <c r="DX30" s="2990"/>
      <c r="DY30" s="2990"/>
      <c r="DZ30" s="2990"/>
      <c r="EA30" s="2990"/>
      <c r="EB30" s="2990"/>
      <c r="EC30" s="2990"/>
      <c r="ED30" s="2990"/>
      <c r="EE30" s="2991"/>
      <c r="EG30" s="2989" t="s">
        <v>4723</v>
      </c>
      <c r="EH30" s="2990"/>
      <c r="EI30" s="2990"/>
      <c r="EJ30" s="2990"/>
      <c r="EK30" s="2990"/>
      <c r="EL30" s="2990"/>
      <c r="EM30" s="2990"/>
      <c r="EN30" s="2990"/>
      <c r="EO30" s="2990"/>
      <c r="EP30" s="2990"/>
      <c r="EQ30" s="2990"/>
      <c r="ER30" s="2990"/>
      <c r="ES30" s="2990"/>
      <c r="ET30" s="2990"/>
      <c r="EU30" s="2990"/>
      <c r="EV30" s="2991"/>
      <c r="EX30" s="2989" t="s">
        <v>4782</v>
      </c>
      <c r="EY30" s="2990"/>
      <c r="EZ30" s="2990"/>
      <c r="FA30" s="2990"/>
      <c r="FB30" s="2990"/>
      <c r="FC30" s="2990"/>
      <c r="FD30" s="2990"/>
      <c r="FE30" s="2990"/>
      <c r="FF30" s="2990"/>
      <c r="FG30" s="2990"/>
      <c r="FH30" s="2990"/>
      <c r="FI30" s="2990"/>
      <c r="FJ30" s="2990"/>
      <c r="FK30" s="2990"/>
      <c r="FL30" s="2990"/>
      <c r="FM30" s="2991"/>
    </row>
    <row r="31" spans="1:169" x14ac:dyDescent="0.3">
      <c r="A31" s="20" t="s">
        <v>4783</v>
      </c>
      <c r="B31" s="314">
        <f>UDV.anaer_lagoon.evap_modifier_flush</f>
        <v>0.95</v>
      </c>
      <c r="C31" s="20" t="s">
        <v>1694</v>
      </c>
      <c r="D31" s="36"/>
      <c r="E31" s="36"/>
      <c r="F31" s="36"/>
      <c r="G31" s="36"/>
      <c r="H31" s="36"/>
      <c r="I31" s="36"/>
      <c r="J31" s="36"/>
      <c r="K31" s="36"/>
      <c r="L31" s="36"/>
      <c r="M31" s="36"/>
      <c r="N31" s="36"/>
      <c r="O31" s="36"/>
      <c r="P31" s="36"/>
      <c r="R31" s="20" t="s">
        <v>4783</v>
      </c>
      <c r="S31" s="314">
        <f>UDV.anaer_lagoon.evap_modifier_flush</f>
        <v>0.95</v>
      </c>
      <c r="T31" s="20" t="s">
        <v>1694</v>
      </c>
      <c r="U31" s="36"/>
      <c r="V31" s="36"/>
      <c r="W31" s="36"/>
      <c r="X31" s="36"/>
      <c r="Y31" s="36"/>
      <c r="Z31" s="36"/>
      <c r="AA31" s="36"/>
      <c r="AB31" s="36"/>
      <c r="AC31" s="36"/>
      <c r="AD31" s="36"/>
      <c r="AE31" s="36"/>
      <c r="AF31" s="36"/>
      <c r="AG31" s="36"/>
      <c r="AI31" s="20" t="s">
        <v>4783</v>
      </c>
      <c r="AJ31" s="314">
        <f>UDV.anaer_lagoon.evap_modifier_sl</f>
        <v>0.99</v>
      </c>
      <c r="AK31" s="20" t="s">
        <v>1694</v>
      </c>
      <c r="AL31" s="36"/>
      <c r="AM31" s="36"/>
      <c r="AN31" s="36"/>
      <c r="AO31" s="36"/>
      <c r="AP31" s="36"/>
      <c r="AQ31" s="36"/>
      <c r="AR31" s="36"/>
      <c r="AS31" s="36"/>
      <c r="AT31" s="36"/>
      <c r="AU31" s="36"/>
      <c r="AV31" s="36"/>
      <c r="AW31" s="36"/>
      <c r="AX31" s="36"/>
      <c r="AZ31" s="20" t="s">
        <v>4783</v>
      </c>
      <c r="BA31" s="314">
        <f>UDV.anaer_lagoon.evap_modifier_sl</f>
        <v>0.99</v>
      </c>
      <c r="BB31" s="20" t="s">
        <v>1694</v>
      </c>
      <c r="BC31" s="36"/>
      <c r="BD31" s="36"/>
      <c r="BE31" s="36"/>
      <c r="BF31" s="36"/>
      <c r="BG31" s="36"/>
      <c r="BH31" s="36"/>
      <c r="BI31" s="36"/>
      <c r="BJ31" s="36"/>
      <c r="BK31" s="36"/>
      <c r="BL31" s="36"/>
      <c r="BM31" s="36"/>
      <c r="BN31" s="36"/>
      <c r="BO31" s="36"/>
      <c r="BQ31" s="20" t="s">
        <v>4783</v>
      </c>
      <c r="BR31" s="314">
        <f>UDV.anaer_lagoon.evap_modifier_sl</f>
        <v>0.99</v>
      </c>
      <c r="BS31" s="20" t="s">
        <v>1694</v>
      </c>
      <c r="BT31" s="36"/>
      <c r="BU31" s="36"/>
      <c r="BV31" s="36"/>
      <c r="BW31" s="36"/>
      <c r="BX31" s="36"/>
      <c r="BY31" s="36"/>
      <c r="BZ31" s="36"/>
      <c r="CA31" s="36"/>
      <c r="CB31" s="36"/>
      <c r="CC31" s="36"/>
      <c r="CD31" s="36"/>
      <c r="CE31" s="36"/>
      <c r="CF31" s="36"/>
      <c r="CH31" s="20" t="s">
        <v>4783</v>
      </c>
      <c r="CI31" s="314">
        <f>UDV.anaer_lagoon.evap_modifier_sl</f>
        <v>0.99</v>
      </c>
      <c r="CJ31" s="20" t="s">
        <v>1694</v>
      </c>
      <c r="CK31" s="36"/>
      <c r="CL31" s="36"/>
      <c r="CM31" s="36"/>
      <c r="CN31" s="36"/>
      <c r="CO31" s="36"/>
      <c r="CP31" s="36"/>
      <c r="CQ31" s="36"/>
      <c r="CR31" s="36"/>
      <c r="CS31" s="36"/>
      <c r="CT31" s="36"/>
      <c r="CU31" s="36"/>
      <c r="CV31" s="36"/>
      <c r="CW31" s="36"/>
      <c r="CY31" s="20" t="s">
        <v>4783</v>
      </c>
      <c r="CZ31" s="314">
        <f>UDV.anaer_lagoon.evap_modifier_sl</f>
        <v>0.99</v>
      </c>
      <c r="DA31" s="20" t="s">
        <v>1694</v>
      </c>
      <c r="DB31" s="36"/>
      <c r="DC31" s="36"/>
      <c r="DD31" s="36"/>
      <c r="DE31" s="36"/>
      <c r="DF31" s="36"/>
      <c r="DG31" s="36"/>
      <c r="DH31" s="36"/>
      <c r="DI31" s="36"/>
      <c r="DJ31" s="36"/>
      <c r="DK31" s="36"/>
      <c r="DL31" s="36"/>
      <c r="DM31" s="36"/>
      <c r="DN31" s="36"/>
      <c r="DP31" s="20" t="s">
        <v>4783</v>
      </c>
      <c r="DQ31" s="314">
        <f>UDV.anaer_lagoon.evap_modifier_sl</f>
        <v>0.99</v>
      </c>
      <c r="DR31" s="20" t="s">
        <v>1694</v>
      </c>
      <c r="DS31" s="36"/>
      <c r="DT31" s="36"/>
      <c r="DU31" s="36"/>
      <c r="DV31" s="36"/>
      <c r="DW31" s="36"/>
      <c r="DX31" s="36"/>
      <c r="DY31" s="36"/>
      <c r="DZ31" s="36"/>
      <c r="EA31" s="36"/>
      <c r="EB31" s="36"/>
      <c r="EC31" s="36"/>
      <c r="ED31" s="36"/>
      <c r="EE31" s="36"/>
      <c r="EG31" s="20" t="s">
        <v>4783</v>
      </c>
      <c r="EH31" s="314">
        <f>UDV.anaer_lagoon.evap_modifier_sl</f>
        <v>0.99</v>
      </c>
      <c r="EI31" s="20" t="s">
        <v>1694</v>
      </c>
      <c r="EJ31" s="36"/>
      <c r="EK31" s="36"/>
      <c r="EL31" s="36"/>
      <c r="EM31" s="36"/>
      <c r="EN31" s="36"/>
      <c r="EO31" s="36"/>
      <c r="EP31" s="36"/>
      <c r="EQ31" s="36"/>
      <c r="ER31" s="36"/>
      <c r="ES31" s="36"/>
      <c r="ET31" s="36"/>
      <c r="EU31" s="36"/>
      <c r="EV31" s="36"/>
      <c r="EX31" s="20" t="s">
        <v>4783</v>
      </c>
      <c r="EY31" s="314">
        <f>UDV.anaer_lagoon.evap_modifier_sl</f>
        <v>0.99</v>
      </c>
      <c r="EZ31" s="20" t="s">
        <v>1694</v>
      </c>
      <c r="FA31" s="36"/>
      <c r="FB31" s="36"/>
      <c r="FC31" s="36"/>
      <c r="FD31" s="36"/>
      <c r="FE31" s="36"/>
      <c r="FF31" s="36"/>
      <c r="FG31" s="36"/>
      <c r="FH31" s="36"/>
      <c r="FI31" s="36"/>
      <c r="FJ31" s="36"/>
      <c r="FK31" s="36"/>
      <c r="FL31" s="36"/>
      <c r="FM31" s="36"/>
    </row>
    <row r="32" spans="1:169" x14ac:dyDescent="0.3">
      <c r="A32" s="20" t="s">
        <v>4784</v>
      </c>
      <c r="B32" s="314">
        <f>$B$6*B31*UDV.rain.evaporation</f>
        <v>0.8669908999999999</v>
      </c>
      <c r="C32" s="20" t="s">
        <v>4760</v>
      </c>
      <c r="D32" s="36"/>
      <c r="E32" s="36"/>
      <c r="F32" s="36"/>
      <c r="G32" s="36"/>
      <c r="H32" s="36"/>
      <c r="I32" s="36"/>
      <c r="J32" s="36"/>
      <c r="K32" s="36"/>
      <c r="L32" s="36"/>
      <c r="M32" s="36"/>
      <c r="N32" s="36"/>
      <c r="O32" s="36"/>
      <c r="P32" s="36"/>
      <c r="R32" s="20" t="s">
        <v>4784</v>
      </c>
      <c r="S32" s="314">
        <f>$B$6*S31*UDV.rain.evaporation</f>
        <v>0.8669908999999999</v>
      </c>
      <c r="T32" s="20" t="s">
        <v>4760</v>
      </c>
      <c r="U32" s="36"/>
      <c r="V32" s="36"/>
      <c r="W32" s="36"/>
      <c r="X32" s="36"/>
      <c r="Y32" s="36"/>
      <c r="Z32" s="36"/>
      <c r="AA32" s="36"/>
      <c r="AB32" s="36"/>
      <c r="AC32" s="36"/>
      <c r="AD32" s="36"/>
      <c r="AE32" s="36"/>
      <c r="AF32" s="36"/>
      <c r="AG32" s="36"/>
      <c r="AI32" s="20" t="s">
        <v>4784</v>
      </c>
      <c r="AJ32" s="314">
        <f>$B$6*AJ31*UDV.rain.evaporation</f>
        <v>0.90349577999999997</v>
      </c>
      <c r="AK32" s="20" t="s">
        <v>4760</v>
      </c>
      <c r="AL32" s="36"/>
      <c r="AM32" s="36"/>
      <c r="AN32" s="36"/>
      <c r="AO32" s="36"/>
      <c r="AP32" s="36"/>
      <c r="AQ32" s="36"/>
      <c r="AR32" s="36"/>
      <c r="AS32" s="36"/>
      <c r="AT32" s="36"/>
      <c r="AU32" s="36"/>
      <c r="AV32" s="36"/>
      <c r="AW32" s="36"/>
      <c r="AX32" s="36"/>
      <c r="AZ32" s="20" t="s">
        <v>4784</v>
      </c>
      <c r="BA32" s="314">
        <f>$B$6*BA31*UDV.rain.evaporation</f>
        <v>0.90349577999999997</v>
      </c>
      <c r="BB32" s="20" t="s">
        <v>4760</v>
      </c>
      <c r="BC32" s="36"/>
      <c r="BD32" s="36"/>
      <c r="BE32" s="36"/>
      <c r="BF32" s="36"/>
      <c r="BG32" s="36"/>
      <c r="BH32" s="36"/>
      <c r="BI32" s="36"/>
      <c r="BJ32" s="36"/>
      <c r="BK32" s="36"/>
      <c r="BL32" s="36"/>
      <c r="BM32" s="36"/>
      <c r="BN32" s="36"/>
      <c r="BO32" s="36"/>
      <c r="BQ32" s="20" t="s">
        <v>4784</v>
      </c>
      <c r="BR32" s="314">
        <f>$B$6*BR31*UDV.rain.evaporation</f>
        <v>0.90349577999999997</v>
      </c>
      <c r="BS32" s="20" t="s">
        <v>4760</v>
      </c>
      <c r="BT32" s="36"/>
      <c r="BU32" s="36"/>
      <c r="BV32" s="36"/>
      <c r="BW32" s="36"/>
      <c r="BX32" s="36"/>
      <c r="BY32" s="36"/>
      <c r="BZ32" s="36"/>
      <c r="CA32" s="36"/>
      <c r="CB32" s="36"/>
      <c r="CC32" s="36"/>
      <c r="CD32" s="36"/>
      <c r="CE32" s="36"/>
      <c r="CF32" s="36"/>
      <c r="CH32" s="20" t="s">
        <v>4784</v>
      </c>
      <c r="CI32" s="314">
        <f>$B$6*CI31*UDV.rain.evaporation</f>
        <v>0.90349577999999997</v>
      </c>
      <c r="CJ32" s="20" t="s">
        <v>4760</v>
      </c>
      <c r="CK32" s="36"/>
      <c r="CL32" s="36"/>
      <c r="CM32" s="36"/>
      <c r="CN32" s="36"/>
      <c r="CO32" s="36"/>
      <c r="CP32" s="36"/>
      <c r="CQ32" s="36"/>
      <c r="CR32" s="36"/>
      <c r="CS32" s="36"/>
      <c r="CT32" s="36"/>
      <c r="CU32" s="36"/>
      <c r="CV32" s="36"/>
      <c r="CW32" s="36"/>
      <c r="CY32" s="20" t="s">
        <v>4784</v>
      </c>
      <c r="CZ32" s="314">
        <f>$B$6*CZ31*UDV.rain.evaporation</f>
        <v>0.90349577999999997</v>
      </c>
      <c r="DA32" s="20" t="s">
        <v>4760</v>
      </c>
      <c r="DB32" s="36"/>
      <c r="DC32" s="36"/>
      <c r="DD32" s="36"/>
      <c r="DE32" s="36"/>
      <c r="DF32" s="36"/>
      <c r="DG32" s="36"/>
      <c r="DH32" s="36"/>
      <c r="DI32" s="36"/>
      <c r="DJ32" s="36"/>
      <c r="DK32" s="36"/>
      <c r="DL32" s="36"/>
      <c r="DM32" s="36"/>
      <c r="DN32" s="36"/>
      <c r="DP32" s="20" t="s">
        <v>4784</v>
      </c>
      <c r="DQ32" s="314">
        <f>$B$6*DQ31*UDV.rain.evaporation</f>
        <v>0.90349577999999997</v>
      </c>
      <c r="DR32" s="20" t="s">
        <v>4760</v>
      </c>
      <c r="DS32" s="36"/>
      <c r="DT32" s="36"/>
      <c r="DU32" s="36"/>
      <c r="DV32" s="36"/>
      <c r="DW32" s="36"/>
      <c r="DX32" s="36"/>
      <c r="DY32" s="36"/>
      <c r="DZ32" s="36"/>
      <c r="EA32" s="36"/>
      <c r="EB32" s="36"/>
      <c r="EC32" s="36"/>
      <c r="ED32" s="36"/>
      <c r="EE32" s="36"/>
      <c r="EG32" s="20" t="s">
        <v>4784</v>
      </c>
      <c r="EH32" s="314">
        <f>$B$6*EH31*UDV.rain.evaporation</f>
        <v>0.90349577999999997</v>
      </c>
      <c r="EI32" s="20" t="s">
        <v>4760</v>
      </c>
      <c r="EJ32" s="36"/>
      <c r="EK32" s="36"/>
      <c r="EL32" s="36"/>
      <c r="EM32" s="36"/>
      <c r="EN32" s="36"/>
      <c r="EO32" s="36"/>
      <c r="EP32" s="36"/>
      <c r="EQ32" s="36"/>
      <c r="ER32" s="36"/>
      <c r="ES32" s="36"/>
      <c r="ET32" s="36"/>
      <c r="EU32" s="36"/>
      <c r="EV32" s="36"/>
      <c r="EX32" s="20" t="s">
        <v>4784</v>
      </c>
      <c r="EY32" s="314">
        <f>$B$6*EY31*UDV.rain.evaporation</f>
        <v>0.90349577999999997</v>
      </c>
      <c r="EZ32" s="20" t="s">
        <v>4760</v>
      </c>
      <c r="FA32" s="36"/>
      <c r="FB32" s="36"/>
      <c r="FC32" s="36"/>
      <c r="FD32" s="36"/>
      <c r="FE32" s="36"/>
      <c r="FF32" s="36"/>
      <c r="FG32" s="36"/>
      <c r="FH32" s="36"/>
      <c r="FI32" s="36"/>
      <c r="FJ32" s="36"/>
      <c r="FK32" s="36"/>
      <c r="FL32" s="36"/>
      <c r="FM32" s="36"/>
    </row>
    <row r="33" spans="1:169" x14ac:dyDescent="0.3">
      <c r="A33" t="s">
        <v>4785</v>
      </c>
      <c r="B33" s="147">
        <f>PT.anaer_lagoon!G50</f>
        <v>4525.5947564400622</v>
      </c>
      <c r="C33" t="s">
        <v>4786</v>
      </c>
      <c r="D33" s="36"/>
      <c r="E33" s="36"/>
      <c r="F33" s="36"/>
      <c r="G33" s="36"/>
      <c r="H33" s="36"/>
      <c r="I33" s="36"/>
      <c r="J33" s="36"/>
      <c r="K33" s="36"/>
      <c r="L33" s="36"/>
      <c r="M33" s="36"/>
      <c r="N33" s="36"/>
      <c r="O33" s="36"/>
      <c r="P33" s="36"/>
      <c r="R33" t="str">
        <f>$A33</f>
        <v>Sludge treatment volume (SV)</v>
      </c>
      <c r="S33" s="147">
        <f>PT.anaer_lagoon!K50</f>
        <v>4525.5947564400622</v>
      </c>
      <c r="T33" t="str">
        <f>$C33</f>
        <v>m3/sludge period</v>
      </c>
      <c r="U33" s="36"/>
      <c r="V33" s="36"/>
      <c r="W33" s="36"/>
      <c r="X33" s="36"/>
      <c r="Y33" s="36"/>
      <c r="Z33" s="36"/>
      <c r="AA33" s="36"/>
      <c r="AB33" s="36"/>
      <c r="AC33" s="36"/>
      <c r="AD33" s="36"/>
      <c r="AE33" s="36"/>
      <c r="AF33" s="36"/>
      <c r="AG33" s="36"/>
      <c r="AI33" t="str">
        <f>A33</f>
        <v>Sludge treatment volume (SV)</v>
      </c>
      <c r="AJ33" s="147">
        <f>PT.anaer_lagoon!O50</f>
        <v>4525.5947564400622</v>
      </c>
      <c r="AK33" t="str">
        <f>C33</f>
        <v>m3/sludge period</v>
      </c>
      <c r="AL33" s="36"/>
      <c r="AM33" s="36"/>
      <c r="AN33" s="36"/>
      <c r="AO33" s="36"/>
      <c r="AP33" s="36"/>
      <c r="AQ33" s="36"/>
      <c r="AR33" s="36"/>
      <c r="AS33" s="36"/>
      <c r="AT33" s="36"/>
      <c r="AU33" s="36"/>
      <c r="AV33" s="36"/>
      <c r="AW33" s="36"/>
      <c r="AX33" s="36"/>
      <c r="AZ33" t="str">
        <f>A33</f>
        <v>Sludge treatment volume (SV)</v>
      </c>
      <c r="BA33" s="147">
        <f>PT.anaer_lagoon!S50</f>
        <v>2693.8026530909328</v>
      </c>
      <c r="BB33" t="str">
        <f t="shared" ref="BB33:BB42" si="12">C33</f>
        <v>m3/sludge period</v>
      </c>
      <c r="BC33" s="36"/>
      <c r="BD33" s="36"/>
      <c r="BE33" s="36"/>
      <c r="BF33" s="36"/>
      <c r="BG33" s="36"/>
      <c r="BH33" s="36"/>
      <c r="BI33" s="36"/>
      <c r="BJ33" s="36"/>
      <c r="BK33" s="36"/>
      <c r="BL33" s="36"/>
      <c r="BM33" s="36"/>
      <c r="BN33" s="36"/>
      <c r="BO33" s="36"/>
      <c r="BQ33" t="str">
        <f>R33</f>
        <v>Sludge treatment volume (SV)</v>
      </c>
      <c r="BR33" s="147">
        <f>PT.anaer_lagoon!W50</f>
        <v>2693.8026530909328</v>
      </c>
      <c r="BS33" t="str">
        <f t="shared" ref="BS33:BS38" si="13">T33</f>
        <v>m3/sludge period</v>
      </c>
      <c r="BT33" s="36"/>
      <c r="BU33" s="36"/>
      <c r="BV33" s="36"/>
      <c r="BW33" s="36"/>
      <c r="BX33" s="36"/>
      <c r="BY33" s="36"/>
      <c r="BZ33" s="36"/>
      <c r="CA33" s="36"/>
      <c r="CB33" s="36"/>
      <c r="CC33" s="36"/>
      <c r="CD33" s="36"/>
      <c r="CE33" s="36"/>
      <c r="CF33" s="36"/>
      <c r="CH33" t="str">
        <f>AI33</f>
        <v>Sludge treatment volume (SV)</v>
      </c>
      <c r="CI33" s="147">
        <f>PT.anaer_lagoon!AA50</f>
        <v>2693.8026530909328</v>
      </c>
      <c r="CJ33" t="str">
        <f t="shared" ref="CJ33:CJ38" si="14">AK33</f>
        <v>m3/sludge period</v>
      </c>
      <c r="CK33" s="36"/>
      <c r="CL33" s="36"/>
      <c r="CM33" s="36"/>
      <c r="CN33" s="36"/>
      <c r="CO33" s="36"/>
      <c r="CP33" s="36"/>
      <c r="CQ33" s="36"/>
      <c r="CR33" s="36"/>
      <c r="CS33" s="36"/>
      <c r="CT33" s="36"/>
      <c r="CU33" s="36"/>
      <c r="CV33" s="36"/>
      <c r="CW33" s="36"/>
      <c r="CY33" t="str">
        <f>AZ33</f>
        <v>Sludge treatment volume (SV)</v>
      </c>
      <c r="CZ33" s="147">
        <f>PT.anaer_lagoon!AE50</f>
        <v>2327.4442324211072</v>
      </c>
      <c r="DA33" t="str">
        <f t="shared" ref="DA33:DA38" si="15">BB33</f>
        <v>m3/sludge period</v>
      </c>
      <c r="DB33" s="36"/>
      <c r="DC33" s="36"/>
      <c r="DD33" s="36"/>
      <c r="DE33" s="36"/>
      <c r="DF33" s="36"/>
      <c r="DG33" s="36"/>
      <c r="DH33" s="36"/>
      <c r="DI33" s="36"/>
      <c r="DJ33" s="36"/>
      <c r="DK33" s="36"/>
      <c r="DL33" s="36"/>
      <c r="DM33" s="36"/>
      <c r="DN33" s="36"/>
      <c r="DP33" t="str">
        <f>BQ33</f>
        <v>Sludge treatment volume (SV)</v>
      </c>
      <c r="DQ33" s="147">
        <f>PT.anaer_lagoon!AJ50</f>
        <v>2327.4442324211072</v>
      </c>
      <c r="DR33" t="str">
        <f t="shared" ref="DR33:DR38" si="16">BS33</f>
        <v>m3/sludge period</v>
      </c>
      <c r="DS33" s="36"/>
      <c r="DT33" s="36"/>
      <c r="DU33" s="36"/>
      <c r="DV33" s="36"/>
      <c r="DW33" s="36"/>
      <c r="DX33" s="36"/>
      <c r="DY33" s="36"/>
      <c r="DZ33" s="36"/>
      <c r="EA33" s="36"/>
      <c r="EB33" s="36"/>
      <c r="EC33" s="36"/>
      <c r="ED33" s="36"/>
      <c r="EE33" s="36"/>
      <c r="EG33" t="str">
        <f>CH33</f>
        <v>Sludge treatment volume (SV)</v>
      </c>
      <c r="EH33" s="147">
        <f>PT.anaer_lagoon!AN50</f>
        <v>2327.4442324211072</v>
      </c>
      <c r="EI33" t="str">
        <f t="shared" ref="EI33:EI38" si="17">CJ33</f>
        <v>m3/sludge period</v>
      </c>
      <c r="EJ33" s="36"/>
      <c r="EK33" s="36"/>
      <c r="EL33" s="36"/>
      <c r="EM33" s="36"/>
      <c r="EN33" s="36"/>
      <c r="EO33" s="36"/>
      <c r="EP33" s="36"/>
      <c r="EQ33" s="36"/>
      <c r="ER33" s="36"/>
      <c r="ES33" s="36"/>
      <c r="ET33" s="36"/>
      <c r="EU33" s="36"/>
      <c r="EV33" s="36"/>
      <c r="EX33" t="str">
        <f>CY33</f>
        <v>Sludge treatment volume (SV)</v>
      </c>
      <c r="EY33" s="147">
        <f>PT.anaer_lagoon!AR50</f>
        <v>1227.3412979465452</v>
      </c>
      <c r="EZ33" t="str">
        <f t="shared" ref="EZ33:EZ38" si="18">DA33</f>
        <v>m3/sludge period</v>
      </c>
      <c r="FA33" s="36"/>
      <c r="FB33" s="36"/>
      <c r="FC33" s="36"/>
      <c r="FD33" s="36"/>
      <c r="FE33" s="36"/>
      <c r="FF33" s="36"/>
      <c r="FG33" s="36"/>
      <c r="FH33" s="36"/>
      <c r="FI33" s="36"/>
      <c r="FJ33" s="36"/>
      <c r="FK33" s="36"/>
      <c r="FL33" s="36"/>
      <c r="FM33" s="36"/>
    </row>
    <row r="34" spans="1:169" x14ac:dyDescent="0.3">
      <c r="A34" s="20" t="s">
        <v>4787</v>
      </c>
      <c r="B34" s="147">
        <f>PT.anaer_lagoon!G51</f>
        <v>0</v>
      </c>
      <c r="C34" s="20" t="s">
        <v>4731</v>
      </c>
      <c r="D34" s="36"/>
      <c r="E34" s="36"/>
      <c r="F34" t="s">
        <v>4726</v>
      </c>
      <c r="J34" s="78">
        <f>MIN(P$54:P103)</f>
        <v>0.33852903207298368</v>
      </c>
      <c r="K34" t="s">
        <v>2478</v>
      </c>
      <c r="L34" s="36"/>
      <c r="M34" s="36"/>
      <c r="N34" s="36"/>
      <c r="O34" s="36"/>
      <c r="P34" s="36"/>
      <c r="R34" t="str">
        <f t="shared" ref="R34:R42" si="19">$A34</f>
        <v>Minimum treatment volume (MTV)</v>
      </c>
      <c r="S34" s="147">
        <f>PT.anaer_lagoon!K51</f>
        <v>0</v>
      </c>
      <c r="T34" t="str">
        <f t="shared" ref="T34:T38" si="20">$C34</f>
        <v>m3/HRT</v>
      </c>
      <c r="U34" s="36"/>
      <c r="V34" s="36"/>
      <c r="W34" t="s">
        <v>4726</v>
      </c>
      <c r="AA34" s="78">
        <f>MIN(AG$54:AG103)</f>
        <v>0.33852903207116469</v>
      </c>
      <c r="AB34" t="s">
        <v>2478</v>
      </c>
      <c r="AC34" s="36"/>
      <c r="AD34" s="36"/>
      <c r="AE34" s="36"/>
      <c r="AF34" s="36"/>
      <c r="AG34" s="36"/>
      <c r="AI34" t="str">
        <f t="shared" ref="AI34:AI42" si="21">A34</f>
        <v>Minimum treatment volume (MTV)</v>
      </c>
      <c r="AJ34" s="147">
        <f>PT.anaer_lagoon!O51</f>
        <v>0</v>
      </c>
      <c r="AK34" t="str">
        <f t="shared" ref="AK34:AK42" si="22">C34</f>
        <v>m3/HRT</v>
      </c>
      <c r="AL34" s="36"/>
      <c r="AM34" s="36"/>
      <c r="AN34" t="s">
        <v>4726</v>
      </c>
      <c r="AR34" s="78">
        <f>MIN(AX$54:AX103)</f>
        <v>0.48985356623234111</v>
      </c>
      <c r="AS34" t="s">
        <v>2478</v>
      </c>
      <c r="AT34" s="36"/>
      <c r="AU34" s="36"/>
      <c r="AV34" s="36"/>
      <c r="AW34" s="36"/>
      <c r="AX34" s="36"/>
      <c r="AZ34" t="str">
        <f t="shared" ref="AZ34:AZ42" si="23">A34</f>
        <v>Minimum treatment volume (MTV)</v>
      </c>
      <c r="BA34" s="147">
        <f>PT.anaer_lagoon!S51</f>
        <v>0</v>
      </c>
      <c r="BB34" t="str">
        <f t="shared" si="12"/>
        <v>m3/HRT</v>
      </c>
      <c r="BC34" s="36"/>
      <c r="BD34" s="36"/>
      <c r="BE34" t="s">
        <v>4726</v>
      </c>
      <c r="BI34" s="78">
        <f>MIN(BO$54:BO103)</f>
        <v>0.20313689209342556</v>
      </c>
      <c r="BJ34" t="s">
        <v>2478</v>
      </c>
      <c r="BK34" s="36"/>
      <c r="BL34" s="36"/>
      <c r="BM34" s="36"/>
      <c r="BN34" s="36"/>
      <c r="BO34" s="36"/>
      <c r="BQ34" t="str">
        <f t="shared" ref="BQ34:BQ38" si="24">R34</f>
        <v>Minimum treatment volume (MTV)</v>
      </c>
      <c r="BR34" s="147">
        <f>PT.anaer_lagoon!W51</f>
        <v>0</v>
      </c>
      <c r="BS34" t="str">
        <f t="shared" si="13"/>
        <v>m3/HRT</v>
      </c>
      <c r="BT34" s="36"/>
      <c r="BU34" s="36"/>
      <c r="BV34" t="s">
        <v>4726</v>
      </c>
      <c r="BZ34" s="78">
        <f>MIN(CF$54:CF103)</f>
        <v>0.20313689209342556</v>
      </c>
      <c r="CA34" t="s">
        <v>2478</v>
      </c>
      <c r="CB34" s="36"/>
      <c r="CC34" s="36"/>
      <c r="CD34" s="36"/>
      <c r="CE34" s="36"/>
      <c r="CF34" s="36"/>
      <c r="CH34" t="str">
        <f t="shared" ref="CH34:CH38" si="25">AI34</f>
        <v>Minimum treatment volume (MTV)</v>
      </c>
      <c r="CI34" s="147">
        <f>PT.anaer_lagoon!AA51</f>
        <v>0</v>
      </c>
      <c r="CJ34" t="str">
        <f t="shared" si="14"/>
        <v>m3/HRT</v>
      </c>
      <c r="CK34" s="36"/>
      <c r="CL34" s="36"/>
      <c r="CM34" t="s">
        <v>4726</v>
      </c>
      <c r="CQ34" s="78">
        <f>MIN(CW$54:CW103)</f>
        <v>0.20313689209342556</v>
      </c>
      <c r="CR34" t="s">
        <v>2478</v>
      </c>
      <c r="CS34" s="36"/>
      <c r="CT34" s="36"/>
      <c r="CU34" s="36"/>
      <c r="CV34" s="36"/>
      <c r="CW34" s="36"/>
      <c r="CY34" t="str">
        <f t="shared" ref="CY34:CY38" si="26">AZ34</f>
        <v>Minimum treatment volume (MTV)</v>
      </c>
      <c r="CZ34" s="147">
        <f>PT.anaer_lagoon!AE51</f>
        <v>0</v>
      </c>
      <c r="DA34" t="str">
        <f t="shared" si="15"/>
        <v>m3/HRT</v>
      </c>
      <c r="DB34" s="36"/>
      <c r="DC34" s="36"/>
      <c r="DD34" t="s">
        <v>4726</v>
      </c>
      <c r="DH34" s="78">
        <f>MIN(DN$54:DN103)</f>
        <v>3.4038310248433845E-2</v>
      </c>
      <c r="DI34" t="s">
        <v>2478</v>
      </c>
      <c r="DJ34" s="36"/>
      <c r="DK34" s="36"/>
      <c r="DL34" s="36"/>
      <c r="DM34" s="36"/>
      <c r="DN34" s="36"/>
      <c r="DP34" t="str">
        <f t="shared" ref="DP34:DP38" si="27">BQ34</f>
        <v>Minimum treatment volume (MTV)</v>
      </c>
      <c r="DQ34" s="147">
        <f>PT.anaer_lagoon!AJ51</f>
        <v>0</v>
      </c>
      <c r="DR34" t="str">
        <f t="shared" si="16"/>
        <v>m3/HRT</v>
      </c>
      <c r="DS34" s="36"/>
      <c r="DT34" s="36"/>
      <c r="DU34" t="s">
        <v>4726</v>
      </c>
      <c r="DY34" s="78">
        <f>MIN(EE$54:EE103)</f>
        <v>3.4038310248433845E-2</v>
      </c>
      <c r="DZ34" t="s">
        <v>2478</v>
      </c>
      <c r="EA34" s="36"/>
      <c r="EB34" s="36"/>
      <c r="EC34" s="36"/>
      <c r="ED34" s="36"/>
      <c r="EE34" s="36"/>
      <c r="EG34" t="str">
        <f t="shared" ref="EG34:EG38" si="28">CH34</f>
        <v>Minimum treatment volume (MTV)</v>
      </c>
      <c r="EH34" s="147">
        <f>PT.anaer_lagoon!AN51</f>
        <v>0</v>
      </c>
      <c r="EI34" t="str">
        <f t="shared" si="17"/>
        <v>m3/HRT</v>
      </c>
      <c r="EJ34" s="36"/>
      <c r="EK34" s="36"/>
      <c r="EL34" t="s">
        <v>4726</v>
      </c>
      <c r="EP34" s="78">
        <f>MIN(EV$54:EV103)</f>
        <v>3.4038310248433845E-2</v>
      </c>
      <c r="EQ34" t="s">
        <v>2478</v>
      </c>
      <c r="ER34" s="36"/>
      <c r="ES34" s="36"/>
      <c r="ET34" s="36"/>
      <c r="EU34" s="36"/>
      <c r="EV34" s="36"/>
      <c r="EX34" t="str">
        <f t="shared" ref="EX34:EX38" si="29">CY34</f>
        <v>Minimum treatment volume (MTV)</v>
      </c>
      <c r="EY34" s="147">
        <f>PT.anaer_lagoon!AR51</f>
        <v>0</v>
      </c>
      <c r="EZ34" t="str">
        <f t="shared" si="18"/>
        <v>m3/HRT</v>
      </c>
      <c r="FA34" s="36"/>
      <c r="FB34" s="36"/>
      <c r="FC34" t="s">
        <v>4726</v>
      </c>
      <c r="FG34" s="78">
        <f>MIN(FM$54:FM103)</f>
        <v>1.1744643538804667E-3</v>
      </c>
      <c r="FH34" t="s">
        <v>2478</v>
      </c>
      <c r="FI34" s="36"/>
      <c r="FJ34" s="36"/>
      <c r="FK34" s="36"/>
      <c r="FL34" s="36"/>
      <c r="FM34" s="36"/>
    </row>
    <row r="35" spans="1:169" x14ac:dyDescent="0.3">
      <c r="A35" t="s">
        <v>4788</v>
      </c>
      <c r="B35" s="147">
        <f>PT.anaer_lagoon!G52</f>
        <v>1056.2130751340244</v>
      </c>
      <c r="C35" t="s">
        <v>4731</v>
      </c>
      <c r="D35" s="36"/>
      <c r="E35" s="36"/>
      <c r="F35" t="s">
        <v>4727</v>
      </c>
      <c r="J35" s="147">
        <f>INDEX(D$54:D103,MATCH(J$34,P$54:P103,0))</f>
        <v>53.040791160845636</v>
      </c>
      <c r="K35" t="s">
        <v>2337</v>
      </c>
      <c r="L35" s="36"/>
      <c r="M35" s="36"/>
      <c r="N35" s="36"/>
      <c r="O35" s="36"/>
      <c r="P35" s="36"/>
      <c r="R35" t="str">
        <f t="shared" si="19"/>
        <v>Liquid treatment volume (WV)</v>
      </c>
      <c r="S35" s="147">
        <f>PT.anaer_lagoon!K52</f>
        <v>1056.2130751340242</v>
      </c>
      <c r="T35" t="str">
        <f t="shared" si="20"/>
        <v>m3/HRT</v>
      </c>
      <c r="U35" s="36"/>
      <c r="V35" s="36"/>
      <c r="W35" t="s">
        <v>4727</v>
      </c>
      <c r="AA35" s="147">
        <f>INDEX(U$54:U103,MATCH(AA$34,AG$54:AG103,0))</f>
        <v>53.040791160845636</v>
      </c>
      <c r="AB35" t="s">
        <v>2337</v>
      </c>
      <c r="AC35" s="36"/>
      <c r="AD35" s="36"/>
      <c r="AE35" s="36"/>
      <c r="AF35" s="36"/>
      <c r="AG35" s="36"/>
      <c r="AI35" t="str">
        <f t="shared" si="21"/>
        <v>Liquid treatment volume (WV)</v>
      </c>
      <c r="AJ35" s="147">
        <f>PT.anaer_lagoon!O52</f>
        <v>1056.2130751340242</v>
      </c>
      <c r="AK35" t="str">
        <f t="shared" si="22"/>
        <v>m3/HRT</v>
      </c>
      <c r="AL35" s="36"/>
      <c r="AM35" s="36"/>
      <c r="AN35" t="s">
        <v>4727</v>
      </c>
      <c r="AR35" s="147">
        <f>INDEX(AL$54:AL103,MATCH(AR$34,AX$54:AX103,0))</f>
        <v>52.868300839584876</v>
      </c>
      <c r="AS35" t="s">
        <v>2337</v>
      </c>
      <c r="AT35" s="36"/>
      <c r="AU35" s="36"/>
      <c r="AV35" s="36"/>
      <c r="AW35" s="36"/>
      <c r="AX35" s="36"/>
      <c r="AZ35" t="str">
        <f t="shared" si="23"/>
        <v>Liquid treatment volume (WV)</v>
      </c>
      <c r="BA35" s="147">
        <f>PT.anaer_lagoon!S52</f>
        <v>1056.2130751340244</v>
      </c>
      <c r="BB35" t="str">
        <f t="shared" si="12"/>
        <v>m3/HRT</v>
      </c>
      <c r="BC35" s="36"/>
      <c r="BD35" s="36"/>
      <c r="BE35" t="s">
        <v>4727</v>
      </c>
      <c r="BI35" s="147">
        <f>INDEX(BC$54:BC103,MATCH(BI$34,BO$54:BO103,0))</f>
        <v>46.619587119564621</v>
      </c>
      <c r="BJ35" t="s">
        <v>2337</v>
      </c>
      <c r="BK35" s="36"/>
      <c r="BL35" s="36"/>
      <c r="BM35" s="36"/>
      <c r="BN35" s="36"/>
      <c r="BO35" s="36"/>
      <c r="BQ35" t="str">
        <f t="shared" si="24"/>
        <v>Liquid treatment volume (WV)</v>
      </c>
      <c r="BR35" s="147">
        <f>PT.anaer_lagoon!W52</f>
        <v>1056.2130751340244</v>
      </c>
      <c r="BS35" t="str">
        <f t="shared" si="13"/>
        <v>m3/HRT</v>
      </c>
      <c r="BT35" s="36"/>
      <c r="BU35" s="36"/>
      <c r="BV35" t="s">
        <v>4727</v>
      </c>
      <c r="BZ35" s="147">
        <f>INDEX(BT$54:BT103,MATCH(BZ$34,CF$54:CF103,0))</f>
        <v>46.619587119564621</v>
      </c>
      <c r="CA35" t="s">
        <v>2337</v>
      </c>
      <c r="CB35" s="36"/>
      <c r="CC35" s="36"/>
      <c r="CD35" s="36"/>
      <c r="CE35" s="36"/>
      <c r="CF35" s="36"/>
      <c r="CH35" t="str">
        <f t="shared" si="25"/>
        <v>Liquid treatment volume (WV)</v>
      </c>
      <c r="CI35" s="147">
        <f>PT.anaer_lagoon!AA52</f>
        <v>1056.2130751340246</v>
      </c>
      <c r="CJ35" t="str">
        <f t="shared" si="14"/>
        <v>m3/HRT</v>
      </c>
      <c r="CK35" s="36"/>
      <c r="CL35" s="36"/>
      <c r="CM35" t="s">
        <v>4727</v>
      </c>
      <c r="CQ35" s="147">
        <f>INDEX(CK$54:CK103,MATCH(CQ$34,CW$54:CW103,0))</f>
        <v>46.619587119564621</v>
      </c>
      <c r="CR35" t="s">
        <v>2337</v>
      </c>
      <c r="CS35" s="36"/>
      <c r="CT35" s="36"/>
      <c r="CU35" s="36"/>
      <c r="CV35" s="36"/>
      <c r="CW35" s="36"/>
      <c r="CY35" t="str">
        <f t="shared" si="26"/>
        <v>Liquid treatment volume (WV)</v>
      </c>
      <c r="CZ35" s="147">
        <f>PT.anaer_lagoon!AE52</f>
        <v>1056.2130751340244</v>
      </c>
      <c r="DA35" t="str">
        <f t="shared" si="15"/>
        <v>m3/HRT</v>
      </c>
      <c r="DB35" s="36"/>
      <c r="DC35" s="36"/>
      <c r="DD35" t="s">
        <v>4727</v>
      </c>
      <c r="DH35" s="147">
        <f>INDEX(DB$54:DB103,MATCH(DH$34,DN$54:DN103,0))</f>
        <v>45.202575649756049</v>
      </c>
      <c r="DI35" t="s">
        <v>2337</v>
      </c>
      <c r="DJ35" s="36"/>
      <c r="DK35" s="36"/>
      <c r="DL35" s="36"/>
      <c r="DM35" s="36"/>
      <c r="DN35" s="36"/>
      <c r="DP35" t="str">
        <f t="shared" si="27"/>
        <v>Liquid treatment volume (WV)</v>
      </c>
      <c r="DQ35" s="147">
        <f>PT.anaer_lagoon!AJ52</f>
        <v>1056.2130751340244</v>
      </c>
      <c r="DR35" t="str">
        <f t="shared" si="16"/>
        <v>m3/HRT</v>
      </c>
      <c r="DS35" s="36"/>
      <c r="DT35" s="36"/>
      <c r="DU35" t="s">
        <v>4727</v>
      </c>
      <c r="DY35" s="147">
        <f>INDEX(DS$54:DS103,MATCH(DY$34,EE$54:EE103,0))</f>
        <v>45.202575649756049</v>
      </c>
      <c r="DZ35" t="s">
        <v>2337</v>
      </c>
      <c r="EA35" s="36"/>
      <c r="EB35" s="36"/>
      <c r="EC35" s="36"/>
      <c r="ED35" s="36"/>
      <c r="EE35" s="36"/>
      <c r="EG35" t="str">
        <f t="shared" si="28"/>
        <v>Liquid treatment volume (WV)</v>
      </c>
      <c r="EH35" s="147">
        <f>PT.anaer_lagoon!AN52</f>
        <v>1056.2130751340246</v>
      </c>
      <c r="EI35" t="str">
        <f t="shared" si="17"/>
        <v>m3/HRT</v>
      </c>
      <c r="EJ35" s="36"/>
      <c r="EK35" s="36"/>
      <c r="EL35" t="s">
        <v>4727</v>
      </c>
      <c r="EP35" s="147">
        <f>INDEX(EJ$54:EJ103,MATCH(EP$34,EV$54:EV103,0))</f>
        <v>45.202575649756049</v>
      </c>
      <c r="EQ35" t="s">
        <v>2337</v>
      </c>
      <c r="ER35" s="36"/>
      <c r="ES35" s="36"/>
      <c r="ET35" s="36"/>
      <c r="EU35" s="36"/>
      <c r="EV35" s="36"/>
      <c r="EX35" t="str">
        <f t="shared" si="29"/>
        <v>Liquid treatment volume (WV)</v>
      </c>
      <c r="EY35" s="147">
        <f>PT.anaer_lagoon!AR52</f>
        <v>771.50786084830997</v>
      </c>
      <c r="EZ35" t="str">
        <f t="shared" si="18"/>
        <v>m3/HRT</v>
      </c>
      <c r="FA35" s="36"/>
      <c r="FB35" s="36"/>
      <c r="FC35" t="s">
        <v>4727</v>
      </c>
      <c r="FG35" s="147">
        <f>INDEX(FA$54:FA103,MATCH(FG$34,FM$54:FM103,0))</f>
        <v>39.013784152366142</v>
      </c>
      <c r="FH35" t="s">
        <v>2337</v>
      </c>
      <c r="FI35" s="36"/>
      <c r="FJ35" s="36"/>
      <c r="FK35" s="36"/>
      <c r="FL35" s="36"/>
      <c r="FM35" s="36"/>
    </row>
    <row r="36" spans="1:169" x14ac:dyDescent="0.3">
      <c r="A36" t="s">
        <v>4789</v>
      </c>
      <c r="B36" s="147">
        <f>PT.anaer_lagoon!G53</f>
        <v>3341.6104963111993</v>
      </c>
      <c r="C36" t="s">
        <v>4731</v>
      </c>
      <c r="D36" s="36"/>
      <c r="E36" s="36"/>
      <c r="F36" t="s">
        <v>4728</v>
      </c>
      <c r="J36" s="147">
        <f>J35+$B$15*2</f>
        <v>58.040791160845636</v>
      </c>
      <c r="K36" t="s">
        <v>2337</v>
      </c>
      <c r="L36" s="36"/>
      <c r="M36" s="36"/>
      <c r="N36" s="36"/>
      <c r="O36" s="36"/>
      <c r="P36" s="36"/>
      <c r="R36" t="str">
        <f t="shared" si="19"/>
        <v>Water volume required for application</v>
      </c>
      <c r="S36" s="147">
        <f>PT.anaer_lagoon!K53</f>
        <v>3341.6104963111993</v>
      </c>
      <c r="T36" t="str">
        <f t="shared" si="20"/>
        <v>m3/HRT</v>
      </c>
      <c r="U36" s="36"/>
      <c r="V36" s="36"/>
      <c r="W36" t="s">
        <v>4728</v>
      </c>
      <c r="AA36" s="147">
        <f>AA35+$B$15*2</f>
        <v>58.040791160845636</v>
      </c>
      <c r="AB36" t="s">
        <v>2337</v>
      </c>
      <c r="AC36" s="36"/>
      <c r="AD36" s="36"/>
      <c r="AE36" s="36"/>
      <c r="AF36" s="36"/>
      <c r="AG36" s="36"/>
      <c r="AI36" t="str">
        <f t="shared" si="21"/>
        <v>Water volume required for application</v>
      </c>
      <c r="AJ36" s="147">
        <f>PT.anaer_lagoon!O53</f>
        <v>3341.6104963111993</v>
      </c>
      <c r="AK36" t="str">
        <f t="shared" si="22"/>
        <v>m3/HRT</v>
      </c>
      <c r="AL36" s="36"/>
      <c r="AM36" s="36"/>
      <c r="AN36" t="s">
        <v>4728</v>
      </c>
      <c r="AR36" s="147">
        <f>AR35+$B$15*2</f>
        <v>57.868300839584876</v>
      </c>
      <c r="AS36" t="s">
        <v>2337</v>
      </c>
      <c r="AT36" s="36"/>
      <c r="AU36" s="36"/>
      <c r="AV36" s="36"/>
      <c r="AW36" s="36"/>
      <c r="AX36" s="36"/>
      <c r="AZ36" t="str">
        <f t="shared" si="23"/>
        <v>Water volume required for application</v>
      </c>
      <c r="BA36" s="147">
        <f>PT.anaer_lagoon!S53</f>
        <v>1989.0510982562032</v>
      </c>
      <c r="BB36" t="str">
        <f t="shared" si="12"/>
        <v>m3/HRT</v>
      </c>
      <c r="BC36" s="36"/>
      <c r="BD36" s="36"/>
      <c r="BE36" t="s">
        <v>4728</v>
      </c>
      <c r="BI36" s="147">
        <f>BI35+$B$15*2</f>
        <v>51.619587119564621</v>
      </c>
      <c r="BJ36" t="s">
        <v>2337</v>
      </c>
      <c r="BK36" s="36"/>
      <c r="BL36" s="36"/>
      <c r="BM36" s="36"/>
      <c r="BN36" s="36"/>
      <c r="BO36" s="36"/>
      <c r="BQ36" t="str">
        <f t="shared" si="24"/>
        <v>Water volume required for application</v>
      </c>
      <c r="BR36" s="147">
        <f>PT.anaer_lagoon!W53</f>
        <v>1989.0510982562032</v>
      </c>
      <c r="BS36" t="str">
        <f t="shared" si="13"/>
        <v>m3/HRT</v>
      </c>
      <c r="BT36" s="36"/>
      <c r="BU36" s="36"/>
      <c r="BV36" t="s">
        <v>4728</v>
      </c>
      <c r="BZ36" s="147">
        <f>BZ35+$B$15*2</f>
        <v>51.619587119564621</v>
      </c>
      <c r="CA36" t="s">
        <v>2337</v>
      </c>
      <c r="CB36" s="36"/>
      <c r="CC36" s="36"/>
      <c r="CD36" s="36"/>
      <c r="CE36" s="36"/>
      <c r="CF36" s="36"/>
      <c r="CH36" t="str">
        <f t="shared" si="25"/>
        <v>Water volume required for application</v>
      </c>
      <c r="CI36" s="147">
        <f>PT.anaer_lagoon!AA53</f>
        <v>1989.0510982562032</v>
      </c>
      <c r="CJ36" t="str">
        <f t="shared" si="14"/>
        <v>m3/HRT</v>
      </c>
      <c r="CK36" s="36"/>
      <c r="CL36" s="36"/>
      <c r="CM36" t="s">
        <v>4728</v>
      </c>
      <c r="CQ36" s="147">
        <f>CQ35+$B$15*2</f>
        <v>51.619587119564621</v>
      </c>
      <c r="CR36" t="s">
        <v>2337</v>
      </c>
      <c r="CS36" s="36"/>
      <c r="CT36" s="36"/>
      <c r="CU36" s="36"/>
      <c r="CV36" s="36"/>
      <c r="CW36" s="36"/>
      <c r="CY36" t="str">
        <f t="shared" si="26"/>
        <v>Water volume required for application</v>
      </c>
      <c r="CZ36" s="147">
        <f>PT.anaer_lagoon!AE53</f>
        <v>1718.5392186452036</v>
      </c>
      <c r="DA36" t="str">
        <f t="shared" si="15"/>
        <v>m3/HRT</v>
      </c>
      <c r="DB36" s="36"/>
      <c r="DC36" s="36"/>
      <c r="DD36" t="s">
        <v>4728</v>
      </c>
      <c r="DH36" s="147">
        <f>DH35+$B$15*2</f>
        <v>50.202575649756049</v>
      </c>
      <c r="DI36" t="s">
        <v>2337</v>
      </c>
      <c r="DJ36" s="36"/>
      <c r="DK36" s="36"/>
      <c r="DL36" s="36"/>
      <c r="DM36" s="36"/>
      <c r="DN36" s="36"/>
      <c r="DP36" t="str">
        <f t="shared" si="27"/>
        <v>Water volume required for application</v>
      </c>
      <c r="DQ36" s="147">
        <f>PT.anaer_lagoon!AJ53</f>
        <v>1718.5392186452036</v>
      </c>
      <c r="DR36" t="str">
        <f t="shared" si="16"/>
        <v>m3/HRT</v>
      </c>
      <c r="DS36" s="36"/>
      <c r="DT36" s="36"/>
      <c r="DU36" t="s">
        <v>4728</v>
      </c>
      <c r="DY36" s="147">
        <f>DY35+$B$15*2</f>
        <v>50.202575649756049</v>
      </c>
      <c r="DZ36" t="s">
        <v>2337</v>
      </c>
      <c r="EA36" s="36"/>
      <c r="EB36" s="36"/>
      <c r="EC36" s="36"/>
      <c r="ED36" s="36"/>
      <c r="EE36" s="36"/>
      <c r="EG36" t="str">
        <f t="shared" si="28"/>
        <v>Water volume required for application</v>
      </c>
      <c r="EH36" s="147">
        <f>PT.anaer_lagoon!AN53</f>
        <v>1718.5392186452036</v>
      </c>
      <c r="EI36" t="str">
        <f t="shared" si="17"/>
        <v>m3/HRT</v>
      </c>
      <c r="EJ36" s="36"/>
      <c r="EK36" s="36"/>
      <c r="EL36" t="s">
        <v>4728</v>
      </c>
      <c r="EP36" s="147">
        <f>EP35+$B$15*2</f>
        <v>50.202575649756049</v>
      </c>
      <c r="EQ36" t="s">
        <v>2337</v>
      </c>
      <c r="ER36" s="36"/>
      <c r="ES36" s="36"/>
      <c r="ET36" s="36"/>
      <c r="EU36" s="36"/>
      <c r="EV36" s="36"/>
      <c r="EX36" t="str">
        <f t="shared" si="29"/>
        <v>Water volume required for application</v>
      </c>
      <c r="EY36" s="147">
        <f>PT.anaer_lagoon!AR53</f>
        <v>2673.2883970489597</v>
      </c>
      <c r="EZ36" t="str">
        <f t="shared" si="18"/>
        <v>m3/HRT</v>
      </c>
      <c r="FA36" s="36"/>
      <c r="FB36" s="36"/>
      <c r="FC36" t="s">
        <v>4728</v>
      </c>
      <c r="FG36" s="147">
        <f>FG35+$B$15*2</f>
        <v>44.013784152366142</v>
      </c>
      <c r="FH36" t="s">
        <v>2337</v>
      </c>
      <c r="FI36" s="36"/>
      <c r="FJ36" s="36"/>
      <c r="FK36" s="36"/>
      <c r="FL36" s="36"/>
      <c r="FM36" s="36"/>
    </row>
    <row r="37" spans="1:169" x14ac:dyDescent="0.3">
      <c r="A37" t="s">
        <v>4790</v>
      </c>
      <c r="B37" s="147">
        <f>PT.anaer_lagoon!G54</f>
        <v>100.24831488933599</v>
      </c>
      <c r="C37" t="s">
        <v>4791</v>
      </c>
      <c r="D37" s="36"/>
      <c r="E37" s="36"/>
      <c r="F37" t="s">
        <v>4729</v>
      </c>
      <c r="J37" s="147">
        <f>1/3*UDV.anaer_lagoon.freeboard*(J36^2 + (J36 - J35)^2 + J36 * (J36 - J35))</f>
        <v>374.28803926912229</v>
      </c>
      <c r="K37" t="s">
        <v>2478</v>
      </c>
      <c r="L37" s="36"/>
      <c r="M37" s="36"/>
      <c r="N37" s="36"/>
      <c r="O37" s="36"/>
      <c r="P37" s="36"/>
      <c r="R37" t="str">
        <f t="shared" si="19"/>
        <v>TS volume for treatment period</v>
      </c>
      <c r="S37" s="147">
        <f>PT.anaer_lagoon!K54</f>
        <v>100.24831488933599</v>
      </c>
      <c r="T37" t="str">
        <f t="shared" si="20"/>
        <v>m3 TS/HRT</v>
      </c>
      <c r="U37" s="36"/>
      <c r="V37" s="36"/>
      <c r="W37" t="s">
        <v>4729</v>
      </c>
      <c r="AA37" s="147">
        <f>1/3*UDV.anaer_lagoon.freeboard*(AA36^2 + (AA36 - AA35)^2 + AA36 * (AA36 - AA35))</f>
        <v>374.28803926912229</v>
      </c>
      <c r="AB37" t="s">
        <v>2478</v>
      </c>
      <c r="AC37" s="36"/>
      <c r="AD37" s="36"/>
      <c r="AE37" s="36"/>
      <c r="AF37" s="36"/>
      <c r="AG37" s="36"/>
      <c r="AI37" t="str">
        <f t="shared" si="21"/>
        <v>TS volume for treatment period</v>
      </c>
      <c r="AJ37" s="147">
        <f>PT.anaer_lagoon!O54</f>
        <v>100.24831488933599</v>
      </c>
      <c r="AK37" t="str">
        <f t="shared" si="22"/>
        <v>m3 TS/HRT</v>
      </c>
      <c r="AL37" s="36"/>
      <c r="AM37" s="36"/>
      <c r="AN37" t="s">
        <v>4729</v>
      </c>
      <c r="AR37" s="147">
        <f>1/3*UDV.anaer_lagoon.freeboard*(AR36^2 + (AR36 - AR35)^2 + AR36 * (AR36 - AR35))</f>
        <v>372.16910541987613</v>
      </c>
      <c r="AS37" t="s">
        <v>2478</v>
      </c>
      <c r="AT37" s="36"/>
      <c r="AU37" s="36"/>
      <c r="AV37" s="36"/>
      <c r="AW37" s="36"/>
      <c r="AX37" s="36"/>
      <c r="AZ37" t="str">
        <f t="shared" si="23"/>
        <v>TS volume for treatment period</v>
      </c>
      <c r="BA37" s="147">
        <f>PT.anaer_lagoon!S54</f>
        <v>59.671532947686089</v>
      </c>
      <c r="BB37" t="str">
        <f t="shared" si="12"/>
        <v>m3 TS/HRT</v>
      </c>
      <c r="BC37" s="36"/>
      <c r="BD37" s="36"/>
      <c r="BE37" t="s">
        <v>4729</v>
      </c>
      <c r="BI37" s="147">
        <f>1/3*UDV.anaer_lagoon.freeboard*(BI36^2 + (BI36 - BI35)^2 + BI36 * (BI36 - BI35))</f>
        <v>299.48425853520189</v>
      </c>
      <c r="BJ37" t="s">
        <v>2478</v>
      </c>
      <c r="BK37" s="36"/>
      <c r="BL37" s="36"/>
      <c r="BM37" s="36"/>
      <c r="BN37" s="36"/>
      <c r="BO37" s="36"/>
      <c r="BQ37" t="str">
        <f t="shared" si="24"/>
        <v>TS volume for treatment period</v>
      </c>
      <c r="BR37" s="147">
        <f>PT.anaer_lagoon!W54</f>
        <v>59.671532947686089</v>
      </c>
      <c r="BS37" t="str">
        <f t="shared" si="13"/>
        <v>m3 TS/HRT</v>
      </c>
      <c r="BT37" s="36"/>
      <c r="BU37" s="36"/>
      <c r="BV37" t="s">
        <v>4729</v>
      </c>
      <c r="BZ37" s="147">
        <f>1/3*UDV.anaer_lagoon.freeboard*(BZ36^2 + (BZ36 - BZ35)^2 + BZ36 * (BZ36 - BZ35))</f>
        <v>299.48425853520189</v>
      </c>
      <c r="CA37" t="s">
        <v>2478</v>
      </c>
      <c r="CB37" s="36"/>
      <c r="CC37" s="36"/>
      <c r="CD37" s="36"/>
      <c r="CE37" s="36"/>
      <c r="CF37" s="36"/>
      <c r="CH37" t="str">
        <f t="shared" si="25"/>
        <v>TS volume for treatment period</v>
      </c>
      <c r="CI37" s="147">
        <f>PT.anaer_lagoon!AA54</f>
        <v>59.671532947686089</v>
      </c>
      <c r="CJ37" t="str">
        <f t="shared" si="14"/>
        <v>m3 TS/HRT</v>
      </c>
      <c r="CK37" s="36"/>
      <c r="CL37" s="36"/>
      <c r="CM37" t="s">
        <v>4729</v>
      </c>
      <c r="CQ37" s="147">
        <f>1/3*UDV.anaer_lagoon.freeboard*(CQ36^2 + (CQ36 - CQ35)^2 + CQ36 * (CQ36 - CQ35))</f>
        <v>299.48425853520189</v>
      </c>
      <c r="CR37" t="s">
        <v>2478</v>
      </c>
      <c r="CS37" s="36"/>
      <c r="CT37" s="36"/>
      <c r="CU37" s="36"/>
      <c r="CV37" s="36"/>
      <c r="CW37" s="36"/>
      <c r="CY37" t="str">
        <f t="shared" si="26"/>
        <v>TS volume for treatment period</v>
      </c>
      <c r="CZ37" s="147">
        <f>PT.anaer_lagoon!AE54</f>
        <v>51.556176559356111</v>
      </c>
      <c r="DA37" t="str">
        <f t="shared" si="15"/>
        <v>m3 TS/HRT</v>
      </c>
      <c r="DB37" s="36"/>
      <c r="DC37" s="36"/>
      <c r="DD37" t="s">
        <v>4729</v>
      </c>
      <c r="DH37" s="147">
        <f>1/3*UDV.anaer_lagoon.freeboard*(DH36^2 + (DH36 - DH35)^2 + DH36 * (DH36 - DH35))</f>
        <v>284.10524638001516</v>
      </c>
      <c r="DI37" t="s">
        <v>2478</v>
      </c>
      <c r="DJ37" s="36"/>
      <c r="DK37" s="36"/>
      <c r="DL37" s="36"/>
      <c r="DM37" s="36"/>
      <c r="DN37" s="36"/>
      <c r="DP37" t="str">
        <f t="shared" si="27"/>
        <v>TS volume for treatment period</v>
      </c>
      <c r="DQ37" s="147">
        <f>PT.anaer_lagoon!AJ54</f>
        <v>51.556176559356111</v>
      </c>
      <c r="DR37" t="str">
        <f t="shared" si="16"/>
        <v>m3 TS/HRT</v>
      </c>
      <c r="DS37" s="36"/>
      <c r="DT37" s="36"/>
      <c r="DU37" t="s">
        <v>4729</v>
      </c>
      <c r="DY37" s="147">
        <f>1/3*UDV.anaer_lagoon.freeboard*(DY36^2 + (DY36 - DY35)^2 + DY36 * (DY36 - DY35))</f>
        <v>284.10524638001516</v>
      </c>
      <c r="DZ37" t="s">
        <v>2478</v>
      </c>
      <c r="EA37" s="36"/>
      <c r="EB37" s="36"/>
      <c r="EC37" s="36"/>
      <c r="ED37" s="36"/>
      <c r="EE37" s="36"/>
      <c r="EG37" t="str">
        <f t="shared" si="28"/>
        <v>TS volume for treatment period</v>
      </c>
      <c r="EH37" s="147">
        <f>PT.anaer_lagoon!AN54</f>
        <v>51.556176559356111</v>
      </c>
      <c r="EI37" t="str">
        <f t="shared" si="17"/>
        <v>m3 TS/HRT</v>
      </c>
      <c r="EJ37" s="36"/>
      <c r="EK37" s="36"/>
      <c r="EL37" t="s">
        <v>4729</v>
      </c>
      <c r="EP37" s="147">
        <f>1/3*UDV.anaer_lagoon.freeboard*(EP36^2 + (EP36 - EP35)^2 + EP36 * (EP36 - EP35))</f>
        <v>284.10524638001516</v>
      </c>
      <c r="EQ37" t="s">
        <v>2478</v>
      </c>
      <c r="ER37" s="36"/>
      <c r="ES37" s="36"/>
      <c r="ET37" s="36"/>
      <c r="EU37" s="36"/>
      <c r="EV37" s="36"/>
      <c r="EX37" t="str">
        <f t="shared" si="29"/>
        <v>TS volume for treatment period</v>
      </c>
      <c r="EY37" s="147">
        <f>PT.anaer_lagoon!AR54</f>
        <v>80.198651911468787</v>
      </c>
      <c r="EZ37" t="str">
        <f t="shared" si="18"/>
        <v>m3 TS/HRT</v>
      </c>
      <c r="FA37" s="36"/>
      <c r="FB37" s="36"/>
      <c r="FC37" t="s">
        <v>4729</v>
      </c>
      <c r="FG37" s="147">
        <f>1/3*UDV.anaer_lagoon.freeboard*(FG36^2 + (FG36 - FG35)^2 + FG36 * (FG36 - FG35))</f>
        <v>221.7198630031674</v>
      </c>
      <c r="FH37" t="s">
        <v>2478</v>
      </c>
      <c r="FI37" s="36"/>
      <c r="FJ37" s="36"/>
      <c r="FK37" s="36"/>
      <c r="FL37" s="36"/>
      <c r="FM37" s="36"/>
    </row>
    <row r="38" spans="1:169" x14ac:dyDescent="0.3">
      <c r="A38" t="s">
        <v>4792</v>
      </c>
      <c r="B38" s="147">
        <f>PT.anaer_lagoon!G55</f>
        <v>5581.8078315740868</v>
      </c>
      <c r="C38" t="s">
        <v>2478</v>
      </c>
      <c r="F38" t="s">
        <v>4730</v>
      </c>
      <c r="J38" s="147">
        <f>INDEX(K$54:K103,MATCH(J$34,P$54:P103,0))</f>
        <v>7357.0280934313305</v>
      </c>
      <c r="K38" t="s">
        <v>4731</v>
      </c>
      <c r="R38" t="str">
        <f t="shared" si="19"/>
        <v>Lagoon volume requirement, excluding rainfall (LV)</v>
      </c>
      <c r="S38" s="147">
        <f>PT.anaer_lagoon!K55</f>
        <v>5581.8078315740859</v>
      </c>
      <c r="T38" t="str">
        <f t="shared" si="20"/>
        <v>m3</v>
      </c>
      <c r="W38" t="s">
        <v>4730</v>
      </c>
      <c r="AA38" s="147">
        <f>INDEX(AB$54:AB103,MATCH(AA$34,AG$54:AG103,0))</f>
        <v>7357.0280934313305</v>
      </c>
      <c r="AB38" t="s">
        <v>4731</v>
      </c>
      <c r="AI38" t="str">
        <f t="shared" si="21"/>
        <v>Lagoon volume requirement, excluding rainfall (LV)</v>
      </c>
      <c r="AJ38" s="147">
        <f>PT.anaer_lagoon!O55</f>
        <v>5581.8078315740859</v>
      </c>
      <c r="AK38" t="str">
        <f t="shared" si="22"/>
        <v>m3</v>
      </c>
      <c r="AN38" t="s">
        <v>4730</v>
      </c>
      <c r="AR38" s="147">
        <f>INDEX(AS$54:AS103,MATCH(AR$34,AX$54:AX103,0))</f>
        <v>7295.1390379885152</v>
      </c>
      <c r="AS38" t="s">
        <v>4731</v>
      </c>
      <c r="AZ38" t="str">
        <f t="shared" si="23"/>
        <v>Lagoon volume requirement, excluding rainfall (LV)</v>
      </c>
      <c r="BA38" s="147">
        <f>PT.anaer_lagoon!S55</f>
        <v>3750.0157282249575</v>
      </c>
      <c r="BB38" t="str">
        <f t="shared" si="12"/>
        <v>m3</v>
      </c>
      <c r="BE38" t="s">
        <v>4730</v>
      </c>
      <c r="BI38" s="147">
        <f>INDEX(BJ$54:BJ103,MATCH(BI$34,BO$54:BO103,0))</f>
        <v>5236.5657910146083</v>
      </c>
      <c r="BJ38" t="s">
        <v>4731</v>
      </c>
      <c r="BQ38" t="str">
        <f t="shared" si="24"/>
        <v>Lagoon volume requirement, excluding rainfall (LV)</v>
      </c>
      <c r="BR38" s="147">
        <f>PT.anaer_lagoon!W55</f>
        <v>3750.0157282249575</v>
      </c>
      <c r="BS38" t="str">
        <f t="shared" si="13"/>
        <v>m3</v>
      </c>
      <c r="BV38" t="s">
        <v>4730</v>
      </c>
      <c r="BZ38" s="147">
        <f>INDEX(CA$54:CA103,MATCH(BZ$34,CF$54:CF103,0))</f>
        <v>5236.5657910146083</v>
      </c>
      <c r="CA38" t="s">
        <v>4731</v>
      </c>
      <c r="CH38" t="str">
        <f t="shared" si="25"/>
        <v>Lagoon volume requirement, excluding rainfall (LV)</v>
      </c>
      <c r="CI38" s="147">
        <f>PT.anaer_lagoon!AA55</f>
        <v>3750.0157282249575</v>
      </c>
      <c r="CJ38" t="str">
        <f t="shared" si="14"/>
        <v>m3</v>
      </c>
      <c r="CM38" t="s">
        <v>4730</v>
      </c>
      <c r="CQ38" s="147">
        <f>INDEX(CR$54:CR103,MATCH(CQ$34,CW$54:CW103,0))</f>
        <v>5236.5657910146083</v>
      </c>
      <c r="CR38" t="s">
        <v>4731</v>
      </c>
      <c r="CY38" t="str">
        <f t="shared" si="26"/>
        <v>Lagoon volume requirement, excluding rainfall (LV)</v>
      </c>
      <c r="CZ38" s="147">
        <f>PT.anaer_lagoon!AE55</f>
        <v>3383.6573075551314</v>
      </c>
      <c r="DA38" t="str">
        <f t="shared" si="15"/>
        <v>m3</v>
      </c>
      <c r="DD38" t="s">
        <v>4730</v>
      </c>
      <c r="DH38" s="147">
        <f>INDEX(DI$54:DI103,MATCH(DH$34,DN$54:DN103,0))</f>
        <v>4819.4091995317904</v>
      </c>
      <c r="DI38" t="s">
        <v>4731</v>
      </c>
      <c r="DP38" t="str">
        <f t="shared" si="27"/>
        <v>Lagoon volume requirement, excluding rainfall (LV)</v>
      </c>
      <c r="DQ38" s="147">
        <f>PT.anaer_lagoon!AJ55</f>
        <v>3383.6573075551314</v>
      </c>
      <c r="DR38" t="str">
        <f t="shared" si="16"/>
        <v>m3</v>
      </c>
      <c r="DU38" t="s">
        <v>4730</v>
      </c>
      <c r="DY38" s="147">
        <f>INDEX(DZ$54:DZ103,MATCH(DY$34,EE$54:EE103,0))</f>
        <v>4819.4091995317904</v>
      </c>
      <c r="DZ38" t="s">
        <v>4731</v>
      </c>
      <c r="EG38" t="str">
        <f t="shared" si="28"/>
        <v>Lagoon volume requirement, excluding rainfall (LV)</v>
      </c>
      <c r="EH38" s="147">
        <f>PT.anaer_lagoon!AN55</f>
        <v>3383.6573075551319</v>
      </c>
      <c r="EI38" t="str">
        <f t="shared" si="17"/>
        <v>m3</v>
      </c>
      <c r="EL38" t="s">
        <v>4730</v>
      </c>
      <c r="EP38" s="147">
        <f>INDEX(EQ$54:EQ103,MATCH(EP$34,EV$54:EV103,0))</f>
        <v>4819.4091995317904</v>
      </c>
      <c r="EQ38" t="s">
        <v>4731</v>
      </c>
      <c r="EX38" t="str">
        <f t="shared" si="29"/>
        <v>Lagoon volume requirement, excluding rainfall (LV)</v>
      </c>
      <c r="EY38" s="147">
        <f>PT.anaer_lagoon!AR55</f>
        <v>1998.8491587948552</v>
      </c>
      <c r="EZ38" t="str">
        <f t="shared" si="18"/>
        <v>m3</v>
      </c>
      <c r="FC38" t="s">
        <v>4730</v>
      </c>
      <c r="FG38" s="147">
        <f>INDEX(FH$54:FH103,MATCH(FG$34,FM$54:FM103,0))</f>
        <v>3212.6869529101027</v>
      </c>
      <c r="FH38" t="s">
        <v>4731</v>
      </c>
    </row>
    <row r="39" spans="1:169" x14ac:dyDescent="0.3">
      <c r="F39" t="s">
        <v>4732</v>
      </c>
      <c r="J39">
        <f>INDEX(O$54:O103,MATCH(J$34,P$54:P103,0))</f>
        <v>1.0000617999999999</v>
      </c>
      <c r="K39" t="s">
        <v>2426</v>
      </c>
      <c r="W39" t="s">
        <v>4732</v>
      </c>
      <c r="AA39">
        <f>INDEX(AF$54:AF103,MATCH(AA$34,AG$54:AG103,0))</f>
        <v>1.0000617999999999</v>
      </c>
      <c r="AB39" t="s">
        <v>2426</v>
      </c>
      <c r="AN39" t="s">
        <v>4732</v>
      </c>
      <c r="AR39">
        <f>INDEX(AW$54:AW103,MATCH(AR$34,AX$54:AX103,0))</f>
        <v>1</v>
      </c>
      <c r="AS39" t="s">
        <v>2426</v>
      </c>
      <c r="BE39" t="s">
        <v>4732</v>
      </c>
      <c r="BI39">
        <f>INDEX(BN$54:BN103,MATCH(BI$34,BO$54:BO103,0))</f>
        <v>1.0000617999999999</v>
      </c>
      <c r="BJ39" t="s">
        <v>2426</v>
      </c>
      <c r="BV39" t="s">
        <v>4732</v>
      </c>
      <c r="BZ39">
        <f>INDEX(CE$54:CE103,MATCH(BZ$34,CF$54:CF103,0))</f>
        <v>1.0000617999999999</v>
      </c>
      <c r="CA39" t="s">
        <v>2426</v>
      </c>
      <c r="CM39" t="s">
        <v>4732</v>
      </c>
      <c r="CQ39">
        <f>INDEX(CV$54:CV103,MATCH(CQ$34,CW$54:CW103,0))</f>
        <v>1.0000617999999999</v>
      </c>
      <c r="CR39" t="s">
        <v>2426</v>
      </c>
      <c r="DD39" t="s">
        <v>4732</v>
      </c>
      <c r="DH39">
        <f>INDEX(DM$54:DM103,MATCH(DH$34,DN$54:DN103,0))</f>
        <v>1</v>
      </c>
      <c r="DI39" t="s">
        <v>2426</v>
      </c>
      <c r="DU39" t="s">
        <v>4732</v>
      </c>
      <c r="DY39">
        <f>INDEX(ED$54:ED103,MATCH(DY$34,EE$54:EE103,0))</f>
        <v>1</v>
      </c>
      <c r="DZ39" t="s">
        <v>2426</v>
      </c>
      <c r="EL39" t="s">
        <v>4732</v>
      </c>
      <c r="EP39">
        <f>INDEX(EU$54:EU103,MATCH(EP$34,EV$54:EV103,0))</f>
        <v>1</v>
      </c>
      <c r="EQ39" t="s">
        <v>2426</v>
      </c>
      <c r="FC39" t="s">
        <v>4732</v>
      </c>
      <c r="FG39">
        <f>INDEX(FL$54:FL103,MATCH(FG$34,FM$54:FM103,0))</f>
        <v>1.0000617999999999</v>
      </c>
      <c r="FH39" t="s">
        <v>2426</v>
      </c>
    </row>
    <row r="40" spans="1:169" x14ac:dyDescent="0.3">
      <c r="A40" t="s">
        <v>4793</v>
      </c>
      <c r="B40" s="147">
        <v>0</v>
      </c>
      <c r="C40" t="s">
        <v>2268</v>
      </c>
      <c r="F40" t="s">
        <v>4733</v>
      </c>
      <c r="J40">
        <f>MATCH(J$34,P$54:P103,0)</f>
        <v>26</v>
      </c>
      <c r="K40" t="s">
        <v>4734</v>
      </c>
      <c r="N40" s="147"/>
      <c r="R40" t="str">
        <f t="shared" si="19"/>
        <v>System surface areas that runoff into lagoon (Sand lane, weeping wall, etc)</v>
      </c>
      <c r="S40" s="147">
        <v>0</v>
      </c>
      <c r="T40" t="s">
        <v>2268</v>
      </c>
      <c r="W40" t="s">
        <v>4733</v>
      </c>
      <c r="AA40">
        <f>MATCH(AA$34,AG$54:AG103,0)</f>
        <v>26</v>
      </c>
      <c r="AB40" t="s">
        <v>4734</v>
      </c>
      <c r="AI40" t="str">
        <f t="shared" si="21"/>
        <v>System surface areas that runoff into lagoon (Sand lane, weeping wall, etc)</v>
      </c>
      <c r="AJ40" s="147">
        <v>0</v>
      </c>
      <c r="AK40" t="str">
        <f t="shared" si="22"/>
        <v>m2</v>
      </c>
      <c r="AN40" t="s">
        <v>4733</v>
      </c>
      <c r="AR40">
        <f>MATCH(AR$34,AX$54:AX103,0)</f>
        <v>27</v>
      </c>
      <c r="AS40" t="s">
        <v>4734</v>
      </c>
      <c r="AZ40" t="str">
        <f t="shared" si="23"/>
        <v>System surface areas that runoff into lagoon (Sand lane, weeping wall, etc)</v>
      </c>
      <c r="BA40" s="147">
        <v>0</v>
      </c>
      <c r="BB40" t="str">
        <f t="shared" si="12"/>
        <v>m2</v>
      </c>
      <c r="BE40" t="s">
        <v>4733</v>
      </c>
      <c r="BI40">
        <f>MATCH(BI$34,BO$54:BO103,0)</f>
        <v>29</v>
      </c>
      <c r="BJ40" t="s">
        <v>4734</v>
      </c>
      <c r="BQ40" t="str">
        <f t="shared" ref="BQ40:BQ42" si="30">R40</f>
        <v>System surface areas that runoff into lagoon (Sand lane, weeping wall, etc)</v>
      </c>
      <c r="BR40" s="147">
        <v>0</v>
      </c>
      <c r="BS40" t="str">
        <f t="shared" ref="BS40:BS42" si="31">T40</f>
        <v>m2</v>
      </c>
      <c r="BV40" t="s">
        <v>4733</v>
      </c>
      <c r="BZ40">
        <f>MATCH(BZ$34,CF$54:CF103,0)</f>
        <v>29</v>
      </c>
      <c r="CA40" t="s">
        <v>4734</v>
      </c>
      <c r="CH40" t="str">
        <f t="shared" ref="CH40:CH42" si="32">AI40</f>
        <v>System surface areas that runoff into lagoon (Sand lane, weeping wall, etc)</v>
      </c>
      <c r="CI40" s="147">
        <v>0</v>
      </c>
      <c r="CJ40" t="str">
        <f t="shared" ref="CJ40:CJ42" si="33">AK40</f>
        <v>m2</v>
      </c>
      <c r="CM40" t="s">
        <v>4733</v>
      </c>
      <c r="CQ40">
        <f>MATCH(CQ$34,CW$54:CW103,0)</f>
        <v>29</v>
      </c>
      <c r="CR40" t="s">
        <v>4734</v>
      </c>
      <c r="CY40" t="str">
        <f t="shared" ref="CY40:CY42" si="34">AZ40</f>
        <v>System surface areas that runoff into lagoon (Sand lane, weeping wall, etc)</v>
      </c>
      <c r="CZ40" s="147">
        <v>0</v>
      </c>
      <c r="DA40" t="str">
        <f t="shared" ref="DA40:DA42" si="35">BB40</f>
        <v>m2</v>
      </c>
      <c r="DD40" t="s">
        <v>4733</v>
      </c>
      <c r="DH40">
        <f>MATCH(DH$34,DN$54:DN103,0)</f>
        <v>23</v>
      </c>
      <c r="DI40" t="s">
        <v>4734</v>
      </c>
      <c r="DP40" t="str">
        <f t="shared" ref="DP40:DP42" si="36">BQ40</f>
        <v>System surface areas that runoff into lagoon (Sand lane, weeping wall, etc)</v>
      </c>
      <c r="DQ40" s="147">
        <v>0</v>
      </c>
      <c r="DR40" t="str">
        <f t="shared" ref="DR40:DR42" si="37">BS40</f>
        <v>m2</v>
      </c>
      <c r="DU40" t="s">
        <v>4733</v>
      </c>
      <c r="DY40">
        <f>MATCH(DY$34,EE$54:EE103,0)</f>
        <v>23</v>
      </c>
      <c r="DZ40" t="s">
        <v>4734</v>
      </c>
      <c r="EG40" t="str">
        <f t="shared" ref="EG40:EG42" si="38">CH40</f>
        <v>System surface areas that runoff into lagoon (Sand lane, weeping wall, etc)</v>
      </c>
      <c r="EH40" s="147">
        <v>0</v>
      </c>
      <c r="EI40" t="str">
        <f t="shared" ref="EI40:EI42" si="39">CJ40</f>
        <v>m2</v>
      </c>
      <c r="EL40" t="s">
        <v>4733</v>
      </c>
      <c r="EP40">
        <f>MATCH(EP$34,EV$54:EV103,0)</f>
        <v>23</v>
      </c>
      <c r="EQ40" t="s">
        <v>4734</v>
      </c>
      <c r="EX40" t="str">
        <f t="shared" ref="EX40:EX42" si="40">CY40</f>
        <v>System surface areas that runoff into lagoon (Sand lane, weeping wall, etc)</v>
      </c>
      <c r="EY40" s="147">
        <v>0</v>
      </c>
      <c r="EZ40" t="str">
        <f t="shared" ref="EZ40:EZ42" si="41">DA40</f>
        <v>m2</v>
      </c>
      <c r="FC40" t="s">
        <v>4733</v>
      </c>
      <c r="FG40">
        <f>MATCH(FG$34,FM$54:FM103,0)</f>
        <v>22</v>
      </c>
      <c r="FH40" t="s">
        <v>4734</v>
      </c>
    </row>
    <row r="41" spans="1:169" x14ac:dyDescent="0.3">
      <c r="A41" t="s">
        <v>4794</v>
      </c>
      <c r="B41" s="147">
        <f>B40*$B$7</f>
        <v>0</v>
      </c>
      <c r="C41" t="s">
        <v>2478</v>
      </c>
      <c r="F41" t="s">
        <v>4795</v>
      </c>
      <c r="J41" s="147">
        <f>J48*$B$7+B41+$B$25</f>
        <v>486.01391065036597</v>
      </c>
      <c r="K41" t="s">
        <v>4731</v>
      </c>
      <c r="R41" t="str">
        <f t="shared" si="19"/>
        <v>System specific 25 year rain volume (Sand lane, weeping wall, etc)</v>
      </c>
      <c r="S41" s="147">
        <f>S40*$B$7</f>
        <v>0</v>
      </c>
      <c r="T41" t="s">
        <v>2478</v>
      </c>
      <c r="W41" t="s">
        <v>4795</v>
      </c>
      <c r="AA41" s="147">
        <f>AA48*$B$7+S41+$B$25</f>
        <v>486.01391065036597</v>
      </c>
      <c r="AB41" t="s">
        <v>4731</v>
      </c>
      <c r="AI41" t="str">
        <f t="shared" si="21"/>
        <v>System specific 25 year rain volume (Sand lane, weeping wall, etc)</v>
      </c>
      <c r="AJ41" s="147">
        <f>AJ40*$B$7</f>
        <v>0</v>
      </c>
      <c r="AK41" t="str">
        <f t="shared" si="22"/>
        <v>m3</v>
      </c>
      <c r="AN41" t="s">
        <v>4795</v>
      </c>
      <c r="AR41" s="147">
        <f>AR48*$B$7+AJ41+$B$25</f>
        <v>483.12945220258121</v>
      </c>
      <c r="AS41" t="s">
        <v>4731</v>
      </c>
      <c r="AZ41" t="str">
        <f t="shared" si="23"/>
        <v>System specific 25 year rain volume (Sand lane, weeping wall, etc)</v>
      </c>
      <c r="BA41" s="147">
        <f>BA40*$B$7</f>
        <v>0</v>
      </c>
      <c r="BB41" t="str">
        <f t="shared" si="12"/>
        <v>m3</v>
      </c>
      <c r="BE41" t="s">
        <v>4795</v>
      </c>
      <c r="BI41" s="147">
        <f>BI48*$B$7+BA41+$B$25</f>
        <v>384.42454175541752</v>
      </c>
      <c r="BJ41" t="s">
        <v>4731</v>
      </c>
      <c r="BQ41" t="str">
        <f t="shared" si="30"/>
        <v>System specific 25 year rain volume (Sand lane, weeping wall, etc)</v>
      </c>
      <c r="BR41" s="147">
        <f>BR40*$B$7</f>
        <v>0</v>
      </c>
      <c r="BS41" t="str">
        <f t="shared" si="31"/>
        <v>m3</v>
      </c>
      <c r="BV41" t="s">
        <v>4795</v>
      </c>
      <c r="BZ41" s="147">
        <f>BZ48*$B$7+BR41+$B$25</f>
        <v>384.42454175541752</v>
      </c>
      <c r="CA41" t="s">
        <v>4731</v>
      </c>
      <c r="CH41" t="str">
        <f t="shared" si="32"/>
        <v>System specific 25 year rain volume (Sand lane, weeping wall, etc)</v>
      </c>
      <c r="CI41" s="147">
        <f>CI40*$B$7</f>
        <v>0</v>
      </c>
      <c r="CJ41" t="str">
        <f t="shared" si="33"/>
        <v>m3</v>
      </c>
      <c r="CM41" t="s">
        <v>4795</v>
      </c>
      <c r="CQ41" s="147">
        <f>CQ48*$B$7+CI41+$B$25</f>
        <v>384.42454175541752</v>
      </c>
      <c r="CR41" t="s">
        <v>4731</v>
      </c>
      <c r="CY41" t="str">
        <f t="shared" si="34"/>
        <v>System specific 25 year rain volume (Sand lane, weeping wall, etc)</v>
      </c>
      <c r="CZ41" s="147">
        <f>CZ40*$B$7</f>
        <v>0</v>
      </c>
      <c r="DA41" t="str">
        <f t="shared" si="35"/>
        <v>m3</v>
      </c>
      <c r="DD41" t="s">
        <v>4795</v>
      </c>
      <c r="DH41" s="147">
        <f>DH48*$B$7+CZ41+$B$25</f>
        <v>363.60851988891346</v>
      </c>
      <c r="DI41" t="s">
        <v>4731</v>
      </c>
      <c r="DP41" t="str">
        <f t="shared" si="36"/>
        <v>System specific 25 year rain volume (Sand lane, weeping wall, etc)</v>
      </c>
      <c r="DQ41" s="147">
        <f>DQ40*$B$7</f>
        <v>0</v>
      </c>
      <c r="DR41" t="str">
        <f t="shared" si="37"/>
        <v>m3</v>
      </c>
      <c r="DU41" t="s">
        <v>4795</v>
      </c>
      <c r="DY41" s="147">
        <f>DY48*$B$7+DQ41+$B$25</f>
        <v>363.60851988891346</v>
      </c>
      <c r="DZ41" t="s">
        <v>4731</v>
      </c>
      <c r="EG41" t="str">
        <f t="shared" si="38"/>
        <v>System specific 25 year rain volume (Sand lane, weeping wall, etc)</v>
      </c>
      <c r="EH41" s="147">
        <f>EH40*$B$7</f>
        <v>0</v>
      </c>
      <c r="EI41" t="str">
        <f t="shared" si="39"/>
        <v>m3</v>
      </c>
      <c r="EL41" t="s">
        <v>4795</v>
      </c>
      <c r="EP41" s="147">
        <f>EP48*$B$7+EH41+$B$25</f>
        <v>363.60851988891346</v>
      </c>
      <c r="EQ41" t="s">
        <v>4731</v>
      </c>
      <c r="EX41" t="str">
        <f t="shared" si="40"/>
        <v>System specific 25 year rain volume (Sand lane, weeping wall, etc)</v>
      </c>
      <c r="EY41" s="147">
        <f>EY40*$B$7</f>
        <v>0</v>
      </c>
      <c r="EZ41" t="str">
        <f t="shared" si="41"/>
        <v>m3</v>
      </c>
      <c r="FC41" t="s">
        <v>4795</v>
      </c>
      <c r="FG41" s="147">
        <f>FG48*$B$7+EY41+$B$25</f>
        <v>279.48562212834685</v>
      </c>
      <c r="FH41" t="s">
        <v>4731</v>
      </c>
    </row>
    <row r="42" spans="1:169" x14ac:dyDescent="0.3">
      <c r="A42" t="s">
        <v>4796</v>
      </c>
      <c r="B42" s="147">
        <f>B40*$B$8</f>
        <v>0</v>
      </c>
      <c r="C42" t="s">
        <v>2478</v>
      </c>
      <c r="F42" t="s">
        <v>4797</v>
      </c>
      <c r="J42" s="147">
        <f>J48*$B$8+B42+$B$26</f>
        <v>2630.2935939070858</v>
      </c>
      <c r="K42" t="s">
        <v>4731</v>
      </c>
      <c r="R42" t="str">
        <f t="shared" si="19"/>
        <v>System specific regular rain volume (Sand lane, weeping wall, etc)</v>
      </c>
      <c r="S42" s="147">
        <f>S40*$B$8</f>
        <v>0</v>
      </c>
      <c r="T42" t="s">
        <v>2478</v>
      </c>
      <c r="W42" t="s">
        <v>4797</v>
      </c>
      <c r="AA42" s="147">
        <f>AA48*$B$8+S42+$B$26</f>
        <v>2630.2935939070858</v>
      </c>
      <c r="AB42" t="s">
        <v>4731</v>
      </c>
      <c r="AI42" t="str">
        <f t="shared" si="21"/>
        <v>System specific regular rain volume (Sand lane, weeping wall, etc)</v>
      </c>
      <c r="AJ42" s="147">
        <f>AJ40*$B$8</f>
        <v>0</v>
      </c>
      <c r="AK42" t="str">
        <f t="shared" si="22"/>
        <v>m3</v>
      </c>
      <c r="AN42" t="s">
        <v>4797</v>
      </c>
      <c r="AR42" s="147">
        <f>AR48*$B$8+AJ42+$B$26</f>
        <v>2614.6829860400248</v>
      </c>
      <c r="AS42" t="s">
        <v>4731</v>
      </c>
      <c r="AZ42" t="str">
        <f t="shared" si="23"/>
        <v>System specific regular rain volume (Sand lane, weeping wall, etc)</v>
      </c>
      <c r="BA42" s="147">
        <f>BA40*$B$8</f>
        <v>0</v>
      </c>
      <c r="BB42" t="str">
        <f t="shared" si="12"/>
        <v>m3</v>
      </c>
      <c r="BE42" t="s">
        <v>4797</v>
      </c>
      <c r="BI42" s="147">
        <f>BI48*$B$8+BA42+$B$26</f>
        <v>2080.4947911199879</v>
      </c>
      <c r="BJ42" t="s">
        <v>4731</v>
      </c>
      <c r="BQ42" t="str">
        <f t="shared" si="30"/>
        <v>System specific regular rain volume (Sand lane, weeping wall, etc)</v>
      </c>
      <c r="BR42" s="147">
        <f>BR40*$B$8</f>
        <v>0</v>
      </c>
      <c r="BS42" t="str">
        <f t="shared" si="31"/>
        <v>m3</v>
      </c>
      <c r="BV42" t="s">
        <v>4797</v>
      </c>
      <c r="BZ42" s="147">
        <f>BZ48*$B$8+BR42+$B$26</f>
        <v>2080.4947911199879</v>
      </c>
      <c r="CA42" t="s">
        <v>4731</v>
      </c>
      <c r="CH42" t="str">
        <f t="shared" si="32"/>
        <v>System specific regular rain volume (Sand lane, weeping wall, etc)</v>
      </c>
      <c r="CI42" s="147">
        <f>CI40*$B$8</f>
        <v>0</v>
      </c>
      <c r="CJ42" t="str">
        <f t="shared" si="33"/>
        <v>m3</v>
      </c>
      <c r="CM42" t="s">
        <v>4797</v>
      </c>
      <c r="CQ42" s="147">
        <f>CQ48*$B$8+CI42+$B$26</f>
        <v>2080.4947911199879</v>
      </c>
      <c r="CR42" t="s">
        <v>4731</v>
      </c>
      <c r="CY42" t="str">
        <f t="shared" si="34"/>
        <v>System specific regular rain volume (Sand lane, weeping wall, etc)</v>
      </c>
      <c r="CZ42" s="147">
        <f>CZ40*$B$8</f>
        <v>0</v>
      </c>
      <c r="DA42" t="str">
        <f t="shared" si="35"/>
        <v>m3</v>
      </c>
      <c r="DD42" t="s">
        <v>4797</v>
      </c>
      <c r="DH42" s="147">
        <f>DH48*$B$8+CZ42+$B$26</f>
        <v>1967.8390671452812</v>
      </c>
      <c r="DI42" t="s">
        <v>4731</v>
      </c>
      <c r="DP42" t="str">
        <f t="shared" si="36"/>
        <v>System specific regular rain volume (Sand lane, weeping wall, etc)</v>
      </c>
      <c r="DQ42" s="147">
        <f>DQ40*$B$8</f>
        <v>0</v>
      </c>
      <c r="DR42" t="str">
        <f t="shared" si="37"/>
        <v>m3</v>
      </c>
      <c r="DU42" t="s">
        <v>4797</v>
      </c>
      <c r="DY42" s="147">
        <f>DY48*$B$8+DQ42+$B$26</f>
        <v>1967.8390671452812</v>
      </c>
      <c r="DZ42" t="s">
        <v>4731</v>
      </c>
      <c r="EG42" t="str">
        <f t="shared" si="38"/>
        <v>System specific regular rain volume (Sand lane, weeping wall, etc)</v>
      </c>
      <c r="EH42" s="147">
        <f>EH40*$B$8</f>
        <v>0</v>
      </c>
      <c r="EI42" t="str">
        <f t="shared" si="39"/>
        <v>m3</v>
      </c>
      <c r="EL42" t="s">
        <v>4797</v>
      </c>
      <c r="EP42" s="147">
        <f>EP48*$B$8+EH42+$B$26</f>
        <v>1967.8390671452812</v>
      </c>
      <c r="EQ42" t="s">
        <v>4731</v>
      </c>
      <c r="EX42" t="str">
        <f t="shared" si="40"/>
        <v>System specific regular rain volume (Sand lane, weeping wall, etc)</v>
      </c>
      <c r="EY42" s="147">
        <f>EY40*$B$8</f>
        <v>0</v>
      </c>
      <c r="EZ42" t="str">
        <f t="shared" si="41"/>
        <v>m3</v>
      </c>
      <c r="FC42" t="s">
        <v>4797</v>
      </c>
      <c r="FG42" s="147">
        <f>FG48*$B$8+EY42+$B$26</f>
        <v>1512.5683141241866</v>
      </c>
      <c r="FH42" t="s">
        <v>4731</v>
      </c>
    </row>
    <row r="43" spans="1:169" x14ac:dyDescent="0.3">
      <c r="F43" t="s">
        <v>4798</v>
      </c>
      <c r="J43" s="147">
        <f>INDEX(H$54:H103,MATCH(J$34,P$54:P103,0))</f>
        <v>1340.7487136681357</v>
      </c>
      <c r="K43" t="s">
        <v>4731</v>
      </c>
      <c r="W43" t="s">
        <v>4798</v>
      </c>
      <c r="AA43" s="147">
        <f>INDEX(Y$54:Y103,MATCH(AA$34,AG$54:AG103,0))</f>
        <v>1340.7487136681357</v>
      </c>
      <c r="AB43" t="s">
        <v>4731</v>
      </c>
      <c r="AN43" t="s">
        <v>4798</v>
      </c>
      <c r="AR43" s="147">
        <f>INDEX(AP$54:AP103,MATCH(AR$34,AX$54:AX103,0))</f>
        <v>1384.9710853944098</v>
      </c>
      <c r="AS43" t="s">
        <v>4731</v>
      </c>
      <c r="BE43" t="s">
        <v>4798</v>
      </c>
      <c r="BI43" s="147">
        <f>INDEX(BG$54:BG103,MATCH(BI$34,BO$54:BO103,0))</f>
        <v>978.16613319366127</v>
      </c>
      <c r="BJ43" t="s">
        <v>4731</v>
      </c>
      <c r="BR43" s="147"/>
      <c r="BV43" t="s">
        <v>4798</v>
      </c>
      <c r="BZ43" s="147">
        <f>INDEX(BX$54:BX103,MATCH(BZ$34,CF$54:CF103,0))</f>
        <v>978.16613319366127</v>
      </c>
      <c r="CA43" t="s">
        <v>4731</v>
      </c>
      <c r="CI43" s="147"/>
      <c r="CM43" t="s">
        <v>4798</v>
      </c>
      <c r="CQ43" s="147">
        <f>INDEX(CO$54:CO103,MATCH(CQ$34,CW$54:CW103,0))</f>
        <v>978.16613319366127</v>
      </c>
      <c r="CR43" t="s">
        <v>4731</v>
      </c>
      <c r="CZ43" s="147"/>
      <c r="DD43" t="s">
        <v>4798</v>
      </c>
      <c r="DH43" s="147">
        <f>INDEX(DF$54:DF103,MATCH(DH$34,DN$54:DN103,0))</f>
        <v>895.72973336778398</v>
      </c>
      <c r="DI43" t="s">
        <v>4731</v>
      </c>
      <c r="DQ43" s="147"/>
      <c r="DU43" t="s">
        <v>4798</v>
      </c>
      <c r="DY43" s="147">
        <f>INDEX(DW$54:DW103,MATCH(DY$34,EE$54:EE103,0))</f>
        <v>895.72973336778398</v>
      </c>
      <c r="DZ43" t="s">
        <v>4731</v>
      </c>
      <c r="EH43" s="147"/>
      <c r="EL43" t="s">
        <v>4798</v>
      </c>
      <c r="EP43" s="147">
        <f>INDEX(EN$54:EN103,MATCH(EP$34,EV$54:EV103,0))</f>
        <v>895.72973336778398</v>
      </c>
      <c r="EQ43" t="s">
        <v>4731</v>
      </c>
      <c r="EY43" s="147"/>
      <c r="FC43" t="s">
        <v>4798</v>
      </c>
      <c r="FG43" s="147">
        <f>INDEX(FE$54:FE103,MATCH(FG$34,FM$54:FM103,0))</f>
        <v>578.21731660163937</v>
      </c>
      <c r="FH43" t="s">
        <v>4731</v>
      </c>
    </row>
    <row r="44" spans="1:169" x14ac:dyDescent="0.3">
      <c r="B44" s="147"/>
      <c r="F44" t="s">
        <v>4799</v>
      </c>
      <c r="J44" s="147">
        <f>INDEX(I$54:I103,MATCH(J$34,P$54:P103,0))</f>
        <v>2245.5096404836386</v>
      </c>
      <c r="K44" t="s">
        <v>4731</v>
      </c>
      <c r="S44" s="147"/>
      <c r="W44" t="s">
        <v>4799</v>
      </c>
      <c r="AA44" s="147">
        <f>INDEX(Z$54:Z103,MATCH(AA$34,AG$54:AG103,0))</f>
        <v>2245.5096404836368</v>
      </c>
      <c r="AB44" t="s">
        <v>4731</v>
      </c>
      <c r="AJ44" s="147"/>
      <c r="AN44" t="s">
        <v>4799</v>
      </c>
      <c r="AR44" s="147">
        <f>INDEX(AQ$54:AQ103,MATCH(AR$34,AX$54:AX103,0))</f>
        <v>2185.6766608903026</v>
      </c>
      <c r="AS44" t="s">
        <v>4731</v>
      </c>
      <c r="BE44" t="s">
        <v>4799</v>
      </c>
      <c r="BI44" s="147">
        <f>INDEX(BH$54:BH103,MATCH(BI$34,BO$54:BO103,0))</f>
        <v>2098.8702001126653</v>
      </c>
      <c r="BJ44" t="s">
        <v>4731</v>
      </c>
      <c r="BV44" t="s">
        <v>4799</v>
      </c>
      <c r="BZ44" s="147">
        <f>INDEX(BY$54:BY103,MATCH(BZ$34,CF$54:CF103,0))</f>
        <v>2098.8702001126653</v>
      </c>
      <c r="CA44" t="s">
        <v>4731</v>
      </c>
      <c r="CM44" t="s">
        <v>4799</v>
      </c>
      <c r="CQ44" s="147">
        <f>INDEX(CP$54:CP103,MATCH(CQ$34,CW$54:CW103,0))</f>
        <v>2098.8702001126653</v>
      </c>
      <c r="CR44" t="s">
        <v>4731</v>
      </c>
      <c r="DD44" t="s">
        <v>4799</v>
      </c>
      <c r="DH44" s="147">
        <f>INDEX(DG$54:DG103,MATCH(DH$34,DN$54:DN103,0))</f>
        <v>2076.7662323521658</v>
      </c>
      <c r="DI44" t="s">
        <v>4731</v>
      </c>
      <c r="DU44" t="s">
        <v>4799</v>
      </c>
      <c r="DY44" s="147">
        <f>INDEX(DX$54:DX103,MATCH(DY$34,EE$54:EE103,0))</f>
        <v>2076.7662323521658</v>
      </c>
      <c r="DZ44" t="s">
        <v>4731</v>
      </c>
      <c r="EL44" t="s">
        <v>4799</v>
      </c>
      <c r="EP44" s="147">
        <f>INDEX(EO$54:EO103,MATCH(EP$34,EV$54:EV103,0))</f>
        <v>2076.7662323521658</v>
      </c>
      <c r="EQ44" t="s">
        <v>4731</v>
      </c>
      <c r="FC44" t="s">
        <v>4799</v>
      </c>
      <c r="FG44" s="147">
        <f>INDEX(FF$54:FF103,MATCH(FG$34,FM$54:FM103,0))</f>
        <v>1625.6602064593883</v>
      </c>
      <c r="FH44" t="s">
        <v>4731</v>
      </c>
    </row>
    <row r="45" spans="1:169" x14ac:dyDescent="0.3">
      <c r="F45" t="s">
        <v>4800</v>
      </c>
      <c r="J45" s="147">
        <f>IF(J44&lt;0,B37,B35+J42-J43)</f>
        <v>2345.7579553729747</v>
      </c>
      <c r="K45" t="s">
        <v>4731</v>
      </c>
      <c r="W45" t="s">
        <v>4800</v>
      </c>
      <c r="AA45" s="147">
        <f>IF(AA44&lt;0,S37,S35+AA42-AA43)</f>
        <v>2345.7579553729743</v>
      </c>
      <c r="AB45" t="s">
        <v>4731</v>
      </c>
      <c r="AN45" t="s">
        <v>4800</v>
      </c>
      <c r="AR45" s="147">
        <f>IF(AR44&lt;0,AJ37,AJ35+AR42-AR43)</f>
        <v>2285.9249757796392</v>
      </c>
      <c r="AS45" t="s">
        <v>4731</v>
      </c>
      <c r="BE45" t="s">
        <v>4800</v>
      </c>
      <c r="BI45" s="147">
        <f>IF(BI44&lt;0,BA37,BA35+BI42-BI43)</f>
        <v>2158.5417330603514</v>
      </c>
      <c r="BJ45" t="s">
        <v>4731</v>
      </c>
      <c r="BV45" t="s">
        <v>4800</v>
      </c>
      <c r="BZ45" s="147">
        <f>IF(BZ44&lt;0,BR37,BR35+BZ42-BZ43)</f>
        <v>2158.5417330603514</v>
      </c>
      <c r="CA45" t="s">
        <v>4731</v>
      </c>
      <c r="CM45" t="s">
        <v>4800</v>
      </c>
      <c r="CQ45" s="147">
        <f>IF(CQ44&lt;0,CI37,CI35+CQ42-CQ43)</f>
        <v>2158.5417330603514</v>
      </c>
      <c r="CR45" t="s">
        <v>4731</v>
      </c>
      <c r="DD45" t="s">
        <v>4800</v>
      </c>
      <c r="DH45" s="147">
        <f>IF(DH44&lt;0,CZ37,CZ35+DH42-DH43)</f>
        <v>2128.3224089115215</v>
      </c>
      <c r="DI45" t="s">
        <v>4731</v>
      </c>
      <c r="DU45" t="s">
        <v>4800</v>
      </c>
      <c r="DY45" s="147">
        <f>IF(DY44&lt;0,DQ37,DQ35+DY42-DY43)</f>
        <v>2128.3224089115215</v>
      </c>
      <c r="DZ45" t="s">
        <v>4731</v>
      </c>
      <c r="EL45" t="s">
        <v>4800</v>
      </c>
      <c r="EP45" s="147">
        <f>IF(EP44&lt;0,EH37,EH35+EP42-EP43)</f>
        <v>2128.322408911522</v>
      </c>
      <c r="EQ45" t="s">
        <v>4731</v>
      </c>
      <c r="FC45" t="s">
        <v>4800</v>
      </c>
      <c r="FG45" s="147">
        <f>IF(FG44&lt;0,EY37,EY35+FG42-FG43)</f>
        <v>1705.8588583708572</v>
      </c>
      <c r="FH45" t="s">
        <v>4731</v>
      </c>
    </row>
    <row r="46" spans="1:169" x14ac:dyDescent="0.3">
      <c r="F46" t="s">
        <v>4801</v>
      </c>
      <c r="J46" s="147">
        <f>IF(J44&lt;0, IF(J44&gt;B33+B34,J44+B36,B33+B34-J44+B36),B36-B33-B34-B37+J43)</f>
        <v>56.51613864993692</v>
      </c>
      <c r="K46" t="s">
        <v>4731</v>
      </c>
      <c r="W46" t="s">
        <v>4801</v>
      </c>
      <c r="AA46" s="147">
        <f>IF(AA44&lt;0, IF(AA44&gt;S33+S34,AA44+S36,S33+S34-AA44+S36),S36-S33-S34-S37+AA43)</f>
        <v>56.51613864993692</v>
      </c>
      <c r="AB46" t="s">
        <v>4731</v>
      </c>
      <c r="AN46" t="s">
        <v>4801</v>
      </c>
      <c r="AR46" s="147">
        <f>IF(AR44&lt;0, IF(AR44&gt;AJ33+AJ34,AR44+AJ36,AJ33+AJ34-AR44+AJ36),AJ36-AJ33-AJ34-AJ37+AR43)</f>
        <v>100.73851037621102</v>
      </c>
      <c r="AS46" t="s">
        <v>4731</v>
      </c>
      <c r="BE46" t="s">
        <v>4801</v>
      </c>
      <c r="BI46" s="147">
        <f>IF(BI44&lt;0, IF(BI44&gt;BA33+BA34,BI44+BA36,BA33+BA34-BI44+BA36),BA36-BA33-BA34-BA37+BI43)</f>
        <v>213.74304541124559</v>
      </c>
      <c r="BJ46" t="s">
        <v>4731</v>
      </c>
      <c r="BV46" t="s">
        <v>4801</v>
      </c>
      <c r="BZ46" s="147">
        <f>IF(BZ44&lt;0, IF(BZ44&gt;BR33+BR34,BZ44+BR36,BR33+BR34-BZ44+BR36),BR36-BR33-BR34-BR37+BZ43)</f>
        <v>213.74304541124559</v>
      </c>
      <c r="CA46" t="s">
        <v>4731</v>
      </c>
      <c r="CM46" t="s">
        <v>4801</v>
      </c>
      <c r="CQ46" s="147">
        <f>IF(CQ44&lt;0, IF(CQ44&gt;CI33+CI34,CQ44+CI36,CI33+CI34-CQ44+CI36),CI36-CI33-CI34-CI37+CQ43)</f>
        <v>213.74304541124559</v>
      </c>
      <c r="CR46" t="s">
        <v>4731</v>
      </c>
      <c r="DD46" t="s">
        <v>4801</v>
      </c>
      <c r="DH46" s="147">
        <f>IF(DH44&lt;0, IF(DH44&gt;CZ33+CZ34,DH44+CZ36,CZ33+CZ34-DH44+CZ36),CZ36-CZ33-CZ34-CZ37+DH43)</f>
        <v>235.26854303252424</v>
      </c>
      <c r="DI46" t="s">
        <v>4731</v>
      </c>
      <c r="DU46" t="s">
        <v>4801</v>
      </c>
      <c r="DY46" s="147">
        <f>IF(DY44&lt;0, IF(DY44&gt;DQ33+DQ34,DY44+DQ36,DQ33+DQ34-DY44+DQ36),DQ36-DQ33-DQ34-DQ37+DY43)</f>
        <v>235.26854303252424</v>
      </c>
      <c r="DZ46" t="s">
        <v>4731</v>
      </c>
      <c r="EL46" t="s">
        <v>4801</v>
      </c>
      <c r="EP46" s="147">
        <f>IF(EP44&lt;0, IF(EP44&gt;EH33+EH34,EP44+EH36,EH33+EH34-EP44+EH36),EH36-EH33-EH34-EH37+EP43)</f>
        <v>235.26854303252424</v>
      </c>
      <c r="EQ46" t="s">
        <v>4731</v>
      </c>
      <c r="FC46" t="s">
        <v>4801</v>
      </c>
      <c r="FG46" s="147">
        <f>IF(FG44&lt;0, IF(FG44&gt;EY33+EY34,FG44+EY36,EY33+EY34-FG44+EY36),EY36-EY33-EY34-EY37+FG43)</f>
        <v>1943.9657637925852</v>
      </c>
      <c r="FH46" t="s">
        <v>4731</v>
      </c>
    </row>
    <row r="47" spans="1:169" x14ac:dyDescent="0.3">
      <c r="A47" t="s">
        <v>4802</v>
      </c>
      <c r="F47" t="s">
        <v>4735</v>
      </c>
      <c r="J47" s="147">
        <f>J37+J41</f>
        <v>860.30194991948827</v>
      </c>
      <c r="K47" t="s">
        <v>4731</v>
      </c>
      <c r="W47" t="s">
        <v>4735</v>
      </c>
      <c r="AA47" s="147">
        <f>AA37+AA41</f>
        <v>860.30194991948827</v>
      </c>
      <c r="AB47" t="s">
        <v>4731</v>
      </c>
      <c r="AN47" t="s">
        <v>4735</v>
      </c>
      <c r="AR47" s="147">
        <f>AR37+AR41</f>
        <v>855.29855762245734</v>
      </c>
      <c r="AS47" t="s">
        <v>4731</v>
      </c>
      <c r="BE47" t="s">
        <v>4735</v>
      </c>
      <c r="BI47" s="147">
        <f>BI37+BI41</f>
        <v>683.90880029061941</v>
      </c>
      <c r="BJ47" t="s">
        <v>4731</v>
      </c>
      <c r="BV47" t="s">
        <v>4735</v>
      </c>
      <c r="BZ47" s="147">
        <f>BZ37+BZ41</f>
        <v>683.90880029061941</v>
      </c>
      <c r="CA47" t="s">
        <v>4731</v>
      </c>
      <c r="CM47" t="s">
        <v>4735</v>
      </c>
      <c r="CQ47" s="147">
        <f>CQ37+CQ41</f>
        <v>683.90880029061941</v>
      </c>
      <c r="CR47" t="s">
        <v>4731</v>
      </c>
      <c r="DD47" t="s">
        <v>4735</v>
      </c>
      <c r="DH47" s="147">
        <f>DH37+DH41</f>
        <v>647.71376626892857</v>
      </c>
      <c r="DI47" t="s">
        <v>4731</v>
      </c>
      <c r="DU47" t="s">
        <v>4735</v>
      </c>
      <c r="DY47" s="147">
        <f>DY37+DY41</f>
        <v>647.71376626892857</v>
      </c>
      <c r="DZ47" t="s">
        <v>4731</v>
      </c>
      <c r="EL47" t="s">
        <v>4735</v>
      </c>
      <c r="EP47" s="147">
        <f>EP37+EP41</f>
        <v>647.71376626892857</v>
      </c>
      <c r="EQ47" t="s">
        <v>4731</v>
      </c>
      <c r="FC47" t="s">
        <v>4735</v>
      </c>
      <c r="FG47" s="147">
        <f>FG37+FG41</f>
        <v>501.20548513151425</v>
      </c>
      <c r="FH47" t="s">
        <v>4731</v>
      </c>
    </row>
    <row r="48" spans="1:169" x14ac:dyDescent="0.3">
      <c r="F48" s="128" t="s">
        <v>4736</v>
      </c>
      <c r="J48" s="147">
        <f>J36*J36</f>
        <v>3368.7334385768968</v>
      </c>
      <c r="K48" t="s">
        <v>2268</v>
      </c>
      <c r="W48" s="128" t="s">
        <v>4736</v>
      </c>
      <c r="AA48" s="147">
        <f>AA36*AA36</f>
        <v>3368.7334385768968</v>
      </c>
      <c r="AB48" t="s">
        <v>2268</v>
      </c>
      <c r="AN48" s="128" t="s">
        <v>4736</v>
      </c>
      <c r="AR48" s="147">
        <f>AR36*AR36</f>
        <v>3348.7402420606995</v>
      </c>
      <c r="AS48" t="s">
        <v>2268</v>
      </c>
      <c r="BE48" s="128" t="s">
        <v>4736</v>
      </c>
      <c r="BI48" s="147">
        <f>BI36*BI36</f>
        <v>2664.5817743943217</v>
      </c>
      <c r="BJ48" t="s">
        <v>2268</v>
      </c>
      <c r="BV48" s="128" t="s">
        <v>4736</v>
      </c>
      <c r="BZ48" s="147">
        <f>BZ36*BZ36</f>
        <v>2664.5817743943217</v>
      </c>
      <c r="CA48" t="s">
        <v>2268</v>
      </c>
      <c r="CM48" s="128" t="s">
        <v>4736</v>
      </c>
      <c r="CQ48" s="147">
        <f>CQ36*CQ36</f>
        <v>2664.5817743943217</v>
      </c>
      <c r="CR48" t="s">
        <v>2268</v>
      </c>
      <c r="DD48" s="128" t="s">
        <v>4736</v>
      </c>
      <c r="DH48" s="147">
        <f>DH36*DH36</f>
        <v>2520.2986018694792</v>
      </c>
      <c r="DI48" t="s">
        <v>2268</v>
      </c>
      <c r="DU48" s="128" t="s">
        <v>4736</v>
      </c>
      <c r="DY48" s="147">
        <f>DY36*DY36</f>
        <v>2520.2986018694792</v>
      </c>
      <c r="DZ48" t="s">
        <v>2268</v>
      </c>
      <c r="EL48" s="128" t="s">
        <v>4736</v>
      </c>
      <c r="EP48" s="147">
        <f>EP36*EP36</f>
        <v>2520.2986018694792</v>
      </c>
      <c r="EQ48" t="s">
        <v>2268</v>
      </c>
      <c r="FC48" s="128" t="s">
        <v>4736</v>
      </c>
      <c r="FG48" s="147">
        <f>FG36*FG36</f>
        <v>1937.2131954110769</v>
      </c>
      <c r="FH48" t="s">
        <v>2268</v>
      </c>
    </row>
    <row r="49" spans="1:169" x14ac:dyDescent="0.3">
      <c r="F49" s="128" t="s">
        <v>4737</v>
      </c>
      <c r="J49" s="147">
        <f>J38+J37</f>
        <v>7731.3161327004527</v>
      </c>
      <c r="K49" t="s">
        <v>4731</v>
      </c>
      <c r="W49" s="128" t="s">
        <v>4737</v>
      </c>
      <c r="AA49" s="147">
        <f>AA38+AA37</f>
        <v>7731.3161327004527</v>
      </c>
      <c r="AB49" t="s">
        <v>4731</v>
      </c>
      <c r="AN49" s="128" t="s">
        <v>4737</v>
      </c>
      <c r="AR49" s="147">
        <f>AR38+AR37</f>
        <v>7667.3081434083915</v>
      </c>
      <c r="AS49" t="s">
        <v>4731</v>
      </c>
      <c r="BE49" s="128" t="s">
        <v>4737</v>
      </c>
      <c r="BI49" s="147">
        <f>BI38+BI37</f>
        <v>5536.05004954981</v>
      </c>
      <c r="BJ49" t="s">
        <v>4731</v>
      </c>
      <c r="BV49" s="128" t="s">
        <v>4737</v>
      </c>
      <c r="BZ49" s="147">
        <f>BZ38+BZ37</f>
        <v>5536.05004954981</v>
      </c>
      <c r="CA49" t="s">
        <v>4731</v>
      </c>
      <c r="CM49" s="128" t="s">
        <v>4737</v>
      </c>
      <c r="CQ49" s="147">
        <f>CQ38+CQ37</f>
        <v>5536.05004954981</v>
      </c>
      <c r="CR49" t="s">
        <v>4731</v>
      </c>
      <c r="DD49" s="128" t="s">
        <v>4737</v>
      </c>
      <c r="DH49" s="147">
        <f>DH38+DH37</f>
        <v>5103.5144459118055</v>
      </c>
      <c r="DI49" t="s">
        <v>4731</v>
      </c>
      <c r="DU49" s="128" t="s">
        <v>4737</v>
      </c>
      <c r="DY49" s="147">
        <f>DY38+DY37</f>
        <v>5103.5144459118055</v>
      </c>
      <c r="DZ49" t="s">
        <v>4731</v>
      </c>
      <c r="EL49" s="128" t="s">
        <v>4737</v>
      </c>
      <c r="EP49" s="147">
        <f>EP38+EP37</f>
        <v>5103.5144459118055</v>
      </c>
      <c r="EQ49" t="s">
        <v>4731</v>
      </c>
      <c r="FC49" s="128" t="s">
        <v>4737</v>
      </c>
      <c r="FG49" s="147">
        <f>FG38+FG37</f>
        <v>3434.4068159132703</v>
      </c>
      <c r="FH49" t="s">
        <v>4731</v>
      </c>
    </row>
    <row r="50" spans="1:169" x14ac:dyDescent="0.3">
      <c r="F50" s="128" t="s">
        <v>4803</v>
      </c>
      <c r="J50" s="147">
        <f>J45+J51</f>
        <v>2402.2740940229114</v>
      </c>
      <c r="K50" t="s">
        <v>4731</v>
      </c>
      <c r="W50" s="128" t="s">
        <v>4803</v>
      </c>
      <c r="AA50" s="147">
        <f>AA45+AA51</f>
        <v>2402.2740940229114</v>
      </c>
      <c r="AB50" t="s">
        <v>4731</v>
      </c>
      <c r="AN50" s="128" t="s">
        <v>4803</v>
      </c>
      <c r="AR50" s="147">
        <f>AR45+AR51</f>
        <v>2386.6634861558505</v>
      </c>
      <c r="AS50" t="s">
        <v>4731</v>
      </c>
      <c r="BE50" s="128" t="s">
        <v>4803</v>
      </c>
      <c r="BI50" s="147">
        <f>BI45+BI51</f>
        <v>2372.2847784715968</v>
      </c>
      <c r="BJ50" t="s">
        <v>4731</v>
      </c>
      <c r="BV50" s="128" t="s">
        <v>4803</v>
      </c>
      <c r="BZ50" s="147">
        <f>BZ45+BZ51</f>
        <v>2372.2847784715968</v>
      </c>
      <c r="CA50" t="s">
        <v>4731</v>
      </c>
      <c r="CM50" s="128" t="s">
        <v>4803</v>
      </c>
      <c r="CQ50" s="147">
        <f>CQ45+CQ51</f>
        <v>2372.2847784715968</v>
      </c>
      <c r="CR50" t="s">
        <v>4731</v>
      </c>
      <c r="DD50" s="128" t="s">
        <v>4803</v>
      </c>
      <c r="DH50" s="147">
        <f>DH45+DH51</f>
        <v>2363.5909519440456</v>
      </c>
      <c r="DI50" t="s">
        <v>4731</v>
      </c>
      <c r="DU50" s="128" t="s">
        <v>4803</v>
      </c>
      <c r="DY50" s="147">
        <f>DY45+DY51</f>
        <v>2363.5909519440456</v>
      </c>
      <c r="DZ50" t="s">
        <v>4731</v>
      </c>
      <c r="EL50" s="128" t="s">
        <v>4803</v>
      </c>
      <c r="EP50" s="147">
        <f>EP45+EP51</f>
        <v>2363.5909519440461</v>
      </c>
      <c r="EQ50" t="s">
        <v>4731</v>
      </c>
      <c r="FC50" s="128" t="s">
        <v>4803</v>
      </c>
      <c r="FG50" s="147">
        <f>FG45+FG51</f>
        <v>3649.8246221634427</v>
      </c>
      <c r="FH50" t="s">
        <v>4731</v>
      </c>
    </row>
    <row r="51" spans="1:169" x14ac:dyDescent="0.3">
      <c r="F51" s="128" t="s">
        <v>4804</v>
      </c>
      <c r="J51" s="147">
        <f>IF(J46&lt;0,0,J46)</f>
        <v>56.51613864993692</v>
      </c>
      <c r="K51" t="s">
        <v>4731</v>
      </c>
      <c r="W51" s="128" t="s">
        <v>4804</v>
      </c>
      <c r="AA51" s="147">
        <f>IF(AA46&lt;0,0,AA46)</f>
        <v>56.51613864993692</v>
      </c>
      <c r="AB51" t="s">
        <v>4731</v>
      </c>
      <c r="AN51" s="128" t="s">
        <v>4804</v>
      </c>
      <c r="AR51" s="147">
        <f>IF(AR46&lt;0,0,AR46)</f>
        <v>100.73851037621102</v>
      </c>
      <c r="AS51" t="s">
        <v>4731</v>
      </c>
      <c r="BE51" s="128" t="s">
        <v>4804</v>
      </c>
      <c r="BI51" s="147">
        <f>IF(BI46&lt;0,0,BI46)</f>
        <v>213.74304541124559</v>
      </c>
      <c r="BJ51" t="s">
        <v>4731</v>
      </c>
      <c r="BV51" s="128" t="s">
        <v>4804</v>
      </c>
      <c r="BZ51" s="147">
        <f>IF(BZ46&lt;0,0,BZ46)</f>
        <v>213.74304541124559</v>
      </c>
      <c r="CA51" t="s">
        <v>4731</v>
      </c>
      <c r="CM51" s="128" t="s">
        <v>4804</v>
      </c>
      <c r="CQ51" s="147">
        <f>IF(CQ46&lt;0,0,CQ46)</f>
        <v>213.74304541124559</v>
      </c>
      <c r="CR51" t="s">
        <v>4731</v>
      </c>
      <c r="DD51" s="128" t="s">
        <v>4804</v>
      </c>
      <c r="DH51" s="147">
        <f>IF(DH46&lt;0,0,DH46)</f>
        <v>235.26854303252424</v>
      </c>
      <c r="DI51" t="s">
        <v>4731</v>
      </c>
      <c r="DU51" s="128" t="s">
        <v>4804</v>
      </c>
      <c r="DY51" s="147">
        <f>IF(DY46&lt;0,0,DY46)</f>
        <v>235.26854303252424</v>
      </c>
      <c r="DZ51" t="s">
        <v>4731</v>
      </c>
      <c r="EL51" s="128" t="s">
        <v>4804</v>
      </c>
      <c r="EP51" s="147">
        <f>IF(EP46&lt;0,0,EP46)</f>
        <v>235.26854303252424</v>
      </c>
      <c r="EQ51" t="s">
        <v>4731</v>
      </c>
      <c r="FC51" s="128" t="s">
        <v>4804</v>
      </c>
      <c r="FG51" s="147">
        <f>IF(FG46&lt;0,0,FG46)</f>
        <v>1943.9657637925852</v>
      </c>
      <c r="FH51" t="s">
        <v>4731</v>
      </c>
    </row>
    <row r="52" spans="1:169" x14ac:dyDescent="0.3">
      <c r="A52" t="s">
        <v>4738</v>
      </c>
      <c r="C52" s="82" t="s">
        <v>4739</v>
      </c>
      <c r="D52" s="82" t="s">
        <v>4740</v>
      </c>
      <c r="E52" s="82" t="s">
        <v>4741</v>
      </c>
      <c r="F52" s="82" t="s">
        <v>4805</v>
      </c>
      <c r="G52" s="69" t="s">
        <v>4806</v>
      </c>
      <c r="H52" s="69" t="s">
        <v>4807</v>
      </c>
      <c r="I52" s="69" t="s">
        <v>4808</v>
      </c>
      <c r="J52" s="82" t="s">
        <v>4742</v>
      </c>
      <c r="K52" s="82" t="s">
        <v>4743</v>
      </c>
      <c r="L52" s="82" t="s">
        <v>4744</v>
      </c>
      <c r="M52" s="82" t="s">
        <v>4745</v>
      </c>
      <c r="N52" s="82" t="s">
        <v>4746</v>
      </c>
      <c r="O52" s="82" t="s">
        <v>2425</v>
      </c>
      <c r="P52" s="82" t="s">
        <v>4747</v>
      </c>
      <c r="Q52" s="82"/>
      <c r="R52" s="82" t="s">
        <v>4738</v>
      </c>
      <c r="S52" s="82"/>
      <c r="T52" s="82" t="str">
        <f>$C52</f>
        <v>Count</v>
      </c>
      <c r="U52" s="82" t="str">
        <f>$D52</f>
        <v>Top Width</v>
      </c>
      <c r="V52" s="82" t="str">
        <f>$E52</f>
        <v>Bottom Width</v>
      </c>
      <c r="W52" s="82" t="str">
        <f>$F52</f>
        <v>Regular Rain Vol</v>
      </c>
      <c r="X52" s="82" t="str">
        <f>$G52</f>
        <v>24 Hour Rain</v>
      </c>
      <c r="Y52" s="82" t="str">
        <f>$H52</f>
        <v>Evaporation Vol</v>
      </c>
      <c r="Z52" s="82" t="str">
        <f>$I52</f>
        <v>Evap Check Vol</v>
      </c>
      <c r="AA52" s="82" t="str">
        <f>$J52</f>
        <v>Lagoon Vol</v>
      </c>
      <c r="AB52" s="82" t="str">
        <f>$K52</f>
        <v>Pyramid Vol</v>
      </c>
      <c r="AC52" s="82" t="str">
        <f>$L52</f>
        <v>Diff</v>
      </c>
      <c r="AD52" s="82" t="str">
        <f>$M52</f>
        <v>Greater?</v>
      </c>
      <c r="AE52" s="82" t="str">
        <f>$N52</f>
        <v>Gate</v>
      </c>
      <c r="AF52" s="82" t="str">
        <f>$O52</f>
        <v>Multiplier</v>
      </c>
      <c r="AG52" s="82" t="str">
        <f>$P52</f>
        <v>AbsDiff</v>
      </c>
      <c r="AH52" s="82"/>
      <c r="AI52" s="82" t="s">
        <v>4738</v>
      </c>
      <c r="AJ52" s="82"/>
      <c r="AK52" s="82" t="str">
        <f>$C52</f>
        <v>Count</v>
      </c>
      <c r="AL52" s="82" t="str">
        <f>$D52</f>
        <v>Top Width</v>
      </c>
      <c r="AM52" s="82" t="str">
        <f>$E52</f>
        <v>Bottom Width</v>
      </c>
      <c r="AN52" s="82" t="str">
        <f>$F52</f>
        <v>Regular Rain Vol</v>
      </c>
      <c r="AO52" s="82" t="str">
        <f>$G52</f>
        <v>24 Hour Rain</v>
      </c>
      <c r="AP52" s="82" t="str">
        <f>$H52</f>
        <v>Evaporation Vol</v>
      </c>
      <c r="AQ52" s="82" t="str">
        <f>$I52</f>
        <v>Evap Check Vol</v>
      </c>
      <c r="AR52" s="82" t="str">
        <f>$J52</f>
        <v>Lagoon Vol</v>
      </c>
      <c r="AS52" s="82" t="str">
        <f>$K52</f>
        <v>Pyramid Vol</v>
      </c>
      <c r="AT52" s="82" t="str">
        <f>$L52</f>
        <v>Diff</v>
      </c>
      <c r="AU52" s="82" t="str">
        <f>$M52</f>
        <v>Greater?</v>
      </c>
      <c r="AV52" s="82" t="str">
        <f>$N52</f>
        <v>Gate</v>
      </c>
      <c r="AW52" s="82" t="str">
        <f>$O52</f>
        <v>Multiplier</v>
      </c>
      <c r="AX52" s="82" t="str">
        <f>$P52</f>
        <v>AbsDiff</v>
      </c>
      <c r="AY52" s="82"/>
      <c r="AZ52" s="82" t="s">
        <v>4738</v>
      </c>
      <c r="BA52" s="82"/>
      <c r="BB52" s="82" t="str">
        <f>$C52</f>
        <v>Count</v>
      </c>
      <c r="BC52" s="82" t="str">
        <f>$D52</f>
        <v>Top Width</v>
      </c>
      <c r="BD52" s="82" t="str">
        <f>$E52</f>
        <v>Bottom Width</v>
      </c>
      <c r="BE52" s="82" t="str">
        <f>$F52</f>
        <v>Regular Rain Vol</v>
      </c>
      <c r="BF52" s="82" t="str">
        <f>$G52</f>
        <v>24 Hour Rain</v>
      </c>
      <c r="BG52" s="82" t="str">
        <f>$H52</f>
        <v>Evaporation Vol</v>
      </c>
      <c r="BH52" s="82" t="str">
        <f>$I52</f>
        <v>Evap Check Vol</v>
      </c>
      <c r="BI52" s="82" t="str">
        <f>$J52</f>
        <v>Lagoon Vol</v>
      </c>
      <c r="BJ52" s="82" t="str">
        <f>$K52</f>
        <v>Pyramid Vol</v>
      </c>
      <c r="BK52" s="82" t="str">
        <f>$L52</f>
        <v>Diff</v>
      </c>
      <c r="BL52" s="82" t="str">
        <f>$M52</f>
        <v>Greater?</v>
      </c>
      <c r="BM52" s="82" t="str">
        <f>$N52</f>
        <v>Gate</v>
      </c>
      <c r="BN52" s="82" t="str">
        <f>$O52</f>
        <v>Multiplier</v>
      </c>
      <c r="BO52" s="82" t="str">
        <f>$P52</f>
        <v>AbsDiff</v>
      </c>
      <c r="BP52" s="82"/>
      <c r="BQ52" s="82" t="s">
        <v>4738</v>
      </c>
      <c r="BR52" s="82"/>
      <c r="BS52" s="82" t="str">
        <f>$C52</f>
        <v>Count</v>
      </c>
      <c r="BT52" s="82" t="str">
        <f>$D52</f>
        <v>Top Width</v>
      </c>
      <c r="BU52" s="82" t="str">
        <f>$E52</f>
        <v>Bottom Width</v>
      </c>
      <c r="BV52" s="82" t="str">
        <f>$F52</f>
        <v>Regular Rain Vol</v>
      </c>
      <c r="BW52" s="82" t="str">
        <f>$G52</f>
        <v>24 Hour Rain</v>
      </c>
      <c r="BX52" s="82" t="str">
        <f>$H52</f>
        <v>Evaporation Vol</v>
      </c>
      <c r="BY52" s="82" t="str">
        <f>$I52</f>
        <v>Evap Check Vol</v>
      </c>
      <c r="BZ52" s="82" t="str">
        <f>$J52</f>
        <v>Lagoon Vol</v>
      </c>
      <c r="CA52" s="82" t="str">
        <f>$K52</f>
        <v>Pyramid Vol</v>
      </c>
      <c r="CB52" s="82" t="str">
        <f>$L52</f>
        <v>Diff</v>
      </c>
      <c r="CC52" s="82" t="str">
        <f>$M52</f>
        <v>Greater?</v>
      </c>
      <c r="CD52" s="82" t="str">
        <f>$N52</f>
        <v>Gate</v>
      </c>
      <c r="CE52" s="82" t="str">
        <f>$O52</f>
        <v>Multiplier</v>
      </c>
      <c r="CF52" s="82" t="str">
        <f>$P52</f>
        <v>AbsDiff</v>
      </c>
      <c r="CG52" s="82"/>
      <c r="CH52" s="82" t="s">
        <v>4738</v>
      </c>
      <c r="CI52" s="82"/>
      <c r="CJ52" s="82" t="str">
        <f>$C52</f>
        <v>Count</v>
      </c>
      <c r="CK52" s="82" t="str">
        <f>$D52</f>
        <v>Top Width</v>
      </c>
      <c r="CL52" s="82" t="str">
        <f>$E52</f>
        <v>Bottom Width</v>
      </c>
      <c r="CM52" s="82" t="str">
        <f>$F52</f>
        <v>Regular Rain Vol</v>
      </c>
      <c r="CN52" s="82" t="str">
        <f>$G52</f>
        <v>24 Hour Rain</v>
      </c>
      <c r="CO52" s="82" t="str">
        <f>$H52</f>
        <v>Evaporation Vol</v>
      </c>
      <c r="CP52" s="82" t="str">
        <f>$I52</f>
        <v>Evap Check Vol</v>
      </c>
      <c r="CQ52" s="82" t="str">
        <f>$J52</f>
        <v>Lagoon Vol</v>
      </c>
      <c r="CR52" s="82" t="str">
        <f>$K52</f>
        <v>Pyramid Vol</v>
      </c>
      <c r="CS52" s="82" t="str">
        <f>$L52</f>
        <v>Diff</v>
      </c>
      <c r="CT52" s="82" t="str">
        <f>$M52</f>
        <v>Greater?</v>
      </c>
      <c r="CU52" s="82" t="str">
        <f>$N52</f>
        <v>Gate</v>
      </c>
      <c r="CV52" s="82" t="str">
        <f>$O52</f>
        <v>Multiplier</v>
      </c>
      <c r="CW52" s="82" t="str">
        <f>$P52</f>
        <v>AbsDiff</v>
      </c>
      <c r="CX52" s="82"/>
      <c r="CY52" s="82" t="s">
        <v>4738</v>
      </c>
      <c r="CZ52" s="82"/>
      <c r="DA52" s="82" t="str">
        <f>$C52</f>
        <v>Count</v>
      </c>
      <c r="DB52" s="82" t="str">
        <f>$D52</f>
        <v>Top Width</v>
      </c>
      <c r="DC52" s="82" t="str">
        <f>$E52</f>
        <v>Bottom Width</v>
      </c>
      <c r="DD52" s="82" t="str">
        <f>$F52</f>
        <v>Regular Rain Vol</v>
      </c>
      <c r="DE52" s="82" t="str">
        <f>$G52</f>
        <v>24 Hour Rain</v>
      </c>
      <c r="DF52" s="82" t="str">
        <f>$H52</f>
        <v>Evaporation Vol</v>
      </c>
      <c r="DG52" s="82" t="str">
        <f>$I52</f>
        <v>Evap Check Vol</v>
      </c>
      <c r="DH52" s="82" t="str">
        <f>$J52</f>
        <v>Lagoon Vol</v>
      </c>
      <c r="DI52" s="82" t="str">
        <f>$K52</f>
        <v>Pyramid Vol</v>
      </c>
      <c r="DJ52" s="82" t="str">
        <f>$L52</f>
        <v>Diff</v>
      </c>
      <c r="DK52" s="82" t="str">
        <f>$M52</f>
        <v>Greater?</v>
      </c>
      <c r="DL52" s="82" t="str">
        <f>$N52</f>
        <v>Gate</v>
      </c>
      <c r="DM52" s="82" t="str">
        <f>$O52</f>
        <v>Multiplier</v>
      </c>
      <c r="DN52" s="82" t="str">
        <f>$P52</f>
        <v>AbsDiff</v>
      </c>
      <c r="DP52" s="82" t="s">
        <v>4738</v>
      </c>
      <c r="DQ52" s="82"/>
      <c r="DR52" s="82" t="str">
        <f>$C52</f>
        <v>Count</v>
      </c>
      <c r="DS52" s="82" t="str">
        <f>$D52</f>
        <v>Top Width</v>
      </c>
      <c r="DT52" s="82" t="str">
        <f>$E52</f>
        <v>Bottom Width</v>
      </c>
      <c r="DU52" s="82" t="str">
        <f>$F52</f>
        <v>Regular Rain Vol</v>
      </c>
      <c r="DV52" s="82" t="str">
        <f>$G52</f>
        <v>24 Hour Rain</v>
      </c>
      <c r="DW52" s="82" t="str">
        <f>$H52</f>
        <v>Evaporation Vol</v>
      </c>
      <c r="DX52" s="82" t="str">
        <f>$I52</f>
        <v>Evap Check Vol</v>
      </c>
      <c r="DY52" s="82" t="str">
        <f>$J52</f>
        <v>Lagoon Vol</v>
      </c>
      <c r="DZ52" s="82" t="str">
        <f>$K52</f>
        <v>Pyramid Vol</v>
      </c>
      <c r="EA52" s="82" t="str">
        <f>$L52</f>
        <v>Diff</v>
      </c>
      <c r="EB52" s="82" t="str">
        <f>$M52</f>
        <v>Greater?</v>
      </c>
      <c r="EC52" s="82" t="str">
        <f>$N52</f>
        <v>Gate</v>
      </c>
      <c r="ED52" s="82" t="str">
        <f>$O52</f>
        <v>Multiplier</v>
      </c>
      <c r="EE52" s="82" t="str">
        <f>$P52</f>
        <v>AbsDiff</v>
      </c>
      <c r="EG52" s="82" t="s">
        <v>4738</v>
      </c>
      <c r="EH52" s="82"/>
      <c r="EI52" s="82" t="str">
        <f>$C52</f>
        <v>Count</v>
      </c>
      <c r="EJ52" s="82" t="str">
        <f>$D52</f>
        <v>Top Width</v>
      </c>
      <c r="EK52" s="82" t="str">
        <f>$E52</f>
        <v>Bottom Width</v>
      </c>
      <c r="EL52" s="82" t="str">
        <f>$F52</f>
        <v>Regular Rain Vol</v>
      </c>
      <c r="EM52" s="82" t="str">
        <f>$G52</f>
        <v>24 Hour Rain</v>
      </c>
      <c r="EN52" s="82" t="str">
        <f>$H52</f>
        <v>Evaporation Vol</v>
      </c>
      <c r="EO52" s="82" t="str">
        <f>$I52</f>
        <v>Evap Check Vol</v>
      </c>
      <c r="EP52" s="82" t="str">
        <f>$J52</f>
        <v>Lagoon Vol</v>
      </c>
      <c r="EQ52" s="82" t="str">
        <f>$K52</f>
        <v>Pyramid Vol</v>
      </c>
      <c r="ER52" s="82" t="str">
        <f>$L52</f>
        <v>Diff</v>
      </c>
      <c r="ES52" s="82" t="str">
        <f>$M52</f>
        <v>Greater?</v>
      </c>
      <c r="ET52" s="82" t="str">
        <f>$N52</f>
        <v>Gate</v>
      </c>
      <c r="EU52" s="82" t="str">
        <f>$O52</f>
        <v>Multiplier</v>
      </c>
      <c r="EV52" s="82" t="str">
        <f>$P52</f>
        <v>AbsDiff</v>
      </c>
      <c r="EX52" s="82" t="s">
        <v>4738</v>
      </c>
      <c r="EY52" s="82"/>
      <c r="EZ52" s="82" t="str">
        <f>$C52</f>
        <v>Count</v>
      </c>
      <c r="FA52" s="82" t="str">
        <f>$D52</f>
        <v>Top Width</v>
      </c>
      <c r="FB52" s="82" t="str">
        <f>$E52</f>
        <v>Bottom Width</v>
      </c>
      <c r="FC52" s="82" t="str">
        <f>$F52</f>
        <v>Regular Rain Vol</v>
      </c>
      <c r="FD52" s="82" t="str">
        <f>$G52</f>
        <v>24 Hour Rain</v>
      </c>
      <c r="FE52" s="82" t="str">
        <f>$H52</f>
        <v>Evaporation Vol</v>
      </c>
      <c r="FF52" s="82" t="str">
        <f>$I52</f>
        <v>Evap Check Vol</v>
      </c>
      <c r="FG52" s="82" t="str">
        <f>$J52</f>
        <v>Lagoon Vol</v>
      </c>
      <c r="FH52" s="82" t="str">
        <f>$K52</f>
        <v>Pyramid Vol</v>
      </c>
      <c r="FI52" s="82" t="str">
        <f>$L52</f>
        <v>Diff</v>
      </c>
      <c r="FJ52" s="82" t="str">
        <f>$M52</f>
        <v>Greater?</v>
      </c>
      <c r="FK52" s="82" t="str">
        <f>$N52</f>
        <v>Gate</v>
      </c>
      <c r="FL52" s="82" t="str">
        <f>$O52</f>
        <v>Multiplier</v>
      </c>
      <c r="FM52" s="82" t="str">
        <f>$P52</f>
        <v>AbsDiff</v>
      </c>
    </row>
    <row r="53" spans="1:169" x14ac:dyDescent="0.3">
      <c r="A53" t="s">
        <v>4748</v>
      </c>
      <c r="C53" s="199" t="s">
        <v>4749</v>
      </c>
      <c r="D53" s="199" t="s">
        <v>2337</v>
      </c>
      <c r="E53" s="199" t="s">
        <v>2337</v>
      </c>
      <c r="F53" s="199" t="s">
        <v>4731</v>
      </c>
      <c r="G53" s="199" t="s">
        <v>2478</v>
      </c>
      <c r="H53" s="199" t="s">
        <v>2478</v>
      </c>
      <c r="I53" s="199" t="s">
        <v>2478</v>
      </c>
      <c r="J53" s="199" t="s">
        <v>4731</v>
      </c>
      <c r="K53" s="199" t="s">
        <v>2478</v>
      </c>
      <c r="L53" s="199" t="s">
        <v>2478</v>
      </c>
      <c r="M53" s="199" t="s">
        <v>4750</v>
      </c>
      <c r="N53" s="199" t="s">
        <v>4751</v>
      </c>
      <c r="O53" s="199"/>
      <c r="P53" s="199" t="s">
        <v>2478</v>
      </c>
      <c r="Q53" s="199"/>
      <c r="R53" s="199" t="s">
        <v>4748</v>
      </c>
      <c r="S53" s="199"/>
      <c r="T53" s="82" t="str">
        <f>$C53</f>
        <v>Num iterations</v>
      </c>
      <c r="U53" s="82" t="str">
        <f>$D53</f>
        <v>m</v>
      </c>
      <c r="V53" s="82" t="str">
        <f>$E53</f>
        <v>m</v>
      </c>
      <c r="W53" s="82" t="str">
        <f>$F53</f>
        <v>m3/HRT</v>
      </c>
      <c r="X53" s="82" t="str">
        <f>$G53</f>
        <v>m3</v>
      </c>
      <c r="Y53" s="82" t="str">
        <f>$H53</f>
        <v>m3</v>
      </c>
      <c r="Z53" s="82" t="str">
        <f>$I53</f>
        <v>m3</v>
      </c>
      <c r="AA53" s="82" t="str">
        <f>$J53</f>
        <v>m3/HRT</v>
      </c>
      <c r="AB53" s="82" t="str">
        <f>$K53</f>
        <v>m3</v>
      </c>
      <c r="AC53" s="82" t="str">
        <f>$L53</f>
        <v>m3</v>
      </c>
      <c r="AD53" s="82" t="str">
        <f>$M53</f>
        <v>Yes/No</v>
      </c>
      <c r="AE53" s="82" t="str">
        <f>$N53</f>
        <v># of yes</v>
      </c>
      <c r="AF53" s="82">
        <f>$O53</f>
        <v>0</v>
      </c>
      <c r="AG53" s="82" t="str">
        <f>$P53</f>
        <v>m3</v>
      </c>
      <c r="AH53" s="199"/>
      <c r="AI53" s="199" t="s">
        <v>4748</v>
      </c>
      <c r="AJ53" s="199"/>
      <c r="AK53" s="82" t="str">
        <f>$C53</f>
        <v>Num iterations</v>
      </c>
      <c r="AL53" s="82" t="str">
        <f>$D53</f>
        <v>m</v>
      </c>
      <c r="AM53" s="82" t="str">
        <f>$E53</f>
        <v>m</v>
      </c>
      <c r="AN53" s="82" t="str">
        <f>$F53</f>
        <v>m3/HRT</v>
      </c>
      <c r="AO53" s="82" t="str">
        <f>$G53</f>
        <v>m3</v>
      </c>
      <c r="AP53" s="82" t="str">
        <f>$H53</f>
        <v>m3</v>
      </c>
      <c r="AQ53" s="82" t="str">
        <f>$I53</f>
        <v>m3</v>
      </c>
      <c r="AR53" s="82" t="str">
        <f>$J53</f>
        <v>m3/HRT</v>
      </c>
      <c r="AS53" s="82" t="str">
        <f>$K53</f>
        <v>m3</v>
      </c>
      <c r="AT53" s="82" t="str">
        <f>$L53</f>
        <v>m3</v>
      </c>
      <c r="AU53" s="82" t="str">
        <f>$M53</f>
        <v>Yes/No</v>
      </c>
      <c r="AV53" s="82" t="str">
        <f>$N53</f>
        <v># of yes</v>
      </c>
      <c r="AW53" s="82">
        <f>$O53</f>
        <v>0</v>
      </c>
      <c r="AX53" s="82" t="str">
        <f>$P53</f>
        <v>m3</v>
      </c>
      <c r="AY53" s="199"/>
      <c r="AZ53" s="199" t="s">
        <v>4748</v>
      </c>
      <c r="BA53" s="199"/>
      <c r="BB53" s="82" t="str">
        <f>$C53</f>
        <v>Num iterations</v>
      </c>
      <c r="BC53" s="82" t="str">
        <f>$D53</f>
        <v>m</v>
      </c>
      <c r="BD53" s="82" t="str">
        <f>$E53</f>
        <v>m</v>
      </c>
      <c r="BE53" s="82" t="str">
        <f>$F53</f>
        <v>m3/HRT</v>
      </c>
      <c r="BF53" s="82" t="str">
        <f>$G53</f>
        <v>m3</v>
      </c>
      <c r="BG53" s="82" t="str">
        <f>$H53</f>
        <v>m3</v>
      </c>
      <c r="BH53" s="82" t="str">
        <f>$I53</f>
        <v>m3</v>
      </c>
      <c r="BI53" s="82" t="str">
        <f>$J53</f>
        <v>m3/HRT</v>
      </c>
      <c r="BJ53" s="82" t="str">
        <f>$K53</f>
        <v>m3</v>
      </c>
      <c r="BK53" s="82" t="str">
        <f>$L53</f>
        <v>m3</v>
      </c>
      <c r="BL53" s="82" t="str">
        <f>$M53</f>
        <v>Yes/No</v>
      </c>
      <c r="BM53" s="82" t="str">
        <f>$N53</f>
        <v># of yes</v>
      </c>
      <c r="BN53" s="82">
        <f>$O53</f>
        <v>0</v>
      </c>
      <c r="BO53" s="82" t="str">
        <f>$P53</f>
        <v>m3</v>
      </c>
      <c r="BP53" s="199"/>
      <c r="BQ53" s="199" t="s">
        <v>4748</v>
      </c>
      <c r="BR53" s="199"/>
      <c r="BS53" s="82" t="str">
        <f>$C53</f>
        <v>Num iterations</v>
      </c>
      <c r="BT53" s="82" t="str">
        <f>$D53</f>
        <v>m</v>
      </c>
      <c r="BU53" s="82" t="str">
        <f>$E53</f>
        <v>m</v>
      </c>
      <c r="BV53" s="82" t="str">
        <f>$F53</f>
        <v>m3/HRT</v>
      </c>
      <c r="BW53" s="82" t="str">
        <f>$G53</f>
        <v>m3</v>
      </c>
      <c r="BX53" s="82" t="str">
        <f>$H53</f>
        <v>m3</v>
      </c>
      <c r="BY53" s="82" t="str">
        <f>$I53</f>
        <v>m3</v>
      </c>
      <c r="BZ53" s="82" t="str">
        <f>$J53</f>
        <v>m3/HRT</v>
      </c>
      <c r="CA53" s="82" t="str">
        <f>$K53</f>
        <v>m3</v>
      </c>
      <c r="CB53" s="82" t="str">
        <f>$L53</f>
        <v>m3</v>
      </c>
      <c r="CC53" s="82" t="str">
        <f>$M53</f>
        <v>Yes/No</v>
      </c>
      <c r="CD53" s="82" t="str">
        <f>$N53</f>
        <v># of yes</v>
      </c>
      <c r="CE53" s="82">
        <f>$O53</f>
        <v>0</v>
      </c>
      <c r="CF53" s="82" t="str">
        <f>$P53</f>
        <v>m3</v>
      </c>
      <c r="CG53" s="199"/>
      <c r="CH53" s="199" t="s">
        <v>4748</v>
      </c>
      <c r="CI53" s="199"/>
      <c r="CJ53" s="82" t="str">
        <f>$C53</f>
        <v>Num iterations</v>
      </c>
      <c r="CK53" s="82" t="str">
        <f>$D53</f>
        <v>m</v>
      </c>
      <c r="CL53" s="82" t="str">
        <f>$E53</f>
        <v>m</v>
      </c>
      <c r="CM53" s="82" t="str">
        <f>$F53</f>
        <v>m3/HRT</v>
      </c>
      <c r="CN53" s="82" t="str">
        <f>$G53</f>
        <v>m3</v>
      </c>
      <c r="CO53" s="82" t="str">
        <f>$H53</f>
        <v>m3</v>
      </c>
      <c r="CP53" s="82" t="str">
        <f>$I53</f>
        <v>m3</v>
      </c>
      <c r="CQ53" s="82" t="str">
        <f>$J53</f>
        <v>m3/HRT</v>
      </c>
      <c r="CR53" s="82" t="str">
        <f>$K53</f>
        <v>m3</v>
      </c>
      <c r="CS53" s="82" t="str">
        <f>$L53</f>
        <v>m3</v>
      </c>
      <c r="CT53" s="82" t="str">
        <f>$M53</f>
        <v>Yes/No</v>
      </c>
      <c r="CU53" s="82" t="str">
        <f>$N53</f>
        <v># of yes</v>
      </c>
      <c r="CV53" s="82">
        <f>$O53</f>
        <v>0</v>
      </c>
      <c r="CW53" s="82" t="str">
        <f>$P53</f>
        <v>m3</v>
      </c>
      <c r="CX53" s="199"/>
      <c r="CY53" s="199" t="s">
        <v>4748</v>
      </c>
      <c r="CZ53" s="199"/>
      <c r="DA53" s="82" t="str">
        <f>$C53</f>
        <v>Num iterations</v>
      </c>
      <c r="DB53" s="82" t="str">
        <f>$D53</f>
        <v>m</v>
      </c>
      <c r="DC53" s="82" t="str">
        <f>$E53</f>
        <v>m</v>
      </c>
      <c r="DD53" s="82" t="str">
        <f>$F53</f>
        <v>m3/HRT</v>
      </c>
      <c r="DE53" s="82" t="str">
        <f>$G53</f>
        <v>m3</v>
      </c>
      <c r="DF53" s="82" t="str">
        <f>$H53</f>
        <v>m3</v>
      </c>
      <c r="DG53" s="82" t="str">
        <f>$I53</f>
        <v>m3</v>
      </c>
      <c r="DH53" s="82" t="str">
        <f>$J53</f>
        <v>m3/HRT</v>
      </c>
      <c r="DI53" s="82" t="str">
        <f>$K53</f>
        <v>m3</v>
      </c>
      <c r="DJ53" s="82" t="str">
        <f>$L53</f>
        <v>m3</v>
      </c>
      <c r="DK53" s="82" t="str">
        <f>$M53</f>
        <v>Yes/No</v>
      </c>
      <c r="DL53" s="82" t="str">
        <f>$N53</f>
        <v># of yes</v>
      </c>
      <c r="DM53" s="82">
        <f>$O53</f>
        <v>0</v>
      </c>
      <c r="DN53" s="82" t="str">
        <f>$P53</f>
        <v>m3</v>
      </c>
      <c r="DP53" s="199" t="s">
        <v>4748</v>
      </c>
      <c r="DQ53" s="199"/>
      <c r="DR53" s="82" t="str">
        <f>$C53</f>
        <v>Num iterations</v>
      </c>
      <c r="DS53" s="82" t="str">
        <f>$D53</f>
        <v>m</v>
      </c>
      <c r="DT53" s="82" t="str">
        <f>$E53</f>
        <v>m</v>
      </c>
      <c r="DU53" s="82" t="str">
        <f>$F53</f>
        <v>m3/HRT</v>
      </c>
      <c r="DV53" s="82" t="str">
        <f>$G53</f>
        <v>m3</v>
      </c>
      <c r="DW53" s="82" t="str">
        <f>$H53</f>
        <v>m3</v>
      </c>
      <c r="DX53" s="82" t="str">
        <f>$I53</f>
        <v>m3</v>
      </c>
      <c r="DY53" s="82" t="str">
        <f>$J53</f>
        <v>m3/HRT</v>
      </c>
      <c r="DZ53" s="82" t="str">
        <f>$K53</f>
        <v>m3</v>
      </c>
      <c r="EA53" s="82" t="str">
        <f>$L53</f>
        <v>m3</v>
      </c>
      <c r="EB53" s="82" t="str">
        <f>$M53</f>
        <v>Yes/No</v>
      </c>
      <c r="EC53" s="82" t="str">
        <f>$N53</f>
        <v># of yes</v>
      </c>
      <c r="ED53" s="82">
        <f>$O53</f>
        <v>0</v>
      </c>
      <c r="EE53" s="82" t="str">
        <f>$P53</f>
        <v>m3</v>
      </c>
      <c r="EG53" s="199" t="s">
        <v>4748</v>
      </c>
      <c r="EH53" s="199"/>
      <c r="EI53" s="82" t="str">
        <f>$C53</f>
        <v>Num iterations</v>
      </c>
      <c r="EJ53" s="82" t="str">
        <f>$D53</f>
        <v>m</v>
      </c>
      <c r="EK53" s="82" t="str">
        <f>$E53</f>
        <v>m</v>
      </c>
      <c r="EL53" s="82" t="str">
        <f>$F53</f>
        <v>m3/HRT</v>
      </c>
      <c r="EM53" s="82" t="str">
        <f>$G53</f>
        <v>m3</v>
      </c>
      <c r="EN53" s="82" t="str">
        <f>$H53</f>
        <v>m3</v>
      </c>
      <c r="EO53" s="82" t="str">
        <f>$I53</f>
        <v>m3</v>
      </c>
      <c r="EP53" s="82" t="str">
        <f>$J53</f>
        <v>m3/HRT</v>
      </c>
      <c r="EQ53" s="82" t="str">
        <f>$K53</f>
        <v>m3</v>
      </c>
      <c r="ER53" s="82" t="str">
        <f>$L53</f>
        <v>m3</v>
      </c>
      <c r="ES53" s="82" t="str">
        <f>$M53</f>
        <v>Yes/No</v>
      </c>
      <c r="ET53" s="82" t="str">
        <f>$N53</f>
        <v># of yes</v>
      </c>
      <c r="EU53" s="82">
        <f>$O53</f>
        <v>0</v>
      </c>
      <c r="EV53" s="82" t="str">
        <f>$P53</f>
        <v>m3</v>
      </c>
      <c r="EX53" s="199" t="s">
        <v>4748</v>
      </c>
      <c r="EY53" s="199"/>
      <c r="EZ53" s="82" t="str">
        <f>$C53</f>
        <v>Num iterations</v>
      </c>
      <c r="FA53" s="82" t="str">
        <f>$D53</f>
        <v>m</v>
      </c>
      <c r="FB53" s="82" t="str">
        <f>$E53</f>
        <v>m</v>
      </c>
      <c r="FC53" s="82" t="str">
        <f>$F53</f>
        <v>m3/HRT</v>
      </c>
      <c r="FD53" s="82" t="str">
        <f>$G53</f>
        <v>m3</v>
      </c>
      <c r="FE53" s="82" t="str">
        <f>$H53</f>
        <v>m3</v>
      </c>
      <c r="FF53" s="82" t="str">
        <f>$I53</f>
        <v>m3</v>
      </c>
      <c r="FG53" s="82" t="str">
        <f>$J53</f>
        <v>m3/HRT</v>
      </c>
      <c r="FH53" s="82" t="str">
        <f>$K53</f>
        <v>m3</v>
      </c>
      <c r="FI53" s="82" t="str">
        <f>$L53</f>
        <v>m3</v>
      </c>
      <c r="FJ53" s="82" t="str">
        <f>$M53</f>
        <v>Yes/No</v>
      </c>
      <c r="FK53" s="82" t="str">
        <f>$N53</f>
        <v># of yes</v>
      </c>
      <c r="FL53" s="82">
        <f>$O53</f>
        <v>0</v>
      </c>
      <c r="FM53" s="82" t="str">
        <f>$P53</f>
        <v>m3</v>
      </c>
    </row>
    <row r="54" spans="1:169" x14ac:dyDescent="0.3">
      <c r="A54" t="s">
        <v>4752</v>
      </c>
      <c r="C54">
        <v>1</v>
      </c>
      <c r="D54" s="147">
        <f>$B$14</f>
        <v>27.432000000000002</v>
      </c>
      <c r="E54" s="147">
        <f t="shared" ref="E54:E103" si="42">D54-$B$14</f>
        <v>0</v>
      </c>
      <c r="F54" s="147">
        <f t="shared" ref="F54:F103" si="43">(D54+$B$15*2)^2 *$B$8 + $B$26 + B$42</f>
        <v>821.26826708070371</v>
      </c>
      <c r="G54" s="147">
        <f t="shared" ref="G54:G103" si="44">(D54+$B$15*2)^2 *$B$7 + $B$25 + B$41</f>
        <v>151.75028487372799</v>
      </c>
      <c r="H54" s="147">
        <f t="shared" ref="H54:H55" si="45">AVERAGE(D54:E54)^2*B$32</f>
        <v>163.10583278123042</v>
      </c>
      <c r="I54" s="147">
        <f>B$38+F54-B$33-B$34-B$37-H54</f>
        <v>1614.1271945441617</v>
      </c>
      <c r="J54" s="147">
        <f>IF(I54&lt;0,B$33+B$34+B$37+G54,B$38+F54+G54-H54)</f>
        <v>6391.7205507472872</v>
      </c>
      <c r="K54" s="147">
        <f t="shared" ref="K54:K103" si="46">1/3*$B$12*(D54^2 + (D54 - $B$14)^2 + D54 * (D54 - $B$14))</f>
        <v>1146.8322869760002</v>
      </c>
      <c r="L54" s="147">
        <f t="shared" ref="L54:L103" si="47">K54 - J54</f>
        <v>-5244.8882637712868</v>
      </c>
      <c r="M54" t="str">
        <f t="shared" ref="M54:M103" si="48">IF(L54 &gt;= 0,"Yes", "No")</f>
        <v>No</v>
      </c>
      <c r="N54">
        <f>COUNTIF(M54,"Yes")</f>
        <v>0</v>
      </c>
      <c r="O54" cm="1">
        <f t="array" ref="O54">INDEX($J$2:$J$7,IF(N54&gt;5,6,N54+1))</f>
        <v>1.6180000000000001</v>
      </c>
      <c r="P54" s="147">
        <f t="shared" ref="P54:P103" si="49">ABS(L54)</f>
        <v>5244.8882637712868</v>
      </c>
      <c r="R54" t="s">
        <v>4752</v>
      </c>
      <c r="T54">
        <v>1</v>
      </c>
      <c r="U54" s="147">
        <f>$B$14</f>
        <v>27.432000000000002</v>
      </c>
      <c r="V54" s="147">
        <f t="shared" ref="V54:V103" si="50">U54-$B$14</f>
        <v>0</v>
      </c>
      <c r="W54" s="147">
        <f t="shared" ref="W54:W103" si="51">(U54+$B$15*2)^2 *$B$8 + $B$26 + S$42</f>
        <v>821.26826708070371</v>
      </c>
      <c r="X54" s="147">
        <f t="shared" ref="X54:X103" si="52">(U54+$B$15*2)^2 *$B$7 + $B$25 + S$41</f>
        <v>151.75028487372799</v>
      </c>
      <c r="Y54" s="147">
        <f t="shared" ref="Y54:Y103" si="53">AVERAGE(U54:V54)^2*S$32</f>
        <v>163.10583278123042</v>
      </c>
      <c r="Z54" s="147">
        <f>S$38+W54-S$33-S$34-S$37-Y54</f>
        <v>1614.1271945441608</v>
      </c>
      <c r="AA54" s="147">
        <f>IF(Z54&lt;0,S$33+S$34+S$37+X54,S$38+W54+X54-Y54)</f>
        <v>6391.7205507472863</v>
      </c>
      <c r="AB54" s="147">
        <f t="shared" ref="AB54:AB103" si="54">1/3*$B$12*(U54^2 + (U54 - $B$14)^2 + U54 * (U54 - $B$14))</f>
        <v>1146.8322869760002</v>
      </c>
      <c r="AC54" s="147">
        <f t="shared" ref="AC54:AC103" si="55">AB54 - AA54</f>
        <v>-5244.8882637712859</v>
      </c>
      <c r="AD54" t="str">
        <f t="shared" ref="AD54:AD103" si="56">IF(AC54 &gt;= 0,"Yes", "No")</f>
        <v>No</v>
      </c>
      <c r="AE54">
        <f>COUNTIF(AD54,"Yes")</f>
        <v>0</v>
      </c>
      <c r="AF54" cm="1">
        <f t="array" ref="AF54">INDEX($J$2:$J$7,IF(AE54&gt;5,6,AE54+1))</f>
        <v>1.6180000000000001</v>
      </c>
      <c r="AG54" s="147">
        <f t="shared" ref="AG54:AG103" si="57">ABS(AC54)</f>
        <v>5244.8882637712859</v>
      </c>
      <c r="AI54" t="s">
        <v>4752</v>
      </c>
      <c r="AK54">
        <v>1</v>
      </c>
      <c r="AL54" s="147">
        <f>$B$14</f>
        <v>27.432000000000002</v>
      </c>
      <c r="AM54" s="147">
        <f t="shared" ref="AM54:AM103" si="58">AL54-$B$14</f>
        <v>0</v>
      </c>
      <c r="AN54" s="147">
        <f t="shared" ref="AN54:AN103" si="59">(AL54+$B$15*2)^2 *$B$8 + $B$26 + AJ$42</f>
        <v>821.26826708070371</v>
      </c>
      <c r="AO54" s="147">
        <f t="shared" ref="AO54:AO103" si="60">(AL54+$B$15*2)^2 *$B$7 + $B$25 + AJ$41</f>
        <v>151.75028487372799</v>
      </c>
      <c r="AP54" s="147">
        <f>AVERAGE(AL54:AM54)^2*AJ$32</f>
        <v>169.9734467930717</v>
      </c>
      <c r="AQ54" s="147">
        <f>AJ$38+AN54-AJ$33-AJ$34-AJ$37-AP54</f>
        <v>1607.2595805323197</v>
      </c>
      <c r="AR54" s="147">
        <f>IF(AQ54&lt;0,AJ$33+AJ$34+AJ$37+AO54,AJ$38+AN54+AO54-AP54)</f>
        <v>6384.8529367354449</v>
      </c>
      <c r="AS54" s="147">
        <f t="shared" ref="AS54:AS103" si="61">1/3*$B$12*(AL54^2 + (AL54 - $B$14)^2 + AL54 * (AL54 - $B$14))</f>
        <v>1146.8322869760002</v>
      </c>
      <c r="AT54" s="147">
        <f t="shared" ref="AT54:AT103" si="62">AS54 - AR54</f>
        <v>-5238.0206497594445</v>
      </c>
      <c r="AU54" t="str">
        <f t="shared" ref="AU54:AU103" si="63">IF(AT54 &gt;= 0,"Yes", "No")</f>
        <v>No</v>
      </c>
      <c r="AV54">
        <f>COUNTIF(AU54,"Yes")</f>
        <v>0</v>
      </c>
      <c r="AW54" cm="1">
        <f t="array" ref="AW54">INDEX($J$2:$J$7,IF(AV54&gt;5,6,AV54+1))</f>
        <v>1.6180000000000001</v>
      </c>
      <c r="AX54" s="147">
        <f t="shared" ref="AX54:AX103" si="64">ABS(AT54)</f>
        <v>5238.0206497594445</v>
      </c>
      <c r="AZ54" t="s">
        <v>4752</v>
      </c>
      <c r="BB54">
        <v>1</v>
      </c>
      <c r="BC54" s="147">
        <f>$B$14</f>
        <v>27.432000000000002</v>
      </c>
      <c r="BD54" s="147">
        <f t="shared" ref="BD54:BD103" si="65">BC54-$B$14</f>
        <v>0</v>
      </c>
      <c r="BE54" s="147">
        <f t="shared" ref="BE54:BE103" si="66">(BC54+$B$15*2)^2 *$B$8 + $B$26 + BA$42</f>
        <v>821.26826708070371</v>
      </c>
      <c r="BF54" s="147">
        <f t="shared" ref="BF54:BF103" si="67">(BC54+$B$15*2)^2 *$B$7 + $B$25 + BA$41</f>
        <v>151.75028487372799</v>
      </c>
      <c r="BG54" s="147">
        <f>AVERAGE(BC54:BD54)^2*BA$32</f>
        <v>169.9734467930717</v>
      </c>
      <c r="BH54" s="147">
        <f>BA$38+BE54-BA$33-BA$34-BA$37-BG54</f>
        <v>1647.8363624739704</v>
      </c>
      <c r="BI54" s="147">
        <f>IF(BH54&lt;0,BA$33+BA$34+BA$37+BF54,BA$38+BE54+BF54-BG54)</f>
        <v>4553.0608333863165</v>
      </c>
      <c r="BJ54" s="147">
        <f t="shared" ref="BJ54:BJ103" si="68">1/3*$B$12*(BC54^2 + (BC54 - $B$14)^2 + BC54 * (BC54 - $B$14))</f>
        <v>1146.8322869760002</v>
      </c>
      <c r="BK54" s="147">
        <f t="shared" ref="BK54:BK103" si="69">BJ54 - BI54</f>
        <v>-3406.2285464103161</v>
      </c>
      <c r="BL54" t="str">
        <f t="shared" ref="BL54:BL103" si="70">IF(BK54 &gt;= 0,"Yes", "No")</f>
        <v>No</v>
      </c>
      <c r="BM54">
        <f>COUNTIF(BL54,"Yes")</f>
        <v>0</v>
      </c>
      <c r="BN54" cm="1">
        <f t="array" ref="BN54">INDEX($J$2:$J$7,IF(BM54&gt;5,6,BM54+1))</f>
        <v>1.6180000000000001</v>
      </c>
      <c r="BO54" s="147">
        <f t="shared" ref="BO54:BO103" si="71">ABS(BK54)</f>
        <v>3406.2285464103161</v>
      </c>
      <c r="BQ54" t="s">
        <v>4752</v>
      </c>
      <c r="BS54">
        <v>1</v>
      </c>
      <c r="BT54" s="147">
        <f>$B$14</f>
        <v>27.432000000000002</v>
      </c>
      <c r="BU54" s="147">
        <f t="shared" ref="BU54:BU103" si="72">BT54-$B$14</f>
        <v>0</v>
      </c>
      <c r="BV54" s="147">
        <f t="shared" ref="BV54:BV103" si="73">(BT54+$B$15*2)^2 *$B$8 + $B$26 + BR$42</f>
        <v>821.26826708070371</v>
      </c>
      <c r="BW54" s="147">
        <f t="shared" ref="BW54:BW103" si="74">(BT54+$B$15*2)^2 *$B$7 + $B$25 + BR$41</f>
        <v>151.75028487372799</v>
      </c>
      <c r="BX54" s="147">
        <f>AVERAGE(BT54:BU54)^2*BR$32</f>
        <v>169.9734467930717</v>
      </c>
      <c r="BY54" s="147">
        <f>BR$38+BV54-BR$33-BR$34-BR$37-BX54</f>
        <v>1647.8363624739704</v>
      </c>
      <c r="BZ54" s="147">
        <f>IF(BY54&lt;0,BR$33+BR$34+BR$37+BW54,BR$38+BV54+BW54-BX54)</f>
        <v>4553.0608333863165</v>
      </c>
      <c r="CA54" s="147">
        <f t="shared" ref="CA54:CA103" si="75">1/3*$B$12*(BT54^2 + (BT54 - $B$14)^2 + BT54 * (BT54 - $B$14))</f>
        <v>1146.8322869760002</v>
      </c>
      <c r="CB54" s="147">
        <f t="shared" ref="CB54:CB103" si="76">CA54 - BZ54</f>
        <v>-3406.2285464103161</v>
      </c>
      <c r="CC54" t="str">
        <f t="shared" ref="CC54:CC103" si="77">IF(CB54 &gt;= 0,"Yes", "No")</f>
        <v>No</v>
      </c>
      <c r="CD54">
        <f>COUNTIF(CC54,"Yes")</f>
        <v>0</v>
      </c>
      <c r="CE54" cm="1">
        <f t="array" ref="CE54">INDEX($J$2:$J$7,IF(CD54&gt;5,6,CD54+1))</f>
        <v>1.6180000000000001</v>
      </c>
      <c r="CF54" s="147">
        <f t="shared" ref="CF54:CF103" si="78">ABS(CB54)</f>
        <v>3406.2285464103161</v>
      </c>
      <c r="CH54" t="s">
        <v>4752</v>
      </c>
      <c r="CJ54">
        <v>1</v>
      </c>
      <c r="CK54" s="147">
        <f>$B$14</f>
        <v>27.432000000000002</v>
      </c>
      <c r="CL54" s="147">
        <f t="shared" ref="CL54:CL103" si="79">CK54-$B$14</f>
        <v>0</v>
      </c>
      <c r="CM54" s="147">
        <f t="shared" ref="CM54:CM103" si="80">(CK54+$B$15*2)^2 *$B$8 + $B$26 + CI$42</f>
        <v>821.26826708070371</v>
      </c>
      <c r="CN54" s="147">
        <f t="shared" ref="CN54:CN103" si="81">(CK54+$B$15*2)^2 *$B$7 + $B$25 + CI$41</f>
        <v>151.75028487372799</v>
      </c>
      <c r="CO54" s="147">
        <f>AVERAGE(CK54:CL54)^2*CI$32</f>
        <v>169.9734467930717</v>
      </c>
      <c r="CP54" s="147">
        <f>CI$38+CM54-CI$33-CI$34-CI$37-CO54</f>
        <v>1647.8363624739704</v>
      </c>
      <c r="CQ54" s="147">
        <f>IF(CP54&lt;0,CI$33+CI$34+CI$37+CN54,CI$38+CM54+CN54-CO54)</f>
        <v>4553.0608333863165</v>
      </c>
      <c r="CR54" s="147">
        <f t="shared" ref="CR54:CR103" si="82">1/3*$B$12*(CK54^2 + (CK54 - $B$14)^2 + CK54 * (CK54 - $B$14))</f>
        <v>1146.8322869760002</v>
      </c>
      <c r="CS54" s="147">
        <f t="shared" ref="CS54:CS103" si="83">CR54 - CQ54</f>
        <v>-3406.2285464103161</v>
      </c>
      <c r="CT54" t="str">
        <f t="shared" ref="CT54:CT103" si="84">IF(CS54 &gt;= 0,"Yes", "No")</f>
        <v>No</v>
      </c>
      <c r="CU54">
        <f>COUNTIF(CT54,"Yes")</f>
        <v>0</v>
      </c>
      <c r="CV54" cm="1">
        <f t="array" ref="CV54">INDEX($J$2:$J$7,IF(CU54&gt;5,6,CU54+1))</f>
        <v>1.6180000000000001</v>
      </c>
      <c r="CW54" s="147">
        <f t="shared" ref="CW54:CW103" si="85">ABS(CS54)</f>
        <v>3406.2285464103161</v>
      </c>
      <c r="CY54" t="s">
        <v>4752</v>
      </c>
      <c r="DA54">
        <v>1</v>
      </c>
      <c r="DB54" s="147">
        <f>$B$14</f>
        <v>27.432000000000002</v>
      </c>
      <c r="DC54" s="147">
        <f t="shared" ref="DC54:DC103" si="86">DB54-$B$14</f>
        <v>0</v>
      </c>
      <c r="DD54" s="147">
        <f t="shared" ref="DD54:DD103" si="87">(DB54+$B$15*2)^2 *$B$8 + $B$26 + CZ$42</f>
        <v>821.26826708070371</v>
      </c>
      <c r="DE54" s="147">
        <f t="shared" ref="DE54:DE103" si="88">(DB54+$B$15*2)^2 *$B$7 + $B$25 + CZ$41</f>
        <v>151.75028487372799</v>
      </c>
      <c r="DF54" s="147">
        <f>AVERAGE(DB54:DC54)^2*CZ$32</f>
        <v>169.9734467930717</v>
      </c>
      <c r="DG54" s="147">
        <f>CZ$38+DD54-CZ$33-CZ$34-CZ$37-DF54</f>
        <v>1655.9517188622999</v>
      </c>
      <c r="DH54" s="147">
        <f>IF(DG54&lt;0,CZ$33+CZ$34+CZ$37+DE54,CZ$38+DD54+DE54-DF54)</f>
        <v>4186.7024127164905</v>
      </c>
      <c r="DI54" s="147">
        <f t="shared" ref="DI54:DI103" si="89">1/3*$B$12*(DB54^2 + (DB54 - $B$14)^2 + DB54 * (DB54 - $B$14))</f>
        <v>1146.8322869760002</v>
      </c>
      <c r="DJ54" s="147">
        <f t="shared" ref="DJ54:DJ103" si="90">DI54 - DH54</f>
        <v>-3039.87012574049</v>
      </c>
      <c r="DK54" t="str">
        <f t="shared" ref="DK54:DK103" si="91">IF(DJ54 &gt;= 0,"Yes", "No")</f>
        <v>No</v>
      </c>
      <c r="DL54">
        <f>COUNTIF(DK54,"Yes")</f>
        <v>0</v>
      </c>
      <c r="DM54" cm="1">
        <f t="array" ref="DM54">INDEX($J$2:$J$7,IF(DL54&gt;5,6,DL54+1))</f>
        <v>1.6180000000000001</v>
      </c>
      <c r="DN54" s="147">
        <f t="shared" ref="DN54:DN103" si="92">ABS(DJ54)</f>
        <v>3039.87012574049</v>
      </c>
      <c r="DP54" t="s">
        <v>4752</v>
      </c>
      <c r="DR54">
        <v>1</v>
      </c>
      <c r="DS54" s="147">
        <f>$B$14</f>
        <v>27.432000000000002</v>
      </c>
      <c r="DT54" s="147">
        <f t="shared" ref="DT54:DT103" si="93">DS54-$B$14</f>
        <v>0</v>
      </c>
      <c r="DU54" s="147">
        <f t="shared" ref="DU54:DU103" si="94">(DS54+$B$15*2)^2 *$B$8 + $B$26 + DQ$42</f>
        <v>821.26826708070371</v>
      </c>
      <c r="DV54" s="147">
        <f t="shared" ref="DV54:DV103" si="95">(DS54+$B$15*2)^2 *$B$7 + $B$25 + DQ$41</f>
        <v>151.75028487372799</v>
      </c>
      <c r="DW54" s="147">
        <f>AVERAGE(DS54:DT54)^2*DQ$32</f>
        <v>169.9734467930717</v>
      </c>
      <c r="DX54" s="147">
        <f>DQ$38+DU54-DQ$33-DQ$34-DQ$37-DW54</f>
        <v>1655.9517188622999</v>
      </c>
      <c r="DY54" s="147">
        <f>IF(DX54&lt;0,DQ$33+DQ$34+DQ$37+DV54,DQ$38+DU54+DV54-DW54)</f>
        <v>4186.7024127164905</v>
      </c>
      <c r="DZ54" s="147">
        <f t="shared" ref="DZ54:DZ103" si="96">1/3*$B$12*(DS54^2 + (DS54 - $B$14)^2 + DS54 * (DS54 - $B$14))</f>
        <v>1146.8322869760002</v>
      </c>
      <c r="EA54" s="147">
        <f t="shared" ref="EA54:EA103" si="97">DZ54 - DY54</f>
        <v>-3039.87012574049</v>
      </c>
      <c r="EB54" t="str">
        <f t="shared" ref="EB54:EB103" si="98">IF(EA54 &gt;= 0,"Yes", "No")</f>
        <v>No</v>
      </c>
      <c r="EC54">
        <f>COUNTIF(EB54,"Yes")</f>
        <v>0</v>
      </c>
      <c r="ED54" cm="1">
        <f t="array" ref="ED54">INDEX($J$2:$J$7,IF(EC54&gt;5,6,EC54+1))</f>
        <v>1.6180000000000001</v>
      </c>
      <c r="EE54" s="147">
        <f t="shared" ref="EE54:EE103" si="99">ABS(EA54)</f>
        <v>3039.87012574049</v>
      </c>
      <c r="EG54" t="s">
        <v>4752</v>
      </c>
      <c r="EI54">
        <v>1</v>
      </c>
      <c r="EJ54" s="147">
        <f>$B$14</f>
        <v>27.432000000000002</v>
      </c>
      <c r="EK54" s="147">
        <f t="shared" ref="EK54:EK103" si="100">EJ54-$B$14</f>
        <v>0</v>
      </c>
      <c r="EL54" s="147">
        <f t="shared" ref="EL54:EL103" si="101">(EJ54+$B$15*2)^2 *$B$8 + $B$26 + EH$42</f>
        <v>821.26826708070371</v>
      </c>
      <c r="EM54" s="147">
        <f t="shared" ref="EM54:EM103" si="102">(EJ54+$B$15*2)^2 *$B$7 + $B$25 + EH$41</f>
        <v>151.75028487372799</v>
      </c>
      <c r="EN54" s="147">
        <f>AVERAGE(EJ54:EK54)^2*EH$32</f>
        <v>169.9734467930717</v>
      </c>
      <c r="EO54" s="147">
        <f>EH$38+EL54-EH$33-EH$34-EH$37-EN54</f>
        <v>1655.9517188623008</v>
      </c>
      <c r="EP54" s="147">
        <f>IF(EO54&lt;0,EH$33+EH$34+EH$37+EM54,EH$38+EL54+EM54-EN54)</f>
        <v>4186.7024127164914</v>
      </c>
      <c r="EQ54" s="147">
        <f t="shared" ref="EQ54:EQ103" si="103">1/3*$B$12*(EJ54^2 + (EJ54 - $B$14)^2 + EJ54 * (EJ54 - $B$14))</f>
        <v>1146.8322869760002</v>
      </c>
      <c r="ER54" s="147">
        <f t="shared" ref="ER54:ER103" si="104">EQ54 - EP54</f>
        <v>-3039.8701257404909</v>
      </c>
      <c r="ES54" t="str">
        <f t="shared" ref="ES54:ES103" si="105">IF(ER54 &gt;= 0,"Yes", "No")</f>
        <v>No</v>
      </c>
      <c r="ET54">
        <f>COUNTIF(ES54,"Yes")</f>
        <v>0</v>
      </c>
      <c r="EU54" cm="1">
        <f t="array" ref="EU54">INDEX($J$2:$J$7,IF(ET54&gt;5,6,ET54+1))</f>
        <v>1.6180000000000001</v>
      </c>
      <c r="EV54" s="147">
        <f t="shared" ref="EV54:EV103" si="106">ABS(ER54)</f>
        <v>3039.8701257404909</v>
      </c>
      <c r="EX54" t="s">
        <v>4752</v>
      </c>
      <c r="EZ54">
        <v>1</v>
      </c>
      <c r="FA54" s="147">
        <f>$B$14</f>
        <v>27.432000000000002</v>
      </c>
      <c r="FB54" s="147">
        <f t="shared" ref="FB54:FB103" si="107">FA54-$B$14</f>
        <v>0</v>
      </c>
      <c r="FC54" s="147">
        <f t="shared" ref="FC54:FC103" si="108">(FA54+$B$15*2)^2 *$B$8 + $B$26 + EY$42</f>
        <v>821.26826708070371</v>
      </c>
      <c r="FD54" s="147">
        <f t="shared" ref="FD54:FD103" si="109">(FA54+$B$15*2)^2 *$B$7 + $B$25 + EY$41</f>
        <v>151.75028487372799</v>
      </c>
      <c r="FE54" s="147">
        <f>AVERAGE(FA54:FB54)^2*EY$32</f>
        <v>169.9734467930717</v>
      </c>
      <c r="FF54" s="147">
        <f>EY$38+FC54-EY$33-EY$34-EY$37-FE54</f>
        <v>1342.6040292244736</v>
      </c>
      <c r="FG54" s="147">
        <f>IF(FF54&lt;0,EY$33+EY$34+EY$37+FD54,EY$38+FC54+FD54-FE54)</f>
        <v>2801.8942639562156</v>
      </c>
      <c r="FH54" s="147">
        <f t="shared" ref="FH54:FH103" si="110">1/3*$B$12*(FA54^2 + (FA54 - $B$14)^2 + FA54 * (FA54 - $B$14))</f>
        <v>1146.8322869760002</v>
      </c>
      <c r="FI54" s="147">
        <f t="shared" ref="FI54:FI103" si="111">FH54 - FG54</f>
        <v>-1655.0619769802154</v>
      </c>
      <c r="FJ54" t="str">
        <f t="shared" ref="FJ54:FJ103" si="112">IF(FI54 &gt;= 0,"Yes", "No")</f>
        <v>No</v>
      </c>
      <c r="FK54">
        <f>COUNTIF(FJ54,"Yes")</f>
        <v>0</v>
      </c>
      <c r="FL54" cm="1">
        <f t="array" ref="FL54">INDEX($J$2:$J$7,IF(FK54&gt;5,6,FK54+1))</f>
        <v>1.6180000000000001</v>
      </c>
      <c r="FM54" s="147">
        <f t="shared" ref="FM54:FM103" si="113">ABS(FI54)</f>
        <v>1655.0619769802154</v>
      </c>
    </row>
    <row r="55" spans="1:169" x14ac:dyDescent="0.3">
      <c r="A55" t="s">
        <v>4753</v>
      </c>
      <c r="C55">
        <v>2</v>
      </c>
      <c r="D55" s="147">
        <f>D54*O54</f>
        <v>44.384976000000009</v>
      </c>
      <c r="E55" s="147">
        <f t="shared" si="42"/>
        <v>16.952976000000007</v>
      </c>
      <c r="F55" s="147">
        <f t="shared" si="43"/>
        <v>1904.2645117062477</v>
      </c>
      <c r="G55" s="147">
        <f t="shared" si="44"/>
        <v>351.86149728339262</v>
      </c>
      <c r="H55" s="147">
        <f t="shared" si="45"/>
        <v>815.47957973298685</v>
      </c>
      <c r="I55" s="147">
        <f t="shared" ref="I55:I103" si="114">B$38+F55-B$33-B$34-B$37-H55</f>
        <v>2044.7496922179491</v>
      </c>
      <c r="J55" s="147">
        <f t="shared" ref="J55:J103" si="115">IF(I55&lt;0,B$33+B$34+B$37+G55,B$38+F55+G55-H55)</f>
        <v>7022.4542608307402</v>
      </c>
      <c r="K55" s="147">
        <f t="shared" si="46"/>
        <v>4587.0676701425718</v>
      </c>
      <c r="L55" s="147">
        <f t="shared" si="47"/>
        <v>-2435.3865906881683</v>
      </c>
      <c r="M55" t="str">
        <f t="shared" si="48"/>
        <v>No</v>
      </c>
      <c r="N55">
        <f>COUNTIF(M$54:M55,"Yes")</f>
        <v>0</v>
      </c>
      <c r="O55" cm="1">
        <f t="array" ref="O55">INDEX($J$2:$J$7,IF(N55&gt;5,6,N55+1))</f>
        <v>1.6180000000000001</v>
      </c>
      <c r="P55" s="147">
        <f t="shared" si="49"/>
        <v>2435.3865906881683</v>
      </c>
      <c r="R55" t="s">
        <v>4753</v>
      </c>
      <c r="T55">
        <v>2</v>
      </c>
      <c r="U55" s="147">
        <f>U54*AF54</f>
        <v>44.384976000000009</v>
      </c>
      <c r="V55" s="147">
        <f t="shared" si="50"/>
        <v>16.952976000000007</v>
      </c>
      <c r="W55" s="147">
        <f t="shared" si="51"/>
        <v>1904.2645117062477</v>
      </c>
      <c r="X55" s="147">
        <f t="shared" si="52"/>
        <v>351.86149728339262</v>
      </c>
      <c r="Y55" s="147">
        <f t="shared" si="53"/>
        <v>815.47957973298685</v>
      </c>
      <c r="Z55" s="147">
        <f t="shared" ref="Z55:Z103" si="116">S$38+W55-S$33-S$34-S$37-Y55</f>
        <v>2044.7496922179482</v>
      </c>
      <c r="AA55" s="147">
        <f t="shared" ref="AA55:AA103" si="117">IF(Z55&lt;0,S$33+S$34+S$37+X55,S$38+W55+X55-Y55)</f>
        <v>7022.4542608307393</v>
      </c>
      <c r="AB55" s="147">
        <f t="shared" si="54"/>
        <v>4587.0676701425718</v>
      </c>
      <c r="AC55" s="147">
        <f t="shared" si="55"/>
        <v>-2435.3865906881674</v>
      </c>
      <c r="AD55" t="str">
        <f t="shared" si="56"/>
        <v>No</v>
      </c>
      <c r="AE55">
        <f>COUNTIF(AD$54:AD55,"Yes")</f>
        <v>0</v>
      </c>
      <c r="AF55" cm="1">
        <f t="array" ref="AF55">INDEX($J$2:$J$7,IF(AE55&gt;5,6,AE55+1))</f>
        <v>1.6180000000000001</v>
      </c>
      <c r="AG55" s="147">
        <f t="shared" si="57"/>
        <v>2435.3865906881674</v>
      </c>
      <c r="AI55" t="s">
        <v>4753</v>
      </c>
      <c r="AK55">
        <v>2</v>
      </c>
      <c r="AL55" s="147">
        <f>AL54*AW54</f>
        <v>44.384976000000009</v>
      </c>
      <c r="AM55" s="147">
        <f t="shared" si="58"/>
        <v>16.952976000000007</v>
      </c>
      <c r="AN55" s="147">
        <f t="shared" si="59"/>
        <v>1904.2645117062477</v>
      </c>
      <c r="AO55" s="147">
        <f t="shared" si="60"/>
        <v>351.86149728339262</v>
      </c>
      <c r="AP55" s="147">
        <f t="shared" ref="AP55:AP103" si="118">AVERAGE(AL55:AM55)^2*AJ$32</f>
        <v>849.81556203753371</v>
      </c>
      <c r="AQ55" s="147">
        <f t="shared" ref="AQ55" si="119">AJ$38+AN55-AJ$33-AJ$34-AJ$37-AP55</f>
        <v>2010.4137099134014</v>
      </c>
      <c r="AR55" s="147">
        <f t="shared" ref="AR55" si="120">IF(AQ55&lt;0,AJ$33+AJ$34+AJ$37+AO55,AJ$38+AN55+AO55-AP55)</f>
        <v>6988.1182785261926</v>
      </c>
      <c r="AS55" s="147">
        <f t="shared" si="61"/>
        <v>4587.0676701425718</v>
      </c>
      <c r="AT55" s="147">
        <f t="shared" si="62"/>
        <v>-2401.0506083836208</v>
      </c>
      <c r="AU55" t="str">
        <f t="shared" si="63"/>
        <v>No</v>
      </c>
      <c r="AV55">
        <f>COUNTIF(AU$54:AU55,"Yes")</f>
        <v>0</v>
      </c>
      <c r="AW55" cm="1">
        <f t="array" ref="AW55">INDEX($J$2:$J$7,IF(AV55&gt;5,6,AV55+1))</f>
        <v>1.6180000000000001</v>
      </c>
      <c r="AX55" s="147">
        <f t="shared" si="64"/>
        <v>2401.0506083836208</v>
      </c>
      <c r="AZ55" t="s">
        <v>4753</v>
      </c>
      <c r="BB55">
        <v>2</v>
      </c>
      <c r="BC55" s="147">
        <f>BC54*BN54</f>
        <v>44.384976000000009</v>
      </c>
      <c r="BD55" s="147">
        <f t="shared" si="65"/>
        <v>16.952976000000007</v>
      </c>
      <c r="BE55" s="147">
        <f t="shared" si="66"/>
        <v>1904.2645117062477</v>
      </c>
      <c r="BF55" s="147">
        <f t="shared" si="67"/>
        <v>351.86149728339262</v>
      </c>
      <c r="BG55" s="147">
        <f t="shared" ref="BG55:BG103" si="121">AVERAGE(BC55:BD55)^2*BA$32</f>
        <v>849.81556203753371</v>
      </c>
      <c r="BH55" s="147">
        <f t="shared" ref="BH55:BH103" si="122">BA$38+BE55-BA$33-BA$34-BA$37-BG55</f>
        <v>2050.9904918550524</v>
      </c>
      <c r="BI55" s="147">
        <f t="shared" ref="BI55:BI103" si="123">IF(BH55&lt;0,BA$33+BA$34+BA$37+BF55,BA$38+BE55+BF55-BG55)</f>
        <v>5156.3261751770642</v>
      </c>
      <c r="BJ55" s="147">
        <f t="shared" si="68"/>
        <v>4587.0676701425718</v>
      </c>
      <c r="BK55" s="147">
        <f t="shared" si="69"/>
        <v>-569.25850503449237</v>
      </c>
      <c r="BL55" t="str">
        <f t="shared" si="70"/>
        <v>No</v>
      </c>
      <c r="BM55">
        <f>COUNTIF(BL$54:BL55,"Yes")</f>
        <v>0</v>
      </c>
      <c r="BN55" cm="1">
        <f t="array" ref="BN55">INDEX($J$2:$J$7,IF(BM55&gt;5,6,BM55+1))</f>
        <v>1.6180000000000001</v>
      </c>
      <c r="BO55" s="147">
        <f t="shared" si="71"/>
        <v>569.25850503449237</v>
      </c>
      <c r="BQ55" t="s">
        <v>4753</v>
      </c>
      <c r="BS55">
        <v>2</v>
      </c>
      <c r="BT55" s="147">
        <f>BT54*CE54</f>
        <v>44.384976000000009</v>
      </c>
      <c r="BU55" s="147">
        <f t="shared" si="72"/>
        <v>16.952976000000007</v>
      </c>
      <c r="BV55" s="147">
        <f t="shared" si="73"/>
        <v>1904.2645117062477</v>
      </c>
      <c r="BW55" s="147">
        <f t="shared" si="74"/>
        <v>351.86149728339262</v>
      </c>
      <c r="BX55" s="147">
        <f t="shared" ref="BX55:BX103" si="124">AVERAGE(BT55:BU55)^2*BR$32</f>
        <v>849.81556203753371</v>
      </c>
      <c r="BY55" s="147">
        <f t="shared" ref="BY55:BY103" si="125">BR$38+BV55-BR$33-BR$34-BR$37-BX55</f>
        <v>2050.9904918550524</v>
      </c>
      <c r="BZ55" s="147">
        <f t="shared" ref="BZ55:BZ103" si="126">IF(BY55&lt;0,BR$33+BR$34+BR$37+BW55,BR$38+BV55+BW55-BX55)</f>
        <v>5156.3261751770642</v>
      </c>
      <c r="CA55" s="147">
        <f t="shared" si="75"/>
        <v>4587.0676701425718</v>
      </c>
      <c r="CB55" s="147">
        <f t="shared" si="76"/>
        <v>-569.25850503449237</v>
      </c>
      <c r="CC55" t="str">
        <f t="shared" si="77"/>
        <v>No</v>
      </c>
      <c r="CD55">
        <f>COUNTIF(CC$54:CC55,"Yes")</f>
        <v>0</v>
      </c>
      <c r="CE55" cm="1">
        <f t="array" ref="CE55">INDEX($J$2:$J$7,IF(CD55&gt;5,6,CD55+1))</f>
        <v>1.6180000000000001</v>
      </c>
      <c r="CF55" s="147">
        <f t="shared" si="78"/>
        <v>569.25850503449237</v>
      </c>
      <c r="CH55" t="s">
        <v>4753</v>
      </c>
      <c r="CJ55">
        <v>2</v>
      </c>
      <c r="CK55" s="147">
        <f>CK54*CV54</f>
        <v>44.384976000000009</v>
      </c>
      <c r="CL55" s="147">
        <f t="shared" si="79"/>
        <v>16.952976000000007</v>
      </c>
      <c r="CM55" s="147">
        <f t="shared" si="80"/>
        <v>1904.2645117062477</v>
      </c>
      <c r="CN55" s="147">
        <f t="shared" si="81"/>
        <v>351.86149728339262</v>
      </c>
      <c r="CO55" s="147">
        <f t="shared" ref="CO55:CO103" si="127">AVERAGE(CK55:CL55)^2*CI$32</f>
        <v>849.81556203753371</v>
      </c>
      <c r="CP55" s="147">
        <f t="shared" ref="CP55:CP103" si="128">CI$38+CM55-CI$33-CI$34-CI$37-CO55</f>
        <v>2050.9904918550524</v>
      </c>
      <c r="CQ55" s="147">
        <f t="shared" ref="CQ55:CQ103" si="129">IF(CP55&lt;0,CI$33+CI$34+CI$37+CN55,CI$38+CM55+CN55-CO55)</f>
        <v>5156.3261751770642</v>
      </c>
      <c r="CR55" s="147">
        <f t="shared" si="82"/>
        <v>4587.0676701425718</v>
      </c>
      <c r="CS55" s="147">
        <f t="shared" si="83"/>
        <v>-569.25850503449237</v>
      </c>
      <c r="CT55" t="str">
        <f t="shared" si="84"/>
        <v>No</v>
      </c>
      <c r="CU55">
        <f>COUNTIF(CT$54:CT55,"Yes")</f>
        <v>0</v>
      </c>
      <c r="CV55" cm="1">
        <f t="array" ref="CV55">INDEX($J$2:$J$7,IF(CU55&gt;5,6,CU55+1))</f>
        <v>1.6180000000000001</v>
      </c>
      <c r="CW55" s="147">
        <f t="shared" si="85"/>
        <v>569.25850503449237</v>
      </c>
      <c r="CY55" t="s">
        <v>4753</v>
      </c>
      <c r="DA55">
        <v>2</v>
      </c>
      <c r="DB55" s="147">
        <f>DB54*DM54</f>
        <v>44.384976000000009</v>
      </c>
      <c r="DC55" s="147">
        <f t="shared" si="86"/>
        <v>16.952976000000007</v>
      </c>
      <c r="DD55" s="147">
        <f t="shared" si="87"/>
        <v>1904.2645117062477</v>
      </c>
      <c r="DE55" s="147">
        <f t="shared" si="88"/>
        <v>351.86149728339262</v>
      </c>
      <c r="DF55" s="147">
        <f t="shared" ref="DF55:DF103" si="130">AVERAGE(DB55:DC55)^2*CZ$32</f>
        <v>849.81556203753371</v>
      </c>
      <c r="DG55" s="147">
        <f t="shared" ref="DG55:DG103" si="131">CZ$38+DD55-CZ$33-CZ$34-CZ$37-DF55</f>
        <v>2059.1058482433818</v>
      </c>
      <c r="DH55" s="147">
        <f t="shared" ref="DH55:DH103" si="132">IF(DG55&lt;0,CZ$33+CZ$34+CZ$37+DE55,CZ$38+DD55+DE55-DF55)</f>
        <v>4789.9677545072382</v>
      </c>
      <c r="DI55" s="147">
        <f t="shared" si="89"/>
        <v>4587.0676701425718</v>
      </c>
      <c r="DJ55" s="147">
        <f t="shared" si="90"/>
        <v>-202.90008436466633</v>
      </c>
      <c r="DK55" t="str">
        <f t="shared" si="91"/>
        <v>No</v>
      </c>
      <c r="DL55">
        <f>COUNTIF(DK$54:DK55,"Yes")</f>
        <v>0</v>
      </c>
      <c r="DM55" cm="1">
        <f t="array" ref="DM55">INDEX($J$2:$J$7,IF(DL55&gt;5,6,DL55+1))</f>
        <v>1.6180000000000001</v>
      </c>
      <c r="DN55" s="147">
        <f t="shared" si="92"/>
        <v>202.90008436466633</v>
      </c>
      <c r="DP55" t="s">
        <v>4753</v>
      </c>
      <c r="DR55">
        <v>2</v>
      </c>
      <c r="DS55" s="147">
        <f>DS54*ED54</f>
        <v>44.384976000000009</v>
      </c>
      <c r="DT55" s="147">
        <f t="shared" si="93"/>
        <v>16.952976000000007</v>
      </c>
      <c r="DU55" s="147">
        <f t="shared" si="94"/>
        <v>1904.2645117062477</v>
      </c>
      <c r="DV55" s="147">
        <f t="shared" si="95"/>
        <v>351.86149728339262</v>
      </c>
      <c r="DW55" s="147">
        <f t="shared" ref="DW55:DW103" si="133">AVERAGE(DS55:DT55)^2*DQ$32</f>
        <v>849.81556203753371</v>
      </c>
      <c r="DX55" s="147">
        <f t="shared" ref="DX55:DX103" si="134">DQ$38+DU55-DQ$33-DQ$34-DQ$37-DW55</f>
        <v>2059.1058482433818</v>
      </c>
      <c r="DY55" s="147">
        <f t="shared" ref="DY55:DY103" si="135">IF(DX55&lt;0,DQ$33+DQ$34+DQ$37+DV55,DQ$38+DU55+DV55-DW55)</f>
        <v>4789.9677545072382</v>
      </c>
      <c r="DZ55" s="147">
        <f t="shared" si="96"/>
        <v>4587.0676701425718</v>
      </c>
      <c r="EA55" s="147">
        <f t="shared" si="97"/>
        <v>-202.90008436466633</v>
      </c>
      <c r="EB55" t="str">
        <f t="shared" si="98"/>
        <v>No</v>
      </c>
      <c r="EC55">
        <f>COUNTIF(EB$54:EB55,"Yes")</f>
        <v>0</v>
      </c>
      <c r="ED55" cm="1">
        <f t="array" ref="ED55">INDEX($J$2:$J$7,IF(EC55&gt;5,6,EC55+1))</f>
        <v>1.6180000000000001</v>
      </c>
      <c r="EE55" s="147">
        <f t="shared" si="99"/>
        <v>202.90008436466633</v>
      </c>
      <c r="EG55" t="s">
        <v>4753</v>
      </c>
      <c r="EI55">
        <v>2</v>
      </c>
      <c r="EJ55" s="147">
        <f>EJ54*EU54</f>
        <v>44.384976000000009</v>
      </c>
      <c r="EK55" s="147">
        <f t="shared" si="100"/>
        <v>16.952976000000007</v>
      </c>
      <c r="EL55" s="147">
        <f t="shared" si="101"/>
        <v>1904.2645117062477</v>
      </c>
      <c r="EM55" s="147">
        <f t="shared" si="102"/>
        <v>351.86149728339262</v>
      </c>
      <c r="EN55" s="147">
        <f t="shared" ref="EN55:EN103" si="136">AVERAGE(EJ55:EK55)^2*EH$32</f>
        <v>849.81556203753371</v>
      </c>
      <c r="EO55" s="147">
        <f t="shared" ref="EO55:EO103" si="137">EH$38+EL55-EH$33-EH$34-EH$37-EN55</f>
        <v>2059.1058482433828</v>
      </c>
      <c r="EP55" s="147">
        <f t="shared" ref="EP55:EP103" si="138">IF(EO55&lt;0,EH$33+EH$34+EH$37+EM55,EH$38+EL55+EM55-EN55)</f>
        <v>4789.9677545072391</v>
      </c>
      <c r="EQ55" s="147">
        <f t="shared" si="103"/>
        <v>4587.0676701425718</v>
      </c>
      <c r="ER55" s="147">
        <f t="shared" si="104"/>
        <v>-202.90008436466724</v>
      </c>
      <c r="ES55" t="str">
        <f t="shared" si="105"/>
        <v>No</v>
      </c>
      <c r="ET55">
        <f>COUNTIF(ES$54:ES55,"Yes")</f>
        <v>0</v>
      </c>
      <c r="EU55" cm="1">
        <f t="array" ref="EU55">INDEX($J$2:$J$7,IF(ET55&gt;5,6,ET55+1))</f>
        <v>1.6180000000000001</v>
      </c>
      <c r="EV55" s="147">
        <f t="shared" si="106"/>
        <v>202.90008436466724</v>
      </c>
      <c r="EX55" t="s">
        <v>4753</v>
      </c>
      <c r="EZ55">
        <v>2</v>
      </c>
      <c r="FA55" s="147">
        <f>FA54*FL54</f>
        <v>44.384976000000009</v>
      </c>
      <c r="FB55" s="147">
        <f t="shared" si="107"/>
        <v>16.952976000000007</v>
      </c>
      <c r="FC55" s="147">
        <f t="shared" si="108"/>
        <v>1904.2645117062477</v>
      </c>
      <c r="FD55" s="147">
        <f t="shared" si="109"/>
        <v>351.86149728339262</v>
      </c>
      <c r="FE55" s="147">
        <f t="shared" ref="FE55:FE103" si="139">AVERAGE(FA55:FB55)^2*EY$32</f>
        <v>849.81556203753371</v>
      </c>
      <c r="FF55" s="147">
        <f t="shared" ref="FF55:FF103" si="140">EY$38+FC55-EY$33-EY$34-EY$37-FE55</f>
        <v>1745.7581586055553</v>
      </c>
      <c r="FG55" s="147">
        <f t="shared" ref="FG55:FG103" si="141">IF(FF55&lt;0,EY$33+EY$34+EY$37+FD55,EY$38+FC55+FD55-FE55)</f>
        <v>3405.1596057469624</v>
      </c>
      <c r="FH55" s="147">
        <f t="shared" si="110"/>
        <v>4587.0676701425718</v>
      </c>
      <c r="FI55" s="147">
        <f t="shared" si="111"/>
        <v>1181.9080643956095</v>
      </c>
      <c r="FJ55" t="str">
        <f t="shared" si="112"/>
        <v>Yes</v>
      </c>
      <c r="FK55">
        <f>COUNTIF(FJ$54:FJ55,"Yes")</f>
        <v>1</v>
      </c>
      <c r="FL55" cm="1">
        <f t="array" ref="FL55">INDEX($J$2:$J$7,IF(FK55&gt;5,6,FK55+1))</f>
        <v>1.0618000000000001</v>
      </c>
      <c r="FM55" s="147">
        <f t="shared" si="113"/>
        <v>1181.9080643956095</v>
      </c>
    </row>
    <row r="56" spans="1:169" x14ac:dyDescent="0.3">
      <c r="C56">
        <v>3</v>
      </c>
      <c r="D56" s="147">
        <f>IF(M55="Yes",D54*O55,D55*O55)</f>
        <v>71.814891168000017</v>
      </c>
      <c r="E56" s="147">
        <f t="shared" si="42"/>
        <v>44.382891168000015</v>
      </c>
      <c r="F56" s="147">
        <f t="shared" si="43"/>
        <v>4607.1082739124149</v>
      </c>
      <c r="G56" s="147">
        <f t="shared" si="44"/>
        <v>851.28090422324419</v>
      </c>
      <c r="H56" s="147">
        <f>AVERAGE(D56:E56)^2*B$32</f>
        <v>2926.5114444641022</v>
      </c>
      <c r="I56" s="147">
        <f t="shared" si="114"/>
        <v>2636.5615896930012</v>
      </c>
      <c r="J56" s="147">
        <f t="shared" si="115"/>
        <v>8113.6855652456434</v>
      </c>
      <c r="K56" s="147">
        <f t="shared" si="46"/>
        <v>15719.407912180475</v>
      </c>
      <c r="L56" s="147">
        <f t="shared" si="47"/>
        <v>7605.7223469348319</v>
      </c>
      <c r="M56" t="str">
        <f t="shared" si="48"/>
        <v>Yes</v>
      </c>
      <c r="N56">
        <f>COUNTIF(M$54:M56,"Yes")</f>
        <v>1</v>
      </c>
      <c r="O56" cm="1">
        <f t="array" ref="O56">INDEX($J$2:$J$7,IF(N56&gt;5,6,N56+1))</f>
        <v>1.0618000000000001</v>
      </c>
      <c r="P56" s="147">
        <f t="shared" si="49"/>
        <v>7605.7223469348319</v>
      </c>
      <c r="T56">
        <v>3</v>
      </c>
      <c r="U56" s="147">
        <f>IF(AD55="Yes",U54*AF55,U55*AF55)</f>
        <v>71.814891168000017</v>
      </c>
      <c r="V56" s="147">
        <f t="shared" si="50"/>
        <v>44.382891168000015</v>
      </c>
      <c r="W56" s="147">
        <f t="shared" si="51"/>
        <v>4607.1082739124149</v>
      </c>
      <c r="X56" s="147">
        <f t="shared" si="52"/>
        <v>851.28090422324419</v>
      </c>
      <c r="Y56" s="147">
        <f t="shared" si="53"/>
        <v>2926.5114444641022</v>
      </c>
      <c r="Z56" s="147">
        <f t="shared" si="116"/>
        <v>2636.5615896929994</v>
      </c>
      <c r="AA56" s="147">
        <f t="shared" si="117"/>
        <v>8113.6855652456416</v>
      </c>
      <c r="AB56" s="147">
        <f t="shared" si="54"/>
        <v>15719.407912180475</v>
      </c>
      <c r="AC56" s="147">
        <f t="shared" si="55"/>
        <v>7605.7223469348337</v>
      </c>
      <c r="AD56" t="str">
        <f t="shared" si="56"/>
        <v>Yes</v>
      </c>
      <c r="AE56">
        <f>COUNTIF(AD$54:AD56,"Yes")</f>
        <v>1</v>
      </c>
      <c r="AF56" cm="1">
        <f t="array" ref="AF56">INDEX($J$2:$J$7,IF(AE56&gt;5,6,AE56+1))</f>
        <v>1.0618000000000001</v>
      </c>
      <c r="AG56" s="147">
        <f t="shared" si="57"/>
        <v>7605.7223469348337</v>
      </c>
      <c r="AK56">
        <v>3</v>
      </c>
      <c r="AL56" s="147">
        <f>IF(AU55="Yes",AL54*AW55,AL55*AW55)</f>
        <v>71.814891168000017</v>
      </c>
      <c r="AM56" s="147">
        <f t="shared" si="58"/>
        <v>44.382891168000015</v>
      </c>
      <c r="AN56" s="147">
        <f t="shared" si="59"/>
        <v>4607.1082739124149</v>
      </c>
      <c r="AO56" s="147">
        <f t="shared" si="60"/>
        <v>851.28090422324419</v>
      </c>
      <c r="AP56" s="147">
        <f t="shared" si="118"/>
        <v>3049.7329789678538</v>
      </c>
      <c r="AQ56" s="147">
        <f>AJ$38+AN56-AJ$33-AJ$34-AJ$37-AP56</f>
        <v>2513.3400551892478</v>
      </c>
      <c r="AR56" s="147">
        <f>IF(AQ56&lt;0,AJ$33+AJ$34+AJ$37+AO56,AJ$38+AN56+AO56-AP56)</f>
        <v>7990.4640307418904</v>
      </c>
      <c r="AS56" s="147">
        <f t="shared" si="61"/>
        <v>15719.407912180475</v>
      </c>
      <c r="AT56" s="147">
        <f t="shared" si="62"/>
        <v>7728.9438814385849</v>
      </c>
      <c r="AU56" t="str">
        <f t="shared" si="63"/>
        <v>Yes</v>
      </c>
      <c r="AV56">
        <f>COUNTIF(AU$54:AU56,"Yes")</f>
        <v>1</v>
      </c>
      <c r="AW56" cm="1">
        <f t="array" ref="AW56">INDEX($J$2:$J$7,IF(AV56&gt;5,6,AV56+1))</f>
        <v>1.0618000000000001</v>
      </c>
      <c r="AX56" s="147">
        <f t="shared" si="64"/>
        <v>7728.9438814385849</v>
      </c>
      <c r="BB56">
        <v>3</v>
      </c>
      <c r="BC56" s="147">
        <f>IF(BL55="Yes",BC54*BN55,BC55*BN55)</f>
        <v>71.814891168000017</v>
      </c>
      <c r="BD56" s="147">
        <f t="shared" si="65"/>
        <v>44.382891168000015</v>
      </c>
      <c r="BE56" s="147">
        <f t="shared" si="66"/>
        <v>4607.1082739124149</v>
      </c>
      <c r="BF56" s="147">
        <f t="shared" si="67"/>
        <v>851.28090422324419</v>
      </c>
      <c r="BG56" s="147">
        <f t="shared" si="121"/>
        <v>3049.7329789678538</v>
      </c>
      <c r="BH56" s="147">
        <f t="shared" si="122"/>
        <v>2553.9168371308992</v>
      </c>
      <c r="BI56" s="147">
        <f t="shared" si="123"/>
        <v>6158.6719273927629</v>
      </c>
      <c r="BJ56" s="147">
        <f t="shared" si="68"/>
        <v>15719.407912180475</v>
      </c>
      <c r="BK56" s="147">
        <f t="shared" si="69"/>
        <v>9560.7359847877124</v>
      </c>
      <c r="BL56" t="str">
        <f t="shared" si="70"/>
        <v>Yes</v>
      </c>
      <c r="BM56">
        <f>COUNTIF(BL$54:BL56,"Yes")</f>
        <v>1</v>
      </c>
      <c r="BN56" cm="1">
        <f t="array" ref="BN56">INDEX($J$2:$J$7,IF(BM56&gt;5,6,BM56+1))</f>
        <v>1.0618000000000001</v>
      </c>
      <c r="BO56" s="147">
        <f t="shared" si="71"/>
        <v>9560.7359847877124</v>
      </c>
      <c r="BS56">
        <v>3</v>
      </c>
      <c r="BT56" s="147">
        <f>IF(CC55="Yes",BT54*CE55,BT55*CE55)</f>
        <v>71.814891168000017</v>
      </c>
      <c r="BU56" s="147">
        <f t="shared" si="72"/>
        <v>44.382891168000015</v>
      </c>
      <c r="BV56" s="147">
        <f t="shared" si="73"/>
        <v>4607.1082739124149</v>
      </c>
      <c r="BW56" s="147">
        <f t="shared" si="74"/>
        <v>851.28090422324419</v>
      </c>
      <c r="BX56" s="147">
        <f t="shared" si="124"/>
        <v>3049.7329789678538</v>
      </c>
      <c r="BY56" s="147">
        <f t="shared" si="125"/>
        <v>2553.9168371308992</v>
      </c>
      <c r="BZ56" s="147">
        <f t="shared" si="126"/>
        <v>6158.6719273927629</v>
      </c>
      <c r="CA56" s="147">
        <f t="shared" si="75"/>
        <v>15719.407912180475</v>
      </c>
      <c r="CB56" s="147">
        <f t="shared" si="76"/>
        <v>9560.7359847877124</v>
      </c>
      <c r="CC56" t="str">
        <f t="shared" si="77"/>
        <v>Yes</v>
      </c>
      <c r="CD56">
        <f>COUNTIF(CC$54:CC56,"Yes")</f>
        <v>1</v>
      </c>
      <c r="CE56" cm="1">
        <f t="array" ref="CE56">INDEX($J$2:$J$7,IF(CD56&gt;5,6,CD56+1))</f>
        <v>1.0618000000000001</v>
      </c>
      <c r="CF56" s="147">
        <f t="shared" si="78"/>
        <v>9560.7359847877124</v>
      </c>
      <c r="CJ56">
        <v>3</v>
      </c>
      <c r="CK56" s="147">
        <f>IF(CT55="Yes",CK54*CV55,CK55*CV55)</f>
        <v>71.814891168000017</v>
      </c>
      <c r="CL56" s="147">
        <f t="shared" si="79"/>
        <v>44.382891168000015</v>
      </c>
      <c r="CM56" s="147">
        <f t="shared" si="80"/>
        <v>4607.1082739124149</v>
      </c>
      <c r="CN56" s="147">
        <f t="shared" si="81"/>
        <v>851.28090422324419</v>
      </c>
      <c r="CO56" s="147">
        <f t="shared" si="127"/>
        <v>3049.7329789678538</v>
      </c>
      <c r="CP56" s="147">
        <f t="shared" si="128"/>
        <v>2553.9168371308992</v>
      </c>
      <c r="CQ56" s="147">
        <f t="shared" si="129"/>
        <v>6158.6719273927629</v>
      </c>
      <c r="CR56" s="147">
        <f t="shared" si="82"/>
        <v>15719.407912180475</v>
      </c>
      <c r="CS56" s="147">
        <f t="shared" si="83"/>
        <v>9560.7359847877124</v>
      </c>
      <c r="CT56" t="str">
        <f t="shared" si="84"/>
        <v>Yes</v>
      </c>
      <c r="CU56">
        <f>COUNTIF(CT$54:CT56,"Yes")</f>
        <v>1</v>
      </c>
      <c r="CV56" cm="1">
        <f t="array" ref="CV56">INDEX($J$2:$J$7,IF(CU56&gt;5,6,CU56+1))</f>
        <v>1.0618000000000001</v>
      </c>
      <c r="CW56" s="147">
        <f t="shared" si="85"/>
        <v>9560.7359847877124</v>
      </c>
      <c r="DA56">
        <v>3</v>
      </c>
      <c r="DB56" s="147">
        <f>IF(DK55="Yes",DB54*DM55,DB55*DM55)</f>
        <v>71.814891168000017</v>
      </c>
      <c r="DC56" s="147">
        <f t="shared" si="86"/>
        <v>44.382891168000015</v>
      </c>
      <c r="DD56" s="147">
        <f t="shared" si="87"/>
        <v>4607.1082739124149</v>
      </c>
      <c r="DE56" s="147">
        <f t="shared" si="88"/>
        <v>851.28090422324419</v>
      </c>
      <c r="DF56" s="147">
        <f t="shared" si="130"/>
        <v>3049.7329789678538</v>
      </c>
      <c r="DG56" s="147">
        <f t="shared" si="131"/>
        <v>2562.0321935192292</v>
      </c>
      <c r="DH56" s="147">
        <f t="shared" si="132"/>
        <v>5792.3135067229377</v>
      </c>
      <c r="DI56" s="147">
        <f t="shared" si="89"/>
        <v>15719.407912180475</v>
      </c>
      <c r="DJ56" s="147">
        <f t="shared" si="90"/>
        <v>9927.0944054575375</v>
      </c>
      <c r="DK56" t="str">
        <f t="shared" si="91"/>
        <v>Yes</v>
      </c>
      <c r="DL56">
        <f>COUNTIF(DK$54:DK56,"Yes")</f>
        <v>1</v>
      </c>
      <c r="DM56" cm="1">
        <f t="array" ref="DM56">INDEX($J$2:$J$7,IF(DL56&gt;5,6,DL56+1))</f>
        <v>1.0618000000000001</v>
      </c>
      <c r="DN56" s="147">
        <f t="shared" si="92"/>
        <v>9927.0944054575375</v>
      </c>
      <c r="DR56">
        <v>3</v>
      </c>
      <c r="DS56" s="147">
        <f>IF(EB55="Yes",DS54*ED55,DS55*ED55)</f>
        <v>71.814891168000017</v>
      </c>
      <c r="DT56" s="147">
        <f t="shared" si="93"/>
        <v>44.382891168000015</v>
      </c>
      <c r="DU56" s="147">
        <f t="shared" si="94"/>
        <v>4607.1082739124149</v>
      </c>
      <c r="DV56" s="147">
        <f t="shared" si="95"/>
        <v>851.28090422324419</v>
      </c>
      <c r="DW56" s="147">
        <f t="shared" si="133"/>
        <v>3049.7329789678538</v>
      </c>
      <c r="DX56" s="147">
        <f t="shared" si="134"/>
        <v>2562.0321935192292</v>
      </c>
      <c r="DY56" s="147">
        <f t="shared" si="135"/>
        <v>5792.3135067229377</v>
      </c>
      <c r="DZ56" s="147">
        <f t="shared" si="96"/>
        <v>15719.407912180475</v>
      </c>
      <c r="EA56" s="147">
        <f t="shared" si="97"/>
        <v>9927.0944054575375</v>
      </c>
      <c r="EB56" t="str">
        <f t="shared" si="98"/>
        <v>Yes</v>
      </c>
      <c r="EC56">
        <f>COUNTIF(EB$54:EB56,"Yes")</f>
        <v>1</v>
      </c>
      <c r="ED56" cm="1">
        <f t="array" ref="ED56">INDEX($J$2:$J$7,IF(EC56&gt;5,6,EC56+1))</f>
        <v>1.0618000000000001</v>
      </c>
      <c r="EE56" s="147">
        <f t="shared" si="99"/>
        <v>9927.0944054575375</v>
      </c>
      <c r="EI56">
        <v>3</v>
      </c>
      <c r="EJ56" s="147">
        <f>IF(ES55="Yes",EJ54*EU55,EJ55*EU55)</f>
        <v>71.814891168000017</v>
      </c>
      <c r="EK56" s="147">
        <f t="shared" si="100"/>
        <v>44.382891168000015</v>
      </c>
      <c r="EL56" s="147">
        <f t="shared" si="101"/>
        <v>4607.1082739124149</v>
      </c>
      <c r="EM56" s="147">
        <f t="shared" si="102"/>
        <v>851.28090422324419</v>
      </c>
      <c r="EN56" s="147">
        <f t="shared" si="136"/>
        <v>3049.7329789678538</v>
      </c>
      <c r="EO56" s="147">
        <f t="shared" si="137"/>
        <v>2562.032193519231</v>
      </c>
      <c r="EP56" s="147">
        <f t="shared" si="138"/>
        <v>5792.3135067229377</v>
      </c>
      <c r="EQ56" s="147">
        <f t="shared" si="103"/>
        <v>15719.407912180475</v>
      </c>
      <c r="ER56" s="147">
        <f t="shared" si="104"/>
        <v>9927.0944054575375</v>
      </c>
      <c r="ES56" t="str">
        <f t="shared" si="105"/>
        <v>Yes</v>
      </c>
      <c r="ET56">
        <f>COUNTIF(ES$54:ES56,"Yes")</f>
        <v>1</v>
      </c>
      <c r="EU56" cm="1">
        <f t="array" ref="EU56">INDEX($J$2:$J$7,IF(ET56&gt;5,6,ET56+1))</f>
        <v>1.0618000000000001</v>
      </c>
      <c r="EV56" s="147">
        <f t="shared" si="106"/>
        <v>9927.0944054575375</v>
      </c>
      <c r="EZ56">
        <v>3</v>
      </c>
      <c r="FA56" s="147">
        <f>IF(FJ55="Yes",FA54*FL55,FA55*FL55)</f>
        <v>29.127297600000006</v>
      </c>
      <c r="FB56" s="147">
        <f t="shared" si="107"/>
        <v>1.6952976000000035</v>
      </c>
      <c r="FC56" s="147">
        <f t="shared" si="108"/>
        <v>909.37158361701063</v>
      </c>
      <c r="FD56" s="147">
        <f t="shared" si="109"/>
        <v>168.02962247705341</v>
      </c>
      <c r="FE56" s="147">
        <f t="shared" si="139"/>
        <v>214.58756038803901</v>
      </c>
      <c r="FF56" s="147">
        <f t="shared" si="140"/>
        <v>1386.0932321658131</v>
      </c>
      <c r="FG56" s="147">
        <f t="shared" si="141"/>
        <v>2861.6628045008806</v>
      </c>
      <c r="FH56" s="147">
        <f t="shared" si="110"/>
        <v>1372.5950762124819</v>
      </c>
      <c r="FI56" s="147">
        <f t="shared" si="111"/>
        <v>-1489.0677282883987</v>
      </c>
      <c r="FJ56" t="str">
        <f t="shared" si="112"/>
        <v>No</v>
      </c>
      <c r="FK56">
        <f>COUNTIF(FJ$54:FJ56,"Yes")</f>
        <v>1</v>
      </c>
      <c r="FL56" cm="1">
        <f t="array" ref="FL56">INDEX($J$2:$J$7,IF(FK56&gt;5,6,FK56+1))</f>
        <v>1.0618000000000001</v>
      </c>
      <c r="FM56" s="147">
        <f t="shared" si="113"/>
        <v>1489.0677282883987</v>
      </c>
    </row>
    <row r="57" spans="1:169" x14ac:dyDescent="0.3">
      <c r="C57">
        <v>4</v>
      </c>
      <c r="D57" s="147">
        <f>IF(M56="Yes",IF(M55="Yes",D54*O56,D55*O56),D56*O56)</f>
        <v>47.127967516800013</v>
      </c>
      <c r="E57" s="147">
        <f t="shared" si="42"/>
        <v>19.69596751680001</v>
      </c>
      <c r="F57" s="147">
        <f t="shared" si="43"/>
        <v>2121.6764886953501</v>
      </c>
      <c r="G57" s="147">
        <f t="shared" si="44"/>
        <v>392.03391202958983</v>
      </c>
      <c r="H57" s="147">
        <f t="shared" ref="H57:H103" si="142">AVERAGE(D57:E57)^2*B$32</f>
        <v>967.87359121686961</v>
      </c>
      <c r="I57" s="147">
        <f t="shared" si="114"/>
        <v>2109.7676577231696</v>
      </c>
      <c r="J57" s="147">
        <f t="shared" si="115"/>
        <v>7127.6446410821582</v>
      </c>
      <c r="K57" s="147">
        <f t="shared" si="46"/>
        <v>5390.7040410713917</v>
      </c>
      <c r="L57" s="147">
        <f t="shared" si="47"/>
        <v>-1736.9406000107665</v>
      </c>
      <c r="M57" t="str">
        <f t="shared" si="48"/>
        <v>No</v>
      </c>
      <c r="N57">
        <f>COUNTIF(M$54:M57,"Yes")</f>
        <v>1</v>
      </c>
      <c r="O57" cm="1">
        <f t="array" ref="O57">INDEX($J$2:$J$7,IF(N57&gt;5,6,N57+1))</f>
        <v>1.0618000000000001</v>
      </c>
      <c r="P57" s="147">
        <f t="shared" si="49"/>
        <v>1736.9406000107665</v>
      </c>
      <c r="T57">
        <v>4</v>
      </c>
      <c r="U57" s="147">
        <f>IF(AD56="Yes",IF(AD55="Yes",U54*AF56,U55*AF56),U56*AF56)</f>
        <v>47.127967516800013</v>
      </c>
      <c r="V57" s="147">
        <f t="shared" si="50"/>
        <v>19.69596751680001</v>
      </c>
      <c r="W57" s="147">
        <f t="shared" si="51"/>
        <v>2121.6764886953501</v>
      </c>
      <c r="X57" s="147">
        <f t="shared" si="52"/>
        <v>392.03391202958983</v>
      </c>
      <c r="Y57" s="147">
        <f t="shared" si="53"/>
        <v>967.87359121686961</v>
      </c>
      <c r="Z57" s="147">
        <f t="shared" si="116"/>
        <v>2109.7676577231678</v>
      </c>
      <c r="AA57" s="147">
        <f t="shared" si="117"/>
        <v>7127.6446410821563</v>
      </c>
      <c r="AB57" s="147">
        <f t="shared" si="54"/>
        <v>5390.7040410713917</v>
      </c>
      <c r="AC57" s="147">
        <f t="shared" si="55"/>
        <v>-1736.9406000107647</v>
      </c>
      <c r="AD57" t="str">
        <f t="shared" si="56"/>
        <v>No</v>
      </c>
      <c r="AE57">
        <f>COUNTIF(AD$54:AD57,"Yes")</f>
        <v>1</v>
      </c>
      <c r="AF57" cm="1">
        <f t="array" ref="AF57">INDEX($J$2:$J$7,IF(AE57&gt;5,6,AE57+1))</f>
        <v>1.0618000000000001</v>
      </c>
      <c r="AG57" s="147">
        <f t="shared" si="57"/>
        <v>1736.9406000107647</v>
      </c>
      <c r="AK57">
        <v>4</v>
      </c>
      <c r="AL57" s="147">
        <f>IF(AU56="Yes",IF(AU55="Yes",AL54*AW56,AL55*AW56),AL56*AW56)</f>
        <v>47.127967516800013</v>
      </c>
      <c r="AM57" s="147">
        <f t="shared" si="58"/>
        <v>19.69596751680001</v>
      </c>
      <c r="AN57" s="147">
        <f t="shared" si="59"/>
        <v>2121.6764886953501</v>
      </c>
      <c r="AO57" s="147">
        <f t="shared" si="60"/>
        <v>392.03391202958983</v>
      </c>
      <c r="AP57" s="147">
        <f t="shared" si="118"/>
        <v>1008.6261634786326</v>
      </c>
      <c r="AQ57" s="147">
        <f t="shared" ref="AQ57:AQ77" si="143">AJ$38+AN57-AJ$33-AJ$34-AJ$37-AP57</f>
        <v>2069.0150854614049</v>
      </c>
      <c r="AR57" s="147">
        <f t="shared" ref="AR57:AR103" si="144">IF(AQ57&lt;0,AJ$33+AJ$34+AJ$37+AO57,AJ$38+AN57+AO57-AP57)</f>
        <v>7086.8920688203934</v>
      </c>
      <c r="AS57" s="147">
        <f t="shared" si="61"/>
        <v>5390.7040410713917</v>
      </c>
      <c r="AT57" s="147">
        <f t="shared" si="62"/>
        <v>-1696.1880277490018</v>
      </c>
      <c r="AU57" t="str">
        <f t="shared" si="63"/>
        <v>No</v>
      </c>
      <c r="AV57">
        <f>COUNTIF(AU$54:AU57,"Yes")</f>
        <v>1</v>
      </c>
      <c r="AW57" cm="1">
        <f t="array" ref="AW57">INDEX($J$2:$J$7,IF(AV57&gt;5,6,AV57+1))</f>
        <v>1.0618000000000001</v>
      </c>
      <c r="AX57" s="147">
        <f t="shared" si="64"/>
        <v>1696.1880277490018</v>
      </c>
      <c r="BB57">
        <v>4</v>
      </c>
      <c r="BC57" s="147">
        <f>IF(BL56="Yes",IF(BL55="Yes",BC54*BN56,BC55*BN56),BC56*BN56)</f>
        <v>47.127967516800013</v>
      </c>
      <c r="BD57" s="147">
        <f t="shared" si="65"/>
        <v>19.69596751680001</v>
      </c>
      <c r="BE57" s="147">
        <f t="shared" si="66"/>
        <v>2121.6764886953501</v>
      </c>
      <c r="BF57" s="147">
        <f t="shared" si="67"/>
        <v>392.03391202958983</v>
      </c>
      <c r="BG57" s="147">
        <f t="shared" si="121"/>
        <v>1008.6261634786326</v>
      </c>
      <c r="BH57" s="147">
        <f t="shared" si="122"/>
        <v>2109.5918674030563</v>
      </c>
      <c r="BI57" s="147">
        <f t="shared" si="123"/>
        <v>5255.0999654712659</v>
      </c>
      <c r="BJ57" s="147">
        <f t="shared" si="68"/>
        <v>5390.7040410713917</v>
      </c>
      <c r="BK57" s="147">
        <f t="shared" si="69"/>
        <v>135.60407560012573</v>
      </c>
      <c r="BL57" t="str">
        <f t="shared" si="70"/>
        <v>Yes</v>
      </c>
      <c r="BM57">
        <f>COUNTIF(BL$54:BL57,"Yes")</f>
        <v>2</v>
      </c>
      <c r="BN57" cm="1">
        <f t="array" ref="BN57">INDEX($J$2:$J$7,IF(BM57&gt;5,6,BM57+1))</f>
        <v>1.0061800000000001</v>
      </c>
      <c r="BO57" s="147">
        <f t="shared" si="71"/>
        <v>135.60407560012573</v>
      </c>
      <c r="BS57">
        <v>4</v>
      </c>
      <c r="BT57" s="147">
        <f>IF(CC56="Yes",IF(CC55="Yes",BT54*CE56,BT55*CE56),BT56*CE56)</f>
        <v>47.127967516800013</v>
      </c>
      <c r="BU57" s="147">
        <f t="shared" si="72"/>
        <v>19.69596751680001</v>
      </c>
      <c r="BV57" s="147">
        <f t="shared" si="73"/>
        <v>2121.6764886953501</v>
      </c>
      <c r="BW57" s="147">
        <f t="shared" si="74"/>
        <v>392.03391202958983</v>
      </c>
      <c r="BX57" s="147">
        <f t="shared" si="124"/>
        <v>1008.6261634786326</v>
      </c>
      <c r="BY57" s="147">
        <f t="shared" si="125"/>
        <v>2109.5918674030563</v>
      </c>
      <c r="BZ57" s="147">
        <f t="shared" si="126"/>
        <v>5255.0999654712659</v>
      </c>
      <c r="CA57" s="147">
        <f t="shared" si="75"/>
        <v>5390.7040410713917</v>
      </c>
      <c r="CB57" s="147">
        <f t="shared" si="76"/>
        <v>135.60407560012573</v>
      </c>
      <c r="CC57" t="str">
        <f t="shared" si="77"/>
        <v>Yes</v>
      </c>
      <c r="CD57">
        <f>COUNTIF(CC$54:CC57,"Yes")</f>
        <v>2</v>
      </c>
      <c r="CE57" cm="1">
        <f t="array" ref="CE57">INDEX($J$2:$J$7,IF(CD57&gt;5,6,CD57+1))</f>
        <v>1.0061800000000001</v>
      </c>
      <c r="CF57" s="147">
        <f t="shared" si="78"/>
        <v>135.60407560012573</v>
      </c>
      <c r="CJ57">
        <v>4</v>
      </c>
      <c r="CK57" s="147">
        <f>IF(CT56="Yes",IF(CT55="Yes",CK54*CV56,CK55*CV56),CK56*CV56)</f>
        <v>47.127967516800013</v>
      </c>
      <c r="CL57" s="147">
        <f t="shared" si="79"/>
        <v>19.69596751680001</v>
      </c>
      <c r="CM57" s="147">
        <f t="shared" si="80"/>
        <v>2121.6764886953501</v>
      </c>
      <c r="CN57" s="147">
        <f t="shared" si="81"/>
        <v>392.03391202958983</v>
      </c>
      <c r="CO57" s="147">
        <f t="shared" si="127"/>
        <v>1008.6261634786326</v>
      </c>
      <c r="CP57" s="147">
        <f t="shared" si="128"/>
        <v>2109.5918674030563</v>
      </c>
      <c r="CQ57" s="147">
        <f t="shared" si="129"/>
        <v>5255.0999654712659</v>
      </c>
      <c r="CR57" s="147">
        <f t="shared" si="82"/>
        <v>5390.7040410713917</v>
      </c>
      <c r="CS57" s="147">
        <f t="shared" si="83"/>
        <v>135.60407560012573</v>
      </c>
      <c r="CT57" t="str">
        <f t="shared" si="84"/>
        <v>Yes</v>
      </c>
      <c r="CU57">
        <f>COUNTIF(CT$54:CT57,"Yes")</f>
        <v>2</v>
      </c>
      <c r="CV57" cm="1">
        <f t="array" ref="CV57">INDEX($J$2:$J$7,IF(CU57&gt;5,6,CU57+1))</f>
        <v>1.0061800000000001</v>
      </c>
      <c r="CW57" s="147">
        <f t="shared" si="85"/>
        <v>135.60407560012573</v>
      </c>
      <c r="DA57">
        <v>4</v>
      </c>
      <c r="DB57" s="147">
        <f>IF(DK56="Yes",IF(DK55="Yes",DB54*DM56,DB55*DM56),DB56*DM56)</f>
        <v>47.127967516800013</v>
      </c>
      <c r="DC57" s="147">
        <f t="shared" si="86"/>
        <v>19.69596751680001</v>
      </c>
      <c r="DD57" s="147">
        <f t="shared" si="87"/>
        <v>2121.6764886953501</v>
      </c>
      <c r="DE57" s="147">
        <f t="shared" si="88"/>
        <v>392.03391202958983</v>
      </c>
      <c r="DF57" s="147">
        <f t="shared" si="130"/>
        <v>1008.6261634786326</v>
      </c>
      <c r="DG57" s="147">
        <f t="shared" si="131"/>
        <v>2117.7072237913853</v>
      </c>
      <c r="DH57" s="147">
        <f t="shared" si="132"/>
        <v>4888.741544801439</v>
      </c>
      <c r="DI57" s="147">
        <f t="shared" si="89"/>
        <v>5390.7040410713917</v>
      </c>
      <c r="DJ57" s="147">
        <f t="shared" si="90"/>
        <v>501.96249626995268</v>
      </c>
      <c r="DK57" t="str">
        <f t="shared" si="91"/>
        <v>Yes</v>
      </c>
      <c r="DL57">
        <f>COUNTIF(DK$54:DK57,"Yes")</f>
        <v>2</v>
      </c>
      <c r="DM57" cm="1">
        <f t="array" ref="DM57">INDEX($J$2:$J$7,IF(DL57&gt;5,6,DL57+1))</f>
        <v>1.0061800000000001</v>
      </c>
      <c r="DN57" s="147">
        <f t="shared" si="92"/>
        <v>501.96249626995268</v>
      </c>
      <c r="DR57">
        <v>4</v>
      </c>
      <c r="DS57" s="147">
        <f>IF(EB56="Yes",IF(EB55="Yes",DS54*ED56,DS55*ED56),DS56*ED56)</f>
        <v>47.127967516800013</v>
      </c>
      <c r="DT57" s="147">
        <f t="shared" si="93"/>
        <v>19.69596751680001</v>
      </c>
      <c r="DU57" s="147">
        <f t="shared" si="94"/>
        <v>2121.6764886953501</v>
      </c>
      <c r="DV57" s="147">
        <f t="shared" si="95"/>
        <v>392.03391202958983</v>
      </c>
      <c r="DW57" s="147">
        <f t="shared" si="133"/>
        <v>1008.6261634786326</v>
      </c>
      <c r="DX57" s="147">
        <f t="shared" si="134"/>
        <v>2117.7072237913853</v>
      </c>
      <c r="DY57" s="147">
        <f t="shared" si="135"/>
        <v>4888.741544801439</v>
      </c>
      <c r="DZ57" s="147">
        <f t="shared" si="96"/>
        <v>5390.7040410713917</v>
      </c>
      <c r="EA57" s="147">
        <f t="shared" si="97"/>
        <v>501.96249626995268</v>
      </c>
      <c r="EB57" t="str">
        <f t="shared" si="98"/>
        <v>Yes</v>
      </c>
      <c r="EC57">
        <f>COUNTIF(EB$54:EB57,"Yes")</f>
        <v>2</v>
      </c>
      <c r="ED57" cm="1">
        <f t="array" ref="ED57">INDEX($J$2:$J$7,IF(EC57&gt;5,6,EC57+1))</f>
        <v>1.0061800000000001</v>
      </c>
      <c r="EE57" s="147">
        <f t="shared" si="99"/>
        <v>501.96249626995268</v>
      </c>
      <c r="EI57">
        <v>4</v>
      </c>
      <c r="EJ57" s="147">
        <f>IF(ES56="Yes",IF(ES55="Yes",EJ54*EU56,EJ55*EU56),EJ56*EU56)</f>
        <v>47.127967516800013</v>
      </c>
      <c r="EK57" s="147">
        <f t="shared" si="100"/>
        <v>19.69596751680001</v>
      </c>
      <c r="EL57" s="147">
        <f t="shared" si="101"/>
        <v>2121.6764886953501</v>
      </c>
      <c r="EM57" s="147">
        <f t="shared" si="102"/>
        <v>392.03391202958983</v>
      </c>
      <c r="EN57" s="147">
        <f t="shared" si="136"/>
        <v>1008.6261634786326</v>
      </c>
      <c r="EO57" s="147">
        <f t="shared" si="137"/>
        <v>2117.7072237913862</v>
      </c>
      <c r="EP57" s="147">
        <f t="shared" si="138"/>
        <v>4888.741544801439</v>
      </c>
      <c r="EQ57" s="147">
        <f t="shared" si="103"/>
        <v>5390.7040410713917</v>
      </c>
      <c r="ER57" s="147">
        <f t="shared" si="104"/>
        <v>501.96249626995268</v>
      </c>
      <c r="ES57" t="str">
        <f t="shared" si="105"/>
        <v>Yes</v>
      </c>
      <c r="ET57">
        <f>COUNTIF(ES$54:ES57,"Yes")</f>
        <v>2</v>
      </c>
      <c r="EU57" cm="1">
        <f t="array" ref="EU57">INDEX($J$2:$J$7,IF(ET57&gt;5,6,ET57+1))</f>
        <v>1.0061800000000001</v>
      </c>
      <c r="EV57" s="147">
        <f t="shared" si="106"/>
        <v>501.96249626995268</v>
      </c>
      <c r="EZ57">
        <v>4</v>
      </c>
      <c r="FA57" s="147">
        <f>IF(FJ56="Yes",IF(FJ55="Yes",FA54*FL56,FA55*FL56),FA56*FL56)</f>
        <v>30.927364591680007</v>
      </c>
      <c r="FB57" s="147">
        <f t="shared" si="107"/>
        <v>3.4953645916800049</v>
      </c>
      <c r="FC57" s="147">
        <f t="shared" si="108"/>
        <v>1007.8323679918281</v>
      </c>
      <c r="FD57" s="147">
        <f t="shared" si="109"/>
        <v>186.22276675971324</v>
      </c>
      <c r="FE57" s="147">
        <f t="shared" si="139"/>
        <v>267.64352265071966</v>
      </c>
      <c r="FF57" s="147">
        <f t="shared" si="140"/>
        <v>1431.4980542779497</v>
      </c>
      <c r="FG57" s="147">
        <f t="shared" si="141"/>
        <v>2925.2607708956766</v>
      </c>
      <c r="FH57" s="147">
        <f t="shared" si="110"/>
        <v>1641.0765288485702</v>
      </c>
      <c r="FI57" s="147">
        <f t="shared" si="111"/>
        <v>-1284.1842420471064</v>
      </c>
      <c r="FJ57" t="str">
        <f t="shared" si="112"/>
        <v>No</v>
      </c>
      <c r="FK57">
        <f>COUNTIF(FJ$54:FJ57,"Yes")</f>
        <v>1</v>
      </c>
      <c r="FL57" cm="1">
        <f t="array" ref="FL57">INDEX($J$2:$J$7,IF(FK57&gt;5,6,FK57+1))</f>
        <v>1.0618000000000001</v>
      </c>
      <c r="FM57" s="147">
        <f t="shared" si="113"/>
        <v>1284.1842420471064</v>
      </c>
    </row>
    <row r="58" spans="1:169" x14ac:dyDescent="0.3">
      <c r="C58">
        <v>5</v>
      </c>
      <c r="D58" s="147">
        <f t="shared" ref="D58:D59" si="145">IF(M57="Yes",IF(M56="Yes",IF(M55="Yes",D54*O57,D55*O57),D56*O57),D57*O57)</f>
        <v>50.040475909338255</v>
      </c>
      <c r="E58" s="147">
        <f t="shared" si="42"/>
        <v>22.608475909338253</v>
      </c>
      <c r="F58" s="147">
        <f t="shared" si="43"/>
        <v>2365.3855562693338</v>
      </c>
      <c r="G58" s="147">
        <f t="shared" si="44"/>
        <v>437.06538580383278</v>
      </c>
      <c r="H58" s="147">
        <f t="shared" si="142"/>
        <v>1143.9663587716725</v>
      </c>
      <c r="I58" s="147">
        <f t="shared" si="114"/>
        <v>2177.3839577423505</v>
      </c>
      <c r="J58" s="147">
        <f t="shared" si="115"/>
        <v>7240.2924148755819</v>
      </c>
      <c r="K58" s="147">
        <f t="shared" si="46"/>
        <v>6319.313710746771</v>
      </c>
      <c r="L58" s="147">
        <f t="shared" si="47"/>
        <v>-920.97870412881093</v>
      </c>
      <c r="M58" t="str">
        <f t="shared" si="48"/>
        <v>No</v>
      </c>
      <c r="N58">
        <f>COUNTIF(M$54:M58,"Yes")</f>
        <v>1</v>
      </c>
      <c r="O58" cm="1">
        <f t="array" ref="O58">INDEX($J$2:$J$7,IF(N58&gt;5,6,N58+1))</f>
        <v>1.0618000000000001</v>
      </c>
      <c r="P58" s="147">
        <f t="shared" si="49"/>
        <v>920.97870412881093</v>
      </c>
      <c r="T58">
        <v>5</v>
      </c>
      <c r="U58" s="147">
        <f t="shared" ref="U58:U103" si="146">IF(AD57="Yes",IF(AD56="Yes",IF(AD55="Yes",U54*AF57,U55*AF57),U56*AF57),U57*AF57)</f>
        <v>50.040475909338255</v>
      </c>
      <c r="V58" s="147">
        <f t="shared" si="50"/>
        <v>22.608475909338253</v>
      </c>
      <c r="W58" s="147">
        <f t="shared" si="51"/>
        <v>2365.3855562693338</v>
      </c>
      <c r="X58" s="147">
        <f t="shared" si="52"/>
        <v>437.06538580383278</v>
      </c>
      <c r="Y58" s="147">
        <f t="shared" si="53"/>
        <v>1143.9663587716725</v>
      </c>
      <c r="Z58" s="147">
        <f t="shared" si="116"/>
        <v>2177.3839577423487</v>
      </c>
      <c r="AA58" s="147">
        <f t="shared" si="117"/>
        <v>7240.2924148755801</v>
      </c>
      <c r="AB58" s="147">
        <f t="shared" si="54"/>
        <v>6319.313710746771</v>
      </c>
      <c r="AC58" s="147">
        <f t="shared" si="55"/>
        <v>-920.97870412880911</v>
      </c>
      <c r="AD58" t="str">
        <f t="shared" si="56"/>
        <v>No</v>
      </c>
      <c r="AE58">
        <f>COUNTIF(AD$54:AD58,"Yes")</f>
        <v>1</v>
      </c>
      <c r="AF58" cm="1">
        <f t="array" ref="AF58">INDEX($J$2:$J$7,IF(AE58&gt;5,6,AE58+1))</f>
        <v>1.0618000000000001</v>
      </c>
      <c r="AG58" s="147">
        <f t="shared" si="57"/>
        <v>920.97870412880911</v>
      </c>
      <c r="AK58">
        <v>5</v>
      </c>
      <c r="AL58" s="147">
        <f t="shared" ref="AL58:AL103" si="147">IF(AU57="Yes",IF(AU56="Yes",IF(AU55="Yes",AL54*AW57,AL55*AW57),AL56*AW57),AL57*AW57)</f>
        <v>50.040475909338255</v>
      </c>
      <c r="AM58" s="147">
        <f t="shared" si="58"/>
        <v>22.608475909338253</v>
      </c>
      <c r="AN58" s="147">
        <f t="shared" si="59"/>
        <v>2365.3855562693338</v>
      </c>
      <c r="AO58" s="147">
        <f t="shared" si="60"/>
        <v>437.06538580383278</v>
      </c>
      <c r="AP58" s="147">
        <f t="shared" si="118"/>
        <v>1192.1333633515326</v>
      </c>
      <c r="AQ58" s="147">
        <f t="shared" si="143"/>
        <v>2129.2169531624886</v>
      </c>
      <c r="AR58" s="147">
        <f t="shared" si="144"/>
        <v>7192.12541029572</v>
      </c>
      <c r="AS58" s="147">
        <f t="shared" si="61"/>
        <v>6319.313710746771</v>
      </c>
      <c r="AT58" s="147">
        <f t="shared" si="62"/>
        <v>-872.81169954894904</v>
      </c>
      <c r="AU58" t="str">
        <f t="shared" si="63"/>
        <v>No</v>
      </c>
      <c r="AV58">
        <f>COUNTIF(AU$54:AU58,"Yes")</f>
        <v>1</v>
      </c>
      <c r="AW58" cm="1">
        <f t="array" ref="AW58">INDEX($J$2:$J$7,IF(AV58&gt;5,6,AV58+1))</f>
        <v>1.0618000000000001</v>
      </c>
      <c r="AX58" s="147">
        <f t="shared" si="64"/>
        <v>872.81169954894904</v>
      </c>
      <c r="BB58">
        <v>5</v>
      </c>
      <c r="BC58" s="147">
        <f t="shared" ref="BC58:BC103" si="148">IF(BL57="Yes",IF(BL56="Yes",IF(BL55="Yes",BC54*BN57,BC55*BN57),BC56*BN57),BC57*BN57)</f>
        <v>44.659275151680013</v>
      </c>
      <c r="BD58" s="147">
        <f t="shared" si="65"/>
        <v>17.227275151680011</v>
      </c>
      <c r="BE58" s="147">
        <f t="shared" si="66"/>
        <v>1925.4769854128429</v>
      </c>
      <c r="BF58" s="147">
        <f t="shared" si="67"/>
        <v>355.78104349853453</v>
      </c>
      <c r="BG58" s="147">
        <f t="shared" si="121"/>
        <v>865.0848107791245</v>
      </c>
      <c r="BH58" s="147">
        <f t="shared" si="122"/>
        <v>2056.9337168200568</v>
      </c>
      <c r="BI58" s="147">
        <f t="shared" si="123"/>
        <v>5166.1889463572106</v>
      </c>
      <c r="BJ58" s="147">
        <f t="shared" si="68"/>
        <v>4664.3353307027055</v>
      </c>
      <c r="BK58" s="147">
        <f t="shared" si="69"/>
        <v>-501.85361565450512</v>
      </c>
      <c r="BL58" t="str">
        <f t="shared" si="70"/>
        <v>No</v>
      </c>
      <c r="BM58">
        <f>COUNTIF(BL$54:BL58,"Yes")</f>
        <v>2</v>
      </c>
      <c r="BN58" cm="1">
        <f t="array" ref="BN58">INDEX($J$2:$J$7,IF(BM58&gt;5,6,BM58+1))</f>
        <v>1.0061800000000001</v>
      </c>
      <c r="BO58" s="147">
        <f t="shared" si="71"/>
        <v>501.85361565450512</v>
      </c>
      <c r="BS58">
        <v>5</v>
      </c>
      <c r="BT58" s="147">
        <f t="shared" ref="BT58:BT103" si="149">IF(CC57="Yes",IF(CC56="Yes",IF(CC55="Yes",BT54*CE57,BT55*CE57),BT56*CE57),BT57*CE57)</f>
        <v>44.659275151680013</v>
      </c>
      <c r="BU58" s="147">
        <f t="shared" si="72"/>
        <v>17.227275151680011</v>
      </c>
      <c r="BV58" s="147">
        <f t="shared" si="73"/>
        <v>1925.4769854128429</v>
      </c>
      <c r="BW58" s="147">
        <f t="shared" si="74"/>
        <v>355.78104349853453</v>
      </c>
      <c r="BX58" s="147">
        <f t="shared" si="124"/>
        <v>865.0848107791245</v>
      </c>
      <c r="BY58" s="147">
        <f t="shared" si="125"/>
        <v>2056.9337168200568</v>
      </c>
      <c r="BZ58" s="147">
        <f t="shared" si="126"/>
        <v>5166.1889463572106</v>
      </c>
      <c r="CA58" s="147">
        <f t="shared" si="75"/>
        <v>4664.3353307027055</v>
      </c>
      <c r="CB58" s="147">
        <f t="shared" si="76"/>
        <v>-501.85361565450512</v>
      </c>
      <c r="CC58" t="str">
        <f t="shared" si="77"/>
        <v>No</v>
      </c>
      <c r="CD58">
        <f>COUNTIF(CC$54:CC58,"Yes")</f>
        <v>2</v>
      </c>
      <c r="CE58" cm="1">
        <f t="array" ref="CE58">INDEX($J$2:$J$7,IF(CD58&gt;5,6,CD58+1))</f>
        <v>1.0061800000000001</v>
      </c>
      <c r="CF58" s="147">
        <f t="shared" si="78"/>
        <v>501.85361565450512</v>
      </c>
      <c r="CJ58">
        <v>5</v>
      </c>
      <c r="CK58" s="147">
        <f t="shared" ref="CK58:CK103" si="150">IF(CT57="Yes",IF(CT56="Yes",IF(CT55="Yes",CK54*CV57,CK55*CV57),CK56*CV57),CK57*CV57)</f>
        <v>44.659275151680013</v>
      </c>
      <c r="CL58" s="147">
        <f t="shared" si="79"/>
        <v>17.227275151680011</v>
      </c>
      <c r="CM58" s="147">
        <f t="shared" si="80"/>
        <v>1925.4769854128429</v>
      </c>
      <c r="CN58" s="147">
        <f t="shared" si="81"/>
        <v>355.78104349853453</v>
      </c>
      <c r="CO58" s="147">
        <f t="shared" si="127"/>
        <v>865.0848107791245</v>
      </c>
      <c r="CP58" s="147">
        <f t="shared" si="128"/>
        <v>2056.9337168200568</v>
      </c>
      <c r="CQ58" s="147">
        <f t="shared" si="129"/>
        <v>5166.1889463572106</v>
      </c>
      <c r="CR58" s="147">
        <f t="shared" si="82"/>
        <v>4664.3353307027055</v>
      </c>
      <c r="CS58" s="147">
        <f t="shared" si="83"/>
        <v>-501.85361565450512</v>
      </c>
      <c r="CT58" t="str">
        <f t="shared" si="84"/>
        <v>No</v>
      </c>
      <c r="CU58">
        <f>COUNTIF(CT$54:CT58,"Yes")</f>
        <v>2</v>
      </c>
      <c r="CV58" cm="1">
        <f t="array" ref="CV58">INDEX($J$2:$J$7,IF(CU58&gt;5,6,CU58+1))</f>
        <v>1.0061800000000001</v>
      </c>
      <c r="CW58" s="147">
        <f t="shared" si="85"/>
        <v>501.85361565450512</v>
      </c>
      <c r="DA58">
        <v>5</v>
      </c>
      <c r="DB58" s="147">
        <f t="shared" ref="DB58:DB103" si="151">IF(DK57="Yes",IF(DK56="Yes",IF(DK55="Yes",DB54*DM57,DB55*DM57),DB56*DM57),DB57*DM57)</f>
        <v>44.659275151680013</v>
      </c>
      <c r="DC58" s="147">
        <f t="shared" si="86"/>
        <v>17.227275151680011</v>
      </c>
      <c r="DD58" s="147">
        <f t="shared" si="87"/>
        <v>1925.4769854128429</v>
      </c>
      <c r="DE58" s="147">
        <f t="shared" si="88"/>
        <v>355.78104349853453</v>
      </c>
      <c r="DF58" s="147">
        <f t="shared" si="130"/>
        <v>865.0848107791245</v>
      </c>
      <c r="DG58" s="147">
        <f t="shared" si="131"/>
        <v>2065.0490732083863</v>
      </c>
      <c r="DH58" s="147">
        <f t="shared" si="132"/>
        <v>4799.8305256873846</v>
      </c>
      <c r="DI58" s="147">
        <f t="shared" si="89"/>
        <v>4664.3353307027055</v>
      </c>
      <c r="DJ58" s="147">
        <f t="shared" si="90"/>
        <v>-135.49519498467907</v>
      </c>
      <c r="DK58" t="str">
        <f t="shared" si="91"/>
        <v>No</v>
      </c>
      <c r="DL58">
        <f>COUNTIF(DK$54:DK58,"Yes")</f>
        <v>2</v>
      </c>
      <c r="DM58" cm="1">
        <f t="array" ref="DM58">INDEX($J$2:$J$7,IF(DL58&gt;5,6,DL58+1))</f>
        <v>1.0061800000000001</v>
      </c>
      <c r="DN58" s="147">
        <f t="shared" si="92"/>
        <v>135.49519498467907</v>
      </c>
      <c r="DR58">
        <v>5</v>
      </c>
      <c r="DS58" s="147">
        <f t="shared" ref="DS58:DS103" si="152">IF(EB57="Yes",IF(EB56="Yes",IF(EB55="Yes",DS54*ED57,DS55*ED57),DS56*ED57),DS57*ED57)</f>
        <v>44.659275151680013</v>
      </c>
      <c r="DT58" s="147">
        <f t="shared" si="93"/>
        <v>17.227275151680011</v>
      </c>
      <c r="DU58" s="147">
        <f t="shared" si="94"/>
        <v>1925.4769854128429</v>
      </c>
      <c r="DV58" s="147">
        <f t="shared" si="95"/>
        <v>355.78104349853453</v>
      </c>
      <c r="DW58" s="147">
        <f t="shared" si="133"/>
        <v>865.0848107791245</v>
      </c>
      <c r="DX58" s="147">
        <f t="shared" si="134"/>
        <v>2065.0490732083863</v>
      </c>
      <c r="DY58" s="147">
        <f t="shared" si="135"/>
        <v>4799.8305256873846</v>
      </c>
      <c r="DZ58" s="147">
        <f t="shared" si="96"/>
        <v>4664.3353307027055</v>
      </c>
      <c r="EA58" s="147">
        <f t="shared" si="97"/>
        <v>-135.49519498467907</v>
      </c>
      <c r="EB58" t="str">
        <f t="shared" si="98"/>
        <v>No</v>
      </c>
      <c r="EC58">
        <f>COUNTIF(EB$54:EB58,"Yes")</f>
        <v>2</v>
      </c>
      <c r="ED58" cm="1">
        <f t="array" ref="ED58">INDEX($J$2:$J$7,IF(EC58&gt;5,6,EC58+1))</f>
        <v>1.0061800000000001</v>
      </c>
      <c r="EE58" s="147">
        <f t="shared" si="99"/>
        <v>135.49519498467907</v>
      </c>
      <c r="EI58">
        <v>5</v>
      </c>
      <c r="EJ58" s="147">
        <f t="shared" ref="EJ58:EJ103" si="153">IF(ES57="Yes",IF(ES56="Yes",IF(ES55="Yes",EJ54*EU57,EJ55*EU57),EJ56*EU57),EJ57*EU57)</f>
        <v>44.659275151680013</v>
      </c>
      <c r="EK58" s="147">
        <f t="shared" si="100"/>
        <v>17.227275151680011</v>
      </c>
      <c r="EL58" s="147">
        <f t="shared" si="101"/>
        <v>1925.4769854128429</v>
      </c>
      <c r="EM58" s="147">
        <f t="shared" si="102"/>
        <v>355.78104349853453</v>
      </c>
      <c r="EN58" s="147">
        <f t="shared" si="136"/>
        <v>865.0848107791245</v>
      </c>
      <c r="EO58" s="147">
        <f t="shared" si="137"/>
        <v>2065.0490732083872</v>
      </c>
      <c r="EP58" s="147">
        <f t="shared" si="138"/>
        <v>4799.8305256873855</v>
      </c>
      <c r="EQ58" s="147">
        <f t="shared" si="103"/>
        <v>4664.3353307027055</v>
      </c>
      <c r="ER58" s="147">
        <f t="shared" si="104"/>
        <v>-135.49519498467998</v>
      </c>
      <c r="ES58" t="str">
        <f t="shared" si="105"/>
        <v>No</v>
      </c>
      <c r="ET58">
        <f>COUNTIF(ES$54:ES58,"Yes")</f>
        <v>2</v>
      </c>
      <c r="EU58" cm="1">
        <f t="array" ref="EU58">INDEX($J$2:$J$7,IF(ET58&gt;5,6,ET58+1))</f>
        <v>1.0061800000000001</v>
      </c>
      <c r="EV58" s="147">
        <f t="shared" si="106"/>
        <v>135.49519498467998</v>
      </c>
      <c r="EZ58">
        <v>5</v>
      </c>
      <c r="FA58" s="147">
        <f t="shared" ref="FA58:FA103" si="154">IF(FJ57="Yes",IF(FJ56="Yes",IF(FJ55="Yes",FA54*FL57,FA55*FL57),FA56*FL57),FA57*FL57)</f>
        <v>32.838675723445832</v>
      </c>
      <c r="FB58" s="147">
        <f t="shared" si="107"/>
        <v>5.4066757234458294</v>
      </c>
      <c r="FC58" s="147">
        <f t="shared" si="108"/>
        <v>1117.9166820360701</v>
      </c>
      <c r="FD58" s="147">
        <f t="shared" si="109"/>
        <v>206.56365497608587</v>
      </c>
      <c r="FE58" s="147">
        <f t="shared" si="139"/>
        <v>330.38737952975509</v>
      </c>
      <c r="FF58" s="147">
        <f t="shared" si="140"/>
        <v>1478.8385114431562</v>
      </c>
      <c r="FG58" s="147">
        <f t="shared" si="141"/>
        <v>2992.942116277256</v>
      </c>
      <c r="FH58" s="147">
        <f t="shared" si="110"/>
        <v>1958.5820667836233</v>
      </c>
      <c r="FI58" s="147">
        <f t="shared" si="111"/>
        <v>-1034.3600494936327</v>
      </c>
      <c r="FJ58" t="str">
        <f t="shared" si="112"/>
        <v>No</v>
      </c>
      <c r="FK58">
        <f>COUNTIF(FJ$54:FJ58,"Yes")</f>
        <v>1</v>
      </c>
      <c r="FL58" cm="1">
        <f t="array" ref="FL58">INDEX($J$2:$J$7,IF(FK58&gt;5,6,FK58+1))</f>
        <v>1.0618000000000001</v>
      </c>
      <c r="FM58" s="147">
        <f t="shared" si="113"/>
        <v>1034.3600494936327</v>
      </c>
    </row>
    <row r="59" spans="1:169" x14ac:dyDescent="0.3">
      <c r="C59">
        <v>6</v>
      </c>
      <c r="D59" s="147">
        <f t="shared" si="145"/>
        <v>53.13297732053536</v>
      </c>
      <c r="E59" s="147">
        <f t="shared" si="42"/>
        <v>25.700977320535358</v>
      </c>
      <c r="F59" s="147">
        <f t="shared" si="43"/>
        <v>2638.6556173464155</v>
      </c>
      <c r="G59" s="147">
        <f t="shared" si="44"/>
        <v>487.55900801976719</v>
      </c>
      <c r="H59" s="147">
        <f t="shared" si="142"/>
        <v>1347.0421149902281</v>
      </c>
      <c r="I59" s="147">
        <f t="shared" si="114"/>
        <v>2247.5782626008754</v>
      </c>
      <c r="J59" s="147">
        <f t="shared" si="115"/>
        <v>7360.9803419500404</v>
      </c>
      <c r="K59" s="147">
        <f t="shared" si="46"/>
        <v>7390.2157899165022</v>
      </c>
      <c r="L59" s="147">
        <f t="shared" si="47"/>
        <v>29.235447966461834</v>
      </c>
      <c r="M59" t="str">
        <f t="shared" si="48"/>
        <v>Yes</v>
      </c>
      <c r="N59">
        <f>COUNTIF(M$54:M59,"Yes")</f>
        <v>2</v>
      </c>
      <c r="O59" cm="1">
        <f t="array" ref="O59">INDEX($J$2:$J$7,IF(N59&gt;5,6,N59+1))</f>
        <v>1.0061800000000001</v>
      </c>
      <c r="P59" s="147">
        <f t="shared" si="49"/>
        <v>29.235447966461834</v>
      </c>
      <c r="T59">
        <v>6</v>
      </c>
      <c r="U59" s="147">
        <f t="shared" si="146"/>
        <v>53.13297732053536</v>
      </c>
      <c r="V59" s="147">
        <f t="shared" si="50"/>
        <v>25.700977320535358</v>
      </c>
      <c r="W59" s="147">
        <f t="shared" si="51"/>
        <v>2638.6556173464155</v>
      </c>
      <c r="X59" s="147">
        <f t="shared" si="52"/>
        <v>487.55900801976719</v>
      </c>
      <c r="Y59" s="147">
        <f t="shared" si="53"/>
        <v>1347.0421149902281</v>
      </c>
      <c r="Z59" s="147">
        <f t="shared" si="116"/>
        <v>2247.5782626008754</v>
      </c>
      <c r="AA59" s="147">
        <f t="shared" si="117"/>
        <v>7360.9803419500404</v>
      </c>
      <c r="AB59" s="147">
        <f t="shared" si="54"/>
        <v>7390.2157899165022</v>
      </c>
      <c r="AC59" s="147">
        <f t="shared" si="55"/>
        <v>29.235447966461834</v>
      </c>
      <c r="AD59" t="str">
        <f t="shared" si="56"/>
        <v>Yes</v>
      </c>
      <c r="AE59">
        <f>COUNTIF(AD$54:AD59,"Yes")</f>
        <v>2</v>
      </c>
      <c r="AF59" cm="1">
        <f t="array" ref="AF59">INDEX($J$2:$J$7,IF(AE59&gt;5,6,AE59+1))</f>
        <v>1.0061800000000001</v>
      </c>
      <c r="AG59" s="147">
        <f t="shared" si="57"/>
        <v>29.235447966461834</v>
      </c>
      <c r="AK59">
        <v>6</v>
      </c>
      <c r="AL59" s="147">
        <f t="shared" si="147"/>
        <v>53.13297732053536</v>
      </c>
      <c r="AM59" s="147">
        <f t="shared" si="58"/>
        <v>25.700977320535358</v>
      </c>
      <c r="AN59" s="147">
        <f t="shared" si="59"/>
        <v>2638.6556173464155</v>
      </c>
      <c r="AO59" s="147">
        <f t="shared" si="60"/>
        <v>487.55900801976719</v>
      </c>
      <c r="AP59" s="147">
        <f t="shared" si="118"/>
        <v>1403.759677726659</v>
      </c>
      <c r="AQ59" s="147">
        <f t="shared" si="143"/>
        <v>2190.8606998644445</v>
      </c>
      <c r="AR59" s="147">
        <f t="shared" si="144"/>
        <v>7304.26277921361</v>
      </c>
      <c r="AS59" s="147">
        <f t="shared" si="61"/>
        <v>7390.2157899165022</v>
      </c>
      <c r="AT59" s="147">
        <f t="shared" si="62"/>
        <v>85.953010702892243</v>
      </c>
      <c r="AU59" t="str">
        <f t="shared" si="63"/>
        <v>Yes</v>
      </c>
      <c r="AV59">
        <f>COUNTIF(AU$54:AU59,"Yes")</f>
        <v>2</v>
      </c>
      <c r="AW59" cm="1">
        <f t="array" ref="AW59">INDEX($J$2:$J$7,IF(AV59&gt;5,6,AV59+1))</f>
        <v>1.0061800000000001</v>
      </c>
      <c r="AX59" s="147">
        <f t="shared" si="64"/>
        <v>85.953010702892243</v>
      </c>
      <c r="BB59">
        <v>6</v>
      </c>
      <c r="BC59" s="147">
        <f t="shared" si="148"/>
        <v>44.935269472117398</v>
      </c>
      <c r="BD59" s="147">
        <f t="shared" si="65"/>
        <v>17.503269472117395</v>
      </c>
      <c r="BE59" s="147">
        <f t="shared" si="66"/>
        <v>1946.9391378425767</v>
      </c>
      <c r="BF59" s="147">
        <f t="shared" si="67"/>
        <v>359.74672423376182</v>
      </c>
      <c r="BG59" s="147">
        <f t="shared" si="121"/>
        <v>880.58564449515904</v>
      </c>
      <c r="BH59" s="147">
        <f t="shared" si="122"/>
        <v>2062.8950355337556</v>
      </c>
      <c r="BI59" s="147">
        <f t="shared" si="123"/>
        <v>5176.1159458061366</v>
      </c>
      <c r="BJ59" s="147">
        <f t="shared" si="68"/>
        <v>4742.7748910398986</v>
      </c>
      <c r="BK59" s="147">
        <f t="shared" si="69"/>
        <v>-433.3410547662379</v>
      </c>
      <c r="BL59" t="str">
        <f t="shared" si="70"/>
        <v>No</v>
      </c>
      <c r="BM59">
        <f>COUNTIF(BL$54:BL59,"Yes")</f>
        <v>2</v>
      </c>
      <c r="BN59" cm="1">
        <f t="array" ref="BN59">INDEX($J$2:$J$7,IF(BM59&gt;5,6,BM59+1))</f>
        <v>1.0061800000000001</v>
      </c>
      <c r="BO59" s="147">
        <f t="shared" si="71"/>
        <v>433.3410547662379</v>
      </c>
      <c r="BS59">
        <v>6</v>
      </c>
      <c r="BT59" s="147">
        <f t="shared" si="149"/>
        <v>44.935269472117398</v>
      </c>
      <c r="BU59" s="147">
        <f t="shared" si="72"/>
        <v>17.503269472117395</v>
      </c>
      <c r="BV59" s="147">
        <f t="shared" si="73"/>
        <v>1946.9391378425767</v>
      </c>
      <c r="BW59" s="147">
        <f t="shared" si="74"/>
        <v>359.74672423376182</v>
      </c>
      <c r="BX59" s="147">
        <f t="shared" si="124"/>
        <v>880.58564449515904</v>
      </c>
      <c r="BY59" s="147">
        <f t="shared" si="125"/>
        <v>2062.8950355337556</v>
      </c>
      <c r="BZ59" s="147">
        <f t="shared" si="126"/>
        <v>5176.1159458061366</v>
      </c>
      <c r="CA59" s="147">
        <f t="shared" si="75"/>
        <v>4742.7748910398986</v>
      </c>
      <c r="CB59" s="147">
        <f t="shared" si="76"/>
        <v>-433.3410547662379</v>
      </c>
      <c r="CC59" t="str">
        <f t="shared" si="77"/>
        <v>No</v>
      </c>
      <c r="CD59">
        <f>COUNTIF(CC$54:CC59,"Yes")</f>
        <v>2</v>
      </c>
      <c r="CE59" cm="1">
        <f t="array" ref="CE59">INDEX($J$2:$J$7,IF(CD59&gt;5,6,CD59+1))</f>
        <v>1.0061800000000001</v>
      </c>
      <c r="CF59" s="147">
        <f t="shared" si="78"/>
        <v>433.3410547662379</v>
      </c>
      <c r="CJ59">
        <v>6</v>
      </c>
      <c r="CK59" s="147">
        <f t="shared" si="150"/>
        <v>44.935269472117398</v>
      </c>
      <c r="CL59" s="147">
        <f t="shared" si="79"/>
        <v>17.503269472117395</v>
      </c>
      <c r="CM59" s="147">
        <f t="shared" si="80"/>
        <v>1946.9391378425767</v>
      </c>
      <c r="CN59" s="147">
        <f t="shared" si="81"/>
        <v>359.74672423376182</v>
      </c>
      <c r="CO59" s="147">
        <f t="shared" si="127"/>
        <v>880.58564449515904</v>
      </c>
      <c r="CP59" s="147">
        <f t="shared" si="128"/>
        <v>2062.8950355337556</v>
      </c>
      <c r="CQ59" s="147">
        <f t="shared" si="129"/>
        <v>5176.1159458061366</v>
      </c>
      <c r="CR59" s="147">
        <f t="shared" si="82"/>
        <v>4742.7748910398986</v>
      </c>
      <c r="CS59" s="147">
        <f t="shared" si="83"/>
        <v>-433.3410547662379</v>
      </c>
      <c r="CT59" t="str">
        <f t="shared" si="84"/>
        <v>No</v>
      </c>
      <c r="CU59">
        <f>COUNTIF(CT$54:CT59,"Yes")</f>
        <v>2</v>
      </c>
      <c r="CV59" cm="1">
        <f t="array" ref="CV59">INDEX($J$2:$J$7,IF(CU59&gt;5,6,CU59+1))</f>
        <v>1.0061800000000001</v>
      </c>
      <c r="CW59" s="147">
        <f t="shared" si="85"/>
        <v>433.3410547662379</v>
      </c>
      <c r="DA59">
        <v>6</v>
      </c>
      <c r="DB59" s="147">
        <f t="shared" si="151"/>
        <v>44.935269472117398</v>
      </c>
      <c r="DC59" s="147">
        <f t="shared" si="86"/>
        <v>17.503269472117395</v>
      </c>
      <c r="DD59" s="147">
        <f t="shared" si="87"/>
        <v>1946.9391378425767</v>
      </c>
      <c r="DE59" s="147">
        <f t="shared" si="88"/>
        <v>359.74672423376182</v>
      </c>
      <c r="DF59" s="147">
        <f t="shared" si="130"/>
        <v>880.58564449515904</v>
      </c>
      <c r="DG59" s="147">
        <f t="shared" si="131"/>
        <v>2071.010391922086</v>
      </c>
      <c r="DH59" s="147">
        <f t="shared" si="132"/>
        <v>4809.7575251363114</v>
      </c>
      <c r="DI59" s="147">
        <f t="shared" si="89"/>
        <v>4742.7748910398986</v>
      </c>
      <c r="DJ59" s="147">
        <f t="shared" si="90"/>
        <v>-66.982634096412767</v>
      </c>
      <c r="DK59" t="str">
        <f t="shared" si="91"/>
        <v>No</v>
      </c>
      <c r="DL59">
        <f>COUNTIF(DK$54:DK59,"Yes")</f>
        <v>2</v>
      </c>
      <c r="DM59" cm="1">
        <f t="array" ref="DM59">INDEX($J$2:$J$7,IF(DL59&gt;5,6,DL59+1))</f>
        <v>1.0061800000000001</v>
      </c>
      <c r="DN59" s="147">
        <f t="shared" si="92"/>
        <v>66.982634096412767</v>
      </c>
      <c r="DR59">
        <v>6</v>
      </c>
      <c r="DS59" s="147">
        <f t="shared" si="152"/>
        <v>44.935269472117398</v>
      </c>
      <c r="DT59" s="147">
        <f t="shared" si="93"/>
        <v>17.503269472117395</v>
      </c>
      <c r="DU59" s="147">
        <f t="shared" si="94"/>
        <v>1946.9391378425767</v>
      </c>
      <c r="DV59" s="147">
        <f t="shared" si="95"/>
        <v>359.74672423376182</v>
      </c>
      <c r="DW59" s="147">
        <f t="shared" si="133"/>
        <v>880.58564449515904</v>
      </c>
      <c r="DX59" s="147">
        <f t="shared" si="134"/>
        <v>2071.010391922086</v>
      </c>
      <c r="DY59" s="147">
        <f t="shared" si="135"/>
        <v>4809.7575251363114</v>
      </c>
      <c r="DZ59" s="147">
        <f t="shared" si="96"/>
        <v>4742.7748910398986</v>
      </c>
      <c r="EA59" s="147">
        <f t="shared" si="97"/>
        <v>-66.982634096412767</v>
      </c>
      <c r="EB59" t="str">
        <f t="shared" si="98"/>
        <v>No</v>
      </c>
      <c r="EC59">
        <f>COUNTIF(EB$54:EB59,"Yes")</f>
        <v>2</v>
      </c>
      <c r="ED59" cm="1">
        <f t="array" ref="ED59">INDEX($J$2:$J$7,IF(EC59&gt;5,6,EC59+1))</f>
        <v>1.0061800000000001</v>
      </c>
      <c r="EE59" s="147">
        <f t="shared" si="99"/>
        <v>66.982634096412767</v>
      </c>
      <c r="EI59">
        <v>6</v>
      </c>
      <c r="EJ59" s="147">
        <f t="shared" si="153"/>
        <v>44.935269472117398</v>
      </c>
      <c r="EK59" s="147">
        <f t="shared" si="100"/>
        <v>17.503269472117395</v>
      </c>
      <c r="EL59" s="147">
        <f t="shared" si="101"/>
        <v>1946.9391378425767</v>
      </c>
      <c r="EM59" s="147">
        <f t="shared" si="102"/>
        <v>359.74672423376182</v>
      </c>
      <c r="EN59" s="147">
        <f t="shared" si="136"/>
        <v>880.58564449515904</v>
      </c>
      <c r="EO59" s="147">
        <f t="shared" si="137"/>
        <v>2071.010391922086</v>
      </c>
      <c r="EP59" s="147">
        <f t="shared" si="138"/>
        <v>4809.7575251363114</v>
      </c>
      <c r="EQ59" s="147">
        <f t="shared" si="103"/>
        <v>4742.7748910398986</v>
      </c>
      <c r="ER59" s="147">
        <f t="shared" si="104"/>
        <v>-66.982634096412767</v>
      </c>
      <c r="ES59" t="str">
        <f t="shared" si="105"/>
        <v>No</v>
      </c>
      <c r="ET59">
        <f>COUNTIF(ES$54:ES59,"Yes")</f>
        <v>2</v>
      </c>
      <c r="EU59" cm="1">
        <f t="array" ref="EU59">INDEX($J$2:$J$7,IF(ET59&gt;5,6,ET59+1))</f>
        <v>1.0061800000000001</v>
      </c>
      <c r="EV59" s="147">
        <f t="shared" si="106"/>
        <v>66.982634096412767</v>
      </c>
      <c r="EZ59">
        <v>6</v>
      </c>
      <c r="FA59" s="147">
        <f t="shared" si="154"/>
        <v>34.868105883154783</v>
      </c>
      <c r="FB59" s="147">
        <f t="shared" si="107"/>
        <v>7.4361058831547808</v>
      </c>
      <c r="FC59" s="147">
        <f t="shared" si="108"/>
        <v>1241.0485908640451</v>
      </c>
      <c r="FD59" s="147">
        <f t="shared" si="109"/>
        <v>229.31541952204873</v>
      </c>
      <c r="FE59" s="147">
        <f t="shared" si="139"/>
        <v>404.23447742761323</v>
      </c>
      <c r="FF59" s="147">
        <f t="shared" si="140"/>
        <v>1528.1233223732734</v>
      </c>
      <c r="FG59" s="147">
        <f t="shared" si="141"/>
        <v>3064.9786917533356</v>
      </c>
      <c r="FH59" s="147">
        <f t="shared" si="110"/>
        <v>2332.2738305558978</v>
      </c>
      <c r="FI59" s="147">
        <f t="shared" si="111"/>
        <v>-732.70486119743782</v>
      </c>
      <c r="FJ59" t="str">
        <f t="shared" si="112"/>
        <v>No</v>
      </c>
      <c r="FK59">
        <f>COUNTIF(FJ$54:FJ59,"Yes")</f>
        <v>1</v>
      </c>
      <c r="FL59" cm="1">
        <f t="array" ref="FL59">INDEX($J$2:$J$7,IF(FK59&gt;5,6,FK59+1))</f>
        <v>1.0618000000000001</v>
      </c>
      <c r="FM59" s="147">
        <f t="shared" si="113"/>
        <v>732.70486119743782</v>
      </c>
    </row>
    <row r="60" spans="1:169" x14ac:dyDescent="0.3">
      <c r="C60">
        <v>7</v>
      </c>
      <c r="D60" s="147">
        <f>IF(M59="Yes",IF(M58="Yes",IF(M57="Yes",D56*O59,D57*O59),D58*O59),D59*O59)</f>
        <v>50.349726050457967</v>
      </c>
      <c r="E60" s="147">
        <f t="shared" si="42"/>
        <v>22.917726050457965</v>
      </c>
      <c r="F60" s="147">
        <f t="shared" si="43"/>
        <v>2392.0405149817734</v>
      </c>
      <c r="G60" s="147">
        <f t="shared" si="44"/>
        <v>441.99057010723737</v>
      </c>
      <c r="H60" s="147">
        <f t="shared" si="142"/>
        <v>1163.5276972508345</v>
      </c>
      <c r="I60" s="147">
        <f t="shared" si="114"/>
        <v>2184.4775779756274</v>
      </c>
      <c r="J60" s="147">
        <f t="shared" si="115"/>
        <v>7252.3112194122623</v>
      </c>
      <c r="K60" s="147">
        <f t="shared" si="46"/>
        <v>6422.4687029464922</v>
      </c>
      <c r="L60" s="147">
        <f t="shared" si="47"/>
        <v>-829.84251646577013</v>
      </c>
      <c r="M60" t="str">
        <f t="shared" si="48"/>
        <v>No</v>
      </c>
      <c r="N60">
        <f>COUNTIF(M$54:M60,"Yes")</f>
        <v>2</v>
      </c>
      <c r="O60" cm="1">
        <f t="array" ref="O60">INDEX($J$2:$J$7,IF(N60&gt;5,6,N60+1))</f>
        <v>1.0061800000000001</v>
      </c>
      <c r="P60" s="147">
        <f t="shared" si="49"/>
        <v>829.84251646577013</v>
      </c>
      <c r="T60">
        <v>7</v>
      </c>
      <c r="U60" s="147">
        <f t="shared" si="146"/>
        <v>50.349726050457967</v>
      </c>
      <c r="V60" s="147">
        <f t="shared" si="50"/>
        <v>22.917726050457965</v>
      </c>
      <c r="W60" s="147">
        <f t="shared" si="51"/>
        <v>2392.0405149817734</v>
      </c>
      <c r="X60" s="147">
        <f t="shared" si="52"/>
        <v>441.99057010723737</v>
      </c>
      <c r="Y60" s="147">
        <f t="shared" si="53"/>
        <v>1163.5276972508345</v>
      </c>
      <c r="Z60" s="147">
        <f t="shared" si="116"/>
        <v>2184.4775779756264</v>
      </c>
      <c r="AA60" s="147">
        <f t="shared" si="117"/>
        <v>7252.3112194122623</v>
      </c>
      <c r="AB60" s="147">
        <f t="shared" si="54"/>
        <v>6422.4687029464922</v>
      </c>
      <c r="AC60" s="147">
        <f t="shared" si="55"/>
        <v>-829.84251646577013</v>
      </c>
      <c r="AD60" t="str">
        <f t="shared" si="56"/>
        <v>No</v>
      </c>
      <c r="AE60">
        <f>COUNTIF(AD$54:AD60,"Yes")</f>
        <v>2</v>
      </c>
      <c r="AF60" cm="1">
        <f t="array" ref="AF60">INDEX($J$2:$J$7,IF(AE60&gt;5,6,AE60+1))</f>
        <v>1.0061800000000001</v>
      </c>
      <c r="AG60" s="147">
        <f t="shared" si="57"/>
        <v>829.84251646577013</v>
      </c>
      <c r="AK60">
        <v>7</v>
      </c>
      <c r="AL60" s="147">
        <f t="shared" si="147"/>
        <v>50.349726050457967</v>
      </c>
      <c r="AM60" s="147">
        <f t="shared" si="58"/>
        <v>22.917726050457965</v>
      </c>
      <c r="AN60" s="147">
        <f t="shared" si="59"/>
        <v>2392.0405149817734</v>
      </c>
      <c r="AO60" s="147">
        <f t="shared" si="60"/>
        <v>441.99057010723737</v>
      </c>
      <c r="AP60" s="147">
        <f t="shared" si="118"/>
        <v>1212.5183371350804</v>
      </c>
      <c r="AQ60" s="147">
        <f t="shared" si="143"/>
        <v>2135.4869380913806</v>
      </c>
      <c r="AR60" s="147">
        <f t="shared" si="144"/>
        <v>7203.3205795280164</v>
      </c>
      <c r="AS60" s="147">
        <f t="shared" si="61"/>
        <v>6422.4687029464922</v>
      </c>
      <c r="AT60" s="147">
        <f t="shared" si="62"/>
        <v>-780.85187658152427</v>
      </c>
      <c r="AU60" t="str">
        <f t="shared" si="63"/>
        <v>No</v>
      </c>
      <c r="AV60">
        <f>COUNTIF(AU$54:AU60,"Yes")</f>
        <v>2</v>
      </c>
      <c r="AW60" cm="1">
        <f t="array" ref="AW60">INDEX($J$2:$J$7,IF(AV60&gt;5,6,AV60+1))</f>
        <v>1.0061800000000001</v>
      </c>
      <c r="AX60" s="147">
        <f t="shared" si="64"/>
        <v>780.85187658152427</v>
      </c>
      <c r="BB60">
        <v>7</v>
      </c>
      <c r="BC60" s="147">
        <f t="shared" si="148"/>
        <v>45.212969437455087</v>
      </c>
      <c r="BD60" s="147">
        <f t="shared" si="65"/>
        <v>17.780969437455084</v>
      </c>
      <c r="BE60" s="147">
        <f t="shared" si="66"/>
        <v>1968.6539822574846</v>
      </c>
      <c r="BF60" s="147">
        <f t="shared" si="67"/>
        <v>363.75909626618466</v>
      </c>
      <c r="BG60" s="147">
        <f t="shared" si="121"/>
        <v>896.32119567335224</v>
      </c>
      <c r="BH60" s="147">
        <f t="shared" si="122"/>
        <v>2068.8743287704706</v>
      </c>
      <c r="BI60" s="147">
        <f t="shared" si="123"/>
        <v>5186.1076110752738</v>
      </c>
      <c r="BJ60" s="147">
        <f t="shared" si="68"/>
        <v>4822.4022026214752</v>
      </c>
      <c r="BK60" s="147">
        <f t="shared" si="69"/>
        <v>-363.70540845379855</v>
      </c>
      <c r="BL60" t="str">
        <f t="shared" si="70"/>
        <v>No</v>
      </c>
      <c r="BM60">
        <f>COUNTIF(BL$54:BL60,"Yes")</f>
        <v>2</v>
      </c>
      <c r="BN60" cm="1">
        <f t="array" ref="BN60">INDEX($J$2:$J$7,IF(BM60&gt;5,6,BM60+1))</f>
        <v>1.0061800000000001</v>
      </c>
      <c r="BO60" s="147">
        <f t="shared" si="71"/>
        <v>363.70540845379855</v>
      </c>
      <c r="BS60">
        <v>7</v>
      </c>
      <c r="BT60" s="147">
        <f t="shared" si="149"/>
        <v>45.212969437455087</v>
      </c>
      <c r="BU60" s="147">
        <f t="shared" si="72"/>
        <v>17.780969437455084</v>
      </c>
      <c r="BV60" s="147">
        <f t="shared" si="73"/>
        <v>1968.6539822574846</v>
      </c>
      <c r="BW60" s="147">
        <f t="shared" si="74"/>
        <v>363.75909626618466</v>
      </c>
      <c r="BX60" s="147">
        <f t="shared" si="124"/>
        <v>896.32119567335224</v>
      </c>
      <c r="BY60" s="147">
        <f t="shared" si="125"/>
        <v>2068.8743287704706</v>
      </c>
      <c r="BZ60" s="147">
        <f t="shared" si="126"/>
        <v>5186.1076110752738</v>
      </c>
      <c r="CA60" s="147">
        <f t="shared" si="75"/>
        <v>4822.4022026214752</v>
      </c>
      <c r="CB60" s="147">
        <f t="shared" si="76"/>
        <v>-363.70540845379855</v>
      </c>
      <c r="CC60" t="str">
        <f t="shared" si="77"/>
        <v>No</v>
      </c>
      <c r="CD60">
        <f>COUNTIF(CC$54:CC60,"Yes")</f>
        <v>2</v>
      </c>
      <c r="CE60" cm="1">
        <f t="array" ref="CE60">INDEX($J$2:$J$7,IF(CD60&gt;5,6,CD60+1))</f>
        <v>1.0061800000000001</v>
      </c>
      <c r="CF60" s="147">
        <f t="shared" si="78"/>
        <v>363.70540845379855</v>
      </c>
      <c r="CJ60">
        <v>7</v>
      </c>
      <c r="CK60" s="147">
        <f t="shared" si="150"/>
        <v>45.212969437455087</v>
      </c>
      <c r="CL60" s="147">
        <f t="shared" si="79"/>
        <v>17.780969437455084</v>
      </c>
      <c r="CM60" s="147">
        <f t="shared" si="80"/>
        <v>1968.6539822574846</v>
      </c>
      <c r="CN60" s="147">
        <f t="shared" si="81"/>
        <v>363.75909626618466</v>
      </c>
      <c r="CO60" s="147">
        <f t="shared" si="127"/>
        <v>896.32119567335224</v>
      </c>
      <c r="CP60" s="147">
        <f t="shared" si="128"/>
        <v>2068.8743287704706</v>
      </c>
      <c r="CQ60" s="147">
        <f t="shared" si="129"/>
        <v>5186.1076110752738</v>
      </c>
      <c r="CR60" s="147">
        <f t="shared" si="82"/>
        <v>4822.4022026214752</v>
      </c>
      <c r="CS60" s="147">
        <f t="shared" si="83"/>
        <v>-363.70540845379855</v>
      </c>
      <c r="CT60" t="str">
        <f t="shared" si="84"/>
        <v>No</v>
      </c>
      <c r="CU60">
        <f>COUNTIF(CT$54:CT60,"Yes")</f>
        <v>2</v>
      </c>
      <c r="CV60" cm="1">
        <f t="array" ref="CV60">INDEX($J$2:$J$7,IF(CU60&gt;5,6,CU60+1))</f>
        <v>1.0061800000000001</v>
      </c>
      <c r="CW60" s="147">
        <f t="shared" si="85"/>
        <v>363.70540845379855</v>
      </c>
      <c r="DA60">
        <v>7</v>
      </c>
      <c r="DB60" s="147">
        <f t="shared" si="151"/>
        <v>45.212969437455087</v>
      </c>
      <c r="DC60" s="147">
        <f t="shared" si="86"/>
        <v>17.780969437455084</v>
      </c>
      <c r="DD60" s="147">
        <f t="shared" si="87"/>
        <v>1968.6539822574846</v>
      </c>
      <c r="DE60" s="147">
        <f t="shared" si="88"/>
        <v>363.75909626618466</v>
      </c>
      <c r="DF60" s="147">
        <f t="shared" si="130"/>
        <v>896.32119567335224</v>
      </c>
      <c r="DG60" s="147">
        <f t="shared" si="131"/>
        <v>2076.989685158801</v>
      </c>
      <c r="DH60" s="147">
        <f t="shared" si="132"/>
        <v>4819.7491904054486</v>
      </c>
      <c r="DI60" s="147">
        <f t="shared" si="89"/>
        <v>4822.4022026214752</v>
      </c>
      <c r="DJ60" s="147">
        <f t="shared" si="90"/>
        <v>2.6530122160265819</v>
      </c>
      <c r="DK60" t="str">
        <f t="shared" si="91"/>
        <v>Yes</v>
      </c>
      <c r="DL60">
        <f>COUNTIF(DK$54:DK60,"Yes")</f>
        <v>3</v>
      </c>
      <c r="DM60" cm="1">
        <f t="array" ref="DM60">INDEX($J$2:$J$7,IF(DL60&gt;5,6,DL60+1))</f>
        <v>1.000618</v>
      </c>
      <c r="DN60" s="147">
        <f t="shared" si="92"/>
        <v>2.6530122160265819</v>
      </c>
      <c r="DR60">
        <v>7</v>
      </c>
      <c r="DS60" s="147">
        <f t="shared" si="152"/>
        <v>45.212969437455087</v>
      </c>
      <c r="DT60" s="147">
        <f t="shared" si="93"/>
        <v>17.780969437455084</v>
      </c>
      <c r="DU60" s="147">
        <f t="shared" si="94"/>
        <v>1968.6539822574846</v>
      </c>
      <c r="DV60" s="147">
        <f t="shared" si="95"/>
        <v>363.75909626618466</v>
      </c>
      <c r="DW60" s="147">
        <f t="shared" si="133"/>
        <v>896.32119567335224</v>
      </c>
      <c r="DX60" s="147">
        <f t="shared" si="134"/>
        <v>2076.989685158801</v>
      </c>
      <c r="DY60" s="147">
        <f t="shared" si="135"/>
        <v>4819.7491904054486</v>
      </c>
      <c r="DZ60" s="147">
        <f t="shared" si="96"/>
        <v>4822.4022026214752</v>
      </c>
      <c r="EA60" s="147">
        <f t="shared" si="97"/>
        <v>2.6530122160265819</v>
      </c>
      <c r="EB60" t="str">
        <f t="shared" si="98"/>
        <v>Yes</v>
      </c>
      <c r="EC60">
        <f>COUNTIF(EB$54:EB60,"Yes")</f>
        <v>3</v>
      </c>
      <c r="ED60" cm="1">
        <f t="array" ref="ED60">INDEX($J$2:$J$7,IF(EC60&gt;5,6,EC60+1))</f>
        <v>1.000618</v>
      </c>
      <c r="EE60" s="147">
        <f t="shared" si="99"/>
        <v>2.6530122160265819</v>
      </c>
      <c r="EI60">
        <v>7</v>
      </c>
      <c r="EJ60" s="147">
        <f t="shared" si="153"/>
        <v>45.212969437455087</v>
      </c>
      <c r="EK60" s="147">
        <f t="shared" si="100"/>
        <v>17.780969437455084</v>
      </c>
      <c r="EL60" s="147">
        <f t="shared" si="101"/>
        <v>1968.6539822574846</v>
      </c>
      <c r="EM60" s="147">
        <f t="shared" si="102"/>
        <v>363.75909626618466</v>
      </c>
      <c r="EN60" s="147">
        <f t="shared" si="136"/>
        <v>896.32119567335224</v>
      </c>
      <c r="EO60" s="147">
        <f t="shared" si="137"/>
        <v>2076.989685158801</v>
      </c>
      <c r="EP60" s="147">
        <f t="shared" si="138"/>
        <v>4819.7491904054486</v>
      </c>
      <c r="EQ60" s="147">
        <f t="shared" si="103"/>
        <v>4822.4022026214752</v>
      </c>
      <c r="ER60" s="147">
        <f t="shared" si="104"/>
        <v>2.6530122160265819</v>
      </c>
      <c r="ES60" t="str">
        <f t="shared" si="105"/>
        <v>Yes</v>
      </c>
      <c r="ET60">
        <f>COUNTIF(ES$54:ES60,"Yes")</f>
        <v>3</v>
      </c>
      <c r="EU60" cm="1">
        <f t="array" ref="EU60">INDEX($J$2:$J$7,IF(ET60&gt;5,6,ET60+1))</f>
        <v>1.000618</v>
      </c>
      <c r="EV60" s="147">
        <f t="shared" si="106"/>
        <v>2.6530122160265819</v>
      </c>
      <c r="EZ60">
        <v>7</v>
      </c>
      <c r="FA60" s="147">
        <f t="shared" si="154"/>
        <v>37.022954826733752</v>
      </c>
      <c r="FB60" s="147">
        <f t="shared" si="107"/>
        <v>9.5909548267337499</v>
      </c>
      <c r="FC60" s="147">
        <f t="shared" si="108"/>
        <v>1378.8300905193362</v>
      </c>
      <c r="FD60" s="147">
        <f t="shared" si="109"/>
        <v>254.77407007644214</v>
      </c>
      <c r="FE60" s="147">
        <f t="shared" si="139"/>
        <v>490.79168610371613</v>
      </c>
      <c r="FF60" s="147">
        <f t="shared" si="140"/>
        <v>1579.3476133524609</v>
      </c>
      <c r="FG60" s="147">
        <f t="shared" si="141"/>
        <v>3141.6616332869171</v>
      </c>
      <c r="FH60" s="147">
        <f t="shared" si="110"/>
        <v>2770.2831348906043</v>
      </c>
      <c r="FI60" s="147">
        <f t="shared" si="111"/>
        <v>-371.37849839631281</v>
      </c>
      <c r="FJ60" t="str">
        <f t="shared" si="112"/>
        <v>No</v>
      </c>
      <c r="FK60">
        <f>COUNTIF(FJ$54:FJ60,"Yes")</f>
        <v>1</v>
      </c>
      <c r="FL60" cm="1">
        <f t="array" ref="FL60">INDEX($J$2:$J$7,IF(FK60&gt;5,6,FK60+1))</f>
        <v>1.0618000000000001</v>
      </c>
      <c r="FM60" s="147">
        <f t="shared" si="113"/>
        <v>371.37849839631281</v>
      </c>
    </row>
    <row r="61" spans="1:169" x14ac:dyDescent="0.3">
      <c r="C61">
        <v>8</v>
      </c>
      <c r="D61" s="147">
        <f t="shared" ref="D61:D103" si="155">IF(M60="Yes",IF(M59="Yes",IF(M58="Yes",D57*O60,D58*O60),D59*O60),D60*O60)</f>
        <v>50.660887357449802</v>
      </c>
      <c r="E61" s="147">
        <f t="shared" si="42"/>
        <v>23.2288873574498</v>
      </c>
      <c r="F61" s="147">
        <f t="shared" si="43"/>
        <v>2419.0109324742061</v>
      </c>
      <c r="G61" s="147">
        <f t="shared" si="44"/>
        <v>446.97404347604083</v>
      </c>
      <c r="H61" s="147">
        <f t="shared" si="142"/>
        <v>1183.3772956931982</v>
      </c>
      <c r="I61" s="147">
        <f t="shared" si="114"/>
        <v>2191.5983970256966</v>
      </c>
      <c r="J61" s="147">
        <f t="shared" si="115"/>
        <v>7264.4155118311364</v>
      </c>
      <c r="K61" s="147">
        <f t="shared" si="46"/>
        <v>6527.1438086234793</v>
      </c>
      <c r="L61" s="147">
        <f t="shared" si="47"/>
        <v>-737.27170320765708</v>
      </c>
      <c r="M61" t="str">
        <f t="shared" si="48"/>
        <v>No</v>
      </c>
      <c r="N61">
        <f>COUNTIF(M$54:M61,"Yes")</f>
        <v>2</v>
      </c>
      <c r="O61" cm="1">
        <f t="array" ref="O61">INDEX($J$2:$J$7,IF(N61&gt;5,6,N61+1))</f>
        <v>1.0061800000000001</v>
      </c>
      <c r="P61" s="147">
        <f t="shared" si="49"/>
        <v>737.27170320765708</v>
      </c>
      <c r="T61">
        <v>8</v>
      </c>
      <c r="U61" s="147">
        <f t="shared" si="146"/>
        <v>50.660887357449802</v>
      </c>
      <c r="V61" s="147">
        <f t="shared" si="50"/>
        <v>23.2288873574498</v>
      </c>
      <c r="W61" s="147">
        <f t="shared" si="51"/>
        <v>2419.0109324742061</v>
      </c>
      <c r="X61" s="147">
        <f t="shared" si="52"/>
        <v>446.97404347604083</v>
      </c>
      <c r="Y61" s="147">
        <f t="shared" si="53"/>
        <v>1183.3772956931982</v>
      </c>
      <c r="Z61" s="147">
        <f t="shared" si="116"/>
        <v>2191.5983970256957</v>
      </c>
      <c r="AA61" s="147">
        <f t="shared" si="117"/>
        <v>7264.4155118311346</v>
      </c>
      <c r="AB61" s="147">
        <f t="shared" si="54"/>
        <v>6527.1438086234793</v>
      </c>
      <c r="AC61" s="147">
        <f t="shared" si="55"/>
        <v>-737.27170320765526</v>
      </c>
      <c r="AD61" t="str">
        <f t="shared" si="56"/>
        <v>No</v>
      </c>
      <c r="AE61">
        <f>COUNTIF(AD$54:AD61,"Yes")</f>
        <v>2</v>
      </c>
      <c r="AF61" cm="1">
        <f t="array" ref="AF61">INDEX($J$2:$J$7,IF(AE61&gt;5,6,AE61+1))</f>
        <v>1.0061800000000001</v>
      </c>
      <c r="AG61" s="147">
        <f t="shared" si="57"/>
        <v>737.27170320765526</v>
      </c>
      <c r="AK61">
        <v>8</v>
      </c>
      <c r="AL61" s="147">
        <f t="shared" si="147"/>
        <v>50.660887357449802</v>
      </c>
      <c r="AM61" s="147">
        <f t="shared" si="58"/>
        <v>23.2288873574498</v>
      </c>
      <c r="AN61" s="147">
        <f t="shared" si="59"/>
        <v>2419.0109324742061</v>
      </c>
      <c r="AO61" s="147">
        <f t="shared" si="60"/>
        <v>446.97404347604083</v>
      </c>
      <c r="AP61" s="147">
        <f t="shared" si="118"/>
        <v>1233.2037081434382</v>
      </c>
      <c r="AQ61" s="147">
        <f t="shared" si="143"/>
        <v>2141.7719845754555</v>
      </c>
      <c r="AR61" s="147">
        <f t="shared" si="144"/>
        <v>7214.5890993808944</v>
      </c>
      <c r="AS61" s="147">
        <f t="shared" si="61"/>
        <v>6527.1438086234793</v>
      </c>
      <c r="AT61" s="147">
        <f t="shared" si="62"/>
        <v>-687.44529075741502</v>
      </c>
      <c r="AU61" t="str">
        <f t="shared" si="63"/>
        <v>No</v>
      </c>
      <c r="AV61">
        <f>COUNTIF(AU$54:AU61,"Yes")</f>
        <v>2</v>
      </c>
      <c r="AW61" cm="1">
        <f t="array" ref="AW61">INDEX($J$2:$J$7,IF(AV61&gt;5,6,AV61+1))</f>
        <v>1.0061800000000001</v>
      </c>
      <c r="AX61" s="147">
        <f t="shared" si="64"/>
        <v>687.44529075741502</v>
      </c>
      <c r="BB61">
        <v>8</v>
      </c>
      <c r="BC61" s="147">
        <f t="shared" si="148"/>
        <v>45.492385588578564</v>
      </c>
      <c r="BD61" s="147">
        <f t="shared" si="65"/>
        <v>18.060385588578562</v>
      </c>
      <c r="BE61" s="147">
        <f t="shared" si="66"/>
        <v>1990.6245687699732</v>
      </c>
      <c r="BF61" s="147">
        <f t="shared" si="67"/>
        <v>367.81872318196002</v>
      </c>
      <c r="BG61" s="147">
        <f t="shared" si="121"/>
        <v>912.29463725314599</v>
      </c>
      <c r="BH61" s="147">
        <f t="shared" si="122"/>
        <v>2074.8714737031655</v>
      </c>
      <c r="BI61" s="147">
        <f t="shared" si="123"/>
        <v>5196.1643829237446</v>
      </c>
      <c r="BJ61" s="147">
        <f t="shared" si="68"/>
        <v>4903.2333216144352</v>
      </c>
      <c r="BK61" s="147">
        <f t="shared" si="69"/>
        <v>-292.93106130930937</v>
      </c>
      <c r="BL61" t="str">
        <f t="shared" si="70"/>
        <v>No</v>
      </c>
      <c r="BM61">
        <f>COUNTIF(BL$54:BL61,"Yes")</f>
        <v>2</v>
      </c>
      <c r="BN61" cm="1">
        <f t="array" ref="BN61">INDEX($J$2:$J$7,IF(BM61&gt;5,6,BM61+1))</f>
        <v>1.0061800000000001</v>
      </c>
      <c r="BO61" s="147">
        <f t="shared" si="71"/>
        <v>292.93106130930937</v>
      </c>
      <c r="BS61">
        <v>8</v>
      </c>
      <c r="BT61" s="147">
        <f t="shared" si="149"/>
        <v>45.492385588578564</v>
      </c>
      <c r="BU61" s="147">
        <f t="shared" si="72"/>
        <v>18.060385588578562</v>
      </c>
      <c r="BV61" s="147">
        <f t="shared" si="73"/>
        <v>1990.6245687699732</v>
      </c>
      <c r="BW61" s="147">
        <f t="shared" si="74"/>
        <v>367.81872318196002</v>
      </c>
      <c r="BX61" s="147">
        <f t="shared" si="124"/>
        <v>912.29463725314599</v>
      </c>
      <c r="BY61" s="147">
        <f t="shared" si="125"/>
        <v>2074.8714737031655</v>
      </c>
      <c r="BZ61" s="147">
        <f t="shared" si="126"/>
        <v>5196.1643829237446</v>
      </c>
      <c r="CA61" s="147">
        <f t="shared" si="75"/>
        <v>4903.2333216144352</v>
      </c>
      <c r="CB61" s="147">
        <f t="shared" si="76"/>
        <v>-292.93106130930937</v>
      </c>
      <c r="CC61" t="str">
        <f t="shared" si="77"/>
        <v>No</v>
      </c>
      <c r="CD61">
        <f>COUNTIF(CC$54:CC61,"Yes")</f>
        <v>2</v>
      </c>
      <c r="CE61" cm="1">
        <f t="array" ref="CE61">INDEX($J$2:$J$7,IF(CD61&gt;5,6,CD61+1))</f>
        <v>1.0061800000000001</v>
      </c>
      <c r="CF61" s="147">
        <f t="shared" si="78"/>
        <v>292.93106130930937</v>
      </c>
      <c r="CJ61">
        <v>8</v>
      </c>
      <c r="CK61" s="147">
        <f t="shared" si="150"/>
        <v>45.492385588578564</v>
      </c>
      <c r="CL61" s="147">
        <f t="shared" si="79"/>
        <v>18.060385588578562</v>
      </c>
      <c r="CM61" s="147">
        <f t="shared" si="80"/>
        <v>1990.6245687699732</v>
      </c>
      <c r="CN61" s="147">
        <f t="shared" si="81"/>
        <v>367.81872318196002</v>
      </c>
      <c r="CO61" s="147">
        <f t="shared" si="127"/>
        <v>912.29463725314599</v>
      </c>
      <c r="CP61" s="147">
        <f t="shared" si="128"/>
        <v>2074.8714737031655</v>
      </c>
      <c r="CQ61" s="147">
        <f t="shared" si="129"/>
        <v>5196.1643829237446</v>
      </c>
      <c r="CR61" s="147">
        <f t="shared" si="82"/>
        <v>4903.2333216144352</v>
      </c>
      <c r="CS61" s="147">
        <f t="shared" si="83"/>
        <v>-292.93106130930937</v>
      </c>
      <c r="CT61" t="str">
        <f t="shared" si="84"/>
        <v>No</v>
      </c>
      <c r="CU61">
        <f>COUNTIF(CT$54:CT61,"Yes")</f>
        <v>2</v>
      </c>
      <c r="CV61" cm="1">
        <f t="array" ref="CV61">INDEX($J$2:$J$7,IF(CU61&gt;5,6,CU61+1))</f>
        <v>1.0061800000000001</v>
      </c>
      <c r="CW61" s="147">
        <f t="shared" si="85"/>
        <v>292.93106130930937</v>
      </c>
      <c r="DA61">
        <v>8</v>
      </c>
      <c r="DB61" s="147">
        <f t="shared" si="151"/>
        <v>44.963039468651168</v>
      </c>
      <c r="DC61" s="147">
        <f t="shared" si="86"/>
        <v>17.531039468651166</v>
      </c>
      <c r="DD61" s="147">
        <f t="shared" si="87"/>
        <v>1949.1052031269801</v>
      </c>
      <c r="DE61" s="147">
        <f t="shared" si="88"/>
        <v>360.14696010934449</v>
      </c>
      <c r="DF61" s="147">
        <f t="shared" si="130"/>
        <v>882.15292885139661</v>
      </c>
      <c r="DG61" s="147">
        <f t="shared" si="131"/>
        <v>2071.6091728502515</v>
      </c>
      <c r="DH61" s="147">
        <f t="shared" si="132"/>
        <v>4810.7565419400589</v>
      </c>
      <c r="DI61" s="147">
        <f t="shared" si="89"/>
        <v>4750.7058899834892</v>
      </c>
      <c r="DJ61" s="147">
        <f t="shared" si="90"/>
        <v>-60.050651956569709</v>
      </c>
      <c r="DK61" t="str">
        <f t="shared" si="91"/>
        <v>No</v>
      </c>
      <c r="DL61">
        <f>COUNTIF(DK$54:DK61,"Yes")</f>
        <v>3</v>
      </c>
      <c r="DM61" cm="1">
        <f t="array" ref="DM61">INDEX($J$2:$J$7,IF(DL61&gt;5,6,DL61+1))</f>
        <v>1.000618</v>
      </c>
      <c r="DN61" s="147">
        <f t="shared" si="92"/>
        <v>60.050651956569709</v>
      </c>
      <c r="DR61">
        <v>8</v>
      </c>
      <c r="DS61" s="147">
        <f t="shared" si="152"/>
        <v>44.963039468651168</v>
      </c>
      <c r="DT61" s="147">
        <f t="shared" si="93"/>
        <v>17.531039468651166</v>
      </c>
      <c r="DU61" s="147">
        <f t="shared" si="94"/>
        <v>1949.1052031269801</v>
      </c>
      <c r="DV61" s="147">
        <f t="shared" si="95"/>
        <v>360.14696010934449</v>
      </c>
      <c r="DW61" s="147">
        <f t="shared" si="133"/>
        <v>882.15292885139661</v>
      </c>
      <c r="DX61" s="147">
        <f t="shared" si="134"/>
        <v>2071.6091728502515</v>
      </c>
      <c r="DY61" s="147">
        <f t="shared" si="135"/>
        <v>4810.7565419400589</v>
      </c>
      <c r="DZ61" s="147">
        <f t="shared" si="96"/>
        <v>4750.7058899834892</v>
      </c>
      <c r="EA61" s="147">
        <f t="shared" si="97"/>
        <v>-60.050651956569709</v>
      </c>
      <c r="EB61" t="str">
        <f t="shared" si="98"/>
        <v>No</v>
      </c>
      <c r="EC61">
        <f>COUNTIF(EB$54:EB61,"Yes")</f>
        <v>3</v>
      </c>
      <c r="ED61" cm="1">
        <f t="array" ref="ED61">INDEX($J$2:$J$7,IF(EC61&gt;5,6,EC61+1))</f>
        <v>1.000618</v>
      </c>
      <c r="EE61" s="147">
        <f t="shared" si="99"/>
        <v>60.050651956569709</v>
      </c>
      <c r="EI61">
        <v>8</v>
      </c>
      <c r="EJ61" s="147">
        <f t="shared" si="153"/>
        <v>44.963039468651168</v>
      </c>
      <c r="EK61" s="147">
        <f t="shared" si="100"/>
        <v>17.531039468651166</v>
      </c>
      <c r="EL61" s="147">
        <f t="shared" si="101"/>
        <v>1949.1052031269801</v>
      </c>
      <c r="EM61" s="147">
        <f t="shared" si="102"/>
        <v>360.14696010934449</v>
      </c>
      <c r="EN61" s="147">
        <f t="shared" si="136"/>
        <v>882.15292885139661</v>
      </c>
      <c r="EO61" s="147">
        <f t="shared" si="137"/>
        <v>2071.6091728502524</v>
      </c>
      <c r="EP61" s="147">
        <f t="shared" si="138"/>
        <v>4810.7565419400607</v>
      </c>
      <c r="EQ61" s="147">
        <f t="shared" si="103"/>
        <v>4750.7058899834892</v>
      </c>
      <c r="ER61" s="147">
        <f t="shared" si="104"/>
        <v>-60.050651956571528</v>
      </c>
      <c r="ES61" t="str">
        <f t="shared" si="105"/>
        <v>No</v>
      </c>
      <c r="ET61">
        <f>COUNTIF(ES$54:ES61,"Yes")</f>
        <v>3</v>
      </c>
      <c r="EU61" cm="1">
        <f t="array" ref="EU61">INDEX($J$2:$J$7,IF(ET61&gt;5,6,ET61+1))</f>
        <v>1.000618</v>
      </c>
      <c r="EV61" s="147">
        <f t="shared" si="106"/>
        <v>60.050651956571528</v>
      </c>
      <c r="EZ61">
        <v>8</v>
      </c>
      <c r="FA61" s="147">
        <f t="shared" si="154"/>
        <v>39.3109734350259</v>
      </c>
      <c r="FB61" s="147">
        <f t="shared" si="107"/>
        <v>11.878973435025898</v>
      </c>
      <c r="FC61" s="147">
        <f t="shared" si="108"/>
        <v>1533.0635621164056</v>
      </c>
      <c r="FD61" s="147">
        <f t="shared" si="109"/>
        <v>283.27264257713682</v>
      </c>
      <c r="FE61" s="147">
        <f t="shared" si="139"/>
        <v>591.88249342045526</v>
      </c>
      <c r="FF61" s="147">
        <f t="shared" si="140"/>
        <v>1632.4902776327913</v>
      </c>
      <c r="FG61" s="147">
        <f t="shared" si="141"/>
        <v>3223.302870067942</v>
      </c>
      <c r="FH61" s="147">
        <f t="shared" si="110"/>
        <v>3281.8374567626242</v>
      </c>
      <c r="FI61" s="147">
        <f t="shared" si="111"/>
        <v>58.534586694682275</v>
      </c>
      <c r="FJ61" t="str">
        <f t="shared" si="112"/>
        <v>Yes</v>
      </c>
      <c r="FK61">
        <f>COUNTIF(FJ$54:FJ61,"Yes")</f>
        <v>2</v>
      </c>
      <c r="FL61" cm="1">
        <f t="array" ref="FL61">INDEX($J$2:$J$7,IF(FK61&gt;5,6,FK61+1))</f>
        <v>1.0061800000000001</v>
      </c>
      <c r="FM61" s="147">
        <f t="shared" si="113"/>
        <v>58.534586694682275</v>
      </c>
    </row>
    <row r="62" spans="1:169" x14ac:dyDescent="0.3">
      <c r="C62">
        <v>9</v>
      </c>
      <c r="D62" s="147">
        <f t="shared" si="155"/>
        <v>50.973971641318848</v>
      </c>
      <c r="E62" s="147">
        <f t="shared" si="42"/>
        <v>23.541971641318845</v>
      </c>
      <c r="F62" s="147">
        <f t="shared" si="43"/>
        <v>2446.3006270755063</v>
      </c>
      <c r="G62" s="147">
        <f t="shared" si="44"/>
        <v>452.0165114440104</v>
      </c>
      <c r="H62" s="147">
        <f t="shared" si="142"/>
        <v>1203.5190106418493</v>
      </c>
      <c r="I62" s="147">
        <f t="shared" si="114"/>
        <v>2198.7463766783449</v>
      </c>
      <c r="J62" s="147">
        <f t="shared" si="115"/>
        <v>7276.6059594517528</v>
      </c>
      <c r="K62" s="147">
        <f t="shared" si="46"/>
        <v>6633.3593649173599</v>
      </c>
      <c r="L62" s="147">
        <f t="shared" si="47"/>
        <v>-643.2465945343929</v>
      </c>
      <c r="M62" t="str">
        <f t="shared" si="48"/>
        <v>No</v>
      </c>
      <c r="N62">
        <f>COUNTIF(M$54:M62,"Yes")</f>
        <v>2</v>
      </c>
      <c r="O62" cm="1">
        <f t="array" ref="O62">INDEX($J$2:$J$7,IF(N62&gt;5,6,N62+1))</f>
        <v>1.0061800000000001</v>
      </c>
      <c r="P62" s="147">
        <f t="shared" si="49"/>
        <v>643.2465945343929</v>
      </c>
      <c r="T62">
        <v>9</v>
      </c>
      <c r="U62" s="147">
        <f t="shared" si="146"/>
        <v>50.973971641318848</v>
      </c>
      <c r="V62" s="147">
        <f t="shared" si="50"/>
        <v>23.541971641318845</v>
      </c>
      <c r="W62" s="147">
        <f t="shared" si="51"/>
        <v>2446.3006270755063</v>
      </c>
      <c r="X62" s="147">
        <f t="shared" si="52"/>
        <v>452.0165114440104</v>
      </c>
      <c r="Y62" s="147">
        <f t="shared" si="53"/>
        <v>1203.5190106418493</v>
      </c>
      <c r="Z62" s="147">
        <f t="shared" si="116"/>
        <v>2198.7463766783449</v>
      </c>
      <c r="AA62" s="147">
        <f t="shared" si="117"/>
        <v>7276.6059594517528</v>
      </c>
      <c r="AB62" s="147">
        <f t="shared" si="54"/>
        <v>6633.3593649173599</v>
      </c>
      <c r="AC62" s="147">
        <f t="shared" si="55"/>
        <v>-643.2465945343929</v>
      </c>
      <c r="AD62" t="str">
        <f t="shared" si="56"/>
        <v>No</v>
      </c>
      <c r="AE62">
        <f>COUNTIF(AD$54:AD62,"Yes")</f>
        <v>2</v>
      </c>
      <c r="AF62" cm="1">
        <f t="array" ref="AF62">INDEX($J$2:$J$7,IF(AE62&gt;5,6,AE62+1))</f>
        <v>1.0061800000000001</v>
      </c>
      <c r="AG62" s="147">
        <f t="shared" si="57"/>
        <v>643.2465945343929</v>
      </c>
      <c r="AK62">
        <v>9</v>
      </c>
      <c r="AL62" s="147">
        <f t="shared" si="147"/>
        <v>50.973971641318848</v>
      </c>
      <c r="AM62" s="147">
        <f t="shared" si="58"/>
        <v>23.541971641318845</v>
      </c>
      <c r="AN62" s="147">
        <f t="shared" si="59"/>
        <v>2446.3006270755063</v>
      </c>
      <c r="AO62" s="147">
        <f t="shared" si="60"/>
        <v>452.0165114440104</v>
      </c>
      <c r="AP62" s="147">
        <f t="shared" si="118"/>
        <v>1254.1934953004534</v>
      </c>
      <c r="AQ62" s="147">
        <f t="shared" si="143"/>
        <v>2148.071892019741</v>
      </c>
      <c r="AR62" s="147">
        <f t="shared" si="144"/>
        <v>7225.9314747931494</v>
      </c>
      <c r="AS62" s="147">
        <f t="shared" si="61"/>
        <v>6633.3593649173599</v>
      </c>
      <c r="AT62" s="147">
        <f t="shared" si="62"/>
        <v>-592.57210987578947</v>
      </c>
      <c r="AU62" t="str">
        <f t="shared" si="63"/>
        <v>No</v>
      </c>
      <c r="AV62">
        <f>COUNTIF(AU$54:AU62,"Yes")</f>
        <v>2</v>
      </c>
      <c r="AW62" cm="1">
        <f t="array" ref="AW62">INDEX($J$2:$J$7,IF(AV62&gt;5,6,AV62+1))</f>
        <v>1.0061800000000001</v>
      </c>
      <c r="AX62" s="147">
        <f t="shared" si="64"/>
        <v>592.57210987578947</v>
      </c>
      <c r="BB62">
        <v>9</v>
      </c>
      <c r="BC62" s="147">
        <f t="shared" si="148"/>
        <v>45.773528531515986</v>
      </c>
      <c r="BD62" s="147">
        <f t="shared" si="65"/>
        <v>18.341528531515984</v>
      </c>
      <c r="BE62" s="147">
        <f t="shared" si="66"/>
        <v>2012.8539847965546</v>
      </c>
      <c r="BF62" s="147">
        <f t="shared" si="67"/>
        <v>371.92617546013122</v>
      </c>
      <c r="BG62" s="147">
        <f t="shared" si="121"/>
        <v>928.50918313721456</v>
      </c>
      <c r="BH62" s="147">
        <f t="shared" si="122"/>
        <v>2080.8863438456788</v>
      </c>
      <c r="BI62" s="147">
        <f t="shared" si="123"/>
        <v>5206.2867053444288</v>
      </c>
      <c r="BJ62" s="147">
        <f t="shared" si="68"/>
        <v>4985.284511473852</v>
      </c>
      <c r="BK62" s="147">
        <f t="shared" si="69"/>
        <v>-221.00219387057678</v>
      </c>
      <c r="BL62" t="str">
        <f t="shared" si="70"/>
        <v>No</v>
      </c>
      <c r="BM62">
        <f>COUNTIF(BL$54:BL62,"Yes")</f>
        <v>2</v>
      </c>
      <c r="BN62" cm="1">
        <f t="array" ref="BN62">INDEX($J$2:$J$7,IF(BM62&gt;5,6,BM62+1))</f>
        <v>1.0061800000000001</v>
      </c>
      <c r="BO62" s="147">
        <f t="shared" si="71"/>
        <v>221.00219387057678</v>
      </c>
      <c r="BS62">
        <v>9</v>
      </c>
      <c r="BT62" s="147">
        <f t="shared" si="149"/>
        <v>45.773528531515986</v>
      </c>
      <c r="BU62" s="147">
        <f t="shared" si="72"/>
        <v>18.341528531515984</v>
      </c>
      <c r="BV62" s="147">
        <f t="shared" si="73"/>
        <v>2012.8539847965546</v>
      </c>
      <c r="BW62" s="147">
        <f t="shared" si="74"/>
        <v>371.92617546013122</v>
      </c>
      <c r="BX62" s="147">
        <f t="shared" si="124"/>
        <v>928.50918313721456</v>
      </c>
      <c r="BY62" s="147">
        <f t="shared" si="125"/>
        <v>2080.8863438456788</v>
      </c>
      <c r="BZ62" s="147">
        <f t="shared" si="126"/>
        <v>5206.2867053444288</v>
      </c>
      <c r="CA62" s="147">
        <f t="shared" si="75"/>
        <v>4985.284511473852</v>
      </c>
      <c r="CB62" s="147">
        <f t="shared" si="76"/>
        <v>-221.00219387057678</v>
      </c>
      <c r="CC62" t="str">
        <f t="shared" si="77"/>
        <v>No</v>
      </c>
      <c r="CD62">
        <f>COUNTIF(CC$54:CC62,"Yes")</f>
        <v>2</v>
      </c>
      <c r="CE62" cm="1">
        <f t="array" ref="CE62">INDEX($J$2:$J$7,IF(CD62&gt;5,6,CD62+1))</f>
        <v>1.0061800000000001</v>
      </c>
      <c r="CF62" s="147">
        <f t="shared" si="78"/>
        <v>221.00219387057678</v>
      </c>
      <c r="CJ62">
        <v>9</v>
      </c>
      <c r="CK62" s="147">
        <f t="shared" si="150"/>
        <v>45.773528531515986</v>
      </c>
      <c r="CL62" s="147">
        <f t="shared" si="79"/>
        <v>18.341528531515984</v>
      </c>
      <c r="CM62" s="147">
        <f t="shared" si="80"/>
        <v>2012.8539847965546</v>
      </c>
      <c r="CN62" s="147">
        <f t="shared" si="81"/>
        <v>371.92617546013122</v>
      </c>
      <c r="CO62" s="147">
        <f t="shared" si="127"/>
        <v>928.50918313721456</v>
      </c>
      <c r="CP62" s="147">
        <f t="shared" si="128"/>
        <v>2080.8863438456788</v>
      </c>
      <c r="CQ62" s="147">
        <f t="shared" si="129"/>
        <v>5206.2867053444288</v>
      </c>
      <c r="CR62" s="147">
        <f t="shared" si="82"/>
        <v>4985.284511473852</v>
      </c>
      <c r="CS62" s="147">
        <f t="shared" si="83"/>
        <v>-221.00219387057678</v>
      </c>
      <c r="CT62" t="str">
        <f t="shared" si="84"/>
        <v>No</v>
      </c>
      <c r="CU62">
        <f>COUNTIF(CT$54:CT62,"Yes")</f>
        <v>2</v>
      </c>
      <c r="CV62" cm="1">
        <f t="array" ref="CV62">INDEX($J$2:$J$7,IF(CU62&gt;5,6,CU62+1))</f>
        <v>1.0061800000000001</v>
      </c>
      <c r="CW62" s="147">
        <f t="shared" si="85"/>
        <v>221.00219387057678</v>
      </c>
      <c r="DA62">
        <v>9</v>
      </c>
      <c r="DB62" s="147">
        <f t="shared" si="151"/>
        <v>44.990826627042793</v>
      </c>
      <c r="DC62" s="147">
        <f t="shared" si="86"/>
        <v>17.558826627042791</v>
      </c>
      <c r="DD62" s="147">
        <f t="shared" si="87"/>
        <v>1951.2738124134353</v>
      </c>
      <c r="DE62" s="147">
        <f t="shared" si="88"/>
        <v>360.54766605427182</v>
      </c>
      <c r="DF62" s="147">
        <f t="shared" si="130"/>
        <v>883.72257658398291</v>
      </c>
      <c r="DG62" s="147">
        <f t="shared" si="131"/>
        <v>2072.2081344041208</v>
      </c>
      <c r="DH62" s="147">
        <f t="shared" si="132"/>
        <v>4811.7562094388559</v>
      </c>
      <c r="DI62" s="147">
        <f t="shared" si="89"/>
        <v>4758.6488484258462</v>
      </c>
      <c r="DJ62" s="147">
        <f t="shared" si="90"/>
        <v>-53.107361013009722</v>
      </c>
      <c r="DK62" t="str">
        <f t="shared" si="91"/>
        <v>No</v>
      </c>
      <c r="DL62">
        <f>COUNTIF(DK$54:DK62,"Yes")</f>
        <v>3</v>
      </c>
      <c r="DM62" cm="1">
        <f t="array" ref="DM62">INDEX($J$2:$J$7,IF(DL62&gt;5,6,DL62+1))</f>
        <v>1.000618</v>
      </c>
      <c r="DN62" s="147">
        <f t="shared" si="92"/>
        <v>53.107361013009722</v>
      </c>
      <c r="DR62">
        <v>9</v>
      </c>
      <c r="DS62" s="147">
        <f t="shared" si="152"/>
        <v>44.990826627042793</v>
      </c>
      <c r="DT62" s="147">
        <f t="shared" si="93"/>
        <v>17.558826627042791</v>
      </c>
      <c r="DU62" s="147">
        <f t="shared" si="94"/>
        <v>1951.2738124134353</v>
      </c>
      <c r="DV62" s="147">
        <f t="shared" si="95"/>
        <v>360.54766605427182</v>
      </c>
      <c r="DW62" s="147">
        <f t="shared" si="133"/>
        <v>883.72257658398291</v>
      </c>
      <c r="DX62" s="147">
        <f t="shared" si="134"/>
        <v>2072.2081344041208</v>
      </c>
      <c r="DY62" s="147">
        <f t="shared" si="135"/>
        <v>4811.7562094388559</v>
      </c>
      <c r="DZ62" s="147">
        <f t="shared" si="96"/>
        <v>4758.6488484258462</v>
      </c>
      <c r="EA62" s="147">
        <f t="shared" si="97"/>
        <v>-53.107361013009722</v>
      </c>
      <c r="EB62" t="str">
        <f t="shared" si="98"/>
        <v>No</v>
      </c>
      <c r="EC62">
        <f>COUNTIF(EB$54:EB62,"Yes")</f>
        <v>3</v>
      </c>
      <c r="ED62" cm="1">
        <f t="array" ref="ED62">INDEX($J$2:$J$7,IF(EC62&gt;5,6,EC62+1))</f>
        <v>1.000618</v>
      </c>
      <c r="EE62" s="147">
        <f t="shared" si="99"/>
        <v>53.107361013009722</v>
      </c>
      <c r="EI62">
        <v>9</v>
      </c>
      <c r="EJ62" s="147">
        <f t="shared" si="153"/>
        <v>44.990826627042793</v>
      </c>
      <c r="EK62" s="147">
        <f t="shared" si="100"/>
        <v>17.558826627042791</v>
      </c>
      <c r="EL62" s="147">
        <f t="shared" si="101"/>
        <v>1951.2738124134353</v>
      </c>
      <c r="EM62" s="147">
        <f t="shared" si="102"/>
        <v>360.54766605427182</v>
      </c>
      <c r="EN62" s="147">
        <f t="shared" si="136"/>
        <v>883.72257658398291</v>
      </c>
      <c r="EO62" s="147">
        <f t="shared" si="137"/>
        <v>2072.2081344041208</v>
      </c>
      <c r="EP62" s="147">
        <f t="shared" si="138"/>
        <v>4811.7562094388559</v>
      </c>
      <c r="EQ62" s="147">
        <f t="shared" si="103"/>
        <v>4758.6488484258462</v>
      </c>
      <c r="ER62" s="147">
        <f t="shared" si="104"/>
        <v>-53.107361013009722</v>
      </c>
      <c r="ES62" t="str">
        <f t="shared" si="105"/>
        <v>No</v>
      </c>
      <c r="ET62">
        <f>COUNTIF(ES$54:ES62,"Yes")</f>
        <v>3</v>
      </c>
      <c r="EU62" cm="1">
        <f t="array" ref="EU62">INDEX($J$2:$J$7,IF(ET62&gt;5,6,ET62+1))</f>
        <v>1.000618</v>
      </c>
      <c r="EV62" s="147">
        <f t="shared" si="106"/>
        <v>53.107361013009722</v>
      </c>
      <c r="EZ62">
        <v>9</v>
      </c>
      <c r="FA62" s="147">
        <f t="shared" si="154"/>
        <v>37.251756687562967</v>
      </c>
      <c r="FB62" s="147">
        <f t="shared" si="107"/>
        <v>9.8197566875629647</v>
      </c>
      <c r="FC62" s="147">
        <f t="shared" si="108"/>
        <v>1393.885563595092</v>
      </c>
      <c r="FD62" s="147">
        <f t="shared" si="109"/>
        <v>257.55595319518943</v>
      </c>
      <c r="FE62" s="147">
        <f t="shared" si="139"/>
        <v>500.47508242816809</v>
      </c>
      <c r="FF62" s="147">
        <f t="shared" si="140"/>
        <v>1584.7196901037646</v>
      </c>
      <c r="FG62" s="147">
        <f t="shared" si="141"/>
        <v>3149.8155931569681</v>
      </c>
      <c r="FH62" s="147">
        <f t="shared" si="110"/>
        <v>2819.284457282386</v>
      </c>
      <c r="FI62" s="147">
        <f t="shared" si="111"/>
        <v>-330.53113587458211</v>
      </c>
      <c r="FJ62" t="str">
        <f t="shared" si="112"/>
        <v>No</v>
      </c>
      <c r="FK62">
        <f>COUNTIF(FJ$54:FJ62,"Yes")</f>
        <v>2</v>
      </c>
      <c r="FL62" cm="1">
        <f t="array" ref="FL62">INDEX($J$2:$J$7,IF(FK62&gt;5,6,FK62+1))</f>
        <v>1.0061800000000001</v>
      </c>
      <c r="FM62" s="147">
        <f t="shared" si="113"/>
        <v>330.53113587458211</v>
      </c>
    </row>
    <row r="63" spans="1:169" x14ac:dyDescent="0.3">
      <c r="C63">
        <v>10</v>
      </c>
      <c r="D63" s="147">
        <f t="shared" si="155"/>
        <v>51.2889907860622</v>
      </c>
      <c r="E63" s="147">
        <f t="shared" si="42"/>
        <v>23.856990786062198</v>
      </c>
      <c r="F63" s="147">
        <f t="shared" si="43"/>
        <v>2473.9134638814835</v>
      </c>
      <c r="G63" s="147">
        <f t="shared" si="44"/>
        <v>457.11868818629893</v>
      </c>
      <c r="H63" s="147">
        <f t="shared" si="142"/>
        <v>1223.9567482007562</v>
      </c>
      <c r="I63" s="147">
        <f t="shared" si="114"/>
        <v>2205.9214759254164</v>
      </c>
      <c r="J63" s="147">
        <f t="shared" si="115"/>
        <v>7288.8832354411143</v>
      </c>
      <c r="K63" s="147">
        <f t="shared" si="46"/>
        <v>6741.1359703227017</v>
      </c>
      <c r="L63" s="147">
        <f t="shared" si="47"/>
        <v>-547.74726511841254</v>
      </c>
      <c r="M63" t="str">
        <f t="shared" si="48"/>
        <v>No</v>
      </c>
      <c r="N63">
        <f>COUNTIF(M$54:M63,"Yes")</f>
        <v>2</v>
      </c>
      <c r="O63" cm="1">
        <f t="array" ref="O63">INDEX($J$2:$J$7,IF(N63&gt;5,6,N63+1))</f>
        <v>1.0061800000000001</v>
      </c>
      <c r="P63" s="147">
        <f t="shared" si="49"/>
        <v>547.74726511841254</v>
      </c>
      <c r="T63">
        <v>10</v>
      </c>
      <c r="U63" s="147">
        <f t="shared" si="146"/>
        <v>51.2889907860622</v>
      </c>
      <c r="V63" s="147">
        <f t="shared" si="50"/>
        <v>23.856990786062198</v>
      </c>
      <c r="W63" s="147">
        <f t="shared" si="51"/>
        <v>2473.9134638814835</v>
      </c>
      <c r="X63" s="147">
        <f t="shared" si="52"/>
        <v>457.11868818629893</v>
      </c>
      <c r="Y63" s="147">
        <f t="shared" si="53"/>
        <v>1223.9567482007562</v>
      </c>
      <c r="Z63" s="147">
        <f t="shared" si="116"/>
        <v>2205.9214759254146</v>
      </c>
      <c r="AA63" s="147">
        <f t="shared" si="117"/>
        <v>7288.8832354411124</v>
      </c>
      <c r="AB63" s="147">
        <f t="shared" si="54"/>
        <v>6741.1359703227017</v>
      </c>
      <c r="AC63" s="147">
        <f t="shared" si="55"/>
        <v>-547.74726511841072</v>
      </c>
      <c r="AD63" t="str">
        <f t="shared" si="56"/>
        <v>No</v>
      </c>
      <c r="AE63">
        <f>COUNTIF(AD$54:AD63,"Yes")</f>
        <v>2</v>
      </c>
      <c r="AF63" cm="1">
        <f t="array" ref="AF63">INDEX($J$2:$J$7,IF(AE63&gt;5,6,AE63+1))</f>
        <v>1.0061800000000001</v>
      </c>
      <c r="AG63" s="147">
        <f t="shared" si="57"/>
        <v>547.74726511841072</v>
      </c>
      <c r="AK63">
        <v>10</v>
      </c>
      <c r="AL63" s="147">
        <f t="shared" si="147"/>
        <v>51.2889907860622</v>
      </c>
      <c r="AM63" s="147">
        <f t="shared" si="58"/>
        <v>23.856990786062198</v>
      </c>
      <c r="AN63" s="147">
        <f t="shared" si="59"/>
        <v>2473.9134638814835</v>
      </c>
      <c r="AO63" s="147">
        <f t="shared" si="60"/>
        <v>457.11868818629893</v>
      </c>
      <c r="AP63" s="147">
        <f t="shared" si="118"/>
        <v>1275.4917691776302</v>
      </c>
      <c r="AQ63" s="147">
        <f t="shared" si="143"/>
        <v>2154.3864549485406</v>
      </c>
      <c r="AR63" s="147">
        <f t="shared" si="144"/>
        <v>7237.3482144642385</v>
      </c>
      <c r="AS63" s="147">
        <f t="shared" si="61"/>
        <v>6741.1359703227017</v>
      </c>
      <c r="AT63" s="147">
        <f t="shared" si="62"/>
        <v>-496.21224414153676</v>
      </c>
      <c r="AU63" t="str">
        <f t="shared" si="63"/>
        <v>No</v>
      </c>
      <c r="AV63">
        <f>COUNTIF(AU$54:AU63,"Yes")</f>
        <v>2</v>
      </c>
      <c r="AW63" cm="1">
        <f t="array" ref="AW63">INDEX($J$2:$J$7,IF(AV63&gt;5,6,AV63+1))</f>
        <v>1.0061800000000001</v>
      </c>
      <c r="AX63" s="147">
        <f t="shared" si="64"/>
        <v>496.21224414153676</v>
      </c>
      <c r="BB63">
        <v>10</v>
      </c>
      <c r="BC63" s="147">
        <f t="shared" si="148"/>
        <v>46.056408937840757</v>
      </c>
      <c r="BD63" s="147">
        <f t="shared" si="65"/>
        <v>18.624408937840755</v>
      </c>
      <c r="BE63" s="147">
        <f t="shared" si="66"/>
        <v>2035.345355517187</v>
      </c>
      <c r="BF63" s="147">
        <f t="shared" si="67"/>
        <v>376.08203055750243</v>
      </c>
      <c r="BG63" s="147">
        <f t="shared" si="121"/>
        <v>944.96808870937468</v>
      </c>
      <c r="BH63" s="147">
        <f t="shared" si="122"/>
        <v>2086.9188089941513</v>
      </c>
      <c r="BI63" s="147">
        <f t="shared" si="123"/>
        <v>5216.4750255902727</v>
      </c>
      <c r="BJ63" s="147">
        <f t="shared" si="68"/>
        <v>5068.5722455636733</v>
      </c>
      <c r="BK63" s="147">
        <f t="shared" si="69"/>
        <v>-147.90278002659943</v>
      </c>
      <c r="BL63" t="str">
        <f t="shared" si="70"/>
        <v>No</v>
      </c>
      <c r="BM63">
        <f>COUNTIF(BL$54:BL63,"Yes")</f>
        <v>2</v>
      </c>
      <c r="BN63" cm="1">
        <f t="array" ref="BN63">INDEX($J$2:$J$7,IF(BM63&gt;5,6,BM63+1))</f>
        <v>1.0061800000000001</v>
      </c>
      <c r="BO63" s="147">
        <f t="shared" si="71"/>
        <v>147.90278002659943</v>
      </c>
      <c r="BS63">
        <v>10</v>
      </c>
      <c r="BT63" s="147">
        <f t="shared" si="149"/>
        <v>46.056408937840757</v>
      </c>
      <c r="BU63" s="147">
        <f t="shared" si="72"/>
        <v>18.624408937840755</v>
      </c>
      <c r="BV63" s="147">
        <f t="shared" si="73"/>
        <v>2035.345355517187</v>
      </c>
      <c r="BW63" s="147">
        <f t="shared" si="74"/>
        <v>376.08203055750243</v>
      </c>
      <c r="BX63" s="147">
        <f t="shared" si="124"/>
        <v>944.96808870937468</v>
      </c>
      <c r="BY63" s="147">
        <f t="shared" si="125"/>
        <v>2086.9188089941513</v>
      </c>
      <c r="BZ63" s="147">
        <f t="shared" si="126"/>
        <v>5216.4750255902727</v>
      </c>
      <c r="CA63" s="147">
        <f t="shared" si="75"/>
        <v>5068.5722455636733</v>
      </c>
      <c r="CB63" s="147">
        <f t="shared" si="76"/>
        <v>-147.90278002659943</v>
      </c>
      <c r="CC63" t="str">
        <f t="shared" si="77"/>
        <v>No</v>
      </c>
      <c r="CD63">
        <f>COUNTIF(CC$54:CC63,"Yes")</f>
        <v>2</v>
      </c>
      <c r="CE63" cm="1">
        <f t="array" ref="CE63">INDEX($J$2:$J$7,IF(CD63&gt;5,6,CD63+1))</f>
        <v>1.0061800000000001</v>
      </c>
      <c r="CF63" s="147">
        <f t="shared" si="78"/>
        <v>147.90278002659943</v>
      </c>
      <c r="CJ63">
        <v>10</v>
      </c>
      <c r="CK63" s="147">
        <f t="shared" si="150"/>
        <v>46.056408937840757</v>
      </c>
      <c r="CL63" s="147">
        <f t="shared" si="79"/>
        <v>18.624408937840755</v>
      </c>
      <c r="CM63" s="147">
        <f t="shared" si="80"/>
        <v>2035.345355517187</v>
      </c>
      <c r="CN63" s="147">
        <f t="shared" si="81"/>
        <v>376.08203055750243</v>
      </c>
      <c r="CO63" s="147">
        <f t="shared" si="127"/>
        <v>944.96808870937468</v>
      </c>
      <c r="CP63" s="147">
        <f t="shared" si="128"/>
        <v>2086.9188089941513</v>
      </c>
      <c r="CQ63" s="147">
        <f t="shared" si="129"/>
        <v>5216.4750255902727</v>
      </c>
      <c r="CR63" s="147">
        <f t="shared" si="82"/>
        <v>5068.5722455636733</v>
      </c>
      <c r="CS63" s="147">
        <f t="shared" si="83"/>
        <v>-147.90278002659943</v>
      </c>
      <c r="CT63" t="str">
        <f t="shared" si="84"/>
        <v>No</v>
      </c>
      <c r="CU63">
        <f>COUNTIF(CT$54:CT63,"Yes")</f>
        <v>2</v>
      </c>
      <c r="CV63" cm="1">
        <f t="array" ref="CV63">INDEX($J$2:$J$7,IF(CU63&gt;5,6,CU63+1))</f>
        <v>1.0061800000000001</v>
      </c>
      <c r="CW63" s="147">
        <f t="shared" si="85"/>
        <v>147.90278002659943</v>
      </c>
      <c r="DA63">
        <v>10</v>
      </c>
      <c r="DB63" s="147">
        <f t="shared" si="151"/>
        <v>45.018630957898303</v>
      </c>
      <c r="DC63" s="147">
        <f t="shared" si="86"/>
        <v>17.586630957898301</v>
      </c>
      <c r="DD63" s="147">
        <f t="shared" si="87"/>
        <v>1953.444968764439</v>
      </c>
      <c r="DE63" s="147">
        <f t="shared" si="88"/>
        <v>360.94884263441821</v>
      </c>
      <c r="DF63" s="147">
        <f t="shared" si="130"/>
        <v>885.29459087798352</v>
      </c>
      <c r="DG63" s="147">
        <f t="shared" si="131"/>
        <v>2072.8072764611238</v>
      </c>
      <c r="DH63" s="147">
        <f t="shared" si="132"/>
        <v>4812.7565280760045</v>
      </c>
      <c r="DI63" s="147">
        <f t="shared" si="89"/>
        <v>4766.603782484498</v>
      </c>
      <c r="DJ63" s="147">
        <f t="shared" si="90"/>
        <v>-46.152745591506573</v>
      </c>
      <c r="DK63" t="str">
        <f t="shared" si="91"/>
        <v>No</v>
      </c>
      <c r="DL63">
        <f>COUNTIF(DK$54:DK63,"Yes")</f>
        <v>3</v>
      </c>
      <c r="DM63" cm="1">
        <f t="array" ref="DM63">INDEX($J$2:$J$7,IF(DL63&gt;5,6,DL63+1))</f>
        <v>1.000618</v>
      </c>
      <c r="DN63" s="147">
        <f t="shared" si="92"/>
        <v>46.152745591506573</v>
      </c>
      <c r="DR63">
        <v>10</v>
      </c>
      <c r="DS63" s="147">
        <f t="shared" si="152"/>
        <v>45.018630957898303</v>
      </c>
      <c r="DT63" s="147">
        <f t="shared" si="93"/>
        <v>17.586630957898301</v>
      </c>
      <c r="DU63" s="147">
        <f t="shared" si="94"/>
        <v>1953.444968764439</v>
      </c>
      <c r="DV63" s="147">
        <f t="shared" si="95"/>
        <v>360.94884263441821</v>
      </c>
      <c r="DW63" s="147">
        <f t="shared" si="133"/>
        <v>885.29459087798352</v>
      </c>
      <c r="DX63" s="147">
        <f t="shared" si="134"/>
        <v>2072.8072764611238</v>
      </c>
      <c r="DY63" s="147">
        <f t="shared" si="135"/>
        <v>4812.7565280760045</v>
      </c>
      <c r="DZ63" s="147">
        <f t="shared" si="96"/>
        <v>4766.603782484498</v>
      </c>
      <c r="EA63" s="147">
        <f t="shared" si="97"/>
        <v>-46.152745591506573</v>
      </c>
      <c r="EB63" t="str">
        <f t="shared" si="98"/>
        <v>No</v>
      </c>
      <c r="EC63">
        <f>COUNTIF(EB$54:EB63,"Yes")</f>
        <v>3</v>
      </c>
      <c r="ED63" cm="1">
        <f t="array" ref="ED63">INDEX($J$2:$J$7,IF(EC63&gt;5,6,EC63+1))</f>
        <v>1.000618</v>
      </c>
      <c r="EE63" s="147">
        <f t="shared" si="99"/>
        <v>46.152745591506573</v>
      </c>
      <c r="EI63">
        <v>10</v>
      </c>
      <c r="EJ63" s="147">
        <f t="shared" si="153"/>
        <v>45.018630957898303</v>
      </c>
      <c r="EK63" s="147">
        <f t="shared" si="100"/>
        <v>17.586630957898301</v>
      </c>
      <c r="EL63" s="147">
        <f t="shared" si="101"/>
        <v>1953.444968764439</v>
      </c>
      <c r="EM63" s="147">
        <f t="shared" si="102"/>
        <v>360.94884263441821</v>
      </c>
      <c r="EN63" s="147">
        <f t="shared" si="136"/>
        <v>885.29459087798352</v>
      </c>
      <c r="EO63" s="147">
        <f t="shared" si="137"/>
        <v>2072.8072764611238</v>
      </c>
      <c r="EP63" s="147">
        <f t="shared" si="138"/>
        <v>4812.7565280760045</v>
      </c>
      <c r="EQ63" s="147">
        <f t="shared" si="103"/>
        <v>4766.603782484498</v>
      </c>
      <c r="ER63" s="147">
        <f t="shared" si="104"/>
        <v>-46.152745591506573</v>
      </c>
      <c r="ES63" t="str">
        <f t="shared" si="105"/>
        <v>No</v>
      </c>
      <c r="ET63">
        <f>COUNTIF(ES$54:ES63,"Yes")</f>
        <v>3</v>
      </c>
      <c r="EU63" cm="1">
        <f t="array" ref="EU63">INDEX($J$2:$J$7,IF(ET63&gt;5,6,ET63+1))</f>
        <v>1.000618</v>
      </c>
      <c r="EV63" s="147">
        <f t="shared" si="106"/>
        <v>46.152745591506573</v>
      </c>
      <c r="EZ63">
        <v>10</v>
      </c>
      <c r="FA63" s="147">
        <f t="shared" si="154"/>
        <v>37.481972543892105</v>
      </c>
      <c r="FB63" s="147">
        <f t="shared" si="107"/>
        <v>10.049972543892103</v>
      </c>
      <c r="FC63" s="147">
        <f t="shared" si="108"/>
        <v>1409.1165886726126</v>
      </c>
      <c r="FD63" s="147">
        <f t="shared" si="109"/>
        <v>260.3702740292922</v>
      </c>
      <c r="FE63" s="147">
        <f t="shared" si="139"/>
        <v>510.31379739315656</v>
      </c>
      <c r="FF63" s="147">
        <f t="shared" si="140"/>
        <v>1590.112000216297</v>
      </c>
      <c r="FG63" s="147">
        <f t="shared" si="141"/>
        <v>3158.0222241036031</v>
      </c>
      <c r="FH63" s="147">
        <f t="shared" si="110"/>
        <v>2869.0717455195563</v>
      </c>
      <c r="FI63" s="147">
        <f t="shared" si="111"/>
        <v>-288.95047858404678</v>
      </c>
      <c r="FJ63" t="str">
        <f t="shared" si="112"/>
        <v>No</v>
      </c>
      <c r="FK63">
        <f>COUNTIF(FJ$54:FJ63,"Yes")</f>
        <v>2</v>
      </c>
      <c r="FL63" cm="1">
        <f t="array" ref="FL63">INDEX($J$2:$J$7,IF(FK63&gt;5,6,FK63+1))</f>
        <v>1.0061800000000001</v>
      </c>
      <c r="FM63" s="147">
        <f t="shared" si="113"/>
        <v>288.95047858404678</v>
      </c>
    </row>
    <row r="64" spans="1:169" x14ac:dyDescent="0.3">
      <c r="C64">
        <v>11</v>
      </c>
      <c r="D64" s="147">
        <f t="shared" si="155"/>
        <v>51.605956749120068</v>
      </c>
      <c r="E64" s="147">
        <f t="shared" si="42"/>
        <v>24.173956749120066</v>
      </c>
      <c r="F64" s="147">
        <f t="shared" si="43"/>
        <v>2501.853355331164</v>
      </c>
      <c r="G64" s="147">
        <f t="shared" si="44"/>
        <v>462.28129662592767</v>
      </c>
      <c r="H64" s="147">
        <f t="shared" si="142"/>
        <v>1244.6944646600298</v>
      </c>
      <c r="I64" s="147">
        <f t="shared" si="114"/>
        <v>2213.1236509158225</v>
      </c>
      <c r="J64" s="147">
        <f t="shared" si="115"/>
        <v>7301.2480188711488</v>
      </c>
      <c r="K64" s="147">
        <f t="shared" si="46"/>
        <v>6850.494487986266</v>
      </c>
      <c r="L64" s="147">
        <f t="shared" si="47"/>
        <v>-450.75353088488282</v>
      </c>
      <c r="M64" t="str">
        <f t="shared" si="48"/>
        <v>No</v>
      </c>
      <c r="N64">
        <f>COUNTIF(M$54:M64,"Yes")</f>
        <v>2</v>
      </c>
      <c r="O64" cm="1">
        <f t="array" ref="O64">INDEX($J$2:$J$7,IF(N64&gt;5,6,N64+1))</f>
        <v>1.0061800000000001</v>
      </c>
      <c r="P64" s="147">
        <f t="shared" si="49"/>
        <v>450.75353088488282</v>
      </c>
      <c r="T64">
        <v>11</v>
      </c>
      <c r="U64" s="147">
        <f t="shared" si="146"/>
        <v>51.605956749120068</v>
      </c>
      <c r="V64" s="147">
        <f t="shared" si="50"/>
        <v>24.173956749120066</v>
      </c>
      <c r="W64" s="147">
        <f t="shared" si="51"/>
        <v>2501.853355331164</v>
      </c>
      <c r="X64" s="147">
        <f t="shared" si="52"/>
        <v>462.28129662592767</v>
      </c>
      <c r="Y64" s="147">
        <f t="shared" si="53"/>
        <v>1244.6944646600298</v>
      </c>
      <c r="Z64" s="147">
        <f t="shared" si="116"/>
        <v>2213.1236509158225</v>
      </c>
      <c r="AA64" s="147">
        <f t="shared" si="117"/>
        <v>7301.2480188711488</v>
      </c>
      <c r="AB64" s="147">
        <f t="shared" si="54"/>
        <v>6850.494487986266</v>
      </c>
      <c r="AC64" s="147">
        <f t="shared" si="55"/>
        <v>-450.75353088488282</v>
      </c>
      <c r="AD64" t="str">
        <f t="shared" si="56"/>
        <v>No</v>
      </c>
      <c r="AE64">
        <f>COUNTIF(AD$54:AD64,"Yes")</f>
        <v>2</v>
      </c>
      <c r="AF64" cm="1">
        <f t="array" ref="AF64">INDEX($J$2:$J$7,IF(AE64&gt;5,6,AE64+1))</f>
        <v>1.0061800000000001</v>
      </c>
      <c r="AG64" s="147">
        <f t="shared" si="57"/>
        <v>450.75353088488282</v>
      </c>
      <c r="AK64">
        <v>11</v>
      </c>
      <c r="AL64" s="147">
        <f t="shared" si="147"/>
        <v>51.605956749120068</v>
      </c>
      <c r="AM64" s="147">
        <f t="shared" si="58"/>
        <v>24.173956749120066</v>
      </c>
      <c r="AN64" s="147">
        <f t="shared" si="59"/>
        <v>2501.853355331164</v>
      </c>
      <c r="AO64" s="147">
        <f t="shared" si="60"/>
        <v>462.28129662592767</v>
      </c>
      <c r="AP64" s="147">
        <f t="shared" si="118"/>
        <v>1297.1026526457154</v>
      </c>
      <c r="AQ64" s="147">
        <f t="shared" si="143"/>
        <v>2160.7154629301367</v>
      </c>
      <c r="AR64" s="147">
        <f t="shared" si="144"/>
        <v>7248.839830885463</v>
      </c>
      <c r="AS64" s="147">
        <f t="shared" si="61"/>
        <v>6850.494487986266</v>
      </c>
      <c r="AT64" s="147">
        <f t="shared" si="62"/>
        <v>-398.34534289919702</v>
      </c>
      <c r="AU64" t="str">
        <f t="shared" si="63"/>
        <v>No</v>
      </c>
      <c r="AV64">
        <f>COUNTIF(AU$54:AU64,"Yes")</f>
        <v>2</v>
      </c>
      <c r="AW64" cm="1">
        <f t="array" ref="AW64">INDEX($J$2:$J$7,IF(AV64&gt;5,6,AV64+1))</f>
        <v>1.0061800000000001</v>
      </c>
      <c r="AX64" s="147">
        <f t="shared" si="64"/>
        <v>398.34534289919702</v>
      </c>
      <c r="BB64">
        <v>11</v>
      </c>
      <c r="BC64" s="147">
        <f t="shared" si="148"/>
        <v>46.341037545076617</v>
      </c>
      <c r="BD64" s="147">
        <f t="shared" si="65"/>
        <v>18.909037545076615</v>
      </c>
      <c r="BE64" s="147">
        <f t="shared" si="66"/>
        <v>2058.1018443402922</v>
      </c>
      <c r="BF64" s="147">
        <f t="shared" si="67"/>
        <v>380.28687299456288</v>
      </c>
      <c r="BG64" s="147">
        <f t="shared" si="121"/>
        <v>961.67465135897896</v>
      </c>
      <c r="BH64" s="147">
        <f t="shared" si="122"/>
        <v>2092.9687351676521</v>
      </c>
      <c r="BI64" s="147">
        <f t="shared" si="123"/>
        <v>5226.7297942008345</v>
      </c>
      <c r="BJ64" s="147">
        <f t="shared" si="68"/>
        <v>5153.1132098103362</v>
      </c>
      <c r="BK64" s="147">
        <f t="shared" si="69"/>
        <v>-73.616584390498247</v>
      </c>
      <c r="BL64" t="str">
        <f t="shared" si="70"/>
        <v>No</v>
      </c>
      <c r="BM64">
        <f>COUNTIF(BL$54:BL64,"Yes")</f>
        <v>2</v>
      </c>
      <c r="BN64" cm="1">
        <f t="array" ref="BN64">INDEX($J$2:$J$7,IF(BM64&gt;5,6,BM64+1))</f>
        <v>1.0061800000000001</v>
      </c>
      <c r="BO64" s="147">
        <f t="shared" si="71"/>
        <v>73.616584390498247</v>
      </c>
      <c r="BS64">
        <v>11</v>
      </c>
      <c r="BT64" s="147">
        <f t="shared" si="149"/>
        <v>46.341037545076617</v>
      </c>
      <c r="BU64" s="147">
        <f t="shared" si="72"/>
        <v>18.909037545076615</v>
      </c>
      <c r="BV64" s="147">
        <f t="shared" si="73"/>
        <v>2058.1018443402922</v>
      </c>
      <c r="BW64" s="147">
        <f t="shared" si="74"/>
        <v>380.28687299456288</v>
      </c>
      <c r="BX64" s="147">
        <f t="shared" si="124"/>
        <v>961.67465135897896</v>
      </c>
      <c r="BY64" s="147">
        <f t="shared" si="125"/>
        <v>2092.9687351676521</v>
      </c>
      <c r="BZ64" s="147">
        <f t="shared" si="126"/>
        <v>5226.7297942008345</v>
      </c>
      <c r="CA64" s="147">
        <f t="shared" si="75"/>
        <v>5153.1132098103362</v>
      </c>
      <c r="CB64" s="147">
        <f t="shared" si="76"/>
        <v>-73.616584390498247</v>
      </c>
      <c r="CC64" t="str">
        <f t="shared" si="77"/>
        <v>No</v>
      </c>
      <c r="CD64">
        <f>COUNTIF(CC$54:CC64,"Yes")</f>
        <v>2</v>
      </c>
      <c r="CE64" cm="1">
        <f t="array" ref="CE64">INDEX($J$2:$J$7,IF(CD64&gt;5,6,CD64+1))</f>
        <v>1.0061800000000001</v>
      </c>
      <c r="CF64" s="147">
        <f t="shared" si="78"/>
        <v>73.616584390498247</v>
      </c>
      <c r="CJ64">
        <v>11</v>
      </c>
      <c r="CK64" s="147">
        <f t="shared" si="150"/>
        <v>46.341037545076617</v>
      </c>
      <c r="CL64" s="147">
        <f t="shared" si="79"/>
        <v>18.909037545076615</v>
      </c>
      <c r="CM64" s="147">
        <f t="shared" si="80"/>
        <v>2058.1018443402922</v>
      </c>
      <c r="CN64" s="147">
        <f t="shared" si="81"/>
        <v>380.28687299456288</v>
      </c>
      <c r="CO64" s="147">
        <f t="shared" si="127"/>
        <v>961.67465135897896</v>
      </c>
      <c r="CP64" s="147">
        <f t="shared" si="128"/>
        <v>2092.9687351676521</v>
      </c>
      <c r="CQ64" s="147">
        <f t="shared" si="129"/>
        <v>5226.7297942008345</v>
      </c>
      <c r="CR64" s="147">
        <f t="shared" si="82"/>
        <v>5153.1132098103362</v>
      </c>
      <c r="CS64" s="147">
        <f t="shared" si="83"/>
        <v>-73.616584390498247</v>
      </c>
      <c r="CT64" t="str">
        <f t="shared" si="84"/>
        <v>No</v>
      </c>
      <c r="CU64">
        <f>COUNTIF(CT$54:CT64,"Yes")</f>
        <v>2</v>
      </c>
      <c r="CV64" cm="1">
        <f t="array" ref="CV64">INDEX($J$2:$J$7,IF(CU64&gt;5,6,CU64+1))</f>
        <v>1.0061800000000001</v>
      </c>
      <c r="CW64" s="147">
        <f t="shared" si="85"/>
        <v>73.616584390498247</v>
      </c>
      <c r="DA64">
        <v>11</v>
      </c>
      <c r="DB64" s="147">
        <f t="shared" si="151"/>
        <v>45.046452471830285</v>
      </c>
      <c r="DC64" s="147">
        <f t="shared" si="86"/>
        <v>17.614452471830283</v>
      </c>
      <c r="DD64" s="147">
        <f t="shared" si="87"/>
        <v>1955.6186752462222</v>
      </c>
      <c r="DE64" s="147">
        <f t="shared" si="88"/>
        <v>361.35049041634824</v>
      </c>
      <c r="DF64" s="147">
        <f t="shared" si="130"/>
        <v>886.86897492256458</v>
      </c>
      <c r="DG64" s="147">
        <f t="shared" si="131"/>
        <v>2073.4065988983252</v>
      </c>
      <c r="DH64" s="147">
        <f t="shared" si="132"/>
        <v>4813.7574982951373</v>
      </c>
      <c r="DI64" s="147">
        <f t="shared" si="89"/>
        <v>4774.570708297726</v>
      </c>
      <c r="DJ64" s="147">
        <f t="shared" si="90"/>
        <v>-39.186789997411324</v>
      </c>
      <c r="DK64" t="str">
        <f t="shared" si="91"/>
        <v>No</v>
      </c>
      <c r="DL64">
        <f>COUNTIF(DK$54:DK64,"Yes")</f>
        <v>3</v>
      </c>
      <c r="DM64" cm="1">
        <f t="array" ref="DM64">INDEX($J$2:$J$7,IF(DL64&gt;5,6,DL64+1))</f>
        <v>1.000618</v>
      </c>
      <c r="DN64" s="147">
        <f t="shared" si="92"/>
        <v>39.186789997411324</v>
      </c>
      <c r="DR64">
        <v>11</v>
      </c>
      <c r="DS64" s="147">
        <f t="shared" si="152"/>
        <v>45.046452471830285</v>
      </c>
      <c r="DT64" s="147">
        <f t="shared" si="93"/>
        <v>17.614452471830283</v>
      </c>
      <c r="DU64" s="147">
        <f t="shared" si="94"/>
        <v>1955.6186752462222</v>
      </c>
      <c r="DV64" s="147">
        <f t="shared" si="95"/>
        <v>361.35049041634824</v>
      </c>
      <c r="DW64" s="147">
        <f t="shared" si="133"/>
        <v>886.86897492256458</v>
      </c>
      <c r="DX64" s="147">
        <f t="shared" si="134"/>
        <v>2073.4065988983252</v>
      </c>
      <c r="DY64" s="147">
        <f t="shared" si="135"/>
        <v>4813.7574982951373</v>
      </c>
      <c r="DZ64" s="147">
        <f t="shared" si="96"/>
        <v>4774.570708297726</v>
      </c>
      <c r="EA64" s="147">
        <f t="shared" si="97"/>
        <v>-39.186789997411324</v>
      </c>
      <c r="EB64" t="str">
        <f t="shared" si="98"/>
        <v>No</v>
      </c>
      <c r="EC64">
        <f>COUNTIF(EB$54:EB64,"Yes")</f>
        <v>3</v>
      </c>
      <c r="ED64" cm="1">
        <f t="array" ref="ED64">INDEX($J$2:$J$7,IF(EC64&gt;5,6,EC64+1))</f>
        <v>1.000618</v>
      </c>
      <c r="EE64" s="147">
        <f t="shared" si="99"/>
        <v>39.186789997411324</v>
      </c>
      <c r="EI64">
        <v>11</v>
      </c>
      <c r="EJ64" s="147">
        <f t="shared" si="153"/>
        <v>45.046452471830285</v>
      </c>
      <c r="EK64" s="147">
        <f t="shared" si="100"/>
        <v>17.614452471830283</v>
      </c>
      <c r="EL64" s="147">
        <f t="shared" si="101"/>
        <v>1955.6186752462222</v>
      </c>
      <c r="EM64" s="147">
        <f t="shared" si="102"/>
        <v>361.35049041634824</v>
      </c>
      <c r="EN64" s="147">
        <f t="shared" si="136"/>
        <v>886.86897492256458</v>
      </c>
      <c r="EO64" s="147">
        <f t="shared" si="137"/>
        <v>2073.4065988983261</v>
      </c>
      <c r="EP64" s="147">
        <f t="shared" si="138"/>
        <v>4813.7574982951373</v>
      </c>
      <c r="EQ64" s="147">
        <f t="shared" si="103"/>
        <v>4774.570708297726</v>
      </c>
      <c r="ER64" s="147">
        <f t="shared" si="104"/>
        <v>-39.186789997411324</v>
      </c>
      <c r="ES64" t="str">
        <f t="shared" si="105"/>
        <v>No</v>
      </c>
      <c r="ET64">
        <f>COUNTIF(ES$54:ES64,"Yes")</f>
        <v>3</v>
      </c>
      <c r="EU64" cm="1">
        <f t="array" ref="EU64">INDEX($J$2:$J$7,IF(ET64&gt;5,6,ET64+1))</f>
        <v>1.000618</v>
      </c>
      <c r="EV64" s="147">
        <f t="shared" si="106"/>
        <v>39.186789997411324</v>
      </c>
      <c r="EZ64">
        <v>11</v>
      </c>
      <c r="FA64" s="147">
        <f t="shared" si="154"/>
        <v>37.713611134213359</v>
      </c>
      <c r="FB64" s="147">
        <f t="shared" si="107"/>
        <v>10.281611134213357</v>
      </c>
      <c r="FC64" s="147">
        <f t="shared" si="108"/>
        <v>1424.5252736279351</v>
      </c>
      <c r="FD64" s="147">
        <f t="shared" si="109"/>
        <v>263.21742206267646</v>
      </c>
      <c r="FE64" s="147">
        <f t="shared" si="139"/>
        <v>520.30997458841466</v>
      </c>
      <c r="FF64" s="147">
        <f t="shared" si="140"/>
        <v>1595.5245079763613</v>
      </c>
      <c r="FG64" s="147">
        <f t="shared" si="141"/>
        <v>3166.281879897052</v>
      </c>
      <c r="FH64" s="147">
        <f t="shared" si="110"/>
        <v>2919.6558469048664</v>
      </c>
      <c r="FI64" s="147">
        <f t="shared" si="111"/>
        <v>-246.62603299218563</v>
      </c>
      <c r="FJ64" t="str">
        <f t="shared" si="112"/>
        <v>No</v>
      </c>
      <c r="FK64">
        <f>COUNTIF(FJ$54:FJ64,"Yes")</f>
        <v>2</v>
      </c>
      <c r="FL64" cm="1">
        <f t="array" ref="FL64">INDEX($J$2:$J$7,IF(FK64&gt;5,6,FK64+1))</f>
        <v>1.0061800000000001</v>
      </c>
      <c r="FM64" s="147">
        <f t="shared" si="113"/>
        <v>246.62603299218563</v>
      </c>
    </row>
    <row r="65" spans="3:169" x14ac:dyDescent="0.3">
      <c r="C65">
        <v>12</v>
      </c>
      <c r="D65" s="147">
        <f t="shared" si="155"/>
        <v>51.924881561829636</v>
      </c>
      <c r="E65" s="147">
        <f t="shared" si="42"/>
        <v>24.492881561829634</v>
      </c>
      <c r="F65" s="147">
        <f t="shared" si="43"/>
        <v>2530.1242617901971</v>
      </c>
      <c r="G65" s="147">
        <f t="shared" si="44"/>
        <v>467.50506854158499</v>
      </c>
      <c r="H65" s="147">
        <f t="shared" si="142"/>
        <v>1265.7361671290016</v>
      </c>
      <c r="I65" s="147">
        <f t="shared" si="114"/>
        <v>2220.3528549058838</v>
      </c>
      <c r="J65" s="147">
        <f t="shared" si="115"/>
        <v>7313.7009947768674</v>
      </c>
      <c r="K65" s="147">
        <f t="shared" si="46"/>
        <v>6961.4560490454869</v>
      </c>
      <c r="L65" s="147">
        <f t="shared" si="47"/>
        <v>-352.24494573138054</v>
      </c>
      <c r="M65" t="str">
        <f t="shared" si="48"/>
        <v>No</v>
      </c>
      <c r="N65">
        <f>COUNTIF(M$54:M65,"Yes")</f>
        <v>2</v>
      </c>
      <c r="O65" cm="1">
        <f t="array" ref="O65">INDEX($J$2:$J$7,IF(N65&gt;5,6,N65+1))</f>
        <v>1.0061800000000001</v>
      </c>
      <c r="P65" s="147">
        <f t="shared" si="49"/>
        <v>352.24494573138054</v>
      </c>
      <c r="T65">
        <v>12</v>
      </c>
      <c r="U65" s="147">
        <f t="shared" si="146"/>
        <v>51.924881561829636</v>
      </c>
      <c r="V65" s="147">
        <f t="shared" si="50"/>
        <v>24.492881561829634</v>
      </c>
      <c r="W65" s="147">
        <f t="shared" si="51"/>
        <v>2530.1242617901971</v>
      </c>
      <c r="X65" s="147">
        <f t="shared" si="52"/>
        <v>467.50506854158499</v>
      </c>
      <c r="Y65" s="147">
        <f t="shared" si="53"/>
        <v>1265.7361671290016</v>
      </c>
      <c r="Z65" s="147">
        <f t="shared" si="116"/>
        <v>2220.3528549058829</v>
      </c>
      <c r="AA65" s="147">
        <f t="shared" si="117"/>
        <v>7313.7009947768656</v>
      </c>
      <c r="AB65" s="147">
        <f t="shared" si="54"/>
        <v>6961.4560490454869</v>
      </c>
      <c r="AC65" s="147">
        <f t="shared" si="55"/>
        <v>-352.24494573137872</v>
      </c>
      <c r="AD65" t="str">
        <f t="shared" si="56"/>
        <v>No</v>
      </c>
      <c r="AE65">
        <f>COUNTIF(AD$54:AD65,"Yes")</f>
        <v>2</v>
      </c>
      <c r="AF65" cm="1">
        <f t="array" ref="AF65">INDEX($J$2:$J$7,IF(AE65&gt;5,6,AE65+1))</f>
        <v>1.0061800000000001</v>
      </c>
      <c r="AG65" s="147">
        <f t="shared" si="57"/>
        <v>352.24494573137872</v>
      </c>
      <c r="AK65">
        <v>12</v>
      </c>
      <c r="AL65" s="147">
        <f t="shared" si="147"/>
        <v>51.924881561829636</v>
      </c>
      <c r="AM65" s="147">
        <f t="shared" si="58"/>
        <v>24.492881561829634</v>
      </c>
      <c r="AN65" s="147">
        <f t="shared" si="59"/>
        <v>2530.1242617901971</v>
      </c>
      <c r="AO65" s="147">
        <f t="shared" si="60"/>
        <v>467.50506854158499</v>
      </c>
      <c r="AP65" s="147">
        <f t="shared" si="118"/>
        <v>1319.0303215344334</v>
      </c>
      <c r="AQ65" s="147">
        <f t="shared" si="143"/>
        <v>2167.0587005004513</v>
      </c>
      <c r="AR65" s="147">
        <f t="shared" si="144"/>
        <v>7260.4068403714336</v>
      </c>
      <c r="AS65" s="147">
        <f t="shared" si="61"/>
        <v>6961.4560490454869</v>
      </c>
      <c r="AT65" s="147">
        <f t="shared" si="62"/>
        <v>-298.95079132594674</v>
      </c>
      <c r="AU65" t="str">
        <f t="shared" si="63"/>
        <v>No</v>
      </c>
      <c r="AV65">
        <f>COUNTIF(AU$54:AU65,"Yes")</f>
        <v>2</v>
      </c>
      <c r="AW65" cm="1">
        <f t="array" ref="AW65">INDEX($J$2:$J$7,IF(AV65&gt;5,6,AV65+1))</f>
        <v>1.0061800000000001</v>
      </c>
      <c r="AX65" s="147">
        <f t="shared" si="64"/>
        <v>298.95079132594674</v>
      </c>
      <c r="BB65">
        <v>12</v>
      </c>
      <c r="BC65" s="147">
        <f t="shared" si="148"/>
        <v>46.627425157105193</v>
      </c>
      <c r="BD65" s="147">
        <f t="shared" si="65"/>
        <v>19.195425157105191</v>
      </c>
      <c r="BE65" s="147">
        <f t="shared" si="66"/>
        <v>2081.1266533735165</v>
      </c>
      <c r="BF65" s="147">
        <f t="shared" si="67"/>
        <v>384.54129444247161</v>
      </c>
      <c r="BG65" s="147">
        <f t="shared" si="121"/>
        <v>978.63221101187116</v>
      </c>
      <c r="BH65" s="147">
        <f t="shared" si="122"/>
        <v>2099.0359845479843</v>
      </c>
      <c r="BI65" s="147">
        <f t="shared" si="123"/>
        <v>5237.0514650290752</v>
      </c>
      <c r="BJ65" s="147">
        <f t="shared" si="68"/>
        <v>5238.9243053895798</v>
      </c>
      <c r="BK65" s="147">
        <f t="shared" si="69"/>
        <v>1.8728403605045969</v>
      </c>
      <c r="BL65" t="str">
        <f t="shared" si="70"/>
        <v>Yes</v>
      </c>
      <c r="BM65">
        <f>COUNTIF(BL$54:BL65,"Yes")</f>
        <v>3</v>
      </c>
      <c r="BN65" cm="1">
        <f t="array" ref="BN65">INDEX($J$2:$J$7,IF(BM65&gt;5,6,BM65+1))</f>
        <v>1.000618</v>
      </c>
      <c r="BO65" s="147">
        <f t="shared" si="71"/>
        <v>1.8728403605045969</v>
      </c>
      <c r="BS65">
        <v>12</v>
      </c>
      <c r="BT65" s="147">
        <f t="shared" si="149"/>
        <v>46.627425157105193</v>
      </c>
      <c r="BU65" s="147">
        <f t="shared" si="72"/>
        <v>19.195425157105191</v>
      </c>
      <c r="BV65" s="147">
        <f t="shared" si="73"/>
        <v>2081.1266533735165</v>
      </c>
      <c r="BW65" s="147">
        <f t="shared" si="74"/>
        <v>384.54129444247161</v>
      </c>
      <c r="BX65" s="147">
        <f t="shared" si="124"/>
        <v>978.63221101187116</v>
      </c>
      <c r="BY65" s="147">
        <f t="shared" si="125"/>
        <v>2099.0359845479843</v>
      </c>
      <c r="BZ65" s="147">
        <f t="shared" si="126"/>
        <v>5237.0514650290752</v>
      </c>
      <c r="CA65" s="147">
        <f t="shared" si="75"/>
        <v>5238.9243053895798</v>
      </c>
      <c r="CB65" s="147">
        <f t="shared" si="76"/>
        <v>1.8728403605045969</v>
      </c>
      <c r="CC65" t="str">
        <f t="shared" si="77"/>
        <v>Yes</v>
      </c>
      <c r="CD65">
        <f>COUNTIF(CC$54:CC65,"Yes")</f>
        <v>3</v>
      </c>
      <c r="CE65" cm="1">
        <f t="array" ref="CE65">INDEX($J$2:$J$7,IF(CD65&gt;5,6,CD65+1))</f>
        <v>1.000618</v>
      </c>
      <c r="CF65" s="147">
        <f t="shared" si="78"/>
        <v>1.8728403605045969</v>
      </c>
      <c r="CJ65">
        <v>12</v>
      </c>
      <c r="CK65" s="147">
        <f t="shared" si="150"/>
        <v>46.627425157105193</v>
      </c>
      <c r="CL65" s="147">
        <f t="shared" si="79"/>
        <v>19.195425157105191</v>
      </c>
      <c r="CM65" s="147">
        <f t="shared" si="80"/>
        <v>2081.1266533735165</v>
      </c>
      <c r="CN65" s="147">
        <f t="shared" si="81"/>
        <v>384.54129444247161</v>
      </c>
      <c r="CO65" s="147">
        <f t="shared" si="127"/>
        <v>978.63221101187116</v>
      </c>
      <c r="CP65" s="147">
        <f t="shared" si="128"/>
        <v>2099.0359845479843</v>
      </c>
      <c r="CQ65" s="147">
        <f t="shared" si="129"/>
        <v>5237.0514650290752</v>
      </c>
      <c r="CR65" s="147">
        <f t="shared" si="82"/>
        <v>5238.9243053895798</v>
      </c>
      <c r="CS65" s="147">
        <f t="shared" si="83"/>
        <v>1.8728403605045969</v>
      </c>
      <c r="CT65" t="str">
        <f t="shared" si="84"/>
        <v>Yes</v>
      </c>
      <c r="CU65">
        <f>COUNTIF(CT$54:CT65,"Yes")</f>
        <v>3</v>
      </c>
      <c r="CV65" cm="1">
        <f t="array" ref="CV65">INDEX($J$2:$J$7,IF(CU65&gt;5,6,CU65+1))</f>
        <v>1.000618</v>
      </c>
      <c r="CW65" s="147">
        <f t="shared" si="85"/>
        <v>1.8728403605045969</v>
      </c>
      <c r="DA65">
        <v>12</v>
      </c>
      <c r="DB65" s="147">
        <f t="shared" si="151"/>
        <v>45.07429117945788</v>
      </c>
      <c r="DC65" s="147">
        <f t="shared" si="86"/>
        <v>17.642291179457878</v>
      </c>
      <c r="DD65" s="147">
        <f t="shared" si="87"/>
        <v>1957.7949349287546</v>
      </c>
      <c r="DE65" s="147">
        <f t="shared" si="88"/>
        <v>361.75260996731714</v>
      </c>
      <c r="DF65" s="147">
        <f t="shared" si="130"/>
        <v>888.44573191099767</v>
      </c>
      <c r="DG65" s="147">
        <f t="shared" si="131"/>
        <v>2074.0061015924248</v>
      </c>
      <c r="DH65" s="147">
        <f t="shared" si="132"/>
        <v>4814.759120540205</v>
      </c>
      <c r="DI65" s="147">
        <f t="shared" si="89"/>
        <v>4782.5496420245836</v>
      </c>
      <c r="DJ65" s="147">
        <f t="shared" si="90"/>
        <v>-32.209478515621413</v>
      </c>
      <c r="DK65" t="str">
        <f t="shared" si="91"/>
        <v>No</v>
      </c>
      <c r="DL65">
        <f>COUNTIF(DK$54:DK65,"Yes")</f>
        <v>3</v>
      </c>
      <c r="DM65" cm="1">
        <f t="array" ref="DM65">INDEX($J$2:$J$7,IF(DL65&gt;5,6,DL65+1))</f>
        <v>1.000618</v>
      </c>
      <c r="DN65" s="147">
        <f t="shared" si="92"/>
        <v>32.209478515621413</v>
      </c>
      <c r="DR65">
        <v>12</v>
      </c>
      <c r="DS65" s="147">
        <f t="shared" si="152"/>
        <v>45.07429117945788</v>
      </c>
      <c r="DT65" s="147">
        <f t="shared" si="93"/>
        <v>17.642291179457878</v>
      </c>
      <c r="DU65" s="147">
        <f t="shared" si="94"/>
        <v>1957.7949349287546</v>
      </c>
      <c r="DV65" s="147">
        <f t="shared" si="95"/>
        <v>361.75260996731714</v>
      </c>
      <c r="DW65" s="147">
        <f t="shared" si="133"/>
        <v>888.44573191099767</v>
      </c>
      <c r="DX65" s="147">
        <f t="shared" si="134"/>
        <v>2074.0061015924248</v>
      </c>
      <c r="DY65" s="147">
        <f t="shared" si="135"/>
        <v>4814.759120540205</v>
      </c>
      <c r="DZ65" s="147">
        <f t="shared" si="96"/>
        <v>4782.5496420245836</v>
      </c>
      <c r="EA65" s="147">
        <f t="shared" si="97"/>
        <v>-32.209478515621413</v>
      </c>
      <c r="EB65" t="str">
        <f t="shared" si="98"/>
        <v>No</v>
      </c>
      <c r="EC65">
        <f>COUNTIF(EB$54:EB65,"Yes")</f>
        <v>3</v>
      </c>
      <c r="ED65" cm="1">
        <f t="array" ref="ED65">INDEX($J$2:$J$7,IF(EC65&gt;5,6,EC65+1))</f>
        <v>1.000618</v>
      </c>
      <c r="EE65" s="147">
        <f t="shared" si="99"/>
        <v>32.209478515621413</v>
      </c>
      <c r="EI65">
        <v>12</v>
      </c>
      <c r="EJ65" s="147">
        <f t="shared" si="153"/>
        <v>45.07429117945788</v>
      </c>
      <c r="EK65" s="147">
        <f t="shared" si="100"/>
        <v>17.642291179457878</v>
      </c>
      <c r="EL65" s="147">
        <f t="shared" si="101"/>
        <v>1957.7949349287546</v>
      </c>
      <c r="EM65" s="147">
        <f t="shared" si="102"/>
        <v>361.75260996731714</v>
      </c>
      <c r="EN65" s="147">
        <f t="shared" si="136"/>
        <v>888.44573191099767</v>
      </c>
      <c r="EO65" s="147">
        <f t="shared" si="137"/>
        <v>2074.0061015924257</v>
      </c>
      <c r="EP65" s="147">
        <f t="shared" si="138"/>
        <v>4814.7591205402059</v>
      </c>
      <c r="EQ65" s="147">
        <f t="shared" si="103"/>
        <v>4782.5496420245836</v>
      </c>
      <c r="ER65" s="147">
        <f t="shared" si="104"/>
        <v>-32.209478515622322</v>
      </c>
      <c r="ES65" t="str">
        <f t="shared" si="105"/>
        <v>No</v>
      </c>
      <c r="ET65">
        <f>COUNTIF(ES$54:ES65,"Yes")</f>
        <v>3</v>
      </c>
      <c r="EU65" cm="1">
        <f t="array" ref="EU65">INDEX($J$2:$J$7,IF(ET65&gt;5,6,ET65+1))</f>
        <v>1.000618</v>
      </c>
      <c r="EV65" s="147">
        <f t="shared" si="106"/>
        <v>32.209478515622322</v>
      </c>
      <c r="EZ65">
        <v>12</v>
      </c>
      <c r="FA65" s="147">
        <f t="shared" si="154"/>
        <v>37.946681251022802</v>
      </c>
      <c r="FB65" s="147">
        <f t="shared" si="107"/>
        <v>10.5146812510228</v>
      </c>
      <c r="FC65" s="147">
        <f t="shared" si="108"/>
        <v>1440.113752046683</v>
      </c>
      <c r="FD65" s="147">
        <f t="shared" si="109"/>
        <v>266.09779152977103</v>
      </c>
      <c r="FE65" s="147">
        <f t="shared" si="139"/>
        <v>530.46578552705489</v>
      </c>
      <c r="FF65" s="147">
        <f t="shared" si="140"/>
        <v>1600.9571754564695</v>
      </c>
      <c r="FG65" s="147">
        <f t="shared" si="141"/>
        <v>3174.5949168442544</v>
      </c>
      <c r="FH65" s="147">
        <f t="shared" si="110"/>
        <v>2971.0477500429902</v>
      </c>
      <c r="FI65" s="147">
        <f t="shared" si="111"/>
        <v>-203.54716680126421</v>
      </c>
      <c r="FJ65" t="str">
        <f t="shared" si="112"/>
        <v>No</v>
      </c>
      <c r="FK65">
        <f>COUNTIF(FJ$54:FJ65,"Yes")</f>
        <v>2</v>
      </c>
      <c r="FL65" cm="1">
        <f t="array" ref="FL65">INDEX($J$2:$J$7,IF(FK65&gt;5,6,FK65+1))</f>
        <v>1.0061800000000001</v>
      </c>
      <c r="FM65" s="147">
        <f t="shared" si="113"/>
        <v>203.54716680126421</v>
      </c>
    </row>
    <row r="66" spans="3:169" x14ac:dyDescent="0.3">
      <c r="C66">
        <v>13</v>
      </c>
      <c r="D66" s="147">
        <f t="shared" si="155"/>
        <v>52.245777329881747</v>
      </c>
      <c r="E66" s="147">
        <f t="shared" si="42"/>
        <v>24.813777329881745</v>
      </c>
      <c r="F66" s="147">
        <f t="shared" si="43"/>
        <v>2558.7301921414669</v>
      </c>
      <c r="G66" s="147">
        <f t="shared" si="44"/>
        <v>472.79074467675787</v>
      </c>
      <c r="H66" s="147">
        <f t="shared" si="142"/>
        <v>1287.0859141772194</v>
      </c>
      <c r="I66" s="147">
        <f t="shared" si="114"/>
        <v>2227.6090382089355</v>
      </c>
      <c r="J66" s="147">
        <f t="shared" si="115"/>
        <v>7326.2428542150919</v>
      </c>
      <c r="K66" s="147">
        <f t="shared" si="46"/>
        <v>7074.0420560087114</v>
      </c>
      <c r="L66" s="147">
        <f t="shared" si="47"/>
        <v>-252.20079820638057</v>
      </c>
      <c r="M66" t="str">
        <f t="shared" si="48"/>
        <v>No</v>
      </c>
      <c r="N66">
        <f>COUNTIF(M$54:M66,"Yes")</f>
        <v>2</v>
      </c>
      <c r="O66" cm="1">
        <f t="array" ref="O66">INDEX($J$2:$J$7,IF(N66&gt;5,6,N66+1))</f>
        <v>1.0061800000000001</v>
      </c>
      <c r="P66" s="147">
        <f t="shared" si="49"/>
        <v>252.20079820638057</v>
      </c>
      <c r="T66">
        <v>13</v>
      </c>
      <c r="U66" s="147">
        <f t="shared" si="146"/>
        <v>52.245777329881747</v>
      </c>
      <c r="V66" s="147">
        <f t="shared" si="50"/>
        <v>24.813777329881745</v>
      </c>
      <c r="W66" s="147">
        <f t="shared" si="51"/>
        <v>2558.7301921414669</v>
      </c>
      <c r="X66" s="147">
        <f t="shared" si="52"/>
        <v>472.79074467675787</v>
      </c>
      <c r="Y66" s="147">
        <f t="shared" si="53"/>
        <v>1287.0859141772194</v>
      </c>
      <c r="Z66" s="147">
        <f t="shared" si="116"/>
        <v>2227.6090382089355</v>
      </c>
      <c r="AA66" s="147">
        <f t="shared" si="117"/>
        <v>7326.2428542150919</v>
      </c>
      <c r="AB66" s="147">
        <f t="shared" si="54"/>
        <v>7074.0420560087114</v>
      </c>
      <c r="AC66" s="147">
        <f t="shared" si="55"/>
        <v>-252.20079820638057</v>
      </c>
      <c r="AD66" t="str">
        <f t="shared" si="56"/>
        <v>No</v>
      </c>
      <c r="AE66">
        <f>COUNTIF(AD$54:AD66,"Yes")</f>
        <v>2</v>
      </c>
      <c r="AF66" cm="1">
        <f t="array" ref="AF66">INDEX($J$2:$J$7,IF(AE66&gt;5,6,AE66+1))</f>
        <v>1.0061800000000001</v>
      </c>
      <c r="AG66" s="147">
        <f t="shared" si="57"/>
        <v>252.20079820638057</v>
      </c>
      <c r="AK66">
        <v>13</v>
      </c>
      <c r="AL66" s="147">
        <f t="shared" si="147"/>
        <v>52.245777329881747</v>
      </c>
      <c r="AM66" s="147">
        <f t="shared" si="58"/>
        <v>24.813777329881745</v>
      </c>
      <c r="AN66" s="147">
        <f t="shared" si="59"/>
        <v>2558.7301921414669</v>
      </c>
      <c r="AO66" s="147">
        <f t="shared" si="60"/>
        <v>472.79074467675787</v>
      </c>
      <c r="AP66" s="147">
        <f t="shared" si="118"/>
        <v>1341.279005300471</v>
      </c>
      <c r="AQ66" s="147">
        <f t="shared" si="143"/>
        <v>2173.4159470856839</v>
      </c>
      <c r="AR66" s="147">
        <f t="shared" si="144"/>
        <v>7272.0497630918408</v>
      </c>
      <c r="AS66" s="147">
        <f t="shared" si="61"/>
        <v>7074.0420560087114</v>
      </c>
      <c r="AT66" s="147">
        <f t="shared" si="62"/>
        <v>-198.00770708312939</v>
      </c>
      <c r="AU66" t="str">
        <f t="shared" si="63"/>
        <v>No</v>
      </c>
      <c r="AV66">
        <f>COUNTIF(AU$54:AU66,"Yes")</f>
        <v>2</v>
      </c>
      <c r="AW66" cm="1">
        <f t="array" ref="AW66">INDEX($J$2:$J$7,IF(AV66&gt;5,6,AV66+1))</f>
        <v>1.0061800000000001</v>
      </c>
      <c r="AX66" s="147">
        <f t="shared" si="64"/>
        <v>198.00770708312939</v>
      </c>
      <c r="BB66">
        <v>13</v>
      </c>
      <c r="BC66" s="147">
        <f t="shared" si="148"/>
        <v>46.369676306279473</v>
      </c>
      <c r="BD66" s="147">
        <f t="shared" si="65"/>
        <v>18.937676306279471</v>
      </c>
      <c r="BE66" s="147">
        <f t="shared" si="66"/>
        <v>2060.3985617137796</v>
      </c>
      <c r="BF66" s="147">
        <f t="shared" si="67"/>
        <v>380.71125018003482</v>
      </c>
      <c r="BG66" s="147">
        <f t="shared" si="121"/>
        <v>963.36373807278096</v>
      </c>
      <c r="BH66" s="147">
        <f t="shared" si="122"/>
        <v>2093.5763658273372</v>
      </c>
      <c r="BI66" s="147">
        <f t="shared" si="123"/>
        <v>5227.7618020459904</v>
      </c>
      <c r="BJ66" s="147">
        <f t="shared" si="68"/>
        <v>5161.6605706574483</v>
      </c>
      <c r="BK66" s="147">
        <f t="shared" si="69"/>
        <v>-66.101231388542146</v>
      </c>
      <c r="BL66" t="str">
        <f t="shared" si="70"/>
        <v>No</v>
      </c>
      <c r="BM66">
        <f>COUNTIF(BL$54:BL66,"Yes")</f>
        <v>3</v>
      </c>
      <c r="BN66" cm="1">
        <f t="array" ref="BN66">INDEX($J$2:$J$7,IF(BM66&gt;5,6,BM66+1))</f>
        <v>1.000618</v>
      </c>
      <c r="BO66" s="147">
        <f t="shared" si="71"/>
        <v>66.101231388542146</v>
      </c>
      <c r="BS66">
        <v>13</v>
      </c>
      <c r="BT66" s="147">
        <f t="shared" si="149"/>
        <v>46.369676306279473</v>
      </c>
      <c r="BU66" s="147">
        <f t="shared" si="72"/>
        <v>18.937676306279471</v>
      </c>
      <c r="BV66" s="147">
        <f t="shared" si="73"/>
        <v>2060.3985617137796</v>
      </c>
      <c r="BW66" s="147">
        <f t="shared" si="74"/>
        <v>380.71125018003482</v>
      </c>
      <c r="BX66" s="147">
        <f t="shared" si="124"/>
        <v>963.36373807278096</v>
      </c>
      <c r="BY66" s="147">
        <f t="shared" si="125"/>
        <v>2093.5763658273372</v>
      </c>
      <c r="BZ66" s="147">
        <f t="shared" si="126"/>
        <v>5227.7618020459904</v>
      </c>
      <c r="CA66" s="147">
        <f t="shared" si="75"/>
        <v>5161.6605706574483</v>
      </c>
      <c r="CB66" s="147">
        <f t="shared" si="76"/>
        <v>-66.101231388542146</v>
      </c>
      <c r="CC66" t="str">
        <f t="shared" si="77"/>
        <v>No</v>
      </c>
      <c r="CD66">
        <f>COUNTIF(CC$54:CC66,"Yes")</f>
        <v>3</v>
      </c>
      <c r="CE66" cm="1">
        <f t="array" ref="CE66">INDEX($J$2:$J$7,IF(CD66&gt;5,6,CD66+1))</f>
        <v>1.000618</v>
      </c>
      <c r="CF66" s="147">
        <f t="shared" si="78"/>
        <v>66.101231388542146</v>
      </c>
      <c r="CJ66">
        <v>13</v>
      </c>
      <c r="CK66" s="147">
        <f t="shared" si="150"/>
        <v>46.369676306279473</v>
      </c>
      <c r="CL66" s="147">
        <f t="shared" si="79"/>
        <v>18.937676306279471</v>
      </c>
      <c r="CM66" s="147">
        <f t="shared" si="80"/>
        <v>2060.3985617137796</v>
      </c>
      <c r="CN66" s="147">
        <f t="shared" si="81"/>
        <v>380.71125018003482</v>
      </c>
      <c r="CO66" s="147">
        <f t="shared" si="127"/>
        <v>963.36373807278096</v>
      </c>
      <c r="CP66" s="147">
        <f t="shared" si="128"/>
        <v>2093.5763658273372</v>
      </c>
      <c r="CQ66" s="147">
        <f t="shared" si="129"/>
        <v>5227.7618020459904</v>
      </c>
      <c r="CR66" s="147">
        <f t="shared" si="82"/>
        <v>5161.6605706574483</v>
      </c>
      <c r="CS66" s="147">
        <f t="shared" si="83"/>
        <v>-66.101231388542146</v>
      </c>
      <c r="CT66" t="str">
        <f t="shared" si="84"/>
        <v>No</v>
      </c>
      <c r="CU66">
        <f>COUNTIF(CT$54:CT66,"Yes")</f>
        <v>3</v>
      </c>
      <c r="CV66" cm="1">
        <f t="array" ref="CV66">INDEX($J$2:$J$7,IF(CU66&gt;5,6,CU66+1))</f>
        <v>1.000618</v>
      </c>
      <c r="CW66" s="147">
        <f t="shared" si="85"/>
        <v>66.101231388542146</v>
      </c>
      <c r="DA66">
        <v>13</v>
      </c>
      <c r="DB66" s="147">
        <f t="shared" si="151"/>
        <v>45.102147091406785</v>
      </c>
      <c r="DC66" s="147">
        <f t="shared" si="86"/>
        <v>17.670147091406783</v>
      </c>
      <c r="DD66" s="147">
        <f t="shared" si="87"/>
        <v>1959.9737508857518</v>
      </c>
      <c r="DE66" s="147">
        <f t="shared" si="88"/>
        <v>362.15520185527237</v>
      </c>
      <c r="DF66" s="147">
        <f t="shared" si="130"/>
        <v>890.02486504066485</v>
      </c>
      <c r="DG66" s="147">
        <f t="shared" si="131"/>
        <v>2074.6057844197549</v>
      </c>
      <c r="DH66" s="147">
        <f t="shared" si="132"/>
        <v>4815.7613952554902</v>
      </c>
      <c r="DI66" s="147">
        <f t="shared" si="89"/>
        <v>4790.5405998449287</v>
      </c>
      <c r="DJ66" s="147">
        <f t="shared" si="90"/>
        <v>-25.22079541056155</v>
      </c>
      <c r="DK66" t="str">
        <f t="shared" si="91"/>
        <v>No</v>
      </c>
      <c r="DL66">
        <f>COUNTIF(DK$54:DK66,"Yes")</f>
        <v>3</v>
      </c>
      <c r="DM66" cm="1">
        <f t="array" ref="DM66">INDEX($J$2:$J$7,IF(DL66&gt;5,6,DL66+1))</f>
        <v>1.000618</v>
      </c>
      <c r="DN66" s="147">
        <f t="shared" si="92"/>
        <v>25.22079541056155</v>
      </c>
      <c r="DR66">
        <v>13</v>
      </c>
      <c r="DS66" s="147">
        <f t="shared" si="152"/>
        <v>45.102147091406785</v>
      </c>
      <c r="DT66" s="147">
        <f t="shared" si="93"/>
        <v>17.670147091406783</v>
      </c>
      <c r="DU66" s="147">
        <f t="shared" si="94"/>
        <v>1959.9737508857518</v>
      </c>
      <c r="DV66" s="147">
        <f t="shared" si="95"/>
        <v>362.15520185527237</v>
      </c>
      <c r="DW66" s="147">
        <f t="shared" si="133"/>
        <v>890.02486504066485</v>
      </c>
      <c r="DX66" s="147">
        <f t="shared" si="134"/>
        <v>2074.6057844197549</v>
      </c>
      <c r="DY66" s="147">
        <f t="shared" si="135"/>
        <v>4815.7613952554902</v>
      </c>
      <c r="DZ66" s="147">
        <f t="shared" si="96"/>
        <v>4790.5405998449287</v>
      </c>
      <c r="EA66" s="147">
        <f t="shared" si="97"/>
        <v>-25.22079541056155</v>
      </c>
      <c r="EB66" t="str">
        <f t="shared" si="98"/>
        <v>No</v>
      </c>
      <c r="EC66">
        <f>COUNTIF(EB$54:EB66,"Yes")</f>
        <v>3</v>
      </c>
      <c r="ED66" cm="1">
        <f t="array" ref="ED66">INDEX($J$2:$J$7,IF(EC66&gt;5,6,EC66+1))</f>
        <v>1.000618</v>
      </c>
      <c r="EE66" s="147">
        <f t="shared" si="99"/>
        <v>25.22079541056155</v>
      </c>
      <c r="EI66">
        <v>13</v>
      </c>
      <c r="EJ66" s="147">
        <f t="shared" si="153"/>
        <v>45.102147091406785</v>
      </c>
      <c r="EK66" s="147">
        <f t="shared" si="100"/>
        <v>17.670147091406783</v>
      </c>
      <c r="EL66" s="147">
        <f t="shared" si="101"/>
        <v>1959.9737508857518</v>
      </c>
      <c r="EM66" s="147">
        <f t="shared" si="102"/>
        <v>362.15520185527237</v>
      </c>
      <c r="EN66" s="147">
        <f t="shared" si="136"/>
        <v>890.02486504066485</v>
      </c>
      <c r="EO66" s="147">
        <f t="shared" si="137"/>
        <v>2074.6057844197558</v>
      </c>
      <c r="EP66" s="147">
        <f t="shared" si="138"/>
        <v>4815.7613952554912</v>
      </c>
      <c r="EQ66" s="147">
        <f t="shared" si="103"/>
        <v>4790.5405998449287</v>
      </c>
      <c r="ER66" s="147">
        <f t="shared" si="104"/>
        <v>-25.220795410562459</v>
      </c>
      <c r="ES66" t="str">
        <f t="shared" si="105"/>
        <v>No</v>
      </c>
      <c r="ET66">
        <f>COUNTIF(ES$54:ES66,"Yes")</f>
        <v>3</v>
      </c>
      <c r="EU66" cm="1">
        <f t="array" ref="EU66">INDEX($J$2:$J$7,IF(ET66&gt;5,6,ET66+1))</f>
        <v>1.000618</v>
      </c>
      <c r="EV66" s="147">
        <f t="shared" si="106"/>
        <v>25.220795410562459</v>
      </c>
      <c r="EZ66">
        <v>13</v>
      </c>
      <c r="FA66" s="147">
        <f t="shared" si="154"/>
        <v>38.181191741154123</v>
      </c>
      <c r="FB66" s="147">
        <f t="shared" si="107"/>
        <v>10.749191741154121</v>
      </c>
      <c r="FC66" s="147">
        <f t="shared" si="108"/>
        <v>1455.8841835401952</v>
      </c>
      <c r="FD66" s="147">
        <f t="shared" si="109"/>
        <v>269.01178147392034</v>
      </c>
      <c r="FE66" s="147">
        <f t="shared" si="139"/>
        <v>540.78343000009102</v>
      </c>
      <c r="FF66" s="147">
        <f t="shared" si="140"/>
        <v>1606.4099624769451</v>
      </c>
      <c r="FG66" s="147">
        <f t="shared" si="141"/>
        <v>3182.9616938088798</v>
      </c>
      <c r="FH66" s="147">
        <f t="shared" si="110"/>
        <v>3023.2585866345248</v>
      </c>
      <c r="FI66" s="147">
        <f t="shared" si="111"/>
        <v>-159.70310717435495</v>
      </c>
      <c r="FJ66" t="str">
        <f t="shared" si="112"/>
        <v>No</v>
      </c>
      <c r="FK66">
        <f>COUNTIF(FJ$54:FJ66,"Yes")</f>
        <v>2</v>
      </c>
      <c r="FL66" cm="1">
        <f t="array" ref="FL66">INDEX($J$2:$J$7,IF(FK66&gt;5,6,FK66+1))</f>
        <v>1.0061800000000001</v>
      </c>
      <c r="FM66" s="147">
        <f t="shared" si="113"/>
        <v>159.70310717435495</v>
      </c>
    </row>
    <row r="67" spans="3:169" x14ac:dyDescent="0.3">
      <c r="C67">
        <v>14</v>
      </c>
      <c r="D67" s="147">
        <f t="shared" si="155"/>
        <v>52.568656233780423</v>
      </c>
      <c r="E67" s="147">
        <f t="shared" si="42"/>
        <v>25.136656233780421</v>
      </c>
      <c r="F67" s="147">
        <f t="shared" si="43"/>
        <v>2587.675204383012</v>
      </c>
      <c r="G67" s="147">
        <f t="shared" si="44"/>
        <v>478.13907485021184</v>
      </c>
      <c r="H67" s="147">
        <f t="shared" si="142"/>
        <v>1308.747816483457</v>
      </c>
      <c r="I67" s="147">
        <f t="shared" si="114"/>
        <v>2234.8921481442435</v>
      </c>
      <c r="J67" s="147">
        <f t="shared" si="115"/>
        <v>7338.874294323854</v>
      </c>
      <c r="K67" s="147">
        <f t="shared" si="46"/>
        <v>7188.2741861776876</v>
      </c>
      <c r="L67" s="147">
        <f t="shared" si="47"/>
        <v>-150.60010814616635</v>
      </c>
      <c r="M67" t="str">
        <f t="shared" si="48"/>
        <v>No</v>
      </c>
      <c r="N67">
        <f>COUNTIF(M$54:M67,"Yes")</f>
        <v>2</v>
      </c>
      <c r="O67" cm="1">
        <f t="array" ref="O67">INDEX($J$2:$J$7,IF(N67&gt;5,6,N67+1))</f>
        <v>1.0061800000000001</v>
      </c>
      <c r="P67" s="147">
        <f t="shared" si="49"/>
        <v>150.60010814616635</v>
      </c>
      <c r="T67">
        <v>14</v>
      </c>
      <c r="U67" s="147">
        <f t="shared" si="146"/>
        <v>52.568656233780423</v>
      </c>
      <c r="V67" s="147">
        <f t="shared" si="50"/>
        <v>25.136656233780421</v>
      </c>
      <c r="W67" s="147">
        <f t="shared" si="51"/>
        <v>2587.675204383012</v>
      </c>
      <c r="X67" s="147">
        <f t="shared" si="52"/>
        <v>478.13907485021184</v>
      </c>
      <c r="Y67" s="147">
        <f t="shared" si="53"/>
        <v>1308.747816483457</v>
      </c>
      <c r="Z67" s="147">
        <f t="shared" si="116"/>
        <v>2234.8921481442426</v>
      </c>
      <c r="AA67" s="147">
        <f t="shared" si="117"/>
        <v>7338.8742943238522</v>
      </c>
      <c r="AB67" s="147">
        <f t="shared" si="54"/>
        <v>7188.2741861776876</v>
      </c>
      <c r="AC67" s="147">
        <f t="shared" si="55"/>
        <v>-150.60010814616453</v>
      </c>
      <c r="AD67" t="str">
        <f t="shared" si="56"/>
        <v>No</v>
      </c>
      <c r="AE67">
        <f>COUNTIF(AD$54:AD67,"Yes")</f>
        <v>2</v>
      </c>
      <c r="AF67" cm="1">
        <f t="array" ref="AF67">INDEX($J$2:$J$7,IF(AE67&gt;5,6,AE67+1))</f>
        <v>1.0061800000000001</v>
      </c>
      <c r="AG67" s="147">
        <f t="shared" si="57"/>
        <v>150.60010814616453</v>
      </c>
      <c r="AK67">
        <v>14</v>
      </c>
      <c r="AL67" s="147">
        <f t="shared" si="147"/>
        <v>52.568656233780423</v>
      </c>
      <c r="AM67" s="147">
        <f t="shared" si="58"/>
        <v>25.136656233780421</v>
      </c>
      <c r="AN67" s="147">
        <f t="shared" si="59"/>
        <v>2587.675204383012</v>
      </c>
      <c r="AO67" s="147">
        <f t="shared" si="60"/>
        <v>478.13907485021184</v>
      </c>
      <c r="AP67" s="147">
        <f t="shared" si="118"/>
        <v>1363.8529877038131</v>
      </c>
      <c r="AQ67" s="147">
        <f t="shared" si="143"/>
        <v>2179.7869769238864</v>
      </c>
      <c r="AR67" s="147">
        <f t="shared" si="144"/>
        <v>7283.7691231034969</v>
      </c>
      <c r="AS67" s="147">
        <f t="shared" si="61"/>
        <v>7188.2741861776876</v>
      </c>
      <c r="AT67" s="147">
        <f t="shared" si="62"/>
        <v>-95.49493692580927</v>
      </c>
      <c r="AU67" t="str">
        <f t="shared" si="63"/>
        <v>No</v>
      </c>
      <c r="AV67">
        <f>COUNTIF(AU$54:AU67,"Yes")</f>
        <v>2</v>
      </c>
      <c r="AW67" cm="1">
        <f t="array" ref="AW67">INDEX($J$2:$J$7,IF(AV67&gt;5,6,AV67+1))</f>
        <v>1.0061800000000001</v>
      </c>
      <c r="AX67" s="147">
        <f t="shared" si="64"/>
        <v>95.49493692580927</v>
      </c>
      <c r="BB67">
        <v>14</v>
      </c>
      <c r="BC67" s="147">
        <f t="shared" si="148"/>
        <v>46.398332766236756</v>
      </c>
      <c r="BD67" s="147">
        <f t="shared" si="65"/>
        <v>18.966332766236754</v>
      </c>
      <c r="BE67" s="147">
        <f t="shared" si="66"/>
        <v>2062.6979804305429</v>
      </c>
      <c r="BF67" s="147">
        <f t="shared" si="67"/>
        <v>381.13612650766061</v>
      </c>
      <c r="BG67" s="147">
        <f t="shared" si="121"/>
        <v>965.05535207220737</v>
      </c>
      <c r="BH67" s="147">
        <f t="shared" si="122"/>
        <v>2094.1841705446741</v>
      </c>
      <c r="BI67" s="147">
        <f t="shared" si="123"/>
        <v>5228.7944830909528</v>
      </c>
      <c r="BJ67" s="147">
        <f t="shared" si="68"/>
        <v>5170.220720440745</v>
      </c>
      <c r="BK67" s="147">
        <f t="shared" si="69"/>
        <v>-58.573762650207755</v>
      </c>
      <c r="BL67" t="str">
        <f t="shared" si="70"/>
        <v>No</v>
      </c>
      <c r="BM67">
        <f>COUNTIF(BL$54:BL67,"Yes")</f>
        <v>3</v>
      </c>
      <c r="BN67" cm="1">
        <f t="array" ref="BN67">INDEX($J$2:$J$7,IF(BM67&gt;5,6,BM67+1))</f>
        <v>1.000618</v>
      </c>
      <c r="BO67" s="147">
        <f t="shared" si="71"/>
        <v>58.573762650207755</v>
      </c>
      <c r="BS67">
        <v>14</v>
      </c>
      <c r="BT67" s="147">
        <f t="shared" si="149"/>
        <v>46.398332766236756</v>
      </c>
      <c r="BU67" s="147">
        <f t="shared" si="72"/>
        <v>18.966332766236754</v>
      </c>
      <c r="BV67" s="147">
        <f t="shared" si="73"/>
        <v>2062.6979804305429</v>
      </c>
      <c r="BW67" s="147">
        <f t="shared" si="74"/>
        <v>381.13612650766061</v>
      </c>
      <c r="BX67" s="147">
        <f t="shared" si="124"/>
        <v>965.05535207220737</v>
      </c>
      <c r="BY67" s="147">
        <f t="shared" si="125"/>
        <v>2094.1841705446741</v>
      </c>
      <c r="BZ67" s="147">
        <f t="shared" si="126"/>
        <v>5228.7944830909528</v>
      </c>
      <c r="CA67" s="147">
        <f t="shared" si="75"/>
        <v>5170.220720440745</v>
      </c>
      <c r="CB67" s="147">
        <f t="shared" si="76"/>
        <v>-58.573762650207755</v>
      </c>
      <c r="CC67" t="str">
        <f t="shared" si="77"/>
        <v>No</v>
      </c>
      <c r="CD67">
        <f>COUNTIF(CC$54:CC67,"Yes")</f>
        <v>3</v>
      </c>
      <c r="CE67" cm="1">
        <f t="array" ref="CE67">INDEX($J$2:$J$7,IF(CD67&gt;5,6,CD67+1))</f>
        <v>1.000618</v>
      </c>
      <c r="CF67" s="147">
        <f t="shared" si="78"/>
        <v>58.573762650207755</v>
      </c>
      <c r="CJ67">
        <v>14</v>
      </c>
      <c r="CK67" s="147">
        <f t="shared" si="150"/>
        <v>46.398332766236756</v>
      </c>
      <c r="CL67" s="147">
        <f t="shared" si="79"/>
        <v>18.966332766236754</v>
      </c>
      <c r="CM67" s="147">
        <f t="shared" si="80"/>
        <v>2062.6979804305429</v>
      </c>
      <c r="CN67" s="147">
        <f t="shared" si="81"/>
        <v>381.13612650766061</v>
      </c>
      <c r="CO67" s="147">
        <f t="shared" si="127"/>
        <v>965.05535207220737</v>
      </c>
      <c r="CP67" s="147">
        <f t="shared" si="128"/>
        <v>2094.1841705446741</v>
      </c>
      <c r="CQ67" s="147">
        <f t="shared" si="129"/>
        <v>5228.7944830909528</v>
      </c>
      <c r="CR67" s="147">
        <f t="shared" si="82"/>
        <v>5170.220720440745</v>
      </c>
      <c r="CS67" s="147">
        <f t="shared" si="83"/>
        <v>-58.573762650207755</v>
      </c>
      <c r="CT67" t="str">
        <f t="shared" si="84"/>
        <v>No</v>
      </c>
      <c r="CU67">
        <f>COUNTIF(CT$54:CT67,"Yes")</f>
        <v>3</v>
      </c>
      <c r="CV67" cm="1">
        <f t="array" ref="CV67">INDEX($J$2:$J$7,IF(CU67&gt;5,6,CU67+1))</f>
        <v>1.000618</v>
      </c>
      <c r="CW67" s="147">
        <f t="shared" si="85"/>
        <v>58.573762650207755</v>
      </c>
      <c r="DA67">
        <v>14</v>
      </c>
      <c r="DB67" s="147">
        <f t="shared" si="151"/>
        <v>45.130020218309276</v>
      </c>
      <c r="DC67" s="147">
        <f t="shared" si="86"/>
        <v>17.698020218309274</v>
      </c>
      <c r="DD67" s="147">
        <f t="shared" si="87"/>
        <v>1962.155126194677</v>
      </c>
      <c r="DE67" s="147">
        <f t="shared" si="88"/>
        <v>362.55826664885387</v>
      </c>
      <c r="DF67" s="147">
        <f t="shared" si="130"/>
        <v>891.60637751306501</v>
      </c>
      <c r="DG67" s="147">
        <f t="shared" si="131"/>
        <v>2075.2056472562799</v>
      </c>
      <c r="DH67" s="147">
        <f t="shared" si="132"/>
        <v>4816.7643228855968</v>
      </c>
      <c r="DI67" s="147">
        <f t="shared" si="89"/>
        <v>4798.543597959444</v>
      </c>
      <c r="DJ67" s="147">
        <f t="shared" si="90"/>
        <v>-18.220724926152798</v>
      </c>
      <c r="DK67" t="str">
        <f t="shared" si="91"/>
        <v>No</v>
      </c>
      <c r="DL67">
        <f>COUNTIF(DK$54:DK67,"Yes")</f>
        <v>3</v>
      </c>
      <c r="DM67" cm="1">
        <f t="array" ref="DM67">INDEX($J$2:$J$7,IF(DL67&gt;5,6,DL67+1))</f>
        <v>1.000618</v>
      </c>
      <c r="DN67" s="147">
        <f t="shared" si="92"/>
        <v>18.220724926152798</v>
      </c>
      <c r="DR67">
        <v>14</v>
      </c>
      <c r="DS67" s="147">
        <f t="shared" si="152"/>
        <v>45.130020218309276</v>
      </c>
      <c r="DT67" s="147">
        <f t="shared" si="93"/>
        <v>17.698020218309274</v>
      </c>
      <c r="DU67" s="147">
        <f t="shared" si="94"/>
        <v>1962.155126194677</v>
      </c>
      <c r="DV67" s="147">
        <f t="shared" si="95"/>
        <v>362.55826664885387</v>
      </c>
      <c r="DW67" s="147">
        <f t="shared" si="133"/>
        <v>891.60637751306501</v>
      </c>
      <c r="DX67" s="147">
        <f t="shared" si="134"/>
        <v>2075.2056472562799</v>
      </c>
      <c r="DY67" s="147">
        <f t="shared" si="135"/>
        <v>4816.7643228855968</v>
      </c>
      <c r="DZ67" s="147">
        <f t="shared" si="96"/>
        <v>4798.543597959444</v>
      </c>
      <c r="EA67" s="147">
        <f t="shared" si="97"/>
        <v>-18.220724926152798</v>
      </c>
      <c r="EB67" t="str">
        <f t="shared" si="98"/>
        <v>No</v>
      </c>
      <c r="EC67">
        <f>COUNTIF(EB$54:EB67,"Yes")</f>
        <v>3</v>
      </c>
      <c r="ED67" cm="1">
        <f t="array" ref="ED67">INDEX($J$2:$J$7,IF(EC67&gt;5,6,EC67+1))</f>
        <v>1.000618</v>
      </c>
      <c r="EE67" s="147">
        <f t="shared" si="99"/>
        <v>18.220724926152798</v>
      </c>
      <c r="EI67">
        <v>14</v>
      </c>
      <c r="EJ67" s="147">
        <f t="shared" si="153"/>
        <v>45.130020218309276</v>
      </c>
      <c r="EK67" s="147">
        <f t="shared" si="100"/>
        <v>17.698020218309274</v>
      </c>
      <c r="EL67" s="147">
        <f t="shared" si="101"/>
        <v>1962.155126194677</v>
      </c>
      <c r="EM67" s="147">
        <f t="shared" si="102"/>
        <v>362.55826664885387</v>
      </c>
      <c r="EN67" s="147">
        <f t="shared" si="136"/>
        <v>891.60637751306501</v>
      </c>
      <c r="EO67" s="147">
        <f t="shared" si="137"/>
        <v>2075.2056472562799</v>
      </c>
      <c r="EP67" s="147">
        <f t="shared" si="138"/>
        <v>4816.7643228855968</v>
      </c>
      <c r="EQ67" s="147">
        <f t="shared" si="103"/>
        <v>4798.543597959444</v>
      </c>
      <c r="ER67" s="147">
        <f t="shared" si="104"/>
        <v>-18.220724926152798</v>
      </c>
      <c r="ES67" t="str">
        <f t="shared" si="105"/>
        <v>No</v>
      </c>
      <c r="ET67">
        <f>COUNTIF(ES$54:ES67,"Yes")</f>
        <v>3</v>
      </c>
      <c r="EU67" cm="1">
        <f t="array" ref="EU67">INDEX($J$2:$J$7,IF(ET67&gt;5,6,ET67+1))</f>
        <v>1.000618</v>
      </c>
      <c r="EV67" s="147">
        <f t="shared" si="106"/>
        <v>18.220724926152798</v>
      </c>
      <c r="EZ67">
        <v>14</v>
      </c>
      <c r="FA67" s="147">
        <f t="shared" si="154"/>
        <v>38.417151506114458</v>
      </c>
      <c r="FB67" s="147">
        <f t="shared" si="107"/>
        <v>10.985151506114455</v>
      </c>
      <c r="FC67" s="147">
        <f t="shared" si="108"/>
        <v>1471.8387540655633</v>
      </c>
      <c r="FD67" s="147">
        <f t="shared" si="109"/>
        <v>271.95979580651925</v>
      </c>
      <c r="FE67" s="147">
        <f t="shared" si="139"/>
        <v>551.26513643540875</v>
      </c>
      <c r="FF67" s="147">
        <f t="shared" si="140"/>
        <v>1611.8828265669958</v>
      </c>
      <c r="FG67" s="147">
        <f t="shared" si="141"/>
        <v>3191.3825722315291</v>
      </c>
      <c r="FH67" s="147">
        <f t="shared" si="110"/>
        <v>3076.29963329251</v>
      </c>
      <c r="FI67" s="147">
        <f t="shared" si="111"/>
        <v>-115.08293893901919</v>
      </c>
      <c r="FJ67" t="str">
        <f t="shared" si="112"/>
        <v>No</v>
      </c>
      <c r="FK67">
        <f>COUNTIF(FJ$54:FJ67,"Yes")</f>
        <v>2</v>
      </c>
      <c r="FL67" cm="1">
        <f t="array" ref="FL67">INDEX($J$2:$J$7,IF(FK67&gt;5,6,FK67+1))</f>
        <v>1.0061800000000001</v>
      </c>
      <c r="FM67" s="147">
        <f t="shared" si="113"/>
        <v>115.08293893901919</v>
      </c>
    </row>
    <row r="68" spans="3:169" x14ac:dyDescent="0.3">
      <c r="C68">
        <v>15</v>
      </c>
      <c r="D68" s="147">
        <f t="shared" si="155"/>
        <v>52.893530529305188</v>
      </c>
      <c r="E68" s="147">
        <f t="shared" si="42"/>
        <v>25.461530529305186</v>
      </c>
      <c r="F68" s="147">
        <f t="shared" si="43"/>
        <v>2616.9634062333303</v>
      </c>
      <c r="G68" s="147">
        <f t="shared" si="44"/>
        <v>483.55081806783727</v>
      </c>
      <c r="H68" s="147">
        <f t="shared" si="142"/>
        <v>1330.7260374928373</v>
      </c>
      <c r="I68" s="147">
        <f t="shared" si="114"/>
        <v>2242.2021289851818</v>
      </c>
      <c r="J68" s="147">
        <f t="shared" si="115"/>
        <v>7351.5960183824172</v>
      </c>
      <c r="K68" s="147">
        <f t="shared" si="46"/>
        <v>7304.1743951128547</v>
      </c>
      <c r="L68" s="147">
        <f t="shared" si="47"/>
        <v>-47.421623269562588</v>
      </c>
      <c r="M68" t="str">
        <f t="shared" si="48"/>
        <v>No</v>
      </c>
      <c r="N68">
        <f>COUNTIF(M$54:M68,"Yes")</f>
        <v>2</v>
      </c>
      <c r="O68" cm="1">
        <f t="array" ref="O68">INDEX($J$2:$J$7,IF(N68&gt;5,6,N68+1))</f>
        <v>1.0061800000000001</v>
      </c>
      <c r="P68" s="147">
        <f t="shared" si="49"/>
        <v>47.421623269562588</v>
      </c>
      <c r="T68">
        <v>15</v>
      </c>
      <c r="U68" s="147">
        <f t="shared" si="146"/>
        <v>52.893530529305188</v>
      </c>
      <c r="V68" s="147">
        <f t="shared" si="50"/>
        <v>25.461530529305186</v>
      </c>
      <c r="W68" s="147">
        <f t="shared" si="51"/>
        <v>2616.9634062333303</v>
      </c>
      <c r="X68" s="147">
        <f t="shared" si="52"/>
        <v>483.55081806783727</v>
      </c>
      <c r="Y68" s="147">
        <f t="shared" si="53"/>
        <v>1330.7260374928373</v>
      </c>
      <c r="Z68" s="147">
        <f t="shared" si="116"/>
        <v>2242.20212898518</v>
      </c>
      <c r="AA68" s="147">
        <f t="shared" si="117"/>
        <v>7351.5960183824154</v>
      </c>
      <c r="AB68" s="147">
        <f t="shared" si="54"/>
        <v>7304.1743951128547</v>
      </c>
      <c r="AC68" s="147">
        <f t="shared" si="55"/>
        <v>-47.421623269560769</v>
      </c>
      <c r="AD68" t="str">
        <f t="shared" si="56"/>
        <v>No</v>
      </c>
      <c r="AE68">
        <f>COUNTIF(AD$54:AD68,"Yes")</f>
        <v>2</v>
      </c>
      <c r="AF68" cm="1">
        <f t="array" ref="AF68">INDEX($J$2:$J$7,IF(AE68&gt;5,6,AE68+1))</f>
        <v>1.0061800000000001</v>
      </c>
      <c r="AG68" s="147">
        <f t="shared" si="57"/>
        <v>47.421623269560769</v>
      </c>
      <c r="AK68">
        <v>15</v>
      </c>
      <c r="AL68" s="147">
        <f t="shared" si="147"/>
        <v>52.893530529305188</v>
      </c>
      <c r="AM68" s="147">
        <f t="shared" si="58"/>
        <v>25.461530529305186</v>
      </c>
      <c r="AN68" s="147">
        <f t="shared" si="59"/>
        <v>2616.9634062333303</v>
      </c>
      <c r="AO68" s="147">
        <f t="shared" si="60"/>
        <v>483.55081806783727</v>
      </c>
      <c r="AP68" s="147">
        <f t="shared" si="118"/>
        <v>1386.756607492536</v>
      </c>
      <c r="AQ68" s="147">
        <f t="shared" si="143"/>
        <v>2186.1715589854812</v>
      </c>
      <c r="AR68" s="147">
        <f t="shared" si="144"/>
        <v>7295.5654483827166</v>
      </c>
      <c r="AS68" s="147">
        <f t="shared" si="61"/>
        <v>7304.1743951128547</v>
      </c>
      <c r="AT68" s="147">
        <f t="shared" si="62"/>
        <v>8.6089467301380864</v>
      </c>
      <c r="AU68" t="str">
        <f t="shared" si="63"/>
        <v>Yes</v>
      </c>
      <c r="AV68">
        <f>COUNTIF(AU$54:AU68,"Yes")</f>
        <v>3</v>
      </c>
      <c r="AW68" cm="1">
        <f t="array" ref="AW68">INDEX($J$2:$J$7,IF(AV68&gt;5,6,AV68+1))</f>
        <v>1.000618</v>
      </c>
      <c r="AX68" s="147">
        <f t="shared" si="64"/>
        <v>8.6089467301380864</v>
      </c>
      <c r="BB68">
        <v>15</v>
      </c>
      <c r="BC68" s="147">
        <f t="shared" si="148"/>
        <v>46.42700693588629</v>
      </c>
      <c r="BD68" s="147">
        <f t="shared" si="65"/>
        <v>18.995006935886288</v>
      </c>
      <c r="BE68" s="147">
        <f t="shared" si="66"/>
        <v>2065.0001037450197</v>
      </c>
      <c r="BF68" s="147">
        <f t="shared" si="67"/>
        <v>381.56150257878062</v>
      </c>
      <c r="BG68" s="147">
        <f t="shared" si="121"/>
        <v>966.7494967532059</v>
      </c>
      <c r="BH68" s="147">
        <f t="shared" si="122"/>
        <v>2094.7921491781517</v>
      </c>
      <c r="BI68" s="147">
        <f t="shared" si="123"/>
        <v>5229.8278377955521</v>
      </c>
      <c r="BJ68" s="147">
        <f t="shared" si="68"/>
        <v>5178.7936763448961</v>
      </c>
      <c r="BK68" s="147">
        <f t="shared" si="69"/>
        <v>-51.034161450656029</v>
      </c>
      <c r="BL68" t="str">
        <f t="shared" si="70"/>
        <v>No</v>
      </c>
      <c r="BM68">
        <f>COUNTIF(BL$54:BL68,"Yes")</f>
        <v>3</v>
      </c>
      <c r="BN68" cm="1">
        <f t="array" ref="BN68">INDEX($J$2:$J$7,IF(BM68&gt;5,6,BM68+1))</f>
        <v>1.000618</v>
      </c>
      <c r="BO68" s="147">
        <f t="shared" si="71"/>
        <v>51.034161450656029</v>
      </c>
      <c r="BS68">
        <v>15</v>
      </c>
      <c r="BT68" s="147">
        <f t="shared" si="149"/>
        <v>46.42700693588629</v>
      </c>
      <c r="BU68" s="147">
        <f t="shared" si="72"/>
        <v>18.995006935886288</v>
      </c>
      <c r="BV68" s="147">
        <f t="shared" si="73"/>
        <v>2065.0001037450197</v>
      </c>
      <c r="BW68" s="147">
        <f t="shared" si="74"/>
        <v>381.56150257878062</v>
      </c>
      <c r="BX68" s="147">
        <f t="shared" si="124"/>
        <v>966.7494967532059</v>
      </c>
      <c r="BY68" s="147">
        <f t="shared" si="125"/>
        <v>2094.7921491781517</v>
      </c>
      <c r="BZ68" s="147">
        <f t="shared" si="126"/>
        <v>5229.8278377955521</v>
      </c>
      <c r="CA68" s="147">
        <f t="shared" si="75"/>
        <v>5178.7936763448961</v>
      </c>
      <c r="CB68" s="147">
        <f t="shared" si="76"/>
        <v>-51.034161450656029</v>
      </c>
      <c r="CC68" t="str">
        <f t="shared" si="77"/>
        <v>No</v>
      </c>
      <c r="CD68">
        <f>COUNTIF(CC$54:CC68,"Yes")</f>
        <v>3</v>
      </c>
      <c r="CE68" cm="1">
        <f t="array" ref="CE68">INDEX($J$2:$J$7,IF(CD68&gt;5,6,CD68+1))</f>
        <v>1.000618</v>
      </c>
      <c r="CF68" s="147">
        <f t="shared" si="78"/>
        <v>51.034161450656029</v>
      </c>
      <c r="CJ68">
        <v>15</v>
      </c>
      <c r="CK68" s="147">
        <f t="shared" si="150"/>
        <v>46.42700693588629</v>
      </c>
      <c r="CL68" s="147">
        <f t="shared" si="79"/>
        <v>18.995006935886288</v>
      </c>
      <c r="CM68" s="147">
        <f t="shared" si="80"/>
        <v>2065.0001037450197</v>
      </c>
      <c r="CN68" s="147">
        <f t="shared" si="81"/>
        <v>381.56150257878062</v>
      </c>
      <c r="CO68" s="147">
        <f t="shared" si="127"/>
        <v>966.7494967532059</v>
      </c>
      <c r="CP68" s="147">
        <f t="shared" si="128"/>
        <v>2094.7921491781517</v>
      </c>
      <c r="CQ68" s="147">
        <f t="shared" si="129"/>
        <v>5229.8278377955521</v>
      </c>
      <c r="CR68" s="147">
        <f t="shared" si="82"/>
        <v>5178.7936763448961</v>
      </c>
      <c r="CS68" s="147">
        <f t="shared" si="83"/>
        <v>-51.034161450656029</v>
      </c>
      <c r="CT68" t="str">
        <f t="shared" si="84"/>
        <v>No</v>
      </c>
      <c r="CU68">
        <f>COUNTIF(CT$54:CT68,"Yes")</f>
        <v>3</v>
      </c>
      <c r="CV68" cm="1">
        <f t="array" ref="CV68">INDEX($J$2:$J$7,IF(CU68&gt;5,6,CU68+1))</f>
        <v>1.000618</v>
      </c>
      <c r="CW68" s="147">
        <f t="shared" si="85"/>
        <v>51.034161450656029</v>
      </c>
      <c r="DA68">
        <v>15</v>
      </c>
      <c r="DB68" s="147">
        <f t="shared" si="151"/>
        <v>45.157910570804191</v>
      </c>
      <c r="DC68" s="147">
        <f t="shared" si="86"/>
        <v>17.725910570804189</v>
      </c>
      <c r="DD68" s="147">
        <f t="shared" si="87"/>
        <v>1964.3390639367481</v>
      </c>
      <c r="DE68" s="147">
        <f t="shared" si="88"/>
        <v>362.96180491739528</v>
      </c>
      <c r="DF68" s="147">
        <f t="shared" si="130"/>
        <v>893.19027253381762</v>
      </c>
      <c r="DG68" s="147">
        <f t="shared" si="131"/>
        <v>2075.8056899775984</v>
      </c>
      <c r="DH68" s="147">
        <f t="shared" si="132"/>
        <v>4817.7679038754568</v>
      </c>
      <c r="DI68" s="147">
        <f t="shared" si="89"/>
        <v>4806.5586525896733</v>
      </c>
      <c r="DJ68" s="147">
        <f t="shared" si="90"/>
        <v>-11.209251285783466</v>
      </c>
      <c r="DK68" t="str">
        <f t="shared" si="91"/>
        <v>No</v>
      </c>
      <c r="DL68">
        <f>COUNTIF(DK$54:DK68,"Yes")</f>
        <v>3</v>
      </c>
      <c r="DM68" cm="1">
        <f t="array" ref="DM68">INDEX($J$2:$J$7,IF(DL68&gt;5,6,DL68+1))</f>
        <v>1.000618</v>
      </c>
      <c r="DN68" s="147">
        <f t="shared" si="92"/>
        <v>11.209251285783466</v>
      </c>
      <c r="DR68">
        <v>15</v>
      </c>
      <c r="DS68" s="147">
        <f t="shared" si="152"/>
        <v>45.157910570804191</v>
      </c>
      <c r="DT68" s="147">
        <f t="shared" si="93"/>
        <v>17.725910570804189</v>
      </c>
      <c r="DU68" s="147">
        <f t="shared" si="94"/>
        <v>1964.3390639367481</v>
      </c>
      <c r="DV68" s="147">
        <f t="shared" si="95"/>
        <v>362.96180491739528</v>
      </c>
      <c r="DW68" s="147">
        <f t="shared" si="133"/>
        <v>893.19027253381762</v>
      </c>
      <c r="DX68" s="147">
        <f t="shared" si="134"/>
        <v>2075.8056899775984</v>
      </c>
      <c r="DY68" s="147">
        <f t="shared" si="135"/>
        <v>4817.7679038754568</v>
      </c>
      <c r="DZ68" s="147">
        <f t="shared" si="96"/>
        <v>4806.5586525896733</v>
      </c>
      <c r="EA68" s="147">
        <f t="shared" si="97"/>
        <v>-11.209251285783466</v>
      </c>
      <c r="EB68" t="str">
        <f t="shared" si="98"/>
        <v>No</v>
      </c>
      <c r="EC68">
        <f>COUNTIF(EB$54:EB68,"Yes")</f>
        <v>3</v>
      </c>
      <c r="ED68" cm="1">
        <f t="array" ref="ED68">INDEX($J$2:$J$7,IF(EC68&gt;5,6,EC68+1))</f>
        <v>1.000618</v>
      </c>
      <c r="EE68" s="147">
        <f t="shared" si="99"/>
        <v>11.209251285783466</v>
      </c>
      <c r="EI68">
        <v>15</v>
      </c>
      <c r="EJ68" s="147">
        <f t="shared" si="153"/>
        <v>45.157910570804191</v>
      </c>
      <c r="EK68" s="147">
        <f t="shared" si="100"/>
        <v>17.725910570804189</v>
      </c>
      <c r="EL68" s="147">
        <f t="shared" si="101"/>
        <v>1964.3390639367481</v>
      </c>
      <c r="EM68" s="147">
        <f t="shared" si="102"/>
        <v>362.96180491739528</v>
      </c>
      <c r="EN68" s="147">
        <f t="shared" si="136"/>
        <v>893.19027253381762</v>
      </c>
      <c r="EO68" s="147">
        <f t="shared" si="137"/>
        <v>2075.8056899775984</v>
      </c>
      <c r="EP68" s="147">
        <f t="shared" si="138"/>
        <v>4817.7679038754568</v>
      </c>
      <c r="EQ68" s="147">
        <f t="shared" si="103"/>
        <v>4806.5586525896733</v>
      </c>
      <c r="ER68" s="147">
        <f t="shared" si="104"/>
        <v>-11.209251285783466</v>
      </c>
      <c r="ES68" t="str">
        <f t="shared" si="105"/>
        <v>No</v>
      </c>
      <c r="ET68">
        <f>COUNTIF(ES$54:ES68,"Yes")</f>
        <v>3</v>
      </c>
      <c r="EU68" cm="1">
        <f t="array" ref="EU68">INDEX($J$2:$J$7,IF(ET68&gt;5,6,ET68+1))</f>
        <v>1.000618</v>
      </c>
      <c r="EV68" s="147">
        <f t="shared" si="106"/>
        <v>11.209251285783466</v>
      </c>
      <c r="EZ68">
        <v>15</v>
      </c>
      <c r="FA68" s="147">
        <f t="shared" si="154"/>
        <v>38.654569502422248</v>
      </c>
      <c r="FB68" s="147">
        <f t="shared" si="107"/>
        <v>11.222569502422246</v>
      </c>
      <c r="FC68" s="147">
        <f t="shared" si="108"/>
        <v>1487.9796762496146</v>
      </c>
      <c r="FD68" s="147">
        <f t="shared" si="109"/>
        <v>274.94224336687745</v>
      </c>
      <c r="FE68" s="147">
        <f t="shared" si="139"/>
        <v>561.91316226123547</v>
      </c>
      <c r="FF68" s="147">
        <f t="shared" si="140"/>
        <v>1617.3757229252205</v>
      </c>
      <c r="FG68" s="147">
        <f t="shared" si="141"/>
        <v>3199.857916150112</v>
      </c>
      <c r="FH68" s="147">
        <f t="shared" si="110"/>
        <v>3130.1823133817074</v>
      </c>
      <c r="FI68" s="147">
        <f t="shared" si="111"/>
        <v>-69.675602768404588</v>
      </c>
      <c r="FJ68" t="str">
        <f t="shared" si="112"/>
        <v>No</v>
      </c>
      <c r="FK68">
        <f>COUNTIF(FJ$54:FJ68,"Yes")</f>
        <v>2</v>
      </c>
      <c r="FL68" cm="1">
        <f t="array" ref="FL68">INDEX($J$2:$J$7,IF(FK68&gt;5,6,FK68+1))</f>
        <v>1.0061800000000001</v>
      </c>
      <c r="FM68" s="147">
        <f t="shared" si="113"/>
        <v>69.675602768404588</v>
      </c>
    </row>
    <row r="69" spans="3:169" x14ac:dyDescent="0.3">
      <c r="C69">
        <v>16</v>
      </c>
      <c r="D69" s="147">
        <f t="shared" si="155"/>
        <v>53.220412547976295</v>
      </c>
      <c r="E69" s="147">
        <f t="shared" si="42"/>
        <v>25.788412547976293</v>
      </c>
      <c r="F69" s="147">
        <f t="shared" si="43"/>
        <v>2646.598955744169</v>
      </c>
      <c r="G69" s="147">
        <f t="shared" si="44"/>
        <v>489.02674263587778</v>
      </c>
      <c r="H69" s="147">
        <f t="shared" si="142"/>
        <v>1353.0247940821748</v>
      </c>
      <c r="I69" s="147">
        <f t="shared" si="114"/>
        <v>2249.5389219066828</v>
      </c>
      <c r="J69" s="147">
        <f t="shared" si="115"/>
        <v>7364.4087358719598</v>
      </c>
      <c r="K69" s="147">
        <f t="shared" si="46"/>
        <v>7421.7649201419517</v>
      </c>
      <c r="L69" s="147">
        <f t="shared" si="47"/>
        <v>57.3561842699919</v>
      </c>
      <c r="M69" t="str">
        <f t="shared" si="48"/>
        <v>Yes</v>
      </c>
      <c r="N69">
        <f>COUNTIF(M$54:M69,"Yes")</f>
        <v>3</v>
      </c>
      <c r="O69" cm="1">
        <f t="array" ref="O69">INDEX($J$2:$J$7,IF(N69&gt;5,6,N69+1))</f>
        <v>1.000618</v>
      </c>
      <c r="P69" s="147">
        <f t="shared" si="49"/>
        <v>57.3561842699919</v>
      </c>
      <c r="T69">
        <v>16</v>
      </c>
      <c r="U69" s="147">
        <f t="shared" si="146"/>
        <v>53.220412547976295</v>
      </c>
      <c r="V69" s="147">
        <f t="shared" si="50"/>
        <v>25.788412547976293</v>
      </c>
      <c r="W69" s="147">
        <f t="shared" si="51"/>
        <v>2646.598955744169</v>
      </c>
      <c r="X69" s="147">
        <f t="shared" si="52"/>
        <v>489.02674263587778</v>
      </c>
      <c r="Y69" s="147">
        <f t="shared" si="53"/>
        <v>1353.0247940821748</v>
      </c>
      <c r="Z69" s="147">
        <f t="shared" si="116"/>
        <v>2249.538921906681</v>
      </c>
      <c r="AA69" s="147">
        <f t="shared" si="117"/>
        <v>7364.4087358719562</v>
      </c>
      <c r="AB69" s="147">
        <f t="shared" si="54"/>
        <v>7421.7649201419517</v>
      </c>
      <c r="AC69" s="147">
        <f t="shared" si="55"/>
        <v>57.356184269995538</v>
      </c>
      <c r="AD69" t="str">
        <f t="shared" si="56"/>
        <v>Yes</v>
      </c>
      <c r="AE69">
        <f>COUNTIF(AD$54:AD69,"Yes")</f>
        <v>3</v>
      </c>
      <c r="AF69" cm="1">
        <f t="array" ref="AF69">INDEX($J$2:$J$7,IF(AE69&gt;5,6,AE69+1))</f>
        <v>1.000618</v>
      </c>
      <c r="AG69" s="147">
        <f t="shared" si="57"/>
        <v>57.356184269995538</v>
      </c>
      <c r="AK69">
        <v>16</v>
      </c>
      <c r="AL69" s="147">
        <f t="shared" si="147"/>
        <v>52.601143663332898</v>
      </c>
      <c r="AM69" s="147">
        <f t="shared" si="58"/>
        <v>25.169143663332896</v>
      </c>
      <c r="AN69" s="147">
        <f t="shared" si="59"/>
        <v>2590.596607866707</v>
      </c>
      <c r="AO69" s="147">
        <f t="shared" si="60"/>
        <v>478.67887874700392</v>
      </c>
      <c r="AP69" s="147">
        <f t="shared" si="118"/>
        <v>1366.1347674686895</v>
      </c>
      <c r="AQ69" s="147">
        <f t="shared" si="143"/>
        <v>2180.4266006427051</v>
      </c>
      <c r="AR69" s="147">
        <f t="shared" si="144"/>
        <v>7284.9485507191075</v>
      </c>
      <c r="AS69" s="147">
        <f t="shared" si="61"/>
        <v>7199.8207781108731</v>
      </c>
      <c r="AT69" s="147">
        <f t="shared" si="62"/>
        <v>-85.127772608234409</v>
      </c>
      <c r="AU69" t="str">
        <f t="shared" si="63"/>
        <v>No</v>
      </c>
      <c r="AV69">
        <f>COUNTIF(AU$54:AU69,"Yes")</f>
        <v>3</v>
      </c>
      <c r="AW69" cm="1">
        <f t="array" ref="AW69">INDEX($J$2:$J$7,IF(AV69&gt;5,6,AV69+1))</f>
        <v>1.000618</v>
      </c>
      <c r="AX69" s="147">
        <f t="shared" si="64"/>
        <v>85.127772608234409</v>
      </c>
      <c r="BB69">
        <v>16</v>
      </c>
      <c r="BC69" s="147">
        <f t="shared" si="148"/>
        <v>46.455698826172664</v>
      </c>
      <c r="BD69" s="147">
        <f t="shared" si="65"/>
        <v>19.023698826172662</v>
      </c>
      <c r="BE69" s="147">
        <f t="shared" si="66"/>
        <v>2067.3049349156181</v>
      </c>
      <c r="BF69" s="147">
        <f t="shared" si="67"/>
        <v>381.98737899546893</v>
      </c>
      <c r="BG69" s="147">
        <f t="shared" si="121"/>
        <v>968.4461755160919</v>
      </c>
      <c r="BH69" s="147">
        <f t="shared" si="122"/>
        <v>2095.4003015858648</v>
      </c>
      <c r="BI69" s="147">
        <f t="shared" si="123"/>
        <v>5230.8618666199527</v>
      </c>
      <c r="BJ69" s="147">
        <f t="shared" si="68"/>
        <v>5187.3794555766635</v>
      </c>
      <c r="BK69" s="147">
        <f t="shared" si="69"/>
        <v>-43.482411043289176</v>
      </c>
      <c r="BL69" t="str">
        <f t="shared" si="70"/>
        <v>No</v>
      </c>
      <c r="BM69">
        <f>COUNTIF(BL$54:BL69,"Yes")</f>
        <v>3</v>
      </c>
      <c r="BN69" cm="1">
        <f t="array" ref="BN69">INDEX($J$2:$J$7,IF(BM69&gt;5,6,BM69+1))</f>
        <v>1.000618</v>
      </c>
      <c r="BO69" s="147">
        <f t="shared" si="71"/>
        <v>43.482411043289176</v>
      </c>
      <c r="BS69">
        <v>16</v>
      </c>
      <c r="BT69" s="147">
        <f t="shared" si="149"/>
        <v>46.455698826172664</v>
      </c>
      <c r="BU69" s="147">
        <f t="shared" si="72"/>
        <v>19.023698826172662</v>
      </c>
      <c r="BV69" s="147">
        <f t="shared" si="73"/>
        <v>2067.3049349156181</v>
      </c>
      <c r="BW69" s="147">
        <f t="shared" si="74"/>
        <v>381.98737899546893</v>
      </c>
      <c r="BX69" s="147">
        <f t="shared" si="124"/>
        <v>968.4461755160919</v>
      </c>
      <c r="BY69" s="147">
        <f t="shared" si="125"/>
        <v>2095.4003015858648</v>
      </c>
      <c r="BZ69" s="147">
        <f t="shared" si="126"/>
        <v>5230.8618666199527</v>
      </c>
      <c r="CA69" s="147">
        <f t="shared" si="75"/>
        <v>5187.3794555766635</v>
      </c>
      <c r="CB69" s="147">
        <f t="shared" si="76"/>
        <v>-43.482411043289176</v>
      </c>
      <c r="CC69" t="str">
        <f t="shared" si="77"/>
        <v>No</v>
      </c>
      <c r="CD69">
        <f>COUNTIF(CC$54:CC69,"Yes")</f>
        <v>3</v>
      </c>
      <c r="CE69" cm="1">
        <f t="array" ref="CE69">INDEX($J$2:$J$7,IF(CD69&gt;5,6,CD69+1))</f>
        <v>1.000618</v>
      </c>
      <c r="CF69" s="147">
        <f t="shared" si="78"/>
        <v>43.482411043289176</v>
      </c>
      <c r="CJ69">
        <v>16</v>
      </c>
      <c r="CK69" s="147">
        <f t="shared" si="150"/>
        <v>46.455698826172664</v>
      </c>
      <c r="CL69" s="147">
        <f t="shared" si="79"/>
        <v>19.023698826172662</v>
      </c>
      <c r="CM69" s="147">
        <f t="shared" si="80"/>
        <v>2067.3049349156181</v>
      </c>
      <c r="CN69" s="147">
        <f t="shared" si="81"/>
        <v>381.98737899546893</v>
      </c>
      <c r="CO69" s="147">
        <f t="shared" si="127"/>
        <v>968.4461755160919</v>
      </c>
      <c r="CP69" s="147">
        <f t="shared" si="128"/>
        <v>2095.4003015858648</v>
      </c>
      <c r="CQ69" s="147">
        <f t="shared" si="129"/>
        <v>5230.8618666199527</v>
      </c>
      <c r="CR69" s="147">
        <f t="shared" si="82"/>
        <v>5187.3794555766635</v>
      </c>
      <c r="CS69" s="147">
        <f t="shared" si="83"/>
        <v>-43.482411043289176</v>
      </c>
      <c r="CT69" t="str">
        <f t="shared" si="84"/>
        <v>No</v>
      </c>
      <c r="CU69">
        <f>COUNTIF(CT$54:CT69,"Yes")</f>
        <v>3</v>
      </c>
      <c r="CV69" cm="1">
        <f t="array" ref="CV69">INDEX($J$2:$J$7,IF(CU69&gt;5,6,CU69+1))</f>
        <v>1.000618</v>
      </c>
      <c r="CW69" s="147">
        <f t="shared" si="85"/>
        <v>43.482411043289176</v>
      </c>
      <c r="DA69">
        <v>16</v>
      </c>
      <c r="DB69" s="147">
        <f t="shared" si="151"/>
        <v>45.18581815953695</v>
      </c>
      <c r="DC69" s="147">
        <f t="shared" si="86"/>
        <v>17.753818159536948</v>
      </c>
      <c r="DD69" s="147">
        <f t="shared" si="87"/>
        <v>1966.5255671969403</v>
      </c>
      <c r="DE69" s="147">
        <f t="shared" si="88"/>
        <v>363.36581723092468</v>
      </c>
      <c r="DF69" s="147">
        <f t="shared" si="130"/>
        <v>894.77655331266931</v>
      </c>
      <c r="DG69" s="147">
        <f t="shared" si="131"/>
        <v>2076.4059124589394</v>
      </c>
      <c r="DH69" s="147">
        <f t="shared" si="132"/>
        <v>4818.772138670327</v>
      </c>
      <c r="DI69" s="147">
        <f t="shared" si="89"/>
        <v>4814.5857799780379</v>
      </c>
      <c r="DJ69" s="147">
        <f t="shared" si="90"/>
        <v>-4.1863586922891045</v>
      </c>
      <c r="DK69" t="str">
        <f t="shared" si="91"/>
        <v>No</v>
      </c>
      <c r="DL69">
        <f>COUNTIF(DK$54:DK69,"Yes")</f>
        <v>3</v>
      </c>
      <c r="DM69" cm="1">
        <f t="array" ref="DM69">INDEX($J$2:$J$7,IF(DL69&gt;5,6,DL69+1))</f>
        <v>1.000618</v>
      </c>
      <c r="DN69" s="147">
        <f t="shared" si="92"/>
        <v>4.1863586922891045</v>
      </c>
      <c r="DR69">
        <v>16</v>
      </c>
      <c r="DS69" s="147">
        <f t="shared" si="152"/>
        <v>45.18581815953695</v>
      </c>
      <c r="DT69" s="147">
        <f t="shared" si="93"/>
        <v>17.753818159536948</v>
      </c>
      <c r="DU69" s="147">
        <f t="shared" si="94"/>
        <v>1966.5255671969403</v>
      </c>
      <c r="DV69" s="147">
        <f t="shared" si="95"/>
        <v>363.36581723092468</v>
      </c>
      <c r="DW69" s="147">
        <f t="shared" si="133"/>
        <v>894.77655331266931</v>
      </c>
      <c r="DX69" s="147">
        <f t="shared" si="134"/>
        <v>2076.4059124589394</v>
      </c>
      <c r="DY69" s="147">
        <f t="shared" si="135"/>
        <v>4818.772138670327</v>
      </c>
      <c r="DZ69" s="147">
        <f t="shared" si="96"/>
        <v>4814.5857799780379</v>
      </c>
      <c r="EA69" s="147">
        <f t="shared" si="97"/>
        <v>-4.1863586922891045</v>
      </c>
      <c r="EB69" t="str">
        <f t="shared" si="98"/>
        <v>No</v>
      </c>
      <c r="EC69">
        <f>COUNTIF(EB$54:EB69,"Yes")</f>
        <v>3</v>
      </c>
      <c r="ED69" cm="1">
        <f t="array" ref="ED69">INDEX($J$2:$J$7,IF(EC69&gt;5,6,EC69+1))</f>
        <v>1.000618</v>
      </c>
      <c r="EE69" s="147">
        <f t="shared" si="99"/>
        <v>4.1863586922891045</v>
      </c>
      <c r="EI69">
        <v>16</v>
      </c>
      <c r="EJ69" s="147">
        <f t="shared" si="153"/>
        <v>45.18581815953695</v>
      </c>
      <c r="EK69" s="147">
        <f t="shared" si="100"/>
        <v>17.753818159536948</v>
      </c>
      <c r="EL69" s="147">
        <f t="shared" si="101"/>
        <v>1966.5255671969403</v>
      </c>
      <c r="EM69" s="147">
        <f t="shared" si="102"/>
        <v>363.36581723092468</v>
      </c>
      <c r="EN69" s="147">
        <f t="shared" si="136"/>
        <v>894.77655331266931</v>
      </c>
      <c r="EO69" s="147">
        <f t="shared" si="137"/>
        <v>2076.4059124589394</v>
      </c>
      <c r="EP69" s="147">
        <f t="shared" si="138"/>
        <v>4818.772138670327</v>
      </c>
      <c r="EQ69" s="147">
        <f t="shared" si="103"/>
        <v>4814.5857799780379</v>
      </c>
      <c r="ER69" s="147">
        <f t="shared" si="104"/>
        <v>-4.1863586922891045</v>
      </c>
      <c r="ES69" t="str">
        <f t="shared" si="105"/>
        <v>No</v>
      </c>
      <c r="ET69">
        <f>COUNTIF(ES$54:ES69,"Yes")</f>
        <v>3</v>
      </c>
      <c r="EU69" cm="1">
        <f t="array" ref="EU69">INDEX($J$2:$J$7,IF(ET69&gt;5,6,ET69+1))</f>
        <v>1.000618</v>
      </c>
      <c r="EV69" s="147">
        <f t="shared" si="106"/>
        <v>4.1863586922891045</v>
      </c>
      <c r="EZ69">
        <v>16</v>
      </c>
      <c r="FA69" s="147">
        <f t="shared" si="154"/>
        <v>38.893454741947224</v>
      </c>
      <c r="FB69" s="147">
        <f t="shared" si="107"/>
        <v>11.461454741947222</v>
      </c>
      <c r="FC69" s="147">
        <f t="shared" si="108"/>
        <v>1504.3091897168974</v>
      </c>
      <c r="FD69" s="147">
        <f t="shared" si="109"/>
        <v>277.95953798282301</v>
      </c>
      <c r="FE69" s="147">
        <f t="shared" si="139"/>
        <v>572.72979427417124</v>
      </c>
      <c r="FF69" s="147">
        <f t="shared" si="140"/>
        <v>1622.8886043795674</v>
      </c>
      <c r="FG69" s="147">
        <f t="shared" si="141"/>
        <v>3208.3880922204044</v>
      </c>
      <c r="FH69" s="147">
        <f t="shared" si="110"/>
        <v>3184.9181988809646</v>
      </c>
      <c r="FI69" s="147">
        <f t="shared" si="111"/>
        <v>-23.46989333943975</v>
      </c>
      <c r="FJ69" t="str">
        <f t="shared" si="112"/>
        <v>No</v>
      </c>
      <c r="FK69">
        <f>COUNTIF(FJ$54:FJ69,"Yes")</f>
        <v>2</v>
      </c>
      <c r="FL69" cm="1">
        <f t="array" ref="FL69">INDEX($J$2:$J$7,IF(FK69&gt;5,6,FK69+1))</f>
        <v>1.0061800000000001</v>
      </c>
      <c r="FM69" s="147">
        <f t="shared" si="113"/>
        <v>23.46989333943975</v>
      </c>
    </row>
    <row r="70" spans="3:169" x14ac:dyDescent="0.3">
      <c r="C70">
        <v>17</v>
      </c>
      <c r="D70" s="147">
        <f t="shared" si="155"/>
        <v>52.926218731172298</v>
      </c>
      <c r="E70" s="147">
        <f t="shared" si="42"/>
        <v>25.494218731172296</v>
      </c>
      <c r="F70" s="147">
        <f t="shared" si="43"/>
        <v>2619.9194525293874</v>
      </c>
      <c r="G70" s="147">
        <f t="shared" si="44"/>
        <v>484.09702310887843</v>
      </c>
      <c r="H70" s="147">
        <f t="shared" si="142"/>
        <v>1332.9475755891049</v>
      </c>
      <c r="I70" s="147">
        <f t="shared" si="114"/>
        <v>2242.9366371849706</v>
      </c>
      <c r="J70" s="147">
        <f t="shared" si="115"/>
        <v>7352.8767316232461</v>
      </c>
      <c r="K70" s="147">
        <f t="shared" si="46"/>
        <v>7315.8894802148261</v>
      </c>
      <c r="L70" s="147">
        <f t="shared" si="47"/>
        <v>-36.987251408419979</v>
      </c>
      <c r="M70" t="str">
        <f t="shared" si="48"/>
        <v>No</v>
      </c>
      <c r="N70">
        <f>COUNTIF(M$54:M70,"Yes")</f>
        <v>3</v>
      </c>
      <c r="O70" cm="1">
        <f t="array" ref="O70">INDEX($J$2:$J$7,IF(N70&gt;5,6,N70+1))</f>
        <v>1.000618</v>
      </c>
      <c r="P70" s="147">
        <f t="shared" si="49"/>
        <v>36.987251408419979</v>
      </c>
      <c r="T70">
        <v>17</v>
      </c>
      <c r="U70" s="147">
        <f t="shared" si="146"/>
        <v>52.926218731172298</v>
      </c>
      <c r="V70" s="147">
        <f t="shared" si="50"/>
        <v>25.494218731172296</v>
      </c>
      <c r="W70" s="147">
        <f t="shared" si="51"/>
        <v>2619.9194525293874</v>
      </c>
      <c r="X70" s="147">
        <f t="shared" si="52"/>
        <v>484.09702310887843</v>
      </c>
      <c r="Y70" s="147">
        <f t="shared" si="53"/>
        <v>1332.9475755891049</v>
      </c>
      <c r="Z70" s="147">
        <f t="shared" si="116"/>
        <v>2242.9366371849706</v>
      </c>
      <c r="AA70" s="147">
        <f t="shared" si="117"/>
        <v>7352.8767316232461</v>
      </c>
      <c r="AB70" s="147">
        <f t="shared" si="54"/>
        <v>7315.8894802148261</v>
      </c>
      <c r="AC70" s="147">
        <f t="shared" si="55"/>
        <v>-36.987251408419979</v>
      </c>
      <c r="AD70" t="str">
        <f t="shared" si="56"/>
        <v>No</v>
      </c>
      <c r="AE70">
        <f>COUNTIF(AD$54:AD70,"Yes")</f>
        <v>3</v>
      </c>
      <c r="AF70" cm="1">
        <f t="array" ref="AF70">INDEX($J$2:$J$7,IF(AE70&gt;5,6,AE70+1))</f>
        <v>1.000618</v>
      </c>
      <c r="AG70" s="147">
        <f t="shared" si="57"/>
        <v>36.987251408419979</v>
      </c>
      <c r="AK70">
        <v>17</v>
      </c>
      <c r="AL70" s="147">
        <f t="shared" si="147"/>
        <v>52.633651170116842</v>
      </c>
      <c r="AM70" s="147">
        <f t="shared" si="58"/>
        <v>25.20165117011684</v>
      </c>
      <c r="AN70" s="147">
        <f t="shared" si="59"/>
        <v>2593.5214664617633</v>
      </c>
      <c r="AO70" s="147">
        <f t="shared" si="60"/>
        <v>479.21932106385225</v>
      </c>
      <c r="AP70" s="147">
        <f t="shared" si="118"/>
        <v>1368.4198663004267</v>
      </c>
      <c r="AQ70" s="147">
        <f t="shared" si="143"/>
        <v>2181.0663604060242</v>
      </c>
      <c r="AR70" s="147">
        <f t="shared" si="144"/>
        <v>7286.1287527992754</v>
      </c>
      <c r="AS70" s="147">
        <f t="shared" si="61"/>
        <v>7211.3841656661571</v>
      </c>
      <c r="AT70" s="147">
        <f t="shared" si="62"/>
        <v>-74.74458713311833</v>
      </c>
      <c r="AU70" t="str">
        <f t="shared" si="63"/>
        <v>No</v>
      </c>
      <c r="AV70">
        <f>COUNTIF(AU$54:AU70,"Yes")</f>
        <v>3</v>
      </c>
      <c r="AW70" cm="1">
        <f t="array" ref="AW70">INDEX($J$2:$J$7,IF(AV70&gt;5,6,AV70+1))</f>
        <v>1.000618</v>
      </c>
      <c r="AX70" s="147">
        <f t="shared" si="64"/>
        <v>74.74458713311833</v>
      </c>
      <c r="BB70">
        <v>17</v>
      </c>
      <c r="BC70" s="147">
        <f t="shared" si="148"/>
        <v>46.48440844804724</v>
      </c>
      <c r="BD70" s="147">
        <f t="shared" si="65"/>
        <v>19.052408448047238</v>
      </c>
      <c r="BE70" s="147">
        <f t="shared" si="66"/>
        <v>2069.6124772047219</v>
      </c>
      <c r="BF70" s="147">
        <f t="shared" si="67"/>
        <v>382.41375636053431</v>
      </c>
      <c r="BG70" s="147">
        <f t="shared" si="121"/>
        <v>970.1453917655524</v>
      </c>
      <c r="BH70" s="147">
        <f t="shared" si="122"/>
        <v>2096.0086276255079</v>
      </c>
      <c r="BI70" s="147">
        <f t="shared" si="123"/>
        <v>5231.8965700246608</v>
      </c>
      <c r="BJ70" s="147">
        <f t="shared" si="68"/>
        <v>5195.9780753649411</v>
      </c>
      <c r="BK70" s="147">
        <f t="shared" si="69"/>
        <v>-35.918494659719727</v>
      </c>
      <c r="BL70" t="str">
        <f t="shared" si="70"/>
        <v>No</v>
      </c>
      <c r="BM70">
        <f>COUNTIF(BL$54:BL70,"Yes")</f>
        <v>3</v>
      </c>
      <c r="BN70" cm="1">
        <f t="array" ref="BN70">INDEX($J$2:$J$7,IF(BM70&gt;5,6,BM70+1))</f>
        <v>1.000618</v>
      </c>
      <c r="BO70" s="147">
        <f t="shared" si="71"/>
        <v>35.918494659719727</v>
      </c>
      <c r="BS70">
        <v>17</v>
      </c>
      <c r="BT70" s="147">
        <f t="shared" si="149"/>
        <v>46.48440844804724</v>
      </c>
      <c r="BU70" s="147">
        <f t="shared" si="72"/>
        <v>19.052408448047238</v>
      </c>
      <c r="BV70" s="147">
        <f t="shared" si="73"/>
        <v>2069.6124772047219</v>
      </c>
      <c r="BW70" s="147">
        <f t="shared" si="74"/>
        <v>382.41375636053431</v>
      </c>
      <c r="BX70" s="147">
        <f t="shared" si="124"/>
        <v>970.1453917655524</v>
      </c>
      <c r="BY70" s="147">
        <f t="shared" si="125"/>
        <v>2096.0086276255079</v>
      </c>
      <c r="BZ70" s="147">
        <f t="shared" si="126"/>
        <v>5231.8965700246608</v>
      </c>
      <c r="CA70" s="147">
        <f t="shared" si="75"/>
        <v>5195.9780753649411</v>
      </c>
      <c r="CB70" s="147">
        <f t="shared" si="76"/>
        <v>-35.918494659719727</v>
      </c>
      <c r="CC70" t="str">
        <f t="shared" si="77"/>
        <v>No</v>
      </c>
      <c r="CD70">
        <f>COUNTIF(CC$54:CC70,"Yes")</f>
        <v>3</v>
      </c>
      <c r="CE70" cm="1">
        <f t="array" ref="CE70">INDEX($J$2:$J$7,IF(CD70&gt;5,6,CD70+1))</f>
        <v>1.000618</v>
      </c>
      <c r="CF70" s="147">
        <f t="shared" si="78"/>
        <v>35.918494659719727</v>
      </c>
      <c r="CJ70">
        <v>17</v>
      </c>
      <c r="CK70" s="147">
        <f t="shared" si="150"/>
        <v>46.48440844804724</v>
      </c>
      <c r="CL70" s="147">
        <f t="shared" si="79"/>
        <v>19.052408448047238</v>
      </c>
      <c r="CM70" s="147">
        <f t="shared" si="80"/>
        <v>2069.6124772047219</v>
      </c>
      <c r="CN70" s="147">
        <f t="shared" si="81"/>
        <v>382.41375636053431</v>
      </c>
      <c r="CO70" s="147">
        <f t="shared" si="127"/>
        <v>970.1453917655524</v>
      </c>
      <c r="CP70" s="147">
        <f t="shared" si="128"/>
        <v>2096.0086276255079</v>
      </c>
      <c r="CQ70" s="147">
        <f t="shared" si="129"/>
        <v>5231.8965700246608</v>
      </c>
      <c r="CR70" s="147">
        <f t="shared" si="82"/>
        <v>5195.9780753649411</v>
      </c>
      <c r="CS70" s="147">
        <f t="shared" si="83"/>
        <v>-35.918494659719727</v>
      </c>
      <c r="CT70" t="str">
        <f t="shared" si="84"/>
        <v>No</v>
      </c>
      <c r="CU70">
        <f>COUNTIF(CT$54:CT70,"Yes")</f>
        <v>3</v>
      </c>
      <c r="CV70" cm="1">
        <f t="array" ref="CV70">INDEX($J$2:$J$7,IF(CU70&gt;5,6,CU70+1))</f>
        <v>1.000618</v>
      </c>
      <c r="CW70" s="147">
        <f t="shared" si="85"/>
        <v>35.918494659719727</v>
      </c>
      <c r="DA70">
        <v>17</v>
      </c>
      <c r="DB70" s="147">
        <f t="shared" si="151"/>
        <v>45.213742995159542</v>
      </c>
      <c r="DC70" s="147">
        <f t="shared" si="86"/>
        <v>17.78174299515954</v>
      </c>
      <c r="DD70" s="147">
        <f t="shared" si="87"/>
        <v>1968.7146390639925</v>
      </c>
      <c r="DE70" s="147">
        <f t="shared" si="88"/>
        <v>363.77030416016527</v>
      </c>
      <c r="DF70" s="147">
        <f t="shared" si="130"/>
        <v>896.36522306349741</v>
      </c>
      <c r="DG70" s="147">
        <f t="shared" si="131"/>
        <v>2077.0063145751633</v>
      </c>
      <c r="DH70" s="147">
        <f t="shared" si="132"/>
        <v>4819.7770277157924</v>
      </c>
      <c r="DI70" s="147">
        <f t="shared" si="89"/>
        <v>4822.6249963878654</v>
      </c>
      <c r="DJ70" s="147">
        <f t="shared" si="90"/>
        <v>2.847968672072966</v>
      </c>
      <c r="DK70" t="str">
        <f t="shared" si="91"/>
        <v>Yes</v>
      </c>
      <c r="DL70">
        <f>COUNTIF(DK$54:DK70,"Yes")</f>
        <v>4</v>
      </c>
      <c r="DM70" cm="1">
        <f t="array" ref="DM70">INDEX($J$2:$J$7,IF(DL70&gt;5,6,DL70+1))</f>
        <v>1.0000617999999999</v>
      </c>
      <c r="DN70" s="147">
        <f t="shared" si="92"/>
        <v>2.847968672072966</v>
      </c>
      <c r="DR70">
        <v>17</v>
      </c>
      <c r="DS70" s="147">
        <f t="shared" si="152"/>
        <v>45.213742995159542</v>
      </c>
      <c r="DT70" s="147">
        <f t="shared" si="93"/>
        <v>17.78174299515954</v>
      </c>
      <c r="DU70" s="147">
        <f t="shared" si="94"/>
        <v>1968.7146390639925</v>
      </c>
      <c r="DV70" s="147">
        <f t="shared" si="95"/>
        <v>363.77030416016527</v>
      </c>
      <c r="DW70" s="147">
        <f t="shared" si="133"/>
        <v>896.36522306349741</v>
      </c>
      <c r="DX70" s="147">
        <f t="shared" si="134"/>
        <v>2077.0063145751633</v>
      </c>
      <c r="DY70" s="147">
        <f t="shared" si="135"/>
        <v>4819.7770277157924</v>
      </c>
      <c r="DZ70" s="147">
        <f t="shared" si="96"/>
        <v>4822.6249963878654</v>
      </c>
      <c r="EA70" s="147">
        <f t="shared" si="97"/>
        <v>2.847968672072966</v>
      </c>
      <c r="EB70" t="str">
        <f t="shared" si="98"/>
        <v>Yes</v>
      </c>
      <c r="EC70">
        <f>COUNTIF(EB$54:EB70,"Yes")</f>
        <v>4</v>
      </c>
      <c r="ED70" cm="1">
        <f t="array" ref="ED70">INDEX($J$2:$J$7,IF(EC70&gt;5,6,EC70+1))</f>
        <v>1.0000617999999999</v>
      </c>
      <c r="EE70" s="147">
        <f t="shared" si="99"/>
        <v>2.847968672072966</v>
      </c>
      <c r="EI70">
        <v>17</v>
      </c>
      <c r="EJ70" s="147">
        <f t="shared" si="153"/>
        <v>45.213742995159542</v>
      </c>
      <c r="EK70" s="147">
        <f t="shared" si="100"/>
        <v>17.78174299515954</v>
      </c>
      <c r="EL70" s="147">
        <f t="shared" si="101"/>
        <v>1968.7146390639925</v>
      </c>
      <c r="EM70" s="147">
        <f t="shared" si="102"/>
        <v>363.77030416016527</v>
      </c>
      <c r="EN70" s="147">
        <f t="shared" si="136"/>
        <v>896.36522306349741</v>
      </c>
      <c r="EO70" s="147">
        <f t="shared" si="137"/>
        <v>2077.0063145751633</v>
      </c>
      <c r="EP70" s="147">
        <f t="shared" si="138"/>
        <v>4819.7770277157924</v>
      </c>
      <c r="EQ70" s="147">
        <f t="shared" si="103"/>
        <v>4822.6249963878654</v>
      </c>
      <c r="ER70" s="147">
        <f t="shared" si="104"/>
        <v>2.847968672072966</v>
      </c>
      <c r="ES70" t="str">
        <f t="shared" si="105"/>
        <v>Yes</v>
      </c>
      <c r="ET70">
        <f>COUNTIF(ES$54:ES70,"Yes")</f>
        <v>4</v>
      </c>
      <c r="EU70" cm="1">
        <f t="array" ref="EU70">INDEX($J$2:$J$7,IF(ET70&gt;5,6,ET70+1))</f>
        <v>1.0000617999999999</v>
      </c>
      <c r="EV70" s="147">
        <f t="shared" si="106"/>
        <v>2.847968672072966</v>
      </c>
      <c r="EZ70">
        <v>17</v>
      </c>
      <c r="FA70" s="147">
        <f t="shared" si="154"/>
        <v>39.133816292252462</v>
      </c>
      <c r="FB70" s="147">
        <f t="shared" si="107"/>
        <v>11.70181629225246</v>
      </c>
      <c r="FC70" s="147">
        <f t="shared" si="108"/>
        <v>1520.8295614217172</v>
      </c>
      <c r="FD70" s="147">
        <f t="shared" si="109"/>
        <v>281.01209853205455</v>
      </c>
      <c r="FE70" s="147">
        <f t="shared" si="139"/>
        <v>583.71734901183356</v>
      </c>
      <c r="FF70" s="147">
        <f t="shared" si="140"/>
        <v>1628.4214213467249</v>
      </c>
      <c r="FG70" s="147">
        <f t="shared" si="141"/>
        <v>3216.9734697367935</v>
      </c>
      <c r="FH70" s="147">
        <f t="shared" si="110"/>
        <v>3240.5190122689278</v>
      </c>
      <c r="FI70" s="147">
        <f t="shared" si="111"/>
        <v>23.545542532134277</v>
      </c>
      <c r="FJ70" t="str">
        <f t="shared" si="112"/>
        <v>Yes</v>
      </c>
      <c r="FK70">
        <f>COUNTIF(FJ$54:FJ70,"Yes")</f>
        <v>3</v>
      </c>
      <c r="FL70" cm="1">
        <f t="array" ref="FL70">INDEX($J$2:$J$7,IF(FK70&gt;5,6,FK70+1))</f>
        <v>1.000618</v>
      </c>
      <c r="FM70" s="147">
        <f t="shared" si="113"/>
        <v>23.545542532134277</v>
      </c>
    </row>
    <row r="71" spans="3:169" x14ac:dyDescent="0.3">
      <c r="C71">
        <v>18</v>
      </c>
      <c r="D71" s="147">
        <f t="shared" si="155"/>
        <v>52.958927134348166</v>
      </c>
      <c r="E71" s="147">
        <f t="shared" si="42"/>
        <v>25.526927134348163</v>
      </c>
      <c r="F71" s="147">
        <f t="shared" si="43"/>
        <v>2622.878995799163</v>
      </c>
      <c r="G71" s="147">
        <f t="shared" si="44"/>
        <v>484.64387430511545</v>
      </c>
      <c r="H71" s="147">
        <f t="shared" si="142"/>
        <v>1335.1723411055116</v>
      </c>
      <c r="I71" s="147">
        <f t="shared" si="114"/>
        <v>2243.6714149383406</v>
      </c>
      <c r="J71" s="147">
        <f t="shared" si="115"/>
        <v>7354.1583605728538</v>
      </c>
      <c r="K71" s="147">
        <f t="shared" si="46"/>
        <v>7327.6215848320844</v>
      </c>
      <c r="L71" s="147">
        <f t="shared" si="47"/>
        <v>-26.536775740769372</v>
      </c>
      <c r="M71" t="str">
        <f t="shared" si="48"/>
        <v>No</v>
      </c>
      <c r="N71">
        <f>COUNTIF(M$54:M71,"Yes")</f>
        <v>3</v>
      </c>
      <c r="O71" cm="1">
        <f t="array" ref="O71">INDEX($J$2:$J$7,IF(N71&gt;5,6,N71+1))</f>
        <v>1.000618</v>
      </c>
      <c r="P71" s="147">
        <f t="shared" si="49"/>
        <v>26.536775740769372</v>
      </c>
      <c r="T71">
        <v>18</v>
      </c>
      <c r="U71" s="147">
        <f t="shared" si="146"/>
        <v>52.958927134348166</v>
      </c>
      <c r="V71" s="147">
        <f t="shared" si="50"/>
        <v>25.526927134348163</v>
      </c>
      <c r="W71" s="147">
        <f t="shared" si="51"/>
        <v>2622.878995799163</v>
      </c>
      <c r="X71" s="147">
        <f t="shared" si="52"/>
        <v>484.64387430511545</v>
      </c>
      <c r="Y71" s="147">
        <f t="shared" si="53"/>
        <v>1335.1723411055116</v>
      </c>
      <c r="Z71" s="147">
        <f t="shared" si="116"/>
        <v>2243.6714149383388</v>
      </c>
      <c r="AA71" s="147">
        <f t="shared" si="117"/>
        <v>7354.158360572852</v>
      </c>
      <c r="AB71" s="147">
        <f t="shared" si="54"/>
        <v>7327.6215848320844</v>
      </c>
      <c r="AC71" s="147">
        <f t="shared" si="55"/>
        <v>-26.536775740767553</v>
      </c>
      <c r="AD71" t="str">
        <f t="shared" si="56"/>
        <v>No</v>
      </c>
      <c r="AE71">
        <f>COUNTIF(AD$54:AD71,"Yes")</f>
        <v>3</v>
      </c>
      <c r="AF71" cm="1">
        <f t="array" ref="AF71">INDEX($J$2:$J$7,IF(AE71&gt;5,6,AE71+1))</f>
        <v>1.000618</v>
      </c>
      <c r="AG71" s="147">
        <f t="shared" si="57"/>
        <v>26.536775740767553</v>
      </c>
      <c r="AK71">
        <v>18</v>
      </c>
      <c r="AL71" s="147">
        <f t="shared" si="147"/>
        <v>52.666178766539971</v>
      </c>
      <c r="AM71" s="147">
        <f t="shared" si="58"/>
        <v>25.234178766539969</v>
      </c>
      <c r="AN71" s="147">
        <f t="shared" si="59"/>
        <v>2596.4497843430777</v>
      </c>
      <c r="AO71" s="147">
        <f t="shared" si="60"/>
        <v>479.76040257217585</v>
      </c>
      <c r="AP71" s="147">
        <f t="shared" si="118"/>
        <v>1370.7082886103706</v>
      </c>
      <c r="AQ71" s="147">
        <f t="shared" si="143"/>
        <v>2181.7062559773949</v>
      </c>
      <c r="AR71" s="147">
        <f t="shared" si="144"/>
        <v>7287.3097298789689</v>
      </c>
      <c r="AS71" s="147">
        <f t="shared" si="61"/>
        <v>7222.9643711664648</v>
      </c>
      <c r="AT71" s="147">
        <f t="shared" si="62"/>
        <v>-64.345358712504094</v>
      </c>
      <c r="AU71" t="str">
        <f t="shared" si="63"/>
        <v>No</v>
      </c>
      <c r="AV71">
        <f>COUNTIF(AU$54:AU71,"Yes")</f>
        <v>3</v>
      </c>
      <c r="AW71" cm="1">
        <f t="array" ref="AW71">INDEX($J$2:$J$7,IF(AV71&gt;5,6,AV71+1))</f>
        <v>1.000618</v>
      </c>
      <c r="AX71" s="147">
        <f t="shared" si="64"/>
        <v>64.345358712504094</v>
      </c>
      <c r="BB71">
        <v>18</v>
      </c>
      <c r="BC71" s="147">
        <f t="shared" si="148"/>
        <v>46.513135812468136</v>
      </c>
      <c r="BD71" s="147">
        <f t="shared" si="65"/>
        <v>19.081135812468133</v>
      </c>
      <c r="BE71" s="147">
        <f t="shared" si="66"/>
        <v>2071.922733878695</v>
      </c>
      <c r="BF71" s="147">
        <f t="shared" si="67"/>
        <v>382.84063527752085</v>
      </c>
      <c r="BG71" s="147">
        <f t="shared" si="121"/>
        <v>971.84714891065107</v>
      </c>
      <c r="BH71" s="147">
        <f t="shared" si="122"/>
        <v>2096.6171271543826</v>
      </c>
      <c r="BI71" s="147">
        <f t="shared" si="123"/>
        <v>5232.931948470522</v>
      </c>
      <c r="BJ71" s="147">
        <f t="shared" si="68"/>
        <v>5204.589552960766</v>
      </c>
      <c r="BK71" s="147">
        <f t="shared" si="69"/>
        <v>-28.342395509755988</v>
      </c>
      <c r="BL71" t="str">
        <f t="shared" si="70"/>
        <v>No</v>
      </c>
      <c r="BM71">
        <f>COUNTIF(BL$54:BL71,"Yes")</f>
        <v>3</v>
      </c>
      <c r="BN71" cm="1">
        <f t="array" ref="BN71">INDEX($J$2:$J$7,IF(BM71&gt;5,6,BM71+1))</f>
        <v>1.000618</v>
      </c>
      <c r="BO71" s="147">
        <f t="shared" si="71"/>
        <v>28.342395509755988</v>
      </c>
      <c r="BS71">
        <v>18</v>
      </c>
      <c r="BT71" s="147">
        <f t="shared" si="149"/>
        <v>46.513135812468136</v>
      </c>
      <c r="BU71" s="147">
        <f t="shared" si="72"/>
        <v>19.081135812468133</v>
      </c>
      <c r="BV71" s="147">
        <f t="shared" si="73"/>
        <v>2071.922733878695</v>
      </c>
      <c r="BW71" s="147">
        <f t="shared" si="74"/>
        <v>382.84063527752085</v>
      </c>
      <c r="BX71" s="147">
        <f t="shared" si="124"/>
        <v>971.84714891065107</v>
      </c>
      <c r="BY71" s="147">
        <f t="shared" si="125"/>
        <v>2096.6171271543826</v>
      </c>
      <c r="BZ71" s="147">
        <f t="shared" si="126"/>
        <v>5232.931948470522</v>
      </c>
      <c r="CA71" s="147">
        <f t="shared" si="75"/>
        <v>5204.589552960766</v>
      </c>
      <c r="CB71" s="147">
        <f t="shared" si="76"/>
        <v>-28.342395509755988</v>
      </c>
      <c r="CC71" t="str">
        <f t="shared" si="77"/>
        <v>No</v>
      </c>
      <c r="CD71">
        <f>COUNTIF(CC$54:CC71,"Yes")</f>
        <v>3</v>
      </c>
      <c r="CE71" cm="1">
        <f t="array" ref="CE71">INDEX($J$2:$J$7,IF(CD71&gt;5,6,CD71+1))</f>
        <v>1.000618</v>
      </c>
      <c r="CF71" s="147">
        <f t="shared" si="78"/>
        <v>28.342395509755988</v>
      </c>
      <c r="CJ71">
        <v>18</v>
      </c>
      <c r="CK71" s="147">
        <f t="shared" si="150"/>
        <v>46.513135812468136</v>
      </c>
      <c r="CL71" s="147">
        <f t="shared" si="79"/>
        <v>19.081135812468133</v>
      </c>
      <c r="CM71" s="147">
        <f t="shared" si="80"/>
        <v>2071.922733878695</v>
      </c>
      <c r="CN71" s="147">
        <f t="shared" si="81"/>
        <v>382.84063527752085</v>
      </c>
      <c r="CO71" s="147">
        <f t="shared" si="127"/>
        <v>971.84714891065107</v>
      </c>
      <c r="CP71" s="147">
        <f t="shared" si="128"/>
        <v>2096.6171271543826</v>
      </c>
      <c r="CQ71" s="147">
        <f t="shared" si="129"/>
        <v>5232.931948470522</v>
      </c>
      <c r="CR71" s="147">
        <f t="shared" si="82"/>
        <v>5204.589552960766</v>
      </c>
      <c r="CS71" s="147">
        <f t="shared" si="83"/>
        <v>-28.342395509755988</v>
      </c>
      <c r="CT71" t="str">
        <f t="shared" si="84"/>
        <v>No</v>
      </c>
      <c r="CU71">
        <f>COUNTIF(CT$54:CT71,"Yes")</f>
        <v>3</v>
      </c>
      <c r="CV71" cm="1">
        <f t="array" ref="CV71">INDEX($J$2:$J$7,IF(CU71&gt;5,6,CU71+1))</f>
        <v>1.000618</v>
      </c>
      <c r="CW71" s="147">
        <f t="shared" si="85"/>
        <v>28.342395509755988</v>
      </c>
      <c r="DA71">
        <v>18</v>
      </c>
      <c r="DB71" s="147">
        <f t="shared" si="151"/>
        <v>45.188610643099203</v>
      </c>
      <c r="DC71" s="147">
        <f t="shared" si="86"/>
        <v>17.756610643099201</v>
      </c>
      <c r="DD71" s="147">
        <f t="shared" si="87"/>
        <v>1966.7444195860701</v>
      </c>
      <c r="DE71" s="147">
        <f t="shared" si="88"/>
        <v>363.40625579859733</v>
      </c>
      <c r="DF71" s="147">
        <f t="shared" si="130"/>
        <v>894.93535687890005</v>
      </c>
      <c r="DG71" s="147">
        <f t="shared" si="131"/>
        <v>2076.4659612818377</v>
      </c>
      <c r="DH71" s="147">
        <f t="shared" si="132"/>
        <v>4818.8726260608983</v>
      </c>
      <c r="DI71" s="147">
        <f t="shared" si="89"/>
        <v>4815.3893807483782</v>
      </c>
      <c r="DJ71" s="147">
        <f t="shared" si="90"/>
        <v>-3.4832453125200118</v>
      </c>
      <c r="DK71" t="str">
        <f t="shared" si="91"/>
        <v>No</v>
      </c>
      <c r="DL71">
        <f>COUNTIF(DK$54:DK71,"Yes")</f>
        <v>4</v>
      </c>
      <c r="DM71" cm="1">
        <f t="array" ref="DM71">INDEX($J$2:$J$7,IF(DL71&gt;5,6,DL71+1))</f>
        <v>1.0000617999999999</v>
      </c>
      <c r="DN71" s="147">
        <f t="shared" si="92"/>
        <v>3.4832453125200118</v>
      </c>
      <c r="DR71">
        <v>18</v>
      </c>
      <c r="DS71" s="147">
        <f t="shared" si="152"/>
        <v>45.188610643099203</v>
      </c>
      <c r="DT71" s="147">
        <f t="shared" si="93"/>
        <v>17.756610643099201</v>
      </c>
      <c r="DU71" s="147">
        <f t="shared" si="94"/>
        <v>1966.7444195860701</v>
      </c>
      <c r="DV71" s="147">
        <f t="shared" si="95"/>
        <v>363.40625579859733</v>
      </c>
      <c r="DW71" s="147">
        <f t="shared" si="133"/>
        <v>894.93535687890005</v>
      </c>
      <c r="DX71" s="147">
        <f t="shared" si="134"/>
        <v>2076.4659612818377</v>
      </c>
      <c r="DY71" s="147">
        <f t="shared" si="135"/>
        <v>4818.8726260608983</v>
      </c>
      <c r="DZ71" s="147">
        <f t="shared" si="96"/>
        <v>4815.3893807483782</v>
      </c>
      <c r="EA71" s="147">
        <f t="shared" si="97"/>
        <v>-3.4832453125200118</v>
      </c>
      <c r="EB71" t="str">
        <f t="shared" si="98"/>
        <v>No</v>
      </c>
      <c r="EC71">
        <f>COUNTIF(EB$54:EB71,"Yes")</f>
        <v>4</v>
      </c>
      <c r="ED71" cm="1">
        <f t="array" ref="ED71">INDEX($J$2:$J$7,IF(EC71&gt;5,6,EC71+1))</f>
        <v>1.0000617999999999</v>
      </c>
      <c r="EE71" s="147">
        <f t="shared" si="99"/>
        <v>3.4832453125200118</v>
      </c>
      <c r="EI71">
        <v>18</v>
      </c>
      <c r="EJ71" s="147">
        <f t="shared" si="153"/>
        <v>45.188610643099203</v>
      </c>
      <c r="EK71" s="147">
        <f t="shared" si="100"/>
        <v>17.756610643099201</v>
      </c>
      <c r="EL71" s="147">
        <f t="shared" si="101"/>
        <v>1966.7444195860701</v>
      </c>
      <c r="EM71" s="147">
        <f t="shared" si="102"/>
        <v>363.40625579859733</v>
      </c>
      <c r="EN71" s="147">
        <f t="shared" si="136"/>
        <v>894.93535687890005</v>
      </c>
      <c r="EO71" s="147">
        <f t="shared" si="137"/>
        <v>2076.4659612818386</v>
      </c>
      <c r="EP71" s="147">
        <f t="shared" si="138"/>
        <v>4818.8726260608992</v>
      </c>
      <c r="EQ71" s="147">
        <f t="shared" si="103"/>
        <v>4815.3893807483782</v>
      </c>
      <c r="ER71" s="147">
        <f t="shared" si="104"/>
        <v>-3.4832453125209213</v>
      </c>
      <c r="ES71" t="str">
        <f t="shared" si="105"/>
        <v>No</v>
      </c>
      <c r="ET71">
        <f>COUNTIF(ES$54:ES71,"Yes")</f>
        <v>4</v>
      </c>
      <c r="EU71" cm="1">
        <f t="array" ref="EU71">INDEX($J$2:$J$7,IF(ET71&gt;5,6,ET71+1))</f>
        <v>1.0000617999999999</v>
      </c>
      <c r="EV71" s="147">
        <f t="shared" si="106"/>
        <v>3.4832453125209213</v>
      </c>
      <c r="EZ71">
        <v>18</v>
      </c>
      <c r="FA71" s="147">
        <f t="shared" si="154"/>
        <v>38.917490896977746</v>
      </c>
      <c r="FB71" s="147">
        <f t="shared" si="107"/>
        <v>11.485490896977744</v>
      </c>
      <c r="FC71" s="147">
        <f t="shared" si="108"/>
        <v>1505.9571670364976</v>
      </c>
      <c r="FD71" s="147">
        <f t="shared" si="109"/>
        <v>278.26404387662035</v>
      </c>
      <c r="FE71" s="147">
        <f t="shared" si="139"/>
        <v>573.82385190350817</v>
      </c>
      <c r="FF71" s="147">
        <f t="shared" si="140"/>
        <v>1623.4425240698306</v>
      </c>
      <c r="FG71" s="147">
        <f t="shared" si="141"/>
        <v>3209.2465178044649</v>
      </c>
      <c r="FH71" s="147">
        <f t="shared" si="110"/>
        <v>3190.4545075080277</v>
      </c>
      <c r="FI71" s="147">
        <f t="shared" si="111"/>
        <v>-18.792010296437184</v>
      </c>
      <c r="FJ71" t="str">
        <f t="shared" si="112"/>
        <v>No</v>
      </c>
      <c r="FK71">
        <f>COUNTIF(FJ$54:FJ71,"Yes")</f>
        <v>3</v>
      </c>
      <c r="FL71" cm="1">
        <f t="array" ref="FL71">INDEX($J$2:$J$7,IF(FK71&gt;5,6,FK71+1))</f>
        <v>1.000618</v>
      </c>
      <c r="FM71" s="147">
        <f t="shared" si="113"/>
        <v>18.792010296437184</v>
      </c>
    </row>
    <row r="72" spans="3:169" x14ac:dyDescent="0.3">
      <c r="C72">
        <v>19</v>
      </c>
      <c r="D72" s="147">
        <f t="shared" si="155"/>
        <v>52.991655751317197</v>
      </c>
      <c r="E72" s="147">
        <f t="shared" si="42"/>
        <v>25.559655751317194</v>
      </c>
      <c r="F72" s="147">
        <f t="shared" si="43"/>
        <v>2625.8420402687143</v>
      </c>
      <c r="G72" s="147">
        <f t="shared" si="44"/>
        <v>485.19137243742034</v>
      </c>
      <c r="H72" s="147">
        <f t="shared" si="142"/>
        <v>1337.4003383294848</v>
      </c>
      <c r="I72" s="147">
        <f t="shared" si="114"/>
        <v>2244.4064621839179</v>
      </c>
      <c r="J72" s="147">
        <f t="shared" si="115"/>
        <v>7355.440905950737</v>
      </c>
      <c r="K72" s="147">
        <f t="shared" si="46"/>
        <v>7339.3707315739994</v>
      </c>
      <c r="L72" s="147">
        <f t="shared" si="47"/>
        <v>-16.070174376737668</v>
      </c>
      <c r="M72" t="str">
        <f t="shared" si="48"/>
        <v>No</v>
      </c>
      <c r="N72">
        <f>COUNTIF(M$54:M72,"Yes")</f>
        <v>3</v>
      </c>
      <c r="O72" cm="1">
        <f t="array" ref="O72">INDEX($J$2:$J$7,IF(N72&gt;5,6,N72+1))</f>
        <v>1.000618</v>
      </c>
      <c r="P72" s="147">
        <f t="shared" si="49"/>
        <v>16.070174376737668</v>
      </c>
      <c r="T72">
        <v>19</v>
      </c>
      <c r="U72" s="147">
        <f t="shared" si="146"/>
        <v>52.991655751317197</v>
      </c>
      <c r="V72" s="147">
        <f t="shared" si="50"/>
        <v>25.559655751317194</v>
      </c>
      <c r="W72" s="147">
        <f t="shared" si="51"/>
        <v>2625.8420402687143</v>
      </c>
      <c r="X72" s="147">
        <f t="shared" si="52"/>
        <v>485.19137243742034</v>
      </c>
      <c r="Y72" s="147">
        <f t="shared" si="53"/>
        <v>1337.4003383294848</v>
      </c>
      <c r="Z72" s="147">
        <f t="shared" si="116"/>
        <v>2244.4064621839179</v>
      </c>
      <c r="AA72" s="147">
        <f t="shared" si="117"/>
        <v>7355.440905950737</v>
      </c>
      <c r="AB72" s="147">
        <f t="shared" si="54"/>
        <v>7339.3707315739994</v>
      </c>
      <c r="AC72" s="147">
        <f t="shared" si="55"/>
        <v>-16.070174376737668</v>
      </c>
      <c r="AD72" t="str">
        <f t="shared" si="56"/>
        <v>No</v>
      </c>
      <c r="AE72">
        <f>COUNTIF(AD$54:AD72,"Yes")</f>
        <v>3</v>
      </c>
      <c r="AF72" cm="1">
        <f t="array" ref="AF72">INDEX($J$2:$J$7,IF(AE72&gt;5,6,AE72+1))</f>
        <v>1.000618</v>
      </c>
      <c r="AG72" s="147">
        <f t="shared" si="57"/>
        <v>16.070174376737668</v>
      </c>
      <c r="AK72">
        <v>19</v>
      </c>
      <c r="AL72" s="147">
        <f t="shared" si="147"/>
        <v>52.698726465017693</v>
      </c>
      <c r="AM72" s="147">
        <f t="shared" si="58"/>
        <v>25.26672646501769</v>
      </c>
      <c r="AN72" s="147">
        <f t="shared" si="59"/>
        <v>2599.3815656906522</v>
      </c>
      <c r="AO72" s="147">
        <f t="shared" si="60"/>
        <v>480.30212404433661</v>
      </c>
      <c r="AP72" s="147">
        <f t="shared" si="118"/>
        <v>1373.0000388155115</v>
      </c>
      <c r="AQ72" s="147">
        <f t="shared" si="143"/>
        <v>2182.346287119828</v>
      </c>
      <c r="AR72" s="147">
        <f t="shared" si="144"/>
        <v>7288.4914824935622</v>
      </c>
      <c r="AS72" s="147">
        <f t="shared" si="61"/>
        <v>7234.5614169632981</v>
      </c>
      <c r="AT72" s="147">
        <f t="shared" si="62"/>
        <v>-53.930065530264073</v>
      </c>
      <c r="AU72" t="str">
        <f t="shared" si="63"/>
        <v>No</v>
      </c>
      <c r="AV72">
        <f>COUNTIF(AU$54:AU72,"Yes")</f>
        <v>3</v>
      </c>
      <c r="AW72" cm="1">
        <f t="array" ref="AW72">INDEX($J$2:$J$7,IF(AV72&gt;5,6,AV72+1))</f>
        <v>1.000618</v>
      </c>
      <c r="AX72" s="147">
        <f t="shared" si="64"/>
        <v>53.930065530264073</v>
      </c>
      <c r="BB72">
        <v>19</v>
      </c>
      <c r="BC72" s="147">
        <f t="shared" si="148"/>
        <v>46.541880930400239</v>
      </c>
      <c r="BD72" s="147">
        <f t="shared" si="65"/>
        <v>19.109880930400237</v>
      </c>
      <c r="BE72" s="147">
        <f t="shared" si="66"/>
        <v>2074.2357082078884</v>
      </c>
      <c r="BF72" s="147">
        <f t="shared" si="67"/>
        <v>383.26801635070944</v>
      </c>
      <c r="BG72" s="147">
        <f t="shared" si="121"/>
        <v>973.55145036483509</v>
      </c>
      <c r="BH72" s="147">
        <f t="shared" si="122"/>
        <v>2097.2258000293914</v>
      </c>
      <c r="BI72" s="147">
        <f t="shared" si="123"/>
        <v>5233.9680024187201</v>
      </c>
      <c r="BJ72" s="147">
        <f t="shared" si="68"/>
        <v>5213.2139056373535</v>
      </c>
      <c r="BK72" s="147">
        <f t="shared" si="69"/>
        <v>-20.75409678136657</v>
      </c>
      <c r="BL72" t="str">
        <f t="shared" si="70"/>
        <v>No</v>
      </c>
      <c r="BM72">
        <f>COUNTIF(BL$54:BL72,"Yes")</f>
        <v>3</v>
      </c>
      <c r="BN72" cm="1">
        <f t="array" ref="BN72">INDEX($J$2:$J$7,IF(BM72&gt;5,6,BM72+1))</f>
        <v>1.000618</v>
      </c>
      <c r="BO72" s="147">
        <f t="shared" si="71"/>
        <v>20.75409678136657</v>
      </c>
      <c r="BS72">
        <v>19</v>
      </c>
      <c r="BT72" s="147">
        <f t="shared" si="149"/>
        <v>46.541880930400239</v>
      </c>
      <c r="BU72" s="147">
        <f t="shared" si="72"/>
        <v>19.109880930400237</v>
      </c>
      <c r="BV72" s="147">
        <f t="shared" si="73"/>
        <v>2074.2357082078884</v>
      </c>
      <c r="BW72" s="147">
        <f t="shared" si="74"/>
        <v>383.26801635070944</v>
      </c>
      <c r="BX72" s="147">
        <f t="shared" si="124"/>
        <v>973.55145036483509</v>
      </c>
      <c r="BY72" s="147">
        <f t="shared" si="125"/>
        <v>2097.2258000293914</v>
      </c>
      <c r="BZ72" s="147">
        <f t="shared" si="126"/>
        <v>5233.9680024187201</v>
      </c>
      <c r="CA72" s="147">
        <f t="shared" si="75"/>
        <v>5213.2139056373535</v>
      </c>
      <c r="CB72" s="147">
        <f t="shared" si="76"/>
        <v>-20.75409678136657</v>
      </c>
      <c r="CC72" t="str">
        <f t="shared" si="77"/>
        <v>No</v>
      </c>
      <c r="CD72">
        <f>COUNTIF(CC$54:CC72,"Yes")</f>
        <v>3</v>
      </c>
      <c r="CE72" cm="1">
        <f t="array" ref="CE72">INDEX($J$2:$J$7,IF(CD72&gt;5,6,CD72+1))</f>
        <v>1.000618</v>
      </c>
      <c r="CF72" s="147">
        <f t="shared" si="78"/>
        <v>20.75409678136657</v>
      </c>
      <c r="CJ72">
        <v>19</v>
      </c>
      <c r="CK72" s="147">
        <f t="shared" si="150"/>
        <v>46.541880930400239</v>
      </c>
      <c r="CL72" s="147">
        <f t="shared" si="79"/>
        <v>19.109880930400237</v>
      </c>
      <c r="CM72" s="147">
        <f t="shared" si="80"/>
        <v>2074.2357082078884</v>
      </c>
      <c r="CN72" s="147">
        <f t="shared" si="81"/>
        <v>383.26801635070944</v>
      </c>
      <c r="CO72" s="147">
        <f t="shared" si="127"/>
        <v>973.55145036483509</v>
      </c>
      <c r="CP72" s="147">
        <f t="shared" si="128"/>
        <v>2097.2258000293914</v>
      </c>
      <c r="CQ72" s="147">
        <f t="shared" si="129"/>
        <v>5233.9680024187201</v>
      </c>
      <c r="CR72" s="147">
        <f t="shared" si="82"/>
        <v>5213.2139056373535</v>
      </c>
      <c r="CS72" s="147">
        <f t="shared" si="83"/>
        <v>-20.75409678136657</v>
      </c>
      <c r="CT72" t="str">
        <f t="shared" si="84"/>
        <v>No</v>
      </c>
      <c r="CU72">
        <f>COUNTIF(CT$54:CT72,"Yes")</f>
        <v>3</v>
      </c>
      <c r="CV72" cm="1">
        <f t="array" ref="CV72">INDEX($J$2:$J$7,IF(CU72&gt;5,6,CU72+1))</f>
        <v>1.000618</v>
      </c>
      <c r="CW72" s="147">
        <f t="shared" si="85"/>
        <v>20.75409678136657</v>
      </c>
      <c r="DA72">
        <v>19</v>
      </c>
      <c r="DB72" s="147">
        <f t="shared" si="151"/>
        <v>45.191403299236939</v>
      </c>
      <c r="DC72" s="147">
        <f t="shared" si="86"/>
        <v>17.759403299236936</v>
      </c>
      <c r="DD72" s="147">
        <f t="shared" si="87"/>
        <v>1966.9632976786449</v>
      </c>
      <c r="DE72" s="147">
        <f t="shared" si="88"/>
        <v>363.44669911563778</v>
      </c>
      <c r="DF72" s="147">
        <f t="shared" si="130"/>
        <v>895.09418435135331</v>
      </c>
      <c r="DG72" s="147">
        <f t="shared" si="131"/>
        <v>2076.5260119019599</v>
      </c>
      <c r="DH72" s="147">
        <f t="shared" si="132"/>
        <v>4818.9731199980615</v>
      </c>
      <c r="DI72" s="147">
        <f t="shared" si="89"/>
        <v>4816.1931024924424</v>
      </c>
      <c r="DJ72" s="147">
        <f t="shared" si="90"/>
        <v>-2.780017505619071</v>
      </c>
      <c r="DK72" t="str">
        <f t="shared" si="91"/>
        <v>No</v>
      </c>
      <c r="DL72">
        <f>COUNTIF(DK$54:DK72,"Yes")</f>
        <v>4</v>
      </c>
      <c r="DM72" cm="1">
        <f t="array" ref="DM72">INDEX($J$2:$J$7,IF(DL72&gt;5,6,DL72+1))</f>
        <v>1.0000617999999999</v>
      </c>
      <c r="DN72" s="147">
        <f t="shared" si="92"/>
        <v>2.780017505619071</v>
      </c>
      <c r="DR72">
        <v>19</v>
      </c>
      <c r="DS72" s="147">
        <f t="shared" si="152"/>
        <v>45.191403299236939</v>
      </c>
      <c r="DT72" s="147">
        <f t="shared" si="93"/>
        <v>17.759403299236936</v>
      </c>
      <c r="DU72" s="147">
        <f t="shared" si="94"/>
        <v>1966.9632976786449</v>
      </c>
      <c r="DV72" s="147">
        <f t="shared" si="95"/>
        <v>363.44669911563778</v>
      </c>
      <c r="DW72" s="147">
        <f t="shared" si="133"/>
        <v>895.09418435135331</v>
      </c>
      <c r="DX72" s="147">
        <f t="shared" si="134"/>
        <v>2076.5260119019599</v>
      </c>
      <c r="DY72" s="147">
        <f t="shared" si="135"/>
        <v>4818.9731199980615</v>
      </c>
      <c r="DZ72" s="147">
        <f t="shared" si="96"/>
        <v>4816.1931024924424</v>
      </c>
      <c r="EA72" s="147">
        <f t="shared" si="97"/>
        <v>-2.780017505619071</v>
      </c>
      <c r="EB72" t="str">
        <f t="shared" si="98"/>
        <v>No</v>
      </c>
      <c r="EC72">
        <f>COUNTIF(EB$54:EB72,"Yes")</f>
        <v>4</v>
      </c>
      <c r="ED72" cm="1">
        <f t="array" ref="ED72">INDEX($J$2:$J$7,IF(EC72&gt;5,6,EC72+1))</f>
        <v>1.0000617999999999</v>
      </c>
      <c r="EE72" s="147">
        <f t="shared" si="99"/>
        <v>2.780017505619071</v>
      </c>
      <c r="EI72">
        <v>19</v>
      </c>
      <c r="EJ72" s="147">
        <f t="shared" si="153"/>
        <v>45.191403299236939</v>
      </c>
      <c r="EK72" s="147">
        <f t="shared" si="100"/>
        <v>17.759403299236936</v>
      </c>
      <c r="EL72" s="147">
        <f t="shared" si="101"/>
        <v>1966.9632976786449</v>
      </c>
      <c r="EM72" s="147">
        <f t="shared" si="102"/>
        <v>363.44669911563778</v>
      </c>
      <c r="EN72" s="147">
        <f t="shared" si="136"/>
        <v>895.09418435135331</v>
      </c>
      <c r="EO72" s="147">
        <f t="shared" si="137"/>
        <v>2076.5260119019599</v>
      </c>
      <c r="EP72" s="147">
        <f t="shared" si="138"/>
        <v>4818.9731199980615</v>
      </c>
      <c r="EQ72" s="147">
        <f t="shared" si="103"/>
        <v>4816.1931024924424</v>
      </c>
      <c r="ER72" s="147">
        <f t="shared" si="104"/>
        <v>-2.780017505619071</v>
      </c>
      <c r="ES72" t="str">
        <f t="shared" si="105"/>
        <v>No</v>
      </c>
      <c r="ET72">
        <f>COUNTIF(ES$54:ES72,"Yes")</f>
        <v>4</v>
      </c>
      <c r="EU72" cm="1">
        <f t="array" ref="EU72">INDEX($J$2:$J$7,IF(ET72&gt;5,6,ET72+1))</f>
        <v>1.0000617999999999</v>
      </c>
      <c r="EV72" s="147">
        <f t="shared" si="106"/>
        <v>2.780017505619071</v>
      </c>
      <c r="EZ72">
        <v>19</v>
      </c>
      <c r="FA72" s="147">
        <f t="shared" si="154"/>
        <v>38.941541906352079</v>
      </c>
      <c r="FB72" s="147">
        <f t="shared" si="107"/>
        <v>11.509541906352077</v>
      </c>
      <c r="FC72" s="147">
        <f t="shared" si="108"/>
        <v>1507.6070658316678</v>
      </c>
      <c r="FD72" s="147">
        <f t="shared" si="109"/>
        <v>278.56890481209746</v>
      </c>
      <c r="FE72" s="147">
        <f t="shared" si="139"/>
        <v>574.9196305938442</v>
      </c>
      <c r="FF72" s="147">
        <f t="shared" si="140"/>
        <v>1623.9966441746649</v>
      </c>
      <c r="FG72" s="147">
        <f t="shared" si="141"/>
        <v>3210.1054988447768</v>
      </c>
      <c r="FH72" s="147">
        <f t="shared" si="110"/>
        <v>3195.9995252968388</v>
      </c>
      <c r="FI72" s="147">
        <f t="shared" si="111"/>
        <v>-14.105973547937992</v>
      </c>
      <c r="FJ72" t="str">
        <f t="shared" si="112"/>
        <v>No</v>
      </c>
      <c r="FK72">
        <f>COUNTIF(FJ$54:FJ72,"Yes")</f>
        <v>3</v>
      </c>
      <c r="FL72" cm="1">
        <f t="array" ref="FL72">INDEX($J$2:$J$7,IF(FK72&gt;5,6,FK72+1))</f>
        <v>1.000618</v>
      </c>
      <c r="FM72" s="147">
        <f t="shared" si="113"/>
        <v>14.105973547937992</v>
      </c>
    </row>
    <row r="73" spans="3:169" x14ac:dyDescent="0.3">
      <c r="C73">
        <v>20</v>
      </c>
      <c r="D73" s="147">
        <f t="shared" si="155"/>
        <v>53.024404594571514</v>
      </c>
      <c r="E73" s="147">
        <f t="shared" si="42"/>
        <v>25.592404594571512</v>
      </c>
      <c r="F73" s="147">
        <f t="shared" si="43"/>
        <v>2628.8085901692634</v>
      </c>
      <c r="G73" s="147">
        <f t="shared" si="44"/>
        <v>485.73951828761938</v>
      </c>
      <c r="H73" s="147">
        <f t="shared" si="142"/>
        <v>1339.631571553937</v>
      </c>
      <c r="I73" s="147">
        <f t="shared" si="114"/>
        <v>2245.1417788600156</v>
      </c>
      <c r="J73" s="147">
        <f t="shared" si="115"/>
        <v>7356.7243684770328</v>
      </c>
      <c r="K73" s="147">
        <f t="shared" si="46"/>
        <v>7351.1369430788673</v>
      </c>
      <c r="L73" s="147">
        <f t="shared" si="47"/>
        <v>-5.5874253981655784</v>
      </c>
      <c r="M73" t="str">
        <f t="shared" si="48"/>
        <v>No</v>
      </c>
      <c r="N73">
        <f>COUNTIF(M$54:M73,"Yes")</f>
        <v>3</v>
      </c>
      <c r="O73" cm="1">
        <f t="array" ref="O73">INDEX($J$2:$J$7,IF(N73&gt;5,6,N73+1))</f>
        <v>1.000618</v>
      </c>
      <c r="P73" s="147">
        <f t="shared" si="49"/>
        <v>5.5874253981655784</v>
      </c>
      <c r="T73">
        <v>20</v>
      </c>
      <c r="U73" s="147">
        <f t="shared" si="146"/>
        <v>53.024404594571514</v>
      </c>
      <c r="V73" s="147">
        <f t="shared" si="50"/>
        <v>25.592404594571512</v>
      </c>
      <c r="W73" s="147">
        <f t="shared" si="51"/>
        <v>2628.8085901692634</v>
      </c>
      <c r="X73" s="147">
        <f t="shared" si="52"/>
        <v>485.73951828761938</v>
      </c>
      <c r="Y73" s="147">
        <f t="shared" si="53"/>
        <v>1339.631571553937</v>
      </c>
      <c r="Z73" s="147">
        <f t="shared" si="116"/>
        <v>2245.1417788600138</v>
      </c>
      <c r="AA73" s="147">
        <f t="shared" si="117"/>
        <v>7356.724368477031</v>
      </c>
      <c r="AB73" s="147">
        <f t="shared" si="54"/>
        <v>7351.1369430788673</v>
      </c>
      <c r="AC73" s="147">
        <f t="shared" si="55"/>
        <v>-5.5874253981637594</v>
      </c>
      <c r="AD73" t="str">
        <f t="shared" si="56"/>
        <v>No</v>
      </c>
      <c r="AE73">
        <f>COUNTIF(AD$54:AD73,"Yes")</f>
        <v>3</v>
      </c>
      <c r="AF73" cm="1">
        <f t="array" ref="AF73">INDEX($J$2:$J$7,IF(AE73&gt;5,6,AE73+1))</f>
        <v>1.000618</v>
      </c>
      <c r="AG73" s="147">
        <f t="shared" si="57"/>
        <v>5.5874253981637594</v>
      </c>
      <c r="AK73">
        <v>20</v>
      </c>
      <c r="AL73" s="147">
        <f t="shared" si="147"/>
        <v>52.73129427797307</v>
      </c>
      <c r="AM73" s="147">
        <f t="shared" si="58"/>
        <v>25.299294277973068</v>
      </c>
      <c r="AN73" s="147">
        <f t="shared" si="59"/>
        <v>2602.3168146895932</v>
      </c>
      <c r="AO73" s="147">
        <f t="shared" si="60"/>
        <v>480.84448625364001</v>
      </c>
      <c r="AP73" s="147">
        <f t="shared" si="118"/>
        <v>1375.2951213384915</v>
      </c>
      <c r="AQ73" s="147">
        <f t="shared" si="143"/>
        <v>2182.9864535957895</v>
      </c>
      <c r="AR73" s="147">
        <f t="shared" si="144"/>
        <v>7289.6740111788276</v>
      </c>
      <c r="AS73" s="147">
        <f t="shared" si="61"/>
        <v>7246.1753254367441</v>
      </c>
      <c r="AT73" s="147">
        <f t="shared" si="62"/>
        <v>-43.49868574208358</v>
      </c>
      <c r="AU73" t="str">
        <f t="shared" si="63"/>
        <v>No</v>
      </c>
      <c r="AV73">
        <f>COUNTIF(AU$54:AU73,"Yes")</f>
        <v>3</v>
      </c>
      <c r="AW73" cm="1">
        <f t="array" ref="AW73">INDEX($J$2:$J$7,IF(AV73&gt;5,6,AV73+1))</f>
        <v>1.000618</v>
      </c>
      <c r="AX73" s="147">
        <f t="shared" si="64"/>
        <v>43.49868574208358</v>
      </c>
      <c r="BB73">
        <v>20</v>
      </c>
      <c r="BC73" s="147">
        <f t="shared" si="148"/>
        <v>46.570643812815227</v>
      </c>
      <c r="BD73" s="147">
        <f t="shared" si="65"/>
        <v>19.138643812815225</v>
      </c>
      <c r="BE73" s="147">
        <f t="shared" si="66"/>
        <v>2076.5514034666417</v>
      </c>
      <c r="BF73" s="147">
        <f t="shared" si="67"/>
        <v>383.69590018511798</v>
      </c>
      <c r="BG73" s="147">
        <f t="shared" si="121"/>
        <v>975.25829954593974</v>
      </c>
      <c r="BH73" s="147">
        <f t="shared" si="122"/>
        <v>2097.834646107041</v>
      </c>
      <c r="BI73" s="147">
        <f t="shared" si="123"/>
        <v>5235.0047323307781</v>
      </c>
      <c r="BJ73" s="147">
        <f t="shared" si="68"/>
        <v>5221.8511506901305</v>
      </c>
      <c r="BK73" s="147">
        <f t="shared" si="69"/>
        <v>-13.153581640647644</v>
      </c>
      <c r="BL73" t="str">
        <f t="shared" si="70"/>
        <v>No</v>
      </c>
      <c r="BM73">
        <f>COUNTIF(BL$54:BL73,"Yes")</f>
        <v>3</v>
      </c>
      <c r="BN73" cm="1">
        <f t="array" ref="BN73">INDEX($J$2:$J$7,IF(BM73&gt;5,6,BM73+1))</f>
        <v>1.000618</v>
      </c>
      <c r="BO73" s="147">
        <f t="shared" si="71"/>
        <v>13.153581640647644</v>
      </c>
      <c r="BS73">
        <v>20</v>
      </c>
      <c r="BT73" s="147">
        <f t="shared" si="149"/>
        <v>46.570643812815227</v>
      </c>
      <c r="BU73" s="147">
        <f t="shared" si="72"/>
        <v>19.138643812815225</v>
      </c>
      <c r="BV73" s="147">
        <f t="shared" si="73"/>
        <v>2076.5514034666417</v>
      </c>
      <c r="BW73" s="147">
        <f t="shared" si="74"/>
        <v>383.69590018511798</v>
      </c>
      <c r="BX73" s="147">
        <f t="shared" si="124"/>
        <v>975.25829954593974</v>
      </c>
      <c r="BY73" s="147">
        <f t="shared" si="125"/>
        <v>2097.834646107041</v>
      </c>
      <c r="BZ73" s="147">
        <f t="shared" si="126"/>
        <v>5235.0047323307781</v>
      </c>
      <c r="CA73" s="147">
        <f t="shared" si="75"/>
        <v>5221.8511506901305</v>
      </c>
      <c r="CB73" s="147">
        <f t="shared" si="76"/>
        <v>-13.153581640647644</v>
      </c>
      <c r="CC73" t="str">
        <f t="shared" si="77"/>
        <v>No</v>
      </c>
      <c r="CD73">
        <f>COUNTIF(CC$54:CC73,"Yes")</f>
        <v>3</v>
      </c>
      <c r="CE73" cm="1">
        <f t="array" ref="CE73">INDEX($J$2:$J$7,IF(CD73&gt;5,6,CD73+1))</f>
        <v>1.000618</v>
      </c>
      <c r="CF73" s="147">
        <f t="shared" si="78"/>
        <v>13.153581640647644</v>
      </c>
      <c r="CJ73">
        <v>20</v>
      </c>
      <c r="CK73" s="147">
        <f t="shared" si="150"/>
        <v>46.570643812815227</v>
      </c>
      <c r="CL73" s="147">
        <f t="shared" si="79"/>
        <v>19.138643812815225</v>
      </c>
      <c r="CM73" s="147">
        <f t="shared" si="80"/>
        <v>2076.5514034666417</v>
      </c>
      <c r="CN73" s="147">
        <f t="shared" si="81"/>
        <v>383.69590018511798</v>
      </c>
      <c r="CO73" s="147">
        <f t="shared" si="127"/>
        <v>975.25829954593974</v>
      </c>
      <c r="CP73" s="147">
        <f t="shared" si="128"/>
        <v>2097.834646107041</v>
      </c>
      <c r="CQ73" s="147">
        <f t="shared" si="129"/>
        <v>5235.0047323307781</v>
      </c>
      <c r="CR73" s="147">
        <f t="shared" si="82"/>
        <v>5221.8511506901305</v>
      </c>
      <c r="CS73" s="147">
        <f t="shared" si="83"/>
        <v>-13.153581640647644</v>
      </c>
      <c r="CT73" t="str">
        <f t="shared" si="84"/>
        <v>No</v>
      </c>
      <c r="CU73">
        <f>COUNTIF(CT$54:CT73,"Yes")</f>
        <v>3</v>
      </c>
      <c r="CV73" cm="1">
        <f t="array" ref="CV73">INDEX($J$2:$J$7,IF(CU73&gt;5,6,CU73+1))</f>
        <v>1.000618</v>
      </c>
      <c r="CW73" s="147">
        <f t="shared" si="85"/>
        <v>13.153581640647644</v>
      </c>
      <c r="DA73">
        <v>20</v>
      </c>
      <c r="DB73" s="147">
        <f t="shared" si="151"/>
        <v>45.194196127960829</v>
      </c>
      <c r="DC73" s="147">
        <f t="shared" si="86"/>
        <v>17.762196127960827</v>
      </c>
      <c r="DD73" s="147">
        <f t="shared" si="87"/>
        <v>1967.1822014777597</v>
      </c>
      <c r="DE73" s="147">
        <f t="shared" si="88"/>
        <v>363.487147182618</v>
      </c>
      <c r="DF73" s="147">
        <f t="shared" si="130"/>
        <v>895.25303573324868</v>
      </c>
      <c r="DG73" s="147">
        <f t="shared" si="131"/>
        <v>2076.5860643191791</v>
      </c>
      <c r="DH73" s="147">
        <f t="shared" si="132"/>
        <v>4819.0736204822606</v>
      </c>
      <c r="DI73" s="147">
        <f t="shared" si="89"/>
        <v>4816.9969452265232</v>
      </c>
      <c r="DJ73" s="147">
        <f t="shared" si="90"/>
        <v>-2.0766752557374275</v>
      </c>
      <c r="DK73" t="str">
        <f t="shared" si="91"/>
        <v>No</v>
      </c>
      <c r="DL73">
        <f>COUNTIF(DK$54:DK73,"Yes")</f>
        <v>4</v>
      </c>
      <c r="DM73" cm="1">
        <f t="array" ref="DM73">INDEX($J$2:$J$7,IF(DL73&gt;5,6,DL73+1))</f>
        <v>1.0000617999999999</v>
      </c>
      <c r="DN73" s="147">
        <f t="shared" si="92"/>
        <v>2.0766752557374275</v>
      </c>
      <c r="DR73">
        <v>20</v>
      </c>
      <c r="DS73" s="147">
        <f t="shared" si="152"/>
        <v>45.194196127960829</v>
      </c>
      <c r="DT73" s="147">
        <f t="shared" si="93"/>
        <v>17.762196127960827</v>
      </c>
      <c r="DU73" s="147">
        <f t="shared" si="94"/>
        <v>1967.1822014777597</v>
      </c>
      <c r="DV73" s="147">
        <f t="shared" si="95"/>
        <v>363.487147182618</v>
      </c>
      <c r="DW73" s="147">
        <f t="shared" si="133"/>
        <v>895.25303573324868</v>
      </c>
      <c r="DX73" s="147">
        <f t="shared" si="134"/>
        <v>2076.5860643191791</v>
      </c>
      <c r="DY73" s="147">
        <f t="shared" si="135"/>
        <v>4819.0736204822606</v>
      </c>
      <c r="DZ73" s="147">
        <f t="shared" si="96"/>
        <v>4816.9969452265232</v>
      </c>
      <c r="EA73" s="147">
        <f t="shared" si="97"/>
        <v>-2.0766752557374275</v>
      </c>
      <c r="EB73" t="str">
        <f t="shared" si="98"/>
        <v>No</v>
      </c>
      <c r="EC73">
        <f>COUNTIF(EB$54:EB73,"Yes")</f>
        <v>4</v>
      </c>
      <c r="ED73" cm="1">
        <f t="array" ref="ED73">INDEX($J$2:$J$7,IF(EC73&gt;5,6,EC73+1))</f>
        <v>1.0000617999999999</v>
      </c>
      <c r="EE73" s="147">
        <f t="shared" si="99"/>
        <v>2.0766752557374275</v>
      </c>
      <c r="EI73">
        <v>20</v>
      </c>
      <c r="EJ73" s="147">
        <f t="shared" si="153"/>
        <v>45.194196127960829</v>
      </c>
      <c r="EK73" s="147">
        <f t="shared" si="100"/>
        <v>17.762196127960827</v>
      </c>
      <c r="EL73" s="147">
        <f t="shared" si="101"/>
        <v>1967.1822014777597</v>
      </c>
      <c r="EM73" s="147">
        <f t="shared" si="102"/>
        <v>363.487147182618</v>
      </c>
      <c r="EN73" s="147">
        <f t="shared" si="136"/>
        <v>895.25303573324868</v>
      </c>
      <c r="EO73" s="147">
        <f t="shared" si="137"/>
        <v>2076.5860643191791</v>
      </c>
      <c r="EP73" s="147">
        <f t="shared" si="138"/>
        <v>4819.0736204822606</v>
      </c>
      <c r="EQ73" s="147">
        <f t="shared" si="103"/>
        <v>4816.9969452265232</v>
      </c>
      <c r="ER73" s="147">
        <f t="shared" si="104"/>
        <v>-2.0766752557374275</v>
      </c>
      <c r="ES73" t="str">
        <f t="shared" si="105"/>
        <v>No</v>
      </c>
      <c r="ET73">
        <f>COUNTIF(ES$54:ES73,"Yes")</f>
        <v>4</v>
      </c>
      <c r="EU73" cm="1">
        <f t="array" ref="EU73">INDEX($J$2:$J$7,IF(ET73&gt;5,6,ET73+1))</f>
        <v>1.0000617999999999</v>
      </c>
      <c r="EV73" s="147">
        <f t="shared" si="106"/>
        <v>2.0766752557374275</v>
      </c>
      <c r="EZ73">
        <v>20</v>
      </c>
      <c r="FA73" s="147">
        <f t="shared" si="154"/>
        <v>38.965607779250206</v>
      </c>
      <c r="FB73" s="147">
        <f t="shared" si="107"/>
        <v>11.533607779250204</v>
      </c>
      <c r="FC73" s="147">
        <f t="shared" si="108"/>
        <v>1509.2588884063646</v>
      </c>
      <c r="FD73" s="147">
        <f t="shared" si="109"/>
        <v>278.87412121496919</v>
      </c>
      <c r="FE73" s="147">
        <f t="shared" si="139"/>
        <v>576.01713270073162</v>
      </c>
      <c r="FF73" s="147">
        <f t="shared" si="140"/>
        <v>1624.5509646424744</v>
      </c>
      <c r="FG73" s="147">
        <f t="shared" si="141"/>
        <v>3210.9650357154578</v>
      </c>
      <c r="FH73" s="147">
        <f t="shared" si="110"/>
        <v>3201.5532641673062</v>
      </c>
      <c r="FI73" s="147">
        <f t="shared" si="111"/>
        <v>-9.4117715481515916</v>
      </c>
      <c r="FJ73" t="str">
        <f t="shared" si="112"/>
        <v>No</v>
      </c>
      <c r="FK73">
        <f>COUNTIF(FJ$54:FJ73,"Yes")</f>
        <v>3</v>
      </c>
      <c r="FL73" cm="1">
        <f t="array" ref="FL73">INDEX($J$2:$J$7,IF(FK73&gt;5,6,FK73+1))</f>
        <v>1.000618</v>
      </c>
      <c r="FM73" s="147">
        <f t="shared" si="113"/>
        <v>9.4117715481515916</v>
      </c>
    </row>
    <row r="74" spans="3:169" x14ac:dyDescent="0.3">
      <c r="C74">
        <v>21</v>
      </c>
      <c r="D74" s="147">
        <f t="shared" si="155"/>
        <v>53.057173676610958</v>
      </c>
      <c r="E74" s="147">
        <f t="shared" si="42"/>
        <v>25.625173676610956</v>
      </c>
      <c r="F74" s="147">
        <f t="shared" si="43"/>
        <v>2631.7786497372022</v>
      </c>
      <c r="G74" s="147">
        <f t="shared" si="44"/>
        <v>486.28831263849418</v>
      </c>
      <c r="H74" s="147">
        <f t="shared" si="142"/>
        <v>1341.8660450772713</v>
      </c>
      <c r="I74" s="147">
        <f t="shared" si="114"/>
        <v>2245.8773649046198</v>
      </c>
      <c r="J74" s="147">
        <f t="shared" si="115"/>
        <v>7358.008748872513</v>
      </c>
      <c r="K74" s="147">
        <f t="shared" si="46"/>
        <v>7362.9202420139363</v>
      </c>
      <c r="L74" s="147">
        <f t="shared" si="47"/>
        <v>4.911493141423307</v>
      </c>
      <c r="M74" t="str">
        <f t="shared" si="48"/>
        <v>Yes</v>
      </c>
      <c r="N74">
        <f>COUNTIF(M$54:M74,"Yes")</f>
        <v>4</v>
      </c>
      <c r="O74" cm="1">
        <f t="array" ref="O74">INDEX($J$2:$J$7,IF(N74&gt;5,6,N74+1))</f>
        <v>1.0000617999999999</v>
      </c>
      <c r="P74" s="147">
        <f t="shared" si="49"/>
        <v>4.911493141423307</v>
      </c>
      <c r="T74">
        <v>21</v>
      </c>
      <c r="U74" s="147">
        <f t="shared" si="146"/>
        <v>53.057173676610958</v>
      </c>
      <c r="V74" s="147">
        <f t="shared" si="50"/>
        <v>25.625173676610956</v>
      </c>
      <c r="W74" s="147">
        <f t="shared" si="51"/>
        <v>2631.7786497372022</v>
      </c>
      <c r="X74" s="147">
        <f t="shared" si="52"/>
        <v>486.28831263849418</v>
      </c>
      <c r="Y74" s="147">
        <f t="shared" si="53"/>
        <v>1341.8660450772713</v>
      </c>
      <c r="Z74" s="147">
        <f t="shared" si="116"/>
        <v>2245.8773649046179</v>
      </c>
      <c r="AA74" s="147">
        <f t="shared" si="117"/>
        <v>7358.0087488725112</v>
      </c>
      <c r="AB74" s="147">
        <f t="shared" si="54"/>
        <v>7362.9202420139363</v>
      </c>
      <c r="AC74" s="147">
        <f t="shared" si="55"/>
        <v>4.9114931414251259</v>
      </c>
      <c r="AD74" t="str">
        <f t="shared" si="56"/>
        <v>Yes</v>
      </c>
      <c r="AE74">
        <f>COUNTIF(AD$54:AD74,"Yes")</f>
        <v>4</v>
      </c>
      <c r="AF74" cm="1">
        <f t="array" ref="AF74">INDEX($J$2:$J$7,IF(AE74&gt;5,6,AE74+1))</f>
        <v>1.0000617999999999</v>
      </c>
      <c r="AG74" s="147">
        <f t="shared" si="57"/>
        <v>4.9114931414251259</v>
      </c>
      <c r="AK74">
        <v>21</v>
      </c>
      <c r="AL74" s="147">
        <f t="shared" si="147"/>
        <v>52.763882217836859</v>
      </c>
      <c r="AM74" s="147">
        <f t="shared" si="58"/>
        <v>25.331882217836856</v>
      </c>
      <c r="AN74" s="147">
        <f t="shared" si="59"/>
        <v>2605.2555355301251</v>
      </c>
      <c r="AO74" s="147">
        <f t="shared" si="60"/>
        <v>481.38748997433686</v>
      </c>
      <c r="AP74" s="147">
        <f t="shared" si="118"/>
        <v>1377.593540607611</v>
      </c>
      <c r="AQ74" s="147">
        <f t="shared" si="143"/>
        <v>2183.6267551672013</v>
      </c>
      <c r="AR74" s="147">
        <f t="shared" si="144"/>
        <v>7290.857316470936</v>
      </c>
      <c r="AS74" s="147">
        <f t="shared" si="61"/>
        <v>7257.8061189955306</v>
      </c>
      <c r="AT74" s="147">
        <f t="shared" si="62"/>
        <v>-33.051197475405388</v>
      </c>
      <c r="AU74" t="str">
        <f t="shared" si="63"/>
        <v>No</v>
      </c>
      <c r="AV74">
        <f>COUNTIF(AU$54:AU74,"Yes")</f>
        <v>3</v>
      </c>
      <c r="AW74" cm="1">
        <f t="array" ref="AW74">INDEX($J$2:$J$7,IF(AV74&gt;5,6,AV74+1))</f>
        <v>1.000618</v>
      </c>
      <c r="AX74" s="147">
        <f t="shared" si="64"/>
        <v>33.051197475405388</v>
      </c>
      <c r="BB74">
        <v>21</v>
      </c>
      <c r="BC74" s="147">
        <f t="shared" si="148"/>
        <v>46.599424470691545</v>
      </c>
      <c r="BD74" s="147">
        <f t="shared" si="65"/>
        <v>19.167424470691543</v>
      </c>
      <c r="BE74" s="147">
        <f t="shared" si="66"/>
        <v>2078.8698229332908</v>
      </c>
      <c r="BF74" s="147">
        <f t="shared" si="67"/>
        <v>384.12428738650277</v>
      </c>
      <c r="BG74" s="147">
        <f t="shared" si="121"/>
        <v>976.96769987619393</v>
      </c>
      <c r="BH74" s="147">
        <f t="shared" si="122"/>
        <v>2098.4436652434351</v>
      </c>
      <c r="BI74" s="147">
        <f t="shared" si="123"/>
        <v>5236.0421386685566</v>
      </c>
      <c r="BJ74" s="147">
        <f t="shared" si="68"/>
        <v>5230.5013054367564</v>
      </c>
      <c r="BK74" s="147">
        <f t="shared" si="69"/>
        <v>-5.5408332318002067</v>
      </c>
      <c r="BL74" t="str">
        <f t="shared" si="70"/>
        <v>No</v>
      </c>
      <c r="BM74">
        <f>COUNTIF(BL$54:BL74,"Yes")</f>
        <v>3</v>
      </c>
      <c r="BN74" cm="1">
        <f t="array" ref="BN74">INDEX($J$2:$J$7,IF(BM74&gt;5,6,BM74+1))</f>
        <v>1.000618</v>
      </c>
      <c r="BO74" s="147">
        <f t="shared" si="71"/>
        <v>5.5408332318002067</v>
      </c>
      <c r="BS74">
        <v>21</v>
      </c>
      <c r="BT74" s="147">
        <f t="shared" si="149"/>
        <v>46.599424470691545</v>
      </c>
      <c r="BU74" s="147">
        <f t="shared" si="72"/>
        <v>19.167424470691543</v>
      </c>
      <c r="BV74" s="147">
        <f t="shared" si="73"/>
        <v>2078.8698229332908</v>
      </c>
      <c r="BW74" s="147">
        <f t="shared" si="74"/>
        <v>384.12428738650277</v>
      </c>
      <c r="BX74" s="147">
        <f t="shared" si="124"/>
        <v>976.96769987619393</v>
      </c>
      <c r="BY74" s="147">
        <f t="shared" si="125"/>
        <v>2098.4436652434351</v>
      </c>
      <c r="BZ74" s="147">
        <f t="shared" si="126"/>
        <v>5236.0421386685566</v>
      </c>
      <c r="CA74" s="147">
        <f t="shared" si="75"/>
        <v>5230.5013054367564</v>
      </c>
      <c r="CB74" s="147">
        <f t="shared" si="76"/>
        <v>-5.5408332318002067</v>
      </c>
      <c r="CC74" t="str">
        <f t="shared" si="77"/>
        <v>No</v>
      </c>
      <c r="CD74">
        <f>COUNTIF(CC$54:CC74,"Yes")</f>
        <v>3</v>
      </c>
      <c r="CE74" cm="1">
        <f t="array" ref="CE74">INDEX($J$2:$J$7,IF(CD74&gt;5,6,CD74+1))</f>
        <v>1.000618</v>
      </c>
      <c r="CF74" s="147">
        <f t="shared" si="78"/>
        <v>5.5408332318002067</v>
      </c>
      <c r="CJ74">
        <v>21</v>
      </c>
      <c r="CK74" s="147">
        <f t="shared" si="150"/>
        <v>46.599424470691545</v>
      </c>
      <c r="CL74" s="147">
        <f t="shared" si="79"/>
        <v>19.167424470691543</v>
      </c>
      <c r="CM74" s="147">
        <f t="shared" si="80"/>
        <v>2078.8698229332908</v>
      </c>
      <c r="CN74" s="147">
        <f t="shared" si="81"/>
        <v>384.12428738650277</v>
      </c>
      <c r="CO74" s="147">
        <f t="shared" si="127"/>
        <v>976.96769987619393</v>
      </c>
      <c r="CP74" s="147">
        <f t="shared" si="128"/>
        <v>2098.4436652434351</v>
      </c>
      <c r="CQ74" s="147">
        <f t="shared" si="129"/>
        <v>5236.0421386685566</v>
      </c>
      <c r="CR74" s="147">
        <f t="shared" si="82"/>
        <v>5230.5013054367564</v>
      </c>
      <c r="CS74" s="147">
        <f t="shared" si="83"/>
        <v>-5.5408332318002067</v>
      </c>
      <c r="CT74" t="str">
        <f t="shared" si="84"/>
        <v>No</v>
      </c>
      <c r="CU74">
        <f>COUNTIF(CT$54:CT74,"Yes")</f>
        <v>3</v>
      </c>
      <c r="CV74" cm="1">
        <f t="array" ref="CV74">INDEX($J$2:$J$7,IF(CU74&gt;5,6,CU74+1))</f>
        <v>1.000618</v>
      </c>
      <c r="CW74" s="147">
        <f t="shared" si="85"/>
        <v>5.5408332318002067</v>
      </c>
      <c r="DA74">
        <v>21</v>
      </c>
      <c r="DB74" s="147">
        <f t="shared" si="151"/>
        <v>45.196989129281533</v>
      </c>
      <c r="DC74" s="147">
        <f t="shared" si="86"/>
        <v>17.764989129281531</v>
      </c>
      <c r="DD74" s="147">
        <f t="shared" si="87"/>
        <v>1967.4011309865073</v>
      </c>
      <c r="DE74" s="147">
        <f t="shared" si="88"/>
        <v>363.52760000010943</v>
      </c>
      <c r="DF74" s="147">
        <f t="shared" si="130"/>
        <v>895.41191102780556</v>
      </c>
      <c r="DG74" s="147">
        <f t="shared" si="131"/>
        <v>2076.6461185333696</v>
      </c>
      <c r="DH74" s="147">
        <f t="shared" si="132"/>
        <v>4819.1741275139429</v>
      </c>
      <c r="DI74" s="147">
        <f t="shared" si="89"/>
        <v>4817.8009089669104</v>
      </c>
      <c r="DJ74" s="147">
        <f t="shared" si="90"/>
        <v>-1.3732185470325931</v>
      </c>
      <c r="DK74" t="str">
        <f t="shared" si="91"/>
        <v>No</v>
      </c>
      <c r="DL74">
        <f>COUNTIF(DK$54:DK74,"Yes")</f>
        <v>4</v>
      </c>
      <c r="DM74" cm="1">
        <f t="array" ref="DM74">INDEX($J$2:$J$7,IF(DL74&gt;5,6,DL74+1))</f>
        <v>1.0000617999999999</v>
      </c>
      <c r="DN74" s="147">
        <f t="shared" si="92"/>
        <v>1.3732185470325931</v>
      </c>
      <c r="DR74">
        <v>21</v>
      </c>
      <c r="DS74" s="147">
        <f t="shared" si="152"/>
        <v>45.196989129281533</v>
      </c>
      <c r="DT74" s="147">
        <f t="shared" si="93"/>
        <v>17.764989129281531</v>
      </c>
      <c r="DU74" s="147">
        <f t="shared" si="94"/>
        <v>1967.4011309865073</v>
      </c>
      <c r="DV74" s="147">
        <f t="shared" si="95"/>
        <v>363.52760000010943</v>
      </c>
      <c r="DW74" s="147">
        <f t="shared" si="133"/>
        <v>895.41191102780556</v>
      </c>
      <c r="DX74" s="147">
        <f t="shared" si="134"/>
        <v>2076.6461185333696</v>
      </c>
      <c r="DY74" s="147">
        <f t="shared" si="135"/>
        <v>4819.1741275139429</v>
      </c>
      <c r="DZ74" s="147">
        <f t="shared" si="96"/>
        <v>4817.8009089669104</v>
      </c>
      <c r="EA74" s="147">
        <f t="shared" si="97"/>
        <v>-1.3732185470325931</v>
      </c>
      <c r="EB74" t="str">
        <f t="shared" si="98"/>
        <v>No</v>
      </c>
      <c r="EC74">
        <f>COUNTIF(EB$54:EB74,"Yes")</f>
        <v>4</v>
      </c>
      <c r="ED74" cm="1">
        <f t="array" ref="ED74">INDEX($J$2:$J$7,IF(EC74&gt;5,6,EC74+1))</f>
        <v>1.0000617999999999</v>
      </c>
      <c r="EE74" s="147">
        <f t="shared" si="99"/>
        <v>1.3732185470325931</v>
      </c>
      <c r="EI74">
        <v>21</v>
      </c>
      <c r="EJ74" s="147">
        <f t="shared" si="153"/>
        <v>45.196989129281533</v>
      </c>
      <c r="EK74" s="147">
        <f t="shared" si="100"/>
        <v>17.764989129281531</v>
      </c>
      <c r="EL74" s="147">
        <f t="shared" si="101"/>
        <v>1967.4011309865073</v>
      </c>
      <c r="EM74" s="147">
        <f t="shared" si="102"/>
        <v>363.52760000010943</v>
      </c>
      <c r="EN74" s="147">
        <f t="shared" si="136"/>
        <v>895.41191102780556</v>
      </c>
      <c r="EO74" s="147">
        <f t="shared" si="137"/>
        <v>2076.6461185333696</v>
      </c>
      <c r="EP74" s="147">
        <f t="shared" si="138"/>
        <v>4819.1741275139429</v>
      </c>
      <c r="EQ74" s="147">
        <f t="shared" si="103"/>
        <v>4817.8009089669104</v>
      </c>
      <c r="ER74" s="147">
        <f t="shared" si="104"/>
        <v>-1.3732185470325931</v>
      </c>
      <c r="ES74" t="str">
        <f t="shared" si="105"/>
        <v>No</v>
      </c>
      <c r="ET74">
        <f>COUNTIF(ES$54:ES74,"Yes")</f>
        <v>4</v>
      </c>
      <c r="EU74" cm="1">
        <f t="array" ref="EU74">INDEX($J$2:$J$7,IF(ET74&gt;5,6,ET74+1))</f>
        <v>1.0000617999999999</v>
      </c>
      <c r="EV74" s="147">
        <f t="shared" si="106"/>
        <v>1.3732185470325931</v>
      </c>
      <c r="EZ74">
        <v>21</v>
      </c>
      <c r="FA74" s="147">
        <f t="shared" si="154"/>
        <v>38.989688524857783</v>
      </c>
      <c r="FB74" s="147">
        <f t="shared" si="107"/>
        <v>11.557688524857781</v>
      </c>
      <c r="FC74" s="147">
        <f t="shared" si="108"/>
        <v>1510.9126370673482</v>
      </c>
      <c r="FD74" s="147">
        <f t="shared" si="109"/>
        <v>279.17969351146843</v>
      </c>
      <c r="FE74" s="147">
        <f t="shared" si="139"/>
        <v>577.116360582776</v>
      </c>
      <c r="FF74" s="147">
        <f t="shared" si="140"/>
        <v>1625.1054854214131</v>
      </c>
      <c r="FG74" s="147">
        <f t="shared" si="141"/>
        <v>3211.8251287908956</v>
      </c>
      <c r="FH74" s="147">
        <f t="shared" si="110"/>
        <v>3207.1157360547854</v>
      </c>
      <c r="FI74" s="147">
        <f t="shared" si="111"/>
        <v>-4.7093927361102033</v>
      </c>
      <c r="FJ74" t="str">
        <f t="shared" si="112"/>
        <v>No</v>
      </c>
      <c r="FK74">
        <f>COUNTIF(FJ$54:FJ74,"Yes")</f>
        <v>3</v>
      </c>
      <c r="FL74" cm="1">
        <f t="array" ref="FL74">INDEX($J$2:$J$7,IF(FK74&gt;5,6,FK74+1))</f>
        <v>1.000618</v>
      </c>
      <c r="FM74" s="147">
        <f t="shared" si="113"/>
        <v>4.7093927361102033</v>
      </c>
    </row>
    <row r="75" spans="3:169" x14ac:dyDescent="0.3">
      <c r="C75">
        <v>22</v>
      </c>
      <c r="D75" s="147">
        <f t="shared" si="155"/>
        <v>53.027681502775451</v>
      </c>
      <c r="E75" s="147">
        <f t="shared" si="42"/>
        <v>25.595681502775449</v>
      </c>
      <c r="F75" s="147">
        <f t="shared" si="43"/>
        <v>2629.1055206674741</v>
      </c>
      <c r="G75" s="147">
        <f t="shared" si="44"/>
        <v>485.79438377980671</v>
      </c>
      <c r="H75" s="147">
        <f t="shared" si="142"/>
        <v>1339.8549351175413</v>
      </c>
      <c r="I75" s="147">
        <f t="shared" si="114"/>
        <v>2245.2153457946215</v>
      </c>
      <c r="J75" s="147">
        <f t="shared" si="115"/>
        <v>7356.8528009038264</v>
      </c>
      <c r="K75" s="147">
        <f t="shared" si="46"/>
        <v>7352.3148311199056</v>
      </c>
      <c r="L75" s="147">
        <f t="shared" si="47"/>
        <v>-4.5379697839207438</v>
      </c>
      <c r="M75" t="str">
        <f t="shared" si="48"/>
        <v>No</v>
      </c>
      <c r="N75">
        <f>COUNTIF(M$54:M75,"Yes")</f>
        <v>4</v>
      </c>
      <c r="O75" cm="1">
        <f t="array" ref="O75">INDEX($J$2:$J$7,IF(N75&gt;5,6,N75+1))</f>
        <v>1.0000617999999999</v>
      </c>
      <c r="P75" s="147">
        <f t="shared" si="49"/>
        <v>4.5379697839207438</v>
      </c>
      <c r="T75">
        <v>22</v>
      </c>
      <c r="U75" s="147">
        <f t="shared" si="146"/>
        <v>53.027681502775451</v>
      </c>
      <c r="V75" s="147">
        <f t="shared" si="50"/>
        <v>25.595681502775449</v>
      </c>
      <c r="W75" s="147">
        <f t="shared" si="51"/>
        <v>2629.1055206674741</v>
      </c>
      <c r="X75" s="147">
        <f t="shared" si="52"/>
        <v>485.79438377980671</v>
      </c>
      <c r="Y75" s="147">
        <f t="shared" si="53"/>
        <v>1339.8549351175413</v>
      </c>
      <c r="Z75" s="147">
        <f t="shared" si="116"/>
        <v>2245.2153457946197</v>
      </c>
      <c r="AA75" s="147">
        <f t="shared" si="117"/>
        <v>7356.8528009038246</v>
      </c>
      <c r="AB75" s="147">
        <f t="shared" si="54"/>
        <v>7352.3148311199056</v>
      </c>
      <c r="AC75" s="147">
        <f t="shared" si="55"/>
        <v>-4.5379697839189248</v>
      </c>
      <c r="AD75" t="str">
        <f t="shared" si="56"/>
        <v>No</v>
      </c>
      <c r="AE75">
        <f>COUNTIF(AD$54:AD75,"Yes")</f>
        <v>4</v>
      </c>
      <c r="AF75" cm="1">
        <f t="array" ref="AF75">INDEX($J$2:$J$7,IF(AE75&gt;5,6,AE75+1))</f>
        <v>1.0000617999999999</v>
      </c>
      <c r="AG75" s="147">
        <f t="shared" si="57"/>
        <v>4.5379697839189248</v>
      </c>
      <c r="AK75">
        <v>22</v>
      </c>
      <c r="AL75" s="147">
        <f t="shared" si="147"/>
        <v>52.796490297047484</v>
      </c>
      <c r="AM75" s="147">
        <f t="shared" si="58"/>
        <v>25.364490297047482</v>
      </c>
      <c r="AN75" s="147">
        <f t="shared" si="59"/>
        <v>2608.197732407591</v>
      </c>
      <c r="AO75" s="147">
        <f t="shared" si="60"/>
        <v>481.93113598162392</v>
      </c>
      <c r="AP75" s="147">
        <f t="shared" si="118"/>
        <v>1379.8953010568355</v>
      </c>
      <c r="AQ75" s="147">
        <f t="shared" si="143"/>
        <v>2184.2671915954425</v>
      </c>
      <c r="AR75" s="147">
        <f t="shared" si="144"/>
        <v>7292.0413989064646</v>
      </c>
      <c r="AS75" s="147">
        <f t="shared" si="61"/>
        <v>7269.4538200770503</v>
      </c>
      <c r="AT75" s="147">
        <f t="shared" si="62"/>
        <v>-22.587578829414269</v>
      </c>
      <c r="AU75" t="str">
        <f t="shared" si="63"/>
        <v>No</v>
      </c>
      <c r="AV75">
        <f>COUNTIF(AU$54:AU75,"Yes")</f>
        <v>3</v>
      </c>
      <c r="AW75" cm="1">
        <f t="array" ref="AW75">INDEX($J$2:$J$7,IF(AV75&gt;5,6,AV75+1))</f>
        <v>1.000618</v>
      </c>
      <c r="AX75" s="147">
        <f t="shared" si="64"/>
        <v>22.587578829414269</v>
      </c>
      <c r="BB75">
        <v>22</v>
      </c>
      <c r="BC75" s="147">
        <f t="shared" si="148"/>
        <v>46.628222915014433</v>
      </c>
      <c r="BD75" s="147">
        <f t="shared" si="65"/>
        <v>19.196222915014431</v>
      </c>
      <c r="BE75" s="147">
        <f t="shared" si="66"/>
        <v>2081.1909698901727</v>
      </c>
      <c r="BF75" s="147">
        <f t="shared" si="67"/>
        <v>384.55317856135923</v>
      </c>
      <c r="BG75" s="147">
        <f t="shared" si="121"/>
        <v>978.67965478222698</v>
      </c>
      <c r="BH75" s="147">
        <f t="shared" si="122"/>
        <v>2099.0528572942844</v>
      </c>
      <c r="BI75" s="147">
        <f t="shared" si="123"/>
        <v>5237.0802218942626</v>
      </c>
      <c r="BJ75" s="147">
        <f t="shared" si="68"/>
        <v>5239.1643872171526</v>
      </c>
      <c r="BK75" s="147">
        <f t="shared" si="69"/>
        <v>2.0841653228899304</v>
      </c>
      <c r="BL75" t="str">
        <f t="shared" si="70"/>
        <v>Yes</v>
      </c>
      <c r="BM75">
        <f>COUNTIF(BL$54:BL75,"Yes")</f>
        <v>4</v>
      </c>
      <c r="BN75" cm="1">
        <f t="array" ref="BN75">INDEX($J$2:$J$7,IF(BM75&gt;5,6,BM75+1))</f>
        <v>1.0000617999999999</v>
      </c>
      <c r="BO75" s="147">
        <f t="shared" si="71"/>
        <v>2.0841653228899304</v>
      </c>
      <c r="BS75">
        <v>22</v>
      </c>
      <c r="BT75" s="147">
        <f t="shared" si="149"/>
        <v>46.628222915014433</v>
      </c>
      <c r="BU75" s="147">
        <f t="shared" si="72"/>
        <v>19.196222915014431</v>
      </c>
      <c r="BV75" s="147">
        <f t="shared" si="73"/>
        <v>2081.1909698901727</v>
      </c>
      <c r="BW75" s="147">
        <f t="shared" si="74"/>
        <v>384.55317856135923</v>
      </c>
      <c r="BX75" s="147">
        <f t="shared" si="124"/>
        <v>978.67965478222698</v>
      </c>
      <c r="BY75" s="147">
        <f t="shared" si="125"/>
        <v>2099.0528572942844</v>
      </c>
      <c r="BZ75" s="147">
        <f t="shared" si="126"/>
        <v>5237.0802218942626</v>
      </c>
      <c r="CA75" s="147">
        <f t="shared" si="75"/>
        <v>5239.1643872171526</v>
      </c>
      <c r="CB75" s="147">
        <f t="shared" si="76"/>
        <v>2.0841653228899304</v>
      </c>
      <c r="CC75" t="str">
        <f t="shared" si="77"/>
        <v>Yes</v>
      </c>
      <c r="CD75">
        <f>COUNTIF(CC$54:CC75,"Yes")</f>
        <v>4</v>
      </c>
      <c r="CE75" cm="1">
        <f t="array" ref="CE75">INDEX($J$2:$J$7,IF(CD75&gt;5,6,CD75+1))</f>
        <v>1.0000617999999999</v>
      </c>
      <c r="CF75" s="147">
        <f t="shared" si="78"/>
        <v>2.0841653228899304</v>
      </c>
      <c r="CJ75">
        <v>22</v>
      </c>
      <c r="CK75" s="147">
        <f t="shared" si="150"/>
        <v>46.628222915014433</v>
      </c>
      <c r="CL75" s="147">
        <f t="shared" si="79"/>
        <v>19.196222915014431</v>
      </c>
      <c r="CM75" s="147">
        <f t="shared" si="80"/>
        <v>2081.1909698901727</v>
      </c>
      <c r="CN75" s="147">
        <f t="shared" si="81"/>
        <v>384.55317856135923</v>
      </c>
      <c r="CO75" s="147">
        <f t="shared" si="127"/>
        <v>978.67965478222698</v>
      </c>
      <c r="CP75" s="147">
        <f t="shared" si="128"/>
        <v>2099.0528572942844</v>
      </c>
      <c r="CQ75" s="147">
        <f t="shared" si="129"/>
        <v>5237.0802218942626</v>
      </c>
      <c r="CR75" s="147">
        <f t="shared" si="82"/>
        <v>5239.1643872171526</v>
      </c>
      <c r="CS75" s="147">
        <f t="shared" si="83"/>
        <v>2.0841653228899304</v>
      </c>
      <c r="CT75" t="str">
        <f t="shared" si="84"/>
        <v>Yes</v>
      </c>
      <c r="CU75">
        <f>COUNTIF(CT$54:CT75,"Yes")</f>
        <v>4</v>
      </c>
      <c r="CV75" cm="1">
        <f t="array" ref="CV75">INDEX($J$2:$J$7,IF(CU75&gt;5,6,CU75+1))</f>
        <v>1.0000617999999999</v>
      </c>
      <c r="CW75" s="147">
        <f t="shared" si="85"/>
        <v>2.0841653228899304</v>
      </c>
      <c r="DA75">
        <v>22</v>
      </c>
      <c r="DB75" s="147">
        <f t="shared" si="151"/>
        <v>45.199782303209716</v>
      </c>
      <c r="DC75" s="147">
        <f t="shared" si="86"/>
        <v>17.767782303209714</v>
      </c>
      <c r="DD75" s="147">
        <f t="shared" si="87"/>
        <v>1967.6200862079829</v>
      </c>
      <c r="DE75" s="147">
        <f t="shared" si="88"/>
        <v>363.56805756868397</v>
      </c>
      <c r="DF75" s="147">
        <f t="shared" si="130"/>
        <v>895.57081023824367</v>
      </c>
      <c r="DG75" s="147">
        <f t="shared" si="131"/>
        <v>2076.7061745444075</v>
      </c>
      <c r="DH75" s="147">
        <f t="shared" si="132"/>
        <v>4819.2746410935542</v>
      </c>
      <c r="DI75" s="147">
        <f t="shared" si="89"/>
        <v>4818.6049937299003</v>
      </c>
      <c r="DJ75" s="147">
        <f t="shared" si="90"/>
        <v>-0.66964736365389399</v>
      </c>
      <c r="DK75" t="str">
        <f t="shared" si="91"/>
        <v>No</v>
      </c>
      <c r="DL75">
        <f>COUNTIF(DK$54:DK75,"Yes")</f>
        <v>4</v>
      </c>
      <c r="DM75" cm="1">
        <f t="array" ref="DM75">INDEX($J$2:$J$7,IF(DL75&gt;5,6,DL75+1))</f>
        <v>1.0000617999999999</v>
      </c>
      <c r="DN75" s="147">
        <f t="shared" si="92"/>
        <v>0.66964736365389399</v>
      </c>
      <c r="DR75">
        <v>22</v>
      </c>
      <c r="DS75" s="147">
        <f t="shared" si="152"/>
        <v>45.199782303209716</v>
      </c>
      <c r="DT75" s="147">
        <f t="shared" si="93"/>
        <v>17.767782303209714</v>
      </c>
      <c r="DU75" s="147">
        <f t="shared" si="94"/>
        <v>1967.6200862079829</v>
      </c>
      <c r="DV75" s="147">
        <f t="shared" si="95"/>
        <v>363.56805756868397</v>
      </c>
      <c r="DW75" s="147">
        <f t="shared" si="133"/>
        <v>895.57081023824367</v>
      </c>
      <c r="DX75" s="147">
        <f t="shared" si="134"/>
        <v>2076.7061745444075</v>
      </c>
      <c r="DY75" s="147">
        <f t="shared" si="135"/>
        <v>4819.2746410935542</v>
      </c>
      <c r="DZ75" s="147">
        <f t="shared" si="96"/>
        <v>4818.6049937299003</v>
      </c>
      <c r="EA75" s="147">
        <f t="shared" si="97"/>
        <v>-0.66964736365389399</v>
      </c>
      <c r="EB75" t="str">
        <f t="shared" si="98"/>
        <v>No</v>
      </c>
      <c r="EC75">
        <f>COUNTIF(EB$54:EB75,"Yes")</f>
        <v>4</v>
      </c>
      <c r="ED75" cm="1">
        <f t="array" ref="ED75">INDEX($J$2:$J$7,IF(EC75&gt;5,6,EC75+1))</f>
        <v>1.0000617999999999</v>
      </c>
      <c r="EE75" s="147">
        <f t="shared" si="99"/>
        <v>0.66964736365389399</v>
      </c>
      <c r="EI75">
        <v>22</v>
      </c>
      <c r="EJ75" s="147">
        <f t="shared" si="153"/>
        <v>45.199782303209716</v>
      </c>
      <c r="EK75" s="147">
        <f t="shared" si="100"/>
        <v>17.767782303209714</v>
      </c>
      <c r="EL75" s="147">
        <f t="shared" si="101"/>
        <v>1967.6200862079829</v>
      </c>
      <c r="EM75" s="147">
        <f t="shared" si="102"/>
        <v>363.56805756868397</v>
      </c>
      <c r="EN75" s="147">
        <f t="shared" si="136"/>
        <v>895.57081023824367</v>
      </c>
      <c r="EO75" s="147">
        <f t="shared" si="137"/>
        <v>2076.7061745444075</v>
      </c>
      <c r="EP75" s="147">
        <f t="shared" si="138"/>
        <v>4819.2746410935542</v>
      </c>
      <c r="EQ75" s="147">
        <f t="shared" si="103"/>
        <v>4818.6049937299003</v>
      </c>
      <c r="ER75" s="147">
        <f t="shared" si="104"/>
        <v>-0.66964736365389399</v>
      </c>
      <c r="ES75" t="str">
        <f t="shared" si="105"/>
        <v>No</v>
      </c>
      <c r="ET75">
        <f>COUNTIF(ES$54:ES75,"Yes")</f>
        <v>4</v>
      </c>
      <c r="EU75" cm="1">
        <f t="array" ref="EU75">INDEX($J$2:$J$7,IF(ET75&gt;5,6,ET75+1))</f>
        <v>1.0000617999999999</v>
      </c>
      <c r="EV75" s="147">
        <f t="shared" si="106"/>
        <v>0.66964736365389399</v>
      </c>
      <c r="EZ75">
        <v>22</v>
      </c>
      <c r="FA75" s="147">
        <f t="shared" si="154"/>
        <v>39.013784152366142</v>
      </c>
      <c r="FB75" s="147">
        <f t="shared" si="107"/>
        <v>11.58178415236614</v>
      </c>
      <c r="FC75" s="147">
        <f t="shared" si="108"/>
        <v>1512.5683141241866</v>
      </c>
      <c r="FD75" s="147">
        <f t="shared" si="109"/>
        <v>279.48562212834685</v>
      </c>
      <c r="FE75" s="147">
        <f t="shared" si="139"/>
        <v>578.21731660163937</v>
      </c>
      <c r="FF75" s="147">
        <f t="shared" si="140"/>
        <v>1625.6602064593883</v>
      </c>
      <c r="FG75" s="147">
        <f t="shared" si="141"/>
        <v>3212.6857784457488</v>
      </c>
      <c r="FH75" s="147">
        <f t="shared" si="110"/>
        <v>3212.6869529101027</v>
      </c>
      <c r="FI75" s="147">
        <f t="shared" si="111"/>
        <v>1.1744643538804667E-3</v>
      </c>
      <c r="FJ75" t="str">
        <f t="shared" si="112"/>
        <v>Yes</v>
      </c>
      <c r="FK75">
        <f>COUNTIF(FJ$54:FJ75,"Yes")</f>
        <v>4</v>
      </c>
      <c r="FL75" cm="1">
        <f t="array" ref="FL75">INDEX($J$2:$J$7,IF(FK75&gt;5,6,FK75+1))</f>
        <v>1.0000617999999999</v>
      </c>
      <c r="FM75" s="147">
        <f t="shared" si="113"/>
        <v>1.1744643538804667E-3</v>
      </c>
    </row>
    <row r="76" spans="3:169" x14ac:dyDescent="0.3">
      <c r="C76">
        <v>23</v>
      </c>
      <c r="D76" s="147">
        <f t="shared" si="155"/>
        <v>53.030958613492317</v>
      </c>
      <c r="E76" s="147">
        <f t="shared" si="42"/>
        <v>25.598958613492314</v>
      </c>
      <c r="F76" s="147">
        <f t="shared" si="43"/>
        <v>2629.4024862861188</v>
      </c>
      <c r="G76" s="147">
        <f t="shared" si="44"/>
        <v>485.84925576139096</v>
      </c>
      <c r="H76" s="147">
        <f t="shared" si="142"/>
        <v>1340.0783311064577</v>
      </c>
      <c r="I76" s="147">
        <f t="shared" si="114"/>
        <v>2245.2889154243485</v>
      </c>
      <c r="J76" s="147">
        <f t="shared" si="115"/>
        <v>7356.9812425151385</v>
      </c>
      <c r="K76" s="147">
        <f t="shared" si="46"/>
        <v>7353.4928901529647</v>
      </c>
      <c r="L76" s="147">
        <f t="shared" si="47"/>
        <v>-3.4883523621738277</v>
      </c>
      <c r="M76" t="str">
        <f t="shared" si="48"/>
        <v>No</v>
      </c>
      <c r="N76">
        <f>COUNTIF(M$54:M76,"Yes")</f>
        <v>4</v>
      </c>
      <c r="O76" cm="1">
        <f t="array" ref="O76">INDEX($J$2:$J$7,IF(N76&gt;5,6,N76+1))</f>
        <v>1.0000617999999999</v>
      </c>
      <c r="P76" s="147">
        <f t="shared" si="49"/>
        <v>3.4883523621738277</v>
      </c>
      <c r="T76">
        <v>23</v>
      </c>
      <c r="U76" s="147">
        <f t="shared" si="146"/>
        <v>53.030958613492317</v>
      </c>
      <c r="V76" s="147">
        <f t="shared" si="50"/>
        <v>25.598958613492314</v>
      </c>
      <c r="W76" s="147">
        <f t="shared" si="51"/>
        <v>2629.4024862861188</v>
      </c>
      <c r="X76" s="147">
        <f t="shared" si="52"/>
        <v>485.84925576139096</v>
      </c>
      <c r="Y76" s="147">
        <f t="shared" si="53"/>
        <v>1340.0783311064577</v>
      </c>
      <c r="Z76" s="147">
        <f t="shared" si="116"/>
        <v>2245.2889154243485</v>
      </c>
      <c r="AA76" s="147">
        <f t="shared" si="117"/>
        <v>7356.9812425151385</v>
      </c>
      <c r="AB76" s="147">
        <f t="shared" si="54"/>
        <v>7353.4928901529647</v>
      </c>
      <c r="AC76" s="147">
        <f t="shared" si="55"/>
        <v>-3.4883523621738277</v>
      </c>
      <c r="AD76" t="str">
        <f t="shared" si="56"/>
        <v>No</v>
      </c>
      <c r="AE76">
        <f>COUNTIF(AD$54:AD76,"Yes")</f>
        <v>4</v>
      </c>
      <c r="AF76" cm="1">
        <f t="array" ref="AF76">INDEX($J$2:$J$7,IF(AE76&gt;5,6,AE76+1))</f>
        <v>1.0000617999999999</v>
      </c>
      <c r="AG76" s="147">
        <f t="shared" si="57"/>
        <v>3.4883523621738277</v>
      </c>
      <c r="AK76">
        <v>23</v>
      </c>
      <c r="AL76" s="147">
        <f t="shared" si="147"/>
        <v>52.829118528051062</v>
      </c>
      <c r="AM76" s="147">
        <f t="shared" si="58"/>
        <v>25.39711852805106</v>
      </c>
      <c r="AN76" s="147">
        <f t="shared" si="59"/>
        <v>2611.1434095224604</v>
      </c>
      <c r="AO76" s="147">
        <f t="shared" si="60"/>
        <v>482.4754250516454</v>
      </c>
      <c r="AP76" s="147">
        <f t="shared" si="118"/>
        <v>1382.2004071258038</v>
      </c>
      <c r="AQ76" s="147">
        <f t="shared" si="143"/>
        <v>2184.907762641345</v>
      </c>
      <c r="AR76" s="147">
        <f t="shared" si="144"/>
        <v>7293.2262590223891</v>
      </c>
      <c r="AS76" s="147">
        <f t="shared" si="61"/>
        <v>7281.1184511474048</v>
      </c>
      <c r="AT76" s="147">
        <f t="shared" si="62"/>
        <v>-12.107807874984246</v>
      </c>
      <c r="AU76" t="str">
        <f t="shared" si="63"/>
        <v>No</v>
      </c>
      <c r="AV76">
        <f>COUNTIF(AU$54:AU76,"Yes")</f>
        <v>3</v>
      </c>
      <c r="AW76" cm="1">
        <f t="array" ref="AW76">INDEX($J$2:$J$7,IF(AV76&gt;5,6,AV76+1))</f>
        <v>1.000618</v>
      </c>
      <c r="AX76" s="147">
        <f t="shared" si="64"/>
        <v>12.107807874984246</v>
      </c>
      <c r="BB76">
        <v>23</v>
      </c>
      <c r="BC76" s="147">
        <f t="shared" si="148"/>
        <v>46.602304315123831</v>
      </c>
      <c r="BD76" s="147">
        <f t="shared" si="65"/>
        <v>19.170304315123829</v>
      </c>
      <c r="BE76" s="147">
        <f t="shared" si="66"/>
        <v>2079.1018793491667</v>
      </c>
      <c r="BF76" s="147">
        <f t="shared" si="67"/>
        <v>384.16716573530476</v>
      </c>
      <c r="BG76" s="147">
        <f t="shared" si="121"/>
        <v>977.13882792848472</v>
      </c>
      <c r="BH76" s="147">
        <f t="shared" si="122"/>
        <v>2098.5045936070205</v>
      </c>
      <c r="BI76" s="147">
        <f t="shared" si="123"/>
        <v>5236.1459453809439</v>
      </c>
      <c r="BJ76" s="147">
        <f t="shared" si="68"/>
        <v>5231.3672723536947</v>
      </c>
      <c r="BK76" s="147">
        <f t="shared" si="69"/>
        <v>-4.7786730272491695</v>
      </c>
      <c r="BL76" t="str">
        <f t="shared" si="70"/>
        <v>No</v>
      </c>
      <c r="BM76">
        <f>COUNTIF(BL$54:BL76,"Yes")</f>
        <v>4</v>
      </c>
      <c r="BN76" cm="1">
        <f t="array" ref="BN76">INDEX($J$2:$J$7,IF(BM76&gt;5,6,BM76+1))</f>
        <v>1.0000617999999999</v>
      </c>
      <c r="BO76" s="147">
        <f t="shared" si="71"/>
        <v>4.7786730272491695</v>
      </c>
      <c r="BS76">
        <v>23</v>
      </c>
      <c r="BT76" s="147">
        <f t="shared" si="149"/>
        <v>46.602304315123831</v>
      </c>
      <c r="BU76" s="147">
        <f t="shared" si="72"/>
        <v>19.170304315123829</v>
      </c>
      <c r="BV76" s="147">
        <f t="shared" si="73"/>
        <v>2079.1018793491667</v>
      </c>
      <c r="BW76" s="147">
        <f t="shared" si="74"/>
        <v>384.16716573530476</v>
      </c>
      <c r="BX76" s="147">
        <f t="shared" si="124"/>
        <v>977.13882792848472</v>
      </c>
      <c r="BY76" s="147">
        <f t="shared" si="125"/>
        <v>2098.5045936070205</v>
      </c>
      <c r="BZ76" s="147">
        <f t="shared" si="126"/>
        <v>5236.1459453809439</v>
      </c>
      <c r="CA76" s="147">
        <f t="shared" si="75"/>
        <v>5231.3672723536947</v>
      </c>
      <c r="CB76" s="147">
        <f t="shared" si="76"/>
        <v>-4.7786730272491695</v>
      </c>
      <c r="CC76" t="str">
        <f t="shared" si="77"/>
        <v>No</v>
      </c>
      <c r="CD76">
        <f>COUNTIF(CC$54:CC76,"Yes")</f>
        <v>4</v>
      </c>
      <c r="CE76" cm="1">
        <f t="array" ref="CE76">INDEX($J$2:$J$7,IF(CD76&gt;5,6,CD76+1))</f>
        <v>1.0000617999999999</v>
      </c>
      <c r="CF76" s="147">
        <f t="shared" si="78"/>
        <v>4.7786730272491695</v>
      </c>
      <c r="CJ76">
        <v>23</v>
      </c>
      <c r="CK76" s="147">
        <f t="shared" si="150"/>
        <v>46.602304315123831</v>
      </c>
      <c r="CL76" s="147">
        <f t="shared" si="79"/>
        <v>19.170304315123829</v>
      </c>
      <c r="CM76" s="147">
        <f t="shared" si="80"/>
        <v>2079.1018793491667</v>
      </c>
      <c r="CN76" s="147">
        <f t="shared" si="81"/>
        <v>384.16716573530476</v>
      </c>
      <c r="CO76" s="147">
        <f t="shared" si="127"/>
        <v>977.13882792848472</v>
      </c>
      <c r="CP76" s="147">
        <f t="shared" si="128"/>
        <v>2098.5045936070205</v>
      </c>
      <c r="CQ76" s="147">
        <f t="shared" si="129"/>
        <v>5236.1459453809439</v>
      </c>
      <c r="CR76" s="147">
        <f t="shared" si="82"/>
        <v>5231.3672723536947</v>
      </c>
      <c r="CS76" s="147">
        <f t="shared" si="83"/>
        <v>-4.7786730272491695</v>
      </c>
      <c r="CT76" t="str">
        <f t="shared" si="84"/>
        <v>No</v>
      </c>
      <c r="CU76">
        <f>COUNTIF(CT$54:CT76,"Yes")</f>
        <v>4</v>
      </c>
      <c r="CV76" cm="1">
        <f t="array" ref="CV76">INDEX($J$2:$J$7,IF(CU76&gt;5,6,CU76+1))</f>
        <v>1.0000617999999999</v>
      </c>
      <c r="CW76" s="147">
        <f t="shared" si="85"/>
        <v>4.7786730272491695</v>
      </c>
      <c r="DA76">
        <v>23</v>
      </c>
      <c r="DB76" s="147">
        <f t="shared" si="151"/>
        <v>45.202575649756049</v>
      </c>
      <c r="DC76" s="147">
        <f t="shared" si="86"/>
        <v>17.770575649756047</v>
      </c>
      <c r="DD76" s="147">
        <f t="shared" si="87"/>
        <v>1967.8390671452812</v>
      </c>
      <c r="DE76" s="147">
        <f t="shared" si="88"/>
        <v>363.60851988891346</v>
      </c>
      <c r="DF76" s="147">
        <f t="shared" si="130"/>
        <v>895.72973336778398</v>
      </c>
      <c r="DG76" s="147">
        <f t="shared" si="131"/>
        <v>2076.7662323521658</v>
      </c>
      <c r="DH76" s="147">
        <f t="shared" si="132"/>
        <v>4819.3751612215419</v>
      </c>
      <c r="DI76" s="147">
        <f t="shared" si="89"/>
        <v>4819.4091995317904</v>
      </c>
      <c r="DJ76" s="147">
        <f t="shared" si="90"/>
        <v>3.4038310248433845E-2</v>
      </c>
      <c r="DK76" t="str">
        <f t="shared" si="91"/>
        <v>Yes</v>
      </c>
      <c r="DL76">
        <f>COUNTIF(DK$54:DK76,"Yes")</f>
        <v>5</v>
      </c>
      <c r="DM76" cm="1">
        <f t="array" ref="DM76">INDEX($J$2:$J$7,IF(DL76&gt;5,6,DL76+1))</f>
        <v>1</v>
      </c>
      <c r="DN76" s="147">
        <f t="shared" si="92"/>
        <v>3.4038310248433845E-2</v>
      </c>
      <c r="DR76">
        <v>23</v>
      </c>
      <c r="DS76" s="147">
        <f t="shared" si="152"/>
        <v>45.202575649756049</v>
      </c>
      <c r="DT76" s="147">
        <f t="shared" si="93"/>
        <v>17.770575649756047</v>
      </c>
      <c r="DU76" s="147">
        <f t="shared" si="94"/>
        <v>1967.8390671452812</v>
      </c>
      <c r="DV76" s="147">
        <f t="shared" si="95"/>
        <v>363.60851988891346</v>
      </c>
      <c r="DW76" s="147">
        <f t="shared" si="133"/>
        <v>895.72973336778398</v>
      </c>
      <c r="DX76" s="147">
        <f t="shared" si="134"/>
        <v>2076.7662323521658</v>
      </c>
      <c r="DY76" s="147">
        <f t="shared" si="135"/>
        <v>4819.3751612215419</v>
      </c>
      <c r="DZ76" s="147">
        <f t="shared" si="96"/>
        <v>4819.4091995317904</v>
      </c>
      <c r="EA76" s="147">
        <f t="shared" si="97"/>
        <v>3.4038310248433845E-2</v>
      </c>
      <c r="EB76" t="str">
        <f t="shared" si="98"/>
        <v>Yes</v>
      </c>
      <c r="EC76">
        <f>COUNTIF(EB$54:EB76,"Yes")</f>
        <v>5</v>
      </c>
      <c r="ED76" cm="1">
        <f t="array" ref="ED76">INDEX($J$2:$J$7,IF(EC76&gt;5,6,EC76+1))</f>
        <v>1</v>
      </c>
      <c r="EE76" s="147">
        <f t="shared" si="99"/>
        <v>3.4038310248433845E-2</v>
      </c>
      <c r="EI76">
        <v>23</v>
      </c>
      <c r="EJ76" s="147">
        <f t="shared" si="153"/>
        <v>45.202575649756049</v>
      </c>
      <c r="EK76" s="147">
        <f t="shared" si="100"/>
        <v>17.770575649756047</v>
      </c>
      <c r="EL76" s="147">
        <f t="shared" si="101"/>
        <v>1967.8390671452812</v>
      </c>
      <c r="EM76" s="147">
        <f t="shared" si="102"/>
        <v>363.60851988891346</v>
      </c>
      <c r="EN76" s="147">
        <f t="shared" si="136"/>
        <v>895.72973336778398</v>
      </c>
      <c r="EO76" s="147">
        <f t="shared" si="137"/>
        <v>2076.7662323521658</v>
      </c>
      <c r="EP76" s="147">
        <f t="shared" si="138"/>
        <v>4819.3751612215419</v>
      </c>
      <c r="EQ76" s="147">
        <f t="shared" si="103"/>
        <v>4819.4091995317904</v>
      </c>
      <c r="ER76" s="147">
        <f t="shared" si="104"/>
        <v>3.4038310248433845E-2</v>
      </c>
      <c r="ES76" t="str">
        <f t="shared" si="105"/>
        <v>Yes</v>
      </c>
      <c r="ET76">
        <f>COUNTIF(ES$54:ES76,"Yes")</f>
        <v>5</v>
      </c>
      <c r="EU76" cm="1">
        <f t="array" ref="EU76">INDEX($J$2:$J$7,IF(ET76&gt;5,6,ET76+1))</f>
        <v>1</v>
      </c>
      <c r="EV76" s="147">
        <f t="shared" si="106"/>
        <v>3.4038310248433845E-2</v>
      </c>
      <c r="EZ76">
        <v>23</v>
      </c>
      <c r="FA76" s="147">
        <f t="shared" si="154"/>
        <v>38.992098087608618</v>
      </c>
      <c r="FB76" s="147">
        <f t="shared" si="107"/>
        <v>11.560098087608615</v>
      </c>
      <c r="FC76" s="147">
        <f t="shared" si="108"/>
        <v>1511.0781639733693</v>
      </c>
      <c r="FD76" s="147">
        <f t="shared" si="109"/>
        <v>279.21027883437671</v>
      </c>
      <c r="FE76" s="147">
        <f t="shared" si="139"/>
        <v>577.22640897345354</v>
      </c>
      <c r="FF76" s="147">
        <f t="shared" si="140"/>
        <v>1625.1609639367566</v>
      </c>
      <c r="FG76" s="147">
        <f t="shared" si="141"/>
        <v>3211.9111926291475</v>
      </c>
      <c r="FH76" s="147">
        <f t="shared" si="110"/>
        <v>3207.6726188353314</v>
      </c>
      <c r="FI76" s="147">
        <f t="shared" si="111"/>
        <v>-4.2385737938161583</v>
      </c>
      <c r="FJ76" t="str">
        <f t="shared" si="112"/>
        <v>No</v>
      </c>
      <c r="FK76">
        <f>COUNTIF(FJ$54:FJ76,"Yes")</f>
        <v>4</v>
      </c>
      <c r="FL76" cm="1">
        <f t="array" ref="FL76">INDEX($J$2:$J$7,IF(FK76&gt;5,6,FK76+1))</f>
        <v>1.0000617999999999</v>
      </c>
      <c r="FM76" s="147">
        <f t="shared" si="113"/>
        <v>4.2385737938161583</v>
      </c>
    </row>
    <row r="77" spans="3:169" x14ac:dyDescent="0.3">
      <c r="C77">
        <v>24</v>
      </c>
      <c r="D77" s="147">
        <f t="shared" si="155"/>
        <v>53.034235926734624</v>
      </c>
      <c r="E77" s="147">
        <f t="shared" si="42"/>
        <v>25.602235926734622</v>
      </c>
      <c r="F77" s="147">
        <f t="shared" si="43"/>
        <v>2629.6994870294393</v>
      </c>
      <c r="G77" s="147">
        <f t="shared" si="44"/>
        <v>485.90413423315613</v>
      </c>
      <c r="H77" s="147">
        <f t="shared" si="142"/>
        <v>1340.3017595249914</v>
      </c>
      <c r="I77" s="147">
        <f t="shared" si="114"/>
        <v>2245.3624877491366</v>
      </c>
      <c r="J77" s="147">
        <f t="shared" si="115"/>
        <v>7357.1096933116914</v>
      </c>
      <c r="K77" s="147">
        <f t="shared" si="46"/>
        <v>7354.6711202007509</v>
      </c>
      <c r="L77" s="147">
        <f t="shared" si="47"/>
        <v>-2.4385731109405242</v>
      </c>
      <c r="M77" t="str">
        <f t="shared" si="48"/>
        <v>No</v>
      </c>
      <c r="N77">
        <f>COUNTIF(M$54:M77,"Yes")</f>
        <v>4</v>
      </c>
      <c r="O77" cm="1">
        <f t="array" ref="O77">INDEX($J$2:$J$7,IF(N77&gt;5,6,N77+1))</f>
        <v>1.0000617999999999</v>
      </c>
      <c r="P77" s="147">
        <f t="shared" si="49"/>
        <v>2.4385731109405242</v>
      </c>
      <c r="T77">
        <v>24</v>
      </c>
      <c r="U77" s="147">
        <f t="shared" si="146"/>
        <v>53.034235926734624</v>
      </c>
      <c r="V77" s="147">
        <f t="shared" si="50"/>
        <v>25.602235926734622</v>
      </c>
      <c r="W77" s="147">
        <f t="shared" si="51"/>
        <v>2629.6994870294393</v>
      </c>
      <c r="X77" s="147">
        <f t="shared" si="52"/>
        <v>485.90413423315613</v>
      </c>
      <c r="Y77" s="147">
        <f t="shared" si="53"/>
        <v>1340.3017595249914</v>
      </c>
      <c r="Z77" s="147">
        <f t="shared" si="116"/>
        <v>2245.3624877491366</v>
      </c>
      <c r="AA77" s="147">
        <f t="shared" si="117"/>
        <v>7357.1096933116914</v>
      </c>
      <c r="AB77" s="147">
        <f t="shared" si="54"/>
        <v>7354.6711202007509</v>
      </c>
      <c r="AC77" s="147">
        <f t="shared" si="55"/>
        <v>-2.4385731109405242</v>
      </c>
      <c r="AD77" t="str">
        <f t="shared" si="56"/>
        <v>No</v>
      </c>
      <c r="AE77">
        <f>COUNTIF(AD$54:AD77,"Yes")</f>
        <v>4</v>
      </c>
      <c r="AF77" cm="1">
        <f t="array" ref="AF77">INDEX($J$2:$J$7,IF(AE77&gt;5,6,AE77+1))</f>
        <v>1.0000617999999999</v>
      </c>
      <c r="AG77" s="147">
        <f t="shared" si="57"/>
        <v>2.4385731109405242</v>
      </c>
      <c r="AK77">
        <v>24</v>
      </c>
      <c r="AL77" s="147">
        <f t="shared" si="147"/>
        <v>52.861766923301396</v>
      </c>
      <c r="AM77" s="147">
        <f t="shared" si="58"/>
        <v>25.429766923301393</v>
      </c>
      <c r="AN77" s="147">
        <f t="shared" si="59"/>
        <v>2614.0925710803376</v>
      </c>
      <c r="AO77" s="147">
        <f t="shared" si="60"/>
        <v>483.02035796149386</v>
      </c>
      <c r="AP77" s="147">
        <f t="shared" si="118"/>
        <v>1384.5088632598338</v>
      </c>
      <c r="AQ77" s="147">
        <f t="shared" si="143"/>
        <v>2185.5484680651925</v>
      </c>
      <c r="AR77" s="147">
        <f t="shared" si="144"/>
        <v>7294.4118973560844</v>
      </c>
      <c r="AS77" s="147">
        <f t="shared" si="61"/>
        <v>7292.8000347014367</v>
      </c>
      <c r="AT77" s="147">
        <f t="shared" si="62"/>
        <v>-1.6118626546476662</v>
      </c>
      <c r="AU77" t="str">
        <f t="shared" si="63"/>
        <v>No</v>
      </c>
      <c r="AV77">
        <f>COUNTIF(AU$54:AU77,"Yes")</f>
        <v>3</v>
      </c>
      <c r="AW77" cm="1">
        <f t="array" ref="AW77">INDEX($J$2:$J$7,IF(AV77&gt;5,6,AV77+1))</f>
        <v>1.000618</v>
      </c>
      <c r="AX77" s="147">
        <f t="shared" si="64"/>
        <v>1.6118626546476662</v>
      </c>
      <c r="BB77">
        <v>24</v>
      </c>
      <c r="BC77" s="147">
        <f t="shared" si="148"/>
        <v>46.605184337530503</v>
      </c>
      <c r="BD77" s="147">
        <f t="shared" si="65"/>
        <v>19.1731843375305</v>
      </c>
      <c r="BE77" s="147">
        <f t="shared" si="66"/>
        <v>2079.3339630583982</v>
      </c>
      <c r="BF77" s="147">
        <f t="shared" si="67"/>
        <v>384.2100491272513</v>
      </c>
      <c r="BG77" s="147">
        <f t="shared" si="121"/>
        <v>977.30998154417</v>
      </c>
      <c r="BH77" s="147">
        <f t="shared" si="122"/>
        <v>2098.5655237005672</v>
      </c>
      <c r="BI77" s="147">
        <f t="shared" si="123"/>
        <v>5236.2497588664373</v>
      </c>
      <c r="BJ77" s="147">
        <f t="shared" si="68"/>
        <v>5232.2333686302181</v>
      </c>
      <c r="BK77" s="147">
        <f t="shared" si="69"/>
        <v>-4.0163902362191948</v>
      </c>
      <c r="BL77" t="str">
        <f t="shared" si="70"/>
        <v>No</v>
      </c>
      <c r="BM77">
        <f>COUNTIF(BL$54:BL77,"Yes")</f>
        <v>4</v>
      </c>
      <c r="BN77" cm="1">
        <f t="array" ref="BN77">INDEX($J$2:$J$7,IF(BM77&gt;5,6,BM77+1))</f>
        <v>1.0000617999999999</v>
      </c>
      <c r="BO77" s="147">
        <f t="shared" si="71"/>
        <v>4.0163902362191948</v>
      </c>
      <c r="BS77">
        <v>24</v>
      </c>
      <c r="BT77" s="147">
        <f t="shared" si="149"/>
        <v>46.605184337530503</v>
      </c>
      <c r="BU77" s="147">
        <f t="shared" si="72"/>
        <v>19.1731843375305</v>
      </c>
      <c r="BV77" s="147">
        <f t="shared" si="73"/>
        <v>2079.3339630583982</v>
      </c>
      <c r="BW77" s="147">
        <f t="shared" si="74"/>
        <v>384.2100491272513</v>
      </c>
      <c r="BX77" s="147">
        <f t="shared" si="124"/>
        <v>977.30998154417</v>
      </c>
      <c r="BY77" s="147">
        <f t="shared" si="125"/>
        <v>2098.5655237005672</v>
      </c>
      <c r="BZ77" s="147">
        <f t="shared" si="126"/>
        <v>5236.2497588664373</v>
      </c>
      <c r="CA77" s="147">
        <f t="shared" si="75"/>
        <v>5232.2333686302181</v>
      </c>
      <c r="CB77" s="147">
        <f t="shared" si="76"/>
        <v>-4.0163902362191948</v>
      </c>
      <c r="CC77" t="str">
        <f t="shared" si="77"/>
        <v>No</v>
      </c>
      <c r="CD77">
        <f>COUNTIF(CC$54:CC77,"Yes")</f>
        <v>4</v>
      </c>
      <c r="CE77" cm="1">
        <f t="array" ref="CE77">INDEX($J$2:$J$7,IF(CD77&gt;5,6,CD77+1))</f>
        <v>1.0000617999999999</v>
      </c>
      <c r="CF77" s="147">
        <f t="shared" si="78"/>
        <v>4.0163902362191948</v>
      </c>
      <c r="CJ77">
        <v>24</v>
      </c>
      <c r="CK77" s="147">
        <f t="shared" si="150"/>
        <v>46.605184337530503</v>
      </c>
      <c r="CL77" s="147">
        <f t="shared" si="79"/>
        <v>19.1731843375305</v>
      </c>
      <c r="CM77" s="147">
        <f t="shared" si="80"/>
        <v>2079.3339630583982</v>
      </c>
      <c r="CN77" s="147">
        <f t="shared" si="81"/>
        <v>384.2100491272513</v>
      </c>
      <c r="CO77" s="147">
        <f t="shared" si="127"/>
        <v>977.30998154417</v>
      </c>
      <c r="CP77" s="147">
        <f t="shared" si="128"/>
        <v>2098.5655237005672</v>
      </c>
      <c r="CQ77" s="147">
        <f t="shared" si="129"/>
        <v>5236.2497588664373</v>
      </c>
      <c r="CR77" s="147">
        <f t="shared" si="82"/>
        <v>5232.2333686302181</v>
      </c>
      <c r="CS77" s="147">
        <f t="shared" si="83"/>
        <v>-4.0163902362191948</v>
      </c>
      <c r="CT77" t="str">
        <f t="shared" si="84"/>
        <v>No</v>
      </c>
      <c r="CU77">
        <f>COUNTIF(CT$54:CT77,"Yes")</f>
        <v>4</v>
      </c>
      <c r="CV77" cm="1">
        <f t="array" ref="CV77">INDEX($J$2:$J$7,IF(CU77&gt;5,6,CU77+1))</f>
        <v>1.0000617999999999</v>
      </c>
      <c r="CW77" s="147">
        <f t="shared" si="85"/>
        <v>4.0163902362191948</v>
      </c>
      <c r="DA77">
        <v>24</v>
      </c>
      <c r="DB77" s="147">
        <f t="shared" si="151"/>
        <v>45.199782303209716</v>
      </c>
      <c r="DC77" s="147">
        <f t="shared" si="86"/>
        <v>17.767782303209714</v>
      </c>
      <c r="DD77" s="147">
        <f t="shared" si="87"/>
        <v>1967.6200862079829</v>
      </c>
      <c r="DE77" s="147">
        <f t="shared" si="88"/>
        <v>363.56805756868397</v>
      </c>
      <c r="DF77" s="147">
        <f t="shared" si="130"/>
        <v>895.57081023824367</v>
      </c>
      <c r="DG77" s="147">
        <f t="shared" si="131"/>
        <v>2076.7061745444075</v>
      </c>
      <c r="DH77" s="147">
        <f t="shared" si="132"/>
        <v>4819.2746410935542</v>
      </c>
      <c r="DI77" s="147">
        <f t="shared" si="89"/>
        <v>4818.6049937299003</v>
      </c>
      <c r="DJ77" s="147">
        <f t="shared" si="90"/>
        <v>-0.66964736365389399</v>
      </c>
      <c r="DK77" t="str">
        <f t="shared" si="91"/>
        <v>No</v>
      </c>
      <c r="DL77">
        <f>COUNTIF(DK$54:DK77,"Yes")</f>
        <v>5</v>
      </c>
      <c r="DM77" cm="1">
        <f t="array" ref="DM77">INDEX($J$2:$J$7,IF(DL77&gt;5,6,DL77+1))</f>
        <v>1</v>
      </c>
      <c r="DN77" s="147">
        <f t="shared" si="92"/>
        <v>0.66964736365389399</v>
      </c>
      <c r="DR77">
        <v>24</v>
      </c>
      <c r="DS77" s="147">
        <f t="shared" si="152"/>
        <v>45.199782303209716</v>
      </c>
      <c r="DT77" s="147">
        <f t="shared" si="93"/>
        <v>17.767782303209714</v>
      </c>
      <c r="DU77" s="147">
        <f t="shared" si="94"/>
        <v>1967.6200862079829</v>
      </c>
      <c r="DV77" s="147">
        <f t="shared" si="95"/>
        <v>363.56805756868397</v>
      </c>
      <c r="DW77" s="147">
        <f t="shared" si="133"/>
        <v>895.57081023824367</v>
      </c>
      <c r="DX77" s="147">
        <f t="shared" si="134"/>
        <v>2076.7061745444075</v>
      </c>
      <c r="DY77" s="147">
        <f t="shared" si="135"/>
        <v>4819.2746410935542</v>
      </c>
      <c r="DZ77" s="147">
        <f t="shared" si="96"/>
        <v>4818.6049937299003</v>
      </c>
      <c r="EA77" s="147">
        <f t="shared" si="97"/>
        <v>-0.66964736365389399</v>
      </c>
      <c r="EB77" t="str">
        <f t="shared" si="98"/>
        <v>No</v>
      </c>
      <c r="EC77">
        <f>COUNTIF(EB$54:EB77,"Yes")</f>
        <v>5</v>
      </c>
      <c r="ED77" cm="1">
        <f t="array" ref="ED77">INDEX($J$2:$J$7,IF(EC77&gt;5,6,EC77+1))</f>
        <v>1</v>
      </c>
      <c r="EE77" s="147">
        <f t="shared" si="99"/>
        <v>0.66964736365389399</v>
      </c>
      <c r="EI77">
        <v>24</v>
      </c>
      <c r="EJ77" s="147">
        <f t="shared" si="153"/>
        <v>45.199782303209716</v>
      </c>
      <c r="EK77" s="147">
        <f t="shared" si="100"/>
        <v>17.767782303209714</v>
      </c>
      <c r="EL77" s="147">
        <f t="shared" si="101"/>
        <v>1967.6200862079829</v>
      </c>
      <c r="EM77" s="147">
        <f t="shared" si="102"/>
        <v>363.56805756868397</v>
      </c>
      <c r="EN77" s="147">
        <f t="shared" si="136"/>
        <v>895.57081023824367</v>
      </c>
      <c r="EO77" s="147">
        <f t="shared" si="137"/>
        <v>2076.7061745444075</v>
      </c>
      <c r="EP77" s="147">
        <f t="shared" si="138"/>
        <v>4819.2746410935542</v>
      </c>
      <c r="EQ77" s="147">
        <f t="shared" si="103"/>
        <v>4818.6049937299003</v>
      </c>
      <c r="ER77" s="147">
        <f t="shared" si="104"/>
        <v>-0.66964736365389399</v>
      </c>
      <c r="ES77" t="str">
        <f t="shared" si="105"/>
        <v>No</v>
      </c>
      <c r="ET77">
        <f>COUNTIF(ES$54:ES77,"Yes")</f>
        <v>5</v>
      </c>
      <c r="EU77" cm="1">
        <f t="array" ref="EU77">INDEX($J$2:$J$7,IF(ET77&gt;5,6,ET77+1))</f>
        <v>1</v>
      </c>
      <c r="EV77" s="147">
        <f t="shared" si="106"/>
        <v>0.66964736365389399</v>
      </c>
      <c r="EZ77">
        <v>24</v>
      </c>
      <c r="FA77" s="147">
        <f t="shared" si="154"/>
        <v>38.99450779927043</v>
      </c>
      <c r="FB77" s="147">
        <f t="shared" si="107"/>
        <v>11.562507799270428</v>
      </c>
      <c r="FC77" s="147">
        <f t="shared" si="108"/>
        <v>1511.2437101763855</v>
      </c>
      <c r="FD77" s="147">
        <f t="shared" si="109"/>
        <v>279.24086772289758</v>
      </c>
      <c r="FE77" s="147">
        <f t="shared" si="139"/>
        <v>577.33647465747379</v>
      </c>
      <c r="FF77" s="147">
        <f t="shared" si="140"/>
        <v>1625.2164444557529</v>
      </c>
      <c r="FG77" s="147">
        <f t="shared" si="141"/>
        <v>3211.9972620366648</v>
      </c>
      <c r="FH77" s="147">
        <f t="shared" si="110"/>
        <v>3208.2295891261515</v>
      </c>
      <c r="FI77" s="147">
        <f t="shared" si="111"/>
        <v>-3.7676729105132836</v>
      </c>
      <c r="FJ77" t="str">
        <f t="shared" si="112"/>
        <v>No</v>
      </c>
      <c r="FK77">
        <f>COUNTIF(FJ$54:FJ77,"Yes")</f>
        <v>4</v>
      </c>
      <c r="FL77" cm="1">
        <f t="array" ref="FL77">INDEX($J$2:$J$7,IF(FK77&gt;5,6,FK77+1))</f>
        <v>1.0000617999999999</v>
      </c>
      <c r="FM77" s="147">
        <f t="shared" si="113"/>
        <v>3.7676729105132836</v>
      </c>
    </row>
    <row r="78" spans="3:169" x14ac:dyDescent="0.3">
      <c r="C78">
        <v>25</v>
      </c>
      <c r="D78" s="147">
        <f t="shared" si="155"/>
        <v>53.037513442514893</v>
      </c>
      <c r="E78" s="147">
        <f t="shared" si="42"/>
        <v>25.605513442514891</v>
      </c>
      <c r="F78" s="147">
        <f t="shared" si="43"/>
        <v>2629.9965229016802</v>
      </c>
      <c r="G78" s="147">
        <f t="shared" si="44"/>
        <v>485.95901919588641</v>
      </c>
      <c r="H78" s="147">
        <f t="shared" si="142"/>
        <v>1340.5252203774485</v>
      </c>
      <c r="I78" s="147">
        <f t="shared" si="114"/>
        <v>2245.4360627689207</v>
      </c>
      <c r="J78" s="147">
        <f t="shared" si="115"/>
        <v>7357.2381532942054</v>
      </c>
      <c r="K78" s="147">
        <f t="shared" si="46"/>
        <v>7355.8495212859689</v>
      </c>
      <c r="L78" s="147">
        <f t="shared" si="47"/>
        <v>-1.3886320082365273</v>
      </c>
      <c r="M78" t="str">
        <f t="shared" si="48"/>
        <v>No</v>
      </c>
      <c r="N78">
        <f>COUNTIF(M$54:M78,"Yes")</f>
        <v>4</v>
      </c>
      <c r="O78" cm="1">
        <f t="array" ref="O78">INDEX($J$2:$J$7,IF(N78&gt;5,6,N78+1))</f>
        <v>1.0000617999999999</v>
      </c>
      <c r="P78" s="147">
        <f t="shared" si="49"/>
        <v>1.3886320082365273</v>
      </c>
      <c r="T78">
        <v>25</v>
      </c>
      <c r="U78" s="147">
        <f t="shared" si="146"/>
        <v>53.037513442514893</v>
      </c>
      <c r="V78" s="147">
        <f t="shared" si="50"/>
        <v>25.605513442514891</v>
      </c>
      <c r="W78" s="147">
        <f t="shared" si="51"/>
        <v>2629.9965229016802</v>
      </c>
      <c r="X78" s="147">
        <f t="shared" si="52"/>
        <v>485.95901919588641</v>
      </c>
      <c r="Y78" s="147">
        <f t="shared" si="53"/>
        <v>1340.5252203774485</v>
      </c>
      <c r="Z78" s="147">
        <f t="shared" si="116"/>
        <v>2245.4360627689189</v>
      </c>
      <c r="AA78" s="147">
        <f t="shared" si="117"/>
        <v>7357.2381532942036</v>
      </c>
      <c r="AB78" s="147">
        <f t="shared" si="54"/>
        <v>7355.8495212859689</v>
      </c>
      <c r="AC78" s="147">
        <f t="shared" si="55"/>
        <v>-1.3886320082347083</v>
      </c>
      <c r="AD78" t="str">
        <f t="shared" si="56"/>
        <v>No</v>
      </c>
      <c r="AE78">
        <f>COUNTIF(AD$54:AD78,"Yes")</f>
        <v>4</v>
      </c>
      <c r="AF78" cm="1">
        <f t="array" ref="AF78">INDEX($J$2:$J$7,IF(AE78&gt;5,6,AE78+1))</f>
        <v>1.0000617999999999</v>
      </c>
      <c r="AG78" s="147">
        <f t="shared" si="57"/>
        <v>1.3886320082347083</v>
      </c>
      <c r="AK78">
        <v>25</v>
      </c>
      <c r="AL78" s="147">
        <f t="shared" si="147"/>
        <v>52.894435495259998</v>
      </c>
      <c r="AM78" s="147">
        <f t="shared" si="58"/>
        <v>25.462435495259996</v>
      </c>
      <c r="AN78" s="147">
        <f t="shared" si="59"/>
        <v>2617.0452212919658</v>
      </c>
      <c r="AO78" s="147">
        <f t="shared" si="60"/>
        <v>483.56593548921177</v>
      </c>
      <c r="AP78" s="147">
        <f t="shared" si="118"/>
        <v>1386.8206739099314</v>
      </c>
      <c r="AQ78" s="147">
        <f>AJ$38+AN78-AJ$33-AJ$34-AJ$37-AP78</f>
        <v>2186.1893076267224</v>
      </c>
      <c r="AR78" s="147">
        <f t="shared" si="144"/>
        <v>7295.598314445333</v>
      </c>
      <c r="AS78" s="147">
        <f t="shared" si="61"/>
        <v>7304.4985932627687</v>
      </c>
      <c r="AT78" s="147">
        <f t="shared" si="62"/>
        <v>8.9002788174357192</v>
      </c>
      <c r="AU78" t="str">
        <f t="shared" si="63"/>
        <v>Yes</v>
      </c>
      <c r="AV78">
        <f>COUNTIF(AU$54:AU78,"Yes")</f>
        <v>4</v>
      </c>
      <c r="AW78" cm="1">
        <f t="array" ref="AW78">INDEX($J$2:$J$7,IF(AV78&gt;5,6,AV78+1))</f>
        <v>1.0000617999999999</v>
      </c>
      <c r="AX78" s="147">
        <f t="shared" si="64"/>
        <v>8.9002788174357192</v>
      </c>
      <c r="BB78">
        <v>25</v>
      </c>
      <c r="BC78" s="147">
        <f t="shared" si="148"/>
        <v>46.608064537922559</v>
      </c>
      <c r="BD78" s="147">
        <f t="shared" si="65"/>
        <v>19.176064537922556</v>
      </c>
      <c r="BE78" s="147">
        <f t="shared" si="66"/>
        <v>2079.5660740642743</v>
      </c>
      <c r="BF78" s="147">
        <f t="shared" si="67"/>
        <v>384.25293756294997</v>
      </c>
      <c r="BG78" s="147">
        <f t="shared" si="121"/>
        <v>977.48116072668199</v>
      </c>
      <c r="BH78" s="147">
        <f t="shared" si="122"/>
        <v>2098.6264555239309</v>
      </c>
      <c r="BI78" s="147">
        <f t="shared" si="123"/>
        <v>5236.3535791254999</v>
      </c>
      <c r="BJ78" s="147">
        <f t="shared" si="68"/>
        <v>5233.0995942836962</v>
      </c>
      <c r="BK78" s="147">
        <f t="shared" si="69"/>
        <v>-3.2539848418036854</v>
      </c>
      <c r="BL78" t="str">
        <f t="shared" si="70"/>
        <v>No</v>
      </c>
      <c r="BM78">
        <f>COUNTIF(BL$54:BL78,"Yes")</f>
        <v>4</v>
      </c>
      <c r="BN78" cm="1">
        <f t="array" ref="BN78">INDEX($J$2:$J$7,IF(BM78&gt;5,6,BM78+1))</f>
        <v>1.0000617999999999</v>
      </c>
      <c r="BO78" s="147">
        <f t="shared" si="71"/>
        <v>3.2539848418036854</v>
      </c>
      <c r="BS78">
        <v>25</v>
      </c>
      <c r="BT78" s="147">
        <f t="shared" si="149"/>
        <v>46.608064537922559</v>
      </c>
      <c r="BU78" s="147">
        <f t="shared" si="72"/>
        <v>19.176064537922556</v>
      </c>
      <c r="BV78" s="147">
        <f t="shared" si="73"/>
        <v>2079.5660740642743</v>
      </c>
      <c r="BW78" s="147">
        <f t="shared" si="74"/>
        <v>384.25293756294997</v>
      </c>
      <c r="BX78" s="147">
        <f t="shared" si="124"/>
        <v>977.48116072668199</v>
      </c>
      <c r="BY78" s="147">
        <f t="shared" si="125"/>
        <v>2098.6264555239309</v>
      </c>
      <c r="BZ78" s="147">
        <f t="shared" si="126"/>
        <v>5236.3535791254999</v>
      </c>
      <c r="CA78" s="147">
        <f t="shared" si="75"/>
        <v>5233.0995942836962</v>
      </c>
      <c r="CB78" s="147">
        <f t="shared" si="76"/>
        <v>-3.2539848418036854</v>
      </c>
      <c r="CC78" t="str">
        <f t="shared" si="77"/>
        <v>No</v>
      </c>
      <c r="CD78">
        <f>COUNTIF(CC$54:CC78,"Yes")</f>
        <v>4</v>
      </c>
      <c r="CE78" cm="1">
        <f t="array" ref="CE78">INDEX($J$2:$J$7,IF(CD78&gt;5,6,CD78+1))</f>
        <v>1.0000617999999999</v>
      </c>
      <c r="CF78" s="147">
        <f t="shared" si="78"/>
        <v>3.2539848418036854</v>
      </c>
      <c r="CJ78">
        <v>25</v>
      </c>
      <c r="CK78" s="147">
        <f t="shared" si="150"/>
        <v>46.608064537922559</v>
      </c>
      <c r="CL78" s="147">
        <f t="shared" si="79"/>
        <v>19.176064537922556</v>
      </c>
      <c r="CM78" s="147">
        <f t="shared" si="80"/>
        <v>2079.5660740642743</v>
      </c>
      <c r="CN78" s="147">
        <f t="shared" si="81"/>
        <v>384.25293756294997</v>
      </c>
      <c r="CO78" s="147">
        <f t="shared" si="127"/>
        <v>977.48116072668199</v>
      </c>
      <c r="CP78" s="147">
        <f t="shared" si="128"/>
        <v>2098.6264555239309</v>
      </c>
      <c r="CQ78" s="147">
        <f t="shared" si="129"/>
        <v>5236.3535791254999</v>
      </c>
      <c r="CR78" s="147">
        <f t="shared" si="82"/>
        <v>5233.0995942836962</v>
      </c>
      <c r="CS78" s="147">
        <f t="shared" si="83"/>
        <v>-3.2539848418036854</v>
      </c>
      <c r="CT78" t="str">
        <f t="shared" si="84"/>
        <v>No</v>
      </c>
      <c r="CU78">
        <f>COUNTIF(CT$54:CT78,"Yes")</f>
        <v>4</v>
      </c>
      <c r="CV78" cm="1">
        <f t="array" ref="CV78">INDEX($J$2:$J$7,IF(CU78&gt;5,6,CU78+1))</f>
        <v>1.0000617999999999</v>
      </c>
      <c r="CW78" s="147">
        <f t="shared" si="85"/>
        <v>3.2539848418036854</v>
      </c>
      <c r="DA78">
        <v>25</v>
      </c>
      <c r="DB78" s="147">
        <f t="shared" si="151"/>
        <v>45.199782303209716</v>
      </c>
      <c r="DC78" s="147">
        <f t="shared" si="86"/>
        <v>17.767782303209714</v>
      </c>
      <c r="DD78" s="147">
        <f t="shared" si="87"/>
        <v>1967.6200862079829</v>
      </c>
      <c r="DE78" s="147">
        <f t="shared" si="88"/>
        <v>363.56805756868397</v>
      </c>
      <c r="DF78" s="147">
        <f t="shared" si="130"/>
        <v>895.57081023824367</v>
      </c>
      <c r="DG78" s="147">
        <f t="shared" si="131"/>
        <v>2076.7061745444075</v>
      </c>
      <c r="DH78" s="147">
        <f t="shared" si="132"/>
        <v>4819.2746410935542</v>
      </c>
      <c r="DI78" s="147">
        <f t="shared" si="89"/>
        <v>4818.6049937299003</v>
      </c>
      <c r="DJ78" s="147">
        <f t="shared" si="90"/>
        <v>-0.66964736365389399</v>
      </c>
      <c r="DK78" t="str">
        <f t="shared" si="91"/>
        <v>No</v>
      </c>
      <c r="DL78">
        <f>COUNTIF(DK$54:DK78,"Yes")</f>
        <v>5</v>
      </c>
      <c r="DM78" cm="1">
        <f t="array" ref="DM78">INDEX($J$2:$J$7,IF(DL78&gt;5,6,DL78+1))</f>
        <v>1</v>
      </c>
      <c r="DN78" s="147">
        <f t="shared" si="92"/>
        <v>0.66964736365389399</v>
      </c>
      <c r="DR78">
        <v>25</v>
      </c>
      <c r="DS78" s="147">
        <f t="shared" si="152"/>
        <v>45.199782303209716</v>
      </c>
      <c r="DT78" s="147">
        <f t="shared" si="93"/>
        <v>17.767782303209714</v>
      </c>
      <c r="DU78" s="147">
        <f t="shared" si="94"/>
        <v>1967.6200862079829</v>
      </c>
      <c r="DV78" s="147">
        <f t="shared" si="95"/>
        <v>363.56805756868397</v>
      </c>
      <c r="DW78" s="147">
        <f t="shared" si="133"/>
        <v>895.57081023824367</v>
      </c>
      <c r="DX78" s="147">
        <f t="shared" si="134"/>
        <v>2076.7061745444075</v>
      </c>
      <c r="DY78" s="147">
        <f t="shared" si="135"/>
        <v>4819.2746410935542</v>
      </c>
      <c r="DZ78" s="147">
        <f t="shared" si="96"/>
        <v>4818.6049937299003</v>
      </c>
      <c r="EA78" s="147">
        <f t="shared" si="97"/>
        <v>-0.66964736365389399</v>
      </c>
      <c r="EB78" t="str">
        <f t="shared" si="98"/>
        <v>No</v>
      </c>
      <c r="EC78">
        <f>COUNTIF(EB$54:EB78,"Yes")</f>
        <v>5</v>
      </c>
      <c r="ED78" cm="1">
        <f t="array" ref="ED78">INDEX($J$2:$J$7,IF(EC78&gt;5,6,EC78+1))</f>
        <v>1</v>
      </c>
      <c r="EE78" s="147">
        <f t="shared" si="99"/>
        <v>0.66964736365389399</v>
      </c>
      <c r="EI78">
        <v>25</v>
      </c>
      <c r="EJ78" s="147">
        <f t="shared" si="153"/>
        <v>45.199782303209716</v>
      </c>
      <c r="EK78" s="147">
        <f t="shared" si="100"/>
        <v>17.767782303209714</v>
      </c>
      <c r="EL78" s="147">
        <f t="shared" si="101"/>
        <v>1967.6200862079829</v>
      </c>
      <c r="EM78" s="147">
        <f t="shared" si="102"/>
        <v>363.56805756868397</v>
      </c>
      <c r="EN78" s="147">
        <f t="shared" si="136"/>
        <v>895.57081023824367</v>
      </c>
      <c r="EO78" s="147">
        <f t="shared" si="137"/>
        <v>2076.7061745444075</v>
      </c>
      <c r="EP78" s="147">
        <f t="shared" si="138"/>
        <v>4819.2746410935542</v>
      </c>
      <c r="EQ78" s="147">
        <f t="shared" si="103"/>
        <v>4818.6049937299003</v>
      </c>
      <c r="ER78" s="147">
        <f t="shared" si="104"/>
        <v>-0.66964736365389399</v>
      </c>
      <c r="ES78" t="str">
        <f t="shared" si="105"/>
        <v>No</v>
      </c>
      <c r="ET78">
        <f>COUNTIF(ES$54:ES78,"Yes")</f>
        <v>5</v>
      </c>
      <c r="EU78" cm="1">
        <f t="array" ref="EU78">INDEX($J$2:$J$7,IF(ET78&gt;5,6,ET78+1))</f>
        <v>1</v>
      </c>
      <c r="EV78" s="147">
        <f t="shared" si="106"/>
        <v>0.66964736365389399</v>
      </c>
      <c r="EZ78">
        <v>25</v>
      </c>
      <c r="FA78" s="147">
        <f t="shared" si="154"/>
        <v>38.996917659852421</v>
      </c>
      <c r="FB78" s="147">
        <f t="shared" si="107"/>
        <v>11.564917659852419</v>
      </c>
      <c r="FC78" s="147">
        <f t="shared" si="108"/>
        <v>1511.4092756787097</v>
      </c>
      <c r="FD78" s="147">
        <f t="shared" si="109"/>
        <v>279.27146017745849</v>
      </c>
      <c r="FE78" s="147">
        <f t="shared" si="139"/>
        <v>577.44655763720255</v>
      </c>
      <c r="FF78" s="147">
        <f t="shared" si="140"/>
        <v>1625.2719269783483</v>
      </c>
      <c r="FG78" s="147">
        <f t="shared" si="141"/>
        <v>3212.0833370138212</v>
      </c>
      <c r="FH78" s="147">
        <f t="shared" si="110"/>
        <v>3208.7866469392161</v>
      </c>
      <c r="FI78" s="147">
        <f t="shared" si="111"/>
        <v>-3.2966900746050669</v>
      </c>
      <c r="FJ78" t="str">
        <f t="shared" si="112"/>
        <v>No</v>
      </c>
      <c r="FK78">
        <f>COUNTIF(FJ$54:FJ78,"Yes")</f>
        <v>4</v>
      </c>
      <c r="FL78" cm="1">
        <f t="array" ref="FL78">INDEX($J$2:$J$7,IF(FK78&gt;5,6,FK78+1))</f>
        <v>1.0000617999999999</v>
      </c>
      <c r="FM78" s="147">
        <f t="shared" si="113"/>
        <v>3.2966900746050669</v>
      </c>
    </row>
    <row r="79" spans="3:169" x14ac:dyDescent="0.3">
      <c r="C79">
        <v>26</v>
      </c>
      <c r="D79" s="147">
        <f t="shared" si="155"/>
        <v>53.040791160845636</v>
      </c>
      <c r="E79" s="147">
        <f t="shared" si="42"/>
        <v>25.608791160845634</v>
      </c>
      <c r="F79" s="147">
        <f t="shared" si="43"/>
        <v>2630.2935939070858</v>
      </c>
      <c r="G79" s="147">
        <f t="shared" si="44"/>
        <v>486.01391065036597</v>
      </c>
      <c r="H79" s="147">
        <f t="shared" si="142"/>
        <v>1340.7487136681357</v>
      </c>
      <c r="I79" s="147">
        <f t="shared" si="114"/>
        <v>2245.5096404836386</v>
      </c>
      <c r="J79" s="147">
        <f t="shared" si="115"/>
        <v>7357.3666224634035</v>
      </c>
      <c r="K79" s="147">
        <f t="shared" si="46"/>
        <v>7357.0280934313305</v>
      </c>
      <c r="L79" s="147">
        <f t="shared" si="47"/>
        <v>-0.33852903207298368</v>
      </c>
      <c r="M79" t="str">
        <f t="shared" si="48"/>
        <v>No</v>
      </c>
      <c r="N79">
        <f>COUNTIF(M$54:M79,"Yes")</f>
        <v>4</v>
      </c>
      <c r="O79" cm="1">
        <f t="array" ref="O79">INDEX($J$2:$J$7,IF(N79&gt;5,6,N79+1))</f>
        <v>1.0000617999999999</v>
      </c>
      <c r="P79" s="147">
        <f t="shared" si="49"/>
        <v>0.33852903207298368</v>
      </c>
      <c r="T79">
        <v>26</v>
      </c>
      <c r="U79" s="147">
        <f t="shared" si="146"/>
        <v>53.040791160845636</v>
      </c>
      <c r="V79" s="147">
        <f t="shared" si="50"/>
        <v>25.608791160845634</v>
      </c>
      <c r="W79" s="147">
        <f t="shared" si="51"/>
        <v>2630.2935939070858</v>
      </c>
      <c r="X79" s="147">
        <f t="shared" si="52"/>
        <v>486.01391065036597</v>
      </c>
      <c r="Y79" s="147">
        <f t="shared" si="53"/>
        <v>1340.7487136681357</v>
      </c>
      <c r="Z79" s="147">
        <f t="shared" si="116"/>
        <v>2245.5096404836368</v>
      </c>
      <c r="AA79" s="147">
        <f t="shared" si="117"/>
        <v>7357.3666224634017</v>
      </c>
      <c r="AB79" s="147">
        <f t="shared" si="54"/>
        <v>7357.0280934313305</v>
      </c>
      <c r="AC79" s="147">
        <f t="shared" si="55"/>
        <v>-0.33852903207116469</v>
      </c>
      <c r="AD79" t="str">
        <f t="shared" si="56"/>
        <v>No</v>
      </c>
      <c r="AE79">
        <f>COUNTIF(AD$54:AD79,"Yes")</f>
        <v>4</v>
      </c>
      <c r="AF79" cm="1">
        <f t="array" ref="AF79">INDEX($J$2:$J$7,IF(AE79&gt;5,6,AE79+1))</f>
        <v>1.0000617999999999</v>
      </c>
      <c r="AG79" s="147">
        <f t="shared" si="57"/>
        <v>0.33852903207116469</v>
      </c>
      <c r="AK79">
        <v>26</v>
      </c>
      <c r="AL79" s="147">
        <f t="shared" si="147"/>
        <v>52.865033780497249</v>
      </c>
      <c r="AM79" s="147">
        <f t="shared" si="58"/>
        <v>25.433033780497247</v>
      </c>
      <c r="AN79" s="147">
        <f t="shared" si="59"/>
        <v>2614.3877611051043</v>
      </c>
      <c r="AO79" s="147">
        <f t="shared" si="60"/>
        <v>483.0749018567663</v>
      </c>
      <c r="AP79" s="147">
        <f t="shared" si="118"/>
        <v>1384.7399575429861</v>
      </c>
      <c r="AQ79" s="147">
        <f t="shared" ref="AQ79:AQ103" si="156">AJ$38+AN79-AJ$33-AJ$34-AJ$37-AP79</f>
        <v>2185.6125638068061</v>
      </c>
      <c r="AR79" s="147">
        <f t="shared" si="144"/>
        <v>7294.5305369929702</v>
      </c>
      <c r="AS79" s="147">
        <f t="shared" si="61"/>
        <v>7293.9694514114663</v>
      </c>
      <c r="AT79" s="147">
        <f t="shared" si="62"/>
        <v>-0.56108558150390309</v>
      </c>
      <c r="AU79" t="str">
        <f t="shared" si="63"/>
        <v>No</v>
      </c>
      <c r="AV79">
        <f>COUNTIF(AU$54:AU79,"Yes")</f>
        <v>4</v>
      </c>
      <c r="AW79" cm="1">
        <f t="array" ref="AW79">INDEX($J$2:$J$7,IF(AV79&gt;5,6,AV79+1))</f>
        <v>1.0000617999999999</v>
      </c>
      <c r="AX79" s="147">
        <f t="shared" si="64"/>
        <v>0.56108558150390309</v>
      </c>
      <c r="BB79">
        <v>26</v>
      </c>
      <c r="BC79" s="147">
        <f t="shared" si="148"/>
        <v>46.610944916310999</v>
      </c>
      <c r="BD79" s="147">
        <f t="shared" si="65"/>
        <v>19.178944916310996</v>
      </c>
      <c r="BE79" s="147">
        <f t="shared" si="66"/>
        <v>2079.7982123700831</v>
      </c>
      <c r="BF79" s="147">
        <f t="shared" si="67"/>
        <v>384.29583104300832</v>
      </c>
      <c r="BG79" s="147">
        <f t="shared" si="121"/>
        <v>977.65236547945381</v>
      </c>
      <c r="BH79" s="147">
        <f t="shared" si="122"/>
        <v>2098.687389076968</v>
      </c>
      <c r="BI79" s="147">
        <f t="shared" si="123"/>
        <v>5236.4574061585954</v>
      </c>
      <c r="BJ79" s="147">
        <f t="shared" si="68"/>
        <v>5233.9659493315003</v>
      </c>
      <c r="BK79" s="147">
        <f t="shared" si="69"/>
        <v>-2.4914568270951349</v>
      </c>
      <c r="BL79" t="str">
        <f t="shared" si="70"/>
        <v>No</v>
      </c>
      <c r="BM79">
        <f>COUNTIF(BL$54:BL79,"Yes")</f>
        <v>4</v>
      </c>
      <c r="BN79" cm="1">
        <f t="array" ref="BN79">INDEX($J$2:$J$7,IF(BM79&gt;5,6,BM79+1))</f>
        <v>1.0000617999999999</v>
      </c>
      <c r="BO79" s="147">
        <f t="shared" si="71"/>
        <v>2.4914568270951349</v>
      </c>
      <c r="BS79">
        <v>26</v>
      </c>
      <c r="BT79" s="147">
        <f t="shared" si="149"/>
        <v>46.610944916310999</v>
      </c>
      <c r="BU79" s="147">
        <f t="shared" si="72"/>
        <v>19.178944916310996</v>
      </c>
      <c r="BV79" s="147">
        <f t="shared" si="73"/>
        <v>2079.7982123700831</v>
      </c>
      <c r="BW79" s="147">
        <f t="shared" si="74"/>
        <v>384.29583104300832</v>
      </c>
      <c r="BX79" s="147">
        <f t="shared" si="124"/>
        <v>977.65236547945381</v>
      </c>
      <c r="BY79" s="147">
        <f t="shared" si="125"/>
        <v>2098.687389076968</v>
      </c>
      <c r="BZ79" s="147">
        <f t="shared" si="126"/>
        <v>5236.4574061585954</v>
      </c>
      <c r="CA79" s="147">
        <f t="shared" si="75"/>
        <v>5233.9659493315003</v>
      </c>
      <c r="CB79" s="147">
        <f t="shared" si="76"/>
        <v>-2.4914568270951349</v>
      </c>
      <c r="CC79" t="str">
        <f t="shared" si="77"/>
        <v>No</v>
      </c>
      <c r="CD79">
        <f>COUNTIF(CC$54:CC79,"Yes")</f>
        <v>4</v>
      </c>
      <c r="CE79" cm="1">
        <f t="array" ref="CE79">INDEX($J$2:$J$7,IF(CD79&gt;5,6,CD79+1))</f>
        <v>1.0000617999999999</v>
      </c>
      <c r="CF79" s="147">
        <f t="shared" si="78"/>
        <v>2.4914568270951349</v>
      </c>
      <c r="CJ79">
        <v>26</v>
      </c>
      <c r="CK79" s="147">
        <f t="shared" si="150"/>
        <v>46.610944916310999</v>
      </c>
      <c r="CL79" s="147">
        <f t="shared" si="79"/>
        <v>19.178944916310996</v>
      </c>
      <c r="CM79" s="147">
        <f t="shared" si="80"/>
        <v>2079.7982123700831</v>
      </c>
      <c r="CN79" s="147">
        <f t="shared" si="81"/>
        <v>384.29583104300832</v>
      </c>
      <c r="CO79" s="147">
        <f t="shared" si="127"/>
        <v>977.65236547945381</v>
      </c>
      <c r="CP79" s="147">
        <f t="shared" si="128"/>
        <v>2098.687389076968</v>
      </c>
      <c r="CQ79" s="147">
        <f t="shared" si="129"/>
        <v>5236.4574061585954</v>
      </c>
      <c r="CR79" s="147">
        <f t="shared" si="82"/>
        <v>5233.9659493315003</v>
      </c>
      <c r="CS79" s="147">
        <f t="shared" si="83"/>
        <v>-2.4914568270951349</v>
      </c>
      <c r="CT79" t="str">
        <f t="shared" si="84"/>
        <v>No</v>
      </c>
      <c r="CU79">
        <f>COUNTIF(CT$54:CT79,"Yes")</f>
        <v>4</v>
      </c>
      <c r="CV79" cm="1">
        <f t="array" ref="CV79">INDEX($J$2:$J$7,IF(CU79&gt;5,6,CU79+1))</f>
        <v>1.0000617999999999</v>
      </c>
      <c r="CW79" s="147">
        <f t="shared" si="85"/>
        <v>2.4914568270951349</v>
      </c>
      <c r="DA79">
        <v>26</v>
      </c>
      <c r="DB79" s="147">
        <f t="shared" si="151"/>
        <v>45.199782303209716</v>
      </c>
      <c r="DC79" s="147">
        <f t="shared" si="86"/>
        <v>17.767782303209714</v>
      </c>
      <c r="DD79" s="147">
        <f t="shared" si="87"/>
        <v>1967.6200862079829</v>
      </c>
      <c r="DE79" s="147">
        <f t="shared" si="88"/>
        <v>363.56805756868397</v>
      </c>
      <c r="DF79" s="147">
        <f t="shared" si="130"/>
        <v>895.57081023824367</v>
      </c>
      <c r="DG79" s="147">
        <f t="shared" si="131"/>
        <v>2076.7061745444075</v>
      </c>
      <c r="DH79" s="147">
        <f t="shared" si="132"/>
        <v>4819.2746410935542</v>
      </c>
      <c r="DI79" s="147">
        <f t="shared" si="89"/>
        <v>4818.6049937299003</v>
      </c>
      <c r="DJ79" s="147">
        <f t="shared" si="90"/>
        <v>-0.66964736365389399</v>
      </c>
      <c r="DK79" t="str">
        <f t="shared" si="91"/>
        <v>No</v>
      </c>
      <c r="DL79">
        <f>COUNTIF(DK$54:DK79,"Yes")</f>
        <v>5</v>
      </c>
      <c r="DM79" cm="1">
        <f t="array" ref="DM79">INDEX($J$2:$J$7,IF(DL79&gt;5,6,DL79+1))</f>
        <v>1</v>
      </c>
      <c r="DN79" s="147">
        <f t="shared" si="92"/>
        <v>0.66964736365389399</v>
      </c>
      <c r="DR79">
        <v>26</v>
      </c>
      <c r="DS79" s="147">
        <f t="shared" si="152"/>
        <v>45.199782303209716</v>
      </c>
      <c r="DT79" s="147">
        <f t="shared" si="93"/>
        <v>17.767782303209714</v>
      </c>
      <c r="DU79" s="147">
        <f t="shared" si="94"/>
        <v>1967.6200862079829</v>
      </c>
      <c r="DV79" s="147">
        <f t="shared" si="95"/>
        <v>363.56805756868397</v>
      </c>
      <c r="DW79" s="147">
        <f t="shared" si="133"/>
        <v>895.57081023824367</v>
      </c>
      <c r="DX79" s="147">
        <f t="shared" si="134"/>
        <v>2076.7061745444075</v>
      </c>
      <c r="DY79" s="147">
        <f t="shared" si="135"/>
        <v>4819.2746410935542</v>
      </c>
      <c r="DZ79" s="147">
        <f t="shared" si="96"/>
        <v>4818.6049937299003</v>
      </c>
      <c r="EA79" s="147">
        <f t="shared" si="97"/>
        <v>-0.66964736365389399</v>
      </c>
      <c r="EB79" t="str">
        <f t="shared" si="98"/>
        <v>No</v>
      </c>
      <c r="EC79">
        <f>COUNTIF(EB$54:EB79,"Yes")</f>
        <v>5</v>
      </c>
      <c r="ED79" cm="1">
        <f t="array" ref="ED79">INDEX($J$2:$J$7,IF(EC79&gt;5,6,EC79+1))</f>
        <v>1</v>
      </c>
      <c r="EE79" s="147">
        <f t="shared" si="99"/>
        <v>0.66964736365389399</v>
      </c>
      <c r="EI79">
        <v>26</v>
      </c>
      <c r="EJ79" s="147">
        <f t="shared" si="153"/>
        <v>45.199782303209716</v>
      </c>
      <c r="EK79" s="147">
        <f t="shared" si="100"/>
        <v>17.767782303209714</v>
      </c>
      <c r="EL79" s="147">
        <f t="shared" si="101"/>
        <v>1967.6200862079829</v>
      </c>
      <c r="EM79" s="147">
        <f t="shared" si="102"/>
        <v>363.56805756868397</v>
      </c>
      <c r="EN79" s="147">
        <f t="shared" si="136"/>
        <v>895.57081023824367</v>
      </c>
      <c r="EO79" s="147">
        <f t="shared" si="137"/>
        <v>2076.7061745444075</v>
      </c>
      <c r="EP79" s="147">
        <f t="shared" si="138"/>
        <v>4819.2746410935542</v>
      </c>
      <c r="EQ79" s="147">
        <f t="shared" si="103"/>
        <v>4818.6049937299003</v>
      </c>
      <c r="ER79" s="147">
        <f t="shared" si="104"/>
        <v>-0.66964736365389399</v>
      </c>
      <c r="ES79" t="str">
        <f t="shared" si="105"/>
        <v>No</v>
      </c>
      <c r="ET79">
        <f>COUNTIF(ES$54:ES79,"Yes")</f>
        <v>5</v>
      </c>
      <c r="EU79" cm="1">
        <f t="array" ref="EU79">INDEX($J$2:$J$7,IF(ET79&gt;5,6,ET79+1))</f>
        <v>1</v>
      </c>
      <c r="EV79" s="147">
        <f t="shared" si="106"/>
        <v>0.66964736365389399</v>
      </c>
      <c r="EZ79">
        <v>26</v>
      </c>
      <c r="FA79" s="147">
        <f t="shared" si="154"/>
        <v>38.999327669363794</v>
      </c>
      <c r="FB79" s="147">
        <f t="shared" si="107"/>
        <v>11.567327669363792</v>
      </c>
      <c r="FC79" s="147">
        <f t="shared" si="108"/>
        <v>1511.5748604826558</v>
      </c>
      <c r="FD79" s="147">
        <f t="shared" si="109"/>
        <v>279.30205619848692</v>
      </c>
      <c r="FE79" s="147">
        <f t="shared" si="139"/>
        <v>577.55665791500564</v>
      </c>
      <c r="FF79" s="147">
        <f t="shared" si="140"/>
        <v>1625.3274115044912</v>
      </c>
      <c r="FG79" s="147">
        <f t="shared" si="141"/>
        <v>3212.1694175609919</v>
      </c>
      <c r="FH79" s="147">
        <f t="shared" si="110"/>
        <v>3209.3437922864973</v>
      </c>
      <c r="FI79" s="147">
        <f t="shared" si="111"/>
        <v>-2.8256252744945414</v>
      </c>
      <c r="FJ79" t="str">
        <f t="shared" si="112"/>
        <v>No</v>
      </c>
      <c r="FK79">
        <f>COUNTIF(FJ$54:FJ79,"Yes")</f>
        <v>4</v>
      </c>
      <c r="FL79" cm="1">
        <f t="array" ref="FL79">INDEX($J$2:$J$7,IF(FK79&gt;5,6,FK79+1))</f>
        <v>1.0000617999999999</v>
      </c>
      <c r="FM79" s="147">
        <f t="shared" si="113"/>
        <v>2.8256252744945414</v>
      </c>
    </row>
    <row r="80" spans="3:169" x14ac:dyDescent="0.3">
      <c r="C80">
        <v>27</v>
      </c>
      <c r="D80" s="147">
        <f t="shared" si="155"/>
        <v>53.044069081739373</v>
      </c>
      <c r="E80" s="147">
        <f t="shared" si="42"/>
        <v>25.612069081739371</v>
      </c>
      <c r="F80" s="147">
        <f t="shared" si="43"/>
        <v>2630.590700049901</v>
      </c>
      <c r="G80" s="147">
        <f t="shared" si="44"/>
        <v>486.06880859737936</v>
      </c>
      <c r="H80" s="147">
        <f t="shared" si="142"/>
        <v>1340.9722394013606</v>
      </c>
      <c r="I80" s="147">
        <f t="shared" si="114"/>
        <v>2245.5832208932297</v>
      </c>
      <c r="J80" s="147">
        <f t="shared" si="115"/>
        <v>7357.4951008200078</v>
      </c>
      <c r="K80" s="147">
        <f t="shared" si="46"/>
        <v>7358.2068366595513</v>
      </c>
      <c r="L80" s="147">
        <f t="shared" si="47"/>
        <v>0.71173583954350761</v>
      </c>
      <c r="M80" t="str">
        <f t="shared" si="48"/>
        <v>Yes</v>
      </c>
      <c r="N80">
        <f>COUNTIF(M$54:M80,"Yes")</f>
        <v>5</v>
      </c>
      <c r="O80" cm="1">
        <f t="array" ref="O80">INDEX($J$2:$J$7,IF(N80&gt;5,6,N80+1))</f>
        <v>1</v>
      </c>
      <c r="P80" s="147">
        <f t="shared" si="49"/>
        <v>0.71173583954350761</v>
      </c>
      <c r="T80">
        <v>27</v>
      </c>
      <c r="U80" s="147">
        <f t="shared" si="146"/>
        <v>53.044069081739373</v>
      </c>
      <c r="V80" s="147">
        <f t="shared" si="50"/>
        <v>25.612069081739371</v>
      </c>
      <c r="W80" s="147">
        <f t="shared" si="51"/>
        <v>2630.590700049901</v>
      </c>
      <c r="X80" s="147">
        <f t="shared" si="52"/>
        <v>486.06880859737936</v>
      </c>
      <c r="Y80" s="147">
        <f t="shared" si="53"/>
        <v>1340.9722394013606</v>
      </c>
      <c r="Z80" s="147">
        <f t="shared" si="116"/>
        <v>2245.5832208932279</v>
      </c>
      <c r="AA80" s="147">
        <f t="shared" si="117"/>
        <v>7357.495100820006</v>
      </c>
      <c r="AB80" s="147">
        <f t="shared" si="54"/>
        <v>7358.2068366595513</v>
      </c>
      <c r="AC80" s="147">
        <f t="shared" si="55"/>
        <v>0.7117358395453266</v>
      </c>
      <c r="AD80" t="str">
        <f t="shared" si="56"/>
        <v>Yes</v>
      </c>
      <c r="AE80">
        <f>COUNTIF(AD$54:AD80,"Yes")</f>
        <v>5</v>
      </c>
      <c r="AF80" cm="1">
        <f t="array" ref="AF80">INDEX($J$2:$J$7,IF(AE80&gt;5,6,AE80+1))</f>
        <v>1</v>
      </c>
      <c r="AG80" s="147">
        <f t="shared" si="57"/>
        <v>0.7117358395453266</v>
      </c>
      <c r="AK80">
        <v>27</v>
      </c>
      <c r="AL80" s="147">
        <f t="shared" si="147"/>
        <v>52.868300839584876</v>
      </c>
      <c r="AM80" s="147">
        <f t="shared" si="58"/>
        <v>25.436300839584874</v>
      </c>
      <c r="AN80" s="147">
        <f t="shared" si="59"/>
        <v>2614.6829860400248</v>
      </c>
      <c r="AO80" s="147">
        <f t="shared" si="60"/>
        <v>483.12945220258121</v>
      </c>
      <c r="AP80" s="147">
        <f t="shared" si="118"/>
        <v>1384.9710853944098</v>
      </c>
      <c r="AQ80" s="147">
        <f t="shared" si="156"/>
        <v>2185.6766608903026</v>
      </c>
      <c r="AR80" s="147">
        <f t="shared" si="144"/>
        <v>7294.6491844222828</v>
      </c>
      <c r="AS80" s="147">
        <f t="shared" si="61"/>
        <v>7295.1390379885152</v>
      </c>
      <c r="AT80" s="147">
        <f t="shared" si="62"/>
        <v>0.48985356623234111</v>
      </c>
      <c r="AU80" t="str">
        <f t="shared" si="63"/>
        <v>Yes</v>
      </c>
      <c r="AV80">
        <f>COUNTIF(AU$54:AU80,"Yes")</f>
        <v>5</v>
      </c>
      <c r="AW80" cm="1">
        <f t="array" ref="AW80">INDEX($J$2:$J$7,IF(AV80&gt;5,6,AV80+1))</f>
        <v>1</v>
      </c>
      <c r="AX80" s="147">
        <f t="shared" si="64"/>
        <v>0.48985356623234111</v>
      </c>
      <c r="BB80">
        <v>27</v>
      </c>
      <c r="BC80" s="147">
        <f t="shared" si="148"/>
        <v>46.613825472706822</v>
      </c>
      <c r="BD80" s="147">
        <f t="shared" si="65"/>
        <v>19.181825472706819</v>
      </c>
      <c r="BE80" s="147">
        <f t="shared" si="66"/>
        <v>2080.030377979112</v>
      </c>
      <c r="BF80" s="147">
        <f t="shared" si="67"/>
        <v>384.33872956803378</v>
      </c>
      <c r="BG80" s="147">
        <f t="shared" si="121"/>
        <v>977.82359580591833</v>
      </c>
      <c r="BH80" s="147">
        <f t="shared" si="122"/>
        <v>2098.7483243595325</v>
      </c>
      <c r="BI80" s="147">
        <f t="shared" si="123"/>
        <v>5236.561239966185</v>
      </c>
      <c r="BJ80" s="147">
        <f t="shared" si="68"/>
        <v>5234.8324337910026</v>
      </c>
      <c r="BK80" s="147">
        <f t="shared" si="69"/>
        <v>-1.7288061751823989</v>
      </c>
      <c r="BL80" t="str">
        <f t="shared" si="70"/>
        <v>No</v>
      </c>
      <c r="BM80">
        <f>COUNTIF(BL$54:BL80,"Yes")</f>
        <v>4</v>
      </c>
      <c r="BN80" cm="1">
        <f t="array" ref="BN80">INDEX($J$2:$J$7,IF(BM80&gt;5,6,BM80+1))</f>
        <v>1.0000617999999999</v>
      </c>
      <c r="BO80" s="147">
        <f t="shared" si="71"/>
        <v>1.7288061751823989</v>
      </c>
      <c r="BS80">
        <v>27</v>
      </c>
      <c r="BT80" s="147">
        <f t="shared" si="149"/>
        <v>46.613825472706822</v>
      </c>
      <c r="BU80" s="147">
        <f t="shared" si="72"/>
        <v>19.181825472706819</v>
      </c>
      <c r="BV80" s="147">
        <f t="shared" si="73"/>
        <v>2080.030377979112</v>
      </c>
      <c r="BW80" s="147">
        <f t="shared" si="74"/>
        <v>384.33872956803378</v>
      </c>
      <c r="BX80" s="147">
        <f t="shared" si="124"/>
        <v>977.82359580591833</v>
      </c>
      <c r="BY80" s="147">
        <f t="shared" si="125"/>
        <v>2098.7483243595325</v>
      </c>
      <c r="BZ80" s="147">
        <f t="shared" si="126"/>
        <v>5236.561239966185</v>
      </c>
      <c r="CA80" s="147">
        <f t="shared" si="75"/>
        <v>5234.8324337910026</v>
      </c>
      <c r="CB80" s="147">
        <f t="shared" si="76"/>
        <v>-1.7288061751823989</v>
      </c>
      <c r="CC80" t="str">
        <f t="shared" si="77"/>
        <v>No</v>
      </c>
      <c r="CD80">
        <f>COUNTIF(CC$54:CC80,"Yes")</f>
        <v>4</v>
      </c>
      <c r="CE80" cm="1">
        <f t="array" ref="CE80">INDEX($J$2:$J$7,IF(CD80&gt;5,6,CD80+1))</f>
        <v>1.0000617999999999</v>
      </c>
      <c r="CF80" s="147">
        <f t="shared" si="78"/>
        <v>1.7288061751823989</v>
      </c>
      <c r="CJ80">
        <v>27</v>
      </c>
      <c r="CK80" s="147">
        <f t="shared" si="150"/>
        <v>46.613825472706822</v>
      </c>
      <c r="CL80" s="147">
        <f t="shared" si="79"/>
        <v>19.181825472706819</v>
      </c>
      <c r="CM80" s="147">
        <f t="shared" si="80"/>
        <v>2080.030377979112</v>
      </c>
      <c r="CN80" s="147">
        <f t="shared" si="81"/>
        <v>384.33872956803378</v>
      </c>
      <c r="CO80" s="147">
        <f t="shared" si="127"/>
        <v>977.82359580591833</v>
      </c>
      <c r="CP80" s="147">
        <f t="shared" si="128"/>
        <v>2098.7483243595325</v>
      </c>
      <c r="CQ80" s="147">
        <f t="shared" si="129"/>
        <v>5236.561239966185</v>
      </c>
      <c r="CR80" s="147">
        <f t="shared" si="82"/>
        <v>5234.8324337910026</v>
      </c>
      <c r="CS80" s="147">
        <f t="shared" si="83"/>
        <v>-1.7288061751823989</v>
      </c>
      <c r="CT80" t="str">
        <f t="shared" si="84"/>
        <v>No</v>
      </c>
      <c r="CU80">
        <f>COUNTIF(CT$54:CT80,"Yes")</f>
        <v>4</v>
      </c>
      <c r="CV80" cm="1">
        <f t="array" ref="CV80">INDEX($J$2:$J$7,IF(CU80&gt;5,6,CU80+1))</f>
        <v>1.0000617999999999</v>
      </c>
      <c r="CW80" s="147">
        <f t="shared" si="85"/>
        <v>1.7288061751823989</v>
      </c>
      <c r="DA80">
        <v>27</v>
      </c>
      <c r="DB80" s="147">
        <f t="shared" si="151"/>
        <v>45.199782303209716</v>
      </c>
      <c r="DC80" s="147">
        <f t="shared" si="86"/>
        <v>17.767782303209714</v>
      </c>
      <c r="DD80" s="147">
        <f t="shared" si="87"/>
        <v>1967.6200862079829</v>
      </c>
      <c r="DE80" s="147">
        <f t="shared" si="88"/>
        <v>363.56805756868397</v>
      </c>
      <c r="DF80" s="147">
        <f t="shared" si="130"/>
        <v>895.57081023824367</v>
      </c>
      <c r="DG80" s="147">
        <f t="shared" si="131"/>
        <v>2076.7061745444075</v>
      </c>
      <c r="DH80" s="147">
        <f t="shared" si="132"/>
        <v>4819.2746410935542</v>
      </c>
      <c r="DI80" s="147">
        <f t="shared" si="89"/>
        <v>4818.6049937299003</v>
      </c>
      <c r="DJ80" s="147">
        <f t="shared" si="90"/>
        <v>-0.66964736365389399</v>
      </c>
      <c r="DK80" t="str">
        <f t="shared" si="91"/>
        <v>No</v>
      </c>
      <c r="DL80">
        <f>COUNTIF(DK$54:DK80,"Yes")</f>
        <v>5</v>
      </c>
      <c r="DM80" cm="1">
        <f t="array" ref="DM80">INDEX($J$2:$J$7,IF(DL80&gt;5,6,DL80+1))</f>
        <v>1</v>
      </c>
      <c r="DN80" s="147">
        <f t="shared" si="92"/>
        <v>0.66964736365389399</v>
      </c>
      <c r="DR80">
        <v>27</v>
      </c>
      <c r="DS80" s="147">
        <f t="shared" si="152"/>
        <v>45.199782303209716</v>
      </c>
      <c r="DT80" s="147">
        <f t="shared" si="93"/>
        <v>17.767782303209714</v>
      </c>
      <c r="DU80" s="147">
        <f t="shared" si="94"/>
        <v>1967.6200862079829</v>
      </c>
      <c r="DV80" s="147">
        <f t="shared" si="95"/>
        <v>363.56805756868397</v>
      </c>
      <c r="DW80" s="147">
        <f t="shared" si="133"/>
        <v>895.57081023824367</v>
      </c>
      <c r="DX80" s="147">
        <f t="shared" si="134"/>
        <v>2076.7061745444075</v>
      </c>
      <c r="DY80" s="147">
        <f t="shared" si="135"/>
        <v>4819.2746410935542</v>
      </c>
      <c r="DZ80" s="147">
        <f t="shared" si="96"/>
        <v>4818.6049937299003</v>
      </c>
      <c r="EA80" s="147">
        <f t="shared" si="97"/>
        <v>-0.66964736365389399</v>
      </c>
      <c r="EB80" t="str">
        <f t="shared" si="98"/>
        <v>No</v>
      </c>
      <c r="EC80">
        <f>COUNTIF(EB$54:EB80,"Yes")</f>
        <v>5</v>
      </c>
      <c r="ED80" cm="1">
        <f t="array" ref="ED80">INDEX($J$2:$J$7,IF(EC80&gt;5,6,EC80+1))</f>
        <v>1</v>
      </c>
      <c r="EE80" s="147">
        <f t="shared" si="99"/>
        <v>0.66964736365389399</v>
      </c>
      <c r="EI80">
        <v>27</v>
      </c>
      <c r="EJ80" s="147">
        <f t="shared" si="153"/>
        <v>45.199782303209716</v>
      </c>
      <c r="EK80" s="147">
        <f t="shared" si="100"/>
        <v>17.767782303209714</v>
      </c>
      <c r="EL80" s="147">
        <f t="shared" si="101"/>
        <v>1967.6200862079829</v>
      </c>
      <c r="EM80" s="147">
        <f t="shared" si="102"/>
        <v>363.56805756868397</v>
      </c>
      <c r="EN80" s="147">
        <f t="shared" si="136"/>
        <v>895.57081023824367</v>
      </c>
      <c r="EO80" s="147">
        <f t="shared" si="137"/>
        <v>2076.7061745444075</v>
      </c>
      <c r="EP80" s="147">
        <f t="shared" si="138"/>
        <v>4819.2746410935542</v>
      </c>
      <c r="EQ80" s="147">
        <f t="shared" si="103"/>
        <v>4818.6049937299003</v>
      </c>
      <c r="ER80" s="147">
        <f t="shared" si="104"/>
        <v>-0.66964736365389399</v>
      </c>
      <c r="ES80" t="str">
        <f t="shared" si="105"/>
        <v>No</v>
      </c>
      <c r="ET80">
        <f>COUNTIF(ES$54:ES80,"Yes")</f>
        <v>5</v>
      </c>
      <c r="EU80" cm="1">
        <f t="array" ref="EU80">INDEX($J$2:$J$7,IF(ET80&gt;5,6,ET80+1))</f>
        <v>1</v>
      </c>
      <c r="EV80" s="147">
        <f t="shared" si="106"/>
        <v>0.66964736365389399</v>
      </c>
      <c r="EZ80">
        <v>27</v>
      </c>
      <c r="FA80" s="147">
        <f t="shared" si="154"/>
        <v>39.001737827813756</v>
      </c>
      <c r="FB80" s="147">
        <f t="shared" si="107"/>
        <v>11.569737827813753</v>
      </c>
      <c r="FC80" s="147">
        <f t="shared" si="108"/>
        <v>1511.7404645905378</v>
      </c>
      <c r="FD80" s="147">
        <f t="shared" si="109"/>
        <v>279.33265578641044</v>
      </c>
      <c r="FE80" s="147">
        <f t="shared" si="139"/>
        <v>577.66677549324936</v>
      </c>
      <c r="FF80" s="147">
        <f t="shared" si="140"/>
        <v>1625.3828980341293</v>
      </c>
      <c r="FG80" s="147">
        <f t="shared" si="141"/>
        <v>3212.2555036785534</v>
      </c>
      <c r="FH80" s="147">
        <f t="shared" si="110"/>
        <v>3209.9010251799709</v>
      </c>
      <c r="FI80" s="147">
        <f t="shared" si="111"/>
        <v>-2.3544784985824663</v>
      </c>
      <c r="FJ80" t="str">
        <f t="shared" si="112"/>
        <v>No</v>
      </c>
      <c r="FK80">
        <f>COUNTIF(FJ$54:FJ80,"Yes")</f>
        <v>4</v>
      </c>
      <c r="FL80" cm="1">
        <f t="array" ref="FL80">INDEX($J$2:$J$7,IF(FK80&gt;5,6,FK80+1))</f>
        <v>1.0000617999999999</v>
      </c>
      <c r="FM80" s="147">
        <f t="shared" si="113"/>
        <v>2.3544784985824663</v>
      </c>
    </row>
    <row r="81" spans="3:169" x14ac:dyDescent="0.3">
      <c r="C81">
        <v>28</v>
      </c>
      <c r="D81" s="147">
        <f t="shared" si="155"/>
        <v>53.040791160845636</v>
      </c>
      <c r="E81" s="147">
        <f t="shared" si="42"/>
        <v>25.608791160845634</v>
      </c>
      <c r="F81" s="147">
        <f t="shared" si="43"/>
        <v>2630.2935939070858</v>
      </c>
      <c r="G81" s="147">
        <f t="shared" si="44"/>
        <v>486.01391065036597</v>
      </c>
      <c r="H81" s="147">
        <f t="shared" si="142"/>
        <v>1340.7487136681357</v>
      </c>
      <c r="I81" s="147">
        <f t="shared" si="114"/>
        <v>2245.5096404836386</v>
      </c>
      <c r="J81" s="147">
        <f t="shared" si="115"/>
        <v>7357.3666224634035</v>
      </c>
      <c r="K81" s="147">
        <f t="shared" si="46"/>
        <v>7357.0280934313305</v>
      </c>
      <c r="L81" s="147">
        <f t="shared" si="47"/>
        <v>-0.33852903207298368</v>
      </c>
      <c r="M81" t="str">
        <f t="shared" si="48"/>
        <v>No</v>
      </c>
      <c r="N81">
        <f>COUNTIF(M$54:M81,"Yes")</f>
        <v>5</v>
      </c>
      <c r="O81" cm="1">
        <f t="array" ref="O81">INDEX($J$2:$J$7,IF(N81&gt;5,6,N81+1))</f>
        <v>1</v>
      </c>
      <c r="P81" s="147">
        <f t="shared" si="49"/>
        <v>0.33852903207298368</v>
      </c>
      <c r="T81">
        <v>28</v>
      </c>
      <c r="U81" s="147">
        <f t="shared" si="146"/>
        <v>53.040791160845636</v>
      </c>
      <c r="V81" s="147">
        <f t="shared" si="50"/>
        <v>25.608791160845634</v>
      </c>
      <c r="W81" s="147">
        <f t="shared" si="51"/>
        <v>2630.2935939070858</v>
      </c>
      <c r="X81" s="147">
        <f t="shared" si="52"/>
        <v>486.01391065036597</v>
      </c>
      <c r="Y81" s="147">
        <f t="shared" si="53"/>
        <v>1340.7487136681357</v>
      </c>
      <c r="Z81" s="147">
        <f t="shared" si="116"/>
        <v>2245.5096404836368</v>
      </c>
      <c r="AA81" s="147">
        <f t="shared" si="117"/>
        <v>7357.3666224634017</v>
      </c>
      <c r="AB81" s="147">
        <f t="shared" si="54"/>
        <v>7357.0280934313305</v>
      </c>
      <c r="AC81" s="147">
        <f t="shared" si="55"/>
        <v>-0.33852903207116469</v>
      </c>
      <c r="AD81" t="str">
        <f t="shared" si="56"/>
        <v>No</v>
      </c>
      <c r="AE81">
        <f>COUNTIF(AD$54:AD81,"Yes")</f>
        <v>5</v>
      </c>
      <c r="AF81" cm="1">
        <f t="array" ref="AF81">INDEX($J$2:$J$7,IF(AE81&gt;5,6,AE81+1))</f>
        <v>1</v>
      </c>
      <c r="AG81" s="147">
        <f t="shared" si="57"/>
        <v>0.33852903207116469</v>
      </c>
      <c r="AK81">
        <v>28</v>
      </c>
      <c r="AL81" s="147">
        <f t="shared" si="147"/>
        <v>52.865033780497249</v>
      </c>
      <c r="AM81" s="147">
        <f t="shared" si="58"/>
        <v>25.433033780497247</v>
      </c>
      <c r="AN81" s="147">
        <f t="shared" si="59"/>
        <v>2614.3877611051043</v>
      </c>
      <c r="AO81" s="147">
        <f t="shared" si="60"/>
        <v>483.0749018567663</v>
      </c>
      <c r="AP81" s="147">
        <f t="shared" si="118"/>
        <v>1384.7399575429861</v>
      </c>
      <c r="AQ81" s="147">
        <f t="shared" si="156"/>
        <v>2185.6125638068061</v>
      </c>
      <c r="AR81" s="147">
        <f t="shared" si="144"/>
        <v>7294.5305369929702</v>
      </c>
      <c r="AS81" s="147">
        <f t="shared" si="61"/>
        <v>7293.9694514114663</v>
      </c>
      <c r="AT81" s="147">
        <f t="shared" si="62"/>
        <v>-0.56108558150390309</v>
      </c>
      <c r="AU81" t="str">
        <f t="shared" si="63"/>
        <v>No</v>
      </c>
      <c r="AV81">
        <f>COUNTIF(AU$54:AU81,"Yes")</f>
        <v>5</v>
      </c>
      <c r="AW81" cm="1">
        <f t="array" ref="AW81">INDEX($J$2:$J$7,IF(AV81&gt;5,6,AV81+1))</f>
        <v>1</v>
      </c>
      <c r="AX81" s="147">
        <f t="shared" si="64"/>
        <v>0.56108558150390309</v>
      </c>
      <c r="BB81">
        <v>28</v>
      </c>
      <c r="BC81" s="147">
        <f t="shared" si="148"/>
        <v>46.616706207121027</v>
      </c>
      <c r="BD81" s="147">
        <f t="shared" si="65"/>
        <v>19.184706207121025</v>
      </c>
      <c r="BE81" s="147">
        <f t="shared" si="66"/>
        <v>2080.2625708946507</v>
      </c>
      <c r="BF81" s="147">
        <f t="shared" si="67"/>
        <v>384.3816331386343</v>
      </c>
      <c r="BG81" s="147">
        <f t="shared" si="121"/>
        <v>977.99485170950948</v>
      </c>
      <c r="BH81" s="147">
        <f t="shared" si="122"/>
        <v>2098.8092613714798</v>
      </c>
      <c r="BI81" s="147">
        <f t="shared" si="123"/>
        <v>5236.6650805487334</v>
      </c>
      <c r="BJ81" s="147">
        <f t="shared" si="68"/>
        <v>5235.6990476795791</v>
      </c>
      <c r="BK81" s="147">
        <f t="shared" si="69"/>
        <v>-0.96603286915433273</v>
      </c>
      <c r="BL81" t="str">
        <f t="shared" si="70"/>
        <v>No</v>
      </c>
      <c r="BM81">
        <f>COUNTIF(BL$54:BL81,"Yes")</f>
        <v>4</v>
      </c>
      <c r="BN81" cm="1">
        <f t="array" ref="BN81">INDEX($J$2:$J$7,IF(BM81&gt;5,6,BM81+1))</f>
        <v>1.0000617999999999</v>
      </c>
      <c r="BO81" s="147">
        <f t="shared" si="71"/>
        <v>0.96603286915433273</v>
      </c>
      <c r="BS81">
        <v>28</v>
      </c>
      <c r="BT81" s="147">
        <f t="shared" si="149"/>
        <v>46.616706207121027</v>
      </c>
      <c r="BU81" s="147">
        <f t="shared" si="72"/>
        <v>19.184706207121025</v>
      </c>
      <c r="BV81" s="147">
        <f t="shared" si="73"/>
        <v>2080.2625708946507</v>
      </c>
      <c r="BW81" s="147">
        <f t="shared" si="74"/>
        <v>384.3816331386343</v>
      </c>
      <c r="BX81" s="147">
        <f t="shared" si="124"/>
        <v>977.99485170950948</v>
      </c>
      <c r="BY81" s="147">
        <f t="shared" si="125"/>
        <v>2098.8092613714798</v>
      </c>
      <c r="BZ81" s="147">
        <f t="shared" si="126"/>
        <v>5236.6650805487334</v>
      </c>
      <c r="CA81" s="147">
        <f t="shared" si="75"/>
        <v>5235.6990476795791</v>
      </c>
      <c r="CB81" s="147">
        <f t="shared" si="76"/>
        <v>-0.96603286915433273</v>
      </c>
      <c r="CC81" t="str">
        <f t="shared" si="77"/>
        <v>No</v>
      </c>
      <c r="CD81">
        <f>COUNTIF(CC$54:CC81,"Yes")</f>
        <v>4</v>
      </c>
      <c r="CE81" cm="1">
        <f t="array" ref="CE81">INDEX($J$2:$J$7,IF(CD81&gt;5,6,CD81+1))</f>
        <v>1.0000617999999999</v>
      </c>
      <c r="CF81" s="147">
        <f t="shared" si="78"/>
        <v>0.96603286915433273</v>
      </c>
      <c r="CJ81">
        <v>28</v>
      </c>
      <c r="CK81" s="147">
        <f t="shared" si="150"/>
        <v>46.616706207121027</v>
      </c>
      <c r="CL81" s="147">
        <f t="shared" si="79"/>
        <v>19.184706207121025</v>
      </c>
      <c r="CM81" s="147">
        <f t="shared" si="80"/>
        <v>2080.2625708946507</v>
      </c>
      <c r="CN81" s="147">
        <f t="shared" si="81"/>
        <v>384.3816331386343</v>
      </c>
      <c r="CO81" s="147">
        <f t="shared" si="127"/>
        <v>977.99485170950948</v>
      </c>
      <c r="CP81" s="147">
        <f t="shared" si="128"/>
        <v>2098.8092613714798</v>
      </c>
      <c r="CQ81" s="147">
        <f t="shared" si="129"/>
        <v>5236.6650805487334</v>
      </c>
      <c r="CR81" s="147">
        <f t="shared" si="82"/>
        <v>5235.6990476795791</v>
      </c>
      <c r="CS81" s="147">
        <f t="shared" si="83"/>
        <v>-0.96603286915433273</v>
      </c>
      <c r="CT81" t="str">
        <f t="shared" si="84"/>
        <v>No</v>
      </c>
      <c r="CU81">
        <f>COUNTIF(CT$54:CT81,"Yes")</f>
        <v>4</v>
      </c>
      <c r="CV81" cm="1">
        <f t="array" ref="CV81">INDEX($J$2:$J$7,IF(CU81&gt;5,6,CU81+1))</f>
        <v>1.0000617999999999</v>
      </c>
      <c r="CW81" s="147">
        <f t="shared" si="85"/>
        <v>0.96603286915433273</v>
      </c>
      <c r="DA81">
        <v>28</v>
      </c>
      <c r="DB81" s="147">
        <f t="shared" si="151"/>
        <v>45.199782303209716</v>
      </c>
      <c r="DC81" s="147">
        <f t="shared" si="86"/>
        <v>17.767782303209714</v>
      </c>
      <c r="DD81" s="147">
        <f t="shared" si="87"/>
        <v>1967.6200862079829</v>
      </c>
      <c r="DE81" s="147">
        <f t="shared" si="88"/>
        <v>363.56805756868397</v>
      </c>
      <c r="DF81" s="147">
        <f t="shared" si="130"/>
        <v>895.57081023824367</v>
      </c>
      <c r="DG81" s="147">
        <f t="shared" si="131"/>
        <v>2076.7061745444075</v>
      </c>
      <c r="DH81" s="147">
        <f t="shared" si="132"/>
        <v>4819.2746410935542</v>
      </c>
      <c r="DI81" s="147">
        <f t="shared" si="89"/>
        <v>4818.6049937299003</v>
      </c>
      <c r="DJ81" s="147">
        <f t="shared" si="90"/>
        <v>-0.66964736365389399</v>
      </c>
      <c r="DK81" t="str">
        <f t="shared" si="91"/>
        <v>No</v>
      </c>
      <c r="DL81">
        <f>COUNTIF(DK$54:DK81,"Yes")</f>
        <v>5</v>
      </c>
      <c r="DM81" cm="1">
        <f t="array" ref="DM81">INDEX($J$2:$J$7,IF(DL81&gt;5,6,DL81+1))</f>
        <v>1</v>
      </c>
      <c r="DN81" s="147">
        <f t="shared" si="92"/>
        <v>0.66964736365389399</v>
      </c>
      <c r="DR81">
        <v>28</v>
      </c>
      <c r="DS81" s="147">
        <f t="shared" si="152"/>
        <v>45.199782303209716</v>
      </c>
      <c r="DT81" s="147">
        <f t="shared" si="93"/>
        <v>17.767782303209714</v>
      </c>
      <c r="DU81" s="147">
        <f t="shared" si="94"/>
        <v>1967.6200862079829</v>
      </c>
      <c r="DV81" s="147">
        <f t="shared" si="95"/>
        <v>363.56805756868397</v>
      </c>
      <c r="DW81" s="147">
        <f t="shared" si="133"/>
        <v>895.57081023824367</v>
      </c>
      <c r="DX81" s="147">
        <f t="shared" si="134"/>
        <v>2076.7061745444075</v>
      </c>
      <c r="DY81" s="147">
        <f t="shared" si="135"/>
        <v>4819.2746410935542</v>
      </c>
      <c r="DZ81" s="147">
        <f t="shared" si="96"/>
        <v>4818.6049937299003</v>
      </c>
      <c r="EA81" s="147">
        <f t="shared" si="97"/>
        <v>-0.66964736365389399</v>
      </c>
      <c r="EB81" t="str">
        <f t="shared" si="98"/>
        <v>No</v>
      </c>
      <c r="EC81">
        <f>COUNTIF(EB$54:EB81,"Yes")</f>
        <v>5</v>
      </c>
      <c r="ED81" cm="1">
        <f t="array" ref="ED81">INDEX($J$2:$J$7,IF(EC81&gt;5,6,EC81+1))</f>
        <v>1</v>
      </c>
      <c r="EE81" s="147">
        <f t="shared" si="99"/>
        <v>0.66964736365389399</v>
      </c>
      <c r="EI81">
        <v>28</v>
      </c>
      <c r="EJ81" s="147">
        <f t="shared" si="153"/>
        <v>45.199782303209716</v>
      </c>
      <c r="EK81" s="147">
        <f t="shared" si="100"/>
        <v>17.767782303209714</v>
      </c>
      <c r="EL81" s="147">
        <f t="shared" si="101"/>
        <v>1967.6200862079829</v>
      </c>
      <c r="EM81" s="147">
        <f t="shared" si="102"/>
        <v>363.56805756868397</v>
      </c>
      <c r="EN81" s="147">
        <f t="shared" si="136"/>
        <v>895.57081023824367</v>
      </c>
      <c r="EO81" s="147">
        <f t="shared" si="137"/>
        <v>2076.7061745444075</v>
      </c>
      <c r="EP81" s="147">
        <f t="shared" si="138"/>
        <v>4819.2746410935542</v>
      </c>
      <c r="EQ81" s="147">
        <f t="shared" si="103"/>
        <v>4818.6049937299003</v>
      </c>
      <c r="ER81" s="147">
        <f t="shared" si="104"/>
        <v>-0.66964736365389399</v>
      </c>
      <c r="ES81" t="str">
        <f t="shared" si="105"/>
        <v>No</v>
      </c>
      <c r="ET81">
        <f>COUNTIF(ES$54:ES81,"Yes")</f>
        <v>5</v>
      </c>
      <c r="EU81" cm="1">
        <f t="array" ref="EU81">INDEX($J$2:$J$7,IF(ET81&gt;5,6,ET81+1))</f>
        <v>1</v>
      </c>
      <c r="EV81" s="147">
        <f t="shared" si="106"/>
        <v>0.66964736365389399</v>
      </c>
      <c r="EZ81">
        <v>28</v>
      </c>
      <c r="FA81" s="147">
        <f t="shared" si="154"/>
        <v>39.004148135211508</v>
      </c>
      <c r="FB81" s="147">
        <f t="shared" si="107"/>
        <v>11.572148135211506</v>
      </c>
      <c r="FC81" s="147">
        <f t="shared" si="108"/>
        <v>1511.9060880046695</v>
      </c>
      <c r="FD81" s="147">
        <f t="shared" si="109"/>
        <v>279.36325894165662</v>
      </c>
      <c r="FE81" s="147">
        <f t="shared" si="139"/>
        <v>577.77691037430009</v>
      </c>
      <c r="FF81" s="147">
        <f t="shared" si="140"/>
        <v>1625.4383865672105</v>
      </c>
      <c r="FG81" s="147">
        <f t="shared" si="141"/>
        <v>3212.3415953668809</v>
      </c>
      <c r="FH81" s="147">
        <f t="shared" si="110"/>
        <v>3210.45834563161</v>
      </c>
      <c r="FI81" s="147">
        <f t="shared" si="111"/>
        <v>-1.8832497352709652</v>
      </c>
      <c r="FJ81" t="str">
        <f t="shared" si="112"/>
        <v>No</v>
      </c>
      <c r="FK81">
        <f>COUNTIF(FJ$54:FJ81,"Yes")</f>
        <v>4</v>
      </c>
      <c r="FL81" cm="1">
        <f t="array" ref="FL81">INDEX($J$2:$J$7,IF(FK81&gt;5,6,FK81+1))</f>
        <v>1.0000617999999999</v>
      </c>
      <c r="FM81" s="147">
        <f t="shared" si="113"/>
        <v>1.8832497352709652</v>
      </c>
    </row>
    <row r="82" spans="3:169" x14ac:dyDescent="0.3">
      <c r="C82">
        <v>29</v>
      </c>
      <c r="D82" s="147">
        <f t="shared" si="155"/>
        <v>53.040791160845636</v>
      </c>
      <c r="E82" s="147">
        <f t="shared" si="42"/>
        <v>25.608791160845634</v>
      </c>
      <c r="F82" s="147">
        <f t="shared" si="43"/>
        <v>2630.2935939070858</v>
      </c>
      <c r="G82" s="147">
        <f t="shared" si="44"/>
        <v>486.01391065036597</v>
      </c>
      <c r="H82" s="147">
        <f t="shared" si="142"/>
        <v>1340.7487136681357</v>
      </c>
      <c r="I82" s="147">
        <f t="shared" si="114"/>
        <v>2245.5096404836386</v>
      </c>
      <c r="J82" s="147">
        <f t="shared" si="115"/>
        <v>7357.3666224634035</v>
      </c>
      <c r="K82" s="147">
        <f t="shared" si="46"/>
        <v>7357.0280934313305</v>
      </c>
      <c r="L82" s="147">
        <f t="shared" si="47"/>
        <v>-0.33852903207298368</v>
      </c>
      <c r="M82" t="str">
        <f t="shared" si="48"/>
        <v>No</v>
      </c>
      <c r="N82">
        <f>COUNTIF(M$54:M82,"Yes")</f>
        <v>5</v>
      </c>
      <c r="O82" cm="1">
        <f t="array" ref="O82">INDEX($J$2:$J$7,IF(N82&gt;5,6,N82+1))</f>
        <v>1</v>
      </c>
      <c r="P82" s="147">
        <f t="shared" si="49"/>
        <v>0.33852903207298368</v>
      </c>
      <c r="T82">
        <v>29</v>
      </c>
      <c r="U82" s="147">
        <f t="shared" si="146"/>
        <v>53.040791160845636</v>
      </c>
      <c r="V82" s="147">
        <f t="shared" si="50"/>
        <v>25.608791160845634</v>
      </c>
      <c r="W82" s="147">
        <f t="shared" si="51"/>
        <v>2630.2935939070858</v>
      </c>
      <c r="X82" s="147">
        <f t="shared" si="52"/>
        <v>486.01391065036597</v>
      </c>
      <c r="Y82" s="147">
        <f t="shared" si="53"/>
        <v>1340.7487136681357</v>
      </c>
      <c r="Z82" s="147">
        <f t="shared" si="116"/>
        <v>2245.5096404836368</v>
      </c>
      <c r="AA82" s="147">
        <f t="shared" si="117"/>
        <v>7357.3666224634017</v>
      </c>
      <c r="AB82" s="147">
        <f t="shared" si="54"/>
        <v>7357.0280934313305</v>
      </c>
      <c r="AC82" s="147">
        <f t="shared" si="55"/>
        <v>-0.33852903207116469</v>
      </c>
      <c r="AD82" t="str">
        <f t="shared" si="56"/>
        <v>No</v>
      </c>
      <c r="AE82">
        <f>COUNTIF(AD$54:AD82,"Yes")</f>
        <v>5</v>
      </c>
      <c r="AF82" cm="1">
        <f t="array" ref="AF82">INDEX($J$2:$J$7,IF(AE82&gt;5,6,AE82+1))</f>
        <v>1</v>
      </c>
      <c r="AG82" s="147">
        <f t="shared" si="57"/>
        <v>0.33852903207116469</v>
      </c>
      <c r="AK82">
        <v>29</v>
      </c>
      <c r="AL82" s="147">
        <f t="shared" si="147"/>
        <v>52.865033780497249</v>
      </c>
      <c r="AM82" s="147">
        <f t="shared" si="58"/>
        <v>25.433033780497247</v>
      </c>
      <c r="AN82" s="147">
        <f t="shared" si="59"/>
        <v>2614.3877611051043</v>
      </c>
      <c r="AO82" s="147">
        <f t="shared" si="60"/>
        <v>483.0749018567663</v>
      </c>
      <c r="AP82" s="147">
        <f t="shared" si="118"/>
        <v>1384.7399575429861</v>
      </c>
      <c r="AQ82" s="147">
        <f t="shared" si="156"/>
        <v>2185.6125638068061</v>
      </c>
      <c r="AR82" s="147">
        <f t="shared" si="144"/>
        <v>7294.5305369929702</v>
      </c>
      <c r="AS82" s="147">
        <f t="shared" si="61"/>
        <v>7293.9694514114663</v>
      </c>
      <c r="AT82" s="147">
        <f t="shared" si="62"/>
        <v>-0.56108558150390309</v>
      </c>
      <c r="AU82" t="str">
        <f t="shared" si="63"/>
        <v>No</v>
      </c>
      <c r="AV82">
        <f>COUNTIF(AU$54:AU82,"Yes")</f>
        <v>5</v>
      </c>
      <c r="AW82" cm="1">
        <f t="array" ref="AW82">INDEX($J$2:$J$7,IF(AV82&gt;5,6,AV82+1))</f>
        <v>1</v>
      </c>
      <c r="AX82" s="147">
        <f t="shared" si="64"/>
        <v>0.56108558150390309</v>
      </c>
      <c r="BB82">
        <v>29</v>
      </c>
      <c r="BC82" s="147">
        <f t="shared" si="148"/>
        <v>46.619587119564621</v>
      </c>
      <c r="BD82" s="147">
        <f t="shared" si="65"/>
        <v>19.187587119564618</v>
      </c>
      <c r="BE82" s="147">
        <f t="shared" si="66"/>
        <v>2080.4947911199879</v>
      </c>
      <c r="BF82" s="147">
        <f t="shared" si="67"/>
        <v>384.42454175541752</v>
      </c>
      <c r="BG82" s="147">
        <f t="shared" si="121"/>
        <v>978.16613319366127</v>
      </c>
      <c r="BH82" s="147">
        <f t="shared" si="122"/>
        <v>2098.8702001126653</v>
      </c>
      <c r="BI82" s="147">
        <f t="shared" si="123"/>
        <v>5236.7689279067017</v>
      </c>
      <c r="BJ82" s="147">
        <f t="shared" si="68"/>
        <v>5236.5657910146083</v>
      </c>
      <c r="BK82" s="147">
        <f t="shared" si="69"/>
        <v>-0.20313689209342556</v>
      </c>
      <c r="BL82" t="str">
        <f t="shared" si="70"/>
        <v>No</v>
      </c>
      <c r="BM82">
        <f>COUNTIF(BL$54:BL82,"Yes")</f>
        <v>4</v>
      </c>
      <c r="BN82" cm="1">
        <f t="array" ref="BN82">INDEX($J$2:$J$7,IF(BM82&gt;5,6,BM82+1))</f>
        <v>1.0000617999999999</v>
      </c>
      <c r="BO82" s="147">
        <f t="shared" si="71"/>
        <v>0.20313689209342556</v>
      </c>
      <c r="BS82">
        <v>29</v>
      </c>
      <c r="BT82" s="147">
        <f t="shared" si="149"/>
        <v>46.619587119564621</v>
      </c>
      <c r="BU82" s="147">
        <f t="shared" si="72"/>
        <v>19.187587119564618</v>
      </c>
      <c r="BV82" s="147">
        <f t="shared" si="73"/>
        <v>2080.4947911199879</v>
      </c>
      <c r="BW82" s="147">
        <f t="shared" si="74"/>
        <v>384.42454175541752</v>
      </c>
      <c r="BX82" s="147">
        <f t="shared" si="124"/>
        <v>978.16613319366127</v>
      </c>
      <c r="BY82" s="147">
        <f t="shared" si="125"/>
        <v>2098.8702001126653</v>
      </c>
      <c r="BZ82" s="147">
        <f t="shared" si="126"/>
        <v>5236.7689279067017</v>
      </c>
      <c r="CA82" s="147">
        <f t="shared" si="75"/>
        <v>5236.5657910146083</v>
      </c>
      <c r="CB82" s="147">
        <f t="shared" si="76"/>
        <v>-0.20313689209342556</v>
      </c>
      <c r="CC82" t="str">
        <f t="shared" si="77"/>
        <v>No</v>
      </c>
      <c r="CD82">
        <f>COUNTIF(CC$54:CC82,"Yes")</f>
        <v>4</v>
      </c>
      <c r="CE82" cm="1">
        <f t="array" ref="CE82">INDEX($J$2:$J$7,IF(CD82&gt;5,6,CD82+1))</f>
        <v>1.0000617999999999</v>
      </c>
      <c r="CF82" s="147">
        <f t="shared" si="78"/>
        <v>0.20313689209342556</v>
      </c>
      <c r="CJ82">
        <v>29</v>
      </c>
      <c r="CK82" s="147">
        <f t="shared" si="150"/>
        <v>46.619587119564621</v>
      </c>
      <c r="CL82" s="147">
        <f t="shared" si="79"/>
        <v>19.187587119564618</v>
      </c>
      <c r="CM82" s="147">
        <f t="shared" si="80"/>
        <v>2080.4947911199879</v>
      </c>
      <c r="CN82" s="147">
        <f t="shared" si="81"/>
        <v>384.42454175541752</v>
      </c>
      <c r="CO82" s="147">
        <f t="shared" si="127"/>
        <v>978.16613319366127</v>
      </c>
      <c r="CP82" s="147">
        <f t="shared" si="128"/>
        <v>2098.8702001126653</v>
      </c>
      <c r="CQ82" s="147">
        <f t="shared" si="129"/>
        <v>5236.7689279067017</v>
      </c>
      <c r="CR82" s="147">
        <f t="shared" si="82"/>
        <v>5236.5657910146083</v>
      </c>
      <c r="CS82" s="147">
        <f t="shared" si="83"/>
        <v>-0.20313689209342556</v>
      </c>
      <c r="CT82" t="str">
        <f t="shared" si="84"/>
        <v>No</v>
      </c>
      <c r="CU82">
        <f>COUNTIF(CT$54:CT82,"Yes")</f>
        <v>4</v>
      </c>
      <c r="CV82" cm="1">
        <f t="array" ref="CV82">INDEX($J$2:$J$7,IF(CU82&gt;5,6,CU82+1))</f>
        <v>1.0000617999999999</v>
      </c>
      <c r="CW82" s="147">
        <f t="shared" si="85"/>
        <v>0.20313689209342556</v>
      </c>
      <c r="DA82">
        <v>29</v>
      </c>
      <c r="DB82" s="147">
        <f t="shared" si="151"/>
        <v>45.199782303209716</v>
      </c>
      <c r="DC82" s="147">
        <f t="shared" si="86"/>
        <v>17.767782303209714</v>
      </c>
      <c r="DD82" s="147">
        <f t="shared" si="87"/>
        <v>1967.6200862079829</v>
      </c>
      <c r="DE82" s="147">
        <f t="shared" si="88"/>
        <v>363.56805756868397</v>
      </c>
      <c r="DF82" s="147">
        <f t="shared" si="130"/>
        <v>895.57081023824367</v>
      </c>
      <c r="DG82" s="147">
        <f t="shared" si="131"/>
        <v>2076.7061745444075</v>
      </c>
      <c r="DH82" s="147">
        <f t="shared" si="132"/>
        <v>4819.2746410935542</v>
      </c>
      <c r="DI82" s="147">
        <f t="shared" si="89"/>
        <v>4818.6049937299003</v>
      </c>
      <c r="DJ82" s="147">
        <f t="shared" si="90"/>
        <v>-0.66964736365389399</v>
      </c>
      <c r="DK82" t="str">
        <f t="shared" si="91"/>
        <v>No</v>
      </c>
      <c r="DL82">
        <f>COUNTIF(DK$54:DK82,"Yes")</f>
        <v>5</v>
      </c>
      <c r="DM82" cm="1">
        <f t="array" ref="DM82">INDEX($J$2:$J$7,IF(DL82&gt;5,6,DL82+1))</f>
        <v>1</v>
      </c>
      <c r="DN82" s="147">
        <f t="shared" si="92"/>
        <v>0.66964736365389399</v>
      </c>
      <c r="DR82">
        <v>29</v>
      </c>
      <c r="DS82" s="147">
        <f t="shared" si="152"/>
        <v>45.199782303209716</v>
      </c>
      <c r="DT82" s="147">
        <f t="shared" si="93"/>
        <v>17.767782303209714</v>
      </c>
      <c r="DU82" s="147">
        <f t="shared" si="94"/>
        <v>1967.6200862079829</v>
      </c>
      <c r="DV82" s="147">
        <f t="shared" si="95"/>
        <v>363.56805756868397</v>
      </c>
      <c r="DW82" s="147">
        <f t="shared" si="133"/>
        <v>895.57081023824367</v>
      </c>
      <c r="DX82" s="147">
        <f t="shared" si="134"/>
        <v>2076.7061745444075</v>
      </c>
      <c r="DY82" s="147">
        <f t="shared" si="135"/>
        <v>4819.2746410935542</v>
      </c>
      <c r="DZ82" s="147">
        <f t="shared" si="96"/>
        <v>4818.6049937299003</v>
      </c>
      <c r="EA82" s="147">
        <f t="shared" si="97"/>
        <v>-0.66964736365389399</v>
      </c>
      <c r="EB82" t="str">
        <f t="shared" si="98"/>
        <v>No</v>
      </c>
      <c r="EC82">
        <f>COUNTIF(EB$54:EB82,"Yes")</f>
        <v>5</v>
      </c>
      <c r="ED82" cm="1">
        <f t="array" ref="ED82">INDEX($J$2:$J$7,IF(EC82&gt;5,6,EC82+1))</f>
        <v>1</v>
      </c>
      <c r="EE82" s="147">
        <f t="shared" si="99"/>
        <v>0.66964736365389399</v>
      </c>
      <c r="EI82">
        <v>29</v>
      </c>
      <c r="EJ82" s="147">
        <f t="shared" si="153"/>
        <v>45.199782303209716</v>
      </c>
      <c r="EK82" s="147">
        <f t="shared" si="100"/>
        <v>17.767782303209714</v>
      </c>
      <c r="EL82" s="147">
        <f t="shared" si="101"/>
        <v>1967.6200862079829</v>
      </c>
      <c r="EM82" s="147">
        <f t="shared" si="102"/>
        <v>363.56805756868397</v>
      </c>
      <c r="EN82" s="147">
        <f t="shared" si="136"/>
        <v>895.57081023824367</v>
      </c>
      <c r="EO82" s="147">
        <f t="shared" si="137"/>
        <v>2076.7061745444075</v>
      </c>
      <c r="EP82" s="147">
        <f t="shared" si="138"/>
        <v>4819.2746410935542</v>
      </c>
      <c r="EQ82" s="147">
        <f t="shared" si="103"/>
        <v>4818.6049937299003</v>
      </c>
      <c r="ER82" s="147">
        <f t="shared" si="104"/>
        <v>-0.66964736365389399</v>
      </c>
      <c r="ES82" t="str">
        <f t="shared" si="105"/>
        <v>No</v>
      </c>
      <c r="ET82">
        <f>COUNTIF(ES$54:ES82,"Yes")</f>
        <v>5</v>
      </c>
      <c r="EU82" cm="1">
        <f t="array" ref="EU82">INDEX($J$2:$J$7,IF(ET82&gt;5,6,ET82+1))</f>
        <v>1</v>
      </c>
      <c r="EV82" s="147">
        <f t="shared" si="106"/>
        <v>0.66964736365389399</v>
      </c>
      <c r="EZ82">
        <v>29</v>
      </c>
      <c r="FA82" s="147">
        <f t="shared" si="154"/>
        <v>39.006558591566261</v>
      </c>
      <c r="FB82" s="147">
        <f t="shared" si="107"/>
        <v>11.574558591566259</v>
      </c>
      <c r="FC82" s="147">
        <f t="shared" si="108"/>
        <v>1512.0717307273658</v>
      </c>
      <c r="FD82" s="147">
        <f t="shared" si="109"/>
        <v>279.39386566465322</v>
      </c>
      <c r="FE82" s="147">
        <f t="shared" si="139"/>
        <v>577.88706256052501</v>
      </c>
      <c r="FF82" s="147">
        <f t="shared" si="140"/>
        <v>1625.4938771036818</v>
      </c>
      <c r="FG82" s="147">
        <f t="shared" si="141"/>
        <v>3212.4276926263492</v>
      </c>
      <c r="FH82" s="147">
        <f t="shared" si="110"/>
        <v>3211.0157536533952</v>
      </c>
      <c r="FI82" s="147">
        <f t="shared" si="111"/>
        <v>-1.4119389729539762</v>
      </c>
      <c r="FJ82" t="str">
        <f t="shared" si="112"/>
        <v>No</v>
      </c>
      <c r="FK82">
        <f>COUNTIF(FJ$54:FJ82,"Yes")</f>
        <v>4</v>
      </c>
      <c r="FL82" cm="1">
        <f t="array" ref="FL82">INDEX($J$2:$J$7,IF(FK82&gt;5,6,FK82+1))</f>
        <v>1.0000617999999999</v>
      </c>
      <c r="FM82" s="147">
        <f t="shared" si="113"/>
        <v>1.4119389729539762</v>
      </c>
    </row>
    <row r="83" spans="3:169" x14ac:dyDescent="0.3">
      <c r="C83">
        <v>30</v>
      </c>
      <c r="D83" s="147">
        <f t="shared" si="155"/>
        <v>53.040791160845636</v>
      </c>
      <c r="E83" s="147">
        <f t="shared" si="42"/>
        <v>25.608791160845634</v>
      </c>
      <c r="F83" s="147">
        <f t="shared" si="43"/>
        <v>2630.2935939070858</v>
      </c>
      <c r="G83" s="147">
        <f t="shared" si="44"/>
        <v>486.01391065036597</v>
      </c>
      <c r="H83" s="147">
        <f t="shared" si="142"/>
        <v>1340.7487136681357</v>
      </c>
      <c r="I83" s="147">
        <f t="shared" si="114"/>
        <v>2245.5096404836386</v>
      </c>
      <c r="J83" s="147">
        <f t="shared" si="115"/>
        <v>7357.3666224634035</v>
      </c>
      <c r="K83" s="147">
        <f t="shared" si="46"/>
        <v>7357.0280934313305</v>
      </c>
      <c r="L83" s="147">
        <f t="shared" si="47"/>
        <v>-0.33852903207298368</v>
      </c>
      <c r="M83" t="str">
        <f t="shared" si="48"/>
        <v>No</v>
      </c>
      <c r="N83">
        <f>COUNTIF(M$54:M83,"Yes")</f>
        <v>5</v>
      </c>
      <c r="O83" cm="1">
        <f t="array" ref="O83">INDEX($J$2:$J$7,IF(N83&gt;5,6,N83+1))</f>
        <v>1</v>
      </c>
      <c r="P83" s="147">
        <f t="shared" si="49"/>
        <v>0.33852903207298368</v>
      </c>
      <c r="T83">
        <v>30</v>
      </c>
      <c r="U83" s="147">
        <f t="shared" si="146"/>
        <v>53.040791160845636</v>
      </c>
      <c r="V83" s="147">
        <f t="shared" si="50"/>
        <v>25.608791160845634</v>
      </c>
      <c r="W83" s="147">
        <f t="shared" si="51"/>
        <v>2630.2935939070858</v>
      </c>
      <c r="X83" s="147">
        <f t="shared" si="52"/>
        <v>486.01391065036597</v>
      </c>
      <c r="Y83" s="147">
        <f t="shared" si="53"/>
        <v>1340.7487136681357</v>
      </c>
      <c r="Z83" s="147">
        <f t="shared" si="116"/>
        <v>2245.5096404836368</v>
      </c>
      <c r="AA83" s="147">
        <f t="shared" si="117"/>
        <v>7357.3666224634017</v>
      </c>
      <c r="AB83" s="147">
        <f t="shared" si="54"/>
        <v>7357.0280934313305</v>
      </c>
      <c r="AC83" s="147">
        <f t="shared" si="55"/>
        <v>-0.33852903207116469</v>
      </c>
      <c r="AD83" t="str">
        <f t="shared" si="56"/>
        <v>No</v>
      </c>
      <c r="AE83">
        <f>COUNTIF(AD$54:AD83,"Yes")</f>
        <v>5</v>
      </c>
      <c r="AF83" cm="1">
        <f t="array" ref="AF83">INDEX($J$2:$J$7,IF(AE83&gt;5,6,AE83+1))</f>
        <v>1</v>
      </c>
      <c r="AG83" s="147">
        <f t="shared" si="57"/>
        <v>0.33852903207116469</v>
      </c>
      <c r="AK83">
        <v>30</v>
      </c>
      <c r="AL83" s="147">
        <f t="shared" si="147"/>
        <v>52.865033780497249</v>
      </c>
      <c r="AM83" s="147">
        <f t="shared" si="58"/>
        <v>25.433033780497247</v>
      </c>
      <c r="AN83" s="147">
        <f t="shared" si="59"/>
        <v>2614.3877611051043</v>
      </c>
      <c r="AO83" s="147">
        <f t="shared" si="60"/>
        <v>483.0749018567663</v>
      </c>
      <c r="AP83" s="147">
        <f t="shared" si="118"/>
        <v>1384.7399575429861</v>
      </c>
      <c r="AQ83" s="147">
        <f t="shared" si="156"/>
        <v>2185.6125638068061</v>
      </c>
      <c r="AR83" s="147">
        <f t="shared" si="144"/>
        <v>7294.5305369929702</v>
      </c>
      <c r="AS83" s="147">
        <f t="shared" si="61"/>
        <v>7293.9694514114663</v>
      </c>
      <c r="AT83" s="147">
        <f t="shared" si="62"/>
        <v>-0.56108558150390309</v>
      </c>
      <c r="AU83" t="str">
        <f t="shared" si="63"/>
        <v>No</v>
      </c>
      <c r="AV83">
        <f>COUNTIF(AU$54:AU83,"Yes")</f>
        <v>5</v>
      </c>
      <c r="AW83" cm="1">
        <f t="array" ref="AW83">INDEX($J$2:$J$7,IF(AV83&gt;5,6,AV83+1))</f>
        <v>1</v>
      </c>
      <c r="AX83" s="147">
        <f t="shared" si="64"/>
        <v>0.56108558150390309</v>
      </c>
      <c r="BB83">
        <v>30</v>
      </c>
      <c r="BC83" s="147">
        <f t="shared" si="148"/>
        <v>46.622468210048602</v>
      </c>
      <c r="BD83" s="147">
        <f t="shared" si="65"/>
        <v>19.1904682100486</v>
      </c>
      <c r="BE83" s="147">
        <f t="shared" si="66"/>
        <v>2080.7270386584141</v>
      </c>
      <c r="BF83" s="147">
        <f t="shared" si="67"/>
        <v>384.46745541899139</v>
      </c>
      <c r="BG83" s="147">
        <f t="shared" si="121"/>
        <v>978.33744026180818</v>
      </c>
      <c r="BH83" s="147">
        <f t="shared" si="122"/>
        <v>2098.9311405829444</v>
      </c>
      <c r="BI83" s="147">
        <f t="shared" si="123"/>
        <v>5236.8727820405547</v>
      </c>
      <c r="BJ83" s="147">
        <f t="shared" si="68"/>
        <v>5237.4326638134698</v>
      </c>
      <c r="BK83" s="147">
        <f t="shared" si="69"/>
        <v>0.5598817729151051</v>
      </c>
      <c r="BL83" t="str">
        <f t="shared" si="70"/>
        <v>Yes</v>
      </c>
      <c r="BM83">
        <f>COUNTIF(BL$54:BL83,"Yes")</f>
        <v>5</v>
      </c>
      <c r="BN83" cm="1">
        <f t="array" ref="BN83">INDEX($J$2:$J$7,IF(BM83&gt;5,6,BM83+1))</f>
        <v>1</v>
      </c>
      <c r="BO83" s="147">
        <f t="shared" si="71"/>
        <v>0.5598817729151051</v>
      </c>
      <c r="BS83">
        <v>30</v>
      </c>
      <c r="BT83" s="147">
        <f t="shared" si="149"/>
        <v>46.622468210048602</v>
      </c>
      <c r="BU83" s="147">
        <f t="shared" si="72"/>
        <v>19.1904682100486</v>
      </c>
      <c r="BV83" s="147">
        <f t="shared" si="73"/>
        <v>2080.7270386584141</v>
      </c>
      <c r="BW83" s="147">
        <f t="shared" si="74"/>
        <v>384.46745541899139</v>
      </c>
      <c r="BX83" s="147">
        <f t="shared" si="124"/>
        <v>978.33744026180818</v>
      </c>
      <c r="BY83" s="147">
        <f t="shared" si="125"/>
        <v>2098.9311405829444</v>
      </c>
      <c r="BZ83" s="147">
        <f t="shared" si="126"/>
        <v>5236.8727820405547</v>
      </c>
      <c r="CA83" s="147">
        <f t="shared" si="75"/>
        <v>5237.4326638134698</v>
      </c>
      <c r="CB83" s="147">
        <f t="shared" si="76"/>
        <v>0.5598817729151051</v>
      </c>
      <c r="CC83" t="str">
        <f t="shared" si="77"/>
        <v>Yes</v>
      </c>
      <c r="CD83">
        <f>COUNTIF(CC$54:CC83,"Yes")</f>
        <v>5</v>
      </c>
      <c r="CE83" cm="1">
        <f t="array" ref="CE83">INDEX($J$2:$J$7,IF(CD83&gt;5,6,CD83+1))</f>
        <v>1</v>
      </c>
      <c r="CF83" s="147">
        <f t="shared" si="78"/>
        <v>0.5598817729151051</v>
      </c>
      <c r="CJ83">
        <v>30</v>
      </c>
      <c r="CK83" s="147">
        <f t="shared" si="150"/>
        <v>46.622468210048602</v>
      </c>
      <c r="CL83" s="147">
        <f t="shared" si="79"/>
        <v>19.1904682100486</v>
      </c>
      <c r="CM83" s="147">
        <f t="shared" si="80"/>
        <v>2080.7270386584141</v>
      </c>
      <c r="CN83" s="147">
        <f t="shared" si="81"/>
        <v>384.46745541899139</v>
      </c>
      <c r="CO83" s="147">
        <f t="shared" si="127"/>
        <v>978.33744026180818</v>
      </c>
      <c r="CP83" s="147">
        <f t="shared" si="128"/>
        <v>2098.9311405829444</v>
      </c>
      <c r="CQ83" s="147">
        <f t="shared" si="129"/>
        <v>5236.8727820405547</v>
      </c>
      <c r="CR83" s="147">
        <f t="shared" si="82"/>
        <v>5237.4326638134698</v>
      </c>
      <c r="CS83" s="147">
        <f t="shared" si="83"/>
        <v>0.5598817729151051</v>
      </c>
      <c r="CT83" t="str">
        <f t="shared" si="84"/>
        <v>Yes</v>
      </c>
      <c r="CU83">
        <f>COUNTIF(CT$54:CT83,"Yes")</f>
        <v>5</v>
      </c>
      <c r="CV83" cm="1">
        <f t="array" ref="CV83">INDEX($J$2:$J$7,IF(CU83&gt;5,6,CU83+1))</f>
        <v>1</v>
      </c>
      <c r="CW83" s="147">
        <f t="shared" si="85"/>
        <v>0.5598817729151051</v>
      </c>
      <c r="DA83">
        <v>30</v>
      </c>
      <c r="DB83" s="147">
        <f t="shared" si="151"/>
        <v>45.199782303209716</v>
      </c>
      <c r="DC83" s="147">
        <f t="shared" si="86"/>
        <v>17.767782303209714</v>
      </c>
      <c r="DD83" s="147">
        <f t="shared" si="87"/>
        <v>1967.6200862079829</v>
      </c>
      <c r="DE83" s="147">
        <f t="shared" si="88"/>
        <v>363.56805756868397</v>
      </c>
      <c r="DF83" s="147">
        <f t="shared" si="130"/>
        <v>895.57081023824367</v>
      </c>
      <c r="DG83" s="147">
        <f t="shared" si="131"/>
        <v>2076.7061745444075</v>
      </c>
      <c r="DH83" s="147">
        <f t="shared" si="132"/>
        <v>4819.2746410935542</v>
      </c>
      <c r="DI83" s="147">
        <f t="shared" si="89"/>
        <v>4818.6049937299003</v>
      </c>
      <c r="DJ83" s="147">
        <f t="shared" si="90"/>
        <v>-0.66964736365389399</v>
      </c>
      <c r="DK83" t="str">
        <f t="shared" si="91"/>
        <v>No</v>
      </c>
      <c r="DL83">
        <f>COUNTIF(DK$54:DK83,"Yes")</f>
        <v>5</v>
      </c>
      <c r="DM83" cm="1">
        <f t="array" ref="DM83">INDEX($J$2:$J$7,IF(DL83&gt;5,6,DL83+1))</f>
        <v>1</v>
      </c>
      <c r="DN83" s="147">
        <f t="shared" si="92"/>
        <v>0.66964736365389399</v>
      </c>
      <c r="DR83">
        <v>30</v>
      </c>
      <c r="DS83" s="147">
        <f t="shared" si="152"/>
        <v>45.199782303209716</v>
      </c>
      <c r="DT83" s="147">
        <f t="shared" si="93"/>
        <v>17.767782303209714</v>
      </c>
      <c r="DU83" s="147">
        <f t="shared" si="94"/>
        <v>1967.6200862079829</v>
      </c>
      <c r="DV83" s="147">
        <f t="shared" si="95"/>
        <v>363.56805756868397</v>
      </c>
      <c r="DW83" s="147">
        <f t="shared" si="133"/>
        <v>895.57081023824367</v>
      </c>
      <c r="DX83" s="147">
        <f t="shared" si="134"/>
        <v>2076.7061745444075</v>
      </c>
      <c r="DY83" s="147">
        <f t="shared" si="135"/>
        <v>4819.2746410935542</v>
      </c>
      <c r="DZ83" s="147">
        <f t="shared" si="96"/>
        <v>4818.6049937299003</v>
      </c>
      <c r="EA83" s="147">
        <f t="shared" si="97"/>
        <v>-0.66964736365389399</v>
      </c>
      <c r="EB83" t="str">
        <f t="shared" si="98"/>
        <v>No</v>
      </c>
      <c r="EC83">
        <f>COUNTIF(EB$54:EB83,"Yes")</f>
        <v>5</v>
      </c>
      <c r="ED83" cm="1">
        <f t="array" ref="ED83">INDEX($J$2:$J$7,IF(EC83&gt;5,6,EC83+1))</f>
        <v>1</v>
      </c>
      <c r="EE83" s="147">
        <f t="shared" si="99"/>
        <v>0.66964736365389399</v>
      </c>
      <c r="EI83">
        <v>30</v>
      </c>
      <c r="EJ83" s="147">
        <f t="shared" si="153"/>
        <v>45.199782303209716</v>
      </c>
      <c r="EK83" s="147">
        <f t="shared" si="100"/>
        <v>17.767782303209714</v>
      </c>
      <c r="EL83" s="147">
        <f t="shared" si="101"/>
        <v>1967.6200862079829</v>
      </c>
      <c r="EM83" s="147">
        <f t="shared" si="102"/>
        <v>363.56805756868397</v>
      </c>
      <c r="EN83" s="147">
        <f t="shared" si="136"/>
        <v>895.57081023824367</v>
      </c>
      <c r="EO83" s="147">
        <f t="shared" si="137"/>
        <v>2076.7061745444075</v>
      </c>
      <c r="EP83" s="147">
        <f t="shared" si="138"/>
        <v>4819.2746410935542</v>
      </c>
      <c r="EQ83" s="147">
        <f t="shared" si="103"/>
        <v>4818.6049937299003</v>
      </c>
      <c r="ER83" s="147">
        <f t="shared" si="104"/>
        <v>-0.66964736365389399</v>
      </c>
      <c r="ES83" t="str">
        <f t="shared" si="105"/>
        <v>No</v>
      </c>
      <c r="ET83">
        <f>COUNTIF(ES$54:ES83,"Yes")</f>
        <v>5</v>
      </c>
      <c r="EU83" cm="1">
        <f t="array" ref="EU83">INDEX($J$2:$J$7,IF(ET83&gt;5,6,ET83+1))</f>
        <v>1</v>
      </c>
      <c r="EV83" s="147">
        <f t="shared" si="106"/>
        <v>0.66964736365389399</v>
      </c>
      <c r="EZ83">
        <v>30</v>
      </c>
      <c r="FA83" s="147">
        <f t="shared" si="154"/>
        <v>39.008969196887215</v>
      </c>
      <c r="FB83" s="147">
        <f t="shared" si="107"/>
        <v>11.576969196887212</v>
      </c>
      <c r="FC83" s="147">
        <f t="shared" si="108"/>
        <v>1512.2373927609412</v>
      </c>
      <c r="FD83" s="147">
        <f t="shared" si="109"/>
        <v>279.42447595582786</v>
      </c>
      <c r="FE83" s="147">
        <f t="shared" si="139"/>
        <v>577.99723205429109</v>
      </c>
      <c r="FF83" s="147">
        <f t="shared" si="140"/>
        <v>1625.549369643491</v>
      </c>
      <c r="FG83" s="147">
        <f t="shared" si="141"/>
        <v>3212.5137954573329</v>
      </c>
      <c r="FH83" s="147">
        <f t="shared" si="110"/>
        <v>3211.5732492573015</v>
      </c>
      <c r="FI83" s="147">
        <f t="shared" si="111"/>
        <v>-0.94054620003134914</v>
      </c>
      <c r="FJ83" t="str">
        <f t="shared" si="112"/>
        <v>No</v>
      </c>
      <c r="FK83">
        <f>COUNTIF(FJ$54:FJ83,"Yes")</f>
        <v>4</v>
      </c>
      <c r="FL83" cm="1">
        <f t="array" ref="FL83">INDEX($J$2:$J$7,IF(FK83&gt;5,6,FK83+1))</f>
        <v>1.0000617999999999</v>
      </c>
      <c r="FM83" s="147">
        <f t="shared" si="113"/>
        <v>0.94054620003134914</v>
      </c>
    </row>
    <row r="84" spans="3:169" x14ac:dyDescent="0.3">
      <c r="C84">
        <v>31</v>
      </c>
      <c r="D84" s="147">
        <f t="shared" si="155"/>
        <v>53.040791160845636</v>
      </c>
      <c r="E84" s="147">
        <f t="shared" si="42"/>
        <v>25.608791160845634</v>
      </c>
      <c r="F84" s="147">
        <f t="shared" si="43"/>
        <v>2630.2935939070858</v>
      </c>
      <c r="G84" s="147">
        <f t="shared" si="44"/>
        <v>486.01391065036597</v>
      </c>
      <c r="H84" s="147">
        <f t="shared" si="142"/>
        <v>1340.7487136681357</v>
      </c>
      <c r="I84" s="147">
        <f t="shared" si="114"/>
        <v>2245.5096404836386</v>
      </c>
      <c r="J84" s="147">
        <f t="shared" si="115"/>
        <v>7357.3666224634035</v>
      </c>
      <c r="K84" s="147">
        <f t="shared" si="46"/>
        <v>7357.0280934313305</v>
      </c>
      <c r="L84" s="147">
        <f t="shared" si="47"/>
        <v>-0.33852903207298368</v>
      </c>
      <c r="M84" t="str">
        <f t="shared" si="48"/>
        <v>No</v>
      </c>
      <c r="N84">
        <f>COUNTIF(M$54:M84,"Yes")</f>
        <v>5</v>
      </c>
      <c r="O84" cm="1">
        <f t="array" ref="O84">INDEX($J$2:$J$7,IF(N84&gt;5,6,N84+1))</f>
        <v>1</v>
      </c>
      <c r="P84" s="147">
        <f t="shared" si="49"/>
        <v>0.33852903207298368</v>
      </c>
      <c r="T84">
        <v>31</v>
      </c>
      <c r="U84" s="147">
        <f t="shared" si="146"/>
        <v>53.040791160845636</v>
      </c>
      <c r="V84" s="147">
        <f t="shared" si="50"/>
        <v>25.608791160845634</v>
      </c>
      <c r="W84" s="147">
        <f t="shared" si="51"/>
        <v>2630.2935939070858</v>
      </c>
      <c r="X84" s="147">
        <f t="shared" si="52"/>
        <v>486.01391065036597</v>
      </c>
      <c r="Y84" s="147">
        <f t="shared" si="53"/>
        <v>1340.7487136681357</v>
      </c>
      <c r="Z84" s="147">
        <f t="shared" si="116"/>
        <v>2245.5096404836368</v>
      </c>
      <c r="AA84" s="147">
        <f t="shared" si="117"/>
        <v>7357.3666224634017</v>
      </c>
      <c r="AB84" s="147">
        <f t="shared" si="54"/>
        <v>7357.0280934313305</v>
      </c>
      <c r="AC84" s="147">
        <f t="shared" si="55"/>
        <v>-0.33852903207116469</v>
      </c>
      <c r="AD84" t="str">
        <f t="shared" si="56"/>
        <v>No</v>
      </c>
      <c r="AE84">
        <f>COUNTIF(AD$54:AD84,"Yes")</f>
        <v>5</v>
      </c>
      <c r="AF84" cm="1">
        <f t="array" ref="AF84">INDEX($J$2:$J$7,IF(AE84&gt;5,6,AE84+1))</f>
        <v>1</v>
      </c>
      <c r="AG84" s="147">
        <f t="shared" si="57"/>
        <v>0.33852903207116469</v>
      </c>
      <c r="AK84">
        <v>31</v>
      </c>
      <c r="AL84" s="147">
        <f t="shared" si="147"/>
        <v>52.865033780497249</v>
      </c>
      <c r="AM84" s="147">
        <f t="shared" si="58"/>
        <v>25.433033780497247</v>
      </c>
      <c r="AN84" s="147">
        <f t="shared" si="59"/>
        <v>2614.3877611051043</v>
      </c>
      <c r="AO84" s="147">
        <f t="shared" si="60"/>
        <v>483.0749018567663</v>
      </c>
      <c r="AP84" s="147">
        <f t="shared" si="118"/>
        <v>1384.7399575429861</v>
      </c>
      <c r="AQ84" s="147">
        <f t="shared" si="156"/>
        <v>2185.6125638068061</v>
      </c>
      <c r="AR84" s="147">
        <f t="shared" si="144"/>
        <v>7294.5305369929702</v>
      </c>
      <c r="AS84" s="147">
        <f t="shared" si="61"/>
        <v>7293.9694514114663</v>
      </c>
      <c r="AT84" s="147">
        <f t="shared" si="62"/>
        <v>-0.56108558150390309</v>
      </c>
      <c r="AU84" t="str">
        <f t="shared" si="63"/>
        <v>No</v>
      </c>
      <c r="AV84">
        <f>COUNTIF(AU$54:AU84,"Yes")</f>
        <v>5</v>
      </c>
      <c r="AW84" cm="1">
        <f t="array" ref="AW84">INDEX($J$2:$J$7,IF(AV84&gt;5,6,AV84+1))</f>
        <v>1</v>
      </c>
      <c r="AX84" s="147">
        <f t="shared" si="64"/>
        <v>0.56108558150390309</v>
      </c>
      <c r="BB84">
        <v>31</v>
      </c>
      <c r="BC84" s="147">
        <f t="shared" si="148"/>
        <v>46.619587119564621</v>
      </c>
      <c r="BD84" s="147">
        <f t="shared" si="65"/>
        <v>19.187587119564618</v>
      </c>
      <c r="BE84" s="147">
        <f t="shared" si="66"/>
        <v>2080.4947911199879</v>
      </c>
      <c r="BF84" s="147">
        <f t="shared" si="67"/>
        <v>384.42454175541752</v>
      </c>
      <c r="BG84" s="147">
        <f t="shared" si="121"/>
        <v>978.16613319366127</v>
      </c>
      <c r="BH84" s="147">
        <f t="shared" si="122"/>
        <v>2098.8702001126653</v>
      </c>
      <c r="BI84" s="147">
        <f t="shared" si="123"/>
        <v>5236.7689279067017</v>
      </c>
      <c r="BJ84" s="147">
        <f t="shared" si="68"/>
        <v>5236.5657910146083</v>
      </c>
      <c r="BK84" s="147">
        <f t="shared" si="69"/>
        <v>-0.20313689209342556</v>
      </c>
      <c r="BL84" t="str">
        <f t="shared" si="70"/>
        <v>No</v>
      </c>
      <c r="BM84">
        <f>COUNTIF(BL$54:BL84,"Yes")</f>
        <v>5</v>
      </c>
      <c r="BN84" cm="1">
        <f t="array" ref="BN84">INDEX($J$2:$J$7,IF(BM84&gt;5,6,BM84+1))</f>
        <v>1</v>
      </c>
      <c r="BO84" s="147">
        <f t="shared" si="71"/>
        <v>0.20313689209342556</v>
      </c>
      <c r="BS84">
        <v>31</v>
      </c>
      <c r="BT84" s="147">
        <f t="shared" si="149"/>
        <v>46.619587119564621</v>
      </c>
      <c r="BU84" s="147">
        <f t="shared" si="72"/>
        <v>19.187587119564618</v>
      </c>
      <c r="BV84" s="147">
        <f t="shared" si="73"/>
        <v>2080.4947911199879</v>
      </c>
      <c r="BW84" s="147">
        <f t="shared" si="74"/>
        <v>384.42454175541752</v>
      </c>
      <c r="BX84" s="147">
        <f t="shared" si="124"/>
        <v>978.16613319366127</v>
      </c>
      <c r="BY84" s="147">
        <f t="shared" si="125"/>
        <v>2098.8702001126653</v>
      </c>
      <c r="BZ84" s="147">
        <f t="shared" si="126"/>
        <v>5236.7689279067017</v>
      </c>
      <c r="CA84" s="147">
        <f t="shared" si="75"/>
        <v>5236.5657910146083</v>
      </c>
      <c r="CB84" s="147">
        <f t="shared" si="76"/>
        <v>-0.20313689209342556</v>
      </c>
      <c r="CC84" t="str">
        <f t="shared" si="77"/>
        <v>No</v>
      </c>
      <c r="CD84">
        <f>COUNTIF(CC$54:CC84,"Yes")</f>
        <v>5</v>
      </c>
      <c r="CE84" cm="1">
        <f t="array" ref="CE84">INDEX($J$2:$J$7,IF(CD84&gt;5,6,CD84+1))</f>
        <v>1</v>
      </c>
      <c r="CF84" s="147">
        <f t="shared" si="78"/>
        <v>0.20313689209342556</v>
      </c>
      <c r="CJ84">
        <v>31</v>
      </c>
      <c r="CK84" s="147">
        <f t="shared" si="150"/>
        <v>46.619587119564621</v>
      </c>
      <c r="CL84" s="147">
        <f t="shared" si="79"/>
        <v>19.187587119564618</v>
      </c>
      <c r="CM84" s="147">
        <f t="shared" si="80"/>
        <v>2080.4947911199879</v>
      </c>
      <c r="CN84" s="147">
        <f t="shared" si="81"/>
        <v>384.42454175541752</v>
      </c>
      <c r="CO84" s="147">
        <f t="shared" si="127"/>
        <v>978.16613319366127</v>
      </c>
      <c r="CP84" s="147">
        <f t="shared" si="128"/>
        <v>2098.8702001126653</v>
      </c>
      <c r="CQ84" s="147">
        <f t="shared" si="129"/>
        <v>5236.7689279067017</v>
      </c>
      <c r="CR84" s="147">
        <f t="shared" si="82"/>
        <v>5236.5657910146083</v>
      </c>
      <c r="CS84" s="147">
        <f t="shared" si="83"/>
        <v>-0.20313689209342556</v>
      </c>
      <c r="CT84" t="str">
        <f t="shared" si="84"/>
        <v>No</v>
      </c>
      <c r="CU84">
        <f>COUNTIF(CT$54:CT84,"Yes")</f>
        <v>5</v>
      </c>
      <c r="CV84" cm="1">
        <f t="array" ref="CV84">INDEX($J$2:$J$7,IF(CU84&gt;5,6,CU84+1))</f>
        <v>1</v>
      </c>
      <c r="CW84" s="147">
        <f t="shared" si="85"/>
        <v>0.20313689209342556</v>
      </c>
      <c r="DA84">
        <v>31</v>
      </c>
      <c r="DB84" s="147">
        <f t="shared" si="151"/>
        <v>45.199782303209716</v>
      </c>
      <c r="DC84" s="147">
        <f t="shared" si="86"/>
        <v>17.767782303209714</v>
      </c>
      <c r="DD84" s="147">
        <f t="shared" si="87"/>
        <v>1967.6200862079829</v>
      </c>
      <c r="DE84" s="147">
        <f t="shared" si="88"/>
        <v>363.56805756868397</v>
      </c>
      <c r="DF84" s="147">
        <f t="shared" si="130"/>
        <v>895.57081023824367</v>
      </c>
      <c r="DG84" s="147">
        <f t="shared" si="131"/>
        <v>2076.7061745444075</v>
      </c>
      <c r="DH84" s="147">
        <f t="shared" si="132"/>
        <v>4819.2746410935542</v>
      </c>
      <c r="DI84" s="147">
        <f t="shared" si="89"/>
        <v>4818.6049937299003</v>
      </c>
      <c r="DJ84" s="147">
        <f t="shared" si="90"/>
        <v>-0.66964736365389399</v>
      </c>
      <c r="DK84" t="str">
        <f t="shared" si="91"/>
        <v>No</v>
      </c>
      <c r="DL84">
        <f>COUNTIF(DK$54:DK84,"Yes")</f>
        <v>5</v>
      </c>
      <c r="DM84" cm="1">
        <f t="array" ref="DM84">INDEX($J$2:$J$7,IF(DL84&gt;5,6,DL84+1))</f>
        <v>1</v>
      </c>
      <c r="DN84" s="147">
        <f t="shared" si="92"/>
        <v>0.66964736365389399</v>
      </c>
      <c r="DR84">
        <v>31</v>
      </c>
      <c r="DS84" s="147">
        <f t="shared" si="152"/>
        <v>45.199782303209716</v>
      </c>
      <c r="DT84" s="147">
        <f t="shared" si="93"/>
        <v>17.767782303209714</v>
      </c>
      <c r="DU84" s="147">
        <f t="shared" si="94"/>
        <v>1967.6200862079829</v>
      </c>
      <c r="DV84" s="147">
        <f t="shared" si="95"/>
        <v>363.56805756868397</v>
      </c>
      <c r="DW84" s="147">
        <f t="shared" si="133"/>
        <v>895.57081023824367</v>
      </c>
      <c r="DX84" s="147">
        <f t="shared" si="134"/>
        <v>2076.7061745444075</v>
      </c>
      <c r="DY84" s="147">
        <f t="shared" si="135"/>
        <v>4819.2746410935542</v>
      </c>
      <c r="DZ84" s="147">
        <f t="shared" si="96"/>
        <v>4818.6049937299003</v>
      </c>
      <c r="EA84" s="147">
        <f t="shared" si="97"/>
        <v>-0.66964736365389399</v>
      </c>
      <c r="EB84" t="str">
        <f t="shared" si="98"/>
        <v>No</v>
      </c>
      <c r="EC84">
        <f>COUNTIF(EB$54:EB84,"Yes")</f>
        <v>5</v>
      </c>
      <c r="ED84" cm="1">
        <f t="array" ref="ED84">INDEX($J$2:$J$7,IF(EC84&gt;5,6,EC84+1))</f>
        <v>1</v>
      </c>
      <c r="EE84" s="147">
        <f t="shared" si="99"/>
        <v>0.66964736365389399</v>
      </c>
      <c r="EI84">
        <v>31</v>
      </c>
      <c r="EJ84" s="147">
        <f t="shared" si="153"/>
        <v>45.199782303209716</v>
      </c>
      <c r="EK84" s="147">
        <f t="shared" si="100"/>
        <v>17.767782303209714</v>
      </c>
      <c r="EL84" s="147">
        <f t="shared" si="101"/>
        <v>1967.6200862079829</v>
      </c>
      <c r="EM84" s="147">
        <f t="shared" si="102"/>
        <v>363.56805756868397</v>
      </c>
      <c r="EN84" s="147">
        <f t="shared" si="136"/>
        <v>895.57081023824367</v>
      </c>
      <c r="EO84" s="147">
        <f t="shared" si="137"/>
        <v>2076.7061745444075</v>
      </c>
      <c r="EP84" s="147">
        <f t="shared" si="138"/>
        <v>4819.2746410935542</v>
      </c>
      <c r="EQ84" s="147">
        <f t="shared" si="103"/>
        <v>4818.6049937299003</v>
      </c>
      <c r="ER84" s="147">
        <f t="shared" si="104"/>
        <v>-0.66964736365389399</v>
      </c>
      <c r="ES84" t="str">
        <f t="shared" si="105"/>
        <v>No</v>
      </c>
      <c r="ET84">
        <f>COUNTIF(ES$54:ES84,"Yes")</f>
        <v>5</v>
      </c>
      <c r="EU84" cm="1">
        <f t="array" ref="EU84">INDEX($J$2:$J$7,IF(ET84&gt;5,6,ET84+1))</f>
        <v>1</v>
      </c>
      <c r="EV84" s="147">
        <f t="shared" si="106"/>
        <v>0.66964736365389399</v>
      </c>
      <c r="EZ84">
        <v>31</v>
      </c>
      <c r="FA84" s="147">
        <f t="shared" si="154"/>
        <v>39.011379951183578</v>
      </c>
      <c r="FB84" s="147">
        <f t="shared" si="107"/>
        <v>11.579379951183576</v>
      </c>
      <c r="FC84" s="147">
        <f t="shared" si="108"/>
        <v>1512.4030741077106</v>
      </c>
      <c r="FD84" s="147">
        <f t="shared" si="109"/>
        <v>279.45508981560829</v>
      </c>
      <c r="FE84" s="147">
        <f t="shared" si="139"/>
        <v>578.10741885796574</v>
      </c>
      <c r="FF84" s="147">
        <f t="shared" si="140"/>
        <v>1625.6048641865862</v>
      </c>
      <c r="FG84" s="147">
        <f t="shared" si="141"/>
        <v>3212.5999038602085</v>
      </c>
      <c r="FH84" s="147">
        <f t="shared" si="110"/>
        <v>3212.130832455312</v>
      </c>
      <c r="FI84" s="147">
        <f t="shared" si="111"/>
        <v>-0.4690714048965674</v>
      </c>
      <c r="FJ84" t="str">
        <f t="shared" si="112"/>
        <v>No</v>
      </c>
      <c r="FK84">
        <f>COUNTIF(FJ$54:FJ84,"Yes")</f>
        <v>4</v>
      </c>
      <c r="FL84" cm="1">
        <f t="array" ref="FL84">INDEX($J$2:$J$7,IF(FK84&gt;5,6,FK84+1))</f>
        <v>1.0000617999999999</v>
      </c>
      <c r="FM84" s="147">
        <f t="shared" si="113"/>
        <v>0.4690714048965674</v>
      </c>
    </row>
    <row r="85" spans="3:169" x14ac:dyDescent="0.3">
      <c r="C85">
        <v>32</v>
      </c>
      <c r="D85" s="147">
        <f t="shared" si="155"/>
        <v>53.040791160845636</v>
      </c>
      <c r="E85" s="147">
        <f t="shared" si="42"/>
        <v>25.608791160845634</v>
      </c>
      <c r="F85" s="147">
        <f t="shared" si="43"/>
        <v>2630.2935939070858</v>
      </c>
      <c r="G85" s="147">
        <f t="shared" si="44"/>
        <v>486.01391065036597</v>
      </c>
      <c r="H85" s="147">
        <f t="shared" si="142"/>
        <v>1340.7487136681357</v>
      </c>
      <c r="I85" s="147">
        <f t="shared" si="114"/>
        <v>2245.5096404836386</v>
      </c>
      <c r="J85" s="147">
        <f t="shared" si="115"/>
        <v>7357.3666224634035</v>
      </c>
      <c r="K85" s="147">
        <f t="shared" si="46"/>
        <v>7357.0280934313305</v>
      </c>
      <c r="L85" s="147">
        <f t="shared" si="47"/>
        <v>-0.33852903207298368</v>
      </c>
      <c r="M85" t="str">
        <f t="shared" si="48"/>
        <v>No</v>
      </c>
      <c r="N85">
        <f>COUNTIF(M$54:M85,"Yes")</f>
        <v>5</v>
      </c>
      <c r="O85" cm="1">
        <f t="array" ref="O85">INDEX($J$2:$J$7,IF(N85&gt;5,6,N85+1))</f>
        <v>1</v>
      </c>
      <c r="P85" s="147">
        <f t="shared" si="49"/>
        <v>0.33852903207298368</v>
      </c>
      <c r="T85">
        <v>32</v>
      </c>
      <c r="U85" s="147">
        <f t="shared" si="146"/>
        <v>53.040791160845636</v>
      </c>
      <c r="V85" s="147">
        <f t="shared" si="50"/>
        <v>25.608791160845634</v>
      </c>
      <c r="W85" s="147">
        <f t="shared" si="51"/>
        <v>2630.2935939070858</v>
      </c>
      <c r="X85" s="147">
        <f t="shared" si="52"/>
        <v>486.01391065036597</v>
      </c>
      <c r="Y85" s="147">
        <f t="shared" si="53"/>
        <v>1340.7487136681357</v>
      </c>
      <c r="Z85" s="147">
        <f t="shared" si="116"/>
        <v>2245.5096404836368</v>
      </c>
      <c r="AA85" s="147">
        <f t="shared" si="117"/>
        <v>7357.3666224634017</v>
      </c>
      <c r="AB85" s="147">
        <f t="shared" si="54"/>
        <v>7357.0280934313305</v>
      </c>
      <c r="AC85" s="147">
        <f t="shared" si="55"/>
        <v>-0.33852903207116469</v>
      </c>
      <c r="AD85" t="str">
        <f t="shared" si="56"/>
        <v>No</v>
      </c>
      <c r="AE85">
        <f>COUNTIF(AD$54:AD85,"Yes")</f>
        <v>5</v>
      </c>
      <c r="AF85" cm="1">
        <f t="array" ref="AF85">INDEX($J$2:$J$7,IF(AE85&gt;5,6,AE85+1))</f>
        <v>1</v>
      </c>
      <c r="AG85" s="147">
        <f t="shared" si="57"/>
        <v>0.33852903207116469</v>
      </c>
      <c r="AK85">
        <v>32</v>
      </c>
      <c r="AL85" s="147">
        <f t="shared" si="147"/>
        <v>52.865033780497249</v>
      </c>
      <c r="AM85" s="147">
        <f t="shared" si="58"/>
        <v>25.433033780497247</v>
      </c>
      <c r="AN85" s="147">
        <f t="shared" si="59"/>
        <v>2614.3877611051043</v>
      </c>
      <c r="AO85" s="147">
        <f t="shared" si="60"/>
        <v>483.0749018567663</v>
      </c>
      <c r="AP85" s="147">
        <f t="shared" si="118"/>
        <v>1384.7399575429861</v>
      </c>
      <c r="AQ85" s="147">
        <f t="shared" si="156"/>
        <v>2185.6125638068061</v>
      </c>
      <c r="AR85" s="147">
        <f t="shared" si="144"/>
        <v>7294.5305369929702</v>
      </c>
      <c r="AS85" s="147">
        <f t="shared" si="61"/>
        <v>7293.9694514114663</v>
      </c>
      <c r="AT85" s="147">
        <f t="shared" si="62"/>
        <v>-0.56108558150390309</v>
      </c>
      <c r="AU85" t="str">
        <f t="shared" si="63"/>
        <v>No</v>
      </c>
      <c r="AV85">
        <f>COUNTIF(AU$54:AU85,"Yes")</f>
        <v>5</v>
      </c>
      <c r="AW85" cm="1">
        <f t="array" ref="AW85">INDEX($J$2:$J$7,IF(AV85&gt;5,6,AV85+1))</f>
        <v>1</v>
      </c>
      <c r="AX85" s="147">
        <f t="shared" si="64"/>
        <v>0.56108558150390309</v>
      </c>
      <c r="BB85">
        <v>32</v>
      </c>
      <c r="BC85" s="147">
        <f t="shared" si="148"/>
        <v>46.619587119564621</v>
      </c>
      <c r="BD85" s="147">
        <f t="shared" si="65"/>
        <v>19.187587119564618</v>
      </c>
      <c r="BE85" s="147">
        <f t="shared" si="66"/>
        <v>2080.4947911199879</v>
      </c>
      <c r="BF85" s="147">
        <f t="shared" si="67"/>
        <v>384.42454175541752</v>
      </c>
      <c r="BG85" s="147">
        <f t="shared" si="121"/>
        <v>978.16613319366127</v>
      </c>
      <c r="BH85" s="147">
        <f t="shared" si="122"/>
        <v>2098.8702001126653</v>
      </c>
      <c r="BI85" s="147">
        <f t="shared" si="123"/>
        <v>5236.7689279067017</v>
      </c>
      <c r="BJ85" s="147">
        <f t="shared" si="68"/>
        <v>5236.5657910146083</v>
      </c>
      <c r="BK85" s="147">
        <f t="shared" si="69"/>
        <v>-0.20313689209342556</v>
      </c>
      <c r="BL85" t="str">
        <f t="shared" si="70"/>
        <v>No</v>
      </c>
      <c r="BM85">
        <f>COUNTIF(BL$54:BL85,"Yes")</f>
        <v>5</v>
      </c>
      <c r="BN85" cm="1">
        <f t="array" ref="BN85">INDEX($J$2:$J$7,IF(BM85&gt;5,6,BM85+1))</f>
        <v>1</v>
      </c>
      <c r="BO85" s="147">
        <f t="shared" si="71"/>
        <v>0.20313689209342556</v>
      </c>
      <c r="BS85">
        <v>32</v>
      </c>
      <c r="BT85" s="147">
        <f t="shared" si="149"/>
        <v>46.619587119564621</v>
      </c>
      <c r="BU85" s="147">
        <f t="shared" si="72"/>
        <v>19.187587119564618</v>
      </c>
      <c r="BV85" s="147">
        <f t="shared" si="73"/>
        <v>2080.4947911199879</v>
      </c>
      <c r="BW85" s="147">
        <f t="shared" si="74"/>
        <v>384.42454175541752</v>
      </c>
      <c r="BX85" s="147">
        <f t="shared" si="124"/>
        <v>978.16613319366127</v>
      </c>
      <c r="BY85" s="147">
        <f t="shared" si="125"/>
        <v>2098.8702001126653</v>
      </c>
      <c r="BZ85" s="147">
        <f t="shared" si="126"/>
        <v>5236.7689279067017</v>
      </c>
      <c r="CA85" s="147">
        <f t="shared" si="75"/>
        <v>5236.5657910146083</v>
      </c>
      <c r="CB85" s="147">
        <f t="shared" si="76"/>
        <v>-0.20313689209342556</v>
      </c>
      <c r="CC85" t="str">
        <f t="shared" si="77"/>
        <v>No</v>
      </c>
      <c r="CD85">
        <f>COUNTIF(CC$54:CC85,"Yes")</f>
        <v>5</v>
      </c>
      <c r="CE85" cm="1">
        <f t="array" ref="CE85">INDEX($J$2:$J$7,IF(CD85&gt;5,6,CD85+1))</f>
        <v>1</v>
      </c>
      <c r="CF85" s="147">
        <f t="shared" si="78"/>
        <v>0.20313689209342556</v>
      </c>
      <c r="CJ85">
        <v>32</v>
      </c>
      <c r="CK85" s="147">
        <f t="shared" si="150"/>
        <v>46.619587119564621</v>
      </c>
      <c r="CL85" s="147">
        <f t="shared" si="79"/>
        <v>19.187587119564618</v>
      </c>
      <c r="CM85" s="147">
        <f t="shared" si="80"/>
        <v>2080.4947911199879</v>
      </c>
      <c r="CN85" s="147">
        <f t="shared" si="81"/>
        <v>384.42454175541752</v>
      </c>
      <c r="CO85" s="147">
        <f t="shared" si="127"/>
        <v>978.16613319366127</v>
      </c>
      <c r="CP85" s="147">
        <f t="shared" si="128"/>
        <v>2098.8702001126653</v>
      </c>
      <c r="CQ85" s="147">
        <f t="shared" si="129"/>
        <v>5236.7689279067017</v>
      </c>
      <c r="CR85" s="147">
        <f t="shared" si="82"/>
        <v>5236.5657910146083</v>
      </c>
      <c r="CS85" s="147">
        <f t="shared" si="83"/>
        <v>-0.20313689209342556</v>
      </c>
      <c r="CT85" t="str">
        <f t="shared" si="84"/>
        <v>No</v>
      </c>
      <c r="CU85">
        <f>COUNTIF(CT$54:CT85,"Yes")</f>
        <v>5</v>
      </c>
      <c r="CV85" cm="1">
        <f t="array" ref="CV85">INDEX($J$2:$J$7,IF(CU85&gt;5,6,CU85+1))</f>
        <v>1</v>
      </c>
      <c r="CW85" s="147">
        <f t="shared" si="85"/>
        <v>0.20313689209342556</v>
      </c>
      <c r="DA85">
        <v>32</v>
      </c>
      <c r="DB85" s="147">
        <f t="shared" si="151"/>
        <v>45.199782303209716</v>
      </c>
      <c r="DC85" s="147">
        <f t="shared" si="86"/>
        <v>17.767782303209714</v>
      </c>
      <c r="DD85" s="147">
        <f t="shared" si="87"/>
        <v>1967.6200862079829</v>
      </c>
      <c r="DE85" s="147">
        <f t="shared" si="88"/>
        <v>363.56805756868397</v>
      </c>
      <c r="DF85" s="147">
        <f t="shared" si="130"/>
        <v>895.57081023824367</v>
      </c>
      <c r="DG85" s="147">
        <f t="shared" si="131"/>
        <v>2076.7061745444075</v>
      </c>
      <c r="DH85" s="147">
        <f t="shared" si="132"/>
        <v>4819.2746410935542</v>
      </c>
      <c r="DI85" s="147">
        <f t="shared" si="89"/>
        <v>4818.6049937299003</v>
      </c>
      <c r="DJ85" s="147">
        <f t="shared" si="90"/>
        <v>-0.66964736365389399</v>
      </c>
      <c r="DK85" t="str">
        <f t="shared" si="91"/>
        <v>No</v>
      </c>
      <c r="DL85">
        <f>COUNTIF(DK$54:DK85,"Yes")</f>
        <v>5</v>
      </c>
      <c r="DM85" cm="1">
        <f t="array" ref="DM85">INDEX($J$2:$J$7,IF(DL85&gt;5,6,DL85+1))</f>
        <v>1</v>
      </c>
      <c r="DN85" s="147">
        <f t="shared" si="92"/>
        <v>0.66964736365389399</v>
      </c>
      <c r="DR85">
        <v>32</v>
      </c>
      <c r="DS85" s="147">
        <f t="shared" si="152"/>
        <v>45.199782303209716</v>
      </c>
      <c r="DT85" s="147">
        <f t="shared" si="93"/>
        <v>17.767782303209714</v>
      </c>
      <c r="DU85" s="147">
        <f t="shared" si="94"/>
        <v>1967.6200862079829</v>
      </c>
      <c r="DV85" s="147">
        <f t="shared" si="95"/>
        <v>363.56805756868397</v>
      </c>
      <c r="DW85" s="147">
        <f t="shared" si="133"/>
        <v>895.57081023824367</v>
      </c>
      <c r="DX85" s="147">
        <f t="shared" si="134"/>
        <v>2076.7061745444075</v>
      </c>
      <c r="DY85" s="147">
        <f t="shared" si="135"/>
        <v>4819.2746410935542</v>
      </c>
      <c r="DZ85" s="147">
        <f t="shared" si="96"/>
        <v>4818.6049937299003</v>
      </c>
      <c r="EA85" s="147">
        <f t="shared" si="97"/>
        <v>-0.66964736365389399</v>
      </c>
      <c r="EB85" t="str">
        <f t="shared" si="98"/>
        <v>No</v>
      </c>
      <c r="EC85">
        <f>COUNTIF(EB$54:EB85,"Yes")</f>
        <v>5</v>
      </c>
      <c r="ED85" cm="1">
        <f t="array" ref="ED85">INDEX($J$2:$J$7,IF(EC85&gt;5,6,EC85+1))</f>
        <v>1</v>
      </c>
      <c r="EE85" s="147">
        <f t="shared" si="99"/>
        <v>0.66964736365389399</v>
      </c>
      <c r="EI85">
        <v>32</v>
      </c>
      <c r="EJ85" s="147">
        <f t="shared" si="153"/>
        <v>45.199782303209716</v>
      </c>
      <c r="EK85" s="147">
        <f t="shared" si="100"/>
        <v>17.767782303209714</v>
      </c>
      <c r="EL85" s="147">
        <f t="shared" si="101"/>
        <v>1967.6200862079829</v>
      </c>
      <c r="EM85" s="147">
        <f t="shared" si="102"/>
        <v>363.56805756868397</v>
      </c>
      <c r="EN85" s="147">
        <f t="shared" si="136"/>
        <v>895.57081023824367</v>
      </c>
      <c r="EO85" s="147">
        <f t="shared" si="137"/>
        <v>2076.7061745444075</v>
      </c>
      <c r="EP85" s="147">
        <f t="shared" si="138"/>
        <v>4819.2746410935542</v>
      </c>
      <c r="EQ85" s="147">
        <f t="shared" si="103"/>
        <v>4818.6049937299003</v>
      </c>
      <c r="ER85" s="147">
        <f t="shared" si="104"/>
        <v>-0.66964736365389399</v>
      </c>
      <c r="ES85" t="str">
        <f t="shared" si="105"/>
        <v>No</v>
      </c>
      <c r="ET85">
        <f>COUNTIF(ES$54:ES85,"Yes")</f>
        <v>5</v>
      </c>
      <c r="EU85" cm="1">
        <f t="array" ref="EU85">INDEX($J$2:$J$7,IF(ET85&gt;5,6,ET85+1))</f>
        <v>1</v>
      </c>
      <c r="EV85" s="147">
        <f t="shared" si="106"/>
        <v>0.66964736365389399</v>
      </c>
      <c r="EZ85">
        <v>32</v>
      </c>
      <c r="FA85" s="147">
        <f t="shared" si="154"/>
        <v>39.01379085446456</v>
      </c>
      <c r="FB85" s="147">
        <f t="shared" si="107"/>
        <v>11.581790854464558</v>
      </c>
      <c r="FC85" s="147">
        <f t="shared" si="108"/>
        <v>1512.5687747699899</v>
      </c>
      <c r="FD85" s="147">
        <f t="shared" si="109"/>
        <v>279.48570724442243</v>
      </c>
      <c r="FE85" s="147">
        <f t="shared" si="139"/>
        <v>578.21762297391706</v>
      </c>
      <c r="FF85" s="147">
        <f t="shared" si="140"/>
        <v>1625.6603607329139</v>
      </c>
      <c r="FG85" s="147">
        <f t="shared" si="141"/>
        <v>3212.6860178353504</v>
      </c>
      <c r="FH85" s="147">
        <f t="shared" si="110"/>
        <v>3212.6885032594068</v>
      </c>
      <c r="FI85" s="147">
        <f t="shared" si="111"/>
        <v>2.4854240564309293E-3</v>
      </c>
      <c r="FJ85" t="str">
        <f t="shared" si="112"/>
        <v>Yes</v>
      </c>
      <c r="FK85">
        <f>COUNTIF(FJ$54:FJ85,"Yes")</f>
        <v>5</v>
      </c>
      <c r="FL85" cm="1">
        <f t="array" ref="FL85">INDEX($J$2:$J$7,IF(FK85&gt;5,6,FK85+1))</f>
        <v>1</v>
      </c>
      <c r="FM85" s="147">
        <f t="shared" si="113"/>
        <v>2.4854240564309293E-3</v>
      </c>
    </row>
    <row r="86" spans="3:169" x14ac:dyDescent="0.3">
      <c r="C86">
        <v>33</v>
      </c>
      <c r="D86" s="147">
        <f t="shared" si="155"/>
        <v>53.040791160845636</v>
      </c>
      <c r="E86" s="147">
        <f t="shared" si="42"/>
        <v>25.608791160845634</v>
      </c>
      <c r="F86" s="147">
        <f t="shared" si="43"/>
        <v>2630.2935939070858</v>
      </c>
      <c r="G86" s="147">
        <f t="shared" si="44"/>
        <v>486.01391065036597</v>
      </c>
      <c r="H86" s="147">
        <f t="shared" si="142"/>
        <v>1340.7487136681357</v>
      </c>
      <c r="I86" s="147">
        <f t="shared" si="114"/>
        <v>2245.5096404836386</v>
      </c>
      <c r="J86" s="147">
        <f t="shared" si="115"/>
        <v>7357.3666224634035</v>
      </c>
      <c r="K86" s="147">
        <f t="shared" si="46"/>
        <v>7357.0280934313305</v>
      </c>
      <c r="L86" s="147">
        <f t="shared" si="47"/>
        <v>-0.33852903207298368</v>
      </c>
      <c r="M86" t="str">
        <f t="shared" si="48"/>
        <v>No</v>
      </c>
      <c r="N86">
        <f>COUNTIF(M$54:M86,"Yes")</f>
        <v>5</v>
      </c>
      <c r="O86" cm="1">
        <f t="array" ref="O86">INDEX($J$2:$J$7,IF(N86&gt;5,6,N86+1))</f>
        <v>1</v>
      </c>
      <c r="P86" s="147">
        <f t="shared" si="49"/>
        <v>0.33852903207298368</v>
      </c>
      <c r="T86">
        <v>33</v>
      </c>
      <c r="U86" s="147">
        <f t="shared" si="146"/>
        <v>53.040791160845636</v>
      </c>
      <c r="V86" s="147">
        <f t="shared" si="50"/>
        <v>25.608791160845634</v>
      </c>
      <c r="W86" s="147">
        <f t="shared" si="51"/>
        <v>2630.2935939070858</v>
      </c>
      <c r="X86" s="147">
        <f t="shared" si="52"/>
        <v>486.01391065036597</v>
      </c>
      <c r="Y86" s="147">
        <f t="shared" si="53"/>
        <v>1340.7487136681357</v>
      </c>
      <c r="Z86" s="147">
        <f t="shared" si="116"/>
        <v>2245.5096404836368</v>
      </c>
      <c r="AA86" s="147">
        <f t="shared" si="117"/>
        <v>7357.3666224634017</v>
      </c>
      <c r="AB86" s="147">
        <f t="shared" si="54"/>
        <v>7357.0280934313305</v>
      </c>
      <c r="AC86" s="147">
        <f t="shared" si="55"/>
        <v>-0.33852903207116469</v>
      </c>
      <c r="AD86" t="str">
        <f t="shared" si="56"/>
        <v>No</v>
      </c>
      <c r="AE86">
        <f>COUNTIF(AD$54:AD86,"Yes")</f>
        <v>5</v>
      </c>
      <c r="AF86" cm="1">
        <f t="array" ref="AF86">INDEX($J$2:$J$7,IF(AE86&gt;5,6,AE86+1))</f>
        <v>1</v>
      </c>
      <c r="AG86" s="147">
        <f t="shared" si="57"/>
        <v>0.33852903207116469</v>
      </c>
      <c r="AK86">
        <v>33</v>
      </c>
      <c r="AL86" s="147">
        <f t="shared" si="147"/>
        <v>52.865033780497249</v>
      </c>
      <c r="AM86" s="147">
        <f t="shared" si="58"/>
        <v>25.433033780497247</v>
      </c>
      <c r="AN86" s="147">
        <f t="shared" si="59"/>
        <v>2614.3877611051043</v>
      </c>
      <c r="AO86" s="147">
        <f t="shared" si="60"/>
        <v>483.0749018567663</v>
      </c>
      <c r="AP86" s="147">
        <f t="shared" si="118"/>
        <v>1384.7399575429861</v>
      </c>
      <c r="AQ86" s="147">
        <f t="shared" si="156"/>
        <v>2185.6125638068061</v>
      </c>
      <c r="AR86" s="147">
        <f t="shared" si="144"/>
        <v>7294.5305369929702</v>
      </c>
      <c r="AS86" s="147">
        <f t="shared" si="61"/>
        <v>7293.9694514114663</v>
      </c>
      <c r="AT86" s="147">
        <f t="shared" si="62"/>
        <v>-0.56108558150390309</v>
      </c>
      <c r="AU86" t="str">
        <f t="shared" si="63"/>
        <v>No</v>
      </c>
      <c r="AV86">
        <f>COUNTIF(AU$54:AU86,"Yes")</f>
        <v>5</v>
      </c>
      <c r="AW86" cm="1">
        <f t="array" ref="AW86">INDEX($J$2:$J$7,IF(AV86&gt;5,6,AV86+1))</f>
        <v>1</v>
      </c>
      <c r="AX86" s="147">
        <f t="shared" si="64"/>
        <v>0.56108558150390309</v>
      </c>
      <c r="BB86">
        <v>33</v>
      </c>
      <c r="BC86" s="147">
        <f t="shared" si="148"/>
        <v>46.619587119564621</v>
      </c>
      <c r="BD86" s="147">
        <f t="shared" si="65"/>
        <v>19.187587119564618</v>
      </c>
      <c r="BE86" s="147">
        <f t="shared" si="66"/>
        <v>2080.4947911199879</v>
      </c>
      <c r="BF86" s="147">
        <f t="shared" si="67"/>
        <v>384.42454175541752</v>
      </c>
      <c r="BG86" s="147">
        <f t="shared" si="121"/>
        <v>978.16613319366127</v>
      </c>
      <c r="BH86" s="147">
        <f t="shared" si="122"/>
        <v>2098.8702001126653</v>
      </c>
      <c r="BI86" s="147">
        <f t="shared" si="123"/>
        <v>5236.7689279067017</v>
      </c>
      <c r="BJ86" s="147">
        <f t="shared" si="68"/>
        <v>5236.5657910146083</v>
      </c>
      <c r="BK86" s="147">
        <f t="shared" si="69"/>
        <v>-0.20313689209342556</v>
      </c>
      <c r="BL86" t="str">
        <f t="shared" si="70"/>
        <v>No</v>
      </c>
      <c r="BM86">
        <f>COUNTIF(BL$54:BL86,"Yes")</f>
        <v>5</v>
      </c>
      <c r="BN86" cm="1">
        <f t="array" ref="BN86">INDEX($J$2:$J$7,IF(BM86&gt;5,6,BM86+1))</f>
        <v>1</v>
      </c>
      <c r="BO86" s="147">
        <f t="shared" si="71"/>
        <v>0.20313689209342556</v>
      </c>
      <c r="BS86">
        <v>33</v>
      </c>
      <c r="BT86" s="147">
        <f t="shared" si="149"/>
        <v>46.619587119564621</v>
      </c>
      <c r="BU86" s="147">
        <f t="shared" si="72"/>
        <v>19.187587119564618</v>
      </c>
      <c r="BV86" s="147">
        <f t="shared" si="73"/>
        <v>2080.4947911199879</v>
      </c>
      <c r="BW86" s="147">
        <f t="shared" si="74"/>
        <v>384.42454175541752</v>
      </c>
      <c r="BX86" s="147">
        <f t="shared" si="124"/>
        <v>978.16613319366127</v>
      </c>
      <c r="BY86" s="147">
        <f t="shared" si="125"/>
        <v>2098.8702001126653</v>
      </c>
      <c r="BZ86" s="147">
        <f t="shared" si="126"/>
        <v>5236.7689279067017</v>
      </c>
      <c r="CA86" s="147">
        <f t="shared" si="75"/>
        <v>5236.5657910146083</v>
      </c>
      <c r="CB86" s="147">
        <f t="shared" si="76"/>
        <v>-0.20313689209342556</v>
      </c>
      <c r="CC86" t="str">
        <f t="shared" si="77"/>
        <v>No</v>
      </c>
      <c r="CD86">
        <f>COUNTIF(CC$54:CC86,"Yes")</f>
        <v>5</v>
      </c>
      <c r="CE86" cm="1">
        <f t="array" ref="CE86">INDEX($J$2:$J$7,IF(CD86&gt;5,6,CD86+1))</f>
        <v>1</v>
      </c>
      <c r="CF86" s="147">
        <f t="shared" si="78"/>
        <v>0.20313689209342556</v>
      </c>
      <c r="CJ86">
        <v>33</v>
      </c>
      <c r="CK86" s="147">
        <f t="shared" si="150"/>
        <v>46.619587119564621</v>
      </c>
      <c r="CL86" s="147">
        <f t="shared" si="79"/>
        <v>19.187587119564618</v>
      </c>
      <c r="CM86" s="147">
        <f t="shared" si="80"/>
        <v>2080.4947911199879</v>
      </c>
      <c r="CN86" s="147">
        <f t="shared" si="81"/>
        <v>384.42454175541752</v>
      </c>
      <c r="CO86" s="147">
        <f t="shared" si="127"/>
        <v>978.16613319366127</v>
      </c>
      <c r="CP86" s="147">
        <f t="shared" si="128"/>
        <v>2098.8702001126653</v>
      </c>
      <c r="CQ86" s="147">
        <f t="shared" si="129"/>
        <v>5236.7689279067017</v>
      </c>
      <c r="CR86" s="147">
        <f t="shared" si="82"/>
        <v>5236.5657910146083</v>
      </c>
      <c r="CS86" s="147">
        <f t="shared" si="83"/>
        <v>-0.20313689209342556</v>
      </c>
      <c r="CT86" t="str">
        <f t="shared" si="84"/>
        <v>No</v>
      </c>
      <c r="CU86">
        <f>COUNTIF(CT$54:CT86,"Yes")</f>
        <v>5</v>
      </c>
      <c r="CV86" cm="1">
        <f t="array" ref="CV86">INDEX($J$2:$J$7,IF(CU86&gt;5,6,CU86+1))</f>
        <v>1</v>
      </c>
      <c r="CW86" s="147">
        <f t="shared" si="85"/>
        <v>0.20313689209342556</v>
      </c>
      <c r="DA86">
        <v>33</v>
      </c>
      <c r="DB86" s="147">
        <f t="shared" si="151"/>
        <v>45.199782303209716</v>
      </c>
      <c r="DC86" s="147">
        <f t="shared" si="86"/>
        <v>17.767782303209714</v>
      </c>
      <c r="DD86" s="147">
        <f t="shared" si="87"/>
        <v>1967.6200862079829</v>
      </c>
      <c r="DE86" s="147">
        <f t="shared" si="88"/>
        <v>363.56805756868397</v>
      </c>
      <c r="DF86" s="147">
        <f t="shared" si="130"/>
        <v>895.57081023824367</v>
      </c>
      <c r="DG86" s="147">
        <f t="shared" si="131"/>
        <v>2076.7061745444075</v>
      </c>
      <c r="DH86" s="147">
        <f t="shared" si="132"/>
        <v>4819.2746410935542</v>
      </c>
      <c r="DI86" s="147">
        <f t="shared" si="89"/>
        <v>4818.6049937299003</v>
      </c>
      <c r="DJ86" s="147">
        <f t="shared" si="90"/>
        <v>-0.66964736365389399</v>
      </c>
      <c r="DK86" t="str">
        <f t="shared" si="91"/>
        <v>No</v>
      </c>
      <c r="DL86">
        <f>COUNTIF(DK$54:DK86,"Yes")</f>
        <v>5</v>
      </c>
      <c r="DM86" cm="1">
        <f t="array" ref="DM86">INDEX($J$2:$J$7,IF(DL86&gt;5,6,DL86+1))</f>
        <v>1</v>
      </c>
      <c r="DN86" s="147">
        <f t="shared" si="92"/>
        <v>0.66964736365389399</v>
      </c>
      <c r="DR86">
        <v>33</v>
      </c>
      <c r="DS86" s="147">
        <f t="shared" si="152"/>
        <v>45.199782303209716</v>
      </c>
      <c r="DT86" s="147">
        <f t="shared" si="93"/>
        <v>17.767782303209714</v>
      </c>
      <c r="DU86" s="147">
        <f t="shared" si="94"/>
        <v>1967.6200862079829</v>
      </c>
      <c r="DV86" s="147">
        <f t="shared" si="95"/>
        <v>363.56805756868397</v>
      </c>
      <c r="DW86" s="147">
        <f t="shared" si="133"/>
        <v>895.57081023824367</v>
      </c>
      <c r="DX86" s="147">
        <f t="shared" si="134"/>
        <v>2076.7061745444075</v>
      </c>
      <c r="DY86" s="147">
        <f t="shared" si="135"/>
        <v>4819.2746410935542</v>
      </c>
      <c r="DZ86" s="147">
        <f t="shared" si="96"/>
        <v>4818.6049937299003</v>
      </c>
      <c r="EA86" s="147">
        <f t="shared" si="97"/>
        <v>-0.66964736365389399</v>
      </c>
      <c r="EB86" t="str">
        <f t="shared" si="98"/>
        <v>No</v>
      </c>
      <c r="EC86">
        <f>COUNTIF(EB$54:EB86,"Yes")</f>
        <v>5</v>
      </c>
      <c r="ED86" cm="1">
        <f t="array" ref="ED86">INDEX($J$2:$J$7,IF(EC86&gt;5,6,EC86+1))</f>
        <v>1</v>
      </c>
      <c r="EE86" s="147">
        <f t="shared" si="99"/>
        <v>0.66964736365389399</v>
      </c>
      <c r="EI86">
        <v>33</v>
      </c>
      <c r="EJ86" s="147">
        <f t="shared" si="153"/>
        <v>45.199782303209716</v>
      </c>
      <c r="EK86" s="147">
        <f t="shared" si="100"/>
        <v>17.767782303209714</v>
      </c>
      <c r="EL86" s="147">
        <f t="shared" si="101"/>
        <v>1967.6200862079829</v>
      </c>
      <c r="EM86" s="147">
        <f t="shared" si="102"/>
        <v>363.56805756868397</v>
      </c>
      <c r="EN86" s="147">
        <f t="shared" si="136"/>
        <v>895.57081023824367</v>
      </c>
      <c r="EO86" s="147">
        <f t="shared" si="137"/>
        <v>2076.7061745444075</v>
      </c>
      <c r="EP86" s="147">
        <f t="shared" si="138"/>
        <v>4819.2746410935542</v>
      </c>
      <c r="EQ86" s="147">
        <f t="shared" si="103"/>
        <v>4818.6049937299003</v>
      </c>
      <c r="ER86" s="147">
        <f t="shared" si="104"/>
        <v>-0.66964736365389399</v>
      </c>
      <c r="ES86" t="str">
        <f t="shared" si="105"/>
        <v>No</v>
      </c>
      <c r="ET86">
        <f>COUNTIF(ES$54:ES86,"Yes")</f>
        <v>5</v>
      </c>
      <c r="EU86" cm="1">
        <f t="array" ref="EU86">INDEX($J$2:$J$7,IF(ET86&gt;5,6,ET86+1))</f>
        <v>1</v>
      </c>
      <c r="EV86" s="147">
        <f t="shared" si="106"/>
        <v>0.66964736365389399</v>
      </c>
      <c r="EZ86">
        <v>33</v>
      </c>
      <c r="FA86" s="147">
        <f t="shared" si="154"/>
        <v>39.011379951183578</v>
      </c>
      <c r="FB86" s="147">
        <f t="shared" si="107"/>
        <v>11.579379951183576</v>
      </c>
      <c r="FC86" s="147">
        <f t="shared" si="108"/>
        <v>1512.4030741077106</v>
      </c>
      <c r="FD86" s="147">
        <f t="shared" si="109"/>
        <v>279.45508981560829</v>
      </c>
      <c r="FE86" s="147">
        <f t="shared" si="139"/>
        <v>578.10741885796574</v>
      </c>
      <c r="FF86" s="147">
        <f t="shared" si="140"/>
        <v>1625.6048641865862</v>
      </c>
      <c r="FG86" s="147">
        <f t="shared" si="141"/>
        <v>3212.5999038602085</v>
      </c>
      <c r="FH86" s="147">
        <f t="shared" si="110"/>
        <v>3212.130832455312</v>
      </c>
      <c r="FI86" s="147">
        <f t="shared" si="111"/>
        <v>-0.4690714048965674</v>
      </c>
      <c r="FJ86" t="str">
        <f t="shared" si="112"/>
        <v>No</v>
      </c>
      <c r="FK86">
        <f>COUNTIF(FJ$54:FJ86,"Yes")</f>
        <v>5</v>
      </c>
      <c r="FL86" cm="1">
        <f t="array" ref="FL86">INDEX($J$2:$J$7,IF(FK86&gt;5,6,FK86+1))</f>
        <v>1</v>
      </c>
      <c r="FM86" s="147">
        <f t="shared" si="113"/>
        <v>0.4690714048965674</v>
      </c>
    </row>
    <row r="87" spans="3:169" x14ac:dyDescent="0.3">
      <c r="C87">
        <v>34</v>
      </c>
      <c r="D87" s="147">
        <f t="shared" si="155"/>
        <v>53.040791160845636</v>
      </c>
      <c r="E87" s="147">
        <f t="shared" si="42"/>
        <v>25.608791160845634</v>
      </c>
      <c r="F87" s="147">
        <f t="shared" si="43"/>
        <v>2630.2935939070858</v>
      </c>
      <c r="G87" s="147">
        <f t="shared" si="44"/>
        <v>486.01391065036597</v>
      </c>
      <c r="H87" s="147">
        <f t="shared" si="142"/>
        <v>1340.7487136681357</v>
      </c>
      <c r="I87" s="147">
        <f t="shared" si="114"/>
        <v>2245.5096404836386</v>
      </c>
      <c r="J87" s="147">
        <f t="shared" si="115"/>
        <v>7357.3666224634035</v>
      </c>
      <c r="K87" s="147">
        <f t="shared" si="46"/>
        <v>7357.0280934313305</v>
      </c>
      <c r="L87" s="147">
        <f t="shared" si="47"/>
        <v>-0.33852903207298368</v>
      </c>
      <c r="M87" t="str">
        <f t="shared" si="48"/>
        <v>No</v>
      </c>
      <c r="N87">
        <f>COUNTIF(M$54:M87,"Yes")</f>
        <v>5</v>
      </c>
      <c r="O87" cm="1">
        <f t="array" ref="O87">INDEX($J$2:$J$7,IF(N87&gt;5,6,N87+1))</f>
        <v>1</v>
      </c>
      <c r="P87" s="147">
        <f t="shared" si="49"/>
        <v>0.33852903207298368</v>
      </c>
      <c r="T87">
        <v>34</v>
      </c>
      <c r="U87" s="147">
        <f t="shared" si="146"/>
        <v>53.040791160845636</v>
      </c>
      <c r="V87" s="147">
        <f t="shared" si="50"/>
        <v>25.608791160845634</v>
      </c>
      <c r="W87" s="147">
        <f t="shared" si="51"/>
        <v>2630.2935939070858</v>
      </c>
      <c r="X87" s="147">
        <f t="shared" si="52"/>
        <v>486.01391065036597</v>
      </c>
      <c r="Y87" s="147">
        <f t="shared" si="53"/>
        <v>1340.7487136681357</v>
      </c>
      <c r="Z87" s="147">
        <f t="shared" si="116"/>
        <v>2245.5096404836368</v>
      </c>
      <c r="AA87" s="147">
        <f t="shared" si="117"/>
        <v>7357.3666224634017</v>
      </c>
      <c r="AB87" s="147">
        <f t="shared" si="54"/>
        <v>7357.0280934313305</v>
      </c>
      <c r="AC87" s="147">
        <f t="shared" si="55"/>
        <v>-0.33852903207116469</v>
      </c>
      <c r="AD87" t="str">
        <f t="shared" si="56"/>
        <v>No</v>
      </c>
      <c r="AE87">
        <f>COUNTIF(AD$54:AD87,"Yes")</f>
        <v>5</v>
      </c>
      <c r="AF87" cm="1">
        <f t="array" ref="AF87">INDEX($J$2:$J$7,IF(AE87&gt;5,6,AE87+1))</f>
        <v>1</v>
      </c>
      <c r="AG87" s="147">
        <f t="shared" si="57"/>
        <v>0.33852903207116469</v>
      </c>
      <c r="AK87">
        <v>34</v>
      </c>
      <c r="AL87" s="147">
        <f t="shared" si="147"/>
        <v>52.865033780497249</v>
      </c>
      <c r="AM87" s="147">
        <f t="shared" si="58"/>
        <v>25.433033780497247</v>
      </c>
      <c r="AN87" s="147">
        <f t="shared" si="59"/>
        <v>2614.3877611051043</v>
      </c>
      <c r="AO87" s="147">
        <f t="shared" si="60"/>
        <v>483.0749018567663</v>
      </c>
      <c r="AP87" s="147">
        <f t="shared" si="118"/>
        <v>1384.7399575429861</v>
      </c>
      <c r="AQ87" s="147">
        <f t="shared" si="156"/>
        <v>2185.6125638068061</v>
      </c>
      <c r="AR87" s="147">
        <f t="shared" si="144"/>
        <v>7294.5305369929702</v>
      </c>
      <c r="AS87" s="147">
        <f t="shared" si="61"/>
        <v>7293.9694514114663</v>
      </c>
      <c r="AT87" s="147">
        <f t="shared" si="62"/>
        <v>-0.56108558150390309</v>
      </c>
      <c r="AU87" t="str">
        <f t="shared" si="63"/>
        <v>No</v>
      </c>
      <c r="AV87">
        <f>COUNTIF(AU$54:AU87,"Yes")</f>
        <v>5</v>
      </c>
      <c r="AW87" cm="1">
        <f t="array" ref="AW87">INDEX($J$2:$J$7,IF(AV87&gt;5,6,AV87+1))</f>
        <v>1</v>
      </c>
      <c r="AX87" s="147">
        <f t="shared" si="64"/>
        <v>0.56108558150390309</v>
      </c>
      <c r="BB87">
        <v>34</v>
      </c>
      <c r="BC87" s="147">
        <f t="shared" si="148"/>
        <v>46.619587119564621</v>
      </c>
      <c r="BD87" s="147">
        <f t="shared" si="65"/>
        <v>19.187587119564618</v>
      </c>
      <c r="BE87" s="147">
        <f t="shared" si="66"/>
        <v>2080.4947911199879</v>
      </c>
      <c r="BF87" s="147">
        <f t="shared" si="67"/>
        <v>384.42454175541752</v>
      </c>
      <c r="BG87" s="147">
        <f t="shared" si="121"/>
        <v>978.16613319366127</v>
      </c>
      <c r="BH87" s="147">
        <f t="shared" si="122"/>
        <v>2098.8702001126653</v>
      </c>
      <c r="BI87" s="147">
        <f t="shared" si="123"/>
        <v>5236.7689279067017</v>
      </c>
      <c r="BJ87" s="147">
        <f t="shared" si="68"/>
        <v>5236.5657910146083</v>
      </c>
      <c r="BK87" s="147">
        <f t="shared" si="69"/>
        <v>-0.20313689209342556</v>
      </c>
      <c r="BL87" t="str">
        <f t="shared" si="70"/>
        <v>No</v>
      </c>
      <c r="BM87">
        <f>COUNTIF(BL$54:BL87,"Yes")</f>
        <v>5</v>
      </c>
      <c r="BN87" cm="1">
        <f t="array" ref="BN87">INDEX($J$2:$J$7,IF(BM87&gt;5,6,BM87+1))</f>
        <v>1</v>
      </c>
      <c r="BO87" s="147">
        <f t="shared" si="71"/>
        <v>0.20313689209342556</v>
      </c>
      <c r="BS87">
        <v>34</v>
      </c>
      <c r="BT87" s="147">
        <f t="shared" si="149"/>
        <v>46.619587119564621</v>
      </c>
      <c r="BU87" s="147">
        <f t="shared" si="72"/>
        <v>19.187587119564618</v>
      </c>
      <c r="BV87" s="147">
        <f t="shared" si="73"/>
        <v>2080.4947911199879</v>
      </c>
      <c r="BW87" s="147">
        <f t="shared" si="74"/>
        <v>384.42454175541752</v>
      </c>
      <c r="BX87" s="147">
        <f t="shared" si="124"/>
        <v>978.16613319366127</v>
      </c>
      <c r="BY87" s="147">
        <f t="shared" si="125"/>
        <v>2098.8702001126653</v>
      </c>
      <c r="BZ87" s="147">
        <f t="shared" si="126"/>
        <v>5236.7689279067017</v>
      </c>
      <c r="CA87" s="147">
        <f t="shared" si="75"/>
        <v>5236.5657910146083</v>
      </c>
      <c r="CB87" s="147">
        <f t="shared" si="76"/>
        <v>-0.20313689209342556</v>
      </c>
      <c r="CC87" t="str">
        <f t="shared" si="77"/>
        <v>No</v>
      </c>
      <c r="CD87">
        <f>COUNTIF(CC$54:CC87,"Yes")</f>
        <v>5</v>
      </c>
      <c r="CE87" cm="1">
        <f t="array" ref="CE87">INDEX($J$2:$J$7,IF(CD87&gt;5,6,CD87+1))</f>
        <v>1</v>
      </c>
      <c r="CF87" s="147">
        <f t="shared" si="78"/>
        <v>0.20313689209342556</v>
      </c>
      <c r="CJ87">
        <v>34</v>
      </c>
      <c r="CK87" s="147">
        <f t="shared" si="150"/>
        <v>46.619587119564621</v>
      </c>
      <c r="CL87" s="147">
        <f t="shared" si="79"/>
        <v>19.187587119564618</v>
      </c>
      <c r="CM87" s="147">
        <f t="shared" si="80"/>
        <v>2080.4947911199879</v>
      </c>
      <c r="CN87" s="147">
        <f t="shared" si="81"/>
        <v>384.42454175541752</v>
      </c>
      <c r="CO87" s="147">
        <f t="shared" si="127"/>
        <v>978.16613319366127</v>
      </c>
      <c r="CP87" s="147">
        <f t="shared" si="128"/>
        <v>2098.8702001126653</v>
      </c>
      <c r="CQ87" s="147">
        <f t="shared" si="129"/>
        <v>5236.7689279067017</v>
      </c>
      <c r="CR87" s="147">
        <f t="shared" si="82"/>
        <v>5236.5657910146083</v>
      </c>
      <c r="CS87" s="147">
        <f t="shared" si="83"/>
        <v>-0.20313689209342556</v>
      </c>
      <c r="CT87" t="str">
        <f t="shared" si="84"/>
        <v>No</v>
      </c>
      <c r="CU87">
        <f>COUNTIF(CT$54:CT87,"Yes")</f>
        <v>5</v>
      </c>
      <c r="CV87" cm="1">
        <f t="array" ref="CV87">INDEX($J$2:$J$7,IF(CU87&gt;5,6,CU87+1))</f>
        <v>1</v>
      </c>
      <c r="CW87" s="147">
        <f t="shared" si="85"/>
        <v>0.20313689209342556</v>
      </c>
      <c r="DA87">
        <v>34</v>
      </c>
      <c r="DB87" s="147">
        <f t="shared" si="151"/>
        <v>45.199782303209716</v>
      </c>
      <c r="DC87" s="147">
        <f t="shared" si="86"/>
        <v>17.767782303209714</v>
      </c>
      <c r="DD87" s="147">
        <f t="shared" si="87"/>
        <v>1967.6200862079829</v>
      </c>
      <c r="DE87" s="147">
        <f t="shared" si="88"/>
        <v>363.56805756868397</v>
      </c>
      <c r="DF87" s="147">
        <f t="shared" si="130"/>
        <v>895.57081023824367</v>
      </c>
      <c r="DG87" s="147">
        <f t="shared" si="131"/>
        <v>2076.7061745444075</v>
      </c>
      <c r="DH87" s="147">
        <f t="shared" si="132"/>
        <v>4819.2746410935542</v>
      </c>
      <c r="DI87" s="147">
        <f t="shared" si="89"/>
        <v>4818.6049937299003</v>
      </c>
      <c r="DJ87" s="147">
        <f t="shared" si="90"/>
        <v>-0.66964736365389399</v>
      </c>
      <c r="DK87" t="str">
        <f t="shared" si="91"/>
        <v>No</v>
      </c>
      <c r="DL87">
        <f>COUNTIF(DK$54:DK87,"Yes")</f>
        <v>5</v>
      </c>
      <c r="DM87" cm="1">
        <f t="array" ref="DM87">INDEX($J$2:$J$7,IF(DL87&gt;5,6,DL87+1))</f>
        <v>1</v>
      </c>
      <c r="DN87" s="147">
        <f t="shared" si="92"/>
        <v>0.66964736365389399</v>
      </c>
      <c r="DR87">
        <v>34</v>
      </c>
      <c r="DS87" s="147">
        <f t="shared" si="152"/>
        <v>45.199782303209716</v>
      </c>
      <c r="DT87" s="147">
        <f t="shared" si="93"/>
        <v>17.767782303209714</v>
      </c>
      <c r="DU87" s="147">
        <f t="shared" si="94"/>
        <v>1967.6200862079829</v>
      </c>
      <c r="DV87" s="147">
        <f t="shared" si="95"/>
        <v>363.56805756868397</v>
      </c>
      <c r="DW87" s="147">
        <f t="shared" si="133"/>
        <v>895.57081023824367</v>
      </c>
      <c r="DX87" s="147">
        <f t="shared" si="134"/>
        <v>2076.7061745444075</v>
      </c>
      <c r="DY87" s="147">
        <f t="shared" si="135"/>
        <v>4819.2746410935542</v>
      </c>
      <c r="DZ87" s="147">
        <f t="shared" si="96"/>
        <v>4818.6049937299003</v>
      </c>
      <c r="EA87" s="147">
        <f t="shared" si="97"/>
        <v>-0.66964736365389399</v>
      </c>
      <c r="EB87" t="str">
        <f t="shared" si="98"/>
        <v>No</v>
      </c>
      <c r="EC87">
        <f>COUNTIF(EB$54:EB87,"Yes")</f>
        <v>5</v>
      </c>
      <c r="ED87" cm="1">
        <f t="array" ref="ED87">INDEX($J$2:$J$7,IF(EC87&gt;5,6,EC87+1))</f>
        <v>1</v>
      </c>
      <c r="EE87" s="147">
        <f t="shared" si="99"/>
        <v>0.66964736365389399</v>
      </c>
      <c r="EI87">
        <v>34</v>
      </c>
      <c r="EJ87" s="147">
        <f t="shared" si="153"/>
        <v>45.199782303209716</v>
      </c>
      <c r="EK87" s="147">
        <f t="shared" si="100"/>
        <v>17.767782303209714</v>
      </c>
      <c r="EL87" s="147">
        <f t="shared" si="101"/>
        <v>1967.6200862079829</v>
      </c>
      <c r="EM87" s="147">
        <f t="shared" si="102"/>
        <v>363.56805756868397</v>
      </c>
      <c r="EN87" s="147">
        <f t="shared" si="136"/>
        <v>895.57081023824367</v>
      </c>
      <c r="EO87" s="147">
        <f t="shared" si="137"/>
        <v>2076.7061745444075</v>
      </c>
      <c r="EP87" s="147">
        <f t="shared" si="138"/>
        <v>4819.2746410935542</v>
      </c>
      <c r="EQ87" s="147">
        <f t="shared" si="103"/>
        <v>4818.6049937299003</v>
      </c>
      <c r="ER87" s="147">
        <f t="shared" si="104"/>
        <v>-0.66964736365389399</v>
      </c>
      <c r="ES87" t="str">
        <f t="shared" si="105"/>
        <v>No</v>
      </c>
      <c r="ET87">
        <f>COUNTIF(ES$54:ES87,"Yes")</f>
        <v>5</v>
      </c>
      <c r="EU87" cm="1">
        <f t="array" ref="EU87">INDEX($J$2:$J$7,IF(ET87&gt;5,6,ET87+1))</f>
        <v>1</v>
      </c>
      <c r="EV87" s="147">
        <f t="shared" si="106"/>
        <v>0.66964736365389399</v>
      </c>
      <c r="EZ87">
        <v>34</v>
      </c>
      <c r="FA87" s="147">
        <f t="shared" si="154"/>
        <v>39.011379951183578</v>
      </c>
      <c r="FB87" s="147">
        <f t="shared" si="107"/>
        <v>11.579379951183576</v>
      </c>
      <c r="FC87" s="147">
        <f t="shared" si="108"/>
        <v>1512.4030741077106</v>
      </c>
      <c r="FD87" s="147">
        <f t="shared" si="109"/>
        <v>279.45508981560829</v>
      </c>
      <c r="FE87" s="147">
        <f t="shared" si="139"/>
        <v>578.10741885796574</v>
      </c>
      <c r="FF87" s="147">
        <f t="shared" si="140"/>
        <v>1625.6048641865862</v>
      </c>
      <c r="FG87" s="147">
        <f t="shared" si="141"/>
        <v>3212.5999038602085</v>
      </c>
      <c r="FH87" s="147">
        <f t="shared" si="110"/>
        <v>3212.130832455312</v>
      </c>
      <c r="FI87" s="147">
        <f t="shared" si="111"/>
        <v>-0.4690714048965674</v>
      </c>
      <c r="FJ87" t="str">
        <f t="shared" si="112"/>
        <v>No</v>
      </c>
      <c r="FK87">
        <f>COUNTIF(FJ$54:FJ87,"Yes")</f>
        <v>5</v>
      </c>
      <c r="FL87" cm="1">
        <f t="array" ref="FL87">INDEX($J$2:$J$7,IF(FK87&gt;5,6,FK87+1))</f>
        <v>1</v>
      </c>
      <c r="FM87" s="147">
        <f t="shared" si="113"/>
        <v>0.4690714048965674</v>
      </c>
    </row>
    <row r="88" spans="3:169" x14ac:dyDescent="0.3">
      <c r="C88">
        <v>35</v>
      </c>
      <c r="D88" s="147">
        <f t="shared" si="155"/>
        <v>53.040791160845636</v>
      </c>
      <c r="E88" s="147">
        <f t="shared" si="42"/>
        <v>25.608791160845634</v>
      </c>
      <c r="F88" s="147">
        <f t="shared" si="43"/>
        <v>2630.2935939070858</v>
      </c>
      <c r="G88" s="147">
        <f t="shared" si="44"/>
        <v>486.01391065036597</v>
      </c>
      <c r="H88" s="147">
        <f t="shared" si="142"/>
        <v>1340.7487136681357</v>
      </c>
      <c r="I88" s="147">
        <f t="shared" si="114"/>
        <v>2245.5096404836386</v>
      </c>
      <c r="J88" s="147">
        <f t="shared" si="115"/>
        <v>7357.3666224634035</v>
      </c>
      <c r="K88" s="147">
        <f t="shared" si="46"/>
        <v>7357.0280934313305</v>
      </c>
      <c r="L88" s="147">
        <f t="shared" si="47"/>
        <v>-0.33852903207298368</v>
      </c>
      <c r="M88" t="str">
        <f t="shared" si="48"/>
        <v>No</v>
      </c>
      <c r="N88">
        <f>COUNTIF(M$54:M88,"Yes")</f>
        <v>5</v>
      </c>
      <c r="O88" cm="1">
        <f t="array" ref="O88">INDEX($J$2:$J$7,IF(N88&gt;5,6,N88+1))</f>
        <v>1</v>
      </c>
      <c r="P88" s="147">
        <f t="shared" si="49"/>
        <v>0.33852903207298368</v>
      </c>
      <c r="T88">
        <v>35</v>
      </c>
      <c r="U88" s="147">
        <f t="shared" si="146"/>
        <v>53.040791160845636</v>
      </c>
      <c r="V88" s="147">
        <f t="shared" si="50"/>
        <v>25.608791160845634</v>
      </c>
      <c r="W88" s="147">
        <f t="shared" si="51"/>
        <v>2630.2935939070858</v>
      </c>
      <c r="X88" s="147">
        <f t="shared" si="52"/>
        <v>486.01391065036597</v>
      </c>
      <c r="Y88" s="147">
        <f t="shared" si="53"/>
        <v>1340.7487136681357</v>
      </c>
      <c r="Z88" s="147">
        <f t="shared" si="116"/>
        <v>2245.5096404836368</v>
      </c>
      <c r="AA88" s="147">
        <f t="shared" si="117"/>
        <v>7357.3666224634017</v>
      </c>
      <c r="AB88" s="147">
        <f t="shared" si="54"/>
        <v>7357.0280934313305</v>
      </c>
      <c r="AC88" s="147">
        <f t="shared" si="55"/>
        <v>-0.33852903207116469</v>
      </c>
      <c r="AD88" t="str">
        <f t="shared" si="56"/>
        <v>No</v>
      </c>
      <c r="AE88">
        <f>COUNTIF(AD$54:AD88,"Yes")</f>
        <v>5</v>
      </c>
      <c r="AF88" cm="1">
        <f t="array" ref="AF88">INDEX($J$2:$J$7,IF(AE88&gt;5,6,AE88+1))</f>
        <v>1</v>
      </c>
      <c r="AG88" s="147">
        <f t="shared" si="57"/>
        <v>0.33852903207116469</v>
      </c>
      <c r="AK88">
        <v>35</v>
      </c>
      <c r="AL88" s="147">
        <f t="shared" si="147"/>
        <v>52.865033780497249</v>
      </c>
      <c r="AM88" s="147">
        <f t="shared" si="58"/>
        <v>25.433033780497247</v>
      </c>
      <c r="AN88" s="147">
        <f t="shared" si="59"/>
        <v>2614.3877611051043</v>
      </c>
      <c r="AO88" s="147">
        <f t="shared" si="60"/>
        <v>483.0749018567663</v>
      </c>
      <c r="AP88" s="147">
        <f t="shared" si="118"/>
        <v>1384.7399575429861</v>
      </c>
      <c r="AQ88" s="147">
        <f t="shared" si="156"/>
        <v>2185.6125638068061</v>
      </c>
      <c r="AR88" s="147">
        <f t="shared" si="144"/>
        <v>7294.5305369929702</v>
      </c>
      <c r="AS88" s="147">
        <f t="shared" si="61"/>
        <v>7293.9694514114663</v>
      </c>
      <c r="AT88" s="147">
        <f t="shared" si="62"/>
        <v>-0.56108558150390309</v>
      </c>
      <c r="AU88" t="str">
        <f t="shared" si="63"/>
        <v>No</v>
      </c>
      <c r="AV88">
        <f>COUNTIF(AU$54:AU88,"Yes")</f>
        <v>5</v>
      </c>
      <c r="AW88" cm="1">
        <f t="array" ref="AW88">INDEX($J$2:$J$7,IF(AV88&gt;5,6,AV88+1))</f>
        <v>1</v>
      </c>
      <c r="AX88" s="147">
        <f t="shared" si="64"/>
        <v>0.56108558150390309</v>
      </c>
      <c r="BB88">
        <v>35</v>
      </c>
      <c r="BC88" s="147">
        <f t="shared" si="148"/>
        <v>46.619587119564621</v>
      </c>
      <c r="BD88" s="147">
        <f t="shared" si="65"/>
        <v>19.187587119564618</v>
      </c>
      <c r="BE88" s="147">
        <f t="shared" si="66"/>
        <v>2080.4947911199879</v>
      </c>
      <c r="BF88" s="147">
        <f t="shared" si="67"/>
        <v>384.42454175541752</v>
      </c>
      <c r="BG88" s="147">
        <f t="shared" si="121"/>
        <v>978.16613319366127</v>
      </c>
      <c r="BH88" s="147">
        <f t="shared" si="122"/>
        <v>2098.8702001126653</v>
      </c>
      <c r="BI88" s="147">
        <f t="shared" si="123"/>
        <v>5236.7689279067017</v>
      </c>
      <c r="BJ88" s="147">
        <f t="shared" si="68"/>
        <v>5236.5657910146083</v>
      </c>
      <c r="BK88" s="147">
        <f t="shared" si="69"/>
        <v>-0.20313689209342556</v>
      </c>
      <c r="BL88" t="str">
        <f t="shared" si="70"/>
        <v>No</v>
      </c>
      <c r="BM88">
        <f>COUNTIF(BL$54:BL88,"Yes")</f>
        <v>5</v>
      </c>
      <c r="BN88" cm="1">
        <f t="array" ref="BN88">INDEX($J$2:$J$7,IF(BM88&gt;5,6,BM88+1))</f>
        <v>1</v>
      </c>
      <c r="BO88" s="147">
        <f t="shared" si="71"/>
        <v>0.20313689209342556</v>
      </c>
      <c r="BS88">
        <v>35</v>
      </c>
      <c r="BT88" s="147">
        <f t="shared" si="149"/>
        <v>46.619587119564621</v>
      </c>
      <c r="BU88" s="147">
        <f t="shared" si="72"/>
        <v>19.187587119564618</v>
      </c>
      <c r="BV88" s="147">
        <f t="shared" si="73"/>
        <v>2080.4947911199879</v>
      </c>
      <c r="BW88" s="147">
        <f t="shared" si="74"/>
        <v>384.42454175541752</v>
      </c>
      <c r="BX88" s="147">
        <f t="shared" si="124"/>
        <v>978.16613319366127</v>
      </c>
      <c r="BY88" s="147">
        <f t="shared" si="125"/>
        <v>2098.8702001126653</v>
      </c>
      <c r="BZ88" s="147">
        <f t="shared" si="126"/>
        <v>5236.7689279067017</v>
      </c>
      <c r="CA88" s="147">
        <f t="shared" si="75"/>
        <v>5236.5657910146083</v>
      </c>
      <c r="CB88" s="147">
        <f t="shared" si="76"/>
        <v>-0.20313689209342556</v>
      </c>
      <c r="CC88" t="str">
        <f t="shared" si="77"/>
        <v>No</v>
      </c>
      <c r="CD88">
        <f>COUNTIF(CC$54:CC88,"Yes")</f>
        <v>5</v>
      </c>
      <c r="CE88" cm="1">
        <f t="array" ref="CE88">INDEX($J$2:$J$7,IF(CD88&gt;5,6,CD88+1))</f>
        <v>1</v>
      </c>
      <c r="CF88" s="147">
        <f t="shared" si="78"/>
        <v>0.20313689209342556</v>
      </c>
      <c r="CJ88">
        <v>35</v>
      </c>
      <c r="CK88" s="147">
        <f t="shared" si="150"/>
        <v>46.619587119564621</v>
      </c>
      <c r="CL88" s="147">
        <f t="shared" si="79"/>
        <v>19.187587119564618</v>
      </c>
      <c r="CM88" s="147">
        <f t="shared" si="80"/>
        <v>2080.4947911199879</v>
      </c>
      <c r="CN88" s="147">
        <f t="shared" si="81"/>
        <v>384.42454175541752</v>
      </c>
      <c r="CO88" s="147">
        <f t="shared" si="127"/>
        <v>978.16613319366127</v>
      </c>
      <c r="CP88" s="147">
        <f t="shared" si="128"/>
        <v>2098.8702001126653</v>
      </c>
      <c r="CQ88" s="147">
        <f t="shared" si="129"/>
        <v>5236.7689279067017</v>
      </c>
      <c r="CR88" s="147">
        <f t="shared" si="82"/>
        <v>5236.5657910146083</v>
      </c>
      <c r="CS88" s="147">
        <f t="shared" si="83"/>
        <v>-0.20313689209342556</v>
      </c>
      <c r="CT88" t="str">
        <f t="shared" si="84"/>
        <v>No</v>
      </c>
      <c r="CU88">
        <f>COUNTIF(CT$54:CT88,"Yes")</f>
        <v>5</v>
      </c>
      <c r="CV88" cm="1">
        <f t="array" ref="CV88">INDEX($J$2:$J$7,IF(CU88&gt;5,6,CU88+1))</f>
        <v>1</v>
      </c>
      <c r="CW88" s="147">
        <f t="shared" si="85"/>
        <v>0.20313689209342556</v>
      </c>
      <c r="DA88">
        <v>35</v>
      </c>
      <c r="DB88" s="147">
        <f t="shared" si="151"/>
        <v>45.199782303209716</v>
      </c>
      <c r="DC88" s="147">
        <f t="shared" si="86"/>
        <v>17.767782303209714</v>
      </c>
      <c r="DD88" s="147">
        <f t="shared" si="87"/>
        <v>1967.6200862079829</v>
      </c>
      <c r="DE88" s="147">
        <f t="shared" si="88"/>
        <v>363.56805756868397</v>
      </c>
      <c r="DF88" s="147">
        <f t="shared" si="130"/>
        <v>895.57081023824367</v>
      </c>
      <c r="DG88" s="147">
        <f t="shared" si="131"/>
        <v>2076.7061745444075</v>
      </c>
      <c r="DH88" s="147">
        <f t="shared" si="132"/>
        <v>4819.2746410935542</v>
      </c>
      <c r="DI88" s="147">
        <f t="shared" si="89"/>
        <v>4818.6049937299003</v>
      </c>
      <c r="DJ88" s="147">
        <f t="shared" si="90"/>
        <v>-0.66964736365389399</v>
      </c>
      <c r="DK88" t="str">
        <f t="shared" si="91"/>
        <v>No</v>
      </c>
      <c r="DL88">
        <f>COUNTIF(DK$54:DK88,"Yes")</f>
        <v>5</v>
      </c>
      <c r="DM88" cm="1">
        <f t="array" ref="DM88">INDEX($J$2:$J$7,IF(DL88&gt;5,6,DL88+1))</f>
        <v>1</v>
      </c>
      <c r="DN88" s="147">
        <f t="shared" si="92"/>
        <v>0.66964736365389399</v>
      </c>
      <c r="DR88">
        <v>35</v>
      </c>
      <c r="DS88" s="147">
        <f t="shared" si="152"/>
        <v>45.199782303209716</v>
      </c>
      <c r="DT88" s="147">
        <f t="shared" si="93"/>
        <v>17.767782303209714</v>
      </c>
      <c r="DU88" s="147">
        <f t="shared" si="94"/>
        <v>1967.6200862079829</v>
      </c>
      <c r="DV88" s="147">
        <f t="shared" si="95"/>
        <v>363.56805756868397</v>
      </c>
      <c r="DW88" s="147">
        <f t="shared" si="133"/>
        <v>895.57081023824367</v>
      </c>
      <c r="DX88" s="147">
        <f t="shared" si="134"/>
        <v>2076.7061745444075</v>
      </c>
      <c r="DY88" s="147">
        <f t="shared" si="135"/>
        <v>4819.2746410935542</v>
      </c>
      <c r="DZ88" s="147">
        <f t="shared" si="96"/>
        <v>4818.6049937299003</v>
      </c>
      <c r="EA88" s="147">
        <f t="shared" si="97"/>
        <v>-0.66964736365389399</v>
      </c>
      <c r="EB88" t="str">
        <f t="shared" si="98"/>
        <v>No</v>
      </c>
      <c r="EC88">
        <f>COUNTIF(EB$54:EB88,"Yes")</f>
        <v>5</v>
      </c>
      <c r="ED88" cm="1">
        <f t="array" ref="ED88">INDEX($J$2:$J$7,IF(EC88&gt;5,6,EC88+1))</f>
        <v>1</v>
      </c>
      <c r="EE88" s="147">
        <f t="shared" si="99"/>
        <v>0.66964736365389399</v>
      </c>
      <c r="EI88">
        <v>35</v>
      </c>
      <c r="EJ88" s="147">
        <f t="shared" si="153"/>
        <v>45.199782303209716</v>
      </c>
      <c r="EK88" s="147">
        <f t="shared" si="100"/>
        <v>17.767782303209714</v>
      </c>
      <c r="EL88" s="147">
        <f t="shared" si="101"/>
        <v>1967.6200862079829</v>
      </c>
      <c r="EM88" s="147">
        <f t="shared" si="102"/>
        <v>363.56805756868397</v>
      </c>
      <c r="EN88" s="147">
        <f t="shared" si="136"/>
        <v>895.57081023824367</v>
      </c>
      <c r="EO88" s="147">
        <f t="shared" si="137"/>
        <v>2076.7061745444075</v>
      </c>
      <c r="EP88" s="147">
        <f t="shared" si="138"/>
        <v>4819.2746410935542</v>
      </c>
      <c r="EQ88" s="147">
        <f t="shared" si="103"/>
        <v>4818.6049937299003</v>
      </c>
      <c r="ER88" s="147">
        <f t="shared" si="104"/>
        <v>-0.66964736365389399</v>
      </c>
      <c r="ES88" t="str">
        <f t="shared" si="105"/>
        <v>No</v>
      </c>
      <c r="ET88">
        <f>COUNTIF(ES$54:ES88,"Yes")</f>
        <v>5</v>
      </c>
      <c r="EU88" cm="1">
        <f t="array" ref="EU88">INDEX($J$2:$J$7,IF(ET88&gt;5,6,ET88+1))</f>
        <v>1</v>
      </c>
      <c r="EV88" s="147">
        <f t="shared" si="106"/>
        <v>0.66964736365389399</v>
      </c>
      <c r="EZ88">
        <v>35</v>
      </c>
      <c r="FA88" s="147">
        <f t="shared" si="154"/>
        <v>39.011379951183578</v>
      </c>
      <c r="FB88" s="147">
        <f t="shared" si="107"/>
        <v>11.579379951183576</v>
      </c>
      <c r="FC88" s="147">
        <f t="shared" si="108"/>
        <v>1512.4030741077106</v>
      </c>
      <c r="FD88" s="147">
        <f t="shared" si="109"/>
        <v>279.45508981560829</v>
      </c>
      <c r="FE88" s="147">
        <f t="shared" si="139"/>
        <v>578.10741885796574</v>
      </c>
      <c r="FF88" s="147">
        <f t="shared" si="140"/>
        <v>1625.6048641865862</v>
      </c>
      <c r="FG88" s="147">
        <f t="shared" si="141"/>
        <v>3212.5999038602085</v>
      </c>
      <c r="FH88" s="147">
        <f t="shared" si="110"/>
        <v>3212.130832455312</v>
      </c>
      <c r="FI88" s="147">
        <f t="shared" si="111"/>
        <v>-0.4690714048965674</v>
      </c>
      <c r="FJ88" t="str">
        <f t="shared" si="112"/>
        <v>No</v>
      </c>
      <c r="FK88">
        <f>COUNTIF(FJ$54:FJ88,"Yes")</f>
        <v>5</v>
      </c>
      <c r="FL88" cm="1">
        <f t="array" ref="FL88">INDEX($J$2:$J$7,IF(FK88&gt;5,6,FK88+1))</f>
        <v>1</v>
      </c>
      <c r="FM88" s="147">
        <f t="shared" si="113"/>
        <v>0.4690714048965674</v>
      </c>
    </row>
    <row r="89" spans="3:169" x14ac:dyDescent="0.3">
      <c r="C89">
        <v>36</v>
      </c>
      <c r="D89" s="147">
        <f t="shared" si="155"/>
        <v>53.040791160845636</v>
      </c>
      <c r="E89" s="147">
        <f t="shared" si="42"/>
        <v>25.608791160845634</v>
      </c>
      <c r="F89" s="147">
        <f t="shared" si="43"/>
        <v>2630.2935939070858</v>
      </c>
      <c r="G89" s="147">
        <f t="shared" si="44"/>
        <v>486.01391065036597</v>
      </c>
      <c r="H89" s="147">
        <f t="shared" si="142"/>
        <v>1340.7487136681357</v>
      </c>
      <c r="I89" s="147">
        <f t="shared" si="114"/>
        <v>2245.5096404836386</v>
      </c>
      <c r="J89" s="147">
        <f t="shared" si="115"/>
        <v>7357.3666224634035</v>
      </c>
      <c r="K89" s="147">
        <f t="shared" si="46"/>
        <v>7357.0280934313305</v>
      </c>
      <c r="L89" s="147">
        <f t="shared" si="47"/>
        <v>-0.33852903207298368</v>
      </c>
      <c r="M89" t="str">
        <f t="shared" si="48"/>
        <v>No</v>
      </c>
      <c r="N89">
        <f>COUNTIF(M$54:M89,"Yes")</f>
        <v>5</v>
      </c>
      <c r="O89" cm="1">
        <f t="array" ref="O89">INDEX($J$2:$J$7,IF(N89&gt;5,6,N89+1))</f>
        <v>1</v>
      </c>
      <c r="P89" s="147">
        <f t="shared" si="49"/>
        <v>0.33852903207298368</v>
      </c>
      <c r="T89">
        <v>36</v>
      </c>
      <c r="U89" s="147">
        <f t="shared" si="146"/>
        <v>53.040791160845636</v>
      </c>
      <c r="V89" s="147">
        <f t="shared" si="50"/>
        <v>25.608791160845634</v>
      </c>
      <c r="W89" s="147">
        <f t="shared" si="51"/>
        <v>2630.2935939070858</v>
      </c>
      <c r="X89" s="147">
        <f t="shared" si="52"/>
        <v>486.01391065036597</v>
      </c>
      <c r="Y89" s="147">
        <f t="shared" si="53"/>
        <v>1340.7487136681357</v>
      </c>
      <c r="Z89" s="147">
        <f t="shared" si="116"/>
        <v>2245.5096404836368</v>
      </c>
      <c r="AA89" s="147">
        <f t="shared" si="117"/>
        <v>7357.3666224634017</v>
      </c>
      <c r="AB89" s="147">
        <f t="shared" si="54"/>
        <v>7357.0280934313305</v>
      </c>
      <c r="AC89" s="147">
        <f t="shared" si="55"/>
        <v>-0.33852903207116469</v>
      </c>
      <c r="AD89" t="str">
        <f t="shared" si="56"/>
        <v>No</v>
      </c>
      <c r="AE89">
        <f>COUNTIF(AD$54:AD89,"Yes")</f>
        <v>5</v>
      </c>
      <c r="AF89" cm="1">
        <f t="array" ref="AF89">INDEX($J$2:$J$7,IF(AE89&gt;5,6,AE89+1))</f>
        <v>1</v>
      </c>
      <c r="AG89" s="147">
        <f t="shared" si="57"/>
        <v>0.33852903207116469</v>
      </c>
      <c r="AK89">
        <v>36</v>
      </c>
      <c r="AL89" s="147">
        <f t="shared" si="147"/>
        <v>52.865033780497249</v>
      </c>
      <c r="AM89" s="147">
        <f t="shared" si="58"/>
        <v>25.433033780497247</v>
      </c>
      <c r="AN89" s="147">
        <f t="shared" si="59"/>
        <v>2614.3877611051043</v>
      </c>
      <c r="AO89" s="147">
        <f t="shared" si="60"/>
        <v>483.0749018567663</v>
      </c>
      <c r="AP89" s="147">
        <f t="shared" si="118"/>
        <v>1384.7399575429861</v>
      </c>
      <c r="AQ89" s="147">
        <f t="shared" si="156"/>
        <v>2185.6125638068061</v>
      </c>
      <c r="AR89" s="147">
        <f t="shared" si="144"/>
        <v>7294.5305369929702</v>
      </c>
      <c r="AS89" s="147">
        <f t="shared" si="61"/>
        <v>7293.9694514114663</v>
      </c>
      <c r="AT89" s="147">
        <f t="shared" si="62"/>
        <v>-0.56108558150390309</v>
      </c>
      <c r="AU89" t="str">
        <f t="shared" si="63"/>
        <v>No</v>
      </c>
      <c r="AV89">
        <f>COUNTIF(AU$54:AU89,"Yes")</f>
        <v>5</v>
      </c>
      <c r="AW89" cm="1">
        <f t="array" ref="AW89">INDEX($J$2:$J$7,IF(AV89&gt;5,6,AV89+1))</f>
        <v>1</v>
      </c>
      <c r="AX89" s="147">
        <f t="shared" si="64"/>
        <v>0.56108558150390309</v>
      </c>
      <c r="BB89">
        <v>36</v>
      </c>
      <c r="BC89" s="147">
        <f t="shared" si="148"/>
        <v>46.619587119564621</v>
      </c>
      <c r="BD89" s="147">
        <f t="shared" si="65"/>
        <v>19.187587119564618</v>
      </c>
      <c r="BE89" s="147">
        <f t="shared" si="66"/>
        <v>2080.4947911199879</v>
      </c>
      <c r="BF89" s="147">
        <f t="shared" si="67"/>
        <v>384.42454175541752</v>
      </c>
      <c r="BG89" s="147">
        <f t="shared" si="121"/>
        <v>978.16613319366127</v>
      </c>
      <c r="BH89" s="147">
        <f t="shared" si="122"/>
        <v>2098.8702001126653</v>
      </c>
      <c r="BI89" s="147">
        <f t="shared" si="123"/>
        <v>5236.7689279067017</v>
      </c>
      <c r="BJ89" s="147">
        <f t="shared" si="68"/>
        <v>5236.5657910146083</v>
      </c>
      <c r="BK89" s="147">
        <f t="shared" si="69"/>
        <v>-0.20313689209342556</v>
      </c>
      <c r="BL89" t="str">
        <f t="shared" si="70"/>
        <v>No</v>
      </c>
      <c r="BM89">
        <f>COUNTIF(BL$54:BL89,"Yes")</f>
        <v>5</v>
      </c>
      <c r="BN89" cm="1">
        <f t="array" ref="BN89">INDEX($J$2:$J$7,IF(BM89&gt;5,6,BM89+1))</f>
        <v>1</v>
      </c>
      <c r="BO89" s="147">
        <f t="shared" si="71"/>
        <v>0.20313689209342556</v>
      </c>
      <c r="BS89">
        <v>36</v>
      </c>
      <c r="BT89" s="147">
        <f t="shared" si="149"/>
        <v>46.619587119564621</v>
      </c>
      <c r="BU89" s="147">
        <f t="shared" si="72"/>
        <v>19.187587119564618</v>
      </c>
      <c r="BV89" s="147">
        <f t="shared" si="73"/>
        <v>2080.4947911199879</v>
      </c>
      <c r="BW89" s="147">
        <f t="shared" si="74"/>
        <v>384.42454175541752</v>
      </c>
      <c r="BX89" s="147">
        <f t="shared" si="124"/>
        <v>978.16613319366127</v>
      </c>
      <c r="BY89" s="147">
        <f t="shared" si="125"/>
        <v>2098.8702001126653</v>
      </c>
      <c r="BZ89" s="147">
        <f t="shared" si="126"/>
        <v>5236.7689279067017</v>
      </c>
      <c r="CA89" s="147">
        <f t="shared" si="75"/>
        <v>5236.5657910146083</v>
      </c>
      <c r="CB89" s="147">
        <f t="shared" si="76"/>
        <v>-0.20313689209342556</v>
      </c>
      <c r="CC89" t="str">
        <f t="shared" si="77"/>
        <v>No</v>
      </c>
      <c r="CD89">
        <f>COUNTIF(CC$54:CC89,"Yes")</f>
        <v>5</v>
      </c>
      <c r="CE89" cm="1">
        <f t="array" ref="CE89">INDEX($J$2:$J$7,IF(CD89&gt;5,6,CD89+1))</f>
        <v>1</v>
      </c>
      <c r="CF89" s="147">
        <f t="shared" si="78"/>
        <v>0.20313689209342556</v>
      </c>
      <c r="CJ89">
        <v>36</v>
      </c>
      <c r="CK89" s="147">
        <f t="shared" si="150"/>
        <v>46.619587119564621</v>
      </c>
      <c r="CL89" s="147">
        <f t="shared" si="79"/>
        <v>19.187587119564618</v>
      </c>
      <c r="CM89" s="147">
        <f t="shared" si="80"/>
        <v>2080.4947911199879</v>
      </c>
      <c r="CN89" s="147">
        <f t="shared" si="81"/>
        <v>384.42454175541752</v>
      </c>
      <c r="CO89" s="147">
        <f t="shared" si="127"/>
        <v>978.16613319366127</v>
      </c>
      <c r="CP89" s="147">
        <f t="shared" si="128"/>
        <v>2098.8702001126653</v>
      </c>
      <c r="CQ89" s="147">
        <f t="shared" si="129"/>
        <v>5236.7689279067017</v>
      </c>
      <c r="CR89" s="147">
        <f t="shared" si="82"/>
        <v>5236.5657910146083</v>
      </c>
      <c r="CS89" s="147">
        <f t="shared" si="83"/>
        <v>-0.20313689209342556</v>
      </c>
      <c r="CT89" t="str">
        <f t="shared" si="84"/>
        <v>No</v>
      </c>
      <c r="CU89">
        <f>COUNTIF(CT$54:CT89,"Yes")</f>
        <v>5</v>
      </c>
      <c r="CV89" cm="1">
        <f t="array" ref="CV89">INDEX($J$2:$J$7,IF(CU89&gt;5,6,CU89+1))</f>
        <v>1</v>
      </c>
      <c r="CW89" s="147">
        <f t="shared" si="85"/>
        <v>0.20313689209342556</v>
      </c>
      <c r="DA89">
        <v>36</v>
      </c>
      <c r="DB89" s="147">
        <f t="shared" si="151"/>
        <v>45.199782303209716</v>
      </c>
      <c r="DC89" s="147">
        <f t="shared" si="86"/>
        <v>17.767782303209714</v>
      </c>
      <c r="DD89" s="147">
        <f t="shared" si="87"/>
        <v>1967.6200862079829</v>
      </c>
      <c r="DE89" s="147">
        <f t="shared" si="88"/>
        <v>363.56805756868397</v>
      </c>
      <c r="DF89" s="147">
        <f t="shared" si="130"/>
        <v>895.57081023824367</v>
      </c>
      <c r="DG89" s="147">
        <f t="shared" si="131"/>
        <v>2076.7061745444075</v>
      </c>
      <c r="DH89" s="147">
        <f t="shared" si="132"/>
        <v>4819.2746410935542</v>
      </c>
      <c r="DI89" s="147">
        <f t="shared" si="89"/>
        <v>4818.6049937299003</v>
      </c>
      <c r="DJ89" s="147">
        <f t="shared" si="90"/>
        <v>-0.66964736365389399</v>
      </c>
      <c r="DK89" t="str">
        <f t="shared" si="91"/>
        <v>No</v>
      </c>
      <c r="DL89">
        <f>COUNTIF(DK$54:DK89,"Yes")</f>
        <v>5</v>
      </c>
      <c r="DM89" cm="1">
        <f t="array" ref="DM89">INDEX($J$2:$J$7,IF(DL89&gt;5,6,DL89+1))</f>
        <v>1</v>
      </c>
      <c r="DN89" s="147">
        <f t="shared" si="92"/>
        <v>0.66964736365389399</v>
      </c>
      <c r="DR89">
        <v>36</v>
      </c>
      <c r="DS89" s="147">
        <f t="shared" si="152"/>
        <v>45.199782303209716</v>
      </c>
      <c r="DT89" s="147">
        <f t="shared" si="93"/>
        <v>17.767782303209714</v>
      </c>
      <c r="DU89" s="147">
        <f t="shared" si="94"/>
        <v>1967.6200862079829</v>
      </c>
      <c r="DV89" s="147">
        <f t="shared" si="95"/>
        <v>363.56805756868397</v>
      </c>
      <c r="DW89" s="147">
        <f t="shared" si="133"/>
        <v>895.57081023824367</v>
      </c>
      <c r="DX89" s="147">
        <f t="shared" si="134"/>
        <v>2076.7061745444075</v>
      </c>
      <c r="DY89" s="147">
        <f t="shared" si="135"/>
        <v>4819.2746410935542</v>
      </c>
      <c r="DZ89" s="147">
        <f t="shared" si="96"/>
        <v>4818.6049937299003</v>
      </c>
      <c r="EA89" s="147">
        <f t="shared" si="97"/>
        <v>-0.66964736365389399</v>
      </c>
      <c r="EB89" t="str">
        <f t="shared" si="98"/>
        <v>No</v>
      </c>
      <c r="EC89">
        <f>COUNTIF(EB$54:EB89,"Yes")</f>
        <v>5</v>
      </c>
      <c r="ED89" cm="1">
        <f t="array" ref="ED89">INDEX($J$2:$J$7,IF(EC89&gt;5,6,EC89+1))</f>
        <v>1</v>
      </c>
      <c r="EE89" s="147">
        <f t="shared" si="99"/>
        <v>0.66964736365389399</v>
      </c>
      <c r="EI89">
        <v>36</v>
      </c>
      <c r="EJ89" s="147">
        <f t="shared" si="153"/>
        <v>45.199782303209716</v>
      </c>
      <c r="EK89" s="147">
        <f t="shared" si="100"/>
        <v>17.767782303209714</v>
      </c>
      <c r="EL89" s="147">
        <f t="shared" si="101"/>
        <v>1967.6200862079829</v>
      </c>
      <c r="EM89" s="147">
        <f t="shared" si="102"/>
        <v>363.56805756868397</v>
      </c>
      <c r="EN89" s="147">
        <f t="shared" si="136"/>
        <v>895.57081023824367</v>
      </c>
      <c r="EO89" s="147">
        <f t="shared" si="137"/>
        <v>2076.7061745444075</v>
      </c>
      <c r="EP89" s="147">
        <f t="shared" si="138"/>
        <v>4819.2746410935542</v>
      </c>
      <c r="EQ89" s="147">
        <f t="shared" si="103"/>
        <v>4818.6049937299003</v>
      </c>
      <c r="ER89" s="147">
        <f t="shared" si="104"/>
        <v>-0.66964736365389399</v>
      </c>
      <c r="ES89" t="str">
        <f t="shared" si="105"/>
        <v>No</v>
      </c>
      <c r="ET89">
        <f>COUNTIF(ES$54:ES89,"Yes")</f>
        <v>5</v>
      </c>
      <c r="EU89" cm="1">
        <f t="array" ref="EU89">INDEX($J$2:$J$7,IF(ET89&gt;5,6,ET89+1))</f>
        <v>1</v>
      </c>
      <c r="EV89" s="147">
        <f t="shared" si="106"/>
        <v>0.66964736365389399</v>
      </c>
      <c r="EZ89">
        <v>36</v>
      </c>
      <c r="FA89" s="147">
        <f t="shared" si="154"/>
        <v>39.011379951183578</v>
      </c>
      <c r="FB89" s="147">
        <f t="shared" si="107"/>
        <v>11.579379951183576</v>
      </c>
      <c r="FC89" s="147">
        <f t="shared" si="108"/>
        <v>1512.4030741077106</v>
      </c>
      <c r="FD89" s="147">
        <f t="shared" si="109"/>
        <v>279.45508981560829</v>
      </c>
      <c r="FE89" s="147">
        <f t="shared" si="139"/>
        <v>578.10741885796574</v>
      </c>
      <c r="FF89" s="147">
        <f t="shared" si="140"/>
        <v>1625.6048641865862</v>
      </c>
      <c r="FG89" s="147">
        <f t="shared" si="141"/>
        <v>3212.5999038602085</v>
      </c>
      <c r="FH89" s="147">
        <f t="shared" si="110"/>
        <v>3212.130832455312</v>
      </c>
      <c r="FI89" s="147">
        <f t="shared" si="111"/>
        <v>-0.4690714048965674</v>
      </c>
      <c r="FJ89" t="str">
        <f t="shared" si="112"/>
        <v>No</v>
      </c>
      <c r="FK89">
        <f>COUNTIF(FJ$54:FJ89,"Yes")</f>
        <v>5</v>
      </c>
      <c r="FL89" cm="1">
        <f t="array" ref="FL89">INDEX($J$2:$J$7,IF(FK89&gt;5,6,FK89+1))</f>
        <v>1</v>
      </c>
      <c r="FM89" s="147">
        <f t="shared" si="113"/>
        <v>0.4690714048965674</v>
      </c>
    </row>
    <row r="90" spans="3:169" x14ac:dyDescent="0.3">
      <c r="C90">
        <v>37</v>
      </c>
      <c r="D90" s="147">
        <f t="shared" si="155"/>
        <v>53.040791160845636</v>
      </c>
      <c r="E90" s="147">
        <f t="shared" si="42"/>
        <v>25.608791160845634</v>
      </c>
      <c r="F90" s="147">
        <f t="shared" si="43"/>
        <v>2630.2935939070858</v>
      </c>
      <c r="G90" s="147">
        <f t="shared" si="44"/>
        <v>486.01391065036597</v>
      </c>
      <c r="H90" s="147">
        <f t="shared" si="142"/>
        <v>1340.7487136681357</v>
      </c>
      <c r="I90" s="147">
        <f t="shared" si="114"/>
        <v>2245.5096404836386</v>
      </c>
      <c r="J90" s="147">
        <f t="shared" si="115"/>
        <v>7357.3666224634035</v>
      </c>
      <c r="K90" s="147">
        <f t="shared" si="46"/>
        <v>7357.0280934313305</v>
      </c>
      <c r="L90" s="147">
        <f t="shared" si="47"/>
        <v>-0.33852903207298368</v>
      </c>
      <c r="M90" t="str">
        <f t="shared" si="48"/>
        <v>No</v>
      </c>
      <c r="N90">
        <f>COUNTIF(M$54:M90,"Yes")</f>
        <v>5</v>
      </c>
      <c r="O90" cm="1">
        <f t="array" ref="O90">INDEX($J$2:$J$7,IF(N90&gt;5,6,N90+1))</f>
        <v>1</v>
      </c>
      <c r="P90" s="147">
        <f t="shared" si="49"/>
        <v>0.33852903207298368</v>
      </c>
      <c r="T90">
        <v>37</v>
      </c>
      <c r="U90" s="147">
        <f t="shared" si="146"/>
        <v>53.040791160845636</v>
      </c>
      <c r="V90" s="147">
        <f t="shared" si="50"/>
        <v>25.608791160845634</v>
      </c>
      <c r="W90" s="147">
        <f t="shared" si="51"/>
        <v>2630.2935939070858</v>
      </c>
      <c r="X90" s="147">
        <f t="shared" si="52"/>
        <v>486.01391065036597</v>
      </c>
      <c r="Y90" s="147">
        <f t="shared" si="53"/>
        <v>1340.7487136681357</v>
      </c>
      <c r="Z90" s="147">
        <f t="shared" si="116"/>
        <v>2245.5096404836368</v>
      </c>
      <c r="AA90" s="147">
        <f t="shared" si="117"/>
        <v>7357.3666224634017</v>
      </c>
      <c r="AB90" s="147">
        <f t="shared" si="54"/>
        <v>7357.0280934313305</v>
      </c>
      <c r="AC90" s="147">
        <f t="shared" si="55"/>
        <v>-0.33852903207116469</v>
      </c>
      <c r="AD90" t="str">
        <f t="shared" si="56"/>
        <v>No</v>
      </c>
      <c r="AE90">
        <f>COUNTIF(AD$54:AD90,"Yes")</f>
        <v>5</v>
      </c>
      <c r="AF90" cm="1">
        <f t="array" ref="AF90">INDEX($J$2:$J$7,IF(AE90&gt;5,6,AE90+1))</f>
        <v>1</v>
      </c>
      <c r="AG90" s="147">
        <f t="shared" si="57"/>
        <v>0.33852903207116469</v>
      </c>
      <c r="AK90">
        <v>37</v>
      </c>
      <c r="AL90" s="147">
        <f t="shared" si="147"/>
        <v>52.865033780497249</v>
      </c>
      <c r="AM90" s="147">
        <f t="shared" si="58"/>
        <v>25.433033780497247</v>
      </c>
      <c r="AN90" s="147">
        <f t="shared" si="59"/>
        <v>2614.3877611051043</v>
      </c>
      <c r="AO90" s="147">
        <f t="shared" si="60"/>
        <v>483.0749018567663</v>
      </c>
      <c r="AP90" s="147">
        <f t="shared" si="118"/>
        <v>1384.7399575429861</v>
      </c>
      <c r="AQ90" s="147">
        <f t="shared" si="156"/>
        <v>2185.6125638068061</v>
      </c>
      <c r="AR90" s="147">
        <f t="shared" si="144"/>
        <v>7294.5305369929702</v>
      </c>
      <c r="AS90" s="147">
        <f t="shared" si="61"/>
        <v>7293.9694514114663</v>
      </c>
      <c r="AT90" s="147">
        <f t="shared" si="62"/>
        <v>-0.56108558150390309</v>
      </c>
      <c r="AU90" t="str">
        <f t="shared" si="63"/>
        <v>No</v>
      </c>
      <c r="AV90">
        <f>COUNTIF(AU$54:AU90,"Yes")</f>
        <v>5</v>
      </c>
      <c r="AW90" cm="1">
        <f t="array" ref="AW90">INDEX($J$2:$J$7,IF(AV90&gt;5,6,AV90+1))</f>
        <v>1</v>
      </c>
      <c r="AX90" s="147">
        <f t="shared" si="64"/>
        <v>0.56108558150390309</v>
      </c>
      <c r="BB90">
        <v>37</v>
      </c>
      <c r="BC90" s="147">
        <f t="shared" si="148"/>
        <v>46.619587119564621</v>
      </c>
      <c r="BD90" s="147">
        <f t="shared" si="65"/>
        <v>19.187587119564618</v>
      </c>
      <c r="BE90" s="147">
        <f t="shared" si="66"/>
        <v>2080.4947911199879</v>
      </c>
      <c r="BF90" s="147">
        <f t="shared" si="67"/>
        <v>384.42454175541752</v>
      </c>
      <c r="BG90" s="147">
        <f t="shared" si="121"/>
        <v>978.16613319366127</v>
      </c>
      <c r="BH90" s="147">
        <f t="shared" si="122"/>
        <v>2098.8702001126653</v>
      </c>
      <c r="BI90" s="147">
        <f t="shared" si="123"/>
        <v>5236.7689279067017</v>
      </c>
      <c r="BJ90" s="147">
        <f t="shared" si="68"/>
        <v>5236.5657910146083</v>
      </c>
      <c r="BK90" s="147">
        <f t="shared" si="69"/>
        <v>-0.20313689209342556</v>
      </c>
      <c r="BL90" t="str">
        <f t="shared" si="70"/>
        <v>No</v>
      </c>
      <c r="BM90">
        <f>COUNTIF(BL$54:BL90,"Yes")</f>
        <v>5</v>
      </c>
      <c r="BN90" cm="1">
        <f t="array" ref="BN90">INDEX($J$2:$J$7,IF(BM90&gt;5,6,BM90+1))</f>
        <v>1</v>
      </c>
      <c r="BO90" s="147">
        <f t="shared" si="71"/>
        <v>0.20313689209342556</v>
      </c>
      <c r="BS90">
        <v>37</v>
      </c>
      <c r="BT90" s="147">
        <f t="shared" si="149"/>
        <v>46.619587119564621</v>
      </c>
      <c r="BU90" s="147">
        <f t="shared" si="72"/>
        <v>19.187587119564618</v>
      </c>
      <c r="BV90" s="147">
        <f t="shared" si="73"/>
        <v>2080.4947911199879</v>
      </c>
      <c r="BW90" s="147">
        <f t="shared" si="74"/>
        <v>384.42454175541752</v>
      </c>
      <c r="BX90" s="147">
        <f t="shared" si="124"/>
        <v>978.16613319366127</v>
      </c>
      <c r="BY90" s="147">
        <f t="shared" si="125"/>
        <v>2098.8702001126653</v>
      </c>
      <c r="BZ90" s="147">
        <f t="shared" si="126"/>
        <v>5236.7689279067017</v>
      </c>
      <c r="CA90" s="147">
        <f t="shared" si="75"/>
        <v>5236.5657910146083</v>
      </c>
      <c r="CB90" s="147">
        <f t="shared" si="76"/>
        <v>-0.20313689209342556</v>
      </c>
      <c r="CC90" t="str">
        <f t="shared" si="77"/>
        <v>No</v>
      </c>
      <c r="CD90">
        <f>COUNTIF(CC$54:CC90,"Yes")</f>
        <v>5</v>
      </c>
      <c r="CE90" cm="1">
        <f t="array" ref="CE90">INDEX($J$2:$J$7,IF(CD90&gt;5,6,CD90+1))</f>
        <v>1</v>
      </c>
      <c r="CF90" s="147">
        <f t="shared" si="78"/>
        <v>0.20313689209342556</v>
      </c>
      <c r="CJ90">
        <v>37</v>
      </c>
      <c r="CK90" s="147">
        <f t="shared" si="150"/>
        <v>46.619587119564621</v>
      </c>
      <c r="CL90" s="147">
        <f t="shared" si="79"/>
        <v>19.187587119564618</v>
      </c>
      <c r="CM90" s="147">
        <f t="shared" si="80"/>
        <v>2080.4947911199879</v>
      </c>
      <c r="CN90" s="147">
        <f t="shared" si="81"/>
        <v>384.42454175541752</v>
      </c>
      <c r="CO90" s="147">
        <f t="shared" si="127"/>
        <v>978.16613319366127</v>
      </c>
      <c r="CP90" s="147">
        <f t="shared" si="128"/>
        <v>2098.8702001126653</v>
      </c>
      <c r="CQ90" s="147">
        <f t="shared" si="129"/>
        <v>5236.7689279067017</v>
      </c>
      <c r="CR90" s="147">
        <f t="shared" si="82"/>
        <v>5236.5657910146083</v>
      </c>
      <c r="CS90" s="147">
        <f t="shared" si="83"/>
        <v>-0.20313689209342556</v>
      </c>
      <c r="CT90" t="str">
        <f t="shared" si="84"/>
        <v>No</v>
      </c>
      <c r="CU90">
        <f>COUNTIF(CT$54:CT90,"Yes")</f>
        <v>5</v>
      </c>
      <c r="CV90" cm="1">
        <f t="array" ref="CV90">INDEX($J$2:$J$7,IF(CU90&gt;5,6,CU90+1))</f>
        <v>1</v>
      </c>
      <c r="CW90" s="147">
        <f t="shared" si="85"/>
        <v>0.20313689209342556</v>
      </c>
      <c r="DA90">
        <v>37</v>
      </c>
      <c r="DB90" s="147">
        <f t="shared" si="151"/>
        <v>45.199782303209716</v>
      </c>
      <c r="DC90" s="147">
        <f t="shared" si="86"/>
        <v>17.767782303209714</v>
      </c>
      <c r="DD90" s="147">
        <f t="shared" si="87"/>
        <v>1967.6200862079829</v>
      </c>
      <c r="DE90" s="147">
        <f t="shared" si="88"/>
        <v>363.56805756868397</v>
      </c>
      <c r="DF90" s="147">
        <f t="shared" si="130"/>
        <v>895.57081023824367</v>
      </c>
      <c r="DG90" s="147">
        <f t="shared" si="131"/>
        <v>2076.7061745444075</v>
      </c>
      <c r="DH90" s="147">
        <f t="shared" si="132"/>
        <v>4819.2746410935542</v>
      </c>
      <c r="DI90" s="147">
        <f t="shared" si="89"/>
        <v>4818.6049937299003</v>
      </c>
      <c r="DJ90" s="147">
        <f t="shared" si="90"/>
        <v>-0.66964736365389399</v>
      </c>
      <c r="DK90" t="str">
        <f t="shared" si="91"/>
        <v>No</v>
      </c>
      <c r="DL90">
        <f>COUNTIF(DK$54:DK90,"Yes")</f>
        <v>5</v>
      </c>
      <c r="DM90" cm="1">
        <f t="array" ref="DM90">INDEX($J$2:$J$7,IF(DL90&gt;5,6,DL90+1))</f>
        <v>1</v>
      </c>
      <c r="DN90" s="147">
        <f t="shared" si="92"/>
        <v>0.66964736365389399</v>
      </c>
      <c r="DR90">
        <v>37</v>
      </c>
      <c r="DS90" s="147">
        <f t="shared" si="152"/>
        <v>45.199782303209716</v>
      </c>
      <c r="DT90" s="147">
        <f t="shared" si="93"/>
        <v>17.767782303209714</v>
      </c>
      <c r="DU90" s="147">
        <f t="shared" si="94"/>
        <v>1967.6200862079829</v>
      </c>
      <c r="DV90" s="147">
        <f t="shared" si="95"/>
        <v>363.56805756868397</v>
      </c>
      <c r="DW90" s="147">
        <f t="shared" si="133"/>
        <v>895.57081023824367</v>
      </c>
      <c r="DX90" s="147">
        <f t="shared" si="134"/>
        <v>2076.7061745444075</v>
      </c>
      <c r="DY90" s="147">
        <f t="shared" si="135"/>
        <v>4819.2746410935542</v>
      </c>
      <c r="DZ90" s="147">
        <f t="shared" si="96"/>
        <v>4818.6049937299003</v>
      </c>
      <c r="EA90" s="147">
        <f t="shared" si="97"/>
        <v>-0.66964736365389399</v>
      </c>
      <c r="EB90" t="str">
        <f t="shared" si="98"/>
        <v>No</v>
      </c>
      <c r="EC90">
        <f>COUNTIF(EB$54:EB90,"Yes")</f>
        <v>5</v>
      </c>
      <c r="ED90" cm="1">
        <f t="array" ref="ED90">INDEX($J$2:$J$7,IF(EC90&gt;5,6,EC90+1))</f>
        <v>1</v>
      </c>
      <c r="EE90" s="147">
        <f t="shared" si="99"/>
        <v>0.66964736365389399</v>
      </c>
      <c r="EI90">
        <v>37</v>
      </c>
      <c r="EJ90" s="147">
        <f t="shared" si="153"/>
        <v>45.199782303209716</v>
      </c>
      <c r="EK90" s="147">
        <f t="shared" si="100"/>
        <v>17.767782303209714</v>
      </c>
      <c r="EL90" s="147">
        <f t="shared" si="101"/>
        <v>1967.6200862079829</v>
      </c>
      <c r="EM90" s="147">
        <f t="shared" si="102"/>
        <v>363.56805756868397</v>
      </c>
      <c r="EN90" s="147">
        <f t="shared" si="136"/>
        <v>895.57081023824367</v>
      </c>
      <c r="EO90" s="147">
        <f t="shared" si="137"/>
        <v>2076.7061745444075</v>
      </c>
      <c r="EP90" s="147">
        <f t="shared" si="138"/>
        <v>4819.2746410935542</v>
      </c>
      <c r="EQ90" s="147">
        <f t="shared" si="103"/>
        <v>4818.6049937299003</v>
      </c>
      <c r="ER90" s="147">
        <f t="shared" si="104"/>
        <v>-0.66964736365389399</v>
      </c>
      <c r="ES90" t="str">
        <f t="shared" si="105"/>
        <v>No</v>
      </c>
      <c r="ET90">
        <f>COUNTIF(ES$54:ES90,"Yes")</f>
        <v>5</v>
      </c>
      <c r="EU90" cm="1">
        <f t="array" ref="EU90">INDEX($J$2:$J$7,IF(ET90&gt;5,6,ET90+1))</f>
        <v>1</v>
      </c>
      <c r="EV90" s="147">
        <f t="shared" si="106"/>
        <v>0.66964736365389399</v>
      </c>
      <c r="EZ90">
        <v>37</v>
      </c>
      <c r="FA90" s="147">
        <f t="shared" si="154"/>
        <v>39.011379951183578</v>
      </c>
      <c r="FB90" s="147">
        <f t="shared" si="107"/>
        <v>11.579379951183576</v>
      </c>
      <c r="FC90" s="147">
        <f t="shared" si="108"/>
        <v>1512.4030741077106</v>
      </c>
      <c r="FD90" s="147">
        <f t="shared" si="109"/>
        <v>279.45508981560829</v>
      </c>
      <c r="FE90" s="147">
        <f t="shared" si="139"/>
        <v>578.10741885796574</v>
      </c>
      <c r="FF90" s="147">
        <f t="shared" si="140"/>
        <v>1625.6048641865862</v>
      </c>
      <c r="FG90" s="147">
        <f t="shared" si="141"/>
        <v>3212.5999038602085</v>
      </c>
      <c r="FH90" s="147">
        <f t="shared" si="110"/>
        <v>3212.130832455312</v>
      </c>
      <c r="FI90" s="147">
        <f t="shared" si="111"/>
        <v>-0.4690714048965674</v>
      </c>
      <c r="FJ90" t="str">
        <f t="shared" si="112"/>
        <v>No</v>
      </c>
      <c r="FK90">
        <f>COUNTIF(FJ$54:FJ90,"Yes")</f>
        <v>5</v>
      </c>
      <c r="FL90" cm="1">
        <f t="array" ref="FL90">INDEX($J$2:$J$7,IF(FK90&gt;5,6,FK90+1))</f>
        <v>1</v>
      </c>
      <c r="FM90" s="147">
        <f t="shared" si="113"/>
        <v>0.4690714048965674</v>
      </c>
    </row>
    <row r="91" spans="3:169" x14ac:dyDescent="0.3">
      <c r="C91">
        <v>38</v>
      </c>
      <c r="D91" s="147">
        <f t="shared" si="155"/>
        <v>53.040791160845636</v>
      </c>
      <c r="E91" s="147">
        <f t="shared" si="42"/>
        <v>25.608791160845634</v>
      </c>
      <c r="F91" s="147">
        <f t="shared" si="43"/>
        <v>2630.2935939070858</v>
      </c>
      <c r="G91" s="147">
        <f t="shared" si="44"/>
        <v>486.01391065036597</v>
      </c>
      <c r="H91" s="147">
        <f t="shared" si="142"/>
        <v>1340.7487136681357</v>
      </c>
      <c r="I91" s="147">
        <f t="shared" si="114"/>
        <v>2245.5096404836386</v>
      </c>
      <c r="J91" s="147">
        <f t="shared" si="115"/>
        <v>7357.3666224634035</v>
      </c>
      <c r="K91" s="147">
        <f t="shared" si="46"/>
        <v>7357.0280934313305</v>
      </c>
      <c r="L91" s="147">
        <f t="shared" si="47"/>
        <v>-0.33852903207298368</v>
      </c>
      <c r="M91" t="str">
        <f t="shared" si="48"/>
        <v>No</v>
      </c>
      <c r="N91">
        <f>COUNTIF(M$54:M91,"Yes")</f>
        <v>5</v>
      </c>
      <c r="O91" cm="1">
        <f t="array" ref="O91">INDEX($J$2:$J$7,IF(N91&gt;5,6,N91+1))</f>
        <v>1</v>
      </c>
      <c r="P91" s="147">
        <f t="shared" si="49"/>
        <v>0.33852903207298368</v>
      </c>
      <c r="T91">
        <v>38</v>
      </c>
      <c r="U91" s="147">
        <f t="shared" si="146"/>
        <v>53.040791160845636</v>
      </c>
      <c r="V91" s="147">
        <f t="shared" si="50"/>
        <v>25.608791160845634</v>
      </c>
      <c r="W91" s="147">
        <f t="shared" si="51"/>
        <v>2630.2935939070858</v>
      </c>
      <c r="X91" s="147">
        <f t="shared" si="52"/>
        <v>486.01391065036597</v>
      </c>
      <c r="Y91" s="147">
        <f t="shared" si="53"/>
        <v>1340.7487136681357</v>
      </c>
      <c r="Z91" s="147">
        <f t="shared" si="116"/>
        <v>2245.5096404836368</v>
      </c>
      <c r="AA91" s="147">
        <f t="shared" si="117"/>
        <v>7357.3666224634017</v>
      </c>
      <c r="AB91" s="147">
        <f t="shared" si="54"/>
        <v>7357.0280934313305</v>
      </c>
      <c r="AC91" s="147">
        <f t="shared" si="55"/>
        <v>-0.33852903207116469</v>
      </c>
      <c r="AD91" t="str">
        <f t="shared" si="56"/>
        <v>No</v>
      </c>
      <c r="AE91">
        <f>COUNTIF(AD$54:AD91,"Yes")</f>
        <v>5</v>
      </c>
      <c r="AF91" cm="1">
        <f t="array" ref="AF91">INDEX($J$2:$J$7,IF(AE91&gt;5,6,AE91+1))</f>
        <v>1</v>
      </c>
      <c r="AG91" s="147">
        <f t="shared" si="57"/>
        <v>0.33852903207116469</v>
      </c>
      <c r="AK91">
        <v>38</v>
      </c>
      <c r="AL91" s="147">
        <f t="shared" si="147"/>
        <v>52.865033780497249</v>
      </c>
      <c r="AM91" s="147">
        <f t="shared" si="58"/>
        <v>25.433033780497247</v>
      </c>
      <c r="AN91" s="147">
        <f t="shared" si="59"/>
        <v>2614.3877611051043</v>
      </c>
      <c r="AO91" s="147">
        <f t="shared" si="60"/>
        <v>483.0749018567663</v>
      </c>
      <c r="AP91" s="147">
        <f t="shared" si="118"/>
        <v>1384.7399575429861</v>
      </c>
      <c r="AQ91" s="147">
        <f t="shared" si="156"/>
        <v>2185.6125638068061</v>
      </c>
      <c r="AR91" s="147">
        <f t="shared" si="144"/>
        <v>7294.5305369929702</v>
      </c>
      <c r="AS91" s="147">
        <f t="shared" si="61"/>
        <v>7293.9694514114663</v>
      </c>
      <c r="AT91" s="147">
        <f t="shared" si="62"/>
        <v>-0.56108558150390309</v>
      </c>
      <c r="AU91" t="str">
        <f t="shared" si="63"/>
        <v>No</v>
      </c>
      <c r="AV91">
        <f>COUNTIF(AU$54:AU91,"Yes")</f>
        <v>5</v>
      </c>
      <c r="AW91" cm="1">
        <f t="array" ref="AW91">INDEX($J$2:$J$7,IF(AV91&gt;5,6,AV91+1))</f>
        <v>1</v>
      </c>
      <c r="AX91" s="147">
        <f t="shared" si="64"/>
        <v>0.56108558150390309</v>
      </c>
      <c r="BB91">
        <v>38</v>
      </c>
      <c r="BC91" s="147">
        <f t="shared" si="148"/>
        <v>46.619587119564621</v>
      </c>
      <c r="BD91" s="147">
        <f t="shared" si="65"/>
        <v>19.187587119564618</v>
      </c>
      <c r="BE91" s="147">
        <f t="shared" si="66"/>
        <v>2080.4947911199879</v>
      </c>
      <c r="BF91" s="147">
        <f t="shared" si="67"/>
        <v>384.42454175541752</v>
      </c>
      <c r="BG91" s="147">
        <f t="shared" si="121"/>
        <v>978.16613319366127</v>
      </c>
      <c r="BH91" s="147">
        <f t="shared" si="122"/>
        <v>2098.8702001126653</v>
      </c>
      <c r="BI91" s="147">
        <f t="shared" si="123"/>
        <v>5236.7689279067017</v>
      </c>
      <c r="BJ91" s="147">
        <f t="shared" si="68"/>
        <v>5236.5657910146083</v>
      </c>
      <c r="BK91" s="147">
        <f t="shared" si="69"/>
        <v>-0.20313689209342556</v>
      </c>
      <c r="BL91" t="str">
        <f t="shared" si="70"/>
        <v>No</v>
      </c>
      <c r="BM91">
        <f>COUNTIF(BL$54:BL91,"Yes")</f>
        <v>5</v>
      </c>
      <c r="BN91" cm="1">
        <f t="array" ref="BN91">INDEX($J$2:$J$7,IF(BM91&gt;5,6,BM91+1))</f>
        <v>1</v>
      </c>
      <c r="BO91" s="147">
        <f t="shared" si="71"/>
        <v>0.20313689209342556</v>
      </c>
      <c r="BS91">
        <v>38</v>
      </c>
      <c r="BT91" s="147">
        <f t="shared" si="149"/>
        <v>46.619587119564621</v>
      </c>
      <c r="BU91" s="147">
        <f t="shared" si="72"/>
        <v>19.187587119564618</v>
      </c>
      <c r="BV91" s="147">
        <f t="shared" si="73"/>
        <v>2080.4947911199879</v>
      </c>
      <c r="BW91" s="147">
        <f t="shared" si="74"/>
        <v>384.42454175541752</v>
      </c>
      <c r="BX91" s="147">
        <f t="shared" si="124"/>
        <v>978.16613319366127</v>
      </c>
      <c r="BY91" s="147">
        <f t="shared" si="125"/>
        <v>2098.8702001126653</v>
      </c>
      <c r="BZ91" s="147">
        <f t="shared" si="126"/>
        <v>5236.7689279067017</v>
      </c>
      <c r="CA91" s="147">
        <f t="shared" si="75"/>
        <v>5236.5657910146083</v>
      </c>
      <c r="CB91" s="147">
        <f t="shared" si="76"/>
        <v>-0.20313689209342556</v>
      </c>
      <c r="CC91" t="str">
        <f t="shared" si="77"/>
        <v>No</v>
      </c>
      <c r="CD91">
        <f>COUNTIF(CC$54:CC91,"Yes")</f>
        <v>5</v>
      </c>
      <c r="CE91" cm="1">
        <f t="array" ref="CE91">INDEX($J$2:$J$7,IF(CD91&gt;5,6,CD91+1))</f>
        <v>1</v>
      </c>
      <c r="CF91" s="147">
        <f t="shared" si="78"/>
        <v>0.20313689209342556</v>
      </c>
      <c r="CJ91">
        <v>38</v>
      </c>
      <c r="CK91" s="147">
        <f t="shared" si="150"/>
        <v>46.619587119564621</v>
      </c>
      <c r="CL91" s="147">
        <f t="shared" si="79"/>
        <v>19.187587119564618</v>
      </c>
      <c r="CM91" s="147">
        <f t="shared" si="80"/>
        <v>2080.4947911199879</v>
      </c>
      <c r="CN91" s="147">
        <f t="shared" si="81"/>
        <v>384.42454175541752</v>
      </c>
      <c r="CO91" s="147">
        <f t="shared" si="127"/>
        <v>978.16613319366127</v>
      </c>
      <c r="CP91" s="147">
        <f t="shared" si="128"/>
        <v>2098.8702001126653</v>
      </c>
      <c r="CQ91" s="147">
        <f t="shared" si="129"/>
        <v>5236.7689279067017</v>
      </c>
      <c r="CR91" s="147">
        <f t="shared" si="82"/>
        <v>5236.5657910146083</v>
      </c>
      <c r="CS91" s="147">
        <f t="shared" si="83"/>
        <v>-0.20313689209342556</v>
      </c>
      <c r="CT91" t="str">
        <f t="shared" si="84"/>
        <v>No</v>
      </c>
      <c r="CU91">
        <f>COUNTIF(CT$54:CT91,"Yes")</f>
        <v>5</v>
      </c>
      <c r="CV91" cm="1">
        <f t="array" ref="CV91">INDEX($J$2:$J$7,IF(CU91&gt;5,6,CU91+1))</f>
        <v>1</v>
      </c>
      <c r="CW91" s="147">
        <f t="shared" si="85"/>
        <v>0.20313689209342556</v>
      </c>
      <c r="DA91">
        <v>38</v>
      </c>
      <c r="DB91" s="147">
        <f t="shared" si="151"/>
        <v>45.199782303209716</v>
      </c>
      <c r="DC91" s="147">
        <f t="shared" si="86"/>
        <v>17.767782303209714</v>
      </c>
      <c r="DD91" s="147">
        <f t="shared" si="87"/>
        <v>1967.6200862079829</v>
      </c>
      <c r="DE91" s="147">
        <f t="shared" si="88"/>
        <v>363.56805756868397</v>
      </c>
      <c r="DF91" s="147">
        <f t="shared" si="130"/>
        <v>895.57081023824367</v>
      </c>
      <c r="DG91" s="147">
        <f t="shared" si="131"/>
        <v>2076.7061745444075</v>
      </c>
      <c r="DH91" s="147">
        <f t="shared" si="132"/>
        <v>4819.2746410935542</v>
      </c>
      <c r="DI91" s="147">
        <f t="shared" si="89"/>
        <v>4818.6049937299003</v>
      </c>
      <c r="DJ91" s="147">
        <f t="shared" si="90"/>
        <v>-0.66964736365389399</v>
      </c>
      <c r="DK91" t="str">
        <f t="shared" si="91"/>
        <v>No</v>
      </c>
      <c r="DL91">
        <f>COUNTIF(DK$54:DK91,"Yes")</f>
        <v>5</v>
      </c>
      <c r="DM91" cm="1">
        <f t="array" ref="DM91">INDEX($J$2:$J$7,IF(DL91&gt;5,6,DL91+1))</f>
        <v>1</v>
      </c>
      <c r="DN91" s="147">
        <f t="shared" si="92"/>
        <v>0.66964736365389399</v>
      </c>
      <c r="DR91">
        <v>38</v>
      </c>
      <c r="DS91" s="147">
        <f t="shared" si="152"/>
        <v>45.199782303209716</v>
      </c>
      <c r="DT91" s="147">
        <f t="shared" si="93"/>
        <v>17.767782303209714</v>
      </c>
      <c r="DU91" s="147">
        <f t="shared" si="94"/>
        <v>1967.6200862079829</v>
      </c>
      <c r="DV91" s="147">
        <f t="shared" si="95"/>
        <v>363.56805756868397</v>
      </c>
      <c r="DW91" s="147">
        <f t="shared" si="133"/>
        <v>895.57081023824367</v>
      </c>
      <c r="DX91" s="147">
        <f t="shared" si="134"/>
        <v>2076.7061745444075</v>
      </c>
      <c r="DY91" s="147">
        <f t="shared" si="135"/>
        <v>4819.2746410935542</v>
      </c>
      <c r="DZ91" s="147">
        <f t="shared" si="96"/>
        <v>4818.6049937299003</v>
      </c>
      <c r="EA91" s="147">
        <f t="shared" si="97"/>
        <v>-0.66964736365389399</v>
      </c>
      <c r="EB91" t="str">
        <f t="shared" si="98"/>
        <v>No</v>
      </c>
      <c r="EC91">
        <f>COUNTIF(EB$54:EB91,"Yes")</f>
        <v>5</v>
      </c>
      <c r="ED91" cm="1">
        <f t="array" ref="ED91">INDEX($J$2:$J$7,IF(EC91&gt;5,6,EC91+1))</f>
        <v>1</v>
      </c>
      <c r="EE91" s="147">
        <f t="shared" si="99"/>
        <v>0.66964736365389399</v>
      </c>
      <c r="EI91">
        <v>38</v>
      </c>
      <c r="EJ91" s="147">
        <f t="shared" si="153"/>
        <v>45.199782303209716</v>
      </c>
      <c r="EK91" s="147">
        <f t="shared" si="100"/>
        <v>17.767782303209714</v>
      </c>
      <c r="EL91" s="147">
        <f t="shared" si="101"/>
        <v>1967.6200862079829</v>
      </c>
      <c r="EM91" s="147">
        <f t="shared" si="102"/>
        <v>363.56805756868397</v>
      </c>
      <c r="EN91" s="147">
        <f t="shared" si="136"/>
        <v>895.57081023824367</v>
      </c>
      <c r="EO91" s="147">
        <f t="shared" si="137"/>
        <v>2076.7061745444075</v>
      </c>
      <c r="EP91" s="147">
        <f t="shared" si="138"/>
        <v>4819.2746410935542</v>
      </c>
      <c r="EQ91" s="147">
        <f t="shared" si="103"/>
        <v>4818.6049937299003</v>
      </c>
      <c r="ER91" s="147">
        <f t="shared" si="104"/>
        <v>-0.66964736365389399</v>
      </c>
      <c r="ES91" t="str">
        <f t="shared" si="105"/>
        <v>No</v>
      </c>
      <c r="ET91">
        <f>COUNTIF(ES$54:ES91,"Yes")</f>
        <v>5</v>
      </c>
      <c r="EU91" cm="1">
        <f t="array" ref="EU91">INDEX($J$2:$J$7,IF(ET91&gt;5,6,ET91+1))</f>
        <v>1</v>
      </c>
      <c r="EV91" s="147">
        <f t="shared" si="106"/>
        <v>0.66964736365389399</v>
      </c>
      <c r="EZ91">
        <v>38</v>
      </c>
      <c r="FA91" s="147">
        <f t="shared" si="154"/>
        <v>39.011379951183578</v>
      </c>
      <c r="FB91" s="147">
        <f t="shared" si="107"/>
        <v>11.579379951183576</v>
      </c>
      <c r="FC91" s="147">
        <f t="shared" si="108"/>
        <v>1512.4030741077106</v>
      </c>
      <c r="FD91" s="147">
        <f t="shared" si="109"/>
        <v>279.45508981560829</v>
      </c>
      <c r="FE91" s="147">
        <f t="shared" si="139"/>
        <v>578.10741885796574</v>
      </c>
      <c r="FF91" s="147">
        <f t="shared" si="140"/>
        <v>1625.6048641865862</v>
      </c>
      <c r="FG91" s="147">
        <f t="shared" si="141"/>
        <v>3212.5999038602085</v>
      </c>
      <c r="FH91" s="147">
        <f t="shared" si="110"/>
        <v>3212.130832455312</v>
      </c>
      <c r="FI91" s="147">
        <f t="shared" si="111"/>
        <v>-0.4690714048965674</v>
      </c>
      <c r="FJ91" t="str">
        <f t="shared" si="112"/>
        <v>No</v>
      </c>
      <c r="FK91">
        <f>COUNTIF(FJ$54:FJ91,"Yes")</f>
        <v>5</v>
      </c>
      <c r="FL91" cm="1">
        <f t="array" ref="FL91">INDEX($J$2:$J$7,IF(FK91&gt;5,6,FK91+1))</f>
        <v>1</v>
      </c>
      <c r="FM91" s="147">
        <f t="shared" si="113"/>
        <v>0.4690714048965674</v>
      </c>
    </row>
    <row r="92" spans="3:169" x14ac:dyDescent="0.3">
      <c r="C92">
        <v>39</v>
      </c>
      <c r="D92" s="147">
        <f t="shared" si="155"/>
        <v>53.040791160845636</v>
      </c>
      <c r="E92" s="147">
        <f t="shared" si="42"/>
        <v>25.608791160845634</v>
      </c>
      <c r="F92" s="147">
        <f t="shared" si="43"/>
        <v>2630.2935939070858</v>
      </c>
      <c r="G92" s="147">
        <f t="shared" si="44"/>
        <v>486.01391065036597</v>
      </c>
      <c r="H92" s="147">
        <f t="shared" si="142"/>
        <v>1340.7487136681357</v>
      </c>
      <c r="I92" s="147">
        <f t="shared" si="114"/>
        <v>2245.5096404836386</v>
      </c>
      <c r="J92" s="147">
        <f t="shared" si="115"/>
        <v>7357.3666224634035</v>
      </c>
      <c r="K92" s="147">
        <f t="shared" si="46"/>
        <v>7357.0280934313305</v>
      </c>
      <c r="L92" s="147">
        <f t="shared" si="47"/>
        <v>-0.33852903207298368</v>
      </c>
      <c r="M92" t="str">
        <f t="shared" si="48"/>
        <v>No</v>
      </c>
      <c r="N92">
        <f>COUNTIF(M$54:M92,"Yes")</f>
        <v>5</v>
      </c>
      <c r="O92" cm="1">
        <f t="array" ref="O92">INDEX($J$2:$J$7,IF(N92&gt;5,6,N92+1))</f>
        <v>1</v>
      </c>
      <c r="P92" s="147">
        <f t="shared" si="49"/>
        <v>0.33852903207298368</v>
      </c>
      <c r="T92">
        <v>39</v>
      </c>
      <c r="U92" s="147">
        <f t="shared" si="146"/>
        <v>53.040791160845636</v>
      </c>
      <c r="V92" s="147">
        <f t="shared" si="50"/>
        <v>25.608791160845634</v>
      </c>
      <c r="W92" s="147">
        <f t="shared" si="51"/>
        <v>2630.2935939070858</v>
      </c>
      <c r="X92" s="147">
        <f t="shared" si="52"/>
        <v>486.01391065036597</v>
      </c>
      <c r="Y92" s="147">
        <f t="shared" si="53"/>
        <v>1340.7487136681357</v>
      </c>
      <c r="Z92" s="147">
        <f t="shared" si="116"/>
        <v>2245.5096404836368</v>
      </c>
      <c r="AA92" s="147">
        <f t="shared" si="117"/>
        <v>7357.3666224634017</v>
      </c>
      <c r="AB92" s="147">
        <f t="shared" si="54"/>
        <v>7357.0280934313305</v>
      </c>
      <c r="AC92" s="147">
        <f t="shared" si="55"/>
        <v>-0.33852903207116469</v>
      </c>
      <c r="AD92" t="str">
        <f t="shared" si="56"/>
        <v>No</v>
      </c>
      <c r="AE92">
        <f>COUNTIF(AD$54:AD92,"Yes")</f>
        <v>5</v>
      </c>
      <c r="AF92" cm="1">
        <f t="array" ref="AF92">INDEX($J$2:$J$7,IF(AE92&gt;5,6,AE92+1))</f>
        <v>1</v>
      </c>
      <c r="AG92" s="147">
        <f t="shared" si="57"/>
        <v>0.33852903207116469</v>
      </c>
      <c r="AK92">
        <v>39</v>
      </c>
      <c r="AL92" s="147">
        <f t="shared" si="147"/>
        <v>52.865033780497249</v>
      </c>
      <c r="AM92" s="147">
        <f t="shared" si="58"/>
        <v>25.433033780497247</v>
      </c>
      <c r="AN92" s="147">
        <f t="shared" si="59"/>
        <v>2614.3877611051043</v>
      </c>
      <c r="AO92" s="147">
        <f t="shared" si="60"/>
        <v>483.0749018567663</v>
      </c>
      <c r="AP92" s="147">
        <f t="shared" si="118"/>
        <v>1384.7399575429861</v>
      </c>
      <c r="AQ92" s="147">
        <f t="shared" si="156"/>
        <v>2185.6125638068061</v>
      </c>
      <c r="AR92" s="147">
        <f t="shared" si="144"/>
        <v>7294.5305369929702</v>
      </c>
      <c r="AS92" s="147">
        <f t="shared" si="61"/>
        <v>7293.9694514114663</v>
      </c>
      <c r="AT92" s="147">
        <f t="shared" si="62"/>
        <v>-0.56108558150390309</v>
      </c>
      <c r="AU92" t="str">
        <f t="shared" si="63"/>
        <v>No</v>
      </c>
      <c r="AV92">
        <f>COUNTIF(AU$54:AU92,"Yes")</f>
        <v>5</v>
      </c>
      <c r="AW92" cm="1">
        <f t="array" ref="AW92">INDEX($J$2:$J$7,IF(AV92&gt;5,6,AV92+1))</f>
        <v>1</v>
      </c>
      <c r="AX92" s="147">
        <f t="shared" si="64"/>
        <v>0.56108558150390309</v>
      </c>
      <c r="BB92">
        <v>39</v>
      </c>
      <c r="BC92" s="147">
        <f t="shared" si="148"/>
        <v>46.619587119564621</v>
      </c>
      <c r="BD92" s="147">
        <f t="shared" si="65"/>
        <v>19.187587119564618</v>
      </c>
      <c r="BE92" s="147">
        <f t="shared" si="66"/>
        <v>2080.4947911199879</v>
      </c>
      <c r="BF92" s="147">
        <f t="shared" si="67"/>
        <v>384.42454175541752</v>
      </c>
      <c r="BG92" s="147">
        <f t="shared" si="121"/>
        <v>978.16613319366127</v>
      </c>
      <c r="BH92" s="147">
        <f t="shared" si="122"/>
        <v>2098.8702001126653</v>
      </c>
      <c r="BI92" s="147">
        <f t="shared" si="123"/>
        <v>5236.7689279067017</v>
      </c>
      <c r="BJ92" s="147">
        <f t="shared" si="68"/>
        <v>5236.5657910146083</v>
      </c>
      <c r="BK92" s="147">
        <f t="shared" si="69"/>
        <v>-0.20313689209342556</v>
      </c>
      <c r="BL92" t="str">
        <f t="shared" si="70"/>
        <v>No</v>
      </c>
      <c r="BM92">
        <f>COUNTIF(BL$54:BL92,"Yes")</f>
        <v>5</v>
      </c>
      <c r="BN92" cm="1">
        <f t="array" ref="BN92">INDEX($J$2:$J$7,IF(BM92&gt;5,6,BM92+1))</f>
        <v>1</v>
      </c>
      <c r="BO92" s="147">
        <f t="shared" si="71"/>
        <v>0.20313689209342556</v>
      </c>
      <c r="BS92">
        <v>39</v>
      </c>
      <c r="BT92" s="147">
        <f t="shared" si="149"/>
        <v>46.619587119564621</v>
      </c>
      <c r="BU92" s="147">
        <f t="shared" si="72"/>
        <v>19.187587119564618</v>
      </c>
      <c r="BV92" s="147">
        <f t="shared" si="73"/>
        <v>2080.4947911199879</v>
      </c>
      <c r="BW92" s="147">
        <f t="shared" si="74"/>
        <v>384.42454175541752</v>
      </c>
      <c r="BX92" s="147">
        <f t="shared" si="124"/>
        <v>978.16613319366127</v>
      </c>
      <c r="BY92" s="147">
        <f t="shared" si="125"/>
        <v>2098.8702001126653</v>
      </c>
      <c r="BZ92" s="147">
        <f t="shared" si="126"/>
        <v>5236.7689279067017</v>
      </c>
      <c r="CA92" s="147">
        <f t="shared" si="75"/>
        <v>5236.5657910146083</v>
      </c>
      <c r="CB92" s="147">
        <f t="shared" si="76"/>
        <v>-0.20313689209342556</v>
      </c>
      <c r="CC92" t="str">
        <f t="shared" si="77"/>
        <v>No</v>
      </c>
      <c r="CD92">
        <f>COUNTIF(CC$54:CC92,"Yes")</f>
        <v>5</v>
      </c>
      <c r="CE92" cm="1">
        <f t="array" ref="CE92">INDEX($J$2:$J$7,IF(CD92&gt;5,6,CD92+1))</f>
        <v>1</v>
      </c>
      <c r="CF92" s="147">
        <f t="shared" si="78"/>
        <v>0.20313689209342556</v>
      </c>
      <c r="CJ92">
        <v>39</v>
      </c>
      <c r="CK92" s="147">
        <f t="shared" si="150"/>
        <v>46.619587119564621</v>
      </c>
      <c r="CL92" s="147">
        <f t="shared" si="79"/>
        <v>19.187587119564618</v>
      </c>
      <c r="CM92" s="147">
        <f t="shared" si="80"/>
        <v>2080.4947911199879</v>
      </c>
      <c r="CN92" s="147">
        <f t="shared" si="81"/>
        <v>384.42454175541752</v>
      </c>
      <c r="CO92" s="147">
        <f t="shared" si="127"/>
        <v>978.16613319366127</v>
      </c>
      <c r="CP92" s="147">
        <f t="shared" si="128"/>
        <v>2098.8702001126653</v>
      </c>
      <c r="CQ92" s="147">
        <f t="shared" si="129"/>
        <v>5236.7689279067017</v>
      </c>
      <c r="CR92" s="147">
        <f t="shared" si="82"/>
        <v>5236.5657910146083</v>
      </c>
      <c r="CS92" s="147">
        <f t="shared" si="83"/>
        <v>-0.20313689209342556</v>
      </c>
      <c r="CT92" t="str">
        <f t="shared" si="84"/>
        <v>No</v>
      </c>
      <c r="CU92">
        <f>COUNTIF(CT$54:CT92,"Yes")</f>
        <v>5</v>
      </c>
      <c r="CV92" cm="1">
        <f t="array" ref="CV92">INDEX($J$2:$J$7,IF(CU92&gt;5,6,CU92+1))</f>
        <v>1</v>
      </c>
      <c r="CW92" s="147">
        <f t="shared" si="85"/>
        <v>0.20313689209342556</v>
      </c>
      <c r="DA92">
        <v>39</v>
      </c>
      <c r="DB92" s="147">
        <f t="shared" si="151"/>
        <v>45.199782303209716</v>
      </c>
      <c r="DC92" s="147">
        <f t="shared" si="86"/>
        <v>17.767782303209714</v>
      </c>
      <c r="DD92" s="147">
        <f t="shared" si="87"/>
        <v>1967.6200862079829</v>
      </c>
      <c r="DE92" s="147">
        <f t="shared" si="88"/>
        <v>363.56805756868397</v>
      </c>
      <c r="DF92" s="147">
        <f t="shared" si="130"/>
        <v>895.57081023824367</v>
      </c>
      <c r="DG92" s="147">
        <f t="shared" si="131"/>
        <v>2076.7061745444075</v>
      </c>
      <c r="DH92" s="147">
        <f t="shared" si="132"/>
        <v>4819.2746410935542</v>
      </c>
      <c r="DI92" s="147">
        <f t="shared" si="89"/>
        <v>4818.6049937299003</v>
      </c>
      <c r="DJ92" s="147">
        <f t="shared" si="90"/>
        <v>-0.66964736365389399</v>
      </c>
      <c r="DK92" t="str">
        <f t="shared" si="91"/>
        <v>No</v>
      </c>
      <c r="DL92">
        <f>COUNTIF(DK$54:DK92,"Yes")</f>
        <v>5</v>
      </c>
      <c r="DM92" cm="1">
        <f t="array" ref="DM92">INDEX($J$2:$J$7,IF(DL92&gt;5,6,DL92+1))</f>
        <v>1</v>
      </c>
      <c r="DN92" s="147">
        <f t="shared" si="92"/>
        <v>0.66964736365389399</v>
      </c>
      <c r="DR92">
        <v>39</v>
      </c>
      <c r="DS92" s="147">
        <f t="shared" si="152"/>
        <v>45.199782303209716</v>
      </c>
      <c r="DT92" s="147">
        <f t="shared" si="93"/>
        <v>17.767782303209714</v>
      </c>
      <c r="DU92" s="147">
        <f t="shared" si="94"/>
        <v>1967.6200862079829</v>
      </c>
      <c r="DV92" s="147">
        <f t="shared" si="95"/>
        <v>363.56805756868397</v>
      </c>
      <c r="DW92" s="147">
        <f t="shared" si="133"/>
        <v>895.57081023824367</v>
      </c>
      <c r="DX92" s="147">
        <f t="shared" si="134"/>
        <v>2076.7061745444075</v>
      </c>
      <c r="DY92" s="147">
        <f t="shared" si="135"/>
        <v>4819.2746410935542</v>
      </c>
      <c r="DZ92" s="147">
        <f t="shared" si="96"/>
        <v>4818.6049937299003</v>
      </c>
      <c r="EA92" s="147">
        <f t="shared" si="97"/>
        <v>-0.66964736365389399</v>
      </c>
      <c r="EB92" t="str">
        <f t="shared" si="98"/>
        <v>No</v>
      </c>
      <c r="EC92">
        <f>COUNTIF(EB$54:EB92,"Yes")</f>
        <v>5</v>
      </c>
      <c r="ED92" cm="1">
        <f t="array" ref="ED92">INDEX($J$2:$J$7,IF(EC92&gt;5,6,EC92+1))</f>
        <v>1</v>
      </c>
      <c r="EE92" s="147">
        <f t="shared" si="99"/>
        <v>0.66964736365389399</v>
      </c>
      <c r="EI92">
        <v>39</v>
      </c>
      <c r="EJ92" s="147">
        <f t="shared" si="153"/>
        <v>45.199782303209716</v>
      </c>
      <c r="EK92" s="147">
        <f t="shared" si="100"/>
        <v>17.767782303209714</v>
      </c>
      <c r="EL92" s="147">
        <f t="shared" si="101"/>
        <v>1967.6200862079829</v>
      </c>
      <c r="EM92" s="147">
        <f t="shared" si="102"/>
        <v>363.56805756868397</v>
      </c>
      <c r="EN92" s="147">
        <f t="shared" si="136"/>
        <v>895.57081023824367</v>
      </c>
      <c r="EO92" s="147">
        <f t="shared" si="137"/>
        <v>2076.7061745444075</v>
      </c>
      <c r="EP92" s="147">
        <f t="shared" si="138"/>
        <v>4819.2746410935542</v>
      </c>
      <c r="EQ92" s="147">
        <f t="shared" si="103"/>
        <v>4818.6049937299003</v>
      </c>
      <c r="ER92" s="147">
        <f t="shared" si="104"/>
        <v>-0.66964736365389399</v>
      </c>
      <c r="ES92" t="str">
        <f t="shared" si="105"/>
        <v>No</v>
      </c>
      <c r="ET92">
        <f>COUNTIF(ES$54:ES92,"Yes")</f>
        <v>5</v>
      </c>
      <c r="EU92" cm="1">
        <f t="array" ref="EU92">INDEX($J$2:$J$7,IF(ET92&gt;5,6,ET92+1))</f>
        <v>1</v>
      </c>
      <c r="EV92" s="147">
        <f t="shared" si="106"/>
        <v>0.66964736365389399</v>
      </c>
      <c r="EZ92">
        <v>39</v>
      </c>
      <c r="FA92" s="147">
        <f t="shared" si="154"/>
        <v>39.011379951183578</v>
      </c>
      <c r="FB92" s="147">
        <f t="shared" si="107"/>
        <v>11.579379951183576</v>
      </c>
      <c r="FC92" s="147">
        <f t="shared" si="108"/>
        <v>1512.4030741077106</v>
      </c>
      <c r="FD92" s="147">
        <f t="shared" si="109"/>
        <v>279.45508981560829</v>
      </c>
      <c r="FE92" s="147">
        <f t="shared" si="139"/>
        <v>578.10741885796574</v>
      </c>
      <c r="FF92" s="147">
        <f t="shared" si="140"/>
        <v>1625.6048641865862</v>
      </c>
      <c r="FG92" s="147">
        <f t="shared" si="141"/>
        <v>3212.5999038602085</v>
      </c>
      <c r="FH92" s="147">
        <f t="shared" si="110"/>
        <v>3212.130832455312</v>
      </c>
      <c r="FI92" s="147">
        <f t="shared" si="111"/>
        <v>-0.4690714048965674</v>
      </c>
      <c r="FJ92" t="str">
        <f t="shared" si="112"/>
        <v>No</v>
      </c>
      <c r="FK92">
        <f>COUNTIF(FJ$54:FJ92,"Yes")</f>
        <v>5</v>
      </c>
      <c r="FL92" cm="1">
        <f t="array" ref="FL92">INDEX($J$2:$J$7,IF(FK92&gt;5,6,FK92+1))</f>
        <v>1</v>
      </c>
      <c r="FM92" s="147">
        <f t="shared" si="113"/>
        <v>0.4690714048965674</v>
      </c>
    </row>
    <row r="93" spans="3:169" x14ac:dyDescent="0.3">
      <c r="C93">
        <v>40</v>
      </c>
      <c r="D93" s="147">
        <f t="shared" si="155"/>
        <v>53.040791160845636</v>
      </c>
      <c r="E93" s="147">
        <f t="shared" si="42"/>
        <v>25.608791160845634</v>
      </c>
      <c r="F93" s="147">
        <f t="shared" si="43"/>
        <v>2630.2935939070858</v>
      </c>
      <c r="G93" s="147">
        <f t="shared" si="44"/>
        <v>486.01391065036597</v>
      </c>
      <c r="H93" s="147">
        <f t="shared" si="142"/>
        <v>1340.7487136681357</v>
      </c>
      <c r="I93" s="147">
        <f t="shared" si="114"/>
        <v>2245.5096404836386</v>
      </c>
      <c r="J93" s="147">
        <f t="shared" si="115"/>
        <v>7357.3666224634035</v>
      </c>
      <c r="K93" s="147">
        <f t="shared" si="46"/>
        <v>7357.0280934313305</v>
      </c>
      <c r="L93" s="147">
        <f t="shared" si="47"/>
        <v>-0.33852903207298368</v>
      </c>
      <c r="M93" t="str">
        <f t="shared" si="48"/>
        <v>No</v>
      </c>
      <c r="N93">
        <f>COUNTIF(M$54:M93,"Yes")</f>
        <v>5</v>
      </c>
      <c r="O93" cm="1">
        <f t="array" ref="O93">INDEX($J$2:$J$7,IF(N93&gt;5,6,N93+1))</f>
        <v>1</v>
      </c>
      <c r="P93" s="147">
        <f t="shared" si="49"/>
        <v>0.33852903207298368</v>
      </c>
      <c r="T93">
        <v>40</v>
      </c>
      <c r="U93" s="147">
        <f t="shared" si="146"/>
        <v>53.040791160845636</v>
      </c>
      <c r="V93" s="147">
        <f t="shared" si="50"/>
        <v>25.608791160845634</v>
      </c>
      <c r="W93" s="147">
        <f t="shared" si="51"/>
        <v>2630.2935939070858</v>
      </c>
      <c r="X93" s="147">
        <f t="shared" si="52"/>
        <v>486.01391065036597</v>
      </c>
      <c r="Y93" s="147">
        <f t="shared" si="53"/>
        <v>1340.7487136681357</v>
      </c>
      <c r="Z93" s="147">
        <f t="shared" si="116"/>
        <v>2245.5096404836368</v>
      </c>
      <c r="AA93" s="147">
        <f t="shared" si="117"/>
        <v>7357.3666224634017</v>
      </c>
      <c r="AB93" s="147">
        <f t="shared" si="54"/>
        <v>7357.0280934313305</v>
      </c>
      <c r="AC93" s="147">
        <f t="shared" si="55"/>
        <v>-0.33852903207116469</v>
      </c>
      <c r="AD93" t="str">
        <f t="shared" si="56"/>
        <v>No</v>
      </c>
      <c r="AE93">
        <f>COUNTIF(AD$54:AD93,"Yes")</f>
        <v>5</v>
      </c>
      <c r="AF93" cm="1">
        <f t="array" ref="AF93">INDEX($J$2:$J$7,IF(AE93&gt;5,6,AE93+1))</f>
        <v>1</v>
      </c>
      <c r="AG93" s="147">
        <f t="shared" si="57"/>
        <v>0.33852903207116469</v>
      </c>
      <c r="AK93">
        <v>40</v>
      </c>
      <c r="AL93" s="147">
        <f t="shared" si="147"/>
        <v>52.865033780497249</v>
      </c>
      <c r="AM93" s="147">
        <f t="shared" si="58"/>
        <v>25.433033780497247</v>
      </c>
      <c r="AN93" s="147">
        <f t="shared" si="59"/>
        <v>2614.3877611051043</v>
      </c>
      <c r="AO93" s="147">
        <f t="shared" si="60"/>
        <v>483.0749018567663</v>
      </c>
      <c r="AP93" s="147">
        <f t="shared" si="118"/>
        <v>1384.7399575429861</v>
      </c>
      <c r="AQ93" s="147">
        <f t="shared" si="156"/>
        <v>2185.6125638068061</v>
      </c>
      <c r="AR93" s="147">
        <f t="shared" si="144"/>
        <v>7294.5305369929702</v>
      </c>
      <c r="AS93" s="147">
        <f t="shared" si="61"/>
        <v>7293.9694514114663</v>
      </c>
      <c r="AT93" s="147">
        <f t="shared" si="62"/>
        <v>-0.56108558150390309</v>
      </c>
      <c r="AU93" t="str">
        <f t="shared" si="63"/>
        <v>No</v>
      </c>
      <c r="AV93">
        <f>COUNTIF(AU$54:AU93,"Yes")</f>
        <v>5</v>
      </c>
      <c r="AW93" cm="1">
        <f t="array" ref="AW93">INDEX($J$2:$J$7,IF(AV93&gt;5,6,AV93+1))</f>
        <v>1</v>
      </c>
      <c r="AX93" s="147">
        <f t="shared" si="64"/>
        <v>0.56108558150390309</v>
      </c>
      <c r="BB93">
        <v>40</v>
      </c>
      <c r="BC93" s="147">
        <f t="shared" si="148"/>
        <v>46.619587119564621</v>
      </c>
      <c r="BD93" s="147">
        <f t="shared" si="65"/>
        <v>19.187587119564618</v>
      </c>
      <c r="BE93" s="147">
        <f t="shared" si="66"/>
        <v>2080.4947911199879</v>
      </c>
      <c r="BF93" s="147">
        <f t="shared" si="67"/>
        <v>384.42454175541752</v>
      </c>
      <c r="BG93" s="147">
        <f t="shared" si="121"/>
        <v>978.16613319366127</v>
      </c>
      <c r="BH93" s="147">
        <f t="shared" si="122"/>
        <v>2098.8702001126653</v>
      </c>
      <c r="BI93" s="147">
        <f t="shared" si="123"/>
        <v>5236.7689279067017</v>
      </c>
      <c r="BJ93" s="147">
        <f t="shared" si="68"/>
        <v>5236.5657910146083</v>
      </c>
      <c r="BK93" s="147">
        <f t="shared" si="69"/>
        <v>-0.20313689209342556</v>
      </c>
      <c r="BL93" t="str">
        <f t="shared" si="70"/>
        <v>No</v>
      </c>
      <c r="BM93">
        <f>COUNTIF(BL$54:BL93,"Yes")</f>
        <v>5</v>
      </c>
      <c r="BN93" cm="1">
        <f t="array" ref="BN93">INDEX($J$2:$J$7,IF(BM93&gt;5,6,BM93+1))</f>
        <v>1</v>
      </c>
      <c r="BO93" s="147">
        <f t="shared" si="71"/>
        <v>0.20313689209342556</v>
      </c>
      <c r="BS93">
        <v>40</v>
      </c>
      <c r="BT93" s="147">
        <f t="shared" si="149"/>
        <v>46.619587119564621</v>
      </c>
      <c r="BU93" s="147">
        <f t="shared" si="72"/>
        <v>19.187587119564618</v>
      </c>
      <c r="BV93" s="147">
        <f t="shared" si="73"/>
        <v>2080.4947911199879</v>
      </c>
      <c r="BW93" s="147">
        <f t="shared" si="74"/>
        <v>384.42454175541752</v>
      </c>
      <c r="BX93" s="147">
        <f t="shared" si="124"/>
        <v>978.16613319366127</v>
      </c>
      <c r="BY93" s="147">
        <f t="shared" si="125"/>
        <v>2098.8702001126653</v>
      </c>
      <c r="BZ93" s="147">
        <f t="shared" si="126"/>
        <v>5236.7689279067017</v>
      </c>
      <c r="CA93" s="147">
        <f t="shared" si="75"/>
        <v>5236.5657910146083</v>
      </c>
      <c r="CB93" s="147">
        <f t="shared" si="76"/>
        <v>-0.20313689209342556</v>
      </c>
      <c r="CC93" t="str">
        <f t="shared" si="77"/>
        <v>No</v>
      </c>
      <c r="CD93">
        <f>COUNTIF(CC$54:CC93,"Yes")</f>
        <v>5</v>
      </c>
      <c r="CE93" cm="1">
        <f t="array" ref="CE93">INDEX($J$2:$J$7,IF(CD93&gt;5,6,CD93+1))</f>
        <v>1</v>
      </c>
      <c r="CF93" s="147">
        <f t="shared" si="78"/>
        <v>0.20313689209342556</v>
      </c>
      <c r="CJ93">
        <v>40</v>
      </c>
      <c r="CK93" s="147">
        <f t="shared" si="150"/>
        <v>46.619587119564621</v>
      </c>
      <c r="CL93" s="147">
        <f t="shared" si="79"/>
        <v>19.187587119564618</v>
      </c>
      <c r="CM93" s="147">
        <f t="shared" si="80"/>
        <v>2080.4947911199879</v>
      </c>
      <c r="CN93" s="147">
        <f t="shared" si="81"/>
        <v>384.42454175541752</v>
      </c>
      <c r="CO93" s="147">
        <f t="shared" si="127"/>
        <v>978.16613319366127</v>
      </c>
      <c r="CP93" s="147">
        <f t="shared" si="128"/>
        <v>2098.8702001126653</v>
      </c>
      <c r="CQ93" s="147">
        <f t="shared" si="129"/>
        <v>5236.7689279067017</v>
      </c>
      <c r="CR93" s="147">
        <f t="shared" si="82"/>
        <v>5236.5657910146083</v>
      </c>
      <c r="CS93" s="147">
        <f t="shared" si="83"/>
        <v>-0.20313689209342556</v>
      </c>
      <c r="CT93" t="str">
        <f t="shared" si="84"/>
        <v>No</v>
      </c>
      <c r="CU93">
        <f>COUNTIF(CT$54:CT93,"Yes")</f>
        <v>5</v>
      </c>
      <c r="CV93" cm="1">
        <f t="array" ref="CV93">INDEX($J$2:$J$7,IF(CU93&gt;5,6,CU93+1))</f>
        <v>1</v>
      </c>
      <c r="CW93" s="147">
        <f t="shared" si="85"/>
        <v>0.20313689209342556</v>
      </c>
      <c r="DA93">
        <v>40</v>
      </c>
      <c r="DB93" s="147">
        <f t="shared" si="151"/>
        <v>45.199782303209716</v>
      </c>
      <c r="DC93" s="147">
        <f t="shared" si="86"/>
        <v>17.767782303209714</v>
      </c>
      <c r="DD93" s="147">
        <f t="shared" si="87"/>
        <v>1967.6200862079829</v>
      </c>
      <c r="DE93" s="147">
        <f t="shared" si="88"/>
        <v>363.56805756868397</v>
      </c>
      <c r="DF93" s="147">
        <f t="shared" si="130"/>
        <v>895.57081023824367</v>
      </c>
      <c r="DG93" s="147">
        <f t="shared" si="131"/>
        <v>2076.7061745444075</v>
      </c>
      <c r="DH93" s="147">
        <f t="shared" si="132"/>
        <v>4819.2746410935542</v>
      </c>
      <c r="DI93" s="147">
        <f t="shared" si="89"/>
        <v>4818.6049937299003</v>
      </c>
      <c r="DJ93" s="147">
        <f t="shared" si="90"/>
        <v>-0.66964736365389399</v>
      </c>
      <c r="DK93" t="str">
        <f t="shared" si="91"/>
        <v>No</v>
      </c>
      <c r="DL93">
        <f>COUNTIF(DK$54:DK93,"Yes")</f>
        <v>5</v>
      </c>
      <c r="DM93" cm="1">
        <f t="array" ref="DM93">INDEX($J$2:$J$7,IF(DL93&gt;5,6,DL93+1))</f>
        <v>1</v>
      </c>
      <c r="DN93" s="147">
        <f t="shared" si="92"/>
        <v>0.66964736365389399</v>
      </c>
      <c r="DR93">
        <v>40</v>
      </c>
      <c r="DS93" s="147">
        <f t="shared" si="152"/>
        <v>45.199782303209716</v>
      </c>
      <c r="DT93" s="147">
        <f t="shared" si="93"/>
        <v>17.767782303209714</v>
      </c>
      <c r="DU93" s="147">
        <f t="shared" si="94"/>
        <v>1967.6200862079829</v>
      </c>
      <c r="DV93" s="147">
        <f t="shared" si="95"/>
        <v>363.56805756868397</v>
      </c>
      <c r="DW93" s="147">
        <f t="shared" si="133"/>
        <v>895.57081023824367</v>
      </c>
      <c r="DX93" s="147">
        <f t="shared" si="134"/>
        <v>2076.7061745444075</v>
      </c>
      <c r="DY93" s="147">
        <f t="shared" si="135"/>
        <v>4819.2746410935542</v>
      </c>
      <c r="DZ93" s="147">
        <f t="shared" si="96"/>
        <v>4818.6049937299003</v>
      </c>
      <c r="EA93" s="147">
        <f t="shared" si="97"/>
        <v>-0.66964736365389399</v>
      </c>
      <c r="EB93" t="str">
        <f t="shared" si="98"/>
        <v>No</v>
      </c>
      <c r="EC93">
        <f>COUNTIF(EB$54:EB93,"Yes")</f>
        <v>5</v>
      </c>
      <c r="ED93" cm="1">
        <f t="array" ref="ED93">INDEX($J$2:$J$7,IF(EC93&gt;5,6,EC93+1))</f>
        <v>1</v>
      </c>
      <c r="EE93" s="147">
        <f t="shared" si="99"/>
        <v>0.66964736365389399</v>
      </c>
      <c r="EI93">
        <v>40</v>
      </c>
      <c r="EJ93" s="147">
        <f t="shared" si="153"/>
        <v>45.199782303209716</v>
      </c>
      <c r="EK93" s="147">
        <f t="shared" si="100"/>
        <v>17.767782303209714</v>
      </c>
      <c r="EL93" s="147">
        <f t="shared" si="101"/>
        <v>1967.6200862079829</v>
      </c>
      <c r="EM93" s="147">
        <f t="shared" si="102"/>
        <v>363.56805756868397</v>
      </c>
      <c r="EN93" s="147">
        <f t="shared" si="136"/>
        <v>895.57081023824367</v>
      </c>
      <c r="EO93" s="147">
        <f t="shared" si="137"/>
        <v>2076.7061745444075</v>
      </c>
      <c r="EP93" s="147">
        <f t="shared" si="138"/>
        <v>4819.2746410935542</v>
      </c>
      <c r="EQ93" s="147">
        <f t="shared" si="103"/>
        <v>4818.6049937299003</v>
      </c>
      <c r="ER93" s="147">
        <f t="shared" si="104"/>
        <v>-0.66964736365389399</v>
      </c>
      <c r="ES93" t="str">
        <f t="shared" si="105"/>
        <v>No</v>
      </c>
      <c r="ET93">
        <f>COUNTIF(ES$54:ES93,"Yes")</f>
        <v>5</v>
      </c>
      <c r="EU93" cm="1">
        <f t="array" ref="EU93">INDEX($J$2:$J$7,IF(ET93&gt;5,6,ET93+1))</f>
        <v>1</v>
      </c>
      <c r="EV93" s="147">
        <f t="shared" si="106"/>
        <v>0.66964736365389399</v>
      </c>
      <c r="EZ93">
        <v>40</v>
      </c>
      <c r="FA93" s="147">
        <f t="shared" si="154"/>
        <v>39.011379951183578</v>
      </c>
      <c r="FB93" s="147">
        <f t="shared" si="107"/>
        <v>11.579379951183576</v>
      </c>
      <c r="FC93" s="147">
        <f t="shared" si="108"/>
        <v>1512.4030741077106</v>
      </c>
      <c r="FD93" s="147">
        <f t="shared" si="109"/>
        <v>279.45508981560829</v>
      </c>
      <c r="FE93" s="147">
        <f t="shared" si="139"/>
        <v>578.10741885796574</v>
      </c>
      <c r="FF93" s="147">
        <f t="shared" si="140"/>
        <v>1625.6048641865862</v>
      </c>
      <c r="FG93" s="147">
        <f t="shared" si="141"/>
        <v>3212.5999038602085</v>
      </c>
      <c r="FH93" s="147">
        <f t="shared" si="110"/>
        <v>3212.130832455312</v>
      </c>
      <c r="FI93" s="147">
        <f t="shared" si="111"/>
        <v>-0.4690714048965674</v>
      </c>
      <c r="FJ93" t="str">
        <f t="shared" si="112"/>
        <v>No</v>
      </c>
      <c r="FK93">
        <f>COUNTIF(FJ$54:FJ93,"Yes")</f>
        <v>5</v>
      </c>
      <c r="FL93" cm="1">
        <f t="array" ref="FL93">INDEX($J$2:$J$7,IF(FK93&gt;5,6,FK93+1))</f>
        <v>1</v>
      </c>
      <c r="FM93" s="147">
        <f t="shared" si="113"/>
        <v>0.4690714048965674</v>
      </c>
    </row>
    <row r="94" spans="3:169" x14ac:dyDescent="0.3">
      <c r="C94">
        <v>41</v>
      </c>
      <c r="D94" s="147">
        <f t="shared" si="155"/>
        <v>53.040791160845636</v>
      </c>
      <c r="E94" s="147">
        <f t="shared" si="42"/>
        <v>25.608791160845634</v>
      </c>
      <c r="F94" s="147">
        <f t="shared" si="43"/>
        <v>2630.2935939070858</v>
      </c>
      <c r="G94" s="147">
        <f t="shared" si="44"/>
        <v>486.01391065036597</v>
      </c>
      <c r="H94" s="147">
        <f t="shared" si="142"/>
        <v>1340.7487136681357</v>
      </c>
      <c r="I94" s="147">
        <f t="shared" si="114"/>
        <v>2245.5096404836386</v>
      </c>
      <c r="J94" s="147">
        <f t="shared" si="115"/>
        <v>7357.3666224634035</v>
      </c>
      <c r="K94" s="147">
        <f t="shared" si="46"/>
        <v>7357.0280934313305</v>
      </c>
      <c r="L94" s="147">
        <f t="shared" si="47"/>
        <v>-0.33852903207298368</v>
      </c>
      <c r="M94" t="str">
        <f t="shared" si="48"/>
        <v>No</v>
      </c>
      <c r="N94">
        <f>COUNTIF(M$54:M94,"Yes")</f>
        <v>5</v>
      </c>
      <c r="O94" cm="1">
        <f t="array" ref="O94">INDEX($J$2:$J$7,IF(N94&gt;5,6,N94+1))</f>
        <v>1</v>
      </c>
      <c r="P94" s="147">
        <f t="shared" si="49"/>
        <v>0.33852903207298368</v>
      </c>
      <c r="T94">
        <v>41</v>
      </c>
      <c r="U94" s="147">
        <f t="shared" si="146"/>
        <v>53.040791160845636</v>
      </c>
      <c r="V94" s="147">
        <f t="shared" si="50"/>
        <v>25.608791160845634</v>
      </c>
      <c r="W94" s="147">
        <f t="shared" si="51"/>
        <v>2630.2935939070858</v>
      </c>
      <c r="X94" s="147">
        <f t="shared" si="52"/>
        <v>486.01391065036597</v>
      </c>
      <c r="Y94" s="147">
        <f t="shared" si="53"/>
        <v>1340.7487136681357</v>
      </c>
      <c r="Z94" s="147">
        <f t="shared" si="116"/>
        <v>2245.5096404836368</v>
      </c>
      <c r="AA94" s="147">
        <f t="shared" si="117"/>
        <v>7357.3666224634017</v>
      </c>
      <c r="AB94" s="147">
        <f t="shared" si="54"/>
        <v>7357.0280934313305</v>
      </c>
      <c r="AC94" s="147">
        <f t="shared" si="55"/>
        <v>-0.33852903207116469</v>
      </c>
      <c r="AD94" t="str">
        <f t="shared" si="56"/>
        <v>No</v>
      </c>
      <c r="AE94">
        <f>COUNTIF(AD$54:AD94,"Yes")</f>
        <v>5</v>
      </c>
      <c r="AF94" cm="1">
        <f t="array" ref="AF94">INDEX($J$2:$J$7,IF(AE94&gt;5,6,AE94+1))</f>
        <v>1</v>
      </c>
      <c r="AG94" s="147">
        <f t="shared" si="57"/>
        <v>0.33852903207116469</v>
      </c>
      <c r="AK94">
        <v>41</v>
      </c>
      <c r="AL94" s="147">
        <f t="shared" si="147"/>
        <v>52.865033780497249</v>
      </c>
      <c r="AM94" s="147">
        <f t="shared" si="58"/>
        <v>25.433033780497247</v>
      </c>
      <c r="AN94" s="147">
        <f t="shared" si="59"/>
        <v>2614.3877611051043</v>
      </c>
      <c r="AO94" s="147">
        <f t="shared" si="60"/>
        <v>483.0749018567663</v>
      </c>
      <c r="AP94" s="147">
        <f t="shared" si="118"/>
        <v>1384.7399575429861</v>
      </c>
      <c r="AQ94" s="147">
        <f t="shared" si="156"/>
        <v>2185.6125638068061</v>
      </c>
      <c r="AR94" s="147">
        <f t="shared" si="144"/>
        <v>7294.5305369929702</v>
      </c>
      <c r="AS94" s="147">
        <f t="shared" si="61"/>
        <v>7293.9694514114663</v>
      </c>
      <c r="AT94" s="147">
        <f t="shared" si="62"/>
        <v>-0.56108558150390309</v>
      </c>
      <c r="AU94" t="str">
        <f t="shared" si="63"/>
        <v>No</v>
      </c>
      <c r="AV94">
        <f>COUNTIF(AU$54:AU94,"Yes")</f>
        <v>5</v>
      </c>
      <c r="AW94" cm="1">
        <f t="array" ref="AW94">INDEX($J$2:$J$7,IF(AV94&gt;5,6,AV94+1))</f>
        <v>1</v>
      </c>
      <c r="AX94" s="147">
        <f t="shared" si="64"/>
        <v>0.56108558150390309</v>
      </c>
      <c r="BB94">
        <v>41</v>
      </c>
      <c r="BC94" s="147">
        <f t="shared" si="148"/>
        <v>46.619587119564621</v>
      </c>
      <c r="BD94" s="147">
        <f t="shared" si="65"/>
        <v>19.187587119564618</v>
      </c>
      <c r="BE94" s="147">
        <f t="shared" si="66"/>
        <v>2080.4947911199879</v>
      </c>
      <c r="BF94" s="147">
        <f t="shared" si="67"/>
        <v>384.42454175541752</v>
      </c>
      <c r="BG94" s="147">
        <f t="shared" si="121"/>
        <v>978.16613319366127</v>
      </c>
      <c r="BH94" s="147">
        <f t="shared" si="122"/>
        <v>2098.8702001126653</v>
      </c>
      <c r="BI94" s="147">
        <f t="shared" si="123"/>
        <v>5236.7689279067017</v>
      </c>
      <c r="BJ94" s="147">
        <f t="shared" si="68"/>
        <v>5236.5657910146083</v>
      </c>
      <c r="BK94" s="147">
        <f t="shared" si="69"/>
        <v>-0.20313689209342556</v>
      </c>
      <c r="BL94" t="str">
        <f t="shared" si="70"/>
        <v>No</v>
      </c>
      <c r="BM94">
        <f>COUNTIF(BL$54:BL94,"Yes")</f>
        <v>5</v>
      </c>
      <c r="BN94" cm="1">
        <f t="array" ref="BN94">INDEX($J$2:$J$7,IF(BM94&gt;5,6,BM94+1))</f>
        <v>1</v>
      </c>
      <c r="BO94" s="147">
        <f t="shared" si="71"/>
        <v>0.20313689209342556</v>
      </c>
      <c r="BS94">
        <v>41</v>
      </c>
      <c r="BT94" s="147">
        <f t="shared" si="149"/>
        <v>46.619587119564621</v>
      </c>
      <c r="BU94" s="147">
        <f t="shared" si="72"/>
        <v>19.187587119564618</v>
      </c>
      <c r="BV94" s="147">
        <f t="shared" si="73"/>
        <v>2080.4947911199879</v>
      </c>
      <c r="BW94" s="147">
        <f t="shared" si="74"/>
        <v>384.42454175541752</v>
      </c>
      <c r="BX94" s="147">
        <f t="shared" si="124"/>
        <v>978.16613319366127</v>
      </c>
      <c r="BY94" s="147">
        <f t="shared" si="125"/>
        <v>2098.8702001126653</v>
      </c>
      <c r="BZ94" s="147">
        <f t="shared" si="126"/>
        <v>5236.7689279067017</v>
      </c>
      <c r="CA94" s="147">
        <f t="shared" si="75"/>
        <v>5236.5657910146083</v>
      </c>
      <c r="CB94" s="147">
        <f t="shared" si="76"/>
        <v>-0.20313689209342556</v>
      </c>
      <c r="CC94" t="str">
        <f t="shared" si="77"/>
        <v>No</v>
      </c>
      <c r="CD94">
        <f>COUNTIF(CC$54:CC94,"Yes")</f>
        <v>5</v>
      </c>
      <c r="CE94" cm="1">
        <f t="array" ref="CE94">INDEX($J$2:$J$7,IF(CD94&gt;5,6,CD94+1))</f>
        <v>1</v>
      </c>
      <c r="CF94" s="147">
        <f t="shared" si="78"/>
        <v>0.20313689209342556</v>
      </c>
      <c r="CJ94">
        <v>41</v>
      </c>
      <c r="CK94" s="147">
        <f t="shared" si="150"/>
        <v>46.619587119564621</v>
      </c>
      <c r="CL94" s="147">
        <f t="shared" si="79"/>
        <v>19.187587119564618</v>
      </c>
      <c r="CM94" s="147">
        <f t="shared" si="80"/>
        <v>2080.4947911199879</v>
      </c>
      <c r="CN94" s="147">
        <f t="shared" si="81"/>
        <v>384.42454175541752</v>
      </c>
      <c r="CO94" s="147">
        <f t="shared" si="127"/>
        <v>978.16613319366127</v>
      </c>
      <c r="CP94" s="147">
        <f t="shared" si="128"/>
        <v>2098.8702001126653</v>
      </c>
      <c r="CQ94" s="147">
        <f t="shared" si="129"/>
        <v>5236.7689279067017</v>
      </c>
      <c r="CR94" s="147">
        <f t="shared" si="82"/>
        <v>5236.5657910146083</v>
      </c>
      <c r="CS94" s="147">
        <f t="shared" si="83"/>
        <v>-0.20313689209342556</v>
      </c>
      <c r="CT94" t="str">
        <f t="shared" si="84"/>
        <v>No</v>
      </c>
      <c r="CU94">
        <f>COUNTIF(CT$54:CT94,"Yes")</f>
        <v>5</v>
      </c>
      <c r="CV94" cm="1">
        <f t="array" ref="CV94">INDEX($J$2:$J$7,IF(CU94&gt;5,6,CU94+1))</f>
        <v>1</v>
      </c>
      <c r="CW94" s="147">
        <f t="shared" si="85"/>
        <v>0.20313689209342556</v>
      </c>
      <c r="DA94">
        <v>41</v>
      </c>
      <c r="DB94" s="147">
        <f t="shared" si="151"/>
        <v>45.199782303209716</v>
      </c>
      <c r="DC94" s="147">
        <f t="shared" si="86"/>
        <v>17.767782303209714</v>
      </c>
      <c r="DD94" s="147">
        <f t="shared" si="87"/>
        <v>1967.6200862079829</v>
      </c>
      <c r="DE94" s="147">
        <f t="shared" si="88"/>
        <v>363.56805756868397</v>
      </c>
      <c r="DF94" s="147">
        <f t="shared" si="130"/>
        <v>895.57081023824367</v>
      </c>
      <c r="DG94" s="147">
        <f t="shared" si="131"/>
        <v>2076.7061745444075</v>
      </c>
      <c r="DH94" s="147">
        <f t="shared" si="132"/>
        <v>4819.2746410935542</v>
      </c>
      <c r="DI94" s="147">
        <f t="shared" si="89"/>
        <v>4818.6049937299003</v>
      </c>
      <c r="DJ94" s="147">
        <f t="shared" si="90"/>
        <v>-0.66964736365389399</v>
      </c>
      <c r="DK94" t="str">
        <f t="shared" si="91"/>
        <v>No</v>
      </c>
      <c r="DL94">
        <f>COUNTIF(DK$54:DK94,"Yes")</f>
        <v>5</v>
      </c>
      <c r="DM94" cm="1">
        <f t="array" ref="DM94">INDEX($J$2:$J$7,IF(DL94&gt;5,6,DL94+1))</f>
        <v>1</v>
      </c>
      <c r="DN94" s="147">
        <f t="shared" si="92"/>
        <v>0.66964736365389399</v>
      </c>
      <c r="DR94">
        <v>41</v>
      </c>
      <c r="DS94" s="147">
        <f t="shared" si="152"/>
        <v>45.199782303209716</v>
      </c>
      <c r="DT94" s="147">
        <f t="shared" si="93"/>
        <v>17.767782303209714</v>
      </c>
      <c r="DU94" s="147">
        <f t="shared" si="94"/>
        <v>1967.6200862079829</v>
      </c>
      <c r="DV94" s="147">
        <f t="shared" si="95"/>
        <v>363.56805756868397</v>
      </c>
      <c r="DW94" s="147">
        <f t="shared" si="133"/>
        <v>895.57081023824367</v>
      </c>
      <c r="DX94" s="147">
        <f t="shared" si="134"/>
        <v>2076.7061745444075</v>
      </c>
      <c r="DY94" s="147">
        <f t="shared" si="135"/>
        <v>4819.2746410935542</v>
      </c>
      <c r="DZ94" s="147">
        <f t="shared" si="96"/>
        <v>4818.6049937299003</v>
      </c>
      <c r="EA94" s="147">
        <f t="shared" si="97"/>
        <v>-0.66964736365389399</v>
      </c>
      <c r="EB94" t="str">
        <f t="shared" si="98"/>
        <v>No</v>
      </c>
      <c r="EC94">
        <f>COUNTIF(EB$54:EB94,"Yes")</f>
        <v>5</v>
      </c>
      <c r="ED94" cm="1">
        <f t="array" ref="ED94">INDEX($J$2:$J$7,IF(EC94&gt;5,6,EC94+1))</f>
        <v>1</v>
      </c>
      <c r="EE94" s="147">
        <f t="shared" si="99"/>
        <v>0.66964736365389399</v>
      </c>
      <c r="EI94">
        <v>41</v>
      </c>
      <c r="EJ94" s="147">
        <f t="shared" si="153"/>
        <v>45.199782303209716</v>
      </c>
      <c r="EK94" s="147">
        <f t="shared" si="100"/>
        <v>17.767782303209714</v>
      </c>
      <c r="EL94" s="147">
        <f t="shared" si="101"/>
        <v>1967.6200862079829</v>
      </c>
      <c r="EM94" s="147">
        <f t="shared" si="102"/>
        <v>363.56805756868397</v>
      </c>
      <c r="EN94" s="147">
        <f t="shared" si="136"/>
        <v>895.57081023824367</v>
      </c>
      <c r="EO94" s="147">
        <f t="shared" si="137"/>
        <v>2076.7061745444075</v>
      </c>
      <c r="EP94" s="147">
        <f t="shared" si="138"/>
        <v>4819.2746410935542</v>
      </c>
      <c r="EQ94" s="147">
        <f t="shared" si="103"/>
        <v>4818.6049937299003</v>
      </c>
      <c r="ER94" s="147">
        <f t="shared" si="104"/>
        <v>-0.66964736365389399</v>
      </c>
      <c r="ES94" t="str">
        <f t="shared" si="105"/>
        <v>No</v>
      </c>
      <c r="ET94">
        <f>COUNTIF(ES$54:ES94,"Yes")</f>
        <v>5</v>
      </c>
      <c r="EU94" cm="1">
        <f t="array" ref="EU94">INDEX($J$2:$J$7,IF(ET94&gt;5,6,ET94+1))</f>
        <v>1</v>
      </c>
      <c r="EV94" s="147">
        <f t="shared" si="106"/>
        <v>0.66964736365389399</v>
      </c>
      <c r="EZ94">
        <v>41</v>
      </c>
      <c r="FA94" s="147">
        <f t="shared" si="154"/>
        <v>39.011379951183578</v>
      </c>
      <c r="FB94" s="147">
        <f t="shared" si="107"/>
        <v>11.579379951183576</v>
      </c>
      <c r="FC94" s="147">
        <f t="shared" si="108"/>
        <v>1512.4030741077106</v>
      </c>
      <c r="FD94" s="147">
        <f t="shared" si="109"/>
        <v>279.45508981560829</v>
      </c>
      <c r="FE94" s="147">
        <f t="shared" si="139"/>
        <v>578.10741885796574</v>
      </c>
      <c r="FF94" s="147">
        <f t="shared" si="140"/>
        <v>1625.6048641865862</v>
      </c>
      <c r="FG94" s="147">
        <f t="shared" si="141"/>
        <v>3212.5999038602085</v>
      </c>
      <c r="FH94" s="147">
        <f t="shared" si="110"/>
        <v>3212.130832455312</v>
      </c>
      <c r="FI94" s="147">
        <f t="shared" si="111"/>
        <v>-0.4690714048965674</v>
      </c>
      <c r="FJ94" t="str">
        <f t="shared" si="112"/>
        <v>No</v>
      </c>
      <c r="FK94">
        <f>COUNTIF(FJ$54:FJ94,"Yes")</f>
        <v>5</v>
      </c>
      <c r="FL94" cm="1">
        <f t="array" ref="FL94">INDEX($J$2:$J$7,IF(FK94&gt;5,6,FK94+1))</f>
        <v>1</v>
      </c>
      <c r="FM94" s="147">
        <f t="shared" si="113"/>
        <v>0.4690714048965674</v>
      </c>
    </row>
    <row r="95" spans="3:169" x14ac:dyDescent="0.3">
      <c r="C95">
        <v>42</v>
      </c>
      <c r="D95" s="147">
        <f t="shared" si="155"/>
        <v>53.040791160845636</v>
      </c>
      <c r="E95" s="147">
        <f t="shared" si="42"/>
        <v>25.608791160845634</v>
      </c>
      <c r="F95" s="147">
        <f t="shared" si="43"/>
        <v>2630.2935939070858</v>
      </c>
      <c r="G95" s="147">
        <f t="shared" si="44"/>
        <v>486.01391065036597</v>
      </c>
      <c r="H95" s="147">
        <f t="shared" si="142"/>
        <v>1340.7487136681357</v>
      </c>
      <c r="I95" s="147">
        <f t="shared" si="114"/>
        <v>2245.5096404836386</v>
      </c>
      <c r="J95" s="147">
        <f t="shared" si="115"/>
        <v>7357.3666224634035</v>
      </c>
      <c r="K95" s="147">
        <f t="shared" si="46"/>
        <v>7357.0280934313305</v>
      </c>
      <c r="L95" s="147">
        <f t="shared" si="47"/>
        <v>-0.33852903207298368</v>
      </c>
      <c r="M95" t="str">
        <f t="shared" si="48"/>
        <v>No</v>
      </c>
      <c r="N95">
        <f>COUNTIF(M$54:M95,"Yes")</f>
        <v>5</v>
      </c>
      <c r="O95" cm="1">
        <f t="array" ref="O95">INDEX($J$2:$J$7,IF(N95&gt;5,6,N95+1))</f>
        <v>1</v>
      </c>
      <c r="P95" s="147">
        <f t="shared" si="49"/>
        <v>0.33852903207298368</v>
      </c>
      <c r="T95">
        <v>42</v>
      </c>
      <c r="U95" s="147">
        <f t="shared" si="146"/>
        <v>53.040791160845636</v>
      </c>
      <c r="V95" s="147">
        <f t="shared" si="50"/>
        <v>25.608791160845634</v>
      </c>
      <c r="W95" s="147">
        <f t="shared" si="51"/>
        <v>2630.2935939070858</v>
      </c>
      <c r="X95" s="147">
        <f t="shared" si="52"/>
        <v>486.01391065036597</v>
      </c>
      <c r="Y95" s="147">
        <f t="shared" si="53"/>
        <v>1340.7487136681357</v>
      </c>
      <c r="Z95" s="147">
        <f t="shared" si="116"/>
        <v>2245.5096404836368</v>
      </c>
      <c r="AA95" s="147">
        <f t="shared" si="117"/>
        <v>7357.3666224634017</v>
      </c>
      <c r="AB95" s="147">
        <f t="shared" si="54"/>
        <v>7357.0280934313305</v>
      </c>
      <c r="AC95" s="147">
        <f t="shared" si="55"/>
        <v>-0.33852903207116469</v>
      </c>
      <c r="AD95" t="str">
        <f t="shared" si="56"/>
        <v>No</v>
      </c>
      <c r="AE95">
        <f>COUNTIF(AD$54:AD95,"Yes")</f>
        <v>5</v>
      </c>
      <c r="AF95" cm="1">
        <f t="array" ref="AF95">INDEX($J$2:$J$7,IF(AE95&gt;5,6,AE95+1))</f>
        <v>1</v>
      </c>
      <c r="AG95" s="147">
        <f t="shared" si="57"/>
        <v>0.33852903207116469</v>
      </c>
      <c r="AK95">
        <v>42</v>
      </c>
      <c r="AL95" s="147">
        <f t="shared" si="147"/>
        <v>52.865033780497249</v>
      </c>
      <c r="AM95" s="147">
        <f t="shared" si="58"/>
        <v>25.433033780497247</v>
      </c>
      <c r="AN95" s="147">
        <f t="shared" si="59"/>
        <v>2614.3877611051043</v>
      </c>
      <c r="AO95" s="147">
        <f t="shared" si="60"/>
        <v>483.0749018567663</v>
      </c>
      <c r="AP95" s="147">
        <f t="shared" si="118"/>
        <v>1384.7399575429861</v>
      </c>
      <c r="AQ95" s="147">
        <f t="shared" si="156"/>
        <v>2185.6125638068061</v>
      </c>
      <c r="AR95" s="147">
        <f t="shared" si="144"/>
        <v>7294.5305369929702</v>
      </c>
      <c r="AS95" s="147">
        <f t="shared" si="61"/>
        <v>7293.9694514114663</v>
      </c>
      <c r="AT95" s="147">
        <f t="shared" si="62"/>
        <v>-0.56108558150390309</v>
      </c>
      <c r="AU95" t="str">
        <f t="shared" si="63"/>
        <v>No</v>
      </c>
      <c r="AV95">
        <f>COUNTIF(AU$54:AU95,"Yes")</f>
        <v>5</v>
      </c>
      <c r="AW95" cm="1">
        <f t="array" ref="AW95">INDEX($J$2:$J$7,IF(AV95&gt;5,6,AV95+1))</f>
        <v>1</v>
      </c>
      <c r="AX95" s="147">
        <f t="shared" si="64"/>
        <v>0.56108558150390309</v>
      </c>
      <c r="BB95">
        <v>42</v>
      </c>
      <c r="BC95" s="147">
        <f t="shared" si="148"/>
        <v>46.619587119564621</v>
      </c>
      <c r="BD95" s="147">
        <f t="shared" si="65"/>
        <v>19.187587119564618</v>
      </c>
      <c r="BE95" s="147">
        <f t="shared" si="66"/>
        <v>2080.4947911199879</v>
      </c>
      <c r="BF95" s="147">
        <f t="shared" si="67"/>
        <v>384.42454175541752</v>
      </c>
      <c r="BG95" s="147">
        <f t="shared" si="121"/>
        <v>978.16613319366127</v>
      </c>
      <c r="BH95" s="147">
        <f t="shared" si="122"/>
        <v>2098.8702001126653</v>
      </c>
      <c r="BI95" s="147">
        <f t="shared" si="123"/>
        <v>5236.7689279067017</v>
      </c>
      <c r="BJ95" s="147">
        <f t="shared" si="68"/>
        <v>5236.5657910146083</v>
      </c>
      <c r="BK95" s="147">
        <f t="shared" si="69"/>
        <v>-0.20313689209342556</v>
      </c>
      <c r="BL95" t="str">
        <f t="shared" si="70"/>
        <v>No</v>
      </c>
      <c r="BM95">
        <f>COUNTIF(BL$54:BL95,"Yes")</f>
        <v>5</v>
      </c>
      <c r="BN95" cm="1">
        <f t="array" ref="BN95">INDEX($J$2:$J$7,IF(BM95&gt;5,6,BM95+1))</f>
        <v>1</v>
      </c>
      <c r="BO95" s="147">
        <f t="shared" si="71"/>
        <v>0.20313689209342556</v>
      </c>
      <c r="BS95">
        <v>42</v>
      </c>
      <c r="BT95" s="147">
        <f t="shared" si="149"/>
        <v>46.619587119564621</v>
      </c>
      <c r="BU95" s="147">
        <f t="shared" si="72"/>
        <v>19.187587119564618</v>
      </c>
      <c r="BV95" s="147">
        <f t="shared" si="73"/>
        <v>2080.4947911199879</v>
      </c>
      <c r="BW95" s="147">
        <f t="shared" si="74"/>
        <v>384.42454175541752</v>
      </c>
      <c r="BX95" s="147">
        <f t="shared" si="124"/>
        <v>978.16613319366127</v>
      </c>
      <c r="BY95" s="147">
        <f t="shared" si="125"/>
        <v>2098.8702001126653</v>
      </c>
      <c r="BZ95" s="147">
        <f t="shared" si="126"/>
        <v>5236.7689279067017</v>
      </c>
      <c r="CA95" s="147">
        <f t="shared" si="75"/>
        <v>5236.5657910146083</v>
      </c>
      <c r="CB95" s="147">
        <f t="shared" si="76"/>
        <v>-0.20313689209342556</v>
      </c>
      <c r="CC95" t="str">
        <f t="shared" si="77"/>
        <v>No</v>
      </c>
      <c r="CD95">
        <f>COUNTIF(CC$54:CC95,"Yes")</f>
        <v>5</v>
      </c>
      <c r="CE95" cm="1">
        <f t="array" ref="CE95">INDEX($J$2:$J$7,IF(CD95&gt;5,6,CD95+1))</f>
        <v>1</v>
      </c>
      <c r="CF95" s="147">
        <f t="shared" si="78"/>
        <v>0.20313689209342556</v>
      </c>
      <c r="CJ95">
        <v>42</v>
      </c>
      <c r="CK95" s="147">
        <f t="shared" si="150"/>
        <v>46.619587119564621</v>
      </c>
      <c r="CL95" s="147">
        <f t="shared" si="79"/>
        <v>19.187587119564618</v>
      </c>
      <c r="CM95" s="147">
        <f t="shared" si="80"/>
        <v>2080.4947911199879</v>
      </c>
      <c r="CN95" s="147">
        <f t="shared" si="81"/>
        <v>384.42454175541752</v>
      </c>
      <c r="CO95" s="147">
        <f t="shared" si="127"/>
        <v>978.16613319366127</v>
      </c>
      <c r="CP95" s="147">
        <f t="shared" si="128"/>
        <v>2098.8702001126653</v>
      </c>
      <c r="CQ95" s="147">
        <f t="shared" si="129"/>
        <v>5236.7689279067017</v>
      </c>
      <c r="CR95" s="147">
        <f t="shared" si="82"/>
        <v>5236.5657910146083</v>
      </c>
      <c r="CS95" s="147">
        <f t="shared" si="83"/>
        <v>-0.20313689209342556</v>
      </c>
      <c r="CT95" t="str">
        <f t="shared" si="84"/>
        <v>No</v>
      </c>
      <c r="CU95">
        <f>COUNTIF(CT$54:CT95,"Yes")</f>
        <v>5</v>
      </c>
      <c r="CV95" cm="1">
        <f t="array" ref="CV95">INDEX($J$2:$J$7,IF(CU95&gt;5,6,CU95+1))</f>
        <v>1</v>
      </c>
      <c r="CW95" s="147">
        <f t="shared" si="85"/>
        <v>0.20313689209342556</v>
      </c>
      <c r="DA95">
        <v>42</v>
      </c>
      <c r="DB95" s="147">
        <f t="shared" si="151"/>
        <v>45.199782303209716</v>
      </c>
      <c r="DC95" s="147">
        <f t="shared" si="86"/>
        <v>17.767782303209714</v>
      </c>
      <c r="DD95" s="147">
        <f t="shared" si="87"/>
        <v>1967.6200862079829</v>
      </c>
      <c r="DE95" s="147">
        <f t="shared" si="88"/>
        <v>363.56805756868397</v>
      </c>
      <c r="DF95" s="147">
        <f t="shared" si="130"/>
        <v>895.57081023824367</v>
      </c>
      <c r="DG95" s="147">
        <f t="shared" si="131"/>
        <v>2076.7061745444075</v>
      </c>
      <c r="DH95" s="147">
        <f t="shared" si="132"/>
        <v>4819.2746410935542</v>
      </c>
      <c r="DI95" s="147">
        <f t="shared" si="89"/>
        <v>4818.6049937299003</v>
      </c>
      <c r="DJ95" s="147">
        <f t="shared" si="90"/>
        <v>-0.66964736365389399</v>
      </c>
      <c r="DK95" t="str">
        <f t="shared" si="91"/>
        <v>No</v>
      </c>
      <c r="DL95">
        <f>COUNTIF(DK$54:DK95,"Yes")</f>
        <v>5</v>
      </c>
      <c r="DM95" cm="1">
        <f t="array" ref="DM95">INDEX($J$2:$J$7,IF(DL95&gt;5,6,DL95+1))</f>
        <v>1</v>
      </c>
      <c r="DN95" s="147">
        <f t="shared" si="92"/>
        <v>0.66964736365389399</v>
      </c>
      <c r="DR95">
        <v>42</v>
      </c>
      <c r="DS95" s="147">
        <f t="shared" si="152"/>
        <v>45.199782303209716</v>
      </c>
      <c r="DT95" s="147">
        <f t="shared" si="93"/>
        <v>17.767782303209714</v>
      </c>
      <c r="DU95" s="147">
        <f t="shared" si="94"/>
        <v>1967.6200862079829</v>
      </c>
      <c r="DV95" s="147">
        <f t="shared" si="95"/>
        <v>363.56805756868397</v>
      </c>
      <c r="DW95" s="147">
        <f t="shared" si="133"/>
        <v>895.57081023824367</v>
      </c>
      <c r="DX95" s="147">
        <f t="shared" si="134"/>
        <v>2076.7061745444075</v>
      </c>
      <c r="DY95" s="147">
        <f t="shared" si="135"/>
        <v>4819.2746410935542</v>
      </c>
      <c r="DZ95" s="147">
        <f t="shared" si="96"/>
        <v>4818.6049937299003</v>
      </c>
      <c r="EA95" s="147">
        <f t="shared" si="97"/>
        <v>-0.66964736365389399</v>
      </c>
      <c r="EB95" t="str">
        <f t="shared" si="98"/>
        <v>No</v>
      </c>
      <c r="EC95">
        <f>COUNTIF(EB$54:EB95,"Yes")</f>
        <v>5</v>
      </c>
      <c r="ED95" cm="1">
        <f t="array" ref="ED95">INDEX($J$2:$J$7,IF(EC95&gt;5,6,EC95+1))</f>
        <v>1</v>
      </c>
      <c r="EE95" s="147">
        <f t="shared" si="99"/>
        <v>0.66964736365389399</v>
      </c>
      <c r="EI95">
        <v>42</v>
      </c>
      <c r="EJ95" s="147">
        <f t="shared" si="153"/>
        <v>45.199782303209716</v>
      </c>
      <c r="EK95" s="147">
        <f t="shared" si="100"/>
        <v>17.767782303209714</v>
      </c>
      <c r="EL95" s="147">
        <f t="shared" si="101"/>
        <v>1967.6200862079829</v>
      </c>
      <c r="EM95" s="147">
        <f t="shared" si="102"/>
        <v>363.56805756868397</v>
      </c>
      <c r="EN95" s="147">
        <f t="shared" si="136"/>
        <v>895.57081023824367</v>
      </c>
      <c r="EO95" s="147">
        <f t="shared" si="137"/>
        <v>2076.7061745444075</v>
      </c>
      <c r="EP95" s="147">
        <f t="shared" si="138"/>
        <v>4819.2746410935542</v>
      </c>
      <c r="EQ95" s="147">
        <f t="shared" si="103"/>
        <v>4818.6049937299003</v>
      </c>
      <c r="ER95" s="147">
        <f t="shared" si="104"/>
        <v>-0.66964736365389399</v>
      </c>
      <c r="ES95" t="str">
        <f t="shared" si="105"/>
        <v>No</v>
      </c>
      <c r="ET95">
        <f>COUNTIF(ES$54:ES95,"Yes")</f>
        <v>5</v>
      </c>
      <c r="EU95" cm="1">
        <f t="array" ref="EU95">INDEX($J$2:$J$7,IF(ET95&gt;5,6,ET95+1))</f>
        <v>1</v>
      </c>
      <c r="EV95" s="147">
        <f t="shared" si="106"/>
        <v>0.66964736365389399</v>
      </c>
      <c r="EZ95">
        <v>42</v>
      </c>
      <c r="FA95" s="147">
        <f t="shared" si="154"/>
        <v>39.011379951183578</v>
      </c>
      <c r="FB95" s="147">
        <f t="shared" si="107"/>
        <v>11.579379951183576</v>
      </c>
      <c r="FC95" s="147">
        <f t="shared" si="108"/>
        <v>1512.4030741077106</v>
      </c>
      <c r="FD95" s="147">
        <f t="shared" si="109"/>
        <v>279.45508981560829</v>
      </c>
      <c r="FE95" s="147">
        <f t="shared" si="139"/>
        <v>578.10741885796574</v>
      </c>
      <c r="FF95" s="147">
        <f t="shared" si="140"/>
        <v>1625.6048641865862</v>
      </c>
      <c r="FG95" s="147">
        <f t="shared" si="141"/>
        <v>3212.5999038602085</v>
      </c>
      <c r="FH95" s="147">
        <f t="shared" si="110"/>
        <v>3212.130832455312</v>
      </c>
      <c r="FI95" s="147">
        <f t="shared" si="111"/>
        <v>-0.4690714048965674</v>
      </c>
      <c r="FJ95" t="str">
        <f t="shared" si="112"/>
        <v>No</v>
      </c>
      <c r="FK95">
        <f>COUNTIF(FJ$54:FJ95,"Yes")</f>
        <v>5</v>
      </c>
      <c r="FL95" cm="1">
        <f t="array" ref="FL95">INDEX($J$2:$J$7,IF(FK95&gt;5,6,FK95+1))</f>
        <v>1</v>
      </c>
      <c r="FM95" s="147">
        <f t="shared" si="113"/>
        <v>0.4690714048965674</v>
      </c>
    </row>
    <row r="96" spans="3:169" x14ac:dyDescent="0.3">
      <c r="C96">
        <v>43</v>
      </c>
      <c r="D96" s="147">
        <f t="shared" si="155"/>
        <v>53.040791160845636</v>
      </c>
      <c r="E96" s="147">
        <f t="shared" si="42"/>
        <v>25.608791160845634</v>
      </c>
      <c r="F96" s="147">
        <f t="shared" si="43"/>
        <v>2630.2935939070858</v>
      </c>
      <c r="G96" s="147">
        <f t="shared" si="44"/>
        <v>486.01391065036597</v>
      </c>
      <c r="H96" s="147">
        <f t="shared" si="142"/>
        <v>1340.7487136681357</v>
      </c>
      <c r="I96" s="147">
        <f t="shared" si="114"/>
        <v>2245.5096404836386</v>
      </c>
      <c r="J96" s="147">
        <f t="shared" si="115"/>
        <v>7357.3666224634035</v>
      </c>
      <c r="K96" s="147">
        <f t="shared" si="46"/>
        <v>7357.0280934313305</v>
      </c>
      <c r="L96" s="147">
        <f t="shared" si="47"/>
        <v>-0.33852903207298368</v>
      </c>
      <c r="M96" t="str">
        <f t="shared" si="48"/>
        <v>No</v>
      </c>
      <c r="N96">
        <f>COUNTIF(M$54:M96,"Yes")</f>
        <v>5</v>
      </c>
      <c r="O96" cm="1">
        <f t="array" ref="O96">INDEX($J$2:$J$7,IF(N96&gt;5,6,N96+1))</f>
        <v>1</v>
      </c>
      <c r="P96" s="147">
        <f t="shared" si="49"/>
        <v>0.33852903207298368</v>
      </c>
      <c r="T96">
        <v>43</v>
      </c>
      <c r="U96" s="147">
        <f t="shared" si="146"/>
        <v>53.040791160845636</v>
      </c>
      <c r="V96" s="147">
        <f t="shared" si="50"/>
        <v>25.608791160845634</v>
      </c>
      <c r="W96" s="147">
        <f t="shared" si="51"/>
        <v>2630.2935939070858</v>
      </c>
      <c r="X96" s="147">
        <f t="shared" si="52"/>
        <v>486.01391065036597</v>
      </c>
      <c r="Y96" s="147">
        <f t="shared" si="53"/>
        <v>1340.7487136681357</v>
      </c>
      <c r="Z96" s="147">
        <f t="shared" si="116"/>
        <v>2245.5096404836368</v>
      </c>
      <c r="AA96" s="147">
        <f t="shared" si="117"/>
        <v>7357.3666224634017</v>
      </c>
      <c r="AB96" s="147">
        <f t="shared" si="54"/>
        <v>7357.0280934313305</v>
      </c>
      <c r="AC96" s="147">
        <f t="shared" si="55"/>
        <v>-0.33852903207116469</v>
      </c>
      <c r="AD96" t="str">
        <f t="shared" si="56"/>
        <v>No</v>
      </c>
      <c r="AE96">
        <f>COUNTIF(AD$54:AD96,"Yes")</f>
        <v>5</v>
      </c>
      <c r="AF96" cm="1">
        <f t="array" ref="AF96">INDEX($J$2:$J$7,IF(AE96&gt;5,6,AE96+1))</f>
        <v>1</v>
      </c>
      <c r="AG96" s="147">
        <f t="shared" si="57"/>
        <v>0.33852903207116469</v>
      </c>
      <c r="AK96">
        <v>43</v>
      </c>
      <c r="AL96" s="147">
        <f t="shared" si="147"/>
        <v>52.865033780497249</v>
      </c>
      <c r="AM96" s="147">
        <f t="shared" si="58"/>
        <v>25.433033780497247</v>
      </c>
      <c r="AN96" s="147">
        <f t="shared" si="59"/>
        <v>2614.3877611051043</v>
      </c>
      <c r="AO96" s="147">
        <f t="shared" si="60"/>
        <v>483.0749018567663</v>
      </c>
      <c r="AP96" s="147">
        <f t="shared" si="118"/>
        <v>1384.7399575429861</v>
      </c>
      <c r="AQ96" s="147">
        <f t="shared" si="156"/>
        <v>2185.6125638068061</v>
      </c>
      <c r="AR96" s="147">
        <f t="shared" si="144"/>
        <v>7294.5305369929702</v>
      </c>
      <c r="AS96" s="147">
        <f t="shared" si="61"/>
        <v>7293.9694514114663</v>
      </c>
      <c r="AT96" s="147">
        <f t="shared" si="62"/>
        <v>-0.56108558150390309</v>
      </c>
      <c r="AU96" t="str">
        <f t="shared" si="63"/>
        <v>No</v>
      </c>
      <c r="AV96">
        <f>COUNTIF(AU$54:AU96,"Yes")</f>
        <v>5</v>
      </c>
      <c r="AW96" cm="1">
        <f t="array" ref="AW96">INDEX($J$2:$J$7,IF(AV96&gt;5,6,AV96+1))</f>
        <v>1</v>
      </c>
      <c r="AX96" s="147">
        <f t="shared" si="64"/>
        <v>0.56108558150390309</v>
      </c>
      <c r="BB96">
        <v>43</v>
      </c>
      <c r="BC96" s="147">
        <f t="shared" si="148"/>
        <v>46.619587119564621</v>
      </c>
      <c r="BD96" s="147">
        <f t="shared" si="65"/>
        <v>19.187587119564618</v>
      </c>
      <c r="BE96" s="147">
        <f t="shared" si="66"/>
        <v>2080.4947911199879</v>
      </c>
      <c r="BF96" s="147">
        <f t="shared" si="67"/>
        <v>384.42454175541752</v>
      </c>
      <c r="BG96" s="147">
        <f t="shared" si="121"/>
        <v>978.16613319366127</v>
      </c>
      <c r="BH96" s="147">
        <f t="shared" si="122"/>
        <v>2098.8702001126653</v>
      </c>
      <c r="BI96" s="147">
        <f t="shared" si="123"/>
        <v>5236.7689279067017</v>
      </c>
      <c r="BJ96" s="147">
        <f t="shared" si="68"/>
        <v>5236.5657910146083</v>
      </c>
      <c r="BK96" s="147">
        <f t="shared" si="69"/>
        <v>-0.20313689209342556</v>
      </c>
      <c r="BL96" t="str">
        <f t="shared" si="70"/>
        <v>No</v>
      </c>
      <c r="BM96">
        <f>COUNTIF(BL$54:BL96,"Yes")</f>
        <v>5</v>
      </c>
      <c r="BN96" cm="1">
        <f t="array" ref="BN96">INDEX($J$2:$J$7,IF(BM96&gt;5,6,BM96+1))</f>
        <v>1</v>
      </c>
      <c r="BO96" s="147">
        <f t="shared" si="71"/>
        <v>0.20313689209342556</v>
      </c>
      <c r="BS96">
        <v>43</v>
      </c>
      <c r="BT96" s="147">
        <f t="shared" si="149"/>
        <v>46.619587119564621</v>
      </c>
      <c r="BU96" s="147">
        <f t="shared" si="72"/>
        <v>19.187587119564618</v>
      </c>
      <c r="BV96" s="147">
        <f t="shared" si="73"/>
        <v>2080.4947911199879</v>
      </c>
      <c r="BW96" s="147">
        <f t="shared" si="74"/>
        <v>384.42454175541752</v>
      </c>
      <c r="BX96" s="147">
        <f t="shared" si="124"/>
        <v>978.16613319366127</v>
      </c>
      <c r="BY96" s="147">
        <f t="shared" si="125"/>
        <v>2098.8702001126653</v>
      </c>
      <c r="BZ96" s="147">
        <f t="shared" si="126"/>
        <v>5236.7689279067017</v>
      </c>
      <c r="CA96" s="147">
        <f t="shared" si="75"/>
        <v>5236.5657910146083</v>
      </c>
      <c r="CB96" s="147">
        <f t="shared" si="76"/>
        <v>-0.20313689209342556</v>
      </c>
      <c r="CC96" t="str">
        <f t="shared" si="77"/>
        <v>No</v>
      </c>
      <c r="CD96">
        <f>COUNTIF(CC$54:CC96,"Yes")</f>
        <v>5</v>
      </c>
      <c r="CE96" cm="1">
        <f t="array" ref="CE96">INDEX($J$2:$J$7,IF(CD96&gt;5,6,CD96+1))</f>
        <v>1</v>
      </c>
      <c r="CF96" s="147">
        <f t="shared" si="78"/>
        <v>0.20313689209342556</v>
      </c>
      <c r="CJ96">
        <v>43</v>
      </c>
      <c r="CK96" s="147">
        <f t="shared" si="150"/>
        <v>46.619587119564621</v>
      </c>
      <c r="CL96" s="147">
        <f t="shared" si="79"/>
        <v>19.187587119564618</v>
      </c>
      <c r="CM96" s="147">
        <f t="shared" si="80"/>
        <v>2080.4947911199879</v>
      </c>
      <c r="CN96" s="147">
        <f t="shared" si="81"/>
        <v>384.42454175541752</v>
      </c>
      <c r="CO96" s="147">
        <f t="shared" si="127"/>
        <v>978.16613319366127</v>
      </c>
      <c r="CP96" s="147">
        <f t="shared" si="128"/>
        <v>2098.8702001126653</v>
      </c>
      <c r="CQ96" s="147">
        <f t="shared" si="129"/>
        <v>5236.7689279067017</v>
      </c>
      <c r="CR96" s="147">
        <f t="shared" si="82"/>
        <v>5236.5657910146083</v>
      </c>
      <c r="CS96" s="147">
        <f t="shared" si="83"/>
        <v>-0.20313689209342556</v>
      </c>
      <c r="CT96" t="str">
        <f t="shared" si="84"/>
        <v>No</v>
      </c>
      <c r="CU96">
        <f>COUNTIF(CT$54:CT96,"Yes")</f>
        <v>5</v>
      </c>
      <c r="CV96" cm="1">
        <f t="array" ref="CV96">INDEX($J$2:$J$7,IF(CU96&gt;5,6,CU96+1))</f>
        <v>1</v>
      </c>
      <c r="CW96" s="147">
        <f t="shared" si="85"/>
        <v>0.20313689209342556</v>
      </c>
      <c r="DA96">
        <v>43</v>
      </c>
      <c r="DB96" s="147">
        <f t="shared" si="151"/>
        <v>45.199782303209716</v>
      </c>
      <c r="DC96" s="147">
        <f t="shared" si="86"/>
        <v>17.767782303209714</v>
      </c>
      <c r="DD96" s="147">
        <f t="shared" si="87"/>
        <v>1967.6200862079829</v>
      </c>
      <c r="DE96" s="147">
        <f t="shared" si="88"/>
        <v>363.56805756868397</v>
      </c>
      <c r="DF96" s="147">
        <f t="shared" si="130"/>
        <v>895.57081023824367</v>
      </c>
      <c r="DG96" s="147">
        <f t="shared" si="131"/>
        <v>2076.7061745444075</v>
      </c>
      <c r="DH96" s="147">
        <f t="shared" si="132"/>
        <v>4819.2746410935542</v>
      </c>
      <c r="DI96" s="147">
        <f t="shared" si="89"/>
        <v>4818.6049937299003</v>
      </c>
      <c r="DJ96" s="147">
        <f t="shared" si="90"/>
        <v>-0.66964736365389399</v>
      </c>
      <c r="DK96" t="str">
        <f t="shared" si="91"/>
        <v>No</v>
      </c>
      <c r="DL96">
        <f>COUNTIF(DK$54:DK96,"Yes")</f>
        <v>5</v>
      </c>
      <c r="DM96" cm="1">
        <f t="array" ref="DM96">INDEX($J$2:$J$7,IF(DL96&gt;5,6,DL96+1))</f>
        <v>1</v>
      </c>
      <c r="DN96" s="147">
        <f t="shared" si="92"/>
        <v>0.66964736365389399</v>
      </c>
      <c r="DR96">
        <v>43</v>
      </c>
      <c r="DS96" s="147">
        <f t="shared" si="152"/>
        <v>45.199782303209716</v>
      </c>
      <c r="DT96" s="147">
        <f t="shared" si="93"/>
        <v>17.767782303209714</v>
      </c>
      <c r="DU96" s="147">
        <f t="shared" si="94"/>
        <v>1967.6200862079829</v>
      </c>
      <c r="DV96" s="147">
        <f t="shared" si="95"/>
        <v>363.56805756868397</v>
      </c>
      <c r="DW96" s="147">
        <f t="shared" si="133"/>
        <v>895.57081023824367</v>
      </c>
      <c r="DX96" s="147">
        <f t="shared" si="134"/>
        <v>2076.7061745444075</v>
      </c>
      <c r="DY96" s="147">
        <f t="shared" si="135"/>
        <v>4819.2746410935542</v>
      </c>
      <c r="DZ96" s="147">
        <f t="shared" si="96"/>
        <v>4818.6049937299003</v>
      </c>
      <c r="EA96" s="147">
        <f t="shared" si="97"/>
        <v>-0.66964736365389399</v>
      </c>
      <c r="EB96" t="str">
        <f t="shared" si="98"/>
        <v>No</v>
      </c>
      <c r="EC96">
        <f>COUNTIF(EB$54:EB96,"Yes")</f>
        <v>5</v>
      </c>
      <c r="ED96" cm="1">
        <f t="array" ref="ED96">INDEX($J$2:$J$7,IF(EC96&gt;5,6,EC96+1))</f>
        <v>1</v>
      </c>
      <c r="EE96" s="147">
        <f t="shared" si="99"/>
        <v>0.66964736365389399</v>
      </c>
      <c r="EI96">
        <v>43</v>
      </c>
      <c r="EJ96" s="147">
        <f t="shared" si="153"/>
        <v>45.199782303209716</v>
      </c>
      <c r="EK96" s="147">
        <f t="shared" si="100"/>
        <v>17.767782303209714</v>
      </c>
      <c r="EL96" s="147">
        <f t="shared" si="101"/>
        <v>1967.6200862079829</v>
      </c>
      <c r="EM96" s="147">
        <f t="shared" si="102"/>
        <v>363.56805756868397</v>
      </c>
      <c r="EN96" s="147">
        <f t="shared" si="136"/>
        <v>895.57081023824367</v>
      </c>
      <c r="EO96" s="147">
        <f t="shared" si="137"/>
        <v>2076.7061745444075</v>
      </c>
      <c r="EP96" s="147">
        <f t="shared" si="138"/>
        <v>4819.2746410935542</v>
      </c>
      <c r="EQ96" s="147">
        <f t="shared" si="103"/>
        <v>4818.6049937299003</v>
      </c>
      <c r="ER96" s="147">
        <f t="shared" si="104"/>
        <v>-0.66964736365389399</v>
      </c>
      <c r="ES96" t="str">
        <f t="shared" si="105"/>
        <v>No</v>
      </c>
      <c r="ET96">
        <f>COUNTIF(ES$54:ES96,"Yes")</f>
        <v>5</v>
      </c>
      <c r="EU96" cm="1">
        <f t="array" ref="EU96">INDEX($J$2:$J$7,IF(ET96&gt;5,6,ET96+1))</f>
        <v>1</v>
      </c>
      <c r="EV96" s="147">
        <f t="shared" si="106"/>
        <v>0.66964736365389399</v>
      </c>
      <c r="EZ96">
        <v>43</v>
      </c>
      <c r="FA96" s="147">
        <f t="shared" si="154"/>
        <v>39.011379951183578</v>
      </c>
      <c r="FB96" s="147">
        <f t="shared" si="107"/>
        <v>11.579379951183576</v>
      </c>
      <c r="FC96" s="147">
        <f t="shared" si="108"/>
        <v>1512.4030741077106</v>
      </c>
      <c r="FD96" s="147">
        <f t="shared" si="109"/>
        <v>279.45508981560829</v>
      </c>
      <c r="FE96" s="147">
        <f t="shared" si="139"/>
        <v>578.10741885796574</v>
      </c>
      <c r="FF96" s="147">
        <f t="shared" si="140"/>
        <v>1625.6048641865862</v>
      </c>
      <c r="FG96" s="147">
        <f t="shared" si="141"/>
        <v>3212.5999038602085</v>
      </c>
      <c r="FH96" s="147">
        <f t="shared" si="110"/>
        <v>3212.130832455312</v>
      </c>
      <c r="FI96" s="147">
        <f t="shared" si="111"/>
        <v>-0.4690714048965674</v>
      </c>
      <c r="FJ96" t="str">
        <f t="shared" si="112"/>
        <v>No</v>
      </c>
      <c r="FK96">
        <f>COUNTIF(FJ$54:FJ96,"Yes")</f>
        <v>5</v>
      </c>
      <c r="FL96" cm="1">
        <f t="array" ref="FL96">INDEX($J$2:$J$7,IF(FK96&gt;5,6,FK96+1))</f>
        <v>1</v>
      </c>
      <c r="FM96" s="147">
        <f t="shared" si="113"/>
        <v>0.4690714048965674</v>
      </c>
    </row>
    <row r="97" spans="3:169" x14ac:dyDescent="0.3">
      <c r="C97">
        <v>44</v>
      </c>
      <c r="D97" s="147">
        <f t="shared" si="155"/>
        <v>53.040791160845636</v>
      </c>
      <c r="E97" s="147">
        <f t="shared" si="42"/>
        <v>25.608791160845634</v>
      </c>
      <c r="F97" s="147">
        <f t="shared" si="43"/>
        <v>2630.2935939070858</v>
      </c>
      <c r="G97" s="147">
        <f t="shared" si="44"/>
        <v>486.01391065036597</v>
      </c>
      <c r="H97" s="147">
        <f t="shared" si="142"/>
        <v>1340.7487136681357</v>
      </c>
      <c r="I97" s="147">
        <f t="shared" si="114"/>
        <v>2245.5096404836386</v>
      </c>
      <c r="J97" s="147">
        <f t="shared" si="115"/>
        <v>7357.3666224634035</v>
      </c>
      <c r="K97" s="147">
        <f t="shared" si="46"/>
        <v>7357.0280934313305</v>
      </c>
      <c r="L97" s="147">
        <f t="shared" si="47"/>
        <v>-0.33852903207298368</v>
      </c>
      <c r="M97" t="str">
        <f t="shared" si="48"/>
        <v>No</v>
      </c>
      <c r="N97">
        <f>COUNTIF(M$54:M97,"Yes")</f>
        <v>5</v>
      </c>
      <c r="O97" cm="1">
        <f t="array" ref="O97">INDEX($J$2:$J$7,IF(N97&gt;5,6,N97+1))</f>
        <v>1</v>
      </c>
      <c r="P97" s="147">
        <f t="shared" si="49"/>
        <v>0.33852903207298368</v>
      </c>
      <c r="T97">
        <v>44</v>
      </c>
      <c r="U97" s="147">
        <f t="shared" si="146"/>
        <v>53.040791160845636</v>
      </c>
      <c r="V97" s="147">
        <f t="shared" si="50"/>
        <v>25.608791160845634</v>
      </c>
      <c r="W97" s="147">
        <f t="shared" si="51"/>
        <v>2630.2935939070858</v>
      </c>
      <c r="X97" s="147">
        <f t="shared" si="52"/>
        <v>486.01391065036597</v>
      </c>
      <c r="Y97" s="147">
        <f t="shared" si="53"/>
        <v>1340.7487136681357</v>
      </c>
      <c r="Z97" s="147">
        <f t="shared" si="116"/>
        <v>2245.5096404836368</v>
      </c>
      <c r="AA97" s="147">
        <f t="shared" si="117"/>
        <v>7357.3666224634017</v>
      </c>
      <c r="AB97" s="147">
        <f t="shared" si="54"/>
        <v>7357.0280934313305</v>
      </c>
      <c r="AC97" s="147">
        <f t="shared" si="55"/>
        <v>-0.33852903207116469</v>
      </c>
      <c r="AD97" t="str">
        <f t="shared" si="56"/>
        <v>No</v>
      </c>
      <c r="AE97">
        <f>COUNTIF(AD$54:AD97,"Yes")</f>
        <v>5</v>
      </c>
      <c r="AF97" cm="1">
        <f t="array" ref="AF97">INDEX($J$2:$J$7,IF(AE97&gt;5,6,AE97+1))</f>
        <v>1</v>
      </c>
      <c r="AG97" s="147">
        <f t="shared" si="57"/>
        <v>0.33852903207116469</v>
      </c>
      <c r="AK97">
        <v>44</v>
      </c>
      <c r="AL97" s="147">
        <f t="shared" si="147"/>
        <v>52.865033780497249</v>
      </c>
      <c r="AM97" s="147">
        <f t="shared" si="58"/>
        <v>25.433033780497247</v>
      </c>
      <c r="AN97" s="147">
        <f t="shared" si="59"/>
        <v>2614.3877611051043</v>
      </c>
      <c r="AO97" s="147">
        <f t="shared" si="60"/>
        <v>483.0749018567663</v>
      </c>
      <c r="AP97" s="147">
        <f t="shared" si="118"/>
        <v>1384.7399575429861</v>
      </c>
      <c r="AQ97" s="147">
        <f t="shared" si="156"/>
        <v>2185.6125638068061</v>
      </c>
      <c r="AR97" s="147">
        <f t="shared" si="144"/>
        <v>7294.5305369929702</v>
      </c>
      <c r="AS97" s="147">
        <f t="shared" si="61"/>
        <v>7293.9694514114663</v>
      </c>
      <c r="AT97" s="147">
        <f t="shared" si="62"/>
        <v>-0.56108558150390309</v>
      </c>
      <c r="AU97" t="str">
        <f t="shared" si="63"/>
        <v>No</v>
      </c>
      <c r="AV97">
        <f>COUNTIF(AU$54:AU97,"Yes")</f>
        <v>5</v>
      </c>
      <c r="AW97" cm="1">
        <f t="array" ref="AW97">INDEX($J$2:$J$7,IF(AV97&gt;5,6,AV97+1))</f>
        <v>1</v>
      </c>
      <c r="AX97" s="147">
        <f t="shared" si="64"/>
        <v>0.56108558150390309</v>
      </c>
      <c r="BB97">
        <v>44</v>
      </c>
      <c r="BC97" s="147">
        <f t="shared" si="148"/>
        <v>46.619587119564621</v>
      </c>
      <c r="BD97" s="147">
        <f t="shared" si="65"/>
        <v>19.187587119564618</v>
      </c>
      <c r="BE97" s="147">
        <f t="shared" si="66"/>
        <v>2080.4947911199879</v>
      </c>
      <c r="BF97" s="147">
        <f t="shared" si="67"/>
        <v>384.42454175541752</v>
      </c>
      <c r="BG97" s="147">
        <f t="shared" si="121"/>
        <v>978.16613319366127</v>
      </c>
      <c r="BH97" s="147">
        <f t="shared" si="122"/>
        <v>2098.8702001126653</v>
      </c>
      <c r="BI97" s="147">
        <f t="shared" si="123"/>
        <v>5236.7689279067017</v>
      </c>
      <c r="BJ97" s="147">
        <f t="shared" si="68"/>
        <v>5236.5657910146083</v>
      </c>
      <c r="BK97" s="147">
        <f t="shared" si="69"/>
        <v>-0.20313689209342556</v>
      </c>
      <c r="BL97" t="str">
        <f t="shared" si="70"/>
        <v>No</v>
      </c>
      <c r="BM97">
        <f>COUNTIF(BL$54:BL97,"Yes")</f>
        <v>5</v>
      </c>
      <c r="BN97" cm="1">
        <f t="array" ref="BN97">INDEX($J$2:$J$7,IF(BM97&gt;5,6,BM97+1))</f>
        <v>1</v>
      </c>
      <c r="BO97" s="147">
        <f t="shared" si="71"/>
        <v>0.20313689209342556</v>
      </c>
      <c r="BS97">
        <v>44</v>
      </c>
      <c r="BT97" s="147">
        <f t="shared" si="149"/>
        <v>46.619587119564621</v>
      </c>
      <c r="BU97" s="147">
        <f t="shared" si="72"/>
        <v>19.187587119564618</v>
      </c>
      <c r="BV97" s="147">
        <f t="shared" si="73"/>
        <v>2080.4947911199879</v>
      </c>
      <c r="BW97" s="147">
        <f t="shared" si="74"/>
        <v>384.42454175541752</v>
      </c>
      <c r="BX97" s="147">
        <f t="shared" si="124"/>
        <v>978.16613319366127</v>
      </c>
      <c r="BY97" s="147">
        <f t="shared" si="125"/>
        <v>2098.8702001126653</v>
      </c>
      <c r="BZ97" s="147">
        <f t="shared" si="126"/>
        <v>5236.7689279067017</v>
      </c>
      <c r="CA97" s="147">
        <f t="shared" si="75"/>
        <v>5236.5657910146083</v>
      </c>
      <c r="CB97" s="147">
        <f t="shared" si="76"/>
        <v>-0.20313689209342556</v>
      </c>
      <c r="CC97" t="str">
        <f t="shared" si="77"/>
        <v>No</v>
      </c>
      <c r="CD97">
        <f>COUNTIF(CC$54:CC97,"Yes")</f>
        <v>5</v>
      </c>
      <c r="CE97" cm="1">
        <f t="array" ref="CE97">INDEX($J$2:$J$7,IF(CD97&gt;5,6,CD97+1))</f>
        <v>1</v>
      </c>
      <c r="CF97" s="147">
        <f t="shared" si="78"/>
        <v>0.20313689209342556</v>
      </c>
      <c r="CJ97">
        <v>44</v>
      </c>
      <c r="CK97" s="147">
        <f t="shared" si="150"/>
        <v>46.619587119564621</v>
      </c>
      <c r="CL97" s="147">
        <f t="shared" si="79"/>
        <v>19.187587119564618</v>
      </c>
      <c r="CM97" s="147">
        <f t="shared" si="80"/>
        <v>2080.4947911199879</v>
      </c>
      <c r="CN97" s="147">
        <f t="shared" si="81"/>
        <v>384.42454175541752</v>
      </c>
      <c r="CO97" s="147">
        <f t="shared" si="127"/>
        <v>978.16613319366127</v>
      </c>
      <c r="CP97" s="147">
        <f t="shared" si="128"/>
        <v>2098.8702001126653</v>
      </c>
      <c r="CQ97" s="147">
        <f t="shared" si="129"/>
        <v>5236.7689279067017</v>
      </c>
      <c r="CR97" s="147">
        <f t="shared" si="82"/>
        <v>5236.5657910146083</v>
      </c>
      <c r="CS97" s="147">
        <f t="shared" si="83"/>
        <v>-0.20313689209342556</v>
      </c>
      <c r="CT97" t="str">
        <f t="shared" si="84"/>
        <v>No</v>
      </c>
      <c r="CU97">
        <f>COUNTIF(CT$54:CT97,"Yes")</f>
        <v>5</v>
      </c>
      <c r="CV97" cm="1">
        <f t="array" ref="CV97">INDEX($J$2:$J$7,IF(CU97&gt;5,6,CU97+1))</f>
        <v>1</v>
      </c>
      <c r="CW97" s="147">
        <f t="shared" si="85"/>
        <v>0.20313689209342556</v>
      </c>
      <c r="DA97">
        <v>44</v>
      </c>
      <c r="DB97" s="147">
        <f t="shared" si="151"/>
        <v>45.199782303209716</v>
      </c>
      <c r="DC97" s="147">
        <f t="shared" si="86"/>
        <v>17.767782303209714</v>
      </c>
      <c r="DD97" s="147">
        <f t="shared" si="87"/>
        <v>1967.6200862079829</v>
      </c>
      <c r="DE97" s="147">
        <f t="shared" si="88"/>
        <v>363.56805756868397</v>
      </c>
      <c r="DF97" s="147">
        <f t="shared" si="130"/>
        <v>895.57081023824367</v>
      </c>
      <c r="DG97" s="147">
        <f t="shared" si="131"/>
        <v>2076.7061745444075</v>
      </c>
      <c r="DH97" s="147">
        <f t="shared" si="132"/>
        <v>4819.2746410935542</v>
      </c>
      <c r="DI97" s="147">
        <f t="shared" si="89"/>
        <v>4818.6049937299003</v>
      </c>
      <c r="DJ97" s="147">
        <f t="shared" si="90"/>
        <v>-0.66964736365389399</v>
      </c>
      <c r="DK97" t="str">
        <f t="shared" si="91"/>
        <v>No</v>
      </c>
      <c r="DL97">
        <f>COUNTIF(DK$54:DK97,"Yes")</f>
        <v>5</v>
      </c>
      <c r="DM97" cm="1">
        <f t="array" ref="DM97">INDEX($J$2:$J$7,IF(DL97&gt;5,6,DL97+1))</f>
        <v>1</v>
      </c>
      <c r="DN97" s="147">
        <f t="shared" si="92"/>
        <v>0.66964736365389399</v>
      </c>
      <c r="DR97">
        <v>44</v>
      </c>
      <c r="DS97" s="147">
        <f t="shared" si="152"/>
        <v>45.199782303209716</v>
      </c>
      <c r="DT97" s="147">
        <f t="shared" si="93"/>
        <v>17.767782303209714</v>
      </c>
      <c r="DU97" s="147">
        <f t="shared" si="94"/>
        <v>1967.6200862079829</v>
      </c>
      <c r="DV97" s="147">
        <f t="shared" si="95"/>
        <v>363.56805756868397</v>
      </c>
      <c r="DW97" s="147">
        <f t="shared" si="133"/>
        <v>895.57081023824367</v>
      </c>
      <c r="DX97" s="147">
        <f t="shared" si="134"/>
        <v>2076.7061745444075</v>
      </c>
      <c r="DY97" s="147">
        <f t="shared" si="135"/>
        <v>4819.2746410935542</v>
      </c>
      <c r="DZ97" s="147">
        <f t="shared" si="96"/>
        <v>4818.6049937299003</v>
      </c>
      <c r="EA97" s="147">
        <f t="shared" si="97"/>
        <v>-0.66964736365389399</v>
      </c>
      <c r="EB97" t="str">
        <f t="shared" si="98"/>
        <v>No</v>
      </c>
      <c r="EC97">
        <f>COUNTIF(EB$54:EB97,"Yes")</f>
        <v>5</v>
      </c>
      <c r="ED97" cm="1">
        <f t="array" ref="ED97">INDEX($J$2:$J$7,IF(EC97&gt;5,6,EC97+1))</f>
        <v>1</v>
      </c>
      <c r="EE97" s="147">
        <f t="shared" si="99"/>
        <v>0.66964736365389399</v>
      </c>
      <c r="EI97">
        <v>44</v>
      </c>
      <c r="EJ97" s="147">
        <f t="shared" si="153"/>
        <v>45.199782303209716</v>
      </c>
      <c r="EK97" s="147">
        <f t="shared" si="100"/>
        <v>17.767782303209714</v>
      </c>
      <c r="EL97" s="147">
        <f t="shared" si="101"/>
        <v>1967.6200862079829</v>
      </c>
      <c r="EM97" s="147">
        <f t="shared" si="102"/>
        <v>363.56805756868397</v>
      </c>
      <c r="EN97" s="147">
        <f t="shared" si="136"/>
        <v>895.57081023824367</v>
      </c>
      <c r="EO97" s="147">
        <f t="shared" si="137"/>
        <v>2076.7061745444075</v>
      </c>
      <c r="EP97" s="147">
        <f t="shared" si="138"/>
        <v>4819.2746410935542</v>
      </c>
      <c r="EQ97" s="147">
        <f t="shared" si="103"/>
        <v>4818.6049937299003</v>
      </c>
      <c r="ER97" s="147">
        <f t="shared" si="104"/>
        <v>-0.66964736365389399</v>
      </c>
      <c r="ES97" t="str">
        <f t="shared" si="105"/>
        <v>No</v>
      </c>
      <c r="ET97">
        <f>COUNTIF(ES$54:ES97,"Yes")</f>
        <v>5</v>
      </c>
      <c r="EU97" cm="1">
        <f t="array" ref="EU97">INDEX($J$2:$J$7,IF(ET97&gt;5,6,ET97+1))</f>
        <v>1</v>
      </c>
      <c r="EV97" s="147">
        <f t="shared" si="106"/>
        <v>0.66964736365389399</v>
      </c>
      <c r="EZ97">
        <v>44</v>
      </c>
      <c r="FA97" s="147">
        <f t="shared" si="154"/>
        <v>39.011379951183578</v>
      </c>
      <c r="FB97" s="147">
        <f t="shared" si="107"/>
        <v>11.579379951183576</v>
      </c>
      <c r="FC97" s="147">
        <f t="shared" si="108"/>
        <v>1512.4030741077106</v>
      </c>
      <c r="FD97" s="147">
        <f t="shared" si="109"/>
        <v>279.45508981560829</v>
      </c>
      <c r="FE97" s="147">
        <f t="shared" si="139"/>
        <v>578.10741885796574</v>
      </c>
      <c r="FF97" s="147">
        <f t="shared" si="140"/>
        <v>1625.6048641865862</v>
      </c>
      <c r="FG97" s="147">
        <f t="shared" si="141"/>
        <v>3212.5999038602085</v>
      </c>
      <c r="FH97" s="147">
        <f t="shared" si="110"/>
        <v>3212.130832455312</v>
      </c>
      <c r="FI97" s="147">
        <f t="shared" si="111"/>
        <v>-0.4690714048965674</v>
      </c>
      <c r="FJ97" t="str">
        <f t="shared" si="112"/>
        <v>No</v>
      </c>
      <c r="FK97">
        <f>COUNTIF(FJ$54:FJ97,"Yes")</f>
        <v>5</v>
      </c>
      <c r="FL97" cm="1">
        <f t="array" ref="FL97">INDEX($J$2:$J$7,IF(FK97&gt;5,6,FK97+1))</f>
        <v>1</v>
      </c>
      <c r="FM97" s="147">
        <f t="shared" si="113"/>
        <v>0.4690714048965674</v>
      </c>
    </row>
    <row r="98" spans="3:169" x14ac:dyDescent="0.3">
      <c r="C98">
        <v>45</v>
      </c>
      <c r="D98" s="147">
        <f t="shared" si="155"/>
        <v>53.040791160845636</v>
      </c>
      <c r="E98" s="147">
        <f t="shared" si="42"/>
        <v>25.608791160845634</v>
      </c>
      <c r="F98" s="147">
        <f t="shared" si="43"/>
        <v>2630.2935939070858</v>
      </c>
      <c r="G98" s="147">
        <f t="shared" si="44"/>
        <v>486.01391065036597</v>
      </c>
      <c r="H98" s="147">
        <f t="shared" si="142"/>
        <v>1340.7487136681357</v>
      </c>
      <c r="I98" s="147">
        <f t="shared" si="114"/>
        <v>2245.5096404836386</v>
      </c>
      <c r="J98" s="147">
        <f t="shared" si="115"/>
        <v>7357.3666224634035</v>
      </c>
      <c r="K98" s="147">
        <f t="shared" si="46"/>
        <v>7357.0280934313305</v>
      </c>
      <c r="L98" s="147">
        <f t="shared" si="47"/>
        <v>-0.33852903207298368</v>
      </c>
      <c r="M98" t="str">
        <f t="shared" si="48"/>
        <v>No</v>
      </c>
      <c r="N98">
        <f>COUNTIF(M$54:M98,"Yes")</f>
        <v>5</v>
      </c>
      <c r="O98" cm="1">
        <f t="array" ref="O98">INDEX($J$2:$J$7,IF(N98&gt;5,6,N98+1))</f>
        <v>1</v>
      </c>
      <c r="P98" s="147">
        <f t="shared" si="49"/>
        <v>0.33852903207298368</v>
      </c>
      <c r="T98">
        <v>45</v>
      </c>
      <c r="U98" s="147">
        <f t="shared" si="146"/>
        <v>53.040791160845636</v>
      </c>
      <c r="V98" s="147">
        <f t="shared" si="50"/>
        <v>25.608791160845634</v>
      </c>
      <c r="W98" s="147">
        <f t="shared" si="51"/>
        <v>2630.2935939070858</v>
      </c>
      <c r="X98" s="147">
        <f t="shared" si="52"/>
        <v>486.01391065036597</v>
      </c>
      <c r="Y98" s="147">
        <f t="shared" si="53"/>
        <v>1340.7487136681357</v>
      </c>
      <c r="Z98" s="147">
        <f t="shared" si="116"/>
        <v>2245.5096404836368</v>
      </c>
      <c r="AA98" s="147">
        <f t="shared" si="117"/>
        <v>7357.3666224634017</v>
      </c>
      <c r="AB98" s="147">
        <f t="shared" si="54"/>
        <v>7357.0280934313305</v>
      </c>
      <c r="AC98" s="147">
        <f t="shared" si="55"/>
        <v>-0.33852903207116469</v>
      </c>
      <c r="AD98" t="str">
        <f t="shared" si="56"/>
        <v>No</v>
      </c>
      <c r="AE98">
        <f>COUNTIF(AD$54:AD98,"Yes")</f>
        <v>5</v>
      </c>
      <c r="AF98" cm="1">
        <f t="array" ref="AF98">INDEX($J$2:$J$7,IF(AE98&gt;5,6,AE98+1))</f>
        <v>1</v>
      </c>
      <c r="AG98" s="147">
        <f t="shared" si="57"/>
        <v>0.33852903207116469</v>
      </c>
      <c r="AK98">
        <v>45</v>
      </c>
      <c r="AL98" s="147">
        <f t="shared" si="147"/>
        <v>52.865033780497249</v>
      </c>
      <c r="AM98" s="147">
        <f t="shared" si="58"/>
        <v>25.433033780497247</v>
      </c>
      <c r="AN98" s="147">
        <f t="shared" si="59"/>
        <v>2614.3877611051043</v>
      </c>
      <c r="AO98" s="147">
        <f t="shared" si="60"/>
        <v>483.0749018567663</v>
      </c>
      <c r="AP98" s="147">
        <f t="shared" si="118"/>
        <v>1384.7399575429861</v>
      </c>
      <c r="AQ98" s="147">
        <f t="shared" si="156"/>
        <v>2185.6125638068061</v>
      </c>
      <c r="AR98" s="147">
        <f t="shared" si="144"/>
        <v>7294.5305369929702</v>
      </c>
      <c r="AS98" s="147">
        <f t="shared" si="61"/>
        <v>7293.9694514114663</v>
      </c>
      <c r="AT98" s="147">
        <f t="shared" si="62"/>
        <v>-0.56108558150390309</v>
      </c>
      <c r="AU98" t="str">
        <f t="shared" si="63"/>
        <v>No</v>
      </c>
      <c r="AV98">
        <f>COUNTIF(AU$54:AU98,"Yes")</f>
        <v>5</v>
      </c>
      <c r="AW98" cm="1">
        <f t="array" ref="AW98">INDEX($J$2:$J$7,IF(AV98&gt;5,6,AV98+1))</f>
        <v>1</v>
      </c>
      <c r="AX98" s="147">
        <f t="shared" si="64"/>
        <v>0.56108558150390309</v>
      </c>
      <c r="BB98">
        <v>45</v>
      </c>
      <c r="BC98" s="147">
        <f t="shared" si="148"/>
        <v>46.619587119564621</v>
      </c>
      <c r="BD98" s="147">
        <f t="shared" si="65"/>
        <v>19.187587119564618</v>
      </c>
      <c r="BE98" s="147">
        <f t="shared" si="66"/>
        <v>2080.4947911199879</v>
      </c>
      <c r="BF98" s="147">
        <f t="shared" si="67"/>
        <v>384.42454175541752</v>
      </c>
      <c r="BG98" s="147">
        <f t="shared" si="121"/>
        <v>978.16613319366127</v>
      </c>
      <c r="BH98" s="147">
        <f t="shared" si="122"/>
        <v>2098.8702001126653</v>
      </c>
      <c r="BI98" s="147">
        <f t="shared" si="123"/>
        <v>5236.7689279067017</v>
      </c>
      <c r="BJ98" s="147">
        <f t="shared" si="68"/>
        <v>5236.5657910146083</v>
      </c>
      <c r="BK98" s="147">
        <f t="shared" si="69"/>
        <v>-0.20313689209342556</v>
      </c>
      <c r="BL98" t="str">
        <f t="shared" si="70"/>
        <v>No</v>
      </c>
      <c r="BM98">
        <f>COUNTIF(BL$54:BL98,"Yes")</f>
        <v>5</v>
      </c>
      <c r="BN98" cm="1">
        <f t="array" ref="BN98">INDEX($J$2:$J$7,IF(BM98&gt;5,6,BM98+1))</f>
        <v>1</v>
      </c>
      <c r="BO98" s="147">
        <f t="shared" si="71"/>
        <v>0.20313689209342556</v>
      </c>
      <c r="BS98">
        <v>45</v>
      </c>
      <c r="BT98" s="147">
        <f t="shared" si="149"/>
        <v>46.619587119564621</v>
      </c>
      <c r="BU98" s="147">
        <f t="shared" si="72"/>
        <v>19.187587119564618</v>
      </c>
      <c r="BV98" s="147">
        <f t="shared" si="73"/>
        <v>2080.4947911199879</v>
      </c>
      <c r="BW98" s="147">
        <f t="shared" si="74"/>
        <v>384.42454175541752</v>
      </c>
      <c r="BX98" s="147">
        <f t="shared" si="124"/>
        <v>978.16613319366127</v>
      </c>
      <c r="BY98" s="147">
        <f t="shared" si="125"/>
        <v>2098.8702001126653</v>
      </c>
      <c r="BZ98" s="147">
        <f t="shared" si="126"/>
        <v>5236.7689279067017</v>
      </c>
      <c r="CA98" s="147">
        <f t="shared" si="75"/>
        <v>5236.5657910146083</v>
      </c>
      <c r="CB98" s="147">
        <f t="shared" si="76"/>
        <v>-0.20313689209342556</v>
      </c>
      <c r="CC98" t="str">
        <f t="shared" si="77"/>
        <v>No</v>
      </c>
      <c r="CD98">
        <f>COUNTIF(CC$54:CC98,"Yes")</f>
        <v>5</v>
      </c>
      <c r="CE98" cm="1">
        <f t="array" ref="CE98">INDEX($J$2:$J$7,IF(CD98&gt;5,6,CD98+1))</f>
        <v>1</v>
      </c>
      <c r="CF98" s="147">
        <f t="shared" si="78"/>
        <v>0.20313689209342556</v>
      </c>
      <c r="CJ98">
        <v>45</v>
      </c>
      <c r="CK98" s="147">
        <f t="shared" si="150"/>
        <v>46.619587119564621</v>
      </c>
      <c r="CL98" s="147">
        <f t="shared" si="79"/>
        <v>19.187587119564618</v>
      </c>
      <c r="CM98" s="147">
        <f t="shared" si="80"/>
        <v>2080.4947911199879</v>
      </c>
      <c r="CN98" s="147">
        <f t="shared" si="81"/>
        <v>384.42454175541752</v>
      </c>
      <c r="CO98" s="147">
        <f t="shared" si="127"/>
        <v>978.16613319366127</v>
      </c>
      <c r="CP98" s="147">
        <f t="shared" si="128"/>
        <v>2098.8702001126653</v>
      </c>
      <c r="CQ98" s="147">
        <f t="shared" si="129"/>
        <v>5236.7689279067017</v>
      </c>
      <c r="CR98" s="147">
        <f t="shared" si="82"/>
        <v>5236.5657910146083</v>
      </c>
      <c r="CS98" s="147">
        <f t="shared" si="83"/>
        <v>-0.20313689209342556</v>
      </c>
      <c r="CT98" t="str">
        <f t="shared" si="84"/>
        <v>No</v>
      </c>
      <c r="CU98">
        <f>COUNTIF(CT$54:CT98,"Yes")</f>
        <v>5</v>
      </c>
      <c r="CV98" cm="1">
        <f t="array" ref="CV98">INDEX($J$2:$J$7,IF(CU98&gt;5,6,CU98+1))</f>
        <v>1</v>
      </c>
      <c r="CW98" s="147">
        <f t="shared" si="85"/>
        <v>0.20313689209342556</v>
      </c>
      <c r="DA98">
        <v>45</v>
      </c>
      <c r="DB98" s="147">
        <f t="shared" si="151"/>
        <v>45.199782303209716</v>
      </c>
      <c r="DC98" s="147">
        <f t="shared" si="86"/>
        <v>17.767782303209714</v>
      </c>
      <c r="DD98" s="147">
        <f t="shared" si="87"/>
        <v>1967.6200862079829</v>
      </c>
      <c r="DE98" s="147">
        <f t="shared" si="88"/>
        <v>363.56805756868397</v>
      </c>
      <c r="DF98" s="147">
        <f t="shared" si="130"/>
        <v>895.57081023824367</v>
      </c>
      <c r="DG98" s="147">
        <f t="shared" si="131"/>
        <v>2076.7061745444075</v>
      </c>
      <c r="DH98" s="147">
        <f t="shared" si="132"/>
        <v>4819.2746410935542</v>
      </c>
      <c r="DI98" s="147">
        <f t="shared" si="89"/>
        <v>4818.6049937299003</v>
      </c>
      <c r="DJ98" s="147">
        <f t="shared" si="90"/>
        <v>-0.66964736365389399</v>
      </c>
      <c r="DK98" t="str">
        <f t="shared" si="91"/>
        <v>No</v>
      </c>
      <c r="DL98">
        <f>COUNTIF(DK$54:DK98,"Yes")</f>
        <v>5</v>
      </c>
      <c r="DM98" cm="1">
        <f t="array" ref="DM98">INDEX($J$2:$J$7,IF(DL98&gt;5,6,DL98+1))</f>
        <v>1</v>
      </c>
      <c r="DN98" s="147">
        <f t="shared" si="92"/>
        <v>0.66964736365389399</v>
      </c>
      <c r="DR98">
        <v>45</v>
      </c>
      <c r="DS98" s="147">
        <f t="shared" si="152"/>
        <v>45.199782303209716</v>
      </c>
      <c r="DT98" s="147">
        <f t="shared" si="93"/>
        <v>17.767782303209714</v>
      </c>
      <c r="DU98" s="147">
        <f t="shared" si="94"/>
        <v>1967.6200862079829</v>
      </c>
      <c r="DV98" s="147">
        <f t="shared" si="95"/>
        <v>363.56805756868397</v>
      </c>
      <c r="DW98" s="147">
        <f t="shared" si="133"/>
        <v>895.57081023824367</v>
      </c>
      <c r="DX98" s="147">
        <f t="shared" si="134"/>
        <v>2076.7061745444075</v>
      </c>
      <c r="DY98" s="147">
        <f t="shared" si="135"/>
        <v>4819.2746410935542</v>
      </c>
      <c r="DZ98" s="147">
        <f t="shared" si="96"/>
        <v>4818.6049937299003</v>
      </c>
      <c r="EA98" s="147">
        <f t="shared" si="97"/>
        <v>-0.66964736365389399</v>
      </c>
      <c r="EB98" t="str">
        <f t="shared" si="98"/>
        <v>No</v>
      </c>
      <c r="EC98">
        <f>COUNTIF(EB$54:EB98,"Yes")</f>
        <v>5</v>
      </c>
      <c r="ED98" cm="1">
        <f t="array" ref="ED98">INDEX($J$2:$J$7,IF(EC98&gt;5,6,EC98+1))</f>
        <v>1</v>
      </c>
      <c r="EE98" s="147">
        <f t="shared" si="99"/>
        <v>0.66964736365389399</v>
      </c>
      <c r="EI98">
        <v>45</v>
      </c>
      <c r="EJ98" s="147">
        <f t="shared" si="153"/>
        <v>45.199782303209716</v>
      </c>
      <c r="EK98" s="147">
        <f t="shared" si="100"/>
        <v>17.767782303209714</v>
      </c>
      <c r="EL98" s="147">
        <f t="shared" si="101"/>
        <v>1967.6200862079829</v>
      </c>
      <c r="EM98" s="147">
        <f t="shared" si="102"/>
        <v>363.56805756868397</v>
      </c>
      <c r="EN98" s="147">
        <f t="shared" si="136"/>
        <v>895.57081023824367</v>
      </c>
      <c r="EO98" s="147">
        <f t="shared" si="137"/>
        <v>2076.7061745444075</v>
      </c>
      <c r="EP98" s="147">
        <f t="shared" si="138"/>
        <v>4819.2746410935542</v>
      </c>
      <c r="EQ98" s="147">
        <f t="shared" si="103"/>
        <v>4818.6049937299003</v>
      </c>
      <c r="ER98" s="147">
        <f t="shared" si="104"/>
        <v>-0.66964736365389399</v>
      </c>
      <c r="ES98" t="str">
        <f t="shared" si="105"/>
        <v>No</v>
      </c>
      <c r="ET98">
        <f>COUNTIF(ES$54:ES98,"Yes")</f>
        <v>5</v>
      </c>
      <c r="EU98" cm="1">
        <f t="array" ref="EU98">INDEX($J$2:$J$7,IF(ET98&gt;5,6,ET98+1))</f>
        <v>1</v>
      </c>
      <c r="EV98" s="147">
        <f t="shared" si="106"/>
        <v>0.66964736365389399</v>
      </c>
      <c r="EZ98">
        <v>45</v>
      </c>
      <c r="FA98" s="147">
        <f t="shared" si="154"/>
        <v>39.011379951183578</v>
      </c>
      <c r="FB98" s="147">
        <f t="shared" si="107"/>
        <v>11.579379951183576</v>
      </c>
      <c r="FC98" s="147">
        <f t="shared" si="108"/>
        <v>1512.4030741077106</v>
      </c>
      <c r="FD98" s="147">
        <f t="shared" si="109"/>
        <v>279.45508981560829</v>
      </c>
      <c r="FE98" s="147">
        <f t="shared" si="139"/>
        <v>578.10741885796574</v>
      </c>
      <c r="FF98" s="147">
        <f t="shared" si="140"/>
        <v>1625.6048641865862</v>
      </c>
      <c r="FG98" s="147">
        <f t="shared" si="141"/>
        <v>3212.5999038602085</v>
      </c>
      <c r="FH98" s="147">
        <f t="shared" si="110"/>
        <v>3212.130832455312</v>
      </c>
      <c r="FI98" s="147">
        <f t="shared" si="111"/>
        <v>-0.4690714048965674</v>
      </c>
      <c r="FJ98" t="str">
        <f t="shared" si="112"/>
        <v>No</v>
      </c>
      <c r="FK98">
        <f>COUNTIF(FJ$54:FJ98,"Yes")</f>
        <v>5</v>
      </c>
      <c r="FL98" cm="1">
        <f t="array" ref="FL98">INDEX($J$2:$J$7,IF(FK98&gt;5,6,FK98+1))</f>
        <v>1</v>
      </c>
      <c r="FM98" s="147">
        <f t="shared" si="113"/>
        <v>0.4690714048965674</v>
      </c>
    </row>
    <row r="99" spans="3:169" x14ac:dyDescent="0.3">
      <c r="C99">
        <v>46</v>
      </c>
      <c r="D99" s="147">
        <f t="shared" si="155"/>
        <v>53.040791160845636</v>
      </c>
      <c r="E99" s="147">
        <f t="shared" si="42"/>
        <v>25.608791160845634</v>
      </c>
      <c r="F99" s="147">
        <f t="shared" si="43"/>
        <v>2630.2935939070858</v>
      </c>
      <c r="G99" s="147">
        <f t="shared" si="44"/>
        <v>486.01391065036597</v>
      </c>
      <c r="H99" s="147">
        <f t="shared" si="142"/>
        <v>1340.7487136681357</v>
      </c>
      <c r="I99" s="147">
        <f t="shared" si="114"/>
        <v>2245.5096404836386</v>
      </c>
      <c r="J99" s="147">
        <f t="shared" si="115"/>
        <v>7357.3666224634035</v>
      </c>
      <c r="K99" s="147">
        <f t="shared" si="46"/>
        <v>7357.0280934313305</v>
      </c>
      <c r="L99" s="147">
        <f t="shared" si="47"/>
        <v>-0.33852903207298368</v>
      </c>
      <c r="M99" t="str">
        <f t="shared" si="48"/>
        <v>No</v>
      </c>
      <c r="N99">
        <f>COUNTIF(M$54:M99,"Yes")</f>
        <v>5</v>
      </c>
      <c r="O99" cm="1">
        <f t="array" ref="O99">INDEX($J$2:$J$7,IF(N99&gt;5,6,N99+1))</f>
        <v>1</v>
      </c>
      <c r="P99" s="147">
        <f t="shared" si="49"/>
        <v>0.33852903207298368</v>
      </c>
      <c r="T99">
        <v>46</v>
      </c>
      <c r="U99" s="147">
        <f t="shared" si="146"/>
        <v>53.040791160845636</v>
      </c>
      <c r="V99" s="147">
        <f t="shared" si="50"/>
        <v>25.608791160845634</v>
      </c>
      <c r="W99" s="147">
        <f t="shared" si="51"/>
        <v>2630.2935939070858</v>
      </c>
      <c r="X99" s="147">
        <f t="shared" si="52"/>
        <v>486.01391065036597</v>
      </c>
      <c r="Y99" s="147">
        <f t="shared" si="53"/>
        <v>1340.7487136681357</v>
      </c>
      <c r="Z99" s="147">
        <f t="shared" si="116"/>
        <v>2245.5096404836368</v>
      </c>
      <c r="AA99" s="147">
        <f t="shared" si="117"/>
        <v>7357.3666224634017</v>
      </c>
      <c r="AB99" s="147">
        <f t="shared" si="54"/>
        <v>7357.0280934313305</v>
      </c>
      <c r="AC99" s="147">
        <f t="shared" si="55"/>
        <v>-0.33852903207116469</v>
      </c>
      <c r="AD99" t="str">
        <f t="shared" si="56"/>
        <v>No</v>
      </c>
      <c r="AE99">
        <f>COUNTIF(AD$54:AD99,"Yes")</f>
        <v>5</v>
      </c>
      <c r="AF99" cm="1">
        <f t="array" ref="AF99">INDEX($J$2:$J$7,IF(AE99&gt;5,6,AE99+1))</f>
        <v>1</v>
      </c>
      <c r="AG99" s="147">
        <f t="shared" si="57"/>
        <v>0.33852903207116469</v>
      </c>
      <c r="AK99">
        <v>46</v>
      </c>
      <c r="AL99" s="147">
        <f t="shared" si="147"/>
        <v>52.865033780497249</v>
      </c>
      <c r="AM99" s="147">
        <f t="shared" si="58"/>
        <v>25.433033780497247</v>
      </c>
      <c r="AN99" s="147">
        <f t="shared" si="59"/>
        <v>2614.3877611051043</v>
      </c>
      <c r="AO99" s="147">
        <f t="shared" si="60"/>
        <v>483.0749018567663</v>
      </c>
      <c r="AP99" s="147">
        <f t="shared" si="118"/>
        <v>1384.7399575429861</v>
      </c>
      <c r="AQ99" s="147">
        <f t="shared" si="156"/>
        <v>2185.6125638068061</v>
      </c>
      <c r="AR99" s="147">
        <f t="shared" si="144"/>
        <v>7294.5305369929702</v>
      </c>
      <c r="AS99" s="147">
        <f t="shared" si="61"/>
        <v>7293.9694514114663</v>
      </c>
      <c r="AT99" s="147">
        <f t="shared" si="62"/>
        <v>-0.56108558150390309</v>
      </c>
      <c r="AU99" t="str">
        <f t="shared" si="63"/>
        <v>No</v>
      </c>
      <c r="AV99">
        <f>COUNTIF(AU$54:AU99,"Yes")</f>
        <v>5</v>
      </c>
      <c r="AW99" cm="1">
        <f t="array" ref="AW99">INDEX($J$2:$J$7,IF(AV99&gt;5,6,AV99+1))</f>
        <v>1</v>
      </c>
      <c r="AX99" s="147">
        <f t="shared" si="64"/>
        <v>0.56108558150390309</v>
      </c>
      <c r="BB99">
        <v>46</v>
      </c>
      <c r="BC99" s="147">
        <f t="shared" si="148"/>
        <v>46.619587119564621</v>
      </c>
      <c r="BD99" s="147">
        <f t="shared" si="65"/>
        <v>19.187587119564618</v>
      </c>
      <c r="BE99" s="147">
        <f t="shared" si="66"/>
        <v>2080.4947911199879</v>
      </c>
      <c r="BF99" s="147">
        <f t="shared" si="67"/>
        <v>384.42454175541752</v>
      </c>
      <c r="BG99" s="147">
        <f t="shared" si="121"/>
        <v>978.16613319366127</v>
      </c>
      <c r="BH99" s="147">
        <f t="shared" si="122"/>
        <v>2098.8702001126653</v>
      </c>
      <c r="BI99" s="147">
        <f t="shared" si="123"/>
        <v>5236.7689279067017</v>
      </c>
      <c r="BJ99" s="147">
        <f t="shared" si="68"/>
        <v>5236.5657910146083</v>
      </c>
      <c r="BK99" s="147">
        <f t="shared" si="69"/>
        <v>-0.20313689209342556</v>
      </c>
      <c r="BL99" t="str">
        <f t="shared" si="70"/>
        <v>No</v>
      </c>
      <c r="BM99">
        <f>COUNTIF(BL$54:BL99,"Yes")</f>
        <v>5</v>
      </c>
      <c r="BN99" cm="1">
        <f t="array" ref="BN99">INDEX($J$2:$J$7,IF(BM99&gt;5,6,BM99+1))</f>
        <v>1</v>
      </c>
      <c r="BO99" s="147">
        <f t="shared" si="71"/>
        <v>0.20313689209342556</v>
      </c>
      <c r="BS99">
        <v>46</v>
      </c>
      <c r="BT99" s="147">
        <f t="shared" si="149"/>
        <v>46.619587119564621</v>
      </c>
      <c r="BU99" s="147">
        <f t="shared" si="72"/>
        <v>19.187587119564618</v>
      </c>
      <c r="BV99" s="147">
        <f t="shared" si="73"/>
        <v>2080.4947911199879</v>
      </c>
      <c r="BW99" s="147">
        <f t="shared" si="74"/>
        <v>384.42454175541752</v>
      </c>
      <c r="BX99" s="147">
        <f t="shared" si="124"/>
        <v>978.16613319366127</v>
      </c>
      <c r="BY99" s="147">
        <f t="shared" si="125"/>
        <v>2098.8702001126653</v>
      </c>
      <c r="BZ99" s="147">
        <f t="shared" si="126"/>
        <v>5236.7689279067017</v>
      </c>
      <c r="CA99" s="147">
        <f t="shared" si="75"/>
        <v>5236.5657910146083</v>
      </c>
      <c r="CB99" s="147">
        <f t="shared" si="76"/>
        <v>-0.20313689209342556</v>
      </c>
      <c r="CC99" t="str">
        <f t="shared" si="77"/>
        <v>No</v>
      </c>
      <c r="CD99">
        <f>COUNTIF(CC$54:CC99,"Yes")</f>
        <v>5</v>
      </c>
      <c r="CE99" cm="1">
        <f t="array" ref="CE99">INDEX($J$2:$J$7,IF(CD99&gt;5,6,CD99+1))</f>
        <v>1</v>
      </c>
      <c r="CF99" s="147">
        <f t="shared" si="78"/>
        <v>0.20313689209342556</v>
      </c>
      <c r="CJ99">
        <v>46</v>
      </c>
      <c r="CK99" s="147">
        <f t="shared" si="150"/>
        <v>46.619587119564621</v>
      </c>
      <c r="CL99" s="147">
        <f t="shared" si="79"/>
        <v>19.187587119564618</v>
      </c>
      <c r="CM99" s="147">
        <f t="shared" si="80"/>
        <v>2080.4947911199879</v>
      </c>
      <c r="CN99" s="147">
        <f t="shared" si="81"/>
        <v>384.42454175541752</v>
      </c>
      <c r="CO99" s="147">
        <f t="shared" si="127"/>
        <v>978.16613319366127</v>
      </c>
      <c r="CP99" s="147">
        <f t="shared" si="128"/>
        <v>2098.8702001126653</v>
      </c>
      <c r="CQ99" s="147">
        <f t="shared" si="129"/>
        <v>5236.7689279067017</v>
      </c>
      <c r="CR99" s="147">
        <f t="shared" si="82"/>
        <v>5236.5657910146083</v>
      </c>
      <c r="CS99" s="147">
        <f t="shared" si="83"/>
        <v>-0.20313689209342556</v>
      </c>
      <c r="CT99" t="str">
        <f t="shared" si="84"/>
        <v>No</v>
      </c>
      <c r="CU99">
        <f>COUNTIF(CT$54:CT99,"Yes")</f>
        <v>5</v>
      </c>
      <c r="CV99" cm="1">
        <f t="array" ref="CV99">INDEX($J$2:$J$7,IF(CU99&gt;5,6,CU99+1))</f>
        <v>1</v>
      </c>
      <c r="CW99" s="147">
        <f t="shared" si="85"/>
        <v>0.20313689209342556</v>
      </c>
      <c r="DA99">
        <v>46</v>
      </c>
      <c r="DB99" s="147">
        <f t="shared" si="151"/>
        <v>45.199782303209716</v>
      </c>
      <c r="DC99" s="147">
        <f t="shared" si="86"/>
        <v>17.767782303209714</v>
      </c>
      <c r="DD99" s="147">
        <f t="shared" si="87"/>
        <v>1967.6200862079829</v>
      </c>
      <c r="DE99" s="147">
        <f t="shared" si="88"/>
        <v>363.56805756868397</v>
      </c>
      <c r="DF99" s="147">
        <f t="shared" si="130"/>
        <v>895.57081023824367</v>
      </c>
      <c r="DG99" s="147">
        <f t="shared" si="131"/>
        <v>2076.7061745444075</v>
      </c>
      <c r="DH99" s="147">
        <f t="shared" si="132"/>
        <v>4819.2746410935542</v>
      </c>
      <c r="DI99" s="147">
        <f t="shared" si="89"/>
        <v>4818.6049937299003</v>
      </c>
      <c r="DJ99" s="147">
        <f t="shared" si="90"/>
        <v>-0.66964736365389399</v>
      </c>
      <c r="DK99" t="str">
        <f t="shared" si="91"/>
        <v>No</v>
      </c>
      <c r="DL99">
        <f>COUNTIF(DK$54:DK99,"Yes")</f>
        <v>5</v>
      </c>
      <c r="DM99" cm="1">
        <f t="array" ref="DM99">INDEX($J$2:$J$7,IF(DL99&gt;5,6,DL99+1))</f>
        <v>1</v>
      </c>
      <c r="DN99" s="147">
        <f t="shared" si="92"/>
        <v>0.66964736365389399</v>
      </c>
      <c r="DR99">
        <v>46</v>
      </c>
      <c r="DS99" s="147">
        <f t="shared" si="152"/>
        <v>45.199782303209716</v>
      </c>
      <c r="DT99" s="147">
        <f t="shared" si="93"/>
        <v>17.767782303209714</v>
      </c>
      <c r="DU99" s="147">
        <f t="shared" si="94"/>
        <v>1967.6200862079829</v>
      </c>
      <c r="DV99" s="147">
        <f t="shared" si="95"/>
        <v>363.56805756868397</v>
      </c>
      <c r="DW99" s="147">
        <f t="shared" si="133"/>
        <v>895.57081023824367</v>
      </c>
      <c r="DX99" s="147">
        <f t="shared" si="134"/>
        <v>2076.7061745444075</v>
      </c>
      <c r="DY99" s="147">
        <f t="shared" si="135"/>
        <v>4819.2746410935542</v>
      </c>
      <c r="DZ99" s="147">
        <f t="shared" si="96"/>
        <v>4818.6049937299003</v>
      </c>
      <c r="EA99" s="147">
        <f t="shared" si="97"/>
        <v>-0.66964736365389399</v>
      </c>
      <c r="EB99" t="str">
        <f t="shared" si="98"/>
        <v>No</v>
      </c>
      <c r="EC99">
        <f>COUNTIF(EB$54:EB99,"Yes")</f>
        <v>5</v>
      </c>
      <c r="ED99" cm="1">
        <f t="array" ref="ED99">INDEX($J$2:$J$7,IF(EC99&gt;5,6,EC99+1))</f>
        <v>1</v>
      </c>
      <c r="EE99" s="147">
        <f t="shared" si="99"/>
        <v>0.66964736365389399</v>
      </c>
      <c r="EI99">
        <v>46</v>
      </c>
      <c r="EJ99" s="147">
        <f t="shared" si="153"/>
        <v>45.199782303209716</v>
      </c>
      <c r="EK99" s="147">
        <f t="shared" si="100"/>
        <v>17.767782303209714</v>
      </c>
      <c r="EL99" s="147">
        <f t="shared" si="101"/>
        <v>1967.6200862079829</v>
      </c>
      <c r="EM99" s="147">
        <f t="shared" si="102"/>
        <v>363.56805756868397</v>
      </c>
      <c r="EN99" s="147">
        <f t="shared" si="136"/>
        <v>895.57081023824367</v>
      </c>
      <c r="EO99" s="147">
        <f t="shared" si="137"/>
        <v>2076.7061745444075</v>
      </c>
      <c r="EP99" s="147">
        <f t="shared" si="138"/>
        <v>4819.2746410935542</v>
      </c>
      <c r="EQ99" s="147">
        <f t="shared" si="103"/>
        <v>4818.6049937299003</v>
      </c>
      <c r="ER99" s="147">
        <f t="shared" si="104"/>
        <v>-0.66964736365389399</v>
      </c>
      <c r="ES99" t="str">
        <f t="shared" si="105"/>
        <v>No</v>
      </c>
      <c r="ET99">
        <f>COUNTIF(ES$54:ES99,"Yes")</f>
        <v>5</v>
      </c>
      <c r="EU99" cm="1">
        <f t="array" ref="EU99">INDEX($J$2:$J$7,IF(ET99&gt;5,6,ET99+1))</f>
        <v>1</v>
      </c>
      <c r="EV99" s="147">
        <f t="shared" si="106"/>
        <v>0.66964736365389399</v>
      </c>
      <c r="EZ99">
        <v>46</v>
      </c>
      <c r="FA99" s="147">
        <f t="shared" si="154"/>
        <v>39.011379951183578</v>
      </c>
      <c r="FB99" s="147">
        <f t="shared" si="107"/>
        <v>11.579379951183576</v>
      </c>
      <c r="FC99" s="147">
        <f t="shared" si="108"/>
        <v>1512.4030741077106</v>
      </c>
      <c r="FD99" s="147">
        <f t="shared" si="109"/>
        <v>279.45508981560829</v>
      </c>
      <c r="FE99" s="147">
        <f t="shared" si="139"/>
        <v>578.10741885796574</v>
      </c>
      <c r="FF99" s="147">
        <f t="shared" si="140"/>
        <v>1625.6048641865862</v>
      </c>
      <c r="FG99" s="147">
        <f t="shared" si="141"/>
        <v>3212.5999038602085</v>
      </c>
      <c r="FH99" s="147">
        <f t="shared" si="110"/>
        <v>3212.130832455312</v>
      </c>
      <c r="FI99" s="147">
        <f t="shared" si="111"/>
        <v>-0.4690714048965674</v>
      </c>
      <c r="FJ99" t="str">
        <f t="shared" si="112"/>
        <v>No</v>
      </c>
      <c r="FK99">
        <f>COUNTIF(FJ$54:FJ99,"Yes")</f>
        <v>5</v>
      </c>
      <c r="FL99" cm="1">
        <f t="array" ref="FL99">INDEX($J$2:$J$7,IF(FK99&gt;5,6,FK99+1))</f>
        <v>1</v>
      </c>
      <c r="FM99" s="147">
        <f t="shared" si="113"/>
        <v>0.4690714048965674</v>
      </c>
    </row>
    <row r="100" spans="3:169" x14ac:dyDescent="0.3">
      <c r="C100">
        <v>47</v>
      </c>
      <c r="D100" s="147">
        <f t="shared" si="155"/>
        <v>53.040791160845636</v>
      </c>
      <c r="E100" s="147">
        <f t="shared" si="42"/>
        <v>25.608791160845634</v>
      </c>
      <c r="F100" s="147">
        <f t="shared" si="43"/>
        <v>2630.2935939070858</v>
      </c>
      <c r="G100" s="147">
        <f t="shared" si="44"/>
        <v>486.01391065036597</v>
      </c>
      <c r="H100" s="147">
        <f t="shared" si="142"/>
        <v>1340.7487136681357</v>
      </c>
      <c r="I100" s="147">
        <f t="shared" si="114"/>
        <v>2245.5096404836386</v>
      </c>
      <c r="J100" s="147">
        <f t="shared" si="115"/>
        <v>7357.3666224634035</v>
      </c>
      <c r="K100" s="147">
        <f t="shared" si="46"/>
        <v>7357.0280934313305</v>
      </c>
      <c r="L100" s="147">
        <f t="shared" si="47"/>
        <v>-0.33852903207298368</v>
      </c>
      <c r="M100" t="str">
        <f t="shared" si="48"/>
        <v>No</v>
      </c>
      <c r="N100">
        <f>COUNTIF(M$54:M100,"Yes")</f>
        <v>5</v>
      </c>
      <c r="O100" cm="1">
        <f t="array" ref="O100">INDEX($J$2:$J$7,IF(N100&gt;5,6,N100+1))</f>
        <v>1</v>
      </c>
      <c r="P100" s="147">
        <f t="shared" si="49"/>
        <v>0.33852903207298368</v>
      </c>
      <c r="T100">
        <v>47</v>
      </c>
      <c r="U100" s="147">
        <f t="shared" si="146"/>
        <v>53.040791160845636</v>
      </c>
      <c r="V100" s="147">
        <f t="shared" si="50"/>
        <v>25.608791160845634</v>
      </c>
      <c r="W100" s="147">
        <f t="shared" si="51"/>
        <v>2630.2935939070858</v>
      </c>
      <c r="X100" s="147">
        <f t="shared" si="52"/>
        <v>486.01391065036597</v>
      </c>
      <c r="Y100" s="147">
        <f t="shared" si="53"/>
        <v>1340.7487136681357</v>
      </c>
      <c r="Z100" s="147">
        <f t="shared" si="116"/>
        <v>2245.5096404836368</v>
      </c>
      <c r="AA100" s="147">
        <f t="shared" si="117"/>
        <v>7357.3666224634017</v>
      </c>
      <c r="AB100" s="147">
        <f t="shared" si="54"/>
        <v>7357.0280934313305</v>
      </c>
      <c r="AC100" s="147">
        <f t="shared" si="55"/>
        <v>-0.33852903207116469</v>
      </c>
      <c r="AD100" t="str">
        <f t="shared" si="56"/>
        <v>No</v>
      </c>
      <c r="AE100">
        <f>COUNTIF(AD$54:AD100,"Yes")</f>
        <v>5</v>
      </c>
      <c r="AF100" cm="1">
        <f t="array" ref="AF100">INDEX($J$2:$J$7,IF(AE100&gt;5,6,AE100+1))</f>
        <v>1</v>
      </c>
      <c r="AG100" s="147">
        <f t="shared" si="57"/>
        <v>0.33852903207116469</v>
      </c>
      <c r="AK100">
        <v>47</v>
      </c>
      <c r="AL100" s="147">
        <f t="shared" si="147"/>
        <v>52.865033780497249</v>
      </c>
      <c r="AM100" s="147">
        <f t="shared" si="58"/>
        <v>25.433033780497247</v>
      </c>
      <c r="AN100" s="147">
        <f t="shared" si="59"/>
        <v>2614.3877611051043</v>
      </c>
      <c r="AO100" s="147">
        <f t="shared" si="60"/>
        <v>483.0749018567663</v>
      </c>
      <c r="AP100" s="147">
        <f t="shared" si="118"/>
        <v>1384.7399575429861</v>
      </c>
      <c r="AQ100" s="147">
        <f t="shared" si="156"/>
        <v>2185.6125638068061</v>
      </c>
      <c r="AR100" s="147">
        <f t="shared" si="144"/>
        <v>7294.5305369929702</v>
      </c>
      <c r="AS100" s="147">
        <f t="shared" si="61"/>
        <v>7293.9694514114663</v>
      </c>
      <c r="AT100" s="147">
        <f t="shared" si="62"/>
        <v>-0.56108558150390309</v>
      </c>
      <c r="AU100" t="str">
        <f t="shared" si="63"/>
        <v>No</v>
      </c>
      <c r="AV100">
        <f>COUNTIF(AU$54:AU100,"Yes")</f>
        <v>5</v>
      </c>
      <c r="AW100" cm="1">
        <f t="array" ref="AW100">INDEX($J$2:$J$7,IF(AV100&gt;5,6,AV100+1))</f>
        <v>1</v>
      </c>
      <c r="AX100" s="147">
        <f t="shared" si="64"/>
        <v>0.56108558150390309</v>
      </c>
      <c r="BB100">
        <v>47</v>
      </c>
      <c r="BC100" s="147">
        <f t="shared" si="148"/>
        <v>46.619587119564621</v>
      </c>
      <c r="BD100" s="147">
        <f t="shared" si="65"/>
        <v>19.187587119564618</v>
      </c>
      <c r="BE100" s="147">
        <f t="shared" si="66"/>
        <v>2080.4947911199879</v>
      </c>
      <c r="BF100" s="147">
        <f t="shared" si="67"/>
        <v>384.42454175541752</v>
      </c>
      <c r="BG100" s="147">
        <f t="shared" si="121"/>
        <v>978.16613319366127</v>
      </c>
      <c r="BH100" s="147">
        <f t="shared" si="122"/>
        <v>2098.8702001126653</v>
      </c>
      <c r="BI100" s="147">
        <f t="shared" si="123"/>
        <v>5236.7689279067017</v>
      </c>
      <c r="BJ100" s="147">
        <f t="shared" si="68"/>
        <v>5236.5657910146083</v>
      </c>
      <c r="BK100" s="147">
        <f t="shared" si="69"/>
        <v>-0.20313689209342556</v>
      </c>
      <c r="BL100" t="str">
        <f t="shared" si="70"/>
        <v>No</v>
      </c>
      <c r="BM100">
        <f>COUNTIF(BL$54:BL100,"Yes")</f>
        <v>5</v>
      </c>
      <c r="BN100" cm="1">
        <f t="array" ref="BN100">INDEX($J$2:$J$7,IF(BM100&gt;5,6,BM100+1))</f>
        <v>1</v>
      </c>
      <c r="BO100" s="147">
        <f t="shared" si="71"/>
        <v>0.20313689209342556</v>
      </c>
      <c r="BS100">
        <v>47</v>
      </c>
      <c r="BT100" s="147">
        <f t="shared" si="149"/>
        <v>46.619587119564621</v>
      </c>
      <c r="BU100" s="147">
        <f t="shared" si="72"/>
        <v>19.187587119564618</v>
      </c>
      <c r="BV100" s="147">
        <f t="shared" si="73"/>
        <v>2080.4947911199879</v>
      </c>
      <c r="BW100" s="147">
        <f t="shared" si="74"/>
        <v>384.42454175541752</v>
      </c>
      <c r="BX100" s="147">
        <f t="shared" si="124"/>
        <v>978.16613319366127</v>
      </c>
      <c r="BY100" s="147">
        <f t="shared" si="125"/>
        <v>2098.8702001126653</v>
      </c>
      <c r="BZ100" s="147">
        <f t="shared" si="126"/>
        <v>5236.7689279067017</v>
      </c>
      <c r="CA100" s="147">
        <f t="shared" si="75"/>
        <v>5236.5657910146083</v>
      </c>
      <c r="CB100" s="147">
        <f t="shared" si="76"/>
        <v>-0.20313689209342556</v>
      </c>
      <c r="CC100" t="str">
        <f t="shared" si="77"/>
        <v>No</v>
      </c>
      <c r="CD100">
        <f>COUNTIF(CC$54:CC100,"Yes")</f>
        <v>5</v>
      </c>
      <c r="CE100" cm="1">
        <f t="array" ref="CE100">INDEX($J$2:$J$7,IF(CD100&gt;5,6,CD100+1))</f>
        <v>1</v>
      </c>
      <c r="CF100" s="147">
        <f t="shared" si="78"/>
        <v>0.20313689209342556</v>
      </c>
      <c r="CJ100">
        <v>47</v>
      </c>
      <c r="CK100" s="147">
        <f t="shared" si="150"/>
        <v>46.619587119564621</v>
      </c>
      <c r="CL100" s="147">
        <f t="shared" si="79"/>
        <v>19.187587119564618</v>
      </c>
      <c r="CM100" s="147">
        <f t="shared" si="80"/>
        <v>2080.4947911199879</v>
      </c>
      <c r="CN100" s="147">
        <f t="shared" si="81"/>
        <v>384.42454175541752</v>
      </c>
      <c r="CO100" s="147">
        <f t="shared" si="127"/>
        <v>978.16613319366127</v>
      </c>
      <c r="CP100" s="147">
        <f t="shared" si="128"/>
        <v>2098.8702001126653</v>
      </c>
      <c r="CQ100" s="147">
        <f t="shared" si="129"/>
        <v>5236.7689279067017</v>
      </c>
      <c r="CR100" s="147">
        <f t="shared" si="82"/>
        <v>5236.5657910146083</v>
      </c>
      <c r="CS100" s="147">
        <f t="shared" si="83"/>
        <v>-0.20313689209342556</v>
      </c>
      <c r="CT100" t="str">
        <f t="shared" si="84"/>
        <v>No</v>
      </c>
      <c r="CU100">
        <f>COUNTIF(CT$54:CT100,"Yes")</f>
        <v>5</v>
      </c>
      <c r="CV100" cm="1">
        <f t="array" ref="CV100">INDEX($J$2:$J$7,IF(CU100&gt;5,6,CU100+1))</f>
        <v>1</v>
      </c>
      <c r="CW100" s="147">
        <f t="shared" si="85"/>
        <v>0.20313689209342556</v>
      </c>
      <c r="DA100">
        <v>47</v>
      </c>
      <c r="DB100" s="147">
        <f t="shared" si="151"/>
        <v>45.199782303209716</v>
      </c>
      <c r="DC100" s="147">
        <f t="shared" si="86"/>
        <v>17.767782303209714</v>
      </c>
      <c r="DD100" s="147">
        <f t="shared" si="87"/>
        <v>1967.6200862079829</v>
      </c>
      <c r="DE100" s="147">
        <f t="shared" si="88"/>
        <v>363.56805756868397</v>
      </c>
      <c r="DF100" s="147">
        <f t="shared" si="130"/>
        <v>895.57081023824367</v>
      </c>
      <c r="DG100" s="147">
        <f t="shared" si="131"/>
        <v>2076.7061745444075</v>
      </c>
      <c r="DH100" s="147">
        <f t="shared" si="132"/>
        <v>4819.2746410935542</v>
      </c>
      <c r="DI100" s="147">
        <f t="shared" si="89"/>
        <v>4818.6049937299003</v>
      </c>
      <c r="DJ100" s="147">
        <f t="shared" si="90"/>
        <v>-0.66964736365389399</v>
      </c>
      <c r="DK100" t="str">
        <f t="shared" si="91"/>
        <v>No</v>
      </c>
      <c r="DL100">
        <f>COUNTIF(DK$54:DK100,"Yes")</f>
        <v>5</v>
      </c>
      <c r="DM100" cm="1">
        <f t="array" ref="DM100">INDEX($J$2:$J$7,IF(DL100&gt;5,6,DL100+1))</f>
        <v>1</v>
      </c>
      <c r="DN100" s="147">
        <f t="shared" si="92"/>
        <v>0.66964736365389399</v>
      </c>
      <c r="DR100">
        <v>47</v>
      </c>
      <c r="DS100" s="147">
        <f t="shared" si="152"/>
        <v>45.199782303209716</v>
      </c>
      <c r="DT100" s="147">
        <f t="shared" si="93"/>
        <v>17.767782303209714</v>
      </c>
      <c r="DU100" s="147">
        <f t="shared" si="94"/>
        <v>1967.6200862079829</v>
      </c>
      <c r="DV100" s="147">
        <f t="shared" si="95"/>
        <v>363.56805756868397</v>
      </c>
      <c r="DW100" s="147">
        <f t="shared" si="133"/>
        <v>895.57081023824367</v>
      </c>
      <c r="DX100" s="147">
        <f t="shared" si="134"/>
        <v>2076.7061745444075</v>
      </c>
      <c r="DY100" s="147">
        <f t="shared" si="135"/>
        <v>4819.2746410935542</v>
      </c>
      <c r="DZ100" s="147">
        <f t="shared" si="96"/>
        <v>4818.6049937299003</v>
      </c>
      <c r="EA100" s="147">
        <f t="shared" si="97"/>
        <v>-0.66964736365389399</v>
      </c>
      <c r="EB100" t="str">
        <f t="shared" si="98"/>
        <v>No</v>
      </c>
      <c r="EC100">
        <f>COUNTIF(EB$54:EB100,"Yes")</f>
        <v>5</v>
      </c>
      <c r="ED100" cm="1">
        <f t="array" ref="ED100">INDEX($J$2:$J$7,IF(EC100&gt;5,6,EC100+1))</f>
        <v>1</v>
      </c>
      <c r="EE100" s="147">
        <f t="shared" si="99"/>
        <v>0.66964736365389399</v>
      </c>
      <c r="EI100">
        <v>47</v>
      </c>
      <c r="EJ100" s="147">
        <f t="shared" si="153"/>
        <v>45.199782303209716</v>
      </c>
      <c r="EK100" s="147">
        <f t="shared" si="100"/>
        <v>17.767782303209714</v>
      </c>
      <c r="EL100" s="147">
        <f t="shared" si="101"/>
        <v>1967.6200862079829</v>
      </c>
      <c r="EM100" s="147">
        <f t="shared" si="102"/>
        <v>363.56805756868397</v>
      </c>
      <c r="EN100" s="147">
        <f t="shared" si="136"/>
        <v>895.57081023824367</v>
      </c>
      <c r="EO100" s="147">
        <f t="shared" si="137"/>
        <v>2076.7061745444075</v>
      </c>
      <c r="EP100" s="147">
        <f t="shared" si="138"/>
        <v>4819.2746410935542</v>
      </c>
      <c r="EQ100" s="147">
        <f t="shared" si="103"/>
        <v>4818.6049937299003</v>
      </c>
      <c r="ER100" s="147">
        <f t="shared" si="104"/>
        <v>-0.66964736365389399</v>
      </c>
      <c r="ES100" t="str">
        <f t="shared" si="105"/>
        <v>No</v>
      </c>
      <c r="ET100">
        <f>COUNTIF(ES$54:ES100,"Yes")</f>
        <v>5</v>
      </c>
      <c r="EU100" cm="1">
        <f t="array" ref="EU100">INDEX($J$2:$J$7,IF(ET100&gt;5,6,ET100+1))</f>
        <v>1</v>
      </c>
      <c r="EV100" s="147">
        <f t="shared" si="106"/>
        <v>0.66964736365389399</v>
      </c>
      <c r="EZ100">
        <v>47</v>
      </c>
      <c r="FA100" s="147">
        <f t="shared" si="154"/>
        <v>39.011379951183578</v>
      </c>
      <c r="FB100" s="147">
        <f t="shared" si="107"/>
        <v>11.579379951183576</v>
      </c>
      <c r="FC100" s="147">
        <f t="shared" si="108"/>
        <v>1512.4030741077106</v>
      </c>
      <c r="FD100" s="147">
        <f t="shared" si="109"/>
        <v>279.45508981560829</v>
      </c>
      <c r="FE100" s="147">
        <f t="shared" si="139"/>
        <v>578.10741885796574</v>
      </c>
      <c r="FF100" s="147">
        <f t="shared" si="140"/>
        <v>1625.6048641865862</v>
      </c>
      <c r="FG100" s="147">
        <f t="shared" si="141"/>
        <v>3212.5999038602085</v>
      </c>
      <c r="FH100" s="147">
        <f t="shared" si="110"/>
        <v>3212.130832455312</v>
      </c>
      <c r="FI100" s="147">
        <f t="shared" si="111"/>
        <v>-0.4690714048965674</v>
      </c>
      <c r="FJ100" t="str">
        <f t="shared" si="112"/>
        <v>No</v>
      </c>
      <c r="FK100">
        <f>COUNTIF(FJ$54:FJ100,"Yes")</f>
        <v>5</v>
      </c>
      <c r="FL100" cm="1">
        <f t="array" ref="FL100">INDEX($J$2:$J$7,IF(FK100&gt;5,6,FK100+1))</f>
        <v>1</v>
      </c>
      <c r="FM100" s="147">
        <f t="shared" si="113"/>
        <v>0.4690714048965674</v>
      </c>
    </row>
    <row r="101" spans="3:169" x14ac:dyDescent="0.3">
      <c r="C101">
        <v>48</v>
      </c>
      <c r="D101" s="147">
        <f t="shared" si="155"/>
        <v>53.040791160845636</v>
      </c>
      <c r="E101" s="147">
        <f t="shared" si="42"/>
        <v>25.608791160845634</v>
      </c>
      <c r="F101" s="147">
        <f t="shared" si="43"/>
        <v>2630.2935939070858</v>
      </c>
      <c r="G101" s="147">
        <f t="shared" si="44"/>
        <v>486.01391065036597</v>
      </c>
      <c r="H101" s="147">
        <f t="shared" si="142"/>
        <v>1340.7487136681357</v>
      </c>
      <c r="I101" s="147">
        <f t="shared" si="114"/>
        <v>2245.5096404836386</v>
      </c>
      <c r="J101" s="147">
        <f t="shared" si="115"/>
        <v>7357.3666224634035</v>
      </c>
      <c r="K101" s="147">
        <f t="shared" si="46"/>
        <v>7357.0280934313305</v>
      </c>
      <c r="L101" s="147">
        <f t="shared" si="47"/>
        <v>-0.33852903207298368</v>
      </c>
      <c r="M101" t="str">
        <f t="shared" si="48"/>
        <v>No</v>
      </c>
      <c r="N101">
        <f>COUNTIF(M$54:M101,"Yes")</f>
        <v>5</v>
      </c>
      <c r="O101" cm="1">
        <f t="array" ref="O101">INDEX($J$2:$J$7,IF(N101&gt;5,6,N101+1))</f>
        <v>1</v>
      </c>
      <c r="P101" s="147">
        <f t="shared" si="49"/>
        <v>0.33852903207298368</v>
      </c>
      <c r="T101">
        <v>48</v>
      </c>
      <c r="U101" s="147">
        <f t="shared" si="146"/>
        <v>53.040791160845636</v>
      </c>
      <c r="V101" s="147">
        <f t="shared" si="50"/>
        <v>25.608791160845634</v>
      </c>
      <c r="W101" s="147">
        <f t="shared" si="51"/>
        <v>2630.2935939070858</v>
      </c>
      <c r="X101" s="147">
        <f t="shared" si="52"/>
        <v>486.01391065036597</v>
      </c>
      <c r="Y101" s="147">
        <f t="shared" si="53"/>
        <v>1340.7487136681357</v>
      </c>
      <c r="Z101" s="147">
        <f t="shared" si="116"/>
        <v>2245.5096404836368</v>
      </c>
      <c r="AA101" s="147">
        <f t="shared" si="117"/>
        <v>7357.3666224634017</v>
      </c>
      <c r="AB101" s="147">
        <f t="shared" si="54"/>
        <v>7357.0280934313305</v>
      </c>
      <c r="AC101" s="147">
        <f t="shared" si="55"/>
        <v>-0.33852903207116469</v>
      </c>
      <c r="AD101" t="str">
        <f t="shared" si="56"/>
        <v>No</v>
      </c>
      <c r="AE101">
        <f>COUNTIF(AD$54:AD101,"Yes")</f>
        <v>5</v>
      </c>
      <c r="AF101" cm="1">
        <f t="array" ref="AF101">INDEX($J$2:$J$7,IF(AE101&gt;5,6,AE101+1))</f>
        <v>1</v>
      </c>
      <c r="AG101" s="147">
        <f t="shared" si="57"/>
        <v>0.33852903207116469</v>
      </c>
      <c r="AK101">
        <v>48</v>
      </c>
      <c r="AL101" s="147">
        <f t="shared" si="147"/>
        <v>52.865033780497249</v>
      </c>
      <c r="AM101" s="147">
        <f t="shared" si="58"/>
        <v>25.433033780497247</v>
      </c>
      <c r="AN101" s="147">
        <f t="shared" si="59"/>
        <v>2614.3877611051043</v>
      </c>
      <c r="AO101" s="147">
        <f t="shared" si="60"/>
        <v>483.0749018567663</v>
      </c>
      <c r="AP101" s="147">
        <f t="shared" si="118"/>
        <v>1384.7399575429861</v>
      </c>
      <c r="AQ101" s="147">
        <f t="shared" si="156"/>
        <v>2185.6125638068061</v>
      </c>
      <c r="AR101" s="147">
        <f t="shared" si="144"/>
        <v>7294.5305369929702</v>
      </c>
      <c r="AS101" s="147">
        <f t="shared" si="61"/>
        <v>7293.9694514114663</v>
      </c>
      <c r="AT101" s="147">
        <f t="shared" si="62"/>
        <v>-0.56108558150390309</v>
      </c>
      <c r="AU101" t="str">
        <f t="shared" si="63"/>
        <v>No</v>
      </c>
      <c r="AV101">
        <f>COUNTIF(AU$54:AU101,"Yes")</f>
        <v>5</v>
      </c>
      <c r="AW101" cm="1">
        <f t="array" ref="AW101">INDEX($J$2:$J$7,IF(AV101&gt;5,6,AV101+1))</f>
        <v>1</v>
      </c>
      <c r="AX101" s="147">
        <f t="shared" si="64"/>
        <v>0.56108558150390309</v>
      </c>
      <c r="BB101">
        <v>48</v>
      </c>
      <c r="BC101" s="147">
        <f t="shared" si="148"/>
        <v>46.619587119564621</v>
      </c>
      <c r="BD101" s="147">
        <f t="shared" si="65"/>
        <v>19.187587119564618</v>
      </c>
      <c r="BE101" s="147">
        <f t="shared" si="66"/>
        <v>2080.4947911199879</v>
      </c>
      <c r="BF101" s="147">
        <f t="shared" si="67"/>
        <v>384.42454175541752</v>
      </c>
      <c r="BG101" s="147">
        <f t="shared" si="121"/>
        <v>978.16613319366127</v>
      </c>
      <c r="BH101" s="147">
        <f t="shared" si="122"/>
        <v>2098.8702001126653</v>
      </c>
      <c r="BI101" s="147">
        <f t="shared" si="123"/>
        <v>5236.7689279067017</v>
      </c>
      <c r="BJ101" s="147">
        <f t="shared" si="68"/>
        <v>5236.5657910146083</v>
      </c>
      <c r="BK101" s="147">
        <f t="shared" si="69"/>
        <v>-0.20313689209342556</v>
      </c>
      <c r="BL101" t="str">
        <f t="shared" si="70"/>
        <v>No</v>
      </c>
      <c r="BM101">
        <f>COUNTIF(BL$54:BL101,"Yes")</f>
        <v>5</v>
      </c>
      <c r="BN101" cm="1">
        <f t="array" ref="BN101">INDEX($J$2:$J$7,IF(BM101&gt;5,6,BM101+1))</f>
        <v>1</v>
      </c>
      <c r="BO101" s="147">
        <f t="shared" si="71"/>
        <v>0.20313689209342556</v>
      </c>
      <c r="BS101">
        <v>48</v>
      </c>
      <c r="BT101" s="147">
        <f t="shared" si="149"/>
        <v>46.619587119564621</v>
      </c>
      <c r="BU101" s="147">
        <f t="shared" si="72"/>
        <v>19.187587119564618</v>
      </c>
      <c r="BV101" s="147">
        <f t="shared" si="73"/>
        <v>2080.4947911199879</v>
      </c>
      <c r="BW101" s="147">
        <f t="shared" si="74"/>
        <v>384.42454175541752</v>
      </c>
      <c r="BX101" s="147">
        <f t="shared" si="124"/>
        <v>978.16613319366127</v>
      </c>
      <c r="BY101" s="147">
        <f t="shared" si="125"/>
        <v>2098.8702001126653</v>
      </c>
      <c r="BZ101" s="147">
        <f t="shared" si="126"/>
        <v>5236.7689279067017</v>
      </c>
      <c r="CA101" s="147">
        <f t="shared" si="75"/>
        <v>5236.5657910146083</v>
      </c>
      <c r="CB101" s="147">
        <f t="shared" si="76"/>
        <v>-0.20313689209342556</v>
      </c>
      <c r="CC101" t="str">
        <f t="shared" si="77"/>
        <v>No</v>
      </c>
      <c r="CD101">
        <f>COUNTIF(CC$54:CC101,"Yes")</f>
        <v>5</v>
      </c>
      <c r="CE101" cm="1">
        <f t="array" ref="CE101">INDEX($J$2:$J$7,IF(CD101&gt;5,6,CD101+1))</f>
        <v>1</v>
      </c>
      <c r="CF101" s="147">
        <f t="shared" si="78"/>
        <v>0.20313689209342556</v>
      </c>
      <c r="CJ101">
        <v>48</v>
      </c>
      <c r="CK101" s="147">
        <f t="shared" si="150"/>
        <v>46.619587119564621</v>
      </c>
      <c r="CL101" s="147">
        <f t="shared" si="79"/>
        <v>19.187587119564618</v>
      </c>
      <c r="CM101" s="147">
        <f t="shared" si="80"/>
        <v>2080.4947911199879</v>
      </c>
      <c r="CN101" s="147">
        <f t="shared" si="81"/>
        <v>384.42454175541752</v>
      </c>
      <c r="CO101" s="147">
        <f t="shared" si="127"/>
        <v>978.16613319366127</v>
      </c>
      <c r="CP101" s="147">
        <f t="shared" si="128"/>
        <v>2098.8702001126653</v>
      </c>
      <c r="CQ101" s="147">
        <f t="shared" si="129"/>
        <v>5236.7689279067017</v>
      </c>
      <c r="CR101" s="147">
        <f t="shared" si="82"/>
        <v>5236.5657910146083</v>
      </c>
      <c r="CS101" s="147">
        <f t="shared" si="83"/>
        <v>-0.20313689209342556</v>
      </c>
      <c r="CT101" t="str">
        <f t="shared" si="84"/>
        <v>No</v>
      </c>
      <c r="CU101">
        <f>COUNTIF(CT$54:CT101,"Yes")</f>
        <v>5</v>
      </c>
      <c r="CV101" cm="1">
        <f t="array" ref="CV101">INDEX($J$2:$J$7,IF(CU101&gt;5,6,CU101+1))</f>
        <v>1</v>
      </c>
      <c r="CW101" s="147">
        <f t="shared" si="85"/>
        <v>0.20313689209342556</v>
      </c>
      <c r="DA101">
        <v>48</v>
      </c>
      <c r="DB101" s="147">
        <f t="shared" si="151"/>
        <v>45.199782303209716</v>
      </c>
      <c r="DC101" s="147">
        <f t="shared" si="86"/>
        <v>17.767782303209714</v>
      </c>
      <c r="DD101" s="147">
        <f t="shared" si="87"/>
        <v>1967.6200862079829</v>
      </c>
      <c r="DE101" s="147">
        <f t="shared" si="88"/>
        <v>363.56805756868397</v>
      </c>
      <c r="DF101" s="147">
        <f t="shared" si="130"/>
        <v>895.57081023824367</v>
      </c>
      <c r="DG101" s="147">
        <f t="shared" si="131"/>
        <v>2076.7061745444075</v>
      </c>
      <c r="DH101" s="147">
        <f t="shared" si="132"/>
        <v>4819.2746410935542</v>
      </c>
      <c r="DI101" s="147">
        <f t="shared" si="89"/>
        <v>4818.6049937299003</v>
      </c>
      <c r="DJ101" s="147">
        <f t="shared" si="90"/>
        <v>-0.66964736365389399</v>
      </c>
      <c r="DK101" t="str">
        <f t="shared" si="91"/>
        <v>No</v>
      </c>
      <c r="DL101">
        <f>COUNTIF(DK$54:DK101,"Yes")</f>
        <v>5</v>
      </c>
      <c r="DM101" cm="1">
        <f t="array" ref="DM101">INDEX($J$2:$J$7,IF(DL101&gt;5,6,DL101+1))</f>
        <v>1</v>
      </c>
      <c r="DN101" s="147">
        <f t="shared" si="92"/>
        <v>0.66964736365389399</v>
      </c>
      <c r="DR101">
        <v>48</v>
      </c>
      <c r="DS101" s="147">
        <f t="shared" si="152"/>
        <v>45.199782303209716</v>
      </c>
      <c r="DT101" s="147">
        <f t="shared" si="93"/>
        <v>17.767782303209714</v>
      </c>
      <c r="DU101" s="147">
        <f t="shared" si="94"/>
        <v>1967.6200862079829</v>
      </c>
      <c r="DV101" s="147">
        <f t="shared" si="95"/>
        <v>363.56805756868397</v>
      </c>
      <c r="DW101" s="147">
        <f t="shared" si="133"/>
        <v>895.57081023824367</v>
      </c>
      <c r="DX101" s="147">
        <f t="shared" si="134"/>
        <v>2076.7061745444075</v>
      </c>
      <c r="DY101" s="147">
        <f t="shared" si="135"/>
        <v>4819.2746410935542</v>
      </c>
      <c r="DZ101" s="147">
        <f t="shared" si="96"/>
        <v>4818.6049937299003</v>
      </c>
      <c r="EA101" s="147">
        <f t="shared" si="97"/>
        <v>-0.66964736365389399</v>
      </c>
      <c r="EB101" t="str">
        <f t="shared" si="98"/>
        <v>No</v>
      </c>
      <c r="EC101">
        <f>COUNTIF(EB$54:EB101,"Yes")</f>
        <v>5</v>
      </c>
      <c r="ED101" cm="1">
        <f t="array" ref="ED101">INDEX($J$2:$J$7,IF(EC101&gt;5,6,EC101+1))</f>
        <v>1</v>
      </c>
      <c r="EE101" s="147">
        <f t="shared" si="99"/>
        <v>0.66964736365389399</v>
      </c>
      <c r="EI101">
        <v>48</v>
      </c>
      <c r="EJ101" s="147">
        <f t="shared" si="153"/>
        <v>45.199782303209716</v>
      </c>
      <c r="EK101" s="147">
        <f t="shared" si="100"/>
        <v>17.767782303209714</v>
      </c>
      <c r="EL101" s="147">
        <f t="shared" si="101"/>
        <v>1967.6200862079829</v>
      </c>
      <c r="EM101" s="147">
        <f t="shared" si="102"/>
        <v>363.56805756868397</v>
      </c>
      <c r="EN101" s="147">
        <f t="shared" si="136"/>
        <v>895.57081023824367</v>
      </c>
      <c r="EO101" s="147">
        <f t="shared" si="137"/>
        <v>2076.7061745444075</v>
      </c>
      <c r="EP101" s="147">
        <f t="shared" si="138"/>
        <v>4819.2746410935542</v>
      </c>
      <c r="EQ101" s="147">
        <f t="shared" si="103"/>
        <v>4818.6049937299003</v>
      </c>
      <c r="ER101" s="147">
        <f t="shared" si="104"/>
        <v>-0.66964736365389399</v>
      </c>
      <c r="ES101" t="str">
        <f t="shared" si="105"/>
        <v>No</v>
      </c>
      <c r="ET101">
        <f>COUNTIF(ES$54:ES101,"Yes")</f>
        <v>5</v>
      </c>
      <c r="EU101" cm="1">
        <f t="array" ref="EU101">INDEX($J$2:$J$7,IF(ET101&gt;5,6,ET101+1))</f>
        <v>1</v>
      </c>
      <c r="EV101" s="147">
        <f t="shared" si="106"/>
        <v>0.66964736365389399</v>
      </c>
      <c r="EZ101">
        <v>48</v>
      </c>
      <c r="FA101" s="147">
        <f t="shared" si="154"/>
        <v>39.011379951183578</v>
      </c>
      <c r="FB101" s="147">
        <f t="shared" si="107"/>
        <v>11.579379951183576</v>
      </c>
      <c r="FC101" s="147">
        <f t="shared" si="108"/>
        <v>1512.4030741077106</v>
      </c>
      <c r="FD101" s="147">
        <f t="shared" si="109"/>
        <v>279.45508981560829</v>
      </c>
      <c r="FE101" s="147">
        <f t="shared" si="139"/>
        <v>578.10741885796574</v>
      </c>
      <c r="FF101" s="147">
        <f t="shared" si="140"/>
        <v>1625.6048641865862</v>
      </c>
      <c r="FG101" s="147">
        <f t="shared" si="141"/>
        <v>3212.5999038602085</v>
      </c>
      <c r="FH101" s="147">
        <f t="shared" si="110"/>
        <v>3212.130832455312</v>
      </c>
      <c r="FI101" s="147">
        <f t="shared" si="111"/>
        <v>-0.4690714048965674</v>
      </c>
      <c r="FJ101" t="str">
        <f t="shared" si="112"/>
        <v>No</v>
      </c>
      <c r="FK101">
        <f>COUNTIF(FJ$54:FJ101,"Yes")</f>
        <v>5</v>
      </c>
      <c r="FL101" cm="1">
        <f t="array" ref="FL101">INDEX($J$2:$J$7,IF(FK101&gt;5,6,FK101+1))</f>
        <v>1</v>
      </c>
      <c r="FM101" s="147">
        <f t="shared" si="113"/>
        <v>0.4690714048965674</v>
      </c>
    </row>
    <row r="102" spans="3:169" x14ac:dyDescent="0.3">
      <c r="C102">
        <v>49</v>
      </c>
      <c r="D102" s="147">
        <f t="shared" si="155"/>
        <v>53.040791160845636</v>
      </c>
      <c r="E102" s="147">
        <f t="shared" si="42"/>
        <v>25.608791160845634</v>
      </c>
      <c r="F102" s="147">
        <f t="shared" si="43"/>
        <v>2630.2935939070858</v>
      </c>
      <c r="G102" s="147">
        <f t="shared" si="44"/>
        <v>486.01391065036597</v>
      </c>
      <c r="H102" s="147">
        <f t="shared" si="142"/>
        <v>1340.7487136681357</v>
      </c>
      <c r="I102" s="147">
        <f t="shared" si="114"/>
        <v>2245.5096404836386</v>
      </c>
      <c r="J102" s="147">
        <f t="shared" si="115"/>
        <v>7357.3666224634035</v>
      </c>
      <c r="K102" s="147">
        <f t="shared" si="46"/>
        <v>7357.0280934313305</v>
      </c>
      <c r="L102" s="147">
        <f t="shared" si="47"/>
        <v>-0.33852903207298368</v>
      </c>
      <c r="M102" t="str">
        <f t="shared" si="48"/>
        <v>No</v>
      </c>
      <c r="N102">
        <f>COUNTIF(M$54:M102,"Yes")</f>
        <v>5</v>
      </c>
      <c r="O102" cm="1">
        <f t="array" ref="O102">INDEX($J$2:$J$7,IF(N102&gt;5,6,N102+1))</f>
        <v>1</v>
      </c>
      <c r="P102" s="147">
        <f t="shared" si="49"/>
        <v>0.33852903207298368</v>
      </c>
      <c r="T102">
        <v>49</v>
      </c>
      <c r="U102" s="147">
        <f t="shared" si="146"/>
        <v>53.040791160845636</v>
      </c>
      <c r="V102" s="147">
        <f t="shared" si="50"/>
        <v>25.608791160845634</v>
      </c>
      <c r="W102" s="147">
        <f t="shared" si="51"/>
        <v>2630.2935939070858</v>
      </c>
      <c r="X102" s="147">
        <f t="shared" si="52"/>
        <v>486.01391065036597</v>
      </c>
      <c r="Y102" s="147">
        <f t="shared" si="53"/>
        <v>1340.7487136681357</v>
      </c>
      <c r="Z102" s="147">
        <f t="shared" si="116"/>
        <v>2245.5096404836368</v>
      </c>
      <c r="AA102" s="147">
        <f t="shared" si="117"/>
        <v>7357.3666224634017</v>
      </c>
      <c r="AB102" s="147">
        <f t="shared" si="54"/>
        <v>7357.0280934313305</v>
      </c>
      <c r="AC102" s="147">
        <f t="shared" si="55"/>
        <v>-0.33852903207116469</v>
      </c>
      <c r="AD102" t="str">
        <f t="shared" si="56"/>
        <v>No</v>
      </c>
      <c r="AE102">
        <f>COUNTIF(AD$54:AD102,"Yes")</f>
        <v>5</v>
      </c>
      <c r="AF102" cm="1">
        <f t="array" ref="AF102">INDEX($J$2:$J$7,IF(AE102&gt;5,6,AE102+1))</f>
        <v>1</v>
      </c>
      <c r="AG102" s="147">
        <f t="shared" si="57"/>
        <v>0.33852903207116469</v>
      </c>
      <c r="AK102">
        <v>49</v>
      </c>
      <c r="AL102" s="147">
        <f t="shared" si="147"/>
        <v>52.865033780497249</v>
      </c>
      <c r="AM102" s="147">
        <f t="shared" si="58"/>
        <v>25.433033780497247</v>
      </c>
      <c r="AN102" s="147">
        <f t="shared" si="59"/>
        <v>2614.3877611051043</v>
      </c>
      <c r="AO102" s="147">
        <f t="shared" si="60"/>
        <v>483.0749018567663</v>
      </c>
      <c r="AP102" s="147">
        <f t="shared" si="118"/>
        <v>1384.7399575429861</v>
      </c>
      <c r="AQ102" s="147">
        <f t="shared" si="156"/>
        <v>2185.6125638068061</v>
      </c>
      <c r="AR102" s="147">
        <f t="shared" si="144"/>
        <v>7294.5305369929702</v>
      </c>
      <c r="AS102" s="147">
        <f t="shared" si="61"/>
        <v>7293.9694514114663</v>
      </c>
      <c r="AT102" s="147">
        <f t="shared" si="62"/>
        <v>-0.56108558150390309</v>
      </c>
      <c r="AU102" t="str">
        <f t="shared" si="63"/>
        <v>No</v>
      </c>
      <c r="AV102">
        <f>COUNTIF(AU$54:AU102,"Yes")</f>
        <v>5</v>
      </c>
      <c r="AW102" cm="1">
        <f t="array" ref="AW102">INDEX($J$2:$J$7,IF(AV102&gt;5,6,AV102+1))</f>
        <v>1</v>
      </c>
      <c r="AX102" s="147">
        <f t="shared" si="64"/>
        <v>0.56108558150390309</v>
      </c>
      <c r="BB102">
        <v>49</v>
      </c>
      <c r="BC102" s="147">
        <f t="shared" si="148"/>
        <v>46.619587119564621</v>
      </c>
      <c r="BD102" s="147">
        <f t="shared" si="65"/>
        <v>19.187587119564618</v>
      </c>
      <c r="BE102" s="147">
        <f t="shared" si="66"/>
        <v>2080.4947911199879</v>
      </c>
      <c r="BF102" s="147">
        <f t="shared" si="67"/>
        <v>384.42454175541752</v>
      </c>
      <c r="BG102" s="147">
        <f t="shared" si="121"/>
        <v>978.16613319366127</v>
      </c>
      <c r="BH102" s="147">
        <f t="shared" si="122"/>
        <v>2098.8702001126653</v>
      </c>
      <c r="BI102" s="147">
        <f t="shared" si="123"/>
        <v>5236.7689279067017</v>
      </c>
      <c r="BJ102" s="147">
        <f t="shared" si="68"/>
        <v>5236.5657910146083</v>
      </c>
      <c r="BK102" s="147">
        <f t="shared" si="69"/>
        <v>-0.20313689209342556</v>
      </c>
      <c r="BL102" t="str">
        <f t="shared" si="70"/>
        <v>No</v>
      </c>
      <c r="BM102">
        <f>COUNTIF(BL$54:BL102,"Yes")</f>
        <v>5</v>
      </c>
      <c r="BN102" cm="1">
        <f t="array" ref="BN102">INDEX($J$2:$J$7,IF(BM102&gt;5,6,BM102+1))</f>
        <v>1</v>
      </c>
      <c r="BO102" s="147">
        <f t="shared" si="71"/>
        <v>0.20313689209342556</v>
      </c>
      <c r="BS102">
        <v>49</v>
      </c>
      <c r="BT102" s="147">
        <f t="shared" si="149"/>
        <v>46.619587119564621</v>
      </c>
      <c r="BU102" s="147">
        <f t="shared" si="72"/>
        <v>19.187587119564618</v>
      </c>
      <c r="BV102" s="147">
        <f t="shared" si="73"/>
        <v>2080.4947911199879</v>
      </c>
      <c r="BW102" s="147">
        <f t="shared" si="74"/>
        <v>384.42454175541752</v>
      </c>
      <c r="BX102" s="147">
        <f t="shared" si="124"/>
        <v>978.16613319366127</v>
      </c>
      <c r="BY102" s="147">
        <f t="shared" si="125"/>
        <v>2098.8702001126653</v>
      </c>
      <c r="BZ102" s="147">
        <f t="shared" si="126"/>
        <v>5236.7689279067017</v>
      </c>
      <c r="CA102" s="147">
        <f t="shared" si="75"/>
        <v>5236.5657910146083</v>
      </c>
      <c r="CB102" s="147">
        <f t="shared" si="76"/>
        <v>-0.20313689209342556</v>
      </c>
      <c r="CC102" t="str">
        <f t="shared" si="77"/>
        <v>No</v>
      </c>
      <c r="CD102">
        <f>COUNTIF(CC$54:CC102,"Yes")</f>
        <v>5</v>
      </c>
      <c r="CE102" cm="1">
        <f t="array" ref="CE102">INDEX($J$2:$J$7,IF(CD102&gt;5,6,CD102+1))</f>
        <v>1</v>
      </c>
      <c r="CF102" s="147">
        <f t="shared" si="78"/>
        <v>0.20313689209342556</v>
      </c>
      <c r="CJ102">
        <v>49</v>
      </c>
      <c r="CK102" s="147">
        <f t="shared" si="150"/>
        <v>46.619587119564621</v>
      </c>
      <c r="CL102" s="147">
        <f t="shared" si="79"/>
        <v>19.187587119564618</v>
      </c>
      <c r="CM102" s="147">
        <f t="shared" si="80"/>
        <v>2080.4947911199879</v>
      </c>
      <c r="CN102" s="147">
        <f t="shared" si="81"/>
        <v>384.42454175541752</v>
      </c>
      <c r="CO102" s="147">
        <f t="shared" si="127"/>
        <v>978.16613319366127</v>
      </c>
      <c r="CP102" s="147">
        <f t="shared" si="128"/>
        <v>2098.8702001126653</v>
      </c>
      <c r="CQ102" s="147">
        <f t="shared" si="129"/>
        <v>5236.7689279067017</v>
      </c>
      <c r="CR102" s="147">
        <f t="shared" si="82"/>
        <v>5236.5657910146083</v>
      </c>
      <c r="CS102" s="147">
        <f t="shared" si="83"/>
        <v>-0.20313689209342556</v>
      </c>
      <c r="CT102" t="str">
        <f t="shared" si="84"/>
        <v>No</v>
      </c>
      <c r="CU102">
        <f>COUNTIF(CT$54:CT102,"Yes")</f>
        <v>5</v>
      </c>
      <c r="CV102" cm="1">
        <f t="array" ref="CV102">INDEX($J$2:$J$7,IF(CU102&gt;5,6,CU102+1))</f>
        <v>1</v>
      </c>
      <c r="CW102" s="147">
        <f t="shared" si="85"/>
        <v>0.20313689209342556</v>
      </c>
      <c r="DA102">
        <v>49</v>
      </c>
      <c r="DB102" s="147">
        <f t="shared" si="151"/>
        <v>45.199782303209716</v>
      </c>
      <c r="DC102" s="147">
        <f t="shared" si="86"/>
        <v>17.767782303209714</v>
      </c>
      <c r="DD102" s="147">
        <f t="shared" si="87"/>
        <v>1967.6200862079829</v>
      </c>
      <c r="DE102" s="147">
        <f t="shared" si="88"/>
        <v>363.56805756868397</v>
      </c>
      <c r="DF102" s="147">
        <f t="shared" si="130"/>
        <v>895.57081023824367</v>
      </c>
      <c r="DG102" s="147">
        <f t="shared" si="131"/>
        <v>2076.7061745444075</v>
      </c>
      <c r="DH102" s="147">
        <f t="shared" si="132"/>
        <v>4819.2746410935542</v>
      </c>
      <c r="DI102" s="147">
        <f t="shared" si="89"/>
        <v>4818.6049937299003</v>
      </c>
      <c r="DJ102" s="147">
        <f t="shared" si="90"/>
        <v>-0.66964736365389399</v>
      </c>
      <c r="DK102" t="str">
        <f t="shared" si="91"/>
        <v>No</v>
      </c>
      <c r="DL102">
        <f>COUNTIF(DK$54:DK102,"Yes")</f>
        <v>5</v>
      </c>
      <c r="DM102" cm="1">
        <f t="array" ref="DM102">INDEX($J$2:$J$7,IF(DL102&gt;5,6,DL102+1))</f>
        <v>1</v>
      </c>
      <c r="DN102" s="147">
        <f t="shared" si="92"/>
        <v>0.66964736365389399</v>
      </c>
      <c r="DR102">
        <v>49</v>
      </c>
      <c r="DS102" s="147">
        <f t="shared" si="152"/>
        <v>45.199782303209716</v>
      </c>
      <c r="DT102" s="147">
        <f t="shared" si="93"/>
        <v>17.767782303209714</v>
      </c>
      <c r="DU102" s="147">
        <f t="shared" si="94"/>
        <v>1967.6200862079829</v>
      </c>
      <c r="DV102" s="147">
        <f t="shared" si="95"/>
        <v>363.56805756868397</v>
      </c>
      <c r="DW102" s="147">
        <f t="shared" si="133"/>
        <v>895.57081023824367</v>
      </c>
      <c r="DX102" s="147">
        <f t="shared" si="134"/>
        <v>2076.7061745444075</v>
      </c>
      <c r="DY102" s="147">
        <f t="shared" si="135"/>
        <v>4819.2746410935542</v>
      </c>
      <c r="DZ102" s="147">
        <f t="shared" si="96"/>
        <v>4818.6049937299003</v>
      </c>
      <c r="EA102" s="147">
        <f t="shared" si="97"/>
        <v>-0.66964736365389399</v>
      </c>
      <c r="EB102" t="str">
        <f t="shared" si="98"/>
        <v>No</v>
      </c>
      <c r="EC102">
        <f>COUNTIF(EB$54:EB102,"Yes")</f>
        <v>5</v>
      </c>
      <c r="ED102" cm="1">
        <f t="array" ref="ED102">INDEX($J$2:$J$7,IF(EC102&gt;5,6,EC102+1))</f>
        <v>1</v>
      </c>
      <c r="EE102" s="147">
        <f t="shared" si="99"/>
        <v>0.66964736365389399</v>
      </c>
      <c r="EI102">
        <v>49</v>
      </c>
      <c r="EJ102" s="147">
        <f t="shared" si="153"/>
        <v>45.199782303209716</v>
      </c>
      <c r="EK102" s="147">
        <f t="shared" si="100"/>
        <v>17.767782303209714</v>
      </c>
      <c r="EL102" s="147">
        <f t="shared" si="101"/>
        <v>1967.6200862079829</v>
      </c>
      <c r="EM102" s="147">
        <f t="shared" si="102"/>
        <v>363.56805756868397</v>
      </c>
      <c r="EN102" s="147">
        <f t="shared" si="136"/>
        <v>895.57081023824367</v>
      </c>
      <c r="EO102" s="147">
        <f t="shared" si="137"/>
        <v>2076.7061745444075</v>
      </c>
      <c r="EP102" s="147">
        <f t="shared" si="138"/>
        <v>4819.2746410935542</v>
      </c>
      <c r="EQ102" s="147">
        <f t="shared" si="103"/>
        <v>4818.6049937299003</v>
      </c>
      <c r="ER102" s="147">
        <f t="shared" si="104"/>
        <v>-0.66964736365389399</v>
      </c>
      <c r="ES102" t="str">
        <f t="shared" si="105"/>
        <v>No</v>
      </c>
      <c r="ET102">
        <f>COUNTIF(ES$54:ES102,"Yes")</f>
        <v>5</v>
      </c>
      <c r="EU102" cm="1">
        <f t="array" ref="EU102">INDEX($J$2:$J$7,IF(ET102&gt;5,6,ET102+1))</f>
        <v>1</v>
      </c>
      <c r="EV102" s="147">
        <f t="shared" si="106"/>
        <v>0.66964736365389399</v>
      </c>
      <c r="EZ102">
        <v>49</v>
      </c>
      <c r="FA102" s="147">
        <f t="shared" si="154"/>
        <v>39.011379951183578</v>
      </c>
      <c r="FB102" s="147">
        <f t="shared" si="107"/>
        <v>11.579379951183576</v>
      </c>
      <c r="FC102" s="147">
        <f t="shared" si="108"/>
        <v>1512.4030741077106</v>
      </c>
      <c r="FD102" s="147">
        <f t="shared" si="109"/>
        <v>279.45508981560829</v>
      </c>
      <c r="FE102" s="147">
        <f t="shared" si="139"/>
        <v>578.10741885796574</v>
      </c>
      <c r="FF102" s="147">
        <f t="shared" si="140"/>
        <v>1625.6048641865862</v>
      </c>
      <c r="FG102" s="147">
        <f t="shared" si="141"/>
        <v>3212.5999038602085</v>
      </c>
      <c r="FH102" s="147">
        <f t="shared" si="110"/>
        <v>3212.130832455312</v>
      </c>
      <c r="FI102" s="147">
        <f t="shared" si="111"/>
        <v>-0.4690714048965674</v>
      </c>
      <c r="FJ102" t="str">
        <f t="shared" si="112"/>
        <v>No</v>
      </c>
      <c r="FK102">
        <f>COUNTIF(FJ$54:FJ102,"Yes")</f>
        <v>5</v>
      </c>
      <c r="FL102" cm="1">
        <f t="array" ref="FL102">INDEX($J$2:$J$7,IF(FK102&gt;5,6,FK102+1))</f>
        <v>1</v>
      </c>
      <c r="FM102" s="147">
        <f t="shared" si="113"/>
        <v>0.4690714048965674</v>
      </c>
    </row>
    <row r="103" spans="3:169" x14ac:dyDescent="0.3">
      <c r="C103">
        <v>50</v>
      </c>
      <c r="D103" s="147">
        <f t="shared" si="155"/>
        <v>53.040791160845636</v>
      </c>
      <c r="E103" s="147">
        <f t="shared" si="42"/>
        <v>25.608791160845634</v>
      </c>
      <c r="F103" s="147">
        <f t="shared" si="43"/>
        <v>2630.2935939070858</v>
      </c>
      <c r="G103" s="147">
        <f t="shared" si="44"/>
        <v>486.01391065036597</v>
      </c>
      <c r="H103" s="147">
        <f t="shared" si="142"/>
        <v>1340.7487136681357</v>
      </c>
      <c r="I103" s="147">
        <f t="shared" si="114"/>
        <v>2245.5096404836386</v>
      </c>
      <c r="J103" s="147">
        <f t="shared" si="115"/>
        <v>7357.3666224634035</v>
      </c>
      <c r="K103" s="147">
        <f t="shared" si="46"/>
        <v>7357.0280934313305</v>
      </c>
      <c r="L103" s="147">
        <f t="shared" si="47"/>
        <v>-0.33852903207298368</v>
      </c>
      <c r="M103" t="str">
        <f t="shared" si="48"/>
        <v>No</v>
      </c>
      <c r="N103">
        <f>COUNTIF(M$54:M103,"Yes")</f>
        <v>5</v>
      </c>
      <c r="O103" cm="1">
        <f t="array" ref="O103">INDEX($J$2:$J$7,IF(N103&gt;5,6,N103+1))</f>
        <v>1</v>
      </c>
      <c r="P103" s="147">
        <f t="shared" si="49"/>
        <v>0.33852903207298368</v>
      </c>
      <c r="T103">
        <v>50</v>
      </c>
      <c r="U103" s="147">
        <f t="shared" si="146"/>
        <v>53.040791160845636</v>
      </c>
      <c r="V103" s="147">
        <f t="shared" si="50"/>
        <v>25.608791160845634</v>
      </c>
      <c r="W103" s="147">
        <f t="shared" si="51"/>
        <v>2630.2935939070858</v>
      </c>
      <c r="X103" s="147">
        <f t="shared" si="52"/>
        <v>486.01391065036597</v>
      </c>
      <c r="Y103" s="147">
        <f t="shared" si="53"/>
        <v>1340.7487136681357</v>
      </c>
      <c r="Z103" s="147">
        <f t="shared" si="116"/>
        <v>2245.5096404836368</v>
      </c>
      <c r="AA103" s="147">
        <f t="shared" si="117"/>
        <v>7357.3666224634017</v>
      </c>
      <c r="AB103" s="147">
        <f t="shared" si="54"/>
        <v>7357.0280934313305</v>
      </c>
      <c r="AC103" s="147">
        <f t="shared" si="55"/>
        <v>-0.33852903207116469</v>
      </c>
      <c r="AD103" t="str">
        <f t="shared" si="56"/>
        <v>No</v>
      </c>
      <c r="AE103">
        <f>COUNTIF(AD$54:AD103,"Yes")</f>
        <v>5</v>
      </c>
      <c r="AF103" cm="1">
        <f t="array" ref="AF103">INDEX($J$2:$J$7,IF(AE103&gt;5,6,AE103+1))</f>
        <v>1</v>
      </c>
      <c r="AG103" s="147">
        <f t="shared" si="57"/>
        <v>0.33852903207116469</v>
      </c>
      <c r="AK103">
        <v>50</v>
      </c>
      <c r="AL103" s="147">
        <f t="shared" si="147"/>
        <v>52.865033780497249</v>
      </c>
      <c r="AM103" s="147">
        <f t="shared" si="58"/>
        <v>25.433033780497247</v>
      </c>
      <c r="AN103" s="147">
        <f t="shared" si="59"/>
        <v>2614.3877611051043</v>
      </c>
      <c r="AO103" s="147">
        <f t="shared" si="60"/>
        <v>483.0749018567663</v>
      </c>
      <c r="AP103" s="147">
        <f t="shared" si="118"/>
        <v>1384.7399575429861</v>
      </c>
      <c r="AQ103" s="147">
        <f t="shared" si="156"/>
        <v>2185.6125638068061</v>
      </c>
      <c r="AR103" s="147">
        <f t="shared" si="144"/>
        <v>7294.5305369929702</v>
      </c>
      <c r="AS103" s="147">
        <f t="shared" si="61"/>
        <v>7293.9694514114663</v>
      </c>
      <c r="AT103" s="147">
        <f t="shared" si="62"/>
        <v>-0.56108558150390309</v>
      </c>
      <c r="AU103" t="str">
        <f t="shared" si="63"/>
        <v>No</v>
      </c>
      <c r="AV103">
        <f>COUNTIF(AU$54:AU103,"Yes")</f>
        <v>5</v>
      </c>
      <c r="AW103" cm="1">
        <f t="array" ref="AW103">INDEX($J$2:$J$7,IF(AV103&gt;5,6,AV103+1))</f>
        <v>1</v>
      </c>
      <c r="AX103" s="147">
        <f t="shared" si="64"/>
        <v>0.56108558150390309</v>
      </c>
      <c r="BB103">
        <v>50</v>
      </c>
      <c r="BC103" s="147">
        <f t="shared" si="148"/>
        <v>46.619587119564621</v>
      </c>
      <c r="BD103" s="147">
        <f t="shared" si="65"/>
        <v>19.187587119564618</v>
      </c>
      <c r="BE103" s="147">
        <f t="shared" si="66"/>
        <v>2080.4947911199879</v>
      </c>
      <c r="BF103" s="147">
        <f t="shared" si="67"/>
        <v>384.42454175541752</v>
      </c>
      <c r="BG103" s="147">
        <f t="shared" si="121"/>
        <v>978.16613319366127</v>
      </c>
      <c r="BH103" s="147">
        <f t="shared" si="122"/>
        <v>2098.8702001126653</v>
      </c>
      <c r="BI103" s="147">
        <f t="shared" si="123"/>
        <v>5236.7689279067017</v>
      </c>
      <c r="BJ103" s="147">
        <f t="shared" si="68"/>
        <v>5236.5657910146083</v>
      </c>
      <c r="BK103" s="147">
        <f t="shared" si="69"/>
        <v>-0.20313689209342556</v>
      </c>
      <c r="BL103" t="str">
        <f t="shared" si="70"/>
        <v>No</v>
      </c>
      <c r="BM103">
        <f>COUNTIF(BL$54:BL103,"Yes")</f>
        <v>5</v>
      </c>
      <c r="BN103" cm="1">
        <f t="array" ref="BN103">INDEX($J$2:$J$7,IF(BM103&gt;5,6,BM103+1))</f>
        <v>1</v>
      </c>
      <c r="BO103" s="147">
        <f t="shared" si="71"/>
        <v>0.20313689209342556</v>
      </c>
      <c r="BS103">
        <v>50</v>
      </c>
      <c r="BT103" s="147">
        <f t="shared" si="149"/>
        <v>46.619587119564621</v>
      </c>
      <c r="BU103" s="147">
        <f t="shared" si="72"/>
        <v>19.187587119564618</v>
      </c>
      <c r="BV103" s="147">
        <f t="shared" si="73"/>
        <v>2080.4947911199879</v>
      </c>
      <c r="BW103" s="147">
        <f t="shared" si="74"/>
        <v>384.42454175541752</v>
      </c>
      <c r="BX103" s="147">
        <f t="shared" si="124"/>
        <v>978.16613319366127</v>
      </c>
      <c r="BY103" s="147">
        <f t="shared" si="125"/>
        <v>2098.8702001126653</v>
      </c>
      <c r="BZ103" s="147">
        <f t="shared" si="126"/>
        <v>5236.7689279067017</v>
      </c>
      <c r="CA103" s="147">
        <f t="shared" si="75"/>
        <v>5236.5657910146083</v>
      </c>
      <c r="CB103" s="147">
        <f t="shared" si="76"/>
        <v>-0.20313689209342556</v>
      </c>
      <c r="CC103" t="str">
        <f t="shared" si="77"/>
        <v>No</v>
      </c>
      <c r="CD103">
        <f>COUNTIF(CC$54:CC103,"Yes")</f>
        <v>5</v>
      </c>
      <c r="CE103" cm="1">
        <f t="array" ref="CE103">INDEX($J$2:$J$7,IF(CD103&gt;5,6,CD103+1))</f>
        <v>1</v>
      </c>
      <c r="CF103" s="147">
        <f t="shared" si="78"/>
        <v>0.20313689209342556</v>
      </c>
      <c r="CJ103">
        <v>50</v>
      </c>
      <c r="CK103" s="147">
        <f t="shared" si="150"/>
        <v>46.619587119564621</v>
      </c>
      <c r="CL103" s="147">
        <f t="shared" si="79"/>
        <v>19.187587119564618</v>
      </c>
      <c r="CM103" s="147">
        <f t="shared" si="80"/>
        <v>2080.4947911199879</v>
      </c>
      <c r="CN103" s="147">
        <f t="shared" si="81"/>
        <v>384.42454175541752</v>
      </c>
      <c r="CO103" s="147">
        <f t="shared" si="127"/>
        <v>978.16613319366127</v>
      </c>
      <c r="CP103" s="147">
        <f t="shared" si="128"/>
        <v>2098.8702001126653</v>
      </c>
      <c r="CQ103" s="147">
        <f t="shared" si="129"/>
        <v>5236.7689279067017</v>
      </c>
      <c r="CR103" s="147">
        <f t="shared" si="82"/>
        <v>5236.5657910146083</v>
      </c>
      <c r="CS103" s="147">
        <f t="shared" si="83"/>
        <v>-0.20313689209342556</v>
      </c>
      <c r="CT103" t="str">
        <f t="shared" si="84"/>
        <v>No</v>
      </c>
      <c r="CU103">
        <f>COUNTIF(CT$54:CT103,"Yes")</f>
        <v>5</v>
      </c>
      <c r="CV103" cm="1">
        <f t="array" ref="CV103">INDEX($J$2:$J$7,IF(CU103&gt;5,6,CU103+1))</f>
        <v>1</v>
      </c>
      <c r="CW103" s="147">
        <f t="shared" si="85"/>
        <v>0.20313689209342556</v>
      </c>
      <c r="DA103">
        <v>50</v>
      </c>
      <c r="DB103" s="147">
        <f t="shared" si="151"/>
        <v>45.199782303209716</v>
      </c>
      <c r="DC103" s="147">
        <f t="shared" si="86"/>
        <v>17.767782303209714</v>
      </c>
      <c r="DD103" s="147">
        <f t="shared" si="87"/>
        <v>1967.6200862079829</v>
      </c>
      <c r="DE103" s="147">
        <f t="shared" si="88"/>
        <v>363.56805756868397</v>
      </c>
      <c r="DF103" s="147">
        <f t="shared" si="130"/>
        <v>895.57081023824367</v>
      </c>
      <c r="DG103" s="147">
        <f t="shared" si="131"/>
        <v>2076.7061745444075</v>
      </c>
      <c r="DH103" s="147">
        <f t="shared" si="132"/>
        <v>4819.2746410935542</v>
      </c>
      <c r="DI103" s="147">
        <f t="shared" si="89"/>
        <v>4818.6049937299003</v>
      </c>
      <c r="DJ103" s="147">
        <f t="shared" si="90"/>
        <v>-0.66964736365389399</v>
      </c>
      <c r="DK103" t="str">
        <f t="shared" si="91"/>
        <v>No</v>
      </c>
      <c r="DL103">
        <f>COUNTIF(DK$54:DK103,"Yes")</f>
        <v>5</v>
      </c>
      <c r="DM103" cm="1">
        <f t="array" ref="DM103">INDEX($J$2:$J$7,IF(DL103&gt;5,6,DL103+1))</f>
        <v>1</v>
      </c>
      <c r="DN103" s="147">
        <f t="shared" si="92"/>
        <v>0.66964736365389399</v>
      </c>
      <c r="DR103">
        <v>50</v>
      </c>
      <c r="DS103" s="147">
        <f t="shared" si="152"/>
        <v>45.199782303209716</v>
      </c>
      <c r="DT103" s="147">
        <f t="shared" si="93"/>
        <v>17.767782303209714</v>
      </c>
      <c r="DU103" s="147">
        <f t="shared" si="94"/>
        <v>1967.6200862079829</v>
      </c>
      <c r="DV103" s="147">
        <f t="shared" si="95"/>
        <v>363.56805756868397</v>
      </c>
      <c r="DW103" s="147">
        <f t="shared" si="133"/>
        <v>895.57081023824367</v>
      </c>
      <c r="DX103" s="147">
        <f t="shared" si="134"/>
        <v>2076.7061745444075</v>
      </c>
      <c r="DY103" s="147">
        <f t="shared" si="135"/>
        <v>4819.2746410935542</v>
      </c>
      <c r="DZ103" s="147">
        <f t="shared" si="96"/>
        <v>4818.6049937299003</v>
      </c>
      <c r="EA103" s="147">
        <f t="shared" si="97"/>
        <v>-0.66964736365389399</v>
      </c>
      <c r="EB103" t="str">
        <f t="shared" si="98"/>
        <v>No</v>
      </c>
      <c r="EC103">
        <f>COUNTIF(EB$54:EB103,"Yes")</f>
        <v>5</v>
      </c>
      <c r="ED103" cm="1">
        <f t="array" ref="ED103">INDEX($J$2:$J$7,IF(EC103&gt;5,6,EC103+1))</f>
        <v>1</v>
      </c>
      <c r="EE103" s="147">
        <f t="shared" si="99"/>
        <v>0.66964736365389399</v>
      </c>
      <c r="EI103">
        <v>50</v>
      </c>
      <c r="EJ103" s="147">
        <f t="shared" si="153"/>
        <v>45.199782303209716</v>
      </c>
      <c r="EK103" s="147">
        <f t="shared" si="100"/>
        <v>17.767782303209714</v>
      </c>
      <c r="EL103" s="147">
        <f t="shared" si="101"/>
        <v>1967.6200862079829</v>
      </c>
      <c r="EM103" s="147">
        <f t="shared" si="102"/>
        <v>363.56805756868397</v>
      </c>
      <c r="EN103" s="147">
        <f t="shared" si="136"/>
        <v>895.57081023824367</v>
      </c>
      <c r="EO103" s="147">
        <f t="shared" si="137"/>
        <v>2076.7061745444075</v>
      </c>
      <c r="EP103" s="147">
        <f t="shared" si="138"/>
        <v>4819.2746410935542</v>
      </c>
      <c r="EQ103" s="147">
        <f t="shared" si="103"/>
        <v>4818.6049937299003</v>
      </c>
      <c r="ER103" s="147">
        <f t="shared" si="104"/>
        <v>-0.66964736365389399</v>
      </c>
      <c r="ES103" t="str">
        <f t="shared" si="105"/>
        <v>No</v>
      </c>
      <c r="ET103">
        <f>COUNTIF(ES$54:ES103,"Yes")</f>
        <v>5</v>
      </c>
      <c r="EU103" cm="1">
        <f t="array" ref="EU103">INDEX($J$2:$J$7,IF(ET103&gt;5,6,ET103+1))</f>
        <v>1</v>
      </c>
      <c r="EV103" s="147">
        <f t="shared" si="106"/>
        <v>0.66964736365389399</v>
      </c>
      <c r="EZ103">
        <v>50</v>
      </c>
      <c r="FA103" s="147">
        <f t="shared" si="154"/>
        <v>39.011379951183578</v>
      </c>
      <c r="FB103" s="147">
        <f t="shared" si="107"/>
        <v>11.579379951183576</v>
      </c>
      <c r="FC103" s="147">
        <f t="shared" si="108"/>
        <v>1512.4030741077106</v>
      </c>
      <c r="FD103" s="147">
        <f t="shared" si="109"/>
        <v>279.45508981560829</v>
      </c>
      <c r="FE103" s="147">
        <f t="shared" si="139"/>
        <v>578.10741885796574</v>
      </c>
      <c r="FF103" s="147">
        <f t="shared" si="140"/>
        <v>1625.6048641865862</v>
      </c>
      <c r="FG103" s="147">
        <f t="shared" si="141"/>
        <v>3212.5999038602085</v>
      </c>
      <c r="FH103" s="147">
        <f t="shared" si="110"/>
        <v>3212.130832455312</v>
      </c>
      <c r="FI103" s="147">
        <f t="shared" si="111"/>
        <v>-0.4690714048965674</v>
      </c>
      <c r="FJ103" t="str">
        <f t="shared" si="112"/>
        <v>No</v>
      </c>
      <c r="FK103">
        <f>COUNTIF(FJ$54:FJ103,"Yes")</f>
        <v>5</v>
      </c>
      <c r="FL103" cm="1">
        <f t="array" ref="FL103">INDEX($J$2:$J$7,IF(FK103&gt;5,6,FK103+1))</f>
        <v>1</v>
      </c>
      <c r="FM103" s="147">
        <f t="shared" si="113"/>
        <v>0.4690714048965674</v>
      </c>
    </row>
  </sheetData>
  <mergeCells count="10">
    <mergeCell ref="CY30:DN30"/>
    <mergeCell ref="DP30:EE30"/>
    <mergeCell ref="EG30:EV30"/>
    <mergeCell ref="EX30:FM30"/>
    <mergeCell ref="A30:P30"/>
    <mergeCell ref="R30:AG30"/>
    <mergeCell ref="AI30:AX30"/>
    <mergeCell ref="AZ30:BO30"/>
    <mergeCell ref="BQ30:CF30"/>
    <mergeCell ref="CH30:CW3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2FC7B-F74C-442E-8CD1-B60F5CD39C4F}">
  <sheetPr codeName="Sheet19">
    <tabColor rgb="FFFF0000"/>
  </sheetPr>
  <dimension ref="A1:DQ139"/>
  <sheetViews>
    <sheetView workbookViewId="0">
      <selection sqref="A1:C1"/>
    </sheetView>
  </sheetViews>
  <sheetFormatPr defaultRowHeight="14.4" x14ac:dyDescent="0.3"/>
  <cols>
    <col min="2" max="2" width="10.44140625" customWidth="1"/>
    <col min="3" max="3" width="59.33203125" style="42" customWidth="1"/>
    <col min="4" max="4" width="13.44140625" style="42" customWidth="1"/>
    <col min="5" max="5" width="9.44140625" style="42" customWidth="1"/>
    <col min="6" max="6" width="31.5546875" customWidth="1"/>
    <col min="7" max="7" width="9.5546875" customWidth="1"/>
    <col min="8" max="8" width="10.6640625" customWidth="1"/>
    <col min="9" max="13" width="8.44140625" customWidth="1"/>
    <col min="14" max="14" width="18" customWidth="1"/>
    <col min="15" max="16" width="17.44140625" customWidth="1"/>
    <col min="17" max="17" width="20.44140625" customWidth="1"/>
    <col min="18" max="18" width="23.5546875" bestFit="1" customWidth="1"/>
    <col min="19" max="19" width="26" bestFit="1" customWidth="1"/>
    <col min="20" max="20" width="23.44140625" bestFit="1" customWidth="1"/>
    <col min="21" max="30" width="23.44140625" customWidth="1"/>
    <col min="31" max="31" width="41.88671875" customWidth="1"/>
    <col min="32" max="33" width="23.44140625" customWidth="1"/>
    <col min="34" max="34" width="22.44140625" style="42" bestFit="1" customWidth="1"/>
    <col min="35" max="35" width="35.44140625" style="615" customWidth="1"/>
    <col min="36" max="36" width="26.5546875" customWidth="1"/>
    <col min="37" max="37" width="27.44140625" customWidth="1"/>
    <col min="38" max="38" width="23.5546875" customWidth="1"/>
    <col min="39" max="39" width="19" customWidth="1"/>
    <col min="40" max="40" width="46.5546875" customWidth="1"/>
    <col min="41" max="41" width="22.44140625" customWidth="1"/>
    <col min="42" max="42" width="24" customWidth="1"/>
    <col min="43" max="43" width="21.44140625" style="42" customWidth="1"/>
    <col min="44" max="44" width="31.44140625" style="369" customWidth="1"/>
    <col min="45" max="45" width="15" customWidth="1"/>
    <col min="46" max="47" width="14.44140625" customWidth="1"/>
    <col min="48" max="48" width="15.5546875" customWidth="1"/>
    <col min="49" max="49" width="40.44140625" bestFit="1" customWidth="1"/>
    <col min="50" max="50" width="18.109375" bestFit="1" customWidth="1"/>
    <col min="51" max="51" width="26.6640625" bestFit="1" customWidth="1"/>
    <col min="52" max="52" width="10.44140625" bestFit="1" customWidth="1"/>
    <col min="53" max="53" width="13.109375" bestFit="1" customWidth="1"/>
    <col min="54" max="54" width="18" bestFit="1" customWidth="1"/>
    <col min="55" max="55" width="29" bestFit="1" customWidth="1"/>
    <col min="57" max="57" width="41.109375" customWidth="1"/>
    <col min="58" max="58" width="26.33203125" customWidth="1"/>
    <col min="59" max="59" width="29.6640625" customWidth="1"/>
    <col min="60" max="60" width="28" customWidth="1"/>
    <col min="61" max="61" width="20.33203125" customWidth="1"/>
    <col min="62" max="62" width="17.88671875" customWidth="1"/>
    <col min="63" max="63" width="21.44140625" customWidth="1"/>
    <col min="64" max="64" width="17.6640625" customWidth="1"/>
    <col min="65" max="65" width="18" customWidth="1"/>
    <col min="66" max="66" width="15.6640625" customWidth="1"/>
    <col min="67" max="68" width="26.88671875" customWidth="1"/>
    <col min="69" max="71" width="23" customWidth="1"/>
    <col min="72" max="75" width="20.88671875" customWidth="1"/>
    <col min="76" max="76" width="11.44140625" customWidth="1"/>
    <col min="77" max="77" width="14.88671875" customWidth="1"/>
    <col min="78" max="78" width="14" customWidth="1"/>
    <col min="79" max="86" width="15.6640625" customWidth="1"/>
    <col min="87" max="87" width="23.33203125" customWidth="1"/>
    <col min="88" max="99" width="15.6640625" customWidth="1"/>
    <col min="100" max="100" width="62.109375" bestFit="1" customWidth="1"/>
    <col min="304" max="304" width="6.44140625" customWidth="1"/>
    <col min="305" max="305" width="8.5546875" customWidth="1"/>
    <col min="306" max="306" width="48.5546875" bestFit="1" customWidth="1"/>
    <col min="307" max="307" width="18.44140625" customWidth="1"/>
    <col min="308" max="308" width="20" customWidth="1"/>
    <col min="309" max="309" width="17.44140625" customWidth="1"/>
    <col min="310" max="310" width="16.5546875" customWidth="1"/>
    <col min="311" max="312" width="17.44140625" customWidth="1"/>
    <col min="313" max="313" width="18.44140625" customWidth="1"/>
    <col min="314" max="314" width="17.5546875" customWidth="1"/>
    <col min="315" max="315" width="14.5546875" customWidth="1"/>
    <col min="316" max="316" width="17.5546875" customWidth="1"/>
    <col min="317" max="317" width="18.5546875" customWidth="1"/>
    <col min="318" max="318" width="15.44140625" customWidth="1"/>
    <col min="319" max="319" width="16.5546875" customWidth="1"/>
    <col min="320" max="320" width="22.44140625" bestFit="1" customWidth="1"/>
    <col min="321" max="321" width="30.44140625" bestFit="1" customWidth="1"/>
    <col min="322" max="322" width="12.44140625" bestFit="1" customWidth="1"/>
    <col min="323" max="323" width="21.44140625" bestFit="1" customWidth="1"/>
    <col min="324" max="324" width="13.44140625" customWidth="1"/>
    <col min="325" max="325" width="16.5546875" customWidth="1"/>
    <col min="560" max="560" width="6.44140625" customWidth="1"/>
    <col min="561" max="561" width="8.5546875" customWidth="1"/>
    <col min="562" max="562" width="48.5546875" bestFit="1" customWidth="1"/>
    <col min="563" max="563" width="18.44140625" customWidth="1"/>
    <col min="564" max="564" width="20" customWidth="1"/>
    <col min="565" max="565" width="17.44140625" customWidth="1"/>
    <col min="566" max="566" width="16.5546875" customWidth="1"/>
    <col min="567" max="568" width="17.44140625" customWidth="1"/>
    <col min="569" max="569" width="18.44140625" customWidth="1"/>
    <col min="570" max="570" width="17.5546875" customWidth="1"/>
    <col min="571" max="571" width="14.5546875" customWidth="1"/>
    <col min="572" max="572" width="17.5546875" customWidth="1"/>
    <col min="573" max="573" width="18.5546875" customWidth="1"/>
    <col min="574" max="574" width="15.44140625" customWidth="1"/>
    <col min="575" max="575" width="16.5546875" customWidth="1"/>
    <col min="576" max="576" width="22.44140625" bestFit="1" customWidth="1"/>
    <col min="577" max="577" width="30.44140625" bestFit="1" customWidth="1"/>
    <col min="578" max="578" width="12.44140625" bestFit="1" customWidth="1"/>
    <col min="579" max="579" width="21.44140625" bestFit="1" customWidth="1"/>
    <col min="580" max="580" width="13.44140625" customWidth="1"/>
    <col min="581" max="581" width="16.5546875" customWidth="1"/>
    <col min="816" max="816" width="6.44140625" customWidth="1"/>
    <col min="817" max="817" width="8.5546875" customWidth="1"/>
    <col min="818" max="818" width="48.5546875" bestFit="1" customWidth="1"/>
    <col min="819" max="819" width="18.44140625" customWidth="1"/>
    <col min="820" max="820" width="20" customWidth="1"/>
    <col min="821" max="821" width="17.44140625" customWidth="1"/>
    <col min="822" max="822" width="16.5546875" customWidth="1"/>
    <col min="823" max="824" width="17.44140625" customWidth="1"/>
    <col min="825" max="825" width="18.44140625" customWidth="1"/>
    <col min="826" max="826" width="17.5546875" customWidth="1"/>
    <col min="827" max="827" width="14.5546875" customWidth="1"/>
    <col min="828" max="828" width="17.5546875" customWidth="1"/>
    <col min="829" max="829" width="18.5546875" customWidth="1"/>
    <col min="830" max="830" width="15.44140625" customWidth="1"/>
    <col min="831" max="831" width="16.5546875" customWidth="1"/>
    <col min="832" max="832" width="22.44140625" bestFit="1" customWidth="1"/>
    <col min="833" max="833" width="30.44140625" bestFit="1" customWidth="1"/>
    <col min="834" max="834" width="12.44140625" bestFit="1" customWidth="1"/>
    <col min="835" max="835" width="21.44140625" bestFit="1" customWidth="1"/>
    <col min="836" max="836" width="13.44140625" customWidth="1"/>
    <col min="837" max="837" width="16.5546875" customWidth="1"/>
    <col min="1072" max="1072" width="6.44140625" customWidth="1"/>
    <col min="1073" max="1073" width="8.5546875" customWidth="1"/>
    <col min="1074" max="1074" width="48.5546875" bestFit="1" customWidth="1"/>
    <col min="1075" max="1075" width="18.44140625" customWidth="1"/>
    <col min="1076" max="1076" width="20" customWidth="1"/>
    <col min="1077" max="1077" width="17.44140625" customWidth="1"/>
    <col min="1078" max="1078" width="16.5546875" customWidth="1"/>
    <col min="1079" max="1080" width="17.44140625" customWidth="1"/>
    <col min="1081" max="1081" width="18.44140625" customWidth="1"/>
    <col min="1082" max="1082" width="17.5546875" customWidth="1"/>
    <col min="1083" max="1083" width="14.5546875" customWidth="1"/>
    <col min="1084" max="1084" width="17.5546875" customWidth="1"/>
    <col min="1085" max="1085" width="18.5546875" customWidth="1"/>
    <col min="1086" max="1086" width="15.44140625" customWidth="1"/>
    <col min="1087" max="1087" width="16.5546875" customWidth="1"/>
    <col min="1088" max="1088" width="22.44140625" bestFit="1" customWidth="1"/>
    <col min="1089" max="1089" width="30.44140625" bestFit="1" customWidth="1"/>
    <col min="1090" max="1090" width="12.44140625" bestFit="1" customWidth="1"/>
    <col min="1091" max="1091" width="21.44140625" bestFit="1" customWidth="1"/>
    <col min="1092" max="1092" width="13.44140625" customWidth="1"/>
    <col min="1093" max="1093" width="16.5546875" customWidth="1"/>
    <col min="1328" max="1328" width="6.44140625" customWidth="1"/>
    <col min="1329" max="1329" width="8.5546875" customWidth="1"/>
    <col min="1330" max="1330" width="48.5546875" bestFit="1" customWidth="1"/>
    <col min="1331" max="1331" width="18.44140625" customWidth="1"/>
    <col min="1332" max="1332" width="20" customWidth="1"/>
    <col min="1333" max="1333" width="17.44140625" customWidth="1"/>
    <col min="1334" max="1334" width="16.5546875" customWidth="1"/>
    <col min="1335" max="1336" width="17.44140625" customWidth="1"/>
    <col min="1337" max="1337" width="18.44140625" customWidth="1"/>
    <col min="1338" max="1338" width="17.5546875" customWidth="1"/>
    <col min="1339" max="1339" width="14.5546875" customWidth="1"/>
    <col min="1340" max="1340" width="17.5546875" customWidth="1"/>
    <col min="1341" max="1341" width="18.5546875" customWidth="1"/>
    <col min="1342" max="1342" width="15.44140625" customWidth="1"/>
    <col min="1343" max="1343" width="16.5546875" customWidth="1"/>
    <col min="1344" max="1344" width="22.44140625" bestFit="1" customWidth="1"/>
    <col min="1345" max="1345" width="30.44140625" bestFit="1" customWidth="1"/>
    <col min="1346" max="1346" width="12.44140625" bestFit="1" customWidth="1"/>
    <col min="1347" max="1347" width="21.44140625" bestFit="1" customWidth="1"/>
    <col min="1348" max="1348" width="13.44140625" customWidth="1"/>
    <col min="1349" max="1349" width="16.5546875" customWidth="1"/>
    <col min="1584" max="1584" width="6.44140625" customWidth="1"/>
    <col min="1585" max="1585" width="8.5546875" customWidth="1"/>
    <col min="1586" max="1586" width="48.5546875" bestFit="1" customWidth="1"/>
    <col min="1587" max="1587" width="18.44140625" customWidth="1"/>
    <col min="1588" max="1588" width="20" customWidth="1"/>
    <col min="1589" max="1589" width="17.44140625" customWidth="1"/>
    <col min="1590" max="1590" width="16.5546875" customWidth="1"/>
    <col min="1591" max="1592" width="17.44140625" customWidth="1"/>
    <col min="1593" max="1593" width="18.44140625" customWidth="1"/>
    <col min="1594" max="1594" width="17.5546875" customWidth="1"/>
    <col min="1595" max="1595" width="14.5546875" customWidth="1"/>
    <col min="1596" max="1596" width="17.5546875" customWidth="1"/>
    <col min="1597" max="1597" width="18.5546875" customWidth="1"/>
    <col min="1598" max="1598" width="15.44140625" customWidth="1"/>
    <col min="1599" max="1599" width="16.5546875" customWidth="1"/>
    <col min="1600" max="1600" width="22.44140625" bestFit="1" customWidth="1"/>
    <col min="1601" max="1601" width="30.44140625" bestFit="1" customWidth="1"/>
    <col min="1602" max="1602" width="12.44140625" bestFit="1" customWidth="1"/>
    <col min="1603" max="1603" width="21.44140625" bestFit="1" customWidth="1"/>
    <col min="1604" max="1604" width="13.44140625" customWidth="1"/>
    <col min="1605" max="1605" width="16.5546875" customWidth="1"/>
    <col min="1840" max="1840" width="6.44140625" customWidth="1"/>
    <col min="1841" max="1841" width="8.5546875" customWidth="1"/>
    <col min="1842" max="1842" width="48.5546875" bestFit="1" customWidth="1"/>
    <col min="1843" max="1843" width="18.44140625" customWidth="1"/>
    <col min="1844" max="1844" width="20" customWidth="1"/>
    <col min="1845" max="1845" width="17.44140625" customWidth="1"/>
    <col min="1846" max="1846" width="16.5546875" customWidth="1"/>
    <col min="1847" max="1848" width="17.44140625" customWidth="1"/>
    <col min="1849" max="1849" width="18.44140625" customWidth="1"/>
    <col min="1850" max="1850" width="17.5546875" customWidth="1"/>
    <col min="1851" max="1851" width="14.5546875" customWidth="1"/>
    <col min="1852" max="1852" width="17.5546875" customWidth="1"/>
    <col min="1853" max="1853" width="18.5546875" customWidth="1"/>
    <col min="1854" max="1854" width="15.44140625" customWidth="1"/>
    <col min="1855" max="1855" width="16.5546875" customWidth="1"/>
    <col min="1856" max="1856" width="22.44140625" bestFit="1" customWidth="1"/>
    <col min="1857" max="1857" width="30.44140625" bestFit="1" customWidth="1"/>
    <col min="1858" max="1858" width="12.44140625" bestFit="1" customWidth="1"/>
    <col min="1859" max="1859" width="21.44140625" bestFit="1" customWidth="1"/>
    <col min="1860" max="1860" width="13.44140625" customWidth="1"/>
    <col min="1861" max="1861" width="16.5546875" customWidth="1"/>
    <col min="2096" max="2096" width="6.44140625" customWidth="1"/>
    <col min="2097" max="2097" width="8.5546875" customWidth="1"/>
    <col min="2098" max="2098" width="48.5546875" bestFit="1" customWidth="1"/>
    <col min="2099" max="2099" width="18.44140625" customWidth="1"/>
    <col min="2100" max="2100" width="20" customWidth="1"/>
    <col min="2101" max="2101" width="17.44140625" customWidth="1"/>
    <col min="2102" max="2102" width="16.5546875" customWidth="1"/>
    <col min="2103" max="2104" width="17.44140625" customWidth="1"/>
    <col min="2105" max="2105" width="18.44140625" customWidth="1"/>
    <col min="2106" max="2106" width="17.5546875" customWidth="1"/>
    <col min="2107" max="2107" width="14.5546875" customWidth="1"/>
    <col min="2108" max="2108" width="17.5546875" customWidth="1"/>
    <col min="2109" max="2109" width="18.5546875" customWidth="1"/>
    <col min="2110" max="2110" width="15.44140625" customWidth="1"/>
    <col min="2111" max="2111" width="16.5546875" customWidth="1"/>
    <col min="2112" max="2112" width="22.44140625" bestFit="1" customWidth="1"/>
    <col min="2113" max="2113" width="30.44140625" bestFit="1" customWidth="1"/>
    <col min="2114" max="2114" width="12.44140625" bestFit="1" customWidth="1"/>
    <col min="2115" max="2115" width="21.44140625" bestFit="1" customWidth="1"/>
    <col min="2116" max="2116" width="13.44140625" customWidth="1"/>
    <col min="2117" max="2117" width="16.5546875" customWidth="1"/>
    <col min="2352" max="2352" width="6.44140625" customWidth="1"/>
    <col min="2353" max="2353" width="8.5546875" customWidth="1"/>
    <col min="2354" max="2354" width="48.5546875" bestFit="1" customWidth="1"/>
    <col min="2355" max="2355" width="18.44140625" customWidth="1"/>
    <col min="2356" max="2356" width="20" customWidth="1"/>
    <col min="2357" max="2357" width="17.44140625" customWidth="1"/>
    <col min="2358" max="2358" width="16.5546875" customWidth="1"/>
    <col min="2359" max="2360" width="17.44140625" customWidth="1"/>
    <col min="2361" max="2361" width="18.44140625" customWidth="1"/>
    <col min="2362" max="2362" width="17.5546875" customWidth="1"/>
    <col min="2363" max="2363" width="14.5546875" customWidth="1"/>
    <col min="2364" max="2364" width="17.5546875" customWidth="1"/>
    <col min="2365" max="2365" width="18.5546875" customWidth="1"/>
    <col min="2366" max="2366" width="15.44140625" customWidth="1"/>
    <col min="2367" max="2367" width="16.5546875" customWidth="1"/>
    <col min="2368" max="2368" width="22.44140625" bestFit="1" customWidth="1"/>
    <col min="2369" max="2369" width="30.44140625" bestFit="1" customWidth="1"/>
    <col min="2370" max="2370" width="12.44140625" bestFit="1" customWidth="1"/>
    <col min="2371" max="2371" width="21.44140625" bestFit="1" customWidth="1"/>
    <col min="2372" max="2372" width="13.44140625" customWidth="1"/>
    <col min="2373" max="2373" width="16.5546875" customWidth="1"/>
    <col min="2608" max="2608" width="6.44140625" customWidth="1"/>
    <col min="2609" max="2609" width="8.5546875" customWidth="1"/>
    <col min="2610" max="2610" width="48.5546875" bestFit="1" customWidth="1"/>
    <col min="2611" max="2611" width="18.44140625" customWidth="1"/>
    <col min="2612" max="2612" width="20" customWidth="1"/>
    <col min="2613" max="2613" width="17.44140625" customWidth="1"/>
    <col min="2614" max="2614" width="16.5546875" customWidth="1"/>
    <col min="2615" max="2616" width="17.44140625" customWidth="1"/>
    <col min="2617" max="2617" width="18.44140625" customWidth="1"/>
    <col min="2618" max="2618" width="17.5546875" customWidth="1"/>
    <col min="2619" max="2619" width="14.5546875" customWidth="1"/>
    <col min="2620" max="2620" width="17.5546875" customWidth="1"/>
    <col min="2621" max="2621" width="18.5546875" customWidth="1"/>
    <col min="2622" max="2622" width="15.44140625" customWidth="1"/>
    <col min="2623" max="2623" width="16.5546875" customWidth="1"/>
    <col min="2624" max="2624" width="22.44140625" bestFit="1" customWidth="1"/>
    <col min="2625" max="2625" width="30.44140625" bestFit="1" customWidth="1"/>
    <col min="2626" max="2626" width="12.44140625" bestFit="1" customWidth="1"/>
    <col min="2627" max="2627" width="21.44140625" bestFit="1" customWidth="1"/>
    <col min="2628" max="2628" width="13.44140625" customWidth="1"/>
    <col min="2629" max="2629" width="16.5546875" customWidth="1"/>
    <col min="2864" max="2864" width="6.44140625" customWidth="1"/>
    <col min="2865" max="2865" width="8.5546875" customWidth="1"/>
    <col min="2866" max="2866" width="48.5546875" bestFit="1" customWidth="1"/>
    <col min="2867" max="2867" width="18.44140625" customWidth="1"/>
    <col min="2868" max="2868" width="20" customWidth="1"/>
    <col min="2869" max="2869" width="17.44140625" customWidth="1"/>
    <col min="2870" max="2870" width="16.5546875" customWidth="1"/>
    <col min="2871" max="2872" width="17.44140625" customWidth="1"/>
    <col min="2873" max="2873" width="18.44140625" customWidth="1"/>
    <col min="2874" max="2874" width="17.5546875" customWidth="1"/>
    <col min="2875" max="2875" width="14.5546875" customWidth="1"/>
    <col min="2876" max="2876" width="17.5546875" customWidth="1"/>
    <col min="2877" max="2877" width="18.5546875" customWidth="1"/>
    <col min="2878" max="2878" width="15.44140625" customWidth="1"/>
    <col min="2879" max="2879" width="16.5546875" customWidth="1"/>
    <col min="2880" max="2880" width="22.44140625" bestFit="1" customWidth="1"/>
    <col min="2881" max="2881" width="30.44140625" bestFit="1" customWidth="1"/>
    <col min="2882" max="2882" width="12.44140625" bestFit="1" customWidth="1"/>
    <col min="2883" max="2883" width="21.44140625" bestFit="1" customWidth="1"/>
    <col min="2884" max="2884" width="13.44140625" customWidth="1"/>
    <col min="2885" max="2885" width="16.5546875" customWidth="1"/>
    <col min="3120" max="3120" width="6.44140625" customWidth="1"/>
    <col min="3121" max="3121" width="8.5546875" customWidth="1"/>
    <col min="3122" max="3122" width="48.5546875" bestFit="1" customWidth="1"/>
    <col min="3123" max="3123" width="18.44140625" customWidth="1"/>
    <col min="3124" max="3124" width="20" customWidth="1"/>
    <col min="3125" max="3125" width="17.44140625" customWidth="1"/>
    <col min="3126" max="3126" width="16.5546875" customWidth="1"/>
    <col min="3127" max="3128" width="17.44140625" customWidth="1"/>
    <col min="3129" max="3129" width="18.44140625" customWidth="1"/>
    <col min="3130" max="3130" width="17.5546875" customWidth="1"/>
    <col min="3131" max="3131" width="14.5546875" customWidth="1"/>
    <col min="3132" max="3132" width="17.5546875" customWidth="1"/>
    <col min="3133" max="3133" width="18.5546875" customWidth="1"/>
    <col min="3134" max="3134" width="15.44140625" customWidth="1"/>
    <col min="3135" max="3135" width="16.5546875" customWidth="1"/>
    <col min="3136" max="3136" width="22.44140625" bestFit="1" customWidth="1"/>
    <col min="3137" max="3137" width="30.44140625" bestFit="1" customWidth="1"/>
    <col min="3138" max="3138" width="12.44140625" bestFit="1" customWidth="1"/>
    <col min="3139" max="3139" width="21.44140625" bestFit="1" customWidth="1"/>
    <col min="3140" max="3140" width="13.44140625" customWidth="1"/>
    <col min="3141" max="3141" width="16.5546875" customWidth="1"/>
    <col min="3376" max="3376" width="6.44140625" customWidth="1"/>
    <col min="3377" max="3377" width="8.5546875" customWidth="1"/>
    <col min="3378" max="3378" width="48.5546875" bestFit="1" customWidth="1"/>
    <col min="3379" max="3379" width="18.44140625" customWidth="1"/>
    <col min="3380" max="3380" width="20" customWidth="1"/>
    <col min="3381" max="3381" width="17.44140625" customWidth="1"/>
    <col min="3382" max="3382" width="16.5546875" customWidth="1"/>
    <col min="3383" max="3384" width="17.44140625" customWidth="1"/>
    <col min="3385" max="3385" width="18.44140625" customWidth="1"/>
    <col min="3386" max="3386" width="17.5546875" customWidth="1"/>
    <col min="3387" max="3387" width="14.5546875" customWidth="1"/>
    <col min="3388" max="3388" width="17.5546875" customWidth="1"/>
    <col min="3389" max="3389" width="18.5546875" customWidth="1"/>
    <col min="3390" max="3390" width="15.44140625" customWidth="1"/>
    <col min="3391" max="3391" width="16.5546875" customWidth="1"/>
    <col min="3392" max="3392" width="22.44140625" bestFit="1" customWidth="1"/>
    <col min="3393" max="3393" width="30.44140625" bestFit="1" customWidth="1"/>
    <col min="3394" max="3394" width="12.44140625" bestFit="1" customWidth="1"/>
    <col min="3395" max="3395" width="21.44140625" bestFit="1" customWidth="1"/>
    <col min="3396" max="3396" width="13.44140625" customWidth="1"/>
    <col min="3397" max="3397" width="16.5546875" customWidth="1"/>
    <col min="3632" max="3632" width="6.44140625" customWidth="1"/>
    <col min="3633" max="3633" width="8.5546875" customWidth="1"/>
    <col min="3634" max="3634" width="48.5546875" bestFit="1" customWidth="1"/>
    <col min="3635" max="3635" width="18.44140625" customWidth="1"/>
    <col min="3636" max="3636" width="20" customWidth="1"/>
    <col min="3637" max="3637" width="17.44140625" customWidth="1"/>
    <col min="3638" max="3638" width="16.5546875" customWidth="1"/>
    <col min="3639" max="3640" width="17.44140625" customWidth="1"/>
    <col min="3641" max="3641" width="18.44140625" customWidth="1"/>
    <col min="3642" max="3642" width="17.5546875" customWidth="1"/>
    <col min="3643" max="3643" width="14.5546875" customWidth="1"/>
    <col min="3644" max="3644" width="17.5546875" customWidth="1"/>
    <col min="3645" max="3645" width="18.5546875" customWidth="1"/>
    <col min="3646" max="3646" width="15.44140625" customWidth="1"/>
    <col min="3647" max="3647" width="16.5546875" customWidth="1"/>
    <col min="3648" max="3648" width="22.44140625" bestFit="1" customWidth="1"/>
    <col min="3649" max="3649" width="30.44140625" bestFit="1" customWidth="1"/>
    <col min="3650" max="3650" width="12.44140625" bestFit="1" customWidth="1"/>
    <col min="3651" max="3651" width="21.44140625" bestFit="1" customWidth="1"/>
    <col min="3652" max="3652" width="13.44140625" customWidth="1"/>
    <col min="3653" max="3653" width="16.5546875" customWidth="1"/>
    <col min="3888" max="3888" width="6.44140625" customWidth="1"/>
    <col min="3889" max="3889" width="8.5546875" customWidth="1"/>
    <col min="3890" max="3890" width="48.5546875" bestFit="1" customWidth="1"/>
    <col min="3891" max="3891" width="18.44140625" customWidth="1"/>
    <col min="3892" max="3892" width="20" customWidth="1"/>
    <col min="3893" max="3893" width="17.44140625" customWidth="1"/>
    <col min="3894" max="3894" width="16.5546875" customWidth="1"/>
    <col min="3895" max="3896" width="17.44140625" customWidth="1"/>
    <col min="3897" max="3897" width="18.44140625" customWidth="1"/>
    <col min="3898" max="3898" width="17.5546875" customWidth="1"/>
    <col min="3899" max="3899" width="14.5546875" customWidth="1"/>
    <col min="3900" max="3900" width="17.5546875" customWidth="1"/>
    <col min="3901" max="3901" width="18.5546875" customWidth="1"/>
    <col min="3902" max="3902" width="15.44140625" customWidth="1"/>
    <col min="3903" max="3903" width="16.5546875" customWidth="1"/>
    <col min="3904" max="3904" width="22.44140625" bestFit="1" customWidth="1"/>
    <col min="3905" max="3905" width="30.44140625" bestFit="1" customWidth="1"/>
    <col min="3906" max="3906" width="12.44140625" bestFit="1" customWidth="1"/>
    <col min="3907" max="3907" width="21.44140625" bestFit="1" customWidth="1"/>
    <col min="3908" max="3908" width="13.44140625" customWidth="1"/>
    <col min="3909" max="3909" width="16.5546875" customWidth="1"/>
    <col min="4144" max="4144" width="6.44140625" customWidth="1"/>
    <col min="4145" max="4145" width="8.5546875" customWidth="1"/>
    <col min="4146" max="4146" width="48.5546875" bestFit="1" customWidth="1"/>
    <col min="4147" max="4147" width="18.44140625" customWidth="1"/>
    <col min="4148" max="4148" width="20" customWidth="1"/>
    <col min="4149" max="4149" width="17.44140625" customWidth="1"/>
    <col min="4150" max="4150" width="16.5546875" customWidth="1"/>
    <col min="4151" max="4152" width="17.44140625" customWidth="1"/>
    <col min="4153" max="4153" width="18.44140625" customWidth="1"/>
    <col min="4154" max="4154" width="17.5546875" customWidth="1"/>
    <col min="4155" max="4155" width="14.5546875" customWidth="1"/>
    <col min="4156" max="4156" width="17.5546875" customWidth="1"/>
    <col min="4157" max="4157" width="18.5546875" customWidth="1"/>
    <col min="4158" max="4158" width="15.44140625" customWidth="1"/>
    <col min="4159" max="4159" width="16.5546875" customWidth="1"/>
    <col min="4160" max="4160" width="22.44140625" bestFit="1" customWidth="1"/>
    <col min="4161" max="4161" width="30.44140625" bestFit="1" customWidth="1"/>
    <col min="4162" max="4162" width="12.44140625" bestFit="1" customWidth="1"/>
    <col min="4163" max="4163" width="21.44140625" bestFit="1" customWidth="1"/>
    <col min="4164" max="4164" width="13.44140625" customWidth="1"/>
    <col min="4165" max="4165" width="16.5546875" customWidth="1"/>
    <col min="4400" max="4400" width="6.44140625" customWidth="1"/>
    <col min="4401" max="4401" width="8.5546875" customWidth="1"/>
    <col min="4402" max="4402" width="48.5546875" bestFit="1" customWidth="1"/>
    <col min="4403" max="4403" width="18.44140625" customWidth="1"/>
    <col min="4404" max="4404" width="20" customWidth="1"/>
    <col min="4405" max="4405" width="17.44140625" customWidth="1"/>
    <col min="4406" max="4406" width="16.5546875" customWidth="1"/>
    <col min="4407" max="4408" width="17.44140625" customWidth="1"/>
    <col min="4409" max="4409" width="18.44140625" customWidth="1"/>
    <col min="4410" max="4410" width="17.5546875" customWidth="1"/>
    <col min="4411" max="4411" width="14.5546875" customWidth="1"/>
    <col min="4412" max="4412" width="17.5546875" customWidth="1"/>
    <col min="4413" max="4413" width="18.5546875" customWidth="1"/>
    <col min="4414" max="4414" width="15.44140625" customWidth="1"/>
    <col min="4415" max="4415" width="16.5546875" customWidth="1"/>
    <col min="4416" max="4416" width="22.44140625" bestFit="1" customWidth="1"/>
    <col min="4417" max="4417" width="30.44140625" bestFit="1" customWidth="1"/>
    <col min="4418" max="4418" width="12.44140625" bestFit="1" customWidth="1"/>
    <col min="4419" max="4419" width="21.44140625" bestFit="1" customWidth="1"/>
    <col min="4420" max="4420" width="13.44140625" customWidth="1"/>
    <col min="4421" max="4421" width="16.5546875" customWidth="1"/>
    <col min="4656" max="4656" width="6.44140625" customWidth="1"/>
    <col min="4657" max="4657" width="8.5546875" customWidth="1"/>
    <col min="4658" max="4658" width="48.5546875" bestFit="1" customWidth="1"/>
    <col min="4659" max="4659" width="18.44140625" customWidth="1"/>
    <col min="4660" max="4660" width="20" customWidth="1"/>
    <col min="4661" max="4661" width="17.44140625" customWidth="1"/>
    <col min="4662" max="4662" width="16.5546875" customWidth="1"/>
    <col min="4663" max="4664" width="17.44140625" customWidth="1"/>
    <col min="4665" max="4665" width="18.44140625" customWidth="1"/>
    <col min="4666" max="4666" width="17.5546875" customWidth="1"/>
    <col min="4667" max="4667" width="14.5546875" customWidth="1"/>
    <col min="4668" max="4668" width="17.5546875" customWidth="1"/>
    <col min="4669" max="4669" width="18.5546875" customWidth="1"/>
    <col min="4670" max="4670" width="15.44140625" customWidth="1"/>
    <col min="4671" max="4671" width="16.5546875" customWidth="1"/>
    <col min="4672" max="4672" width="22.44140625" bestFit="1" customWidth="1"/>
    <col min="4673" max="4673" width="30.44140625" bestFit="1" customWidth="1"/>
    <col min="4674" max="4674" width="12.44140625" bestFit="1" customWidth="1"/>
    <col min="4675" max="4675" width="21.44140625" bestFit="1" customWidth="1"/>
    <col min="4676" max="4676" width="13.44140625" customWidth="1"/>
    <col min="4677" max="4677" width="16.5546875" customWidth="1"/>
    <col min="4912" max="4912" width="6.44140625" customWidth="1"/>
    <col min="4913" max="4913" width="8.5546875" customWidth="1"/>
    <col min="4914" max="4914" width="48.5546875" bestFit="1" customWidth="1"/>
    <col min="4915" max="4915" width="18.44140625" customWidth="1"/>
    <col min="4916" max="4916" width="20" customWidth="1"/>
    <col min="4917" max="4917" width="17.44140625" customWidth="1"/>
    <col min="4918" max="4918" width="16.5546875" customWidth="1"/>
    <col min="4919" max="4920" width="17.44140625" customWidth="1"/>
    <col min="4921" max="4921" width="18.44140625" customWidth="1"/>
    <col min="4922" max="4922" width="17.5546875" customWidth="1"/>
    <col min="4923" max="4923" width="14.5546875" customWidth="1"/>
    <col min="4924" max="4924" width="17.5546875" customWidth="1"/>
    <col min="4925" max="4925" width="18.5546875" customWidth="1"/>
    <col min="4926" max="4926" width="15.44140625" customWidth="1"/>
    <col min="4927" max="4927" width="16.5546875" customWidth="1"/>
    <col min="4928" max="4928" width="22.44140625" bestFit="1" customWidth="1"/>
    <col min="4929" max="4929" width="30.44140625" bestFit="1" customWidth="1"/>
    <col min="4930" max="4930" width="12.44140625" bestFit="1" customWidth="1"/>
    <col min="4931" max="4931" width="21.44140625" bestFit="1" customWidth="1"/>
    <col min="4932" max="4932" width="13.44140625" customWidth="1"/>
    <col min="4933" max="4933" width="16.5546875" customWidth="1"/>
    <col min="5168" max="5168" width="6.44140625" customWidth="1"/>
    <col min="5169" max="5169" width="8.5546875" customWidth="1"/>
    <col min="5170" max="5170" width="48.5546875" bestFit="1" customWidth="1"/>
    <col min="5171" max="5171" width="18.44140625" customWidth="1"/>
    <col min="5172" max="5172" width="20" customWidth="1"/>
    <col min="5173" max="5173" width="17.44140625" customWidth="1"/>
    <col min="5174" max="5174" width="16.5546875" customWidth="1"/>
    <col min="5175" max="5176" width="17.44140625" customWidth="1"/>
    <col min="5177" max="5177" width="18.44140625" customWidth="1"/>
    <col min="5178" max="5178" width="17.5546875" customWidth="1"/>
    <col min="5179" max="5179" width="14.5546875" customWidth="1"/>
    <col min="5180" max="5180" width="17.5546875" customWidth="1"/>
    <col min="5181" max="5181" width="18.5546875" customWidth="1"/>
    <col min="5182" max="5182" width="15.44140625" customWidth="1"/>
    <col min="5183" max="5183" width="16.5546875" customWidth="1"/>
    <col min="5184" max="5184" width="22.44140625" bestFit="1" customWidth="1"/>
    <col min="5185" max="5185" width="30.44140625" bestFit="1" customWidth="1"/>
    <col min="5186" max="5186" width="12.44140625" bestFit="1" customWidth="1"/>
    <col min="5187" max="5187" width="21.44140625" bestFit="1" customWidth="1"/>
    <col min="5188" max="5188" width="13.44140625" customWidth="1"/>
    <col min="5189" max="5189" width="16.5546875" customWidth="1"/>
    <col min="5424" max="5424" width="6.44140625" customWidth="1"/>
    <col min="5425" max="5425" width="8.5546875" customWidth="1"/>
    <col min="5426" max="5426" width="48.5546875" bestFit="1" customWidth="1"/>
    <col min="5427" max="5427" width="18.44140625" customWidth="1"/>
    <col min="5428" max="5428" width="20" customWidth="1"/>
    <col min="5429" max="5429" width="17.44140625" customWidth="1"/>
    <col min="5430" max="5430" width="16.5546875" customWidth="1"/>
    <col min="5431" max="5432" width="17.44140625" customWidth="1"/>
    <col min="5433" max="5433" width="18.44140625" customWidth="1"/>
    <col min="5434" max="5434" width="17.5546875" customWidth="1"/>
    <col min="5435" max="5435" width="14.5546875" customWidth="1"/>
    <col min="5436" max="5436" width="17.5546875" customWidth="1"/>
    <col min="5437" max="5437" width="18.5546875" customWidth="1"/>
    <col min="5438" max="5438" width="15.44140625" customWidth="1"/>
    <col min="5439" max="5439" width="16.5546875" customWidth="1"/>
    <col min="5440" max="5440" width="22.44140625" bestFit="1" customWidth="1"/>
    <col min="5441" max="5441" width="30.44140625" bestFit="1" customWidth="1"/>
    <col min="5442" max="5442" width="12.44140625" bestFit="1" customWidth="1"/>
    <col min="5443" max="5443" width="21.44140625" bestFit="1" customWidth="1"/>
    <col min="5444" max="5444" width="13.44140625" customWidth="1"/>
    <col min="5445" max="5445" width="16.5546875" customWidth="1"/>
    <col min="5680" max="5680" width="6.44140625" customWidth="1"/>
    <col min="5681" max="5681" width="8.5546875" customWidth="1"/>
    <col min="5682" max="5682" width="48.5546875" bestFit="1" customWidth="1"/>
    <col min="5683" max="5683" width="18.44140625" customWidth="1"/>
    <col min="5684" max="5684" width="20" customWidth="1"/>
    <col min="5685" max="5685" width="17.44140625" customWidth="1"/>
    <col min="5686" max="5686" width="16.5546875" customWidth="1"/>
    <col min="5687" max="5688" width="17.44140625" customWidth="1"/>
    <col min="5689" max="5689" width="18.44140625" customWidth="1"/>
    <col min="5690" max="5690" width="17.5546875" customWidth="1"/>
    <col min="5691" max="5691" width="14.5546875" customWidth="1"/>
    <col min="5692" max="5692" width="17.5546875" customWidth="1"/>
    <col min="5693" max="5693" width="18.5546875" customWidth="1"/>
    <col min="5694" max="5694" width="15.44140625" customWidth="1"/>
    <col min="5695" max="5695" width="16.5546875" customWidth="1"/>
    <col min="5696" max="5696" width="22.44140625" bestFit="1" customWidth="1"/>
    <col min="5697" max="5697" width="30.44140625" bestFit="1" customWidth="1"/>
    <col min="5698" max="5698" width="12.44140625" bestFit="1" customWidth="1"/>
    <col min="5699" max="5699" width="21.44140625" bestFit="1" customWidth="1"/>
    <col min="5700" max="5700" width="13.44140625" customWidth="1"/>
    <col min="5701" max="5701" width="16.5546875" customWidth="1"/>
    <col min="5936" max="5936" width="6.44140625" customWidth="1"/>
    <col min="5937" max="5937" width="8.5546875" customWidth="1"/>
    <col min="5938" max="5938" width="48.5546875" bestFit="1" customWidth="1"/>
    <col min="5939" max="5939" width="18.44140625" customWidth="1"/>
    <col min="5940" max="5940" width="20" customWidth="1"/>
    <col min="5941" max="5941" width="17.44140625" customWidth="1"/>
    <col min="5942" max="5942" width="16.5546875" customWidth="1"/>
    <col min="5943" max="5944" width="17.44140625" customWidth="1"/>
    <col min="5945" max="5945" width="18.44140625" customWidth="1"/>
    <col min="5946" max="5946" width="17.5546875" customWidth="1"/>
    <col min="5947" max="5947" width="14.5546875" customWidth="1"/>
    <col min="5948" max="5948" width="17.5546875" customWidth="1"/>
    <col min="5949" max="5949" width="18.5546875" customWidth="1"/>
    <col min="5950" max="5950" width="15.44140625" customWidth="1"/>
    <col min="5951" max="5951" width="16.5546875" customWidth="1"/>
    <col min="5952" max="5952" width="22.44140625" bestFit="1" customWidth="1"/>
    <col min="5953" max="5953" width="30.44140625" bestFit="1" customWidth="1"/>
    <col min="5954" max="5954" width="12.44140625" bestFit="1" customWidth="1"/>
    <col min="5955" max="5955" width="21.44140625" bestFit="1" customWidth="1"/>
    <col min="5956" max="5956" width="13.44140625" customWidth="1"/>
    <col min="5957" max="5957" width="16.5546875" customWidth="1"/>
    <col min="6192" max="6192" width="6.44140625" customWidth="1"/>
    <col min="6193" max="6193" width="8.5546875" customWidth="1"/>
    <col min="6194" max="6194" width="48.5546875" bestFit="1" customWidth="1"/>
    <col min="6195" max="6195" width="18.44140625" customWidth="1"/>
    <col min="6196" max="6196" width="20" customWidth="1"/>
    <col min="6197" max="6197" width="17.44140625" customWidth="1"/>
    <col min="6198" max="6198" width="16.5546875" customWidth="1"/>
    <col min="6199" max="6200" width="17.44140625" customWidth="1"/>
    <col min="6201" max="6201" width="18.44140625" customWidth="1"/>
    <col min="6202" max="6202" width="17.5546875" customWidth="1"/>
    <col min="6203" max="6203" width="14.5546875" customWidth="1"/>
    <col min="6204" max="6204" width="17.5546875" customWidth="1"/>
    <col min="6205" max="6205" width="18.5546875" customWidth="1"/>
    <col min="6206" max="6206" width="15.44140625" customWidth="1"/>
    <col min="6207" max="6207" width="16.5546875" customWidth="1"/>
    <col min="6208" max="6208" width="22.44140625" bestFit="1" customWidth="1"/>
    <col min="6209" max="6209" width="30.44140625" bestFit="1" customWidth="1"/>
    <col min="6210" max="6210" width="12.44140625" bestFit="1" customWidth="1"/>
    <col min="6211" max="6211" width="21.44140625" bestFit="1" customWidth="1"/>
    <col min="6212" max="6212" width="13.44140625" customWidth="1"/>
    <col min="6213" max="6213" width="16.5546875" customWidth="1"/>
    <col min="6448" max="6448" width="6.44140625" customWidth="1"/>
    <col min="6449" max="6449" width="8.5546875" customWidth="1"/>
    <col min="6450" max="6450" width="48.5546875" bestFit="1" customWidth="1"/>
    <col min="6451" max="6451" width="18.44140625" customWidth="1"/>
    <col min="6452" max="6452" width="20" customWidth="1"/>
    <col min="6453" max="6453" width="17.44140625" customWidth="1"/>
    <col min="6454" max="6454" width="16.5546875" customWidth="1"/>
    <col min="6455" max="6456" width="17.44140625" customWidth="1"/>
    <col min="6457" max="6457" width="18.44140625" customWidth="1"/>
    <col min="6458" max="6458" width="17.5546875" customWidth="1"/>
    <col min="6459" max="6459" width="14.5546875" customWidth="1"/>
    <col min="6460" max="6460" width="17.5546875" customWidth="1"/>
    <col min="6461" max="6461" width="18.5546875" customWidth="1"/>
    <col min="6462" max="6462" width="15.44140625" customWidth="1"/>
    <col min="6463" max="6463" width="16.5546875" customWidth="1"/>
    <col min="6464" max="6464" width="22.44140625" bestFit="1" customWidth="1"/>
    <col min="6465" max="6465" width="30.44140625" bestFit="1" customWidth="1"/>
    <col min="6466" max="6466" width="12.44140625" bestFit="1" customWidth="1"/>
    <col min="6467" max="6467" width="21.44140625" bestFit="1" customWidth="1"/>
    <col min="6468" max="6468" width="13.44140625" customWidth="1"/>
    <col min="6469" max="6469" width="16.5546875" customWidth="1"/>
    <col min="6704" max="6704" width="6.44140625" customWidth="1"/>
    <col min="6705" max="6705" width="8.5546875" customWidth="1"/>
    <col min="6706" max="6706" width="48.5546875" bestFit="1" customWidth="1"/>
    <col min="6707" max="6707" width="18.44140625" customWidth="1"/>
    <col min="6708" max="6708" width="20" customWidth="1"/>
    <col min="6709" max="6709" width="17.44140625" customWidth="1"/>
    <col min="6710" max="6710" width="16.5546875" customWidth="1"/>
    <col min="6711" max="6712" width="17.44140625" customWidth="1"/>
    <col min="6713" max="6713" width="18.44140625" customWidth="1"/>
    <col min="6714" max="6714" width="17.5546875" customWidth="1"/>
    <col min="6715" max="6715" width="14.5546875" customWidth="1"/>
    <col min="6716" max="6716" width="17.5546875" customWidth="1"/>
    <col min="6717" max="6717" width="18.5546875" customWidth="1"/>
    <col min="6718" max="6718" width="15.44140625" customWidth="1"/>
    <col min="6719" max="6719" width="16.5546875" customWidth="1"/>
    <col min="6720" max="6720" width="22.44140625" bestFit="1" customWidth="1"/>
    <col min="6721" max="6721" width="30.44140625" bestFit="1" customWidth="1"/>
    <col min="6722" max="6722" width="12.44140625" bestFit="1" customWidth="1"/>
    <col min="6723" max="6723" width="21.44140625" bestFit="1" customWidth="1"/>
    <col min="6724" max="6724" width="13.44140625" customWidth="1"/>
    <col min="6725" max="6725" width="16.5546875" customWidth="1"/>
    <col min="6960" max="6960" width="6.44140625" customWidth="1"/>
    <col min="6961" max="6961" width="8.5546875" customWidth="1"/>
    <col min="6962" max="6962" width="48.5546875" bestFit="1" customWidth="1"/>
    <col min="6963" max="6963" width="18.44140625" customWidth="1"/>
    <col min="6964" max="6964" width="20" customWidth="1"/>
    <col min="6965" max="6965" width="17.44140625" customWidth="1"/>
    <col min="6966" max="6966" width="16.5546875" customWidth="1"/>
    <col min="6967" max="6968" width="17.44140625" customWidth="1"/>
    <col min="6969" max="6969" width="18.44140625" customWidth="1"/>
    <col min="6970" max="6970" width="17.5546875" customWidth="1"/>
    <col min="6971" max="6971" width="14.5546875" customWidth="1"/>
    <col min="6972" max="6972" width="17.5546875" customWidth="1"/>
    <col min="6973" max="6973" width="18.5546875" customWidth="1"/>
    <col min="6974" max="6974" width="15.44140625" customWidth="1"/>
    <col min="6975" max="6975" width="16.5546875" customWidth="1"/>
    <col min="6976" max="6976" width="22.44140625" bestFit="1" customWidth="1"/>
    <col min="6977" max="6977" width="30.44140625" bestFit="1" customWidth="1"/>
    <col min="6978" max="6978" width="12.44140625" bestFit="1" customWidth="1"/>
    <col min="6979" max="6979" width="21.44140625" bestFit="1" customWidth="1"/>
    <col min="6980" max="6980" width="13.44140625" customWidth="1"/>
    <col min="6981" max="6981" width="16.5546875" customWidth="1"/>
    <col min="7216" max="7216" width="6.44140625" customWidth="1"/>
    <col min="7217" max="7217" width="8.5546875" customWidth="1"/>
    <col min="7218" max="7218" width="48.5546875" bestFit="1" customWidth="1"/>
    <col min="7219" max="7219" width="18.44140625" customWidth="1"/>
    <col min="7220" max="7220" width="20" customWidth="1"/>
    <col min="7221" max="7221" width="17.44140625" customWidth="1"/>
    <col min="7222" max="7222" width="16.5546875" customWidth="1"/>
    <col min="7223" max="7224" width="17.44140625" customWidth="1"/>
    <col min="7225" max="7225" width="18.44140625" customWidth="1"/>
    <col min="7226" max="7226" width="17.5546875" customWidth="1"/>
    <col min="7227" max="7227" width="14.5546875" customWidth="1"/>
    <col min="7228" max="7228" width="17.5546875" customWidth="1"/>
    <col min="7229" max="7229" width="18.5546875" customWidth="1"/>
    <col min="7230" max="7230" width="15.44140625" customWidth="1"/>
    <col min="7231" max="7231" width="16.5546875" customWidth="1"/>
    <col min="7232" max="7232" width="22.44140625" bestFit="1" customWidth="1"/>
    <col min="7233" max="7233" width="30.44140625" bestFit="1" customWidth="1"/>
    <col min="7234" max="7234" width="12.44140625" bestFit="1" customWidth="1"/>
    <col min="7235" max="7235" width="21.44140625" bestFit="1" customWidth="1"/>
    <col min="7236" max="7236" width="13.44140625" customWidth="1"/>
    <col min="7237" max="7237" width="16.5546875" customWidth="1"/>
    <col min="7472" max="7472" width="6.44140625" customWidth="1"/>
    <col min="7473" max="7473" width="8.5546875" customWidth="1"/>
    <col min="7474" max="7474" width="48.5546875" bestFit="1" customWidth="1"/>
    <col min="7475" max="7475" width="18.44140625" customWidth="1"/>
    <col min="7476" max="7476" width="20" customWidth="1"/>
    <col min="7477" max="7477" width="17.44140625" customWidth="1"/>
    <col min="7478" max="7478" width="16.5546875" customWidth="1"/>
    <col min="7479" max="7480" width="17.44140625" customWidth="1"/>
    <col min="7481" max="7481" width="18.44140625" customWidth="1"/>
    <col min="7482" max="7482" width="17.5546875" customWidth="1"/>
    <col min="7483" max="7483" width="14.5546875" customWidth="1"/>
    <col min="7484" max="7484" width="17.5546875" customWidth="1"/>
    <col min="7485" max="7485" width="18.5546875" customWidth="1"/>
    <col min="7486" max="7486" width="15.44140625" customWidth="1"/>
    <col min="7487" max="7487" width="16.5546875" customWidth="1"/>
    <col min="7488" max="7488" width="22.44140625" bestFit="1" customWidth="1"/>
    <col min="7489" max="7489" width="30.44140625" bestFit="1" customWidth="1"/>
    <col min="7490" max="7490" width="12.44140625" bestFit="1" customWidth="1"/>
    <col min="7491" max="7491" width="21.44140625" bestFit="1" customWidth="1"/>
    <col min="7492" max="7492" width="13.44140625" customWidth="1"/>
    <col min="7493" max="7493" width="16.5546875" customWidth="1"/>
    <col min="7728" max="7728" width="6.44140625" customWidth="1"/>
    <col min="7729" max="7729" width="8.5546875" customWidth="1"/>
    <col min="7730" max="7730" width="48.5546875" bestFit="1" customWidth="1"/>
    <col min="7731" max="7731" width="18.44140625" customWidth="1"/>
    <col min="7732" max="7732" width="20" customWidth="1"/>
    <col min="7733" max="7733" width="17.44140625" customWidth="1"/>
    <col min="7734" max="7734" width="16.5546875" customWidth="1"/>
    <col min="7735" max="7736" width="17.44140625" customWidth="1"/>
    <col min="7737" max="7737" width="18.44140625" customWidth="1"/>
    <col min="7738" max="7738" width="17.5546875" customWidth="1"/>
    <col min="7739" max="7739" width="14.5546875" customWidth="1"/>
    <col min="7740" max="7740" width="17.5546875" customWidth="1"/>
    <col min="7741" max="7741" width="18.5546875" customWidth="1"/>
    <col min="7742" max="7742" width="15.44140625" customWidth="1"/>
    <col min="7743" max="7743" width="16.5546875" customWidth="1"/>
    <col min="7744" max="7744" width="22.44140625" bestFit="1" customWidth="1"/>
    <col min="7745" max="7745" width="30.44140625" bestFit="1" customWidth="1"/>
    <col min="7746" max="7746" width="12.44140625" bestFit="1" customWidth="1"/>
    <col min="7747" max="7747" width="21.44140625" bestFit="1" customWidth="1"/>
    <col min="7748" max="7748" width="13.44140625" customWidth="1"/>
    <col min="7749" max="7749" width="16.5546875" customWidth="1"/>
    <col min="7984" max="7984" width="6.44140625" customWidth="1"/>
    <col min="7985" max="7985" width="8.5546875" customWidth="1"/>
    <col min="7986" max="7986" width="48.5546875" bestFit="1" customWidth="1"/>
    <col min="7987" max="7987" width="18.44140625" customWidth="1"/>
    <col min="7988" max="7988" width="20" customWidth="1"/>
    <col min="7989" max="7989" width="17.44140625" customWidth="1"/>
    <col min="7990" max="7990" width="16.5546875" customWidth="1"/>
    <col min="7991" max="7992" width="17.44140625" customWidth="1"/>
    <col min="7993" max="7993" width="18.44140625" customWidth="1"/>
    <col min="7994" max="7994" width="17.5546875" customWidth="1"/>
    <col min="7995" max="7995" width="14.5546875" customWidth="1"/>
    <col min="7996" max="7996" width="17.5546875" customWidth="1"/>
    <col min="7997" max="7997" width="18.5546875" customWidth="1"/>
    <col min="7998" max="7998" width="15.44140625" customWidth="1"/>
    <col min="7999" max="7999" width="16.5546875" customWidth="1"/>
    <col min="8000" max="8000" width="22.44140625" bestFit="1" customWidth="1"/>
    <col min="8001" max="8001" width="30.44140625" bestFit="1" customWidth="1"/>
    <col min="8002" max="8002" width="12.44140625" bestFit="1" customWidth="1"/>
    <col min="8003" max="8003" width="21.44140625" bestFit="1" customWidth="1"/>
    <col min="8004" max="8004" width="13.44140625" customWidth="1"/>
    <col min="8005" max="8005" width="16.5546875" customWidth="1"/>
    <col min="8240" max="8240" width="6.44140625" customWidth="1"/>
    <col min="8241" max="8241" width="8.5546875" customWidth="1"/>
    <col min="8242" max="8242" width="48.5546875" bestFit="1" customWidth="1"/>
    <col min="8243" max="8243" width="18.44140625" customWidth="1"/>
    <col min="8244" max="8244" width="20" customWidth="1"/>
    <col min="8245" max="8245" width="17.44140625" customWidth="1"/>
    <col min="8246" max="8246" width="16.5546875" customWidth="1"/>
    <col min="8247" max="8248" width="17.44140625" customWidth="1"/>
    <col min="8249" max="8249" width="18.44140625" customWidth="1"/>
    <col min="8250" max="8250" width="17.5546875" customWidth="1"/>
    <col min="8251" max="8251" width="14.5546875" customWidth="1"/>
    <col min="8252" max="8252" width="17.5546875" customWidth="1"/>
    <col min="8253" max="8253" width="18.5546875" customWidth="1"/>
    <col min="8254" max="8254" width="15.44140625" customWidth="1"/>
    <col min="8255" max="8255" width="16.5546875" customWidth="1"/>
    <col min="8256" max="8256" width="22.44140625" bestFit="1" customWidth="1"/>
    <col min="8257" max="8257" width="30.44140625" bestFit="1" customWidth="1"/>
    <col min="8258" max="8258" width="12.44140625" bestFit="1" customWidth="1"/>
    <col min="8259" max="8259" width="21.44140625" bestFit="1" customWidth="1"/>
    <col min="8260" max="8260" width="13.44140625" customWidth="1"/>
    <col min="8261" max="8261" width="16.5546875" customWidth="1"/>
    <col min="8496" max="8496" width="6.44140625" customWidth="1"/>
    <col min="8497" max="8497" width="8.5546875" customWidth="1"/>
    <col min="8498" max="8498" width="48.5546875" bestFit="1" customWidth="1"/>
    <col min="8499" max="8499" width="18.44140625" customWidth="1"/>
    <col min="8500" max="8500" width="20" customWidth="1"/>
    <col min="8501" max="8501" width="17.44140625" customWidth="1"/>
    <col min="8502" max="8502" width="16.5546875" customWidth="1"/>
    <col min="8503" max="8504" width="17.44140625" customWidth="1"/>
    <col min="8505" max="8505" width="18.44140625" customWidth="1"/>
    <col min="8506" max="8506" width="17.5546875" customWidth="1"/>
    <col min="8507" max="8507" width="14.5546875" customWidth="1"/>
    <col min="8508" max="8508" width="17.5546875" customWidth="1"/>
    <col min="8509" max="8509" width="18.5546875" customWidth="1"/>
    <col min="8510" max="8510" width="15.44140625" customWidth="1"/>
    <col min="8511" max="8511" width="16.5546875" customWidth="1"/>
    <col min="8512" max="8512" width="22.44140625" bestFit="1" customWidth="1"/>
    <col min="8513" max="8513" width="30.44140625" bestFit="1" customWidth="1"/>
    <col min="8514" max="8514" width="12.44140625" bestFit="1" customWidth="1"/>
    <col min="8515" max="8515" width="21.44140625" bestFit="1" customWidth="1"/>
    <col min="8516" max="8516" width="13.44140625" customWidth="1"/>
    <col min="8517" max="8517" width="16.5546875" customWidth="1"/>
    <col min="8752" max="8752" width="6.44140625" customWidth="1"/>
    <col min="8753" max="8753" width="8.5546875" customWidth="1"/>
    <col min="8754" max="8754" width="48.5546875" bestFit="1" customWidth="1"/>
    <col min="8755" max="8755" width="18.44140625" customWidth="1"/>
    <col min="8756" max="8756" width="20" customWidth="1"/>
    <col min="8757" max="8757" width="17.44140625" customWidth="1"/>
    <col min="8758" max="8758" width="16.5546875" customWidth="1"/>
    <col min="8759" max="8760" width="17.44140625" customWidth="1"/>
    <col min="8761" max="8761" width="18.44140625" customWidth="1"/>
    <col min="8762" max="8762" width="17.5546875" customWidth="1"/>
    <col min="8763" max="8763" width="14.5546875" customWidth="1"/>
    <col min="8764" max="8764" width="17.5546875" customWidth="1"/>
    <col min="8765" max="8765" width="18.5546875" customWidth="1"/>
    <col min="8766" max="8766" width="15.44140625" customWidth="1"/>
    <col min="8767" max="8767" width="16.5546875" customWidth="1"/>
    <col min="8768" max="8768" width="22.44140625" bestFit="1" customWidth="1"/>
    <col min="8769" max="8769" width="30.44140625" bestFit="1" customWidth="1"/>
    <col min="8770" max="8770" width="12.44140625" bestFit="1" customWidth="1"/>
    <col min="8771" max="8771" width="21.44140625" bestFit="1" customWidth="1"/>
    <col min="8772" max="8772" width="13.44140625" customWidth="1"/>
    <col min="8773" max="8773" width="16.5546875" customWidth="1"/>
    <col min="9008" max="9008" width="6.44140625" customWidth="1"/>
    <col min="9009" max="9009" width="8.5546875" customWidth="1"/>
    <col min="9010" max="9010" width="48.5546875" bestFit="1" customWidth="1"/>
    <col min="9011" max="9011" width="18.44140625" customWidth="1"/>
    <col min="9012" max="9012" width="20" customWidth="1"/>
    <col min="9013" max="9013" width="17.44140625" customWidth="1"/>
    <col min="9014" max="9014" width="16.5546875" customWidth="1"/>
    <col min="9015" max="9016" width="17.44140625" customWidth="1"/>
    <col min="9017" max="9017" width="18.44140625" customWidth="1"/>
    <col min="9018" max="9018" width="17.5546875" customWidth="1"/>
    <col min="9019" max="9019" width="14.5546875" customWidth="1"/>
    <col min="9020" max="9020" width="17.5546875" customWidth="1"/>
    <col min="9021" max="9021" width="18.5546875" customWidth="1"/>
    <col min="9022" max="9022" width="15.44140625" customWidth="1"/>
    <col min="9023" max="9023" width="16.5546875" customWidth="1"/>
    <col min="9024" max="9024" width="22.44140625" bestFit="1" customWidth="1"/>
    <col min="9025" max="9025" width="30.44140625" bestFit="1" customWidth="1"/>
    <col min="9026" max="9026" width="12.44140625" bestFit="1" customWidth="1"/>
    <col min="9027" max="9027" width="21.44140625" bestFit="1" customWidth="1"/>
    <col min="9028" max="9028" width="13.44140625" customWidth="1"/>
    <col min="9029" max="9029" width="16.5546875" customWidth="1"/>
    <col min="9264" max="9264" width="6.44140625" customWidth="1"/>
    <col min="9265" max="9265" width="8.5546875" customWidth="1"/>
    <col min="9266" max="9266" width="48.5546875" bestFit="1" customWidth="1"/>
    <col min="9267" max="9267" width="18.44140625" customWidth="1"/>
    <col min="9268" max="9268" width="20" customWidth="1"/>
    <col min="9269" max="9269" width="17.44140625" customWidth="1"/>
    <col min="9270" max="9270" width="16.5546875" customWidth="1"/>
    <col min="9271" max="9272" width="17.44140625" customWidth="1"/>
    <col min="9273" max="9273" width="18.44140625" customWidth="1"/>
    <col min="9274" max="9274" width="17.5546875" customWidth="1"/>
    <col min="9275" max="9275" width="14.5546875" customWidth="1"/>
    <col min="9276" max="9276" width="17.5546875" customWidth="1"/>
    <col min="9277" max="9277" width="18.5546875" customWidth="1"/>
    <col min="9278" max="9278" width="15.44140625" customWidth="1"/>
    <col min="9279" max="9279" width="16.5546875" customWidth="1"/>
    <col min="9280" max="9280" width="22.44140625" bestFit="1" customWidth="1"/>
    <col min="9281" max="9281" width="30.44140625" bestFit="1" customWidth="1"/>
    <col min="9282" max="9282" width="12.44140625" bestFit="1" customWidth="1"/>
    <col min="9283" max="9283" width="21.44140625" bestFit="1" customWidth="1"/>
    <col min="9284" max="9284" width="13.44140625" customWidth="1"/>
    <col min="9285" max="9285" width="16.5546875" customWidth="1"/>
    <col min="9520" max="9520" width="6.44140625" customWidth="1"/>
    <col min="9521" max="9521" width="8.5546875" customWidth="1"/>
    <col min="9522" max="9522" width="48.5546875" bestFit="1" customWidth="1"/>
    <col min="9523" max="9523" width="18.44140625" customWidth="1"/>
    <col min="9524" max="9524" width="20" customWidth="1"/>
    <col min="9525" max="9525" width="17.44140625" customWidth="1"/>
    <col min="9526" max="9526" width="16.5546875" customWidth="1"/>
    <col min="9527" max="9528" width="17.44140625" customWidth="1"/>
    <col min="9529" max="9529" width="18.44140625" customWidth="1"/>
    <col min="9530" max="9530" width="17.5546875" customWidth="1"/>
    <col min="9531" max="9531" width="14.5546875" customWidth="1"/>
    <col min="9532" max="9532" width="17.5546875" customWidth="1"/>
    <col min="9533" max="9533" width="18.5546875" customWidth="1"/>
    <col min="9534" max="9534" width="15.44140625" customWidth="1"/>
    <col min="9535" max="9535" width="16.5546875" customWidth="1"/>
    <col min="9536" max="9536" width="22.44140625" bestFit="1" customWidth="1"/>
    <col min="9537" max="9537" width="30.44140625" bestFit="1" customWidth="1"/>
    <col min="9538" max="9538" width="12.44140625" bestFit="1" customWidth="1"/>
    <col min="9539" max="9539" width="21.44140625" bestFit="1" customWidth="1"/>
    <col min="9540" max="9540" width="13.44140625" customWidth="1"/>
    <col min="9541" max="9541" width="16.5546875" customWidth="1"/>
    <col min="9776" max="9776" width="6.44140625" customWidth="1"/>
    <col min="9777" max="9777" width="8.5546875" customWidth="1"/>
    <col min="9778" max="9778" width="48.5546875" bestFit="1" customWidth="1"/>
    <col min="9779" max="9779" width="18.44140625" customWidth="1"/>
    <col min="9780" max="9780" width="20" customWidth="1"/>
    <col min="9781" max="9781" width="17.44140625" customWidth="1"/>
    <col min="9782" max="9782" width="16.5546875" customWidth="1"/>
    <col min="9783" max="9784" width="17.44140625" customWidth="1"/>
    <col min="9785" max="9785" width="18.44140625" customWidth="1"/>
    <col min="9786" max="9786" width="17.5546875" customWidth="1"/>
    <col min="9787" max="9787" width="14.5546875" customWidth="1"/>
    <col min="9788" max="9788" width="17.5546875" customWidth="1"/>
    <col min="9789" max="9789" width="18.5546875" customWidth="1"/>
    <col min="9790" max="9790" width="15.44140625" customWidth="1"/>
    <col min="9791" max="9791" width="16.5546875" customWidth="1"/>
    <col min="9792" max="9792" width="22.44140625" bestFit="1" customWidth="1"/>
    <col min="9793" max="9793" width="30.44140625" bestFit="1" customWidth="1"/>
    <col min="9794" max="9794" width="12.44140625" bestFit="1" customWidth="1"/>
    <col min="9795" max="9795" width="21.44140625" bestFit="1" customWidth="1"/>
    <col min="9796" max="9796" width="13.44140625" customWidth="1"/>
    <col min="9797" max="9797" width="16.5546875" customWidth="1"/>
    <col min="10032" max="10032" width="6.44140625" customWidth="1"/>
    <col min="10033" max="10033" width="8.5546875" customWidth="1"/>
    <col min="10034" max="10034" width="48.5546875" bestFit="1" customWidth="1"/>
    <col min="10035" max="10035" width="18.44140625" customWidth="1"/>
    <col min="10036" max="10036" width="20" customWidth="1"/>
    <col min="10037" max="10037" width="17.44140625" customWidth="1"/>
    <col min="10038" max="10038" width="16.5546875" customWidth="1"/>
    <col min="10039" max="10040" width="17.44140625" customWidth="1"/>
    <col min="10041" max="10041" width="18.44140625" customWidth="1"/>
    <col min="10042" max="10042" width="17.5546875" customWidth="1"/>
    <col min="10043" max="10043" width="14.5546875" customWidth="1"/>
    <col min="10044" max="10044" width="17.5546875" customWidth="1"/>
    <col min="10045" max="10045" width="18.5546875" customWidth="1"/>
    <col min="10046" max="10046" width="15.44140625" customWidth="1"/>
    <col min="10047" max="10047" width="16.5546875" customWidth="1"/>
    <col min="10048" max="10048" width="22.44140625" bestFit="1" customWidth="1"/>
    <col min="10049" max="10049" width="30.44140625" bestFit="1" customWidth="1"/>
    <col min="10050" max="10050" width="12.44140625" bestFit="1" customWidth="1"/>
    <col min="10051" max="10051" width="21.44140625" bestFit="1" customWidth="1"/>
    <col min="10052" max="10052" width="13.44140625" customWidth="1"/>
    <col min="10053" max="10053" width="16.5546875" customWidth="1"/>
    <col min="10288" max="10288" width="6.44140625" customWidth="1"/>
    <col min="10289" max="10289" width="8.5546875" customWidth="1"/>
    <col min="10290" max="10290" width="48.5546875" bestFit="1" customWidth="1"/>
    <col min="10291" max="10291" width="18.44140625" customWidth="1"/>
    <col min="10292" max="10292" width="20" customWidth="1"/>
    <col min="10293" max="10293" width="17.44140625" customWidth="1"/>
    <col min="10294" max="10294" width="16.5546875" customWidth="1"/>
    <col min="10295" max="10296" width="17.44140625" customWidth="1"/>
    <col min="10297" max="10297" width="18.44140625" customWidth="1"/>
    <col min="10298" max="10298" width="17.5546875" customWidth="1"/>
    <col min="10299" max="10299" width="14.5546875" customWidth="1"/>
    <col min="10300" max="10300" width="17.5546875" customWidth="1"/>
    <col min="10301" max="10301" width="18.5546875" customWidth="1"/>
    <col min="10302" max="10302" width="15.44140625" customWidth="1"/>
    <col min="10303" max="10303" width="16.5546875" customWidth="1"/>
    <col min="10304" max="10304" width="22.44140625" bestFit="1" customWidth="1"/>
    <col min="10305" max="10305" width="30.44140625" bestFit="1" customWidth="1"/>
    <col min="10306" max="10306" width="12.44140625" bestFit="1" customWidth="1"/>
    <col min="10307" max="10307" width="21.44140625" bestFit="1" customWidth="1"/>
    <col min="10308" max="10308" width="13.44140625" customWidth="1"/>
    <col min="10309" max="10309" width="16.5546875" customWidth="1"/>
    <col min="10544" max="10544" width="6.44140625" customWidth="1"/>
    <col min="10545" max="10545" width="8.5546875" customWidth="1"/>
    <col min="10546" max="10546" width="48.5546875" bestFit="1" customWidth="1"/>
    <col min="10547" max="10547" width="18.44140625" customWidth="1"/>
    <col min="10548" max="10548" width="20" customWidth="1"/>
    <col min="10549" max="10549" width="17.44140625" customWidth="1"/>
    <col min="10550" max="10550" width="16.5546875" customWidth="1"/>
    <col min="10551" max="10552" width="17.44140625" customWidth="1"/>
    <col min="10553" max="10553" width="18.44140625" customWidth="1"/>
    <col min="10554" max="10554" width="17.5546875" customWidth="1"/>
    <col min="10555" max="10555" width="14.5546875" customWidth="1"/>
    <col min="10556" max="10556" width="17.5546875" customWidth="1"/>
    <col min="10557" max="10557" width="18.5546875" customWidth="1"/>
    <col min="10558" max="10558" width="15.44140625" customWidth="1"/>
    <col min="10559" max="10559" width="16.5546875" customWidth="1"/>
    <col min="10560" max="10560" width="22.44140625" bestFit="1" customWidth="1"/>
    <col min="10561" max="10561" width="30.44140625" bestFit="1" customWidth="1"/>
    <col min="10562" max="10562" width="12.44140625" bestFit="1" customWidth="1"/>
    <col min="10563" max="10563" width="21.44140625" bestFit="1" customWidth="1"/>
    <col min="10564" max="10564" width="13.44140625" customWidth="1"/>
    <col min="10565" max="10565" width="16.5546875" customWidth="1"/>
    <col min="10800" max="10800" width="6.44140625" customWidth="1"/>
    <col min="10801" max="10801" width="8.5546875" customWidth="1"/>
    <col min="10802" max="10802" width="48.5546875" bestFit="1" customWidth="1"/>
    <col min="10803" max="10803" width="18.44140625" customWidth="1"/>
    <col min="10804" max="10804" width="20" customWidth="1"/>
    <col min="10805" max="10805" width="17.44140625" customWidth="1"/>
    <col min="10806" max="10806" width="16.5546875" customWidth="1"/>
    <col min="10807" max="10808" width="17.44140625" customWidth="1"/>
    <col min="10809" max="10809" width="18.44140625" customWidth="1"/>
    <col min="10810" max="10810" width="17.5546875" customWidth="1"/>
    <col min="10811" max="10811" width="14.5546875" customWidth="1"/>
    <col min="10812" max="10812" width="17.5546875" customWidth="1"/>
    <col min="10813" max="10813" width="18.5546875" customWidth="1"/>
    <col min="10814" max="10814" width="15.44140625" customWidth="1"/>
    <col min="10815" max="10815" width="16.5546875" customWidth="1"/>
    <col min="10816" max="10816" width="22.44140625" bestFit="1" customWidth="1"/>
    <col min="10817" max="10817" width="30.44140625" bestFit="1" customWidth="1"/>
    <col min="10818" max="10818" width="12.44140625" bestFit="1" customWidth="1"/>
    <col min="10819" max="10819" width="21.44140625" bestFit="1" customWidth="1"/>
    <col min="10820" max="10820" width="13.44140625" customWidth="1"/>
    <col min="10821" max="10821" width="16.5546875" customWidth="1"/>
    <col min="11056" max="11056" width="6.44140625" customWidth="1"/>
    <col min="11057" max="11057" width="8.5546875" customWidth="1"/>
    <col min="11058" max="11058" width="48.5546875" bestFit="1" customWidth="1"/>
    <col min="11059" max="11059" width="18.44140625" customWidth="1"/>
    <col min="11060" max="11060" width="20" customWidth="1"/>
    <col min="11061" max="11061" width="17.44140625" customWidth="1"/>
    <col min="11062" max="11062" width="16.5546875" customWidth="1"/>
    <col min="11063" max="11064" width="17.44140625" customWidth="1"/>
    <col min="11065" max="11065" width="18.44140625" customWidth="1"/>
    <col min="11066" max="11066" width="17.5546875" customWidth="1"/>
    <col min="11067" max="11067" width="14.5546875" customWidth="1"/>
    <col min="11068" max="11068" width="17.5546875" customWidth="1"/>
    <col min="11069" max="11069" width="18.5546875" customWidth="1"/>
    <col min="11070" max="11070" width="15.44140625" customWidth="1"/>
    <col min="11071" max="11071" width="16.5546875" customWidth="1"/>
    <col min="11072" max="11072" width="22.44140625" bestFit="1" customWidth="1"/>
    <col min="11073" max="11073" width="30.44140625" bestFit="1" customWidth="1"/>
    <col min="11074" max="11074" width="12.44140625" bestFit="1" customWidth="1"/>
    <col min="11075" max="11075" width="21.44140625" bestFit="1" customWidth="1"/>
    <col min="11076" max="11076" width="13.44140625" customWidth="1"/>
    <col min="11077" max="11077" width="16.5546875" customWidth="1"/>
    <col min="11312" max="11312" width="6.44140625" customWidth="1"/>
    <col min="11313" max="11313" width="8.5546875" customWidth="1"/>
    <col min="11314" max="11314" width="48.5546875" bestFit="1" customWidth="1"/>
    <col min="11315" max="11315" width="18.44140625" customWidth="1"/>
    <col min="11316" max="11316" width="20" customWidth="1"/>
    <col min="11317" max="11317" width="17.44140625" customWidth="1"/>
    <col min="11318" max="11318" width="16.5546875" customWidth="1"/>
    <col min="11319" max="11320" width="17.44140625" customWidth="1"/>
    <col min="11321" max="11321" width="18.44140625" customWidth="1"/>
    <col min="11322" max="11322" width="17.5546875" customWidth="1"/>
    <col min="11323" max="11323" width="14.5546875" customWidth="1"/>
    <col min="11324" max="11324" width="17.5546875" customWidth="1"/>
    <col min="11325" max="11325" width="18.5546875" customWidth="1"/>
    <col min="11326" max="11326" width="15.44140625" customWidth="1"/>
    <col min="11327" max="11327" width="16.5546875" customWidth="1"/>
    <col min="11328" max="11328" width="22.44140625" bestFit="1" customWidth="1"/>
    <col min="11329" max="11329" width="30.44140625" bestFit="1" customWidth="1"/>
    <col min="11330" max="11330" width="12.44140625" bestFit="1" customWidth="1"/>
    <col min="11331" max="11331" width="21.44140625" bestFit="1" customWidth="1"/>
    <col min="11332" max="11332" width="13.44140625" customWidth="1"/>
    <col min="11333" max="11333" width="16.5546875" customWidth="1"/>
    <col min="11568" max="11568" width="6.44140625" customWidth="1"/>
    <col min="11569" max="11569" width="8.5546875" customWidth="1"/>
    <col min="11570" max="11570" width="48.5546875" bestFit="1" customWidth="1"/>
    <col min="11571" max="11571" width="18.44140625" customWidth="1"/>
    <col min="11572" max="11572" width="20" customWidth="1"/>
    <col min="11573" max="11573" width="17.44140625" customWidth="1"/>
    <col min="11574" max="11574" width="16.5546875" customWidth="1"/>
    <col min="11575" max="11576" width="17.44140625" customWidth="1"/>
    <col min="11577" max="11577" width="18.44140625" customWidth="1"/>
    <col min="11578" max="11578" width="17.5546875" customWidth="1"/>
    <col min="11579" max="11579" width="14.5546875" customWidth="1"/>
    <col min="11580" max="11580" width="17.5546875" customWidth="1"/>
    <col min="11581" max="11581" width="18.5546875" customWidth="1"/>
    <col min="11582" max="11582" width="15.44140625" customWidth="1"/>
    <col min="11583" max="11583" width="16.5546875" customWidth="1"/>
    <col min="11584" max="11584" width="22.44140625" bestFit="1" customWidth="1"/>
    <col min="11585" max="11585" width="30.44140625" bestFit="1" customWidth="1"/>
    <col min="11586" max="11586" width="12.44140625" bestFit="1" customWidth="1"/>
    <col min="11587" max="11587" width="21.44140625" bestFit="1" customWidth="1"/>
    <col min="11588" max="11588" width="13.44140625" customWidth="1"/>
    <col min="11589" max="11589" width="16.5546875" customWidth="1"/>
    <col min="11824" max="11824" width="6.44140625" customWidth="1"/>
    <col min="11825" max="11825" width="8.5546875" customWidth="1"/>
    <col min="11826" max="11826" width="48.5546875" bestFit="1" customWidth="1"/>
    <col min="11827" max="11827" width="18.44140625" customWidth="1"/>
    <col min="11828" max="11828" width="20" customWidth="1"/>
    <col min="11829" max="11829" width="17.44140625" customWidth="1"/>
    <col min="11830" max="11830" width="16.5546875" customWidth="1"/>
    <col min="11831" max="11832" width="17.44140625" customWidth="1"/>
    <col min="11833" max="11833" width="18.44140625" customWidth="1"/>
    <col min="11834" max="11834" width="17.5546875" customWidth="1"/>
    <col min="11835" max="11835" width="14.5546875" customWidth="1"/>
    <col min="11836" max="11836" width="17.5546875" customWidth="1"/>
    <col min="11837" max="11837" width="18.5546875" customWidth="1"/>
    <col min="11838" max="11838" width="15.44140625" customWidth="1"/>
    <col min="11839" max="11839" width="16.5546875" customWidth="1"/>
    <col min="11840" max="11840" width="22.44140625" bestFit="1" customWidth="1"/>
    <col min="11841" max="11841" width="30.44140625" bestFit="1" customWidth="1"/>
    <col min="11842" max="11842" width="12.44140625" bestFit="1" customWidth="1"/>
    <col min="11843" max="11843" width="21.44140625" bestFit="1" customWidth="1"/>
    <col min="11844" max="11844" width="13.44140625" customWidth="1"/>
    <col min="11845" max="11845" width="16.5546875" customWidth="1"/>
    <col min="12080" max="12080" width="6.44140625" customWidth="1"/>
    <col min="12081" max="12081" width="8.5546875" customWidth="1"/>
    <col min="12082" max="12082" width="48.5546875" bestFit="1" customWidth="1"/>
    <col min="12083" max="12083" width="18.44140625" customWidth="1"/>
    <col min="12084" max="12084" width="20" customWidth="1"/>
    <col min="12085" max="12085" width="17.44140625" customWidth="1"/>
    <col min="12086" max="12086" width="16.5546875" customWidth="1"/>
    <col min="12087" max="12088" width="17.44140625" customWidth="1"/>
    <col min="12089" max="12089" width="18.44140625" customWidth="1"/>
    <col min="12090" max="12090" width="17.5546875" customWidth="1"/>
    <col min="12091" max="12091" width="14.5546875" customWidth="1"/>
    <col min="12092" max="12092" width="17.5546875" customWidth="1"/>
    <col min="12093" max="12093" width="18.5546875" customWidth="1"/>
    <col min="12094" max="12094" width="15.44140625" customWidth="1"/>
    <col min="12095" max="12095" width="16.5546875" customWidth="1"/>
    <col min="12096" max="12096" width="22.44140625" bestFit="1" customWidth="1"/>
    <col min="12097" max="12097" width="30.44140625" bestFit="1" customWidth="1"/>
    <col min="12098" max="12098" width="12.44140625" bestFit="1" customWidth="1"/>
    <col min="12099" max="12099" width="21.44140625" bestFit="1" customWidth="1"/>
    <col min="12100" max="12100" width="13.44140625" customWidth="1"/>
    <col min="12101" max="12101" width="16.5546875" customWidth="1"/>
    <col min="12336" max="12336" width="6.44140625" customWidth="1"/>
    <col min="12337" max="12337" width="8.5546875" customWidth="1"/>
    <col min="12338" max="12338" width="48.5546875" bestFit="1" customWidth="1"/>
    <col min="12339" max="12339" width="18.44140625" customWidth="1"/>
    <col min="12340" max="12340" width="20" customWidth="1"/>
    <col min="12341" max="12341" width="17.44140625" customWidth="1"/>
    <col min="12342" max="12342" width="16.5546875" customWidth="1"/>
    <col min="12343" max="12344" width="17.44140625" customWidth="1"/>
    <col min="12345" max="12345" width="18.44140625" customWidth="1"/>
    <col min="12346" max="12346" width="17.5546875" customWidth="1"/>
    <col min="12347" max="12347" width="14.5546875" customWidth="1"/>
    <col min="12348" max="12348" width="17.5546875" customWidth="1"/>
    <col min="12349" max="12349" width="18.5546875" customWidth="1"/>
    <col min="12350" max="12350" width="15.44140625" customWidth="1"/>
    <col min="12351" max="12351" width="16.5546875" customWidth="1"/>
    <col min="12352" max="12352" width="22.44140625" bestFit="1" customWidth="1"/>
    <col min="12353" max="12353" width="30.44140625" bestFit="1" customWidth="1"/>
    <col min="12354" max="12354" width="12.44140625" bestFit="1" customWidth="1"/>
    <col min="12355" max="12355" width="21.44140625" bestFit="1" customWidth="1"/>
    <col min="12356" max="12356" width="13.44140625" customWidth="1"/>
    <col min="12357" max="12357" width="16.5546875" customWidth="1"/>
    <col min="12592" max="12592" width="6.44140625" customWidth="1"/>
    <col min="12593" max="12593" width="8.5546875" customWidth="1"/>
    <col min="12594" max="12594" width="48.5546875" bestFit="1" customWidth="1"/>
    <col min="12595" max="12595" width="18.44140625" customWidth="1"/>
    <col min="12596" max="12596" width="20" customWidth="1"/>
    <col min="12597" max="12597" width="17.44140625" customWidth="1"/>
    <col min="12598" max="12598" width="16.5546875" customWidth="1"/>
    <col min="12599" max="12600" width="17.44140625" customWidth="1"/>
    <col min="12601" max="12601" width="18.44140625" customWidth="1"/>
    <col min="12602" max="12602" width="17.5546875" customWidth="1"/>
    <col min="12603" max="12603" width="14.5546875" customWidth="1"/>
    <col min="12604" max="12604" width="17.5546875" customWidth="1"/>
    <col min="12605" max="12605" width="18.5546875" customWidth="1"/>
    <col min="12606" max="12606" width="15.44140625" customWidth="1"/>
    <col min="12607" max="12607" width="16.5546875" customWidth="1"/>
    <col min="12608" max="12608" width="22.44140625" bestFit="1" customWidth="1"/>
    <col min="12609" max="12609" width="30.44140625" bestFit="1" customWidth="1"/>
    <col min="12610" max="12610" width="12.44140625" bestFit="1" customWidth="1"/>
    <col min="12611" max="12611" width="21.44140625" bestFit="1" customWidth="1"/>
    <col min="12612" max="12612" width="13.44140625" customWidth="1"/>
    <col min="12613" max="12613" width="16.5546875" customWidth="1"/>
    <col min="12848" max="12848" width="6.44140625" customWidth="1"/>
    <col min="12849" max="12849" width="8.5546875" customWidth="1"/>
    <col min="12850" max="12850" width="48.5546875" bestFit="1" customWidth="1"/>
    <col min="12851" max="12851" width="18.44140625" customWidth="1"/>
    <col min="12852" max="12852" width="20" customWidth="1"/>
    <col min="12853" max="12853" width="17.44140625" customWidth="1"/>
    <col min="12854" max="12854" width="16.5546875" customWidth="1"/>
    <col min="12855" max="12856" width="17.44140625" customWidth="1"/>
    <col min="12857" max="12857" width="18.44140625" customWidth="1"/>
    <col min="12858" max="12858" width="17.5546875" customWidth="1"/>
    <col min="12859" max="12859" width="14.5546875" customWidth="1"/>
    <col min="12860" max="12860" width="17.5546875" customWidth="1"/>
    <col min="12861" max="12861" width="18.5546875" customWidth="1"/>
    <col min="12862" max="12862" width="15.44140625" customWidth="1"/>
    <col min="12863" max="12863" width="16.5546875" customWidth="1"/>
    <col min="12864" max="12864" width="22.44140625" bestFit="1" customWidth="1"/>
    <col min="12865" max="12865" width="30.44140625" bestFit="1" customWidth="1"/>
    <col min="12866" max="12866" width="12.44140625" bestFit="1" customWidth="1"/>
    <col min="12867" max="12867" width="21.44140625" bestFit="1" customWidth="1"/>
    <col min="12868" max="12868" width="13.44140625" customWidth="1"/>
    <col min="12869" max="12869" width="16.5546875" customWidth="1"/>
    <col min="13104" max="13104" width="6.44140625" customWidth="1"/>
    <col min="13105" max="13105" width="8.5546875" customWidth="1"/>
    <col min="13106" max="13106" width="48.5546875" bestFit="1" customWidth="1"/>
    <col min="13107" max="13107" width="18.44140625" customWidth="1"/>
    <col min="13108" max="13108" width="20" customWidth="1"/>
    <col min="13109" max="13109" width="17.44140625" customWidth="1"/>
    <col min="13110" max="13110" width="16.5546875" customWidth="1"/>
    <col min="13111" max="13112" width="17.44140625" customWidth="1"/>
    <col min="13113" max="13113" width="18.44140625" customWidth="1"/>
    <col min="13114" max="13114" width="17.5546875" customWidth="1"/>
    <col min="13115" max="13115" width="14.5546875" customWidth="1"/>
    <col min="13116" max="13116" width="17.5546875" customWidth="1"/>
    <col min="13117" max="13117" width="18.5546875" customWidth="1"/>
    <col min="13118" max="13118" width="15.44140625" customWidth="1"/>
    <col min="13119" max="13119" width="16.5546875" customWidth="1"/>
    <col min="13120" max="13120" width="22.44140625" bestFit="1" customWidth="1"/>
    <col min="13121" max="13121" width="30.44140625" bestFit="1" customWidth="1"/>
    <col min="13122" max="13122" width="12.44140625" bestFit="1" customWidth="1"/>
    <col min="13123" max="13123" width="21.44140625" bestFit="1" customWidth="1"/>
    <col min="13124" max="13124" width="13.44140625" customWidth="1"/>
    <col min="13125" max="13125" width="16.5546875" customWidth="1"/>
    <col min="13360" max="13360" width="6.44140625" customWidth="1"/>
    <col min="13361" max="13361" width="8.5546875" customWidth="1"/>
    <col min="13362" max="13362" width="48.5546875" bestFit="1" customWidth="1"/>
    <col min="13363" max="13363" width="18.44140625" customWidth="1"/>
    <col min="13364" max="13364" width="20" customWidth="1"/>
    <col min="13365" max="13365" width="17.44140625" customWidth="1"/>
    <col min="13366" max="13366" width="16.5546875" customWidth="1"/>
    <col min="13367" max="13368" width="17.44140625" customWidth="1"/>
    <col min="13369" max="13369" width="18.44140625" customWidth="1"/>
    <col min="13370" max="13370" width="17.5546875" customWidth="1"/>
    <col min="13371" max="13371" width="14.5546875" customWidth="1"/>
    <col min="13372" max="13372" width="17.5546875" customWidth="1"/>
    <col min="13373" max="13373" width="18.5546875" customWidth="1"/>
    <col min="13374" max="13374" width="15.44140625" customWidth="1"/>
    <col min="13375" max="13375" width="16.5546875" customWidth="1"/>
    <col min="13376" max="13376" width="22.44140625" bestFit="1" customWidth="1"/>
    <col min="13377" max="13377" width="30.44140625" bestFit="1" customWidth="1"/>
    <col min="13378" max="13378" width="12.44140625" bestFit="1" customWidth="1"/>
    <col min="13379" max="13379" width="21.44140625" bestFit="1" customWidth="1"/>
    <col min="13380" max="13380" width="13.44140625" customWidth="1"/>
    <col min="13381" max="13381" width="16.5546875" customWidth="1"/>
    <col min="13616" max="13616" width="6.44140625" customWidth="1"/>
    <col min="13617" max="13617" width="8.5546875" customWidth="1"/>
    <col min="13618" max="13618" width="48.5546875" bestFit="1" customWidth="1"/>
    <col min="13619" max="13619" width="18.44140625" customWidth="1"/>
    <col min="13620" max="13620" width="20" customWidth="1"/>
    <col min="13621" max="13621" width="17.44140625" customWidth="1"/>
    <col min="13622" max="13622" width="16.5546875" customWidth="1"/>
    <col min="13623" max="13624" width="17.44140625" customWidth="1"/>
    <col min="13625" max="13625" width="18.44140625" customWidth="1"/>
    <col min="13626" max="13626" width="17.5546875" customWidth="1"/>
    <col min="13627" max="13627" width="14.5546875" customWidth="1"/>
    <col min="13628" max="13628" width="17.5546875" customWidth="1"/>
    <col min="13629" max="13629" width="18.5546875" customWidth="1"/>
    <col min="13630" max="13630" width="15.44140625" customWidth="1"/>
    <col min="13631" max="13631" width="16.5546875" customWidth="1"/>
    <col min="13632" max="13632" width="22.44140625" bestFit="1" customWidth="1"/>
    <col min="13633" max="13633" width="30.44140625" bestFit="1" customWidth="1"/>
    <col min="13634" max="13634" width="12.44140625" bestFit="1" customWidth="1"/>
    <col min="13635" max="13635" width="21.44140625" bestFit="1" customWidth="1"/>
    <col min="13636" max="13636" width="13.44140625" customWidth="1"/>
    <col min="13637" max="13637" width="16.5546875" customWidth="1"/>
    <col min="13872" max="13872" width="6.44140625" customWidth="1"/>
    <col min="13873" max="13873" width="8.5546875" customWidth="1"/>
    <col min="13874" max="13874" width="48.5546875" bestFit="1" customWidth="1"/>
    <col min="13875" max="13875" width="18.44140625" customWidth="1"/>
    <col min="13876" max="13876" width="20" customWidth="1"/>
    <col min="13877" max="13877" width="17.44140625" customWidth="1"/>
    <col min="13878" max="13878" width="16.5546875" customWidth="1"/>
    <col min="13879" max="13880" width="17.44140625" customWidth="1"/>
    <col min="13881" max="13881" width="18.44140625" customWidth="1"/>
    <col min="13882" max="13882" width="17.5546875" customWidth="1"/>
    <col min="13883" max="13883" width="14.5546875" customWidth="1"/>
    <col min="13884" max="13884" width="17.5546875" customWidth="1"/>
    <col min="13885" max="13885" width="18.5546875" customWidth="1"/>
    <col min="13886" max="13886" width="15.44140625" customWidth="1"/>
    <col min="13887" max="13887" width="16.5546875" customWidth="1"/>
    <col min="13888" max="13888" width="22.44140625" bestFit="1" customWidth="1"/>
    <col min="13889" max="13889" width="30.44140625" bestFit="1" customWidth="1"/>
    <col min="13890" max="13890" width="12.44140625" bestFit="1" customWidth="1"/>
    <col min="13891" max="13891" width="21.44140625" bestFit="1" customWidth="1"/>
    <col min="13892" max="13892" width="13.44140625" customWidth="1"/>
    <col min="13893" max="13893" width="16.5546875" customWidth="1"/>
    <col min="14128" max="14128" width="6.44140625" customWidth="1"/>
    <col min="14129" max="14129" width="8.5546875" customWidth="1"/>
    <col min="14130" max="14130" width="48.5546875" bestFit="1" customWidth="1"/>
    <col min="14131" max="14131" width="18.44140625" customWidth="1"/>
    <col min="14132" max="14132" width="20" customWidth="1"/>
    <col min="14133" max="14133" width="17.44140625" customWidth="1"/>
    <col min="14134" max="14134" width="16.5546875" customWidth="1"/>
    <col min="14135" max="14136" width="17.44140625" customWidth="1"/>
    <col min="14137" max="14137" width="18.44140625" customWidth="1"/>
    <col min="14138" max="14138" width="17.5546875" customWidth="1"/>
    <col min="14139" max="14139" width="14.5546875" customWidth="1"/>
    <col min="14140" max="14140" width="17.5546875" customWidth="1"/>
    <col min="14141" max="14141" width="18.5546875" customWidth="1"/>
    <col min="14142" max="14142" width="15.44140625" customWidth="1"/>
    <col min="14143" max="14143" width="16.5546875" customWidth="1"/>
    <col min="14144" max="14144" width="22.44140625" bestFit="1" customWidth="1"/>
    <col min="14145" max="14145" width="30.44140625" bestFit="1" customWidth="1"/>
    <col min="14146" max="14146" width="12.44140625" bestFit="1" customWidth="1"/>
    <col min="14147" max="14147" width="21.44140625" bestFit="1" customWidth="1"/>
    <col min="14148" max="14148" width="13.44140625" customWidth="1"/>
    <col min="14149" max="14149" width="16.5546875" customWidth="1"/>
    <col min="14384" max="14384" width="6.44140625" customWidth="1"/>
    <col min="14385" max="14385" width="8.5546875" customWidth="1"/>
    <col min="14386" max="14386" width="48.5546875" bestFit="1" customWidth="1"/>
    <col min="14387" max="14387" width="18.44140625" customWidth="1"/>
    <col min="14388" max="14388" width="20" customWidth="1"/>
    <col min="14389" max="14389" width="17.44140625" customWidth="1"/>
    <col min="14390" max="14390" width="16.5546875" customWidth="1"/>
    <col min="14391" max="14392" width="17.44140625" customWidth="1"/>
    <col min="14393" max="14393" width="18.44140625" customWidth="1"/>
    <col min="14394" max="14394" width="17.5546875" customWidth="1"/>
    <col min="14395" max="14395" width="14.5546875" customWidth="1"/>
    <col min="14396" max="14396" width="17.5546875" customWidth="1"/>
    <col min="14397" max="14397" width="18.5546875" customWidth="1"/>
    <col min="14398" max="14398" width="15.44140625" customWidth="1"/>
    <col min="14399" max="14399" width="16.5546875" customWidth="1"/>
    <col min="14400" max="14400" width="22.44140625" bestFit="1" customWidth="1"/>
    <col min="14401" max="14401" width="30.44140625" bestFit="1" customWidth="1"/>
    <col min="14402" max="14402" width="12.44140625" bestFit="1" customWidth="1"/>
    <col min="14403" max="14403" width="21.44140625" bestFit="1" customWidth="1"/>
    <col min="14404" max="14404" width="13.44140625" customWidth="1"/>
    <col min="14405" max="14405" width="16.5546875" customWidth="1"/>
    <col min="14640" max="14640" width="6.44140625" customWidth="1"/>
    <col min="14641" max="14641" width="8.5546875" customWidth="1"/>
    <col min="14642" max="14642" width="48.5546875" bestFit="1" customWidth="1"/>
    <col min="14643" max="14643" width="18.44140625" customWidth="1"/>
    <col min="14644" max="14644" width="20" customWidth="1"/>
    <col min="14645" max="14645" width="17.44140625" customWidth="1"/>
    <col min="14646" max="14646" width="16.5546875" customWidth="1"/>
    <col min="14647" max="14648" width="17.44140625" customWidth="1"/>
    <col min="14649" max="14649" width="18.44140625" customWidth="1"/>
    <col min="14650" max="14650" width="17.5546875" customWidth="1"/>
    <col min="14651" max="14651" width="14.5546875" customWidth="1"/>
    <col min="14652" max="14652" width="17.5546875" customWidth="1"/>
    <col min="14653" max="14653" width="18.5546875" customWidth="1"/>
    <col min="14654" max="14654" width="15.44140625" customWidth="1"/>
    <col min="14655" max="14655" width="16.5546875" customWidth="1"/>
    <col min="14656" max="14656" width="22.44140625" bestFit="1" customWidth="1"/>
    <col min="14657" max="14657" width="30.44140625" bestFit="1" customWidth="1"/>
    <col min="14658" max="14658" width="12.44140625" bestFit="1" customWidth="1"/>
    <col min="14659" max="14659" width="21.44140625" bestFit="1" customWidth="1"/>
    <col min="14660" max="14660" width="13.44140625" customWidth="1"/>
    <col min="14661" max="14661" width="16.5546875" customWidth="1"/>
    <col min="14896" max="14896" width="6.44140625" customWidth="1"/>
    <col min="14897" max="14897" width="8.5546875" customWidth="1"/>
    <col min="14898" max="14898" width="48.5546875" bestFit="1" customWidth="1"/>
    <col min="14899" max="14899" width="18.44140625" customWidth="1"/>
    <col min="14900" max="14900" width="20" customWidth="1"/>
    <col min="14901" max="14901" width="17.44140625" customWidth="1"/>
    <col min="14902" max="14902" width="16.5546875" customWidth="1"/>
    <col min="14903" max="14904" width="17.44140625" customWidth="1"/>
    <col min="14905" max="14905" width="18.44140625" customWidth="1"/>
    <col min="14906" max="14906" width="17.5546875" customWidth="1"/>
    <col min="14907" max="14907" width="14.5546875" customWidth="1"/>
    <col min="14908" max="14908" width="17.5546875" customWidth="1"/>
    <col min="14909" max="14909" width="18.5546875" customWidth="1"/>
    <col min="14910" max="14910" width="15.44140625" customWidth="1"/>
    <col min="14911" max="14911" width="16.5546875" customWidth="1"/>
    <col min="14912" max="14912" width="22.44140625" bestFit="1" customWidth="1"/>
    <col min="14913" max="14913" width="30.44140625" bestFit="1" customWidth="1"/>
    <col min="14914" max="14914" width="12.44140625" bestFit="1" customWidth="1"/>
    <col min="14915" max="14915" width="21.44140625" bestFit="1" customWidth="1"/>
    <col min="14916" max="14916" width="13.44140625" customWidth="1"/>
    <col min="14917" max="14917" width="16.5546875" customWidth="1"/>
    <col min="15152" max="15152" width="6.44140625" customWidth="1"/>
    <col min="15153" max="15153" width="8.5546875" customWidth="1"/>
    <col min="15154" max="15154" width="48.5546875" bestFit="1" customWidth="1"/>
    <col min="15155" max="15155" width="18.44140625" customWidth="1"/>
    <col min="15156" max="15156" width="20" customWidth="1"/>
    <col min="15157" max="15157" width="17.44140625" customWidth="1"/>
    <col min="15158" max="15158" width="16.5546875" customWidth="1"/>
    <col min="15159" max="15160" width="17.44140625" customWidth="1"/>
    <col min="15161" max="15161" width="18.44140625" customWidth="1"/>
    <col min="15162" max="15162" width="17.5546875" customWidth="1"/>
    <col min="15163" max="15163" width="14.5546875" customWidth="1"/>
    <col min="15164" max="15164" width="17.5546875" customWidth="1"/>
    <col min="15165" max="15165" width="18.5546875" customWidth="1"/>
    <col min="15166" max="15166" width="15.44140625" customWidth="1"/>
    <col min="15167" max="15167" width="16.5546875" customWidth="1"/>
    <col min="15168" max="15168" width="22.44140625" bestFit="1" customWidth="1"/>
    <col min="15169" max="15169" width="30.44140625" bestFit="1" customWidth="1"/>
    <col min="15170" max="15170" width="12.44140625" bestFit="1" customWidth="1"/>
    <col min="15171" max="15171" width="21.44140625" bestFit="1" customWidth="1"/>
    <col min="15172" max="15172" width="13.44140625" customWidth="1"/>
    <col min="15173" max="15173" width="16.5546875" customWidth="1"/>
    <col min="15408" max="15408" width="6.44140625" customWidth="1"/>
    <col min="15409" max="15409" width="8.5546875" customWidth="1"/>
    <col min="15410" max="15410" width="48.5546875" bestFit="1" customWidth="1"/>
    <col min="15411" max="15411" width="18.44140625" customWidth="1"/>
    <col min="15412" max="15412" width="20" customWidth="1"/>
    <col min="15413" max="15413" width="17.44140625" customWidth="1"/>
    <col min="15414" max="15414" width="16.5546875" customWidth="1"/>
    <col min="15415" max="15416" width="17.44140625" customWidth="1"/>
    <col min="15417" max="15417" width="18.44140625" customWidth="1"/>
    <col min="15418" max="15418" width="17.5546875" customWidth="1"/>
    <col min="15419" max="15419" width="14.5546875" customWidth="1"/>
    <col min="15420" max="15420" width="17.5546875" customWidth="1"/>
    <col min="15421" max="15421" width="18.5546875" customWidth="1"/>
    <col min="15422" max="15422" width="15.44140625" customWidth="1"/>
    <col min="15423" max="15423" width="16.5546875" customWidth="1"/>
    <col min="15424" max="15424" width="22.44140625" bestFit="1" customWidth="1"/>
    <col min="15425" max="15425" width="30.44140625" bestFit="1" customWidth="1"/>
    <col min="15426" max="15426" width="12.44140625" bestFit="1" customWidth="1"/>
    <col min="15427" max="15427" width="21.44140625" bestFit="1" customWidth="1"/>
    <col min="15428" max="15428" width="13.44140625" customWidth="1"/>
    <col min="15429" max="15429" width="16.5546875" customWidth="1"/>
    <col min="15664" max="15664" width="6.44140625" customWidth="1"/>
    <col min="15665" max="15665" width="8.5546875" customWidth="1"/>
    <col min="15666" max="15666" width="48.5546875" bestFit="1" customWidth="1"/>
    <col min="15667" max="15667" width="18.44140625" customWidth="1"/>
    <col min="15668" max="15668" width="20" customWidth="1"/>
    <col min="15669" max="15669" width="17.44140625" customWidth="1"/>
    <col min="15670" max="15670" width="16.5546875" customWidth="1"/>
    <col min="15671" max="15672" width="17.44140625" customWidth="1"/>
    <col min="15673" max="15673" width="18.44140625" customWidth="1"/>
    <col min="15674" max="15674" width="17.5546875" customWidth="1"/>
    <col min="15675" max="15675" width="14.5546875" customWidth="1"/>
    <col min="15676" max="15676" width="17.5546875" customWidth="1"/>
    <col min="15677" max="15677" width="18.5546875" customWidth="1"/>
    <col min="15678" max="15678" width="15.44140625" customWidth="1"/>
    <col min="15679" max="15679" width="16.5546875" customWidth="1"/>
    <col min="15680" max="15680" width="22.44140625" bestFit="1" customWidth="1"/>
    <col min="15681" max="15681" width="30.44140625" bestFit="1" customWidth="1"/>
    <col min="15682" max="15682" width="12.44140625" bestFit="1" customWidth="1"/>
    <col min="15683" max="15683" width="21.44140625" bestFit="1" customWidth="1"/>
    <col min="15684" max="15684" width="13.44140625" customWidth="1"/>
    <col min="15685" max="15685" width="16.5546875" customWidth="1"/>
    <col min="15920" max="15920" width="6.44140625" customWidth="1"/>
    <col min="15921" max="15921" width="8.5546875" customWidth="1"/>
    <col min="15922" max="15922" width="48.5546875" bestFit="1" customWidth="1"/>
    <col min="15923" max="15923" width="18.44140625" customWidth="1"/>
    <col min="15924" max="15924" width="20" customWidth="1"/>
    <col min="15925" max="15925" width="17.44140625" customWidth="1"/>
    <col min="15926" max="15926" width="16.5546875" customWidth="1"/>
    <col min="15927" max="15928" width="17.44140625" customWidth="1"/>
    <col min="15929" max="15929" width="18.44140625" customWidth="1"/>
    <col min="15930" max="15930" width="17.5546875" customWidth="1"/>
    <col min="15931" max="15931" width="14.5546875" customWidth="1"/>
    <col min="15932" max="15932" width="17.5546875" customWidth="1"/>
    <col min="15933" max="15933" width="18.5546875" customWidth="1"/>
    <col min="15934" max="15934" width="15.44140625" customWidth="1"/>
    <col min="15935" max="15935" width="16.5546875" customWidth="1"/>
    <col min="15936" max="15936" width="22.44140625" bestFit="1" customWidth="1"/>
    <col min="15937" max="15937" width="30.44140625" bestFit="1" customWidth="1"/>
    <col min="15938" max="15938" width="12.44140625" bestFit="1" customWidth="1"/>
    <col min="15939" max="15939" width="21.44140625" bestFit="1" customWidth="1"/>
    <col min="15940" max="15940" width="13.44140625" customWidth="1"/>
    <col min="15941" max="15941" width="16.5546875" customWidth="1"/>
    <col min="16176" max="16176" width="6.44140625" customWidth="1"/>
    <col min="16177" max="16177" width="8.5546875" customWidth="1"/>
    <col min="16178" max="16178" width="48.5546875" bestFit="1" customWidth="1"/>
    <col min="16179" max="16179" width="18.44140625" customWidth="1"/>
    <col min="16180" max="16180" width="20" customWidth="1"/>
    <col min="16181" max="16181" width="17.44140625" customWidth="1"/>
    <col min="16182" max="16182" width="16.5546875" customWidth="1"/>
    <col min="16183" max="16184" width="17.44140625" customWidth="1"/>
    <col min="16185" max="16185" width="18.44140625" customWidth="1"/>
    <col min="16186" max="16186" width="17.5546875" customWidth="1"/>
    <col min="16187" max="16187" width="14.5546875" customWidth="1"/>
    <col min="16188" max="16188" width="17.5546875" customWidth="1"/>
    <col min="16189" max="16189" width="18.5546875" customWidth="1"/>
    <col min="16190" max="16190" width="15.44140625" customWidth="1"/>
    <col min="16191" max="16191" width="16.5546875" customWidth="1"/>
    <col min="16192" max="16192" width="22.44140625" bestFit="1" customWidth="1"/>
    <col min="16193" max="16193" width="30.44140625" bestFit="1" customWidth="1"/>
    <col min="16194" max="16194" width="12.44140625" bestFit="1" customWidth="1"/>
    <col min="16195" max="16195" width="21.44140625" bestFit="1" customWidth="1"/>
    <col min="16196" max="16196" width="13.44140625" customWidth="1"/>
    <col min="16197" max="16197" width="16.5546875" customWidth="1"/>
  </cols>
  <sheetData>
    <row r="1" spans="1:121" x14ac:dyDescent="0.3">
      <c r="U1">
        <v>1</v>
      </c>
    </row>
    <row r="2" spans="1:121" ht="15.75" customHeight="1" thickBot="1" x14ac:dyDescent="0.35">
      <c r="B2" t="s">
        <v>4809</v>
      </c>
      <c r="C2" s="42" t="str">
        <f>UDV.u.env_results_type</f>
        <v>Farm</v>
      </c>
      <c r="D2" s="42" t="s">
        <v>4810</v>
      </c>
      <c r="F2" s="292"/>
      <c r="N2" s="3000" t="str">
        <f>_xlfn.CONCAT("Chosen impact type: ", C2)</f>
        <v>Chosen impact type: Farm</v>
      </c>
      <c r="O2" s="3000"/>
      <c r="P2" s="3000"/>
      <c r="Q2" s="3000"/>
      <c r="R2" s="3000"/>
      <c r="S2" s="3000"/>
    </row>
    <row r="3" spans="1:121" ht="15.75" customHeight="1" thickBot="1" x14ac:dyDescent="0.35">
      <c r="B3" t="s">
        <v>4811</v>
      </c>
      <c r="C3" s="42" t="str">
        <f>UDV.econ_manure.export_concern</f>
        <v>Non-Sludge Year</v>
      </c>
      <c r="D3" s="42" t="s">
        <v>4812</v>
      </c>
      <c r="F3" s="42"/>
      <c r="G3" s="42" t="s">
        <v>4813</v>
      </c>
      <c r="H3" s="3001" t="s">
        <v>4814</v>
      </c>
      <c r="I3" s="3002"/>
      <c r="J3" s="3002"/>
      <c r="K3" s="3002"/>
      <c r="L3" s="3002"/>
      <c r="M3" s="3002"/>
      <c r="N3" s="3003" t="s">
        <v>4815</v>
      </c>
      <c r="O3" s="3004"/>
      <c r="P3" s="3004"/>
      <c r="Q3" s="3004"/>
      <c r="R3" s="3004"/>
      <c r="S3" s="3005"/>
      <c r="T3" s="649" t="s">
        <v>4816</v>
      </c>
      <c r="U3" s="616"/>
      <c r="V3" s="338"/>
      <c r="W3" s="649" t="s">
        <v>515</v>
      </c>
      <c r="X3" s="616"/>
      <c r="Y3" s="338"/>
      <c r="Z3" s="495" t="s">
        <v>4817</v>
      </c>
      <c r="AA3" s="477"/>
      <c r="AB3" s="478"/>
      <c r="AC3" t="s">
        <v>4818</v>
      </c>
      <c r="AD3" s="42"/>
      <c r="AE3" s="615"/>
      <c r="AF3" s="2994" t="s">
        <v>630</v>
      </c>
      <c r="AG3" s="2995"/>
      <c r="AH3" s="2995"/>
      <c r="AI3" s="2995"/>
      <c r="AJ3" s="2995"/>
      <c r="AK3" s="2996"/>
      <c r="AM3" s="42"/>
      <c r="AN3" s="369"/>
      <c r="AO3" s="2994" t="s">
        <v>4819</v>
      </c>
      <c r="AP3" s="2995"/>
      <c r="AQ3" s="2995"/>
      <c r="AR3" s="2995"/>
      <c r="AS3" s="2995"/>
      <c r="AT3" s="2996"/>
      <c r="AV3" s="42"/>
      <c r="AW3" s="369"/>
      <c r="AX3" s="2994" t="s">
        <v>4820</v>
      </c>
      <c r="AY3" s="2995"/>
      <c r="AZ3" s="2995"/>
      <c r="BA3" s="2995"/>
      <c r="BB3" s="2995"/>
      <c r="BC3" s="2996"/>
      <c r="BF3" s="649" t="s">
        <v>4821</v>
      </c>
      <c r="BG3" s="616"/>
      <c r="BH3" s="616"/>
      <c r="BL3" s="1231" t="s">
        <v>456</v>
      </c>
      <c r="BM3" s="1231"/>
      <c r="BN3" s="1232"/>
      <c r="BO3" s="495" t="s">
        <v>4817</v>
      </c>
      <c r="BP3" s="477"/>
      <c r="BQ3" s="477"/>
      <c r="BR3" s="477"/>
      <c r="BS3" s="477"/>
      <c r="BT3" s="477"/>
      <c r="BU3" s="535" t="s">
        <v>4822</v>
      </c>
      <c r="BV3" s="520"/>
      <c r="BW3" s="1237"/>
      <c r="BX3" s="1278" t="s">
        <v>4823</v>
      </c>
      <c r="BY3" s="404"/>
      <c r="BZ3" s="405"/>
      <c r="CA3" s="300" t="s">
        <v>606</v>
      </c>
      <c r="CB3" s="10"/>
      <c r="CC3" s="10"/>
      <c r="CD3" s="1750"/>
      <c r="CE3" s="10"/>
      <c r="CF3" s="10"/>
      <c r="CG3" s="10"/>
      <c r="CH3" s="1751"/>
      <c r="CI3" s="1751"/>
      <c r="CJ3" s="2992" t="s">
        <v>600</v>
      </c>
      <c r="CK3" s="2993"/>
      <c r="CL3" s="2993"/>
      <c r="CM3" s="2993"/>
      <c r="CN3" s="2993"/>
      <c r="CO3" s="2993"/>
      <c r="CP3" s="2993"/>
      <c r="CQ3" s="2993"/>
      <c r="CR3" s="2993"/>
      <c r="CS3" s="21"/>
      <c r="CT3" s="21"/>
      <c r="CU3" s="1752"/>
    </row>
    <row r="4" spans="1:121" ht="62.25" customHeight="1" x14ac:dyDescent="0.35">
      <c r="G4" s="42" t="s">
        <v>2582</v>
      </c>
      <c r="H4" s="1189" t="s">
        <v>2585</v>
      </c>
      <c r="I4" s="1190" t="s">
        <v>2588</v>
      </c>
      <c r="J4" s="1190" t="s">
        <v>441</v>
      </c>
      <c r="K4" s="1190" t="s">
        <v>440</v>
      </c>
      <c r="L4" s="1190" t="s">
        <v>442</v>
      </c>
      <c r="M4" s="1191" t="s">
        <v>439</v>
      </c>
      <c r="N4" s="1241" t="s">
        <v>4824</v>
      </c>
      <c r="O4" s="1187" t="s">
        <v>447</v>
      </c>
      <c r="P4" s="1187" t="s">
        <v>446</v>
      </c>
      <c r="Q4" s="1187" t="s">
        <v>2599</v>
      </c>
      <c r="R4" s="1187" t="s">
        <v>4825</v>
      </c>
      <c r="S4" s="1188" t="s">
        <v>4826</v>
      </c>
      <c r="T4" s="1192" t="s">
        <v>516</v>
      </c>
      <c r="U4" s="1193" t="s">
        <v>4655</v>
      </c>
      <c r="V4" s="1194" t="s">
        <v>4827</v>
      </c>
      <c r="W4" s="1192" t="s">
        <v>456</v>
      </c>
      <c r="X4" s="1193" t="s">
        <v>4828</v>
      </c>
      <c r="Y4" s="1194" t="s">
        <v>2623</v>
      </c>
      <c r="Z4" s="1192" t="s">
        <v>4829</v>
      </c>
      <c r="AA4" s="1193" t="s">
        <v>4830</v>
      </c>
      <c r="AB4" s="1194" t="s">
        <v>4831</v>
      </c>
      <c r="AC4" s="1184"/>
      <c r="AD4" s="898"/>
      <c r="AE4" s="898"/>
      <c r="AF4" s="1243" t="s">
        <v>4824</v>
      </c>
      <c r="AG4" s="1243" t="s">
        <v>447</v>
      </c>
      <c r="AH4" s="1243" t="s">
        <v>446</v>
      </c>
      <c r="AI4" s="1243" t="s">
        <v>2599</v>
      </c>
      <c r="AJ4" s="1243" t="s">
        <v>4832</v>
      </c>
      <c r="AK4" s="1244" t="s">
        <v>4833</v>
      </c>
      <c r="AM4" s="42"/>
      <c r="AN4" s="369"/>
      <c r="AO4" s="1243" t="s">
        <v>4824</v>
      </c>
      <c r="AP4" s="1243" t="s">
        <v>447</v>
      </c>
      <c r="AQ4" s="1243" t="s">
        <v>446</v>
      </c>
      <c r="AR4" s="1243" t="s">
        <v>2599</v>
      </c>
      <c r="AS4" s="1243" t="s">
        <v>4832</v>
      </c>
      <c r="AT4" s="1244" t="s">
        <v>4833</v>
      </c>
      <c r="AV4" s="42"/>
      <c r="AW4" s="369"/>
      <c r="AX4" s="1243" t="s">
        <v>4824</v>
      </c>
      <c r="AY4" s="1243" t="s">
        <v>447</v>
      </c>
      <c r="AZ4" s="1243" t="s">
        <v>446</v>
      </c>
      <c r="BA4" s="1243" t="s">
        <v>2599</v>
      </c>
      <c r="BB4" s="1243" t="s">
        <v>4832</v>
      </c>
      <c r="BC4" s="1244" t="s">
        <v>4833</v>
      </c>
      <c r="BF4" s="1195" t="s">
        <v>4834</v>
      </c>
      <c r="BG4" s="1195" t="s">
        <v>4835</v>
      </c>
      <c r="BH4" s="2317" t="s">
        <v>4836</v>
      </c>
      <c r="BI4" s="2319"/>
      <c r="BJ4" s="2319"/>
      <c r="BK4" s="2319"/>
      <c r="BL4" s="1208" t="s">
        <v>4837</v>
      </c>
      <c r="BM4" s="1208" t="s">
        <v>4838</v>
      </c>
      <c r="BN4" s="1208" t="s">
        <v>4839</v>
      </c>
      <c r="BO4" s="1192" t="s">
        <v>4840</v>
      </c>
      <c r="BP4" s="1192" t="s">
        <v>4841</v>
      </c>
      <c r="BQ4" s="1193" t="s">
        <v>4842</v>
      </c>
      <c r="BR4" s="1233" t="s">
        <v>4843</v>
      </c>
      <c r="BS4" s="1233" t="s">
        <v>4844</v>
      </c>
      <c r="BT4" s="1233" t="s">
        <v>4845</v>
      </c>
      <c r="BU4" s="1238" t="s">
        <v>2616</v>
      </c>
      <c r="BV4" s="1235" t="s">
        <v>428</v>
      </c>
      <c r="BW4" s="1239" t="s">
        <v>4846</v>
      </c>
      <c r="BX4" s="1238" t="s">
        <v>2616</v>
      </c>
      <c r="BY4" s="1235" t="s">
        <v>428</v>
      </c>
      <c r="BZ4" s="1239" t="s">
        <v>4846</v>
      </c>
      <c r="CA4" s="1753" t="s">
        <v>409</v>
      </c>
      <c r="CB4" s="1754" t="s">
        <v>507</v>
      </c>
      <c r="CC4" s="1754" t="s">
        <v>410</v>
      </c>
      <c r="CD4" s="1755" t="s">
        <v>3204</v>
      </c>
      <c r="CE4" s="1754" t="s">
        <v>4847</v>
      </c>
      <c r="CF4" s="1754" t="s">
        <v>4848</v>
      </c>
      <c r="CG4" s="1754" t="s">
        <v>4849</v>
      </c>
      <c r="CH4" s="1756" t="s">
        <v>4850</v>
      </c>
      <c r="CI4" s="1756" t="s">
        <v>4851</v>
      </c>
      <c r="CJ4" s="1753" t="s">
        <v>4852</v>
      </c>
      <c r="CK4" s="1754" t="s">
        <v>4853</v>
      </c>
      <c r="CL4" s="1754" t="s">
        <v>4854</v>
      </c>
      <c r="CM4" s="1754" t="s">
        <v>4855</v>
      </c>
      <c r="CN4" s="1754" t="s">
        <v>4856</v>
      </c>
      <c r="CO4" s="1754" t="s">
        <v>4857</v>
      </c>
      <c r="CP4" s="1754" t="s">
        <v>4858</v>
      </c>
      <c r="CQ4" s="1754" t="s">
        <v>4859</v>
      </c>
      <c r="CR4" s="1754" t="s">
        <v>4860</v>
      </c>
      <c r="CS4" s="1754" t="s">
        <v>4861</v>
      </c>
      <c r="CT4" s="1754" t="s">
        <v>4862</v>
      </c>
      <c r="CU4" s="1757" t="s">
        <v>4863</v>
      </c>
      <c r="CZ4" t="s">
        <v>4864</v>
      </c>
      <c r="DB4" s="19" t="s">
        <v>4865</v>
      </c>
      <c r="DG4" s="82" t="s">
        <v>4866</v>
      </c>
      <c r="DH4" s="84" t="s">
        <v>4867</v>
      </c>
      <c r="DI4" s="67" t="s">
        <v>4868</v>
      </c>
      <c r="DJ4" s="67" t="s">
        <v>4869</v>
      </c>
      <c r="DK4" s="560" t="s">
        <v>4870</v>
      </c>
      <c r="DL4" s="49"/>
    </row>
    <row r="5" spans="1:121" ht="44.25" customHeight="1" thickBot="1" x14ac:dyDescent="0.4">
      <c r="F5" s="42"/>
      <c r="G5" s="42" t="s">
        <v>4871</v>
      </c>
      <c r="H5" s="1202" t="s">
        <v>4872</v>
      </c>
      <c r="I5" s="1203" t="s">
        <v>4872</v>
      </c>
      <c r="J5" s="1203" t="s">
        <v>4872</v>
      </c>
      <c r="K5" s="1203" t="s">
        <v>4872</v>
      </c>
      <c r="L5" s="1203" t="s">
        <v>4872</v>
      </c>
      <c r="M5" s="1204" t="s">
        <v>4872</v>
      </c>
      <c r="N5" s="1242" t="s">
        <v>4873</v>
      </c>
      <c r="O5" s="1205" t="s">
        <v>4874</v>
      </c>
      <c r="P5" s="1205" t="s">
        <v>2556</v>
      </c>
      <c r="Q5" s="1205" t="s">
        <v>2480</v>
      </c>
      <c r="R5" s="1206" t="s">
        <v>4875</v>
      </c>
      <c r="S5" s="1207" t="s">
        <v>4876</v>
      </c>
      <c r="T5" s="1199" t="s">
        <v>4877</v>
      </c>
      <c r="U5" s="1198" t="s">
        <v>4877</v>
      </c>
      <c r="V5" s="1200" t="s">
        <v>4877</v>
      </c>
      <c r="W5" s="1199" t="s">
        <v>4878</v>
      </c>
      <c r="X5" s="1198" t="s">
        <v>4879</v>
      </c>
      <c r="Y5" s="1200" t="s">
        <v>4880</v>
      </c>
      <c r="Z5" s="1201" t="s">
        <v>4881</v>
      </c>
      <c r="AA5" s="1198" t="s">
        <v>4882</v>
      </c>
      <c r="AB5" s="1200" t="s">
        <v>4882</v>
      </c>
      <c r="AC5" s="1185"/>
      <c r="AD5" s="901"/>
      <c r="AE5" s="901"/>
      <c r="AF5" s="1245" t="s">
        <v>4883</v>
      </c>
      <c r="AG5" s="1245" t="s">
        <v>4874</v>
      </c>
      <c r="AH5" s="1245" t="s">
        <v>4884</v>
      </c>
      <c r="AI5" s="1245" t="s">
        <v>4885</v>
      </c>
      <c r="AJ5" s="1246" t="s">
        <v>4875</v>
      </c>
      <c r="AK5" s="1247" t="s">
        <v>4876</v>
      </c>
      <c r="AM5" s="42"/>
      <c r="AN5" s="369"/>
      <c r="AO5" s="1245" t="s">
        <v>4883</v>
      </c>
      <c r="AP5" s="1245" t="s">
        <v>4874</v>
      </c>
      <c r="AQ5" s="1245" t="s">
        <v>4884</v>
      </c>
      <c r="AR5" s="1245" t="s">
        <v>4885</v>
      </c>
      <c r="AS5" s="1246" t="s">
        <v>4875</v>
      </c>
      <c r="AT5" s="1247" t="s">
        <v>4876</v>
      </c>
      <c r="AV5" s="42"/>
      <c r="AW5" s="369"/>
      <c r="AX5" s="1245" t="s">
        <v>4883</v>
      </c>
      <c r="AY5" s="1245" t="s">
        <v>4874</v>
      </c>
      <c r="AZ5" s="1245" t="s">
        <v>4884</v>
      </c>
      <c r="BA5" s="1245" t="s">
        <v>4885</v>
      </c>
      <c r="BB5" s="1246" t="s">
        <v>4875</v>
      </c>
      <c r="BC5" s="1247" t="s">
        <v>4876</v>
      </c>
      <c r="BF5" s="1236" t="s">
        <v>4886</v>
      </c>
      <c r="BG5" s="1248" t="s">
        <v>4886</v>
      </c>
      <c r="BH5" s="2318" t="s">
        <v>4886</v>
      </c>
      <c r="BI5" s="86"/>
      <c r="BJ5" s="86"/>
      <c r="BK5" s="86"/>
      <c r="BL5" s="86" t="s">
        <v>4887</v>
      </c>
      <c r="BM5" s="86" t="s">
        <v>4887</v>
      </c>
      <c r="BN5" s="86" t="s">
        <v>4887</v>
      </c>
      <c r="BO5" s="1201" t="s">
        <v>4881</v>
      </c>
      <c r="BP5" s="1201"/>
      <c r="BQ5" s="1198" t="s">
        <v>4882</v>
      </c>
      <c r="BR5" s="1234"/>
      <c r="BS5" s="1234"/>
      <c r="BT5" s="1234" t="s">
        <v>4882</v>
      </c>
      <c r="BU5" s="1240"/>
      <c r="BV5" s="1198"/>
      <c r="BW5" s="1200"/>
      <c r="BX5" s="1240"/>
      <c r="BY5" s="1198"/>
      <c r="BZ5" s="1200"/>
      <c r="CA5" s="1240" t="s">
        <v>4888</v>
      </c>
      <c r="CB5" s="1198" t="s">
        <v>4889</v>
      </c>
      <c r="CC5" s="1198" t="s">
        <v>4889</v>
      </c>
      <c r="CD5" s="1758" t="s">
        <v>4890</v>
      </c>
      <c r="CE5" s="1198" t="s">
        <v>4891</v>
      </c>
      <c r="CF5" s="1198" t="s">
        <v>4891</v>
      </c>
      <c r="CG5" s="1198" t="s">
        <v>4891</v>
      </c>
      <c r="CH5" s="1198" t="s">
        <v>4891</v>
      </c>
      <c r="CI5" s="1234" t="s">
        <v>4874</v>
      </c>
      <c r="CJ5" s="1240" t="s">
        <v>2414</v>
      </c>
      <c r="CK5" s="1198" t="s">
        <v>2414</v>
      </c>
      <c r="CL5" s="1198" t="s">
        <v>2414</v>
      </c>
      <c r="CM5" s="1198" t="s">
        <v>2414</v>
      </c>
      <c r="CN5" s="1198" t="s">
        <v>2414</v>
      </c>
      <c r="CO5" s="1198" t="s">
        <v>2414</v>
      </c>
      <c r="CP5" s="1198" t="s">
        <v>4892</v>
      </c>
      <c r="CQ5" s="1198" t="s">
        <v>4892</v>
      </c>
      <c r="CR5" s="1198" t="s">
        <v>4892</v>
      </c>
      <c r="CS5" s="1198" t="s">
        <v>4892</v>
      </c>
      <c r="CT5" s="1198" t="s">
        <v>4892</v>
      </c>
      <c r="CU5" s="1200" t="s">
        <v>4892</v>
      </c>
      <c r="CV5" s="619"/>
      <c r="CX5" s="76" t="s">
        <v>4893</v>
      </c>
      <c r="CY5" s="49"/>
      <c r="CZ5" s="67" t="s">
        <v>4868</v>
      </c>
      <c r="DA5" s="67" t="s">
        <v>4869</v>
      </c>
      <c r="DB5" s="560" t="s">
        <v>4870</v>
      </c>
      <c r="DC5" s="49"/>
      <c r="DD5" s="620" t="s">
        <v>4894</v>
      </c>
      <c r="DE5" s="620" t="s">
        <v>4895</v>
      </c>
      <c r="DH5" s="67" t="s">
        <v>4896</v>
      </c>
      <c r="DI5" s="67" t="s">
        <v>4897</v>
      </c>
      <c r="DJ5" s="67" t="s">
        <v>4898</v>
      </c>
      <c r="DK5" s="621" t="s">
        <v>4899</v>
      </c>
      <c r="DL5" s="67" t="s">
        <v>4900</v>
      </c>
      <c r="DP5" s="617" t="s">
        <v>4901</v>
      </c>
      <c r="DQ5" s="88" t="s">
        <v>4902</v>
      </c>
    </row>
    <row r="6" spans="1:121" ht="35.25" customHeight="1" thickBot="1" x14ac:dyDescent="0.35">
      <c r="C6" s="2997" t="s">
        <v>4903</v>
      </c>
      <c r="D6" s="2998"/>
      <c r="E6" s="2999"/>
      <c r="F6" s="32" t="s">
        <v>4904</v>
      </c>
      <c r="G6" s="32"/>
      <c r="H6" s="1186"/>
      <c r="I6" s="1186"/>
      <c r="J6" s="1186"/>
      <c r="K6" s="1186"/>
      <c r="L6" s="1186"/>
      <c r="M6" s="1186"/>
      <c r="N6" s="1186"/>
      <c r="O6" s="1186"/>
      <c r="P6" s="1186"/>
      <c r="Q6" s="1186"/>
      <c r="R6" s="1186"/>
      <c r="S6" s="1186"/>
      <c r="T6" s="1186"/>
      <c r="U6" s="1186"/>
      <c r="V6" s="1186"/>
      <c r="W6" s="1186"/>
      <c r="X6" s="1186"/>
      <c r="Y6" s="1186"/>
      <c r="Z6" s="337"/>
      <c r="AA6" s="337"/>
      <c r="AB6" s="128"/>
      <c r="AD6" s="42"/>
      <c r="AE6" s="615"/>
      <c r="AF6" s="622"/>
      <c r="AG6" s="622"/>
      <c r="AH6" s="622"/>
      <c r="AI6" s="622"/>
      <c r="AJ6" s="622"/>
      <c r="AK6" s="622"/>
      <c r="AM6" s="42"/>
      <c r="AN6" s="369"/>
      <c r="AO6" s="622"/>
      <c r="AP6" s="622"/>
      <c r="AQ6" s="622"/>
      <c r="AR6" s="622"/>
      <c r="AS6" s="622"/>
      <c r="AT6" s="622"/>
      <c r="AV6" s="42"/>
      <c r="AW6" s="369"/>
      <c r="AX6" s="622"/>
      <c r="AY6" s="622"/>
      <c r="AZ6" s="622"/>
      <c r="BA6" s="622"/>
      <c r="BB6" s="622"/>
      <c r="BC6" s="622"/>
      <c r="BF6" s="337"/>
      <c r="BG6" s="337"/>
      <c r="BH6" s="337"/>
      <c r="CV6" s="619"/>
      <c r="CX6" s="623" t="s">
        <v>4905</v>
      </c>
      <c r="CY6" s="623" t="s">
        <v>4906</v>
      </c>
      <c r="CZ6" s="623" t="s">
        <v>4897</v>
      </c>
      <c r="DA6" s="623" t="s">
        <v>4898</v>
      </c>
      <c r="DB6" s="623" t="s">
        <v>4899</v>
      </c>
      <c r="DC6" s="623" t="s">
        <v>4900</v>
      </c>
      <c r="DD6" s="620" t="s">
        <v>4907</v>
      </c>
      <c r="DE6" s="620" t="s">
        <v>4908</v>
      </c>
      <c r="DH6" s="37">
        <f>'Sc1'!L40</f>
        <v>0</v>
      </c>
      <c r="DI6" s="27">
        <f>'Sc1'!L92</f>
        <v>0</v>
      </c>
      <c r="DJ6" s="27">
        <f>'Sc1'!L93</f>
        <v>0</v>
      </c>
      <c r="DK6" s="37">
        <f>'Sc1'!N42+'Sc1'!N43</f>
        <v>0</v>
      </c>
      <c r="DL6" s="50">
        <f>'Sc1'!N75</f>
        <v>0</v>
      </c>
      <c r="DP6" s="624" t="s">
        <v>4909</v>
      </c>
      <c r="DQ6" s="625" t="s">
        <v>4910</v>
      </c>
    </row>
    <row r="7" spans="1:121" ht="22.35" customHeight="1" x14ac:dyDescent="0.3">
      <c r="A7" s="126" t="s">
        <v>4911</v>
      </c>
      <c r="B7" s="126" t="s">
        <v>4911</v>
      </c>
      <c r="C7" s="100" t="str">
        <f>Sc.Table!I12</f>
        <v>Deep pit, tanker</v>
      </c>
      <c r="D7" s="18" t="s">
        <v>4912</v>
      </c>
      <c r="E7" s="9" t="s">
        <v>4913</v>
      </c>
      <c r="F7" s="18" t="s">
        <v>4914</v>
      </c>
      <c r="G7" s="1066"/>
      <c r="H7" s="2299">
        <f>SUMIFS('Sc1'!$D:$D,'Sc1'!$A:$A,$D$7,'Sc1'!$B:$B,Output.Rankings!H$4)</f>
        <v>80.019532027672795</v>
      </c>
      <c r="I7" s="2300">
        <f>SUMIFS('Sc1'!$D:$D,'Sc1'!$A:$A,$D$7,'Sc1'!$B:$B,Output.Rankings!I$4)</f>
        <v>29.124523338619547</v>
      </c>
      <c r="J7" s="2299">
        <f>SUMIFS('Sc1'!$D:$D,'Sc1'!$A:$A,$D$7,'Sc1'!$B:$B,Output.Rankings!J$4)</f>
        <v>0</v>
      </c>
      <c r="K7" s="2299">
        <f>SUMIFS('Sc1'!$D:$D,'Sc1'!$A:$A,$D$7,'Sc1'!$B:$B,Output.Rankings!K$4)</f>
        <v>26.428080656756883</v>
      </c>
      <c r="L7" s="2299">
        <f>SUMIFS('Sc1'!$D:$D,'Sc1'!$A:$A,$D$7,'Sc1'!$B:$B,Output.Rankings!L$4)</f>
        <v>0</v>
      </c>
      <c r="M7" s="2299">
        <f>K7+L7-H7-I7</f>
        <v>-82.715974709535459</v>
      </c>
      <c r="N7" s="2301">
        <f>IF($C$2="Farm",AF7,IF($C$2="Off Farm",AO7,IF($C$2="Net",AX7,NA())))</f>
        <v>0.51812538167062128</v>
      </c>
      <c r="O7" s="2301">
        <f>IF($C$2="Farm",AG7,IF($C$2="Off Farm",AP7,IF($C$2="Net",AY7,NA())))</f>
        <v>0.15290585659551295</v>
      </c>
      <c r="P7" s="2301">
        <f>IF($C$2="Farm",AH7,IF($C$2="Off Farm",AQ7,IF($C$2="Net",AZ7,NA())))</f>
        <v>0</v>
      </c>
      <c r="Q7" s="2301">
        <f t="shared" ref="Q7:S7" si="0">IF($C$2="Farm",AI7,IF($C$2="Off Farm",AR7,IF($C$2="Net",BA7,NA())))</f>
        <v>0</v>
      </c>
      <c r="R7" s="2301">
        <f t="shared" si="0"/>
        <v>8.8806076154703533</v>
      </c>
      <c r="S7" s="2301">
        <f t="shared" si="0"/>
        <v>5.5112746043841678</v>
      </c>
      <c r="T7" s="2302">
        <v>4.25</v>
      </c>
      <c r="U7" s="2302">
        <v>5.9854100206416794E-3</v>
      </c>
      <c r="V7" s="2302">
        <v>2.75</v>
      </c>
      <c r="W7" s="2303">
        <f ca="1">IF($C$3="Sludge Year",BL7,IF($C$3="Non-Sludge Year", BM7,IF($C$3="Annual Average",BN7,NA())))</f>
        <v>22.003886560796118</v>
      </c>
      <c r="X7" s="2303">
        <f>IF($C$3="Sludge Year",BX7,IF($C$3="Non-Sludge Year", BY7,IF($C$3="Annual Average",BZ7,NA())))</f>
        <v>0</v>
      </c>
      <c r="Y7" s="2304">
        <f>IF($C$3="Sludge Year",Z7,IF($C$3="Non-Sludge Year", AA7,IF($C$3="Annual Average",AB7,NA())))</f>
        <v>0</v>
      </c>
      <c r="Z7" s="1197" cm="1">
        <f t="array" ref="Z7">INDEX(EconIntermediate!$C$23:$AE$23,$AC7)</f>
        <v>0</v>
      </c>
      <c r="AA7" s="1197" cm="1">
        <f t="array" ref="AA7">INDEX(EconIntermediate!$C$22:$AE$22,$AC7)</f>
        <v>0</v>
      </c>
      <c r="AB7" s="1082" cm="1">
        <f t="array" ref="AB7">INDEX(EconIntermediate!$C$24:$AE$24,$AC7)</f>
        <v>0</v>
      </c>
      <c r="AC7" s="147">
        <f>MATCH(C7,EconIntermediate!$C$3:$AE$3,0)</f>
        <v>1</v>
      </c>
      <c r="AD7" s="9" t="str">
        <f>_xlfn.CONCAT(Sc.Table!C12,Sc.Table!D12)</f>
        <v>1A</v>
      </c>
      <c r="AE7" s="2305" t="str">
        <f>Sc.Table!G12</f>
        <v>Deep pit slurry system - TL (A)</v>
      </c>
      <c r="AF7" s="2306">
        <f>'LCIA Summary output'!T5</f>
        <v>0.51812538167062128</v>
      </c>
      <c r="AG7" s="2306">
        <f>'LCIA Summary output'!U5</f>
        <v>0.15290585659551295</v>
      </c>
      <c r="AH7" s="2306">
        <f>'LCIA Summary output'!V5</f>
        <v>0</v>
      </c>
      <c r="AI7" s="2306">
        <f>'LCIA Summary output'!W5</f>
        <v>0</v>
      </c>
      <c r="AJ7" s="2306">
        <f>'LCIA Summary output'!X5</f>
        <v>8.8806076154703533</v>
      </c>
      <c r="AK7" s="2306">
        <f>'LCIA Summary output'!Y5</f>
        <v>5.5112746043841678</v>
      </c>
      <c r="AM7" s="9" t="str">
        <f>AD7</f>
        <v>1A</v>
      </c>
      <c r="AN7" s="2305" t="str">
        <f>Sc.Table!G12</f>
        <v>Deep pit slurry system - TL (A)</v>
      </c>
      <c r="AO7" s="2309">
        <f>'LCIA Summary output'!T6</f>
        <v>-1.3061437652166778E-2</v>
      </c>
      <c r="AP7" s="2309">
        <f>'LCIA Summary output'!U6</f>
        <v>0</v>
      </c>
      <c r="AQ7" s="2309">
        <f>'LCIA Summary output'!V6</f>
        <v>-175.84678841120939</v>
      </c>
      <c r="AR7" s="2309">
        <f>'LCIA Summary output'!W6</f>
        <v>0.78467102406457045</v>
      </c>
      <c r="AS7" s="2309">
        <f>'LCIA Summary output'!X6</f>
        <v>0</v>
      </c>
      <c r="AT7" s="2309">
        <f>'LCIA Summary output'!Y6</f>
        <v>0</v>
      </c>
      <c r="AV7" s="9" t="str">
        <f>AD7</f>
        <v>1A</v>
      </c>
      <c r="AW7" s="2305" t="str">
        <f>Sc.Table!G12</f>
        <v>Deep pit slurry system - TL (A)</v>
      </c>
      <c r="AX7" s="2309">
        <f>'LCIA Summary output'!T7</f>
        <v>0.50506394401845456</v>
      </c>
      <c r="AY7" s="2309">
        <f>'LCIA Summary output'!U7</f>
        <v>0.15290585659551295</v>
      </c>
      <c r="AZ7" s="2309">
        <f>'LCIA Summary output'!V7</f>
        <v>-175.84678841120939</v>
      </c>
      <c r="BA7" s="2309">
        <f>'LCIA Summary output'!W7</f>
        <v>0.78467102406457045</v>
      </c>
      <c r="BB7" s="2309">
        <f>'LCIA Summary output'!X7</f>
        <v>8.8806076154703533</v>
      </c>
      <c r="BC7" s="2309">
        <f>'LCIA Summary output'!Y7</f>
        <v>5.5112746043841678</v>
      </c>
      <c r="BE7" s="100" t="str">
        <f t="shared" ref="BE7:BE33" si="1">C7</f>
        <v>Deep pit, tanker</v>
      </c>
      <c r="BF7" s="645" cm="1">
        <f t="array" ref="BF7">INDEX(EconResultsSummary!$C$42:$AE$42,$AC7)</f>
        <v>76.381736002187523</v>
      </c>
      <c r="BG7" s="645" cm="1">
        <f t="array" ref="BG7">INDEX(EconResultsSummary!$C$41:$AE$41,$AC7)</f>
        <v>76.381736002187523</v>
      </c>
      <c r="BH7" s="1196" cm="1">
        <f t="array" ref="BH7">INDEX(EconResultsSummary!$C$43:$AE$43,$AC7)</f>
        <v>76.381736002187523</v>
      </c>
      <c r="BI7" s="78"/>
      <c r="BJ7" s="78"/>
      <c r="BK7" s="78"/>
      <c r="BL7" cm="1">
        <f t="array" aca="1" ref="BL7" ca="1">INDEX(EconResultsSummary!$C$78:$AE$78,$AC7)</f>
        <v>22.003886560796118</v>
      </c>
      <c r="BM7" cm="1">
        <f t="array" aca="1" ref="BM7" ca="1">INDEX(EconResultsSummary!$C$76:$AE$76,$AC7)</f>
        <v>22.003886560796118</v>
      </c>
      <c r="BN7" cm="1">
        <f t="array" aca="1" ref="BN7" ca="1">INDEX(EconResultsSummary!$C$79:$AE$79,$AC7)</f>
        <v>22.003886560796118</v>
      </c>
      <c r="BO7" cm="1">
        <f t="array" ref="BO7">INDEX(EconIntermediate!$C$18:$AE$18,$AC7)</f>
        <v>0</v>
      </c>
      <c r="BP7" cm="1">
        <f t="array" ref="BP7">INDEX(EconIntermediate!$C$19:$AE$19,$AC7)</f>
        <v>0</v>
      </c>
      <c r="BQ7" cm="1">
        <f t="array" ref="BQ7">INDEX(EconIntermediate!$C$16:$AE$16,$AC7)</f>
        <v>0</v>
      </c>
      <c r="BR7" cm="1">
        <f t="array" ref="BR7">INDEX(EconIntermediate!$C$17:$AE$17,$AC7)</f>
        <v>0</v>
      </c>
      <c r="BS7" cm="1">
        <f t="array" ref="BS7">INDEX(EconIntermediate!$C$20:$AE$20,$AC7)</f>
        <v>0</v>
      </c>
      <c r="BT7" cm="1">
        <f t="array" ref="BT7">INDEX(EconIntermediate!$C$21:$AE$21,$AC7)</f>
        <v>0</v>
      </c>
      <c r="BU7" cm="1">
        <f t="array" ref="BU7">INDEX(EconResultsSummary!$C$46:$AE$46,$AC7)</f>
        <v>23.618263997812477</v>
      </c>
      <c r="BV7" cm="1">
        <f t="array" ref="BV7">INDEX(EconResultsSummary!$C$45:$AE$45,$AC7)</f>
        <v>23.618263997812477</v>
      </c>
      <c r="BW7" cm="1">
        <f t="array" ref="BW7">INDEX(EconResultsSummary!$C$44:$AE$44,$AC7)</f>
        <v>23.618263997812477</v>
      </c>
      <c r="BX7" cm="1">
        <f t="array" ref="BX7">INDEX(EconResultsSummary!$C$49:$AE$49,$AC7)</f>
        <v>0</v>
      </c>
      <c r="BY7" cm="1">
        <f t="array" ref="BY7">INDEX(EconResultsSummary!$C$48:$AE$48,$AC7)</f>
        <v>0</v>
      </c>
      <c r="BZ7" cm="1">
        <f t="array" ref="BZ7">INDEX(EconResultsSummary!$C$47:$AE$47,$AC7)</f>
        <v>0</v>
      </c>
      <c r="CA7">
        <f>'Sc1'!C6*UDV.animal.total</f>
        <v>0</v>
      </c>
      <c r="CB7" s="147">
        <f>'Sc1'!C5*UC.m3_to_gal*UDV.animal.total</f>
        <v>0</v>
      </c>
      <c r="CC7" s="147">
        <f>'Sc1'!C38*UDV.animal.total</f>
        <v>370.31185144590069</v>
      </c>
      <c r="CE7" s="147">
        <f>('Sc1'!C10)</f>
        <v>14.223165509791722</v>
      </c>
      <c r="CF7" s="147">
        <f>'Sc1'!C14</f>
        <v>0</v>
      </c>
      <c r="CG7" s="147">
        <f>'Sc1'!C11</f>
        <v>6.6431094999999996</v>
      </c>
      <c r="CH7" s="147">
        <f>'Sc1'!C15</f>
        <v>0</v>
      </c>
      <c r="CI7" s="147">
        <f>'Sc1'!C34*UC.m2_to_acre</f>
        <v>7.13103647531107E-2</v>
      </c>
      <c r="CJ7" s="78">
        <f>PT.deep_pit!G76</f>
        <v>56.190399750413853</v>
      </c>
      <c r="CK7" s="78">
        <f>PT.deep_pit!G77</f>
        <v>26.244437508218098</v>
      </c>
      <c r="CL7" s="78">
        <f>PT.deep_pit!G78</f>
        <v>33.743013022370931</v>
      </c>
      <c r="CM7">
        <v>0</v>
      </c>
      <c r="CN7">
        <v>0</v>
      </c>
      <c r="CO7">
        <v>0</v>
      </c>
      <c r="CP7">
        <v>0</v>
      </c>
      <c r="CQ7">
        <v>0</v>
      </c>
      <c r="CR7">
        <v>0</v>
      </c>
      <c r="CS7">
        <v>0</v>
      </c>
      <c r="CT7">
        <v>0</v>
      </c>
      <c r="CU7">
        <v>0</v>
      </c>
      <c r="CV7" s="626" t="str">
        <f>BE7</f>
        <v>Deep pit, tanker</v>
      </c>
      <c r="CW7" s="9" t="s">
        <v>4915</v>
      </c>
      <c r="CX7" s="37">
        <f>'LCIA Summary output'!S3</f>
        <v>0</v>
      </c>
      <c r="CY7" s="37">
        <f>'LCIA Summary output'!W5</f>
        <v>0</v>
      </c>
      <c r="CZ7" s="37">
        <f>'LCIA Summary output'!X5</f>
        <v>8.8806076154703533</v>
      </c>
      <c r="DA7" s="37">
        <f>'LCIA Summary output'!Y5</f>
        <v>5.5112746043841678</v>
      </c>
      <c r="DB7" s="77">
        <f>'LCIA Summary output'!V5</f>
        <v>0</v>
      </c>
      <c r="DC7" s="77">
        <f>'LCIA Summary output'!U5</f>
        <v>0.15290585659551295</v>
      </c>
      <c r="DD7" s="57">
        <f>'Sc1'!L58</f>
        <v>0</v>
      </c>
      <c r="DE7" s="13"/>
      <c r="DH7" s="37">
        <f>'Sc2'!L38</f>
        <v>0</v>
      </c>
      <c r="DI7" s="27">
        <f>'Sc2'!L98</f>
        <v>0</v>
      </c>
      <c r="DJ7" s="27">
        <f>'Sc2'!L99</f>
        <v>0</v>
      </c>
      <c r="DK7" s="37">
        <f>'Sc2'!N40+'Sc2'!N41</f>
        <v>0</v>
      </c>
      <c r="DL7" s="50">
        <f>'Sc2'!N73</f>
        <v>0</v>
      </c>
      <c r="DP7" s="37">
        <f>'Sc1'!N65</f>
        <v>0</v>
      </c>
      <c r="DQ7" s="37">
        <f>'Sc1'!O65</f>
        <v>0</v>
      </c>
    </row>
    <row r="8" spans="1:121" ht="22.35" customHeight="1" x14ac:dyDescent="0.3">
      <c r="A8" s="126" t="s">
        <v>4916</v>
      </c>
      <c r="B8" s="126" t="s">
        <v>4916</v>
      </c>
      <c r="C8" s="100" t="str">
        <f>Sc.Table!I13</f>
        <v>Deep pit, drag hose</v>
      </c>
      <c r="D8" s="18" t="s">
        <v>4917</v>
      </c>
      <c r="E8" s="9" t="s">
        <v>2586</v>
      </c>
      <c r="F8" s="18" t="s">
        <v>4914</v>
      </c>
      <c r="G8" s="648"/>
      <c r="H8" s="2299">
        <f>SUMIFS('Sc1'!$D:$D,'Sc1'!$A:$A,$D$8,'Sc1'!$B:$B,Output.Rankings!H$4)</f>
        <v>187.39420738076305</v>
      </c>
      <c r="I8" s="2299">
        <f>SUMIFS('Sc1'!$D:$D,'Sc1'!$A:$A,$D$8,'Sc1'!$B:$B,Output.Rankings!I$4)</f>
        <v>65.065295958790145</v>
      </c>
      <c r="J8" s="2299">
        <f>SUMIFS('Sc1'!$D:$D,'Sc1'!$A:$A,$D$8,'Sc1'!$B:$B,Output.Rankings!J$4)</f>
        <v>0</v>
      </c>
      <c r="K8" s="2299">
        <f>SUMIFS('Sc1'!$D:$D,'Sc1'!$A:$A,$D$8,'Sc1'!$B:$B,Output.Rankings!K$4)</f>
        <v>26.428080656756883</v>
      </c>
      <c r="L8" s="2299">
        <f>SUMIFS('Sc1'!$D:$D,'Sc1'!$A:$A,$D$8,'Sc1'!$B:$B,Output.Rankings!L$4)</f>
        <v>0</v>
      </c>
      <c r="M8" s="2299">
        <f t="shared" ref="M8:M33" si="2">K8+L8-H8-I8</f>
        <v>-226.03142268279629</v>
      </c>
      <c r="N8" s="2301">
        <f t="shared" ref="N8:N33" si="3">IF($C$2="Farm",AF8,IF($C$2="Off Farm",AO8,IF($C$2="Net",AX8,NA())))</f>
        <v>0.52071524780695566</v>
      </c>
      <c r="O8" s="2301">
        <f t="shared" ref="O8:O33" si="4">IF($C$2="Farm",AG8,IF($C$2="Off Farm",AP8,IF($C$2="Net",AY8,NA())))</f>
        <v>0.15290585659551295</v>
      </c>
      <c r="P8" s="2301">
        <f t="shared" ref="P8:P33" si="5">IF($C$2="Farm",AH8,IF($C$2="Off Farm",AQ8,IF($C$2="Net",AZ8,NA())))</f>
        <v>0</v>
      </c>
      <c r="Q8" s="2301">
        <f t="shared" ref="Q8:Q33" si="6">IF($C$2="Farm",AI8,IF($C$2="Off Farm",AR8,IF($C$2="Net",BA8,NA())))</f>
        <v>0</v>
      </c>
      <c r="R8" s="2301">
        <f t="shared" ref="R8:R33" si="7">IF($C$2="Farm",AJ8,IF($C$2="Off Farm",AS8,IF($C$2="Net",BB8,NA())))</f>
        <v>8.8806076154703533</v>
      </c>
      <c r="S8" s="2301">
        <f t="shared" ref="S8:S33" si="8">IF($C$2="Farm",AK8,IF($C$2="Off Farm",AT8,IF($C$2="Net",BC8,NA())))</f>
        <v>5.5112746043841678</v>
      </c>
      <c r="T8" s="2302">
        <v>4.5</v>
      </c>
      <c r="U8" s="2302">
        <v>4.6181272283730701E-3</v>
      </c>
      <c r="V8" s="2302">
        <v>2.75</v>
      </c>
      <c r="W8" s="2303">
        <f t="shared" ref="W8:W33" ca="1" si="9">IF($C$3="Sludge Year",BL8,IF($C$3="Non-Sludge Year", BM8,IF($C$3="Annual Average",BN8,NA())))</f>
        <v>16.100315177561104</v>
      </c>
      <c r="X8" s="2303">
        <f t="shared" ref="X8:X33" si="10">IF($C$3="Sludge Year",BX8,IF($C$3="Non-Sludge Year", BY8,IF($C$3="Annual Average",BZ8,NA())))</f>
        <v>0</v>
      </c>
      <c r="Y8" s="2304">
        <f t="shared" ref="Y8:Y33" si="11">IF($C$3="Sludge Year",Z8,IF($C$3="Non-Sludge Year", AA8,IF($C$3="Annual Average",AB8,NA())))</f>
        <v>0</v>
      </c>
      <c r="Z8" s="1197" cm="1">
        <f t="array" ref="Z8">INDEX(EconIntermediate!$C$23:$AE$23,$AC8)</f>
        <v>0</v>
      </c>
      <c r="AA8" s="1197" cm="1">
        <f t="array" ref="AA8">INDEX(EconIntermediate!$C$22:$AE$22,$AC8)</f>
        <v>0</v>
      </c>
      <c r="AB8" s="1082" cm="1">
        <f t="array" ref="AB8">INDEX(EconIntermediate!$C$24:$AE$24,$AC8)</f>
        <v>0</v>
      </c>
      <c r="AC8" s="147">
        <f>MATCH(C8,EconIntermediate!$C$3:$AE$3,0)</f>
        <v>16</v>
      </c>
      <c r="AD8" s="9" t="str">
        <f>_xlfn.CONCAT(Sc.Table!C13,Sc.Table!D13)</f>
        <v>1B</v>
      </c>
      <c r="AE8" s="2305" t="str">
        <f>Sc.Table!G13</f>
        <v>Deep pit slurry system - DHL (B)</v>
      </c>
      <c r="AF8" s="2306">
        <f>'LCIA Summary output'!T8</f>
        <v>0.52071524780695566</v>
      </c>
      <c r="AG8" s="2306">
        <f>'LCIA Summary output'!U8</f>
        <v>0.15290585659551295</v>
      </c>
      <c r="AH8" s="2306">
        <f>'LCIA Summary output'!V8</f>
        <v>0</v>
      </c>
      <c r="AI8" s="2306">
        <f>'LCIA Summary output'!W8</f>
        <v>0</v>
      </c>
      <c r="AJ8" s="2306">
        <f>'LCIA Summary output'!X8</f>
        <v>8.8806076154703533</v>
      </c>
      <c r="AK8" s="2306">
        <f>'LCIA Summary output'!Y8</f>
        <v>5.5112746043841678</v>
      </c>
      <c r="AM8" s="9" t="str">
        <f t="shared" ref="AM8:AM33" si="12">AD8</f>
        <v>1B</v>
      </c>
      <c r="AN8" s="2305" t="str">
        <f>Sc.Table!G13</f>
        <v>Deep pit slurry system - DHL (B)</v>
      </c>
      <c r="AO8" s="2306">
        <f>'LCIA Summary output'!T9</f>
        <v>-1.1402117033206725E-2</v>
      </c>
      <c r="AP8" s="2306">
        <f>'LCIA Summary output'!U9</f>
        <v>0</v>
      </c>
      <c r="AQ8" s="2306">
        <f>'LCIA Summary output'!V9</f>
        <v>-159.24980133021793</v>
      </c>
      <c r="AR8" s="2306">
        <f>'LCIA Summary output'!W9</f>
        <v>5.1681314895837227</v>
      </c>
      <c r="AS8" s="2306">
        <f>'LCIA Summary output'!X9</f>
        <v>0</v>
      </c>
      <c r="AT8" s="2306">
        <f>'LCIA Summary output'!Y9</f>
        <v>0</v>
      </c>
      <c r="AV8" s="9" t="str">
        <f t="shared" ref="AV8:AV33" si="13">AD8</f>
        <v>1B</v>
      </c>
      <c r="AW8" s="2305" t="str">
        <f>Sc.Table!G13</f>
        <v>Deep pit slurry system - DHL (B)</v>
      </c>
      <c r="AX8" s="2306">
        <f>'LCIA Summary output'!T10</f>
        <v>0.50931313077374896</v>
      </c>
      <c r="AY8" s="2306">
        <f>'LCIA Summary output'!U10</f>
        <v>0.15290585659551295</v>
      </c>
      <c r="AZ8" s="2306">
        <f>'LCIA Summary output'!V10</f>
        <v>-159.24980133021793</v>
      </c>
      <c r="BA8" s="2306">
        <f>'LCIA Summary output'!W10</f>
        <v>5.1681314895837227</v>
      </c>
      <c r="BB8" s="2306">
        <f>'LCIA Summary output'!X10</f>
        <v>8.8806076154703533</v>
      </c>
      <c r="BC8" s="2306">
        <f>'LCIA Summary output'!Y10</f>
        <v>5.5112746043841678</v>
      </c>
      <c r="BE8" s="100" t="str">
        <f t="shared" si="1"/>
        <v>Deep pit, drag hose</v>
      </c>
      <c r="BF8" s="645" cm="1">
        <f t="array" ref="BF8">INDEX(EconResultsSummary!$C$42:$AE$42,$AC8)</f>
        <v>76.381736002187523</v>
      </c>
      <c r="BG8" s="645" cm="1">
        <f t="array" ref="BG8">INDEX(EconResultsSummary!$C$41:$AE$41,$AC8)</f>
        <v>76.381736002187523</v>
      </c>
      <c r="BH8" s="1196" cm="1">
        <f t="array" ref="BH8">INDEX(EconResultsSummary!$C$43:$AE$43,$AC8)</f>
        <v>76.381736002187523</v>
      </c>
      <c r="BI8" s="78"/>
      <c r="BJ8" s="78"/>
      <c r="BK8" s="78"/>
      <c r="BL8" cm="1">
        <f t="array" aca="1" ref="BL8" ca="1">INDEX(EconResultsSummary!$C$78:$AE$78,$AC8)</f>
        <v>16.100315177561104</v>
      </c>
      <c r="BM8" cm="1">
        <f t="array" aca="1" ref="BM8" ca="1">INDEX(EconResultsSummary!$C$76:$AE$76,$AC8)</f>
        <v>16.100315177561104</v>
      </c>
      <c r="BN8" cm="1">
        <f t="array" aca="1" ref="BN8" ca="1">INDEX(EconResultsSummary!$C$79:$AE$79,$AC8)</f>
        <v>16.100315177561104</v>
      </c>
      <c r="BO8" cm="1">
        <f t="array" ref="BO8">INDEX(EconIntermediate!$C$18:$AE$18,$AC8)</f>
        <v>0</v>
      </c>
      <c r="BP8" cm="1">
        <f t="array" ref="BP8">INDEX(EconIntermediate!$C$19:$AE$19,$AC8)</f>
        <v>0</v>
      </c>
      <c r="BQ8" cm="1">
        <f t="array" ref="BQ8">INDEX(EconIntermediate!$C$16:$AE$16,$AC8)</f>
        <v>0</v>
      </c>
      <c r="BR8" cm="1">
        <f t="array" ref="BR8">INDEX(EconIntermediate!$C$17:$AE$17,$AC8)</f>
        <v>0</v>
      </c>
      <c r="BS8" cm="1">
        <f t="array" ref="BS8">INDEX(EconIntermediate!$C$20:$AE$20,$AC8)</f>
        <v>0</v>
      </c>
      <c r="BT8" cm="1">
        <f t="array" ref="BT8">INDEX(EconIntermediate!$C$21:$AE$21,$AC8)</f>
        <v>0</v>
      </c>
      <c r="BU8" cm="1">
        <f t="array" ref="BU8">INDEX(EconResultsSummary!$C$46:$AE$46,$AC8)</f>
        <v>23.618263997812477</v>
      </c>
      <c r="BV8" cm="1">
        <f t="array" ref="BV8">INDEX(EconResultsSummary!$C$45:$AE$45,$AC8)</f>
        <v>23.618263997812477</v>
      </c>
      <c r="BW8" cm="1">
        <f t="array" ref="BW8">INDEX(EconResultsSummary!$C$44:$AE$44,$AC8)</f>
        <v>23.618263997812477</v>
      </c>
      <c r="BX8" cm="1">
        <f t="array" ref="BX8">INDEX(EconResultsSummary!$C$49:$AE$49,$AC8)</f>
        <v>0</v>
      </c>
      <c r="BY8" cm="1">
        <f t="array" ref="BY8">INDEX(EconResultsSummary!$C$48:$AE$48,$AC8)</f>
        <v>0</v>
      </c>
      <c r="BZ8" cm="1">
        <f t="array" ref="BZ8">INDEX(EconResultsSummary!$C$47:$AE$47,$AC8)</f>
        <v>0</v>
      </c>
      <c r="CA8" s="78">
        <f>'Sc1'!C6*UDV.animal.total</f>
        <v>0</v>
      </c>
      <c r="CB8" s="147">
        <f>'Sc1'!C5*UC.m3_to_gal*UDV.animal.total</f>
        <v>0</v>
      </c>
      <c r="CC8" s="147">
        <f>'Sc1'!C39*UDV.animal.total</f>
        <v>497.5154927196885</v>
      </c>
      <c r="CE8" s="147">
        <f>('Sc1'!C10)</f>
        <v>14.223165509791722</v>
      </c>
      <c r="CF8" s="147">
        <f>'Sc1'!C14</f>
        <v>0</v>
      </c>
      <c r="CG8" s="147">
        <f>'Sc1'!C11</f>
        <v>6.6431094999999996</v>
      </c>
      <c r="CH8" s="147">
        <f>'Sc1'!C15</f>
        <v>0</v>
      </c>
      <c r="CI8" s="147">
        <f>'Sc1'!C34*UC.m2_to_acre</f>
        <v>7.13103647531107E-2</v>
      </c>
      <c r="CJ8" s="78">
        <f>PT.deep_pit!G76</f>
        <v>56.190399750413853</v>
      </c>
      <c r="CK8" s="78">
        <f>PT.deep_pit!G77</f>
        <v>26.244437508218098</v>
      </c>
      <c r="CL8" s="78">
        <f>PT.deep_pit!G78</f>
        <v>33.743013022370931</v>
      </c>
      <c r="CM8">
        <v>0</v>
      </c>
      <c r="CN8">
        <v>0</v>
      </c>
      <c r="CO8">
        <v>0</v>
      </c>
      <c r="CP8">
        <v>0</v>
      </c>
      <c r="CQ8">
        <v>0</v>
      </c>
      <c r="CR8">
        <v>0</v>
      </c>
      <c r="CS8">
        <v>0</v>
      </c>
      <c r="CT8">
        <v>0</v>
      </c>
      <c r="CU8">
        <v>0</v>
      </c>
      <c r="CV8" s="626" t="str">
        <f t="shared" ref="CV8:CV33" si="14">BE8</f>
        <v>Deep pit, drag hose</v>
      </c>
      <c r="CW8" s="9" t="s">
        <v>4918</v>
      </c>
      <c r="CX8" s="37">
        <f>'LCIA Summary output'!S9</f>
        <v>0</v>
      </c>
      <c r="CY8" s="37">
        <f>'LCIA Summary output'!W11</f>
        <v>0</v>
      </c>
      <c r="CZ8" s="37">
        <f>'LCIA Summary output'!X11</f>
        <v>19.493877938087866</v>
      </c>
      <c r="DA8" s="37">
        <f>'LCIA Summary output'!Y11</f>
        <v>8.8749215826293248</v>
      </c>
      <c r="DB8" s="77">
        <f>'LCIA Summary output'!V11</f>
        <v>0</v>
      </c>
      <c r="DC8" s="77">
        <f>'LCIA Summary output'!U11</f>
        <v>9.1748660576578017E-2</v>
      </c>
      <c r="DD8" s="57">
        <f>'Sc2'!L56</f>
        <v>0</v>
      </c>
      <c r="DE8" s="13">
        <f t="shared" ref="DE8:DE18" si="15">DD8*$AM$3</f>
        <v>0</v>
      </c>
      <c r="DH8" s="37" t="e">
        <v>#REF!</v>
      </c>
      <c r="DI8" s="27">
        <v>15.890046806830341</v>
      </c>
      <c r="DJ8" s="27">
        <v>5.2493004242193262</v>
      </c>
      <c r="DK8" s="37">
        <v>16.012964138393819</v>
      </c>
      <c r="DL8" s="50">
        <v>921.95769815375559</v>
      </c>
      <c r="DP8" s="49"/>
      <c r="DQ8" s="49"/>
    </row>
    <row r="9" spans="1:121" ht="22.35" customHeight="1" x14ac:dyDescent="0.3">
      <c r="A9" s="126" t="s">
        <v>4919</v>
      </c>
      <c r="B9" s="126" t="s">
        <v>4919</v>
      </c>
      <c r="C9" s="100" t="str">
        <f>Sc.Table!I14</f>
        <v>Deep pit, aeration, tanker</v>
      </c>
      <c r="D9" s="18" t="s">
        <v>4912</v>
      </c>
      <c r="E9" s="9" t="s">
        <v>4913</v>
      </c>
      <c r="F9" s="18" t="s">
        <v>4920</v>
      </c>
      <c r="G9" s="648"/>
      <c r="H9" s="2299">
        <f>SUMIFS('Sc2'!$D:$D,'Sc2'!$A:$A,$D$9,'Sc2'!$B:$B,Output.Rankings!H$4)</f>
        <v>75.941569540956351</v>
      </c>
      <c r="I9" s="2300">
        <f>SUMIFS('Sc2'!$D:$D,'Sc2'!$A:$A,$D$9,'Sc2'!$B:$B,Output.Rankings!I$4)</f>
        <v>27.847553470780319</v>
      </c>
      <c r="J9" s="2299">
        <f>SUMIFS('Sc2'!$D:$D,'Sc2'!$A:$A,$D$9,'Sc2'!$B:$B,Output.Rankings!J$4)</f>
        <v>0</v>
      </c>
      <c r="K9" s="2299">
        <f>SUMIFS('Sc2'!$D:$D,'Sc2'!$A:$A,$D$9,'Sc2'!$B:$B,Output.Rankings!K$4)</f>
        <v>15.847869406081076</v>
      </c>
      <c r="L9" s="2299">
        <f>SUMIFS('Sc2'!$D:$D,'Sc2'!$A:$A,$D$9,'Sc2'!$B:$B,Output.Rankings!L$4)</f>
        <v>0</v>
      </c>
      <c r="M9" s="2299">
        <f t="shared" si="2"/>
        <v>-87.941253605655589</v>
      </c>
      <c r="N9" s="2301">
        <f t="shared" si="3"/>
        <v>0.3093662605738246</v>
      </c>
      <c r="O9" s="2301">
        <f t="shared" si="4"/>
        <v>9.1748660576578017E-2</v>
      </c>
      <c r="P9" s="2301">
        <f t="shared" si="5"/>
        <v>0</v>
      </c>
      <c r="Q9" s="2301">
        <f t="shared" si="6"/>
        <v>0</v>
      </c>
      <c r="R9" s="2301">
        <f t="shared" si="7"/>
        <v>19.493877938087866</v>
      </c>
      <c r="S9" s="2301">
        <f t="shared" si="8"/>
        <v>8.8749215826293248</v>
      </c>
      <c r="T9" s="2302">
        <v>3.5</v>
      </c>
      <c r="U9" s="2302">
        <v>2.0509824120796716E-2</v>
      </c>
      <c r="V9" s="2302">
        <v>2.75</v>
      </c>
      <c r="W9" s="2303">
        <f t="shared" ca="1" si="9"/>
        <v>19.782318372229117</v>
      </c>
      <c r="X9" s="2303">
        <f t="shared" si="10"/>
        <v>0</v>
      </c>
      <c r="Y9" s="2304">
        <f t="shared" si="11"/>
        <v>0</v>
      </c>
      <c r="Z9" s="1197" cm="1">
        <f t="array" ref="Z9">INDEX(EconIntermediate!$C$23:$AE$23,$AC9)</f>
        <v>0</v>
      </c>
      <c r="AA9" s="1197" cm="1">
        <f t="array" ref="AA9">INDEX(EconIntermediate!$C$22:$AE$22,$AC9)</f>
        <v>0</v>
      </c>
      <c r="AB9" s="1082" cm="1">
        <f t="array" ref="AB9">INDEX(EconIntermediate!$C$24:$AE$24,$AC9)</f>
        <v>0</v>
      </c>
      <c r="AC9" s="147">
        <f>MATCH(C9,EconIntermediate!$C$3:$AE$3,0)</f>
        <v>2</v>
      </c>
      <c r="AD9" s="9" t="str">
        <f>_xlfn.CONCAT(Sc.Table!C14,Sc.Table!D14)</f>
        <v>2A</v>
      </c>
      <c r="AE9" s="2305" t="str">
        <f>Sc.Table!G14</f>
        <v>Deep pit slurry - Aeration system - TL (A)</v>
      </c>
      <c r="AF9" s="2306">
        <f>'LCIA Summary output'!T11</f>
        <v>0.3093662605738246</v>
      </c>
      <c r="AG9" s="2306">
        <f>'LCIA Summary output'!U11</f>
        <v>9.1748660576578017E-2</v>
      </c>
      <c r="AH9" s="2306">
        <f>'LCIA Summary output'!V11</f>
        <v>0</v>
      </c>
      <c r="AI9" s="2306">
        <f>'LCIA Summary output'!W11</f>
        <v>0</v>
      </c>
      <c r="AJ9" s="2306">
        <f>'LCIA Summary output'!X11</f>
        <v>19.493877938087866</v>
      </c>
      <c r="AK9" s="2306">
        <f>'LCIA Summary output'!Y11</f>
        <v>8.8749215826293248</v>
      </c>
      <c r="AM9" s="9" t="str">
        <f t="shared" si="12"/>
        <v>2A</v>
      </c>
      <c r="AN9" s="2305" t="str">
        <f>Sc.Table!G14</f>
        <v>Deep pit slurry - Aeration system - TL (A)</v>
      </c>
      <c r="AO9" s="2306">
        <f>'LCIA Summary output'!T12</f>
        <v>4.4467332870797745E-3</v>
      </c>
      <c r="AP9" s="2306">
        <f>'LCIA Summary output'!U12</f>
        <v>0</v>
      </c>
      <c r="AQ9" s="2306">
        <f>'LCIA Summary output'!V12</f>
        <v>-88.665354960517263</v>
      </c>
      <c r="AR9" s="2306">
        <f>'LCIA Summary output'!W12</f>
        <v>14.903654095344963</v>
      </c>
      <c r="AS9" s="2306">
        <f>'LCIA Summary output'!X12</f>
        <v>0</v>
      </c>
      <c r="AT9" s="2306">
        <f>'LCIA Summary output'!Y12</f>
        <v>0</v>
      </c>
      <c r="AV9" s="9" t="str">
        <f t="shared" si="13"/>
        <v>2A</v>
      </c>
      <c r="AW9" s="2305" t="str">
        <f>Sc.Table!G14</f>
        <v>Deep pit slurry - Aeration system - TL (A)</v>
      </c>
      <c r="AX9" s="2306">
        <f>'LCIA Summary output'!T13</f>
        <v>0.31381299386090439</v>
      </c>
      <c r="AY9" s="2306">
        <f>'LCIA Summary output'!U13</f>
        <v>9.1748660576578017E-2</v>
      </c>
      <c r="AZ9" s="2306">
        <f>'LCIA Summary output'!V13</f>
        <v>-88.665354960517263</v>
      </c>
      <c r="BA9" s="2306">
        <f>'LCIA Summary output'!W13</f>
        <v>14.903654095344963</v>
      </c>
      <c r="BB9" s="2306">
        <f>'LCIA Summary output'!X13</f>
        <v>19.493877938087866</v>
      </c>
      <c r="BC9" s="2306">
        <f>'LCIA Summary output'!Y13</f>
        <v>8.8749215826293248</v>
      </c>
      <c r="BE9" s="100" t="str">
        <f t="shared" si="1"/>
        <v>Deep pit, aeration, tanker</v>
      </c>
      <c r="BF9" s="645" cm="1">
        <f t="array" ref="BF9">INDEX(EconResultsSummary!$C$42:$AE$42,$AC9)</f>
        <v>45.80309076902045</v>
      </c>
      <c r="BG9" s="645" cm="1">
        <f t="array" ref="BG9">INDEX(EconResultsSummary!$C$41:$AE$41,$AC9)</f>
        <v>45.80309076902045</v>
      </c>
      <c r="BH9" s="1196" cm="1">
        <f t="array" ref="BH9">INDEX(EconResultsSummary!$C$43:$AE$43,$AC9)</f>
        <v>45.80309076902045</v>
      </c>
      <c r="BI9" s="78"/>
      <c r="BJ9" s="78"/>
      <c r="BK9" s="78"/>
      <c r="BL9" cm="1">
        <f t="array" aca="1" ref="BL9" ca="1">INDEX(EconResultsSummary!$C$78:$AE$78,$AC9)</f>
        <v>19.782318372229117</v>
      </c>
      <c r="BM9" cm="1">
        <f t="array" aca="1" ref="BM9" ca="1">INDEX(EconResultsSummary!$C$76:$AE$76,$AC9)</f>
        <v>19.782318372229117</v>
      </c>
      <c r="BN9" cm="1">
        <f t="array" aca="1" ref="BN9" ca="1">INDEX(EconResultsSummary!$C$79:$AE$79,$AC9)</f>
        <v>19.782318372229117</v>
      </c>
      <c r="BO9" cm="1">
        <f t="array" ref="BO9">INDEX(EconIntermediate!$C$18:$AE$18,$AC9)</f>
        <v>0</v>
      </c>
      <c r="BP9" cm="1">
        <f t="array" ref="BP9">INDEX(EconIntermediate!$C$19:$AE$19,$AC9)</f>
        <v>0</v>
      </c>
      <c r="BQ9" cm="1">
        <f t="array" ref="BQ9">INDEX(EconIntermediate!$C$16:$AE$16,$AC9)</f>
        <v>0</v>
      </c>
      <c r="BR9" cm="1">
        <f t="array" ref="BR9">INDEX(EconIntermediate!$C$17:$AE$17,$AC9)</f>
        <v>0</v>
      </c>
      <c r="BS9" cm="1">
        <f t="array" ref="BS9">INDEX(EconIntermediate!$C$20:$AE$20,$AC9)</f>
        <v>0</v>
      </c>
      <c r="BT9" cm="1">
        <f t="array" ref="BT9">INDEX(EconIntermediate!$C$21:$AE$21,$AC9)</f>
        <v>0</v>
      </c>
      <c r="BU9" cm="1">
        <f t="array" ref="BU9">INDEX(EconResultsSummary!$C$46:$AE$46,$AC9)</f>
        <v>54.19690923097955</v>
      </c>
      <c r="BV9" cm="1">
        <f t="array" ref="BV9">INDEX(EconResultsSummary!$C$45:$AE$45,$AC9)</f>
        <v>54.19690923097955</v>
      </c>
      <c r="BW9" cm="1">
        <f t="array" ref="BW9">INDEX(EconResultsSummary!$C$44:$AE$44,$AC9)</f>
        <v>54.19690923097955</v>
      </c>
      <c r="BX9" cm="1">
        <f t="array" ref="BX9">INDEX(EconResultsSummary!$C$49:$AE$49,$AC9)</f>
        <v>0</v>
      </c>
      <c r="BY9" cm="1">
        <f t="array" ref="BY9">INDEX(EconResultsSummary!$C$48:$AE$48,$AC9)</f>
        <v>0</v>
      </c>
      <c r="BZ9" cm="1">
        <f t="array" ref="BZ9">INDEX(EconResultsSummary!$C$47:$AE$47,$AC9)</f>
        <v>0</v>
      </c>
      <c r="CA9" s="78">
        <f>'Sc2'!C6*UDV.animal.total</f>
        <v>17419.548963200003</v>
      </c>
      <c r="CB9" s="147">
        <f>'Sc2'!C5*UC.m3_to_gal*UDV.animal.total</f>
        <v>0</v>
      </c>
      <c r="CC9" s="147">
        <f>'Sc2'!C38*UDV.animal.total</f>
        <v>213.91345097078369</v>
      </c>
      <c r="CE9" s="147">
        <f>('Sc2'!C10)</f>
        <v>8.5290669597917201</v>
      </c>
      <c r="CF9" s="147">
        <f>'Sc2'!C14</f>
        <v>0</v>
      </c>
      <c r="CG9" s="147">
        <f>'Sc2'!C11</f>
        <v>6.6431094999999996</v>
      </c>
      <c r="CH9" s="147">
        <f>'Sc2'!C15</f>
        <v>0</v>
      </c>
      <c r="CI9" s="147">
        <f>'Sc2'!C34*UC.m2_to_acre</f>
        <v>7.13103647531107E-2</v>
      </c>
      <c r="CJ9" s="78">
        <f>PT.deep_pit!H76</f>
        <v>33.695149060791721</v>
      </c>
      <c r="CK9" s="78">
        <f>PT.deep_pit!H77</f>
        <v>26.244437508218098</v>
      </c>
      <c r="CL9" s="78">
        <f>PT.deep_pit!H78</f>
        <v>33.743013022370931</v>
      </c>
      <c r="CM9">
        <v>0</v>
      </c>
      <c r="CN9">
        <v>0</v>
      </c>
      <c r="CO9">
        <v>0</v>
      </c>
      <c r="CP9">
        <v>0</v>
      </c>
      <c r="CQ9">
        <v>0</v>
      </c>
      <c r="CR9">
        <v>0</v>
      </c>
      <c r="CS9">
        <v>0</v>
      </c>
      <c r="CT9">
        <v>0</v>
      </c>
      <c r="CU9">
        <v>0</v>
      </c>
      <c r="CV9" s="626" t="str">
        <f t="shared" si="14"/>
        <v>Deep pit, aeration, tanker</v>
      </c>
      <c r="CW9" s="9" t="s">
        <v>4921</v>
      </c>
      <c r="CX9" s="37">
        <v>543.49668698905464</v>
      </c>
      <c r="CY9" s="37">
        <v>-5196.7388707120426</v>
      </c>
      <c r="CZ9" s="37">
        <v>115.26268565460971</v>
      </c>
      <c r="DA9" s="37">
        <v>11.572712701242409</v>
      </c>
      <c r="DB9" s="77">
        <v>-1897.1014630186519</v>
      </c>
      <c r="DC9" s="77">
        <v>0.22514633892995661</v>
      </c>
      <c r="DD9" s="57">
        <v>374.86666792463535</v>
      </c>
      <c r="DE9" s="13">
        <f t="shared" si="15"/>
        <v>0</v>
      </c>
      <c r="DH9" s="37">
        <v>6.2571428571428571</v>
      </c>
      <c r="DI9" s="27">
        <v>2.3134882378160015</v>
      </c>
      <c r="DJ9" s="27">
        <v>0.3592003164774083</v>
      </c>
      <c r="DK9" s="37">
        <v>24.055807616308048</v>
      </c>
      <c r="DL9" s="50">
        <v>640.79969531185884</v>
      </c>
      <c r="DP9" s="37">
        <v>443.31588329642022</v>
      </c>
      <c r="DQ9" s="37">
        <v>9.3559542340123816</v>
      </c>
    </row>
    <row r="10" spans="1:121" ht="22.35" customHeight="1" x14ac:dyDescent="0.3">
      <c r="A10" s="126" t="s">
        <v>4922</v>
      </c>
      <c r="B10" s="126" t="s">
        <v>4922</v>
      </c>
      <c r="C10" s="100" t="str">
        <f>Sc.Table!I15</f>
        <v>Deep pit, aeration, drag hose</v>
      </c>
      <c r="D10" s="18" t="s">
        <v>4917</v>
      </c>
      <c r="E10" s="9" t="s">
        <v>2586</v>
      </c>
      <c r="F10" s="18" t="s">
        <v>4920</v>
      </c>
      <c r="G10" s="648"/>
      <c r="H10" s="2299">
        <f>SUMIFS('Sc2'!$D:$D,'Sc2'!$A:$A,$D$10,'Sc2'!$B:$B,Output.Rankings!H$4)</f>
        <v>161.4622436895265</v>
      </c>
      <c r="I10" s="2299">
        <f>SUMIFS('Sc2'!$D:$D,'Sc2'!$A:$A,$D$10,'Sc2'!$B:$B,Output.Rankings!I$4)</f>
        <v>57.258864061153815</v>
      </c>
      <c r="J10" s="2299">
        <f>SUMIFS('Sc2'!$D:$D,'Sc2'!$A:$A,$D$10,'Sc2'!$B:$B,Output.Rankings!J$4)</f>
        <v>0</v>
      </c>
      <c r="K10" s="2299">
        <f>SUMIFS('Sc2'!$D:$D,'Sc2'!$A:$A,$D$10,'Sc2'!$B:$B,Output.Rankings!K$4)</f>
        <v>15.847869406081076</v>
      </c>
      <c r="L10" s="2299">
        <f>SUMIFS('Sc2'!$D:$D,'Sc2'!$A:$A,$D$10,'Sc2'!$B:$B,Output.Rankings!L$4)</f>
        <v>0</v>
      </c>
      <c r="M10" s="2299">
        <f t="shared" si="2"/>
        <v>-202.87323834459923</v>
      </c>
      <c r="N10" s="2301">
        <f t="shared" si="3"/>
        <v>0.31062357777460914</v>
      </c>
      <c r="O10" s="2301">
        <f t="shared" si="4"/>
        <v>9.1748660576578017E-2</v>
      </c>
      <c r="P10" s="2301">
        <f t="shared" si="5"/>
        <v>0</v>
      </c>
      <c r="Q10" s="2301">
        <f t="shared" si="6"/>
        <v>0</v>
      </c>
      <c r="R10" s="2301">
        <f t="shared" si="7"/>
        <v>19.493877938087866</v>
      </c>
      <c r="S10" s="2301">
        <f t="shared" si="8"/>
        <v>8.8749215826293248</v>
      </c>
      <c r="T10" s="2302">
        <v>3.6666666666666665</v>
      </c>
      <c r="U10" s="2302">
        <v>1.9162519889876273E-2</v>
      </c>
      <c r="V10" s="2302">
        <v>2.75</v>
      </c>
      <c r="W10" s="2303">
        <f t="shared" ca="1" si="9"/>
        <v>9.6547189954749015</v>
      </c>
      <c r="X10" s="2303">
        <f t="shared" si="10"/>
        <v>0</v>
      </c>
      <c r="Y10" s="2304">
        <f t="shared" si="11"/>
        <v>0</v>
      </c>
      <c r="Z10" s="1197" cm="1">
        <f t="array" ref="Z10">INDEX(EconIntermediate!$C$23:$AE$23,$AC10)</f>
        <v>0</v>
      </c>
      <c r="AA10" s="1197" cm="1">
        <f t="array" ref="AA10">INDEX(EconIntermediate!$C$22:$AE$22,$AC10)</f>
        <v>0</v>
      </c>
      <c r="AB10" s="1082" cm="1">
        <f t="array" ref="AB10">INDEX(EconIntermediate!$C$24:$AE$24,$AC10)</f>
        <v>0</v>
      </c>
      <c r="AC10" s="147">
        <f>MATCH(C10,EconIntermediate!$C$3:$AE$3,0)</f>
        <v>17</v>
      </c>
      <c r="AD10" s="9" t="str">
        <f>_xlfn.CONCAT(Sc.Table!C15,Sc.Table!D15)</f>
        <v>2B</v>
      </c>
      <c r="AE10" s="2305" t="str">
        <f>Sc.Table!G15</f>
        <v>Deep pit slurry - Aeration system - DHL (B)</v>
      </c>
      <c r="AF10" s="2306">
        <f>'LCIA Summary output'!T14</f>
        <v>0.31062357777460914</v>
      </c>
      <c r="AG10" s="2306">
        <f>'LCIA Summary output'!U14</f>
        <v>9.1748660576578017E-2</v>
      </c>
      <c r="AH10" s="2306">
        <f>'LCIA Summary output'!V14</f>
        <v>0</v>
      </c>
      <c r="AI10" s="2306">
        <f>'LCIA Summary output'!W14</f>
        <v>0</v>
      </c>
      <c r="AJ10" s="2306">
        <f>'LCIA Summary output'!X14</f>
        <v>19.493877938087866</v>
      </c>
      <c r="AK10" s="2306">
        <f>'LCIA Summary output'!Y14</f>
        <v>8.8749215826293248</v>
      </c>
      <c r="AM10" s="9" t="str">
        <f t="shared" si="12"/>
        <v>2B</v>
      </c>
      <c r="AN10" s="2305" t="str">
        <f>Sc.Table!G15</f>
        <v>Deep pit slurry - Aeration system - DHL (B)</v>
      </c>
      <c r="AO10" s="2306">
        <f>'LCIA Summary output'!T15</f>
        <v>5.2522932063997323E-3</v>
      </c>
      <c r="AP10" s="2306">
        <f>'LCIA Summary output'!U15</f>
        <v>0</v>
      </c>
      <c r="AQ10" s="2306">
        <f>'LCIA Summary output'!V15</f>
        <v>-80.607920236240062</v>
      </c>
      <c r="AR10" s="2306">
        <f>'LCIA Summary output'!W15</f>
        <v>17.031717845410885</v>
      </c>
      <c r="AS10" s="2306">
        <f>'LCIA Summary output'!X15</f>
        <v>0</v>
      </c>
      <c r="AT10" s="2306">
        <f>'LCIA Summary output'!Y15</f>
        <v>0</v>
      </c>
      <c r="AV10" s="9" t="str">
        <f t="shared" si="13"/>
        <v>2B</v>
      </c>
      <c r="AW10" s="2305" t="str">
        <f>Sc.Table!G15</f>
        <v>Deep pit slurry - Aeration system - DHL (B)</v>
      </c>
      <c r="AX10" s="2306">
        <f>'LCIA Summary output'!T16</f>
        <v>0.31587587098100883</v>
      </c>
      <c r="AY10" s="2306">
        <f>'LCIA Summary output'!U16</f>
        <v>9.1748660576578017E-2</v>
      </c>
      <c r="AZ10" s="2306">
        <f>'LCIA Summary output'!V16</f>
        <v>-80.607920236240062</v>
      </c>
      <c r="BA10" s="2306">
        <f>'LCIA Summary output'!W16</f>
        <v>17.031717845410885</v>
      </c>
      <c r="BB10" s="2306">
        <f>'LCIA Summary output'!X16</f>
        <v>19.493877938087866</v>
      </c>
      <c r="BC10" s="2306">
        <f>'LCIA Summary output'!Y16</f>
        <v>8.8749215826293248</v>
      </c>
      <c r="BE10" s="100" t="str">
        <f t="shared" si="1"/>
        <v>Deep pit, aeration, drag hose</v>
      </c>
      <c r="BF10" s="645" cm="1">
        <f t="array" ref="BF10">INDEX(EconResultsSummary!$C$42:$AE$42,$AC10)</f>
        <v>45.80309076902045</v>
      </c>
      <c r="BG10" s="645" cm="1">
        <f t="array" ref="BG10">INDEX(EconResultsSummary!$C$41:$AE$41,$AC10)</f>
        <v>45.80309076902045</v>
      </c>
      <c r="BH10" s="1196" cm="1">
        <f t="array" ref="BH10">INDEX(EconResultsSummary!$C$43:$AE$43,$AC10)</f>
        <v>45.80309076902045</v>
      </c>
      <c r="BI10" s="78"/>
      <c r="BJ10" s="78"/>
      <c r="BK10" s="78"/>
      <c r="BL10" cm="1">
        <f t="array" aca="1" ref="BL10" ca="1">INDEX(EconResultsSummary!$C$78:$AE$78,$AC10)</f>
        <v>9.6547189954749015</v>
      </c>
      <c r="BM10" cm="1">
        <f t="array" aca="1" ref="BM10" ca="1">INDEX(EconResultsSummary!$C$76:$AE$76,$AC10)</f>
        <v>9.6547189954749015</v>
      </c>
      <c r="BN10" cm="1">
        <f t="array" aca="1" ref="BN10" ca="1">INDEX(EconResultsSummary!$C$79:$AE$79,$AC10)</f>
        <v>9.6547189954749015</v>
      </c>
      <c r="BO10" cm="1">
        <f t="array" ref="BO10">INDEX(EconIntermediate!$C$18:$AE$18,$AC10)</f>
        <v>0</v>
      </c>
      <c r="BP10" cm="1">
        <f t="array" ref="BP10">INDEX(EconIntermediate!$C$19:$AE$19,$AC10)</f>
        <v>0</v>
      </c>
      <c r="BQ10" cm="1">
        <f t="array" ref="BQ10">INDEX(EconIntermediate!$C$16:$AE$16,$AC10)</f>
        <v>0</v>
      </c>
      <c r="BR10" cm="1">
        <f t="array" ref="BR10">INDEX(EconIntermediate!$C$17:$AE$17,$AC10)</f>
        <v>0</v>
      </c>
      <c r="BS10" cm="1">
        <f t="array" ref="BS10">INDEX(EconIntermediate!$C$20:$AE$20,$AC10)</f>
        <v>0</v>
      </c>
      <c r="BT10" cm="1">
        <f t="array" ref="BT10">INDEX(EconIntermediate!$C$21:$AE$21,$AC10)</f>
        <v>0</v>
      </c>
      <c r="BU10" cm="1">
        <f t="array" ref="BU10">INDEX(EconResultsSummary!$C$46:$AE$46,$AC10)</f>
        <v>54.19690923097955</v>
      </c>
      <c r="BV10" cm="1">
        <f t="array" ref="BV10">INDEX(EconResultsSummary!$C$45:$AE$45,$AC10)</f>
        <v>54.19690923097955</v>
      </c>
      <c r="BW10" cm="1">
        <f t="array" ref="BW10">INDEX(EconResultsSummary!$C$44:$AE$44,$AC10)</f>
        <v>54.19690923097955</v>
      </c>
      <c r="BX10" cm="1">
        <f t="array" ref="BX10">INDEX(EconResultsSummary!$C$49:$AE$49,$AC10)</f>
        <v>0</v>
      </c>
      <c r="BY10" cm="1">
        <f t="array" ref="BY10">INDEX(EconResultsSummary!$C$48:$AE$48,$AC10)</f>
        <v>0</v>
      </c>
      <c r="BZ10" cm="1">
        <f t="array" ref="BZ10">INDEX(EconResultsSummary!$C$47:$AE$47,$AC10)</f>
        <v>0</v>
      </c>
      <c r="CA10" s="78">
        <f>'Sc2'!C6*UDV.animal.total</f>
        <v>17419.548963200003</v>
      </c>
      <c r="CB10" s="147">
        <f>'Sc2'!C5*UC.m3_to_gal*UDV.animal.total</f>
        <v>0</v>
      </c>
      <c r="CC10" s="147">
        <f>'Sc2'!C39*UDV.animal.total</f>
        <v>275.66773391698035</v>
      </c>
      <c r="CE10" s="147">
        <f>('Sc2'!C10)</f>
        <v>8.5290669597917201</v>
      </c>
      <c r="CF10" s="147">
        <f>'Sc2'!C14</f>
        <v>0</v>
      </c>
      <c r="CG10" s="147">
        <f>'Sc2'!C11</f>
        <v>6.6431094999999996</v>
      </c>
      <c r="CH10" s="147">
        <f>'Sc2'!C15</f>
        <v>0</v>
      </c>
      <c r="CI10" s="147">
        <f>'Sc2'!C34*UC.m2_to_acre</f>
        <v>7.13103647531107E-2</v>
      </c>
      <c r="CJ10" s="78">
        <f>PT.deep_pit!H76</f>
        <v>33.695149060791721</v>
      </c>
      <c r="CK10" s="78">
        <f>PT.deep_pit!H77</f>
        <v>26.244437508218098</v>
      </c>
      <c r="CL10" s="78">
        <f>PT.deep_pit!H78</f>
        <v>33.743013022370931</v>
      </c>
      <c r="CM10">
        <v>0</v>
      </c>
      <c r="CN10">
        <v>0</v>
      </c>
      <c r="CO10">
        <v>0</v>
      </c>
      <c r="CP10">
        <v>0</v>
      </c>
      <c r="CQ10">
        <v>0</v>
      </c>
      <c r="CR10">
        <v>0</v>
      </c>
      <c r="CS10">
        <v>0</v>
      </c>
      <c r="CT10">
        <v>0</v>
      </c>
      <c r="CU10">
        <v>0</v>
      </c>
      <c r="CV10" s="626" t="str">
        <f t="shared" si="14"/>
        <v>Deep pit, aeration, drag hose</v>
      </c>
      <c r="CW10" s="9" t="s">
        <v>4923</v>
      </c>
      <c r="CX10" s="37">
        <v>419.97215927332297</v>
      </c>
      <c r="CY10" s="37">
        <v>1016.7509349248329</v>
      </c>
      <c r="CZ10" s="37">
        <v>519.05435017593277</v>
      </c>
      <c r="DA10" s="37">
        <v>0.79190020171242381</v>
      </c>
      <c r="DB10" s="77">
        <v>167.81176876106665</v>
      </c>
      <c r="DC10" s="77">
        <v>0.16074221300027602</v>
      </c>
      <c r="DD10" s="57">
        <v>299.7132693326609</v>
      </c>
      <c r="DE10" s="13">
        <f t="shared" si="15"/>
        <v>0</v>
      </c>
      <c r="DH10" s="37">
        <v>6.2571428571428571</v>
      </c>
      <c r="DI10" s="27">
        <v>1.7276812312854792</v>
      </c>
      <c r="DJ10" s="27">
        <v>0.56381998530043542</v>
      </c>
      <c r="DK10" s="37">
        <v>85.260250204062856</v>
      </c>
      <c r="DL10" s="50">
        <v>13.523779986188682</v>
      </c>
      <c r="DP10" s="49"/>
      <c r="DQ10" s="49"/>
    </row>
    <row r="11" spans="1:121" ht="22.35" customHeight="1" x14ac:dyDescent="0.3">
      <c r="A11" s="126" t="s">
        <v>4924</v>
      </c>
      <c r="B11" s="126" t="s">
        <v>4924</v>
      </c>
      <c r="C11" s="100" t="str">
        <f>Sc.Table!I16</f>
        <v>Shallow pit, flush, lagoon, irrigation + tanker</v>
      </c>
      <c r="D11" s="18" t="s">
        <v>4912</v>
      </c>
      <c r="E11" s="9" t="s">
        <v>4913</v>
      </c>
      <c r="F11" s="18" t="s">
        <v>4925</v>
      </c>
      <c r="G11" s="648"/>
      <c r="H11" s="2299">
        <f>SUMIFS('Sc3'!$D:$D,'Sc3'!$A:$A,$D$11,'Sc3'!$B:$B,Output.Rankings!H$4)</f>
        <v>107.01067504727503</v>
      </c>
      <c r="I11" s="2299">
        <f>SUMIFS('Sc3'!$D:$D,'Sc3'!$A:$A,$D$11,'Sc3'!$B:$B,Output.Rankings!I$4)</f>
        <v>78.012649176022421</v>
      </c>
      <c r="J11" s="2299">
        <f>SUMIFS('Sc3'!$D:$D,'Sc3'!$A:$A,$D$11,'Sc3'!$B:$B,Output.Rankings!J$4)</f>
        <v>21.122905164349451</v>
      </c>
      <c r="K11" s="2299">
        <f>SUMIFS('Sc3'!$D:$D,'Sc3'!$A:$A,$D$11,'Sc3'!$B:$B,Output.Rankings!K$4)</f>
        <v>11.779090104659463</v>
      </c>
      <c r="L11" s="2299">
        <f>SUMIFS('Sc3'!$D:$D,'Sc3'!$A:$A,$D$11,'Sc3'!$B:$B,Output.Rankings!L$4)</f>
        <v>0</v>
      </c>
      <c r="M11" s="2299">
        <f t="shared" si="2"/>
        <v>-173.24423411863799</v>
      </c>
      <c r="N11" s="2301">
        <f t="shared" si="3"/>
        <v>1.0374062532352302</v>
      </c>
      <c r="O11" s="2301">
        <f t="shared" si="4"/>
        <v>7.3582354609956033E-2</v>
      </c>
      <c r="P11" s="2301">
        <f t="shared" si="5"/>
        <v>0</v>
      </c>
      <c r="Q11" s="2301">
        <f t="shared" si="6"/>
        <v>29.896989112683265</v>
      </c>
      <c r="R11" s="2301">
        <f t="shared" si="7"/>
        <v>22.923877597820468</v>
      </c>
      <c r="S11" s="2301">
        <f t="shared" si="8"/>
        <v>7.4243912015567393</v>
      </c>
      <c r="T11" s="2302">
        <v>3.5</v>
      </c>
      <c r="U11" s="2302">
        <v>1.2278637565967476E-2</v>
      </c>
      <c r="V11" s="2302">
        <v>2</v>
      </c>
      <c r="W11" s="2303">
        <f t="shared" ca="1" si="9"/>
        <v>12.703423907090624</v>
      </c>
      <c r="X11" s="2303">
        <f t="shared" si="10"/>
        <v>0</v>
      </c>
      <c r="Y11" s="2304">
        <f t="shared" si="11"/>
        <v>0</v>
      </c>
      <c r="Z11" s="1197" cm="1">
        <f t="array" ref="Z11">INDEX(EconIntermediate!$C$23:$AE$23,$AC11)</f>
        <v>2177.5202983863451</v>
      </c>
      <c r="AA11" s="1197" cm="1">
        <f t="array" ref="AA11">INDEX(EconIntermediate!$C$22:$AE$22,$AC11)</f>
        <v>0</v>
      </c>
      <c r="AB11" s="1082" cm="1">
        <f t="array" ref="AB11">INDEX(EconIntermediate!$C$24:$AE$24,$AC11)</f>
        <v>217.75202983863451</v>
      </c>
      <c r="AC11" s="147">
        <f>MATCH(C11,EconIntermediate!$C$3:$AE$3,0)</f>
        <v>3</v>
      </c>
      <c r="AD11" s="9" t="str">
        <f>_xlfn.CONCAT(Sc.Table!C16,Sc.Table!D16)</f>
        <v>3A</v>
      </c>
      <c r="AE11" s="2305" t="str">
        <f>Sc.Table!G16</f>
        <v>Flush - Lagoon  - TL (A)</v>
      </c>
      <c r="AF11" s="2306">
        <f>'LCIA Summary output'!T17</f>
        <v>1.0374062532352302</v>
      </c>
      <c r="AG11" s="2306">
        <f>'LCIA Summary output'!U17</f>
        <v>7.3582354609956033E-2</v>
      </c>
      <c r="AH11" s="2306">
        <f>'LCIA Summary output'!V17</f>
        <v>0</v>
      </c>
      <c r="AI11" s="2306">
        <f>'LCIA Summary output'!W17</f>
        <v>29.896989112683265</v>
      </c>
      <c r="AJ11" s="2306">
        <f>'LCIA Summary output'!X17</f>
        <v>22.923877597820468</v>
      </c>
      <c r="AK11" s="2306">
        <f>'LCIA Summary output'!Y17</f>
        <v>7.4243912015567393</v>
      </c>
      <c r="AM11" s="9" t="str">
        <f t="shared" si="12"/>
        <v>3A</v>
      </c>
      <c r="AN11" s="2305" t="str">
        <f>Sc.Table!G16</f>
        <v>Flush - Lagoon  - TL (A)</v>
      </c>
      <c r="AO11" s="2306">
        <f>'LCIA Summary output'!T18</f>
        <v>-6.8747581410891377E-3</v>
      </c>
      <c r="AP11" s="2306">
        <f>'LCIA Summary output'!U18</f>
        <v>0</v>
      </c>
      <c r="AQ11" s="2306">
        <f>'LCIA Summary output'!V18</f>
        <v>-89.916636001319574</v>
      </c>
      <c r="AR11" s="2306">
        <f>'LCIA Summary output'!W18</f>
        <v>0.51026777975236381</v>
      </c>
      <c r="AS11" s="2306">
        <f>'LCIA Summary output'!X18</f>
        <v>0</v>
      </c>
      <c r="AT11" s="2306">
        <f>'LCIA Summary output'!Y18</f>
        <v>0</v>
      </c>
      <c r="AV11" s="9" t="str">
        <f t="shared" si="13"/>
        <v>3A</v>
      </c>
      <c r="AW11" s="2305" t="str">
        <f>Sc.Table!G16</f>
        <v>Flush - Lagoon  - TL (A)</v>
      </c>
      <c r="AX11" s="2306">
        <f>'LCIA Summary output'!T19</f>
        <v>1.0305314950941411</v>
      </c>
      <c r="AY11" s="2306">
        <f>'LCIA Summary output'!U19</f>
        <v>7.3582354609956033E-2</v>
      </c>
      <c r="AZ11" s="2306">
        <f>'LCIA Summary output'!V19</f>
        <v>-89.916636001319574</v>
      </c>
      <c r="BA11" s="2306">
        <f>'LCIA Summary output'!W19</f>
        <v>30.40725689243563</v>
      </c>
      <c r="BB11" s="2306">
        <f>'LCIA Summary output'!X19</f>
        <v>22.923877597820468</v>
      </c>
      <c r="BC11" s="2306">
        <f>'LCIA Summary output'!Y19</f>
        <v>7.4243912015567393</v>
      </c>
      <c r="BE11" s="100" t="str">
        <f t="shared" si="1"/>
        <v>Shallow pit, flush, lagoon, irrigation + tanker</v>
      </c>
      <c r="BF11" s="645" cm="1">
        <f t="array" ref="BF11">INDEX(EconResultsSummary!$C$42:$AE$42,$AC11)</f>
        <v>148.38933996414102</v>
      </c>
      <c r="BG11" s="645" cm="1">
        <f t="array" ref="BG11">INDEX(EconResultsSummary!$C$41:$AE$41,$AC11)</f>
        <v>28.835774631219849</v>
      </c>
      <c r="BH11" s="1196" cm="1">
        <f t="array" ref="BH11">INDEX(EconResultsSummary!$C$43:$AE$43,$AC11)</f>
        <v>40.791131164511967</v>
      </c>
      <c r="BI11" s="78"/>
      <c r="BJ11" s="78"/>
      <c r="BK11" s="78"/>
      <c r="BL11" cm="1">
        <f t="array" aca="1" ref="BL11" ca="1">INDEX(EconResultsSummary!$C$78:$AE$78,$AC11)</f>
        <v>68.824076766611626</v>
      </c>
      <c r="BM11" cm="1">
        <f t="array" aca="1" ref="BM11" ca="1">INDEX(EconResultsSummary!$C$76:$AE$76,$AC11)</f>
        <v>12.703423907090624</v>
      </c>
      <c r="BN11" cm="1">
        <f t="array" aca="1" ref="BN11" ca="1">INDEX(EconResultsSummary!$C$79:$AE$79,$AC11)</f>
        <v>18.315489193042723</v>
      </c>
      <c r="BO11" cm="1">
        <f t="array" ref="BO11">INDEX(EconIntermediate!$C$18:$AE$18,$AC11)</f>
        <v>2177.5202983863451</v>
      </c>
      <c r="BP11" cm="1">
        <f t="array" ref="BP11">INDEX(EconIntermediate!$C$19:$AE$19,$AC11)</f>
        <v>0</v>
      </c>
      <c r="BQ11" cm="1">
        <f t="array" ref="BQ11">INDEX(EconIntermediate!$C$16:$AE$16,$AC11)</f>
        <v>0</v>
      </c>
      <c r="BR11" cm="1">
        <f t="array" ref="BR11">INDEX(EconIntermediate!$C$17:$AE$17,$AC11)</f>
        <v>0</v>
      </c>
      <c r="BS11" cm="1">
        <f t="array" ref="BS11">INDEX(EconIntermediate!$C$20:$AE$20,$AC11)</f>
        <v>217.75202983863451</v>
      </c>
      <c r="BT11" cm="1">
        <f t="array" ref="BT11">INDEX(EconIntermediate!$C$21:$AE$21,$AC11)</f>
        <v>0</v>
      </c>
      <c r="BU11" cm="1">
        <f t="array" ref="BU11">INDEX(EconResultsSummary!$C$46:$AE$46,$AC11)</f>
        <v>-48.389339964141016</v>
      </c>
      <c r="BV11" cm="1">
        <f t="array" ref="BV11">INDEX(EconResultsSummary!$C$45:$AE$45,$AC11)</f>
        <v>71.164225368780151</v>
      </c>
      <c r="BW11" cm="1">
        <f t="array" ref="BW11">INDEX(EconResultsSummary!$C$44:$AE$44,$AC11)</f>
        <v>59.208868835488033</v>
      </c>
      <c r="BX11" cm="1">
        <f t="array" ref="BX11">INDEX(EconResultsSummary!$C$49:$AE$49,$AC11)</f>
        <v>48.389339964141016</v>
      </c>
      <c r="BY11" cm="1">
        <f t="array" ref="BY11">INDEX(EconResultsSummary!$C$48:$AE$48,$AC11)</f>
        <v>0</v>
      </c>
      <c r="BZ11" cm="1">
        <f t="array" ref="BZ11">INDEX(EconResultsSummary!$C$47:$AE$47,$AC11)</f>
        <v>4.8389339964141014</v>
      </c>
      <c r="CA11" s="147">
        <f>'Sc3'!C6*UDV.animal.total</f>
        <v>946.46267270594763</v>
      </c>
      <c r="CB11" s="147">
        <f>'Sc3'!C5*UC.m3_to_gal*UDV.animal.total</f>
        <v>14929.984318270346</v>
      </c>
      <c r="CC11" s="147">
        <f>'Sc3'!C42*UDV.animal.total</f>
        <v>178.67213700367464</v>
      </c>
      <c r="CE11" s="302">
        <f>('Sc3'!C10)</f>
        <v>5.3096596339166879</v>
      </c>
      <c r="CF11" s="302">
        <f>'Sc3'!C14</f>
        <v>1.3274149084791718</v>
      </c>
      <c r="CG11" s="302">
        <f>'Sc3'!C11</f>
        <v>3.6537102250000002</v>
      </c>
      <c r="CH11" s="302">
        <f>'Sc3'!C15</f>
        <v>2.9893992749999998</v>
      </c>
      <c r="CI11" s="147">
        <f>('Sc3'!C33+'Sc3'!C34)*UC.m2_to_acre</f>
        <v>0.83903695490380859</v>
      </c>
      <c r="CJ11" s="78">
        <f>PT.anaer_lagoon!F77</f>
        <v>9.2227730493771602</v>
      </c>
      <c r="CK11" s="78">
        <f>PT.anaer_lagoon!F78</f>
        <v>6.3464219020959751</v>
      </c>
      <c r="CL11" s="78">
        <f>PT.anaer_lagoon!F79</f>
        <v>9.6433115456136793</v>
      </c>
      <c r="CM11" s="78">
        <f>PT.anaer_lagoon!G77</f>
        <v>12.239070201791318</v>
      </c>
      <c r="CN11" s="78">
        <f>PT.anaer_lagoon!G78</f>
        <v>27.562947616602838</v>
      </c>
      <c r="CO11" s="78">
        <f>PT.anaer_lagoon!G79</f>
        <v>27.563082231954681</v>
      </c>
      <c r="CP11">
        <v>0</v>
      </c>
      <c r="CQ11">
        <v>0</v>
      </c>
      <c r="CR11">
        <v>0</v>
      </c>
      <c r="CS11">
        <v>0</v>
      </c>
      <c r="CT11">
        <v>0</v>
      </c>
      <c r="CU11">
        <v>0</v>
      </c>
      <c r="CV11" s="626" t="str">
        <f t="shared" si="14"/>
        <v>Shallow pit, flush, lagoon, irrigation + tanker</v>
      </c>
      <c r="CW11" s="9" t="s">
        <v>4926</v>
      </c>
      <c r="CX11" s="37">
        <v>106.99921921931571</v>
      </c>
      <c r="CY11" s="37">
        <v>1195.6251795845415</v>
      </c>
      <c r="CZ11" s="37">
        <v>255.50198755275161</v>
      </c>
      <c r="DA11" s="37">
        <v>1.2430088159930459</v>
      </c>
      <c r="DB11" s="77">
        <v>368.62747323910247</v>
      </c>
      <c r="DC11" s="77">
        <v>5.139585124492402E-3</v>
      </c>
      <c r="DD11" s="57">
        <v>71.192672221154837</v>
      </c>
      <c r="DE11" s="13">
        <f t="shared" si="15"/>
        <v>0</v>
      </c>
      <c r="DH11" s="37">
        <v>6.2571428571428571</v>
      </c>
      <c r="DI11" s="27">
        <v>2.3527619742348032</v>
      </c>
      <c r="DJ11" s="27">
        <v>0.317636625968576</v>
      </c>
      <c r="DK11" s="37">
        <v>35.233508193506822</v>
      </c>
      <c r="DL11" s="50">
        <v>6.066404657718051</v>
      </c>
      <c r="DP11" s="37">
        <v>505.47498042432267</v>
      </c>
      <c r="DQ11" s="37">
        <v>9.3557502284857481</v>
      </c>
    </row>
    <row r="12" spans="1:121" ht="22.35" customHeight="1" x14ac:dyDescent="0.3">
      <c r="A12" s="126" t="s">
        <v>4927</v>
      </c>
      <c r="B12" s="126" t="s">
        <v>4927</v>
      </c>
      <c r="C12" s="100" t="str">
        <f>Sc.Table!I17</f>
        <v>Shallow pit, flush, lagoon, irrigation + drag hose</v>
      </c>
      <c r="D12" s="18" t="s">
        <v>4917</v>
      </c>
      <c r="E12" s="9" t="s">
        <v>2586</v>
      </c>
      <c r="F12" s="18" t="s">
        <v>4925</v>
      </c>
      <c r="G12" s="648"/>
      <c r="H12" s="2299">
        <f>SUMIFS('Sc3'!$D:$D,'Sc3'!$A:$A,$D$12,'Sc3'!$B:$B,Output.Rankings!H$4)</f>
        <v>214.58024885661052</v>
      </c>
      <c r="I12" s="2299">
        <f>SUMIFS('Sc3'!$D:$D,'Sc3'!$A:$A,$D$12,'Sc3'!$B:$B,Output.Rankings!I$4)</f>
        <v>111.7356383280778</v>
      </c>
      <c r="J12" s="2299">
        <f>SUMIFS('Sc3'!$D:$D,'Sc3'!$A:$A,$D$12,'Sc3'!$B:$B,Output.Rankings!J$4)</f>
        <v>21.122905164349451</v>
      </c>
      <c r="K12" s="2299">
        <f>SUMIFS('Sc3'!$D:$D,'Sc3'!$A:$A,$D$12,'Sc3'!$B:$B,Output.Rankings!K$4)</f>
        <v>11.779090104659463</v>
      </c>
      <c r="L12" s="2299">
        <f>SUMIFS('Sc3'!$D:$D,'Sc3'!$A:$A,$D$12,'Sc3'!$B:$B,Output.Rankings!L$4)</f>
        <v>0</v>
      </c>
      <c r="M12" s="2299">
        <f t="shared" si="2"/>
        <v>-314.53679708002886</v>
      </c>
      <c r="N12" s="2301">
        <f t="shared" si="3"/>
        <v>1.0352789698260976</v>
      </c>
      <c r="O12" s="2301">
        <f t="shared" si="4"/>
        <v>7.3582354609956033E-2</v>
      </c>
      <c r="P12" s="2301">
        <f t="shared" si="5"/>
        <v>0</v>
      </c>
      <c r="Q12" s="2301">
        <f t="shared" si="6"/>
        <v>29.896989112683265</v>
      </c>
      <c r="R12" s="2301">
        <f t="shared" si="7"/>
        <v>22.923877597820468</v>
      </c>
      <c r="S12" s="2301">
        <f t="shared" si="8"/>
        <v>7.4243912015567393</v>
      </c>
      <c r="T12" s="2302">
        <v>3.6666666666666665</v>
      </c>
      <c r="U12" s="2302">
        <v>1.0920011207736446E-2</v>
      </c>
      <c r="V12" s="2302">
        <v>2</v>
      </c>
      <c r="W12" s="2303">
        <f t="shared" ca="1" si="9"/>
        <v>8.5996107320613717</v>
      </c>
      <c r="X12" s="2303">
        <f t="shared" si="10"/>
        <v>0</v>
      </c>
      <c r="Y12" s="2304">
        <f t="shared" si="11"/>
        <v>0</v>
      </c>
      <c r="Z12" s="1197" cm="1">
        <f t="array" ref="Z12">INDEX(EconIntermediate!$C$23:$AE$23,$AC12)</f>
        <v>2177.5202983863451</v>
      </c>
      <c r="AA12" s="1197" cm="1">
        <f t="array" ref="AA12">INDEX(EconIntermediate!$C$22:$AE$22,$AC12)</f>
        <v>0</v>
      </c>
      <c r="AB12" s="1082" cm="1">
        <f t="array" ref="AB12">INDEX(EconIntermediate!$C$24:$AE$24,$AC12)</f>
        <v>217.75202983863451</v>
      </c>
      <c r="AC12" s="147">
        <f>MATCH(C12,EconIntermediate!$C$3:$AE$3,0)</f>
        <v>18</v>
      </c>
      <c r="AD12" s="9" t="str">
        <f>_xlfn.CONCAT(Sc.Table!C17,Sc.Table!D17)</f>
        <v>3B</v>
      </c>
      <c r="AE12" s="2305" t="str">
        <f>Sc.Table!G17</f>
        <v>Flush - Lagoon  - DHL (B)</v>
      </c>
      <c r="AF12" s="2306">
        <f>'LCIA Summary output'!T20</f>
        <v>1.0352789698260976</v>
      </c>
      <c r="AG12" s="2306">
        <f>'LCIA Summary output'!U20</f>
        <v>7.3582354609956033E-2</v>
      </c>
      <c r="AH12" s="2306">
        <f>'LCIA Summary output'!V20</f>
        <v>0</v>
      </c>
      <c r="AI12" s="2306">
        <f>'LCIA Summary output'!W20</f>
        <v>29.896989112683265</v>
      </c>
      <c r="AJ12" s="2306">
        <f>'LCIA Summary output'!X20</f>
        <v>22.923877597820468</v>
      </c>
      <c r="AK12" s="2306">
        <f>'LCIA Summary output'!Y20</f>
        <v>7.4243912015567393</v>
      </c>
      <c r="AM12" s="9" t="str">
        <f t="shared" si="12"/>
        <v>3B</v>
      </c>
      <c r="AN12" s="2305" t="str">
        <f>Sc.Table!G17</f>
        <v>Flush - Lagoon  - DHL (B)</v>
      </c>
      <c r="AO12" s="2306">
        <f>'LCIA Summary output'!T21</f>
        <v>-8.2377031881800157E-3</v>
      </c>
      <c r="AP12" s="2306">
        <f>'LCIA Summary output'!U21</f>
        <v>0</v>
      </c>
      <c r="AQ12" s="2306">
        <f>'LCIA Summary output'!V21</f>
        <v>-103.54919204877336</v>
      </c>
      <c r="AR12" s="2306">
        <f>'LCIA Summary output'!W21</f>
        <v>-3.0902514100485514</v>
      </c>
      <c r="AS12" s="2306">
        <f>'LCIA Summary output'!X21</f>
        <v>0</v>
      </c>
      <c r="AT12" s="2306">
        <f>'LCIA Summary output'!Y21</f>
        <v>0</v>
      </c>
      <c r="AV12" s="9" t="str">
        <f t="shared" si="13"/>
        <v>3B</v>
      </c>
      <c r="AW12" s="2305" t="str">
        <f>Sc.Table!G17</f>
        <v>Flush - Lagoon  - DHL (B)</v>
      </c>
      <c r="AX12" s="2306">
        <f>'LCIA Summary output'!T22</f>
        <v>1.0270412666379176</v>
      </c>
      <c r="AY12" s="2306">
        <f>'LCIA Summary output'!U22</f>
        <v>7.3582354609956033E-2</v>
      </c>
      <c r="AZ12" s="2306">
        <f>'LCIA Summary output'!V22</f>
        <v>-103.54919204877336</v>
      </c>
      <c r="BA12" s="2306">
        <f>'LCIA Summary output'!W22</f>
        <v>26.806737702634713</v>
      </c>
      <c r="BB12" s="2306">
        <f>'LCIA Summary output'!X22</f>
        <v>22.923877597820468</v>
      </c>
      <c r="BC12" s="2306">
        <f>'LCIA Summary output'!Y22</f>
        <v>7.4243912015567393</v>
      </c>
      <c r="BE12" s="100" t="str">
        <f t="shared" si="1"/>
        <v>Shallow pit, flush, lagoon, irrigation + drag hose</v>
      </c>
      <c r="BF12" s="645" cm="1">
        <f t="array" ref="BF12">INDEX(EconResultsSummary!$C$42:$AE$42,$AC12)</f>
        <v>148.38933996414102</v>
      </c>
      <c r="BG12" s="645" cm="1">
        <f t="array" ref="BG12">INDEX(EconResultsSummary!$C$41:$AE$41,$AC12)</f>
        <v>28.835774631219849</v>
      </c>
      <c r="BH12" s="1196" cm="1">
        <f t="array" ref="BH12">INDEX(EconResultsSummary!$C$43:$AE$43,$AC12)</f>
        <v>40.791131164511967</v>
      </c>
      <c r="BI12" s="78"/>
      <c r="BJ12" s="78"/>
      <c r="BK12" s="78"/>
      <c r="BL12" cm="1">
        <f t="array" aca="1" ref="BL12" ca="1">INDEX(EconResultsSummary!$C$78:$AE$78,$AC12)</f>
        <v>23.600139886983118</v>
      </c>
      <c r="BM12" cm="1">
        <f t="array" aca="1" ref="BM12" ca="1">INDEX(EconResultsSummary!$C$76:$AE$76,$AC12)</f>
        <v>8.5996107320613717</v>
      </c>
      <c r="BN12" cm="1">
        <f t="array" aca="1" ref="BN12" ca="1">INDEX(EconResultsSummary!$C$79:$AE$79,$AC12)</f>
        <v>10.099663647553546</v>
      </c>
      <c r="BO12" cm="1">
        <f t="array" ref="BO12">INDEX(EconIntermediate!$C$18:$AE$18,$AC12)</f>
        <v>2177.5202983863451</v>
      </c>
      <c r="BP12" cm="1">
        <f t="array" ref="BP12">INDEX(EconIntermediate!$C$19:$AE$19,$AC12)</f>
        <v>0</v>
      </c>
      <c r="BQ12" cm="1">
        <f t="array" ref="BQ12">INDEX(EconIntermediate!$C$16:$AE$16,$AC12)</f>
        <v>0</v>
      </c>
      <c r="BR12" cm="1">
        <f t="array" ref="BR12">INDEX(EconIntermediate!$C$17:$AE$17,$AC12)</f>
        <v>0</v>
      </c>
      <c r="BS12" cm="1">
        <f t="array" ref="BS12">INDEX(EconIntermediate!$C$20:$AE$20,$AC12)</f>
        <v>217.75202983863451</v>
      </c>
      <c r="BT12" cm="1">
        <f t="array" ref="BT12">INDEX(EconIntermediate!$C$21:$AE$21,$AC12)</f>
        <v>0</v>
      </c>
      <c r="BU12" cm="1">
        <f t="array" ref="BU12">INDEX(EconResultsSummary!$C$46:$AE$46,$AC12)</f>
        <v>-48.389339964141016</v>
      </c>
      <c r="BV12" cm="1">
        <f t="array" ref="BV12">INDEX(EconResultsSummary!$C$45:$AE$45,$AC12)</f>
        <v>71.164225368780151</v>
      </c>
      <c r="BW12" cm="1">
        <f t="array" ref="BW12">INDEX(EconResultsSummary!$C$44:$AE$44,$AC12)</f>
        <v>59.208868835488033</v>
      </c>
      <c r="BX12" cm="1">
        <f t="array" ref="BX12">INDEX(EconResultsSummary!$C$49:$AE$49,$AC12)</f>
        <v>48.389339964141016</v>
      </c>
      <c r="BY12" cm="1">
        <f t="array" ref="BY12">INDEX(EconResultsSummary!$C$48:$AE$48,$AC12)</f>
        <v>0</v>
      </c>
      <c r="BZ12" cm="1">
        <f t="array" ref="BZ12">INDEX(EconResultsSummary!$C$47:$AE$47,$AC12)</f>
        <v>4.8389339964141014</v>
      </c>
      <c r="CA12" s="147">
        <f>'Sc3'!C6*UDV.animal.total</f>
        <v>946.46267270594763</v>
      </c>
      <c r="CB12" s="147">
        <f>'Sc3'!C5*UC.m3_to_gal*UDV.animal.total</f>
        <v>14929.984318270346</v>
      </c>
      <c r="CC12" s="147">
        <f>'Sc3'!C43*UDV.animal.total</f>
        <v>74.188668971624693</v>
      </c>
      <c r="CE12" s="302">
        <f>('Sc3'!C10)</f>
        <v>5.3096596339166879</v>
      </c>
      <c r="CF12" s="302">
        <f>'Sc3'!C14</f>
        <v>1.3274149084791718</v>
      </c>
      <c r="CG12" s="302">
        <f>'Sc3'!C11</f>
        <v>3.6537102250000002</v>
      </c>
      <c r="CH12" s="302">
        <f>'Sc3'!C15</f>
        <v>2.9893992749999998</v>
      </c>
      <c r="CI12" s="147">
        <f>('Sc3'!C33+'Sc3'!C34)*UC.m2_to_acre</f>
        <v>0.83903695490380859</v>
      </c>
      <c r="CJ12" s="78">
        <f>PT.anaer_lagoon!F77</f>
        <v>9.2227730493771602</v>
      </c>
      <c r="CK12" s="78">
        <f>PT.anaer_lagoon!F78</f>
        <v>6.3464219020959751</v>
      </c>
      <c r="CL12" s="78">
        <f>PT.anaer_lagoon!F79</f>
        <v>9.6433115456136793</v>
      </c>
      <c r="CM12" s="78">
        <f>PT.anaer_lagoon!G77</f>
        <v>12.239070201791318</v>
      </c>
      <c r="CN12" s="78">
        <f>PT.anaer_lagoon!G78</f>
        <v>27.562947616602838</v>
      </c>
      <c r="CO12" s="78">
        <f>PT.anaer_lagoon!G79</f>
        <v>27.563082231954681</v>
      </c>
      <c r="CP12">
        <v>0</v>
      </c>
      <c r="CQ12">
        <v>0</v>
      </c>
      <c r="CR12">
        <v>0</v>
      </c>
      <c r="CS12">
        <v>0</v>
      </c>
      <c r="CT12">
        <v>0</v>
      </c>
      <c r="CU12">
        <v>0</v>
      </c>
      <c r="CV12" s="626" t="str">
        <f t="shared" si="14"/>
        <v>Shallow pit, flush, lagoon, irrigation + drag hose</v>
      </c>
      <c r="CW12" s="9" t="s">
        <v>4928</v>
      </c>
      <c r="CX12" s="37">
        <v>401.95256925921308</v>
      </c>
      <c r="CY12" s="37">
        <v>1145.0720227772308</v>
      </c>
      <c r="CZ12" s="37">
        <v>502.80571179536179</v>
      </c>
      <c r="DA12" s="37">
        <v>0.700268058342842</v>
      </c>
      <c r="DB12" s="77">
        <v>505.05640530692784</v>
      </c>
      <c r="DC12" s="77">
        <v>5.8494053435435836E-3</v>
      </c>
      <c r="DD12" s="57">
        <v>280.92491968466726</v>
      </c>
      <c r="DE12" s="13">
        <f t="shared" si="15"/>
        <v>0</v>
      </c>
      <c r="DH12" s="37">
        <v>6.2571428571428571</v>
      </c>
      <c r="DI12" s="27">
        <v>13.586894928694434</v>
      </c>
      <c r="DJ12" s="27">
        <v>2.3977067869321416</v>
      </c>
      <c r="DK12" s="37">
        <v>30.302124436063103</v>
      </c>
      <c r="DL12" s="50">
        <v>10.545630723248031</v>
      </c>
      <c r="DP12" s="49"/>
      <c r="DQ12" s="49"/>
    </row>
    <row r="13" spans="1:121" ht="22.35" customHeight="1" x14ac:dyDescent="0.3">
      <c r="A13" s="126" t="s">
        <v>4929</v>
      </c>
      <c r="B13" s="126" t="s">
        <v>4929</v>
      </c>
      <c r="C13" s="100" t="str">
        <f>Sc.Table!I18</f>
        <v>Shallow pit, scrape auto, lagoon, irrigation + tanker</v>
      </c>
      <c r="D13" s="18" t="s">
        <v>4912</v>
      </c>
      <c r="E13" s="9" t="s">
        <v>4913</v>
      </c>
      <c r="F13" s="18" t="s">
        <v>4930</v>
      </c>
      <c r="G13" s="648"/>
      <c r="H13" s="2299">
        <f>SUMIFS('Sc4'!$D:$D,'Sc4'!$A:$A,$D$13,'Sc4'!$B:$B,Output.Rankings!H$4)</f>
        <v>100.82985631468424</v>
      </c>
      <c r="I13" s="2299">
        <f>SUMIFS('Sc4'!$D:$D,'Sc4'!$A:$A,$D$13,'Sc4'!$B:$B,Output.Rankings!I$4)</f>
        <v>33.922179351332879</v>
      </c>
      <c r="J13" s="2299">
        <f>SUMIFS('Sc4'!$D:$D,'Sc4'!$A:$A,$D$13,'Sc4'!$B:$B,Output.Rankings!J$4)</f>
        <v>0</v>
      </c>
      <c r="K13" s="2299">
        <f>SUMIFS('Sc4'!$D:$D,'Sc4'!$A:$A,$D$13,'Sc4'!$B:$B,Output.Rankings!K$4)</f>
        <v>13.165171648763495</v>
      </c>
      <c r="L13" s="2299">
        <f>SUMIFS('Sc4'!$D:$D,'Sc4'!$A:$A,$D$13,'Sc4'!$B:$B,Output.Rankings!L$4)</f>
        <v>0</v>
      </c>
      <c r="M13" s="2299">
        <f t="shared" si="2"/>
        <v>-121.58686401725362</v>
      </c>
      <c r="N13" s="2301">
        <f t="shared" si="3"/>
        <v>1.0331861182773208</v>
      </c>
      <c r="O13" s="2301">
        <f t="shared" si="4"/>
        <v>8.0334528050857806E-2</v>
      </c>
      <c r="P13" s="2301">
        <f t="shared" si="5"/>
        <v>0</v>
      </c>
      <c r="Q13" s="2301">
        <f t="shared" si="6"/>
        <v>29.896989112683265</v>
      </c>
      <c r="R13" s="2301">
        <f t="shared" si="7"/>
        <v>21.167071104036143</v>
      </c>
      <c r="S13" s="2301">
        <f t="shared" si="8"/>
        <v>6.8559239300960995</v>
      </c>
      <c r="T13" s="2302">
        <v>2.8333333333333335</v>
      </c>
      <c r="U13" s="2302">
        <v>3.4680565373749639E-2</v>
      </c>
      <c r="V13" s="2302">
        <v>2</v>
      </c>
      <c r="W13" s="2303">
        <f t="shared" ca="1" si="9"/>
        <v>10.871040768006885</v>
      </c>
      <c r="X13" s="2303">
        <f t="shared" si="10"/>
        <v>0</v>
      </c>
      <c r="Y13" s="2304">
        <f t="shared" si="11"/>
        <v>0</v>
      </c>
      <c r="Z13" s="1197" cm="1">
        <f t="array" ref="Z13">INDEX(EconIntermediate!$C$23:$AE$23,$AC13)</f>
        <v>2346.5176237203291</v>
      </c>
      <c r="AA13" s="1197" cm="1">
        <f t="array" ref="AA13">INDEX(EconIntermediate!$C$22:$AE$22,$AC13)</f>
        <v>0</v>
      </c>
      <c r="AB13" s="1082" cm="1">
        <f t="array" ref="AB13">INDEX(EconIntermediate!$C$24:$AE$24,$AC13)</f>
        <v>234.65176237203292</v>
      </c>
      <c r="AC13" s="147">
        <f>MATCH(C13,EconIntermediate!$C$3:$AE$3,0)</f>
        <v>4</v>
      </c>
      <c r="AD13" s="9" t="str">
        <f>_xlfn.CONCAT(Sc.Table!C18,Sc.Table!D18)</f>
        <v>4A</v>
      </c>
      <c r="AE13" s="2305" t="str">
        <f>Sc.Table!G18</f>
        <v>Scrape - Lagoon - TL (A)</v>
      </c>
      <c r="AF13" s="2306">
        <f>'LCIA Summary output'!T23</f>
        <v>1.0331861182773208</v>
      </c>
      <c r="AG13" s="2306">
        <f>'LCIA Summary output'!U23</f>
        <v>8.0334528050857806E-2</v>
      </c>
      <c r="AH13" s="2306">
        <f>'LCIA Summary output'!V23</f>
        <v>0</v>
      </c>
      <c r="AI13" s="2306">
        <f>'LCIA Summary output'!W23</f>
        <v>29.896989112683265</v>
      </c>
      <c r="AJ13" s="2306">
        <f>'LCIA Summary output'!X23</f>
        <v>21.167071104036143</v>
      </c>
      <c r="AK13" s="2306">
        <f>'LCIA Summary output'!Y23</f>
        <v>6.8559239300960995</v>
      </c>
      <c r="AM13" s="9" t="str">
        <f t="shared" si="12"/>
        <v>4A</v>
      </c>
      <c r="AN13" s="2305" t="str">
        <f>Sc.Table!G18</f>
        <v>Scrape - Lagoon - TL (A)</v>
      </c>
      <c r="AO13" s="2306">
        <f>'LCIA Summary output'!T24</f>
        <v>-4.7438392913022581E-3</v>
      </c>
      <c r="AP13" s="2306">
        <f>'LCIA Summary output'!U24</f>
        <v>0</v>
      </c>
      <c r="AQ13" s="2306">
        <f>'LCIA Summary output'!V24</f>
        <v>-100.339375076615</v>
      </c>
      <c r="AR13" s="2306">
        <f>'LCIA Summary output'!W24</f>
        <v>3.5246159040500209</v>
      </c>
      <c r="AS13" s="2306">
        <f>'LCIA Summary output'!X24</f>
        <v>0</v>
      </c>
      <c r="AT13" s="2306">
        <f>'LCIA Summary output'!Y24</f>
        <v>0</v>
      </c>
      <c r="AV13" s="9" t="str">
        <f t="shared" si="13"/>
        <v>4A</v>
      </c>
      <c r="AW13" s="2305" t="str">
        <f>Sc.Table!G18</f>
        <v>Scrape - Lagoon - TL (A)</v>
      </c>
      <c r="AX13" s="2306">
        <f>'LCIA Summary output'!T25</f>
        <v>1.0284422789860184</v>
      </c>
      <c r="AY13" s="2306">
        <f>'LCIA Summary output'!U25</f>
        <v>8.0334528050857806E-2</v>
      </c>
      <c r="AZ13" s="2306">
        <f>'LCIA Summary output'!V25</f>
        <v>-100.339375076615</v>
      </c>
      <c r="BA13" s="2306">
        <f>'LCIA Summary output'!W25</f>
        <v>33.421605016733288</v>
      </c>
      <c r="BB13" s="2306">
        <f>'LCIA Summary output'!X25</f>
        <v>21.167071104036143</v>
      </c>
      <c r="BC13" s="2306">
        <f>'LCIA Summary output'!Y25</f>
        <v>6.8559239300960995</v>
      </c>
      <c r="BE13" s="100" t="str">
        <f t="shared" si="1"/>
        <v>Shallow pit, scrape auto, lagoon, irrigation + tanker</v>
      </c>
      <c r="BF13" s="645" cm="1">
        <f t="array" ref="BF13">INDEX(EconResultsSummary!$C$42:$AE$42,$AC13)</f>
        <v>152.14483608267398</v>
      </c>
      <c r="BG13" s="645" cm="1">
        <f t="array" ref="BG13">INDEX(EconResultsSummary!$C$41:$AE$41,$AC13)</f>
        <v>32.591270749752816</v>
      </c>
      <c r="BH13" s="1196" cm="1">
        <f t="array" ref="BH13">INDEX(EconResultsSummary!$C$43:$AE$43,$AC13)</f>
        <v>44.546627283044927</v>
      </c>
      <c r="BI13" s="78"/>
      <c r="BJ13" s="78"/>
      <c r="BK13" s="78"/>
      <c r="BL13" cm="1">
        <f t="array" aca="1" ref="BL13" ca="1">INDEX(EconResultsSummary!$C$78:$AE$78,$AC13)</f>
        <v>64.030080641631059</v>
      </c>
      <c r="BM13" cm="1">
        <f t="array" aca="1" ref="BM13" ca="1">INDEX(EconResultsSummary!$C$76:$AE$76,$AC13)</f>
        <v>10.871040768006885</v>
      </c>
      <c r="BN13" cm="1">
        <f t="array" aca="1" ref="BN13" ca="1">INDEX(EconResultsSummary!$C$79:$AE$79,$AC13)</f>
        <v>16.186944755369304</v>
      </c>
      <c r="BO13" cm="1">
        <f t="array" ref="BO13">INDEX(EconIntermediate!$C$18:$AE$18,$AC13)</f>
        <v>2346.5176237203291</v>
      </c>
      <c r="BP13" cm="1">
        <f t="array" ref="BP13">INDEX(EconIntermediate!$C$19:$AE$19,$AC13)</f>
        <v>0</v>
      </c>
      <c r="BQ13" cm="1">
        <f t="array" ref="BQ13">INDEX(EconIntermediate!$C$16:$AE$16,$AC13)</f>
        <v>0</v>
      </c>
      <c r="BR13" cm="1">
        <f t="array" ref="BR13">INDEX(EconIntermediate!$C$17:$AE$17,$AC13)</f>
        <v>0</v>
      </c>
      <c r="BS13" cm="1">
        <f t="array" ref="BS13">INDEX(EconIntermediate!$C$20:$AE$20,$AC13)</f>
        <v>234.65176237203292</v>
      </c>
      <c r="BT13" cm="1">
        <f t="array" ref="BT13">INDEX(EconIntermediate!$C$21:$AE$21,$AC13)</f>
        <v>0</v>
      </c>
      <c r="BU13" cm="1">
        <f t="array" ref="BU13">INDEX(EconResultsSummary!$C$46:$AE$46,$AC13)</f>
        <v>-52.144836082673976</v>
      </c>
      <c r="BV13" cm="1">
        <f t="array" ref="BV13">INDEX(EconResultsSummary!$C$45:$AE$45,$AC13)</f>
        <v>67.408729250247177</v>
      </c>
      <c r="BW13" cm="1">
        <f t="array" ref="BW13">INDEX(EconResultsSummary!$C$44:$AE$44,$AC13)</f>
        <v>55.453372716955073</v>
      </c>
      <c r="BX13" cm="1">
        <f t="array" ref="BX13">INDEX(EconResultsSummary!$C$49:$AE$49,$AC13)</f>
        <v>52.144836082673976</v>
      </c>
      <c r="BY13" cm="1">
        <f t="array" ref="BY13">INDEX(EconResultsSummary!$C$48:$AE$48,$AC13)</f>
        <v>0</v>
      </c>
      <c r="BZ13" cm="1">
        <f t="array" ref="BZ13">INDEX(EconResultsSummary!$C$47:$AE$47,$AC13)</f>
        <v>5.2144836082673978</v>
      </c>
      <c r="CA13" s="147">
        <f>'Sc4'!C6*UDV.animal.total</f>
        <v>5626.0223104763045</v>
      </c>
      <c r="CB13" s="147">
        <f>'Sc4'!C5*UC.m3_to_gal*UDV.animal.total</f>
        <v>14929.984318270346</v>
      </c>
      <c r="CC13" s="147">
        <f>'Sc4'!C56*UDV.animal.total</f>
        <v>173.68792485077398</v>
      </c>
      <c r="CE13" s="302">
        <f>('Sc4'!C10)</f>
        <v>6.0688727739166897</v>
      </c>
      <c r="CF13" s="302">
        <f>'Sc4'!C14</f>
        <v>1.5172181934791722</v>
      </c>
      <c r="CG13" s="302">
        <f>'Sc4'!C11</f>
        <v>3.6537102250000002</v>
      </c>
      <c r="CH13" s="302">
        <f>'Sc4'!C15</f>
        <v>2.9893992749999998</v>
      </c>
      <c r="CI13" s="147">
        <f>('Sc4'!C43+'Sc4'!C45)*UC.m2_to_acre</f>
        <v>0.8351823824950102</v>
      </c>
      <c r="CJ13" s="78">
        <f>PT.anaer_lagoon!J77</f>
        <v>10.541511154847765</v>
      </c>
      <c r="CK13" s="78">
        <f>PT.anaer_lagoon!J78</f>
        <v>6.3464219020959751</v>
      </c>
      <c r="CL13" s="78">
        <f>PT.anaer_lagoon!J79</f>
        <v>9.6433115456136793</v>
      </c>
      <c r="CM13" s="78">
        <f>PT.anaer_lagoon!K77</f>
        <v>13.98910006420043</v>
      </c>
      <c r="CN13" s="78">
        <f>PT.anaer_lagoon!K78</f>
        <v>27.562947616602838</v>
      </c>
      <c r="CO13" s="78">
        <f>PT.anaer_lagoon!K79</f>
        <v>27.563082231954681</v>
      </c>
      <c r="CP13">
        <v>0</v>
      </c>
      <c r="CQ13">
        <v>0</v>
      </c>
      <c r="CR13">
        <v>0</v>
      </c>
      <c r="CS13">
        <v>0</v>
      </c>
      <c r="CT13">
        <v>0</v>
      </c>
      <c r="CU13">
        <v>0</v>
      </c>
      <c r="CV13" s="626" t="str">
        <f t="shared" si="14"/>
        <v>Shallow pit, scrape auto, lagoon, irrigation + tanker</v>
      </c>
      <c r="CW13" s="9" t="s">
        <v>4931</v>
      </c>
      <c r="CX13" s="37">
        <v>391.42694441461941</v>
      </c>
      <c r="CY13" s="37">
        <v>-1440.1750372188596</v>
      </c>
      <c r="CZ13" s="37">
        <v>198.71071746438074</v>
      </c>
      <c r="DA13" s="37">
        <v>5.2860323366063371</v>
      </c>
      <c r="DB13" s="77">
        <v>-1435.9638101684163</v>
      </c>
      <c r="DC13" s="77">
        <v>2.4885229126406223E-3</v>
      </c>
      <c r="DD13" s="57">
        <v>261.02699581313721</v>
      </c>
      <c r="DE13" s="13">
        <f t="shared" si="15"/>
        <v>0</v>
      </c>
      <c r="DH13" s="37">
        <v>6.2571428571428571</v>
      </c>
      <c r="DI13" s="27">
        <v>17.148252412352086</v>
      </c>
      <c r="DJ13" s="27">
        <v>3.1439114409159501</v>
      </c>
      <c r="DK13" s="37">
        <v>8.8236062376637285</v>
      </c>
      <c r="DL13" s="50">
        <v>10.710564963171072</v>
      </c>
      <c r="DP13" s="37">
        <v>409.99137352410736</v>
      </c>
      <c r="DQ13" s="37">
        <v>8.289025557936867</v>
      </c>
    </row>
    <row r="14" spans="1:121" ht="22.35" customHeight="1" x14ac:dyDescent="0.3">
      <c r="A14" s="126" t="s">
        <v>4932</v>
      </c>
      <c r="B14" s="126" t="s">
        <v>4932</v>
      </c>
      <c r="C14" s="100" t="str">
        <f>Sc.Table!I19</f>
        <v>Shallow pit, scrape auto, lagoon, irrigation + drag hose</v>
      </c>
      <c r="D14" s="18" t="s">
        <v>4917</v>
      </c>
      <c r="E14" s="9" t="s">
        <v>2586</v>
      </c>
      <c r="F14" s="18" t="s">
        <v>4930</v>
      </c>
      <c r="G14" s="648"/>
      <c r="H14" s="2299">
        <f>SUMIFS('Sc4'!$D:$D,'Sc4'!$A:$A,$D$14,'Sc4'!$B:$B,Output.Rankings!H$4)</f>
        <v>208.42571999489647</v>
      </c>
      <c r="I14" s="2299">
        <f>SUMIFS('Sc4'!$D:$D,'Sc4'!$A:$A,$D$14,'Sc4'!$B:$B,Output.Rankings!I$4)</f>
        <v>67.703908898780782</v>
      </c>
      <c r="J14" s="2299">
        <f>SUMIFS('Sc4'!$D:$D,'Sc4'!$A:$A,$D$14,'Sc4'!$B:$B,Output.Rankings!J$4)</f>
        <v>0</v>
      </c>
      <c r="K14" s="2299">
        <f>SUMIFS('Sc4'!$D:$D,'Sc4'!$A:$A,$D$14,'Sc4'!$B:$B,Output.Rankings!K$4)</f>
        <v>13.165171648763495</v>
      </c>
      <c r="L14" s="2299">
        <f>SUMIFS('Sc4'!$D:$D,'Sc4'!$A:$A,$D$14,'Sc4'!$B:$B,Output.Rankings!L$4)</f>
        <v>0</v>
      </c>
      <c r="M14" s="2299">
        <f t="shared" si="2"/>
        <v>-262.96445724491377</v>
      </c>
      <c r="N14" s="2301">
        <f t="shared" si="3"/>
        <v>1.0311105096625746</v>
      </c>
      <c r="O14" s="2301">
        <f t="shared" si="4"/>
        <v>8.0334528050857806E-2</v>
      </c>
      <c r="P14" s="2301">
        <f t="shared" si="5"/>
        <v>0</v>
      </c>
      <c r="Q14" s="2301">
        <f t="shared" si="6"/>
        <v>29.896989112683265</v>
      </c>
      <c r="R14" s="2301">
        <f t="shared" si="7"/>
        <v>21.167071104036143</v>
      </c>
      <c r="S14" s="2301">
        <f t="shared" si="8"/>
        <v>6.8559239300960995</v>
      </c>
      <c r="T14" s="2302">
        <v>3</v>
      </c>
      <c r="U14" s="2302">
        <v>3.3352753221581488E-2</v>
      </c>
      <c r="V14" s="2302">
        <v>2</v>
      </c>
      <c r="W14" s="2303">
        <f t="shared" ca="1" si="9"/>
        <v>6.7672275929776342</v>
      </c>
      <c r="X14" s="2303">
        <f t="shared" si="10"/>
        <v>0</v>
      </c>
      <c r="Y14" s="2304">
        <f t="shared" si="11"/>
        <v>0</v>
      </c>
      <c r="Z14" s="1197" cm="1">
        <f t="array" ref="Z14">INDEX(EconIntermediate!$C$23:$AE$23,$AC14)</f>
        <v>2346.5176237203291</v>
      </c>
      <c r="AA14" s="1197" cm="1">
        <f t="array" ref="AA14">INDEX(EconIntermediate!$C$22:$AE$22,$AC14)</f>
        <v>0</v>
      </c>
      <c r="AB14" s="1082" cm="1">
        <f t="array" ref="AB14">INDEX(EconIntermediate!$C$24:$AE$24,$AC14)</f>
        <v>234.65176237203292</v>
      </c>
      <c r="AC14" s="147">
        <f>MATCH(C14,EconIntermediate!$C$3:$AE$3,0)</f>
        <v>19</v>
      </c>
      <c r="AD14" s="9" t="str">
        <f>_xlfn.CONCAT(Sc.Table!C19,Sc.Table!D19)</f>
        <v>4B</v>
      </c>
      <c r="AE14" s="2305" t="str">
        <f>Sc.Table!G19</f>
        <v>Scrape - Lagoon - DHL (B)</v>
      </c>
      <c r="AF14" s="2307">
        <f>'LCIA Summary output'!T26</f>
        <v>1.0311105096625746</v>
      </c>
      <c r="AG14" s="2307">
        <f>'LCIA Summary output'!U26</f>
        <v>8.0334528050857806E-2</v>
      </c>
      <c r="AH14" s="2307">
        <f>'LCIA Summary output'!V26</f>
        <v>0</v>
      </c>
      <c r="AI14" s="2307">
        <f>'LCIA Summary output'!W26</f>
        <v>29.896989112683265</v>
      </c>
      <c r="AJ14" s="2307">
        <f>'LCIA Summary output'!X26</f>
        <v>21.167071104036143</v>
      </c>
      <c r="AK14" s="2307">
        <f>'LCIA Summary output'!Y26</f>
        <v>6.8559239300960995</v>
      </c>
      <c r="AM14" s="9" t="str">
        <f t="shared" si="12"/>
        <v>4B</v>
      </c>
      <c r="AN14" s="2305" t="str">
        <f>Sc.Table!G19</f>
        <v>Scrape - Lagoon - DHL (B)</v>
      </c>
      <c r="AO14" s="2307">
        <f>'LCIA Summary output'!T27</f>
        <v>-6.0736764296085693E-3</v>
      </c>
      <c r="AP14" s="2307">
        <f>'LCIA Summary output'!U27</f>
        <v>0</v>
      </c>
      <c r="AQ14" s="2307">
        <f>'LCIA Summary output'!V27</f>
        <v>-113.64077659727184</v>
      </c>
      <c r="AR14" s="2307">
        <f>'LCIA Summary output'!W27</f>
        <v>1.155853904347442E-2</v>
      </c>
      <c r="AS14" s="2307">
        <f>'LCIA Summary output'!X27</f>
        <v>0</v>
      </c>
      <c r="AT14" s="2307">
        <f>'LCIA Summary output'!Y27</f>
        <v>0</v>
      </c>
      <c r="AV14" s="9" t="str">
        <f t="shared" si="13"/>
        <v>4B</v>
      </c>
      <c r="AW14" s="2305" t="str">
        <f>Sc.Table!G19</f>
        <v>Scrape - Lagoon - DHL (B)</v>
      </c>
      <c r="AX14" s="2307">
        <f>'LCIA Summary output'!T28</f>
        <v>1.0250368332329658</v>
      </c>
      <c r="AY14" s="2307">
        <f>'LCIA Summary output'!U28</f>
        <v>8.0334528050857806E-2</v>
      </c>
      <c r="AZ14" s="2307">
        <f>'LCIA Summary output'!V28</f>
        <v>-113.64077659727184</v>
      </c>
      <c r="BA14" s="2307">
        <f>'LCIA Summary output'!W28</f>
        <v>29.908547651726739</v>
      </c>
      <c r="BB14" s="2307">
        <f>'LCIA Summary output'!X28</f>
        <v>21.167071104036143</v>
      </c>
      <c r="BC14" s="2307">
        <f>'LCIA Summary output'!Y28</f>
        <v>6.8559239300960995</v>
      </c>
      <c r="BE14" s="100" t="str">
        <f t="shared" si="1"/>
        <v>Shallow pit, scrape auto, lagoon, irrigation + drag hose</v>
      </c>
      <c r="BF14" s="645" cm="1">
        <f t="array" ref="BF14">INDEX(EconResultsSummary!$C$42:$AE$42,$AC14)</f>
        <v>152.14483608267398</v>
      </c>
      <c r="BG14" s="645" cm="1">
        <f t="array" ref="BG14">INDEX(EconResultsSummary!$C$41:$AE$41,$AC14)</f>
        <v>32.591270749752816</v>
      </c>
      <c r="BH14" s="1196" cm="1">
        <f t="array" ref="BH14">INDEX(EconResultsSummary!$C$43:$AE$43,$AC14)</f>
        <v>44.546627283044927</v>
      </c>
      <c r="BI14" s="78"/>
      <c r="BJ14" s="78"/>
      <c r="BK14" s="78"/>
      <c r="BL14" cm="1">
        <f t="array" aca="1" ref="BL14" ca="1">INDEX(EconResultsSummary!$C$78:$AE$78,$AC14)</f>
        <v>20.976145109814109</v>
      </c>
      <c r="BM14" cm="1">
        <f t="array" aca="1" ref="BM14" ca="1">INDEX(EconResultsSummary!$C$76:$AE$76,$AC14)</f>
        <v>6.7672275929776342</v>
      </c>
      <c r="BN14" cm="1">
        <f t="array" aca="1" ref="BN14" ca="1">INDEX(EconResultsSummary!$C$79:$AE$79,$AC14)</f>
        <v>8.1881193446612812</v>
      </c>
      <c r="BO14" cm="1">
        <f t="array" ref="BO14">INDEX(EconIntermediate!$C$18:$AE$18,$AC14)</f>
        <v>2346.5176237203291</v>
      </c>
      <c r="BP14" cm="1">
        <f t="array" ref="BP14">INDEX(EconIntermediate!$C$19:$AE$19,$AC14)</f>
        <v>0</v>
      </c>
      <c r="BQ14" cm="1">
        <f t="array" ref="BQ14">INDEX(EconIntermediate!$C$16:$AE$16,$AC14)</f>
        <v>0</v>
      </c>
      <c r="BR14" cm="1">
        <f t="array" ref="BR14">INDEX(EconIntermediate!$C$17:$AE$17,$AC14)</f>
        <v>0</v>
      </c>
      <c r="BS14" cm="1">
        <f t="array" ref="BS14">INDEX(EconIntermediate!$C$20:$AE$20,$AC14)</f>
        <v>234.65176237203292</v>
      </c>
      <c r="BT14" cm="1">
        <f t="array" ref="BT14">INDEX(EconIntermediate!$C$21:$AE$21,$AC14)</f>
        <v>0</v>
      </c>
      <c r="BU14" cm="1">
        <f t="array" ref="BU14">INDEX(EconResultsSummary!$C$46:$AE$46,$AC14)</f>
        <v>-52.144836082673976</v>
      </c>
      <c r="BV14" cm="1">
        <f t="array" ref="BV14">INDEX(EconResultsSummary!$C$45:$AE$45,$AC14)</f>
        <v>67.408729250247177</v>
      </c>
      <c r="BW14" cm="1">
        <f t="array" ref="BW14">INDEX(EconResultsSummary!$C$44:$AE$44,$AC14)</f>
        <v>55.453372716955073</v>
      </c>
      <c r="BX14" cm="1">
        <f t="array" ref="BX14">INDEX(EconResultsSummary!$C$49:$AE$49,$AC14)</f>
        <v>52.144836082673976</v>
      </c>
      <c r="BY14" cm="1">
        <f t="array" ref="BY14">INDEX(EconResultsSummary!$C$48:$AE$48,$AC14)</f>
        <v>0</v>
      </c>
      <c r="BZ14" cm="1">
        <f t="array" ref="BZ14">INDEX(EconResultsSummary!$C$47:$AE$47,$AC14)</f>
        <v>5.2144836082673978</v>
      </c>
      <c r="CA14" s="147">
        <f>'Sc4'!C6*UDV.animal.total</f>
        <v>5626.0223104763045</v>
      </c>
      <c r="CB14" s="147">
        <f>'Sc4'!C5*UC.m3_to_gal*UDV.animal.total</f>
        <v>14929.984318270346</v>
      </c>
      <c r="CC14" s="147">
        <f>'Sc4'!C57*UDV.animal.total</f>
        <v>71.742511552833761</v>
      </c>
      <c r="CE14" s="302">
        <f>('Sc4'!C10)</f>
        <v>6.0688727739166897</v>
      </c>
      <c r="CF14" s="302">
        <f>'Sc4'!C14</f>
        <v>1.5172181934791722</v>
      </c>
      <c r="CG14" s="302">
        <f>'Sc4'!C11</f>
        <v>3.6537102250000002</v>
      </c>
      <c r="CH14" s="302">
        <f>'Sc4'!C15</f>
        <v>2.9893992749999998</v>
      </c>
      <c r="CI14" s="147">
        <f>('Sc4'!C43+'Sc4'!C45)*UC.m2_to_acre</f>
        <v>0.8351823824950102</v>
      </c>
      <c r="CJ14" s="78">
        <f>PT.anaer_lagoon!J77</f>
        <v>10.541511154847765</v>
      </c>
      <c r="CK14" s="78">
        <f>PT.anaer_lagoon!J78</f>
        <v>6.3464219020959751</v>
      </c>
      <c r="CL14" s="78">
        <f>PT.anaer_lagoon!J79</f>
        <v>9.6433115456136793</v>
      </c>
      <c r="CM14" s="78">
        <f>PT.anaer_lagoon!K77</f>
        <v>13.98910006420043</v>
      </c>
      <c r="CN14" s="78">
        <f>PT.anaer_lagoon!K78</f>
        <v>27.562947616602838</v>
      </c>
      <c r="CO14" s="78">
        <f>PT.anaer_lagoon!K79</f>
        <v>27.563082231954681</v>
      </c>
      <c r="CP14">
        <v>0</v>
      </c>
      <c r="CQ14">
        <v>0</v>
      </c>
      <c r="CR14">
        <v>0</v>
      </c>
      <c r="CS14">
        <v>0</v>
      </c>
      <c r="CT14">
        <v>0</v>
      </c>
      <c r="CU14">
        <v>0</v>
      </c>
      <c r="CV14" s="626" t="str">
        <f t="shared" si="14"/>
        <v>Shallow pit, scrape auto, lagoon, irrigation + drag hose</v>
      </c>
      <c r="CW14" s="9" t="s">
        <v>4933</v>
      </c>
      <c r="CX14" s="37">
        <v>407.54875668055348</v>
      </c>
      <c r="CY14" s="37">
        <v>-2612.1192470622987</v>
      </c>
      <c r="CZ14" s="37">
        <v>222.75661725666703</v>
      </c>
      <c r="DA14" s="37">
        <v>6.9311300408721213</v>
      </c>
      <c r="DB14" s="77">
        <v>-1338.0734589359909</v>
      </c>
      <c r="DC14" s="77">
        <v>5.8559142888729779E-3</v>
      </c>
      <c r="DD14" s="57">
        <v>261.02699581313721</v>
      </c>
      <c r="DE14" s="13">
        <f t="shared" si="15"/>
        <v>0</v>
      </c>
      <c r="DH14" s="37">
        <v>276.30500000000001</v>
      </c>
      <c r="DI14" s="27">
        <v>1.1567489279815439</v>
      </c>
      <c r="DJ14" s="27">
        <v>0</v>
      </c>
      <c r="DK14" s="37">
        <v>3.8828923331073444</v>
      </c>
      <c r="DL14" s="50">
        <v>0</v>
      </c>
      <c r="DP14" s="49"/>
      <c r="DQ14" s="49"/>
    </row>
    <row r="15" spans="1:121" ht="22.35" customHeight="1" x14ac:dyDescent="0.3">
      <c r="A15" s="126" t="s">
        <v>4934</v>
      </c>
      <c r="B15" s="126" t="s">
        <v>4934</v>
      </c>
      <c r="C15" s="100" t="str">
        <f>Sc.Table!I20</f>
        <v>Shallow pit, pull plug, lagoon, irrigation + tanker</v>
      </c>
      <c r="D15" s="18" t="s">
        <v>4912</v>
      </c>
      <c r="E15" s="9" t="s">
        <v>4913</v>
      </c>
      <c r="F15" s="18" t="s">
        <v>4935</v>
      </c>
      <c r="G15" s="648"/>
      <c r="H15" s="2299">
        <f>SUMIFS('Sc5'!$D:$D,'Sc5'!$A:$A,$D$15,'Sc5'!$B:$B,Output.Rankings!H$4)</f>
        <v>107.88502322499558</v>
      </c>
      <c r="I15" s="2299">
        <f>SUMIFS('Sc5'!$D:$D,'Sc5'!$A:$A,$D$15,'Sc5'!$B:$B,Output.Rankings!I$4)</f>
        <v>111.01804853425334</v>
      </c>
      <c r="J15" s="2299">
        <f>SUMIFS('Sc5'!$D:$D,'Sc5'!$A:$A,$D$15,'Sc5'!$B:$B,Output.Rankings!J$4)</f>
        <v>1.7218893154655115</v>
      </c>
      <c r="K15" s="2299">
        <f>SUMIFS('Sc5'!$D:$D,'Sc5'!$A:$A,$D$15,'Sc5'!$B:$B,Output.Rankings!K$4)</f>
        <v>12.46664632689723</v>
      </c>
      <c r="L15" s="2299">
        <f>SUMIFS('Sc5'!$D:$D,'Sc5'!$A:$A,$D$15,'Sc5'!$B:$B,Output.Rankings!L$4)</f>
        <v>0</v>
      </c>
      <c r="M15" s="2299">
        <f t="shared" si="2"/>
        <v>-206.43642543235168</v>
      </c>
      <c r="N15" s="2301">
        <f t="shared" si="3"/>
        <v>1.0484672156712076</v>
      </c>
      <c r="O15" s="2301">
        <f t="shared" si="4"/>
        <v>7.684443676179778E-2</v>
      </c>
      <c r="P15" s="2301">
        <f t="shared" si="5"/>
        <v>0</v>
      </c>
      <c r="Q15" s="2301">
        <f t="shared" si="6"/>
        <v>53.290586014741351</v>
      </c>
      <c r="R15" s="2301">
        <f t="shared" si="7"/>
        <v>22.045474350928309</v>
      </c>
      <c r="S15" s="2301">
        <f t="shared" si="8"/>
        <v>7.1497920442978291</v>
      </c>
      <c r="T15" s="2302">
        <v>3.1666666666666665</v>
      </c>
      <c r="U15" s="2302">
        <v>1.2957483863172858E-2</v>
      </c>
      <c r="V15" s="2302">
        <v>2</v>
      </c>
      <c r="W15" s="2303">
        <f t="shared" ca="1" si="9"/>
        <v>13.221318238154655</v>
      </c>
      <c r="X15" s="2303">
        <f t="shared" si="10"/>
        <v>0</v>
      </c>
      <c r="Y15" s="2304">
        <f t="shared" si="11"/>
        <v>0</v>
      </c>
      <c r="Z15" s="1197" cm="1">
        <f t="array" ref="Z15">INDEX(EconIntermediate!$C$23:$AE$23,$AC15)</f>
        <v>2259.1547660954243</v>
      </c>
      <c r="AA15" s="1197" cm="1">
        <f t="array" ref="AA15">INDEX(EconIntermediate!$C$22:$AE$22,$AC15)</f>
        <v>0</v>
      </c>
      <c r="AB15" s="1082" cm="1">
        <f t="array" ref="AB15">INDEX(EconIntermediate!$C$24:$AE$24,$AC15)</f>
        <v>225.91547660954242</v>
      </c>
      <c r="AC15" s="147">
        <f>MATCH(C15,EconIntermediate!$C$3:$AE$3,0)</f>
        <v>5</v>
      </c>
      <c r="AD15" s="9" t="str">
        <f>_xlfn.CONCAT(Sc.Table!C20,Sc.Table!D20)</f>
        <v>5A</v>
      </c>
      <c r="AE15" s="2305" t="str">
        <f>Sc.Table!G20</f>
        <v>Pull plug - Lagoon - TL (A)</v>
      </c>
      <c r="AF15" s="2307">
        <f>'LCIA Summary output'!T29</f>
        <v>1.0484672156712076</v>
      </c>
      <c r="AG15" s="2307">
        <f>'LCIA Summary output'!U29</f>
        <v>7.684443676179778E-2</v>
      </c>
      <c r="AH15" s="2307">
        <f>'LCIA Summary output'!V29</f>
        <v>0</v>
      </c>
      <c r="AI15" s="2307">
        <f>'LCIA Summary output'!W29</f>
        <v>53.290586014741351</v>
      </c>
      <c r="AJ15" s="2307">
        <f>'LCIA Summary output'!X29</f>
        <v>22.045474350928309</v>
      </c>
      <c r="AK15" s="2307">
        <f>'LCIA Summary output'!Y29</f>
        <v>7.1497920442978291</v>
      </c>
      <c r="AM15" s="9" t="str">
        <f t="shared" si="12"/>
        <v>5A</v>
      </c>
      <c r="AN15" s="2305" t="str">
        <f>Sc.Table!G20</f>
        <v>Pull plug - Lagoon - TL (A)</v>
      </c>
      <c r="AO15" s="2307">
        <f>'LCIA Summary output'!T30</f>
        <v>-7.3853310328725391E-3</v>
      </c>
      <c r="AP15" s="2307">
        <f>'LCIA Summary output'!U30</f>
        <v>0</v>
      </c>
      <c r="AQ15" s="2307">
        <f>'LCIA Summary output'!V30</f>
        <v>-97.388114632600988</v>
      </c>
      <c r="AR15" s="2307">
        <f>'LCIA Summary output'!W30</f>
        <v>0.10031057049675135</v>
      </c>
      <c r="AS15" s="2307">
        <f>'LCIA Summary output'!X30</f>
        <v>0</v>
      </c>
      <c r="AT15" s="2307">
        <f>'LCIA Summary output'!Y30</f>
        <v>0</v>
      </c>
      <c r="AV15" s="9" t="str">
        <f t="shared" si="13"/>
        <v>5A</v>
      </c>
      <c r="AW15" s="2305" t="str">
        <f>Sc.Table!G20</f>
        <v>Pull plug - Lagoon - TL (A)</v>
      </c>
      <c r="AX15" s="2307">
        <f>'LCIA Summary output'!T31</f>
        <v>1.0410818846383352</v>
      </c>
      <c r="AY15" s="2307">
        <f>'LCIA Summary output'!U31</f>
        <v>7.684443676179778E-2</v>
      </c>
      <c r="AZ15" s="2307">
        <f>'LCIA Summary output'!V31</f>
        <v>-97.388114632600988</v>
      </c>
      <c r="BA15" s="2307">
        <f>'LCIA Summary output'!W31</f>
        <v>53.39089658523811</v>
      </c>
      <c r="BB15" s="2307">
        <f>'LCIA Summary output'!X31</f>
        <v>22.045474350928309</v>
      </c>
      <c r="BC15" s="2307">
        <f>'LCIA Summary output'!Y31</f>
        <v>7.1497920442978291</v>
      </c>
      <c r="BE15" s="100" t="str">
        <f t="shared" si="1"/>
        <v>Shallow pit, pull plug, lagoon, irrigation + tanker</v>
      </c>
      <c r="BF15" s="645" cm="1">
        <f t="array" ref="BF15">INDEX(EconResultsSummary!$C$42:$AE$42,$AC15)</f>
        <v>150.20343924656498</v>
      </c>
      <c r="BG15" s="645" cm="1">
        <f t="array" ref="BG15">INDEX(EconResultsSummary!$C$41:$AE$41,$AC15)</f>
        <v>30.649873913643837</v>
      </c>
      <c r="BH15" s="1196" cm="1">
        <f t="array" ref="BH15">INDEX(EconResultsSummary!$C$43:$AE$43,$AC15)</f>
        <v>42.605230446935948</v>
      </c>
      <c r="BI15" s="78"/>
      <c r="BJ15" s="78"/>
      <c r="BK15" s="78"/>
      <c r="BL15" cm="1">
        <f t="array" aca="1" ref="BL15" ca="1">INDEX(EconResultsSummary!$C$78:$AE$78,$AC15)</f>
        <v>67.911358517351189</v>
      </c>
      <c r="BM15" cm="1">
        <f t="array" aca="1" ref="BM15" ca="1">INDEX(EconResultsSummary!$C$76:$AE$76,$AC15)</f>
        <v>13.221318238154655</v>
      </c>
      <c r="BN15" cm="1">
        <f t="array" aca="1" ref="BN15" ca="1">INDEX(EconResultsSummary!$C$79:$AE$79,$AC15)</f>
        <v>18.690322266074311</v>
      </c>
      <c r="BO15" cm="1">
        <f t="array" ref="BO15">INDEX(EconIntermediate!$C$18:$AE$18,$AC15)</f>
        <v>2259.1547660954243</v>
      </c>
      <c r="BP15" cm="1">
        <f t="array" ref="BP15">INDEX(EconIntermediate!$C$19:$AE$19,$AC15)</f>
        <v>0</v>
      </c>
      <c r="BQ15" cm="1">
        <f t="array" ref="BQ15">INDEX(EconIntermediate!$C$16:$AE$16,$AC15)</f>
        <v>0</v>
      </c>
      <c r="BR15" cm="1">
        <f t="array" ref="BR15">INDEX(EconIntermediate!$C$17:$AE$17,$AC15)</f>
        <v>0</v>
      </c>
      <c r="BS15" cm="1">
        <f t="array" ref="BS15">INDEX(EconIntermediate!$C$20:$AE$20,$AC15)</f>
        <v>225.91547660954242</v>
      </c>
      <c r="BT15" cm="1">
        <f t="array" ref="BT15">INDEX(EconIntermediate!$C$21:$AE$21,$AC15)</f>
        <v>0</v>
      </c>
      <c r="BU15" cm="1">
        <f t="array" ref="BU15">INDEX(EconResultsSummary!$C$46:$AE$46,$AC15)</f>
        <v>-50.203439246564983</v>
      </c>
      <c r="BV15" cm="1">
        <f t="array" ref="BV15">INDEX(EconResultsSummary!$C$45:$AE$45,$AC15)</f>
        <v>69.35012608635617</v>
      </c>
      <c r="BW15" cm="1">
        <f t="array" ref="BW15">INDEX(EconResultsSummary!$C$44:$AE$44,$AC15)</f>
        <v>57.394769553064052</v>
      </c>
      <c r="BX15" cm="1">
        <f t="array" ref="BX15">INDEX(EconResultsSummary!$C$49:$AE$49,$AC15)</f>
        <v>50.203439246564983</v>
      </c>
      <c r="BY15" cm="1">
        <f t="array" ref="BY15">INDEX(EconResultsSummary!$C$48:$AE$48,$AC15)</f>
        <v>0</v>
      </c>
      <c r="BZ15" cm="1">
        <f t="array" ref="BZ15">INDEX(EconResultsSummary!$C$47:$AE$47,$AC15)</f>
        <v>5.0203439246564985</v>
      </c>
      <c r="CA15" s="147">
        <f>'Sc5'!C6*UDV.animal.total</f>
        <v>1032.3581416016057</v>
      </c>
      <c r="CB15" s="147">
        <f>'Sc5'!C5*UC.m3_to_gal*UDV.animal.total</f>
        <v>26612.299001506963</v>
      </c>
      <c r="CC15" s="147">
        <f>'Sc5'!C49*UDV.animal.total</f>
        <v>175.71719103442985</v>
      </c>
      <c r="CE15" s="302">
        <f>('Sc5'!C10)</f>
        <v>5.6892662039166897</v>
      </c>
      <c r="CF15" s="302">
        <f>'Sc5'!C14</f>
        <v>1.4223165509791718</v>
      </c>
      <c r="CG15" s="302">
        <f>'Sc5'!C11</f>
        <v>3.6537102250000002</v>
      </c>
      <c r="CH15" s="302">
        <f>'Sc5'!C15</f>
        <v>2.9893992749999998</v>
      </c>
      <c r="CI15" s="147">
        <f>('Sc5'!C36+'Sc5'!C37)*UC.m2_to_acre</f>
        <v>0.83739119552226626</v>
      </c>
      <c r="CJ15" s="78">
        <f>PT.anaer_lagoon!N77</f>
        <v>9.9467788831825619</v>
      </c>
      <c r="CK15" s="78">
        <f>PT.anaer_lagoon!N78</f>
        <v>6.3879323639802026</v>
      </c>
      <c r="CL15" s="78">
        <f>PT.anaer_lagoon!N79</f>
        <v>9.7063861918516992</v>
      </c>
      <c r="CM15" s="78">
        <f>PT.anaer_lagoon!O77</f>
        <v>13.114085132995873</v>
      </c>
      <c r="CN15" s="78">
        <f>PT.anaer_lagoon!O78</f>
        <v>27.562947616602838</v>
      </c>
      <c r="CO15" s="78">
        <f>PT.anaer_lagoon!O79</f>
        <v>27.563082231954681</v>
      </c>
      <c r="CP15">
        <v>0</v>
      </c>
      <c r="CQ15">
        <v>0</v>
      </c>
      <c r="CR15">
        <v>0</v>
      </c>
      <c r="CS15">
        <v>0</v>
      </c>
      <c r="CT15">
        <v>0</v>
      </c>
      <c r="CU15">
        <v>0</v>
      </c>
      <c r="CV15" s="626" t="str">
        <f t="shared" si="14"/>
        <v>Shallow pit, pull plug, lagoon, irrigation + tanker</v>
      </c>
      <c r="CW15" s="9" t="s">
        <v>4936</v>
      </c>
      <c r="CX15" s="37">
        <v>512.41159216069593</v>
      </c>
      <c r="CY15" s="37">
        <v>132870.2401635623</v>
      </c>
      <c r="CZ15" s="37">
        <v>77.404075008499589</v>
      </c>
      <c r="DA15" s="37">
        <v>2.550191821606671</v>
      </c>
      <c r="DB15" s="77">
        <v>938.89882191371521</v>
      </c>
      <c r="DC15" s="77">
        <v>4.1344812212022921</v>
      </c>
      <c r="DD15" s="57">
        <v>0.86837135399999998</v>
      </c>
      <c r="DE15" s="13">
        <f t="shared" si="15"/>
        <v>0</v>
      </c>
      <c r="DH15" s="37">
        <v>503.92857267114107</v>
      </c>
      <c r="DI15" s="27">
        <v>3.1753588482021895</v>
      </c>
      <c r="DJ15" s="27">
        <v>0.57448655571727625</v>
      </c>
      <c r="DK15" s="37">
        <v>8.4663599210015352</v>
      </c>
      <c r="DL15" s="50">
        <v>15320.752556315059</v>
      </c>
      <c r="DP15" s="37">
        <v>99.435961576005596</v>
      </c>
      <c r="DQ15" s="37">
        <v>8.289025557936867</v>
      </c>
    </row>
    <row r="16" spans="1:121" ht="22.35" customHeight="1" x14ac:dyDescent="0.3">
      <c r="A16" s="126" t="s">
        <v>4937</v>
      </c>
      <c r="B16" s="126" t="s">
        <v>4937</v>
      </c>
      <c r="C16" s="100" t="str">
        <f>Sc.Table!I21</f>
        <v>Shallow pit, pull plug, lagoon, irrigation + drag hose</v>
      </c>
      <c r="D16" s="18" t="s">
        <v>4917</v>
      </c>
      <c r="E16" s="9" t="s">
        <v>2586</v>
      </c>
      <c r="F16" s="18" t="s">
        <v>4935</v>
      </c>
      <c r="G16" s="648"/>
      <c r="H16" s="2299">
        <f>SUMIFS('Sc5'!$D:$D,'Sc5'!$A:$A,$D$16,'Sc5'!$B:$B,Output.Rankings!H$4)</f>
        <v>215.47040066626485</v>
      </c>
      <c r="I16" s="2299">
        <f>SUMIFS('Sc5'!$D:$D,'Sc5'!$A:$A,$D$16,'Sc5'!$B:$B,Output.Rankings!I$4)</f>
        <v>144.77653527028673</v>
      </c>
      <c r="J16" s="2299">
        <f>SUMIFS('Sc5'!$D:$D,'Sc5'!$A:$A,$D$16,'Sc5'!$B:$B,Output.Rankings!J$4)</f>
        <v>1.7218893154655115</v>
      </c>
      <c r="K16" s="2299">
        <f>SUMIFS('Sc5'!$D:$D,'Sc5'!$A:$A,$D$16,'Sc5'!$B:$B,Output.Rankings!K$4)</f>
        <v>12.46664632689723</v>
      </c>
      <c r="L16" s="2299">
        <f>SUMIFS('Sc5'!$D:$D,'Sc5'!$A:$A,$D$16,'Sc5'!$B:$B,Output.Rankings!L$4)</f>
        <v>0</v>
      </c>
      <c r="M16" s="2299">
        <f t="shared" si="2"/>
        <v>-347.78028960965435</v>
      </c>
      <c r="N16" s="2301">
        <f t="shared" si="3"/>
        <v>1.04637235438786</v>
      </c>
      <c r="O16" s="2301">
        <f t="shared" si="4"/>
        <v>7.684443676179778E-2</v>
      </c>
      <c r="P16" s="2301">
        <f t="shared" si="5"/>
        <v>0</v>
      </c>
      <c r="Q16" s="2301">
        <f t="shared" si="6"/>
        <v>53.290586014741351</v>
      </c>
      <c r="R16" s="2301">
        <f t="shared" si="7"/>
        <v>22.045474350928309</v>
      </c>
      <c r="S16" s="2301">
        <f t="shared" si="8"/>
        <v>7.1497920442978291</v>
      </c>
      <c r="T16" s="2302">
        <v>3.3333333333333335</v>
      </c>
      <c r="U16" s="2302">
        <v>1.1599791268761872E-2</v>
      </c>
      <c r="V16" s="2302">
        <v>2</v>
      </c>
      <c r="W16" s="2303">
        <f t="shared" ca="1" si="9"/>
        <v>9.1441727187415758</v>
      </c>
      <c r="X16" s="2303">
        <f t="shared" si="10"/>
        <v>0</v>
      </c>
      <c r="Y16" s="2304">
        <f t="shared" si="11"/>
        <v>0</v>
      </c>
      <c r="Z16" s="1197" cm="1">
        <f t="array" ref="Z16">INDEX(EconIntermediate!$C$23:$AE$23,$AC16)</f>
        <v>2259.1547660954243</v>
      </c>
      <c r="AA16" s="1197" cm="1">
        <f t="array" ref="AA16">INDEX(EconIntermediate!$C$22:$AE$22,$AC16)</f>
        <v>0</v>
      </c>
      <c r="AB16" s="1082" cm="1">
        <f t="array" ref="AB16">INDEX(EconIntermediate!$C$24:$AE$24,$AC16)</f>
        <v>225.91547660954242</v>
      </c>
      <c r="AC16" s="147">
        <f>MATCH(C16,EconIntermediate!$C$3:$AE$3,0)</f>
        <v>20</v>
      </c>
      <c r="AD16" s="9" t="str">
        <f>_xlfn.CONCAT(Sc.Table!C21,Sc.Table!D21)</f>
        <v>5B</v>
      </c>
      <c r="AE16" s="2305" t="str">
        <f>Sc.Table!G21</f>
        <v>Pull plug - Lagoon - DHL (B)</v>
      </c>
      <c r="AF16" s="2307">
        <f>'LCIA Summary output'!T32</f>
        <v>1.04637235438786</v>
      </c>
      <c r="AG16" s="2307">
        <f>'LCIA Summary output'!U32</f>
        <v>7.684443676179778E-2</v>
      </c>
      <c r="AH16" s="2307">
        <f>'LCIA Summary output'!V32</f>
        <v>0</v>
      </c>
      <c r="AI16" s="2307">
        <f>'LCIA Summary output'!W32</f>
        <v>53.290586014741351</v>
      </c>
      <c r="AJ16" s="2307">
        <f>'LCIA Summary output'!X32</f>
        <v>22.045474350928309</v>
      </c>
      <c r="AK16" s="2307">
        <f>'LCIA Summary output'!Y32</f>
        <v>7.1497920442978291</v>
      </c>
      <c r="AM16" s="9" t="str">
        <f t="shared" si="12"/>
        <v>5B</v>
      </c>
      <c r="AN16" s="2305" t="str">
        <f>Sc.Table!G21</f>
        <v>Pull plug - Lagoon - DHL (B)</v>
      </c>
      <c r="AO16" s="2307">
        <f>'LCIA Summary output'!T33</f>
        <v>-8.7275033067800451E-3</v>
      </c>
      <c r="AP16" s="2307">
        <f>'LCIA Summary output'!U33</f>
        <v>0</v>
      </c>
      <c r="AQ16" s="2307">
        <f>'LCIA Summary output'!V33</f>
        <v>-110.81289561583787</v>
      </c>
      <c r="AR16" s="2307">
        <f>'LCIA Summary output'!W33</f>
        <v>-3.4453327689301871</v>
      </c>
      <c r="AS16" s="2307">
        <f>'LCIA Summary output'!X33</f>
        <v>0</v>
      </c>
      <c r="AT16" s="2307">
        <f>'LCIA Summary output'!Y33</f>
        <v>0</v>
      </c>
      <c r="AV16" s="9" t="str">
        <f t="shared" si="13"/>
        <v>5B</v>
      </c>
      <c r="AW16" s="2305" t="str">
        <f>Sc.Table!G21</f>
        <v>Pull plug - Lagoon - DHL (B)</v>
      </c>
      <c r="AX16" s="2307">
        <f>'LCIA Summary output'!T34</f>
        <v>1.0376448510810798</v>
      </c>
      <c r="AY16" s="2307">
        <f>'LCIA Summary output'!U34</f>
        <v>7.684443676179778E-2</v>
      </c>
      <c r="AZ16" s="2307">
        <f>'LCIA Summary output'!V34</f>
        <v>-110.81289561583787</v>
      </c>
      <c r="BA16" s="2307">
        <f>'LCIA Summary output'!W34</f>
        <v>49.845253245811165</v>
      </c>
      <c r="BB16" s="2307">
        <f>'LCIA Summary output'!X34</f>
        <v>22.045474350928309</v>
      </c>
      <c r="BC16" s="2307">
        <f>'LCIA Summary output'!Y34</f>
        <v>7.1497920442978291</v>
      </c>
      <c r="BE16" s="100" t="str">
        <f t="shared" si="1"/>
        <v>Shallow pit, pull plug, lagoon, irrigation + drag hose</v>
      </c>
      <c r="BF16" s="645" cm="1">
        <f t="array" ref="BF16">INDEX(EconResultsSummary!$C$42:$AE$42,$AC16)</f>
        <v>150.20343924656498</v>
      </c>
      <c r="BG16" s="645" cm="1">
        <f t="array" ref="BG16">INDEX(EconResultsSummary!$C$41:$AE$41,$AC16)</f>
        <v>30.649873913643837</v>
      </c>
      <c r="BH16" s="1196" cm="1">
        <f t="array" ref="BH16">INDEX(EconResultsSummary!$C$43:$AE$43,$AC16)</f>
        <v>42.605230446935948</v>
      </c>
      <c r="BI16" s="78"/>
      <c r="BJ16" s="78"/>
      <c r="BK16" s="78"/>
      <c r="BL16" cm="1">
        <f t="array" aca="1" ref="BL16" ca="1">INDEX(EconResultsSummary!$C$78:$AE$78,$AC16)</f>
        <v>23.762312421169376</v>
      </c>
      <c r="BM16" cm="1">
        <f t="array" aca="1" ref="BM16" ca="1">INDEX(EconResultsSummary!$C$76:$AE$76,$AC16)</f>
        <v>9.1441727187415758</v>
      </c>
      <c r="BN16" cm="1">
        <f t="array" aca="1" ref="BN16" ca="1">INDEX(EconResultsSummary!$C$79:$AE$79,$AC16)</f>
        <v>10.605986688984355</v>
      </c>
      <c r="BO16" cm="1">
        <f t="array" ref="BO16">INDEX(EconIntermediate!$C$18:$AE$18,$AC16)</f>
        <v>2259.1547660954243</v>
      </c>
      <c r="BP16" cm="1">
        <f t="array" ref="BP16">INDEX(EconIntermediate!$C$19:$AE$19,$AC16)</f>
        <v>0</v>
      </c>
      <c r="BQ16" cm="1">
        <f t="array" ref="BQ16">INDEX(EconIntermediate!$C$16:$AE$16,$AC16)</f>
        <v>0</v>
      </c>
      <c r="BR16" cm="1">
        <f t="array" ref="BR16">INDEX(EconIntermediate!$C$17:$AE$17,$AC16)</f>
        <v>0</v>
      </c>
      <c r="BS16" cm="1">
        <f t="array" ref="BS16">INDEX(EconIntermediate!$C$20:$AE$20,$AC16)</f>
        <v>225.91547660954242</v>
      </c>
      <c r="BT16" cm="1">
        <f t="array" ref="BT16">INDEX(EconIntermediate!$C$21:$AE$21,$AC16)</f>
        <v>0</v>
      </c>
      <c r="BU16" cm="1">
        <f t="array" ref="BU16">INDEX(EconResultsSummary!$C$46:$AE$46,$AC16)</f>
        <v>-50.203439246564983</v>
      </c>
      <c r="BV16" cm="1">
        <f t="array" ref="BV16">INDEX(EconResultsSummary!$C$45:$AE$45,$AC16)</f>
        <v>69.35012608635617</v>
      </c>
      <c r="BW16" cm="1">
        <f t="array" ref="BW16">INDEX(EconResultsSummary!$C$44:$AE$44,$AC16)</f>
        <v>57.394769553064052</v>
      </c>
      <c r="BX16" cm="1">
        <f t="array" ref="BX16">INDEX(EconResultsSummary!$C$49:$AE$49,$AC16)</f>
        <v>50.203439246564983</v>
      </c>
      <c r="BY16" cm="1">
        <f t="array" ref="BY16">INDEX(EconResultsSummary!$C$48:$AE$48,$AC16)</f>
        <v>0</v>
      </c>
      <c r="BZ16" cm="1">
        <f t="array" ref="BZ16">INDEX(EconResultsSummary!$C$47:$AE$47,$AC16)</f>
        <v>5.0203439246564985</v>
      </c>
      <c r="CA16" s="147">
        <f>'Sc5'!C6*UDV.animal.total</f>
        <v>1032.3581416016057</v>
      </c>
      <c r="CB16" s="147">
        <f>'Sc5'!C5*UC.m3_to_gal*UDV.animal.total</f>
        <v>26612.299001506963</v>
      </c>
      <c r="CC16" s="147">
        <f>'Sc5'!C50*UDV.animal.total</f>
        <v>72.82616532973158</v>
      </c>
      <c r="CE16" s="302">
        <f>'Sc5'!C10</f>
        <v>5.6892662039166897</v>
      </c>
      <c r="CF16" s="302">
        <f>'Sc5'!C14</f>
        <v>1.4223165509791718</v>
      </c>
      <c r="CG16" s="302">
        <f>'Sc5'!C11</f>
        <v>3.6537102250000002</v>
      </c>
      <c r="CH16" s="302">
        <f>'Sc5'!C15</f>
        <v>2.9893992749999998</v>
      </c>
      <c r="CI16" s="147">
        <f>('Sc5'!C36+'Sc5'!C37)*UC.m2_to_acre</f>
        <v>0.83739119552226626</v>
      </c>
      <c r="CJ16" s="78">
        <f>PT.anaer_lagoon!N77</f>
        <v>9.9467788831825619</v>
      </c>
      <c r="CK16" s="78">
        <f>PT.anaer_lagoon!N78</f>
        <v>6.3879323639802026</v>
      </c>
      <c r="CL16" s="78">
        <f>PT.anaer_lagoon!N79</f>
        <v>9.7063861918516992</v>
      </c>
      <c r="CM16" s="78">
        <f>PT.anaer_lagoon!O77</f>
        <v>13.114085132995873</v>
      </c>
      <c r="CN16" s="78">
        <f>PT.anaer_lagoon!O78</f>
        <v>27.562947616602838</v>
      </c>
      <c r="CO16" s="78">
        <f>PT.anaer_lagoon!O79</f>
        <v>27.563082231954681</v>
      </c>
      <c r="CP16">
        <v>0</v>
      </c>
      <c r="CQ16">
        <v>0</v>
      </c>
      <c r="CR16">
        <v>0</v>
      </c>
      <c r="CS16">
        <v>0</v>
      </c>
      <c r="CT16">
        <v>0</v>
      </c>
      <c r="CU16">
        <v>0</v>
      </c>
      <c r="CV16" s="626" t="str">
        <f t="shared" si="14"/>
        <v>Shallow pit, pull plug, lagoon, irrigation + drag hose</v>
      </c>
      <c r="CW16" s="9" t="s">
        <v>4938</v>
      </c>
      <c r="CX16" s="37">
        <v>489.75354180769818</v>
      </c>
      <c r="CY16" s="37">
        <v>249859.41800101494</v>
      </c>
      <c r="CZ16" s="37">
        <v>66.755905175450977</v>
      </c>
      <c r="DA16" s="37">
        <v>1.2665245504654215</v>
      </c>
      <c r="DB16" s="77">
        <v>7240.9340915742969</v>
      </c>
      <c r="DC16" s="77">
        <v>3.8460402885611913</v>
      </c>
      <c r="DD16" s="57">
        <v>250.79854741587405</v>
      </c>
      <c r="DE16" s="13">
        <f t="shared" si="15"/>
        <v>0</v>
      </c>
      <c r="DH16" s="37">
        <v>6.2571428571428571</v>
      </c>
      <c r="DI16" s="27">
        <v>0.98472378783862147</v>
      </c>
      <c r="DJ16" s="27">
        <v>0.17577924516952856</v>
      </c>
      <c r="DK16" s="37">
        <v>25.588745818407482</v>
      </c>
      <c r="DL16" s="50">
        <v>33977.437800133834</v>
      </c>
      <c r="DP16" s="49"/>
      <c r="DQ16" s="49"/>
    </row>
    <row r="17" spans="1:121" ht="22.35" customHeight="1" x14ac:dyDescent="0.3">
      <c r="A17" s="126" t="s">
        <v>4939</v>
      </c>
      <c r="B17" s="126" t="s">
        <v>4939</v>
      </c>
      <c r="C17" s="100" t="str">
        <f>Sc.Table!I22</f>
        <v>Shallow pit, flush, AD, lagoon, irrigation + tanker</v>
      </c>
      <c r="D17" s="18" t="s">
        <v>4912</v>
      </c>
      <c r="E17" s="9" t="s">
        <v>4913</v>
      </c>
      <c r="F17" s="18" t="s">
        <v>4940</v>
      </c>
      <c r="G17" s="648"/>
      <c r="H17" s="2299">
        <f>SUMIFS('Sc6'!$D:$D,'Sc6'!$A:$A,$D$17,'Sc6'!$B:$B,Output.Rankings!H$4)</f>
        <v>670.31879721336372</v>
      </c>
      <c r="I17" s="2299">
        <f>SUMIFS('Sc6'!$D:$D,'Sc6'!$A:$A,$D$17,'Sc6'!$B:$B,Output.Rankings!I$4)</f>
        <v>310.97369373908185</v>
      </c>
      <c r="J17" s="2299">
        <f>SUMIFS('Sc6'!$D:$D,'Sc6'!$A:$A,$D$17,'Sc6'!$B:$B,Output.Rankings!J$4)</f>
        <v>21.122905164349451</v>
      </c>
      <c r="K17" s="2299">
        <f>SUMIFS('Sc6'!$D:$D,'Sc6'!$A:$A,$D$17,'Sc6'!$B:$B,Output.Rankings!K$4)</f>
        <v>11.547187030148788</v>
      </c>
      <c r="L17" s="2299">
        <f>SUMIFS('Sc6'!$D:$D,'Sc6'!$A:$A,$D$17,'Sc6'!$B:$B,Output.Rankings!L$4)</f>
        <v>0</v>
      </c>
      <c r="M17" s="2299">
        <f t="shared" si="2"/>
        <v>-969.7453039222969</v>
      </c>
      <c r="N17" s="2301">
        <f t="shared" si="3"/>
        <v>0.60230640615119579</v>
      </c>
      <c r="O17" s="2301">
        <f t="shared" si="4"/>
        <v>6.9338568404963649E-2</v>
      </c>
      <c r="P17" s="2301">
        <f t="shared" si="5"/>
        <v>0</v>
      </c>
      <c r="Q17" s="2301">
        <f t="shared" si="6"/>
        <v>113.06988860568426</v>
      </c>
      <c r="R17" s="2301">
        <f t="shared" si="7"/>
        <v>23.863278621300225</v>
      </c>
      <c r="S17" s="2301">
        <f t="shared" si="8"/>
        <v>10.175148340808599</v>
      </c>
      <c r="T17" s="2302">
        <v>3</v>
      </c>
      <c r="U17" s="2302">
        <v>4.4751668659689048E-2</v>
      </c>
      <c r="V17" s="2302">
        <v>2</v>
      </c>
      <c r="W17" s="2303">
        <f t="shared" ca="1" si="9"/>
        <v>12.062066770275784</v>
      </c>
      <c r="X17" s="2303">
        <f t="shared" si="10"/>
        <v>0</v>
      </c>
      <c r="Y17" s="2304">
        <f t="shared" si="11"/>
        <v>0</v>
      </c>
      <c r="Z17" s="1197" cm="1">
        <f t="array" ref="Z17">INDEX(EconIntermediate!$C$23:$AE$23,$AC17)</f>
        <v>0</v>
      </c>
      <c r="AA17" s="1197" cm="1">
        <f t="array" ref="AA17">INDEX(EconIntermediate!$C$22:$AE$22,$AC17)</f>
        <v>0</v>
      </c>
      <c r="AB17" s="1082" cm="1">
        <f t="array" ref="AB17">INDEX(EconIntermediate!$C$24:$AE$24,$AC17)</f>
        <v>0</v>
      </c>
      <c r="AC17" s="147">
        <f>MATCH(C17,EconIntermediate!$C$3:$AE$3,0)</f>
        <v>6</v>
      </c>
      <c r="AD17" s="9" t="str">
        <f>_xlfn.CONCAT(Sc.Table!C22,Sc.Table!D22)</f>
        <v>6A</v>
      </c>
      <c r="AE17" s="2305" t="str">
        <f>Sc.Table!G22</f>
        <v>Flush - Anaerobic Digestion - TL (A)</v>
      </c>
      <c r="AF17" s="2307">
        <f>'LCIA Summary output'!T35</f>
        <v>0.60230640615119579</v>
      </c>
      <c r="AG17" s="2307">
        <f>'LCIA Summary output'!U35</f>
        <v>6.9338568404963649E-2</v>
      </c>
      <c r="AH17" s="2307">
        <f>'LCIA Summary output'!V35</f>
        <v>0</v>
      </c>
      <c r="AI17" s="2307">
        <f>'LCIA Summary output'!W35</f>
        <v>113.06988860568426</v>
      </c>
      <c r="AJ17" s="2307">
        <f>'LCIA Summary output'!X35</f>
        <v>23.863278621300225</v>
      </c>
      <c r="AK17" s="2307">
        <f>'LCIA Summary output'!Y35</f>
        <v>10.175148340808599</v>
      </c>
      <c r="AM17" s="9" t="str">
        <f t="shared" si="12"/>
        <v>6A</v>
      </c>
      <c r="AN17" s="2305" t="str">
        <f>Sc.Table!G22</f>
        <v>Flush - Anaerobic Digestion - TL (A)</v>
      </c>
      <c r="AO17" s="2307">
        <f>'LCIA Summary output'!T36</f>
        <v>-2.88042334257075E-3</v>
      </c>
      <c r="AP17" s="2307">
        <f>'LCIA Summary output'!U36</f>
        <v>0</v>
      </c>
      <c r="AQ17" s="2307">
        <f>'LCIA Summary output'!V36</f>
        <v>-70.434143935533896</v>
      </c>
      <c r="AR17" s="2307">
        <f>'LCIA Summary output'!W36</f>
        <v>3.8936391959060268</v>
      </c>
      <c r="AS17" s="2307">
        <f>'LCIA Summary output'!X36</f>
        <v>0</v>
      </c>
      <c r="AT17" s="2307">
        <f>'LCIA Summary output'!Y36</f>
        <v>0</v>
      </c>
      <c r="AV17" s="9" t="str">
        <f t="shared" si="13"/>
        <v>6A</v>
      </c>
      <c r="AW17" s="2305" t="str">
        <f>Sc.Table!G22</f>
        <v>Flush - Anaerobic Digestion - TL (A)</v>
      </c>
      <c r="AX17" s="2307">
        <f>'LCIA Summary output'!T37</f>
        <v>0.59942598280862502</v>
      </c>
      <c r="AY17" s="2307">
        <f>'LCIA Summary output'!U37</f>
        <v>6.9338568404963649E-2</v>
      </c>
      <c r="AZ17" s="2307">
        <f>'LCIA Summary output'!V37</f>
        <v>-70.434143935533896</v>
      </c>
      <c r="BA17" s="2307">
        <f>'LCIA Summary output'!W37</f>
        <v>116.96352780159027</v>
      </c>
      <c r="BB17" s="2308">
        <f>'LCIA Summary output'!X37</f>
        <v>23.863278621300225</v>
      </c>
      <c r="BC17" s="2307">
        <f>'LCIA Summary output'!Y37</f>
        <v>10.175148340808599</v>
      </c>
      <c r="BE17" s="100" t="str">
        <f t="shared" si="1"/>
        <v>Shallow pit, flush, AD, lagoon, irrigation + tanker</v>
      </c>
      <c r="BF17" s="645" cm="1">
        <f t="array" ref="BF17">INDEX(EconResultsSummary!$C$42:$AE$42,$AC17)</f>
        <v>98.029297175016339</v>
      </c>
      <c r="BG17" s="645" cm="1">
        <f t="array" ref="BG17">INDEX(EconResultsSummary!$C$41:$AE$41,$AC17)</f>
        <v>26.866559720008752</v>
      </c>
      <c r="BH17" s="1196" cm="1">
        <f t="array" ref="BH17">INDEX(EconResultsSummary!$C$43:$AE$43,$AC17)</f>
        <v>33.982833465509508</v>
      </c>
      <c r="BI17" s="78"/>
      <c r="BJ17" s="78"/>
      <c r="BK17" s="78"/>
      <c r="BL17" cm="1">
        <f t="array" aca="1" ref="BL17" ca="1">INDEX(EconResultsSummary!$C$78:$AE$78,$AC17)</f>
        <v>68.181546249606356</v>
      </c>
      <c r="BM17" cm="1">
        <f t="array" aca="1" ref="BM17" ca="1">INDEX(EconResultsSummary!$C$76:$AE$76,$AC17)</f>
        <v>12.062066770275784</v>
      </c>
      <c r="BN17" cm="1">
        <f t="array" aca="1" ref="BN17" ca="1">INDEX(EconResultsSummary!$C$79:$AE$79,$AC17)</f>
        <v>17.674014718208841</v>
      </c>
      <c r="BO17" cm="1">
        <f t="array" ref="BO17">INDEX(EconIntermediate!$C$18:$AE$18,$AC17)</f>
        <v>0</v>
      </c>
      <c r="BP17" cm="1">
        <f t="array" ref="BP17">INDEX(EconIntermediate!$C$19:$AE$19,$AC17)</f>
        <v>0</v>
      </c>
      <c r="BQ17" cm="1">
        <f t="array" ref="BQ17">INDEX(EconIntermediate!$C$16:$AE$16,$AC17)</f>
        <v>0</v>
      </c>
      <c r="BR17" cm="1">
        <f t="array" ref="BR17">INDEX(EconIntermediate!$C$17:$AE$17,$AC17)</f>
        <v>0</v>
      </c>
      <c r="BS17" cm="1">
        <f t="array" ref="BS17">INDEX(EconIntermediate!$C$20:$AE$20,$AC17)</f>
        <v>0</v>
      </c>
      <c r="BT17" cm="1">
        <f t="array" ref="BT17">INDEX(EconIntermediate!$C$21:$AE$21,$AC17)</f>
        <v>0</v>
      </c>
      <c r="BU17" cm="1">
        <f t="array" ref="BU17">INDEX(EconResultsSummary!$C$46:$AE$46,$AC17)</f>
        <v>1.9707028249836611</v>
      </c>
      <c r="BV17" cm="1">
        <f t="array" ref="BV17">INDEX(EconResultsSummary!$C$45:$AE$45,$AC17)</f>
        <v>73.133440279991248</v>
      </c>
      <c r="BW17" cm="1">
        <f t="array" ref="BW17">INDEX(EconResultsSummary!$C$44:$AE$44,$AC17)</f>
        <v>66.017166534490485</v>
      </c>
      <c r="BX17" cm="1">
        <f t="array" ref="BX17">INDEX(EconResultsSummary!$C$49:$AE$49,$AC17)</f>
        <v>0</v>
      </c>
      <c r="BY17" cm="1">
        <f t="array" ref="BY17">INDEX(EconResultsSummary!$C$48:$AE$48,$AC17)</f>
        <v>0</v>
      </c>
      <c r="BZ17" cm="1">
        <f t="array" ref="BZ17">INDEX(EconResultsSummary!$C$47:$AE$47,$AC17)</f>
        <v>0</v>
      </c>
      <c r="CA17" s="147">
        <f>'Sc6'!C6*UDV.animal.total</f>
        <v>3563.3855205822906</v>
      </c>
      <c r="CB17" s="147">
        <f>'Sc6'!C5*UC.m3_to_gal*UDV.animal.total</f>
        <v>56464.938907017931</v>
      </c>
      <c r="CC17" s="147">
        <f>'Sc6'!C53*UDV.animal.total</f>
        <v>177.61872680194526</v>
      </c>
      <c r="CE17" s="302">
        <f>'Sc6'!C10</f>
        <v>4.9104212914232273</v>
      </c>
      <c r="CF17" s="302">
        <f>'Sc6'!C14</f>
        <v>1.2276053228558064</v>
      </c>
      <c r="CG17" s="302">
        <f>'Sc6'!C11</f>
        <v>3.6537102250000002</v>
      </c>
      <c r="CH17" s="302">
        <f>'Sc6'!C15</f>
        <v>2.9893992749999998</v>
      </c>
      <c r="CI17" s="78">
        <f>SUM('Sc6'!C42:C45)*UC.m2_to_acre</f>
        <v>0.68650427807521253</v>
      </c>
      <c r="CJ17" s="78">
        <f>PT.anaer_lagoon!R77</f>
        <v>8.6371274739918888</v>
      </c>
      <c r="CK17" s="78">
        <f>PT.anaer_lagoon!R78</f>
        <v>6.4266504019670361</v>
      </c>
      <c r="CL17" s="78">
        <f>PT.anaer_lagoon!R79</f>
        <v>9.765217783652842</v>
      </c>
      <c r="CM17" s="78">
        <f>PT.anaer_lagoon!S77</f>
        <v>19.015615353967544</v>
      </c>
      <c r="CN17" s="78">
        <f>PT.anaer_lagoon!S78</f>
        <v>46.305816449694916</v>
      </c>
      <c r="CO17" s="78">
        <f>PT.anaer_lagoon!S79</f>
        <v>46.306042603800783</v>
      </c>
      <c r="CP17">
        <v>0</v>
      </c>
      <c r="CQ17">
        <v>0</v>
      </c>
      <c r="CR17">
        <v>0</v>
      </c>
      <c r="CS17">
        <v>0</v>
      </c>
      <c r="CT17">
        <v>0</v>
      </c>
      <c r="CU17">
        <v>0</v>
      </c>
      <c r="CV17" s="626" t="str">
        <f t="shared" si="14"/>
        <v>Shallow pit, flush, AD, lagoon, irrigation + tanker</v>
      </c>
      <c r="CW17" s="9" t="s">
        <v>4941</v>
      </c>
      <c r="CX17" s="37">
        <v>324.25363957190552</v>
      </c>
      <c r="CY17" s="37">
        <v>1576.011763303525</v>
      </c>
      <c r="CZ17" s="37">
        <v>265.27918183181811</v>
      </c>
      <c r="DA17" s="37">
        <v>0.38752643948564602</v>
      </c>
      <c r="DB17" s="77">
        <v>909.42220567703919</v>
      </c>
      <c r="DC17" s="77">
        <v>8.4021185289436318</v>
      </c>
      <c r="DD17" s="57">
        <v>224.55987074068634</v>
      </c>
      <c r="DE17" s="13">
        <f t="shared" si="15"/>
        <v>0</v>
      </c>
      <c r="DH17" s="37">
        <v>6.2571428571428571</v>
      </c>
      <c r="DI17" s="27">
        <v>2.3483205832492238</v>
      </c>
      <c r="DJ17" s="27">
        <v>0.40314347283740681</v>
      </c>
      <c r="DK17" s="37">
        <v>25.141811691428614</v>
      </c>
      <c r="DL17" s="50">
        <v>27301.720885824667</v>
      </c>
      <c r="DP17" s="37">
        <v>385.44448904247753</v>
      </c>
      <c r="DQ17" s="37">
        <v>8.0263610874624831</v>
      </c>
    </row>
    <row r="18" spans="1:121" ht="22.35" customHeight="1" x14ac:dyDescent="0.3">
      <c r="A18" s="126" t="s">
        <v>4942</v>
      </c>
      <c r="B18" s="126" t="s">
        <v>4942</v>
      </c>
      <c r="C18" s="100" t="str">
        <f>Sc.Table!I23</f>
        <v>Shallow pit, flush, AD, lagoon, irrigation + drag hose</v>
      </c>
      <c r="D18" s="18" t="s">
        <v>4917</v>
      </c>
      <c r="E18" s="9" t="s">
        <v>2586</v>
      </c>
      <c r="F18" s="18" t="s">
        <v>4940</v>
      </c>
      <c r="G18" s="648"/>
      <c r="H18" s="2299">
        <f>SUMIFS('Sc6'!$D:$D,'Sc6'!$A:$A,$D$18,'Sc6'!$B:$B,Output.Rankings!H$4)</f>
        <v>785.44802324471482</v>
      </c>
      <c r="I18" s="2299">
        <f>SUMIFS('Sc6'!$D:$D,'Sc6'!$A:$A,$D$18,'Sc6'!$B:$B,Output.Rankings!I$4)</f>
        <v>352.90295664391317</v>
      </c>
      <c r="J18" s="2299">
        <f>SUMIFS('Sc6'!$D:$D,'Sc6'!$A:$A,$D$18,'Sc6'!$B:$B,Output.Rankings!J$4)</f>
        <v>21.122905164349451</v>
      </c>
      <c r="K18" s="2299">
        <f>SUMIFS('Sc6'!$D:$D,'Sc6'!$A:$A,$D$18,'Sc6'!$B:$B,Output.Rankings!K$4)</f>
        <v>11.547187030148788</v>
      </c>
      <c r="L18" s="2299">
        <f>SUMIFS('Sc6'!$D:$D,'Sc6'!$A:$A,$D$18,'Sc6'!$B:$B,Output.Rankings!L$4)</f>
        <v>0</v>
      </c>
      <c r="M18" s="2299">
        <f t="shared" si="2"/>
        <v>-1126.8037928584793</v>
      </c>
      <c r="N18" s="2301">
        <f t="shared" si="3"/>
        <v>0.60019347551690072</v>
      </c>
      <c r="O18" s="2301">
        <f t="shared" si="4"/>
        <v>6.9338568404963649E-2</v>
      </c>
      <c r="P18" s="2301">
        <f t="shared" si="5"/>
        <v>0</v>
      </c>
      <c r="Q18" s="2301">
        <f t="shared" si="6"/>
        <v>113.06988860568426</v>
      </c>
      <c r="R18" s="2301">
        <f t="shared" si="7"/>
        <v>23.863278621300225</v>
      </c>
      <c r="S18" s="2301">
        <f t="shared" si="8"/>
        <v>10.175148340808599</v>
      </c>
      <c r="T18" s="2302">
        <v>3.125</v>
      </c>
      <c r="U18" s="2302">
        <v>4.3437709469399732E-2</v>
      </c>
      <c r="V18" s="2302">
        <v>2</v>
      </c>
      <c r="W18" s="2303">
        <f t="shared" ca="1" si="9"/>
        <v>139.58373583222269</v>
      </c>
      <c r="X18" s="2303">
        <f t="shared" si="10"/>
        <v>0</v>
      </c>
      <c r="Y18" s="2304">
        <f t="shared" si="11"/>
        <v>0</v>
      </c>
      <c r="Z18" s="1197" cm="1">
        <f t="array" ref="Z18">INDEX(EconIntermediate!$C$23:$AE$23,$AC18)</f>
        <v>0</v>
      </c>
      <c r="AA18" s="1197" cm="1">
        <f t="array" ref="AA18">INDEX(EconIntermediate!$C$22:$AE$22,$AC18)</f>
        <v>0</v>
      </c>
      <c r="AB18" s="1082" cm="1">
        <f t="array" ref="AB18">INDEX(EconIntermediate!$C$24:$AE$24,$AC18)</f>
        <v>0</v>
      </c>
      <c r="AC18" s="147">
        <f>MATCH(C18,EconIntermediate!$C$3:$AE$3,0)</f>
        <v>21</v>
      </c>
      <c r="AD18" s="9" t="str">
        <f>_xlfn.CONCAT(Sc.Table!C23,Sc.Table!D23)</f>
        <v>6B</v>
      </c>
      <c r="AE18" s="2305" t="str">
        <f>Sc.Table!G23</f>
        <v>Flush - Anaerobic Digestion - DHL (B)</v>
      </c>
      <c r="AF18" s="2307">
        <f>'LCIA Summary output'!T38</f>
        <v>0.60019347551690072</v>
      </c>
      <c r="AG18" s="2307">
        <f>'LCIA Summary output'!U38</f>
        <v>6.9338568404963649E-2</v>
      </c>
      <c r="AH18" s="2307">
        <f>'LCIA Summary output'!V38</f>
        <v>0</v>
      </c>
      <c r="AI18" s="2307">
        <f>'LCIA Summary output'!W38</f>
        <v>113.06988860568426</v>
      </c>
      <c r="AJ18" s="2307">
        <f>'LCIA Summary output'!X38</f>
        <v>23.863278621300225</v>
      </c>
      <c r="AK18" s="2307">
        <f>'LCIA Summary output'!Y38</f>
        <v>10.175148340808599</v>
      </c>
      <c r="AM18" s="9" t="str">
        <f t="shared" si="12"/>
        <v>6B</v>
      </c>
      <c r="AN18" s="2305" t="str">
        <f>Sc.Table!G23</f>
        <v>Flush - Anaerobic Digestion - DHL (B)</v>
      </c>
      <c r="AO18" s="2307">
        <f>'LCIA Summary output'!T39</f>
        <v>-4.2341726034806114E-3</v>
      </c>
      <c r="AP18" s="2307">
        <f>'LCIA Summary output'!U39</f>
        <v>0</v>
      </c>
      <c r="AQ18" s="2307">
        <f>'LCIA Summary output'!V39</f>
        <v>-83.974721167861787</v>
      </c>
      <c r="AR18" s="2307">
        <f>'LCIA Summary output'!W39</f>
        <v>0.3174126983752264</v>
      </c>
      <c r="AS18" s="2307">
        <f>'LCIA Summary output'!X39</f>
        <v>0</v>
      </c>
      <c r="AT18" s="2307">
        <f>'LCIA Summary output'!Y39</f>
        <v>0</v>
      </c>
      <c r="AV18" s="9" t="str">
        <f t="shared" si="13"/>
        <v>6B</v>
      </c>
      <c r="AW18" s="2305" t="str">
        <f>Sc.Table!G23</f>
        <v>Flush - Anaerobic Digestion - DHL (B)</v>
      </c>
      <c r="AX18" s="2307">
        <f>'LCIA Summary output'!T40</f>
        <v>0.59595930291342014</v>
      </c>
      <c r="AY18" s="2307">
        <f>'LCIA Summary output'!U40</f>
        <v>6.9338568404963649E-2</v>
      </c>
      <c r="AZ18" s="2307">
        <f>'LCIA Summary output'!V40</f>
        <v>-83.974721167861787</v>
      </c>
      <c r="BA18" s="2307">
        <f>'LCIA Summary output'!W40</f>
        <v>113.38730130405948</v>
      </c>
      <c r="BB18" s="2307">
        <f>'LCIA Summary output'!X40</f>
        <v>23.863278621300225</v>
      </c>
      <c r="BC18" s="2307">
        <f>'LCIA Summary output'!Y40</f>
        <v>10.175148340808599</v>
      </c>
      <c r="BE18" s="100" t="str">
        <f t="shared" si="1"/>
        <v>Shallow pit, flush, AD, lagoon, irrigation + drag hose</v>
      </c>
      <c r="BF18" s="645" cm="1">
        <f t="array" ref="BF18">INDEX(EconResultsSummary!$C$42:$AE$42,$AC18)</f>
        <v>98.029297175016339</v>
      </c>
      <c r="BG18" s="645" cm="1">
        <f t="array" ref="BG18">INDEX(EconResultsSummary!$C$41:$AE$41,$AC18)</f>
        <v>26.866559720008752</v>
      </c>
      <c r="BH18" s="1196" cm="1">
        <f t="array" ref="BH18">INDEX(EconResultsSummary!$C$43:$AE$43,$AC18)</f>
        <v>33.982833465509508</v>
      </c>
      <c r="BI18" s="78"/>
      <c r="BJ18" s="78"/>
      <c r="BK18" s="78"/>
      <c r="BL18" cm="1">
        <f t="array" aca="1" ref="BL18" ca="1">INDEX(EconResultsSummary!$C$78:$AE$78,$AC18)</f>
        <v>154.58395135352009</v>
      </c>
      <c r="BM18" cm="1">
        <f t="array" aca="1" ref="BM18" ca="1">INDEX(EconResultsSummary!$C$76:$AE$76,$AC18)</f>
        <v>139.58373583222269</v>
      </c>
      <c r="BN18" cm="1">
        <f t="array" aca="1" ref="BN18" ca="1">INDEX(EconResultsSummary!$C$79:$AE$79,$AC18)</f>
        <v>141.08375738435242</v>
      </c>
      <c r="BO18" cm="1">
        <f t="array" ref="BO18">INDEX(EconIntermediate!$C$18:$AE$18,$AC18)</f>
        <v>0</v>
      </c>
      <c r="BP18" cm="1">
        <f t="array" ref="BP18">INDEX(EconIntermediate!$C$19:$AE$19,$AC18)</f>
        <v>0</v>
      </c>
      <c r="BQ18" cm="1">
        <f t="array" ref="BQ18">INDEX(EconIntermediate!$C$16:$AE$16,$AC18)</f>
        <v>0</v>
      </c>
      <c r="BR18" cm="1">
        <f t="array" ref="BR18">INDEX(EconIntermediate!$C$17:$AE$17,$AC18)</f>
        <v>0</v>
      </c>
      <c r="BS18" cm="1">
        <f t="array" ref="BS18">INDEX(EconIntermediate!$C$20:$AE$20,$AC18)</f>
        <v>0</v>
      </c>
      <c r="BT18" cm="1">
        <f t="array" ref="BT18">INDEX(EconIntermediate!$C$21:$AE$21,$AC18)</f>
        <v>0</v>
      </c>
      <c r="BU18" cm="1">
        <f t="array" ref="BU18">INDEX(EconResultsSummary!$C$46:$AE$46,$AC18)</f>
        <v>1.9707028249836611</v>
      </c>
      <c r="BV18" cm="1">
        <f t="array" ref="BV18">INDEX(EconResultsSummary!$C$45:$AE$45,$AC18)</f>
        <v>73.133440279991248</v>
      </c>
      <c r="BW18" cm="1">
        <f t="array" ref="BW18">INDEX(EconResultsSummary!$C$44:$AE$44,$AC18)</f>
        <v>66.017166534490485</v>
      </c>
      <c r="BX18" cm="1">
        <f t="array" ref="BX18">INDEX(EconResultsSummary!$C$49:$AE$49,$AC18)</f>
        <v>0</v>
      </c>
      <c r="BY18" cm="1">
        <f t="array" ref="BY18">INDEX(EconResultsSummary!$C$48:$AE$48,$AC18)</f>
        <v>0</v>
      </c>
      <c r="BZ18" cm="1">
        <f t="array" ref="BZ18">INDEX(EconResultsSummary!$C$47:$AE$47,$AC18)</f>
        <v>0</v>
      </c>
      <c r="CA18" s="147">
        <f>'Sc6'!C6*UDV.animal.total</f>
        <v>3563.3855205822906</v>
      </c>
      <c r="CB18" s="147">
        <f>'Sc6'!C5*UC.m3_to_gal*UDV.animal.total</f>
        <v>56464.938907017931</v>
      </c>
      <c r="CC18" s="147">
        <f>'Sc6'!C54*UDV.animal.total</f>
        <v>73.840208418103529</v>
      </c>
      <c r="CE18" s="302">
        <f>'Sc6'!C10</f>
        <v>4.9104212914232273</v>
      </c>
      <c r="CF18" s="302">
        <f>'Sc6'!C14</f>
        <v>1.2276053228558064</v>
      </c>
      <c r="CG18" s="302">
        <f>'Sc6'!C11</f>
        <v>3.6537102250000002</v>
      </c>
      <c r="CH18" s="302">
        <f>'Sc6'!C15</f>
        <v>2.9893992749999998</v>
      </c>
      <c r="CI18" s="78">
        <f>SUM('Sc6'!C42:C45)*UC.m2_to_acre</f>
        <v>0.68650427807521253</v>
      </c>
      <c r="CJ18" s="78">
        <f>PT.anaer_lagoon!R77</f>
        <v>8.6371274739918888</v>
      </c>
      <c r="CK18" s="78">
        <f>PT.anaer_lagoon!R78</f>
        <v>6.4266504019670361</v>
      </c>
      <c r="CL18" s="78">
        <f>PT.anaer_lagoon!R79</f>
        <v>9.765217783652842</v>
      </c>
      <c r="CM18" s="78">
        <f>PT.anaer_lagoon!W77</f>
        <v>21.734604147467387</v>
      </c>
      <c r="CN18" s="78">
        <f>PT.anaer_lagoon!S78</f>
        <v>46.305816449694916</v>
      </c>
      <c r="CO18" s="78">
        <f>PT.anaer_lagoon!S79</f>
        <v>46.306042603800783</v>
      </c>
      <c r="CP18">
        <v>0</v>
      </c>
      <c r="CQ18">
        <v>0</v>
      </c>
      <c r="CR18">
        <v>0</v>
      </c>
      <c r="CS18">
        <v>0</v>
      </c>
      <c r="CT18">
        <v>0</v>
      </c>
      <c r="CU18">
        <v>0</v>
      </c>
      <c r="CV18" s="626" t="str">
        <f t="shared" si="14"/>
        <v>Shallow pit, flush, AD, lagoon, irrigation + drag hose</v>
      </c>
      <c r="CW18" s="9" t="s">
        <v>4943</v>
      </c>
      <c r="CX18" s="37">
        <v>83.455554329672225</v>
      </c>
      <c r="CY18" s="37">
        <v>1687.2602105077885</v>
      </c>
      <c r="CZ18" s="37">
        <v>212.98978481578413</v>
      </c>
      <c r="DA18" s="37">
        <v>0.110231</v>
      </c>
      <c r="DB18" s="77">
        <v>817.70217408372184</v>
      </c>
      <c r="DC18" s="77">
        <v>6.7529568120760786</v>
      </c>
      <c r="DD18" s="57">
        <v>33.253839781689962</v>
      </c>
      <c r="DE18" s="13">
        <f t="shared" si="15"/>
        <v>0</v>
      </c>
      <c r="DH18" s="37">
        <v>6.2571428571428571</v>
      </c>
      <c r="DI18" s="27">
        <v>6.8640678444824914</v>
      </c>
      <c r="DJ18" s="27">
        <v>1.6045091160562235</v>
      </c>
      <c r="DK18" s="37">
        <v>6.5647853977487181</v>
      </c>
      <c r="DL18" s="50">
        <v>11175.028396953914</v>
      </c>
      <c r="DP18" s="49"/>
      <c r="DQ18" s="49"/>
    </row>
    <row r="19" spans="1:121" ht="22.35" customHeight="1" x14ac:dyDescent="0.3">
      <c r="A19" s="126" t="s">
        <v>4944</v>
      </c>
      <c r="B19" s="126" t="s">
        <v>4944</v>
      </c>
      <c r="C19" s="100" t="str">
        <f>Sc.Table!I24</f>
        <v>Shallow pit, scrape auto, AD, lagoon, irrigation + tanker</v>
      </c>
      <c r="D19" s="18" t="s">
        <v>4912</v>
      </c>
      <c r="E19" s="9" t="s">
        <v>4913</v>
      </c>
      <c r="F19" s="18" t="s">
        <v>4945</v>
      </c>
      <c r="G19" s="648"/>
      <c r="H19" s="2299">
        <f>SUMIFS('Sc7'!$D:$D,'Sc7'!$A:$A,$D$19,'Sc7'!$B:$B,Output.Rankings!H$4)</f>
        <v>439.91284637390459</v>
      </c>
      <c r="I19" s="2299">
        <f>SUMIFS('Sc7'!$D:$D,'Sc7'!$A:$A,$D$19,'Sc7'!$B:$B,Output.Rankings!I$4)</f>
        <v>201.64166478714134</v>
      </c>
      <c r="J19" s="2299">
        <f>SUMIFS('Sc7'!$D:$D,'Sc7'!$A:$A,$D$19,'Sc7'!$B:$B,Output.Rankings!J$4)</f>
        <v>0</v>
      </c>
      <c r="K19" s="2299">
        <f>SUMIFS('Sc7'!$D:$D,'Sc7'!$A:$A,$D$19,'Sc7'!$B:$B,Output.Rankings!K$4)</f>
        <v>12.858314428124146</v>
      </c>
      <c r="L19" s="2299">
        <f>SUMIFS('Sc7'!$D:$D,'Sc7'!$A:$A,$D$19,'Sc7'!$B:$B,Output.Rankings!L$4)</f>
        <v>0</v>
      </c>
      <c r="M19" s="2299">
        <f t="shared" si="2"/>
        <v>-628.69619673292186</v>
      </c>
      <c r="N19" s="2301">
        <f t="shared" si="3"/>
        <v>0.59870568071677921</v>
      </c>
      <c r="O19" s="2301">
        <f t="shared" si="4"/>
        <v>7.5798715687205531E-2</v>
      </c>
      <c r="P19" s="2301">
        <f t="shared" si="5"/>
        <v>0</v>
      </c>
      <c r="Q19" s="2301">
        <f t="shared" si="6"/>
        <v>113.06988860568426</v>
      </c>
      <c r="R19" s="2301">
        <f t="shared" si="7"/>
        <v>22.240794409908446</v>
      </c>
      <c r="S19" s="2301">
        <f t="shared" si="8"/>
        <v>9.3512244571365475</v>
      </c>
      <c r="T19" s="2302">
        <v>2.5</v>
      </c>
      <c r="U19" s="2302">
        <v>6.6417094731324844E-2</v>
      </c>
      <c r="V19" s="2302">
        <v>2</v>
      </c>
      <c r="W19" s="2303">
        <f t="shared" ca="1" si="9"/>
        <v>13.080125454798685</v>
      </c>
      <c r="X19" s="2303">
        <f t="shared" si="10"/>
        <v>0</v>
      </c>
      <c r="Y19" s="2304">
        <f t="shared" si="11"/>
        <v>0</v>
      </c>
      <c r="Z19" s="1197" cm="1">
        <f t="array" ref="Z19">INDEX(EconIntermediate!$C$23:$AE$23,$AC19)</f>
        <v>238.49396165239733</v>
      </c>
      <c r="AA19" s="1197" cm="1">
        <f t="array" ref="AA19">INDEX(EconIntermediate!$C$22:$AE$22,$AC19)</f>
        <v>0</v>
      </c>
      <c r="AB19" s="1082" cm="1">
        <f t="array" ref="AB19">INDEX(EconIntermediate!$C$24:$AE$24,$AC19)</f>
        <v>23.849396165239732</v>
      </c>
      <c r="AC19" s="147">
        <f>MATCH(C19,EconIntermediate!$C$3:$AE$3,0)</f>
        <v>7</v>
      </c>
      <c r="AD19" s="9" t="str">
        <f>_xlfn.CONCAT(Sc.Table!C24,Sc.Table!D24)</f>
        <v>7A</v>
      </c>
      <c r="AE19" s="2305" t="str">
        <f>Sc.Table!G24</f>
        <v>Scrape - Anaerobic Digestion - TL (A)</v>
      </c>
      <c r="AF19" s="2307">
        <f>'LCIA Summary output'!T41</f>
        <v>0.59870568071677921</v>
      </c>
      <c r="AG19" s="2307">
        <f>'LCIA Summary output'!U41</f>
        <v>7.5798715687205531E-2</v>
      </c>
      <c r="AH19" s="2307">
        <f>'LCIA Summary output'!V41</f>
        <v>0</v>
      </c>
      <c r="AI19" s="2307">
        <f>'LCIA Summary output'!W41</f>
        <v>113.06988860568426</v>
      </c>
      <c r="AJ19" s="2307">
        <f>'LCIA Summary output'!X41</f>
        <v>22.240794409908446</v>
      </c>
      <c r="AK19" s="2307">
        <f>'LCIA Summary output'!Y41</f>
        <v>9.3512244571365475</v>
      </c>
      <c r="AM19" s="9" t="str">
        <f t="shared" si="12"/>
        <v>7A</v>
      </c>
      <c r="AN19" s="2305" t="str">
        <f>Sc.Table!G24</f>
        <v>Scrape - Anaerobic Digestion - TL (A)</v>
      </c>
      <c r="AO19" s="2307">
        <f>'LCIA Summary output'!T42</f>
        <v>-2.643571408812273E-3</v>
      </c>
      <c r="AP19" s="2307">
        <f>'LCIA Summary output'!U42</f>
        <v>0</v>
      </c>
      <c r="AQ19" s="2307">
        <f>'LCIA Summary output'!V42</f>
        <v>-83.705964130451889</v>
      </c>
      <c r="AR19" s="2307">
        <f>'LCIA Summary output'!W42</f>
        <v>4.6908849091741898</v>
      </c>
      <c r="AS19" s="2307">
        <f>'LCIA Summary output'!X42</f>
        <v>0</v>
      </c>
      <c r="AT19" s="2307">
        <f>'LCIA Summary output'!Y42</f>
        <v>0</v>
      </c>
      <c r="AV19" s="9" t="str">
        <f t="shared" si="13"/>
        <v>7A</v>
      </c>
      <c r="AW19" s="2305" t="str">
        <f>Sc.Table!G24</f>
        <v>Scrape - Anaerobic Digestion - TL (A)</v>
      </c>
      <c r="AX19" s="2307">
        <f>'LCIA Summary output'!T43</f>
        <v>0.59606210930796688</v>
      </c>
      <c r="AY19" s="2307">
        <f>'LCIA Summary output'!U43</f>
        <v>7.5798715687205531E-2</v>
      </c>
      <c r="AZ19" s="2307">
        <f>'LCIA Summary output'!V43</f>
        <v>-83.705964130451889</v>
      </c>
      <c r="BA19" s="2307">
        <f>'LCIA Summary output'!W43</f>
        <v>117.76077351485844</v>
      </c>
      <c r="BB19" s="2307">
        <f>'LCIA Summary output'!X43</f>
        <v>22.240794409908446</v>
      </c>
      <c r="BC19" s="2307">
        <f>'LCIA Summary output'!Y43</f>
        <v>9.3512244571365475</v>
      </c>
      <c r="BE19" s="100" t="str">
        <f t="shared" si="1"/>
        <v>Shallow pit, scrape auto, AD, lagoon, irrigation + tanker</v>
      </c>
      <c r="BF19" s="645" cm="1">
        <f t="array" ref="BF19">INDEX(EconResultsSummary!$C$42:$AE$42,$AC19)</f>
        <v>105.61184416600834</v>
      </c>
      <c r="BG19" s="645" cm="1">
        <f t="array" ref="BG19">INDEX(EconResultsSummary!$C$41:$AE$41,$AC19)</f>
        <v>30.260088668418415</v>
      </c>
      <c r="BH19" s="1196" cm="1">
        <f t="array" ref="BH19">INDEX(EconResultsSummary!$C$43:$AE$43,$AC19)</f>
        <v>37.795264218177408</v>
      </c>
      <c r="BI19" s="78"/>
      <c r="BJ19" s="78"/>
      <c r="BK19" s="78"/>
      <c r="BL19" cm="1">
        <f t="array" aca="1" ref="BL19" ca="1">INDEX(EconResultsSummary!$C$78:$AE$78,$AC19)</f>
        <v>65.020090184461907</v>
      </c>
      <c r="BM19" cm="1">
        <f t="array" aca="1" ref="BM19" ca="1">INDEX(EconResultsSummary!$C$76:$AE$76,$AC19)</f>
        <v>13.080125454798685</v>
      </c>
      <c r="BN19" cm="1">
        <f t="array" aca="1" ref="BN19" ca="1">INDEX(EconResultsSummary!$C$79:$AE$79,$AC19)</f>
        <v>18.274121927765005</v>
      </c>
      <c r="BO19" cm="1">
        <f t="array" ref="BO19">INDEX(EconIntermediate!$C$18:$AE$18,$AC19)</f>
        <v>238.49396165239733</v>
      </c>
      <c r="BP19" cm="1">
        <f t="array" ref="BP19">INDEX(EconIntermediate!$C$19:$AE$19,$AC19)</f>
        <v>0</v>
      </c>
      <c r="BQ19" cm="1">
        <f t="array" ref="BQ19">INDEX(EconIntermediate!$C$16:$AE$16,$AC19)</f>
        <v>0</v>
      </c>
      <c r="BR19" cm="1">
        <f t="array" ref="BR19">INDEX(EconIntermediate!$C$17:$AE$17,$AC19)</f>
        <v>0</v>
      </c>
      <c r="BS19" cm="1">
        <f t="array" ref="BS19">INDEX(EconIntermediate!$C$20:$AE$20,$AC19)</f>
        <v>23.849396165239732</v>
      </c>
      <c r="BT19" cm="1">
        <f t="array" ref="BT19">INDEX(EconIntermediate!$C$21:$AE$21,$AC19)</f>
        <v>0</v>
      </c>
      <c r="BU19" cm="1">
        <f t="array" ref="BU19">INDEX(EconResultsSummary!$C$46:$AE$46,$AC19)</f>
        <v>-5.6118441660083391</v>
      </c>
      <c r="BV19" cm="1">
        <f t="array" ref="BV19">INDEX(EconResultsSummary!$C$45:$AE$45,$AC19)</f>
        <v>69.739911331581581</v>
      </c>
      <c r="BW19" cm="1">
        <f t="array" ref="BW19">INDEX(EconResultsSummary!$C$44:$AE$44,$AC19)</f>
        <v>62.204735781822592</v>
      </c>
      <c r="BX19" cm="1">
        <f t="array" ref="BX19">INDEX(EconResultsSummary!$C$49:$AE$49,$AC19)</f>
        <v>5.6118441660083391</v>
      </c>
      <c r="BY19" cm="1">
        <f t="array" ref="BY19">INDEX(EconResultsSummary!$C$48:$AE$48,$AC19)</f>
        <v>0</v>
      </c>
      <c r="BZ19" cm="1">
        <f t="array" ref="BZ19">INDEX(EconResultsSummary!$C$47:$AE$47,$AC19)</f>
        <v>0.56118441660083396</v>
      </c>
      <c r="CA19" s="147">
        <f>'Sc7'!C6*UDV.animal.total</f>
        <v>5752.9181021967306</v>
      </c>
      <c r="CB19" s="147">
        <f>'Sc7'!C5*UC.m3_to_gal*UDV.animal.total</f>
        <v>56464.938907017931</v>
      </c>
      <c r="CC19" s="147">
        <f>'Sc7'!C61*UDV.animal.total</f>
        <v>170.58486103092136</v>
      </c>
      <c r="CE19" s="302">
        <f>'Sc7'!C10</f>
        <v>5.6125484755407298</v>
      </c>
      <c r="CF19" s="302">
        <f>'Sc7'!C14</f>
        <v>1.4031371188851822</v>
      </c>
      <c r="CG19" s="302">
        <f>'Sc7'!C11</f>
        <v>3.6537102250000002</v>
      </c>
      <c r="CH19" s="302">
        <f>'Sc7'!C15</f>
        <v>2.9893992749999998</v>
      </c>
      <c r="CI19" s="78">
        <f>SUM('Sc7'!C48:C51)*UC.m2_to_acre</f>
        <v>0.66533657145547698</v>
      </c>
      <c r="CJ19" s="78">
        <f>PT.anaer_lagoon!V77</f>
        <v>9.8721257831532903</v>
      </c>
      <c r="CK19" s="78">
        <f>PT.anaer_lagoon!V78</f>
        <v>6.4266504019670361</v>
      </c>
      <c r="CL19" s="78">
        <f>PT.anaer_lagoon!V79</f>
        <v>9.765217783652842</v>
      </c>
      <c r="CM19" s="78">
        <f>PT.anaer_lagoon!W77</f>
        <v>21.734604147467387</v>
      </c>
      <c r="CN19" s="78">
        <f>PT.anaer_lagoon!W78</f>
        <v>46.305816449694916</v>
      </c>
      <c r="CO19" s="78">
        <f>PT.anaer_lagoon!W79</f>
        <v>46.306042603800783</v>
      </c>
      <c r="CP19">
        <v>0</v>
      </c>
      <c r="CQ19">
        <v>0</v>
      </c>
      <c r="CR19">
        <v>0</v>
      </c>
      <c r="CS19">
        <v>0</v>
      </c>
      <c r="CT19">
        <v>0</v>
      </c>
      <c r="CU19">
        <v>0</v>
      </c>
      <c r="CV19" s="626" t="str">
        <f t="shared" si="14"/>
        <v>Shallow pit, scrape auto, AD, lagoon, irrigation + tanker</v>
      </c>
    </row>
    <row r="20" spans="1:121" ht="22.35" customHeight="1" x14ac:dyDescent="0.3">
      <c r="A20" s="126" t="s">
        <v>4946</v>
      </c>
      <c r="B20" s="126" t="s">
        <v>4946</v>
      </c>
      <c r="C20" s="100" t="str">
        <f>Sc.Table!I25</f>
        <v>Shallow pit, scrape auto, AD, lagoon, irrigation + drag hose</v>
      </c>
      <c r="D20" s="18" t="s">
        <v>4917</v>
      </c>
      <c r="E20" s="9" t="s">
        <v>2586</v>
      </c>
      <c r="F20" s="18" t="s">
        <v>4945</v>
      </c>
      <c r="G20" s="648"/>
      <c r="H20" s="2299">
        <f>SUMIFS('Sc7'!$D:$D,'Sc7'!$A:$A,$D$20,'Sc7'!$B:$B,Output.Rankings!H$4)</f>
        <v>547.53175286366832</v>
      </c>
      <c r="I20" s="2299">
        <f>SUMIFS('Sc7'!$D:$D,'Sc7'!$A:$A,$D$20,'Sc7'!$B:$B,Output.Rankings!I$4)</f>
        <v>235.48766146164027</v>
      </c>
      <c r="J20" s="2299">
        <f>SUMIFS('Sc7'!$D:$D,'Sc7'!$A:$A,$D$20,'Sc7'!$B:$B,Output.Rankings!J$4)</f>
        <v>0</v>
      </c>
      <c r="K20" s="2299">
        <f>SUMIFS('Sc7'!$D:$D,'Sc7'!$A:$A,$D$20,'Sc7'!$B:$B,Output.Rankings!K$4)</f>
        <v>12.858314428124146</v>
      </c>
      <c r="L20" s="2299">
        <f>SUMIFS('Sc7'!$D:$D,'Sc7'!$A:$A,$D$20,'Sc7'!$B:$B,Output.Rankings!L$4)</f>
        <v>0</v>
      </c>
      <c r="M20" s="2299">
        <f t="shared" si="2"/>
        <v>-770.1610998971845</v>
      </c>
      <c r="N20" s="2301">
        <f t="shared" si="3"/>
        <v>0.59671709068499101</v>
      </c>
      <c r="O20" s="2301">
        <f t="shared" si="4"/>
        <v>7.5798715687205531E-2</v>
      </c>
      <c r="P20" s="2301">
        <f t="shared" si="5"/>
        <v>0</v>
      </c>
      <c r="Q20" s="2301">
        <f t="shared" si="6"/>
        <v>113.06988860568426</v>
      </c>
      <c r="R20" s="2301">
        <f t="shared" si="7"/>
        <v>22.240794409908446</v>
      </c>
      <c r="S20" s="2301">
        <f t="shared" si="8"/>
        <v>9.3512244571365475</v>
      </c>
      <c r="T20" s="2302">
        <v>2.625</v>
      </c>
      <c r="U20" s="2302">
        <v>6.5132936677310238E-2</v>
      </c>
      <c r="V20" s="2302">
        <v>2</v>
      </c>
      <c r="W20" s="2303">
        <f t="shared" ca="1" si="9"/>
        <v>9.0275431316425845</v>
      </c>
      <c r="X20" s="2303">
        <f t="shared" si="10"/>
        <v>0</v>
      </c>
      <c r="Y20" s="2304">
        <f t="shared" si="11"/>
        <v>0</v>
      </c>
      <c r="Z20" s="1197" cm="1">
        <f t="array" ref="Z20">INDEX(EconIntermediate!$C$23:$AE$23,$AC20)</f>
        <v>238.49396165239733</v>
      </c>
      <c r="AA20" s="1197" cm="1">
        <f t="array" ref="AA20">INDEX(EconIntermediate!$C$22:$AE$22,$AC20)</f>
        <v>0</v>
      </c>
      <c r="AB20" s="1082" cm="1">
        <f t="array" ref="AB20">INDEX(EconIntermediate!$C$24:$AE$24,$AC20)</f>
        <v>23.849396165239732</v>
      </c>
      <c r="AC20" s="147">
        <f>MATCH(C20,EconIntermediate!$C$3:$AE$3,0)</f>
        <v>22</v>
      </c>
      <c r="AD20" s="9" t="str">
        <f>_xlfn.CONCAT(Sc.Table!C25,Sc.Table!D25)</f>
        <v>7B</v>
      </c>
      <c r="AE20" s="2305" t="str">
        <f>Sc.Table!G25</f>
        <v>Scrape - Anaerobic Digestion - DHL (B)</v>
      </c>
      <c r="AF20" s="2307">
        <f>'LCIA Summary output'!T44</f>
        <v>0.59671709068499101</v>
      </c>
      <c r="AG20" s="2307">
        <f>'LCIA Summary output'!U44</f>
        <v>7.5798715687205531E-2</v>
      </c>
      <c r="AH20" s="2307">
        <f>'LCIA Summary output'!V44</f>
        <v>0</v>
      </c>
      <c r="AI20" s="2307">
        <f>'LCIA Summary output'!W44</f>
        <v>113.06988860568426</v>
      </c>
      <c r="AJ20" s="2307">
        <f>'LCIA Summary output'!X44</f>
        <v>22.240794409908446</v>
      </c>
      <c r="AK20" s="2307">
        <f>'LCIA Summary output'!Y44</f>
        <v>9.3512244571365475</v>
      </c>
      <c r="AM20" s="9" t="str">
        <f t="shared" si="12"/>
        <v>7B</v>
      </c>
      <c r="AN20" s="2305" t="str">
        <f>Sc.Table!G25</f>
        <v>Scrape - Anaerobic Digestion - DHL (B)</v>
      </c>
      <c r="AO20" s="2307">
        <f>'LCIA Summary output'!T45</f>
        <v>-3.9176559632653216E-3</v>
      </c>
      <c r="AP20" s="2307">
        <f>'LCIA Summary output'!U45</f>
        <v>0</v>
      </c>
      <c r="AQ20" s="2307">
        <f>'LCIA Summary output'!V45</f>
        <v>-96.449712775967328</v>
      </c>
      <c r="AR20" s="2307">
        <f>'LCIA Summary output'!W45</f>
        <v>1.3251102599844817</v>
      </c>
      <c r="AS20" s="2307">
        <f>'LCIA Summary output'!X45</f>
        <v>0</v>
      </c>
      <c r="AT20" s="2307">
        <f>'LCIA Summary output'!Y45</f>
        <v>0</v>
      </c>
      <c r="AV20" s="9" t="str">
        <f t="shared" si="13"/>
        <v>7B</v>
      </c>
      <c r="AW20" s="2305" t="str">
        <f>Sc.Table!G25</f>
        <v>Scrape - Anaerobic Digestion - DHL (B)</v>
      </c>
      <c r="AX20" s="2307">
        <f>'LCIA Summary output'!T46</f>
        <v>0.59279943472172569</v>
      </c>
      <c r="AY20" s="2307">
        <f>'LCIA Summary output'!U46</f>
        <v>7.5798715687205531E-2</v>
      </c>
      <c r="AZ20" s="2307">
        <f>'LCIA Summary output'!V46</f>
        <v>-96.449712775967328</v>
      </c>
      <c r="BA20" s="2307">
        <f>'LCIA Summary output'!W46</f>
        <v>114.39499886566874</v>
      </c>
      <c r="BB20" s="2307">
        <f>'LCIA Summary output'!X46</f>
        <v>22.240794409908446</v>
      </c>
      <c r="BC20" s="2307">
        <f>'LCIA Summary output'!Y46</f>
        <v>9.3512244571365475</v>
      </c>
      <c r="BE20" s="100" t="str">
        <f t="shared" si="1"/>
        <v>Shallow pit, scrape auto, AD, lagoon, irrigation + drag hose</v>
      </c>
      <c r="BF20" s="645" cm="1">
        <f t="array" ref="BF20">INDEX(EconResultsSummary!$C$42:$AE$42,$AC20)</f>
        <v>105.61184416600834</v>
      </c>
      <c r="BG20" s="645" cm="1">
        <f t="array" ref="BG20">INDEX(EconResultsSummary!$C$41:$AE$41,$AC20)</f>
        <v>30.260088668418415</v>
      </c>
      <c r="BH20" s="1196" cm="1">
        <f t="array" ref="BH20">INDEX(EconResultsSummary!$C$43:$AE$43,$AC20)</f>
        <v>37.795264218177408</v>
      </c>
      <c r="BI20" s="78"/>
      <c r="BJ20" s="78"/>
      <c r="BK20" s="78"/>
      <c r="BL20" cm="1">
        <f t="array" aca="1" ref="BL20" ca="1">INDEX(EconResultsSummary!$C$78:$AE$78,$AC20)</f>
        <v>23.727844691448336</v>
      </c>
      <c r="BM20" cm="1">
        <f t="array" aca="1" ref="BM20" ca="1">INDEX(EconResultsSummary!$C$76:$AE$76,$AC20)</f>
        <v>9.0275431316425845</v>
      </c>
      <c r="BN20" cm="1">
        <f t="array" aca="1" ref="BN20" ca="1">INDEX(EconResultsSummary!$C$79:$AE$79,$AC20)</f>
        <v>10.49757328762316</v>
      </c>
      <c r="BO20" cm="1">
        <f t="array" ref="BO20">INDEX(EconIntermediate!$C$18:$AE$18,$AC20)</f>
        <v>238.49396165239733</v>
      </c>
      <c r="BP20" cm="1">
        <f t="array" ref="BP20">INDEX(EconIntermediate!$C$19:$AE$19,$AC20)</f>
        <v>0</v>
      </c>
      <c r="BQ20" cm="1">
        <f t="array" ref="BQ20">INDEX(EconIntermediate!$C$16:$AE$16,$AC20)</f>
        <v>0</v>
      </c>
      <c r="BR20" cm="1">
        <f t="array" ref="BR20">INDEX(EconIntermediate!$C$17:$AE$17,$AC20)</f>
        <v>0</v>
      </c>
      <c r="BS20" cm="1">
        <f t="array" ref="BS20">INDEX(EconIntermediate!$C$20:$AE$20,$AC20)</f>
        <v>23.849396165239732</v>
      </c>
      <c r="BT20" cm="1">
        <f t="array" ref="BT20">INDEX(EconIntermediate!$C$21:$AE$21,$AC20)</f>
        <v>0</v>
      </c>
      <c r="BU20" cm="1">
        <f t="array" ref="BU20">INDEX(EconResultsSummary!$C$46:$AE$46,$AC20)</f>
        <v>-5.6118441660083391</v>
      </c>
      <c r="BV20" cm="1">
        <f t="array" ref="BV20">INDEX(EconResultsSummary!$C$45:$AE$45,$AC20)</f>
        <v>69.739911331581581</v>
      </c>
      <c r="BW20" cm="1">
        <f t="array" ref="BW20">INDEX(EconResultsSummary!$C$44:$AE$44,$AC20)</f>
        <v>62.204735781822592</v>
      </c>
      <c r="BX20" cm="1">
        <f t="array" ref="BX20">INDEX(EconResultsSummary!$C$49:$AE$49,$AC20)</f>
        <v>5.6118441660083391</v>
      </c>
      <c r="BY20" cm="1">
        <f t="array" ref="BY20">INDEX(EconResultsSummary!$C$48:$AE$48,$AC20)</f>
        <v>0</v>
      </c>
      <c r="BZ20" cm="1">
        <f t="array" ref="BZ20">INDEX(EconResultsSummary!$C$47:$AE$47,$AC20)</f>
        <v>0.56118441660083396</v>
      </c>
      <c r="CA20" s="147">
        <f>'Sc7'!C6*UDV.animal.total</f>
        <v>5752.9181021967306</v>
      </c>
      <c r="CB20" s="147">
        <f>'Sc7'!C5*UC.m3_to_gal*UDV.animal.total</f>
        <v>56464.938907017931</v>
      </c>
      <c r="CC20" s="147">
        <f>'Sc7'!C62*UDV.animal.total</f>
        <v>72.913444931305506</v>
      </c>
      <c r="CE20" s="302">
        <f>'Sc7'!C10</f>
        <v>5.6125484755407298</v>
      </c>
      <c r="CF20" s="302">
        <f>'Sc7'!C14</f>
        <v>1.4031371188851822</v>
      </c>
      <c r="CG20" s="302">
        <f>'Sc7'!C11</f>
        <v>3.6537102250000002</v>
      </c>
      <c r="CH20" s="302">
        <f>'Sc7'!C15</f>
        <v>2.9893992749999998</v>
      </c>
      <c r="CI20" s="78">
        <f>SUM('Sc7'!C48:C51)*UC.m2_to_acre</f>
        <v>0.66533657145547698</v>
      </c>
      <c r="CJ20" s="78">
        <f>PT.anaer_lagoon!V77</f>
        <v>9.8721257831532903</v>
      </c>
      <c r="CK20" s="78">
        <f>PT.anaer_lagoon!V78</f>
        <v>6.4266504019670361</v>
      </c>
      <c r="CL20" s="78">
        <f>PT.anaer_lagoon!V79</f>
        <v>9.765217783652842</v>
      </c>
      <c r="CM20" s="78">
        <f>PT.anaer_lagoon!W77</f>
        <v>21.734604147467387</v>
      </c>
      <c r="CN20" s="78">
        <f>PT.anaer_lagoon!W78</f>
        <v>46.305816449694916</v>
      </c>
      <c r="CO20" s="78">
        <f>PT.anaer_lagoon!W79</f>
        <v>46.306042603800783</v>
      </c>
      <c r="CP20">
        <v>0</v>
      </c>
      <c r="CQ20">
        <v>0</v>
      </c>
      <c r="CR20">
        <v>0</v>
      </c>
      <c r="CS20">
        <v>0</v>
      </c>
      <c r="CT20">
        <v>0</v>
      </c>
      <c r="CU20">
        <v>0</v>
      </c>
      <c r="CV20" s="626" t="str">
        <f t="shared" si="14"/>
        <v>Shallow pit, scrape auto, AD, lagoon, irrigation + drag hose</v>
      </c>
    </row>
    <row r="21" spans="1:121" ht="22.35" customHeight="1" x14ac:dyDescent="0.3">
      <c r="A21" s="126" t="s">
        <v>4947</v>
      </c>
      <c r="B21" s="126" t="s">
        <v>4947</v>
      </c>
      <c r="C21" s="100" t="str">
        <f>Sc.Table!I26</f>
        <v>Shallow pit, pull plug, AD, lagoon, irrigation + tanker</v>
      </c>
      <c r="D21" s="18" t="s">
        <v>4912</v>
      </c>
      <c r="E21" s="9" t="s">
        <v>4913</v>
      </c>
      <c r="F21" s="18" t="s">
        <v>4948</v>
      </c>
      <c r="G21" s="648"/>
      <c r="H21" s="2299">
        <f>SUMIFS('Sc8'!$D:$D,'Sc8'!$A:$A,$D$21,'Sc8'!$B:$B,Output.Rankings!H$4)</f>
        <v>480.9110495501335</v>
      </c>
      <c r="I21" s="2299">
        <f>SUMIFS('Sc8'!$D:$D,'Sc8'!$A:$A,$D$21,'Sc8'!$B:$B,Output.Rankings!I$4)</f>
        <v>219.96606554892253</v>
      </c>
      <c r="J21" s="2299">
        <f>SUMIFS('Sc8'!$D:$D,'Sc8'!$A:$A,$D$21,'Sc8'!$B:$B,Output.Rankings!J$4)</f>
        <v>1.7218893154655115</v>
      </c>
      <c r="K21" s="2299">
        <f>SUMIFS('Sc8'!$D:$D,'Sc8'!$A:$A,$D$21,'Sc8'!$B:$B,Output.Rankings!K$4)</f>
        <v>12.270659122541824</v>
      </c>
      <c r="L21" s="2299">
        <f>SUMIFS('Sc8'!$D:$D,'Sc8'!$A:$A,$D$21,'Sc8'!$B:$B,Output.Rankings!L$4)</f>
        <v>0</v>
      </c>
      <c r="M21" s="2299">
        <f t="shared" si="2"/>
        <v>-688.60645597651421</v>
      </c>
      <c r="N21" s="2301">
        <f t="shared" si="3"/>
        <v>0.61375810152268584</v>
      </c>
      <c r="O21" s="2301">
        <f t="shared" si="4"/>
        <v>7.270816474920358E-2</v>
      </c>
      <c r="P21" s="2301">
        <f t="shared" si="5"/>
        <v>0</v>
      </c>
      <c r="Q21" s="2301">
        <f t="shared" si="6"/>
        <v>113.06988860568426</v>
      </c>
      <c r="R21" s="2301">
        <f t="shared" si="7"/>
        <v>23.052036515604335</v>
      </c>
      <c r="S21" s="2301">
        <f t="shared" si="8"/>
        <v>9.9885044704561494</v>
      </c>
      <c r="T21" s="2302">
        <v>2.75</v>
      </c>
      <c r="U21" s="2302">
        <v>4.5408196722465877E-2</v>
      </c>
      <c r="V21" s="2302">
        <v>2</v>
      </c>
      <c r="W21" s="2303">
        <f t="shared" ca="1" si="9"/>
        <v>12.571096112537234</v>
      </c>
      <c r="X21" s="2303">
        <f t="shared" si="10"/>
        <v>0</v>
      </c>
      <c r="Y21" s="2304">
        <f t="shared" si="11"/>
        <v>0</v>
      </c>
      <c r="Z21" s="1197" cm="1">
        <f t="array" ref="Z21">INDEX(EconIntermediate!$C$23:$AE$23,$AC21)</f>
        <v>0</v>
      </c>
      <c r="AA21" s="1197" cm="1">
        <f t="array" ref="AA21">INDEX(EconIntermediate!$C$22:$AE$22,$AC21)</f>
        <v>0</v>
      </c>
      <c r="AB21" s="1082" cm="1">
        <f t="array" ref="AB21">INDEX(EconIntermediate!$C$24:$AE$24,$AC21)</f>
        <v>0</v>
      </c>
      <c r="AC21" s="147">
        <f>MATCH(C21,EconIntermediate!$C$3:$AE$3,0)</f>
        <v>8</v>
      </c>
      <c r="AD21" s="9" t="str">
        <f>_xlfn.CONCAT(Sc.Table!C26,Sc.Table!D26)</f>
        <v>8A</v>
      </c>
      <c r="AE21" s="2305" t="str">
        <f>Sc.Table!G26</f>
        <v>Pull plug - Anaerobic Digestion - TL (A)</v>
      </c>
      <c r="AF21" s="2307">
        <f>'LCIA Summary output'!T47</f>
        <v>0.61375810152268584</v>
      </c>
      <c r="AG21" s="2307">
        <f>'LCIA Summary output'!U47</f>
        <v>7.270816474920358E-2</v>
      </c>
      <c r="AH21" s="2307">
        <f>'LCIA Summary output'!V47</f>
        <v>0</v>
      </c>
      <c r="AI21" s="2307">
        <f>'LCIA Summary output'!W47</f>
        <v>113.06988860568426</v>
      </c>
      <c r="AJ21" s="2307">
        <f>'LCIA Summary output'!X47</f>
        <v>23.052036515604335</v>
      </c>
      <c r="AK21" s="2307">
        <f>'LCIA Summary output'!Y47</f>
        <v>9.9885044704561494</v>
      </c>
      <c r="AM21" s="9" t="str">
        <f t="shared" si="12"/>
        <v>8A</v>
      </c>
      <c r="AN21" s="2305" t="str">
        <f>Sc.Table!G26</f>
        <v>Pull plug - Anaerobic Digestion - TL (A)</v>
      </c>
      <c r="AO21" s="2307">
        <f>'LCIA Summary output'!T48</f>
        <v>-5.0149728304306578E-3</v>
      </c>
      <c r="AP21" s="2307">
        <f>'LCIA Summary output'!U48</f>
        <v>0</v>
      </c>
      <c r="AQ21" s="2307">
        <f>'LCIA Summary output'!V48</f>
        <v>-79.439714928053931</v>
      </c>
      <c r="AR21" s="2307">
        <f>'LCIA Summary output'!W48</f>
        <v>1.626854771044248</v>
      </c>
      <c r="AS21" s="2307">
        <f>'LCIA Summary output'!X48</f>
        <v>0</v>
      </c>
      <c r="AT21" s="2307">
        <f>'LCIA Summary output'!Y48</f>
        <v>0</v>
      </c>
      <c r="AV21" s="9" t="str">
        <f t="shared" si="13"/>
        <v>8A</v>
      </c>
      <c r="AW21" s="2305" t="str">
        <f>Sc.Table!G26</f>
        <v>Pull plug - Anaerobic Digestion - TL (A)</v>
      </c>
      <c r="AX21" s="2307">
        <f>'LCIA Summary output'!T49</f>
        <v>0.60874312869225511</v>
      </c>
      <c r="AY21" s="2307">
        <f>'LCIA Summary output'!U49</f>
        <v>7.270816474920358E-2</v>
      </c>
      <c r="AZ21" s="2307">
        <f>'LCIA Summary output'!V49</f>
        <v>-79.439714928053931</v>
      </c>
      <c r="BA21" s="2307">
        <f>'LCIA Summary output'!W49</f>
        <v>114.69674337672851</v>
      </c>
      <c r="BB21" s="2307">
        <f>'LCIA Summary output'!X49</f>
        <v>23.052036515604335</v>
      </c>
      <c r="BC21" s="2307">
        <f>'LCIA Summary output'!Y49</f>
        <v>9.9885044704561494</v>
      </c>
      <c r="BE21" s="100" t="str">
        <f t="shared" si="1"/>
        <v>Shallow pit, pull plug, AD, lagoon, irrigation + tanker</v>
      </c>
      <c r="BF21" s="645" cm="1">
        <f t="array" ref="BF21">INDEX(EconResultsSummary!$C$42:$AE$42,$AC21)</f>
        <v>99.726061649221165</v>
      </c>
      <c r="BG21" s="645" cm="1">
        <f t="array" ref="BG21">INDEX(EconResultsSummary!$C$41:$AE$41,$AC21)</f>
        <v>28.563324194213582</v>
      </c>
      <c r="BH21" s="1196" cm="1">
        <f t="array" ref="BH21">INDEX(EconResultsSummary!$C$43:$AE$43,$AC21)</f>
        <v>35.679597939714341</v>
      </c>
      <c r="BI21" s="78"/>
      <c r="BJ21" s="78"/>
      <c r="BK21" s="78"/>
      <c r="BL21" cm="1">
        <f t="array" aca="1" ref="BL21" ca="1">INDEX(EconResultsSummary!$C$78:$AE$78,$AC21)</f>
        <v>68.690575591867798</v>
      </c>
      <c r="BM21" cm="1">
        <f t="array" aca="1" ref="BM21" ca="1">INDEX(EconResultsSummary!$C$76:$AE$76,$AC21)</f>
        <v>12.571096112537234</v>
      </c>
      <c r="BN21" cm="1">
        <f t="array" aca="1" ref="BN21" ca="1">INDEX(EconResultsSummary!$C$79:$AE$79,$AC21)</f>
        <v>18.183044060470291</v>
      </c>
      <c r="BO21" cm="1">
        <f t="array" ref="BO21">INDEX(EconIntermediate!$C$18:$AE$18,$AC21)</f>
        <v>0</v>
      </c>
      <c r="BP21" cm="1">
        <f t="array" ref="BP21">INDEX(EconIntermediate!$C$19:$AE$19,$AC21)</f>
        <v>0</v>
      </c>
      <c r="BQ21" cm="1">
        <f t="array" ref="BQ21">INDEX(EconIntermediate!$C$16:$AE$16,$AC21)</f>
        <v>0</v>
      </c>
      <c r="BR21" cm="1">
        <f t="array" ref="BR21">INDEX(EconIntermediate!$C$17:$AE$17,$AC21)</f>
        <v>0</v>
      </c>
      <c r="BS21" cm="1">
        <f t="array" ref="BS21">INDEX(EconIntermediate!$C$20:$AE$20,$AC21)</f>
        <v>0</v>
      </c>
      <c r="BT21" cm="1">
        <f t="array" ref="BT21">INDEX(EconIntermediate!$C$21:$AE$21,$AC21)</f>
        <v>0</v>
      </c>
      <c r="BU21" cm="1">
        <f t="array" ref="BU21">INDEX(EconResultsSummary!$C$46:$AE$46,$AC21)</f>
        <v>0.27393835077883466</v>
      </c>
      <c r="BV21" cm="1">
        <f t="array" ref="BV21">INDEX(EconResultsSummary!$C$45:$AE$45,$AC21)</f>
        <v>71.436675805786422</v>
      </c>
      <c r="BW21" cm="1">
        <f t="array" ref="BW21">INDEX(EconResultsSummary!$C$44:$AE$44,$AC21)</f>
        <v>64.320402060285659</v>
      </c>
      <c r="BX21" cm="1">
        <f t="array" ref="BX21">INDEX(EconResultsSummary!$C$49:$AE$49,$AC21)</f>
        <v>0</v>
      </c>
      <c r="BY21" cm="1">
        <f t="array" ref="BY21">INDEX(EconResultsSummary!$C$48:$AE$48,$AC21)</f>
        <v>0</v>
      </c>
      <c r="BZ21" cm="1">
        <f t="array" ref="BZ21">INDEX(EconResultsSummary!$C$47:$AE$47,$AC21)</f>
        <v>0</v>
      </c>
      <c r="CA21" s="147">
        <f>'Sc8'!C6*UDV.animal.total</f>
        <v>1276.3395860976154</v>
      </c>
      <c r="CB21" s="147">
        <f>'Sc8'!C5*UC.m3_to_gal*UDV.animal.total</f>
        <v>56464.938907017931</v>
      </c>
      <c r="CC21" s="147">
        <f>'Sc8'!C56*UDV.animal.total</f>
        <v>177.61872680194526</v>
      </c>
      <c r="CE21" s="302">
        <f>'Sc8'!C10</f>
        <v>5.2614848834819785</v>
      </c>
      <c r="CF21" s="302">
        <f>'Sc8'!C14</f>
        <v>1.3153712208704942</v>
      </c>
      <c r="CG21" s="302">
        <f>'Sc8'!C11</f>
        <v>3.6537102250000002</v>
      </c>
      <c r="CH21" s="302">
        <f>'Sc8'!C15</f>
        <v>2.9893992749999998</v>
      </c>
      <c r="CI21" s="205">
        <f>SUM('Sc8'!C43:C46)*UC.m2_to_acre</f>
        <v>0.6745405778886765</v>
      </c>
      <c r="CJ21" s="78">
        <f>PT.anaer_lagoon!Z77</f>
        <v>9.2546266285725878</v>
      </c>
      <c r="CK21" s="78">
        <f>PT.anaer_lagoon!Z78</f>
        <v>6.4266504019670361</v>
      </c>
      <c r="CL21" s="78">
        <f>PT.anaer_lagoon!Z79</f>
        <v>9.765217783652842</v>
      </c>
      <c r="CM21" s="78">
        <f>PT.anaer_lagoon!AA77</f>
        <v>20.375109750717463</v>
      </c>
      <c r="CN21" s="78">
        <f>PT.anaer_lagoon!AA78</f>
        <v>46.305816449694916</v>
      </c>
      <c r="CO21" s="78">
        <f>PT.anaer_lagoon!AA79</f>
        <v>46.306042603800783</v>
      </c>
      <c r="CP21">
        <v>0</v>
      </c>
      <c r="CQ21">
        <v>0</v>
      </c>
      <c r="CR21">
        <v>0</v>
      </c>
      <c r="CS21">
        <v>0</v>
      </c>
      <c r="CT21">
        <v>0</v>
      </c>
      <c r="CU21">
        <v>0</v>
      </c>
      <c r="CV21" s="626" t="str">
        <f t="shared" si="14"/>
        <v>Shallow pit, pull plug, AD, lagoon, irrigation + tanker</v>
      </c>
    </row>
    <row r="22" spans="1:121" ht="22.35" customHeight="1" x14ac:dyDescent="0.3">
      <c r="A22" s="126" t="s">
        <v>4949</v>
      </c>
      <c r="B22" s="126" t="s">
        <v>4949</v>
      </c>
      <c r="C22" s="100" t="str">
        <f>Sc.Table!I27</f>
        <v>Shallow pit, pull plug, AD, lagoon, irrigation + drag hose</v>
      </c>
      <c r="D22" s="18" t="s">
        <v>4917</v>
      </c>
      <c r="E22" s="9" t="s">
        <v>2586</v>
      </c>
      <c r="F22" s="18" t="s">
        <v>4948</v>
      </c>
      <c r="G22" s="648"/>
      <c r="H22" s="2299">
        <f>SUMIFS('Sc8'!$D:$D,'Sc8'!$A:$A,$D$22,'Sc8'!$B:$B,Output.Rankings!H$4)</f>
        <v>588.4865973280431</v>
      </c>
      <c r="I22" s="2299">
        <f>SUMIFS('Sc8'!$D:$D,'Sc8'!$A:$A,$D$22,'Sc8'!$B:$B,Output.Rankings!I$4)</f>
        <v>253.70327633660568</v>
      </c>
      <c r="J22" s="2299">
        <f>SUMIFS('Sc8'!$D:$D,'Sc8'!$A:$A,$D$22,'Sc8'!$B:$B,Output.Rankings!J$4)</f>
        <v>1.7218893154655115</v>
      </c>
      <c r="K22" s="2299">
        <f>SUMIFS('Sc8'!$D:$D,'Sc8'!$A:$A,$D$22,'Sc8'!$B:$B,Output.Rankings!K$4)</f>
        <v>12.270659122541824</v>
      </c>
      <c r="L22" s="2299">
        <f>SUMIFS('Sc8'!$D:$D,'Sc8'!$A:$A,$D$22,'Sc8'!$B:$B,Output.Rankings!L$4)</f>
        <v>0</v>
      </c>
      <c r="M22" s="2299">
        <f t="shared" si="2"/>
        <v>-829.91921454210694</v>
      </c>
      <c r="N22" s="2301">
        <f t="shared" si="3"/>
        <v>0.61164517088839077</v>
      </c>
      <c r="O22" s="2301">
        <f t="shared" si="4"/>
        <v>7.270816474920358E-2</v>
      </c>
      <c r="P22" s="2301">
        <f t="shared" si="5"/>
        <v>0</v>
      </c>
      <c r="Q22" s="2301">
        <f t="shared" si="6"/>
        <v>113.06988860568426</v>
      </c>
      <c r="R22" s="2301">
        <f t="shared" si="7"/>
        <v>23.052036515604335</v>
      </c>
      <c r="S22" s="2301">
        <f t="shared" si="8"/>
        <v>9.9885044704561494</v>
      </c>
      <c r="T22" s="2302">
        <v>2.875</v>
      </c>
      <c r="U22" s="2302">
        <v>4.409514059691233E-2</v>
      </c>
      <c r="V22" s="2302">
        <v>2</v>
      </c>
      <c r="W22" s="2303">
        <f t="shared" ca="1" si="9"/>
        <v>8.5185137893811333</v>
      </c>
      <c r="X22" s="2303">
        <f t="shared" si="10"/>
        <v>0</v>
      </c>
      <c r="Y22" s="2304">
        <f t="shared" si="11"/>
        <v>0</v>
      </c>
      <c r="Z22" s="1197" cm="1">
        <f t="array" ref="Z22">INDEX(EconIntermediate!$C$23:$AE$23,$AC22)</f>
        <v>0</v>
      </c>
      <c r="AA22" s="1197" cm="1">
        <f t="array" ref="AA22">INDEX(EconIntermediate!$C$22:$AE$22,$AC22)</f>
        <v>0</v>
      </c>
      <c r="AB22" s="1082" cm="1">
        <f t="array" ref="AB22">INDEX(EconIntermediate!$C$24:$AE$24,$AC22)</f>
        <v>0</v>
      </c>
      <c r="AC22" s="147">
        <f>MATCH(C22,EconIntermediate!$C$3:$AE$3,0)</f>
        <v>23</v>
      </c>
      <c r="AD22" s="9" t="str">
        <f>_xlfn.CONCAT(Sc.Table!C27,Sc.Table!D27)</f>
        <v>8B</v>
      </c>
      <c r="AE22" s="2305" t="str">
        <f>Sc.Table!G27</f>
        <v>Pull plug - Anaerobic Digestion - DHL (B)</v>
      </c>
      <c r="AF22" s="2307">
        <f>'LCIA Summary output'!T50</f>
        <v>0.61164517088839077</v>
      </c>
      <c r="AG22" s="2307">
        <f>'LCIA Summary output'!U50</f>
        <v>7.270816474920358E-2</v>
      </c>
      <c r="AH22" s="2307">
        <f>'LCIA Summary output'!V50</f>
        <v>0</v>
      </c>
      <c r="AI22" s="2307">
        <f>'LCIA Summary output'!W50</f>
        <v>113.06988860568426</v>
      </c>
      <c r="AJ22" s="2307">
        <f>'LCIA Summary output'!X50</f>
        <v>23.052036515604335</v>
      </c>
      <c r="AK22" s="2307">
        <f>'LCIA Summary output'!Y50</f>
        <v>9.9885044704561494</v>
      </c>
      <c r="AM22" s="9" t="str">
        <f t="shared" si="12"/>
        <v>8B</v>
      </c>
      <c r="AN22" s="2305" t="str">
        <f>Sc.Table!G27</f>
        <v>Pull plug - Anaerobic Digestion - DHL (B)</v>
      </c>
      <c r="AO22" s="2307">
        <f>'LCIA Summary output'!T51</f>
        <v>-6.3687220913405196E-3</v>
      </c>
      <c r="AP22" s="2307">
        <f>'LCIA Summary output'!U51</f>
        <v>0</v>
      </c>
      <c r="AQ22" s="2307">
        <f>'LCIA Summary output'!V51</f>
        <v>-92.980292160381822</v>
      </c>
      <c r="AR22" s="2307">
        <f>'LCIA Summary output'!W51</f>
        <v>-1.9493717264865522</v>
      </c>
      <c r="AS22" s="2307">
        <f>'LCIA Summary output'!X51</f>
        <v>0</v>
      </c>
      <c r="AT22" s="2307">
        <f>'LCIA Summary output'!Y51</f>
        <v>0</v>
      </c>
      <c r="AV22" s="9" t="str">
        <f t="shared" si="13"/>
        <v>8B</v>
      </c>
      <c r="AW22" s="2305" t="str">
        <f>Sc.Table!G27</f>
        <v>Pull plug - Anaerobic Digestion - DHL (B)</v>
      </c>
      <c r="AX22" s="2307">
        <f>'LCIA Summary output'!T52</f>
        <v>0.60527644879705034</v>
      </c>
      <c r="AY22" s="2307">
        <f>'LCIA Summary output'!U52</f>
        <v>7.270816474920358E-2</v>
      </c>
      <c r="AZ22" s="2307">
        <f>'LCIA Summary output'!V52</f>
        <v>-92.980292160381822</v>
      </c>
      <c r="BA22" s="2307">
        <f>'LCIA Summary output'!W52</f>
        <v>111.12051687919769</v>
      </c>
      <c r="BB22" s="2307">
        <f>'LCIA Summary output'!X52</f>
        <v>23.052036515604335</v>
      </c>
      <c r="BC22" s="2307">
        <f>'LCIA Summary output'!Y52</f>
        <v>9.9885044704561494</v>
      </c>
      <c r="BE22" s="100" t="str">
        <f t="shared" si="1"/>
        <v>Shallow pit, pull plug, AD, lagoon, irrigation + drag hose</v>
      </c>
      <c r="BF22" s="645" cm="1">
        <f t="array" ref="BF22">INDEX(EconResultsSummary!$C$42:$AE$42,$AC22)</f>
        <v>99.726061649221165</v>
      </c>
      <c r="BG22" s="645" cm="1">
        <f t="array" ref="BG22">INDEX(EconResultsSummary!$C$41:$AE$41,$AC22)</f>
        <v>28.563324194213582</v>
      </c>
      <c r="BH22" s="1196" cm="1">
        <f t="array" ref="BH22">INDEX(EconResultsSummary!$C$43:$AE$43,$AC22)</f>
        <v>35.679597939714341</v>
      </c>
      <c r="BI22" s="78"/>
      <c r="BJ22" s="78"/>
      <c r="BK22" s="78"/>
      <c r="BL22" cm="1">
        <f t="array" aca="1" ref="BL22" ca="1">INDEX(EconResultsSummary!$C$78:$AE$78,$AC22)</f>
        <v>23.518729310678545</v>
      </c>
      <c r="BM22" cm="1">
        <f t="array" aca="1" ref="BM22" ca="1">INDEX(EconResultsSummary!$C$76:$AE$76,$AC22)</f>
        <v>8.5185137893811333</v>
      </c>
      <c r="BN22" cm="1">
        <f t="array" aca="1" ref="BN22" ca="1">INDEX(EconResultsSummary!$C$79:$AE$79,$AC22)</f>
        <v>10.018535341510875</v>
      </c>
      <c r="BO22" cm="1">
        <f t="array" ref="BO22">INDEX(EconIntermediate!$C$18:$AE$18,$AC22)</f>
        <v>0</v>
      </c>
      <c r="BP22" cm="1">
        <f t="array" ref="BP22">INDEX(EconIntermediate!$C$19:$AE$19,$AC22)</f>
        <v>0</v>
      </c>
      <c r="BQ22" cm="1">
        <f t="array" ref="BQ22">INDEX(EconIntermediate!$C$16:$AE$16,$AC22)</f>
        <v>0</v>
      </c>
      <c r="BR22" cm="1">
        <f t="array" ref="BR22">INDEX(EconIntermediate!$C$17:$AE$17,$AC22)</f>
        <v>0</v>
      </c>
      <c r="BS22" cm="1">
        <f t="array" ref="BS22">INDEX(EconIntermediate!$C$20:$AE$20,$AC22)</f>
        <v>0</v>
      </c>
      <c r="BT22" cm="1">
        <f t="array" ref="BT22">INDEX(EconIntermediate!$C$21:$AE$21,$AC22)</f>
        <v>0</v>
      </c>
      <c r="BU22" cm="1">
        <f t="array" ref="BU22">INDEX(EconResultsSummary!$C$46:$AE$46,$AC22)</f>
        <v>0.27393835077883466</v>
      </c>
      <c r="BV22" cm="1">
        <f t="array" ref="BV22">INDEX(EconResultsSummary!$C$45:$AE$45,$AC22)</f>
        <v>71.436675805786422</v>
      </c>
      <c r="BW22" cm="1">
        <f t="array" ref="BW22">INDEX(EconResultsSummary!$C$44:$AE$44,$AC22)</f>
        <v>64.320402060285659</v>
      </c>
      <c r="BX22" cm="1">
        <f t="array" ref="BX22">INDEX(EconResultsSummary!$C$49:$AE$49,$AC22)</f>
        <v>0</v>
      </c>
      <c r="BY22" cm="1">
        <f t="array" ref="BY22">INDEX(EconResultsSummary!$C$48:$AE$48,$AC22)</f>
        <v>0</v>
      </c>
      <c r="BZ22" cm="1">
        <f t="array" ref="BZ22">INDEX(EconResultsSummary!$C$47:$AE$47,$AC22)</f>
        <v>0</v>
      </c>
      <c r="CA22" s="147">
        <f>'Sc8'!C6*UDV.animal.total</f>
        <v>1276.3395860976154</v>
      </c>
      <c r="CB22" s="147">
        <f>'Sc8'!C5*UC.m3_to_gal*UDV.animal.total</f>
        <v>56464.938907017931</v>
      </c>
      <c r="CC22" s="147">
        <f>'Sc8'!C57*UDV.animal.total</f>
        <v>73.840208418103529</v>
      </c>
      <c r="CE22" s="302">
        <f>'Sc8'!C10</f>
        <v>5.2614848834819785</v>
      </c>
      <c r="CF22" s="302">
        <f>'Sc8'!C14</f>
        <v>1.3153712208704942</v>
      </c>
      <c r="CG22" s="302">
        <f>'Sc8'!C11</f>
        <v>3.6537102250000002</v>
      </c>
      <c r="CH22" s="302">
        <f>'Sc8'!C15</f>
        <v>2.9893992749999998</v>
      </c>
      <c r="CI22" s="205">
        <f>SUM('Sc8'!C43:C46)*UC.m2_to_acre</f>
        <v>0.6745405778886765</v>
      </c>
      <c r="CJ22" s="78">
        <f>PT.anaer_lagoon!Z77</f>
        <v>9.2546266285725878</v>
      </c>
      <c r="CK22" s="78">
        <f>PT.anaer_lagoon!Z78</f>
        <v>6.4266504019670361</v>
      </c>
      <c r="CL22" s="78">
        <f>PT.anaer_lagoon!Z79</f>
        <v>9.765217783652842</v>
      </c>
      <c r="CM22" s="78">
        <f>PT.anaer_lagoon!AA77</f>
        <v>20.375109750717463</v>
      </c>
      <c r="CN22" s="78">
        <f>PT.anaer_lagoon!AA78</f>
        <v>46.305816449694916</v>
      </c>
      <c r="CO22" s="78">
        <f>PT.anaer_lagoon!AA79</f>
        <v>46.306042603800783</v>
      </c>
      <c r="CP22">
        <v>0</v>
      </c>
      <c r="CQ22">
        <v>0</v>
      </c>
      <c r="CR22">
        <v>0</v>
      </c>
      <c r="CS22">
        <v>0</v>
      </c>
      <c r="CT22">
        <v>0</v>
      </c>
      <c r="CU22">
        <v>0</v>
      </c>
      <c r="CV22" s="626" t="str">
        <f t="shared" si="14"/>
        <v>Shallow pit, pull plug, AD, lagoon, irrigation + drag hose</v>
      </c>
    </row>
    <row r="23" spans="1:121" ht="22.35" customHeight="1" x14ac:dyDescent="0.3">
      <c r="A23" s="126" t="s">
        <v>4950</v>
      </c>
      <c r="B23" s="126" t="s">
        <v>4950</v>
      </c>
      <c r="C23" s="100" t="str">
        <f>Sc.Table!I28</f>
        <v>Shallow pit, flush, covered digestion basin, lagoon, irrigation + tanker</v>
      </c>
      <c r="D23" s="18" t="s">
        <v>4912</v>
      </c>
      <c r="E23" s="9" t="s">
        <v>4913</v>
      </c>
      <c r="F23" s="18" t="s">
        <v>4951</v>
      </c>
      <c r="G23" s="648"/>
      <c r="H23" s="2299">
        <f>SUMIFS('Sc9'!$D:$D,'Sc9'!$A:$A,$D$23,'Sc9'!$B:$B,Output.Rankings!H$4)</f>
        <v>164.06994898400799</v>
      </c>
      <c r="I23" s="2299">
        <f>SUMIFS('Sc9'!$D:$D,'Sc9'!$A:$A,$D$23,'Sc9'!$B:$B,Output.Rankings!I$4)</f>
        <v>49.264470164314055</v>
      </c>
      <c r="J23" s="2299">
        <f>SUMIFS('Sc9'!$D:$D,'Sc9'!$A:$A,$D$23,'Sc9'!$B:$B,Output.Rankings!J$4)</f>
        <v>21.122905164349451</v>
      </c>
      <c r="K23" s="2299">
        <f>SUMIFS('Sc9'!$D:$D,'Sc9'!$A:$A,$D$23,'Sc9'!$B:$B,Output.Rankings!K$4)</f>
        <v>11.157538207274502</v>
      </c>
      <c r="L23" s="2299">
        <f>SUMIFS('Sc9'!$D:$D,'Sc9'!$A:$A,$D$23,'Sc9'!$B:$B,Output.Rankings!L$4)</f>
        <v>0</v>
      </c>
      <c r="M23" s="2299">
        <f t="shared" si="2"/>
        <v>-202.17688094104753</v>
      </c>
      <c r="N23" s="2301">
        <f t="shared" si="3"/>
        <v>0.66065717907263055</v>
      </c>
      <c r="O23" s="2301">
        <f t="shared" si="4"/>
        <v>0.13241149635989077</v>
      </c>
      <c r="P23" s="2301">
        <f t="shared" si="5"/>
        <v>0</v>
      </c>
      <c r="Q23" s="2301">
        <f t="shared" si="6"/>
        <v>124.45685847661997</v>
      </c>
      <c r="R23" s="2301">
        <f t="shared" si="7"/>
        <v>24.301826128654703</v>
      </c>
      <c r="S23" s="2301">
        <f t="shared" si="8"/>
        <v>10.329250070956935</v>
      </c>
      <c r="T23" s="2302">
        <v>3</v>
      </c>
      <c r="U23" s="2302">
        <v>3.4603846442900932E-2</v>
      </c>
      <c r="V23" s="2302">
        <v>2</v>
      </c>
      <c r="W23" s="2303">
        <f t="shared" ca="1" si="9"/>
        <v>11.840704244956441</v>
      </c>
      <c r="X23" s="2303">
        <f t="shared" si="10"/>
        <v>0</v>
      </c>
      <c r="Y23" s="2304">
        <f t="shared" si="11"/>
        <v>0</v>
      </c>
      <c r="Z23" s="1197" cm="1">
        <f t="array" ref="Z23">INDEX(EconIntermediate!$C$23:$AE$23,$AC23)</f>
        <v>0</v>
      </c>
      <c r="AA23" s="1197" cm="1">
        <f t="array" ref="AA23">INDEX(EconIntermediate!$C$22:$AE$22,$AC23)</f>
        <v>0</v>
      </c>
      <c r="AB23" s="1082" cm="1">
        <f t="array" ref="AB23">INDEX(EconIntermediate!$C$24:$AE$24,$AC23)</f>
        <v>0</v>
      </c>
      <c r="AC23" s="147">
        <f>MATCH(C23,EconIntermediate!$C$3:$AE$3,0)</f>
        <v>9</v>
      </c>
      <c r="AD23" s="9" t="str">
        <f>_xlfn.CONCAT(Sc.Table!C28,Sc.Table!D28)</f>
        <v>9A</v>
      </c>
      <c r="AE23" s="2305" t="str">
        <f>Sc.Table!G28</f>
        <v>Flush - Covered Lagoon  - TL (A)</v>
      </c>
      <c r="AF23" s="2307">
        <f>'LCIA Summary output'!T53</f>
        <v>0.66065717907263055</v>
      </c>
      <c r="AG23" s="2307">
        <f>'LCIA Summary output'!U53</f>
        <v>0.13241149635989077</v>
      </c>
      <c r="AH23" s="2307">
        <f>'LCIA Summary output'!V53</f>
        <v>0</v>
      </c>
      <c r="AI23" s="2307">
        <f>'LCIA Summary output'!W53</f>
        <v>124.45685847661997</v>
      </c>
      <c r="AJ23" s="2307">
        <f>'LCIA Summary output'!X53</f>
        <v>24.301826128654703</v>
      </c>
      <c r="AK23" s="2307">
        <f>'LCIA Summary output'!Y53</f>
        <v>10.329250070956935</v>
      </c>
      <c r="AM23" s="9" t="str">
        <f t="shared" si="12"/>
        <v>9A</v>
      </c>
      <c r="AN23" s="2305" t="str">
        <f>Sc.Table!G28</f>
        <v>Flush - Covered Lagoon  - TL (A)</v>
      </c>
      <c r="AO23" s="2307">
        <f>'LCIA Summary output'!T54</f>
        <v>-2.783508764128256E-3</v>
      </c>
      <c r="AP23" s="2307">
        <f>'LCIA Summary output'!U54</f>
        <v>0</v>
      </c>
      <c r="AQ23" s="2307">
        <f>'LCIA Summary output'!V54</f>
        <v>-69.130017849226007</v>
      </c>
      <c r="AR23" s="2307">
        <f>'LCIA Summary output'!W54</f>
        <v>3.6093098462282032</v>
      </c>
      <c r="AS23" s="2307">
        <f>'LCIA Summary output'!X54</f>
        <v>0</v>
      </c>
      <c r="AT23" s="2307">
        <f>'LCIA Summary output'!Y54</f>
        <v>0</v>
      </c>
      <c r="AV23" s="9" t="str">
        <f t="shared" si="13"/>
        <v>9A</v>
      </c>
      <c r="AW23" s="2305" t="str">
        <f>Sc.Table!G28</f>
        <v>Flush - Covered Lagoon  - TL (A)</v>
      </c>
      <c r="AX23" s="2307">
        <f>'LCIA Summary output'!T55</f>
        <v>0.65787367030850241</v>
      </c>
      <c r="AY23" s="2307">
        <f>'LCIA Summary output'!U55</f>
        <v>0.13241149635989077</v>
      </c>
      <c r="AZ23" s="2307">
        <f>'LCIA Summary output'!V55</f>
        <v>-69.130017849226007</v>
      </c>
      <c r="BA23" s="2307">
        <f>'LCIA Summary output'!W55</f>
        <v>128.06616832284817</v>
      </c>
      <c r="BB23" s="2307">
        <f>'LCIA Summary output'!X55</f>
        <v>24.301826128654703</v>
      </c>
      <c r="BC23" s="2307">
        <f>'LCIA Summary output'!Y55</f>
        <v>10.329250070956935</v>
      </c>
      <c r="BE23" s="100" t="str">
        <f t="shared" si="1"/>
        <v>Shallow pit, flush, covered digestion basin, lagoon, irrigation + tanker</v>
      </c>
      <c r="BF23" s="645" cm="1">
        <f t="array" ref="BF23">INDEX(EconResultsSummary!$C$42:$AE$42,$AC23)</f>
        <v>90.220907545459113</v>
      </c>
      <c r="BG23" s="645" cm="1">
        <f t="array" ref="BG23">INDEX(EconResultsSummary!$C$41:$AE$41,$AC23)</f>
        <v>26.177573585061577</v>
      </c>
      <c r="BH23" s="1196" cm="1">
        <f t="array" ref="BH23">INDEX(EconResultsSummary!$C$43:$AE$43,$AC23)</f>
        <v>32.581906981101326</v>
      </c>
      <c r="BI23" s="78"/>
      <c r="BJ23" s="78"/>
      <c r="BK23" s="78"/>
      <c r="BL23" cm="1">
        <f t="array" aca="1" ref="BL23" ca="1">INDEX(EconResultsSummary!$C$78:$AE$78,$AC23)</f>
        <v>60.327908268893367</v>
      </c>
      <c r="BM23" cm="1">
        <f t="array" aca="1" ref="BM23" ca="1">INDEX(EconResultsSummary!$C$76:$AE$76,$AC23)</f>
        <v>11.840704244956441</v>
      </c>
      <c r="BN23" cm="1">
        <f t="array" aca="1" ref="BN23" ca="1">INDEX(EconResultsSummary!$C$79:$AE$79,$AC23)</f>
        <v>16.689424647350133</v>
      </c>
      <c r="BO23" cm="1">
        <f t="array" ref="BO23">INDEX(EconIntermediate!$C$18:$AE$18,$AC23)</f>
        <v>0</v>
      </c>
      <c r="BP23" cm="1">
        <f t="array" ref="BP23">INDEX(EconIntermediate!$C$19:$AE$19,$AC23)</f>
        <v>0</v>
      </c>
      <c r="BQ23" cm="1">
        <f t="array" ref="BQ23">INDEX(EconIntermediate!$C$16:$AE$16,$AC23)</f>
        <v>0</v>
      </c>
      <c r="BR23" cm="1">
        <f t="array" ref="BR23">INDEX(EconIntermediate!$C$17:$AE$17,$AC23)</f>
        <v>0</v>
      </c>
      <c r="BS23" cm="1">
        <f t="array" ref="BS23">INDEX(EconIntermediate!$C$20:$AE$20,$AC23)</f>
        <v>0</v>
      </c>
      <c r="BT23" cm="1">
        <f t="array" ref="BT23">INDEX(EconIntermediate!$C$21:$AE$21,$AC23)</f>
        <v>0</v>
      </c>
      <c r="BU23" cm="1">
        <f t="array" ref="BU23">INDEX(EconResultsSummary!$C$46:$AE$46,$AC23)</f>
        <v>9.779092454540887</v>
      </c>
      <c r="BV23" cm="1">
        <f t="array" ref="BV23">INDEX(EconResultsSummary!$C$45:$AE$45,$AC23)</f>
        <v>73.82242641493842</v>
      </c>
      <c r="BW23" cm="1">
        <f t="array" ref="BW23">INDEX(EconResultsSummary!$C$44:$AE$44,$AC23)</f>
        <v>67.418093018898674</v>
      </c>
      <c r="BX23" cm="1">
        <f t="array" ref="BX23">INDEX(EconResultsSummary!$C$49:$AE$49,$AC23)</f>
        <v>0</v>
      </c>
      <c r="BY23" cm="1">
        <f t="array" ref="BY23">INDEX(EconResultsSummary!$C$48:$AE$48,$AC23)</f>
        <v>0</v>
      </c>
      <c r="BZ23" cm="1">
        <f t="array" ref="BZ23">INDEX(EconResultsSummary!$C$47:$AE$47,$AC23)</f>
        <v>0</v>
      </c>
      <c r="CA23" s="147">
        <f>'Sc9'!C6*UDV.animal.total</f>
        <v>3559.960273516695</v>
      </c>
      <c r="CB23" s="147">
        <f>'Sc9'!C5*UC.m3_to_gal*UDV.animal.total</f>
        <v>62151.373783952229</v>
      </c>
      <c r="CC23" s="147">
        <f>'Sc9'!C56*UDV.animal.total</f>
        <v>164.46926905347132</v>
      </c>
      <c r="CE23" s="302">
        <f>'Sc9'!C10</f>
        <v>4.770244754277444</v>
      </c>
      <c r="CF23" s="302">
        <f>'Sc9'!C14</f>
        <v>1.1925611885693608</v>
      </c>
      <c r="CG23" s="302">
        <f>'Sc9'!C11</f>
        <v>3.6537102250000002</v>
      </c>
      <c r="CH23" s="302">
        <f>'Sc9'!C15</f>
        <v>2.9893992749999998</v>
      </c>
      <c r="CI23" s="205">
        <f>SUM('Sc9'!C43:C46)*UC.m2_to_acre</f>
        <v>1.0420364618143354</v>
      </c>
      <c r="CJ23" s="78">
        <f>PT.anaer_lagoon!AD77</f>
        <v>8.4214280250541371</v>
      </c>
      <c r="CK23" s="78">
        <f>PT.anaer_lagoon!AD78</f>
        <v>6.4502890877142312</v>
      </c>
      <c r="CL23" s="78">
        <f>PT.anaer_lagoon!AD79</f>
        <v>9.8011364815751758</v>
      </c>
      <c r="CM23" s="78">
        <f>PT.anaer_lagoon!AE77</f>
        <v>21.38054567021798</v>
      </c>
      <c r="CN23" s="78">
        <f>PT.anaer_lagoon!AE78</f>
        <v>53.594723975822752</v>
      </c>
      <c r="CO23" s="78">
        <f>PT.anaer_lagoon!AE79</f>
        <v>53.594985728401809</v>
      </c>
      <c r="CP23">
        <v>0</v>
      </c>
      <c r="CQ23">
        <v>0</v>
      </c>
      <c r="CR23">
        <v>0</v>
      </c>
      <c r="CS23">
        <v>0</v>
      </c>
      <c r="CT23">
        <v>0</v>
      </c>
      <c r="CU23">
        <v>0</v>
      </c>
      <c r="CV23" s="626" t="str">
        <f t="shared" si="14"/>
        <v>Shallow pit, flush, covered digestion basin, lagoon, irrigation + tanker</v>
      </c>
    </row>
    <row r="24" spans="1:121" ht="22.35" customHeight="1" x14ac:dyDescent="0.3">
      <c r="A24" s="126" t="s">
        <v>4952</v>
      </c>
      <c r="B24" s="126" t="s">
        <v>4952</v>
      </c>
      <c r="C24" s="100" t="str">
        <f>Sc.Table!I29</f>
        <v>Shallow pit, flush, covered digestion basin, lagoon, irrigation + drag hose</v>
      </c>
      <c r="D24" s="18" t="s">
        <v>4917</v>
      </c>
      <c r="E24" s="9" t="s">
        <v>2586</v>
      </c>
      <c r="F24" s="18" t="s">
        <v>4951</v>
      </c>
      <c r="G24" s="648"/>
      <c r="H24" s="2299">
        <f>SUMIFS('Sc9'!$D:$D,'Sc9'!$A:$A,$D$24,'Sc9'!$B:$B,Output.Rankings!H$4)</f>
        <v>271.71910627442935</v>
      </c>
      <c r="I24" s="2299">
        <f>SUMIFS('Sc9'!$D:$D,'Sc9'!$A:$A,$D$24,'Sc9'!$B:$B,Output.Rankings!I$4)</f>
        <v>83.175372253218569</v>
      </c>
      <c r="J24" s="2299">
        <f>SUMIFS('Sc9'!$D:$D,'Sc9'!$A:$A,$D$24,'Sc9'!$B:$B,Output.Rankings!J$4)</f>
        <v>21.122905164349451</v>
      </c>
      <c r="K24" s="2299">
        <f>SUMIFS('Sc9'!$D:$D,'Sc9'!$A:$A,$D$24,'Sc9'!$B:$B,Output.Rankings!K$4)</f>
        <v>11.157538207274502</v>
      </c>
      <c r="L24" s="2299">
        <f>SUMIFS('Sc9'!$D:$D,'Sc9'!$A:$A,$D$24,'Sc9'!$B:$B,Output.Rankings!L$4)</f>
        <v>0</v>
      </c>
      <c r="M24" s="2299">
        <f t="shared" si="2"/>
        <v>-343.73694032037338</v>
      </c>
      <c r="N24" s="2301">
        <f t="shared" si="3"/>
        <v>0.65871550594575989</v>
      </c>
      <c r="O24" s="2301">
        <f t="shared" si="4"/>
        <v>0.13241149635989077</v>
      </c>
      <c r="P24" s="2301">
        <f t="shared" si="5"/>
        <v>0</v>
      </c>
      <c r="Q24" s="2301">
        <f t="shared" si="6"/>
        <v>124.45685847661997</v>
      </c>
      <c r="R24" s="2301">
        <f t="shared" si="7"/>
        <v>24.301826128654703</v>
      </c>
      <c r="S24" s="2301">
        <f t="shared" si="8"/>
        <v>10.329250070956935</v>
      </c>
      <c r="T24" s="2302">
        <v>3.125</v>
      </c>
      <c r="U24" s="2302">
        <v>3.3275928762629969E-2</v>
      </c>
      <c r="V24" s="2302">
        <v>2</v>
      </c>
      <c r="W24" s="2303">
        <f t="shared" ca="1" si="9"/>
        <v>7.802973615840564</v>
      </c>
      <c r="X24" s="2303">
        <f t="shared" si="10"/>
        <v>0</v>
      </c>
      <c r="Y24" s="2304">
        <f t="shared" si="11"/>
        <v>0</v>
      </c>
      <c r="Z24" s="1197" cm="1">
        <f t="array" ref="Z24">INDEX(EconIntermediate!$C$23:$AE$23,$AC24)</f>
        <v>0</v>
      </c>
      <c r="AA24" s="1197" cm="1">
        <f t="array" ref="AA24">INDEX(EconIntermediate!$C$22:$AE$22,$AC24)</f>
        <v>0</v>
      </c>
      <c r="AB24" s="1082" cm="1">
        <f t="array" ref="AB24">INDEX(EconIntermediate!$C$24:$AE$24,$AC24)</f>
        <v>0</v>
      </c>
      <c r="AC24" s="147">
        <f>MATCH(C24,EconIntermediate!$C$3:$AE$3,0)</f>
        <v>24</v>
      </c>
      <c r="AD24" s="9" t="str">
        <f>_xlfn.CONCAT(Sc.Table!C29,Sc.Table!D29)</f>
        <v>9B</v>
      </c>
      <c r="AE24" s="2305" t="str">
        <f>Sc.Table!G29</f>
        <v>Flush - Covered Lagoon  - DHL (B)</v>
      </c>
      <c r="AF24" s="2307">
        <f>'LCIA Summary output'!T56</f>
        <v>0.65871550594575989</v>
      </c>
      <c r="AG24" s="2307">
        <f>'LCIA Summary output'!U56</f>
        <v>0.13241149635989077</v>
      </c>
      <c r="AH24" s="2307">
        <f>'LCIA Summary output'!V56</f>
        <v>0</v>
      </c>
      <c r="AI24" s="2307">
        <f>'LCIA Summary output'!W56</f>
        <v>124.45685847661997</v>
      </c>
      <c r="AJ24" s="2307">
        <f>'LCIA Summary output'!X56</f>
        <v>24.301826128654703</v>
      </c>
      <c r="AK24" s="2307">
        <f>'LCIA Summary output'!Y56</f>
        <v>10.329250070956935</v>
      </c>
      <c r="AM24" s="9" t="str">
        <f t="shared" si="12"/>
        <v>9B</v>
      </c>
      <c r="AN24" s="2305" t="str">
        <f>Sc.Table!G29</f>
        <v>Flush - Covered Lagoon  - DHL (B)</v>
      </c>
      <c r="AO24" s="2307">
        <f>'LCIA Summary output'!T57</f>
        <v>-4.0275337774277348E-3</v>
      </c>
      <c r="AP24" s="2307">
        <f>'LCIA Summary output'!U57</f>
        <v>0</v>
      </c>
      <c r="AQ24" s="2307">
        <f>'LCIA Summary output'!V57</f>
        <v>-81.573102590197806</v>
      </c>
      <c r="AR24" s="2307">
        <f>'LCIA Summary output'!W57</f>
        <v>0.32294408809470138</v>
      </c>
      <c r="AS24" s="2307">
        <f>'LCIA Summary output'!X57</f>
        <v>0</v>
      </c>
      <c r="AT24" s="2307">
        <f>'LCIA Summary output'!Y57</f>
        <v>0</v>
      </c>
      <c r="AV24" s="9" t="str">
        <f t="shared" si="13"/>
        <v>9B</v>
      </c>
      <c r="AW24" s="2305" t="str">
        <f>Sc.Table!G29</f>
        <v>Flush - Covered Lagoon  - DHL (B)</v>
      </c>
      <c r="AX24" s="2307">
        <f>'LCIA Summary output'!T58</f>
        <v>0.65468797216833219</v>
      </c>
      <c r="AY24" s="2307">
        <f>'LCIA Summary output'!U58</f>
        <v>0.13241149635989077</v>
      </c>
      <c r="AZ24" s="2307">
        <f>'LCIA Summary output'!V58</f>
        <v>-81.573102590197806</v>
      </c>
      <c r="BA24" s="2307">
        <f>'LCIA Summary output'!W58</f>
        <v>124.77980256471469</v>
      </c>
      <c r="BB24" s="2307">
        <f>'LCIA Summary output'!X58</f>
        <v>24.301826128654703</v>
      </c>
      <c r="BC24" s="2307">
        <f>'LCIA Summary output'!Y58</f>
        <v>10.329250070956935</v>
      </c>
      <c r="BE24" s="100" t="str">
        <f t="shared" si="1"/>
        <v>Shallow pit, flush, covered digestion basin, lagoon, irrigation + drag hose</v>
      </c>
      <c r="BF24" s="645" cm="1">
        <f t="array" ref="BF24">INDEX(EconResultsSummary!$C$42:$AE$42,$AC24)</f>
        <v>90.220907545459113</v>
      </c>
      <c r="BG24" s="645" cm="1">
        <f t="array" ref="BG24">INDEX(EconResultsSummary!$C$41:$AE$41,$AC24)</f>
        <v>26.177573585061577</v>
      </c>
      <c r="BH24" s="1196" cm="1">
        <f t="array" ref="BH24">INDEX(EconResultsSummary!$C$43:$AE$43,$AC24)</f>
        <v>32.581906981101326</v>
      </c>
      <c r="BI24" s="78"/>
      <c r="BJ24" s="78"/>
      <c r="BK24" s="78"/>
      <c r="BL24" cm="1">
        <f t="array" aca="1" ref="BL24" ca="1">INDEX(EconResultsSummary!$C$78:$AE$78,$AC24)</f>
        <v>21.302507873017859</v>
      </c>
      <c r="BM24" cm="1">
        <f t="array" aca="1" ref="BM24" ca="1">INDEX(EconResultsSummary!$C$76:$AE$76,$AC24)</f>
        <v>7.802973615840564</v>
      </c>
      <c r="BN24" cm="1">
        <f t="array" aca="1" ref="BN24" ca="1">INDEX(EconResultsSummary!$C$79:$AE$79,$AC24)</f>
        <v>9.1529270415582928</v>
      </c>
      <c r="BO24" cm="1">
        <f t="array" ref="BO24">INDEX(EconIntermediate!$C$18:$AE$18,$AC24)</f>
        <v>0</v>
      </c>
      <c r="BP24" cm="1">
        <f t="array" ref="BP24">INDEX(EconIntermediate!$C$19:$AE$19,$AC24)</f>
        <v>0</v>
      </c>
      <c r="BQ24" cm="1">
        <f t="array" ref="BQ24">INDEX(EconIntermediate!$C$16:$AE$16,$AC24)</f>
        <v>0</v>
      </c>
      <c r="BR24" cm="1">
        <f t="array" ref="BR24">INDEX(EconIntermediate!$C$17:$AE$17,$AC24)</f>
        <v>0</v>
      </c>
      <c r="BS24" cm="1">
        <f t="array" ref="BS24">INDEX(EconIntermediate!$C$20:$AE$20,$AC24)</f>
        <v>0</v>
      </c>
      <c r="BT24" cm="1">
        <f t="array" ref="BT24">INDEX(EconIntermediate!$C$21:$AE$21,$AC24)</f>
        <v>0</v>
      </c>
      <c r="BU24" cm="1">
        <f t="array" ref="BU24">INDEX(EconResultsSummary!$C$46:$AE$46,$AC24)</f>
        <v>9.779092454540887</v>
      </c>
      <c r="BV24" cm="1">
        <f t="array" ref="BV24">INDEX(EconResultsSummary!$C$45:$AE$45,$AC24)</f>
        <v>73.82242641493842</v>
      </c>
      <c r="BW24" cm="1">
        <f t="array" ref="BW24">INDEX(EconResultsSummary!$C$44:$AE$44,$AC24)</f>
        <v>67.418093018898674</v>
      </c>
      <c r="BX24" cm="1">
        <f t="array" ref="BX24">INDEX(EconResultsSummary!$C$49:$AE$49,$AC24)</f>
        <v>0</v>
      </c>
      <c r="BY24" cm="1">
        <f t="array" ref="BY24">INDEX(EconResultsSummary!$C$48:$AE$48,$AC24)</f>
        <v>0</v>
      </c>
      <c r="BZ24" cm="1">
        <f t="array" ref="BZ24">INDEX(EconResultsSummary!$C$47:$AE$47,$AC24)</f>
        <v>0</v>
      </c>
      <c r="CA24" s="147">
        <f>'Sc9'!C6*UDV.animal.total</f>
        <v>3559.960273516695</v>
      </c>
      <c r="CB24" s="147">
        <f>'Sc9'!C5*UC.m3_to_gal*UDV.animal.total</f>
        <v>62151.373783952229</v>
      </c>
      <c r="CC24" s="147">
        <f>'Sc9'!C57*UDV.animal.total</f>
        <v>69.102219600097527</v>
      </c>
      <c r="CE24" s="302">
        <f>'Sc9'!C10</f>
        <v>4.770244754277444</v>
      </c>
      <c r="CF24" s="302">
        <f>'Sc9'!C14</f>
        <v>1.1925611885693608</v>
      </c>
      <c r="CG24" s="302">
        <f>'Sc9'!C11</f>
        <v>3.6537102250000002</v>
      </c>
      <c r="CH24" s="302">
        <f>'Sc9'!C15</f>
        <v>2.9893992749999998</v>
      </c>
      <c r="CI24" s="205">
        <f>SUM('Sc9'!C43:C46)*UC.m2_to_acre</f>
        <v>1.0420364618143354</v>
      </c>
      <c r="CJ24" s="78">
        <f>PT.anaer_lagoon!AD77</f>
        <v>8.4214280250541371</v>
      </c>
      <c r="CK24" s="78">
        <f>PT.anaer_lagoon!AD78</f>
        <v>6.4502890877142312</v>
      </c>
      <c r="CL24" s="78">
        <f>PT.anaer_lagoon!AD79</f>
        <v>9.8011364815751758</v>
      </c>
      <c r="CM24" s="78">
        <f>PT.anaer_lagoon!AE77</f>
        <v>21.38054567021798</v>
      </c>
      <c r="CN24" s="78">
        <f>PT.anaer_lagoon!AE78</f>
        <v>53.594723975822752</v>
      </c>
      <c r="CO24" s="147">
        <f>PT.anaer_lagoon!AE79</f>
        <v>53.594985728401809</v>
      </c>
      <c r="CP24">
        <v>0</v>
      </c>
      <c r="CQ24">
        <v>0</v>
      </c>
      <c r="CR24">
        <v>0</v>
      </c>
      <c r="CS24">
        <v>0</v>
      </c>
      <c r="CT24">
        <v>0</v>
      </c>
      <c r="CU24">
        <v>0</v>
      </c>
      <c r="CV24" s="626" t="str">
        <f t="shared" si="14"/>
        <v>Shallow pit, flush, covered digestion basin, lagoon, irrigation + drag hose</v>
      </c>
    </row>
    <row r="25" spans="1:121" ht="22.35" customHeight="1" x14ac:dyDescent="0.3">
      <c r="A25" s="126" t="s">
        <v>4953</v>
      </c>
      <c r="B25" s="126" t="s">
        <v>4953</v>
      </c>
      <c r="C25" s="100" t="str">
        <f>Sc.Table!I30</f>
        <v>Shallow pit, scrape auto, covered digestion basin, lagoon, irrigation + tanker</v>
      </c>
      <c r="D25" s="18" t="s">
        <v>4912</v>
      </c>
      <c r="E25" s="9" t="s">
        <v>4913</v>
      </c>
      <c r="F25" s="18" t="s">
        <v>4954</v>
      </c>
      <c r="G25" s="648"/>
      <c r="H25" s="2299">
        <f>SUMIFS('Sc10'!$D:$D,'Sc10'!$A:$A,$D$25,'Sc10'!$B:$B,Output.Rankings!H$4)</f>
        <v>167.38695881703816</v>
      </c>
      <c r="I25" s="2299">
        <f>SUMIFS('Sc10'!$D:$D,'Sc10'!$A:$A,$D$25,'Sc10'!$B:$B,Output.Rankings!I$4)</f>
        <v>52.83724132948911</v>
      </c>
      <c r="J25" s="2299">
        <f>SUMIFS('Sc10'!$D:$D,'Sc10'!$A:$A,$D$25,'Sc10'!$B:$B,Output.Rankings!J$4)</f>
        <v>0</v>
      </c>
      <c r="K25" s="2299">
        <f>SUMIFS('Sc10'!$D:$D,'Sc10'!$A:$A,$D$25,'Sc10'!$B:$B,Output.Rankings!K$4)</f>
        <v>12.598186265413243</v>
      </c>
      <c r="L25" s="2299">
        <f>SUMIFS('Sc10'!$D:$D,'Sc10'!$A:$A,$D$25,'Sc10'!$B:$B,Output.Rankings!L$4)</f>
        <v>0</v>
      </c>
      <c r="M25" s="2299">
        <f t="shared" si="2"/>
        <v>-207.62601388111403</v>
      </c>
      <c r="N25" s="2301">
        <f t="shared" si="3"/>
        <v>0.65982502043884361</v>
      </c>
      <c r="O25" s="2301">
        <f t="shared" si="4"/>
        <v>7.5126022104209253E-2</v>
      </c>
      <c r="P25" s="2301">
        <f t="shared" si="5"/>
        <v>0</v>
      </c>
      <c r="Q25" s="2301">
        <f t="shared" si="6"/>
        <v>124.45685847661997</v>
      </c>
      <c r="R25" s="2301">
        <f t="shared" si="7"/>
        <v>22.742048578904839</v>
      </c>
      <c r="S25" s="2301">
        <f t="shared" si="8"/>
        <v>9.6665204603754411</v>
      </c>
      <c r="T25" s="2302">
        <v>2.5</v>
      </c>
      <c r="U25" s="2302">
        <v>5.6499429307082516E-2</v>
      </c>
      <c r="V25" s="2302">
        <v>2</v>
      </c>
      <c r="W25" s="2303">
        <f t="shared" ca="1" si="9"/>
        <v>12.829700669331343</v>
      </c>
      <c r="X25" s="2303">
        <f t="shared" si="10"/>
        <v>0</v>
      </c>
      <c r="Y25" s="2304">
        <f t="shared" si="11"/>
        <v>0</v>
      </c>
      <c r="Z25" s="1197" cm="1">
        <f t="array" ref="Z25">INDEX(EconIntermediate!$C$23:$AE$23,$AC25)</f>
        <v>101.10598765282566</v>
      </c>
      <c r="AA25" s="1197" cm="1">
        <f t="array" ref="AA25">INDEX(EconIntermediate!$C$22:$AE$22,$AC25)</f>
        <v>0</v>
      </c>
      <c r="AB25" s="1082" cm="1">
        <f t="array" ref="AB25">INDEX(EconIntermediate!$C$24:$AE$24,$AC25)</f>
        <v>10.110598765282566</v>
      </c>
      <c r="AC25" s="147">
        <f>MATCH(C25,EconIntermediate!$C$3:$AE$3,0)</f>
        <v>10</v>
      </c>
      <c r="AD25" s="9" t="str">
        <f>_xlfn.CONCAT(Sc.Table!C30,Sc.Table!D30)</f>
        <v>10A</v>
      </c>
      <c r="AE25" s="2305" t="str">
        <f>Sc.Table!G30</f>
        <v>Scrape - Covered Lagoon  - TL (A)</v>
      </c>
      <c r="AF25" s="2307">
        <f>'LCIA Summary output'!T59</f>
        <v>0.65982502043884361</v>
      </c>
      <c r="AG25" s="2307">
        <f>'LCIA Summary output'!U59</f>
        <v>7.5126022104209253E-2</v>
      </c>
      <c r="AH25" s="2307">
        <f>'LCIA Summary output'!V59</f>
        <v>0</v>
      </c>
      <c r="AI25" s="2307">
        <f>'LCIA Summary output'!W59</f>
        <v>124.45685847661997</v>
      </c>
      <c r="AJ25" s="2307">
        <f>'LCIA Summary output'!X59</f>
        <v>22.742048578904839</v>
      </c>
      <c r="AK25" s="2307">
        <f>'LCIA Summary output'!Y59</f>
        <v>9.6665204603754411</v>
      </c>
      <c r="AM25" s="9" t="str">
        <f t="shared" si="12"/>
        <v>10A</v>
      </c>
      <c r="AN25" s="2305" t="str">
        <f>Sc.Table!G30</f>
        <v>Scrape - Covered Lagoon  - TL (A)</v>
      </c>
      <c r="AO25" s="2307">
        <f>'LCIA Summary output'!T60</f>
        <v>-2.3909802598109644E-3</v>
      </c>
      <c r="AP25" s="2307">
        <f>'LCIA Summary output'!U60</f>
        <v>0</v>
      </c>
      <c r="AQ25" s="2307">
        <f>'LCIA Summary output'!V60</f>
        <v>-81.027351321831873</v>
      </c>
      <c r="AR25" s="2307">
        <f>'LCIA Summary output'!W60</f>
        <v>4.6005090530759531</v>
      </c>
      <c r="AS25" s="2307">
        <f>'LCIA Summary output'!X60</f>
        <v>0</v>
      </c>
      <c r="AT25" s="2307">
        <f>'LCIA Summary output'!Y60</f>
        <v>0</v>
      </c>
      <c r="AV25" s="9" t="str">
        <f t="shared" si="13"/>
        <v>10A</v>
      </c>
      <c r="AW25" s="2305" t="str">
        <f>Sc.Table!G30</f>
        <v>Scrape - Covered Lagoon  - TL (A)</v>
      </c>
      <c r="AX25" s="2307">
        <f>'LCIA Summary output'!T61</f>
        <v>0.65743404017903262</v>
      </c>
      <c r="AY25" s="2307">
        <f>'LCIA Summary output'!U61</f>
        <v>7.5126022104209253E-2</v>
      </c>
      <c r="AZ25" s="2307">
        <f>'LCIA Summary output'!V61</f>
        <v>-81.027351321831873</v>
      </c>
      <c r="BA25" s="2307">
        <f>'LCIA Summary output'!W61</f>
        <v>129.05736752969594</v>
      </c>
      <c r="BB25" s="2307">
        <f>'LCIA Summary output'!X61</f>
        <v>22.742048578904839</v>
      </c>
      <c r="BC25" s="2307">
        <f>'LCIA Summary output'!Y61</f>
        <v>9.6665204603754411</v>
      </c>
      <c r="BE25" s="100" t="str">
        <f t="shared" si="1"/>
        <v>Shallow pit, scrape auto, covered digestion basin, lagoon, irrigation + tanker</v>
      </c>
      <c r="BF25" s="645" cm="1">
        <f t="array" ref="BF25">INDEX(EconResultsSummary!$C$42:$AE$42,$AC25)</f>
        <v>102.67493659314304</v>
      </c>
      <c r="BG25" s="645" cm="1">
        <f t="array" ref="BG25">INDEX(EconResultsSummary!$C$41:$AE$41,$AC25)</f>
        <v>29.474228332977912</v>
      </c>
      <c r="BH25" s="1196" cm="1">
        <f t="array" ref="BH25">INDEX(EconResultsSummary!$C$43:$AE$43,$AC25)</f>
        <v>36.794299158994427</v>
      </c>
      <c r="BI25" s="78"/>
      <c r="BJ25" s="78"/>
      <c r="BK25" s="78"/>
      <c r="BL25" cm="1">
        <f t="array" aca="1" ref="BL25" ca="1">INDEX(EconResultsSummary!$C$78:$AE$78,$AC25)</f>
        <v>59.545061231291776</v>
      </c>
      <c r="BM25" cm="1">
        <f t="array" aca="1" ref="BM25" ca="1">INDEX(EconResultsSummary!$C$76:$AE$76,$AC25)</f>
        <v>12.829700669331343</v>
      </c>
      <c r="BN25" cm="1">
        <f t="array" aca="1" ref="BN25" ca="1">INDEX(EconResultsSummary!$C$79:$AE$79,$AC25)</f>
        <v>17.501236725527384</v>
      </c>
      <c r="BO25" cm="1">
        <f t="array" ref="BO25">INDEX(EconIntermediate!$C$18:$AE$18,$AC25)</f>
        <v>101.10598765282566</v>
      </c>
      <c r="BP25" cm="1">
        <f t="array" ref="BP25">INDEX(EconIntermediate!$C$19:$AE$19,$AC25)</f>
        <v>0</v>
      </c>
      <c r="BQ25" cm="1">
        <f t="array" ref="BQ25">INDEX(EconIntermediate!$C$16:$AE$16,$AC25)</f>
        <v>0</v>
      </c>
      <c r="BR25" cm="1">
        <f t="array" ref="BR25">INDEX(EconIntermediate!$C$17:$AE$17,$AC25)</f>
        <v>0</v>
      </c>
      <c r="BS25" cm="1">
        <f t="array" ref="BS25">INDEX(EconIntermediate!$C$20:$AE$20,$AC25)</f>
        <v>10.110598765282566</v>
      </c>
      <c r="BT25" cm="1">
        <f t="array" ref="BT25">INDEX(EconIntermediate!$C$21:$AE$21,$AC25)</f>
        <v>0</v>
      </c>
      <c r="BU25" cm="1">
        <f t="array" ref="BU25">INDEX(EconResultsSummary!$C$46:$AE$46,$AC25)</f>
        <v>-2.6749365931430447</v>
      </c>
      <c r="BV25" cm="1">
        <f t="array" ref="BV25">INDEX(EconResultsSummary!$C$45:$AE$45,$AC25)</f>
        <v>70.525771667022084</v>
      </c>
      <c r="BW25" cm="1">
        <f t="array" ref="BW25">INDEX(EconResultsSummary!$C$44:$AE$44,$AC25)</f>
        <v>63.205700841005573</v>
      </c>
      <c r="BX25" cm="1">
        <f t="array" ref="BX25">INDEX(EconResultsSummary!$C$49:$AE$49,$AC25)</f>
        <v>2.6749365931430447</v>
      </c>
      <c r="BY25" cm="1">
        <f t="array" ref="BY25">INDEX(EconResultsSummary!$C$48:$AE$48,$AC25)</f>
        <v>0</v>
      </c>
      <c r="BZ25" cm="1">
        <f t="array" ref="BZ25">INDEX(EconResultsSummary!$C$47:$AE$47,$AC25)</f>
        <v>0.26749365931430447</v>
      </c>
      <c r="CA25" s="147">
        <f>'Sc10'!C6*UDV.animal.total</f>
        <v>5749.492855131135</v>
      </c>
      <c r="CB25" s="147">
        <f>'Sc10'!C5*UC.m3_to_gal*UDV.animal.total</f>
        <v>62151.373783952229</v>
      </c>
      <c r="CC25" s="147">
        <f>'Sc10'!C56*UDV.animal.total</f>
        <v>161.48736569260845</v>
      </c>
      <c r="CE25" s="302">
        <f>'Sc10'!C10</f>
        <v>5.4523284937566165</v>
      </c>
      <c r="CF25" s="302">
        <f>'Sc10'!C14</f>
        <v>1.3630821234391541</v>
      </c>
      <c r="CG25" s="302">
        <f>'Sc10'!C11</f>
        <v>3.6537102250000002</v>
      </c>
      <c r="CH25" s="302">
        <f>'Sc10'!C15</f>
        <v>2.9893992749999998</v>
      </c>
      <c r="CI25" s="205">
        <f>SUM('Sc10'!C43:C46)*UC.m2_to_acre</f>
        <v>1.0362635624205732</v>
      </c>
      <c r="CJ25" s="78">
        <f>PT.anaer_lagoon!AI77</f>
        <v>9.6255840830704322</v>
      </c>
      <c r="CK25" s="1152">
        <f>PT.anaer_lagoon!AI78</f>
        <v>6.4502890877142312</v>
      </c>
      <c r="CL25" s="1152">
        <f>PT.anaer_lagoon!AI79</f>
        <v>9.8011364815751758</v>
      </c>
      <c r="CM25" s="78">
        <f>PT.anaer_lagoon!AJ77</f>
        <v>24.437689128060633</v>
      </c>
      <c r="CN25" s="78">
        <f>PT.anaer_lagoon!AJ78</f>
        <v>53.594723975822752</v>
      </c>
      <c r="CO25" s="78">
        <f>PT.anaer_lagoon!AJ79</f>
        <v>53.594985728401809</v>
      </c>
      <c r="CP25">
        <v>0</v>
      </c>
      <c r="CQ25">
        <v>0</v>
      </c>
      <c r="CR25">
        <v>0</v>
      </c>
      <c r="CS25">
        <v>0</v>
      </c>
      <c r="CT25">
        <v>0</v>
      </c>
      <c r="CU25">
        <v>0</v>
      </c>
      <c r="CV25" s="626" t="str">
        <f t="shared" si="14"/>
        <v>Shallow pit, scrape auto, covered digestion basin, lagoon, irrigation + tanker</v>
      </c>
    </row>
    <row r="26" spans="1:121" ht="22.35" customHeight="1" x14ac:dyDescent="0.3">
      <c r="A26" s="128" t="s">
        <v>4955</v>
      </c>
      <c r="B26" s="128" t="s">
        <v>4955</v>
      </c>
      <c r="C26" s="100" t="str">
        <f>Sc.Table!I31</f>
        <v>Shallow pit, scrape auto, covered digestion basin, lagoon, irrigation + drag hose</v>
      </c>
      <c r="D26" s="666" t="s">
        <v>4917</v>
      </c>
      <c r="E26" s="54" t="s">
        <v>2586</v>
      </c>
      <c r="F26" s="666" t="s">
        <v>4954</v>
      </c>
      <c r="G26" s="667"/>
      <c r="H26" s="2299">
        <f>SUMIFS('Sc10'!$D:$D,'Sc10'!$A:$A,$D$26,'Sc10'!$B:$B,Output.Rankings!H$4)</f>
        <v>275.06593383765556</v>
      </c>
      <c r="I26" s="2299">
        <f>SUMIFS('Sc10'!$D:$D,'Sc10'!$A:$A,$D$26,'Sc10'!$B:$B,Output.Rankings!I$4)</f>
        <v>86.839836566161011</v>
      </c>
      <c r="J26" s="2299">
        <f>SUMIFS('Sc10'!$D:$D,'Sc10'!$A:$A,$D$26,'Sc10'!$B:$B,Output.Rankings!J$4)</f>
        <v>0</v>
      </c>
      <c r="K26" s="2299">
        <f>SUMIFS('Sc10'!$D:$D,'Sc10'!$A:$A,$D$26,'Sc10'!$B:$B,Output.Rankings!K$4)</f>
        <v>12.598186265413243</v>
      </c>
      <c r="L26" s="2299">
        <f>SUMIFS('Sc10'!$D:$D,'Sc10'!$A:$A,$D$26,'Sc10'!$B:$B,Output.Rankings!L$4)</f>
        <v>0</v>
      </c>
      <c r="M26" s="2299">
        <f t="shared" si="2"/>
        <v>-349.30758413840334</v>
      </c>
      <c r="N26" s="2301">
        <f t="shared" si="3"/>
        <v>0.65803002614922201</v>
      </c>
      <c r="O26" s="2301">
        <f t="shared" si="4"/>
        <v>7.5126022104209253E-2</v>
      </c>
      <c r="P26" s="2301">
        <f t="shared" si="5"/>
        <v>0</v>
      </c>
      <c r="Q26" s="2301">
        <f t="shared" si="6"/>
        <v>124.45685847661997</v>
      </c>
      <c r="R26" s="2301">
        <f t="shared" si="7"/>
        <v>22.742048578904839</v>
      </c>
      <c r="S26" s="2301">
        <f t="shared" si="8"/>
        <v>9.6665204603754411</v>
      </c>
      <c r="T26" s="2302">
        <v>2.625</v>
      </c>
      <c r="U26" s="2302">
        <v>5.520162934739492E-2</v>
      </c>
      <c r="V26" s="2302">
        <v>2</v>
      </c>
      <c r="W26" s="2303">
        <f t="shared" ca="1" si="9"/>
        <v>8.7919700402154657</v>
      </c>
      <c r="X26" s="2303">
        <f t="shared" si="10"/>
        <v>0</v>
      </c>
      <c r="Y26" s="2304">
        <f t="shared" si="11"/>
        <v>0</v>
      </c>
      <c r="Z26" s="1197" cm="1">
        <f t="array" ref="Z26">INDEX(EconIntermediate!$C$23:$AE$23,$AC26)</f>
        <v>101.10598765282566</v>
      </c>
      <c r="AA26" s="1197" cm="1">
        <f t="array" ref="AA26">INDEX(EconIntermediate!$C$22:$AE$22,$AC26)</f>
        <v>0</v>
      </c>
      <c r="AB26" s="1082" cm="1">
        <f t="array" ref="AB26">INDEX(EconIntermediate!$C$24:$AE$24,$AC26)</f>
        <v>10.110598765282566</v>
      </c>
      <c r="AC26" s="147">
        <f>MATCH(C26,EconIntermediate!$C$3:$AE$3,0)</f>
        <v>25</v>
      </c>
      <c r="AD26" s="9" t="str">
        <f>_xlfn.CONCAT(Sc.Table!C31,Sc.Table!D31)</f>
        <v>10B</v>
      </c>
      <c r="AE26" s="2305" t="str">
        <f>Sc.Table!G31</f>
        <v>Scrape - Covered Lagoon  - DHL (B)</v>
      </c>
      <c r="AF26" s="2308">
        <f>'LCIA Summary output'!T62</f>
        <v>0.65803002614922201</v>
      </c>
      <c r="AG26" s="2308">
        <f>'LCIA Summary output'!U62</f>
        <v>7.5126022104209253E-2</v>
      </c>
      <c r="AH26" s="2308">
        <f>'LCIA Summary output'!V62</f>
        <v>0</v>
      </c>
      <c r="AI26" s="2308">
        <f>'LCIA Summary output'!W62</f>
        <v>124.45685847661997</v>
      </c>
      <c r="AJ26" s="2308">
        <f>'LCIA Summary output'!X62</f>
        <v>22.742048578904839</v>
      </c>
      <c r="AK26" s="2308">
        <f>'LCIA Summary output'!Y62</f>
        <v>9.6665204603754411</v>
      </c>
      <c r="AL26" s="128"/>
      <c r="AM26" s="9" t="str">
        <f t="shared" si="12"/>
        <v>10B</v>
      </c>
      <c r="AN26" s="2305" t="str">
        <f>Sc.Table!G31</f>
        <v>Scrape - Covered Lagoon  - DHL (B)</v>
      </c>
      <c r="AO26" s="2308">
        <f>'LCIA Summary output'!T63</f>
        <v>-3.5410285167066869E-3</v>
      </c>
      <c r="AP26" s="2308">
        <f>'LCIA Summary output'!U63</f>
        <v>0</v>
      </c>
      <c r="AQ26" s="2308">
        <f>'LCIA Summary output'!V63</f>
        <v>-92.530454365400203</v>
      </c>
      <c r="AR26" s="2308">
        <f>'LCIA Summary output'!W63</f>
        <v>1.5624035718693841</v>
      </c>
      <c r="AS26" s="2308">
        <f>'LCIA Summary output'!X63</f>
        <v>0</v>
      </c>
      <c r="AT26" s="2308">
        <f>'LCIA Summary output'!Y63</f>
        <v>0</v>
      </c>
      <c r="AU26" s="128"/>
      <c r="AV26" s="9" t="str">
        <f t="shared" si="13"/>
        <v>10B</v>
      </c>
      <c r="AW26" s="2305" t="str">
        <f>Sc.Table!G31</f>
        <v>Scrape - Covered Lagoon  - DHL (B)</v>
      </c>
      <c r="AX26" s="2308">
        <f>'LCIA Summary output'!T64</f>
        <v>0.65448899763251545</v>
      </c>
      <c r="AY26" s="2308">
        <f>'LCIA Summary output'!U64</f>
        <v>7.5126022104209253E-2</v>
      </c>
      <c r="AZ26" s="2308">
        <f>'LCIA Summary output'!V64</f>
        <v>-92.530454365400203</v>
      </c>
      <c r="BA26" s="2308">
        <f>'LCIA Summary output'!W64</f>
        <v>126.01926204848935</v>
      </c>
      <c r="BB26" s="2308">
        <f>'LCIA Summary output'!X64</f>
        <v>22.742048578904839</v>
      </c>
      <c r="BC26" s="2308">
        <f>'LCIA Summary output'!Y64</f>
        <v>9.6665204603754411</v>
      </c>
      <c r="BD26" s="128"/>
      <c r="BE26" s="100" t="str">
        <f t="shared" si="1"/>
        <v>Shallow pit, scrape auto, covered digestion basin, lagoon, irrigation + drag hose</v>
      </c>
      <c r="BF26" s="645" cm="1">
        <f t="array" ref="BF26">INDEX(EconResultsSummary!$C$42:$AE$42,$AC26)</f>
        <v>102.67493659314304</v>
      </c>
      <c r="BG26" s="645" cm="1">
        <f t="array" ref="BG26">INDEX(EconResultsSummary!$C$41:$AE$41,$AC26)</f>
        <v>29.474228332977912</v>
      </c>
      <c r="BH26" s="1196" cm="1">
        <f t="array" ref="BH26">INDEX(EconResultsSummary!$C$43:$AE$43,$AC26)</f>
        <v>36.794299158994427</v>
      </c>
      <c r="BI26" s="78"/>
      <c r="BJ26" s="78"/>
      <c r="BK26" s="78"/>
      <c r="BL26" cm="1">
        <f t="array" aca="1" ref="BL26" ca="1">INDEX(EconResultsSummary!$C$78:$AE$78,$AC26)</f>
        <v>23.657921135477881</v>
      </c>
      <c r="BM26" cm="1">
        <f t="array" aca="1" ref="BM26" ca="1">INDEX(EconResultsSummary!$C$76:$AE$76,$AC26)</f>
        <v>8.7919700402154657</v>
      </c>
      <c r="BN26" cm="1">
        <f t="array" aca="1" ref="BN26" ca="1">INDEX(EconResultsSummary!$C$79:$AE$79,$AC26)</f>
        <v>10.278565149741707</v>
      </c>
      <c r="BO26" cm="1">
        <f t="array" ref="BO26">INDEX(EconIntermediate!$C$18:$AE$18,$AC26)</f>
        <v>101.10598765282566</v>
      </c>
      <c r="BP26" cm="1">
        <f t="array" ref="BP26">INDEX(EconIntermediate!$C$19:$AE$19,$AC26)</f>
        <v>0</v>
      </c>
      <c r="BQ26" cm="1">
        <f t="array" ref="BQ26">INDEX(EconIntermediate!$C$16:$AE$16,$AC26)</f>
        <v>0</v>
      </c>
      <c r="BR26" cm="1">
        <f t="array" ref="BR26">INDEX(EconIntermediate!$C$17:$AE$17,$AC26)</f>
        <v>0</v>
      </c>
      <c r="BS26" cm="1">
        <f t="array" ref="BS26">INDEX(EconIntermediate!$C$20:$AE$20,$AC26)</f>
        <v>10.110598765282566</v>
      </c>
      <c r="BT26" cm="1">
        <f t="array" ref="BT26">INDEX(EconIntermediate!$C$21:$AE$21,$AC26)</f>
        <v>0</v>
      </c>
      <c r="BU26" cm="1">
        <f t="array" ref="BU26">INDEX(EconResultsSummary!$C$46:$AE$46,$AC26)</f>
        <v>-2.6749365931430447</v>
      </c>
      <c r="BV26" cm="1">
        <f t="array" ref="BV26">INDEX(EconResultsSummary!$C$45:$AE$45,$AC26)</f>
        <v>70.525771667022084</v>
      </c>
      <c r="BW26" cm="1">
        <f t="array" ref="BW26">INDEX(EconResultsSummary!$C$44:$AE$44,$AC26)</f>
        <v>63.205700841005573</v>
      </c>
      <c r="BX26" cm="1">
        <f t="array" ref="BX26">INDEX(EconResultsSummary!$C$49:$AE$49,$AC26)</f>
        <v>2.6749365931430447</v>
      </c>
      <c r="BY26" cm="1">
        <f t="array" ref="BY26">INDEX(EconResultsSummary!$C$48:$AE$48,$AC26)</f>
        <v>0</v>
      </c>
      <c r="BZ26" cm="1">
        <f t="array" ref="BZ26">INDEX(EconResultsSummary!$C$47:$AE$47,$AC26)</f>
        <v>0.26749365931430447</v>
      </c>
      <c r="CA26" s="2261">
        <f>'Sc10'!C6*UDV.animal.total</f>
        <v>5749.492855131135</v>
      </c>
      <c r="CB26" s="2261">
        <f>'Sc10'!C5*UC.m3_to_gal*UDV.animal.total</f>
        <v>62151.373783952229</v>
      </c>
      <c r="CC26" s="2261">
        <f>'Sc10'!C57*UDV.animal.total</f>
        <v>73.324581330058251</v>
      </c>
      <c r="CD26" s="128"/>
      <c r="CE26" s="2262">
        <f>'Sc10'!C10</f>
        <v>5.4523284937566165</v>
      </c>
      <c r="CF26" s="2262">
        <f>'Sc10'!C14</f>
        <v>1.3630821234391541</v>
      </c>
      <c r="CG26" s="2262">
        <f>'Sc10'!C11</f>
        <v>3.6537102250000002</v>
      </c>
      <c r="CH26" s="2262">
        <f>'Sc10'!C15</f>
        <v>2.9893992749999998</v>
      </c>
      <c r="CI26" s="2260">
        <f>SUM('Sc10'!C43:C46)*UC.m2_to_acre</f>
        <v>1.0362635624205732</v>
      </c>
      <c r="CJ26" s="2259">
        <f>PT.anaer_lagoon!AI77</f>
        <v>9.6255840830704322</v>
      </c>
      <c r="CK26" s="2263">
        <f>PT.anaer_lagoon!AI78</f>
        <v>6.4502890877142312</v>
      </c>
      <c r="CL26" s="2263">
        <f>PT.anaer_lagoon!AI79</f>
        <v>9.8011364815751758</v>
      </c>
      <c r="CM26" s="2259">
        <f>PT.anaer_lagoon!AJ77</f>
        <v>24.437689128060633</v>
      </c>
      <c r="CN26" s="2259">
        <f>PT.anaer_lagoon!AJ78</f>
        <v>53.594723975822752</v>
      </c>
      <c r="CO26" s="2259">
        <f>PT.anaer_lagoon!AJ79</f>
        <v>53.594985728401809</v>
      </c>
      <c r="CP26">
        <v>0</v>
      </c>
      <c r="CQ26">
        <v>0</v>
      </c>
      <c r="CR26">
        <v>0</v>
      </c>
      <c r="CS26">
        <v>0</v>
      </c>
      <c r="CT26">
        <v>0</v>
      </c>
      <c r="CU26">
        <v>0</v>
      </c>
      <c r="CV26" s="626" t="str">
        <f t="shared" si="14"/>
        <v>Shallow pit, scrape auto, covered digestion basin, lagoon, irrigation + drag hose</v>
      </c>
    </row>
    <row r="27" spans="1:121" ht="22.35" customHeight="1" x14ac:dyDescent="0.3">
      <c r="A27" s="126" t="s">
        <v>4956</v>
      </c>
      <c r="B27" s="126" t="s">
        <v>4956</v>
      </c>
      <c r="C27" s="100" t="str">
        <f>Sc.Table!I32</f>
        <v>Shallow pit, pull plug, covered digestion basin, lagoon, irrigation + tanker</v>
      </c>
      <c r="D27" s="18" t="s">
        <v>4912</v>
      </c>
      <c r="E27" s="9" t="s">
        <v>4913</v>
      </c>
      <c r="F27" s="18" t="s">
        <v>4957</v>
      </c>
      <c r="G27" s="648"/>
      <c r="H27" s="2299">
        <f>SUMIFS('Sc11'!$D:$D,'Sc11'!$A:$A,$D$27,'Sc11'!$B:$B,Output.Rankings!H$4)</f>
        <v>161.76579735540867</v>
      </c>
      <c r="I27" s="2299">
        <f>SUMIFS('Sc11'!$D:$D,'Sc11'!$A:$A,$D$27,'Sc11'!$B:$B,Output.Rankings!I$4)</f>
        <v>48.643373670824786</v>
      </c>
      <c r="J27" s="2299">
        <f>SUMIFS('Sc11'!$D:$D,'Sc11'!$A:$A,$D$27,'Sc11'!$B:$B,Output.Rankings!J$4)</f>
        <v>1.7218893154655115</v>
      </c>
      <c r="K27" s="2299">
        <f>SUMIFS('Sc11'!$D:$D,'Sc11'!$A:$A,$D$27,'Sc11'!$B:$B,Output.Rankings!K$4)</f>
        <v>11.924138639405244</v>
      </c>
      <c r="L27" s="2299">
        <f>SUMIFS('Sc11'!$D:$D,'Sc11'!$A:$A,$D$27,'Sc11'!$B:$B,Output.Rankings!L$4)</f>
        <v>0</v>
      </c>
      <c r="M27" s="2299">
        <f t="shared" si="2"/>
        <v>-198.48503238682821</v>
      </c>
      <c r="N27" s="2301">
        <f t="shared" si="3"/>
        <v>0.67345190886709994</v>
      </c>
      <c r="O27" s="2301">
        <f t="shared" si="4"/>
        <v>7.1463234135458201E-2</v>
      </c>
      <c r="P27" s="2301">
        <f t="shared" si="5"/>
        <v>0</v>
      </c>
      <c r="Q27" s="2301">
        <f t="shared" si="6"/>
        <v>124.45685847661997</v>
      </c>
      <c r="R27" s="2301">
        <f t="shared" si="7"/>
        <v>23.521937353779773</v>
      </c>
      <c r="S27" s="2301">
        <f t="shared" si="8"/>
        <v>10.097568776505975</v>
      </c>
      <c r="T27" s="2302">
        <v>2.75</v>
      </c>
      <c r="U27" s="2302">
        <v>3.5267348953936684E-2</v>
      </c>
      <c r="V27" s="2302">
        <v>2</v>
      </c>
      <c r="W27" s="2303">
        <f t="shared" ca="1" si="9"/>
        <v>12.335202457143902</v>
      </c>
      <c r="X27" s="2303">
        <f t="shared" si="10"/>
        <v>0</v>
      </c>
      <c r="Y27" s="2304">
        <f t="shared" si="11"/>
        <v>0</v>
      </c>
      <c r="Z27" s="1197" cm="1">
        <f t="array" ref="Z27">INDEX(EconIntermediate!$C$23:$AE$23,$AC27)</f>
        <v>0</v>
      </c>
      <c r="AA27" s="1197" cm="1">
        <f t="array" ref="AA27">INDEX(EconIntermediate!$C$22:$AE$22,$AC27)</f>
        <v>0</v>
      </c>
      <c r="AB27" s="1082" cm="1">
        <f t="array" ref="AB27">INDEX(EconIntermediate!$C$24:$AE$24,$AC27)</f>
        <v>0</v>
      </c>
      <c r="AC27" s="147">
        <f>MATCH(C27,EconIntermediate!$C$3:$AE$3,0)</f>
        <v>11</v>
      </c>
      <c r="AD27" s="9" t="str">
        <f>_xlfn.CONCAT(Sc.Table!C32,Sc.Table!D32)</f>
        <v>11A</v>
      </c>
      <c r="AE27" s="2305" t="str">
        <f>Sc.Table!G32</f>
        <v>Pull plug - Covered Lagoon  - TL (A)</v>
      </c>
      <c r="AF27" s="2307">
        <f>'LCIA Summary output'!T65</f>
        <v>0.67345190886709994</v>
      </c>
      <c r="AG27" s="2307">
        <f>'LCIA Summary output'!U65</f>
        <v>7.1463234135458201E-2</v>
      </c>
      <c r="AH27" s="2307">
        <f>'LCIA Summary output'!V65</f>
        <v>0</v>
      </c>
      <c r="AI27" s="2307">
        <f>'LCIA Summary output'!W65</f>
        <v>124.45685847661997</v>
      </c>
      <c r="AJ27" s="2307">
        <f>'LCIA Summary output'!X65</f>
        <v>23.521937353779773</v>
      </c>
      <c r="AK27" s="2307">
        <f>'LCIA Summary output'!Y65</f>
        <v>10.097568776505975</v>
      </c>
      <c r="AM27" s="9" t="str">
        <f t="shared" si="12"/>
        <v>11A</v>
      </c>
      <c r="AN27" s="2305" t="str">
        <f>Sc.Table!G32</f>
        <v>Pull plug - Covered Lagoon  - TL (A)</v>
      </c>
      <c r="AO27" s="2307">
        <f>'LCIA Summary output'!T66</f>
        <v>-4.938074653581241E-3</v>
      </c>
      <c r="AP27" s="2307">
        <f>'LCIA Summary output'!U66</f>
        <v>0</v>
      </c>
      <c r="AQ27" s="2307">
        <f>'LCIA Summary output'!V66</f>
        <v>-78.150842425804186</v>
      </c>
      <c r="AR27" s="2307">
        <f>'LCIA Summary output'!W66</f>
        <v>1.3276361110083128</v>
      </c>
      <c r="AS27" s="2307">
        <f>'LCIA Summary output'!X66</f>
        <v>0</v>
      </c>
      <c r="AT27" s="2307">
        <f>'LCIA Summary output'!Y66</f>
        <v>0</v>
      </c>
      <c r="AV27" s="9" t="str">
        <f t="shared" si="13"/>
        <v>11A</v>
      </c>
      <c r="AW27" s="2305" t="str">
        <f>Sc.Table!G32</f>
        <v>Pull plug - Covered Lagoon  - TL (A)</v>
      </c>
      <c r="AX27" s="2307">
        <f>'LCIA Summary output'!T67</f>
        <v>0.66851383421351873</v>
      </c>
      <c r="AY27" s="2307">
        <f>'LCIA Summary output'!U67</f>
        <v>7.1463234135458201E-2</v>
      </c>
      <c r="AZ27" s="2307">
        <f>'LCIA Summary output'!V67</f>
        <v>-78.150842425804186</v>
      </c>
      <c r="BA27" s="2307">
        <f>'LCIA Summary output'!W67</f>
        <v>125.78449458762829</v>
      </c>
      <c r="BB27" s="2307">
        <f>'LCIA Summary output'!X67</f>
        <v>23.521937353779773</v>
      </c>
      <c r="BC27" s="2307">
        <f>'LCIA Summary output'!Y67</f>
        <v>10.097568776505975</v>
      </c>
      <c r="BE27" s="100" t="str">
        <f t="shared" si="1"/>
        <v>Shallow pit, pull plug, covered digestion basin, lagoon, irrigation + tanker</v>
      </c>
      <c r="BF27" s="645" cm="1">
        <f t="array" ref="BF27">INDEX(EconResultsSummary!$C$42:$AE$42,$AC27)</f>
        <v>96.447922069301072</v>
      </c>
      <c r="BG27" s="645" cm="1">
        <f t="array" ref="BG27">INDEX(EconResultsSummary!$C$41:$AE$41,$AC27)</f>
        <v>27.825900959019744</v>
      </c>
      <c r="BH27" s="1196" cm="1">
        <f t="array" ref="BH27">INDEX(EconResultsSummary!$C$43:$AE$43,$AC27)</f>
        <v>34.688103070047873</v>
      </c>
      <c r="BI27" s="78"/>
      <c r="BJ27" s="78"/>
      <c r="BK27" s="78"/>
      <c r="BL27" cm="1">
        <f t="array" aca="1" ref="BL27" ca="1">INDEX(EconResultsSummary!$C$78:$AE$78,$AC27)</f>
        <v>60.822406481080826</v>
      </c>
      <c r="BM27" cm="1">
        <f t="array" aca="1" ref="BM27" ca="1">INDEX(EconResultsSummary!$C$76:$AE$76,$AC27)</f>
        <v>12.335202457143902</v>
      </c>
      <c r="BN27" cm="1">
        <f t="array" aca="1" ref="BN27" ca="1">INDEX(EconResultsSummary!$C$79:$AE$79,$AC27)</f>
        <v>17.183922859537596</v>
      </c>
      <c r="BO27" cm="1">
        <f t="array" ref="BO27">INDEX(EconIntermediate!$C$18:$AE$18,$AC27)</f>
        <v>0</v>
      </c>
      <c r="BP27" cm="1">
        <f t="array" ref="BP27">INDEX(EconIntermediate!$C$19:$AE$19,$AC27)</f>
        <v>0</v>
      </c>
      <c r="BQ27" cm="1">
        <f t="array" ref="BQ27">INDEX(EconIntermediate!$C$16:$AE$16,$AC27)</f>
        <v>0</v>
      </c>
      <c r="BR27" cm="1">
        <f t="array" ref="BR27">INDEX(EconIntermediate!$C$17:$AE$17,$AC27)</f>
        <v>0</v>
      </c>
      <c r="BS27" cm="1">
        <f t="array" ref="BS27">INDEX(EconIntermediate!$C$20:$AE$20,$AC27)</f>
        <v>0</v>
      </c>
      <c r="BT27" cm="1">
        <f t="array" ref="BT27">INDEX(EconIntermediate!$C$21:$AE$21,$AC27)</f>
        <v>0</v>
      </c>
      <c r="BU27" cm="1">
        <f t="array" ref="BU27">INDEX(EconResultsSummary!$C$46:$AE$46,$AC27)</f>
        <v>3.5520779306989283</v>
      </c>
      <c r="BV27" cm="1">
        <f t="array" ref="BV27">INDEX(EconResultsSummary!$C$45:$AE$45,$AC27)</f>
        <v>72.174099040980252</v>
      </c>
      <c r="BW27" cm="1">
        <f t="array" ref="BW27">INDEX(EconResultsSummary!$C$44:$AE$44,$AC27)</f>
        <v>65.311896929952127</v>
      </c>
      <c r="BX27" cm="1">
        <f t="array" ref="BX27">INDEX(EconResultsSummary!$C$49:$AE$49,$AC27)</f>
        <v>0</v>
      </c>
      <c r="BY27" cm="1">
        <f t="array" ref="BY27">INDEX(EconResultsSummary!$C$48:$AE$48,$AC27)</f>
        <v>0</v>
      </c>
      <c r="BZ27" cm="1">
        <f t="array" ref="BZ27">INDEX(EconResultsSummary!$C$47:$AE$47,$AC27)</f>
        <v>0</v>
      </c>
      <c r="CA27" s="147">
        <f>'Sc11'!C6*UDV.animal.total</f>
        <v>1272.9143390320203</v>
      </c>
      <c r="CB27" s="147">
        <f>'Sc11'!C5*UC.m3_to_gal*UDV.animal.total</f>
        <v>62151.373783952229</v>
      </c>
      <c r="CC27" s="147">
        <f>'Sc11'!C56*UDV.animal.total</f>
        <v>164.46926905347146</v>
      </c>
      <c r="CE27" s="302">
        <f>'Sc11'!C10</f>
        <v>5.1112866240170316</v>
      </c>
      <c r="CF27" s="302">
        <f>'Sc11'!C14</f>
        <v>1.2778216560042575</v>
      </c>
      <c r="CG27" s="302">
        <f>'Sc11'!C11</f>
        <v>3.6537102250000002</v>
      </c>
      <c r="CH27" s="302">
        <f>'Sc11'!C15</f>
        <v>2.9893992749999998</v>
      </c>
      <c r="CI27" s="205">
        <f>SUM('Sc11'!C43:C46)*UC.m2_to_acre</f>
        <v>1.04356917938544</v>
      </c>
      <c r="CJ27" s="78">
        <f>PT.anaer_lagoon!AM77</f>
        <v>9.0235060540622829</v>
      </c>
      <c r="CK27" s="1152">
        <f>PT.anaer_lagoon!AM78</f>
        <v>6.4502890877142303</v>
      </c>
      <c r="CL27" s="1152">
        <f>PT.anaer_lagoon!AM79</f>
        <v>9.801136481575174</v>
      </c>
      <c r="CM27" s="78">
        <f>PT.anaer_lagoon!AN77</f>
        <v>22.909117399139305</v>
      </c>
      <c r="CN27" s="78">
        <f>PT.anaer_lagoon!AN78</f>
        <v>53.594723975822752</v>
      </c>
      <c r="CO27" s="78">
        <f>PT.anaer_lagoon!AN79</f>
        <v>53.594985728401809</v>
      </c>
      <c r="CP27">
        <v>0</v>
      </c>
      <c r="CQ27">
        <v>0</v>
      </c>
      <c r="CR27">
        <v>0</v>
      </c>
      <c r="CS27">
        <v>0</v>
      </c>
      <c r="CT27">
        <v>0</v>
      </c>
      <c r="CU27">
        <v>0</v>
      </c>
      <c r="CV27" s="626" t="str">
        <f t="shared" si="14"/>
        <v>Shallow pit, pull plug, covered digestion basin, lagoon, irrigation + tanker</v>
      </c>
    </row>
    <row r="28" spans="1:121" ht="22.35" customHeight="1" x14ac:dyDescent="0.3">
      <c r="A28" s="126" t="s">
        <v>4958</v>
      </c>
      <c r="B28" s="126" t="s">
        <v>4958</v>
      </c>
      <c r="C28" s="100" t="str">
        <f>Sc.Table!I33</f>
        <v>Shallow pit, pull plug, covered digestion basin, lagoon, irrigation + drag hose</v>
      </c>
      <c r="D28" s="18" t="s">
        <v>4917</v>
      </c>
      <c r="E28" s="9" t="s">
        <v>2586</v>
      </c>
      <c r="F28" s="18" t="s">
        <v>4957</v>
      </c>
      <c r="G28" s="648"/>
      <c r="H28" s="2299">
        <f>SUMIFS('Sc11'!$D:$D,'Sc11'!$A:$A,$D$28,'Sc11'!$B:$B,Output.Rankings!H$4)</f>
        <v>269.422344807652</v>
      </c>
      <c r="I28" s="2299">
        <f>SUMIFS('Sc11'!$D:$D,'Sc11'!$A:$A,$D$28,'Sc11'!$B:$B,Output.Rankings!I$4)</f>
        <v>82.583726035576859</v>
      </c>
      <c r="J28" s="2299">
        <f>SUMIFS('Sc11'!$D:$D,'Sc11'!$A:$A,$D$28,'Sc11'!$B:$B,Output.Rankings!J$4)</f>
        <v>1.7218893154655115</v>
      </c>
      <c r="K28" s="2299">
        <f>SUMIFS('Sc11'!$D:$D,'Sc11'!$A:$A,$D$28,'Sc11'!$B:$B,Output.Rankings!K$4)</f>
        <v>11.924138639405244</v>
      </c>
      <c r="L28" s="2299">
        <f>SUMIFS('Sc11'!$D:$D,'Sc11'!$A:$A,$D$28,'Sc11'!$B:$B,Output.Rankings!L$4)</f>
        <v>0</v>
      </c>
      <c r="M28" s="2299">
        <f t="shared" si="2"/>
        <v>-340.08193220382361</v>
      </c>
      <c r="N28" s="2301">
        <f t="shared" si="3"/>
        <v>0.67157095630865415</v>
      </c>
      <c r="O28" s="2301">
        <f t="shared" si="4"/>
        <v>7.1463234135458201E-2</v>
      </c>
      <c r="P28" s="2301">
        <f t="shared" si="5"/>
        <v>0</v>
      </c>
      <c r="Q28" s="2301">
        <f t="shared" si="6"/>
        <v>124.45685847661997</v>
      </c>
      <c r="R28" s="2301">
        <f t="shared" si="7"/>
        <v>23.521937353779773</v>
      </c>
      <c r="S28" s="2301">
        <f t="shared" si="8"/>
        <v>10.097568776505975</v>
      </c>
      <c r="T28" s="2302">
        <v>2.875</v>
      </c>
      <c r="U28" s="2302">
        <v>3.394034393186518E-2</v>
      </c>
      <c r="V28" s="2302">
        <v>2</v>
      </c>
      <c r="W28" s="2303">
        <f t="shared" ca="1" si="9"/>
        <v>8.2974718280280175</v>
      </c>
      <c r="X28" s="2303">
        <f t="shared" si="10"/>
        <v>0</v>
      </c>
      <c r="Y28" s="2304">
        <f t="shared" si="11"/>
        <v>0</v>
      </c>
      <c r="Z28" s="1197" cm="1">
        <f t="array" ref="Z28">INDEX(EconIntermediate!$C$23:$AE$23,$AC28)</f>
        <v>0</v>
      </c>
      <c r="AA28" s="1197" cm="1">
        <f t="array" ref="AA28">INDEX(EconIntermediate!$C$22:$AE$22,$AC28)</f>
        <v>0</v>
      </c>
      <c r="AB28" s="1082" cm="1">
        <f t="array" ref="AB28">INDEX(EconIntermediate!$C$24:$AE$24,$AC28)</f>
        <v>0</v>
      </c>
      <c r="AC28" s="147">
        <f>MATCH(C28,EconIntermediate!$C$3:$AE$3,0)</f>
        <v>26</v>
      </c>
      <c r="AD28" s="9" t="str">
        <f>_xlfn.CONCAT(Sc.Table!C33,Sc.Table!D33)</f>
        <v>11B</v>
      </c>
      <c r="AE28" s="2305" t="str">
        <f>Sc.Table!G33</f>
        <v>Pull plug - Covered Lagoon  - DHL (B)</v>
      </c>
      <c r="AF28" s="2307">
        <f>'LCIA Summary output'!T68</f>
        <v>0.67157095630865415</v>
      </c>
      <c r="AG28" s="2307">
        <f>'LCIA Summary output'!U68</f>
        <v>7.1463234135458201E-2</v>
      </c>
      <c r="AH28" s="2307">
        <f>'LCIA Summary output'!V68</f>
        <v>0</v>
      </c>
      <c r="AI28" s="2307">
        <f>'LCIA Summary output'!W68</f>
        <v>124.45685847661997</v>
      </c>
      <c r="AJ28" s="2307">
        <f>'LCIA Summary output'!X68</f>
        <v>23.521937353779773</v>
      </c>
      <c r="AK28" s="2307">
        <f>'LCIA Summary output'!Y68</f>
        <v>10.097568776505975</v>
      </c>
      <c r="AM28" s="9" t="str">
        <f t="shared" si="12"/>
        <v>11B</v>
      </c>
      <c r="AN28" s="2305" t="str">
        <f>Sc.Table!G33</f>
        <v>Pull plug - Covered Lagoon  - DHL (B)</v>
      </c>
      <c r="AO28" s="2307">
        <f>'LCIA Summary output'!T69</f>
        <v>-6.143196153772925E-3</v>
      </c>
      <c r="AP28" s="2307">
        <f>'LCIA Summary output'!U69</f>
        <v>0</v>
      </c>
      <c r="AQ28" s="2307">
        <f>'LCIA Summary output'!V69</f>
        <v>-90.204803391010486</v>
      </c>
      <c r="AR28" s="2307">
        <f>'LCIA Summary output'!W69</f>
        <v>-1.8559574584780645</v>
      </c>
      <c r="AS28" s="2307">
        <f>'LCIA Summary output'!X69</f>
        <v>0</v>
      </c>
      <c r="AT28" s="2307">
        <f>'LCIA Summary output'!Y69</f>
        <v>0</v>
      </c>
      <c r="AV28" s="9" t="str">
        <f t="shared" si="13"/>
        <v>11B</v>
      </c>
      <c r="AW28" s="2305" t="str">
        <f>Sc.Table!G33</f>
        <v>Pull plug - Covered Lagoon  - DHL (B)</v>
      </c>
      <c r="AX28" s="2307">
        <f>'LCIA Summary output'!T70</f>
        <v>0.66542776015488114</v>
      </c>
      <c r="AY28" s="2307">
        <f>'LCIA Summary output'!U70</f>
        <v>7.1463234135458201E-2</v>
      </c>
      <c r="AZ28" s="2307">
        <f>'LCIA Summary output'!V70</f>
        <v>-90.204803391010486</v>
      </c>
      <c r="BA28" s="2307">
        <f>'LCIA Summary output'!W70</f>
        <v>122.60090101814191</v>
      </c>
      <c r="BB28" s="2307">
        <f>'LCIA Summary output'!X70</f>
        <v>23.521937353779773</v>
      </c>
      <c r="BC28" s="2307">
        <f>'LCIA Summary output'!Y70</f>
        <v>10.097568776505975</v>
      </c>
      <c r="BE28" s="100" t="str">
        <f t="shared" si="1"/>
        <v>Shallow pit, pull plug, covered digestion basin, lagoon, irrigation + drag hose</v>
      </c>
      <c r="BF28" s="645" cm="1">
        <f t="array" ref="BF28">INDEX(EconResultsSummary!$C$42:$AE$42,$AC28)</f>
        <v>96.447922069301072</v>
      </c>
      <c r="BG28" s="645" cm="1">
        <f t="array" ref="BG28">INDEX(EconResultsSummary!$C$41:$AE$41,$AC28)</f>
        <v>27.825900959019744</v>
      </c>
      <c r="BH28" s="1196" cm="1">
        <f t="array" ref="BH28">INDEX(EconResultsSummary!$C$43:$AE$43,$AC28)</f>
        <v>34.688103070047873</v>
      </c>
      <c r="BI28" s="78"/>
      <c r="BJ28" s="78"/>
      <c r="BK28" s="78"/>
      <c r="BL28" cm="1">
        <f t="array" aca="1" ref="BL28" ca="1">INDEX(EconResultsSummary!$C$78:$AE$78,$AC28)</f>
        <v>22.762136102811446</v>
      </c>
      <c r="BM28" cm="1">
        <f t="array" aca="1" ref="BM28" ca="1">INDEX(EconResultsSummary!$C$76:$AE$76,$AC28)</f>
        <v>8.2974718280280175</v>
      </c>
      <c r="BN28" cm="1">
        <f t="array" aca="1" ref="BN28" ca="1">INDEX(EconResultsSummary!$C$79:$AE$79,$AC28)</f>
        <v>9.7439382555063609</v>
      </c>
      <c r="BO28" cm="1">
        <f t="array" ref="BO28">INDEX(EconIntermediate!$C$18:$AE$18,$AC28)</f>
        <v>0</v>
      </c>
      <c r="BP28" cm="1">
        <f t="array" ref="BP28">INDEX(EconIntermediate!$C$19:$AE$19,$AC28)</f>
        <v>0</v>
      </c>
      <c r="BQ28" cm="1">
        <f t="array" ref="BQ28">INDEX(EconIntermediate!$C$16:$AE$16,$AC28)</f>
        <v>0</v>
      </c>
      <c r="BR28" cm="1">
        <f t="array" ref="BR28">INDEX(EconIntermediate!$C$17:$AE$17,$AC28)</f>
        <v>0</v>
      </c>
      <c r="BS28" cm="1">
        <f t="array" ref="BS28">INDEX(EconIntermediate!$C$20:$AE$20,$AC28)</f>
        <v>0</v>
      </c>
      <c r="BT28" cm="1">
        <f t="array" ref="BT28">INDEX(EconIntermediate!$C$21:$AE$21,$AC28)</f>
        <v>0</v>
      </c>
      <c r="BU28" cm="1">
        <f t="array" ref="BU28">INDEX(EconResultsSummary!$C$46:$AE$46,$AC28)</f>
        <v>3.5520779306989283</v>
      </c>
      <c r="BV28" cm="1">
        <f t="array" ref="BV28">INDEX(EconResultsSummary!$C$45:$AE$45,$AC28)</f>
        <v>72.174099040980252</v>
      </c>
      <c r="BW28" cm="1">
        <f t="array" ref="BW28">INDEX(EconResultsSummary!$C$44:$AE$44,$AC28)</f>
        <v>65.311896929952127</v>
      </c>
      <c r="BX28" cm="1">
        <f t="array" ref="BX28">INDEX(EconResultsSummary!$C$49:$AE$49,$AC28)</f>
        <v>0</v>
      </c>
      <c r="BY28" cm="1">
        <f t="array" ref="BY28">INDEX(EconResultsSummary!$C$48:$AE$48,$AC28)</f>
        <v>0</v>
      </c>
      <c r="BZ28" cm="1">
        <f t="array" ref="BZ28">INDEX(EconResultsSummary!$C$47:$AE$47,$AC28)</f>
        <v>0</v>
      </c>
      <c r="CA28" s="147">
        <f>'Sc11'!C6*UDV.animal.total</f>
        <v>1272.9143390320203</v>
      </c>
      <c r="CB28" s="147">
        <f>'Sc11'!C5*UC.m3_to_gal*UDV.animal.total</f>
        <v>62151.373783952229</v>
      </c>
      <c r="CC28" s="147">
        <f>'Sc11'!C57*UDV.animal.total</f>
        <v>72.084565789922976</v>
      </c>
      <c r="CE28" s="302">
        <f>'Sc11'!C10</f>
        <v>5.1112866240170316</v>
      </c>
      <c r="CF28" s="302">
        <f>'Sc11'!C14</f>
        <v>1.2778216560042575</v>
      </c>
      <c r="CG28" s="302">
        <f>'Sc11'!C11</f>
        <v>3.6537102250000002</v>
      </c>
      <c r="CH28" s="302">
        <f>'Sc11'!C15</f>
        <v>2.9893992749999998</v>
      </c>
      <c r="CI28" s="205">
        <f>SUM('Sc11'!C43:C46)*UC.m2_to_acre</f>
        <v>1.04356917938544</v>
      </c>
      <c r="CJ28" s="78">
        <f>PT.anaer_lagoon!AM77</f>
        <v>9.0235060540622829</v>
      </c>
      <c r="CK28" s="1152">
        <f>PT.anaer_lagoon!AM78</f>
        <v>6.4502890877142303</v>
      </c>
      <c r="CL28" s="1152">
        <f>PT.anaer_lagoon!AM79</f>
        <v>9.801136481575174</v>
      </c>
      <c r="CM28" s="78">
        <f>PT.anaer_lagoon!AN77</f>
        <v>22.909117399139305</v>
      </c>
      <c r="CN28" s="78">
        <f>PT.anaer_lagoon!AN78</f>
        <v>53.594723975822752</v>
      </c>
      <c r="CO28" s="78">
        <f>PT.anaer_lagoon!AN79</f>
        <v>53.594985728401809</v>
      </c>
      <c r="CP28">
        <v>0</v>
      </c>
      <c r="CQ28">
        <v>0</v>
      </c>
      <c r="CR28">
        <v>0</v>
      </c>
      <c r="CS28">
        <v>0</v>
      </c>
      <c r="CT28">
        <v>0</v>
      </c>
      <c r="CU28">
        <v>0</v>
      </c>
      <c r="CV28" s="626" t="str">
        <f t="shared" si="14"/>
        <v>Shallow pit, pull plug, covered digestion basin, lagoon, irrigation + drag hose</v>
      </c>
    </row>
    <row r="29" spans="1:121" ht="17.25" customHeight="1" x14ac:dyDescent="0.3">
      <c r="A29" s="126" t="s">
        <v>4959</v>
      </c>
      <c r="B29" s="126" t="s">
        <v>4959</v>
      </c>
      <c r="C29" s="100" t="str">
        <f>Sc.Table!I34</f>
        <v>Shallow pit, scrape auto, above ground storage tank, tanker</v>
      </c>
      <c r="D29" s="18" t="s">
        <v>4912</v>
      </c>
      <c r="E29" s="9" t="s">
        <v>4913</v>
      </c>
      <c r="F29" s="18" t="s">
        <v>4960</v>
      </c>
      <c r="G29" s="648"/>
      <c r="H29" s="2299">
        <f>SUMIFS('Sc12'!$D:$D,'Sc12'!$A:$A,$D$29,'Sc12'!$B:$B,Output.Rankings!H$4)</f>
        <v>97.765169538002837</v>
      </c>
      <c r="I29" s="2299">
        <f>SUMIFS('Sc12'!$D:$D,'Sc12'!$A:$A,$D$29,'Sc12'!$B:$B,Output.Rankings!I$4)</f>
        <v>61.870572698517826</v>
      </c>
      <c r="J29" s="2299">
        <f>SUMIFS('Sc12'!$D:$D,'Sc12'!$A:$A,$D$29,'Sc12'!$B:$B,Output.Rankings!J$4)</f>
        <v>0</v>
      </c>
      <c r="K29" s="2299">
        <f>SUMIFS('Sc12'!$D:$D,'Sc12'!$A:$A,$D$29,'Sc12'!$B:$B,Output.Rankings!K$4)</f>
        <v>24.631040910078642</v>
      </c>
      <c r="L29" s="2299">
        <f>SUMIFS('Sc12'!$D:$D,'Sc12'!$A:$A,$D$29,'Sc12'!$B:$B,Output.Rankings!L$4)</f>
        <v>0</v>
      </c>
      <c r="M29" s="2299">
        <f t="shared" si="2"/>
        <v>-135.00470132644202</v>
      </c>
      <c r="N29" s="2301">
        <f t="shared" si="3"/>
        <v>0.4664414768785583</v>
      </c>
      <c r="O29" s="2301">
        <f t="shared" si="4"/>
        <v>0.14242017044617569</v>
      </c>
      <c r="P29" s="2301">
        <f t="shared" si="5"/>
        <v>0</v>
      </c>
      <c r="Q29" s="2301">
        <f t="shared" si="6"/>
        <v>1090.6718347104595</v>
      </c>
      <c r="R29" s="2301">
        <f t="shared" si="7"/>
        <v>17.906077950763731</v>
      </c>
      <c r="S29" s="2301">
        <f t="shared" si="8"/>
        <v>6.0825871396905526</v>
      </c>
      <c r="T29" s="2302">
        <v>2.6666666666666665</v>
      </c>
      <c r="U29" s="2302">
        <v>3.4680565373749639E-2</v>
      </c>
      <c r="V29" s="2302">
        <v>2.5</v>
      </c>
      <c r="W29" s="2303">
        <f t="shared" ca="1" si="9"/>
        <v>64.533232318953097</v>
      </c>
      <c r="X29" s="2303">
        <f t="shared" si="10"/>
        <v>0</v>
      </c>
      <c r="Y29" s="2304">
        <f t="shared" si="11"/>
        <v>0</v>
      </c>
      <c r="Z29" s="1197" cm="1">
        <f t="array" ref="Z29">INDEX(EconIntermediate!$C$23:$AE$23,$AC29)</f>
        <v>0</v>
      </c>
      <c r="AA29" s="1197" cm="1">
        <f t="array" ref="AA29">INDEX(EconIntermediate!$C$22:$AE$22,$AC29)</f>
        <v>0</v>
      </c>
      <c r="AB29" s="1082" cm="1">
        <f t="array" ref="AB29">INDEX(EconIntermediate!$C$24:$AE$24,$AC29)</f>
        <v>0</v>
      </c>
      <c r="AC29" s="147">
        <f>MATCH(C29,EconIntermediate!$C$3:$AE$3,0)</f>
        <v>12</v>
      </c>
      <c r="AD29" s="9" t="str">
        <f>_xlfn.CONCAT(Sc.Table!C34,Sc.Table!D34)</f>
        <v>12A</v>
      </c>
      <c r="AE29" s="2305" t="str">
        <f>Sc.Table!G34</f>
        <v>Outside SS covered storage - TL (A)</v>
      </c>
      <c r="AF29" s="2307">
        <f>'LCIA Summary output'!T71</f>
        <v>0.4664414768785583</v>
      </c>
      <c r="AG29" s="2307">
        <f>'LCIA Summary output'!U71</f>
        <v>0.14242017044617569</v>
      </c>
      <c r="AH29" s="2307">
        <f>'LCIA Summary output'!V71</f>
        <v>0</v>
      </c>
      <c r="AI29" s="2307">
        <f>'LCIA Summary output'!W71</f>
        <v>1090.6718347104595</v>
      </c>
      <c r="AJ29" s="2307">
        <f>'LCIA Summary output'!X71</f>
        <v>17.906077950763731</v>
      </c>
      <c r="AK29" s="2307">
        <f>'LCIA Summary output'!Y71</f>
        <v>6.0825871396905526</v>
      </c>
      <c r="AM29" s="9" t="str">
        <f t="shared" si="12"/>
        <v>12A</v>
      </c>
      <c r="AN29" s="2305" t="str">
        <f>Sc.Table!G34</f>
        <v>Outside SS covered storage - TL (A)</v>
      </c>
      <c r="AO29" s="2307">
        <f>'LCIA Summary output'!T72</f>
        <v>2.7842313146007238E-3</v>
      </c>
      <c r="AP29" s="2307">
        <f>'LCIA Summary output'!U72</f>
        <v>0</v>
      </c>
      <c r="AQ29" s="2307">
        <f>'LCIA Summary output'!V72</f>
        <v>-54.531532236052428</v>
      </c>
      <c r="AR29" s="2307">
        <f>'LCIA Summary output'!W72</f>
        <v>30.334787939523551</v>
      </c>
      <c r="AS29" s="2307">
        <f>'LCIA Summary output'!X72</f>
        <v>0</v>
      </c>
      <c r="AT29" s="2307">
        <f>'LCIA Summary output'!Y72</f>
        <v>0</v>
      </c>
      <c r="AV29" s="9" t="str">
        <f t="shared" si="13"/>
        <v>12A</v>
      </c>
      <c r="AW29" s="2305" t="str">
        <f>Sc.Table!G34</f>
        <v>Outside SS covered storage - TL (A)</v>
      </c>
      <c r="AX29" s="2307">
        <f>'LCIA Summary output'!T73</f>
        <v>0.46922570819315906</v>
      </c>
      <c r="AY29" s="2307">
        <f>'LCIA Summary output'!U73</f>
        <v>0.14242017044617569</v>
      </c>
      <c r="AZ29" s="2307">
        <f>'LCIA Summary output'!V73</f>
        <v>-54.531532236052428</v>
      </c>
      <c r="BA29" s="2307">
        <f>'LCIA Summary output'!W73</f>
        <v>1121.0066226499832</v>
      </c>
      <c r="BB29" s="2307">
        <f>'LCIA Summary output'!X73</f>
        <v>17.906077950763731</v>
      </c>
      <c r="BC29" s="2307">
        <f>'LCIA Summary output'!Y73</f>
        <v>6.0825871396905526</v>
      </c>
      <c r="BE29" s="100" t="str">
        <f t="shared" si="1"/>
        <v>Shallow pit, scrape auto, above ground storage tank, tanker</v>
      </c>
      <c r="BF29" s="645" cm="1">
        <f t="array" ref="BF29">INDEX(EconResultsSummary!$C$42:$AE$42,$AC29)</f>
        <v>71.187979508897797</v>
      </c>
      <c r="BG29" s="645" cm="1">
        <f t="array" ref="BG29">INDEX(EconResultsSummary!$C$41:$AE$41,$AC29)</f>
        <v>71.187979508897797</v>
      </c>
      <c r="BH29" s="1196" cm="1">
        <f t="array" ref="BH29">INDEX(EconResultsSummary!$C$43:$AE$43,$AC29)</f>
        <v>71.187979508897797</v>
      </c>
      <c r="BI29" s="78"/>
      <c r="BJ29" s="78"/>
      <c r="BK29" s="78"/>
      <c r="BL29" cm="1">
        <f t="array" aca="1" ref="BL29" ca="1">INDEX(EconResultsSummary!$C$78:$AE$78,$AC29)</f>
        <v>64.533232318953097</v>
      </c>
      <c r="BM29" cm="1">
        <f t="array" aca="1" ref="BM29" ca="1">INDEX(EconResultsSummary!$C$76:$AE$76,$AC29)</f>
        <v>64.533232318953097</v>
      </c>
      <c r="BN29" cm="1">
        <f t="array" aca="1" ref="BN29" ca="1">INDEX(EconResultsSummary!$C$79:$AE$79,$AC29)</f>
        <v>64.533232318953097</v>
      </c>
      <c r="BO29" cm="1">
        <f t="array" ref="BO29">INDEX(EconIntermediate!$C$18:$AE$18,$AC29)</f>
        <v>0</v>
      </c>
      <c r="BP29" cm="1">
        <f t="array" ref="BP29">INDEX(EconIntermediate!$C$19:$AE$19,$AC29)</f>
        <v>0</v>
      </c>
      <c r="BQ29" cm="1">
        <f t="array" ref="BQ29">INDEX(EconIntermediate!$C$16:$AE$16,$AC29)</f>
        <v>0</v>
      </c>
      <c r="BR29" cm="1">
        <f t="array" ref="BR29">INDEX(EconIntermediate!$C$17:$AE$17,$AC29)</f>
        <v>0</v>
      </c>
      <c r="BS29" cm="1">
        <f t="array" ref="BS29">INDEX(EconIntermediate!$C$20:$AE$20,$AC29)</f>
        <v>0</v>
      </c>
      <c r="BT29" cm="1">
        <f t="array" ref="BT29">INDEX(EconIntermediate!$C$21:$AE$21,$AC29)</f>
        <v>0</v>
      </c>
      <c r="BU29" cm="1">
        <f t="array" ref="BU29">INDEX(EconResultsSummary!$C$46:$AE$46,$AC29)</f>
        <v>28.812020491102203</v>
      </c>
      <c r="BV29" cm="1">
        <f t="array" ref="BV29">INDEX(EconResultsSummary!$C$45:$AE$45,$AC29)</f>
        <v>28.812020491102203</v>
      </c>
      <c r="BW29" cm="1">
        <f t="array" ref="BW29">INDEX(EconResultsSummary!$C$44:$AE$44,$AC29)</f>
        <v>28.812020491102203</v>
      </c>
      <c r="BX29" cm="1">
        <f t="array" ref="BX29">INDEX(EconResultsSummary!$C$49:$AE$49,$AC29)</f>
        <v>0</v>
      </c>
      <c r="BY29" cm="1">
        <f t="array" ref="BY29">INDEX(EconResultsSummary!$C$48:$AE$48,$AC29)</f>
        <v>0</v>
      </c>
      <c r="BZ29" cm="1">
        <f t="array" ref="BZ29">INDEX(EconResultsSummary!$C$47:$AE$47,$AC29)</f>
        <v>0</v>
      </c>
      <c r="CA29" s="147">
        <f>'Sc12'!C6*UDV.animal.total</f>
        <v>4818.2708038562396</v>
      </c>
      <c r="CB29" s="147">
        <f>'Sc12'!C5*UC.m3_to_gal*UDV.animal.total</f>
        <v>544660.64549952396</v>
      </c>
      <c r="CC29" s="147">
        <f>'Sc12'!C56*UDV.animal.total</f>
        <v>1086.054532856823</v>
      </c>
      <c r="CE29" s="302">
        <f>'Sc12'!C10</f>
        <v>13.256027786979301</v>
      </c>
      <c r="CF29" s="302">
        <f>'Sc12'!C14</f>
        <v>0</v>
      </c>
      <c r="CG29" s="302">
        <f>'Sc12'!C11</f>
        <v>6.6431094999999987</v>
      </c>
      <c r="CH29" s="302">
        <f>'Sc12'!C15</f>
        <v>0</v>
      </c>
      <c r="CI29" s="205">
        <f>SUM('Sc12'!C43:C45)*UC.m2_to_acre</f>
        <v>2.2215686650932927E-2</v>
      </c>
      <c r="CJ29" s="78">
        <f>PT.storage_tank!G84</f>
        <v>17.856454957333554</v>
      </c>
      <c r="CK29" s="78">
        <f>PT.storage_tank!G85</f>
        <v>8.9485619274200037</v>
      </c>
      <c r="CL29" s="78">
        <f>PT.storage_tank!G86</f>
        <v>11.505350097668266</v>
      </c>
      <c r="CM29">
        <v>0</v>
      </c>
      <c r="CN29">
        <v>0</v>
      </c>
      <c r="CO29">
        <v>0</v>
      </c>
      <c r="CP29">
        <v>0</v>
      </c>
      <c r="CQ29">
        <v>0</v>
      </c>
      <c r="CR29">
        <v>0</v>
      </c>
      <c r="CS29">
        <v>0</v>
      </c>
      <c r="CT29">
        <v>0</v>
      </c>
      <c r="CU29">
        <v>0</v>
      </c>
      <c r="CV29" s="626" t="str">
        <f t="shared" si="14"/>
        <v>Shallow pit, scrape auto, above ground storage tank, tanker</v>
      </c>
    </row>
    <row r="30" spans="1:121" ht="20.25" customHeight="1" x14ac:dyDescent="0.3">
      <c r="A30" s="126" t="s">
        <v>4961</v>
      </c>
      <c r="B30" s="126" t="s">
        <v>4961</v>
      </c>
      <c r="C30" s="100" t="str">
        <f>Sc.Table!I35</f>
        <v>Shallow pit, scrape auto, above ground storage tank, drag hose</v>
      </c>
      <c r="D30" s="18" t="s">
        <v>4917</v>
      </c>
      <c r="E30" s="9" t="s">
        <v>2586</v>
      </c>
      <c r="F30" s="18" t="s">
        <v>4960</v>
      </c>
      <c r="G30" s="648"/>
      <c r="H30" s="2299">
        <f>SUMIFS('Sc12'!$D:$D,'Sc12'!$A:$A,$D$30,'Sc12'!$B:$B,Output.Rankings!H$4)</f>
        <v>200.41029489221683</v>
      </c>
      <c r="I30" s="2299">
        <f>SUMIFS('Sc12'!$D:$D,'Sc12'!$A:$A,$D$30,'Sc12'!$B:$B,Output.Rankings!I$4)</f>
        <v>84.225619857808539</v>
      </c>
      <c r="J30" s="2299">
        <f>SUMIFS('Sc12'!$D:$D,'Sc12'!$A:$A,$D$30,'Sc12'!$B:$B,Output.Rankings!J$4)</f>
        <v>0</v>
      </c>
      <c r="K30" s="2299">
        <f>SUMIFS('Sc12'!$D:$D,'Sc12'!$A:$A,$D$30,'Sc12'!$B:$B,Output.Rankings!K$4)</f>
        <v>24.631040910078642</v>
      </c>
      <c r="L30" s="2299">
        <f>SUMIFS('Sc12'!$D:$D,'Sc12'!$A:$A,$D$30,'Sc12'!$B:$B,Output.Rankings!L$4)</f>
        <v>0</v>
      </c>
      <c r="M30" s="2299">
        <f t="shared" si="2"/>
        <v>-260.00487383994675</v>
      </c>
      <c r="N30" s="2301">
        <f t="shared" si="3"/>
        <v>0.45377004850133928</v>
      </c>
      <c r="O30" s="2301">
        <f t="shared" si="4"/>
        <v>0.14242017044617569</v>
      </c>
      <c r="P30" s="2301">
        <f t="shared" si="5"/>
        <v>0</v>
      </c>
      <c r="Q30" s="2301">
        <f t="shared" si="6"/>
        <v>1090.6718347104595</v>
      </c>
      <c r="R30" s="2301">
        <f t="shared" si="7"/>
        <v>17.906077950763731</v>
      </c>
      <c r="S30" s="2301">
        <f t="shared" si="8"/>
        <v>6.0825871396905526</v>
      </c>
      <c r="T30" s="2302">
        <v>2.8333333333333335</v>
      </c>
      <c r="U30" s="2302">
        <v>3.3352753221581488E-2</v>
      </c>
      <c r="V30" s="2302">
        <v>2.5</v>
      </c>
      <c r="W30" s="2303">
        <f t="shared" ca="1" si="9"/>
        <v>15.005536230731796</v>
      </c>
      <c r="X30" s="2303">
        <f t="shared" si="10"/>
        <v>0</v>
      </c>
      <c r="Y30" s="2304">
        <f t="shared" si="11"/>
        <v>0</v>
      </c>
      <c r="Z30" s="1197" cm="1">
        <f t="array" ref="Z30">INDEX(EconIntermediate!$C$23:$AE$23,$AC30)</f>
        <v>0</v>
      </c>
      <c r="AA30" s="1197" cm="1">
        <f t="array" ref="AA30">INDEX(EconIntermediate!$C$22:$AE$22,$AC30)</f>
        <v>0</v>
      </c>
      <c r="AB30" s="1082" cm="1">
        <f t="array" ref="AB30">INDEX(EconIntermediate!$C$24:$AE$24,$AC30)</f>
        <v>0</v>
      </c>
      <c r="AC30" s="147">
        <f>MATCH(C30,EconIntermediate!$C$3:$AE$3,0)</f>
        <v>27</v>
      </c>
      <c r="AD30" s="9" t="str">
        <f>_xlfn.CONCAT(Sc.Table!C35,Sc.Table!D35)</f>
        <v>12B</v>
      </c>
      <c r="AE30" s="2305" t="str">
        <f>Sc.Table!G35</f>
        <v>Outside SS covered storage - DHL (B)</v>
      </c>
      <c r="AF30" s="2307">
        <f>'LCIA Summary output'!T74</f>
        <v>0.45377004850133928</v>
      </c>
      <c r="AG30" s="2307">
        <f>'LCIA Summary output'!U74</f>
        <v>0.14242017044617569</v>
      </c>
      <c r="AH30" s="2307">
        <f>'LCIA Summary output'!V74</f>
        <v>0</v>
      </c>
      <c r="AI30" s="2307">
        <f>'LCIA Summary output'!W74</f>
        <v>1090.6718347104595</v>
      </c>
      <c r="AJ30" s="2307">
        <f>'LCIA Summary output'!X74</f>
        <v>17.906077950763731</v>
      </c>
      <c r="AK30" s="2307">
        <f>'LCIA Summary output'!Y74</f>
        <v>6.0825871396905526</v>
      </c>
      <c r="AM30" s="9" t="str">
        <f t="shared" si="12"/>
        <v>12B</v>
      </c>
      <c r="AN30" s="2305" t="str">
        <f>Sc.Table!G35</f>
        <v>Outside SS covered storage - DHL (B)</v>
      </c>
      <c r="AO30" s="2307">
        <f>'LCIA Summary output'!T75</f>
        <v>-5.3343204835069212E-3</v>
      </c>
      <c r="AP30" s="2307">
        <f>'LCIA Summary output'!U75</f>
        <v>0</v>
      </c>
      <c r="AQ30" s="2307">
        <f>'LCIA Summary output'!V75</f>
        <v>-488.64793720132843</v>
      </c>
      <c r="AR30" s="2307">
        <f>'LCIA Summary output'!W75</f>
        <v>8.8878472834266216</v>
      </c>
      <c r="AS30" s="2307">
        <f>'LCIA Summary output'!X75</f>
        <v>0</v>
      </c>
      <c r="AT30" s="2307">
        <f>'LCIA Summary output'!Y75</f>
        <v>0</v>
      </c>
      <c r="AV30" s="9" t="str">
        <f t="shared" si="13"/>
        <v>12B</v>
      </c>
      <c r="AW30" s="2305" t="str">
        <f>Sc.Table!G35</f>
        <v>Outside SS covered storage - DHL (B)</v>
      </c>
      <c r="AX30" s="2307">
        <f>'LCIA Summary output'!T76</f>
        <v>0.44843572801783232</v>
      </c>
      <c r="AY30" s="2307">
        <f>'LCIA Summary output'!U76</f>
        <v>0.14242017044617569</v>
      </c>
      <c r="AZ30" s="2307">
        <f>'LCIA Summary output'!V76</f>
        <v>-488.64793720132843</v>
      </c>
      <c r="BA30" s="2307">
        <f>'LCIA Summary output'!W76</f>
        <v>1099.5596819938862</v>
      </c>
      <c r="BB30" s="2307">
        <f>'LCIA Summary output'!X76</f>
        <v>17.906077950763731</v>
      </c>
      <c r="BC30" s="2307">
        <f>'LCIA Summary output'!Y76</f>
        <v>6.0825871396905526</v>
      </c>
      <c r="BE30" s="100" t="str">
        <f t="shared" si="1"/>
        <v>Shallow pit, scrape auto, above ground storage tank, drag hose</v>
      </c>
      <c r="BF30" s="645" cm="1">
        <f t="array" ref="BF30">INDEX(EconResultsSummary!$C$42:$AE$42,$AC30)</f>
        <v>71.187979508897797</v>
      </c>
      <c r="BG30" s="645" cm="1">
        <f t="array" ref="BG30">INDEX(EconResultsSummary!$C$41:$AE$41,$AC30)</f>
        <v>71.187979508897797</v>
      </c>
      <c r="BH30" s="1196" cm="1">
        <f t="array" ref="BH30">INDEX(EconResultsSummary!$C$43:$AE$43,$AC30)</f>
        <v>71.187979508897797</v>
      </c>
      <c r="BI30" s="78"/>
      <c r="BJ30" s="78"/>
      <c r="BK30" s="78"/>
      <c r="BL30" cm="1">
        <f t="array" aca="1" ref="BL30" ca="1">INDEX(EconResultsSummary!$C$78:$AE$78,$AC30)</f>
        <v>15.005536230731796</v>
      </c>
      <c r="BM30" cm="1">
        <f t="array" aca="1" ref="BM30" ca="1">INDEX(EconResultsSummary!$C$76:$AE$76,$AC30)</f>
        <v>15.005536230731796</v>
      </c>
      <c r="BN30" cm="1">
        <f t="array" aca="1" ref="BN30" ca="1">INDEX(EconResultsSummary!$C$79:$AE$79,$AC30)</f>
        <v>15.005536230731796</v>
      </c>
      <c r="BO30" cm="1">
        <f t="array" ref="BO30">INDEX(EconIntermediate!$C$18:$AE$18,$AC30)</f>
        <v>0</v>
      </c>
      <c r="BP30" cm="1">
        <f t="array" ref="BP30">INDEX(EconIntermediate!$C$19:$AE$19,$AC30)</f>
        <v>0</v>
      </c>
      <c r="BQ30" cm="1">
        <f t="array" ref="BQ30">INDEX(EconIntermediate!$C$16:$AE$16,$AC30)</f>
        <v>0</v>
      </c>
      <c r="BR30" cm="1">
        <f t="array" ref="BR30">INDEX(EconIntermediate!$C$17:$AE$17,$AC30)</f>
        <v>0</v>
      </c>
      <c r="BS30" cm="1">
        <f t="array" ref="BS30">INDEX(EconIntermediate!$C$20:$AE$20,$AC30)</f>
        <v>0</v>
      </c>
      <c r="BT30" cm="1">
        <f t="array" ref="BT30">INDEX(EconIntermediate!$C$21:$AE$21,$AC30)</f>
        <v>0</v>
      </c>
      <c r="BU30" cm="1">
        <f t="array" ref="BU30">INDEX(EconResultsSummary!$C$46:$AE$46,$AC30)</f>
        <v>28.812020491102203</v>
      </c>
      <c r="BV30" cm="1">
        <f t="array" ref="BV30">INDEX(EconResultsSummary!$C$45:$AE$45,$AC30)</f>
        <v>28.812020491102203</v>
      </c>
      <c r="BW30" cm="1">
        <f t="array" ref="BW30">INDEX(EconResultsSummary!$C$44:$AE$44,$AC30)</f>
        <v>28.812020491102203</v>
      </c>
      <c r="BX30" cm="1">
        <f t="array" ref="BX30">INDEX(EconResultsSummary!$C$49:$AE$49,$AC30)</f>
        <v>0</v>
      </c>
      <c r="BY30" cm="1">
        <f t="array" ref="BY30">INDEX(EconResultsSummary!$C$48:$AE$48,$AC30)</f>
        <v>0</v>
      </c>
      <c r="BZ30" cm="1">
        <f t="array" ref="BZ30">INDEX(EconResultsSummary!$C$47:$AE$47,$AC30)</f>
        <v>0</v>
      </c>
      <c r="CA30" s="147">
        <f>'Sc12'!C6*UDV.animal.total</f>
        <v>4818.2708038562396</v>
      </c>
      <c r="CB30" s="147">
        <f>'Sc12'!C5*UC.m3_to_gal*UDV.animal.total</f>
        <v>544660.64549952396</v>
      </c>
      <c r="CC30" s="147">
        <f>'Sc12'!C57*UDV.animal.total</f>
        <v>463.6857520503861</v>
      </c>
      <c r="CE30" s="302">
        <f>'Sc12'!C10</f>
        <v>13.256027786979301</v>
      </c>
      <c r="CF30" s="302">
        <f>'Sc12'!C14</f>
        <v>0</v>
      </c>
      <c r="CG30" s="302">
        <f>'Sc12'!C11</f>
        <v>6.6431094999999987</v>
      </c>
      <c r="CH30" s="302">
        <f>'Sc12'!C15</f>
        <v>0</v>
      </c>
      <c r="CI30" s="205">
        <f>SUM('Sc12'!C43:C45)*UC.m2_to_acre</f>
        <v>2.2215686650932927E-2</v>
      </c>
      <c r="CJ30" s="78">
        <f>PT.storage_tank!G84</f>
        <v>17.856454957333554</v>
      </c>
      <c r="CK30" s="78">
        <f>PT.storage_tank!G85</f>
        <v>8.9485619274200037</v>
      </c>
      <c r="CL30" s="78">
        <f>PT.storage_tank!G86</f>
        <v>11.505350097668266</v>
      </c>
      <c r="CM30">
        <v>0</v>
      </c>
      <c r="CN30">
        <v>0</v>
      </c>
      <c r="CO30">
        <v>0</v>
      </c>
      <c r="CP30">
        <v>0</v>
      </c>
      <c r="CQ30">
        <v>0</v>
      </c>
      <c r="CR30">
        <v>0</v>
      </c>
      <c r="CS30">
        <v>0</v>
      </c>
      <c r="CT30">
        <v>0</v>
      </c>
      <c r="CU30">
        <v>0</v>
      </c>
      <c r="CV30" s="626" t="str">
        <f t="shared" si="14"/>
        <v>Shallow pit, scrape auto, above ground storage tank, drag hose</v>
      </c>
    </row>
    <row r="31" spans="1:121" ht="20.25" customHeight="1" x14ac:dyDescent="0.3">
      <c r="A31" s="126" t="s">
        <v>4962</v>
      </c>
      <c r="B31" s="126" t="s">
        <v>4962</v>
      </c>
      <c r="C31" s="100" t="str">
        <f>Sc.Table!I36</f>
        <v>Shallow pit, scrape auto, compost, tanker</v>
      </c>
      <c r="D31" s="18" t="s">
        <v>4912</v>
      </c>
      <c r="E31" s="9" t="s">
        <v>4913</v>
      </c>
      <c r="F31" s="18" t="s">
        <v>4963</v>
      </c>
      <c r="G31" s="648"/>
      <c r="H31" s="2299">
        <f>SUMIFS('Sc13'!$D:$D,'Sc13'!$A:$A,$D$31,'Sc13'!$B:$B,Output.Rankings!H$4)</f>
        <v>138.25268039781673</v>
      </c>
      <c r="I31" s="2299">
        <f>SUMIFS('Sc13'!$D:$D,'Sc13'!$A:$A,$D$31,'Sc13'!$B:$B,Output.Rankings!I$4)</f>
        <v>90.302900430103776</v>
      </c>
      <c r="J31" s="2299">
        <f>SUMIFS('Sc13'!$D:$D,'Sc13'!$A:$A,$D$31,'Sc13'!$B:$B,Output.Rankings!J$4)</f>
        <v>0</v>
      </c>
      <c r="K31" s="2299">
        <f>SUMIFS('Sc13'!$D:$D,'Sc13'!$A:$A,$D$31,'Sc13'!$B:$B,Output.Rankings!K$4)</f>
        <v>9.0388752369253247</v>
      </c>
      <c r="L31" s="2299">
        <f>SUMIFS('Sc13'!$D:$D,'Sc13'!$A:$A,$D$31,'Sc13'!$B:$B,Output.Rankings!L$4)</f>
        <v>0</v>
      </c>
      <c r="M31" s="2299">
        <f t="shared" si="2"/>
        <v>-219.51670559099517</v>
      </c>
      <c r="N31" s="2301">
        <f t="shared" si="3"/>
        <v>0.20601696077171924</v>
      </c>
      <c r="O31" s="2301">
        <f t="shared" si="4"/>
        <v>5.7802218726595654E-2</v>
      </c>
      <c r="P31" s="2301">
        <f t="shared" si="5"/>
        <v>0</v>
      </c>
      <c r="Q31" s="2301">
        <f t="shared" si="6"/>
        <v>0</v>
      </c>
      <c r="R31" s="2301">
        <f t="shared" si="7"/>
        <v>26.944599054478342</v>
      </c>
      <c r="S31" s="2301">
        <f t="shared" si="8"/>
        <v>12.023927466590823</v>
      </c>
      <c r="T31" s="2302">
        <v>2.3333333333333335</v>
      </c>
      <c r="U31" s="2302">
        <v>5.3061274957135418E-2</v>
      </c>
      <c r="V31" s="2302">
        <v>2.5</v>
      </c>
      <c r="W31" s="2303">
        <f t="shared" ca="1" si="9"/>
        <v>77.840382002042702</v>
      </c>
      <c r="X31" s="2303">
        <f t="shared" si="10"/>
        <v>0</v>
      </c>
      <c r="Y31" s="2304">
        <f t="shared" si="11"/>
        <v>0</v>
      </c>
      <c r="Z31" s="1197" cm="1">
        <f t="array" ref="Z31">INDEX(EconIntermediate!$C$23:$AE$23,$AC31)</f>
        <v>0</v>
      </c>
      <c r="AA31" s="1197" cm="1">
        <f t="array" ref="AA31">INDEX(EconIntermediate!$C$22:$AE$22,$AC31)</f>
        <v>0</v>
      </c>
      <c r="AB31" s="1082" cm="1">
        <f t="array" ref="AB31">INDEX(EconIntermediate!$C$24:$AE$24,$AC31)</f>
        <v>0</v>
      </c>
      <c r="AC31" s="147">
        <f>MATCH(C31,EconIntermediate!$C$3:$AE$3,0)</f>
        <v>13</v>
      </c>
      <c r="AD31" s="9" t="str">
        <f>_xlfn.CONCAT(Sc.Table!C36,Sc.Table!D36)</f>
        <v>13A</v>
      </c>
      <c r="AE31" s="2305" t="str">
        <f>Sc.Table!G36</f>
        <v>Scrape -  Compost - TL (A)</v>
      </c>
      <c r="AF31" s="2307">
        <f>'LCIA Summary output'!T77</f>
        <v>0.20601696077171924</v>
      </c>
      <c r="AG31" s="2307">
        <f>'LCIA Summary output'!U77</f>
        <v>5.7802218726595654E-2</v>
      </c>
      <c r="AH31" s="2307">
        <f>'LCIA Summary output'!V77</f>
        <v>0</v>
      </c>
      <c r="AI31" s="2307">
        <f>'LCIA Summary output'!W77</f>
        <v>0</v>
      </c>
      <c r="AJ31" s="2307">
        <f>'LCIA Summary output'!X77</f>
        <v>26.944599054478342</v>
      </c>
      <c r="AK31" s="2307">
        <f>'LCIA Summary output'!Y77</f>
        <v>12.023927466590823</v>
      </c>
      <c r="AM31" s="9" t="str">
        <f t="shared" si="12"/>
        <v>13A</v>
      </c>
      <c r="AN31" s="2305" t="str">
        <f>Sc.Table!G36</f>
        <v>Scrape -  Compost - TL (A)</v>
      </c>
      <c r="AO31" s="2307">
        <f>'LCIA Summary output'!T78</f>
        <v>3.158968434154235E-2</v>
      </c>
      <c r="AP31" s="2307">
        <f>'LCIA Summary output'!U78</f>
        <v>0</v>
      </c>
      <c r="AQ31" s="2307">
        <f>'LCIA Summary output'!V78</f>
        <v>125.43329596187918</v>
      </c>
      <c r="AR31" s="2307">
        <f>'LCIA Summary output'!W78</f>
        <v>65.827835769432468</v>
      </c>
      <c r="AS31" s="2307">
        <f>'LCIA Summary output'!X78</f>
        <v>0</v>
      </c>
      <c r="AT31" s="2307">
        <f>'LCIA Summary output'!Y78</f>
        <v>0</v>
      </c>
      <c r="AV31" s="9" t="str">
        <f t="shared" si="13"/>
        <v>13A</v>
      </c>
      <c r="AW31" s="2305" t="str">
        <f>Sc.Table!G36</f>
        <v>Scrape -  Compost - TL (A)</v>
      </c>
      <c r="AX31" s="2307">
        <f>'LCIA Summary output'!T79</f>
        <v>0.2376066451132616</v>
      </c>
      <c r="AY31" s="2307">
        <f>'LCIA Summary output'!U79</f>
        <v>5.7802218726595654E-2</v>
      </c>
      <c r="AZ31" s="2307">
        <f>'LCIA Summary output'!V79</f>
        <v>125.43329596187918</v>
      </c>
      <c r="BA31" s="2307">
        <f>'LCIA Summary output'!W79</f>
        <v>65.827835769432468</v>
      </c>
      <c r="BB31" s="2307">
        <f>'LCIA Summary output'!X79</f>
        <v>26.944599054478342</v>
      </c>
      <c r="BC31" s="2307">
        <f>'LCIA Summary output'!Y79</f>
        <v>12.023927466590823</v>
      </c>
      <c r="BE31" s="100" t="str">
        <f t="shared" si="1"/>
        <v>Shallow pit, scrape auto, compost, tanker</v>
      </c>
      <c r="BF31" s="645" cm="1">
        <f t="array" ref="BF31">INDEX(EconResultsSummary!$C$42:$AE$42,$AC31)</f>
        <v>26.123916869726369</v>
      </c>
      <c r="BG31" s="645" cm="1">
        <f t="array" ref="BG31">INDEX(EconResultsSummary!$C$41:$AE$41,$AC31)</f>
        <v>26.123916869726369</v>
      </c>
      <c r="BH31" s="1196" cm="1">
        <f t="array" ref="BH31">INDEX(EconResultsSummary!$C$43:$AE$43,$AC31)</f>
        <v>26.123916869726369</v>
      </c>
      <c r="BI31" s="78"/>
      <c r="BJ31" s="78"/>
      <c r="BK31" s="78"/>
      <c r="BL31" cm="1">
        <f t="array" aca="1" ref="BL31" ca="1">INDEX(EconResultsSummary!$C$78:$AE$78,$AC31)</f>
        <v>77.840382002042702</v>
      </c>
      <c r="BM31" cm="1">
        <f t="array" aca="1" ref="BM31" ca="1">INDEX(EconResultsSummary!$C$76:$AE$76,$AC31)</f>
        <v>77.840382002042702</v>
      </c>
      <c r="BN31" cm="1">
        <f t="array" aca="1" ref="BN31" ca="1">INDEX(EconResultsSummary!$C$79:$AE$79,$AC31)</f>
        <v>77.840382002042702</v>
      </c>
      <c r="BO31" cm="1">
        <f t="array" ref="BO31">INDEX(EconIntermediate!$C$18:$AE$18,$AC31)</f>
        <v>0</v>
      </c>
      <c r="BP31" cm="1">
        <f t="array" ref="BP31">INDEX(EconIntermediate!$C$19:$AE$19,$AC31)</f>
        <v>0</v>
      </c>
      <c r="BQ31" cm="1">
        <f t="array" ref="BQ31">INDEX(EconIntermediate!$C$16:$AE$16,$AC31)</f>
        <v>0</v>
      </c>
      <c r="BR31" cm="1">
        <f t="array" ref="BR31">INDEX(EconIntermediate!$C$17:$AE$17,$AC31)</f>
        <v>0</v>
      </c>
      <c r="BS31" cm="1">
        <f t="array" ref="BS31">INDEX(EconIntermediate!$C$20:$AE$20,$AC31)</f>
        <v>0</v>
      </c>
      <c r="BT31" cm="1">
        <f t="array" ref="BT31">INDEX(EconIntermediate!$C$21:$AE$21,$AC31)</f>
        <v>0</v>
      </c>
      <c r="BU31" cm="1">
        <f t="array" ref="BU31">INDEX(EconResultsSummary!$C$46:$AE$46,$AC31)</f>
        <v>73.876083130273628</v>
      </c>
      <c r="BV31" cm="1">
        <f t="array" ref="BV31">INDEX(EconResultsSummary!$C$45:$AE$45,$AC31)</f>
        <v>73.876083130273628</v>
      </c>
      <c r="BW31" cm="1">
        <f t="array" ref="BW31">INDEX(EconResultsSummary!$C$44:$AE$44,$AC31)</f>
        <v>73.876083130273628</v>
      </c>
      <c r="BX31" cm="1">
        <f t="array" ref="BX31">INDEX(EconResultsSummary!$C$49:$AE$49,$AC31)</f>
        <v>0</v>
      </c>
      <c r="BY31" cm="1">
        <f t="array" ref="BY31">INDEX(EconResultsSummary!$C$48:$AE$48,$AC31)</f>
        <v>0</v>
      </c>
      <c r="BZ31" cm="1">
        <f t="array" ref="BZ31">INDEX(EconResultsSummary!$C$47:$AE$47,$AC31)</f>
        <v>0</v>
      </c>
      <c r="CA31" s="147">
        <f>'Sc13'!C6*UDV.animal.total</f>
        <v>28770.150664663106</v>
      </c>
      <c r="CB31" s="147">
        <f>'Sc13'!C5*UC.m3_to_gal*UDV.animal.total</f>
        <v>0</v>
      </c>
      <c r="CC31" s="147">
        <f>'Sc13'!C62*UDV.animal.total</f>
        <v>1323.9759098129712</v>
      </c>
      <c r="CE31" s="302">
        <v>0</v>
      </c>
      <c r="CF31" s="302">
        <f>'Sc13'!C14</f>
        <v>4.8645764809032244</v>
      </c>
      <c r="CG31" s="302">
        <v>0</v>
      </c>
      <c r="CH31" s="302">
        <f>'Sc13'!C15</f>
        <v>7.1130792356163557</v>
      </c>
      <c r="CI31" s="205">
        <f>SUM('Sc13'!C48:C50)*UC.m2_to_acre</f>
        <v>0.16484543968848922</v>
      </c>
      <c r="CJ31">
        <v>0</v>
      </c>
      <c r="CK31">
        <v>0</v>
      </c>
      <c r="CL31">
        <v>0</v>
      </c>
      <c r="CM31">
        <v>0</v>
      </c>
      <c r="CN31">
        <v>0</v>
      </c>
      <c r="CO31">
        <v>0</v>
      </c>
      <c r="CP31">
        <v>0</v>
      </c>
      <c r="CQ31">
        <v>0</v>
      </c>
      <c r="CR31">
        <v>0</v>
      </c>
      <c r="CS31" s="78">
        <f>PT.composting!G114</f>
        <v>25.590728888292215</v>
      </c>
      <c r="CT31" s="78">
        <f>PT.composting!G115</f>
        <v>37.419266198031075</v>
      </c>
      <c r="CU31" s="78">
        <f>PT.composting!G116</f>
        <v>46.415388365919725</v>
      </c>
      <c r="CV31" s="626" t="str">
        <f t="shared" si="14"/>
        <v>Shallow pit, scrape auto, compost, tanker</v>
      </c>
    </row>
    <row r="32" spans="1:121" ht="20.25" customHeight="1" x14ac:dyDescent="0.3">
      <c r="A32" s="126" t="s">
        <v>4964</v>
      </c>
      <c r="B32" s="126" t="s">
        <v>4964</v>
      </c>
      <c r="C32" s="100" t="str">
        <f>Sc.Table!I37</f>
        <v>Shallow pit, scrape auto, slope screen, lagoon, irrigation + tanker</v>
      </c>
      <c r="D32" s="18" t="s">
        <v>4912</v>
      </c>
      <c r="E32" s="9" t="s">
        <v>4913</v>
      </c>
      <c r="F32" s="18" t="s">
        <v>4965</v>
      </c>
      <c r="G32" s="648"/>
      <c r="H32" s="2299">
        <f>SUMIFS('Sc14'!$D:$D,'Sc14'!$A:$A,$D$32,'Sc14'!$B:$B,Output.Rankings!H$4)</f>
        <v>119.10647603828352</v>
      </c>
      <c r="I32" s="2299">
        <f>SUMIFS('Sc14'!$D:$D,'Sc14'!$A:$A,$D$32,'Sc14'!$B:$B,Output.Rankings!I$4)</f>
        <v>51.591064705904564</v>
      </c>
      <c r="J32" s="2299">
        <f>SUMIFS('Sc14'!$D:$D,'Sc14'!$A:$A,$D$32,'Sc14'!$B:$B,Output.Rankings!J$4)</f>
        <v>0</v>
      </c>
      <c r="K32" s="2299">
        <f>SUMIFS('Sc14'!$D:$D,'Sc14'!$A:$A,$D$32,'Sc14'!$B:$B,Output.Rankings!K$4)</f>
        <v>14.563321287843566</v>
      </c>
      <c r="L32" s="2299">
        <f>SUMIFS('Sc14'!$D:$D,'Sc14'!$A:$A,$D$32,'Sc14'!$B:$B,Output.Rankings!L$4)</f>
        <v>3.4552283569129476E-2</v>
      </c>
      <c r="M32" s="2299">
        <f t="shared" si="2"/>
        <v>-156.09966717277538</v>
      </c>
      <c r="N32" s="2301">
        <f t="shared" si="3"/>
        <v>0.86333845509777418</v>
      </c>
      <c r="O32" s="2301">
        <f t="shared" si="4"/>
        <v>1.9166736367290372E-2</v>
      </c>
      <c r="P32" s="2301">
        <f t="shared" si="5"/>
        <v>0</v>
      </c>
      <c r="Q32" s="2301">
        <f t="shared" si="6"/>
        <v>1028.3562299881364</v>
      </c>
      <c r="R32" s="2301">
        <f t="shared" si="7"/>
        <v>20.963404352126762</v>
      </c>
      <c r="S32" s="2301">
        <f t="shared" si="8"/>
        <v>9.0335631405029186</v>
      </c>
      <c r="T32" s="2302">
        <v>2.375</v>
      </c>
      <c r="U32" s="2302">
        <v>6.6417094731324844E-2</v>
      </c>
      <c r="V32" s="2302">
        <v>2</v>
      </c>
      <c r="W32" s="2303">
        <f t="shared" ca="1" si="9"/>
        <v>19.556756482893597</v>
      </c>
      <c r="X32" s="2303">
        <f t="shared" si="10"/>
        <v>0</v>
      </c>
      <c r="Y32" s="2304">
        <f t="shared" si="11"/>
        <v>0</v>
      </c>
      <c r="Z32" s="1197" cm="1">
        <f t="array" ref="Z32">INDEX(EconIntermediate!$C$23:$AE$23,$AC32)</f>
        <v>6.5192987866282035</v>
      </c>
      <c r="AA32" s="1197" cm="1">
        <f t="array" ref="AA32">INDEX(EconIntermediate!$C$22:$AE$22,$AC32)</f>
        <v>0</v>
      </c>
      <c r="AB32" s="1082" cm="1">
        <f t="array" ref="AB32">INDEX(EconIntermediate!$C$24:$AE$24,$AC32)</f>
        <v>0.65192987866282037</v>
      </c>
      <c r="AC32" s="147">
        <f>MATCH(C32,EconIntermediate!$C$3:$AE$3,0)</f>
        <v>14</v>
      </c>
      <c r="AD32" s="9" t="str">
        <f>_xlfn.CONCAT(Sc.Table!C37,Sc.Table!D37)</f>
        <v>14A</v>
      </c>
      <c r="AE32" s="2305" t="str">
        <f>Sc.Table!G37</f>
        <v>Scrape - Inclined SS - Lagoon - TL (A)</v>
      </c>
      <c r="AF32" s="2307">
        <f>'LCIA Summary output'!T80</f>
        <v>0.86333845509777418</v>
      </c>
      <c r="AG32" s="2307">
        <f>'LCIA Summary output'!U80</f>
        <v>1.9166736367290372E-2</v>
      </c>
      <c r="AH32" s="2307">
        <f>'LCIA Summary output'!V80</f>
        <v>0</v>
      </c>
      <c r="AI32" s="2307">
        <f>'LCIA Summary output'!W80</f>
        <v>1028.3562299881364</v>
      </c>
      <c r="AJ32" s="2307">
        <f>'LCIA Summary output'!X80</f>
        <v>20.963404352126762</v>
      </c>
      <c r="AK32" s="2307">
        <f>'LCIA Summary output'!Y80</f>
        <v>9.0335631405029186</v>
      </c>
      <c r="AM32" s="9" t="str">
        <f t="shared" si="12"/>
        <v>14A</v>
      </c>
      <c r="AN32" s="2305" t="str">
        <f>Sc.Table!G37</f>
        <v>Scrape - Inclined SS - Lagoon - TL (A)</v>
      </c>
      <c r="AO32" s="2307">
        <f>'LCIA Summary output'!T81</f>
        <v>4.0491498003032084E-3</v>
      </c>
      <c r="AP32" s="2307">
        <f>'LCIA Summary output'!U81</f>
        <v>0</v>
      </c>
      <c r="AQ32" s="2307">
        <f>'LCIA Summary output'!V81</f>
        <v>-31.360274686162601</v>
      </c>
      <c r="AR32" s="2307">
        <f>'LCIA Summary output'!W81</f>
        <v>19.384453526264764</v>
      </c>
      <c r="AS32" s="2307">
        <f>'LCIA Summary output'!X81</f>
        <v>0</v>
      </c>
      <c r="AT32" s="2307">
        <f>'LCIA Summary output'!Y81</f>
        <v>0</v>
      </c>
      <c r="AV32" s="9" t="str">
        <f t="shared" si="13"/>
        <v>14A</v>
      </c>
      <c r="AW32" s="2305" t="str">
        <f>Sc.Table!G37</f>
        <v>Scrape - Inclined SS - Lagoon - TL (A)</v>
      </c>
      <c r="AX32" s="2307">
        <f>'LCIA Summary output'!T82</f>
        <v>0.86738760489807742</v>
      </c>
      <c r="AY32" s="2307">
        <f>'LCIA Summary output'!U82</f>
        <v>1.9166736367290372E-2</v>
      </c>
      <c r="AZ32" s="2307">
        <f>'LCIA Summary output'!V82</f>
        <v>-31.360274686162601</v>
      </c>
      <c r="BA32" s="2307">
        <f>'LCIA Summary output'!W82</f>
        <v>1047.7406835144011</v>
      </c>
      <c r="BB32" s="2307">
        <f>'LCIA Summary output'!X82</f>
        <v>20.963404352126762</v>
      </c>
      <c r="BC32" s="2307">
        <f>'LCIA Summary output'!Y82</f>
        <v>9.0335631405029186</v>
      </c>
      <c r="BE32" s="100" t="str">
        <f t="shared" si="1"/>
        <v>Shallow pit, scrape auto, slope screen, lagoon, irrigation + tanker</v>
      </c>
      <c r="BF32" s="645" cm="1">
        <f t="array" ref="BF32">INDEX(EconResultsSummary!$C$42:$AE$42,$AC32)</f>
        <v>102.37990375672175</v>
      </c>
      <c r="BG32" s="645" cm="1">
        <f t="array" ref="BG32">INDEX(EconResultsSummary!$C$41:$AE$41,$AC32)</f>
        <v>37.197362257216149</v>
      </c>
      <c r="BH32" s="1196" cm="1">
        <f t="array" ref="BH32">INDEX(EconResultsSummary!$C$43:$AE$43,$AC32)</f>
        <v>43.715616407166706</v>
      </c>
      <c r="BI32" s="78"/>
      <c r="BJ32" s="78"/>
      <c r="BK32" s="78"/>
      <c r="BL32" cm="1">
        <f t="array" aca="1" ref="BL32" ca="1">INDEX(EconResultsSummary!$C$78:$AE$78,$AC32)</f>
        <v>45.125724835201858</v>
      </c>
      <c r="BM32" cm="1">
        <f t="array" aca="1" ref="BM32" ca="1">INDEX(EconResultsSummary!$C$76:$AE$76,$AC32)</f>
        <v>19.556756482893597</v>
      </c>
      <c r="BN32" cm="1">
        <f t="array" aca="1" ref="BN32" ca="1">INDEX(EconResultsSummary!$C$79:$AE$79,$AC32)</f>
        <v>22.113653318124424</v>
      </c>
      <c r="BO32" cm="1">
        <f t="array" ref="BO32">INDEX(EconIntermediate!$C$18:$AE$18,$AC32)</f>
        <v>0</v>
      </c>
      <c r="BP32" cm="1">
        <f t="array" ref="BP32">INDEX(EconIntermediate!$C$19:$AE$19,$AC32)</f>
        <v>6.5192987866282035</v>
      </c>
      <c r="BQ32" cm="1">
        <f t="array" ref="BQ32">INDEX(EconIntermediate!$C$16:$AE$16,$AC32)</f>
        <v>0</v>
      </c>
      <c r="BR32" cm="1">
        <f t="array" ref="BR32">INDEX(EconIntermediate!$C$17:$AE$17,$AC32)</f>
        <v>0</v>
      </c>
      <c r="BS32" cm="1">
        <f t="array" ref="BS32">INDEX(EconIntermediate!$C$20:$AE$20,$AC32)</f>
        <v>0</v>
      </c>
      <c r="BT32" cm="1">
        <f t="array" ref="BT32">INDEX(EconIntermediate!$C$21:$AE$21,$AC32)</f>
        <v>0.65192987866282037</v>
      </c>
      <c r="BU32" cm="1">
        <f t="array" ref="BU32">INDEX(EconResultsSummary!$C$46:$AE$46,$AC32)</f>
        <v>-2.3799037567217454</v>
      </c>
      <c r="BV32" cm="1">
        <f t="array" ref="BV32">INDEX(EconResultsSummary!$C$45:$AE$45,$AC32)</f>
        <v>62.802637742783851</v>
      </c>
      <c r="BW32" cm="1">
        <f t="array" ref="BW32">INDEX(EconResultsSummary!$C$44:$AE$44,$AC32)</f>
        <v>56.284383592833294</v>
      </c>
      <c r="BX32" cm="1">
        <f t="array" ref="BX32">INDEX(EconResultsSummary!$C$49:$AE$49,$AC32)</f>
        <v>2.3799037567217454</v>
      </c>
      <c r="BY32" cm="1">
        <f t="array" ref="BY32">INDEX(EconResultsSummary!$C$48:$AE$48,$AC32)</f>
        <v>0</v>
      </c>
      <c r="BZ32" cm="1">
        <f t="array" ref="BZ32">INDEX(EconResultsSummary!$C$47:$AE$47,$AC32)</f>
        <v>0.23799037567217454</v>
      </c>
      <c r="CA32" s="147">
        <f>'Sc14'!C6*UDV.animal.total</f>
        <v>6264.9240137128781</v>
      </c>
      <c r="CB32" s="147">
        <f>'Sc14'!C5*UC.m3_to_gal*UDV.animal.total</f>
        <v>513541.42483883456</v>
      </c>
      <c r="CC32" s="147">
        <f>'Sc14'!C69*UDV.animal.total</f>
        <v>602.32787274285215</v>
      </c>
      <c r="CE32" s="302">
        <f>'Sc14'!C10</f>
        <v>4.8550982191333514</v>
      </c>
      <c r="CF32" s="302">
        <f>'Sc14'!C14</f>
        <v>1.2137745547833374</v>
      </c>
      <c r="CG32" s="302">
        <f>'Sc14'!C11</f>
        <v>2.3749116462500002</v>
      </c>
      <c r="CH32" s="302">
        <f>'Sc14'!C15</f>
        <v>1.9431095287499998</v>
      </c>
      <c r="CI32" s="205">
        <f>('Sc14'!C48+'Sc14'!C49+'Sc14'!C50+'Sc14'!C51+'Sc14'!C55)*UC.m2_to_acre</f>
        <v>0.49825624538911856</v>
      </c>
      <c r="CJ32" s="78">
        <f>PT.anaer_lagoon!AQ77</f>
        <v>5.55064459927583</v>
      </c>
      <c r="CK32" s="78">
        <f>PT.anaer_lagoon!AQ78</f>
        <v>2.7151439390175529</v>
      </c>
      <c r="CL32" s="78">
        <f>PT.anaer_lagoon!AQ79</f>
        <v>4.442984508395833</v>
      </c>
      <c r="CM32" s="78">
        <f>PT.anaer_lagoon!AR77</f>
        <v>41.265781900296233</v>
      </c>
      <c r="CN32" s="78">
        <f>PT.anaer_lagoon!AR78</f>
        <v>66.061636986695575</v>
      </c>
      <c r="CO32" s="78">
        <f>PT.anaer_lagoon!AR79</f>
        <v>71.143648828791569</v>
      </c>
      <c r="CP32" s="78">
        <f>PT.slope_screen!G120</f>
        <v>74.932377941049907</v>
      </c>
      <c r="CQ32" s="78">
        <f>PT.slope_screen!G121</f>
        <v>104.99980778388164</v>
      </c>
      <c r="CR32" s="78">
        <f>PT.slope_screen!G122</f>
        <v>115.71463902306427</v>
      </c>
      <c r="CS32">
        <v>0</v>
      </c>
      <c r="CT32">
        <v>0</v>
      </c>
      <c r="CU32">
        <v>0</v>
      </c>
      <c r="CV32" s="626" t="str">
        <f t="shared" si="14"/>
        <v>Shallow pit, scrape auto, slope screen, lagoon, irrigation + tanker</v>
      </c>
    </row>
    <row r="33" spans="1:100" ht="20.25" customHeight="1" x14ac:dyDescent="0.3">
      <c r="A33" s="126" t="s">
        <v>4966</v>
      </c>
      <c r="B33" s="126" t="s">
        <v>4966</v>
      </c>
      <c r="C33" s="100" t="str">
        <f>Sc.Table!I38</f>
        <v>Shallow pit, scrape auto, slope screen, lagoon, irrigation + drag hose</v>
      </c>
      <c r="D33" s="18" t="s">
        <v>4917</v>
      </c>
      <c r="E33" s="9" t="s">
        <v>2586</v>
      </c>
      <c r="F33" s="18" t="s">
        <v>4965</v>
      </c>
      <c r="G33" s="648"/>
      <c r="H33" s="2299">
        <f>SUMIFS('Sc14'!$D:$D,'Sc14'!$A:$A,$D$33,'Sc14'!$B:$B,Output.Rankings!H$4)</f>
        <v>226.75204573192443</v>
      </c>
      <c r="I33" s="2299">
        <f>SUMIFS('Sc14'!$D:$D,'Sc14'!$A:$A,$D$33,'Sc14'!$B:$B,Output.Rankings!I$4)</f>
        <v>90.349902661285086</v>
      </c>
      <c r="J33" s="2299">
        <f>SUMIFS('Sc14'!$D:$D,'Sc14'!$A:$A,$D$33,'Sc14'!$B:$B,Output.Rankings!J$4)</f>
        <v>0</v>
      </c>
      <c r="K33" s="2299">
        <f>SUMIFS('Sc14'!$D:$D,'Sc14'!$A:$A,$D$33,'Sc14'!$B:$B,Output.Rankings!K$4)</f>
        <v>14.563321287843566</v>
      </c>
      <c r="L33" s="2299">
        <f>SUMIFS('Sc14'!$D:$D,'Sc14'!$A:$A,$D$33,'Sc14'!$B:$B,Output.Rankings!L$4)</f>
        <v>3.4552283569129476E-2</v>
      </c>
      <c r="M33" s="2299">
        <f t="shared" si="2"/>
        <v>-302.50407482179685</v>
      </c>
      <c r="N33" s="2301">
        <f t="shared" si="3"/>
        <v>0.86158246585614884</v>
      </c>
      <c r="O33" s="2301">
        <f t="shared" si="4"/>
        <v>1.9166736367290372E-2</v>
      </c>
      <c r="P33" s="2301">
        <f t="shared" si="5"/>
        <v>0</v>
      </c>
      <c r="Q33" s="2301">
        <f t="shared" si="6"/>
        <v>1028.3562299881364</v>
      </c>
      <c r="R33" s="2301">
        <f t="shared" si="7"/>
        <v>20.963404352126762</v>
      </c>
      <c r="S33" s="2301">
        <f t="shared" si="8"/>
        <v>9.0335631405029186</v>
      </c>
      <c r="T33" s="2302">
        <v>2.5</v>
      </c>
      <c r="U33" s="2302">
        <v>6.5132936677310238E-2</v>
      </c>
      <c r="V33" s="2302">
        <v>2</v>
      </c>
      <c r="W33" s="2303">
        <f t="shared" ca="1" si="9"/>
        <v>13.321748409398694</v>
      </c>
      <c r="X33" s="2303">
        <f t="shared" si="10"/>
        <v>0</v>
      </c>
      <c r="Y33" s="2304">
        <f t="shared" si="11"/>
        <v>0</v>
      </c>
      <c r="Z33" s="1197" cm="1">
        <f t="array" ref="Z33">INDEX(EconIntermediate!$C$23:$AE$23,$AC33)</f>
        <v>6.5192987866282035</v>
      </c>
      <c r="AA33" s="1197" cm="1">
        <f t="array" ref="AA33">INDEX(EconIntermediate!$C$22:$AE$22,$AC33)</f>
        <v>0</v>
      </c>
      <c r="AB33" s="1082" cm="1">
        <f t="array" ref="AB33">INDEX(EconIntermediate!$C$24:$AE$24,$AC33)</f>
        <v>0.65192987866282037</v>
      </c>
      <c r="AC33" s="147">
        <f>MATCH(C33,EconIntermediate!$C$3:$AE$3,0)</f>
        <v>29</v>
      </c>
      <c r="AD33" s="9" t="str">
        <f>_xlfn.CONCAT(Sc.Table!C38,Sc.Table!D38)</f>
        <v>14B</v>
      </c>
      <c r="AE33" s="2305" t="str">
        <f>Sc.Table!G38</f>
        <v>Scrape - Inclined SS - Lagoon - DHL (B)</v>
      </c>
      <c r="AF33" s="2307">
        <f>'LCIA Summary output'!T83</f>
        <v>0.86158246585614884</v>
      </c>
      <c r="AG33" s="2307">
        <f>'LCIA Summary output'!U83</f>
        <v>1.9166736367290372E-2</v>
      </c>
      <c r="AH33" s="2307">
        <f>'LCIA Summary output'!V83</f>
        <v>0</v>
      </c>
      <c r="AI33" s="2307">
        <f>'LCIA Summary output'!W83</f>
        <v>1028.3562299881364</v>
      </c>
      <c r="AJ33" s="2307">
        <f>'LCIA Summary output'!X83</f>
        <v>20.963404352126762</v>
      </c>
      <c r="AK33" s="2307">
        <f>'LCIA Summary output'!Y83</f>
        <v>9.0335631405029186</v>
      </c>
      <c r="AM33" s="9" t="str">
        <f t="shared" si="12"/>
        <v>14B</v>
      </c>
      <c r="AN33" s="2305" t="str">
        <f>Sc.Table!G38</f>
        <v>Scrape - Inclined SS - Lagoon - DHL (B)</v>
      </c>
      <c r="AO33" s="2307">
        <f>'LCIA Summary output'!T84</f>
        <v>2.924091978038668E-3</v>
      </c>
      <c r="AP33" s="2307">
        <f>'LCIA Summary output'!U84</f>
        <v>0</v>
      </c>
      <c r="AQ33" s="2307">
        <f>'LCIA Summary output'!V84</f>
        <v>-42.613416440765548</v>
      </c>
      <c r="AR33" s="2307">
        <f>'LCIA Summary output'!W84</f>
        <v>16.41236577603209</v>
      </c>
      <c r="AS33" s="2307">
        <f>'LCIA Summary output'!X84</f>
        <v>0</v>
      </c>
      <c r="AT33" s="2307">
        <f>'LCIA Summary output'!Y84</f>
        <v>0</v>
      </c>
      <c r="AV33" s="9" t="str">
        <f t="shared" si="13"/>
        <v>14B</v>
      </c>
      <c r="AW33" s="2305" t="str">
        <f>Sc.Table!G38</f>
        <v>Scrape - Inclined SS - Lagoon - DHL (B)</v>
      </c>
      <c r="AX33" s="2307">
        <f>'LCIA Summary output'!T85</f>
        <v>0.86450655783418739</v>
      </c>
      <c r="AY33" s="2307">
        <f>'LCIA Summary output'!U85</f>
        <v>1.9166736367290372E-2</v>
      </c>
      <c r="AZ33" s="2307">
        <f>'LCIA Summary output'!V85</f>
        <v>-42.613416440765548</v>
      </c>
      <c r="BA33" s="2307">
        <f>'LCIA Summary output'!W85</f>
        <v>1044.7685957641686</v>
      </c>
      <c r="BB33" s="2307">
        <f>'LCIA Summary output'!X85</f>
        <v>20.963404352126762</v>
      </c>
      <c r="BC33" s="2307">
        <f>'LCIA Summary output'!Y85</f>
        <v>9.0335631405029186</v>
      </c>
      <c r="BE33" s="100" t="str">
        <f t="shared" si="1"/>
        <v>Shallow pit, scrape auto, slope screen, lagoon, irrigation + drag hose</v>
      </c>
      <c r="BF33" s="645" cm="1">
        <f t="array" ref="BF33">INDEX(EconResultsSummary!$C$42:$AE$42,$AC33)</f>
        <v>102.37990375672175</v>
      </c>
      <c r="BG33" s="645" cm="1">
        <f t="array" ref="BG33">INDEX(EconResultsSummary!$C$41:$AE$41,$AC33)</f>
        <v>37.197362257216149</v>
      </c>
      <c r="BH33" s="1196" cm="1">
        <f t="array" ref="BH33">INDEX(EconResultsSummary!$C$43:$AE$43,$AC33)</f>
        <v>43.715616407166706</v>
      </c>
      <c r="BI33" s="78"/>
      <c r="BJ33" s="78"/>
      <c r="BK33" s="78"/>
      <c r="BL33" cm="1">
        <f t="array" aca="1" ref="BL33" ca="1">INDEX(EconResultsSummary!$C$78:$AE$78,$AC33)</f>
        <v>27.061413375725728</v>
      </c>
      <c r="BM33" cm="1">
        <f t="array" aca="1" ref="BM33" ca="1">INDEX(EconResultsSummary!$C$76:$AE$76,$AC33)</f>
        <v>13.321748409398694</v>
      </c>
      <c r="BN33" cm="1">
        <f t="array" aca="1" ref="BN33" ca="1">INDEX(EconResultsSummary!$C$79:$AE$79,$AC33)</f>
        <v>14.695714906031398</v>
      </c>
      <c r="BO33" cm="1">
        <f t="array" ref="BO33">INDEX(EconIntermediate!$C$18:$AE$18,$AC33)</f>
        <v>0</v>
      </c>
      <c r="BP33" cm="1">
        <f t="array" ref="BP33">INDEX(EconIntermediate!$C$19:$AE$19,$AC33)</f>
        <v>6.5192987866282035</v>
      </c>
      <c r="BQ33" cm="1">
        <f t="array" ref="BQ33">INDEX(EconIntermediate!$C$16:$AE$16,$AC33)</f>
        <v>0</v>
      </c>
      <c r="BR33" cm="1">
        <f t="array" ref="BR33">INDEX(EconIntermediate!$C$17:$AE$17,$AC33)</f>
        <v>0</v>
      </c>
      <c r="BS33" cm="1">
        <f t="array" ref="BS33">INDEX(EconIntermediate!$C$20:$AE$20,$AC33)</f>
        <v>0</v>
      </c>
      <c r="BT33" cm="1">
        <f t="array" ref="BT33">INDEX(EconIntermediate!$C$21:$AE$21,$AC33)</f>
        <v>0.65192987866282037</v>
      </c>
      <c r="BU33" cm="1">
        <f t="array" ref="BU33">INDEX(EconResultsSummary!$C$46:$AE$46,$AC33)</f>
        <v>-2.3799037567217454</v>
      </c>
      <c r="BV33" cm="1">
        <f t="array" ref="BV33">INDEX(EconResultsSummary!$C$45:$AE$45,$AC33)</f>
        <v>62.802637742783851</v>
      </c>
      <c r="BW33" cm="1">
        <f t="array" ref="BW33">INDEX(EconResultsSummary!$C$44:$AE$44,$AC33)</f>
        <v>56.284383592833294</v>
      </c>
      <c r="BX33" cm="1">
        <f t="array" ref="BX33">INDEX(EconResultsSummary!$C$49:$AE$49,$AC33)</f>
        <v>2.3799037567217454</v>
      </c>
      <c r="BY33" cm="1">
        <f t="array" ref="BY33">INDEX(EconResultsSummary!$C$48:$AE$48,$AC33)</f>
        <v>0</v>
      </c>
      <c r="BZ33" cm="1">
        <f t="array" ref="BZ33">INDEX(EconResultsSummary!$C$47:$AE$47,$AC33)</f>
        <v>0.23799037567217454</v>
      </c>
      <c r="CA33" s="147">
        <f>'Sc14'!C6*UDV.animal.total</f>
        <v>6264.9240137128781</v>
      </c>
      <c r="CB33" s="147">
        <f>'Sc14'!C5*UC.m3_to_gal*UDV.animal.total</f>
        <v>513541.42483883456</v>
      </c>
      <c r="CC33" s="147">
        <f>'Sc14'!C70*UDV.animal.total</f>
        <v>516.08085694592933</v>
      </c>
      <c r="CE33" s="302">
        <f>'Sc14'!C10</f>
        <v>4.8550982191333514</v>
      </c>
      <c r="CF33" s="302">
        <f>'Sc14'!C14</f>
        <v>1.2137745547833374</v>
      </c>
      <c r="CG33" s="302">
        <f>'Sc14'!C11</f>
        <v>2.3749116462500002</v>
      </c>
      <c r="CH33" s="302">
        <f>'Sc14'!C15</f>
        <v>1.9431095287499998</v>
      </c>
      <c r="CI33" s="205">
        <f>('Sc14'!C48+'Sc14'!C49+'Sc14'!C50+'Sc14'!C51+'Sc14'!C55)*UC.m2_to_acre</f>
        <v>0.49825624538911856</v>
      </c>
      <c r="CJ33" s="78">
        <f>PT.anaer_lagoon!AQ77</f>
        <v>5.55064459927583</v>
      </c>
      <c r="CK33" s="78">
        <f>PT.anaer_lagoon!AQ78</f>
        <v>2.7151439390175529</v>
      </c>
      <c r="CL33" s="78">
        <f>PT.anaer_lagoon!AQ79</f>
        <v>4.442984508395833</v>
      </c>
      <c r="CM33" s="78">
        <f>PT.anaer_lagoon!AR77</f>
        <v>41.265781900296233</v>
      </c>
      <c r="CN33" s="78">
        <f>PT.anaer_lagoon!AR78</f>
        <v>66.061636986695575</v>
      </c>
      <c r="CO33" s="78">
        <f>PT.anaer_lagoon!AR79</f>
        <v>71.143648828791569</v>
      </c>
      <c r="CP33" s="78">
        <f>PT.slope_screen!G120</f>
        <v>74.932377941049907</v>
      </c>
      <c r="CQ33" s="78">
        <f>PT.slope_screen!G121</f>
        <v>104.99980778388164</v>
      </c>
      <c r="CR33" s="78">
        <f>PT.slope_screen!G122</f>
        <v>115.71463902306427</v>
      </c>
      <c r="CS33">
        <v>0</v>
      </c>
      <c r="CT33">
        <v>0</v>
      </c>
      <c r="CU33">
        <v>0</v>
      </c>
      <c r="CV33" s="626" t="str">
        <f t="shared" si="14"/>
        <v>Shallow pit, scrape auto, slope screen, lagoon, irrigation + drag hose</v>
      </c>
    </row>
    <row r="34" spans="1:100" x14ac:dyDescent="0.3">
      <c r="A34" s="49">
        <f ca="1">MATCH(1,$AD$84:$AD$110,0)</f>
        <v>1</v>
      </c>
      <c r="B34" s="49" t="str" cm="1">
        <f t="array" aca="1" ref="B34" ca="1">INDEX(B$7:B$33,A34)</f>
        <v>Sc - 1a</v>
      </c>
      <c r="C34" s="100" t="s">
        <v>552</v>
      </c>
      <c r="D34" s="18" t="str" cm="1">
        <f t="array" aca="1" ref="D34" ca="1">INDEX(D$7:D$33,$A34)</f>
        <v>TL</v>
      </c>
      <c r="E34" s="18" t="str" cm="1">
        <f t="array" aca="1" ref="E34" ca="1">INDEX(E$7:E$33,$A34)</f>
        <v>A</v>
      </c>
      <c r="F34" s="18" t="str" cm="1">
        <f t="array" aca="1" ref="F34" ca="1">INDEX(F$7:F$33,$A34)</f>
        <v>Deep pit slurry system</v>
      </c>
      <c r="G34" s="9" cm="1">
        <f t="array" aca="1" ref="G34" ca="1">INDEX(G$7:G$33,$A34)</f>
        <v>0</v>
      </c>
      <c r="H34" s="37" cm="1">
        <f t="array" aca="1" ref="H34" ca="1">INDEX(H$7:H$33,$A34)</f>
        <v>80.019532027672795</v>
      </c>
      <c r="I34" s="37" cm="1">
        <f t="array" aca="1" ref="I34" ca="1">INDEX(I$7:I$33,$A34)</f>
        <v>29.124523338619547</v>
      </c>
      <c r="J34" s="37" cm="1">
        <f t="array" aca="1" ref="J34" ca="1">INDEX(J$7:J$33,$A34)</f>
        <v>0</v>
      </c>
      <c r="K34" s="37" cm="1">
        <f t="array" aca="1" ref="K34" ca="1">INDEX(K$7:K$33,$A34)</f>
        <v>26.428080656756883</v>
      </c>
      <c r="L34" s="37" cm="1">
        <f t="array" aca="1" ref="L34" ca="1">INDEX(L$7:L$33,$A34)</f>
        <v>0</v>
      </c>
      <c r="M34" s="37" cm="1">
        <f t="array" aca="1" ref="M34" ca="1">INDEX(M$7:M$33,$A34)</f>
        <v>-82.715974709535459</v>
      </c>
      <c r="N34" s="37" cm="1">
        <f t="array" aca="1" ref="N34" ca="1">INDEX(N$7:N$33,$A34)</f>
        <v>0.51812538167062128</v>
      </c>
      <c r="O34" s="37" cm="1">
        <f t="array" aca="1" ref="O34" ca="1">INDEX(O$7:O$33,$A34)</f>
        <v>0.15290585659551295</v>
      </c>
      <c r="P34" s="37" cm="1">
        <f t="array" aca="1" ref="P34" ca="1">INDEX(P$7:P$33,$A34)</f>
        <v>0</v>
      </c>
      <c r="Q34" s="37" cm="1">
        <f t="array" aca="1" ref="Q34" ca="1">INDEX(Q$7:Q$33,$A34)</f>
        <v>0</v>
      </c>
      <c r="R34" s="37" cm="1">
        <f t="array" aca="1" ref="R34" ca="1">INDEX(R$7:R$33,$A34)</f>
        <v>8.8806076154703533</v>
      </c>
      <c r="S34" s="37" cm="1">
        <f t="array" aca="1" ref="S34" ca="1">INDEX(S$7:S$33,$A34)</f>
        <v>5.5112746043841678</v>
      </c>
      <c r="T34" s="37" cm="1">
        <f t="array" aca="1" ref="T34" ca="1">INDEX(T$7:T$33,$A34)</f>
        <v>4.25</v>
      </c>
      <c r="U34" s="37" cm="1">
        <f t="array" aca="1" ref="U34" ca="1">INDEX(U$7:U$33,$A34)</f>
        <v>5.9854100206416794E-3</v>
      </c>
      <c r="V34" s="37" cm="1">
        <f t="array" aca="1" ref="V34" ca="1">INDEX(V$7:V$33,$A34)</f>
        <v>2.75</v>
      </c>
      <c r="W34" s="37" cm="1">
        <f t="array" aca="1" ref="W34" ca="1">INDEX(W$7:W$33,$A34)</f>
        <v>22.003886560796118</v>
      </c>
      <c r="X34" s="37" cm="1">
        <f t="array" aca="1" ref="X34" ca="1">INDEX(X$7:X$33,$A34)</f>
        <v>0</v>
      </c>
      <c r="Y34" s="37" cm="1">
        <f t="array" aca="1" ref="Y34" ca="1">INDEX(Y$7:Y$33,$A34)</f>
        <v>0</v>
      </c>
      <c r="Z34" s="108" cm="1">
        <f t="array" aca="1" ref="Z34" ca="1">INDEX(Z$7:Z$33,$A34)</f>
        <v>0</v>
      </c>
      <c r="AA34" s="108" cm="1">
        <f t="array" aca="1" ref="AA34" ca="1">INDEX(AA$7:AA$33,$A34)</f>
        <v>0</v>
      </c>
      <c r="AB34" s="108" cm="1">
        <f t="array" aca="1" ref="AB34" ca="1">INDEX(AB$7:AB$33,$A34)</f>
        <v>0</v>
      </c>
      <c r="AC34" s="20"/>
      <c r="AL34" s="20"/>
      <c r="BF34" s="37" cm="1">
        <f t="array" aca="1" ref="BF34" ca="1">INDEX(BF$7:BF$33,$A34)</f>
        <v>76.381736002187523</v>
      </c>
      <c r="BG34" s="37" cm="1">
        <f t="array" aca="1" ref="BG34" ca="1">INDEX(BG$7:BG$33,$A34)</f>
        <v>76.381736002187523</v>
      </c>
      <c r="BH34" s="340" cm="1">
        <f t="array" aca="1" ref="BH34" ca="1">INDEX(BH$7:BH$33,$A34)</f>
        <v>76.381736002187523</v>
      </c>
      <c r="BI34" s="7"/>
      <c r="BJ34" s="7"/>
      <c r="BK34" s="7"/>
      <c r="BL34" s="653" cm="1">
        <f t="array" aca="1" ref="BL34" ca="1">INDEX(BL$7:BL$33,$A34)</f>
        <v>22.003886560796118</v>
      </c>
      <c r="BM34" s="37" cm="1">
        <f t="array" aca="1" ref="BM34" ca="1">INDEX(BM$7:BM$33,$A34)</f>
        <v>22.003886560796118</v>
      </c>
      <c r="BN34" s="37" cm="1">
        <f t="array" aca="1" ref="BN34" ca="1">INDEX(BN$7:BN$33,$A34)</f>
        <v>22.003886560796118</v>
      </c>
      <c r="BO34" s="37" cm="1">
        <f t="array" aca="1" ref="BO34" ca="1">INDEX(BO$7:BO$33,$A34)</f>
        <v>0</v>
      </c>
      <c r="BP34" s="37" cm="1">
        <f t="array" aca="1" ref="BP34" ca="1">INDEX(BP$7:BP$33,$A34)</f>
        <v>0</v>
      </c>
      <c r="BQ34" s="37" cm="1">
        <f t="array" aca="1" ref="BQ34" ca="1">INDEX(BQ$7:BQ$33,$A34)</f>
        <v>0</v>
      </c>
      <c r="BR34" s="37" cm="1">
        <f t="array" aca="1" ref="BR34" ca="1">INDEX(BR$7:BR$33,$A34)</f>
        <v>0</v>
      </c>
      <c r="BS34" s="37" cm="1">
        <f t="array" aca="1" ref="BS34" ca="1">INDEX(BS$7:BS$33,$A34)</f>
        <v>0</v>
      </c>
      <c r="BT34" s="37" cm="1">
        <f t="array" aca="1" ref="BT34" ca="1">INDEX(BT$7:BT$33,$A34)</f>
        <v>0</v>
      </c>
      <c r="BU34" s="37" cm="1">
        <f t="array" aca="1" ref="BU34" ca="1">INDEX(BU$7:BU$33,$A34)</f>
        <v>23.618263997812477</v>
      </c>
      <c r="BV34" s="37" cm="1">
        <f t="array" aca="1" ref="BV34" ca="1">INDEX(BV$7:BV$33,$A34)</f>
        <v>23.618263997812477</v>
      </c>
      <c r="BW34" s="37" cm="1">
        <f t="array" aca="1" ref="BW34" ca="1">INDEX(BW$7:BW$33,$A34)</f>
        <v>23.618263997812477</v>
      </c>
      <c r="BX34" s="37" cm="1">
        <f t="array" aca="1" ref="BX34" ca="1">INDEX(BX$7:BX$33,$A34)</f>
        <v>0</v>
      </c>
      <c r="BY34" s="37" cm="1">
        <f t="array" aca="1" ref="BY34" ca="1">INDEX(BY$7:BY$33,$A34)</f>
        <v>0</v>
      </c>
      <c r="BZ34" s="37" cm="1">
        <f t="array" aca="1" ref="BZ34" ca="1">INDEX(BZ$7:BZ$33,$A34)</f>
        <v>0</v>
      </c>
    </row>
    <row r="35" spans="1:100" x14ac:dyDescent="0.3">
      <c r="A35" s="49">
        <f ca="1">MATCH(2,$AD$84:$AD$110,0)</f>
        <v>3</v>
      </c>
      <c r="B35" s="49" t="str" cm="1">
        <f t="array" aca="1" ref="B35" ca="1">INDEX(B$7:B$33,A35)</f>
        <v>Sc - 2a</v>
      </c>
      <c r="C35" s="100" t="s">
        <v>553</v>
      </c>
      <c r="D35" s="18" t="str" cm="1">
        <f t="array" aca="1" ref="D35" ca="1">INDEX(D$7:D$33,$A35)</f>
        <v>TL</v>
      </c>
      <c r="E35" s="18" t="str" cm="1">
        <f t="array" aca="1" ref="E35" ca="1">INDEX(E$7:E$33,$A35)</f>
        <v>A</v>
      </c>
      <c r="F35" s="18" t="str" cm="1">
        <f t="array" aca="1" ref="F35" ca="1">INDEX(F$7:F$33,$A35)</f>
        <v>Deep pit slurry - Aeration system</v>
      </c>
      <c r="G35" s="9" cm="1">
        <f t="array" aca="1" ref="G35" ca="1">INDEX(G$7:G$33,$A35)</f>
        <v>0</v>
      </c>
      <c r="H35" s="37" cm="1">
        <f t="array" aca="1" ref="H35" ca="1">INDEX(H$7:H$33,$A35)</f>
        <v>75.941569540956351</v>
      </c>
      <c r="I35" s="37" cm="1">
        <f t="array" aca="1" ref="I35" ca="1">INDEX(I$7:I$33,$A35)</f>
        <v>27.847553470780319</v>
      </c>
      <c r="J35" s="37" cm="1">
        <f t="array" aca="1" ref="J35" ca="1">INDEX(J$7:J$33,$A35)</f>
        <v>0</v>
      </c>
      <c r="K35" s="37" cm="1">
        <f t="array" aca="1" ref="K35" ca="1">INDEX(K$7:K$33,$A35)</f>
        <v>15.847869406081076</v>
      </c>
      <c r="L35" s="37" cm="1">
        <f t="array" aca="1" ref="L35" ca="1">INDEX(L$7:L$33,$A35)</f>
        <v>0</v>
      </c>
      <c r="M35" s="37" cm="1">
        <f t="array" aca="1" ref="M35" ca="1">INDEX(M$7:M$33,$A35)</f>
        <v>-87.941253605655589</v>
      </c>
      <c r="N35" s="37" cm="1">
        <f t="array" aca="1" ref="N35" ca="1">INDEX(N$7:N$33,$A35)</f>
        <v>0.3093662605738246</v>
      </c>
      <c r="O35" s="37" cm="1">
        <f t="array" aca="1" ref="O35" ca="1">INDEX(O$7:O$33,$A35)</f>
        <v>9.1748660576578017E-2</v>
      </c>
      <c r="P35" s="37" cm="1">
        <f t="array" aca="1" ref="P35" ca="1">INDEX(P$7:P$33,$A35)</f>
        <v>0</v>
      </c>
      <c r="Q35" s="37" cm="1">
        <f t="array" aca="1" ref="Q35" ca="1">INDEX(Q$7:Q$33,$A35)</f>
        <v>0</v>
      </c>
      <c r="R35" s="37" cm="1">
        <f t="array" aca="1" ref="R35" ca="1">INDEX(R$7:R$33,$A35)</f>
        <v>19.493877938087866</v>
      </c>
      <c r="S35" s="37" cm="1">
        <f t="array" aca="1" ref="S35" ca="1">INDEX(S$7:S$33,$A35)</f>
        <v>8.8749215826293248</v>
      </c>
      <c r="T35" s="37" cm="1">
        <f t="array" aca="1" ref="T35" ca="1">INDEX(T$7:T$33,$A35)</f>
        <v>3.5</v>
      </c>
      <c r="U35" s="37" cm="1">
        <f t="array" aca="1" ref="U35" ca="1">INDEX(U$7:U$33,$A35)</f>
        <v>2.0509824120796716E-2</v>
      </c>
      <c r="V35" s="37" cm="1">
        <f t="array" aca="1" ref="V35" ca="1">INDEX(V$7:V$33,$A35)</f>
        <v>2.75</v>
      </c>
      <c r="W35" s="37" cm="1">
        <f t="array" aca="1" ref="W35" ca="1">INDEX(W$7:W$33,$A35)</f>
        <v>19.782318372229117</v>
      </c>
      <c r="X35" s="37" cm="1">
        <f t="array" aca="1" ref="X35" ca="1">INDEX(X$7:X$33,$A35)</f>
        <v>0</v>
      </c>
      <c r="Y35" s="37" cm="1">
        <f t="array" aca="1" ref="Y35" ca="1">INDEX(Y$7:Y$33,$A35)</f>
        <v>0</v>
      </c>
      <c r="Z35" s="37" cm="1">
        <f t="array" aca="1" ref="Z35" ca="1">INDEX(Z$7:Z$33,$A35)</f>
        <v>0</v>
      </c>
      <c r="AA35" s="37" cm="1">
        <f t="array" aca="1" ref="AA35" ca="1">INDEX(AA$7:AA$33,$A35)</f>
        <v>0</v>
      </c>
      <c r="AB35" s="37" cm="1">
        <f t="array" aca="1" ref="AB35" ca="1">INDEX(AB$7:AB$33,$A35)</f>
        <v>0</v>
      </c>
      <c r="AC35" s="20"/>
      <c r="AD35" s="9" t="str" cm="1">
        <f t="array" aca="1" ref="AD35" ca="1">INDEX(AD$7:AD$33,$A34)</f>
        <v>1A</v>
      </c>
      <c r="AE35" s="18" t="str" cm="1">
        <f t="array" aca="1" ref="AE35" ca="1">INDEX(AE$7:AE$33,$A34)</f>
        <v>Deep pit slurry system - TL (A)</v>
      </c>
      <c r="AF35" s="102" cm="1">
        <f t="array" aca="1" ref="AF35" ca="1">INDEX(AF$7:AF$33,$A34)</f>
        <v>0.51812538167062128</v>
      </c>
      <c r="AG35" s="102" cm="1">
        <f t="array" aca="1" ref="AG35" ca="1">INDEX(AG$7:AG$33,$A34)</f>
        <v>0.15290585659551295</v>
      </c>
      <c r="AH35" s="102" cm="1">
        <f t="array" aca="1" ref="AH35" ca="1">INDEX(AH$7:AH$33,$A34)</f>
        <v>0</v>
      </c>
      <c r="AI35" s="102" cm="1">
        <f t="array" aca="1" ref="AI35" ca="1">INDEX(AI$7:AI$33,$A34)</f>
        <v>0</v>
      </c>
      <c r="AJ35" s="102" cm="1">
        <f t="array" aca="1" ref="AJ35" ca="1">INDEX(AJ$7:AJ$33,$A34)</f>
        <v>8.8806076154703533</v>
      </c>
      <c r="AK35" s="102" cm="1">
        <f t="array" aca="1" ref="AK35" ca="1">INDEX(AK$7:AK$33,$A34)</f>
        <v>5.5112746043841678</v>
      </c>
      <c r="AL35" s="20"/>
      <c r="AM35" s="18" t="str" cm="1">
        <f t="array" aca="1" ref="AM35" ca="1">INDEX(AM$7:AM$33,$A34)</f>
        <v>1A</v>
      </c>
      <c r="AN35" s="18" t="str" cm="1">
        <f t="array" aca="1" ref="AN35" ca="1">INDEX(AN$7:AN$33,$A34)</f>
        <v>Deep pit slurry system - TL (A)</v>
      </c>
      <c r="AO35" s="632" cm="1">
        <f t="array" aca="1" ref="AO35" ca="1">INDEX(AO$7:AO$33,$A34)</f>
        <v>-1.3061437652166778E-2</v>
      </c>
      <c r="AP35" s="632" cm="1">
        <f t="array" aca="1" ref="AP35" ca="1">INDEX(AP$7:AP$33,$A34)</f>
        <v>0</v>
      </c>
      <c r="AQ35" s="632" cm="1">
        <f t="array" aca="1" ref="AQ35" ca="1">INDEX(AQ$7:AQ$33,$A34)</f>
        <v>-175.84678841120939</v>
      </c>
      <c r="AR35" s="632" cm="1">
        <f t="array" aca="1" ref="AR35" ca="1">INDEX(AR$7:AR$33,$A34)</f>
        <v>0.78467102406457045</v>
      </c>
      <c r="AS35" s="632" cm="1">
        <f t="array" aca="1" ref="AS35" ca="1">INDEX(AS$7:AS$33,$A34)</f>
        <v>0</v>
      </c>
      <c r="AT35" s="632" cm="1">
        <f t="array" aca="1" ref="AT35" ca="1">INDEX(AT$7:AT$33,$A34)</f>
        <v>0</v>
      </c>
      <c r="AV35" s="9" t="str" cm="1">
        <f t="array" aca="1" ref="AV35" ca="1">INDEX(AV$7:AV$33,$A34)</f>
        <v>1A</v>
      </c>
      <c r="AW35" s="9" t="str" cm="1">
        <f t="array" aca="1" ref="AW35" ca="1">INDEX(AW$7:AW$33,$A34)</f>
        <v>Deep pit slurry system - TL (A)</v>
      </c>
      <c r="AX35" s="9" cm="1">
        <f t="array" aca="1" ref="AX35" ca="1">INDEX(AX$7:AX$33,$A34)</f>
        <v>0.50506394401845456</v>
      </c>
      <c r="AY35" s="9" cm="1">
        <f t="array" aca="1" ref="AY35" ca="1">INDEX(AY$7:AY$33,$A34)</f>
        <v>0.15290585659551295</v>
      </c>
      <c r="AZ35" s="9" cm="1">
        <f t="array" aca="1" ref="AZ35" ca="1">INDEX(AZ$7:AZ$33,$A34)</f>
        <v>-175.84678841120939</v>
      </c>
      <c r="BA35" s="9" cm="1">
        <f t="array" aca="1" ref="BA35" ca="1">INDEX(BA$7:BA$33,$A34)</f>
        <v>0.78467102406457045</v>
      </c>
      <c r="BB35" s="9" cm="1">
        <f t="array" aca="1" ref="BB35" ca="1">INDEX(BB$7:BB$33,$A34)</f>
        <v>8.8806076154703533</v>
      </c>
      <c r="BC35" s="9" cm="1">
        <f t="array" aca="1" ref="BC35" ca="1">INDEX(BC$7:BC$33,$A34)</f>
        <v>5.5112746043841678</v>
      </c>
      <c r="BF35" s="37" cm="1">
        <f t="array" aca="1" ref="BF35" ca="1">INDEX(BF$7:BF$33,$A35)</f>
        <v>45.80309076902045</v>
      </c>
      <c r="BG35" s="37" cm="1">
        <f t="array" aca="1" ref="BG35" ca="1">INDEX(BG$7:BG$33,$A35)</f>
        <v>45.80309076902045</v>
      </c>
      <c r="BH35" s="340" cm="1">
        <f t="array" aca="1" ref="BH35" ca="1">INDEX(BH$7:BH$33,$A35)</f>
        <v>45.80309076902045</v>
      </c>
      <c r="BI35" s="7"/>
      <c r="BJ35" s="7"/>
      <c r="BK35" s="7"/>
      <c r="BL35" s="653" cm="1">
        <f t="array" aca="1" ref="BL35" ca="1">INDEX(BL$7:BL$33,$A35)</f>
        <v>19.782318372229117</v>
      </c>
      <c r="BM35" s="37" cm="1">
        <f t="array" aca="1" ref="BM35" ca="1">INDEX(BM$7:BM$33,$A35)</f>
        <v>19.782318372229117</v>
      </c>
      <c r="BN35" s="37" cm="1">
        <f t="array" aca="1" ref="BN35" ca="1">INDEX(BN$7:BN$33,$A35)</f>
        <v>19.782318372229117</v>
      </c>
      <c r="BO35" s="37" cm="1">
        <f t="array" aca="1" ref="BO35" ca="1">INDEX(BO$7:BO$33,$A35)</f>
        <v>0</v>
      </c>
      <c r="BP35" s="37" cm="1">
        <f t="array" aca="1" ref="BP35" ca="1">INDEX(BP$7:BP$33,$A35)</f>
        <v>0</v>
      </c>
      <c r="BQ35" s="37" cm="1">
        <f t="array" aca="1" ref="BQ35" ca="1">INDEX(BQ$7:BQ$33,$A35)</f>
        <v>0</v>
      </c>
      <c r="BR35" s="37" cm="1">
        <f t="array" aca="1" ref="BR35" ca="1">INDEX(BR$7:BR$33,$A35)</f>
        <v>0</v>
      </c>
      <c r="BS35" s="37" cm="1">
        <f t="array" aca="1" ref="BS35" ca="1">INDEX(BS$7:BS$33,$A35)</f>
        <v>0</v>
      </c>
      <c r="BT35" s="37" cm="1">
        <f t="array" aca="1" ref="BT35" ca="1">INDEX(BT$7:BT$33,$A35)</f>
        <v>0</v>
      </c>
      <c r="BU35" s="37" cm="1">
        <f t="array" aca="1" ref="BU35" ca="1">INDEX(BU$7:BU$33,$A35)</f>
        <v>54.19690923097955</v>
      </c>
      <c r="BV35" s="37" cm="1">
        <f t="array" aca="1" ref="BV35" ca="1">INDEX(BV$7:BV$33,$A35)</f>
        <v>54.19690923097955</v>
      </c>
      <c r="BW35" s="37" cm="1">
        <f t="array" aca="1" ref="BW35" ca="1">INDEX(BW$7:BW$33,$A35)</f>
        <v>54.19690923097955</v>
      </c>
      <c r="BX35" s="37" cm="1">
        <f t="array" aca="1" ref="BX35" ca="1">INDEX(BX$7:BX$33,$A35)</f>
        <v>0</v>
      </c>
      <c r="BY35" s="37" cm="1">
        <f t="array" aca="1" ref="BY35" ca="1">INDEX(BY$7:BY$33,$A35)</f>
        <v>0</v>
      </c>
      <c r="BZ35" s="37" cm="1">
        <f t="array" aca="1" ref="BZ35" ca="1">INDEX(BZ$7:BZ$33,$A35)</f>
        <v>0</v>
      </c>
    </row>
    <row r="36" spans="1:100" x14ac:dyDescent="0.3">
      <c r="A36" s="49">
        <f ca="1">MATCH(3,$AD$84:$AD$110,0)</f>
        <v>2</v>
      </c>
      <c r="B36" s="49" t="str" cm="1">
        <f t="array" aca="1" ref="B36" ca="1">INDEX(B$7:B$33,A36)</f>
        <v>Sc-1b</v>
      </c>
      <c r="C36" s="100" t="s">
        <v>554</v>
      </c>
      <c r="D36" s="18" t="str" cm="1">
        <f t="array" aca="1" ref="D36" ca="1">INDEX(D$7:D$33,$A36)</f>
        <v>DHL</v>
      </c>
      <c r="E36" s="18" t="str" cm="1">
        <f t="array" aca="1" ref="E36" ca="1">INDEX(E$7:E$33,$A36)</f>
        <v>B</v>
      </c>
      <c r="F36" s="18" t="str" cm="1">
        <f t="array" aca="1" ref="F36" ca="1">INDEX(F$7:F$33,$A36)</f>
        <v>Deep pit slurry system</v>
      </c>
      <c r="G36" s="9" cm="1">
        <f t="array" aca="1" ref="G36" ca="1">INDEX(G$7:G$33,$A36)</f>
        <v>0</v>
      </c>
      <c r="H36" s="37" cm="1">
        <f t="array" aca="1" ref="H36" ca="1">INDEX(H$7:H$33,$A36)</f>
        <v>187.39420738076305</v>
      </c>
      <c r="I36" s="37" cm="1">
        <f t="array" aca="1" ref="I36" ca="1">INDEX(I$7:I$33,$A36)</f>
        <v>65.065295958790145</v>
      </c>
      <c r="J36" s="37" cm="1">
        <f t="array" aca="1" ref="J36" ca="1">INDEX(J$7:J$33,$A36)</f>
        <v>0</v>
      </c>
      <c r="K36" s="37" cm="1">
        <f t="array" aca="1" ref="K36" ca="1">INDEX(K$7:K$33,$A36)</f>
        <v>26.428080656756883</v>
      </c>
      <c r="L36" s="37" cm="1">
        <f t="array" aca="1" ref="L36" ca="1">INDEX(L$7:L$33,$A36)</f>
        <v>0</v>
      </c>
      <c r="M36" s="37" cm="1">
        <f t="array" aca="1" ref="M36" ca="1">INDEX(M$7:M$33,$A36)</f>
        <v>-226.03142268279629</v>
      </c>
      <c r="N36" s="37" cm="1">
        <f t="array" aca="1" ref="N36" ca="1">INDEX(N$7:N$33,$A36)</f>
        <v>0.52071524780695566</v>
      </c>
      <c r="O36" s="37" cm="1">
        <f t="array" aca="1" ref="O36" ca="1">INDEX(O$7:O$33,$A36)</f>
        <v>0.15290585659551295</v>
      </c>
      <c r="P36" s="37" cm="1">
        <f t="array" aca="1" ref="P36" ca="1">INDEX(P$7:P$33,$A36)</f>
        <v>0</v>
      </c>
      <c r="Q36" s="37" cm="1">
        <f t="array" aca="1" ref="Q36" ca="1">INDEX(Q$7:Q$33,$A36)</f>
        <v>0</v>
      </c>
      <c r="R36" s="37" cm="1">
        <f t="array" aca="1" ref="R36" ca="1">INDEX(R$7:R$33,$A36)</f>
        <v>8.8806076154703533</v>
      </c>
      <c r="S36" s="37" cm="1">
        <f t="array" aca="1" ref="S36" ca="1">INDEX(S$7:S$33,$A36)</f>
        <v>5.5112746043841678</v>
      </c>
      <c r="T36" s="37" cm="1">
        <f t="array" aca="1" ref="T36" ca="1">INDEX(T$7:T$33,$A36)</f>
        <v>4.5</v>
      </c>
      <c r="U36" s="37" cm="1">
        <f t="array" aca="1" ref="U36" ca="1">INDEX(U$7:U$33,$A36)</f>
        <v>4.6181272283730701E-3</v>
      </c>
      <c r="V36" s="37" cm="1">
        <f t="array" aca="1" ref="V36" ca="1">INDEX(V$7:V$33,$A36)</f>
        <v>2.75</v>
      </c>
      <c r="W36" s="37" cm="1">
        <f t="array" aca="1" ref="W36" ca="1">INDEX(W$7:W$33,$A36)</f>
        <v>16.100315177561104</v>
      </c>
      <c r="X36" s="37" cm="1">
        <f t="array" aca="1" ref="X36" ca="1">INDEX(X$7:X$33,$A36)</f>
        <v>0</v>
      </c>
      <c r="Y36" s="37" cm="1">
        <f t="array" aca="1" ref="Y36" ca="1">INDEX(Y$7:Y$33,$A36)</f>
        <v>0</v>
      </c>
      <c r="Z36" s="37" cm="1">
        <f t="array" aca="1" ref="Z36" ca="1">INDEX(Z$7:Z$33,$A36)</f>
        <v>0</v>
      </c>
      <c r="AA36" s="37" cm="1">
        <f t="array" aca="1" ref="AA36" ca="1">INDEX(AA$7:AA$33,$A36)</f>
        <v>0</v>
      </c>
      <c r="AB36" s="37" cm="1">
        <f t="array" aca="1" ref="AB36" ca="1">INDEX(AB$7:AB$33,$A36)</f>
        <v>0</v>
      </c>
      <c r="AC36" s="20"/>
      <c r="AD36" s="9" t="str" cm="1">
        <f t="array" aca="1" ref="AD36" ca="1">INDEX(AD$7:AD$33,$A35)</f>
        <v>2A</v>
      </c>
      <c r="AE36" s="18" t="str" cm="1">
        <f t="array" aca="1" ref="AE36" ca="1">INDEX(AE$7:AE$33,$A35)</f>
        <v>Deep pit slurry - Aeration system - TL (A)</v>
      </c>
      <c r="AF36" s="102" cm="1">
        <f t="array" aca="1" ref="AF36" ca="1">INDEX(AF$7:AF$33,$A35)</f>
        <v>0.3093662605738246</v>
      </c>
      <c r="AG36" s="102" cm="1">
        <f t="array" aca="1" ref="AG36" ca="1">INDEX(AG$7:AG$33,$A35)</f>
        <v>9.1748660576578017E-2</v>
      </c>
      <c r="AH36" s="102" cm="1">
        <f t="array" aca="1" ref="AH36" ca="1">INDEX(AH$7:AH$33,$A35)</f>
        <v>0</v>
      </c>
      <c r="AI36" s="102" cm="1">
        <f t="array" aca="1" ref="AI36" ca="1">INDEX(AI$7:AI$33,$A35)</f>
        <v>0</v>
      </c>
      <c r="AJ36" s="102" cm="1">
        <f t="array" aca="1" ref="AJ36" ca="1">INDEX(AJ$7:AJ$33,$A35)</f>
        <v>19.493877938087866</v>
      </c>
      <c r="AK36" s="102" cm="1">
        <f t="array" aca="1" ref="AK36" ca="1">INDEX(AK$7:AK$33,$A35)</f>
        <v>8.8749215826293248</v>
      </c>
      <c r="AL36" s="20"/>
      <c r="AM36" s="18" t="str" cm="1">
        <f t="array" aca="1" ref="AM36" ca="1">INDEX(AM$7:AM$33,$A35)</f>
        <v>2A</v>
      </c>
      <c r="AN36" s="18" t="str" cm="1">
        <f t="array" aca="1" ref="AN36" ca="1">INDEX(AN$7:AN$33,$A35)</f>
        <v>Deep pit slurry - Aeration system - TL (A)</v>
      </c>
      <c r="AO36" s="632" cm="1">
        <f t="array" aca="1" ref="AO36" ca="1">INDEX(AO$7:AO$33,$A35)</f>
        <v>4.4467332870797745E-3</v>
      </c>
      <c r="AP36" s="632" cm="1">
        <f t="array" aca="1" ref="AP36" ca="1">INDEX(AP$7:AP$33,$A35)</f>
        <v>0</v>
      </c>
      <c r="AQ36" s="632" cm="1">
        <f t="array" aca="1" ref="AQ36" ca="1">INDEX(AQ$7:AQ$33,$A35)</f>
        <v>-88.665354960517263</v>
      </c>
      <c r="AR36" s="632" cm="1">
        <f t="array" aca="1" ref="AR36" ca="1">INDEX(AR$7:AR$33,$A35)</f>
        <v>14.903654095344963</v>
      </c>
      <c r="AS36" s="632" cm="1">
        <f t="array" aca="1" ref="AS36" ca="1">INDEX(AS$7:AS$33,$A35)</f>
        <v>0</v>
      </c>
      <c r="AT36" s="632" cm="1">
        <f t="array" aca="1" ref="AT36" ca="1">INDEX(AT$7:AT$33,$A35)</f>
        <v>0</v>
      </c>
      <c r="AV36" s="9" t="str" cm="1">
        <f t="array" aca="1" ref="AV36" ca="1">INDEX(AV$7:AV$33,$A35)</f>
        <v>2A</v>
      </c>
      <c r="AW36" s="9" t="str" cm="1">
        <f t="array" aca="1" ref="AW36" ca="1">INDEX(AW$7:AW$33,$A35)</f>
        <v>Deep pit slurry - Aeration system - TL (A)</v>
      </c>
      <c r="AX36" s="9" cm="1">
        <f t="array" aca="1" ref="AX36" ca="1">INDEX(AX$7:AX$33,$A35)</f>
        <v>0.31381299386090439</v>
      </c>
      <c r="AY36" s="9" cm="1">
        <f t="array" aca="1" ref="AY36" ca="1">INDEX(AY$7:AY$33,$A35)</f>
        <v>9.1748660576578017E-2</v>
      </c>
      <c r="AZ36" s="9" cm="1">
        <f t="array" aca="1" ref="AZ36" ca="1">INDEX(AZ$7:AZ$33,$A35)</f>
        <v>-88.665354960517263</v>
      </c>
      <c r="BA36" s="9" cm="1">
        <f t="array" aca="1" ref="BA36" ca="1">INDEX(BA$7:BA$33,$A35)</f>
        <v>14.903654095344963</v>
      </c>
      <c r="BB36" s="9" cm="1">
        <f t="array" aca="1" ref="BB36" ca="1">INDEX(BB$7:BB$33,$A35)</f>
        <v>19.493877938087866</v>
      </c>
      <c r="BC36" s="9" cm="1">
        <f t="array" aca="1" ref="BC36" ca="1">INDEX(BC$7:BC$33,$A35)</f>
        <v>8.8749215826293248</v>
      </c>
      <c r="BF36" s="37" cm="1">
        <f t="array" aca="1" ref="BF36" ca="1">INDEX(BF$7:BF$33,$A36)</f>
        <v>76.381736002187523</v>
      </c>
      <c r="BG36" s="37" cm="1">
        <f t="array" aca="1" ref="BG36" ca="1">INDEX(BG$7:BG$33,$A36)</f>
        <v>76.381736002187523</v>
      </c>
      <c r="BH36" s="340" cm="1">
        <f t="array" aca="1" ref="BH36" ca="1">INDEX(BH$7:BH$33,$A36)</f>
        <v>76.381736002187523</v>
      </c>
      <c r="BI36" s="7"/>
      <c r="BJ36" s="7"/>
      <c r="BK36" s="7"/>
      <c r="BL36" s="653" cm="1">
        <f t="array" aca="1" ref="BL36" ca="1">INDEX(BL$7:BL$33,$A36)</f>
        <v>16.100315177561104</v>
      </c>
      <c r="BM36" s="37" cm="1">
        <f t="array" aca="1" ref="BM36" ca="1">INDEX(BM$7:BM$33,$A36)</f>
        <v>16.100315177561104</v>
      </c>
      <c r="BN36" s="37" cm="1">
        <f t="array" aca="1" ref="BN36" ca="1">INDEX(BN$7:BN$33,$A36)</f>
        <v>16.100315177561104</v>
      </c>
      <c r="BO36" s="37" cm="1">
        <f t="array" aca="1" ref="BO36" ca="1">INDEX(BO$7:BO$33,$A36)</f>
        <v>0</v>
      </c>
      <c r="BP36" s="37" cm="1">
        <f t="array" aca="1" ref="BP36" ca="1">INDEX(BP$7:BP$33,$A36)</f>
        <v>0</v>
      </c>
      <c r="BQ36" s="37" cm="1">
        <f t="array" aca="1" ref="BQ36" ca="1">INDEX(BQ$7:BQ$33,$A36)</f>
        <v>0</v>
      </c>
      <c r="BR36" s="37" cm="1">
        <f t="array" aca="1" ref="BR36" ca="1">INDEX(BR$7:BR$33,$A36)</f>
        <v>0</v>
      </c>
      <c r="BS36" s="37" cm="1">
        <f t="array" aca="1" ref="BS36" ca="1">INDEX(BS$7:BS$33,$A36)</f>
        <v>0</v>
      </c>
      <c r="BT36" s="37" cm="1">
        <f t="array" aca="1" ref="BT36" ca="1">INDEX(BT$7:BT$33,$A36)</f>
        <v>0</v>
      </c>
      <c r="BU36" s="37" cm="1">
        <f t="array" aca="1" ref="BU36" ca="1">INDEX(BU$7:BU$33,$A36)</f>
        <v>23.618263997812477</v>
      </c>
      <c r="BV36" s="37" cm="1">
        <f t="array" aca="1" ref="BV36" ca="1">INDEX(BV$7:BV$33,$A36)</f>
        <v>23.618263997812477</v>
      </c>
      <c r="BW36" s="37" cm="1">
        <f t="array" aca="1" ref="BW36" ca="1">INDEX(BW$7:BW$33,$A36)</f>
        <v>23.618263997812477</v>
      </c>
      <c r="BX36" s="37" cm="1">
        <f t="array" aca="1" ref="BX36" ca="1">INDEX(BX$7:BX$33,$A36)</f>
        <v>0</v>
      </c>
      <c r="BY36" s="37" cm="1">
        <f t="array" aca="1" ref="BY36" ca="1">INDEX(BY$7:BY$33,$A36)</f>
        <v>0</v>
      </c>
      <c r="BZ36" s="37" cm="1">
        <f t="array" aca="1" ref="BZ36" ca="1">INDEX(BZ$7:BZ$33,$A36)</f>
        <v>0</v>
      </c>
    </row>
    <row r="37" spans="1:100" x14ac:dyDescent="0.3">
      <c r="A37" s="49">
        <f ca="1">MATCH(4,$AD$84:$AD$110,0)</f>
        <v>4</v>
      </c>
      <c r="B37" s="49" t="str" cm="1">
        <f t="array" aca="1" ref="B37" ca="1">INDEX(B$7:B$33,A37)</f>
        <v>Sc - 2b</v>
      </c>
      <c r="C37" s="100" t="s">
        <v>555</v>
      </c>
      <c r="D37" s="18" t="str" cm="1">
        <f t="array" aca="1" ref="D37" ca="1">INDEX(D$7:D$33,$A37)</f>
        <v>DHL</v>
      </c>
      <c r="E37" s="18" t="str" cm="1">
        <f t="array" aca="1" ref="E37" ca="1">INDEX(E$7:E$33,$A37)</f>
        <v>B</v>
      </c>
      <c r="F37" s="18" t="str" cm="1">
        <f t="array" aca="1" ref="F37" ca="1">INDEX(F$7:F$33,$A37)</f>
        <v>Deep pit slurry - Aeration system</v>
      </c>
      <c r="G37" s="9" cm="1">
        <f t="array" aca="1" ref="G37" ca="1">INDEX(G$7:G$33,$A37)</f>
        <v>0</v>
      </c>
      <c r="H37" s="37" cm="1">
        <f t="array" aca="1" ref="H37" ca="1">INDEX(H$7:H$33,$A37)</f>
        <v>161.4622436895265</v>
      </c>
      <c r="I37" s="37" cm="1">
        <f t="array" aca="1" ref="I37" ca="1">INDEX(I$7:I$33,$A37)</f>
        <v>57.258864061153815</v>
      </c>
      <c r="J37" s="37" cm="1">
        <f t="array" aca="1" ref="J37" ca="1">INDEX(J$7:J$33,$A37)</f>
        <v>0</v>
      </c>
      <c r="K37" s="37" cm="1">
        <f t="array" aca="1" ref="K37" ca="1">INDEX(K$7:K$33,$A37)</f>
        <v>15.847869406081076</v>
      </c>
      <c r="L37" s="37" cm="1">
        <f t="array" aca="1" ref="L37" ca="1">INDEX(L$7:L$33,$A37)</f>
        <v>0</v>
      </c>
      <c r="M37" s="37" cm="1">
        <f t="array" aca="1" ref="M37" ca="1">INDEX(M$7:M$33,$A37)</f>
        <v>-202.87323834459923</v>
      </c>
      <c r="N37" s="37" cm="1">
        <f t="array" aca="1" ref="N37" ca="1">INDEX(N$7:N$33,$A37)</f>
        <v>0.31062357777460914</v>
      </c>
      <c r="O37" s="37" cm="1">
        <f t="array" aca="1" ref="O37" ca="1">INDEX(O$7:O$33,$A37)</f>
        <v>9.1748660576578017E-2</v>
      </c>
      <c r="P37" s="37" cm="1">
        <f t="array" aca="1" ref="P37" ca="1">INDEX(P$7:P$33,$A37)</f>
        <v>0</v>
      </c>
      <c r="Q37" s="37" cm="1">
        <f t="array" aca="1" ref="Q37" ca="1">INDEX(Q$7:Q$33,$A37)</f>
        <v>0</v>
      </c>
      <c r="R37" s="37" cm="1">
        <f t="array" aca="1" ref="R37" ca="1">INDEX(R$7:R$33,$A37)</f>
        <v>19.493877938087866</v>
      </c>
      <c r="S37" s="37" cm="1">
        <f t="array" aca="1" ref="S37" ca="1">INDEX(S$7:S$33,$A37)</f>
        <v>8.8749215826293248</v>
      </c>
      <c r="T37" s="37" cm="1">
        <f t="array" aca="1" ref="T37" ca="1">INDEX(T$7:T$33,$A37)</f>
        <v>3.6666666666666665</v>
      </c>
      <c r="U37" s="37" cm="1">
        <f t="array" aca="1" ref="U37" ca="1">INDEX(U$7:U$33,$A37)</f>
        <v>1.9162519889876273E-2</v>
      </c>
      <c r="V37" s="37" cm="1">
        <f t="array" aca="1" ref="V37" ca="1">INDEX(V$7:V$33,$A37)</f>
        <v>2.75</v>
      </c>
      <c r="W37" s="37" cm="1">
        <f t="array" aca="1" ref="W37" ca="1">INDEX(W$7:W$33,$A37)</f>
        <v>9.6547189954749015</v>
      </c>
      <c r="X37" s="37" cm="1">
        <f t="array" aca="1" ref="X37" ca="1">INDEX(X$7:X$33,$A37)</f>
        <v>0</v>
      </c>
      <c r="Y37" s="37" cm="1">
        <f t="array" aca="1" ref="Y37" ca="1">INDEX(Y$7:Y$33,$A37)</f>
        <v>0</v>
      </c>
      <c r="Z37" s="37" cm="1">
        <f t="array" aca="1" ref="Z37" ca="1">INDEX(Z$7:Z$33,$A37)</f>
        <v>0</v>
      </c>
      <c r="AA37" s="37" cm="1">
        <f t="array" aca="1" ref="AA37" ca="1">INDEX(AA$7:AA$33,$A37)</f>
        <v>0</v>
      </c>
      <c r="AB37" s="37" cm="1">
        <f t="array" aca="1" ref="AB37" ca="1">INDEX(AB$7:AB$33,$A37)</f>
        <v>0</v>
      </c>
      <c r="AC37" s="20"/>
      <c r="AD37" s="9" t="str" cm="1">
        <f t="array" aca="1" ref="AD37" ca="1">INDEX(AD$7:AD$33,$A36)</f>
        <v>1B</v>
      </c>
      <c r="AE37" s="18" t="str" cm="1">
        <f t="array" aca="1" ref="AE37" ca="1">INDEX(AE$7:AE$33,$A36)</f>
        <v>Deep pit slurry system - DHL (B)</v>
      </c>
      <c r="AF37" s="102" cm="1">
        <f t="array" aca="1" ref="AF37" ca="1">INDEX(AF$7:AF$33,$A36)</f>
        <v>0.52071524780695566</v>
      </c>
      <c r="AG37" s="102" cm="1">
        <f t="array" aca="1" ref="AG37" ca="1">INDEX(AG$7:AG$33,$A36)</f>
        <v>0.15290585659551295</v>
      </c>
      <c r="AH37" s="102" cm="1">
        <f t="array" aca="1" ref="AH37" ca="1">INDEX(AH$7:AH$33,$A36)</f>
        <v>0</v>
      </c>
      <c r="AI37" s="102" cm="1">
        <f t="array" aca="1" ref="AI37" ca="1">INDEX(AI$7:AI$33,$A36)</f>
        <v>0</v>
      </c>
      <c r="AJ37" s="102" cm="1">
        <f t="array" aca="1" ref="AJ37" ca="1">INDEX(AJ$7:AJ$33,$A36)</f>
        <v>8.8806076154703533</v>
      </c>
      <c r="AK37" s="102" cm="1">
        <f t="array" aca="1" ref="AK37" ca="1">INDEX(AK$7:AK$33,$A36)</f>
        <v>5.5112746043841678</v>
      </c>
      <c r="AL37" s="20"/>
      <c r="AM37" s="18" t="str" cm="1">
        <f t="array" aca="1" ref="AM37" ca="1">INDEX(AM$7:AM$33,$A36)</f>
        <v>1B</v>
      </c>
      <c r="AN37" s="18" t="str" cm="1">
        <f t="array" aca="1" ref="AN37" ca="1">INDEX(AN$7:AN$33,$A36)</f>
        <v>Deep pit slurry system - DHL (B)</v>
      </c>
      <c r="AO37" s="632" cm="1">
        <f t="array" aca="1" ref="AO37" ca="1">INDEX(AO$7:AO$33,$A36)</f>
        <v>-1.1402117033206725E-2</v>
      </c>
      <c r="AP37" s="632" cm="1">
        <f t="array" aca="1" ref="AP37" ca="1">INDEX(AP$7:AP$33,$A36)</f>
        <v>0</v>
      </c>
      <c r="AQ37" s="632" cm="1">
        <f t="array" aca="1" ref="AQ37" ca="1">INDEX(AQ$7:AQ$33,$A36)</f>
        <v>-159.24980133021793</v>
      </c>
      <c r="AR37" s="632" cm="1">
        <f t="array" aca="1" ref="AR37" ca="1">INDEX(AR$7:AR$33,$A36)</f>
        <v>5.1681314895837227</v>
      </c>
      <c r="AS37" s="632" cm="1">
        <f t="array" aca="1" ref="AS37" ca="1">INDEX(AS$7:AS$33,$A36)</f>
        <v>0</v>
      </c>
      <c r="AT37" s="632" cm="1">
        <f t="array" aca="1" ref="AT37" ca="1">INDEX(AT$7:AT$33,$A36)</f>
        <v>0</v>
      </c>
      <c r="AV37" s="9" t="str" cm="1">
        <f t="array" aca="1" ref="AV37" ca="1">INDEX(AV$7:AV$33,$A36)</f>
        <v>1B</v>
      </c>
      <c r="AW37" s="9" t="str" cm="1">
        <f t="array" aca="1" ref="AW37" ca="1">INDEX(AW$7:AW$33,$A36)</f>
        <v>Deep pit slurry system - DHL (B)</v>
      </c>
      <c r="AX37" s="9" cm="1">
        <f t="array" aca="1" ref="AX37" ca="1">INDEX(AX$7:AX$33,$A36)</f>
        <v>0.50931313077374896</v>
      </c>
      <c r="AY37" s="9" cm="1">
        <f t="array" aca="1" ref="AY37" ca="1">INDEX(AY$7:AY$33,$A36)</f>
        <v>0.15290585659551295</v>
      </c>
      <c r="AZ37" s="9" cm="1">
        <f t="array" aca="1" ref="AZ37" ca="1">INDEX(AZ$7:AZ$33,$A36)</f>
        <v>-159.24980133021793</v>
      </c>
      <c r="BA37" s="9" cm="1">
        <f t="array" aca="1" ref="BA37" ca="1">INDEX(BA$7:BA$33,$A36)</f>
        <v>5.1681314895837227</v>
      </c>
      <c r="BB37" s="9" cm="1">
        <f t="array" aca="1" ref="BB37" ca="1">INDEX(BB$7:BB$33,$A36)</f>
        <v>8.8806076154703533</v>
      </c>
      <c r="BC37" s="9" cm="1">
        <f t="array" aca="1" ref="BC37" ca="1">INDEX(BC$7:BC$33,$A36)</f>
        <v>5.5112746043841678</v>
      </c>
      <c r="BF37" s="37" cm="1">
        <f t="array" aca="1" ref="BF37" ca="1">INDEX(BF$7:BF$33,$A37)</f>
        <v>45.80309076902045</v>
      </c>
      <c r="BG37" s="37" cm="1">
        <f t="array" aca="1" ref="BG37" ca="1">INDEX(BG$7:BG$33,$A37)</f>
        <v>45.80309076902045</v>
      </c>
      <c r="BH37" s="340" cm="1">
        <f t="array" aca="1" ref="BH37" ca="1">INDEX(BH$7:BH$33,$A37)</f>
        <v>45.80309076902045</v>
      </c>
      <c r="BI37" s="7"/>
      <c r="BJ37" s="7"/>
      <c r="BK37" s="7"/>
      <c r="BL37" s="653" cm="1">
        <f t="array" aca="1" ref="BL37" ca="1">INDEX(BL$7:BL$33,$A37)</f>
        <v>9.6547189954749015</v>
      </c>
      <c r="BM37" s="37" cm="1">
        <f t="array" aca="1" ref="BM37" ca="1">INDEX(BM$7:BM$33,$A37)</f>
        <v>9.6547189954749015</v>
      </c>
      <c r="BN37" s="37" cm="1">
        <f t="array" aca="1" ref="BN37" ca="1">INDEX(BN$7:BN$33,$A37)</f>
        <v>9.6547189954749015</v>
      </c>
      <c r="BO37" s="37" cm="1">
        <f t="array" aca="1" ref="BO37" ca="1">INDEX(BO$7:BO$33,$A37)</f>
        <v>0</v>
      </c>
      <c r="BP37" s="37" cm="1">
        <f t="array" aca="1" ref="BP37" ca="1">INDEX(BP$7:BP$33,$A37)</f>
        <v>0</v>
      </c>
      <c r="BQ37" s="37" cm="1">
        <f t="array" aca="1" ref="BQ37" ca="1">INDEX(BQ$7:BQ$33,$A37)</f>
        <v>0</v>
      </c>
      <c r="BR37" s="37" cm="1">
        <f t="array" aca="1" ref="BR37" ca="1">INDEX(BR$7:BR$33,$A37)</f>
        <v>0</v>
      </c>
      <c r="BS37" s="37" cm="1">
        <f t="array" aca="1" ref="BS37" ca="1">INDEX(BS$7:BS$33,$A37)</f>
        <v>0</v>
      </c>
      <c r="BT37" s="37" cm="1">
        <f t="array" aca="1" ref="BT37" ca="1">INDEX(BT$7:BT$33,$A37)</f>
        <v>0</v>
      </c>
      <c r="BU37" s="37" cm="1">
        <f t="array" aca="1" ref="BU37" ca="1">INDEX(BU$7:BU$33,$A37)</f>
        <v>54.19690923097955</v>
      </c>
      <c r="BV37" s="37" cm="1">
        <f t="array" aca="1" ref="BV37" ca="1">INDEX(BV$7:BV$33,$A37)</f>
        <v>54.19690923097955</v>
      </c>
      <c r="BW37" s="37" cm="1">
        <f t="array" aca="1" ref="BW37" ca="1">INDEX(BW$7:BW$33,$A37)</f>
        <v>54.19690923097955</v>
      </c>
      <c r="BX37" s="37" cm="1">
        <f t="array" aca="1" ref="BX37" ca="1">INDEX(BX$7:BX$33,$A37)</f>
        <v>0</v>
      </c>
      <c r="BY37" s="37" cm="1">
        <f t="array" aca="1" ref="BY37" ca="1">INDEX(BY$7:BY$33,$A37)</f>
        <v>0</v>
      </c>
      <c r="BZ37" s="37" cm="1">
        <f t="array" aca="1" ref="BZ37" ca="1">INDEX(BZ$7:BZ$33,$A37)</f>
        <v>0</v>
      </c>
    </row>
    <row r="38" spans="1:100" x14ac:dyDescent="0.3">
      <c r="A38" s="49">
        <f ca="1">MATCH(5,$AD$84:$AD$110,0)</f>
        <v>7</v>
      </c>
      <c r="B38" s="49" t="str" cm="1">
        <f t="array" aca="1" ref="B38" ca="1">INDEX(B$7:B$33,A38)</f>
        <v>Sc - 4a</v>
      </c>
      <c r="C38" s="100" t="s">
        <v>2191</v>
      </c>
      <c r="D38" s="18" t="str" cm="1">
        <f t="array" aca="1" ref="D38" ca="1">INDEX(D$7:D$33,$A38)</f>
        <v>TL</v>
      </c>
      <c r="E38" s="18" t="str" cm="1">
        <f t="array" aca="1" ref="E38" ca="1">INDEX(E$7:E$33,$A38)</f>
        <v>A</v>
      </c>
      <c r="F38" s="18" t="str" cm="1">
        <f t="array" aca="1" ref="F38" ca="1">INDEX(F$7:F$33,$A38)</f>
        <v>Scrape - Lagoon</v>
      </c>
      <c r="G38" s="9" cm="1">
        <f t="array" aca="1" ref="G38" ca="1">INDEX(G$7:G$33,$A38)</f>
        <v>0</v>
      </c>
      <c r="H38" s="37" cm="1">
        <f t="array" aca="1" ref="H38" ca="1">INDEX(H$7:H$33,$A38)</f>
        <v>100.82985631468424</v>
      </c>
      <c r="I38" s="37" cm="1">
        <f t="array" aca="1" ref="I38" ca="1">INDEX(I$7:I$33,$A38)</f>
        <v>33.922179351332879</v>
      </c>
      <c r="J38" s="37" cm="1">
        <f t="array" aca="1" ref="J38" ca="1">INDEX(J$7:J$33,$A38)</f>
        <v>0</v>
      </c>
      <c r="K38" s="37" cm="1">
        <f t="array" aca="1" ref="K38" ca="1">INDEX(K$7:K$33,$A38)</f>
        <v>13.165171648763495</v>
      </c>
      <c r="L38" s="37" cm="1">
        <f t="array" aca="1" ref="L38" ca="1">INDEX(L$7:L$33,$A38)</f>
        <v>0</v>
      </c>
      <c r="M38" s="37" cm="1">
        <f t="array" aca="1" ref="M38" ca="1">INDEX(M$7:M$33,$A38)</f>
        <v>-121.58686401725362</v>
      </c>
      <c r="N38" s="37" cm="1">
        <f t="array" aca="1" ref="N38" ca="1">INDEX(N$7:N$33,$A38)</f>
        <v>1.0331861182773208</v>
      </c>
      <c r="O38" s="37" cm="1">
        <f t="array" aca="1" ref="O38" ca="1">INDEX(O$7:O$33,$A38)</f>
        <v>8.0334528050857806E-2</v>
      </c>
      <c r="P38" s="37" cm="1">
        <f t="array" aca="1" ref="P38" ca="1">INDEX(P$7:P$33,$A38)</f>
        <v>0</v>
      </c>
      <c r="Q38" s="37" cm="1">
        <f t="array" aca="1" ref="Q38" ca="1">INDEX(Q$7:Q$33,$A38)</f>
        <v>29.896989112683265</v>
      </c>
      <c r="R38" s="37" cm="1">
        <f t="array" aca="1" ref="R38" ca="1">INDEX(R$7:R$33,$A38)</f>
        <v>21.167071104036143</v>
      </c>
      <c r="S38" s="37" cm="1">
        <f t="array" aca="1" ref="S38" ca="1">INDEX(S$7:S$33,$A38)</f>
        <v>6.8559239300960995</v>
      </c>
      <c r="T38" s="37" cm="1">
        <f t="array" aca="1" ref="T38" ca="1">INDEX(T$7:T$33,$A38)</f>
        <v>2.8333333333333335</v>
      </c>
      <c r="U38" s="37" cm="1">
        <f t="array" aca="1" ref="U38" ca="1">INDEX(U$7:U$33,$A38)</f>
        <v>3.4680565373749639E-2</v>
      </c>
      <c r="V38" s="37" cm="1">
        <f t="array" aca="1" ref="V38" ca="1">INDEX(V$7:V$33,$A38)</f>
        <v>2</v>
      </c>
      <c r="W38" s="37" cm="1">
        <f t="array" aca="1" ref="W38" ca="1">INDEX(W$7:W$33,$A38)</f>
        <v>10.871040768006885</v>
      </c>
      <c r="X38" s="37" cm="1">
        <f t="array" aca="1" ref="X38" ca="1">INDEX(X$7:X$33,$A38)</f>
        <v>0</v>
      </c>
      <c r="Y38" s="37" cm="1">
        <f t="array" aca="1" ref="Y38" ca="1">INDEX(Y$7:Y$33,$A38)</f>
        <v>0</v>
      </c>
      <c r="Z38" s="37" cm="1">
        <f t="array" aca="1" ref="Z38" ca="1">INDEX(Z$7:Z$33,$A38)</f>
        <v>2346.5176237203291</v>
      </c>
      <c r="AA38" s="37" cm="1">
        <f t="array" aca="1" ref="AA38" ca="1">INDEX(AA$7:AA$33,$A38)</f>
        <v>0</v>
      </c>
      <c r="AB38" s="37" cm="1">
        <f t="array" aca="1" ref="AB38" ca="1">INDEX(AB$7:AB$33,$A38)</f>
        <v>234.65176237203292</v>
      </c>
      <c r="AC38" s="20"/>
      <c r="AD38" s="9" t="str" cm="1">
        <f t="array" aca="1" ref="AD38" ca="1">INDEX(AD$7:AD$33,$A37)</f>
        <v>2B</v>
      </c>
      <c r="AE38" s="18" t="str" cm="1">
        <f t="array" aca="1" ref="AE38" ca="1">INDEX(AE$7:AE$33,$A37)</f>
        <v>Deep pit slurry - Aeration system - DHL (B)</v>
      </c>
      <c r="AF38" s="102" cm="1">
        <f t="array" aca="1" ref="AF38" ca="1">INDEX(AF$7:AF$33,$A37)</f>
        <v>0.31062357777460914</v>
      </c>
      <c r="AG38" s="102" cm="1">
        <f t="array" aca="1" ref="AG38" ca="1">INDEX(AG$7:AG$33,$A37)</f>
        <v>9.1748660576578017E-2</v>
      </c>
      <c r="AH38" s="102" cm="1">
        <f t="array" aca="1" ref="AH38" ca="1">INDEX(AH$7:AH$33,$A37)</f>
        <v>0</v>
      </c>
      <c r="AI38" s="102" cm="1">
        <f t="array" aca="1" ref="AI38" ca="1">INDEX(AI$7:AI$33,$A37)</f>
        <v>0</v>
      </c>
      <c r="AJ38" s="102" cm="1">
        <f t="array" aca="1" ref="AJ38" ca="1">INDEX(AJ$7:AJ$33,$A37)</f>
        <v>19.493877938087866</v>
      </c>
      <c r="AK38" s="102" cm="1">
        <f t="array" aca="1" ref="AK38" ca="1">INDEX(AK$7:AK$33,$A37)</f>
        <v>8.8749215826293248</v>
      </c>
      <c r="AL38" s="20"/>
      <c r="AM38" s="18" t="str" cm="1">
        <f t="array" aca="1" ref="AM38" ca="1">INDEX(AM$7:AM$33,$A37)</f>
        <v>2B</v>
      </c>
      <c r="AN38" s="18" t="str" cm="1">
        <f t="array" aca="1" ref="AN38" ca="1">INDEX(AN$7:AN$33,$A37)</f>
        <v>Deep pit slurry - Aeration system - DHL (B)</v>
      </c>
      <c r="AO38" s="632" cm="1">
        <f t="array" aca="1" ref="AO38" ca="1">INDEX(AO$7:AO$33,$A37)</f>
        <v>5.2522932063997323E-3</v>
      </c>
      <c r="AP38" s="632" cm="1">
        <f t="array" aca="1" ref="AP38" ca="1">INDEX(AP$7:AP$33,$A37)</f>
        <v>0</v>
      </c>
      <c r="AQ38" s="632" cm="1">
        <f t="array" aca="1" ref="AQ38" ca="1">INDEX(AQ$7:AQ$33,$A37)</f>
        <v>-80.607920236240062</v>
      </c>
      <c r="AR38" s="632" cm="1">
        <f t="array" aca="1" ref="AR38" ca="1">INDEX(AR$7:AR$33,$A37)</f>
        <v>17.031717845410885</v>
      </c>
      <c r="AS38" s="632" cm="1">
        <f t="array" aca="1" ref="AS38" ca="1">INDEX(AS$7:AS$33,$A37)</f>
        <v>0</v>
      </c>
      <c r="AT38" s="632" cm="1">
        <f t="array" aca="1" ref="AT38" ca="1">INDEX(AT$7:AT$33,$A37)</f>
        <v>0</v>
      </c>
      <c r="AV38" s="9" t="str" cm="1">
        <f t="array" aca="1" ref="AV38" ca="1">INDEX(AV$7:AV$33,$A37)</f>
        <v>2B</v>
      </c>
      <c r="AW38" s="9" t="str" cm="1">
        <f t="array" aca="1" ref="AW38" ca="1">INDEX(AW$7:AW$33,$A37)</f>
        <v>Deep pit slurry - Aeration system - DHL (B)</v>
      </c>
      <c r="AX38" s="9" cm="1">
        <f t="array" aca="1" ref="AX38" ca="1">INDEX(AX$7:AX$33,$A37)</f>
        <v>0.31587587098100883</v>
      </c>
      <c r="AY38" s="9" cm="1">
        <f t="array" aca="1" ref="AY38" ca="1">INDEX(AY$7:AY$33,$A37)</f>
        <v>9.1748660576578017E-2</v>
      </c>
      <c r="AZ38" s="9" cm="1">
        <f t="array" aca="1" ref="AZ38" ca="1">INDEX(AZ$7:AZ$33,$A37)</f>
        <v>-80.607920236240062</v>
      </c>
      <c r="BA38" s="9" cm="1">
        <f t="array" aca="1" ref="BA38" ca="1">INDEX(BA$7:BA$33,$A37)</f>
        <v>17.031717845410885</v>
      </c>
      <c r="BB38" s="9" cm="1">
        <f t="array" aca="1" ref="BB38" ca="1">INDEX(BB$7:BB$33,$A37)</f>
        <v>19.493877938087866</v>
      </c>
      <c r="BC38" s="9" cm="1">
        <f t="array" aca="1" ref="BC38" ca="1">INDEX(BC$7:BC$33,$A37)</f>
        <v>8.8749215826293248</v>
      </c>
      <c r="BF38" s="37" cm="1">
        <f t="array" aca="1" ref="BF38" ca="1">INDEX(BF$7:BF$33,$A38)</f>
        <v>152.14483608267398</v>
      </c>
      <c r="BG38" s="37" cm="1">
        <f t="array" aca="1" ref="BG38" ca="1">INDEX(BG$7:BG$33,$A38)</f>
        <v>32.591270749752816</v>
      </c>
      <c r="BH38" s="340" cm="1">
        <f t="array" aca="1" ref="BH38" ca="1">INDEX(BH$7:BH$33,$A38)</f>
        <v>44.546627283044927</v>
      </c>
      <c r="BI38" s="7"/>
      <c r="BJ38" s="7"/>
      <c r="BK38" s="7"/>
      <c r="BL38" s="653" cm="1">
        <f t="array" aca="1" ref="BL38" ca="1">INDEX(BL$7:BL$33,$A38)</f>
        <v>64.030080641631059</v>
      </c>
      <c r="BM38" s="37" cm="1">
        <f t="array" aca="1" ref="BM38" ca="1">INDEX(BM$7:BM$33,$A38)</f>
        <v>10.871040768006885</v>
      </c>
      <c r="BN38" s="37" cm="1">
        <f t="array" aca="1" ref="BN38" ca="1">INDEX(BN$7:BN$33,$A38)</f>
        <v>16.186944755369304</v>
      </c>
      <c r="BO38" s="37" cm="1">
        <f t="array" aca="1" ref="BO38" ca="1">INDEX(BO$7:BO$33,$A38)</f>
        <v>2346.5176237203291</v>
      </c>
      <c r="BP38" s="37" cm="1">
        <f t="array" aca="1" ref="BP38" ca="1">INDEX(BP$7:BP$33,$A38)</f>
        <v>0</v>
      </c>
      <c r="BQ38" s="37" cm="1">
        <f t="array" aca="1" ref="BQ38" ca="1">INDEX(BQ$7:BQ$33,$A38)</f>
        <v>0</v>
      </c>
      <c r="BR38" s="37" cm="1">
        <f t="array" aca="1" ref="BR38" ca="1">INDEX(BR$7:BR$33,$A38)</f>
        <v>0</v>
      </c>
      <c r="BS38" s="37" cm="1">
        <f t="array" aca="1" ref="BS38" ca="1">INDEX(BS$7:BS$33,$A38)</f>
        <v>234.65176237203292</v>
      </c>
      <c r="BT38" s="37" cm="1">
        <f t="array" aca="1" ref="BT38" ca="1">INDEX(BT$7:BT$33,$A38)</f>
        <v>0</v>
      </c>
      <c r="BU38" s="37" cm="1">
        <f t="array" aca="1" ref="BU38" ca="1">INDEX(BU$7:BU$33,$A38)</f>
        <v>-52.144836082673976</v>
      </c>
      <c r="BV38" s="37" cm="1">
        <f t="array" aca="1" ref="BV38" ca="1">INDEX(BV$7:BV$33,$A38)</f>
        <v>67.408729250247177</v>
      </c>
      <c r="BW38" s="37" cm="1">
        <f t="array" aca="1" ref="BW38" ca="1">INDEX(BW$7:BW$33,$A38)</f>
        <v>55.453372716955073</v>
      </c>
      <c r="BX38" s="37" cm="1">
        <f t="array" aca="1" ref="BX38" ca="1">INDEX(BX$7:BX$33,$A38)</f>
        <v>52.144836082673976</v>
      </c>
      <c r="BY38" s="37" cm="1">
        <f t="array" aca="1" ref="BY38" ca="1">INDEX(BY$7:BY$33,$A38)</f>
        <v>0</v>
      </c>
      <c r="BZ38" s="37" cm="1">
        <f t="array" aca="1" ref="BZ38" ca="1">INDEX(BZ$7:BZ$33,$A38)</f>
        <v>5.2144836082673978</v>
      </c>
    </row>
    <row r="39" spans="1:100" x14ac:dyDescent="0.3">
      <c r="A39" s="49">
        <f ca="1">MATCH(6,$AD$84:$AD$110,0)</f>
        <v>5</v>
      </c>
      <c r="B39" s="49" t="str" cm="1">
        <f t="array" aca="1" ref="B39" ca="1">INDEX(B$7:B$33,A39)</f>
        <v>Sc - 3a</v>
      </c>
      <c r="C39" s="100" t="s">
        <v>4967</v>
      </c>
      <c r="D39" s="18" t="str" cm="1">
        <f t="array" aca="1" ref="D39" ca="1">INDEX(D$7:D$33,$A39)</f>
        <v>TL</v>
      </c>
      <c r="E39" s="18" t="str" cm="1">
        <f t="array" aca="1" ref="E39" ca="1">INDEX(E$7:E$33,$A39)</f>
        <v>A</v>
      </c>
      <c r="F39" s="18" t="str" cm="1">
        <f t="array" aca="1" ref="F39" ca="1">INDEX(F$7:F$33,$A39)</f>
        <v xml:space="preserve">Flush - Lagoon </v>
      </c>
      <c r="G39" s="9" cm="1">
        <f t="array" aca="1" ref="G39" ca="1">INDEX(G$7:G$33,$A39)</f>
        <v>0</v>
      </c>
      <c r="H39" s="37" cm="1">
        <f t="array" aca="1" ref="H39" ca="1">INDEX(H$7:H$33,$A39)</f>
        <v>107.01067504727503</v>
      </c>
      <c r="I39" s="37" cm="1">
        <f t="array" aca="1" ref="I39" ca="1">INDEX(I$7:I$33,$A39)</f>
        <v>78.012649176022421</v>
      </c>
      <c r="J39" s="37" cm="1">
        <f t="array" aca="1" ref="J39" ca="1">INDEX(J$7:J$33,$A39)</f>
        <v>21.122905164349451</v>
      </c>
      <c r="K39" s="37" cm="1">
        <f t="array" aca="1" ref="K39" ca="1">INDEX(K$7:K$33,$A39)</f>
        <v>11.779090104659463</v>
      </c>
      <c r="L39" s="37" cm="1">
        <f t="array" aca="1" ref="L39" ca="1">INDEX(L$7:L$33,$A39)</f>
        <v>0</v>
      </c>
      <c r="M39" s="37" cm="1">
        <f t="array" aca="1" ref="M39" ca="1">INDEX(M$7:M$33,$A39)</f>
        <v>-173.24423411863799</v>
      </c>
      <c r="N39" s="37" cm="1">
        <f t="array" aca="1" ref="N39" ca="1">INDEX(N$7:N$33,$A39)</f>
        <v>1.0374062532352302</v>
      </c>
      <c r="O39" s="37" cm="1">
        <f t="array" aca="1" ref="O39" ca="1">INDEX(O$7:O$33,$A39)</f>
        <v>7.3582354609956033E-2</v>
      </c>
      <c r="P39" s="37" cm="1">
        <f t="array" aca="1" ref="P39" ca="1">INDEX(P$7:P$33,$A39)</f>
        <v>0</v>
      </c>
      <c r="Q39" s="37" cm="1">
        <f t="array" aca="1" ref="Q39" ca="1">INDEX(Q$7:Q$33,$A39)</f>
        <v>29.896989112683265</v>
      </c>
      <c r="R39" s="37" cm="1">
        <f t="array" aca="1" ref="R39" ca="1">INDEX(R$7:R$33,$A39)</f>
        <v>22.923877597820468</v>
      </c>
      <c r="S39" s="37" cm="1">
        <f t="array" aca="1" ref="S39" ca="1">INDEX(S$7:S$33,$A39)</f>
        <v>7.4243912015567393</v>
      </c>
      <c r="T39" s="37" cm="1">
        <f t="array" aca="1" ref="T39" ca="1">INDEX(T$7:T$33,$A39)</f>
        <v>3.5</v>
      </c>
      <c r="U39" s="37" cm="1">
        <f t="array" aca="1" ref="U39" ca="1">INDEX(U$7:U$33,$A39)</f>
        <v>1.2278637565967476E-2</v>
      </c>
      <c r="V39" s="37" cm="1">
        <f t="array" aca="1" ref="V39" ca="1">INDEX(V$7:V$33,$A39)</f>
        <v>2</v>
      </c>
      <c r="W39" s="37" cm="1">
        <f t="array" aca="1" ref="W39" ca="1">INDEX(W$7:W$33,$A39)</f>
        <v>12.703423907090624</v>
      </c>
      <c r="X39" s="37" cm="1">
        <f t="array" aca="1" ref="X39" ca="1">INDEX(X$7:X$33,$A39)</f>
        <v>0</v>
      </c>
      <c r="Y39" s="37" cm="1">
        <f t="array" aca="1" ref="Y39" ca="1">INDEX(Y$7:Y$33,$A39)</f>
        <v>0</v>
      </c>
      <c r="Z39" s="37" cm="1">
        <f t="array" aca="1" ref="Z39" ca="1">INDEX(Z$7:Z$33,$A39)</f>
        <v>2177.5202983863451</v>
      </c>
      <c r="AA39" s="37" cm="1">
        <f t="array" aca="1" ref="AA39" ca="1">INDEX(AA$7:AA$33,$A39)</f>
        <v>0</v>
      </c>
      <c r="AB39" s="37" cm="1">
        <f t="array" aca="1" ref="AB39" ca="1">INDEX(AB$7:AB$33,$A39)</f>
        <v>217.75202983863451</v>
      </c>
      <c r="AC39" s="20"/>
      <c r="AD39" s="9" t="str" cm="1">
        <f t="array" aca="1" ref="AD39" ca="1">INDEX(AD$7:AD$33,$A38)</f>
        <v>4A</v>
      </c>
      <c r="AE39" s="18" t="str" cm="1">
        <f t="array" aca="1" ref="AE39" ca="1">INDEX(AE$7:AE$33,$A38)</f>
        <v>Scrape - Lagoon - TL (A)</v>
      </c>
      <c r="AF39" s="102" cm="1">
        <f t="array" aca="1" ref="AF39" ca="1">INDEX(AF$7:AF$33,$A38)</f>
        <v>1.0331861182773208</v>
      </c>
      <c r="AG39" s="102" cm="1">
        <f t="array" aca="1" ref="AG39" ca="1">INDEX(AG$7:AG$33,$A38)</f>
        <v>8.0334528050857806E-2</v>
      </c>
      <c r="AH39" s="102" cm="1">
        <f t="array" aca="1" ref="AH39" ca="1">INDEX(AH$7:AH$33,$A38)</f>
        <v>0</v>
      </c>
      <c r="AI39" s="102" cm="1">
        <f t="array" aca="1" ref="AI39" ca="1">INDEX(AI$7:AI$33,$A38)</f>
        <v>29.896989112683265</v>
      </c>
      <c r="AJ39" s="102" cm="1">
        <f t="array" aca="1" ref="AJ39" ca="1">INDEX(AJ$7:AJ$33,$A38)</f>
        <v>21.167071104036143</v>
      </c>
      <c r="AK39" s="102" cm="1">
        <f t="array" aca="1" ref="AK39" ca="1">INDEX(AK$7:AK$33,$A38)</f>
        <v>6.8559239300960995</v>
      </c>
      <c r="AL39" s="20"/>
      <c r="AM39" s="18" t="str" cm="1">
        <f t="array" aca="1" ref="AM39" ca="1">INDEX(AM$7:AM$33,$A38)</f>
        <v>4A</v>
      </c>
      <c r="AN39" s="18" t="str" cm="1">
        <f t="array" aca="1" ref="AN39" ca="1">INDEX(AN$7:AN$33,$A38)</f>
        <v>Scrape - Lagoon - TL (A)</v>
      </c>
      <c r="AO39" s="632" cm="1">
        <f t="array" aca="1" ref="AO39" ca="1">INDEX(AO$7:AO$33,$A38)</f>
        <v>-4.7438392913022581E-3</v>
      </c>
      <c r="AP39" s="632" cm="1">
        <f t="array" aca="1" ref="AP39" ca="1">INDEX(AP$7:AP$33,$A38)</f>
        <v>0</v>
      </c>
      <c r="AQ39" s="632" cm="1">
        <f t="array" aca="1" ref="AQ39" ca="1">INDEX(AQ$7:AQ$33,$A38)</f>
        <v>-100.339375076615</v>
      </c>
      <c r="AR39" s="632" cm="1">
        <f t="array" aca="1" ref="AR39" ca="1">INDEX(AR$7:AR$33,$A38)</f>
        <v>3.5246159040500209</v>
      </c>
      <c r="AS39" s="632" cm="1">
        <f t="array" aca="1" ref="AS39" ca="1">INDEX(AS$7:AS$33,$A38)</f>
        <v>0</v>
      </c>
      <c r="AT39" s="632" cm="1">
        <f t="array" aca="1" ref="AT39" ca="1">INDEX(AT$7:AT$33,$A38)</f>
        <v>0</v>
      </c>
      <c r="AV39" s="9" t="str" cm="1">
        <f t="array" aca="1" ref="AV39" ca="1">INDEX(AV$7:AV$33,$A38)</f>
        <v>4A</v>
      </c>
      <c r="AW39" s="9" t="str" cm="1">
        <f t="array" aca="1" ref="AW39" ca="1">INDEX(AW$7:AW$33,$A38)</f>
        <v>Scrape - Lagoon - TL (A)</v>
      </c>
      <c r="AX39" s="9" cm="1">
        <f t="array" aca="1" ref="AX39" ca="1">INDEX(AX$7:AX$33,$A38)</f>
        <v>1.0284422789860184</v>
      </c>
      <c r="AY39" s="9" cm="1">
        <f t="array" aca="1" ref="AY39" ca="1">INDEX(AY$7:AY$33,$A38)</f>
        <v>8.0334528050857806E-2</v>
      </c>
      <c r="AZ39" s="9" cm="1">
        <f t="array" aca="1" ref="AZ39" ca="1">INDEX(AZ$7:AZ$33,$A38)</f>
        <v>-100.339375076615</v>
      </c>
      <c r="BA39" s="9" cm="1">
        <f t="array" aca="1" ref="BA39" ca="1">INDEX(BA$7:BA$33,$A38)</f>
        <v>33.421605016733288</v>
      </c>
      <c r="BB39" s="9" cm="1">
        <f t="array" aca="1" ref="BB39" ca="1">INDEX(BB$7:BB$33,$A38)</f>
        <v>21.167071104036143</v>
      </c>
      <c r="BC39" s="9" cm="1">
        <f t="array" aca="1" ref="BC39" ca="1">INDEX(BC$7:BC$33,$A38)</f>
        <v>6.8559239300960995</v>
      </c>
      <c r="BF39" s="37" cm="1">
        <f t="array" aca="1" ref="BF39" ca="1">INDEX(BF$7:BF$33,$A39)</f>
        <v>148.38933996414102</v>
      </c>
      <c r="BG39" s="37" cm="1">
        <f t="array" aca="1" ref="BG39" ca="1">INDEX(BG$7:BG$33,$A39)</f>
        <v>28.835774631219849</v>
      </c>
      <c r="BH39" s="340" cm="1">
        <f t="array" aca="1" ref="BH39" ca="1">INDEX(BH$7:BH$33,$A39)</f>
        <v>40.791131164511967</v>
      </c>
      <c r="BI39" s="7"/>
      <c r="BJ39" s="7"/>
      <c r="BK39" s="7"/>
      <c r="BL39" s="653" cm="1">
        <f t="array" aca="1" ref="BL39" ca="1">INDEX(BL$7:BL$33,$A39)</f>
        <v>68.824076766611626</v>
      </c>
      <c r="BM39" s="37" cm="1">
        <f t="array" aca="1" ref="BM39" ca="1">INDEX(BM$7:BM$33,$A39)</f>
        <v>12.703423907090624</v>
      </c>
      <c r="BN39" s="37" cm="1">
        <f t="array" aca="1" ref="BN39" ca="1">INDEX(BN$7:BN$33,$A39)</f>
        <v>18.315489193042723</v>
      </c>
      <c r="BO39" s="37" cm="1">
        <f t="array" aca="1" ref="BO39" ca="1">INDEX(BO$7:BO$33,$A39)</f>
        <v>2177.5202983863451</v>
      </c>
      <c r="BP39" s="37" cm="1">
        <f t="array" aca="1" ref="BP39" ca="1">INDEX(BP$7:BP$33,$A39)</f>
        <v>0</v>
      </c>
      <c r="BQ39" s="37" cm="1">
        <f t="array" aca="1" ref="BQ39" ca="1">INDEX(BQ$7:BQ$33,$A39)</f>
        <v>0</v>
      </c>
      <c r="BR39" s="37" cm="1">
        <f t="array" aca="1" ref="BR39" ca="1">INDEX(BR$7:BR$33,$A39)</f>
        <v>0</v>
      </c>
      <c r="BS39" s="37" cm="1">
        <f t="array" aca="1" ref="BS39" ca="1">INDEX(BS$7:BS$33,$A39)</f>
        <v>217.75202983863451</v>
      </c>
      <c r="BT39" s="37" cm="1">
        <f t="array" aca="1" ref="BT39" ca="1">INDEX(BT$7:BT$33,$A39)</f>
        <v>0</v>
      </c>
      <c r="BU39" s="37" cm="1">
        <f t="array" aca="1" ref="BU39" ca="1">INDEX(BU$7:BU$33,$A39)</f>
        <v>-48.389339964141016</v>
      </c>
      <c r="BV39" s="37" cm="1">
        <f t="array" aca="1" ref="BV39" ca="1">INDEX(BV$7:BV$33,$A39)</f>
        <v>71.164225368780151</v>
      </c>
      <c r="BW39" s="37" cm="1">
        <f t="array" aca="1" ref="BW39" ca="1">INDEX(BW$7:BW$33,$A39)</f>
        <v>59.208868835488033</v>
      </c>
      <c r="BX39" s="37" cm="1">
        <f t="array" aca="1" ref="BX39" ca="1">INDEX(BX$7:BX$33,$A39)</f>
        <v>48.389339964141016</v>
      </c>
      <c r="BY39" s="37" cm="1">
        <f t="array" aca="1" ref="BY39" ca="1">INDEX(BY$7:BY$33,$A39)</f>
        <v>0</v>
      </c>
      <c r="BZ39" s="37" cm="1">
        <f t="array" aca="1" ref="BZ39" ca="1">INDEX(BZ$7:BZ$33,$A39)</f>
        <v>4.8389339964141014</v>
      </c>
    </row>
    <row r="40" spans="1:100" x14ac:dyDescent="0.3">
      <c r="A40" s="49">
        <f ca="1">MATCH(7,$AD$84:$AD$110,0)</f>
        <v>23</v>
      </c>
      <c r="B40" s="49" t="str" cm="1">
        <f t="array" aca="1" ref="B40" ca="1">INDEX(B$7:B$33,A40)</f>
        <v>Sc - 12a</v>
      </c>
      <c r="C40" s="100" t="s">
        <v>4968</v>
      </c>
      <c r="D40" s="18" t="str" cm="1">
        <f t="array" aca="1" ref="D40" ca="1">INDEX(D$7:D$33,$A40)</f>
        <v>TL</v>
      </c>
      <c r="E40" s="18" t="str" cm="1">
        <f t="array" aca="1" ref="E40" ca="1">INDEX(E$7:E$33,$A40)</f>
        <v>A</v>
      </c>
      <c r="F40" s="18" t="str" cm="1">
        <f t="array" aca="1" ref="F40" ca="1">INDEX(F$7:F$33,$A40)</f>
        <v>SS - Storage</v>
      </c>
      <c r="G40" s="9" cm="1">
        <f t="array" aca="1" ref="G40" ca="1">INDEX(G$7:G$33,$A40)</f>
        <v>0</v>
      </c>
      <c r="H40" s="37" cm="1">
        <f t="array" aca="1" ref="H40" ca="1">INDEX(H$7:H$33,$A40)</f>
        <v>97.765169538002837</v>
      </c>
      <c r="I40" s="37" cm="1">
        <f t="array" aca="1" ref="I40" ca="1">INDEX(I$7:I$33,$A40)</f>
        <v>61.870572698517826</v>
      </c>
      <c r="J40" s="37" cm="1">
        <f t="array" aca="1" ref="J40" ca="1">INDEX(J$7:J$33,$A40)</f>
        <v>0</v>
      </c>
      <c r="K40" s="37" cm="1">
        <f t="array" aca="1" ref="K40" ca="1">INDEX(K$7:K$33,$A40)</f>
        <v>24.631040910078642</v>
      </c>
      <c r="L40" s="37" cm="1">
        <f t="array" aca="1" ref="L40" ca="1">INDEX(L$7:L$33,$A40)</f>
        <v>0</v>
      </c>
      <c r="M40" s="37" cm="1">
        <f t="array" aca="1" ref="M40" ca="1">INDEX(M$7:M$33,$A40)</f>
        <v>-135.00470132644202</v>
      </c>
      <c r="N40" s="37" cm="1">
        <f t="array" aca="1" ref="N40" ca="1">INDEX(N$7:N$33,$A40)</f>
        <v>0.4664414768785583</v>
      </c>
      <c r="O40" s="37" cm="1">
        <f t="array" aca="1" ref="O40" ca="1">INDEX(O$7:O$33,$A40)</f>
        <v>0.14242017044617569</v>
      </c>
      <c r="P40" s="37" cm="1">
        <f t="array" aca="1" ref="P40" ca="1">INDEX(P$7:P$33,$A40)</f>
        <v>0</v>
      </c>
      <c r="Q40" s="37" cm="1">
        <f t="array" aca="1" ref="Q40" ca="1">INDEX(Q$7:Q$33,$A40)</f>
        <v>1090.6718347104595</v>
      </c>
      <c r="R40" s="37" cm="1">
        <f t="array" aca="1" ref="R40" ca="1">INDEX(R$7:R$33,$A40)</f>
        <v>17.906077950763731</v>
      </c>
      <c r="S40" s="37" cm="1">
        <f t="array" aca="1" ref="S40" ca="1">INDEX(S$7:S$33,$A40)</f>
        <v>6.0825871396905526</v>
      </c>
      <c r="T40" s="37" cm="1">
        <f t="array" aca="1" ref="T40" ca="1">INDEX(T$7:T$33,$A40)</f>
        <v>2.6666666666666665</v>
      </c>
      <c r="U40" s="37" cm="1">
        <f t="array" aca="1" ref="U40" ca="1">INDEX(U$7:U$33,$A40)</f>
        <v>3.4680565373749639E-2</v>
      </c>
      <c r="V40" s="37" cm="1">
        <f t="array" aca="1" ref="V40" ca="1">INDEX(V$7:V$33,$A40)</f>
        <v>2.5</v>
      </c>
      <c r="W40" s="37" cm="1">
        <f t="array" aca="1" ref="W40" ca="1">INDEX(W$7:W$33,$A40)</f>
        <v>64.533232318953097</v>
      </c>
      <c r="X40" s="37" cm="1">
        <f t="array" aca="1" ref="X40" ca="1">INDEX(X$7:X$33,$A40)</f>
        <v>0</v>
      </c>
      <c r="Y40" s="37" cm="1">
        <f t="array" aca="1" ref="Y40" ca="1">INDEX(Y$7:Y$33,$A40)</f>
        <v>0</v>
      </c>
      <c r="Z40" s="37" cm="1">
        <f t="array" aca="1" ref="Z40" ca="1">INDEX(Z$7:Z$33,$A40)</f>
        <v>0</v>
      </c>
      <c r="AA40" s="37" cm="1">
        <f t="array" aca="1" ref="AA40" ca="1">INDEX(AA$7:AA$33,$A40)</f>
        <v>0</v>
      </c>
      <c r="AB40" s="37" cm="1">
        <f t="array" aca="1" ref="AB40" ca="1">INDEX(AB$7:AB$33,$A40)</f>
        <v>0</v>
      </c>
      <c r="AC40" s="20"/>
      <c r="AD40" s="9" t="str" cm="1">
        <f t="array" aca="1" ref="AD40" ca="1">INDEX(AD$7:AD$33,$A39)</f>
        <v>3A</v>
      </c>
      <c r="AE40" s="18" t="str" cm="1">
        <f t="array" aca="1" ref="AE40" ca="1">INDEX(AE$7:AE$33,$A39)</f>
        <v>Flush - Lagoon  - TL (A)</v>
      </c>
      <c r="AF40" s="102" cm="1">
        <f t="array" aca="1" ref="AF40" ca="1">INDEX(AF$7:AF$33,$A39)</f>
        <v>1.0374062532352302</v>
      </c>
      <c r="AG40" s="102" cm="1">
        <f t="array" aca="1" ref="AG40" ca="1">INDEX(AG$7:AG$33,$A39)</f>
        <v>7.3582354609956033E-2</v>
      </c>
      <c r="AH40" s="102" cm="1">
        <f t="array" aca="1" ref="AH40" ca="1">INDEX(AH$7:AH$33,$A39)</f>
        <v>0</v>
      </c>
      <c r="AI40" s="102" cm="1">
        <f t="array" aca="1" ref="AI40" ca="1">INDEX(AI$7:AI$33,$A39)</f>
        <v>29.896989112683265</v>
      </c>
      <c r="AJ40" s="102" cm="1">
        <f t="array" aca="1" ref="AJ40" ca="1">INDEX(AJ$7:AJ$33,$A39)</f>
        <v>22.923877597820468</v>
      </c>
      <c r="AK40" s="102" cm="1">
        <f t="array" aca="1" ref="AK40" ca="1">INDEX(AK$7:AK$33,$A39)</f>
        <v>7.4243912015567393</v>
      </c>
      <c r="AL40" s="20"/>
      <c r="AM40" s="18" t="str" cm="1">
        <f t="array" aca="1" ref="AM40" ca="1">INDEX(AM$7:AM$33,$A39)</f>
        <v>3A</v>
      </c>
      <c r="AN40" s="18" t="str" cm="1">
        <f t="array" aca="1" ref="AN40" ca="1">INDEX(AN$7:AN$33,$A39)</f>
        <v>Flush - Lagoon  - TL (A)</v>
      </c>
      <c r="AO40" s="632" cm="1">
        <f t="array" aca="1" ref="AO40" ca="1">INDEX(AO$7:AO$33,$A39)</f>
        <v>-6.8747581410891377E-3</v>
      </c>
      <c r="AP40" s="632" cm="1">
        <f t="array" aca="1" ref="AP40" ca="1">INDEX(AP$7:AP$33,$A39)</f>
        <v>0</v>
      </c>
      <c r="AQ40" s="632" cm="1">
        <f t="array" aca="1" ref="AQ40" ca="1">INDEX(AQ$7:AQ$33,$A39)</f>
        <v>-89.916636001319574</v>
      </c>
      <c r="AR40" s="632" cm="1">
        <f t="array" aca="1" ref="AR40" ca="1">INDEX(AR$7:AR$33,$A39)</f>
        <v>0.51026777975236381</v>
      </c>
      <c r="AS40" s="632" cm="1">
        <f t="array" aca="1" ref="AS40" ca="1">INDEX(AS$7:AS$33,$A39)</f>
        <v>0</v>
      </c>
      <c r="AT40" s="632" cm="1">
        <f t="array" aca="1" ref="AT40" ca="1">INDEX(AT$7:AT$33,$A39)</f>
        <v>0</v>
      </c>
      <c r="AV40" s="9" t="str" cm="1">
        <f t="array" aca="1" ref="AV40" ca="1">INDEX(AV$7:AV$33,$A39)</f>
        <v>3A</v>
      </c>
      <c r="AW40" s="9" t="str" cm="1">
        <f t="array" aca="1" ref="AW40" ca="1">INDEX(AW$7:AW$33,$A39)</f>
        <v>Flush - Lagoon  - TL (A)</v>
      </c>
      <c r="AX40" s="9" cm="1">
        <f t="array" aca="1" ref="AX40" ca="1">INDEX(AX$7:AX$33,$A39)</f>
        <v>1.0305314950941411</v>
      </c>
      <c r="AY40" s="9" cm="1">
        <f t="array" aca="1" ref="AY40" ca="1">INDEX(AY$7:AY$33,$A39)</f>
        <v>7.3582354609956033E-2</v>
      </c>
      <c r="AZ40" s="9" cm="1">
        <f t="array" aca="1" ref="AZ40" ca="1">INDEX(AZ$7:AZ$33,$A39)</f>
        <v>-89.916636001319574</v>
      </c>
      <c r="BA40" s="9" cm="1">
        <f t="array" aca="1" ref="BA40" ca="1">INDEX(BA$7:BA$33,$A39)</f>
        <v>30.40725689243563</v>
      </c>
      <c r="BB40" s="9" cm="1">
        <f t="array" aca="1" ref="BB40" ca="1">INDEX(BB$7:BB$33,$A39)</f>
        <v>22.923877597820468</v>
      </c>
      <c r="BC40" s="9" cm="1">
        <f t="array" aca="1" ref="BC40" ca="1">INDEX(BC$7:BC$33,$A39)</f>
        <v>7.4243912015567393</v>
      </c>
      <c r="BF40" s="37" cm="1">
        <f t="array" aca="1" ref="BF40" ca="1">INDEX(BF$7:BF$33,$A40)</f>
        <v>71.187979508897797</v>
      </c>
      <c r="BG40" s="37" cm="1">
        <f t="array" aca="1" ref="BG40" ca="1">INDEX(BG$7:BG$33,$A40)</f>
        <v>71.187979508897797</v>
      </c>
      <c r="BH40" s="340" cm="1">
        <f t="array" aca="1" ref="BH40" ca="1">INDEX(BH$7:BH$33,$A40)</f>
        <v>71.187979508897797</v>
      </c>
      <c r="BI40" s="7"/>
      <c r="BJ40" s="7"/>
      <c r="BK40" s="7"/>
      <c r="BL40" s="653" cm="1">
        <f t="array" aca="1" ref="BL40" ca="1">INDEX(BL$7:BL$33,$A40)</f>
        <v>64.533232318953097</v>
      </c>
      <c r="BM40" s="37" cm="1">
        <f t="array" aca="1" ref="BM40" ca="1">INDEX(BM$7:BM$33,$A40)</f>
        <v>64.533232318953097</v>
      </c>
      <c r="BN40" s="37" cm="1">
        <f t="array" aca="1" ref="BN40" ca="1">INDEX(BN$7:BN$33,$A40)</f>
        <v>64.533232318953097</v>
      </c>
      <c r="BO40" s="37" cm="1">
        <f t="array" aca="1" ref="BO40" ca="1">INDEX(BO$7:BO$33,$A40)</f>
        <v>0</v>
      </c>
      <c r="BP40" s="37" cm="1">
        <f t="array" aca="1" ref="BP40" ca="1">INDEX(BP$7:BP$33,$A40)</f>
        <v>0</v>
      </c>
      <c r="BQ40" s="37" cm="1">
        <f t="array" aca="1" ref="BQ40" ca="1">INDEX(BQ$7:BQ$33,$A40)</f>
        <v>0</v>
      </c>
      <c r="BR40" s="37" cm="1">
        <f t="array" aca="1" ref="BR40" ca="1">INDEX(BR$7:BR$33,$A40)</f>
        <v>0</v>
      </c>
      <c r="BS40" s="37" cm="1">
        <f t="array" aca="1" ref="BS40" ca="1">INDEX(BS$7:BS$33,$A40)</f>
        <v>0</v>
      </c>
      <c r="BT40" s="37" cm="1">
        <f t="array" aca="1" ref="BT40" ca="1">INDEX(BT$7:BT$33,$A40)</f>
        <v>0</v>
      </c>
      <c r="BU40" s="37" cm="1">
        <f t="array" aca="1" ref="BU40" ca="1">INDEX(BU$7:BU$33,$A40)</f>
        <v>28.812020491102203</v>
      </c>
      <c r="BV40" s="37" cm="1">
        <f t="array" aca="1" ref="BV40" ca="1">INDEX(BV$7:BV$33,$A40)</f>
        <v>28.812020491102203</v>
      </c>
      <c r="BW40" s="37" cm="1">
        <f t="array" aca="1" ref="BW40" ca="1">INDEX(BW$7:BW$33,$A40)</f>
        <v>28.812020491102203</v>
      </c>
      <c r="BX40" s="37" cm="1">
        <f t="array" aca="1" ref="BX40" ca="1">INDEX(BX$7:BX$33,$A40)</f>
        <v>0</v>
      </c>
      <c r="BY40" s="37" cm="1">
        <f t="array" aca="1" ref="BY40" ca="1">INDEX(BY$7:BY$33,$A40)</f>
        <v>0</v>
      </c>
      <c r="BZ40" s="37" cm="1">
        <f t="array" aca="1" ref="BZ40" ca="1">INDEX(BZ$7:BZ$33,$A40)</f>
        <v>0</v>
      </c>
    </row>
    <row r="41" spans="1:100" x14ac:dyDescent="0.3">
      <c r="A41" s="49">
        <f ca="1">MATCH(8,$AD$84:$AD$110,0)</f>
        <v>26</v>
      </c>
      <c r="B41" s="49" t="str" cm="1">
        <f t="array" aca="1" ref="B41" ca="1">INDEX(B$7:B$33,A41)</f>
        <v>Sc - 14a</v>
      </c>
      <c r="C41" s="100" t="s">
        <v>4969</v>
      </c>
      <c r="D41" s="18" t="str" cm="1">
        <f t="array" aca="1" ref="D41" ca="1">INDEX(D$7:D$33,$A41)</f>
        <v>TL</v>
      </c>
      <c r="E41" s="18" t="str" cm="1">
        <f t="array" aca="1" ref="E41" ca="1">INDEX(E$7:E$33,$A41)</f>
        <v>A</v>
      </c>
      <c r="F41" s="18" t="str" cm="1">
        <f t="array" aca="1" ref="F41" ca="1">INDEX(F$7:F$33,$A41)</f>
        <v>Scrape - ISS - Lagoon</v>
      </c>
      <c r="G41" s="9" cm="1">
        <f t="array" aca="1" ref="G41" ca="1">INDEX(G$7:G$33,$A41)</f>
        <v>0</v>
      </c>
      <c r="H41" s="37" cm="1">
        <f t="array" aca="1" ref="H41" ca="1">INDEX(H$7:H$33,$A41)</f>
        <v>119.10647603828352</v>
      </c>
      <c r="I41" s="37" cm="1">
        <f t="array" aca="1" ref="I41" ca="1">INDEX(I$7:I$33,$A41)</f>
        <v>51.591064705904564</v>
      </c>
      <c r="J41" s="37" cm="1">
        <f t="array" aca="1" ref="J41" ca="1">INDEX(J$7:J$33,$A41)</f>
        <v>0</v>
      </c>
      <c r="K41" s="37" cm="1">
        <f t="array" aca="1" ref="K41" ca="1">INDEX(K$7:K$33,$A41)</f>
        <v>14.563321287843566</v>
      </c>
      <c r="L41" s="37" cm="1">
        <f t="array" aca="1" ref="L41" ca="1">INDEX(L$7:L$33,$A41)</f>
        <v>3.4552283569129476E-2</v>
      </c>
      <c r="M41" s="37" cm="1">
        <f t="array" aca="1" ref="M41" ca="1">INDEX(M$7:M$33,$A41)</f>
        <v>-156.09966717277538</v>
      </c>
      <c r="N41" s="37" cm="1">
        <f t="array" aca="1" ref="N41" ca="1">INDEX(N$7:N$33,$A41)</f>
        <v>0.86333845509777418</v>
      </c>
      <c r="O41" s="37" cm="1">
        <f t="array" aca="1" ref="O41" ca="1">INDEX(O$7:O$33,$A41)</f>
        <v>1.9166736367290372E-2</v>
      </c>
      <c r="P41" s="37" cm="1">
        <f t="array" aca="1" ref="P41" ca="1">INDEX(P$7:P$33,$A41)</f>
        <v>0</v>
      </c>
      <c r="Q41" s="37" cm="1">
        <f t="array" aca="1" ref="Q41" ca="1">INDEX(Q$7:Q$33,$A41)</f>
        <v>1028.3562299881364</v>
      </c>
      <c r="R41" s="37" cm="1">
        <f t="array" aca="1" ref="R41" ca="1">INDEX(R$7:R$33,$A41)</f>
        <v>20.963404352126762</v>
      </c>
      <c r="S41" s="37" cm="1">
        <f t="array" aca="1" ref="S41" ca="1">INDEX(S$7:S$33,$A41)</f>
        <v>9.0335631405029186</v>
      </c>
      <c r="T41" s="37" cm="1">
        <f t="array" aca="1" ref="T41" ca="1">INDEX(T$7:T$33,$A41)</f>
        <v>2.375</v>
      </c>
      <c r="U41" s="37" cm="1">
        <f t="array" aca="1" ref="U41" ca="1">INDEX(U$7:U$33,$A41)</f>
        <v>6.6417094731324844E-2</v>
      </c>
      <c r="V41" s="37" cm="1">
        <f t="array" aca="1" ref="V41" ca="1">INDEX(V$7:V$33,$A41)</f>
        <v>2</v>
      </c>
      <c r="W41" s="37" cm="1">
        <f t="array" aca="1" ref="W41" ca="1">INDEX(W$7:W$33,$A41)</f>
        <v>19.556756482893597</v>
      </c>
      <c r="X41" s="37" cm="1">
        <f t="array" aca="1" ref="X41" ca="1">INDEX(X$7:X$33,$A41)</f>
        <v>0</v>
      </c>
      <c r="Y41" s="37" cm="1">
        <f t="array" aca="1" ref="Y41" ca="1">INDEX(Y$7:Y$33,$A41)</f>
        <v>0</v>
      </c>
      <c r="Z41" s="37" cm="1">
        <f t="array" aca="1" ref="Z41" ca="1">INDEX(Z$7:Z$33,$A41)</f>
        <v>6.5192987866282035</v>
      </c>
      <c r="AA41" s="37" cm="1">
        <f t="array" aca="1" ref="AA41" ca="1">INDEX(AA$7:AA$33,$A41)</f>
        <v>0</v>
      </c>
      <c r="AB41" s="37" cm="1">
        <f t="array" aca="1" ref="AB41" ca="1">INDEX(AB$7:AB$33,$A41)</f>
        <v>0.65192987866282037</v>
      </c>
      <c r="AC41" s="20"/>
      <c r="AD41" s="9" t="str" cm="1">
        <f t="array" aca="1" ref="AD41" ca="1">INDEX(AD$7:AD$33,$A40)</f>
        <v>12A</v>
      </c>
      <c r="AE41" s="18" t="str" cm="1">
        <f t="array" aca="1" ref="AE41" ca="1">INDEX(AE$7:AE$33,$A40)</f>
        <v>Outside SS covered storage - TL (A)</v>
      </c>
      <c r="AF41" s="102" cm="1">
        <f t="array" aca="1" ref="AF41" ca="1">INDEX(AF$7:AF$33,$A40)</f>
        <v>0.4664414768785583</v>
      </c>
      <c r="AG41" s="102" cm="1">
        <f t="array" aca="1" ref="AG41" ca="1">INDEX(AG$7:AG$33,$A40)</f>
        <v>0.14242017044617569</v>
      </c>
      <c r="AH41" s="102" cm="1">
        <f t="array" aca="1" ref="AH41" ca="1">INDEX(AH$7:AH$33,$A40)</f>
        <v>0</v>
      </c>
      <c r="AI41" s="102" cm="1">
        <f t="array" aca="1" ref="AI41" ca="1">INDEX(AI$7:AI$33,$A40)</f>
        <v>1090.6718347104595</v>
      </c>
      <c r="AJ41" s="102" cm="1">
        <f t="array" aca="1" ref="AJ41" ca="1">INDEX(AJ$7:AJ$33,$A40)</f>
        <v>17.906077950763731</v>
      </c>
      <c r="AK41" s="102" cm="1">
        <f t="array" aca="1" ref="AK41" ca="1">INDEX(AK$7:AK$33,$A40)</f>
        <v>6.0825871396905526</v>
      </c>
      <c r="AL41" s="20"/>
      <c r="AM41" s="18" t="str" cm="1">
        <f t="array" aca="1" ref="AM41" ca="1">INDEX(AM$7:AM$33,$A40)</f>
        <v>12A</v>
      </c>
      <c r="AN41" s="18" t="str" cm="1">
        <f t="array" aca="1" ref="AN41" ca="1">INDEX(AN$7:AN$33,$A40)</f>
        <v>Outside SS covered storage - TL (A)</v>
      </c>
      <c r="AO41" s="632" cm="1">
        <f t="array" aca="1" ref="AO41" ca="1">INDEX(AO$7:AO$33,$A40)</f>
        <v>2.7842313146007238E-3</v>
      </c>
      <c r="AP41" s="632" cm="1">
        <f t="array" aca="1" ref="AP41" ca="1">INDEX(AP$7:AP$33,$A40)</f>
        <v>0</v>
      </c>
      <c r="AQ41" s="632" cm="1">
        <f t="array" aca="1" ref="AQ41" ca="1">INDEX(AQ$7:AQ$33,$A40)</f>
        <v>-54.531532236052428</v>
      </c>
      <c r="AR41" s="632" cm="1">
        <f t="array" aca="1" ref="AR41" ca="1">INDEX(AR$7:AR$33,$A40)</f>
        <v>30.334787939523551</v>
      </c>
      <c r="AS41" s="632" cm="1">
        <f t="array" aca="1" ref="AS41" ca="1">INDEX(AS$7:AS$33,$A40)</f>
        <v>0</v>
      </c>
      <c r="AT41" s="632" cm="1">
        <f t="array" aca="1" ref="AT41" ca="1">INDEX(AT$7:AT$33,$A40)</f>
        <v>0</v>
      </c>
      <c r="AV41" s="9" t="str" cm="1">
        <f t="array" aca="1" ref="AV41" ca="1">INDEX(AV$7:AV$33,$A40)</f>
        <v>12A</v>
      </c>
      <c r="AW41" s="9" t="str" cm="1">
        <f t="array" aca="1" ref="AW41" ca="1">INDEX(AW$7:AW$33,$A40)</f>
        <v>Outside SS covered storage - TL (A)</v>
      </c>
      <c r="AX41" s="9" cm="1">
        <f t="array" aca="1" ref="AX41" ca="1">INDEX(AX$7:AX$33,$A40)</f>
        <v>0.46922570819315906</v>
      </c>
      <c r="AY41" s="9" cm="1">
        <f t="array" aca="1" ref="AY41" ca="1">INDEX(AY$7:AY$33,$A40)</f>
        <v>0.14242017044617569</v>
      </c>
      <c r="AZ41" s="9" cm="1">
        <f t="array" aca="1" ref="AZ41" ca="1">INDEX(AZ$7:AZ$33,$A40)</f>
        <v>-54.531532236052428</v>
      </c>
      <c r="BA41" s="9" cm="1">
        <f t="array" aca="1" ref="BA41" ca="1">INDEX(BA$7:BA$33,$A40)</f>
        <v>1121.0066226499832</v>
      </c>
      <c r="BB41" s="9" cm="1">
        <f t="array" aca="1" ref="BB41" ca="1">INDEX(BB$7:BB$33,$A40)</f>
        <v>17.906077950763731</v>
      </c>
      <c r="BC41" s="9" cm="1">
        <f t="array" aca="1" ref="BC41" ca="1">INDEX(BC$7:BC$33,$A40)</f>
        <v>6.0825871396905526</v>
      </c>
      <c r="BF41" s="37" cm="1">
        <f t="array" aca="1" ref="BF41" ca="1">INDEX(BF$7:BF$33,$A41)</f>
        <v>102.37990375672175</v>
      </c>
      <c r="BG41" s="37" cm="1">
        <f t="array" aca="1" ref="BG41" ca="1">INDEX(BG$7:BG$33,$A41)</f>
        <v>37.197362257216149</v>
      </c>
      <c r="BH41" s="340" cm="1">
        <f t="array" aca="1" ref="BH41" ca="1">INDEX(BH$7:BH$33,$A41)</f>
        <v>43.715616407166706</v>
      </c>
      <c r="BI41" s="7"/>
      <c r="BJ41" s="7"/>
      <c r="BK41" s="7"/>
      <c r="BL41" s="653" cm="1">
        <f t="array" aca="1" ref="BL41" ca="1">INDEX(BL$7:BL$33,$A41)</f>
        <v>45.125724835201858</v>
      </c>
      <c r="BM41" s="37" cm="1">
        <f t="array" aca="1" ref="BM41" ca="1">INDEX(BM$7:BM$33,$A41)</f>
        <v>19.556756482893597</v>
      </c>
      <c r="BN41" s="37" cm="1">
        <f t="array" aca="1" ref="BN41" ca="1">INDEX(BN$7:BN$33,$A41)</f>
        <v>22.113653318124424</v>
      </c>
      <c r="BO41" s="37" cm="1">
        <f t="array" aca="1" ref="BO41" ca="1">INDEX(BO$7:BO$33,$A41)</f>
        <v>0</v>
      </c>
      <c r="BP41" s="37" cm="1">
        <f t="array" aca="1" ref="BP41" ca="1">INDEX(BP$7:BP$33,$A41)</f>
        <v>6.5192987866282035</v>
      </c>
      <c r="BQ41" s="37" cm="1">
        <f t="array" aca="1" ref="BQ41" ca="1">INDEX(BQ$7:BQ$33,$A41)</f>
        <v>0</v>
      </c>
      <c r="BR41" s="37" cm="1">
        <f t="array" aca="1" ref="BR41" ca="1">INDEX(BR$7:BR$33,$A41)</f>
        <v>0</v>
      </c>
      <c r="BS41" s="37" cm="1">
        <f t="array" aca="1" ref="BS41" ca="1">INDEX(BS$7:BS$33,$A41)</f>
        <v>0</v>
      </c>
      <c r="BT41" s="37" cm="1">
        <f t="array" aca="1" ref="BT41" ca="1">INDEX(BT$7:BT$33,$A41)</f>
        <v>0.65192987866282037</v>
      </c>
      <c r="BU41" s="37" cm="1">
        <f t="array" aca="1" ref="BU41" ca="1">INDEX(BU$7:BU$33,$A41)</f>
        <v>-2.3799037567217454</v>
      </c>
      <c r="BV41" s="37" cm="1">
        <f t="array" aca="1" ref="BV41" ca="1">INDEX(BV$7:BV$33,$A41)</f>
        <v>62.802637742783851</v>
      </c>
      <c r="BW41" s="37" cm="1">
        <f t="array" aca="1" ref="BW41" ca="1">INDEX(BW$7:BW$33,$A41)</f>
        <v>56.284383592833294</v>
      </c>
      <c r="BX41" s="37" cm="1">
        <f t="array" aca="1" ref="BX41" ca="1">INDEX(BX$7:BX$33,$A41)</f>
        <v>2.3799037567217454</v>
      </c>
      <c r="BY41" s="37" cm="1">
        <f t="array" aca="1" ref="BY41" ca="1">INDEX(BY$7:BY$33,$A41)</f>
        <v>0</v>
      </c>
      <c r="BZ41" s="37" cm="1">
        <f t="array" aca="1" ref="BZ41" ca="1">INDEX(BZ$7:BZ$33,$A41)</f>
        <v>0.23799037567217454</v>
      </c>
    </row>
    <row r="42" spans="1:100" x14ac:dyDescent="0.3">
      <c r="A42" s="49">
        <f ca="1">MATCH(9,$AD$84:$AD$110,0)</f>
        <v>17</v>
      </c>
      <c r="B42" s="49" t="str" cm="1">
        <f t="array" aca="1" ref="B42" ca="1">INDEX(B$7:B$33,A42)</f>
        <v>Sc - 9a</v>
      </c>
      <c r="C42" s="100" t="s">
        <v>4970</v>
      </c>
      <c r="D42" s="18" t="str" cm="1">
        <f t="array" aca="1" ref="D42" ca="1">INDEX(D$7:D$28,$A42)</f>
        <v>TL</v>
      </c>
      <c r="E42" s="18" t="str" cm="1">
        <f t="array" aca="1" ref="E42" ca="1">INDEX(E$7:E$33,$A42)</f>
        <v>A</v>
      </c>
      <c r="F42" s="18" t="str" cm="1">
        <f t="array" aca="1" ref="F42" ca="1">INDEX(F$7:F$33,$A42)</f>
        <v xml:space="preserve">Flush - Covered Lagoon </v>
      </c>
      <c r="G42" s="9" cm="1">
        <f t="array" aca="1" ref="G42" ca="1">INDEX(G$7:G$33,$A42)</f>
        <v>0</v>
      </c>
      <c r="H42" s="37" cm="1">
        <f t="array" aca="1" ref="H42" ca="1">INDEX(H$7:H$33,$A42)</f>
        <v>164.06994898400799</v>
      </c>
      <c r="I42" s="37" cm="1">
        <f t="array" aca="1" ref="I42" ca="1">INDEX(I$7:I$33,$A42)</f>
        <v>49.264470164314055</v>
      </c>
      <c r="J42" s="37" cm="1">
        <f t="array" aca="1" ref="J42" ca="1">INDEX(J$7:J$33,$A42)</f>
        <v>21.122905164349451</v>
      </c>
      <c r="K42" s="37" cm="1">
        <f t="array" aca="1" ref="K42" ca="1">INDEX(K$7:K$33,$A42)</f>
        <v>11.157538207274502</v>
      </c>
      <c r="L42" s="37" cm="1">
        <f t="array" aca="1" ref="L42" ca="1">INDEX(L$7:L$33,$A42)</f>
        <v>0</v>
      </c>
      <c r="M42" s="37" cm="1">
        <f t="array" aca="1" ref="M42" ca="1">INDEX(M$7:M$33,$A42)</f>
        <v>-202.17688094104753</v>
      </c>
      <c r="N42" s="37" cm="1">
        <f t="array" aca="1" ref="N42" ca="1">INDEX(N$7:N$33,$A42)</f>
        <v>0.66065717907263055</v>
      </c>
      <c r="O42" s="37" cm="1">
        <f t="array" aca="1" ref="O42" ca="1">INDEX(O$7:O$33,$A42)</f>
        <v>0.13241149635989077</v>
      </c>
      <c r="P42" s="37" cm="1">
        <f t="array" aca="1" ref="P42" ca="1">INDEX(P$7:P$33,$A42)</f>
        <v>0</v>
      </c>
      <c r="Q42" s="37" cm="1">
        <f t="array" aca="1" ref="Q42" ca="1">INDEX(Q$7:Q$33,$A42)</f>
        <v>124.45685847661997</v>
      </c>
      <c r="R42" s="37" cm="1">
        <f t="array" aca="1" ref="R42" ca="1">INDEX(R$7:R$33,$A42)</f>
        <v>24.301826128654703</v>
      </c>
      <c r="S42" s="37" cm="1">
        <f t="array" aca="1" ref="S42" ca="1">INDEX(S$7:S$33,$A42)</f>
        <v>10.329250070956935</v>
      </c>
      <c r="T42" s="37" cm="1">
        <f t="array" aca="1" ref="T42" ca="1">INDEX(T$7:T$33,$A42)</f>
        <v>3</v>
      </c>
      <c r="U42" s="37" cm="1">
        <f t="array" aca="1" ref="U42" ca="1">INDEX(U$7:U$33,$A42)</f>
        <v>3.4603846442900932E-2</v>
      </c>
      <c r="V42" s="37" cm="1">
        <f t="array" aca="1" ref="V42" ca="1">INDEX(V$7:V$33,$A42)</f>
        <v>2</v>
      </c>
      <c r="W42" s="37" cm="1">
        <f t="array" aca="1" ref="W42" ca="1">INDEX(W$7:W$33,$A42)</f>
        <v>11.840704244956441</v>
      </c>
      <c r="X42" s="37" cm="1">
        <f t="array" aca="1" ref="X42" ca="1">INDEX(X$7:X$33,$A42)</f>
        <v>0</v>
      </c>
      <c r="Y42" s="37" cm="1">
        <f t="array" aca="1" ref="Y42" ca="1">INDEX(Y$7:Y$33,$A42)</f>
        <v>0</v>
      </c>
      <c r="Z42" s="37" cm="1">
        <f t="array" aca="1" ref="Z42" ca="1">INDEX(Z$7:Z$33,$A42)</f>
        <v>0</v>
      </c>
      <c r="AA42" s="37" cm="1">
        <f t="array" aca="1" ref="AA42" ca="1">INDEX(AA$7:AA$33,$A42)</f>
        <v>0</v>
      </c>
      <c r="AB42" s="37" cm="1">
        <f t="array" aca="1" ref="AB42" ca="1">INDEX(AB$7:AB$33,$A42)</f>
        <v>0</v>
      </c>
      <c r="AC42" s="20"/>
      <c r="AD42" s="9" t="str" cm="1">
        <f t="array" aca="1" ref="AD42" ca="1">INDEX(AD$7:AD$33,$A41)</f>
        <v>14A</v>
      </c>
      <c r="AE42" s="18" t="str" cm="1">
        <f t="array" aca="1" ref="AE42" ca="1">INDEX(AE$7:AE$33,$A41)</f>
        <v>Scrape - Inclined SS - Lagoon - TL (A)</v>
      </c>
      <c r="AF42" s="102" cm="1">
        <f t="array" aca="1" ref="AF42" ca="1">INDEX(AF$7:AF$33,$A41)</f>
        <v>0.86333845509777418</v>
      </c>
      <c r="AG42" s="102" cm="1">
        <f t="array" aca="1" ref="AG42" ca="1">INDEX(AG$7:AG$33,$A41)</f>
        <v>1.9166736367290372E-2</v>
      </c>
      <c r="AH42" s="102" cm="1">
        <f t="array" aca="1" ref="AH42" ca="1">INDEX(AH$7:AH$33,$A41)</f>
        <v>0</v>
      </c>
      <c r="AI42" s="102" cm="1">
        <f t="array" aca="1" ref="AI42" ca="1">INDEX(AI$7:AI$33,$A41)</f>
        <v>1028.3562299881364</v>
      </c>
      <c r="AJ42" s="102" cm="1">
        <f t="array" aca="1" ref="AJ42" ca="1">INDEX(AJ$7:AJ$33,$A41)</f>
        <v>20.963404352126762</v>
      </c>
      <c r="AK42" s="102" cm="1">
        <f t="array" aca="1" ref="AK42" ca="1">INDEX(AK$7:AK$33,$A41)</f>
        <v>9.0335631405029186</v>
      </c>
      <c r="AL42" s="20"/>
      <c r="AM42" s="18" t="str" cm="1">
        <f t="array" aca="1" ref="AM42" ca="1">INDEX(AM$7:AM$33,$A41)</f>
        <v>14A</v>
      </c>
      <c r="AN42" s="18" t="str" cm="1">
        <f t="array" aca="1" ref="AN42" ca="1">INDEX(AN$7:AN$33,$A41)</f>
        <v>Scrape - Inclined SS - Lagoon - TL (A)</v>
      </c>
      <c r="AO42" s="632" cm="1">
        <f t="array" aca="1" ref="AO42" ca="1">INDEX(AO$7:AO$33,$A41)</f>
        <v>4.0491498003032084E-3</v>
      </c>
      <c r="AP42" s="632" cm="1">
        <f t="array" aca="1" ref="AP42" ca="1">INDEX(AP$7:AP$33,$A41)</f>
        <v>0</v>
      </c>
      <c r="AQ42" s="632" cm="1">
        <f t="array" aca="1" ref="AQ42" ca="1">INDEX(AQ$7:AQ$33,$A41)</f>
        <v>-31.360274686162601</v>
      </c>
      <c r="AR42" s="632" cm="1">
        <f t="array" aca="1" ref="AR42" ca="1">INDEX(AR$7:AR$33,$A41)</f>
        <v>19.384453526264764</v>
      </c>
      <c r="AS42" s="632" cm="1">
        <f t="array" aca="1" ref="AS42" ca="1">INDEX(AS$7:AS$33,$A41)</f>
        <v>0</v>
      </c>
      <c r="AT42" s="632" cm="1">
        <f t="array" aca="1" ref="AT42" ca="1">INDEX(AT$7:AT$33,$A41)</f>
        <v>0</v>
      </c>
      <c r="AV42" s="9" t="str" cm="1">
        <f t="array" aca="1" ref="AV42" ca="1">INDEX(AV$7:AV$33,$A41)</f>
        <v>14A</v>
      </c>
      <c r="AW42" s="9" t="str" cm="1">
        <f t="array" aca="1" ref="AW42" ca="1">INDEX(AW$7:AW$33,$A41)</f>
        <v>Scrape - Inclined SS - Lagoon - TL (A)</v>
      </c>
      <c r="AX42" s="9" cm="1">
        <f t="array" aca="1" ref="AX42" ca="1">INDEX(AX$7:AX$33,$A41)</f>
        <v>0.86738760489807742</v>
      </c>
      <c r="AY42" s="9" cm="1">
        <f t="array" aca="1" ref="AY42" ca="1">INDEX(AY$7:AY$33,$A41)</f>
        <v>1.9166736367290372E-2</v>
      </c>
      <c r="AZ42" s="9" cm="1">
        <f t="array" aca="1" ref="AZ42" ca="1">INDEX(AZ$7:AZ$33,$A41)</f>
        <v>-31.360274686162601</v>
      </c>
      <c r="BA42" s="9" cm="1">
        <f t="array" aca="1" ref="BA42" ca="1">INDEX(BA$7:BA$33,$A41)</f>
        <v>1047.7406835144011</v>
      </c>
      <c r="BB42" s="9" cm="1">
        <f t="array" aca="1" ref="BB42" ca="1">INDEX(BB$7:BB$33,$A41)</f>
        <v>20.963404352126762</v>
      </c>
      <c r="BC42" s="9" cm="1">
        <f t="array" aca="1" ref="BC42" ca="1">INDEX(BC$7:BC$33,$A41)</f>
        <v>9.0335631405029186</v>
      </c>
      <c r="BF42" s="37" cm="1">
        <f t="array" aca="1" ref="BF42" ca="1">INDEX(BF$7:BF$33,$A42)</f>
        <v>90.220907545459113</v>
      </c>
      <c r="BG42" s="37" cm="1">
        <f t="array" aca="1" ref="BG42" ca="1">INDEX(BG$7:BG$33,$A42)</f>
        <v>26.177573585061577</v>
      </c>
      <c r="BH42" s="340" cm="1">
        <f t="array" aca="1" ref="BH42" ca="1">INDEX(BH$7:BH$33,$A42)</f>
        <v>32.581906981101326</v>
      </c>
      <c r="BI42" s="7"/>
      <c r="BJ42" s="7"/>
      <c r="BK42" s="7"/>
      <c r="BL42" s="653" cm="1">
        <f t="array" aca="1" ref="BL42" ca="1">INDEX(BL$7:BL$33,$A42)</f>
        <v>60.327908268893367</v>
      </c>
      <c r="BM42" s="37" cm="1">
        <f t="array" aca="1" ref="BM42" ca="1">INDEX(BM$7:BM$33,$A42)</f>
        <v>11.840704244956441</v>
      </c>
      <c r="BN42" s="37" cm="1">
        <f t="array" aca="1" ref="BN42" ca="1">INDEX(BN$7:BN$33,$A42)</f>
        <v>16.689424647350133</v>
      </c>
      <c r="BO42" s="37" cm="1">
        <f t="array" aca="1" ref="BO42" ca="1">INDEX(BO$7:BO$33,$A42)</f>
        <v>0</v>
      </c>
      <c r="BP42" s="37" cm="1">
        <f t="array" aca="1" ref="BP42" ca="1">INDEX(BP$7:BP$33,$A42)</f>
        <v>0</v>
      </c>
      <c r="BQ42" s="37" cm="1">
        <f t="array" aca="1" ref="BQ42" ca="1">INDEX(BQ$7:BQ$33,$A42)</f>
        <v>0</v>
      </c>
      <c r="BR42" s="37" cm="1">
        <f t="array" aca="1" ref="BR42" ca="1">INDEX(BR$7:BR$33,$A42)</f>
        <v>0</v>
      </c>
      <c r="BS42" s="37" cm="1">
        <f t="array" aca="1" ref="BS42" ca="1">INDEX(BS$7:BS$33,$A42)</f>
        <v>0</v>
      </c>
      <c r="BT42" s="37" cm="1">
        <f t="array" aca="1" ref="BT42" ca="1">INDEX(BT$7:BT$33,$A42)</f>
        <v>0</v>
      </c>
      <c r="BU42" s="37" cm="1">
        <f t="array" aca="1" ref="BU42" ca="1">INDEX(BU$7:BU$33,$A42)</f>
        <v>9.779092454540887</v>
      </c>
      <c r="BV42" s="37" cm="1">
        <f t="array" aca="1" ref="BV42" ca="1">INDEX(BV$7:BV$33,$A42)</f>
        <v>73.82242641493842</v>
      </c>
      <c r="BW42" s="37" cm="1">
        <f t="array" aca="1" ref="BW42" ca="1">INDEX(BW$7:BW$33,$A42)</f>
        <v>67.418093018898674</v>
      </c>
      <c r="BX42" s="37" cm="1">
        <f t="array" aca="1" ref="BX42" ca="1">INDEX(BX$7:BX$33,$A42)</f>
        <v>0</v>
      </c>
      <c r="BY42" s="37" cm="1">
        <f t="array" aca="1" ref="BY42" ca="1">INDEX(BY$7:BY$33,$A42)</f>
        <v>0</v>
      </c>
      <c r="BZ42" s="37" cm="1">
        <f t="array" aca="1" ref="BZ42" ca="1">INDEX(BZ$7:BZ$33,$A42)</f>
        <v>0</v>
      </c>
    </row>
    <row r="43" spans="1:100" x14ac:dyDescent="0.3">
      <c r="A43" s="49">
        <f ca="1">MATCH(10,$AD$84:$AD$110,0)</f>
        <v>21</v>
      </c>
      <c r="B43" s="49" t="str" cm="1">
        <f t="array" aca="1" ref="B43" ca="1">INDEX(B$7:B$33,A43)</f>
        <v>Sc - 11a</v>
      </c>
      <c r="C43" s="100" t="s">
        <v>4971</v>
      </c>
      <c r="D43" s="18" t="str" cm="1">
        <f t="array" aca="1" ref="D43" ca="1">INDEX(D$7:D$33,$A43)</f>
        <v>TL</v>
      </c>
      <c r="E43" s="18" t="str" cm="1">
        <f t="array" aca="1" ref="E43" ca="1">INDEX(E$7:E$33,$A43)</f>
        <v>A</v>
      </c>
      <c r="F43" s="18" t="str" cm="1">
        <f t="array" aca="1" ref="F43" ca="1">INDEX(F$7:F$33,$A43)</f>
        <v xml:space="preserve">Pull plug - Covered Lagoon </v>
      </c>
      <c r="G43" s="9" cm="1">
        <f t="array" aca="1" ref="G43" ca="1">INDEX(G$7:G$33,$A43)</f>
        <v>0</v>
      </c>
      <c r="H43" s="37" cm="1">
        <f t="array" aca="1" ref="H43" ca="1">INDEX(H$7:H$33,$A43)</f>
        <v>161.76579735540867</v>
      </c>
      <c r="I43" s="37" cm="1">
        <f t="array" aca="1" ref="I43" ca="1">INDEX(I$7:I$33,$A43)</f>
        <v>48.643373670824786</v>
      </c>
      <c r="J43" s="37" cm="1">
        <f t="array" aca="1" ref="J43" ca="1">INDEX(J$7:J$33,$A43)</f>
        <v>1.7218893154655115</v>
      </c>
      <c r="K43" s="37" cm="1">
        <f t="array" aca="1" ref="K43" ca="1">INDEX(K$7:K$33,$A43)</f>
        <v>11.924138639405244</v>
      </c>
      <c r="L43" s="37" cm="1">
        <f t="array" aca="1" ref="L43" ca="1">INDEX(L$7:L$33,$A43)</f>
        <v>0</v>
      </c>
      <c r="M43" s="37" cm="1">
        <f t="array" aca="1" ref="M43" ca="1">INDEX(M$7:M$33,$A43)</f>
        <v>-198.48503238682821</v>
      </c>
      <c r="N43" s="37" cm="1">
        <f t="array" aca="1" ref="N43" ca="1">INDEX(N$7:N$33,$A43)</f>
        <v>0.67345190886709994</v>
      </c>
      <c r="O43" s="37" cm="1">
        <f t="array" aca="1" ref="O43" ca="1">INDEX(O$7:O$33,$A43)</f>
        <v>7.1463234135458201E-2</v>
      </c>
      <c r="P43" s="37" cm="1">
        <f t="array" aca="1" ref="P43" ca="1">INDEX(P$7:P$33,$A43)</f>
        <v>0</v>
      </c>
      <c r="Q43" s="37" cm="1">
        <f t="array" aca="1" ref="Q43" ca="1">INDEX(Q$7:Q$33,$A43)</f>
        <v>124.45685847661997</v>
      </c>
      <c r="R43" s="37" cm="1">
        <f t="array" aca="1" ref="R43" ca="1">INDEX(R$7:R$33,$A43)</f>
        <v>23.521937353779773</v>
      </c>
      <c r="S43" s="37" cm="1">
        <f t="array" aca="1" ref="S43" ca="1">INDEX(S$7:S$33,$A43)</f>
        <v>10.097568776505975</v>
      </c>
      <c r="T43" s="37" cm="1">
        <f t="array" aca="1" ref="T43" ca="1">INDEX(T$7:T$33,$A43)</f>
        <v>2.75</v>
      </c>
      <c r="U43" s="37" cm="1">
        <f t="array" aca="1" ref="U43" ca="1">INDEX(U$7:U$33,$A43)</f>
        <v>3.5267348953936684E-2</v>
      </c>
      <c r="V43" s="37" cm="1">
        <f t="array" aca="1" ref="V43" ca="1">INDEX(V$7:V$33,$A43)</f>
        <v>2</v>
      </c>
      <c r="W43" s="37" cm="1">
        <f t="array" aca="1" ref="W43" ca="1">INDEX(W$7:W$33,$A43)</f>
        <v>12.335202457143902</v>
      </c>
      <c r="X43" s="37" cm="1">
        <f t="array" aca="1" ref="X43" ca="1">INDEX(X$7:X$33,$A43)</f>
        <v>0</v>
      </c>
      <c r="Y43" s="37" cm="1">
        <f t="array" aca="1" ref="Y43" ca="1">INDEX(Y$7:Y$33,$A43)</f>
        <v>0</v>
      </c>
      <c r="Z43" s="37" cm="1">
        <f t="array" aca="1" ref="Z43" ca="1">INDEX(Z$7:Z$33,$A43)</f>
        <v>0</v>
      </c>
      <c r="AA43" s="37" cm="1">
        <f t="array" aca="1" ref="AA43" ca="1">INDEX(AA$7:AA$33,$A43)</f>
        <v>0</v>
      </c>
      <c r="AB43" s="37" cm="1">
        <f t="array" aca="1" ref="AB43" ca="1">INDEX(AB$7:AB$33,$A43)</f>
        <v>0</v>
      </c>
      <c r="AC43" s="20"/>
      <c r="AD43" s="9" t="str" cm="1">
        <f t="array" aca="1" ref="AD43" ca="1">INDEX(AD$7:AD$33,$A42)</f>
        <v>9A</v>
      </c>
      <c r="AE43" s="18" t="str" cm="1">
        <f t="array" aca="1" ref="AE43" ca="1">INDEX(AE$7:AE$33,$A42)</f>
        <v>Flush - Covered Lagoon  - TL (A)</v>
      </c>
      <c r="AF43" s="102" cm="1">
        <f t="array" aca="1" ref="AF43" ca="1">INDEX(AF$7:AF$33,$A42)</f>
        <v>0.66065717907263055</v>
      </c>
      <c r="AG43" s="102" cm="1">
        <f t="array" aca="1" ref="AG43" ca="1">INDEX(AG$7:AG$33,$A42)</f>
        <v>0.13241149635989077</v>
      </c>
      <c r="AH43" s="102" cm="1">
        <f t="array" aca="1" ref="AH43" ca="1">INDEX(AH$7:AH$33,$A42)</f>
        <v>0</v>
      </c>
      <c r="AI43" s="102" cm="1">
        <f t="array" aca="1" ref="AI43" ca="1">INDEX(AI$7:AI$33,$A42)</f>
        <v>124.45685847661997</v>
      </c>
      <c r="AJ43" s="102" cm="1">
        <f t="array" aca="1" ref="AJ43" ca="1">INDEX(AJ$7:AJ$33,$A42)</f>
        <v>24.301826128654703</v>
      </c>
      <c r="AK43" s="102" cm="1">
        <f t="array" aca="1" ref="AK43" ca="1">INDEX(AK$7:AK$33,$A42)</f>
        <v>10.329250070956935</v>
      </c>
      <c r="AL43" s="20"/>
      <c r="AM43" s="18" t="str" cm="1">
        <f t="array" aca="1" ref="AM43" ca="1">INDEX(AM$7:AM$33,$A42)</f>
        <v>9A</v>
      </c>
      <c r="AN43" s="18" t="str" cm="1">
        <f t="array" aca="1" ref="AN43" ca="1">INDEX(AN$7:AN$33,$A42)</f>
        <v>Flush - Covered Lagoon  - TL (A)</v>
      </c>
      <c r="AO43" s="632" cm="1">
        <f t="array" aca="1" ref="AO43" ca="1">INDEX(AO$7:AO$33,$A42)</f>
        <v>-2.783508764128256E-3</v>
      </c>
      <c r="AP43" s="632" cm="1">
        <f t="array" aca="1" ref="AP43" ca="1">INDEX(AP$7:AP$33,$A42)</f>
        <v>0</v>
      </c>
      <c r="AQ43" s="632" cm="1">
        <f t="array" aca="1" ref="AQ43" ca="1">INDEX(AQ$7:AQ$33,$A42)</f>
        <v>-69.130017849226007</v>
      </c>
      <c r="AR43" s="632" cm="1">
        <f t="array" aca="1" ref="AR43" ca="1">INDEX(AR$7:AR$33,$A42)</f>
        <v>3.6093098462282032</v>
      </c>
      <c r="AS43" s="632" cm="1">
        <f t="array" aca="1" ref="AS43" ca="1">INDEX(AS$7:AS$33,$A42)</f>
        <v>0</v>
      </c>
      <c r="AT43" s="632" cm="1">
        <f t="array" aca="1" ref="AT43" ca="1">INDEX(AT$7:AT$33,$A42)</f>
        <v>0</v>
      </c>
      <c r="AV43" s="9" t="str" cm="1">
        <f t="array" aca="1" ref="AV43" ca="1">INDEX(AV$7:AV$33,$A42)</f>
        <v>9A</v>
      </c>
      <c r="AW43" s="9" t="str" cm="1">
        <f t="array" aca="1" ref="AW43" ca="1">INDEX(AW$7:AW$33,$A42)</f>
        <v>Flush - Covered Lagoon  - TL (A)</v>
      </c>
      <c r="AX43" s="9" cm="1">
        <f t="array" aca="1" ref="AX43" ca="1">INDEX(AX$7:AX$33,$A42)</f>
        <v>0.65787367030850241</v>
      </c>
      <c r="AY43" s="9" cm="1">
        <f t="array" aca="1" ref="AY43" ca="1">INDEX(AY$7:AY$33,$A42)</f>
        <v>0.13241149635989077</v>
      </c>
      <c r="AZ43" s="9" cm="1">
        <f t="array" aca="1" ref="AZ43" ca="1">INDEX(AZ$7:AZ$33,$A42)</f>
        <v>-69.130017849226007</v>
      </c>
      <c r="BA43" s="9" cm="1">
        <f t="array" aca="1" ref="BA43" ca="1">INDEX(BA$7:BA$33,$A42)</f>
        <v>128.06616832284817</v>
      </c>
      <c r="BB43" s="9" cm="1">
        <f t="array" aca="1" ref="BB43" ca="1">INDEX(BB$7:BB$33,$A42)</f>
        <v>24.301826128654703</v>
      </c>
      <c r="BC43" s="9" cm="1">
        <f t="array" aca="1" ref="BC43" ca="1">INDEX(BC$7:BC$33,$A42)</f>
        <v>10.329250070956935</v>
      </c>
      <c r="BF43" s="37" cm="1">
        <f t="array" aca="1" ref="BF43" ca="1">INDEX(BF$7:BF$33,$A43)</f>
        <v>96.447922069301072</v>
      </c>
      <c r="BG43" s="37" cm="1">
        <f t="array" aca="1" ref="BG43" ca="1">INDEX(BG$7:BG$33,$A43)</f>
        <v>27.825900959019744</v>
      </c>
      <c r="BH43" s="340" cm="1">
        <f t="array" aca="1" ref="BH43" ca="1">INDEX(BH$7:BH$33,$A43)</f>
        <v>34.688103070047873</v>
      </c>
      <c r="BI43" s="7"/>
      <c r="BJ43" s="7"/>
      <c r="BK43" s="7"/>
      <c r="BL43" s="653" cm="1">
        <f t="array" aca="1" ref="BL43" ca="1">INDEX(BL$7:BL$33,$A43)</f>
        <v>60.822406481080826</v>
      </c>
      <c r="BM43" s="37" cm="1">
        <f t="array" aca="1" ref="BM43" ca="1">INDEX(BM$7:BM$33,$A43)</f>
        <v>12.335202457143902</v>
      </c>
      <c r="BN43" s="37" cm="1">
        <f t="array" aca="1" ref="BN43" ca="1">INDEX(BN$7:BN$33,$A43)</f>
        <v>17.183922859537596</v>
      </c>
      <c r="BO43" s="37" cm="1">
        <f t="array" aca="1" ref="BO43" ca="1">INDEX(BO$7:BO$33,$A43)</f>
        <v>0</v>
      </c>
      <c r="BP43" s="37" cm="1">
        <f t="array" aca="1" ref="BP43" ca="1">INDEX(BP$7:BP$33,$A43)</f>
        <v>0</v>
      </c>
      <c r="BQ43" s="37" cm="1">
        <f t="array" aca="1" ref="BQ43" ca="1">INDEX(BQ$7:BQ$33,$A43)</f>
        <v>0</v>
      </c>
      <c r="BR43" s="37" cm="1">
        <f t="array" aca="1" ref="BR43" ca="1">INDEX(BR$7:BR$33,$A43)</f>
        <v>0</v>
      </c>
      <c r="BS43" s="37" cm="1">
        <f t="array" aca="1" ref="BS43" ca="1">INDEX(BS$7:BS$33,$A43)</f>
        <v>0</v>
      </c>
      <c r="BT43" s="37" cm="1">
        <f t="array" aca="1" ref="BT43" ca="1">INDEX(BT$7:BT$33,$A43)</f>
        <v>0</v>
      </c>
      <c r="BU43" s="37" cm="1">
        <f t="array" aca="1" ref="BU43" ca="1">INDEX(BU$7:BU$33,$A43)</f>
        <v>3.5520779306989283</v>
      </c>
      <c r="BV43" s="37" cm="1">
        <f t="array" aca="1" ref="BV43" ca="1">INDEX(BV$7:BV$33,$A43)</f>
        <v>72.174099040980252</v>
      </c>
      <c r="BW43" s="37" cm="1">
        <f t="array" aca="1" ref="BW43" ca="1">INDEX(BW$7:BW$33,$A43)</f>
        <v>65.311896929952127</v>
      </c>
      <c r="BX43" s="37" cm="1">
        <f t="array" aca="1" ref="BX43" ca="1">INDEX(BX$7:BX$33,$A43)</f>
        <v>0</v>
      </c>
      <c r="BY43" s="37" cm="1">
        <f t="array" aca="1" ref="BY43" ca="1">INDEX(BY$7:BY$33,$A43)</f>
        <v>0</v>
      </c>
      <c r="BZ43" s="37" cm="1">
        <f t="array" aca="1" ref="BZ43" ca="1">INDEX(BZ$7:BZ$33,$A43)</f>
        <v>0</v>
      </c>
    </row>
    <row r="44" spans="1:100" x14ac:dyDescent="0.3">
      <c r="T44" s="619"/>
      <c r="U44" s="619"/>
      <c r="V44" s="619"/>
      <c r="W44" s="619"/>
      <c r="X44" s="619"/>
      <c r="Y44" s="619"/>
      <c r="Z44" s="619"/>
      <c r="AA44" s="619"/>
      <c r="AB44" s="619"/>
      <c r="AD44" s="9" t="str" cm="1">
        <f t="array" aca="1" ref="AD44" ca="1">INDEX(AD$7:AD$33,$A43)</f>
        <v>11A</v>
      </c>
      <c r="AE44" s="18" t="str" cm="1">
        <f t="array" aca="1" ref="AE44" ca="1">INDEX(AE$7:AE$33,$A43)</f>
        <v>Pull plug - Covered Lagoon  - TL (A)</v>
      </c>
      <c r="AF44" s="102" cm="1">
        <f t="array" aca="1" ref="AF44" ca="1">INDEX(AF$7:AF$33,$A43)</f>
        <v>0.67345190886709994</v>
      </c>
      <c r="AG44" s="102" cm="1">
        <f t="array" aca="1" ref="AG44" ca="1">INDEX(AG$7:AG$33,$A43)</f>
        <v>7.1463234135458201E-2</v>
      </c>
      <c r="AH44" s="102" cm="1">
        <f t="array" aca="1" ref="AH44" ca="1">INDEX(AH$7:AH$33,$A43)</f>
        <v>0</v>
      </c>
      <c r="AI44" s="102" cm="1">
        <f t="array" aca="1" ref="AI44" ca="1">INDEX(AI$7:AI$33,$A43)</f>
        <v>124.45685847661997</v>
      </c>
      <c r="AJ44" s="102" cm="1">
        <f t="array" aca="1" ref="AJ44" ca="1">INDEX(AJ$7:AJ$33,$A43)</f>
        <v>23.521937353779773</v>
      </c>
      <c r="AK44" s="102" cm="1">
        <f t="array" aca="1" ref="AK44" ca="1">INDEX(AK$7:AK$33,$A43)</f>
        <v>10.097568776505975</v>
      </c>
      <c r="AM44" s="18" t="str" cm="1">
        <f t="array" aca="1" ref="AM44" ca="1">INDEX(AM$7:AM$33,$A43)</f>
        <v>11A</v>
      </c>
      <c r="AN44" s="18" t="str" cm="1">
        <f t="array" aca="1" ref="AN44" ca="1">INDEX(AN$7:AN$33,$A43)</f>
        <v>Pull plug - Covered Lagoon  - TL (A)</v>
      </c>
      <c r="AO44" s="632" cm="1">
        <f t="array" aca="1" ref="AO44" ca="1">INDEX(AO$7:AO$33,$A43)</f>
        <v>-4.938074653581241E-3</v>
      </c>
      <c r="AP44" s="632" cm="1">
        <f t="array" aca="1" ref="AP44" ca="1">INDEX(AP$7:AP$33,$A43)</f>
        <v>0</v>
      </c>
      <c r="AQ44" s="632" cm="1">
        <f t="array" aca="1" ref="AQ44" ca="1">INDEX(AQ$7:AQ$33,$A43)</f>
        <v>-78.150842425804186</v>
      </c>
      <c r="AR44" s="632" cm="1">
        <f t="array" aca="1" ref="AR44" ca="1">INDEX(AR$7:AR$33,$A43)</f>
        <v>1.3276361110083128</v>
      </c>
      <c r="AS44" s="632" cm="1">
        <f t="array" aca="1" ref="AS44" ca="1">INDEX(AS$7:AS$33,$A43)</f>
        <v>0</v>
      </c>
      <c r="AT44" s="632" cm="1">
        <f t="array" aca="1" ref="AT44" ca="1">INDEX(AT$7:AT$33,$A43)</f>
        <v>0</v>
      </c>
      <c r="AV44" s="9" t="str" cm="1">
        <f t="array" aca="1" ref="AV44" ca="1">INDEX(AV$7:AV$33,$A43)</f>
        <v>11A</v>
      </c>
      <c r="AW44" s="9" t="str" cm="1">
        <f t="array" aca="1" ref="AW44" ca="1">INDEX(AW$7:AW$33,$A43)</f>
        <v>Pull plug - Covered Lagoon  - TL (A)</v>
      </c>
      <c r="AX44" s="9" cm="1">
        <f t="array" aca="1" ref="AX44" ca="1">INDEX(AX$7:AX$33,$A43)</f>
        <v>0.66851383421351873</v>
      </c>
      <c r="AY44" s="9" cm="1">
        <f t="array" aca="1" ref="AY44" ca="1">INDEX(AY$7:AY$33,$A43)</f>
        <v>7.1463234135458201E-2</v>
      </c>
      <c r="AZ44" s="9" cm="1">
        <f t="array" aca="1" ref="AZ44" ca="1">INDEX(AZ$7:AZ$33,$A43)</f>
        <v>-78.150842425804186</v>
      </c>
      <c r="BA44" s="9" cm="1">
        <f t="array" aca="1" ref="BA44" ca="1">INDEX(BA$7:BA$33,$A43)</f>
        <v>125.78449458762829</v>
      </c>
      <c r="BB44" s="9" cm="1">
        <f t="array" aca="1" ref="BB44" ca="1">INDEX(BB$7:BB$33,$A43)</f>
        <v>23.521937353779773</v>
      </c>
      <c r="BC44" s="9" cm="1">
        <f t="array" aca="1" ref="BC44" ca="1">INDEX(BC$7:BC$33,$A43)</f>
        <v>10.097568776505975</v>
      </c>
    </row>
    <row r="45" spans="1:100" x14ac:dyDescent="0.3">
      <c r="E45" s="906" t="s">
        <v>4972</v>
      </c>
      <c r="F45" s="906"/>
      <c r="H45" s="67" t="s">
        <v>4973</v>
      </c>
      <c r="I45" s="67" t="s">
        <v>4973</v>
      </c>
      <c r="J45" s="67" t="s">
        <v>4974</v>
      </c>
      <c r="K45" s="67" t="s">
        <v>4974</v>
      </c>
      <c r="L45" s="67" t="s">
        <v>4974</v>
      </c>
      <c r="M45" s="67" t="s">
        <v>4974</v>
      </c>
      <c r="N45" s="67" t="s">
        <v>4973</v>
      </c>
      <c r="O45" s="67" t="s">
        <v>4973</v>
      </c>
      <c r="P45" s="67" t="s">
        <v>4973</v>
      </c>
      <c r="Q45" s="67" t="s">
        <v>4973</v>
      </c>
      <c r="R45" s="67" t="s">
        <v>4973</v>
      </c>
      <c r="S45" s="67" t="s">
        <v>4973</v>
      </c>
      <c r="T45" s="67" t="s">
        <v>4974</v>
      </c>
      <c r="U45" s="67" t="s">
        <v>4973</v>
      </c>
      <c r="V45" s="67" t="s">
        <v>4974</v>
      </c>
      <c r="W45" s="36" t="s">
        <v>4973</v>
      </c>
      <c r="X45" s="36" t="s">
        <v>4973</v>
      </c>
      <c r="Y45" s="36" t="s">
        <v>4973</v>
      </c>
      <c r="Z45" s="36"/>
      <c r="AA45" s="36"/>
      <c r="AB45" s="36"/>
      <c r="AG45" s="7"/>
      <c r="AH45" s="42" t="s">
        <v>4975</v>
      </c>
      <c r="AI45" s="626"/>
      <c r="AO45" s="42"/>
      <c r="AP45" s="42"/>
      <c r="AR45" s="101"/>
      <c r="AS45" s="42"/>
      <c r="AT45" s="632"/>
    </row>
    <row r="46" spans="1:100" x14ac:dyDescent="0.3">
      <c r="E46" s="907" t="s">
        <v>4976</v>
      </c>
      <c r="F46" s="908" t="s">
        <v>4977</v>
      </c>
      <c r="G46" s="32" t="s">
        <v>41</v>
      </c>
      <c r="H46" s="604">
        <f t="shared" ref="H46:M46" si="16">MIN(H7:H33)</f>
        <v>75.941569540956351</v>
      </c>
      <c r="I46" s="604">
        <f t="shared" si="16"/>
        <v>27.847553470780319</v>
      </c>
      <c r="J46" s="604">
        <f t="shared" si="16"/>
        <v>0</v>
      </c>
      <c r="K46" s="604">
        <f t="shared" si="16"/>
        <v>9.0388752369253247</v>
      </c>
      <c r="L46" s="604">
        <f t="shared" si="16"/>
        <v>0</v>
      </c>
      <c r="M46" s="604">
        <f t="shared" si="16"/>
        <v>-1126.8037928584793</v>
      </c>
      <c r="N46" s="604">
        <f t="shared" ref="N46:Y46" si="17">MIN(N7:N33)</f>
        <v>0.20601696077171924</v>
      </c>
      <c r="O46" s="604">
        <f>MIN(O7:O33)</f>
        <v>1.9166736367290372E-2</v>
      </c>
      <c r="P46" s="604">
        <f t="shared" si="17"/>
        <v>0</v>
      </c>
      <c r="Q46" s="604">
        <f t="shared" si="17"/>
        <v>0</v>
      </c>
      <c r="R46" s="604">
        <f t="shared" si="17"/>
        <v>8.8806076154703533</v>
      </c>
      <c r="S46" s="604">
        <f t="shared" si="17"/>
        <v>5.5112746043841678</v>
      </c>
      <c r="T46" s="604">
        <f t="shared" si="17"/>
        <v>2.3333333333333335</v>
      </c>
      <c r="U46" s="604">
        <f t="shared" si="17"/>
        <v>4.6181272283730701E-3</v>
      </c>
      <c r="V46" s="604">
        <f t="shared" si="17"/>
        <v>2</v>
      </c>
      <c r="W46" s="604">
        <f ca="1">MIN(W7:W33)</f>
        <v>6.7672275929776342</v>
      </c>
      <c r="X46" s="604">
        <f>MIN(X7:X33)</f>
        <v>0</v>
      </c>
      <c r="Y46" s="604">
        <f t="shared" si="17"/>
        <v>0</v>
      </c>
      <c r="Z46" s="337"/>
      <c r="AA46" s="337"/>
      <c r="AB46" s="337"/>
      <c r="AG46" s="7"/>
      <c r="AH46" s="42" t="s">
        <v>4975</v>
      </c>
      <c r="AO46" s="42"/>
      <c r="AP46" s="42"/>
      <c r="AR46" s="101"/>
      <c r="AS46" s="42"/>
      <c r="AT46" s="42"/>
    </row>
    <row r="47" spans="1:100" x14ac:dyDescent="0.3">
      <c r="E47" s="907" t="s">
        <v>4974</v>
      </c>
      <c r="F47" s="908" t="s">
        <v>4978</v>
      </c>
      <c r="G47" s="32" t="s">
        <v>42</v>
      </c>
      <c r="H47" s="604">
        <f t="shared" ref="H47:M47" si="18">MAX(H7:H33)</f>
        <v>785.44802324471482</v>
      </c>
      <c r="I47" s="604">
        <f t="shared" si="18"/>
        <v>352.90295664391317</v>
      </c>
      <c r="J47" s="604">
        <f t="shared" si="18"/>
        <v>21.122905164349451</v>
      </c>
      <c r="K47" s="604">
        <f t="shared" si="18"/>
        <v>26.428080656756883</v>
      </c>
      <c r="L47" s="604">
        <f t="shared" si="18"/>
        <v>3.4552283569129476E-2</v>
      </c>
      <c r="M47" s="604">
        <f t="shared" si="18"/>
        <v>-82.715974709535459</v>
      </c>
      <c r="N47" s="604">
        <f t="shared" ref="N47:Y47" si="19">MAX(N7:N33)</f>
        <v>1.0484672156712076</v>
      </c>
      <c r="O47" s="604">
        <f t="shared" si="19"/>
        <v>0.15290585659551295</v>
      </c>
      <c r="P47" s="604">
        <f t="shared" si="19"/>
        <v>0</v>
      </c>
      <c r="Q47" s="604">
        <f t="shared" si="19"/>
        <v>1090.6718347104595</v>
      </c>
      <c r="R47" s="604">
        <f t="shared" si="19"/>
        <v>26.944599054478342</v>
      </c>
      <c r="S47" s="604">
        <f t="shared" si="19"/>
        <v>12.023927466590823</v>
      </c>
      <c r="T47" s="604">
        <f t="shared" si="19"/>
        <v>4.5</v>
      </c>
      <c r="U47" s="604">
        <f t="shared" si="19"/>
        <v>6.6417094731324844E-2</v>
      </c>
      <c r="V47" s="604">
        <f t="shared" si="19"/>
        <v>2.75</v>
      </c>
      <c r="W47" s="604">
        <f ca="1">MAX(W7:W33)</f>
        <v>139.58373583222269</v>
      </c>
      <c r="X47" s="604">
        <f>MAX(X7:X33)</f>
        <v>0</v>
      </c>
      <c r="Y47" s="604">
        <f t="shared" si="19"/>
        <v>0</v>
      </c>
      <c r="Z47" s="902"/>
      <c r="AA47" s="902"/>
      <c r="AB47" s="902"/>
      <c r="AG47" s="7"/>
      <c r="AO47" s="42"/>
      <c r="AP47" s="42"/>
      <c r="AR47" s="101"/>
      <c r="AS47" s="42"/>
      <c r="AT47" s="42"/>
    </row>
    <row r="48" spans="1:100" x14ac:dyDescent="0.3">
      <c r="F48" s="32"/>
      <c r="G48" s="32" t="s">
        <v>4744</v>
      </c>
      <c r="H48" s="604">
        <f>H46-H47</f>
        <v>-709.50645370375844</v>
      </c>
      <c r="I48" s="604">
        <f t="shared" ref="I48:S48" si="20">I46-I47</f>
        <v>-325.05540317313285</v>
      </c>
      <c r="J48" s="604">
        <f>J47-J46</f>
        <v>21.122905164349451</v>
      </c>
      <c r="K48" s="604">
        <f t="shared" ref="K48:M48" si="21">K47-K46</f>
        <v>17.389205419831558</v>
      </c>
      <c r="L48" s="604">
        <f t="shared" si="21"/>
        <v>3.4552283569129476E-2</v>
      </c>
      <c r="M48" s="604">
        <f t="shared" si="21"/>
        <v>1044.0878181489438</v>
      </c>
      <c r="N48" s="604">
        <f t="shared" si="20"/>
        <v>-0.84245025489948833</v>
      </c>
      <c r="O48" s="604">
        <f t="shared" si="20"/>
        <v>-0.13373912022822257</v>
      </c>
      <c r="P48" s="604">
        <f t="shared" si="20"/>
        <v>0</v>
      </c>
      <c r="Q48" s="604">
        <f t="shared" si="20"/>
        <v>-1090.6718347104595</v>
      </c>
      <c r="R48" s="604">
        <f t="shared" si="20"/>
        <v>-18.063991439007989</v>
      </c>
      <c r="S48" s="604">
        <f t="shared" si="20"/>
        <v>-6.5126528622066555</v>
      </c>
      <c r="T48" s="604">
        <f>T47-T46</f>
        <v>2.1666666666666665</v>
      </c>
      <c r="U48" s="604">
        <f t="shared" ref="U48:Y48" si="22">U46-U47</f>
        <v>-6.1798967502951774E-2</v>
      </c>
      <c r="V48" s="604">
        <f>V47-V46</f>
        <v>0.75</v>
      </c>
      <c r="W48" s="604">
        <f t="shared" ca="1" si="22"/>
        <v>-132.81650823924505</v>
      </c>
      <c r="X48" s="604">
        <f t="shared" si="22"/>
        <v>0</v>
      </c>
      <c r="Y48" s="604">
        <f t="shared" si="22"/>
        <v>0</v>
      </c>
      <c r="Z48" s="337"/>
      <c r="AA48" s="337"/>
      <c r="AB48" s="337"/>
      <c r="AG48" s="7"/>
    </row>
    <row r="49" spans="3:36" ht="28.8" x14ac:dyDescent="0.3">
      <c r="C49" s="627" t="s">
        <v>4903</v>
      </c>
      <c r="D49" s="628"/>
      <c r="E49" s="629"/>
      <c r="F49" s="606"/>
      <c r="G49" s="606"/>
      <c r="H49" s="909" t="s">
        <v>2585</v>
      </c>
      <c r="I49" s="909" t="s">
        <v>2588</v>
      </c>
      <c r="J49" s="909" t="s">
        <v>441</v>
      </c>
      <c r="K49" s="909" t="s">
        <v>440</v>
      </c>
      <c r="L49" s="909" t="s">
        <v>494</v>
      </c>
      <c r="M49" s="909" t="s">
        <v>439</v>
      </c>
      <c r="N49" s="910" t="s">
        <v>4824</v>
      </c>
      <c r="O49" s="910" t="s">
        <v>447</v>
      </c>
      <c r="P49" s="910" t="s">
        <v>446</v>
      </c>
      <c r="Q49" s="910" t="s">
        <v>2599</v>
      </c>
      <c r="R49" s="910" t="s">
        <v>4832</v>
      </c>
      <c r="S49" s="910" t="s">
        <v>4833</v>
      </c>
      <c r="T49" s="912" t="s">
        <v>516</v>
      </c>
      <c r="U49" s="912" t="s">
        <v>4655</v>
      </c>
      <c r="V49" s="912" t="s">
        <v>4827</v>
      </c>
      <c r="W49" s="913" t="s">
        <v>456</v>
      </c>
      <c r="X49" s="912" t="s">
        <v>4979</v>
      </c>
      <c r="Y49" s="914" t="s">
        <v>2623</v>
      </c>
      <c r="Z49" s="903"/>
      <c r="AA49" s="903"/>
      <c r="AB49" s="903"/>
      <c r="AG49" s="7"/>
      <c r="AJ49" s="20"/>
    </row>
    <row r="50" spans="3:36" ht="28.8" x14ac:dyDescent="0.3">
      <c r="C50" s="97"/>
      <c r="D50" s="97"/>
      <c r="E50" s="96"/>
      <c r="F50" s="606"/>
      <c r="G50" s="606"/>
      <c r="H50" s="899" t="s">
        <v>4980</v>
      </c>
      <c r="I50" s="899" t="s">
        <v>4980</v>
      </c>
      <c r="J50" s="899" t="s">
        <v>4980</v>
      </c>
      <c r="K50" s="899" t="s">
        <v>4980</v>
      </c>
      <c r="L50" s="899" t="s">
        <v>4980</v>
      </c>
      <c r="M50" s="899" t="s">
        <v>4980</v>
      </c>
      <c r="N50" s="911" t="s">
        <v>4883</v>
      </c>
      <c r="O50" s="911" t="s">
        <v>4874</v>
      </c>
      <c r="P50" s="911" t="s">
        <v>4884</v>
      </c>
      <c r="Q50" s="911" t="s">
        <v>4885</v>
      </c>
      <c r="R50" s="911" t="s">
        <v>4875</v>
      </c>
      <c r="S50" s="911" t="s">
        <v>4876</v>
      </c>
      <c r="T50" s="900" t="s">
        <v>4877</v>
      </c>
      <c r="U50" s="900" t="s">
        <v>4877</v>
      </c>
      <c r="V50" s="900"/>
      <c r="W50" s="900" t="s">
        <v>4878</v>
      </c>
      <c r="X50" s="900" t="s">
        <v>4879</v>
      </c>
      <c r="Y50" s="901" t="s">
        <v>4981</v>
      </c>
      <c r="Z50" s="904"/>
      <c r="AA50" s="904"/>
      <c r="AB50" s="904"/>
      <c r="AG50" s="7"/>
    </row>
    <row r="51" spans="3:36" x14ac:dyDescent="0.3">
      <c r="C51" s="100" t="str">
        <f t="shared" ref="C51:D77" si="23">C7</f>
        <v>Deep pit, tanker</v>
      </c>
      <c r="D51" s="67" t="str">
        <f t="shared" si="23"/>
        <v>TL</v>
      </c>
      <c r="E51" s="9" t="s">
        <v>4982</v>
      </c>
      <c r="F51" s="646" t="str">
        <f t="shared" ref="F51:F77" si="24">F7</f>
        <v>Deep pit slurry system</v>
      </c>
      <c r="G51" s="631"/>
      <c r="H51" s="37">
        <f t="shared" ref="H51:I77" si="25">IF(H$48=0,1,(H7-H$47)/H$48)</f>
        <v>0.9942523954991126</v>
      </c>
      <c r="I51" s="37">
        <f t="shared" si="25"/>
        <v>0.99607153163622675</v>
      </c>
      <c r="J51" s="37">
        <f t="shared" ref="J51:M77" si="26">IF(J$48=0,1,(J7-J$46)/J$48)</f>
        <v>0</v>
      </c>
      <c r="K51" s="37">
        <f t="shared" si="26"/>
        <v>1</v>
      </c>
      <c r="L51" s="37">
        <f t="shared" si="26"/>
        <v>0</v>
      </c>
      <c r="M51" s="37">
        <f t="shared" si="26"/>
        <v>1</v>
      </c>
      <c r="N51" s="37">
        <f t="shared" ref="N51:S60" si="27">IF(N$48=0,1,(N7-N$47)/N$48)</f>
        <v>0.62952302633448753</v>
      </c>
      <c r="O51" s="37">
        <f t="shared" si="27"/>
        <v>0</v>
      </c>
      <c r="P51" s="37">
        <f t="shared" si="27"/>
        <v>1</v>
      </c>
      <c r="Q51" s="37">
        <f t="shared" si="27"/>
        <v>1</v>
      </c>
      <c r="R51" s="37">
        <f t="shared" si="27"/>
        <v>1</v>
      </c>
      <c r="S51" s="37">
        <f t="shared" si="27"/>
        <v>1</v>
      </c>
      <c r="T51" s="37">
        <f t="shared" ref="T51:V77" si="28">IF(T$48=0,1,(T7-T$46)/T$48)</f>
        <v>0.88461538461538458</v>
      </c>
      <c r="U51" s="37">
        <f t="shared" ref="U51:W51" si="29">IF(U$48=0,1,(U7-U$47)/U$48)</f>
        <v>0.97787531333426725</v>
      </c>
      <c r="V51" s="37">
        <f t="shared" si="28"/>
        <v>1</v>
      </c>
      <c r="W51" s="37">
        <f t="shared" ca="1" si="29"/>
        <v>0.88528038291465705</v>
      </c>
      <c r="X51" s="37">
        <f t="shared" ref="W51:X77" si="30">IF(X$48=0,1,(X7-X$47)/X$48)</f>
        <v>1</v>
      </c>
      <c r="Y51" s="37">
        <f>IF(Y$48=0,1,(Y7-Y$47)/Y$48)</f>
        <v>1</v>
      </c>
      <c r="Z51" s="7"/>
      <c r="AA51" s="7"/>
      <c r="AB51" s="7"/>
      <c r="AG51" s="7"/>
    </row>
    <row r="52" spans="3:36" x14ac:dyDescent="0.3">
      <c r="C52" s="100" t="str">
        <f t="shared" si="23"/>
        <v>Deep pit, drag hose</v>
      </c>
      <c r="D52" s="67" t="str">
        <f t="shared" si="23"/>
        <v>DHL</v>
      </c>
      <c r="E52" s="9" t="s">
        <v>4983</v>
      </c>
      <c r="F52" s="646" t="str">
        <f t="shared" si="24"/>
        <v>Deep pit slurry system</v>
      </c>
      <c r="G52" s="631"/>
      <c r="H52" s="37">
        <f>IF(H$48=0,1,(H8-H$47)/H$48)</f>
        <v>0.84291525854627147</v>
      </c>
      <c r="I52" s="37">
        <f t="shared" si="25"/>
        <v>0.8855033876542372</v>
      </c>
      <c r="J52" s="37">
        <f>IF(J$48=0,1,(J8-J$46)/J$48)</f>
        <v>0</v>
      </c>
      <c r="K52" s="37">
        <f t="shared" si="26"/>
        <v>1</v>
      </c>
      <c r="L52" s="37">
        <f t="shared" si="26"/>
        <v>0</v>
      </c>
      <c r="M52" s="37">
        <f t="shared" si="26"/>
        <v>0.86273621291038149</v>
      </c>
      <c r="N52" s="37">
        <f t="shared" si="27"/>
        <v>0.62644881973145983</v>
      </c>
      <c r="O52" s="37">
        <f t="shared" si="27"/>
        <v>0</v>
      </c>
      <c r="P52" s="37">
        <f t="shared" si="27"/>
        <v>1</v>
      </c>
      <c r="Q52" s="37">
        <f t="shared" si="27"/>
        <v>1</v>
      </c>
      <c r="R52" s="37">
        <f t="shared" si="27"/>
        <v>1</v>
      </c>
      <c r="S52" s="37">
        <f t="shared" si="27"/>
        <v>1</v>
      </c>
      <c r="T52" s="37">
        <f t="shared" si="28"/>
        <v>1</v>
      </c>
      <c r="U52" s="37">
        <f t="shared" ref="U52" si="31">IF(U$48=0,1,(U8-U$47)/U$48)</f>
        <v>1</v>
      </c>
      <c r="V52" s="37">
        <f t="shared" si="28"/>
        <v>1</v>
      </c>
      <c r="W52" s="37">
        <f t="shared" ca="1" si="30"/>
        <v>0.92972946128224065</v>
      </c>
      <c r="X52" s="37">
        <f t="shared" si="30"/>
        <v>1</v>
      </c>
      <c r="Y52" s="37">
        <f t="shared" ref="Y52:Y77" si="32">IF(Y$48=0,1,(Y8-Y$47)/Y$48)</f>
        <v>1</v>
      </c>
      <c r="Z52" s="7"/>
      <c r="AA52" s="7"/>
      <c r="AB52" s="7"/>
      <c r="AG52" s="7"/>
    </row>
    <row r="53" spans="3:36" x14ac:dyDescent="0.3">
      <c r="C53" s="100" t="str">
        <f t="shared" si="23"/>
        <v>Deep pit, aeration, tanker</v>
      </c>
      <c r="D53" s="67" t="str">
        <f t="shared" si="23"/>
        <v>TL</v>
      </c>
      <c r="E53" s="9" t="s">
        <v>4919</v>
      </c>
      <c r="F53" s="646" t="str">
        <f t="shared" si="24"/>
        <v>Deep pit slurry - Aeration system</v>
      </c>
      <c r="G53" s="631"/>
      <c r="H53" s="37">
        <f t="shared" si="25"/>
        <v>1</v>
      </c>
      <c r="I53" s="37">
        <f t="shared" si="25"/>
        <v>1</v>
      </c>
      <c r="J53" s="37">
        <f t="shared" si="26"/>
        <v>0</v>
      </c>
      <c r="K53" s="37">
        <f t="shared" si="26"/>
        <v>0.39156442199425734</v>
      </c>
      <c r="L53" s="37">
        <f t="shared" si="26"/>
        <v>0</v>
      </c>
      <c r="M53" s="37">
        <f t="shared" si="26"/>
        <v>0.99499536456101545</v>
      </c>
      <c r="N53" s="37">
        <f t="shared" si="27"/>
        <v>0.87732296452989289</v>
      </c>
      <c r="O53" s="37">
        <f t="shared" si="27"/>
        <v>0.457287261308222</v>
      </c>
      <c r="P53" s="37">
        <f t="shared" si="27"/>
        <v>1</v>
      </c>
      <c r="Q53" s="37">
        <f t="shared" si="27"/>
        <v>1</v>
      </c>
      <c r="R53" s="37">
        <f t="shared" si="27"/>
        <v>0.41246261334585993</v>
      </c>
      <c r="S53" s="37">
        <f t="shared" si="27"/>
        <v>0.48352122408295128</v>
      </c>
      <c r="T53" s="37">
        <f t="shared" si="28"/>
        <v>0.53846153846153844</v>
      </c>
      <c r="U53" s="37">
        <f t="shared" ref="U53" si="33">IF(U$48=0,1,(U9-U$47)/U$48)</f>
        <v>0.74284850484492981</v>
      </c>
      <c r="V53" s="37">
        <f t="shared" si="28"/>
        <v>1</v>
      </c>
      <c r="W53" s="37">
        <f t="shared" ca="1" si="30"/>
        <v>0.90200697976634703</v>
      </c>
      <c r="X53" s="37">
        <f t="shared" si="30"/>
        <v>1</v>
      </c>
      <c r="Y53" s="37">
        <f t="shared" si="32"/>
        <v>1</v>
      </c>
      <c r="Z53" s="7"/>
      <c r="AA53" s="7"/>
      <c r="AB53" s="7"/>
      <c r="AG53" s="7"/>
    </row>
    <row r="54" spans="3:36" x14ac:dyDescent="0.3">
      <c r="C54" s="100" t="str">
        <f t="shared" si="23"/>
        <v>Deep pit, aeration, drag hose</v>
      </c>
      <c r="D54" s="67" t="str">
        <f t="shared" si="23"/>
        <v>DHL</v>
      </c>
      <c r="E54" s="9" t="s">
        <v>4922</v>
      </c>
      <c r="F54" s="646" t="str">
        <f t="shared" si="24"/>
        <v>Deep pit slurry - Aeration system</v>
      </c>
      <c r="G54" s="631"/>
      <c r="H54" s="37">
        <f t="shared" si="25"/>
        <v>0.87946455778924071</v>
      </c>
      <c r="I54" s="37">
        <f t="shared" si="25"/>
        <v>0.90951908412145888</v>
      </c>
      <c r="J54" s="37">
        <f t="shared" si="26"/>
        <v>0</v>
      </c>
      <c r="K54" s="37">
        <f t="shared" si="26"/>
        <v>0.39156442199425734</v>
      </c>
      <c r="L54" s="37">
        <f t="shared" si="26"/>
        <v>0</v>
      </c>
      <c r="M54" s="37">
        <f t="shared" si="26"/>
        <v>0.8849165160761191</v>
      </c>
      <c r="N54" s="37">
        <f t="shared" si="27"/>
        <v>0.87583051177856153</v>
      </c>
      <c r="O54" s="37">
        <f>IF(O$48=0,1,(O10-O$47)/O$48)</f>
        <v>0.457287261308222</v>
      </c>
      <c r="P54" s="37">
        <f t="shared" si="27"/>
        <v>1</v>
      </c>
      <c r="Q54" s="37">
        <f t="shared" si="27"/>
        <v>1</v>
      </c>
      <c r="R54" s="37">
        <f t="shared" si="27"/>
        <v>0.41246261334585993</v>
      </c>
      <c r="S54" s="37">
        <f t="shared" si="27"/>
        <v>0.48352122408295128</v>
      </c>
      <c r="T54" s="37">
        <f t="shared" si="28"/>
        <v>0.61538461538461531</v>
      </c>
      <c r="U54" s="37">
        <f t="shared" ref="U54" si="34">IF(U$48=0,1,(U10-U$47)/U$48)</f>
        <v>0.76464990841783076</v>
      </c>
      <c r="V54" s="37">
        <f t="shared" si="28"/>
        <v>1</v>
      </c>
      <c r="W54" s="37">
        <f t="shared" ca="1" si="30"/>
        <v>0.97825954438362461</v>
      </c>
      <c r="X54" s="37">
        <f t="shared" si="30"/>
        <v>1</v>
      </c>
      <c r="Y54" s="37">
        <f t="shared" si="32"/>
        <v>1</v>
      </c>
      <c r="Z54" s="7"/>
      <c r="AA54" s="7"/>
      <c r="AB54" s="7"/>
      <c r="AG54" s="7"/>
    </row>
    <row r="55" spans="3:36" x14ac:dyDescent="0.3">
      <c r="C55" s="100" t="str">
        <f t="shared" si="23"/>
        <v>Shallow pit, flush, lagoon, irrigation + tanker</v>
      </c>
      <c r="D55" s="67" t="str">
        <f t="shared" si="23"/>
        <v>TL</v>
      </c>
      <c r="E55" s="9" t="s">
        <v>4924</v>
      </c>
      <c r="F55" s="646" t="str">
        <f t="shared" si="24"/>
        <v xml:space="preserve">Flush - Lagoon </v>
      </c>
      <c r="G55" s="631"/>
      <c r="H55" s="37">
        <f t="shared" si="25"/>
        <v>0.95621025665921422</v>
      </c>
      <c r="I55" s="37">
        <f t="shared" si="25"/>
        <v>0.84567216783496169</v>
      </c>
      <c r="J55" s="37">
        <f t="shared" si="26"/>
        <v>1</v>
      </c>
      <c r="K55" s="37">
        <f t="shared" si="26"/>
        <v>0.15758137313215326</v>
      </c>
      <c r="L55" s="37">
        <f t="shared" si="26"/>
        <v>0</v>
      </c>
      <c r="M55" s="37">
        <f t="shared" si="26"/>
        <v>0.91329440126061467</v>
      </c>
      <c r="N55" s="37">
        <f t="shared" si="27"/>
        <v>1.3129514023705883E-2</v>
      </c>
      <c r="O55" s="37">
        <f>IF(O$48=0,1,(O11-O$47)/O$48)</f>
        <v>0.59312115894132755</v>
      </c>
      <c r="P55" s="37">
        <f t="shared" si="27"/>
        <v>1</v>
      </c>
      <c r="Q55" s="37">
        <f t="shared" si="27"/>
        <v>0.9725884650531752</v>
      </c>
      <c r="R55" s="37">
        <f t="shared" si="27"/>
        <v>0.22258211703839681</v>
      </c>
      <c r="S55" s="37">
        <f t="shared" si="27"/>
        <v>0.70624618912601489</v>
      </c>
      <c r="T55" s="37">
        <f t="shared" si="28"/>
        <v>0.53846153846153844</v>
      </c>
      <c r="U55" s="37">
        <f t="shared" ref="U55" si="35">IF(U$48=0,1,(U11-U$47)/U$48)</f>
        <v>0.87604145106099862</v>
      </c>
      <c r="V55" s="37">
        <f t="shared" si="28"/>
        <v>0</v>
      </c>
      <c r="W55" s="37">
        <f t="shared" ca="1" si="30"/>
        <v>0.95530528250735214</v>
      </c>
      <c r="X55" s="37">
        <f t="shared" si="30"/>
        <v>1</v>
      </c>
      <c r="Y55" s="37">
        <f t="shared" si="32"/>
        <v>1</v>
      </c>
      <c r="Z55" s="7"/>
      <c r="AA55" s="7"/>
      <c r="AB55" s="7"/>
      <c r="AG55" s="7"/>
    </row>
    <row r="56" spans="3:36" x14ac:dyDescent="0.3">
      <c r="C56" s="100" t="str">
        <f t="shared" si="23"/>
        <v>Shallow pit, flush, lagoon, irrigation + drag hose</v>
      </c>
      <c r="D56" s="67" t="str">
        <f t="shared" si="23"/>
        <v>DHL</v>
      </c>
      <c r="E56" s="9" t="s">
        <v>4927</v>
      </c>
      <c r="F56" s="646" t="str">
        <f t="shared" si="24"/>
        <v xml:space="preserve">Flush - Lagoon </v>
      </c>
      <c r="G56" s="631"/>
      <c r="H56" s="37">
        <f t="shared" si="25"/>
        <v>0.80459842388757152</v>
      </c>
      <c r="I56" s="37">
        <f t="shared" si="25"/>
        <v>0.74192680989641469</v>
      </c>
      <c r="J56" s="37">
        <f t="shared" si="26"/>
        <v>1</v>
      </c>
      <c r="K56" s="37">
        <f t="shared" si="26"/>
        <v>0.15758137313215326</v>
      </c>
      <c r="L56" s="37">
        <f t="shared" si="26"/>
        <v>0</v>
      </c>
      <c r="M56" s="37">
        <f t="shared" si="26"/>
        <v>0.77796808051885225</v>
      </c>
      <c r="N56" s="37">
        <f t="shared" si="27"/>
        <v>1.5654628588940837E-2</v>
      </c>
      <c r="O56" s="37">
        <f t="shared" si="27"/>
        <v>0.59312115894132755</v>
      </c>
      <c r="P56" s="37">
        <f t="shared" si="27"/>
        <v>1</v>
      </c>
      <c r="Q56" s="37">
        <f t="shared" si="27"/>
        <v>0.9725884650531752</v>
      </c>
      <c r="R56" s="37">
        <f t="shared" si="27"/>
        <v>0.22258211703839681</v>
      </c>
      <c r="S56" s="37">
        <f t="shared" si="27"/>
        <v>0.70624618912601489</v>
      </c>
      <c r="T56" s="37">
        <f t="shared" si="28"/>
        <v>0.61538461538461531</v>
      </c>
      <c r="U56" s="37">
        <f t="shared" ref="U56" si="36">IF(U$48=0,1,(U12-U$47)/U$48)</f>
        <v>0.8980260636383226</v>
      </c>
      <c r="V56" s="37">
        <f t="shared" si="28"/>
        <v>0</v>
      </c>
      <c r="W56" s="37">
        <f t="shared" ca="1" si="30"/>
        <v>0.98620364920463788</v>
      </c>
      <c r="X56" s="37">
        <f t="shared" si="30"/>
        <v>1</v>
      </c>
      <c r="Y56" s="37">
        <f t="shared" si="32"/>
        <v>1</v>
      </c>
      <c r="Z56" s="7"/>
      <c r="AA56" s="7"/>
      <c r="AB56" s="7"/>
      <c r="AG56" s="7"/>
    </row>
    <row r="57" spans="3:36" x14ac:dyDescent="0.3">
      <c r="C57" s="100" t="str">
        <f t="shared" si="23"/>
        <v>Shallow pit, scrape auto, lagoon, irrigation + tanker</v>
      </c>
      <c r="D57" s="67" t="str">
        <f t="shared" si="23"/>
        <v>TL</v>
      </c>
      <c r="E57" s="9" t="s">
        <v>4984</v>
      </c>
      <c r="F57" s="646" t="str">
        <f t="shared" si="24"/>
        <v>Scrape - Lagoon</v>
      </c>
      <c r="G57" s="631"/>
      <c r="H57" s="37">
        <f t="shared" si="25"/>
        <v>0.96492169078405665</v>
      </c>
      <c r="I57" s="37">
        <f t="shared" si="25"/>
        <v>0.98131202920716543</v>
      </c>
      <c r="J57" s="37">
        <f t="shared" si="26"/>
        <v>0</v>
      </c>
      <c r="K57" s="37">
        <f t="shared" si="26"/>
        <v>0.2372906819038624</v>
      </c>
      <c r="L57" s="37">
        <f t="shared" si="26"/>
        <v>0</v>
      </c>
      <c r="M57" s="37">
        <f t="shared" si="26"/>
        <v>0.96277047904204827</v>
      </c>
      <c r="N57" s="37">
        <f t="shared" si="27"/>
        <v>1.8138872063977241E-2</v>
      </c>
      <c r="O57" s="37">
        <f t="shared" si="27"/>
        <v>0.54263351232469548</v>
      </c>
      <c r="P57" s="37">
        <f t="shared" si="27"/>
        <v>1</v>
      </c>
      <c r="Q57" s="37">
        <f t="shared" si="27"/>
        <v>0.9725884650531752</v>
      </c>
      <c r="R57" s="37">
        <f t="shared" si="27"/>
        <v>0.31983672988052969</v>
      </c>
      <c r="S57" s="37">
        <f t="shared" si="27"/>
        <v>0.79353278085570655</v>
      </c>
      <c r="T57" s="37">
        <f t="shared" si="28"/>
        <v>0.23076923076923078</v>
      </c>
      <c r="U57" s="37">
        <f t="shared" ref="U57" si="37">IF(U$48=0,1,(U13-U$47)/U$48)</f>
        <v>0.51354465357466272</v>
      </c>
      <c r="V57" s="37">
        <f t="shared" si="28"/>
        <v>0</v>
      </c>
      <c r="W57" s="37">
        <f t="shared" ca="1" si="30"/>
        <v>0.96910163330271437</v>
      </c>
      <c r="X57" s="37">
        <f t="shared" si="30"/>
        <v>1</v>
      </c>
      <c r="Y57" s="37">
        <f t="shared" si="32"/>
        <v>1</v>
      </c>
      <c r="Z57" s="7"/>
      <c r="AA57" s="7"/>
      <c r="AB57" s="7"/>
      <c r="AG57" s="7"/>
    </row>
    <row r="58" spans="3:36" x14ac:dyDescent="0.3">
      <c r="C58" s="100" t="str">
        <f t="shared" si="23"/>
        <v>Shallow pit, scrape auto, lagoon, irrigation + drag hose</v>
      </c>
      <c r="D58" s="67" t="str">
        <f t="shared" si="23"/>
        <v>DHL</v>
      </c>
      <c r="E58" s="9" t="s">
        <v>4985</v>
      </c>
      <c r="F58" s="646" t="str">
        <f t="shared" si="24"/>
        <v>Scrape - Lagoon</v>
      </c>
      <c r="G58" s="631"/>
      <c r="H58" s="37">
        <f t="shared" si="25"/>
        <v>0.81327280426788562</v>
      </c>
      <c r="I58" s="37">
        <f t="shared" si="25"/>
        <v>0.87738596239616429</v>
      </c>
      <c r="J58" s="37">
        <f t="shared" si="26"/>
        <v>0</v>
      </c>
      <c r="K58" s="37">
        <f t="shared" si="26"/>
        <v>0.2372906819038624</v>
      </c>
      <c r="L58" s="37">
        <f t="shared" si="26"/>
        <v>0</v>
      </c>
      <c r="M58" s="37">
        <f t="shared" si="26"/>
        <v>0.82736271853555421</v>
      </c>
      <c r="N58" s="37">
        <f t="shared" si="27"/>
        <v>2.0602647939971061E-2</v>
      </c>
      <c r="O58" s="37">
        <f t="shared" si="27"/>
        <v>0.54263351232469548</v>
      </c>
      <c r="P58" s="37">
        <f t="shared" si="27"/>
        <v>1</v>
      </c>
      <c r="Q58" s="37">
        <f t="shared" si="27"/>
        <v>0.9725884650531752</v>
      </c>
      <c r="R58" s="37">
        <f t="shared" si="27"/>
        <v>0.31983672988052969</v>
      </c>
      <c r="S58" s="37">
        <f t="shared" si="27"/>
        <v>0.79353278085570655</v>
      </c>
      <c r="T58" s="37">
        <f t="shared" si="28"/>
        <v>0.30769230769230765</v>
      </c>
      <c r="U58" s="37">
        <f t="shared" ref="U58" si="38">IF(U$48=0,1,(U14-U$47)/U$48)</f>
        <v>0.53503064607291484</v>
      </c>
      <c r="V58" s="37">
        <f t="shared" si="28"/>
        <v>0</v>
      </c>
      <c r="W58" s="37">
        <f t="shared" ca="1" si="30"/>
        <v>1</v>
      </c>
      <c r="X58" s="37">
        <f t="shared" si="30"/>
        <v>1</v>
      </c>
      <c r="Y58" s="37">
        <f t="shared" si="32"/>
        <v>1</v>
      </c>
      <c r="Z58" s="7"/>
      <c r="AA58" s="7"/>
      <c r="AB58" s="7"/>
      <c r="AG58" s="7"/>
    </row>
    <row r="59" spans="3:36" x14ac:dyDescent="0.3">
      <c r="C59" s="100" t="str">
        <f t="shared" si="23"/>
        <v>Shallow pit, pull plug, lagoon, irrigation + tanker</v>
      </c>
      <c r="D59" s="67" t="str">
        <f t="shared" si="23"/>
        <v>TL</v>
      </c>
      <c r="E59" s="9" t="s">
        <v>4986</v>
      </c>
      <c r="F59" s="646" t="str">
        <f t="shared" si="24"/>
        <v>Pull plug - Lagoon</v>
      </c>
      <c r="G59" s="631"/>
      <c r="H59" s="37">
        <f t="shared" si="25"/>
        <v>0.95497792371402912</v>
      </c>
      <c r="I59" s="37">
        <f t="shared" si="25"/>
        <v>0.74413440216167004</v>
      </c>
      <c r="J59" s="37">
        <f t="shared" si="26"/>
        <v>8.1517636994917722E-2</v>
      </c>
      <c r="K59" s="37">
        <f t="shared" si="26"/>
        <v>0.19712062783861856</v>
      </c>
      <c r="L59" s="37">
        <f t="shared" si="26"/>
        <v>0</v>
      </c>
      <c r="M59" s="37">
        <f t="shared" si="26"/>
        <v>0.88150378869264134</v>
      </c>
      <c r="N59" s="37">
        <f t="shared" si="27"/>
        <v>0</v>
      </c>
      <c r="O59" s="37">
        <f t="shared" si="27"/>
        <v>0.56872977558038518</v>
      </c>
      <c r="P59" s="37">
        <f t="shared" si="27"/>
        <v>1</v>
      </c>
      <c r="Q59" s="37">
        <f t="shared" si="27"/>
        <v>0.95113966977162434</v>
      </c>
      <c r="R59" s="37">
        <f t="shared" si="27"/>
        <v>0.27120942345946303</v>
      </c>
      <c r="S59" s="37">
        <f t="shared" si="27"/>
        <v>0.74841013722348326</v>
      </c>
      <c r="T59" s="37">
        <f t="shared" si="28"/>
        <v>0.38461538461538453</v>
      </c>
      <c r="U59" s="37">
        <f t="shared" ref="U59" si="39">IF(U$48=0,1,(U15-U$47)/U$48)</f>
        <v>0.86505669962202092</v>
      </c>
      <c r="V59" s="37">
        <f t="shared" si="28"/>
        <v>0</v>
      </c>
      <c r="W59" s="37">
        <f t="shared" ca="1" si="30"/>
        <v>0.9514059605184686</v>
      </c>
      <c r="X59" s="37">
        <f t="shared" si="30"/>
        <v>1</v>
      </c>
      <c r="Y59" s="37">
        <f t="shared" si="32"/>
        <v>1</v>
      </c>
      <c r="Z59" s="7"/>
      <c r="AA59" s="7"/>
      <c r="AB59" s="7"/>
      <c r="AG59" s="7"/>
    </row>
    <row r="60" spans="3:36" x14ac:dyDescent="0.3">
      <c r="C60" s="100" t="str">
        <f t="shared" si="23"/>
        <v>Shallow pit, pull plug, lagoon, irrigation + drag hose</v>
      </c>
      <c r="D60" s="67" t="str">
        <f t="shared" si="23"/>
        <v>DHL</v>
      </c>
      <c r="E60" s="9" t="s">
        <v>4987</v>
      </c>
      <c r="F60" s="631" t="str">
        <f t="shared" si="24"/>
        <v>Pull plug - Lagoon</v>
      </c>
      <c r="G60" s="631"/>
      <c r="H60" s="37">
        <f t="shared" si="25"/>
        <v>0.8033438168223257</v>
      </c>
      <c r="I60" s="37">
        <f t="shared" si="25"/>
        <v>0.64027983950407674</v>
      </c>
      <c r="J60" s="37">
        <f t="shared" si="26"/>
        <v>8.1517636994917722E-2</v>
      </c>
      <c r="K60" s="37">
        <f t="shared" si="26"/>
        <v>0.19712062783861856</v>
      </c>
      <c r="L60" s="37">
        <f t="shared" si="26"/>
        <v>0</v>
      </c>
      <c r="M60" s="37">
        <f t="shared" si="26"/>
        <v>0.74612833298826375</v>
      </c>
      <c r="N60" s="37">
        <f t="shared" si="27"/>
        <v>2.4866290575192552E-3</v>
      </c>
      <c r="O60" s="37">
        <f t="shared" si="27"/>
        <v>0.56872977558038518</v>
      </c>
      <c r="P60" s="37">
        <f t="shared" si="27"/>
        <v>1</v>
      </c>
      <c r="Q60" s="37">
        <f t="shared" si="27"/>
        <v>0.95113966977162434</v>
      </c>
      <c r="R60" s="37">
        <f t="shared" si="27"/>
        <v>0.27120942345946303</v>
      </c>
      <c r="S60" s="37">
        <f t="shared" si="27"/>
        <v>0.74841013722348326</v>
      </c>
      <c r="T60" s="37">
        <f t="shared" si="28"/>
        <v>0.46153846153846156</v>
      </c>
      <c r="U60" s="37">
        <f t="shared" ref="U60" si="40">IF(U$48=0,1,(U16-U$47)/U$48)</f>
        <v>0.88702620249997977</v>
      </c>
      <c r="V60" s="37">
        <f t="shared" si="28"/>
        <v>0</v>
      </c>
      <c r="W60" s="37">
        <f t="shared" ca="1" si="30"/>
        <v>0.98210354151546964</v>
      </c>
      <c r="X60" s="37">
        <f t="shared" si="30"/>
        <v>1</v>
      </c>
      <c r="Y60" s="37">
        <f t="shared" si="32"/>
        <v>1</v>
      </c>
      <c r="Z60" s="7"/>
      <c r="AA60" s="7"/>
      <c r="AB60" s="7"/>
      <c r="AG60" s="7"/>
    </row>
    <row r="61" spans="3:36" x14ac:dyDescent="0.3">
      <c r="C61" s="100" t="str">
        <f t="shared" si="23"/>
        <v>Shallow pit, flush, AD, lagoon, irrigation + tanker</v>
      </c>
      <c r="D61" s="67" t="str">
        <f t="shared" si="23"/>
        <v>TL</v>
      </c>
      <c r="E61" s="9" t="s">
        <v>4988</v>
      </c>
      <c r="F61" s="631" t="str">
        <f t="shared" si="24"/>
        <v>Flush - Anaerobic Digestion</v>
      </c>
      <c r="G61" s="631"/>
      <c r="H61" s="37">
        <f t="shared" si="25"/>
        <v>0.16226663680133516</v>
      </c>
      <c r="I61" s="37">
        <f t="shared" si="25"/>
        <v>0.12899112734483209</v>
      </c>
      <c r="J61" s="37">
        <f t="shared" si="26"/>
        <v>1</v>
      </c>
      <c r="K61" s="37">
        <f t="shared" si="26"/>
        <v>0.14424533684344501</v>
      </c>
      <c r="L61" s="37">
        <f t="shared" si="26"/>
        <v>0</v>
      </c>
      <c r="M61" s="37">
        <f t="shared" si="26"/>
        <v>0.15042651222061978</v>
      </c>
      <c r="N61" s="37">
        <f t="shared" ref="N61:S70" si="41">IF(N$48=0,1,(N17-N$47)/N$48)</f>
        <v>0.52959899640987429</v>
      </c>
      <c r="O61" s="37">
        <f t="shared" si="41"/>
        <v>0.62485298279174972</v>
      </c>
      <c r="P61" s="37">
        <f t="shared" si="41"/>
        <v>1</v>
      </c>
      <c r="Q61" s="37">
        <f t="shared" si="41"/>
        <v>0.89633005546925038</v>
      </c>
      <c r="R61" s="37">
        <f t="shared" si="41"/>
        <v>0.17057804990563771</v>
      </c>
      <c r="S61" s="37">
        <f t="shared" si="41"/>
        <v>0.28387496844961729</v>
      </c>
      <c r="T61" s="37">
        <f t="shared" si="28"/>
        <v>0.30769230769230765</v>
      </c>
      <c r="U61" s="37">
        <f t="shared" ref="U61" si="42">IF(U$48=0,1,(U17-U$47)/U$48)</f>
        <v>0.35057909455527658</v>
      </c>
      <c r="V61" s="37">
        <f t="shared" si="28"/>
        <v>0</v>
      </c>
      <c r="W61" s="37">
        <f t="shared" ca="1" si="30"/>
        <v>0.96013417874410278</v>
      </c>
      <c r="X61" s="37">
        <f t="shared" si="30"/>
        <v>1</v>
      </c>
      <c r="Y61" s="37">
        <f t="shared" si="32"/>
        <v>1</v>
      </c>
      <c r="Z61" s="7"/>
      <c r="AA61" s="7"/>
      <c r="AB61" s="7"/>
      <c r="AG61" s="7"/>
    </row>
    <row r="62" spans="3:36" x14ac:dyDescent="0.3">
      <c r="C62" s="100" t="str">
        <f t="shared" si="23"/>
        <v>Shallow pit, flush, AD, lagoon, irrigation + drag hose</v>
      </c>
      <c r="D62" s="67" t="str">
        <f t="shared" si="23"/>
        <v>DHL</v>
      </c>
      <c r="E62" s="9" t="s">
        <v>4989</v>
      </c>
      <c r="F62" s="631" t="str">
        <f t="shared" si="24"/>
        <v>Flush - Anaerobic Digestion</v>
      </c>
      <c r="G62" s="631"/>
      <c r="H62" s="37">
        <f t="shared" si="25"/>
        <v>0</v>
      </c>
      <c r="I62" s="37">
        <f t="shared" si="25"/>
        <v>0</v>
      </c>
      <c r="J62" s="37">
        <f t="shared" si="26"/>
        <v>1</v>
      </c>
      <c r="K62" s="37">
        <f t="shared" si="26"/>
        <v>0.14424533684344501</v>
      </c>
      <c r="L62" s="37">
        <f t="shared" si="26"/>
        <v>0</v>
      </c>
      <c r="M62" s="37">
        <f t="shared" si="26"/>
        <v>0</v>
      </c>
      <c r="N62" s="37">
        <f t="shared" si="41"/>
        <v>0.53210707403464419</v>
      </c>
      <c r="O62" s="37">
        <f t="shared" si="41"/>
        <v>0.62485298279174972</v>
      </c>
      <c r="P62" s="37">
        <f t="shared" si="41"/>
        <v>1</v>
      </c>
      <c r="Q62" s="37">
        <f t="shared" si="41"/>
        <v>0.89633005546925038</v>
      </c>
      <c r="R62" s="37">
        <f t="shared" si="41"/>
        <v>0.17057804990563771</v>
      </c>
      <c r="S62" s="37">
        <f t="shared" si="41"/>
        <v>0.28387496844961729</v>
      </c>
      <c r="T62" s="37">
        <f t="shared" si="28"/>
        <v>0.36538461538461536</v>
      </c>
      <c r="U62" s="37">
        <f t="shared" ref="U62" si="43">IF(U$48=0,1,(U18-U$47)/U$48)</f>
        <v>0.37184092534923857</v>
      </c>
      <c r="V62" s="37">
        <f t="shared" si="28"/>
        <v>0</v>
      </c>
      <c r="W62" s="37">
        <f t="shared" ca="1" si="30"/>
        <v>0</v>
      </c>
      <c r="X62" s="37">
        <f t="shared" si="30"/>
        <v>1</v>
      </c>
      <c r="Y62" s="37">
        <f t="shared" si="32"/>
        <v>1</v>
      </c>
      <c r="Z62" s="7"/>
      <c r="AA62" s="7"/>
      <c r="AB62" s="7"/>
      <c r="AG62" s="7"/>
    </row>
    <row r="63" spans="3:36" x14ac:dyDescent="0.3">
      <c r="C63" s="100" t="str">
        <f t="shared" si="23"/>
        <v>Shallow pit, scrape auto, AD, lagoon, irrigation + tanker</v>
      </c>
      <c r="D63" s="67" t="str">
        <f t="shared" si="23"/>
        <v>TL</v>
      </c>
      <c r="E63" s="9" t="s">
        <v>4990</v>
      </c>
      <c r="F63" s="631" t="str">
        <f t="shared" si="24"/>
        <v>Scrape - Anaerobic Digestion</v>
      </c>
      <c r="G63" s="49"/>
      <c r="H63" s="37">
        <f t="shared" si="25"/>
        <v>0.48700779967123764</v>
      </c>
      <c r="I63" s="37">
        <f t="shared" si="25"/>
        <v>0.46534003243812005</v>
      </c>
      <c r="J63" s="37">
        <f t="shared" si="26"/>
        <v>0</v>
      </c>
      <c r="K63" s="37">
        <f t="shared" si="26"/>
        <v>0.21964426199962728</v>
      </c>
      <c r="L63" s="37">
        <f t="shared" si="26"/>
        <v>0</v>
      </c>
      <c r="M63" s="37">
        <f t="shared" si="26"/>
        <v>0.47707442560593127</v>
      </c>
      <c r="N63" s="37">
        <f t="shared" si="41"/>
        <v>0.53387310685553635</v>
      </c>
      <c r="O63" s="37">
        <f t="shared" si="41"/>
        <v>0.5765488869429225</v>
      </c>
      <c r="P63" s="37">
        <f t="shared" si="41"/>
        <v>1</v>
      </c>
      <c r="Q63" s="37">
        <f t="shared" si="41"/>
        <v>0.89633005546925038</v>
      </c>
      <c r="R63" s="37">
        <f t="shared" si="41"/>
        <v>0.26039674899382109</v>
      </c>
      <c r="S63" s="37">
        <f t="shared" si="41"/>
        <v>0.41038622294213528</v>
      </c>
      <c r="T63" s="37">
        <f t="shared" si="28"/>
        <v>7.6923076923076858E-2</v>
      </c>
      <c r="U63" s="37">
        <f t="shared" ref="U63" si="44">IF(U$48=0,1,(U19-U$47)/U$48)</f>
        <v>0</v>
      </c>
      <c r="V63" s="37">
        <f t="shared" si="28"/>
        <v>0</v>
      </c>
      <c r="W63" s="37">
        <f t="shared" ca="1" si="30"/>
        <v>0.95246902703954917</v>
      </c>
      <c r="X63" s="37">
        <f t="shared" si="30"/>
        <v>1</v>
      </c>
      <c r="Y63" s="37">
        <f t="shared" si="32"/>
        <v>1</v>
      </c>
      <c r="Z63" s="7"/>
      <c r="AA63" s="7"/>
      <c r="AB63" s="7"/>
      <c r="AG63" s="7"/>
    </row>
    <row r="64" spans="3:36" x14ac:dyDescent="0.3">
      <c r="C64" s="100" t="str">
        <f t="shared" si="23"/>
        <v>Shallow pit, scrape auto, AD, lagoon, irrigation + drag hose</v>
      </c>
      <c r="D64" s="67" t="str">
        <f t="shared" si="23"/>
        <v>DHL</v>
      </c>
      <c r="E64" s="9" t="s">
        <v>4991</v>
      </c>
      <c r="F64" s="631" t="str">
        <f t="shared" si="24"/>
        <v>Scrape - Anaerobic Digestion</v>
      </c>
      <c r="G64" s="49"/>
      <c r="H64" s="37">
        <f t="shared" si="25"/>
        <v>0.33532643591764161</v>
      </c>
      <c r="I64" s="37">
        <f t="shared" si="25"/>
        <v>0.36121625432491117</v>
      </c>
      <c r="J64" s="37">
        <f t="shared" si="26"/>
        <v>0</v>
      </c>
      <c r="K64" s="37">
        <f t="shared" si="26"/>
        <v>0.21964426199962728</v>
      </c>
      <c r="L64" s="37">
        <f t="shared" si="26"/>
        <v>0</v>
      </c>
      <c r="M64" s="37">
        <f t="shared" si="26"/>
        <v>0.34158304192609407</v>
      </c>
      <c r="N64" s="37">
        <f t="shared" si="41"/>
        <v>0.53623359048079855</v>
      </c>
      <c r="O64" s="37">
        <f t="shared" si="41"/>
        <v>0.5765488869429225</v>
      </c>
      <c r="P64" s="37">
        <f t="shared" si="41"/>
        <v>1</v>
      </c>
      <c r="Q64" s="37">
        <f t="shared" si="41"/>
        <v>0.89633005546925038</v>
      </c>
      <c r="R64" s="37">
        <f t="shared" si="41"/>
        <v>0.26039674899382109</v>
      </c>
      <c r="S64" s="37">
        <f t="shared" si="41"/>
        <v>0.41038622294213528</v>
      </c>
      <c r="T64" s="37">
        <f t="shared" si="28"/>
        <v>0.13461538461538455</v>
      </c>
      <c r="U64" s="37">
        <f t="shared" ref="U64" si="45">IF(U$48=0,1,(U20-U$47)/U$48)</f>
        <v>2.0779603703787917E-2</v>
      </c>
      <c r="V64" s="37">
        <f t="shared" si="28"/>
        <v>0</v>
      </c>
      <c r="W64" s="37">
        <f t="shared" ca="1" si="30"/>
        <v>0.98298166719913016</v>
      </c>
      <c r="X64" s="37">
        <f t="shared" si="30"/>
        <v>1</v>
      </c>
      <c r="Y64" s="37">
        <f t="shared" si="32"/>
        <v>1</v>
      </c>
      <c r="Z64" s="7"/>
      <c r="AA64" s="7"/>
      <c r="AB64" s="7"/>
      <c r="AH64"/>
      <c r="AI64"/>
    </row>
    <row r="65" spans="3:35" x14ac:dyDescent="0.3">
      <c r="C65" s="100" t="str">
        <f t="shared" si="23"/>
        <v>Shallow pit, pull plug, AD, lagoon, irrigation + tanker</v>
      </c>
      <c r="D65" s="67" t="str">
        <f t="shared" si="23"/>
        <v>TL</v>
      </c>
      <c r="E65" s="9" t="s">
        <v>4992</v>
      </c>
      <c r="F65" s="631" t="str">
        <f t="shared" si="24"/>
        <v>Pull plug - Anaerobic Digestion</v>
      </c>
      <c r="G65" s="49"/>
      <c r="H65" s="37">
        <f t="shared" si="25"/>
        <v>0.42922368373795683</v>
      </c>
      <c r="I65" s="37">
        <f t="shared" si="25"/>
        <v>0.40896687086965616</v>
      </c>
      <c r="J65" s="37">
        <f t="shared" si="26"/>
        <v>8.1517636994917722E-2</v>
      </c>
      <c r="K65" s="37">
        <f t="shared" si="26"/>
        <v>0.18585000335500115</v>
      </c>
      <c r="L65" s="37">
        <f t="shared" si="26"/>
        <v>0</v>
      </c>
      <c r="M65" s="37">
        <f t="shared" si="26"/>
        <v>0.41969394649086328</v>
      </c>
      <c r="N65" s="37">
        <f t="shared" si="41"/>
        <v>0.51600567703595313</v>
      </c>
      <c r="O65" s="37">
        <f t="shared" si="41"/>
        <v>0.59965768960835064</v>
      </c>
      <c r="P65" s="37">
        <f t="shared" si="41"/>
        <v>1</v>
      </c>
      <c r="Q65" s="37">
        <f t="shared" si="41"/>
        <v>0.89633005546925038</v>
      </c>
      <c r="R65" s="37">
        <f t="shared" si="41"/>
        <v>0.21548739944972939</v>
      </c>
      <c r="S65" s="37">
        <f t="shared" si="41"/>
        <v>0.31253362327145745</v>
      </c>
      <c r="T65" s="37">
        <f t="shared" si="28"/>
        <v>0.19230769230769226</v>
      </c>
      <c r="U65" s="37">
        <f t="shared" ref="U65" si="46">IF(U$48=0,1,(U21-U$47)/U$48)</f>
        <v>0.33995548562935934</v>
      </c>
      <c r="V65" s="37">
        <f t="shared" si="28"/>
        <v>0</v>
      </c>
      <c r="W65" s="37">
        <f t="shared" ca="1" si="30"/>
        <v>0.95630160289182597</v>
      </c>
      <c r="X65" s="37">
        <f t="shared" si="30"/>
        <v>1</v>
      </c>
      <c r="Y65" s="37">
        <f t="shared" si="32"/>
        <v>1</v>
      </c>
      <c r="Z65" s="7"/>
      <c r="AA65" s="7"/>
      <c r="AB65" s="7"/>
      <c r="AH65"/>
      <c r="AI65"/>
    </row>
    <row r="66" spans="3:35" x14ac:dyDescent="0.3">
      <c r="C66" s="100" t="str">
        <f t="shared" si="23"/>
        <v>Shallow pit, pull plug, AD, lagoon, irrigation + drag hose</v>
      </c>
      <c r="D66" s="67" t="str">
        <f t="shared" si="23"/>
        <v>DHL</v>
      </c>
      <c r="E66" s="9" t="s">
        <v>4993</v>
      </c>
      <c r="F66" s="631" t="str">
        <f t="shared" si="24"/>
        <v>Pull plug - Anaerobic Digestion</v>
      </c>
      <c r="G66" s="49"/>
      <c r="H66" s="37">
        <f t="shared" si="25"/>
        <v>0.27760343107310109</v>
      </c>
      <c r="I66" s="37">
        <f t="shared" si="25"/>
        <v>0.30517776151061604</v>
      </c>
      <c r="J66" s="37">
        <f t="shared" si="26"/>
        <v>8.1517636994917722E-2</v>
      </c>
      <c r="K66" s="37">
        <f t="shared" si="26"/>
        <v>0.18585000335500115</v>
      </c>
      <c r="L66" s="37">
        <f t="shared" si="26"/>
        <v>0</v>
      </c>
      <c r="M66" s="37">
        <f t="shared" si="26"/>
        <v>0.28434828292769182</v>
      </c>
      <c r="N66" s="37">
        <f t="shared" si="41"/>
        <v>0.51851375466072303</v>
      </c>
      <c r="O66" s="37">
        <f t="shared" si="41"/>
        <v>0.59965768960835064</v>
      </c>
      <c r="P66" s="37">
        <f t="shared" si="41"/>
        <v>1</v>
      </c>
      <c r="Q66" s="37">
        <f t="shared" si="41"/>
        <v>0.89633005546925038</v>
      </c>
      <c r="R66" s="37">
        <f t="shared" si="41"/>
        <v>0.21548739944972939</v>
      </c>
      <c r="S66" s="37">
        <f t="shared" si="41"/>
        <v>0.31253362327145745</v>
      </c>
      <c r="T66" s="37">
        <f t="shared" si="28"/>
        <v>0.24999999999999994</v>
      </c>
      <c r="U66" s="37">
        <f t="shared" ref="U66" si="47">IF(U$48=0,1,(U22-U$47)/U$48)</f>
        <v>0.36120270348119204</v>
      </c>
      <c r="V66" s="37">
        <f t="shared" si="28"/>
        <v>0</v>
      </c>
      <c r="W66" s="37">
        <f t="shared" ca="1" si="30"/>
        <v>0.98681424305140686</v>
      </c>
      <c r="X66" s="37">
        <f t="shared" si="30"/>
        <v>1</v>
      </c>
      <c r="Y66" s="37">
        <f t="shared" si="32"/>
        <v>1</v>
      </c>
      <c r="Z66" s="7"/>
      <c r="AA66" s="7"/>
      <c r="AB66" s="7"/>
      <c r="AH66"/>
      <c r="AI66"/>
    </row>
    <row r="67" spans="3:35" x14ac:dyDescent="0.3">
      <c r="C67" s="100" t="str">
        <f t="shared" si="23"/>
        <v>Shallow pit, flush, covered digestion basin, lagoon, irrigation + tanker</v>
      </c>
      <c r="D67" s="67" t="str">
        <f t="shared" si="23"/>
        <v>TL</v>
      </c>
      <c r="E67" s="9" t="s">
        <v>4994</v>
      </c>
      <c r="F67" s="631" t="str">
        <f t="shared" si="24"/>
        <v xml:space="preserve">Flush - Covered Lagoon </v>
      </c>
      <c r="G67" s="49"/>
      <c r="H67" s="37">
        <f t="shared" si="25"/>
        <v>0.87578917854375427</v>
      </c>
      <c r="I67" s="37">
        <f t="shared" si="25"/>
        <v>0.93411302662725926</v>
      </c>
      <c r="J67" s="37">
        <f t="shared" si="26"/>
        <v>1</v>
      </c>
      <c r="K67" s="37">
        <f t="shared" si="26"/>
        <v>0.12183782520234901</v>
      </c>
      <c r="L67" s="37">
        <f t="shared" si="26"/>
        <v>0</v>
      </c>
      <c r="M67" s="37">
        <f t="shared" si="26"/>
        <v>0.88558346898127449</v>
      </c>
      <c r="N67" s="37">
        <f t="shared" si="41"/>
        <v>0.46033582914025728</v>
      </c>
      <c r="O67" s="37">
        <f t="shared" si="41"/>
        <v>0.15324132685073036</v>
      </c>
      <c r="P67" s="37">
        <f t="shared" si="41"/>
        <v>1</v>
      </c>
      <c r="Q67" s="37">
        <f t="shared" si="41"/>
        <v>0.88588972914143371</v>
      </c>
      <c r="R67" s="37">
        <f t="shared" si="41"/>
        <v>0.14630060774479478</v>
      </c>
      <c r="S67" s="37">
        <f t="shared" si="41"/>
        <v>0.26021307007904737</v>
      </c>
      <c r="T67" s="37">
        <f t="shared" si="28"/>
        <v>0.30769230769230765</v>
      </c>
      <c r="U67" s="37">
        <f t="shared" ref="U67" si="48">IF(U$48=0,1,(U23-U$47)/U$48)</f>
        <v>0.51478608096331679</v>
      </c>
      <c r="V67" s="37">
        <f t="shared" si="28"/>
        <v>0</v>
      </c>
      <c r="W67" s="37">
        <f t="shared" ca="1" si="30"/>
        <v>0.96180085804665294</v>
      </c>
      <c r="X67" s="37">
        <f t="shared" si="30"/>
        <v>1</v>
      </c>
      <c r="Y67" s="37">
        <f t="shared" si="32"/>
        <v>1</v>
      </c>
      <c r="Z67" s="7"/>
      <c r="AA67" s="7"/>
      <c r="AB67" s="7"/>
      <c r="AH67"/>
      <c r="AI67"/>
    </row>
    <row r="68" spans="3:35" x14ac:dyDescent="0.3">
      <c r="C68" s="100" t="str">
        <f t="shared" si="23"/>
        <v>Shallow pit, flush, covered digestion basin, lagoon, irrigation + drag hose</v>
      </c>
      <c r="D68" s="67" t="str">
        <f t="shared" si="23"/>
        <v>DHL</v>
      </c>
      <c r="E68" s="9" t="s">
        <v>4995</v>
      </c>
      <c r="F68" s="631" t="str">
        <f t="shared" si="24"/>
        <v xml:space="preserve">Flush - Covered Lagoon </v>
      </c>
      <c r="G68" s="49"/>
      <c r="H68" s="37">
        <f t="shared" si="25"/>
        <v>0.72406517839058826</v>
      </c>
      <c r="I68" s="37">
        <f t="shared" si="25"/>
        <v>0.82978957358549355</v>
      </c>
      <c r="J68" s="37">
        <f t="shared" si="26"/>
        <v>1</v>
      </c>
      <c r="K68" s="37">
        <f t="shared" si="26"/>
        <v>0.12183782520234901</v>
      </c>
      <c r="L68" s="37">
        <f t="shared" si="26"/>
        <v>0</v>
      </c>
      <c r="M68" s="37">
        <f t="shared" si="26"/>
        <v>0.75000094716783472</v>
      </c>
      <c r="N68" s="37">
        <f t="shared" si="41"/>
        <v>0.46264062175629406</v>
      </c>
      <c r="O68" s="37">
        <f t="shared" si="41"/>
        <v>0.15324132685073036</v>
      </c>
      <c r="P68" s="37">
        <f t="shared" si="41"/>
        <v>1</v>
      </c>
      <c r="Q68" s="37">
        <f t="shared" si="41"/>
        <v>0.88588972914143371</v>
      </c>
      <c r="R68" s="37">
        <f t="shared" si="41"/>
        <v>0.14630060774479478</v>
      </c>
      <c r="S68" s="37">
        <f t="shared" si="41"/>
        <v>0.26021307007904737</v>
      </c>
      <c r="T68" s="37">
        <f t="shared" si="28"/>
        <v>0.36538461538461536</v>
      </c>
      <c r="U68" s="37">
        <f t="shared" ref="U68" si="49">IF(U$48=0,1,(U24-U$47)/U$48)</f>
        <v>0.53627378106457713</v>
      </c>
      <c r="V68" s="37">
        <f t="shared" si="28"/>
        <v>0</v>
      </c>
      <c r="W68" s="37">
        <f t="shared" ca="1" si="30"/>
        <v>0.9922016770611285</v>
      </c>
      <c r="X68" s="37">
        <f t="shared" si="30"/>
        <v>1</v>
      </c>
      <c r="Y68" s="37">
        <f t="shared" si="32"/>
        <v>1</v>
      </c>
      <c r="Z68" s="7"/>
      <c r="AA68" s="7"/>
      <c r="AB68" s="7"/>
      <c r="AH68"/>
      <c r="AI68"/>
    </row>
    <row r="69" spans="3:35" x14ac:dyDescent="0.3">
      <c r="C69" s="100" t="str">
        <f t="shared" si="23"/>
        <v>Shallow pit, scrape auto, covered digestion basin, lagoon, irrigation + tanker</v>
      </c>
      <c r="D69" s="67" t="str">
        <f t="shared" si="23"/>
        <v>TL</v>
      </c>
      <c r="E69" s="9" t="s">
        <v>4996</v>
      </c>
      <c r="F69" s="631" t="str">
        <f t="shared" si="24"/>
        <v xml:space="preserve">Scrape - Covered Lagoon </v>
      </c>
      <c r="G69" s="49"/>
      <c r="H69" s="37">
        <f t="shared" si="25"/>
        <v>0.87111408388363565</v>
      </c>
      <c r="I69" s="37">
        <f t="shared" si="25"/>
        <v>0.92312175827639253</v>
      </c>
      <c r="J69" s="37">
        <f t="shared" si="26"/>
        <v>0</v>
      </c>
      <c r="K69" s="37">
        <f t="shared" si="26"/>
        <v>0.20468508724548706</v>
      </c>
      <c r="L69" s="37">
        <f t="shared" si="26"/>
        <v>0</v>
      </c>
      <c r="M69" s="37">
        <f t="shared" si="26"/>
        <v>0.88036443199478109</v>
      </c>
      <c r="N69" s="37">
        <f t="shared" si="41"/>
        <v>0.46132361284492979</v>
      </c>
      <c r="O69" s="37">
        <f t="shared" si="41"/>
        <v>0.58157878082773606</v>
      </c>
      <c r="P69" s="37">
        <f t="shared" si="41"/>
        <v>1</v>
      </c>
      <c r="Q69" s="37">
        <f t="shared" si="41"/>
        <v>0.88588972914143371</v>
      </c>
      <c r="R69" s="37">
        <f t="shared" si="41"/>
        <v>0.23264794437946723</v>
      </c>
      <c r="S69" s="37">
        <f t="shared" si="41"/>
        <v>0.36197338566831455</v>
      </c>
      <c r="T69" s="37">
        <f t="shared" si="28"/>
        <v>7.6923076923076858E-2</v>
      </c>
      <c r="U69" s="37">
        <f t="shared" ref="U69" si="50">IF(U$48=0,1,(U25-U$47)/U$48)</f>
        <v>0.16048270424208333</v>
      </c>
      <c r="V69" s="37">
        <f t="shared" si="28"/>
        <v>0</v>
      </c>
      <c r="W69" s="37">
        <f t="shared" ca="1" si="30"/>
        <v>0.95435452146179556</v>
      </c>
      <c r="X69" s="37">
        <f t="shared" si="30"/>
        <v>1</v>
      </c>
      <c r="Y69" s="37">
        <f t="shared" si="32"/>
        <v>1</v>
      </c>
      <c r="Z69" s="7"/>
      <c r="AA69" s="7"/>
      <c r="AB69" s="7"/>
      <c r="AH69"/>
      <c r="AI69"/>
    </row>
    <row r="70" spans="3:35" x14ac:dyDescent="0.3">
      <c r="C70" s="100" t="str">
        <f t="shared" si="23"/>
        <v>Shallow pit, scrape auto, covered digestion basin, lagoon, irrigation + drag hose</v>
      </c>
      <c r="D70" s="67" t="str">
        <f t="shared" si="23"/>
        <v>DHL</v>
      </c>
      <c r="E70" s="9" t="s">
        <v>4997</v>
      </c>
      <c r="F70" s="631" t="str">
        <f t="shared" si="24"/>
        <v xml:space="preserve">Scrape - Covered Lagoon </v>
      </c>
      <c r="G70" s="49"/>
      <c r="H70" s="37">
        <f t="shared" si="25"/>
        <v>0.71934805771359489</v>
      </c>
      <c r="I70" s="37">
        <f t="shared" si="25"/>
        <v>0.8185162205596076</v>
      </c>
      <c r="J70" s="37">
        <f t="shared" si="26"/>
        <v>0</v>
      </c>
      <c r="K70" s="37">
        <f t="shared" si="26"/>
        <v>0.20468508724548706</v>
      </c>
      <c r="L70" s="37">
        <f t="shared" si="26"/>
        <v>0</v>
      </c>
      <c r="M70" s="37">
        <f t="shared" si="26"/>
        <v>0.74466553024102278</v>
      </c>
      <c r="N70" s="37">
        <f t="shared" si="41"/>
        <v>0.46345429567063062</v>
      </c>
      <c r="O70" s="37">
        <f t="shared" si="41"/>
        <v>0.58157878082773606</v>
      </c>
      <c r="P70" s="37">
        <f t="shared" si="41"/>
        <v>1</v>
      </c>
      <c r="Q70" s="37">
        <f t="shared" si="41"/>
        <v>0.88588972914143371</v>
      </c>
      <c r="R70" s="37">
        <f t="shared" si="41"/>
        <v>0.23264794437946723</v>
      </c>
      <c r="S70" s="37">
        <f t="shared" si="41"/>
        <v>0.36197338566831455</v>
      </c>
      <c r="T70" s="37">
        <f t="shared" si="28"/>
        <v>0.13461538461538455</v>
      </c>
      <c r="U70" s="37">
        <f t="shared" ref="U70" si="51">IF(U$48=0,1,(U26-U$47)/U$48)</f>
        <v>0.18148305444414142</v>
      </c>
      <c r="V70" s="37">
        <f t="shared" si="28"/>
        <v>0</v>
      </c>
      <c r="W70" s="37">
        <f t="shared" ca="1" si="30"/>
        <v>0.98475534047627111</v>
      </c>
      <c r="X70" s="37">
        <f t="shared" si="30"/>
        <v>1</v>
      </c>
      <c r="Y70" s="37">
        <f t="shared" si="32"/>
        <v>1</v>
      </c>
      <c r="Z70" s="7"/>
      <c r="AA70" s="7"/>
      <c r="AB70" s="7"/>
      <c r="AH70"/>
      <c r="AI70"/>
    </row>
    <row r="71" spans="3:35" x14ac:dyDescent="0.3">
      <c r="C71" s="100" t="str">
        <f t="shared" si="23"/>
        <v>Shallow pit, pull plug, covered digestion basin, lagoon, irrigation + tanker</v>
      </c>
      <c r="D71" s="67" t="str">
        <f t="shared" si="23"/>
        <v>TL</v>
      </c>
      <c r="E71" s="9" t="s">
        <v>4998</v>
      </c>
      <c r="F71" s="631" t="str">
        <f t="shared" si="24"/>
        <v xml:space="preserve">Pull plug - Covered Lagoon </v>
      </c>
      <c r="G71" s="49"/>
      <c r="H71" s="37">
        <f t="shared" si="25"/>
        <v>0.87903672000947497</v>
      </c>
      <c r="I71" s="37">
        <f t="shared" si="25"/>
        <v>0.9360237670346675</v>
      </c>
      <c r="J71" s="37">
        <f t="shared" si="26"/>
        <v>8.1517636994917722E-2</v>
      </c>
      <c r="K71" s="37">
        <f t="shared" si="26"/>
        <v>0.16592267057754201</v>
      </c>
      <c r="L71" s="37">
        <f t="shared" si="26"/>
        <v>0</v>
      </c>
      <c r="M71" s="37">
        <f t="shared" si="26"/>
        <v>0.88911942495168761</v>
      </c>
      <c r="N71" s="37">
        <f t="shared" ref="N71:S77" si="52">IF(N$48=0,1,(N27-N$47)/N$48)</f>
        <v>0.44514830949733675</v>
      </c>
      <c r="O71" s="37">
        <f t="shared" si="52"/>
        <v>0.6089663392511846</v>
      </c>
      <c r="P71" s="37">
        <f t="shared" si="52"/>
        <v>1</v>
      </c>
      <c r="Q71" s="37">
        <f t="shared" si="52"/>
        <v>0.88588972914143371</v>
      </c>
      <c r="R71" s="37">
        <f t="shared" si="52"/>
        <v>0.18947427606213091</v>
      </c>
      <c r="S71" s="37">
        <f t="shared" si="52"/>
        <v>0.29578709795260733</v>
      </c>
      <c r="T71" s="37">
        <f t="shared" si="28"/>
        <v>0.19230769230769226</v>
      </c>
      <c r="U71" s="37">
        <f t="shared" ref="U71" si="53">IF(U$48=0,1,(U27-U$47)/U$48)</f>
        <v>0.50404961500206813</v>
      </c>
      <c r="V71" s="37">
        <f t="shared" si="28"/>
        <v>0</v>
      </c>
      <c r="W71" s="37">
        <f t="shared" ca="1" si="30"/>
        <v>0.95807768975422414</v>
      </c>
      <c r="X71" s="37">
        <f t="shared" si="30"/>
        <v>1</v>
      </c>
      <c r="Y71" s="37">
        <f t="shared" si="32"/>
        <v>1</v>
      </c>
      <c r="Z71" s="7"/>
      <c r="AA71" s="7"/>
      <c r="AB71" s="7"/>
      <c r="AH71"/>
      <c r="AI71"/>
    </row>
    <row r="72" spans="3:35" x14ac:dyDescent="0.3">
      <c r="C72" s="100" t="str">
        <f t="shared" si="23"/>
        <v>Shallow pit, pull plug, covered digestion basin, lagoon, irrigation + drag hose</v>
      </c>
      <c r="D72" s="67" t="str">
        <f t="shared" si="23"/>
        <v>DHL</v>
      </c>
      <c r="E72" s="9" t="s">
        <v>4999</v>
      </c>
      <c r="F72" s="631" t="str">
        <f t="shared" si="24"/>
        <v xml:space="preserve">Pull plug - Covered Lagoon </v>
      </c>
      <c r="G72" s="49"/>
      <c r="H72" s="37">
        <f t="shared" si="25"/>
        <v>0.72730230393720996</v>
      </c>
      <c r="I72" s="37">
        <f t="shared" si="25"/>
        <v>0.83160971320435895</v>
      </c>
      <c r="J72" s="37">
        <f t="shared" si="26"/>
        <v>8.1517636994917722E-2</v>
      </c>
      <c r="K72" s="37">
        <f t="shared" si="26"/>
        <v>0.16592267057754201</v>
      </c>
      <c r="L72" s="37">
        <f t="shared" si="26"/>
        <v>0</v>
      </c>
      <c r="M72" s="37">
        <f t="shared" si="26"/>
        <v>0.75350161833075446</v>
      </c>
      <c r="N72" s="37">
        <f t="shared" si="52"/>
        <v>0.44738102596635865</v>
      </c>
      <c r="O72" s="37">
        <f t="shared" si="52"/>
        <v>0.6089663392511846</v>
      </c>
      <c r="P72" s="37">
        <f t="shared" si="52"/>
        <v>1</v>
      </c>
      <c r="Q72" s="37">
        <f t="shared" si="52"/>
        <v>0.88588972914143371</v>
      </c>
      <c r="R72" s="37">
        <f t="shared" si="52"/>
        <v>0.18947427606213091</v>
      </c>
      <c r="S72" s="37">
        <f t="shared" si="52"/>
        <v>0.29578709795260733</v>
      </c>
      <c r="T72" s="37">
        <f t="shared" si="28"/>
        <v>0.24999999999999994</v>
      </c>
      <c r="U72" s="37">
        <f t="shared" ref="U72" si="54">IF(U$48=0,1,(U28-U$47)/U$48)</f>
        <v>0.52552254692456535</v>
      </c>
      <c r="V72" s="37">
        <f t="shared" si="28"/>
        <v>0</v>
      </c>
      <c r="W72" s="37">
        <f t="shared" ca="1" si="30"/>
        <v>0.98847850876869969</v>
      </c>
      <c r="X72" s="37">
        <f t="shared" si="30"/>
        <v>1</v>
      </c>
      <c r="Y72" s="37">
        <f t="shared" si="32"/>
        <v>1</v>
      </c>
      <c r="Z72" s="7"/>
      <c r="AA72" s="7"/>
      <c r="AB72" s="7"/>
      <c r="AH72"/>
      <c r="AI72"/>
    </row>
    <row r="73" spans="3:35" ht="23.25" customHeight="1" x14ac:dyDescent="0.3">
      <c r="C73" s="100" t="str">
        <f t="shared" si="23"/>
        <v>Shallow pit, scrape auto, above ground storage tank, tanker</v>
      </c>
      <c r="D73" s="67" t="str">
        <f t="shared" si="23"/>
        <v>TL</v>
      </c>
      <c r="E73" s="9" t="s">
        <v>4959</v>
      </c>
      <c r="F73" s="631" t="str">
        <f t="shared" si="24"/>
        <v>SS - Storage</v>
      </c>
      <c r="G73" s="49"/>
      <c r="H73" s="37">
        <f t="shared" si="25"/>
        <v>0.96924115364543462</v>
      </c>
      <c r="I73" s="37">
        <f t="shared" si="25"/>
        <v>0.8953316299448929</v>
      </c>
      <c r="J73" s="37">
        <f t="shared" si="26"/>
        <v>0</v>
      </c>
      <c r="K73" s="37">
        <f t="shared" si="26"/>
        <v>0.8966577423584402</v>
      </c>
      <c r="L73" s="37">
        <f t="shared" si="26"/>
        <v>0</v>
      </c>
      <c r="M73" s="37">
        <f t="shared" si="26"/>
        <v>0.94991922546361196</v>
      </c>
      <c r="N73" s="37">
        <f t="shared" si="52"/>
        <v>0.69087252975202673</v>
      </c>
      <c r="O73" s="37">
        <f t="shared" si="52"/>
        <v>7.8404031157403228E-2</v>
      </c>
      <c r="P73" s="37">
        <f t="shared" si="52"/>
        <v>1</v>
      </c>
      <c r="Q73" s="37">
        <f t="shared" si="52"/>
        <v>0</v>
      </c>
      <c r="R73" s="37">
        <f t="shared" si="52"/>
        <v>0.50036123711820002</v>
      </c>
      <c r="S73" s="37">
        <f t="shared" si="52"/>
        <v>0.91227652580383201</v>
      </c>
      <c r="T73" s="37">
        <f t="shared" si="28"/>
        <v>0.15384615384615372</v>
      </c>
      <c r="U73" s="37">
        <f t="shared" ref="U73" si="55">IF(U$48=0,1,(U29-U$47)/U$48)</f>
        <v>0.51354465357466272</v>
      </c>
      <c r="V73" s="37">
        <f t="shared" si="28"/>
        <v>0.66666666666666663</v>
      </c>
      <c r="W73" s="37">
        <f t="shared" ca="1" si="30"/>
        <v>0.56506909049347698</v>
      </c>
      <c r="X73" s="37">
        <f t="shared" si="30"/>
        <v>1</v>
      </c>
      <c r="Y73" s="37">
        <f t="shared" si="32"/>
        <v>1</v>
      </c>
      <c r="Z73" s="7"/>
      <c r="AA73" s="7"/>
      <c r="AB73" s="7"/>
      <c r="AH73"/>
      <c r="AI73"/>
    </row>
    <row r="74" spans="3:35" x14ac:dyDescent="0.3">
      <c r="C74" s="100" t="str">
        <f t="shared" si="23"/>
        <v>Shallow pit, scrape auto, above ground storage tank, drag hose</v>
      </c>
      <c r="D74" s="67" t="str">
        <f t="shared" si="23"/>
        <v>DHL</v>
      </c>
      <c r="E74" s="9" t="s">
        <v>4961</v>
      </c>
      <c r="F74" s="631" t="str">
        <f t="shared" si="24"/>
        <v>SS - Storage</v>
      </c>
      <c r="G74" s="49"/>
      <c r="H74" s="37">
        <f t="shared" si="25"/>
        <v>0.82456998847366358</v>
      </c>
      <c r="I74" s="37">
        <f t="shared" si="25"/>
        <v>0.82655859328386616</v>
      </c>
      <c r="J74" s="37">
        <f t="shared" si="26"/>
        <v>0</v>
      </c>
      <c r="K74" s="37">
        <f t="shared" si="26"/>
        <v>0.8966577423584402</v>
      </c>
      <c r="L74" s="37">
        <f t="shared" si="26"/>
        <v>0</v>
      </c>
      <c r="M74" s="37">
        <f t="shared" si="26"/>
        <v>0.83019733010128827</v>
      </c>
      <c r="N74" s="37">
        <f t="shared" si="52"/>
        <v>0.70591368892258322</v>
      </c>
      <c r="O74" s="37">
        <f t="shared" si="52"/>
        <v>7.8404031157403228E-2</v>
      </c>
      <c r="P74" s="37">
        <f t="shared" si="52"/>
        <v>1</v>
      </c>
      <c r="Q74" s="37">
        <f t="shared" si="52"/>
        <v>0</v>
      </c>
      <c r="R74" s="37">
        <f t="shared" si="52"/>
        <v>0.50036123711820002</v>
      </c>
      <c r="S74" s="37">
        <f t="shared" si="52"/>
        <v>0.91227652580383201</v>
      </c>
      <c r="T74" s="37">
        <f t="shared" si="28"/>
        <v>0.23076923076923078</v>
      </c>
      <c r="U74" s="37">
        <f t="shared" ref="U74" si="56">IF(U$48=0,1,(U30-U$47)/U$48)</f>
        <v>0.53503064607291484</v>
      </c>
      <c r="V74" s="37">
        <f t="shared" si="28"/>
        <v>0.66666666666666663</v>
      </c>
      <c r="W74" s="37">
        <f t="shared" ca="1" si="30"/>
        <v>0.93797225399937234</v>
      </c>
      <c r="X74" s="37">
        <f t="shared" si="30"/>
        <v>1</v>
      </c>
      <c r="Y74" s="37">
        <f t="shared" si="32"/>
        <v>1</v>
      </c>
      <c r="Z74" s="7"/>
      <c r="AA74" s="7"/>
      <c r="AB74" s="7"/>
      <c r="AH74"/>
      <c r="AI74"/>
    </row>
    <row r="75" spans="3:35" x14ac:dyDescent="0.3">
      <c r="C75" s="100" t="str">
        <f t="shared" si="23"/>
        <v>Shallow pit, scrape auto, compost, tanker</v>
      </c>
      <c r="D75" s="67" t="str">
        <f t="shared" si="23"/>
        <v>TL</v>
      </c>
      <c r="E75" s="9" t="s">
        <v>4962</v>
      </c>
      <c r="F75" s="631" t="str">
        <f t="shared" si="24"/>
        <v>SS - Compost</v>
      </c>
      <c r="G75" s="49"/>
      <c r="H75" s="37">
        <f t="shared" si="25"/>
        <v>0.91217682301325864</v>
      </c>
      <c r="I75" s="37">
        <f t="shared" si="25"/>
        <v>0.80786245560096681</v>
      </c>
      <c r="J75" s="37">
        <f t="shared" si="26"/>
        <v>0</v>
      </c>
      <c r="K75" s="37">
        <f t="shared" si="26"/>
        <v>0</v>
      </c>
      <c r="L75" s="37">
        <f t="shared" si="26"/>
        <v>0</v>
      </c>
      <c r="M75" s="37">
        <f t="shared" si="26"/>
        <v>0.8689758385228622</v>
      </c>
      <c r="N75" s="37">
        <f t="shared" si="52"/>
        <v>1</v>
      </c>
      <c r="O75" s="37">
        <f t="shared" si="52"/>
        <v>0.71111308124821848</v>
      </c>
      <c r="P75" s="37">
        <f t="shared" si="52"/>
        <v>1</v>
      </c>
      <c r="Q75" s="37">
        <f t="shared" si="52"/>
        <v>1</v>
      </c>
      <c r="R75" s="37">
        <f t="shared" si="52"/>
        <v>0</v>
      </c>
      <c r="S75" s="37">
        <f t="shared" si="52"/>
        <v>0</v>
      </c>
      <c r="T75" s="37">
        <f t="shared" si="28"/>
        <v>0</v>
      </c>
      <c r="U75" s="37">
        <f t="shared" ref="U75" si="57">IF(U$48=0,1,(U31-U$47)/U$48)</f>
        <v>0.21611719926472067</v>
      </c>
      <c r="V75" s="37">
        <f t="shared" si="28"/>
        <v>0.66666666666666663</v>
      </c>
      <c r="W75" s="37">
        <f t="shared" ca="1" si="30"/>
        <v>0.46487710487735784</v>
      </c>
      <c r="X75" s="37">
        <f t="shared" si="30"/>
        <v>1</v>
      </c>
      <c r="Y75" s="37">
        <f t="shared" si="32"/>
        <v>1</v>
      </c>
      <c r="Z75" s="7"/>
      <c r="AA75" s="7"/>
      <c r="AB75" s="7"/>
      <c r="AH75"/>
      <c r="AI75"/>
    </row>
    <row r="76" spans="3:35" x14ac:dyDescent="0.3">
      <c r="C76" s="100" t="str">
        <f t="shared" si="23"/>
        <v>Shallow pit, scrape auto, slope screen, lagoon, irrigation + tanker</v>
      </c>
      <c r="D76" s="67" t="str">
        <f t="shared" si="23"/>
        <v>TL</v>
      </c>
      <c r="E76" s="9" t="s">
        <v>4964</v>
      </c>
      <c r="F76" s="631" t="str">
        <f t="shared" si="24"/>
        <v>Scrape - ISS - Lagoon</v>
      </c>
      <c r="G76" s="49"/>
      <c r="H76" s="37">
        <f t="shared" si="25"/>
        <v>0.93916206643082933</v>
      </c>
      <c r="I76" s="37">
        <f t="shared" si="25"/>
        <v>0.92695549434544289</v>
      </c>
      <c r="J76" s="37">
        <f t="shared" si="26"/>
        <v>0</v>
      </c>
      <c r="K76" s="37">
        <f t="shared" si="26"/>
        <v>0.31769398989432113</v>
      </c>
      <c r="L76" s="37">
        <f t="shared" si="26"/>
        <v>1</v>
      </c>
      <c r="M76" s="37">
        <f t="shared" si="26"/>
        <v>0.92971501899778752</v>
      </c>
      <c r="N76" s="37">
        <f t="shared" si="52"/>
        <v>0.21975037635370043</v>
      </c>
      <c r="O76" s="37">
        <f t="shared" si="52"/>
        <v>1</v>
      </c>
      <c r="P76" s="37">
        <f t="shared" si="52"/>
        <v>1</v>
      </c>
      <c r="Q76" s="37">
        <f t="shared" si="52"/>
        <v>5.7135063672810439E-2</v>
      </c>
      <c r="R76" s="37">
        <f t="shared" si="52"/>
        <v>0.33111146683980303</v>
      </c>
      <c r="S76" s="37">
        <f t="shared" si="52"/>
        <v>0.45916224760591517</v>
      </c>
      <c r="T76" s="37">
        <f t="shared" si="28"/>
        <v>1.9230769230769162E-2</v>
      </c>
      <c r="U76" s="37">
        <f t="shared" ref="U76" si="58">IF(U$48=0,1,(U32-U$47)/U$48)</f>
        <v>0</v>
      </c>
      <c r="V76" s="37">
        <f t="shared" si="28"/>
        <v>0</v>
      </c>
      <c r="W76" s="37">
        <f t="shared" ca="1" si="30"/>
        <v>0.90370527685551005</v>
      </c>
      <c r="X76" s="37">
        <f t="shared" si="30"/>
        <v>1</v>
      </c>
      <c r="Y76" s="37">
        <f t="shared" si="32"/>
        <v>1</v>
      </c>
      <c r="Z76" s="7"/>
      <c r="AA76" s="7"/>
      <c r="AB76" s="7"/>
      <c r="AH76"/>
      <c r="AI76"/>
    </row>
    <row r="77" spans="3:35" x14ac:dyDescent="0.3">
      <c r="C77" s="100" t="str">
        <f t="shared" si="23"/>
        <v>Shallow pit, scrape auto, slope screen, lagoon, irrigation + drag hose</v>
      </c>
      <c r="D77" s="67" t="str">
        <f t="shared" si="23"/>
        <v>DHL</v>
      </c>
      <c r="E77" s="9" t="s">
        <v>4966</v>
      </c>
      <c r="F77" s="631" t="str">
        <f t="shared" si="24"/>
        <v>Scrape - ISS - Lagoon</v>
      </c>
      <c r="G77" s="49"/>
      <c r="H77" s="37">
        <f t="shared" si="25"/>
        <v>0.7874431227458063</v>
      </c>
      <c r="I77" s="37">
        <f t="shared" si="25"/>
        <v>0.80771785800091922</v>
      </c>
      <c r="J77" s="37">
        <f t="shared" si="26"/>
        <v>0</v>
      </c>
      <c r="K77" s="37">
        <f t="shared" si="26"/>
        <v>0.31769398989432113</v>
      </c>
      <c r="L77" s="37">
        <f t="shared" si="26"/>
        <v>1</v>
      </c>
      <c r="M77" s="37">
        <f t="shared" si="26"/>
        <v>0.78949270713461417</v>
      </c>
      <c r="N77" s="37">
        <f t="shared" si="52"/>
        <v>0.22183475965278893</v>
      </c>
      <c r="O77" s="37">
        <f t="shared" si="52"/>
        <v>1</v>
      </c>
      <c r="P77" s="37">
        <f t="shared" si="52"/>
        <v>1</v>
      </c>
      <c r="Q77" s="37">
        <f t="shared" si="52"/>
        <v>5.7135063672810439E-2</v>
      </c>
      <c r="R77" s="37">
        <f t="shared" si="52"/>
        <v>0.33111146683980303</v>
      </c>
      <c r="S77" s="37">
        <f t="shared" si="52"/>
        <v>0.45916224760591517</v>
      </c>
      <c r="T77" s="37">
        <f t="shared" si="28"/>
        <v>7.6923076923076858E-2</v>
      </c>
      <c r="U77" s="37">
        <f t="shared" ref="U77" si="59">IF(U$48=0,1,(U33-U$47)/U$48)</f>
        <v>2.0779603703787917E-2</v>
      </c>
      <c r="V77" s="37">
        <f t="shared" si="28"/>
        <v>0</v>
      </c>
      <c r="W77" s="37">
        <f t="shared" ca="1" si="30"/>
        <v>0.95064980322616022</v>
      </c>
      <c r="X77" s="37">
        <f t="shared" si="30"/>
        <v>1</v>
      </c>
      <c r="Y77" s="37">
        <f t="shared" si="32"/>
        <v>1</v>
      </c>
      <c r="Z77" s="7"/>
      <c r="AA77" s="7"/>
      <c r="AB77" s="7"/>
      <c r="AH77"/>
      <c r="AI77"/>
    </row>
    <row r="78" spans="3:35" x14ac:dyDescent="0.3">
      <c r="C78" s="68"/>
      <c r="D78" s="68"/>
      <c r="E78" s="68"/>
      <c r="F78" s="633" t="s">
        <v>533</v>
      </c>
      <c r="G78" s="633"/>
      <c r="H78" s="56">
        <f t="shared" ref="H78:Y78" si="60">SUM(H51:H77)</f>
        <v>19.93463379195823</v>
      </c>
      <c r="I78" s="56">
        <f t="shared" si="60"/>
        <v>19.829097351364382</v>
      </c>
      <c r="J78" s="56">
        <f t="shared" si="60"/>
        <v>6.489105821969507</v>
      </c>
      <c r="K78" s="56">
        <f t="shared" si="60"/>
        <v>8.4801880446902071</v>
      </c>
      <c r="L78" s="56">
        <f t="shared" si="60"/>
        <v>2</v>
      </c>
      <c r="M78" s="56">
        <f t="shared" si="60"/>
        <v>19.796337645644204</v>
      </c>
      <c r="N78" s="56">
        <f t="shared" si="60"/>
        <v>11.82412486308295</v>
      </c>
      <c r="O78" s="56">
        <f t="shared" si="60"/>
        <v>13.48115657241763</v>
      </c>
      <c r="P78" s="56">
        <f t="shared" si="60"/>
        <v>27</v>
      </c>
      <c r="Q78" s="56">
        <f t="shared" si="60"/>
        <v>21.600222034765661</v>
      </c>
      <c r="R78" s="56">
        <f t="shared" si="60"/>
        <v>8.5448972284356675</v>
      </c>
      <c r="S78" s="56">
        <f t="shared" si="60"/>
        <v>14.055834946122163</v>
      </c>
      <c r="T78" s="56">
        <f t="shared" si="60"/>
        <v>8.7115384615384563</v>
      </c>
      <c r="U78" s="56">
        <f t="shared" si="60"/>
        <v>13.212527141041621</v>
      </c>
      <c r="V78" s="56">
        <f t="shared" si="60"/>
        <v>6.0000000000000009</v>
      </c>
      <c r="W78" s="56">
        <f t="shared" ca="1" si="60"/>
        <v>24.040039279342174</v>
      </c>
      <c r="X78" s="56">
        <f t="shared" si="60"/>
        <v>27</v>
      </c>
      <c r="Y78" s="56">
        <f t="shared" si="60"/>
        <v>27</v>
      </c>
      <c r="Z78" s="905"/>
      <c r="AA78" s="905"/>
      <c r="AB78" s="905"/>
      <c r="AH78"/>
      <c r="AI78"/>
    </row>
    <row r="79" spans="3:35" x14ac:dyDescent="0.3">
      <c r="C79"/>
      <c r="D79"/>
      <c r="E79"/>
      <c r="AH79"/>
      <c r="AI79"/>
    </row>
    <row r="80" spans="3:35" ht="43.5" customHeight="1" x14ac:dyDescent="0.3">
      <c r="C80" s="49"/>
      <c r="D80" s="49"/>
      <c r="E80" s="49"/>
      <c r="F80" s="49"/>
      <c r="G80" s="49"/>
      <c r="H80" s="634">
        <f>H81</f>
        <v>0.20512820512820512</v>
      </c>
      <c r="I80" s="634">
        <f t="shared" ref="I80:Y80" si="61">I81</f>
        <v>0.20512820512820512</v>
      </c>
      <c r="J80" s="634">
        <f t="shared" si="61"/>
        <v>2.564102564102564E-2</v>
      </c>
      <c r="K80" s="634">
        <f t="shared" si="61"/>
        <v>2.564102564102564E-2</v>
      </c>
      <c r="L80" s="634">
        <f t="shared" si="61"/>
        <v>2.564102564102564E-2</v>
      </c>
      <c r="M80" s="634">
        <f t="shared" si="61"/>
        <v>0.20512820512820512</v>
      </c>
      <c r="N80" s="634">
        <f>N81</f>
        <v>2.564102564102564E-2</v>
      </c>
      <c r="O80" s="634">
        <f t="shared" si="61"/>
        <v>2.564102564102564E-2</v>
      </c>
      <c r="P80" s="634">
        <f t="shared" si="61"/>
        <v>2.564102564102564E-2</v>
      </c>
      <c r="Q80" s="634">
        <f t="shared" si="61"/>
        <v>2.564102564102564E-2</v>
      </c>
      <c r="R80" s="634">
        <f t="shared" si="61"/>
        <v>2.564102564102564E-2</v>
      </c>
      <c r="S80" s="634">
        <f t="shared" si="61"/>
        <v>2.564102564102564E-2</v>
      </c>
      <c r="T80" s="634">
        <f t="shared" si="61"/>
        <v>2.564102564102564E-2</v>
      </c>
      <c r="U80" s="634">
        <f t="shared" si="61"/>
        <v>2.564102564102564E-2</v>
      </c>
      <c r="V80" s="634">
        <f>V81</f>
        <v>2.564102564102564E-2</v>
      </c>
      <c r="W80" s="634">
        <f t="shared" si="61"/>
        <v>2.564102564102564E-2</v>
      </c>
      <c r="X80" s="634">
        <f t="shared" si="61"/>
        <v>2.564102564102564E-2</v>
      </c>
      <c r="Y80" s="634">
        <f t="shared" si="61"/>
        <v>2.564102564102564E-2</v>
      </c>
      <c r="Z80" s="634"/>
      <c r="AA80" s="634"/>
      <c r="AB80" s="634"/>
      <c r="AC80" s="635">
        <f>SUM(H80:Y80)</f>
        <v>1.0000000000000002</v>
      </c>
      <c r="AG80" s="7"/>
    </row>
    <row r="81" spans="3:30" x14ac:dyDescent="0.3">
      <c r="C81" s="636"/>
      <c r="D81" s="636"/>
      <c r="E81" s="636"/>
      <c r="F81" s="636" t="s">
        <v>5000</v>
      </c>
      <c r="G81" s="636"/>
      <c r="H81" s="637">
        <f>D115</f>
        <v>0.20512820512820512</v>
      </c>
      <c r="I81" s="637">
        <f>D116</f>
        <v>0.20512820512820512</v>
      </c>
      <c r="J81" s="637">
        <f>D117</f>
        <v>2.564102564102564E-2</v>
      </c>
      <c r="K81" s="637">
        <f>D118</f>
        <v>2.564102564102564E-2</v>
      </c>
      <c r="L81" s="637">
        <f>D119</f>
        <v>2.564102564102564E-2</v>
      </c>
      <c r="M81" s="637">
        <f>D120</f>
        <v>0.20512820512820512</v>
      </c>
      <c r="N81" s="637">
        <f>D121</f>
        <v>2.564102564102564E-2</v>
      </c>
      <c r="O81" s="637">
        <f>D122</f>
        <v>2.564102564102564E-2</v>
      </c>
      <c r="P81" s="637">
        <f>D123</f>
        <v>2.564102564102564E-2</v>
      </c>
      <c r="Q81" s="56">
        <f>D124</f>
        <v>2.564102564102564E-2</v>
      </c>
      <c r="R81" s="56">
        <f>D125</f>
        <v>2.564102564102564E-2</v>
      </c>
      <c r="S81" s="56">
        <f>D126</f>
        <v>2.564102564102564E-2</v>
      </c>
      <c r="T81" s="637">
        <f>D127</f>
        <v>2.564102564102564E-2</v>
      </c>
      <c r="U81" s="637">
        <f>D128</f>
        <v>2.564102564102564E-2</v>
      </c>
      <c r="V81" s="637">
        <f>D129</f>
        <v>2.564102564102564E-2</v>
      </c>
      <c r="W81" s="637">
        <f>D130</f>
        <v>2.564102564102564E-2</v>
      </c>
      <c r="X81" s="637">
        <f>D131</f>
        <v>2.564102564102564E-2</v>
      </c>
      <c r="Y81" s="637">
        <f>D132</f>
        <v>2.564102564102564E-2</v>
      </c>
      <c r="Z81" s="637"/>
      <c r="AA81" s="637"/>
      <c r="AB81" s="637"/>
      <c r="AC81" s="638">
        <f>SUM(H81:U81)</f>
        <v>0.89743589743589758</v>
      </c>
    </row>
    <row r="82" spans="3:30" ht="28.8" x14ac:dyDescent="0.3">
      <c r="C82" s="97"/>
      <c r="D82" s="97"/>
      <c r="E82" s="96"/>
      <c r="F82" s="606"/>
      <c r="G82" s="606"/>
      <c r="H82" s="909" t="s">
        <v>2585</v>
      </c>
      <c r="I82" s="909" t="s">
        <v>2588</v>
      </c>
      <c r="J82" s="909" t="s">
        <v>441</v>
      </c>
      <c r="K82" s="909" t="s">
        <v>440</v>
      </c>
      <c r="L82" s="909" t="s">
        <v>494</v>
      </c>
      <c r="M82" s="909" t="s">
        <v>439</v>
      </c>
      <c r="N82" s="910" t="s">
        <v>4824</v>
      </c>
      <c r="O82" s="910" t="s">
        <v>447</v>
      </c>
      <c r="P82" s="910" t="s">
        <v>446</v>
      </c>
      <c r="Q82" s="910" t="s">
        <v>2599</v>
      </c>
      <c r="R82" s="910" t="s">
        <v>4832</v>
      </c>
      <c r="S82" s="910" t="s">
        <v>4833</v>
      </c>
      <c r="T82" s="912" t="s">
        <v>516</v>
      </c>
      <c r="U82" s="912" t="s">
        <v>4655</v>
      </c>
      <c r="V82" s="912" t="s">
        <v>4827</v>
      </c>
      <c r="W82" s="913" t="s">
        <v>456</v>
      </c>
      <c r="X82" s="912" t="s">
        <v>4979</v>
      </c>
      <c r="Y82" s="914" t="s">
        <v>2623</v>
      </c>
      <c r="Z82" s="630"/>
      <c r="AA82" s="630"/>
      <c r="AB82" s="630"/>
      <c r="AC82" s="639" t="s">
        <v>5001</v>
      </c>
      <c r="AD82" s="636" t="s">
        <v>5002</v>
      </c>
    </row>
    <row r="83" spans="3:30" ht="28.8" x14ac:dyDescent="0.3">
      <c r="C83" s="97"/>
      <c r="D83" s="97"/>
      <c r="E83" s="96"/>
      <c r="F83" s="606"/>
      <c r="G83" s="606"/>
      <c r="H83" s="899" t="s">
        <v>4980</v>
      </c>
      <c r="I83" s="899" t="s">
        <v>4980</v>
      </c>
      <c r="J83" s="899" t="s">
        <v>4980</v>
      </c>
      <c r="K83" s="899" t="s">
        <v>4980</v>
      </c>
      <c r="L83" s="899"/>
      <c r="M83" s="899"/>
      <c r="N83" s="911"/>
      <c r="O83" s="911"/>
      <c r="P83" s="911"/>
      <c r="Q83" s="911"/>
      <c r="R83" s="911"/>
      <c r="S83" s="911"/>
      <c r="T83" s="900" t="s">
        <v>4877</v>
      </c>
      <c r="U83" s="900" t="s">
        <v>4877</v>
      </c>
      <c r="V83" s="900"/>
      <c r="W83" s="900" t="s">
        <v>4878</v>
      </c>
      <c r="X83" s="900" t="s">
        <v>4879</v>
      </c>
      <c r="Y83" s="901" t="s">
        <v>4981</v>
      </c>
      <c r="Z83" s="618"/>
      <c r="AA83" s="618"/>
      <c r="AB83" s="618"/>
      <c r="AC83" s="639"/>
      <c r="AD83" s="640"/>
    </row>
    <row r="84" spans="3:30" x14ac:dyDescent="0.3">
      <c r="C84" s="100" t="str">
        <f t="shared" ref="C84:D108" si="62">C7</f>
        <v>Deep pit, tanker</v>
      </c>
      <c r="D84" s="67" t="str">
        <f t="shared" si="62"/>
        <v>TL</v>
      </c>
      <c r="E84" s="9" t="str">
        <f t="shared" ref="E84:E105" si="63">E51</f>
        <v>Sc -1a</v>
      </c>
      <c r="F84" s="631" t="str">
        <f t="shared" ref="F84:F108" si="64">F7</f>
        <v>Deep pit slurry system</v>
      </c>
      <c r="G84" s="631"/>
      <c r="H84" s="37">
        <f t="shared" ref="H84:H110" si="65">$H$81*H51</f>
        <v>0.2039492093331513</v>
      </c>
      <c r="I84" s="37">
        <f t="shared" ref="I84:I110" si="66">$I$81*I51</f>
        <v>0.20432236546384139</v>
      </c>
      <c r="J84" s="37">
        <f t="shared" ref="J84:J110" si="67">$J$81*J51</f>
        <v>0</v>
      </c>
      <c r="K84" s="37">
        <f t="shared" ref="K84:K110" si="68">$K$81*K51</f>
        <v>2.564102564102564E-2</v>
      </c>
      <c r="L84" s="37">
        <f>$L$81*L51</f>
        <v>0</v>
      </c>
      <c r="M84" s="37">
        <f t="shared" ref="M84:M110" si="69">$M$81*M51</f>
        <v>0.20512820512820512</v>
      </c>
      <c r="N84" s="37">
        <f>$N$81*N51</f>
        <v>1.6141616059858654E-2</v>
      </c>
      <c r="O84" s="37">
        <f t="shared" ref="O84:O110" si="70">$O$81*O51</f>
        <v>0</v>
      </c>
      <c r="P84" s="37">
        <f t="shared" ref="P84:P110" si="71">P51*$P$81</f>
        <v>2.564102564102564E-2</v>
      </c>
      <c r="Q84" s="37">
        <f t="shared" ref="Q84:Q110" si="72">Q51*$Q$81</f>
        <v>2.564102564102564E-2</v>
      </c>
      <c r="R84" s="37">
        <f t="shared" ref="R84:R110" si="73">R51*$R$81</f>
        <v>2.564102564102564E-2</v>
      </c>
      <c r="S84" s="37">
        <f t="shared" ref="S84:S110" si="74">S51*$S$81</f>
        <v>2.564102564102564E-2</v>
      </c>
      <c r="T84" s="37">
        <f t="shared" ref="T84:T110" si="75">T51*$T$81</f>
        <v>2.2682445759368834E-2</v>
      </c>
      <c r="U84" s="37">
        <f t="shared" ref="U84:U110" si="76">U51*$U$81</f>
        <v>2.507372598292993E-2</v>
      </c>
      <c r="V84" s="37">
        <f t="shared" ref="V84:V110" si="77">V51*$V$81</f>
        <v>2.564102564102564E-2</v>
      </c>
      <c r="W84" s="37">
        <f t="shared" ref="W84:W110" ca="1" si="78">$W$81*W51</f>
        <v>2.2699496997811718E-2</v>
      </c>
      <c r="X84" s="37">
        <f t="shared" ref="X84:X110" si="79">$X$81*X51</f>
        <v>2.564102564102564E-2</v>
      </c>
      <c r="Y84" s="37">
        <f t="shared" ref="Y84:Y110" si="80">$Y$81*Y51</f>
        <v>2.564102564102564E-2</v>
      </c>
      <c r="Z84" s="37"/>
      <c r="AA84" s="37"/>
      <c r="AB84" s="37"/>
      <c r="AC84" s="641">
        <f ca="1">SUM(H84:Y84)</f>
        <v>0.90512526985337227</v>
      </c>
      <c r="AD84" s="130">
        <f t="shared" ref="AD84:AD110" ca="1" si="81">RANK(AC84,$AC$84:$AC$110)</f>
        <v>1</v>
      </c>
    </row>
    <row r="85" spans="3:30" x14ac:dyDescent="0.3">
      <c r="C85" s="100" t="str">
        <f t="shared" si="62"/>
        <v>Deep pit, drag hose</v>
      </c>
      <c r="D85" s="67" t="str">
        <f t="shared" si="62"/>
        <v>DHL</v>
      </c>
      <c r="E85" s="9" t="str">
        <f t="shared" si="63"/>
        <v>Sc -1b</v>
      </c>
      <c r="F85" s="631" t="str">
        <f t="shared" si="64"/>
        <v>Deep pit slurry system</v>
      </c>
      <c r="G85" s="631"/>
      <c r="H85" s="37">
        <f t="shared" si="65"/>
        <v>0.17290569406077363</v>
      </c>
      <c r="I85" s="37">
        <f t="shared" si="66"/>
        <v>0.1816417205444589</v>
      </c>
      <c r="J85" s="37">
        <f t="shared" si="67"/>
        <v>0</v>
      </c>
      <c r="K85" s="37">
        <f t="shared" si="68"/>
        <v>2.564102564102564E-2</v>
      </c>
      <c r="L85" s="37">
        <f t="shared" ref="L85:L110" si="82">$L$81*L52</f>
        <v>0</v>
      </c>
      <c r="M85" s="37">
        <f t="shared" si="69"/>
        <v>0.17697153085341158</v>
      </c>
      <c r="N85" s="37">
        <f t="shared" ref="N85:N110" si="83">$N$81*N52</f>
        <v>1.606279024952461E-2</v>
      </c>
      <c r="O85" s="37">
        <f t="shared" si="70"/>
        <v>0</v>
      </c>
      <c r="P85" s="37">
        <f t="shared" si="71"/>
        <v>2.564102564102564E-2</v>
      </c>
      <c r="Q85" s="37">
        <f t="shared" si="72"/>
        <v>2.564102564102564E-2</v>
      </c>
      <c r="R85" s="37">
        <f t="shared" si="73"/>
        <v>2.564102564102564E-2</v>
      </c>
      <c r="S85" s="37">
        <f t="shared" si="74"/>
        <v>2.564102564102564E-2</v>
      </c>
      <c r="T85" s="37">
        <f t="shared" si="75"/>
        <v>2.564102564102564E-2</v>
      </c>
      <c r="U85" s="37">
        <f t="shared" si="76"/>
        <v>2.564102564102564E-2</v>
      </c>
      <c r="V85" s="37">
        <f t="shared" si="77"/>
        <v>2.564102564102564E-2</v>
      </c>
      <c r="W85" s="37">
        <f t="shared" ca="1" si="78"/>
        <v>2.3839216955954888E-2</v>
      </c>
      <c r="X85" s="37">
        <f t="shared" si="79"/>
        <v>2.564102564102564E-2</v>
      </c>
      <c r="Y85" s="37">
        <f t="shared" si="80"/>
        <v>2.564102564102564E-2</v>
      </c>
      <c r="Z85" s="37"/>
      <c r="AA85" s="37"/>
      <c r="AB85" s="37"/>
      <c r="AC85" s="641">
        <f t="shared" ref="AC85:AC110" ca="1" si="84">SUM(H85:Y85)</f>
        <v>0.82783120907438024</v>
      </c>
      <c r="AD85" s="130">
        <f t="shared" ca="1" si="81"/>
        <v>3</v>
      </c>
    </row>
    <row r="86" spans="3:30" ht="29.1" customHeight="1" x14ac:dyDescent="0.3">
      <c r="C86" s="100" t="str">
        <f t="shared" si="62"/>
        <v>Deep pit, aeration, tanker</v>
      </c>
      <c r="D86" s="67" t="str">
        <f t="shared" si="62"/>
        <v>TL</v>
      </c>
      <c r="E86" s="9" t="str">
        <f t="shared" si="63"/>
        <v>Sc - 2a</v>
      </c>
      <c r="F86" s="631" t="str">
        <f t="shared" si="64"/>
        <v>Deep pit slurry - Aeration system</v>
      </c>
      <c r="G86" s="631"/>
      <c r="H86" s="37">
        <f t="shared" si="65"/>
        <v>0.20512820512820512</v>
      </c>
      <c r="I86" s="37">
        <f t="shared" si="66"/>
        <v>0.20512820512820512</v>
      </c>
      <c r="J86" s="37">
        <f t="shared" si="67"/>
        <v>0</v>
      </c>
      <c r="K86" s="37">
        <f t="shared" si="68"/>
        <v>1.0040113384468136E-2</v>
      </c>
      <c r="L86" s="37">
        <f t="shared" si="82"/>
        <v>0</v>
      </c>
      <c r="M86" s="37">
        <f t="shared" si="69"/>
        <v>0.20410161324328521</v>
      </c>
      <c r="N86" s="37">
        <f t="shared" si="83"/>
        <v>2.2495460628971613E-2</v>
      </c>
      <c r="O86" s="37">
        <f t="shared" si="70"/>
        <v>1.1725314392518513E-2</v>
      </c>
      <c r="P86" s="37">
        <f t="shared" si="71"/>
        <v>2.564102564102564E-2</v>
      </c>
      <c r="Q86" s="37">
        <f t="shared" si="72"/>
        <v>2.564102564102564E-2</v>
      </c>
      <c r="R86" s="37">
        <f t="shared" si="73"/>
        <v>1.0575964444765639E-2</v>
      </c>
      <c r="S86" s="37">
        <f t="shared" si="74"/>
        <v>1.2397980104691057E-2</v>
      </c>
      <c r="T86" s="37">
        <f t="shared" si="75"/>
        <v>1.3806706114398421E-2</v>
      </c>
      <c r="U86" s="37">
        <f t="shared" si="76"/>
        <v>1.9047397560126404E-2</v>
      </c>
      <c r="V86" s="37">
        <f t="shared" si="77"/>
        <v>2.564102564102564E-2</v>
      </c>
      <c r="W86" s="37">
        <f t="shared" ca="1" si="78"/>
        <v>2.3128384096573001E-2</v>
      </c>
      <c r="X86" s="37">
        <f t="shared" si="79"/>
        <v>2.564102564102564E-2</v>
      </c>
      <c r="Y86" s="37">
        <f t="shared" si="80"/>
        <v>2.564102564102564E-2</v>
      </c>
      <c r="Z86" s="37"/>
      <c r="AA86" s="37"/>
      <c r="AB86" s="37"/>
      <c r="AC86" s="641">
        <f t="shared" ca="1" si="84"/>
        <v>0.86578047243133649</v>
      </c>
      <c r="AD86" s="130">
        <f t="shared" ca="1" si="81"/>
        <v>2</v>
      </c>
    </row>
    <row r="87" spans="3:30" x14ac:dyDescent="0.3">
      <c r="C87" s="100" t="str">
        <f t="shared" si="62"/>
        <v>Deep pit, aeration, drag hose</v>
      </c>
      <c r="D87" s="67" t="str">
        <f t="shared" si="62"/>
        <v>DHL</v>
      </c>
      <c r="E87" s="9" t="str">
        <f t="shared" si="63"/>
        <v>Sc - 2b</v>
      </c>
      <c r="F87" s="631" t="str">
        <f t="shared" si="64"/>
        <v>Deep pit slurry - Aeration system</v>
      </c>
      <c r="G87" s="631"/>
      <c r="H87" s="37">
        <f t="shared" si="65"/>
        <v>0.18040298621317757</v>
      </c>
      <c r="I87" s="37">
        <f t="shared" si="66"/>
        <v>0.18656801725568387</v>
      </c>
      <c r="J87" s="37">
        <f t="shared" si="67"/>
        <v>0</v>
      </c>
      <c r="K87" s="37">
        <f t="shared" si="68"/>
        <v>1.0040113384468136E-2</v>
      </c>
      <c r="L87" s="37">
        <f t="shared" si="82"/>
        <v>0</v>
      </c>
      <c r="M87" s="37">
        <f t="shared" si="69"/>
        <v>0.18152133663099879</v>
      </c>
      <c r="N87" s="37">
        <f t="shared" si="83"/>
        <v>2.2457192609706706E-2</v>
      </c>
      <c r="O87" s="37">
        <f t="shared" si="70"/>
        <v>1.1725314392518513E-2</v>
      </c>
      <c r="P87" s="37">
        <f t="shared" si="71"/>
        <v>2.564102564102564E-2</v>
      </c>
      <c r="Q87" s="37">
        <f t="shared" si="72"/>
        <v>2.564102564102564E-2</v>
      </c>
      <c r="R87" s="37">
        <f t="shared" si="73"/>
        <v>1.0575964444765639E-2</v>
      </c>
      <c r="S87" s="37">
        <f t="shared" si="74"/>
        <v>1.2397980104691057E-2</v>
      </c>
      <c r="T87" s="37">
        <f t="shared" si="75"/>
        <v>1.5779092702169623E-2</v>
      </c>
      <c r="U87" s="37">
        <f t="shared" si="76"/>
        <v>1.9606407908149506E-2</v>
      </c>
      <c r="V87" s="37">
        <f t="shared" si="77"/>
        <v>2.564102564102564E-2</v>
      </c>
      <c r="W87" s="37">
        <f t="shared" ca="1" si="78"/>
        <v>2.5083578061118578E-2</v>
      </c>
      <c r="X87" s="37">
        <f t="shared" si="79"/>
        <v>2.564102564102564E-2</v>
      </c>
      <c r="Y87" s="37">
        <f t="shared" si="80"/>
        <v>2.564102564102564E-2</v>
      </c>
      <c r="Z87" s="37"/>
      <c r="AA87" s="37"/>
      <c r="AB87" s="37"/>
      <c r="AC87" s="641">
        <f t="shared" ca="1" si="84"/>
        <v>0.80436311191257626</v>
      </c>
      <c r="AD87" s="130">
        <f t="shared" ca="1" si="81"/>
        <v>4</v>
      </c>
    </row>
    <row r="88" spans="3:30" x14ac:dyDescent="0.3">
      <c r="C88" s="100" t="str">
        <f t="shared" si="62"/>
        <v>Shallow pit, flush, lagoon, irrigation + tanker</v>
      </c>
      <c r="D88" s="67" t="str">
        <f t="shared" si="62"/>
        <v>TL</v>
      </c>
      <c r="E88" s="9" t="str">
        <f t="shared" si="63"/>
        <v>Sc - 3a</v>
      </c>
      <c r="F88" s="631" t="str">
        <f t="shared" si="64"/>
        <v xml:space="preserve">Flush - Lagoon </v>
      </c>
      <c r="G88" s="631"/>
      <c r="H88" s="37">
        <f t="shared" si="65"/>
        <v>0.19614569367368495</v>
      </c>
      <c r="I88" s="37">
        <f t="shared" si="66"/>
        <v>0.17347121391486392</v>
      </c>
      <c r="J88" s="37">
        <f t="shared" si="67"/>
        <v>2.564102564102564E-2</v>
      </c>
      <c r="K88" s="37">
        <f t="shared" si="68"/>
        <v>4.040548029029571E-3</v>
      </c>
      <c r="L88" s="37">
        <f t="shared" si="82"/>
        <v>0</v>
      </c>
      <c r="M88" s="37">
        <f t="shared" si="69"/>
        <v>0.18734244128422864</v>
      </c>
      <c r="N88" s="37">
        <f t="shared" si="83"/>
        <v>3.3665420573604829E-4</v>
      </c>
      <c r="O88" s="37">
        <f t="shared" si="70"/>
        <v>1.5208234844649424E-2</v>
      </c>
      <c r="P88" s="37">
        <f t="shared" si="71"/>
        <v>2.564102564102564E-2</v>
      </c>
      <c r="Q88" s="37">
        <f t="shared" si="72"/>
        <v>2.4938165770594236E-2</v>
      </c>
      <c r="R88" s="37">
        <f t="shared" si="73"/>
        <v>5.7072337702153029E-3</v>
      </c>
      <c r="S88" s="37">
        <f t="shared" si="74"/>
        <v>1.810887664425679E-2</v>
      </c>
      <c r="T88" s="37">
        <f t="shared" si="75"/>
        <v>1.3806706114398421E-2</v>
      </c>
      <c r="U88" s="37">
        <f t="shared" si="76"/>
        <v>2.2462601309256373E-2</v>
      </c>
      <c r="V88" s="37">
        <f t="shared" si="77"/>
        <v>0</v>
      </c>
      <c r="W88" s="37">
        <f t="shared" ca="1" si="78"/>
        <v>2.4495007243778261E-2</v>
      </c>
      <c r="X88" s="37">
        <f t="shared" si="79"/>
        <v>2.564102564102564E-2</v>
      </c>
      <c r="Y88" s="37">
        <f t="shared" si="80"/>
        <v>2.564102564102564E-2</v>
      </c>
      <c r="Z88" s="37"/>
      <c r="AA88" s="37"/>
      <c r="AB88" s="37"/>
      <c r="AC88" s="641">
        <f t="shared" ca="1" si="84"/>
        <v>0.78862747936879452</v>
      </c>
      <c r="AD88" s="130">
        <f t="shared" ca="1" si="81"/>
        <v>6</v>
      </c>
    </row>
    <row r="89" spans="3:30" x14ac:dyDescent="0.3">
      <c r="C89" s="100" t="str">
        <f t="shared" si="62"/>
        <v>Shallow pit, flush, lagoon, irrigation + drag hose</v>
      </c>
      <c r="D89" s="67" t="str">
        <f t="shared" si="62"/>
        <v>DHL</v>
      </c>
      <c r="E89" s="9" t="str">
        <f t="shared" si="63"/>
        <v>Sc - 3b</v>
      </c>
      <c r="F89" s="631" t="str">
        <f t="shared" si="64"/>
        <v xml:space="preserve">Flush - Lagoon </v>
      </c>
      <c r="G89" s="631"/>
      <c r="H89" s="37">
        <f t="shared" si="65"/>
        <v>0.1650458305410403</v>
      </c>
      <c r="I89" s="37">
        <f t="shared" si="66"/>
        <v>0.15219011485054659</v>
      </c>
      <c r="J89" s="37">
        <f t="shared" si="67"/>
        <v>2.564102564102564E-2</v>
      </c>
      <c r="K89" s="37">
        <f t="shared" si="68"/>
        <v>4.040548029029571E-3</v>
      </c>
      <c r="L89" s="37">
        <f t="shared" si="82"/>
        <v>0</v>
      </c>
      <c r="M89" s="37">
        <f t="shared" si="69"/>
        <v>0.15958319600386711</v>
      </c>
      <c r="N89" s="37">
        <f t="shared" si="83"/>
        <v>4.0140073304976504E-4</v>
      </c>
      <c r="O89" s="37">
        <f t="shared" si="70"/>
        <v>1.5208234844649424E-2</v>
      </c>
      <c r="P89" s="37">
        <f t="shared" si="71"/>
        <v>2.564102564102564E-2</v>
      </c>
      <c r="Q89" s="37">
        <f t="shared" si="72"/>
        <v>2.4938165770594236E-2</v>
      </c>
      <c r="R89" s="37">
        <f t="shared" si="73"/>
        <v>5.7072337702153029E-3</v>
      </c>
      <c r="S89" s="37">
        <f t="shared" si="74"/>
        <v>1.810887664425679E-2</v>
      </c>
      <c r="T89" s="37">
        <f t="shared" si="75"/>
        <v>1.5779092702169623E-2</v>
      </c>
      <c r="U89" s="37">
        <f t="shared" si="76"/>
        <v>2.3026309324059552E-2</v>
      </c>
      <c r="V89" s="37">
        <f t="shared" si="77"/>
        <v>0</v>
      </c>
      <c r="W89" s="37">
        <f t="shared" ca="1" si="78"/>
        <v>2.5287273056529176E-2</v>
      </c>
      <c r="X89" s="37">
        <f t="shared" si="79"/>
        <v>2.564102564102564E-2</v>
      </c>
      <c r="Y89" s="37">
        <f t="shared" si="80"/>
        <v>2.564102564102564E-2</v>
      </c>
      <c r="Z89" s="37"/>
      <c r="AA89" s="37"/>
      <c r="AB89" s="37"/>
      <c r="AC89" s="641">
        <f t="shared" ca="1" si="84"/>
        <v>0.71188037883411004</v>
      </c>
      <c r="AD89" s="130">
        <f t="shared" ca="1" si="81"/>
        <v>16</v>
      </c>
    </row>
    <row r="90" spans="3:30" ht="29.1" customHeight="1" x14ac:dyDescent="0.3">
      <c r="C90" s="100" t="str">
        <f t="shared" si="62"/>
        <v>Shallow pit, scrape auto, lagoon, irrigation + tanker</v>
      </c>
      <c r="D90" s="67" t="str">
        <f t="shared" si="62"/>
        <v>TL</v>
      </c>
      <c r="E90" s="9" t="str">
        <f t="shared" si="63"/>
        <v>Sc -4a</v>
      </c>
      <c r="F90" s="631" t="str">
        <f t="shared" si="64"/>
        <v>Scrape - Lagoon</v>
      </c>
      <c r="G90" s="631"/>
      <c r="H90" s="37">
        <f t="shared" si="65"/>
        <v>0.19793265451980649</v>
      </c>
      <c r="I90" s="37">
        <f t="shared" si="66"/>
        <v>0.20129477522198264</v>
      </c>
      <c r="J90" s="37">
        <f t="shared" si="67"/>
        <v>0</v>
      </c>
      <c r="K90" s="37">
        <f t="shared" si="68"/>
        <v>6.0843764590733946E-3</v>
      </c>
      <c r="L90" s="37">
        <f t="shared" si="82"/>
        <v>0</v>
      </c>
      <c r="M90" s="37">
        <f t="shared" si="69"/>
        <v>0.19749138031631758</v>
      </c>
      <c r="N90" s="37">
        <f t="shared" si="83"/>
        <v>4.650992836917241E-4</v>
      </c>
      <c r="O90" s="37">
        <f t="shared" si="70"/>
        <v>1.3913679803197319E-2</v>
      </c>
      <c r="P90" s="37">
        <f t="shared" si="71"/>
        <v>2.564102564102564E-2</v>
      </c>
      <c r="Q90" s="37">
        <f t="shared" si="72"/>
        <v>2.4938165770594236E-2</v>
      </c>
      <c r="R90" s="37">
        <f t="shared" si="73"/>
        <v>8.2009417918084537E-3</v>
      </c>
      <c r="S90" s="37">
        <f t="shared" si="74"/>
        <v>2.0346994380915553E-2</v>
      </c>
      <c r="T90" s="37">
        <f t="shared" si="75"/>
        <v>5.9171597633136093E-3</v>
      </c>
      <c r="U90" s="37">
        <f t="shared" si="76"/>
        <v>1.3167811630119557E-2</v>
      </c>
      <c r="V90" s="37">
        <f t="shared" si="77"/>
        <v>0</v>
      </c>
      <c r="W90" s="37">
        <f t="shared" ca="1" si="78"/>
        <v>2.4848759828274728E-2</v>
      </c>
      <c r="X90" s="37">
        <f t="shared" si="79"/>
        <v>2.564102564102564E-2</v>
      </c>
      <c r="Y90" s="37">
        <f t="shared" si="80"/>
        <v>2.564102564102564E-2</v>
      </c>
      <c r="Z90" s="37"/>
      <c r="AA90" s="37"/>
      <c r="AB90" s="37"/>
      <c r="AC90" s="641">
        <f t="shared" ca="1" si="84"/>
        <v>0.79152487569217245</v>
      </c>
      <c r="AD90" s="130">
        <f t="shared" ca="1" si="81"/>
        <v>5</v>
      </c>
    </row>
    <row r="91" spans="3:30" x14ac:dyDescent="0.3">
      <c r="C91" s="100" t="str">
        <f t="shared" si="62"/>
        <v>Shallow pit, scrape auto, lagoon, irrigation + drag hose</v>
      </c>
      <c r="D91" s="67" t="str">
        <f t="shared" si="62"/>
        <v>DHL</v>
      </c>
      <c r="E91" s="9" t="str">
        <f t="shared" si="63"/>
        <v>Sc -4b</v>
      </c>
      <c r="F91" s="631" t="str">
        <f t="shared" si="64"/>
        <v>Scrape - Lagoon</v>
      </c>
      <c r="G91" s="631"/>
      <c r="H91" s="37">
        <f t="shared" si="65"/>
        <v>0.16682519061905346</v>
      </c>
      <c r="I91" s="37">
        <f t="shared" si="66"/>
        <v>0.17997660767100807</v>
      </c>
      <c r="J91" s="37">
        <f t="shared" si="67"/>
        <v>0</v>
      </c>
      <c r="K91" s="37">
        <f t="shared" si="68"/>
        <v>6.0843764590733946E-3</v>
      </c>
      <c r="L91" s="37">
        <f t="shared" si="82"/>
        <v>0</v>
      </c>
      <c r="M91" s="37">
        <f t="shared" si="69"/>
        <v>0.1697154294431906</v>
      </c>
      <c r="N91" s="37">
        <f t="shared" si="83"/>
        <v>5.282730241018221E-4</v>
      </c>
      <c r="O91" s="37">
        <f t="shared" si="70"/>
        <v>1.3913679803197319E-2</v>
      </c>
      <c r="P91" s="37">
        <f t="shared" si="71"/>
        <v>2.564102564102564E-2</v>
      </c>
      <c r="Q91" s="37">
        <f t="shared" si="72"/>
        <v>2.4938165770594236E-2</v>
      </c>
      <c r="R91" s="37">
        <f t="shared" si="73"/>
        <v>8.2009417918084537E-3</v>
      </c>
      <c r="S91" s="37">
        <f t="shared" si="74"/>
        <v>2.0346994380915553E-2</v>
      </c>
      <c r="T91" s="37">
        <f t="shared" si="75"/>
        <v>7.8895463510848113E-3</v>
      </c>
      <c r="U91" s="37">
        <f t="shared" si="76"/>
        <v>1.3718734514690124E-2</v>
      </c>
      <c r="V91" s="37">
        <f t="shared" si="77"/>
        <v>0</v>
      </c>
      <c r="W91" s="37">
        <f t="shared" ca="1" si="78"/>
        <v>2.564102564102564E-2</v>
      </c>
      <c r="X91" s="37">
        <f t="shared" si="79"/>
        <v>2.564102564102564E-2</v>
      </c>
      <c r="Y91" s="37">
        <f t="shared" si="80"/>
        <v>2.564102564102564E-2</v>
      </c>
      <c r="Z91" s="37"/>
      <c r="AA91" s="37"/>
      <c r="AB91" s="37"/>
      <c r="AC91" s="641">
        <f t="shared" ca="1" si="84"/>
        <v>0.71470204239282054</v>
      </c>
      <c r="AD91" s="130">
        <f t="shared" ca="1" si="81"/>
        <v>14</v>
      </c>
    </row>
    <row r="92" spans="3:30" x14ac:dyDescent="0.3">
      <c r="C92" s="100" t="str">
        <f t="shared" si="62"/>
        <v>Shallow pit, pull plug, lagoon, irrigation + tanker</v>
      </c>
      <c r="D92" s="67" t="str">
        <f t="shared" si="62"/>
        <v>TL</v>
      </c>
      <c r="E92" s="9" t="str">
        <f t="shared" si="63"/>
        <v>Sc-5a</v>
      </c>
      <c r="F92" s="631" t="str">
        <f t="shared" si="64"/>
        <v>Pull plug - Lagoon</v>
      </c>
      <c r="G92" s="631"/>
      <c r="H92" s="37">
        <f t="shared" si="65"/>
        <v>0.19589290742851878</v>
      </c>
      <c r="I92" s="37">
        <f t="shared" si="66"/>
        <v>0.15264295428957333</v>
      </c>
      <c r="J92" s="37">
        <f t="shared" si="67"/>
        <v>2.0901958203825054E-3</v>
      </c>
      <c r="K92" s="37">
        <f t="shared" si="68"/>
        <v>5.0543750727850912E-3</v>
      </c>
      <c r="L92" s="37">
        <f t="shared" si="82"/>
        <v>0</v>
      </c>
      <c r="M92" s="37">
        <f t="shared" si="69"/>
        <v>0.1808212899882341</v>
      </c>
      <c r="N92" s="37">
        <f t="shared" si="83"/>
        <v>0</v>
      </c>
      <c r="O92" s="37">
        <f t="shared" si="70"/>
        <v>1.4582814758471414E-2</v>
      </c>
      <c r="P92" s="37">
        <f t="shared" si="71"/>
        <v>2.564102564102564E-2</v>
      </c>
      <c r="Q92" s="37">
        <f t="shared" si="72"/>
        <v>2.4388196660810879E-2</v>
      </c>
      <c r="R92" s="37">
        <f t="shared" si="73"/>
        <v>6.9540877810118727E-3</v>
      </c>
      <c r="S92" s="37">
        <f t="shared" si="74"/>
        <v>1.9190003518550852E-2</v>
      </c>
      <c r="T92" s="37">
        <f t="shared" si="75"/>
        <v>9.8619329388560124E-3</v>
      </c>
      <c r="U92" s="37">
        <f t="shared" si="76"/>
        <v>2.2180941015949255E-2</v>
      </c>
      <c r="V92" s="37">
        <f t="shared" si="77"/>
        <v>0</v>
      </c>
      <c r="W92" s="37">
        <f t="shared" ca="1" si="78"/>
        <v>2.439502462867868E-2</v>
      </c>
      <c r="X92" s="37">
        <f t="shared" si="79"/>
        <v>2.564102564102564E-2</v>
      </c>
      <c r="Y92" s="37">
        <f t="shared" si="80"/>
        <v>2.564102564102564E-2</v>
      </c>
      <c r="Z92" s="37"/>
      <c r="AA92" s="37"/>
      <c r="AB92" s="37"/>
      <c r="AC92" s="641">
        <f t="shared" ca="1" si="84"/>
        <v>0.73497780082490005</v>
      </c>
      <c r="AD92" s="130">
        <f t="shared" ca="1" si="81"/>
        <v>11</v>
      </c>
    </row>
    <row r="93" spans="3:30" x14ac:dyDescent="0.3">
      <c r="C93" s="100" t="str">
        <f t="shared" si="62"/>
        <v>Shallow pit, pull plug, lagoon, irrigation + drag hose</v>
      </c>
      <c r="D93" s="67" t="str">
        <f t="shared" si="62"/>
        <v>DHL</v>
      </c>
      <c r="E93" s="9" t="str">
        <f t="shared" si="63"/>
        <v>Sc-5b</v>
      </c>
      <c r="F93" s="631" t="str">
        <f t="shared" si="64"/>
        <v>Pull plug - Lagoon</v>
      </c>
      <c r="G93" s="631"/>
      <c r="H93" s="37">
        <f t="shared" si="65"/>
        <v>0.16478847524560528</v>
      </c>
      <c r="I93" s="37">
        <f t="shared" si="66"/>
        <v>0.1313394542572465</v>
      </c>
      <c r="J93" s="37">
        <f t="shared" si="67"/>
        <v>2.0901958203825054E-3</v>
      </c>
      <c r="K93" s="37">
        <f t="shared" si="68"/>
        <v>5.0543750727850912E-3</v>
      </c>
      <c r="L93" s="37">
        <f t="shared" si="82"/>
        <v>0</v>
      </c>
      <c r="M93" s="37">
        <f t="shared" si="69"/>
        <v>0.15305196574118229</v>
      </c>
      <c r="N93" s="37">
        <f t="shared" si="83"/>
        <v>6.375971942357064E-5</v>
      </c>
      <c r="O93" s="37">
        <f t="shared" si="70"/>
        <v>1.4582814758471414E-2</v>
      </c>
      <c r="P93" s="37">
        <f t="shared" si="71"/>
        <v>2.564102564102564E-2</v>
      </c>
      <c r="Q93" s="37">
        <f t="shared" si="72"/>
        <v>2.4388196660810879E-2</v>
      </c>
      <c r="R93" s="37">
        <f t="shared" si="73"/>
        <v>6.9540877810118727E-3</v>
      </c>
      <c r="S93" s="37">
        <f t="shared" si="74"/>
        <v>1.9190003518550852E-2</v>
      </c>
      <c r="T93" s="37">
        <f t="shared" si="75"/>
        <v>1.1834319526627219E-2</v>
      </c>
      <c r="U93" s="37">
        <f t="shared" si="76"/>
        <v>2.2744261602563584E-2</v>
      </c>
      <c r="V93" s="37">
        <f t="shared" si="77"/>
        <v>0</v>
      </c>
      <c r="W93" s="37">
        <f t="shared" ca="1" si="78"/>
        <v>2.5182142090140247E-2</v>
      </c>
      <c r="X93" s="37">
        <f t="shared" si="79"/>
        <v>2.564102564102564E-2</v>
      </c>
      <c r="Y93" s="37">
        <f t="shared" si="80"/>
        <v>2.564102564102564E-2</v>
      </c>
      <c r="Z93" s="37"/>
      <c r="AA93" s="37"/>
      <c r="AB93" s="37"/>
      <c r="AC93" s="641">
        <f t="shared" ca="1" si="84"/>
        <v>0.65818712871787832</v>
      </c>
      <c r="AD93" s="130">
        <f t="shared" ca="1" si="81"/>
        <v>20</v>
      </c>
    </row>
    <row r="94" spans="3:30" x14ac:dyDescent="0.3">
      <c r="C94" s="100" t="str">
        <f t="shared" si="62"/>
        <v>Shallow pit, flush, AD, lagoon, irrigation + tanker</v>
      </c>
      <c r="D94" s="67" t="str">
        <f t="shared" si="62"/>
        <v>TL</v>
      </c>
      <c r="E94" s="9" t="str">
        <f t="shared" si="63"/>
        <v>Sc-6a</v>
      </c>
      <c r="F94" s="631" t="str">
        <f t="shared" si="64"/>
        <v>Flush - Anaerobic Digestion</v>
      </c>
      <c r="G94" s="631"/>
      <c r="H94" s="37">
        <f t="shared" si="65"/>
        <v>3.3285463959248238E-2</v>
      </c>
      <c r="I94" s="37">
        <f t="shared" si="66"/>
        <v>2.6459718429709147E-2</v>
      </c>
      <c r="J94" s="37">
        <f t="shared" si="67"/>
        <v>2.564102564102564E-2</v>
      </c>
      <c r="K94" s="37">
        <f t="shared" si="68"/>
        <v>3.6985983806011539E-3</v>
      </c>
      <c r="L94" s="37">
        <f t="shared" si="82"/>
        <v>0</v>
      </c>
      <c r="M94" s="37">
        <f t="shared" si="69"/>
        <v>3.0856720455511751E-2</v>
      </c>
      <c r="N94" s="37">
        <f t="shared" si="83"/>
        <v>1.3579461446407032E-2</v>
      </c>
      <c r="O94" s="37">
        <f t="shared" si="70"/>
        <v>1.6021871353634608E-2</v>
      </c>
      <c r="P94" s="37">
        <f t="shared" si="71"/>
        <v>2.564102564102564E-2</v>
      </c>
      <c r="Q94" s="37">
        <f t="shared" si="72"/>
        <v>2.2982821935108984E-2</v>
      </c>
      <c r="R94" s="37">
        <f t="shared" si="73"/>
        <v>4.3737961514266075E-3</v>
      </c>
      <c r="S94" s="37">
        <f t="shared" si="74"/>
        <v>7.2788453448619818E-3</v>
      </c>
      <c r="T94" s="37">
        <f t="shared" si="75"/>
        <v>7.8895463510848113E-3</v>
      </c>
      <c r="U94" s="37">
        <f t="shared" si="76"/>
        <v>8.9892075526993992E-3</v>
      </c>
      <c r="V94" s="37">
        <f t="shared" si="77"/>
        <v>0</v>
      </c>
      <c r="W94" s="37">
        <f t="shared" ca="1" si="78"/>
        <v>2.4618825096002633E-2</v>
      </c>
      <c r="X94" s="37">
        <f t="shared" si="79"/>
        <v>2.564102564102564E-2</v>
      </c>
      <c r="Y94" s="37">
        <f t="shared" si="80"/>
        <v>2.564102564102564E-2</v>
      </c>
      <c r="Z94" s="37"/>
      <c r="AA94" s="37"/>
      <c r="AB94" s="37"/>
      <c r="AC94" s="641">
        <f t="shared" ca="1" si="84"/>
        <v>0.30259897902039889</v>
      </c>
      <c r="AD94" s="130">
        <f t="shared" ca="1" si="81"/>
        <v>26</v>
      </c>
    </row>
    <row r="95" spans="3:30" x14ac:dyDescent="0.3">
      <c r="C95" s="100" t="str">
        <f t="shared" si="62"/>
        <v>Shallow pit, flush, AD, lagoon, irrigation + drag hose</v>
      </c>
      <c r="D95" s="67" t="str">
        <f t="shared" si="62"/>
        <v>DHL</v>
      </c>
      <c r="E95" s="9" t="str">
        <f t="shared" si="63"/>
        <v>Sc-6b</v>
      </c>
      <c r="F95" s="631" t="str">
        <f t="shared" si="64"/>
        <v>Flush - Anaerobic Digestion</v>
      </c>
      <c r="G95" s="631"/>
      <c r="H95" s="37">
        <f t="shared" si="65"/>
        <v>0</v>
      </c>
      <c r="I95" s="37">
        <f t="shared" si="66"/>
        <v>0</v>
      </c>
      <c r="J95" s="37">
        <f t="shared" si="67"/>
        <v>2.564102564102564E-2</v>
      </c>
      <c r="K95" s="37">
        <f t="shared" si="68"/>
        <v>3.6985983806011539E-3</v>
      </c>
      <c r="L95" s="37">
        <f t="shared" si="82"/>
        <v>0</v>
      </c>
      <c r="M95" s="37">
        <f t="shared" si="69"/>
        <v>0</v>
      </c>
      <c r="N95" s="37">
        <f t="shared" si="83"/>
        <v>1.364377112909344E-2</v>
      </c>
      <c r="O95" s="37">
        <f t="shared" si="70"/>
        <v>1.6021871353634608E-2</v>
      </c>
      <c r="P95" s="37">
        <f t="shared" si="71"/>
        <v>2.564102564102564E-2</v>
      </c>
      <c r="Q95" s="37">
        <f t="shared" si="72"/>
        <v>2.2982821935108984E-2</v>
      </c>
      <c r="R95" s="37">
        <f t="shared" si="73"/>
        <v>4.3737961514266075E-3</v>
      </c>
      <c r="S95" s="37">
        <f t="shared" si="74"/>
        <v>7.2788453448619818E-3</v>
      </c>
      <c r="T95" s="37">
        <f t="shared" si="75"/>
        <v>9.3688362919132143E-3</v>
      </c>
      <c r="U95" s="37">
        <f t="shared" si="76"/>
        <v>9.5343827012625264E-3</v>
      </c>
      <c r="V95" s="37">
        <f t="shared" si="77"/>
        <v>0</v>
      </c>
      <c r="W95" s="37">
        <f t="shared" ca="1" si="78"/>
        <v>0</v>
      </c>
      <c r="X95" s="37">
        <f t="shared" si="79"/>
        <v>2.564102564102564E-2</v>
      </c>
      <c r="Y95" s="37">
        <f t="shared" si="80"/>
        <v>2.564102564102564E-2</v>
      </c>
      <c r="Z95" s="37"/>
      <c r="AA95" s="37"/>
      <c r="AB95" s="37"/>
      <c r="AC95" s="641">
        <f t="shared" ca="1" si="84"/>
        <v>0.18946702585200506</v>
      </c>
      <c r="AD95" s="130">
        <f t="shared" ca="1" si="81"/>
        <v>27</v>
      </c>
    </row>
    <row r="96" spans="3:30" x14ac:dyDescent="0.3">
      <c r="C96" s="100" t="str">
        <f t="shared" si="62"/>
        <v>Shallow pit, scrape auto, AD, lagoon, irrigation + tanker</v>
      </c>
      <c r="D96" s="67" t="str">
        <f t="shared" si="62"/>
        <v>TL</v>
      </c>
      <c r="E96" s="9" t="str">
        <f t="shared" si="63"/>
        <v>Sc-7a</v>
      </c>
      <c r="F96" s="631" t="str">
        <f t="shared" si="64"/>
        <v>Scrape - Anaerobic Digestion</v>
      </c>
      <c r="G96" s="631"/>
      <c r="H96" s="37">
        <f t="shared" si="65"/>
        <v>9.9899035829997457E-2</v>
      </c>
      <c r="I96" s="37">
        <f t="shared" si="66"/>
        <v>9.5454365628332316E-2</v>
      </c>
      <c r="J96" s="37">
        <f t="shared" si="67"/>
        <v>0</v>
      </c>
      <c r="K96" s="37">
        <f t="shared" si="68"/>
        <v>5.6319041538365963E-3</v>
      </c>
      <c r="L96" s="37">
        <f t="shared" si="82"/>
        <v>0</v>
      </c>
      <c r="M96" s="37">
        <f t="shared" si="69"/>
        <v>9.7861420637114102E-2</v>
      </c>
      <c r="N96" s="37">
        <f t="shared" si="83"/>
        <v>1.3689054021936828E-2</v>
      </c>
      <c r="O96" s="37">
        <f t="shared" si="70"/>
        <v>1.4783304793408268E-2</v>
      </c>
      <c r="P96" s="37">
        <f t="shared" si="71"/>
        <v>2.564102564102564E-2</v>
      </c>
      <c r="Q96" s="37">
        <f t="shared" si="72"/>
        <v>2.2982821935108984E-2</v>
      </c>
      <c r="R96" s="37">
        <f t="shared" si="73"/>
        <v>6.6768397177902842E-3</v>
      </c>
      <c r="S96" s="37">
        <f t="shared" si="74"/>
        <v>1.0522723665182955E-2</v>
      </c>
      <c r="T96" s="37">
        <f t="shared" si="75"/>
        <v>1.9723865877712015E-3</v>
      </c>
      <c r="U96" s="37">
        <f t="shared" si="76"/>
        <v>0</v>
      </c>
      <c r="V96" s="37">
        <f t="shared" si="77"/>
        <v>0</v>
      </c>
      <c r="W96" s="37">
        <f t="shared" ca="1" si="78"/>
        <v>2.4422282744603823E-2</v>
      </c>
      <c r="X96" s="37">
        <f t="shared" si="79"/>
        <v>2.564102564102564E-2</v>
      </c>
      <c r="Y96" s="37">
        <f t="shared" si="80"/>
        <v>2.564102564102564E-2</v>
      </c>
      <c r="Z96" s="37"/>
      <c r="AA96" s="37"/>
      <c r="AB96" s="37"/>
      <c r="AC96" s="641">
        <f t="shared" ca="1" si="84"/>
        <v>0.47081921663815984</v>
      </c>
      <c r="AD96" s="130">
        <f t="shared" ca="1" si="81"/>
        <v>22</v>
      </c>
    </row>
    <row r="97" spans="3:30" x14ac:dyDescent="0.3">
      <c r="C97" s="100" t="str">
        <f t="shared" si="62"/>
        <v>Shallow pit, scrape auto, AD, lagoon, irrigation + drag hose</v>
      </c>
      <c r="D97" s="67" t="str">
        <f t="shared" si="62"/>
        <v>DHL</v>
      </c>
      <c r="E97" s="9" t="str">
        <f t="shared" si="63"/>
        <v>Sc-7b</v>
      </c>
      <c r="F97" s="631" t="str">
        <f t="shared" si="64"/>
        <v>Scrape - Anaerobic Digestion</v>
      </c>
      <c r="G97" s="631"/>
      <c r="H97" s="37">
        <f t="shared" si="65"/>
        <v>6.8784909931823915E-2</v>
      </c>
      <c r="I97" s="37">
        <f t="shared" si="66"/>
        <v>7.4095641912802282E-2</v>
      </c>
      <c r="J97" s="37">
        <f t="shared" si="67"/>
        <v>0</v>
      </c>
      <c r="K97" s="37">
        <f t="shared" si="68"/>
        <v>5.6319041538365963E-3</v>
      </c>
      <c r="L97" s="37">
        <f t="shared" si="82"/>
        <v>0</v>
      </c>
      <c r="M97" s="37">
        <f t="shared" si="69"/>
        <v>7.0068316292532115E-2</v>
      </c>
      <c r="N97" s="37">
        <f t="shared" si="83"/>
        <v>1.3749579243097398E-2</v>
      </c>
      <c r="O97" s="37">
        <f t="shared" si="70"/>
        <v>1.4783304793408268E-2</v>
      </c>
      <c r="P97" s="37">
        <f t="shared" si="71"/>
        <v>2.564102564102564E-2</v>
      </c>
      <c r="Q97" s="37">
        <f t="shared" si="72"/>
        <v>2.2982821935108984E-2</v>
      </c>
      <c r="R97" s="37">
        <f t="shared" si="73"/>
        <v>6.6768397177902842E-3</v>
      </c>
      <c r="S97" s="37">
        <f t="shared" si="74"/>
        <v>1.0522723665182955E-2</v>
      </c>
      <c r="T97" s="37">
        <f t="shared" si="75"/>
        <v>3.4516765285996036E-3</v>
      </c>
      <c r="U97" s="37">
        <f t="shared" si="76"/>
        <v>5.3281035137917737E-4</v>
      </c>
      <c r="V97" s="37">
        <f t="shared" si="77"/>
        <v>0</v>
      </c>
      <c r="W97" s="37">
        <f t="shared" ca="1" si="78"/>
        <v>2.520465813331103E-2</v>
      </c>
      <c r="X97" s="37">
        <f t="shared" si="79"/>
        <v>2.564102564102564E-2</v>
      </c>
      <c r="Y97" s="37">
        <f t="shared" si="80"/>
        <v>2.564102564102564E-2</v>
      </c>
      <c r="Z97" s="37"/>
      <c r="AA97" s="37"/>
      <c r="AB97" s="37"/>
      <c r="AC97" s="641">
        <f t="shared" ca="1" si="84"/>
        <v>0.39340826358194964</v>
      </c>
      <c r="AD97" s="130">
        <f t="shared" ca="1" si="81"/>
        <v>24</v>
      </c>
    </row>
    <row r="98" spans="3:30" x14ac:dyDescent="0.3">
      <c r="C98" s="100" t="str">
        <f t="shared" si="62"/>
        <v>Shallow pit, pull plug, AD, lagoon, irrigation + tanker</v>
      </c>
      <c r="D98" s="67" t="str">
        <f t="shared" si="62"/>
        <v>TL</v>
      </c>
      <c r="E98" s="9" t="str">
        <f t="shared" si="63"/>
        <v>Sc-8a</v>
      </c>
      <c r="F98" s="631" t="str">
        <f t="shared" si="64"/>
        <v>Pull plug - Anaerobic Digestion</v>
      </c>
      <c r="G98" s="631"/>
      <c r="H98" s="37">
        <f t="shared" si="65"/>
        <v>8.8045883843683448E-2</v>
      </c>
      <c r="I98" s="37">
        <f t="shared" si="66"/>
        <v>8.3890640178390999E-2</v>
      </c>
      <c r="J98" s="37">
        <f t="shared" si="67"/>
        <v>2.0901958203825054E-3</v>
      </c>
      <c r="K98" s="37">
        <f t="shared" si="68"/>
        <v>4.7653847014102859E-3</v>
      </c>
      <c r="L98" s="37">
        <f t="shared" si="82"/>
        <v>0</v>
      </c>
      <c r="M98" s="37">
        <f t="shared" si="69"/>
        <v>8.6091065946843751E-2</v>
      </c>
      <c r="N98" s="37">
        <f t="shared" si="83"/>
        <v>1.3230914795793669E-2</v>
      </c>
      <c r="O98" s="37">
        <f t="shared" si="70"/>
        <v>1.5375838195085914E-2</v>
      </c>
      <c r="P98" s="37">
        <f t="shared" si="71"/>
        <v>2.564102564102564E-2</v>
      </c>
      <c r="Q98" s="37">
        <f t="shared" si="72"/>
        <v>2.2982821935108984E-2</v>
      </c>
      <c r="R98" s="37">
        <f t="shared" si="73"/>
        <v>5.5253179346084454E-3</v>
      </c>
      <c r="S98" s="37">
        <f t="shared" si="74"/>
        <v>8.0136826479860878E-3</v>
      </c>
      <c r="T98" s="37">
        <f t="shared" si="75"/>
        <v>4.9309664694280062E-3</v>
      </c>
      <c r="U98" s="37">
        <f t="shared" si="76"/>
        <v>8.716807323829727E-3</v>
      </c>
      <c r="V98" s="37">
        <f t="shared" si="77"/>
        <v>0</v>
      </c>
      <c r="W98" s="37">
        <f t="shared" ca="1" si="78"/>
        <v>2.452055392030323E-2</v>
      </c>
      <c r="X98" s="37">
        <f t="shared" si="79"/>
        <v>2.564102564102564E-2</v>
      </c>
      <c r="Y98" s="37">
        <f t="shared" si="80"/>
        <v>2.564102564102564E-2</v>
      </c>
      <c r="Z98" s="37"/>
      <c r="AA98" s="37"/>
      <c r="AB98" s="37"/>
      <c r="AC98" s="641">
        <f t="shared" ca="1" si="84"/>
        <v>0.44510315063593203</v>
      </c>
      <c r="AD98" s="130">
        <f t="shared" ca="1" si="81"/>
        <v>23</v>
      </c>
    </row>
    <row r="99" spans="3:30" x14ac:dyDescent="0.3">
      <c r="C99" s="100" t="str">
        <f t="shared" si="62"/>
        <v>Shallow pit, pull plug, AD, lagoon, irrigation + drag hose</v>
      </c>
      <c r="D99" s="67" t="str">
        <f t="shared" si="62"/>
        <v>DHL</v>
      </c>
      <c r="E99" s="9" t="str">
        <f t="shared" si="63"/>
        <v>Sc-8b</v>
      </c>
      <c r="F99" s="631" t="str">
        <f t="shared" si="64"/>
        <v>Pull plug - Anaerobic Digestion</v>
      </c>
      <c r="G99" s="631"/>
      <c r="H99" s="37">
        <f t="shared" si="65"/>
        <v>5.6944293553456635E-2</v>
      </c>
      <c r="I99" s="37">
        <f t="shared" si="66"/>
        <v>6.2600566463716104E-2</v>
      </c>
      <c r="J99" s="37">
        <f t="shared" si="67"/>
        <v>2.0901958203825054E-3</v>
      </c>
      <c r="K99" s="37">
        <f t="shared" si="68"/>
        <v>4.7653847014102859E-3</v>
      </c>
      <c r="L99" s="37">
        <f t="shared" si="82"/>
        <v>0</v>
      </c>
      <c r="M99" s="37">
        <f t="shared" si="69"/>
        <v>5.8327852908244472E-2</v>
      </c>
      <c r="N99" s="37">
        <f t="shared" si="83"/>
        <v>1.3295224478480076E-2</v>
      </c>
      <c r="O99" s="37">
        <f t="shared" si="70"/>
        <v>1.5375838195085914E-2</v>
      </c>
      <c r="P99" s="37">
        <f t="shared" si="71"/>
        <v>2.564102564102564E-2</v>
      </c>
      <c r="Q99" s="37">
        <f t="shared" si="72"/>
        <v>2.2982821935108984E-2</v>
      </c>
      <c r="R99" s="37">
        <f t="shared" si="73"/>
        <v>5.5253179346084454E-3</v>
      </c>
      <c r="S99" s="37">
        <f t="shared" si="74"/>
        <v>8.0136826479860878E-3</v>
      </c>
      <c r="T99" s="37">
        <f t="shared" si="75"/>
        <v>6.4102564102564083E-3</v>
      </c>
      <c r="U99" s="37">
        <f t="shared" si="76"/>
        <v>9.2616077815690263E-3</v>
      </c>
      <c r="V99" s="37">
        <f t="shared" si="77"/>
        <v>0</v>
      </c>
      <c r="W99" s="37">
        <f t="shared" ca="1" si="78"/>
        <v>2.530292930901043E-2</v>
      </c>
      <c r="X99" s="37">
        <f t="shared" si="79"/>
        <v>2.564102564102564E-2</v>
      </c>
      <c r="Y99" s="37">
        <f t="shared" si="80"/>
        <v>2.564102564102564E-2</v>
      </c>
      <c r="Z99" s="37"/>
      <c r="AA99" s="37"/>
      <c r="AB99" s="37"/>
      <c r="AC99" s="641">
        <f t="shared" ca="1" si="84"/>
        <v>0.36781904906239227</v>
      </c>
      <c r="AD99" s="130">
        <f t="shared" ca="1" si="81"/>
        <v>25</v>
      </c>
    </row>
    <row r="100" spans="3:30" x14ac:dyDescent="0.3">
      <c r="C100" s="100" t="str">
        <f t="shared" si="62"/>
        <v>Shallow pit, flush, covered digestion basin, lagoon, irrigation + tanker</v>
      </c>
      <c r="D100" s="67" t="str">
        <f t="shared" si="62"/>
        <v>TL</v>
      </c>
      <c r="E100" s="9" t="str">
        <f t="shared" si="63"/>
        <v>Sc-9a</v>
      </c>
      <c r="F100" s="631" t="str">
        <f t="shared" si="64"/>
        <v xml:space="preserve">Flush - Covered Lagoon </v>
      </c>
      <c r="G100" s="631"/>
      <c r="H100" s="37">
        <f t="shared" si="65"/>
        <v>0.17964906226538549</v>
      </c>
      <c r="I100" s="37">
        <f t="shared" si="66"/>
        <v>0.19161292853892498</v>
      </c>
      <c r="J100" s="37">
        <f t="shared" si="67"/>
        <v>2.564102564102564E-2</v>
      </c>
      <c r="K100" s="37">
        <f t="shared" si="68"/>
        <v>3.1240468000602309E-3</v>
      </c>
      <c r="L100" s="37">
        <f t="shared" si="82"/>
        <v>0</v>
      </c>
      <c r="M100" s="37">
        <f t="shared" si="69"/>
        <v>0.18165814748333836</v>
      </c>
      <c r="N100" s="37">
        <f t="shared" si="83"/>
        <v>1.1803482798468134E-2</v>
      </c>
      <c r="O100" s="37">
        <f t="shared" si="70"/>
        <v>3.9292647910443681E-3</v>
      </c>
      <c r="P100" s="37">
        <f t="shared" si="71"/>
        <v>2.564102564102564E-2</v>
      </c>
      <c r="Q100" s="37">
        <f t="shared" si="72"/>
        <v>2.2715121260036761E-2</v>
      </c>
      <c r="R100" s="37">
        <f t="shared" si="73"/>
        <v>3.7512976344819173E-3</v>
      </c>
      <c r="S100" s="37">
        <f t="shared" si="74"/>
        <v>6.6721300020268553E-3</v>
      </c>
      <c r="T100" s="37">
        <f t="shared" si="75"/>
        <v>7.8895463510848113E-3</v>
      </c>
      <c r="U100" s="37">
        <f t="shared" si="76"/>
        <v>1.3199643101623507E-2</v>
      </c>
      <c r="V100" s="37">
        <f t="shared" si="77"/>
        <v>0</v>
      </c>
      <c r="W100" s="37">
        <f t="shared" ca="1" si="78"/>
        <v>2.466156046273469E-2</v>
      </c>
      <c r="X100" s="37">
        <f t="shared" si="79"/>
        <v>2.564102564102564E-2</v>
      </c>
      <c r="Y100" s="37">
        <f t="shared" si="80"/>
        <v>2.564102564102564E-2</v>
      </c>
      <c r="Z100" s="37"/>
      <c r="AA100" s="37"/>
      <c r="AB100" s="37"/>
      <c r="AC100" s="641">
        <f t="shared" ca="1" si="84"/>
        <v>0.75323033405331263</v>
      </c>
      <c r="AD100" s="130">
        <f t="shared" ca="1" si="81"/>
        <v>9</v>
      </c>
    </row>
    <row r="101" spans="3:30" x14ac:dyDescent="0.3">
      <c r="C101" s="100" t="str">
        <f t="shared" si="62"/>
        <v>Shallow pit, flush, covered digestion basin, lagoon, irrigation + drag hose</v>
      </c>
      <c r="D101" s="67" t="str">
        <f t="shared" si="62"/>
        <v>DHL</v>
      </c>
      <c r="E101" s="9" t="str">
        <f t="shared" si="63"/>
        <v>Sc-9b</v>
      </c>
      <c r="F101" s="631" t="str">
        <f t="shared" si="64"/>
        <v xml:space="preserve">Flush - Covered Lagoon </v>
      </c>
      <c r="G101" s="631"/>
      <c r="H101" s="37">
        <f t="shared" si="65"/>
        <v>0.14852619043909501</v>
      </c>
      <c r="I101" s="37">
        <f t="shared" si="66"/>
        <v>0.17021324586369097</v>
      </c>
      <c r="J101" s="37">
        <f t="shared" si="67"/>
        <v>2.564102564102564E-2</v>
      </c>
      <c r="K101" s="37">
        <f t="shared" si="68"/>
        <v>3.1240468000602309E-3</v>
      </c>
      <c r="L101" s="37">
        <f t="shared" si="82"/>
        <v>0</v>
      </c>
      <c r="M101" s="37">
        <f t="shared" si="69"/>
        <v>0.15384634813699175</v>
      </c>
      <c r="N101" s="37">
        <f t="shared" si="83"/>
        <v>1.1862580045033181E-2</v>
      </c>
      <c r="O101" s="37">
        <f t="shared" si="70"/>
        <v>3.9292647910443681E-3</v>
      </c>
      <c r="P101" s="37">
        <f t="shared" si="71"/>
        <v>2.564102564102564E-2</v>
      </c>
      <c r="Q101" s="37">
        <f t="shared" si="72"/>
        <v>2.2715121260036761E-2</v>
      </c>
      <c r="R101" s="37">
        <f t="shared" si="73"/>
        <v>3.7512976344819173E-3</v>
      </c>
      <c r="S101" s="37">
        <f t="shared" si="74"/>
        <v>6.6721300020268553E-3</v>
      </c>
      <c r="T101" s="37">
        <f t="shared" si="75"/>
        <v>9.3688362919132143E-3</v>
      </c>
      <c r="U101" s="37">
        <f t="shared" si="76"/>
        <v>1.3750609770886593E-2</v>
      </c>
      <c r="V101" s="37">
        <f t="shared" si="77"/>
        <v>0</v>
      </c>
      <c r="W101" s="37">
        <f t="shared" ca="1" si="78"/>
        <v>2.5441068642593039E-2</v>
      </c>
      <c r="X101" s="37">
        <f t="shared" si="79"/>
        <v>2.564102564102564E-2</v>
      </c>
      <c r="Y101" s="37">
        <f t="shared" si="80"/>
        <v>2.564102564102564E-2</v>
      </c>
      <c r="Z101" s="37"/>
      <c r="AA101" s="37"/>
      <c r="AB101" s="37"/>
      <c r="AC101" s="641">
        <f t="shared" ca="1" si="84"/>
        <v>0.67576484224195643</v>
      </c>
      <c r="AD101" s="130">
        <f t="shared" ca="1" si="81"/>
        <v>18</v>
      </c>
    </row>
    <row r="102" spans="3:30" ht="14.85" customHeight="1" x14ac:dyDescent="0.3">
      <c r="C102" s="100" t="str">
        <f t="shared" si="62"/>
        <v>Shallow pit, scrape auto, covered digestion basin, lagoon, irrigation + tanker</v>
      </c>
      <c r="D102" s="67" t="str">
        <f t="shared" si="62"/>
        <v>TL</v>
      </c>
      <c r="E102" s="9" t="str">
        <f t="shared" si="63"/>
        <v>Sc-10a</v>
      </c>
      <c r="F102" s="631" t="str">
        <f t="shared" si="64"/>
        <v xml:space="preserve">Scrape - Covered Lagoon </v>
      </c>
      <c r="G102" s="631"/>
      <c r="H102" s="37">
        <f t="shared" si="65"/>
        <v>0.17869006848895089</v>
      </c>
      <c r="I102" s="37">
        <f t="shared" si="66"/>
        <v>0.18935830939002923</v>
      </c>
      <c r="J102" s="37">
        <f t="shared" si="67"/>
        <v>0</v>
      </c>
      <c r="K102" s="37">
        <f t="shared" si="68"/>
        <v>5.2483355703971044E-3</v>
      </c>
      <c r="L102" s="37">
        <f t="shared" si="82"/>
        <v>0</v>
      </c>
      <c r="M102" s="37">
        <f t="shared" si="69"/>
        <v>0.18058757579380125</v>
      </c>
      <c r="N102" s="37">
        <f t="shared" si="83"/>
        <v>1.182881058576743E-2</v>
      </c>
      <c r="O102" s="37">
        <f t="shared" si="70"/>
        <v>1.4912276431480411E-2</v>
      </c>
      <c r="P102" s="37">
        <f t="shared" si="71"/>
        <v>2.564102564102564E-2</v>
      </c>
      <c r="Q102" s="37">
        <f t="shared" si="72"/>
        <v>2.2715121260036761E-2</v>
      </c>
      <c r="R102" s="37">
        <f t="shared" si="73"/>
        <v>5.9653319071658259E-3</v>
      </c>
      <c r="S102" s="37">
        <f t="shared" si="74"/>
        <v>9.2813688632901164E-3</v>
      </c>
      <c r="T102" s="37">
        <f t="shared" si="75"/>
        <v>1.9723865877712015E-3</v>
      </c>
      <c r="U102" s="37">
        <f t="shared" si="76"/>
        <v>4.1149411344123931E-3</v>
      </c>
      <c r="V102" s="37">
        <f t="shared" si="77"/>
        <v>0</v>
      </c>
      <c r="W102" s="37">
        <f t="shared" ca="1" si="78"/>
        <v>2.4470628755430653E-2</v>
      </c>
      <c r="X102" s="37">
        <f t="shared" si="79"/>
        <v>2.564102564102564E-2</v>
      </c>
      <c r="Y102" s="37">
        <f t="shared" si="80"/>
        <v>2.564102564102564E-2</v>
      </c>
      <c r="Z102" s="37"/>
      <c r="AA102" s="37"/>
      <c r="AB102" s="37"/>
      <c r="AC102" s="641">
        <f t="shared" ca="1" si="84"/>
        <v>0.72606823169161028</v>
      </c>
      <c r="AD102" s="130">
        <f t="shared" ca="1" si="81"/>
        <v>12</v>
      </c>
    </row>
    <row r="103" spans="3:30" x14ac:dyDescent="0.3">
      <c r="C103" s="100" t="str">
        <f t="shared" si="62"/>
        <v>Shallow pit, scrape auto, covered digestion basin, lagoon, irrigation + drag hose</v>
      </c>
      <c r="D103" s="67" t="str">
        <f t="shared" si="62"/>
        <v>DHL</v>
      </c>
      <c r="E103" s="9" t="str">
        <f t="shared" si="63"/>
        <v>Sc-10b</v>
      </c>
      <c r="F103" s="631" t="str">
        <f t="shared" si="64"/>
        <v xml:space="preserve">Scrape - Covered Lagoon </v>
      </c>
      <c r="G103" s="631"/>
      <c r="H103" s="37">
        <f t="shared" si="65"/>
        <v>0.14755857594125024</v>
      </c>
      <c r="I103" s="37">
        <f t="shared" si="66"/>
        <v>0.16790076319171438</v>
      </c>
      <c r="J103" s="37">
        <f t="shared" si="67"/>
        <v>0</v>
      </c>
      <c r="K103" s="37">
        <f t="shared" si="68"/>
        <v>5.2483355703971044E-3</v>
      </c>
      <c r="L103" s="37">
        <f t="shared" si="82"/>
        <v>0</v>
      </c>
      <c r="M103" s="37">
        <f t="shared" si="69"/>
        <v>0.15275190363918414</v>
      </c>
      <c r="N103" s="37">
        <f t="shared" si="83"/>
        <v>1.1883443478734119E-2</v>
      </c>
      <c r="O103" s="37">
        <f t="shared" si="70"/>
        <v>1.4912276431480411E-2</v>
      </c>
      <c r="P103" s="37">
        <f t="shared" si="71"/>
        <v>2.564102564102564E-2</v>
      </c>
      <c r="Q103" s="37">
        <f t="shared" si="72"/>
        <v>2.2715121260036761E-2</v>
      </c>
      <c r="R103" s="37">
        <f t="shared" si="73"/>
        <v>5.9653319071658259E-3</v>
      </c>
      <c r="S103" s="37">
        <f t="shared" si="74"/>
        <v>9.2813688632901164E-3</v>
      </c>
      <c r="T103" s="37">
        <f t="shared" si="75"/>
        <v>3.4516765285996036E-3</v>
      </c>
      <c r="U103" s="37">
        <f t="shared" si="76"/>
        <v>4.6534116524138821E-3</v>
      </c>
      <c r="V103" s="37">
        <f t="shared" si="77"/>
        <v>0</v>
      </c>
      <c r="W103" s="37">
        <f t="shared" ca="1" si="78"/>
        <v>2.5250136935289002E-2</v>
      </c>
      <c r="X103" s="37">
        <f t="shared" si="79"/>
        <v>2.564102564102564E-2</v>
      </c>
      <c r="Y103" s="37">
        <f t="shared" si="80"/>
        <v>2.564102564102564E-2</v>
      </c>
      <c r="Z103" s="37"/>
      <c r="AA103" s="37"/>
      <c r="AB103" s="37"/>
      <c r="AC103" s="641">
        <f t="shared" ca="1" si="84"/>
        <v>0.64849542232263258</v>
      </c>
      <c r="AD103" s="130">
        <f t="shared" ca="1" si="81"/>
        <v>21</v>
      </c>
    </row>
    <row r="104" spans="3:30" x14ac:dyDescent="0.3">
      <c r="C104" s="100" t="str">
        <f t="shared" si="62"/>
        <v>Shallow pit, pull plug, covered digestion basin, lagoon, irrigation + tanker</v>
      </c>
      <c r="D104" s="67" t="str">
        <f t="shared" si="62"/>
        <v>TL</v>
      </c>
      <c r="E104" s="9" t="str">
        <f t="shared" si="63"/>
        <v>Sc-11a</v>
      </c>
      <c r="F104" s="631" t="str">
        <f t="shared" si="64"/>
        <v xml:space="preserve">Pull plug - Covered Lagoon </v>
      </c>
      <c r="G104" s="631"/>
      <c r="H104" s="37">
        <f t="shared" si="65"/>
        <v>0.18031522461732818</v>
      </c>
      <c r="I104" s="37">
        <f t="shared" si="66"/>
        <v>0.19200487528916255</v>
      </c>
      <c r="J104" s="37">
        <f t="shared" si="67"/>
        <v>2.0901958203825054E-3</v>
      </c>
      <c r="K104" s="37">
        <f t="shared" si="68"/>
        <v>4.2544274507062049E-3</v>
      </c>
      <c r="L104" s="37">
        <f t="shared" si="82"/>
        <v>0</v>
      </c>
      <c r="M104" s="37">
        <f t="shared" si="69"/>
        <v>0.18238347178496156</v>
      </c>
      <c r="N104" s="37">
        <f t="shared" si="83"/>
        <v>1.141405921788043E-2</v>
      </c>
      <c r="O104" s="37">
        <f t="shared" si="70"/>
        <v>1.5614521519261144E-2</v>
      </c>
      <c r="P104" s="37">
        <f t="shared" si="71"/>
        <v>2.564102564102564E-2</v>
      </c>
      <c r="Q104" s="37">
        <f t="shared" si="72"/>
        <v>2.2715121260036761E-2</v>
      </c>
      <c r="R104" s="37">
        <f t="shared" si="73"/>
        <v>4.858314770823869E-3</v>
      </c>
      <c r="S104" s="37">
        <f t="shared" si="74"/>
        <v>7.5842845628873671E-3</v>
      </c>
      <c r="T104" s="37">
        <f t="shared" si="75"/>
        <v>4.9309664694280062E-3</v>
      </c>
      <c r="U104" s="37">
        <f t="shared" si="76"/>
        <v>1.2924349102617132E-2</v>
      </c>
      <c r="V104" s="37">
        <f t="shared" si="77"/>
        <v>0</v>
      </c>
      <c r="W104" s="37">
        <f t="shared" ca="1" si="78"/>
        <v>2.456609460908267E-2</v>
      </c>
      <c r="X104" s="37">
        <f t="shared" si="79"/>
        <v>2.564102564102564E-2</v>
      </c>
      <c r="Y104" s="37">
        <f t="shared" si="80"/>
        <v>2.564102564102564E-2</v>
      </c>
      <c r="Z104" s="37"/>
      <c r="AA104" s="37"/>
      <c r="AB104" s="37"/>
      <c r="AC104" s="641">
        <f t="shared" ca="1" si="84"/>
        <v>0.74257898339763528</v>
      </c>
      <c r="AD104" s="130">
        <f t="shared" ca="1" si="81"/>
        <v>10</v>
      </c>
    </row>
    <row r="105" spans="3:30" x14ac:dyDescent="0.3">
      <c r="C105" s="100" t="str">
        <f t="shared" si="62"/>
        <v>Shallow pit, pull plug, covered digestion basin, lagoon, irrigation + drag hose</v>
      </c>
      <c r="D105" s="67" t="str">
        <f t="shared" si="62"/>
        <v>DHL</v>
      </c>
      <c r="E105" s="9" t="str">
        <f t="shared" si="63"/>
        <v>Sc-11b</v>
      </c>
      <c r="F105" s="631" t="str">
        <f t="shared" si="64"/>
        <v xml:space="preserve">Pull plug - Covered Lagoon </v>
      </c>
      <c r="G105" s="631"/>
      <c r="H105" s="37">
        <f t="shared" si="65"/>
        <v>0.1491902161922482</v>
      </c>
      <c r="I105" s="37">
        <f t="shared" si="66"/>
        <v>0.17058660783679158</v>
      </c>
      <c r="J105" s="37">
        <f t="shared" si="67"/>
        <v>2.0901958203825054E-3</v>
      </c>
      <c r="K105" s="37">
        <f t="shared" si="68"/>
        <v>4.2544274507062049E-3</v>
      </c>
      <c r="L105" s="37">
        <f t="shared" si="82"/>
        <v>0</v>
      </c>
      <c r="M105" s="37">
        <f t="shared" si="69"/>
        <v>0.15456443452938554</v>
      </c>
      <c r="N105" s="37">
        <f t="shared" si="83"/>
        <v>1.147130835811176E-2</v>
      </c>
      <c r="O105" s="37">
        <f t="shared" si="70"/>
        <v>1.5614521519261144E-2</v>
      </c>
      <c r="P105" s="37">
        <f t="shared" si="71"/>
        <v>2.564102564102564E-2</v>
      </c>
      <c r="Q105" s="37">
        <f t="shared" si="72"/>
        <v>2.2715121260036761E-2</v>
      </c>
      <c r="R105" s="37">
        <f t="shared" si="73"/>
        <v>4.858314770823869E-3</v>
      </c>
      <c r="S105" s="37">
        <f t="shared" si="74"/>
        <v>7.5842845628873671E-3</v>
      </c>
      <c r="T105" s="37">
        <f t="shared" si="75"/>
        <v>6.4102564102564083E-3</v>
      </c>
      <c r="U105" s="37">
        <f t="shared" si="76"/>
        <v>1.347493710062988E-2</v>
      </c>
      <c r="V105" s="37">
        <f t="shared" si="77"/>
        <v>0</v>
      </c>
      <c r="W105" s="37">
        <f t="shared" ca="1" si="78"/>
        <v>2.5345602788941018E-2</v>
      </c>
      <c r="X105" s="37">
        <f t="shared" si="79"/>
        <v>2.564102564102564E-2</v>
      </c>
      <c r="Y105" s="37">
        <f t="shared" si="80"/>
        <v>2.564102564102564E-2</v>
      </c>
      <c r="Z105" s="37"/>
      <c r="AA105" s="37"/>
      <c r="AB105" s="37"/>
      <c r="AC105" s="641">
        <f t="shared" ca="1" si="84"/>
        <v>0.66508330552353923</v>
      </c>
      <c r="AD105" s="130">
        <f t="shared" ca="1" si="81"/>
        <v>19</v>
      </c>
    </row>
    <row r="106" spans="3:30" x14ac:dyDescent="0.3">
      <c r="C106" s="100" t="str">
        <f t="shared" si="62"/>
        <v>Shallow pit, scrape auto, above ground storage tank, tanker</v>
      </c>
      <c r="D106" s="67" t="str">
        <f t="shared" si="62"/>
        <v>TL</v>
      </c>
      <c r="E106" s="9" t="s">
        <v>4959</v>
      </c>
      <c r="F106" s="631" t="str">
        <f t="shared" si="64"/>
        <v>SS - Storage</v>
      </c>
      <c r="G106" s="631"/>
      <c r="H106" s="37">
        <f t="shared" si="65"/>
        <v>0.19881869818367889</v>
      </c>
      <c r="I106" s="37">
        <f t="shared" si="66"/>
        <v>0.18365777024510624</v>
      </c>
      <c r="J106" s="37">
        <f t="shared" si="67"/>
        <v>0</v>
      </c>
      <c r="K106" s="37">
        <f t="shared" si="68"/>
        <v>2.2991224163036929E-2</v>
      </c>
      <c r="L106" s="37">
        <f t="shared" si="82"/>
        <v>0</v>
      </c>
      <c r="M106" s="37">
        <f t="shared" si="69"/>
        <v>0.19485522573612551</v>
      </c>
      <c r="N106" s="37">
        <f t="shared" si="83"/>
        <v>1.7714680250051965E-2</v>
      </c>
      <c r="O106" s="37">
        <f t="shared" si="70"/>
        <v>2.0103597732667494E-3</v>
      </c>
      <c r="P106" s="37">
        <f t="shared" si="71"/>
        <v>2.564102564102564E-2</v>
      </c>
      <c r="Q106" s="37">
        <f t="shared" si="72"/>
        <v>0</v>
      </c>
      <c r="R106" s="37">
        <f t="shared" si="73"/>
        <v>1.2829775310723077E-2</v>
      </c>
      <c r="S106" s="37">
        <f t="shared" si="74"/>
        <v>2.3391705789841847E-2</v>
      </c>
      <c r="T106" s="37">
        <f t="shared" si="75"/>
        <v>3.944773175542403E-3</v>
      </c>
      <c r="U106" s="37">
        <f t="shared" si="76"/>
        <v>1.3167811630119557E-2</v>
      </c>
      <c r="V106" s="37">
        <f t="shared" si="77"/>
        <v>1.7094017094017092E-2</v>
      </c>
      <c r="W106" s="37">
        <f t="shared" ca="1" si="78"/>
        <v>1.4488951038294281E-2</v>
      </c>
      <c r="X106" s="37">
        <f t="shared" si="79"/>
        <v>2.564102564102564E-2</v>
      </c>
      <c r="Y106" s="37">
        <f t="shared" si="80"/>
        <v>2.564102564102564E-2</v>
      </c>
      <c r="Z106" s="37"/>
      <c r="AA106" s="37"/>
      <c r="AB106" s="37"/>
      <c r="AC106" s="641">
        <f t="shared" ca="1" si="84"/>
        <v>0.78188806931288168</v>
      </c>
      <c r="AD106" s="130">
        <f t="shared" ca="1" si="81"/>
        <v>7</v>
      </c>
    </row>
    <row r="107" spans="3:30" x14ac:dyDescent="0.3">
      <c r="C107" s="100" t="str">
        <f t="shared" si="62"/>
        <v>Shallow pit, scrape auto, above ground storage tank, drag hose</v>
      </c>
      <c r="D107" s="67" t="str">
        <f t="shared" si="62"/>
        <v>DHL</v>
      </c>
      <c r="E107" s="9" t="s">
        <v>4961</v>
      </c>
      <c r="F107" s="631" t="str">
        <f t="shared" si="64"/>
        <v>SS - Storage</v>
      </c>
      <c r="G107" s="631"/>
      <c r="H107" s="37">
        <f t="shared" si="65"/>
        <v>0.1691425617381874</v>
      </c>
      <c r="I107" s="37">
        <f t="shared" si="66"/>
        <v>0.16955048067361356</v>
      </c>
      <c r="J107" s="37">
        <f t="shared" si="67"/>
        <v>0</v>
      </c>
      <c r="K107" s="37">
        <f t="shared" si="68"/>
        <v>2.2991224163036929E-2</v>
      </c>
      <c r="L107" s="37">
        <f t="shared" si="82"/>
        <v>0</v>
      </c>
      <c r="M107" s="37">
        <f t="shared" si="69"/>
        <v>0.17029688822590527</v>
      </c>
      <c r="N107" s="37">
        <f t="shared" si="83"/>
        <v>1.8100350998014953E-2</v>
      </c>
      <c r="O107" s="37">
        <f t="shared" si="70"/>
        <v>2.0103597732667494E-3</v>
      </c>
      <c r="P107" s="37">
        <f t="shared" si="71"/>
        <v>2.564102564102564E-2</v>
      </c>
      <c r="Q107" s="37">
        <f t="shared" si="72"/>
        <v>0</v>
      </c>
      <c r="R107" s="37">
        <f t="shared" si="73"/>
        <v>1.2829775310723077E-2</v>
      </c>
      <c r="S107" s="37">
        <f t="shared" si="74"/>
        <v>2.3391705789841847E-2</v>
      </c>
      <c r="T107" s="37">
        <f t="shared" si="75"/>
        <v>5.9171597633136093E-3</v>
      </c>
      <c r="U107" s="37">
        <f t="shared" si="76"/>
        <v>1.3718734514690124E-2</v>
      </c>
      <c r="V107" s="37">
        <f t="shared" si="77"/>
        <v>1.7094017094017092E-2</v>
      </c>
      <c r="W107" s="37">
        <f t="shared" ca="1" si="78"/>
        <v>2.405057061536852E-2</v>
      </c>
      <c r="X107" s="37">
        <f t="shared" si="79"/>
        <v>2.564102564102564E-2</v>
      </c>
      <c r="Y107" s="37">
        <f t="shared" si="80"/>
        <v>2.564102564102564E-2</v>
      </c>
      <c r="Z107" s="37"/>
      <c r="AA107" s="37"/>
      <c r="AB107" s="37"/>
      <c r="AC107" s="641">
        <f t="shared" ca="1" si="84"/>
        <v>0.7260169055830562</v>
      </c>
      <c r="AD107" s="130">
        <f t="shared" ca="1" si="81"/>
        <v>13</v>
      </c>
    </row>
    <row r="108" spans="3:30" x14ac:dyDescent="0.3">
      <c r="C108" s="100" t="str">
        <f t="shared" si="62"/>
        <v>Shallow pit, scrape auto, compost, tanker</v>
      </c>
      <c r="D108" s="67" t="str">
        <f t="shared" si="62"/>
        <v>TL</v>
      </c>
      <c r="E108" s="9" t="s">
        <v>4962</v>
      </c>
      <c r="F108" s="631" t="str">
        <f t="shared" si="64"/>
        <v>SS - Compost</v>
      </c>
      <c r="G108" s="631"/>
      <c r="H108" s="37">
        <f t="shared" si="65"/>
        <v>0.18711319446425817</v>
      </c>
      <c r="I108" s="37">
        <f t="shared" si="66"/>
        <v>0.16571537550789062</v>
      </c>
      <c r="J108" s="37">
        <f t="shared" si="67"/>
        <v>0</v>
      </c>
      <c r="K108" s="37">
        <f t="shared" si="68"/>
        <v>0</v>
      </c>
      <c r="L108" s="37">
        <f t="shared" si="82"/>
        <v>0</v>
      </c>
      <c r="M108" s="37">
        <f t="shared" si="69"/>
        <v>0.17825145405597173</v>
      </c>
      <c r="N108" s="37">
        <f t="shared" si="83"/>
        <v>2.564102564102564E-2</v>
      </c>
      <c r="O108" s="37">
        <f t="shared" si="70"/>
        <v>1.8233668749954319E-2</v>
      </c>
      <c r="P108" s="37">
        <f t="shared" si="71"/>
        <v>2.564102564102564E-2</v>
      </c>
      <c r="Q108" s="37">
        <f t="shared" si="72"/>
        <v>2.564102564102564E-2</v>
      </c>
      <c r="R108" s="37">
        <f t="shared" si="73"/>
        <v>0</v>
      </c>
      <c r="S108" s="37">
        <f t="shared" si="74"/>
        <v>0</v>
      </c>
      <c r="T108" s="37">
        <f t="shared" si="75"/>
        <v>0</v>
      </c>
      <c r="U108" s="37">
        <f t="shared" si="76"/>
        <v>5.5414666478133499E-3</v>
      </c>
      <c r="V108" s="37">
        <f t="shared" si="77"/>
        <v>1.7094017094017092E-2</v>
      </c>
      <c r="W108" s="37">
        <f t="shared" ca="1" si="78"/>
        <v>1.1919925766086099E-2</v>
      </c>
      <c r="X108" s="37">
        <f t="shared" si="79"/>
        <v>2.564102564102564E-2</v>
      </c>
      <c r="Y108" s="37">
        <f t="shared" si="80"/>
        <v>2.564102564102564E-2</v>
      </c>
      <c r="Z108" s="37"/>
      <c r="AA108" s="37"/>
      <c r="AB108" s="37"/>
      <c r="AC108" s="641">
        <f t="shared" ca="1" si="84"/>
        <v>0.71207423049111973</v>
      </c>
      <c r="AD108" s="130">
        <f t="shared" ca="1" si="81"/>
        <v>15</v>
      </c>
    </row>
    <row r="109" spans="3:30" x14ac:dyDescent="0.3">
      <c r="C109" s="100" t="str">
        <f t="shared" ref="C109:D109" si="85">C32</f>
        <v>Shallow pit, scrape auto, slope screen, lagoon, irrigation + tanker</v>
      </c>
      <c r="D109" s="67" t="str">
        <f t="shared" si="85"/>
        <v>TL</v>
      </c>
      <c r="E109" s="9" t="s">
        <v>4964</v>
      </c>
      <c r="F109" s="631" t="str">
        <f t="shared" ref="F109:F110" si="86">F32</f>
        <v>Scrape - ISS - Lagoon</v>
      </c>
      <c r="G109" s="631"/>
      <c r="H109" s="37">
        <f t="shared" si="65"/>
        <v>0.19264862901145216</v>
      </c>
      <c r="I109" s="37">
        <f t="shared" si="66"/>
        <v>0.19014471678880879</v>
      </c>
      <c r="J109" s="37">
        <f t="shared" si="67"/>
        <v>0</v>
      </c>
      <c r="K109" s="37">
        <f t="shared" si="68"/>
        <v>8.1459997408800285E-3</v>
      </c>
      <c r="L109" s="37">
        <f t="shared" si="82"/>
        <v>2.564102564102564E-2</v>
      </c>
      <c r="M109" s="37">
        <f t="shared" si="69"/>
        <v>0.19071077312775128</v>
      </c>
      <c r="N109" s="37">
        <f t="shared" si="83"/>
        <v>5.6346250347102675E-3</v>
      </c>
      <c r="O109" s="37">
        <f t="shared" si="70"/>
        <v>2.564102564102564E-2</v>
      </c>
      <c r="P109" s="37">
        <f t="shared" si="71"/>
        <v>2.564102564102564E-2</v>
      </c>
      <c r="Q109" s="37">
        <f t="shared" si="72"/>
        <v>1.4650016326361651E-3</v>
      </c>
      <c r="R109" s="37">
        <f t="shared" si="73"/>
        <v>8.4900376112770001E-3</v>
      </c>
      <c r="S109" s="37">
        <f t="shared" si="74"/>
        <v>1.1773390964254235E-2</v>
      </c>
      <c r="T109" s="37">
        <f t="shared" si="75"/>
        <v>4.9309664694279897E-4</v>
      </c>
      <c r="U109" s="37">
        <f t="shared" si="76"/>
        <v>0</v>
      </c>
      <c r="V109" s="37">
        <f t="shared" si="77"/>
        <v>0</v>
      </c>
      <c r="W109" s="37">
        <f t="shared" ca="1" si="78"/>
        <v>2.3171930175782309E-2</v>
      </c>
      <c r="X109" s="37">
        <f t="shared" si="79"/>
        <v>2.564102564102564E-2</v>
      </c>
      <c r="Y109" s="37">
        <f t="shared" si="80"/>
        <v>2.564102564102564E-2</v>
      </c>
      <c r="Z109" s="37"/>
      <c r="AA109" s="37"/>
      <c r="AB109" s="37"/>
      <c r="AC109" s="641">
        <f t="shared" ca="1" si="84"/>
        <v>0.76088332893962329</v>
      </c>
      <c r="AD109" s="130">
        <f t="shared" ca="1" si="81"/>
        <v>8</v>
      </c>
    </row>
    <row r="110" spans="3:30" x14ac:dyDescent="0.3">
      <c r="C110" s="100" t="str">
        <f>C33</f>
        <v>Shallow pit, scrape auto, slope screen, lagoon, irrigation + drag hose</v>
      </c>
      <c r="D110" s="67" t="str">
        <f t="shared" ref="D110" si="87">D33</f>
        <v>DHL</v>
      </c>
      <c r="E110" t="s">
        <v>4966</v>
      </c>
      <c r="F110" s="631" t="str">
        <f t="shared" si="86"/>
        <v>Scrape - ISS - Lagoon</v>
      </c>
      <c r="G110" s="631"/>
      <c r="H110" s="37">
        <f t="shared" si="65"/>
        <v>0.16152679440939616</v>
      </c>
      <c r="I110" s="37">
        <f t="shared" si="66"/>
        <v>0.165685714461727</v>
      </c>
      <c r="J110" s="37">
        <f t="shared" si="67"/>
        <v>0</v>
      </c>
      <c r="K110" s="37">
        <f t="shared" si="68"/>
        <v>8.1459997408800285E-3</v>
      </c>
      <c r="L110" s="37">
        <f t="shared" si="82"/>
        <v>2.564102564102564E-2</v>
      </c>
      <c r="M110" s="37">
        <f t="shared" si="69"/>
        <v>0.1619472219763311</v>
      </c>
      <c r="N110" s="37">
        <f t="shared" si="83"/>
        <v>5.6880707603279212E-3</v>
      </c>
      <c r="O110" s="37">
        <f t="shared" si="70"/>
        <v>2.564102564102564E-2</v>
      </c>
      <c r="P110" s="37">
        <f t="shared" si="71"/>
        <v>2.564102564102564E-2</v>
      </c>
      <c r="Q110" s="37">
        <f t="shared" si="72"/>
        <v>1.4650016326361651E-3</v>
      </c>
      <c r="R110" s="37">
        <f t="shared" si="73"/>
        <v>8.4900376112770001E-3</v>
      </c>
      <c r="S110" s="37">
        <f t="shared" si="74"/>
        <v>1.1773390964254235E-2</v>
      </c>
      <c r="T110" s="37">
        <f t="shared" si="75"/>
        <v>1.9723865877712015E-3</v>
      </c>
      <c r="U110" s="37">
        <f t="shared" si="76"/>
        <v>5.3281035137917737E-4</v>
      </c>
      <c r="V110" s="37">
        <f t="shared" si="77"/>
        <v>0</v>
      </c>
      <c r="W110" s="37">
        <f t="shared" ca="1" si="78"/>
        <v>2.4375635980157954E-2</v>
      </c>
      <c r="X110" s="37">
        <f t="shared" si="79"/>
        <v>2.564102564102564E-2</v>
      </c>
      <c r="Y110" s="37">
        <f t="shared" si="80"/>
        <v>2.564102564102564E-2</v>
      </c>
      <c r="Z110" s="37"/>
      <c r="AA110" s="37"/>
      <c r="AB110" s="37"/>
      <c r="AC110" s="641">
        <f t="shared" ca="1" si="84"/>
        <v>0.67980819268126624</v>
      </c>
      <c r="AD110" s="130">
        <f t="shared" ca="1" si="81"/>
        <v>17</v>
      </c>
    </row>
    <row r="114" spans="2:9" x14ac:dyDescent="0.3">
      <c r="D114" s="642" t="s">
        <v>5003</v>
      </c>
    </row>
    <row r="115" spans="2:9" ht="29.4" thickBot="1" x14ac:dyDescent="0.35">
      <c r="B115" s="909" t="s">
        <v>5004</v>
      </c>
      <c r="C115" s="915" t="s">
        <v>5005</v>
      </c>
      <c r="D115" s="102">
        <f>UDV.weight.cost_capex</f>
        <v>0.20512820512820512</v>
      </c>
    </row>
    <row r="116" spans="2:9" ht="84.6" thickBot="1" x14ac:dyDescent="0.35">
      <c r="B116" s="909"/>
      <c r="C116" s="915" t="s">
        <v>5006</v>
      </c>
      <c r="D116" s="102">
        <f>UDV.weight.cost_opex</f>
        <v>0.20512820512820512</v>
      </c>
      <c r="H116">
        <v>1</v>
      </c>
      <c r="I116" s="644" t="s">
        <v>5007</v>
      </c>
    </row>
    <row r="117" spans="2:9" ht="101.4" thickBot="1" x14ac:dyDescent="0.35">
      <c r="B117" s="909"/>
      <c r="C117" s="915" t="s">
        <v>5008</v>
      </c>
      <c r="D117" s="102">
        <f>UDV.weight.cost_savings</f>
        <v>2.564102564102564E-2</v>
      </c>
      <c r="H117">
        <v>2</v>
      </c>
      <c r="I117" s="644" t="s">
        <v>5009</v>
      </c>
    </row>
    <row r="118" spans="2:9" ht="101.4" thickBot="1" x14ac:dyDescent="0.35">
      <c r="B118" s="909"/>
      <c r="C118" s="915" t="s">
        <v>5010</v>
      </c>
      <c r="D118" s="102">
        <f>UDV.weight.cost_fert</f>
        <v>2.564102564102564E-2</v>
      </c>
      <c r="H118">
        <v>3</v>
      </c>
      <c r="I118" s="644" t="s">
        <v>5011</v>
      </c>
    </row>
    <row r="119" spans="2:9" ht="101.4" thickBot="1" x14ac:dyDescent="0.35">
      <c r="B119" s="909"/>
      <c r="C119" s="915" t="s">
        <v>5012</v>
      </c>
      <c r="D119" s="102">
        <f>UDV.weight.cost_revenues</f>
        <v>2.564102564102564E-2</v>
      </c>
      <c r="F119" s="369"/>
      <c r="H119">
        <v>4</v>
      </c>
      <c r="I119" s="644" t="s">
        <v>5013</v>
      </c>
    </row>
    <row r="120" spans="2:9" ht="51" thickBot="1" x14ac:dyDescent="0.35">
      <c r="B120" s="909"/>
      <c r="C120" s="915" t="s">
        <v>5014</v>
      </c>
      <c r="D120" s="102">
        <f>UDV.weight.cost_net</f>
        <v>0.20512820512820512</v>
      </c>
      <c r="H120">
        <v>5</v>
      </c>
      <c r="I120" s="644" t="s">
        <v>5015</v>
      </c>
    </row>
    <row r="121" spans="2:9" ht="67.8" thickBot="1" x14ac:dyDescent="0.35">
      <c r="B121" s="910" t="s">
        <v>5016</v>
      </c>
      <c r="C121" s="916" t="s">
        <v>5017</v>
      </c>
      <c r="D121" s="102">
        <f>UDV.weight.env_carbon</f>
        <v>2.564102564102564E-2</v>
      </c>
      <c r="H121">
        <v>6</v>
      </c>
      <c r="I121" s="644" t="s">
        <v>5018</v>
      </c>
    </row>
    <row r="122" spans="2:9" ht="51" thickBot="1" x14ac:dyDescent="0.35">
      <c r="B122" s="910"/>
      <c r="C122" s="916" t="s">
        <v>5019</v>
      </c>
      <c r="D122" s="102">
        <f>UDV.weight.env_land</f>
        <v>2.564102564102564E-2</v>
      </c>
      <c r="H122">
        <v>7</v>
      </c>
      <c r="I122" s="644" t="s">
        <v>5020</v>
      </c>
    </row>
    <row r="123" spans="2:9" ht="67.8" thickBot="1" x14ac:dyDescent="0.35">
      <c r="B123" s="910"/>
      <c r="C123" s="916" t="s">
        <v>5021</v>
      </c>
      <c r="D123" s="102">
        <f>UDV.weight.env_energy</f>
        <v>2.564102564102564E-2</v>
      </c>
      <c r="H123">
        <v>8</v>
      </c>
      <c r="I123" s="644" t="s">
        <v>5022</v>
      </c>
    </row>
    <row r="124" spans="2:9" ht="67.8" thickBot="1" x14ac:dyDescent="0.35">
      <c r="B124" s="910"/>
      <c r="C124" s="916" t="s">
        <v>5023</v>
      </c>
      <c r="D124" s="102">
        <f>UDV.weight.env_water</f>
        <v>2.564102564102564E-2</v>
      </c>
      <c r="H124">
        <v>9</v>
      </c>
      <c r="I124" s="644" t="s">
        <v>5024</v>
      </c>
    </row>
    <row r="125" spans="2:9" ht="84.6" thickBot="1" x14ac:dyDescent="0.35">
      <c r="B125" s="910"/>
      <c r="C125" s="916" t="s">
        <v>5025</v>
      </c>
      <c r="D125" s="102">
        <f>UDV.weight.env_nitrogen</f>
        <v>2.564102564102564E-2</v>
      </c>
      <c r="H125">
        <v>10</v>
      </c>
      <c r="I125" s="644" t="s">
        <v>5026</v>
      </c>
    </row>
    <row r="126" spans="2:9" ht="101.4" thickBot="1" x14ac:dyDescent="0.35">
      <c r="B126" s="910"/>
      <c r="C126" s="916" t="s">
        <v>5027</v>
      </c>
      <c r="D126" s="102">
        <f>UDV.weight.env_phos</f>
        <v>2.564102564102564E-2</v>
      </c>
      <c r="H126">
        <v>11</v>
      </c>
      <c r="I126" s="644" t="s">
        <v>5028</v>
      </c>
    </row>
    <row r="127" spans="2:9" ht="101.4" thickBot="1" x14ac:dyDescent="0.35">
      <c r="B127" s="917" t="s">
        <v>5029</v>
      </c>
      <c r="C127" s="918" t="s">
        <v>5030</v>
      </c>
      <c r="D127" s="102">
        <f>UDV.weight.tech_adoption</f>
        <v>2.564102564102564E-2</v>
      </c>
      <c r="H127">
        <v>12</v>
      </c>
      <c r="I127" s="644" t="s">
        <v>5031</v>
      </c>
    </row>
    <row r="128" spans="2:9" ht="101.4" thickBot="1" x14ac:dyDescent="0.35">
      <c r="B128" s="917"/>
      <c r="C128" s="918" t="s">
        <v>5032</v>
      </c>
      <c r="D128" s="102">
        <f>UDV.weight.tech_reliability</f>
        <v>2.564102564102564E-2</v>
      </c>
      <c r="H128">
        <v>13</v>
      </c>
      <c r="I128" s="644" t="s">
        <v>5033</v>
      </c>
    </row>
    <row r="129" spans="2:9" ht="101.4" thickBot="1" x14ac:dyDescent="0.35">
      <c r="B129" s="917"/>
      <c r="C129" s="918" t="s">
        <v>5034</v>
      </c>
      <c r="D129" s="102">
        <f>UDV.weight.tech_integrity</f>
        <v>2.564102564102564E-2</v>
      </c>
      <c r="H129">
        <v>14</v>
      </c>
      <c r="I129" s="644" t="s">
        <v>5035</v>
      </c>
    </row>
    <row r="130" spans="2:9" ht="118.2" thickBot="1" x14ac:dyDescent="0.35">
      <c r="B130" s="917"/>
      <c r="C130" s="919" t="s">
        <v>5036</v>
      </c>
      <c r="D130" s="42">
        <f>UDV.weight.tech_labor</f>
        <v>2.564102564102564E-2</v>
      </c>
      <c r="H130">
        <v>15</v>
      </c>
      <c r="I130" s="644" t="s">
        <v>5037</v>
      </c>
    </row>
    <row r="131" spans="2:9" ht="118.2" thickBot="1" x14ac:dyDescent="0.35">
      <c r="B131" s="920"/>
      <c r="C131" s="919" t="s">
        <v>5038</v>
      </c>
      <c r="D131" s="42">
        <f>UDV.weight.tech_land</f>
        <v>2.564102564102564E-2</v>
      </c>
      <c r="H131">
        <v>16</v>
      </c>
      <c r="I131" s="644" t="s">
        <v>5039</v>
      </c>
    </row>
    <row r="132" spans="2:9" ht="67.8" thickBot="1" x14ac:dyDescent="0.35">
      <c r="B132" s="920"/>
      <c r="C132" s="919" t="s">
        <v>5040</v>
      </c>
      <c r="D132" s="42">
        <f>UDV.weight.tech_transport</f>
        <v>2.564102564102564E-2</v>
      </c>
      <c r="H132">
        <v>17</v>
      </c>
      <c r="I132" s="644" t="s">
        <v>5041</v>
      </c>
    </row>
    <row r="133" spans="2:9" ht="84.6" thickBot="1" x14ac:dyDescent="0.35">
      <c r="F133" s="42"/>
      <c r="G133" s="42"/>
      <c r="H133">
        <v>18</v>
      </c>
      <c r="I133" s="644" t="s">
        <v>5042</v>
      </c>
    </row>
    <row r="134" spans="2:9" ht="84.6" thickBot="1" x14ac:dyDescent="0.35">
      <c r="F134" s="42"/>
      <c r="G134" s="42"/>
      <c r="H134">
        <v>19</v>
      </c>
      <c r="I134" s="644" t="s">
        <v>5043</v>
      </c>
    </row>
    <row r="135" spans="2:9" ht="84.6" thickBot="1" x14ac:dyDescent="0.35">
      <c r="F135" s="42"/>
      <c r="G135" s="42"/>
      <c r="H135">
        <v>20</v>
      </c>
      <c r="I135" s="644" t="s">
        <v>5044</v>
      </c>
    </row>
    <row r="136" spans="2:9" ht="101.4" thickBot="1" x14ac:dyDescent="0.35">
      <c r="F136" s="42"/>
      <c r="G136" s="42"/>
      <c r="H136">
        <v>21</v>
      </c>
      <c r="I136" s="644" t="s">
        <v>5045</v>
      </c>
    </row>
    <row r="137" spans="2:9" ht="101.4" thickBot="1" x14ac:dyDescent="0.35">
      <c r="F137" s="42"/>
      <c r="G137" s="42"/>
      <c r="H137">
        <v>22</v>
      </c>
      <c r="I137" s="644" t="s">
        <v>5046</v>
      </c>
    </row>
    <row r="138" spans="2:9" ht="84.6" thickBot="1" x14ac:dyDescent="0.35">
      <c r="F138" s="42"/>
      <c r="G138" s="42"/>
      <c r="H138">
        <v>23</v>
      </c>
      <c r="I138" s="644" t="s">
        <v>5047</v>
      </c>
    </row>
    <row r="139" spans="2:9" ht="101.4" thickBot="1" x14ac:dyDescent="0.35">
      <c r="F139" s="42"/>
      <c r="G139" s="42"/>
      <c r="H139">
        <v>24</v>
      </c>
      <c r="I139" s="644" t="s">
        <v>5048</v>
      </c>
    </row>
  </sheetData>
  <mergeCells count="8">
    <mergeCell ref="CJ3:CR3"/>
    <mergeCell ref="AX3:BC3"/>
    <mergeCell ref="AO3:AT3"/>
    <mergeCell ref="C6:E6"/>
    <mergeCell ref="N2:S2"/>
    <mergeCell ref="H3:M3"/>
    <mergeCell ref="N3:S3"/>
    <mergeCell ref="AF3:AK3"/>
  </mergeCells>
  <phoneticPr fontId="51" type="noConversion"/>
  <pageMargins left="0.7" right="0.7" top="0.75" bottom="0.75" header="0.3" footer="0.3"/>
  <pageSetup orientation="portrait" r:id="rId1"/>
  <ignoredErrors>
    <ignoredError sqref="E84:E105 D42" formula="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188C-172B-4317-9D75-7C29AF3D4AC5}">
  <sheetPr codeName="Sheet13">
    <tabColor rgb="FFFF0000"/>
  </sheetPr>
  <dimension ref="A1:AG150"/>
  <sheetViews>
    <sheetView workbookViewId="0">
      <selection sqref="A1:C1"/>
    </sheetView>
  </sheetViews>
  <sheetFormatPr defaultRowHeight="14.4" x14ac:dyDescent="0.3"/>
  <cols>
    <col min="1" max="1" width="20.44140625" customWidth="1"/>
    <col min="2" max="2" width="22.44140625" customWidth="1"/>
    <col min="3" max="3" width="17.44140625" customWidth="1"/>
    <col min="4" max="4" width="13.44140625" customWidth="1"/>
    <col min="5" max="5" width="12.5546875" customWidth="1"/>
    <col min="6" max="6" width="12.109375" customWidth="1"/>
    <col min="7" max="7" width="28.109375" customWidth="1"/>
    <col min="8" max="8" width="13.44140625" customWidth="1"/>
    <col min="11" max="11" width="14.88671875" customWidth="1"/>
    <col min="12" max="12" width="15.88671875" customWidth="1"/>
    <col min="13" max="13" width="17.109375" customWidth="1"/>
    <col min="14" max="14" width="18.109375" customWidth="1"/>
    <col min="15" max="15" width="19.5546875" customWidth="1"/>
    <col min="16" max="16" width="23.109375" customWidth="1"/>
    <col min="17" max="17" width="27.88671875" customWidth="1"/>
    <col min="18" max="18" width="18.88671875" customWidth="1"/>
    <col min="19" max="19" width="18.44140625" customWidth="1"/>
    <col min="20" max="20" width="19.44140625" customWidth="1"/>
    <col min="21" max="23" width="15" customWidth="1"/>
    <col min="24" max="24" width="23" customWidth="1"/>
    <col min="25" max="25" width="11.88671875" customWidth="1"/>
    <col min="26" max="26" width="23.109375" bestFit="1" customWidth="1"/>
    <col min="27" max="27" width="18.5546875" customWidth="1"/>
    <col min="28" max="31" width="13.6640625" bestFit="1" customWidth="1"/>
    <col min="32" max="32" width="10.5546875" customWidth="1"/>
    <col min="33" max="33" width="14.33203125" customWidth="1"/>
    <col min="34" max="34" width="13" customWidth="1"/>
  </cols>
  <sheetData>
    <row r="1" spans="1:33" s="40" customFormat="1" x14ac:dyDescent="0.3">
      <c r="A1" s="43" t="s">
        <v>2333</v>
      </c>
      <c r="B1" s="44" t="s">
        <v>3152</v>
      </c>
      <c r="C1" s="45" t="s">
        <v>3153</v>
      </c>
      <c r="D1" s="41" t="s">
        <v>3154</v>
      </c>
      <c r="E1" s="41"/>
      <c r="F1" s="41"/>
      <c r="G1" s="41"/>
      <c r="H1" s="41"/>
      <c r="I1" s="41"/>
      <c r="J1" s="41"/>
      <c r="K1" s="41"/>
      <c r="L1" s="41"/>
      <c r="M1" s="41"/>
      <c r="N1" s="41"/>
      <c r="O1" s="41"/>
      <c r="P1" s="41"/>
      <c r="Q1" s="41"/>
      <c r="R1" s="41"/>
    </row>
    <row r="2" spans="1:33" x14ac:dyDescent="0.3">
      <c r="B2" s="42"/>
      <c r="C2" s="3014" t="s">
        <v>5049</v>
      </c>
      <c r="D2" s="3015"/>
      <c r="E2" s="3015"/>
      <c r="F2" s="3015"/>
      <c r="G2" s="3015"/>
      <c r="H2" s="3015"/>
      <c r="I2" s="3015"/>
      <c r="J2" s="3015"/>
      <c r="K2" s="3016"/>
    </row>
    <row r="3" spans="1:33" ht="15" customHeight="1" x14ac:dyDescent="0.3">
      <c r="B3" s="86"/>
      <c r="H3" s="3017" t="s">
        <v>5050</v>
      </c>
      <c r="I3" s="3018"/>
      <c r="J3" s="3018"/>
      <c r="K3" s="3019"/>
      <c r="X3" s="76" t="s">
        <v>5051</v>
      </c>
      <c r="Y3" s="3006" t="s">
        <v>5052</v>
      </c>
      <c r="Z3" s="3006"/>
      <c r="AA3" s="3006"/>
      <c r="AB3" s="3006"/>
      <c r="AC3" s="3006"/>
      <c r="AD3" s="3006"/>
      <c r="AE3" s="3006"/>
      <c r="AF3" s="3006"/>
    </row>
    <row r="4" spans="1:33" ht="29.4" thickBot="1" x14ac:dyDescent="0.35">
      <c r="B4" s="111" t="s">
        <v>5053</v>
      </c>
      <c r="C4" s="551" t="s">
        <v>5054</v>
      </c>
      <c r="D4" s="551" t="s">
        <v>5055</v>
      </c>
      <c r="E4" s="552" t="s">
        <v>5056</v>
      </c>
      <c r="F4" s="552" t="s">
        <v>5057</v>
      </c>
      <c r="G4" s="552" t="s">
        <v>5058</v>
      </c>
      <c r="H4" s="110" t="s">
        <v>5059</v>
      </c>
      <c r="I4" s="110" t="s">
        <v>5060</v>
      </c>
      <c r="J4" s="110" t="s">
        <v>5061</v>
      </c>
      <c r="K4" s="110" t="s">
        <v>5062</v>
      </c>
      <c r="N4" s="553" t="s">
        <v>5056</v>
      </c>
      <c r="O4" s="553" t="s">
        <v>5057</v>
      </c>
      <c r="P4" s="553" t="s">
        <v>5058</v>
      </c>
      <c r="Q4" s="554" t="s">
        <v>5059</v>
      </c>
      <c r="R4" s="554" t="s">
        <v>5060</v>
      </c>
      <c r="S4" s="554" t="s">
        <v>5061</v>
      </c>
      <c r="T4" s="554" t="s">
        <v>5062</v>
      </c>
      <c r="X4" s="705" t="s">
        <v>5063</v>
      </c>
      <c r="Y4" s="701" t="s">
        <v>5064</v>
      </c>
      <c r="Z4" s="701" t="s">
        <v>5065</v>
      </c>
      <c r="AA4" s="701" t="s">
        <v>706</v>
      </c>
      <c r="AB4" s="701" t="s">
        <v>708</v>
      </c>
      <c r="AC4" s="701" t="s">
        <v>84</v>
      </c>
      <c r="AD4" s="701" t="s">
        <v>704</v>
      </c>
      <c r="AE4" s="701" t="s">
        <v>702</v>
      </c>
      <c r="AF4" s="701" t="s">
        <v>5066</v>
      </c>
    </row>
    <row r="5" spans="1:33" x14ac:dyDescent="0.3">
      <c r="A5" t="s">
        <v>171</v>
      </c>
      <c r="B5" s="105" t="str">
        <f t="shared" ref="B5:B17" si="0">D5&amp;C5</f>
        <v>Nursery25</v>
      </c>
      <c r="C5" s="26">
        <v>25</v>
      </c>
      <c r="D5" s="71" t="s">
        <v>172</v>
      </c>
      <c r="E5" s="107">
        <v>0.86182479999999995</v>
      </c>
      <c r="F5" s="107">
        <v>9.525431999999999E-2</v>
      </c>
      <c r="G5" s="107">
        <v>7.7110640000000008E-2</v>
      </c>
      <c r="H5" s="107">
        <v>9.0718399999999994E-3</v>
      </c>
      <c r="I5" s="107">
        <v>2.7215519999999999E-3</v>
      </c>
      <c r="J5" s="107">
        <v>4.5359199999999997E-3</v>
      </c>
      <c r="K5" s="107">
        <v>4.5359199999999997E-3</v>
      </c>
      <c r="L5" t="s">
        <v>171</v>
      </c>
      <c r="M5" s="18" t="s">
        <v>172</v>
      </c>
      <c r="N5" s="49" t="s">
        <v>5067</v>
      </c>
      <c r="O5" s="49" t="s">
        <v>5068</v>
      </c>
      <c r="P5" s="49" t="s">
        <v>5069</v>
      </c>
      <c r="Q5" s="49" t="s">
        <v>5070</v>
      </c>
      <c r="R5" s="49" t="s">
        <v>5071</v>
      </c>
      <c r="S5" s="49" t="s">
        <v>5072</v>
      </c>
      <c r="T5" s="49" t="s">
        <v>5073</v>
      </c>
      <c r="X5" s="63" t="s">
        <v>5074</v>
      </c>
      <c r="Y5" s="702">
        <v>12.5</v>
      </c>
      <c r="Z5" s="58">
        <v>48</v>
      </c>
      <c r="AA5" s="58">
        <v>4.8</v>
      </c>
      <c r="AB5" s="58">
        <v>4</v>
      </c>
      <c r="AC5" s="703">
        <v>0.41</v>
      </c>
      <c r="AD5" s="703">
        <v>6.8000000000000005E-2</v>
      </c>
      <c r="AE5" s="703">
        <v>0.16</v>
      </c>
      <c r="AF5" s="58">
        <v>36</v>
      </c>
    </row>
    <row r="6" spans="1:33" ht="15" thickBot="1" x14ac:dyDescent="0.35">
      <c r="B6" s="103" t="str">
        <f t="shared" si="0"/>
        <v>Nursery40</v>
      </c>
      <c r="C6" s="23">
        <v>40</v>
      </c>
      <c r="D6" s="23" t="s">
        <v>172</v>
      </c>
      <c r="E6" s="556">
        <v>1.360776</v>
      </c>
      <c r="F6" s="556">
        <v>0.14968536000000002</v>
      </c>
      <c r="G6" s="556">
        <v>0.12246984000000001</v>
      </c>
      <c r="H6" s="556">
        <v>1.3599999999999999E-2</v>
      </c>
      <c r="I6" s="556">
        <v>4.0823279999999997E-2</v>
      </c>
      <c r="J6" s="556">
        <v>4.5359199999999997E-3</v>
      </c>
      <c r="K6" s="556">
        <v>9.0718399999999994E-3</v>
      </c>
      <c r="L6" t="s">
        <v>173</v>
      </c>
      <c r="M6" s="18" t="s">
        <v>174</v>
      </c>
      <c r="N6" s="49" t="s">
        <v>5075</v>
      </c>
      <c r="O6" s="49" t="s">
        <v>5076</v>
      </c>
      <c r="P6" s="49" t="s">
        <v>5077</v>
      </c>
      <c r="Q6" s="49" t="s">
        <v>5078</v>
      </c>
      <c r="R6" s="49" t="s">
        <v>5079</v>
      </c>
      <c r="S6" s="49" t="s">
        <v>5080</v>
      </c>
      <c r="T6" s="49" t="s">
        <v>5081</v>
      </c>
      <c r="X6" s="63" t="s">
        <v>5082</v>
      </c>
      <c r="Y6" s="702">
        <v>70</v>
      </c>
      <c r="Z6" s="58">
        <v>560</v>
      </c>
      <c r="AA6" s="58">
        <v>56</v>
      </c>
      <c r="AB6" s="58">
        <v>45</v>
      </c>
      <c r="AC6" s="703">
        <v>4.7</v>
      </c>
      <c r="AD6" s="703">
        <v>0.76</v>
      </c>
      <c r="AE6" s="703">
        <v>2</v>
      </c>
      <c r="AF6" s="58">
        <v>120</v>
      </c>
    </row>
    <row r="7" spans="1:33" x14ac:dyDescent="0.3">
      <c r="A7" t="s">
        <v>173</v>
      </c>
      <c r="B7" s="105" t="str">
        <f t="shared" si="0"/>
        <v>Grow-finish150</v>
      </c>
      <c r="C7" s="71">
        <v>150</v>
      </c>
      <c r="D7" s="71" t="s">
        <v>174</v>
      </c>
      <c r="E7" s="107">
        <v>3.3565808000000001</v>
      </c>
      <c r="F7" s="107">
        <v>0.37194543999999996</v>
      </c>
      <c r="G7" s="107">
        <v>0.29483480000000001</v>
      </c>
      <c r="H7" s="107">
        <v>4.0823279999999997E-2</v>
      </c>
      <c r="I7" s="107">
        <v>1.2246983999999999E-2</v>
      </c>
      <c r="J7" s="107">
        <v>1.360776E-2</v>
      </c>
      <c r="K7" s="107">
        <v>1.8143679999999999E-2</v>
      </c>
      <c r="L7" t="s">
        <v>176</v>
      </c>
      <c r="M7" s="18" t="s">
        <v>177</v>
      </c>
      <c r="N7" s="49" t="s">
        <v>5083</v>
      </c>
      <c r="O7" s="49" t="s">
        <v>5084</v>
      </c>
      <c r="P7" s="49" t="s">
        <v>5085</v>
      </c>
      <c r="Q7" s="49" t="s">
        <v>5086</v>
      </c>
      <c r="R7" s="49" t="s">
        <v>5087</v>
      </c>
      <c r="S7" s="49" t="s">
        <v>5088</v>
      </c>
      <c r="T7" s="49" t="s">
        <v>5089</v>
      </c>
      <c r="AC7" s="302"/>
      <c r="AD7" s="302"/>
      <c r="AE7" s="302"/>
    </row>
    <row r="8" spans="1:33" x14ac:dyDescent="0.3">
      <c r="B8" s="104" t="str">
        <f t="shared" si="0"/>
        <v>Grow-finish180</v>
      </c>
      <c r="C8" s="9">
        <v>180</v>
      </c>
      <c r="D8" s="9" t="s">
        <v>174</v>
      </c>
      <c r="E8" s="102">
        <v>4.0369688000000004</v>
      </c>
      <c r="F8" s="102">
        <v>0.44452016</v>
      </c>
      <c r="G8" s="102">
        <v>0.35380176000000002</v>
      </c>
      <c r="H8" s="102">
        <v>4.5359200000000002E-2</v>
      </c>
      <c r="I8" s="107">
        <v>1.360776E-2</v>
      </c>
      <c r="J8" s="102">
        <v>1.8143679999999999E-2</v>
      </c>
      <c r="K8" s="102">
        <v>2.2679600000000001E-2</v>
      </c>
      <c r="L8" t="s">
        <v>178</v>
      </c>
      <c r="M8" s="18" t="s">
        <v>179</v>
      </c>
      <c r="N8" s="49" t="s">
        <v>5090</v>
      </c>
      <c r="O8" s="49" t="s">
        <v>5091</v>
      </c>
      <c r="P8" s="49" t="s">
        <v>5092</v>
      </c>
      <c r="Q8" s="49" t="s">
        <v>5093</v>
      </c>
      <c r="R8" s="49" t="s">
        <v>5094</v>
      </c>
      <c r="S8" s="49" t="s">
        <v>5095</v>
      </c>
      <c r="T8" s="49" t="s">
        <v>5096</v>
      </c>
      <c r="Y8" s="3006" t="s">
        <v>5097</v>
      </c>
      <c r="Z8" s="3006"/>
      <c r="AA8" s="3006"/>
      <c r="AB8" s="3006"/>
      <c r="AC8" s="3006"/>
      <c r="AD8" s="3006"/>
      <c r="AE8" s="3006"/>
      <c r="AF8" s="3006"/>
    </row>
    <row r="9" spans="1:33" x14ac:dyDescent="0.3">
      <c r="B9" s="104" t="str">
        <f t="shared" si="0"/>
        <v>Grow-finish220</v>
      </c>
      <c r="C9" s="9">
        <v>220</v>
      </c>
      <c r="D9" s="9" t="s">
        <v>174</v>
      </c>
      <c r="E9" s="102">
        <v>4.9441528000000003</v>
      </c>
      <c r="F9" s="102">
        <v>0.54431039999999997</v>
      </c>
      <c r="G9" s="102">
        <v>0.43544832</v>
      </c>
      <c r="H9" s="102">
        <v>5.8966959999999999E-2</v>
      </c>
      <c r="I9" s="107">
        <v>1.7690088E-2</v>
      </c>
      <c r="J9" s="102">
        <v>2.2679600000000001E-2</v>
      </c>
      <c r="K9" s="102">
        <v>2.721552E-2</v>
      </c>
      <c r="X9" s="700" t="s">
        <v>5063</v>
      </c>
      <c r="Y9" s="701" t="s">
        <v>5064</v>
      </c>
      <c r="Z9" s="701" t="s">
        <v>5065</v>
      </c>
      <c r="AA9" s="701" t="s">
        <v>706</v>
      </c>
      <c r="AB9" s="701" t="s">
        <v>708</v>
      </c>
      <c r="AC9" s="704" t="s">
        <v>84</v>
      </c>
      <c r="AD9" s="704" t="s">
        <v>704</v>
      </c>
      <c r="AE9" s="704" t="s">
        <v>702</v>
      </c>
      <c r="AF9" s="701" t="s">
        <v>5098</v>
      </c>
    </row>
    <row r="10" spans="1:33" x14ac:dyDescent="0.3">
      <c r="B10" s="104" t="str">
        <f t="shared" si="0"/>
        <v>Grow-finish260</v>
      </c>
      <c r="C10" s="9">
        <v>260</v>
      </c>
      <c r="D10" s="9" t="s">
        <v>174</v>
      </c>
      <c r="E10" s="102">
        <v>5.8059776000000003</v>
      </c>
      <c r="F10" s="102">
        <v>0.63956471999999998</v>
      </c>
      <c r="G10" s="102">
        <v>0.5125589599999999</v>
      </c>
      <c r="H10" s="102">
        <v>6.8038799999999997E-2</v>
      </c>
      <c r="I10" s="107">
        <v>2.0411639999999998E-2</v>
      </c>
      <c r="J10" s="102">
        <v>2.2679600000000001E-2</v>
      </c>
      <c r="K10" s="102">
        <v>3.6287359999999998E-2</v>
      </c>
      <c r="X10" s="63" t="s">
        <v>5074</v>
      </c>
      <c r="Y10" s="702">
        <v>12.5</v>
      </c>
      <c r="Z10" s="65">
        <f t="shared" ref="Z10:AF10" si="1">Z5/$AF$5</f>
        <v>1.3333333333333333</v>
      </c>
      <c r="AA10" s="65">
        <f t="shared" si="1"/>
        <v>0.13333333333333333</v>
      </c>
      <c r="AB10" s="65">
        <f t="shared" si="1"/>
        <v>0.1111111111111111</v>
      </c>
      <c r="AC10" s="703">
        <f t="shared" si="1"/>
        <v>1.1388888888888888E-2</v>
      </c>
      <c r="AD10" s="703">
        <f t="shared" si="1"/>
        <v>1.888888888888889E-3</v>
      </c>
      <c r="AE10" s="703">
        <f t="shared" si="1"/>
        <v>4.4444444444444444E-3</v>
      </c>
      <c r="AF10" s="64">
        <f t="shared" si="1"/>
        <v>1</v>
      </c>
    </row>
    <row r="11" spans="1:33" ht="15" thickBot="1" x14ac:dyDescent="0.35">
      <c r="B11" s="103" t="str">
        <f t="shared" si="0"/>
        <v>Grow-finish300</v>
      </c>
      <c r="C11" s="23">
        <v>300</v>
      </c>
      <c r="D11" s="23" t="s">
        <v>174</v>
      </c>
      <c r="E11" s="556">
        <v>6.7131616000000003</v>
      </c>
      <c r="F11" s="556">
        <v>0.73935495999999989</v>
      </c>
      <c r="G11" s="556">
        <v>0.58966960000000002</v>
      </c>
      <c r="H11" s="556">
        <v>7.7110640000000008E-2</v>
      </c>
      <c r="I11" s="556">
        <v>2.3133192E-2</v>
      </c>
      <c r="J11" s="556">
        <v>2.721552E-2</v>
      </c>
      <c r="K11" s="556">
        <v>4.0823279999999997E-2</v>
      </c>
      <c r="O11" s="9" t="s">
        <v>5099</v>
      </c>
      <c r="P11" s="9"/>
      <c r="X11" s="63" t="s">
        <v>5082</v>
      </c>
      <c r="Y11" s="702">
        <v>70</v>
      </c>
      <c r="Z11" s="65">
        <f t="shared" ref="Z11:AF11" si="2">Z6/$AF$6</f>
        <v>4.666666666666667</v>
      </c>
      <c r="AA11" s="65">
        <f t="shared" si="2"/>
        <v>0.46666666666666667</v>
      </c>
      <c r="AB11" s="65">
        <f t="shared" si="2"/>
        <v>0.375</v>
      </c>
      <c r="AC11" s="703">
        <f t="shared" si="2"/>
        <v>3.9166666666666669E-2</v>
      </c>
      <c r="AD11" s="703">
        <f t="shared" si="2"/>
        <v>6.3333333333333332E-3</v>
      </c>
      <c r="AE11" s="703">
        <f t="shared" si="2"/>
        <v>1.6666666666666666E-2</v>
      </c>
      <c r="AF11" s="64">
        <f t="shared" si="2"/>
        <v>1</v>
      </c>
    </row>
    <row r="12" spans="1:33" x14ac:dyDescent="0.3">
      <c r="A12" t="s">
        <v>176</v>
      </c>
      <c r="B12" s="105" t="str">
        <f t="shared" si="0"/>
        <v>Gestating sow300</v>
      </c>
      <c r="C12" s="71">
        <v>300</v>
      </c>
      <c r="D12" s="71" t="s">
        <v>177</v>
      </c>
      <c r="E12" s="107">
        <v>3.0844255999999999</v>
      </c>
      <c r="F12" s="107">
        <v>0.27669112000000001</v>
      </c>
      <c r="G12" s="107">
        <v>0.23586784</v>
      </c>
      <c r="H12" s="107">
        <v>2.2679600000000001E-2</v>
      </c>
      <c r="I12" s="107">
        <v>6.80388E-3</v>
      </c>
      <c r="J12" s="107">
        <v>1.360776E-2</v>
      </c>
      <c r="K12" s="107">
        <v>1.8143679999999999E-2</v>
      </c>
      <c r="O12" s="561" t="s">
        <v>41</v>
      </c>
      <c r="P12" s="561" t="s">
        <v>42</v>
      </c>
    </row>
    <row r="13" spans="1:33" x14ac:dyDescent="0.3">
      <c r="B13" s="104" t="str">
        <f t="shared" si="0"/>
        <v>Gestating sow400</v>
      </c>
      <c r="C13" s="9">
        <v>400</v>
      </c>
      <c r="D13" s="9" t="s">
        <v>177</v>
      </c>
      <c r="E13" s="102">
        <v>4.1276871999999996</v>
      </c>
      <c r="F13" s="102">
        <v>0.37194543999999996</v>
      </c>
      <c r="G13" s="102">
        <v>0.31751439999999997</v>
      </c>
      <c r="H13" s="102">
        <v>2.721552E-2</v>
      </c>
      <c r="I13" s="107">
        <v>8.1646559999999993E-3</v>
      </c>
      <c r="J13" s="102">
        <v>1.8143679999999999E-2</v>
      </c>
      <c r="K13" s="102">
        <v>2.2679600000000001E-2</v>
      </c>
      <c r="N13" s="9" t="s">
        <v>172</v>
      </c>
      <c r="O13" s="9">
        <v>25</v>
      </c>
      <c r="P13" s="9">
        <v>40</v>
      </c>
      <c r="Y13" s="3006" t="s">
        <v>5100</v>
      </c>
      <c r="Z13" s="3006"/>
      <c r="AA13" s="3006"/>
      <c r="AB13" s="3006"/>
      <c r="AC13" s="3006"/>
      <c r="AD13" s="3006"/>
      <c r="AE13" s="3006"/>
      <c r="AF13" s="3006"/>
    </row>
    <row r="14" spans="1:33" ht="15" thickBot="1" x14ac:dyDescent="0.35">
      <c r="B14" s="103" t="str">
        <f t="shared" si="0"/>
        <v>Gestating sow500</v>
      </c>
      <c r="C14" s="23">
        <v>500</v>
      </c>
      <c r="D14" s="23" t="s">
        <v>177</v>
      </c>
      <c r="E14" s="556">
        <v>5.1709487999999997</v>
      </c>
      <c r="F14" s="556">
        <v>0.46266383999999999</v>
      </c>
      <c r="G14" s="556">
        <v>0.39462503999999998</v>
      </c>
      <c r="H14" s="556">
        <v>3.6287359999999998E-2</v>
      </c>
      <c r="I14" s="556">
        <v>1.0886208E-2</v>
      </c>
      <c r="J14" s="556">
        <v>2.2679600000000001E-2</v>
      </c>
      <c r="K14" s="556">
        <v>2.721552E-2</v>
      </c>
      <c r="N14" s="9" t="s">
        <v>174</v>
      </c>
      <c r="O14" s="9">
        <v>150</v>
      </c>
      <c r="P14" s="9">
        <v>300</v>
      </c>
      <c r="X14" s="700" t="s">
        <v>5063</v>
      </c>
      <c r="Y14" s="701" t="s">
        <v>5064</v>
      </c>
      <c r="Z14" s="701" t="s">
        <v>5065</v>
      </c>
      <c r="AA14" s="701" t="s">
        <v>706</v>
      </c>
      <c r="AB14" s="701" t="s">
        <v>708</v>
      </c>
      <c r="AC14" s="704" t="s">
        <v>84</v>
      </c>
      <c r="AD14" s="704" t="s">
        <v>704</v>
      </c>
      <c r="AE14" s="704" t="s">
        <v>702</v>
      </c>
      <c r="AF14" s="701" t="s">
        <v>5066</v>
      </c>
    </row>
    <row r="15" spans="1:33" x14ac:dyDescent="0.3">
      <c r="A15" t="s">
        <v>178</v>
      </c>
      <c r="B15" s="105" t="str">
        <f t="shared" si="0"/>
        <v>Lactating375</v>
      </c>
      <c r="C15" s="71">
        <v>375</v>
      </c>
      <c r="D15" s="71" t="s">
        <v>179</v>
      </c>
      <c r="E15" s="107">
        <v>7.9378599999999997</v>
      </c>
      <c r="F15" s="107">
        <v>0.79378599999999999</v>
      </c>
      <c r="G15" s="107">
        <v>0.71667535999999998</v>
      </c>
      <c r="H15" s="107">
        <v>7.7110640000000008E-2</v>
      </c>
      <c r="I15" s="107">
        <v>2.3133192E-2</v>
      </c>
      <c r="J15" s="107">
        <v>4.9895120000000001E-2</v>
      </c>
      <c r="K15" s="107">
        <v>5.8966959999999999E-2</v>
      </c>
      <c r="N15" s="9" t="s">
        <v>177</v>
      </c>
      <c r="O15" s="9">
        <v>300</v>
      </c>
      <c r="P15" s="9">
        <v>500</v>
      </c>
      <c r="X15" s="49" t="s">
        <v>144</v>
      </c>
      <c r="Y15" s="77">
        <f>Y5+Y6</f>
        <v>82.5</v>
      </c>
      <c r="Z15" s="77">
        <f t="shared" ref="Z15:AF15" si="3">Z5+Z6</f>
        <v>608</v>
      </c>
      <c r="AA15" s="77">
        <f t="shared" si="3"/>
        <v>60.8</v>
      </c>
      <c r="AB15" s="77">
        <f t="shared" si="3"/>
        <v>49</v>
      </c>
      <c r="AC15" s="77">
        <f t="shared" si="3"/>
        <v>5.1100000000000003</v>
      </c>
      <c r="AD15" s="77">
        <f t="shared" si="3"/>
        <v>0.82800000000000007</v>
      </c>
      <c r="AE15" s="77">
        <f t="shared" si="3"/>
        <v>2.16</v>
      </c>
      <c r="AF15" s="77">
        <f t="shared" si="3"/>
        <v>156</v>
      </c>
      <c r="AG15" t="s">
        <v>5101</v>
      </c>
    </row>
    <row r="16" spans="1:33" x14ac:dyDescent="0.3">
      <c r="B16" s="104" t="str">
        <f t="shared" si="0"/>
        <v>Lactating500</v>
      </c>
      <c r="C16" s="9">
        <v>500</v>
      </c>
      <c r="D16" s="9" t="s">
        <v>179</v>
      </c>
      <c r="E16" s="102">
        <v>10.6140528</v>
      </c>
      <c r="F16" s="102">
        <v>1.06140528</v>
      </c>
      <c r="G16" s="102">
        <v>0.95707911999999995</v>
      </c>
      <c r="H16" s="102">
        <v>9.9790240000000002E-2</v>
      </c>
      <c r="I16" s="107">
        <v>2.9937072000000002E-2</v>
      </c>
      <c r="J16" s="102">
        <v>6.8038799999999997E-2</v>
      </c>
      <c r="K16" s="102">
        <v>8.1646559999999993E-2</v>
      </c>
      <c r="N16" s="9" t="s">
        <v>179</v>
      </c>
      <c r="O16" s="9">
        <v>375</v>
      </c>
      <c r="P16" s="9">
        <v>600</v>
      </c>
      <c r="X16" s="49" t="s">
        <v>144</v>
      </c>
      <c r="Y16" s="37">
        <f t="shared" ref="Y16:AF16" si="4">Y15-(Y15*$AG$24)</f>
        <v>57.75</v>
      </c>
      <c r="Z16" s="37">
        <f t="shared" si="4"/>
        <v>425.6</v>
      </c>
      <c r="AA16" s="37">
        <f t="shared" si="4"/>
        <v>42.56</v>
      </c>
      <c r="AB16" s="37">
        <f t="shared" si="4"/>
        <v>34.299999999999997</v>
      </c>
      <c r="AC16" s="37">
        <f t="shared" si="4"/>
        <v>3.577</v>
      </c>
      <c r="AD16" s="37">
        <f t="shared" si="4"/>
        <v>0.57960000000000012</v>
      </c>
      <c r="AE16" s="37">
        <f t="shared" si="4"/>
        <v>1.512</v>
      </c>
      <c r="AF16" s="77">
        <f t="shared" si="4"/>
        <v>109.2</v>
      </c>
      <c r="AG16" t="s">
        <v>41</v>
      </c>
    </row>
    <row r="17" spans="1:33" ht="15" thickBot="1" x14ac:dyDescent="0.35">
      <c r="B17" s="103" t="str">
        <f t="shared" si="0"/>
        <v>Lactating600</v>
      </c>
      <c r="C17" s="23">
        <v>600</v>
      </c>
      <c r="D17" s="23" t="s">
        <v>179</v>
      </c>
      <c r="E17" s="556">
        <v>12.7459352</v>
      </c>
      <c r="F17" s="556">
        <v>1.27459352</v>
      </c>
      <c r="G17" s="556">
        <v>1.14758776</v>
      </c>
      <c r="H17" s="556">
        <v>0.12246984000000001</v>
      </c>
      <c r="I17" s="556">
        <v>3.6740952E-2</v>
      </c>
      <c r="J17" s="556">
        <v>8.1646559999999993E-2</v>
      </c>
      <c r="K17" s="556">
        <v>9.525431999999999E-2</v>
      </c>
      <c r="N17" s="9" t="s">
        <v>181</v>
      </c>
      <c r="O17" s="9">
        <v>127</v>
      </c>
      <c r="P17" s="9">
        <v>236</v>
      </c>
      <c r="X17" s="49" t="s">
        <v>144</v>
      </c>
      <c r="Y17" s="37">
        <f>Y15+(Y15*$AG$24)</f>
        <v>107.25</v>
      </c>
      <c r="Z17" s="37">
        <f t="shared" ref="Z17:AF17" si="5">Z15+(Z15*$AG$24)</f>
        <v>790.4</v>
      </c>
      <c r="AA17" s="37">
        <f t="shared" si="5"/>
        <v>79.039999999999992</v>
      </c>
      <c r="AB17" s="37">
        <f t="shared" si="5"/>
        <v>63.7</v>
      </c>
      <c r="AC17" s="37">
        <f t="shared" si="5"/>
        <v>6.6430000000000007</v>
      </c>
      <c r="AD17" s="37">
        <f t="shared" si="5"/>
        <v>1.0764</v>
      </c>
      <c r="AE17" s="37">
        <f t="shared" si="5"/>
        <v>2.8080000000000003</v>
      </c>
      <c r="AF17" s="77">
        <f t="shared" si="5"/>
        <v>202.8</v>
      </c>
      <c r="AG17" t="s">
        <v>5102</v>
      </c>
    </row>
    <row r="18" spans="1:33" x14ac:dyDescent="0.3">
      <c r="A18" t="s">
        <v>180</v>
      </c>
      <c r="B18" s="105" t="str">
        <f t="shared" ref="B18:B20" si="6">D18&amp;C18</f>
        <v>Wean-finish127</v>
      </c>
      <c r="C18" s="109">
        <v>127</v>
      </c>
      <c r="D18" s="71" t="s">
        <v>181</v>
      </c>
      <c r="E18" s="107">
        <v>2.7282051282051283</v>
      </c>
      <c r="F18" s="107">
        <v>0.27282051282051284</v>
      </c>
      <c r="G18" s="107">
        <v>0.21987179487179487</v>
      </c>
      <c r="H18" s="107">
        <v>2.292948717948718E-2</v>
      </c>
      <c r="I18" s="107">
        <f>H18*0.5</f>
        <v>1.146474358974359E-2</v>
      </c>
      <c r="J18" s="107">
        <v>8.5082307692307714E-3</v>
      </c>
      <c r="K18" s="107">
        <v>1.1680200000000002E-2</v>
      </c>
      <c r="Y18" s="7"/>
      <c r="Z18" s="7"/>
      <c r="AA18" s="7"/>
      <c r="AB18" s="7"/>
      <c r="AC18" s="7"/>
      <c r="AD18" s="7"/>
      <c r="AE18" s="7"/>
      <c r="AF18" s="214"/>
    </row>
    <row r="19" spans="1:33" x14ac:dyDescent="0.3">
      <c r="B19" s="104" t="str">
        <f t="shared" si="6"/>
        <v>Wean-finish182</v>
      </c>
      <c r="C19" s="50">
        <v>182</v>
      </c>
      <c r="D19" s="9" t="s">
        <v>181</v>
      </c>
      <c r="E19" s="102">
        <v>3.8974358974358974</v>
      </c>
      <c r="F19" s="102">
        <v>0.38974358974358975</v>
      </c>
      <c r="G19" s="102">
        <v>0.3141025641025641</v>
      </c>
      <c r="H19" s="102">
        <v>3.2756410256410261E-2</v>
      </c>
      <c r="I19" s="107">
        <f>H19*0.5</f>
        <v>1.637820512820513E-2</v>
      </c>
      <c r="J19" s="102">
        <v>1.2154615384615387E-2</v>
      </c>
      <c r="K19" s="102">
        <v>1.6686000000000003E-2</v>
      </c>
      <c r="Y19" s="7"/>
      <c r="Z19" s="7"/>
      <c r="AA19" s="7"/>
      <c r="AB19" s="7"/>
      <c r="AC19" s="7"/>
      <c r="AD19" s="7"/>
      <c r="AE19" s="7"/>
      <c r="AF19" s="214"/>
    </row>
    <row r="20" spans="1:33" ht="15" thickBot="1" x14ac:dyDescent="0.35">
      <c r="B20" s="103" t="str">
        <f t="shared" si="6"/>
        <v>Wean-finish236</v>
      </c>
      <c r="C20" s="24">
        <v>236</v>
      </c>
      <c r="D20" s="23" t="s">
        <v>181</v>
      </c>
      <c r="E20" s="556">
        <v>5.0666666666666664</v>
      </c>
      <c r="F20" s="556">
        <v>0.50666666666666671</v>
      </c>
      <c r="G20" s="556">
        <v>0.40833333333333333</v>
      </c>
      <c r="H20" s="556">
        <v>4.2583333333333341E-2</v>
      </c>
      <c r="I20" s="556">
        <f>H20*0.5</f>
        <v>2.1291666666666671E-2</v>
      </c>
      <c r="J20" s="556">
        <v>1.5801000000000003E-2</v>
      </c>
      <c r="K20" s="556">
        <v>2.1691800000000004E-2</v>
      </c>
      <c r="Y20" s="7"/>
      <c r="Z20" s="7"/>
      <c r="AA20" s="7"/>
      <c r="AB20" s="7"/>
      <c r="AC20" s="7"/>
      <c r="AD20" s="7"/>
      <c r="AE20" s="7"/>
      <c r="AF20" s="214"/>
    </row>
    <row r="21" spans="1:33" x14ac:dyDescent="0.3">
      <c r="B21" s="20"/>
      <c r="C21" s="42"/>
      <c r="D21" s="42"/>
      <c r="E21" s="129"/>
      <c r="F21" s="129"/>
      <c r="G21" s="129"/>
      <c r="H21" s="129"/>
      <c r="I21" s="129"/>
      <c r="J21" s="129"/>
      <c r="K21" s="129"/>
      <c r="Y21" s="7"/>
      <c r="Z21" s="7"/>
      <c r="AA21" s="7"/>
      <c r="AB21" s="7"/>
      <c r="AC21" s="7"/>
      <c r="AD21" s="7"/>
      <c r="AE21" s="7"/>
      <c r="AF21" s="214"/>
    </row>
    <row r="22" spans="1:33" x14ac:dyDescent="0.3">
      <c r="B22" s="20"/>
      <c r="C22" s="42"/>
      <c r="D22" s="42"/>
      <c r="F22" s="129"/>
      <c r="G22" s="129"/>
      <c r="H22" s="129"/>
      <c r="I22" s="129"/>
      <c r="J22" s="129"/>
      <c r="K22" s="129"/>
      <c r="Y22" s="7"/>
      <c r="Z22" s="7"/>
      <c r="AA22" s="7"/>
      <c r="AB22" s="7"/>
      <c r="AC22" s="7"/>
      <c r="AD22" s="7"/>
      <c r="AE22" s="7"/>
      <c r="AF22" s="214"/>
    </row>
    <row r="23" spans="1:33" x14ac:dyDescent="0.3">
      <c r="E23" s="129"/>
      <c r="F23" s="129"/>
      <c r="G23" s="129"/>
      <c r="H23" s="129"/>
      <c r="I23" s="129"/>
      <c r="J23" s="129"/>
      <c r="K23" s="129"/>
    </row>
    <row r="24" spans="1:33" x14ac:dyDescent="0.3">
      <c r="A24" s="3011" t="s">
        <v>172</v>
      </c>
      <c r="E24" s="129"/>
      <c r="F24" s="129"/>
      <c r="G24" s="129"/>
      <c r="H24" s="129"/>
      <c r="I24" s="129"/>
      <c r="J24" s="129"/>
      <c r="K24" s="129"/>
      <c r="X24" s="700" t="s">
        <v>5063</v>
      </c>
      <c r="Y24" s="3006" t="s">
        <v>5097</v>
      </c>
      <c r="Z24" s="3006"/>
      <c r="AA24" s="3006"/>
      <c r="AB24" s="3006"/>
      <c r="AC24" s="3006"/>
      <c r="AD24" s="3006"/>
      <c r="AE24" s="3006"/>
      <c r="AF24" s="3006"/>
      <c r="AG24" s="558">
        <v>0.3</v>
      </c>
    </row>
    <row r="25" spans="1:33" ht="15" customHeight="1" x14ac:dyDescent="0.3">
      <c r="A25" s="3011"/>
      <c r="E25" s="129"/>
      <c r="F25" s="129"/>
      <c r="G25" s="129"/>
      <c r="H25" s="129"/>
      <c r="I25" s="129"/>
      <c r="J25" s="129"/>
      <c r="K25" s="129"/>
      <c r="X25" s="49" t="s">
        <v>144</v>
      </c>
      <c r="Y25" s="37">
        <f>Y16</f>
        <v>57.75</v>
      </c>
      <c r="Z25" s="37">
        <f t="shared" ref="Z25:AD25" si="7">Z26-(Z26*$AG$24)</f>
        <v>2.7282051282051283</v>
      </c>
      <c r="AA25" s="37">
        <f t="shared" si="7"/>
        <v>0.27282051282051284</v>
      </c>
      <c r="AB25" s="37">
        <f t="shared" si="7"/>
        <v>0.21987179487179487</v>
      </c>
      <c r="AC25" s="37">
        <f t="shared" si="7"/>
        <v>2.292948717948718E-2</v>
      </c>
      <c r="AD25" s="37">
        <f t="shared" si="7"/>
        <v>3.7153846153846161E-3</v>
      </c>
      <c r="AE25" s="37">
        <f>AE26-(AE26*$AG$24)</f>
        <v>9.6923076923076928E-3</v>
      </c>
      <c r="AF25" s="9">
        <v>1</v>
      </c>
      <c r="AG25" t="s">
        <v>41</v>
      </c>
    </row>
    <row r="26" spans="1:33" x14ac:dyDescent="0.3">
      <c r="A26" s="3011"/>
      <c r="E26" s="129"/>
      <c r="F26" s="129"/>
      <c r="G26" s="129"/>
      <c r="H26" s="129"/>
      <c r="J26" s="129"/>
      <c r="K26" s="129"/>
      <c r="X26" s="49" t="s">
        <v>144</v>
      </c>
      <c r="Y26" s="77">
        <f>Y15</f>
        <v>82.5</v>
      </c>
      <c r="Z26" s="37">
        <f t="shared" ref="Z26:AF26" si="8">Z15/$AF$15</f>
        <v>3.8974358974358974</v>
      </c>
      <c r="AA26" s="37">
        <f t="shared" si="8"/>
        <v>0.38974358974358975</v>
      </c>
      <c r="AB26" s="37">
        <f t="shared" si="8"/>
        <v>0.3141025641025641</v>
      </c>
      <c r="AC26" s="37">
        <f t="shared" si="8"/>
        <v>3.2756410256410261E-2</v>
      </c>
      <c r="AD26" s="37">
        <f t="shared" si="8"/>
        <v>5.3076923076923084E-3</v>
      </c>
      <c r="AE26" s="37">
        <f t="shared" si="8"/>
        <v>1.3846153846153847E-2</v>
      </c>
      <c r="AF26" s="50">
        <f t="shared" si="8"/>
        <v>1</v>
      </c>
      <c r="AG26" t="s">
        <v>5101</v>
      </c>
    </row>
    <row r="27" spans="1:33" x14ac:dyDescent="0.3">
      <c r="A27" s="3011"/>
      <c r="E27" s="129"/>
      <c r="F27" s="129"/>
      <c r="G27" s="129"/>
      <c r="H27" s="129"/>
      <c r="J27" s="129"/>
      <c r="K27" s="129"/>
      <c r="X27" s="49" t="s">
        <v>144</v>
      </c>
      <c r="Y27" s="37">
        <f>Y17</f>
        <v>107.25</v>
      </c>
      <c r="Z27" s="37">
        <f t="shared" ref="Z27:AE27" si="9">Z26+(Z26*$AG$24)</f>
        <v>5.0666666666666664</v>
      </c>
      <c r="AA27" s="37">
        <f t="shared" si="9"/>
        <v>0.50666666666666671</v>
      </c>
      <c r="AB27" s="37">
        <f t="shared" si="9"/>
        <v>0.40833333333333333</v>
      </c>
      <c r="AC27" s="37">
        <f t="shared" si="9"/>
        <v>4.2583333333333341E-2</v>
      </c>
      <c r="AD27" s="37">
        <f t="shared" si="9"/>
        <v>6.9000000000000008E-3</v>
      </c>
      <c r="AE27" s="37">
        <f t="shared" si="9"/>
        <v>1.8000000000000002E-2</v>
      </c>
      <c r="AF27" s="9">
        <v>1</v>
      </c>
      <c r="AG27" t="s">
        <v>5102</v>
      </c>
    </row>
    <row r="28" spans="1:33" x14ac:dyDescent="0.3">
      <c r="A28" s="3011"/>
      <c r="Y28" s="536">
        <v>2.2046199999999998</v>
      </c>
      <c r="AD28" s="706">
        <v>2.29</v>
      </c>
      <c r="AE28" s="707">
        <v>1.2051000000000001</v>
      </c>
    </row>
    <row r="29" spans="1:33" x14ac:dyDescent="0.3">
      <c r="A29" s="3011"/>
      <c r="X29" s="67" t="s">
        <v>5103</v>
      </c>
      <c r="Y29" s="3006" t="s">
        <v>5097</v>
      </c>
      <c r="Z29" s="3006"/>
      <c r="AA29" s="3006"/>
      <c r="AB29" s="3006"/>
      <c r="AC29" s="3006"/>
      <c r="AD29" s="3006"/>
      <c r="AE29" s="3006"/>
      <c r="AF29" s="3006"/>
    </row>
    <row r="30" spans="1:33" x14ac:dyDescent="0.3">
      <c r="A30" s="3011"/>
      <c r="E30" s="129"/>
      <c r="F30" s="129"/>
      <c r="G30" s="129"/>
      <c r="H30" s="129"/>
      <c r="I30" s="129"/>
      <c r="J30" s="129"/>
      <c r="K30" s="129"/>
      <c r="X30" s="700" t="s">
        <v>5063</v>
      </c>
      <c r="Y30" s="700" t="s">
        <v>5064</v>
      </c>
      <c r="Z30" s="700" t="s">
        <v>5065</v>
      </c>
      <c r="AA30" s="700" t="s">
        <v>706</v>
      </c>
      <c r="AB30" s="700" t="s">
        <v>708</v>
      </c>
      <c r="AC30" s="708" t="s">
        <v>84</v>
      </c>
      <c r="AD30" s="708" t="s">
        <v>941</v>
      </c>
      <c r="AE30" s="708" t="s">
        <v>934</v>
      </c>
      <c r="AF30" s="700" t="s">
        <v>5066</v>
      </c>
    </row>
    <row r="31" spans="1:33" x14ac:dyDescent="0.3">
      <c r="A31" s="3011"/>
      <c r="E31" s="129"/>
      <c r="F31" s="129"/>
      <c r="G31" s="129"/>
      <c r="H31" s="129"/>
      <c r="I31" s="129"/>
      <c r="J31" s="129"/>
      <c r="K31" s="129"/>
      <c r="X31" s="49" t="s">
        <v>144</v>
      </c>
      <c r="Y31" s="50">
        <f>Y25*$Y$28</f>
        <v>127.31680499999999</v>
      </c>
      <c r="Z31" s="37">
        <f>Z25</f>
        <v>2.7282051282051283</v>
      </c>
      <c r="AA31" s="37">
        <f t="shared" ref="Z31:AC33" si="10">AA25</f>
        <v>0.27282051282051284</v>
      </c>
      <c r="AB31" s="37">
        <f t="shared" si="10"/>
        <v>0.21987179487179487</v>
      </c>
      <c r="AC31" s="37">
        <f t="shared" si="10"/>
        <v>2.292948717948718E-2</v>
      </c>
      <c r="AD31" s="102">
        <f>AD25*$AD$28</f>
        <v>8.5082307692307714E-3</v>
      </c>
      <c r="AE31" s="102">
        <f>AE25*$AE$28</f>
        <v>1.1680200000000002E-2</v>
      </c>
      <c r="AF31" s="9">
        <v>1</v>
      </c>
      <c r="AG31" t="s">
        <v>41</v>
      </c>
    </row>
    <row r="32" spans="1:33" x14ac:dyDescent="0.3">
      <c r="A32" s="3011"/>
      <c r="E32" s="129"/>
      <c r="F32" s="129"/>
      <c r="G32" s="129"/>
      <c r="H32" s="129"/>
      <c r="I32" s="129"/>
      <c r="J32" s="129"/>
      <c r="K32" s="129"/>
      <c r="X32" s="49" t="s">
        <v>144</v>
      </c>
      <c r="Y32" s="50">
        <f t="shared" ref="Y32:Y33" si="11">Y26*$Y$28</f>
        <v>181.88114999999999</v>
      </c>
      <c r="Z32" s="37">
        <f t="shared" si="10"/>
        <v>3.8974358974358974</v>
      </c>
      <c r="AA32" s="37">
        <f t="shared" si="10"/>
        <v>0.38974358974358975</v>
      </c>
      <c r="AB32" s="37">
        <f t="shared" si="10"/>
        <v>0.3141025641025641</v>
      </c>
      <c r="AC32" s="37">
        <f t="shared" si="10"/>
        <v>3.2756410256410261E-2</v>
      </c>
      <c r="AD32" s="102">
        <f>AD26*$AD$28</f>
        <v>1.2154615384615387E-2</v>
      </c>
      <c r="AE32" s="102">
        <f>AE26*$AE$28</f>
        <v>1.6686000000000003E-2</v>
      </c>
      <c r="AF32" s="9">
        <v>1</v>
      </c>
      <c r="AG32" t="s">
        <v>5101</v>
      </c>
    </row>
    <row r="33" spans="1:33" x14ac:dyDescent="0.3">
      <c r="A33" s="3011"/>
      <c r="E33" s="129"/>
      <c r="F33" s="129"/>
      <c r="G33" s="129"/>
      <c r="H33" s="129"/>
      <c r="I33" s="129"/>
      <c r="J33" s="129"/>
      <c r="K33" s="129"/>
      <c r="X33" s="49" t="s">
        <v>144</v>
      </c>
      <c r="Y33" s="50">
        <f t="shared" si="11"/>
        <v>236.44549499999997</v>
      </c>
      <c r="Z33" s="37">
        <f t="shared" si="10"/>
        <v>5.0666666666666664</v>
      </c>
      <c r="AA33" s="37">
        <f t="shared" si="10"/>
        <v>0.50666666666666671</v>
      </c>
      <c r="AB33" s="37">
        <f t="shared" si="10"/>
        <v>0.40833333333333333</v>
      </c>
      <c r="AC33" s="37">
        <f t="shared" si="10"/>
        <v>4.2583333333333341E-2</v>
      </c>
      <c r="AD33" s="102">
        <f>AD27*$AD$28</f>
        <v>1.5801000000000003E-2</v>
      </c>
      <c r="AE33" s="102">
        <f>AE27*$AE$28</f>
        <v>2.1691800000000004E-2</v>
      </c>
      <c r="AF33" s="9">
        <v>1</v>
      </c>
      <c r="AG33" t="s">
        <v>5102</v>
      </c>
    </row>
    <row r="34" spans="1:33" x14ac:dyDescent="0.3">
      <c r="E34" s="129"/>
      <c r="F34" s="129"/>
      <c r="G34" s="129"/>
      <c r="H34" s="129"/>
      <c r="I34" s="129"/>
      <c r="J34" s="129"/>
      <c r="K34" s="129"/>
    </row>
    <row r="35" spans="1:33" x14ac:dyDescent="0.3">
      <c r="A35" s="3011" t="s">
        <v>174</v>
      </c>
    </row>
    <row r="36" spans="1:33" x14ac:dyDescent="0.3">
      <c r="A36" s="3011"/>
      <c r="F36" s="7"/>
      <c r="G36" s="42"/>
    </row>
    <row r="37" spans="1:33" x14ac:dyDescent="0.3">
      <c r="A37" s="3011"/>
    </row>
    <row r="38" spans="1:33" x14ac:dyDescent="0.3">
      <c r="A38" s="3011"/>
    </row>
    <row r="39" spans="1:33" x14ac:dyDescent="0.3">
      <c r="A39" s="3011"/>
    </row>
    <row r="40" spans="1:33" x14ac:dyDescent="0.3">
      <c r="A40" s="3011"/>
    </row>
    <row r="41" spans="1:33" x14ac:dyDescent="0.3">
      <c r="A41" s="3011"/>
    </row>
    <row r="42" spans="1:33" x14ac:dyDescent="0.3">
      <c r="A42" s="3011"/>
    </row>
    <row r="43" spans="1:33" x14ac:dyDescent="0.3">
      <c r="A43" s="3011"/>
    </row>
    <row r="44" spans="1:33" x14ac:dyDescent="0.3">
      <c r="A44" s="3011"/>
    </row>
    <row r="46" spans="1:33" x14ac:dyDescent="0.3">
      <c r="A46" s="3011" t="s">
        <v>177</v>
      </c>
    </row>
    <row r="47" spans="1:33" x14ac:dyDescent="0.3">
      <c r="A47" s="3011"/>
    </row>
    <row r="48" spans="1:33" x14ac:dyDescent="0.3">
      <c r="A48" s="3011"/>
    </row>
    <row r="49" spans="1:1" x14ac:dyDescent="0.3">
      <c r="A49" s="3011"/>
    </row>
    <row r="50" spans="1:1" x14ac:dyDescent="0.3">
      <c r="A50" s="3011"/>
    </row>
    <row r="51" spans="1:1" x14ac:dyDescent="0.3">
      <c r="A51" s="3011"/>
    </row>
    <row r="52" spans="1:1" x14ac:dyDescent="0.3">
      <c r="A52" s="3011"/>
    </row>
    <row r="53" spans="1:1" x14ac:dyDescent="0.3">
      <c r="A53" s="3011"/>
    </row>
    <row r="54" spans="1:1" x14ac:dyDescent="0.3">
      <c r="A54" s="3011"/>
    </row>
    <row r="55" spans="1:1" x14ac:dyDescent="0.3">
      <c r="A55" s="3011"/>
    </row>
    <row r="57" spans="1:1" x14ac:dyDescent="0.3">
      <c r="A57" s="3011" t="s">
        <v>179</v>
      </c>
    </row>
    <row r="58" spans="1:1" x14ac:dyDescent="0.3">
      <c r="A58" s="3011"/>
    </row>
    <row r="59" spans="1:1" x14ac:dyDescent="0.3">
      <c r="A59" s="3011"/>
    </row>
    <row r="60" spans="1:1" x14ac:dyDescent="0.3">
      <c r="A60" s="3011"/>
    </row>
    <row r="61" spans="1:1" x14ac:dyDescent="0.3">
      <c r="A61" s="3011"/>
    </row>
    <row r="62" spans="1:1" x14ac:dyDescent="0.3">
      <c r="A62" s="3011"/>
    </row>
    <row r="63" spans="1:1" x14ac:dyDescent="0.3">
      <c r="A63" s="3011"/>
    </row>
    <row r="64" spans="1:1" x14ac:dyDescent="0.3">
      <c r="A64" s="3011"/>
    </row>
    <row r="65" spans="1:1" x14ac:dyDescent="0.3">
      <c r="A65" s="3011"/>
    </row>
    <row r="66" spans="1:1" x14ac:dyDescent="0.3">
      <c r="A66" s="3011"/>
    </row>
    <row r="67" spans="1:1" ht="21" x14ac:dyDescent="0.3">
      <c r="A67" s="709"/>
    </row>
    <row r="68" spans="1:1" x14ac:dyDescent="0.3">
      <c r="A68" s="3011" t="s">
        <v>181</v>
      </c>
    </row>
    <row r="69" spans="1:1" x14ac:dyDescent="0.3">
      <c r="A69" s="3011"/>
    </row>
    <row r="70" spans="1:1" x14ac:dyDescent="0.3">
      <c r="A70" s="3011"/>
    </row>
    <row r="71" spans="1:1" x14ac:dyDescent="0.3">
      <c r="A71" s="3011"/>
    </row>
    <row r="72" spans="1:1" x14ac:dyDescent="0.3">
      <c r="A72" s="3011"/>
    </row>
    <row r="73" spans="1:1" x14ac:dyDescent="0.3">
      <c r="A73" s="3011"/>
    </row>
    <row r="74" spans="1:1" x14ac:dyDescent="0.3">
      <c r="A74" s="3011"/>
    </row>
    <row r="75" spans="1:1" x14ac:dyDescent="0.3">
      <c r="A75" s="3011"/>
    </row>
    <row r="76" spans="1:1" x14ac:dyDescent="0.3">
      <c r="A76" s="3011"/>
    </row>
    <row r="77" spans="1:1" x14ac:dyDescent="0.3">
      <c r="A77" s="3011"/>
    </row>
    <row r="83" spans="1:29" ht="21" x14ac:dyDescent="0.3">
      <c r="A83" s="709"/>
      <c r="O83" s="551"/>
      <c r="P83" s="551"/>
      <c r="Q83" s="67" t="s">
        <v>5099</v>
      </c>
      <c r="R83" s="9"/>
      <c r="S83" s="49"/>
      <c r="U83" s="551"/>
      <c r="V83" s="551"/>
      <c r="W83" s="551"/>
      <c r="X83" s="551"/>
      <c r="Y83" s="67" t="s">
        <v>5099</v>
      </c>
      <c r="Z83" s="9"/>
      <c r="AA83" s="49"/>
    </row>
    <row r="84" spans="1:29" x14ac:dyDescent="0.3">
      <c r="B84" s="32" t="s">
        <v>5104</v>
      </c>
      <c r="C84" s="32" t="s">
        <v>5105</v>
      </c>
      <c r="O84" s="551" t="s">
        <v>5106</v>
      </c>
      <c r="P84" s="521" t="s">
        <v>5107</v>
      </c>
      <c r="Q84" s="521" t="s">
        <v>41</v>
      </c>
      <c r="R84" s="521" t="s">
        <v>42</v>
      </c>
      <c r="S84" s="521" t="s">
        <v>5108</v>
      </c>
      <c r="U84" s="551" t="s">
        <v>5106</v>
      </c>
      <c r="V84" s="551"/>
      <c r="W84" s="551"/>
      <c r="X84" s="521" t="s">
        <v>5107</v>
      </c>
      <c r="Y84" s="521" t="s">
        <v>41</v>
      </c>
      <c r="Z84" s="521" t="s">
        <v>42</v>
      </c>
      <c r="AA84" s="521" t="s">
        <v>39</v>
      </c>
    </row>
    <row r="85" spans="1:29" x14ac:dyDescent="0.3">
      <c r="C85" s="891" t="s">
        <v>5109</v>
      </c>
      <c r="D85" s="815" t="s">
        <v>5110</v>
      </c>
      <c r="G85" s="94" t="s">
        <v>5111</v>
      </c>
      <c r="H85" s="657">
        <v>45469</v>
      </c>
      <c r="O85" s="9" t="s">
        <v>2672</v>
      </c>
      <c r="P85" s="9" t="s">
        <v>172</v>
      </c>
      <c r="Q85" s="9">
        <v>25</v>
      </c>
      <c r="R85" s="9">
        <v>40</v>
      </c>
      <c r="S85" s="9">
        <f>UDV.animal.a_weight</f>
        <v>40</v>
      </c>
      <c r="U85" s="48" t="s">
        <v>5112</v>
      </c>
      <c r="V85" s="48"/>
      <c r="W85" s="48"/>
      <c r="X85" s="9" t="s">
        <v>5113</v>
      </c>
      <c r="Y85" s="50">
        <f>Y31</f>
        <v>127.31680499999999</v>
      </c>
      <c r="Z85" s="50">
        <f>Y33</f>
        <v>236.44549499999997</v>
      </c>
      <c r="AA85" s="50">
        <f>Y32</f>
        <v>181.88114999999999</v>
      </c>
    </row>
    <row r="86" spans="1:29" x14ac:dyDescent="0.3">
      <c r="A86" s="892" t="s">
        <v>5114</v>
      </c>
      <c r="B86" s="893" t="s">
        <v>5114</v>
      </c>
      <c r="C86" s="894" t="s">
        <v>5115</v>
      </c>
      <c r="D86" s="894" t="s">
        <v>5116</v>
      </c>
      <c r="O86" s="9" t="s">
        <v>2677</v>
      </c>
      <c r="P86" s="9" t="s">
        <v>174</v>
      </c>
      <c r="Q86" s="9">
        <v>150</v>
      </c>
      <c r="R86" s="9">
        <v>300</v>
      </c>
      <c r="S86" s="9">
        <f>UDV.animal.b_weight</f>
        <v>280</v>
      </c>
    </row>
    <row r="87" spans="1:29" x14ac:dyDescent="0.3">
      <c r="A87" s="895" t="s">
        <v>3679</v>
      </c>
      <c r="B87" s="895" t="s">
        <v>4182</v>
      </c>
      <c r="C87" s="896">
        <v>236.3125</v>
      </c>
      <c r="D87" s="894">
        <v>6</v>
      </c>
      <c r="G87" s="82" t="s">
        <v>5117</v>
      </c>
      <c r="H87" t="s">
        <v>41</v>
      </c>
      <c r="I87" t="s">
        <v>42</v>
      </c>
      <c r="O87" s="9" t="s">
        <v>5118</v>
      </c>
      <c r="P87" s="9" t="s">
        <v>177</v>
      </c>
      <c r="Q87" s="9">
        <v>300</v>
      </c>
      <c r="R87" s="9">
        <v>500</v>
      </c>
      <c r="S87" s="9">
        <f>UDV.animal.c_weight</f>
        <v>400</v>
      </c>
    </row>
    <row r="88" spans="1:29" x14ac:dyDescent="0.3">
      <c r="A88" s="895" t="s">
        <v>3680</v>
      </c>
      <c r="B88" s="895" t="s">
        <v>4183</v>
      </c>
      <c r="C88" s="896">
        <v>24.03125</v>
      </c>
      <c r="D88" s="894">
        <v>6</v>
      </c>
      <c r="G88" s="49" t="s">
        <v>5119</v>
      </c>
      <c r="H88" s="9">
        <v>1</v>
      </c>
      <c r="I88" s="9">
        <v>5</v>
      </c>
      <c r="J88" s="52">
        <f>UDV.sprinkler.on_time</f>
        <v>3</v>
      </c>
      <c r="K88" s="49" t="s">
        <v>5120</v>
      </c>
      <c r="L88" s="7">
        <v>3.7854100000000002</v>
      </c>
      <c r="M88" s="42"/>
      <c r="O88" s="9" t="s">
        <v>5121</v>
      </c>
      <c r="P88" s="9" t="s">
        <v>179</v>
      </c>
      <c r="Q88" s="9">
        <v>375</v>
      </c>
      <c r="R88" s="9">
        <v>600</v>
      </c>
      <c r="S88" s="9">
        <f>UDV.animal.d_weight</f>
        <v>423</v>
      </c>
    </row>
    <row r="89" spans="1:29" x14ac:dyDescent="0.3">
      <c r="A89" s="895" t="s">
        <v>3681</v>
      </c>
      <c r="B89" s="895" t="s">
        <v>4184</v>
      </c>
      <c r="C89" s="896">
        <v>178.5625</v>
      </c>
      <c r="D89" s="894">
        <v>6</v>
      </c>
      <c r="G89" s="49" t="s">
        <v>5122</v>
      </c>
      <c r="H89" s="9">
        <v>1</v>
      </c>
      <c r="I89" s="9">
        <v>96</v>
      </c>
      <c r="J89" s="52">
        <f>UDV.sprinkler.cycles</f>
        <v>6</v>
      </c>
      <c r="K89" s="49" t="s">
        <v>5123</v>
      </c>
      <c r="L89" s="42"/>
      <c r="M89" s="42"/>
      <c r="O89" s="9" t="s">
        <v>5112</v>
      </c>
      <c r="P89" s="9" t="s">
        <v>181</v>
      </c>
      <c r="Q89" s="9">
        <v>127</v>
      </c>
      <c r="R89" s="9">
        <v>300</v>
      </c>
      <c r="S89" s="9">
        <f>UDV.animal.e_weight</f>
        <v>260</v>
      </c>
      <c r="T89" s="558">
        <v>0.3</v>
      </c>
    </row>
    <row r="90" spans="1:29" x14ac:dyDescent="0.3">
      <c r="A90" s="895" t="s">
        <v>2203</v>
      </c>
      <c r="B90" s="895" t="s">
        <v>4185</v>
      </c>
      <c r="C90" s="896">
        <v>203.96875</v>
      </c>
      <c r="D90" s="894">
        <v>6</v>
      </c>
      <c r="E90" s="42">
        <v>7.2</v>
      </c>
      <c r="G90" s="49" t="s">
        <v>5124</v>
      </c>
      <c r="H90" s="9">
        <v>0.1</v>
      </c>
      <c r="I90" s="9">
        <v>3</v>
      </c>
      <c r="J90" s="52">
        <f>UDV.sprinkler.flow</f>
        <v>0.1</v>
      </c>
      <c r="K90" s="49" t="s">
        <v>2494</v>
      </c>
      <c r="L90" s="7">
        <v>0.5</v>
      </c>
      <c r="M90" s="7">
        <v>3</v>
      </c>
      <c r="N90" t="s">
        <v>2516</v>
      </c>
    </row>
    <row r="91" spans="1:29" x14ac:dyDescent="0.3">
      <c r="A91" s="895" t="s">
        <v>3682</v>
      </c>
      <c r="B91" s="895" t="s">
        <v>4186</v>
      </c>
      <c r="C91" s="896">
        <v>217.6875</v>
      </c>
      <c r="D91" s="894">
        <v>6</v>
      </c>
      <c r="G91" s="591" t="s">
        <v>5125</v>
      </c>
      <c r="H91" s="1183">
        <v>0.01</v>
      </c>
      <c r="I91" s="1183">
        <v>1</v>
      </c>
      <c r="J91" s="55">
        <f>UDV.sprinkler.evaporative_cooling</f>
        <v>0.8</v>
      </c>
      <c r="K91" s="591" t="s">
        <v>188</v>
      </c>
      <c r="L91" s="7">
        <f>H90*L88</f>
        <v>0.37854100000000002</v>
      </c>
      <c r="M91" s="7">
        <f>I90*L88</f>
        <v>11.35623</v>
      </c>
      <c r="N91" t="s">
        <v>5126</v>
      </c>
    </row>
    <row r="92" spans="1:29" x14ac:dyDescent="0.3">
      <c r="A92" s="895" t="s">
        <v>3683</v>
      </c>
      <c r="B92" s="895" t="s">
        <v>4187</v>
      </c>
      <c r="C92" s="896">
        <v>82.90625</v>
      </c>
      <c r="D92" s="894">
        <v>6</v>
      </c>
      <c r="G92" s="49" t="s">
        <v>5127</v>
      </c>
      <c r="H92" s="49"/>
      <c r="I92" s="49"/>
      <c r="J92" s="98">
        <f>UDV.u.state_temp_days</f>
        <v>43.85</v>
      </c>
      <c r="K92" s="49" t="s">
        <v>5128</v>
      </c>
      <c r="O92" s="106" t="s">
        <v>5107</v>
      </c>
      <c r="P92" s="3007" t="s">
        <v>5129</v>
      </c>
      <c r="Q92" s="3007" t="s">
        <v>5130</v>
      </c>
      <c r="R92" s="3012" t="s">
        <v>5054</v>
      </c>
      <c r="S92" s="61"/>
      <c r="T92" s="61"/>
      <c r="U92" s="61"/>
      <c r="V92" s="1038"/>
      <c r="W92" s="1038"/>
      <c r="X92" s="3009" t="s">
        <v>5131</v>
      </c>
      <c r="AA92" t="s">
        <v>172</v>
      </c>
      <c r="AB92" s="42">
        <v>4</v>
      </c>
      <c r="AC92">
        <v>15.14</v>
      </c>
    </row>
    <row r="93" spans="1:29" ht="15" customHeight="1" x14ac:dyDescent="0.3">
      <c r="A93" s="895" t="s">
        <v>3684</v>
      </c>
      <c r="B93" s="895" t="s">
        <v>4188</v>
      </c>
      <c r="C93" s="896">
        <v>127.375</v>
      </c>
      <c r="D93" s="894">
        <v>6</v>
      </c>
      <c r="G93" s="49" t="s">
        <v>5132</v>
      </c>
      <c r="H93" s="9"/>
      <c r="I93" s="9"/>
      <c r="J93" s="496">
        <f>J90*3.78541</f>
        <v>0.37854100000000002</v>
      </c>
      <c r="K93" s="49" t="s">
        <v>2495</v>
      </c>
      <c r="O93" s="561" t="s">
        <v>5133</v>
      </c>
      <c r="P93" s="3008"/>
      <c r="Q93" s="3008"/>
      <c r="R93" s="3013"/>
      <c r="S93" s="561" t="s">
        <v>41</v>
      </c>
      <c r="T93" s="561" t="s">
        <v>42</v>
      </c>
      <c r="U93" s="561" t="s">
        <v>39</v>
      </c>
      <c r="V93" s="561" t="s">
        <v>4664</v>
      </c>
      <c r="W93" s="561" t="s">
        <v>5134</v>
      </c>
      <c r="X93" s="3009"/>
      <c r="AA93" t="s">
        <v>5135</v>
      </c>
      <c r="AB93" s="42">
        <v>15</v>
      </c>
      <c r="AC93">
        <v>56.78</v>
      </c>
    </row>
    <row r="94" spans="1:29" x14ac:dyDescent="0.3">
      <c r="A94" s="895" t="s">
        <v>3685</v>
      </c>
      <c r="B94" s="895" t="s">
        <v>4189</v>
      </c>
      <c r="C94" s="896">
        <v>157.09375</v>
      </c>
      <c r="D94" s="894">
        <v>6</v>
      </c>
      <c r="G94" s="49" t="s">
        <v>2599</v>
      </c>
      <c r="H94" s="49"/>
      <c r="I94" s="49"/>
      <c r="J94" s="98">
        <f>J93*J88*J89</f>
        <v>6.8137380000000007</v>
      </c>
      <c r="K94" s="49" t="s">
        <v>2499</v>
      </c>
      <c r="L94" s="79">
        <f>J95*0.264172</f>
        <v>78.929947157943616</v>
      </c>
      <c r="M94" t="e">
        <f>FIND(":",P94)</f>
        <v>#VALUE!</v>
      </c>
      <c r="N94" s="314"/>
      <c r="O94" s="9" t="s">
        <v>172</v>
      </c>
      <c r="P94" s="9" t="s">
        <v>218</v>
      </c>
      <c r="Q94" s="563" t="s">
        <v>5056</v>
      </c>
      <c r="R94" s="560">
        <f>S85</f>
        <v>40</v>
      </c>
      <c r="S94" s="102">
        <f>ROUNDDOWN(U94-(U94*$T$89),3)</f>
        <v>0.95299999999999996</v>
      </c>
      <c r="T94" s="102">
        <f>ROUNDUP(U94+(U94*$T$89),3)</f>
        <v>1.7709999999999999</v>
      </c>
      <c r="U94" s="557">
        <f>R94*V94+W94</f>
        <v>1.3622000000000001</v>
      </c>
      <c r="V94" s="1036">
        <v>3.3300000000000003E-2</v>
      </c>
      <c r="W94" s="1037">
        <v>3.0200000000000001E-2</v>
      </c>
      <c r="X94" s="391" t="s">
        <v>5067</v>
      </c>
      <c r="AA94" t="s">
        <v>5136</v>
      </c>
      <c r="AB94" s="42">
        <v>25</v>
      </c>
      <c r="AC94">
        <v>94.64</v>
      </c>
    </row>
    <row r="95" spans="1:29" x14ac:dyDescent="0.3">
      <c r="A95" s="895" t="s">
        <v>3687</v>
      </c>
      <c r="B95" s="895" t="s">
        <v>4191</v>
      </c>
      <c r="C95" s="896">
        <v>327.5</v>
      </c>
      <c r="D95" s="894">
        <v>6</v>
      </c>
      <c r="G95" s="49" t="s">
        <v>5137</v>
      </c>
      <c r="H95" s="49"/>
      <c r="I95" s="49"/>
      <c r="J95" s="98">
        <f>J94*J92</f>
        <v>298.78241130000004</v>
      </c>
      <c r="K95" s="49" t="s">
        <v>2498</v>
      </c>
      <c r="L95" s="7">
        <f>UDV.u.state_temp_days</f>
        <v>43.85</v>
      </c>
      <c r="M95" t="e">
        <f t="shared" ref="M95:M122" si="12">FIND(":",P95)</f>
        <v>#VALUE!</v>
      </c>
      <c r="N95" s="314"/>
      <c r="O95" s="9" t="s">
        <v>2672</v>
      </c>
      <c r="P95" s="9" t="s">
        <v>219</v>
      </c>
      <c r="Q95" s="563" t="s">
        <v>5057</v>
      </c>
      <c r="R95" s="560">
        <f>S85</f>
        <v>40</v>
      </c>
      <c r="S95" s="102">
        <f t="shared" ref="S95:S128" si="13">ROUNDDOWN(U95-(U95*$T$89),3)</f>
        <v>0.10299999999999999</v>
      </c>
      <c r="T95" s="102">
        <f t="shared" ref="T95:T128" si="14">ROUNDUP(U95+(U95*$T$89),3)</f>
        <v>0.19400000000000001</v>
      </c>
      <c r="U95" s="557">
        <f t="shared" ref="U95:U128" si="15">R95*V95+W95</f>
        <v>0.14849999999999999</v>
      </c>
      <c r="V95" s="1036">
        <v>3.5999999999999999E-3</v>
      </c>
      <c r="W95" s="1037">
        <v>4.4999999999999997E-3</v>
      </c>
      <c r="X95" s="391" t="s">
        <v>5068</v>
      </c>
      <c r="AA95" t="s">
        <v>5138</v>
      </c>
      <c r="AB95" s="42">
        <v>35</v>
      </c>
      <c r="AC95">
        <v>132.5</v>
      </c>
    </row>
    <row r="96" spans="1:29" ht="15" customHeight="1" x14ac:dyDescent="0.3">
      <c r="A96" s="895" t="s">
        <v>3688</v>
      </c>
      <c r="B96" s="895" t="s">
        <v>4192</v>
      </c>
      <c r="C96" s="896">
        <v>222.9375</v>
      </c>
      <c r="D96" s="894">
        <v>6</v>
      </c>
      <c r="G96" s="80" t="s">
        <v>5139</v>
      </c>
      <c r="H96" s="1210" t="s">
        <v>5140</v>
      </c>
      <c r="I96" s="80"/>
      <c r="J96" s="301">
        <f>(J95/365)-((J95/365)*J91)</f>
        <v>0.16371638975342462</v>
      </c>
      <c r="K96" s="80" t="s">
        <v>2499</v>
      </c>
      <c r="M96" t="e">
        <f t="shared" si="12"/>
        <v>#VALUE!</v>
      </c>
      <c r="N96" s="314"/>
      <c r="O96" s="9" t="s">
        <v>172</v>
      </c>
      <c r="P96" s="9" t="s">
        <v>220</v>
      </c>
      <c r="Q96" s="563" t="s">
        <v>5058</v>
      </c>
      <c r="R96" s="560">
        <f>S85</f>
        <v>40</v>
      </c>
      <c r="S96" s="102">
        <f t="shared" si="13"/>
        <v>8.5000000000000006E-2</v>
      </c>
      <c r="T96" s="102">
        <f t="shared" si="14"/>
        <v>0.158</v>
      </c>
      <c r="U96" s="557">
        <f t="shared" si="15"/>
        <v>0.1215</v>
      </c>
      <c r="V96" s="1036">
        <v>3.0000000000000001E-3</v>
      </c>
      <c r="W96" s="1037">
        <v>1.5E-3</v>
      </c>
      <c r="X96" s="391" t="s">
        <v>5069</v>
      </c>
    </row>
    <row r="97" spans="1:32" x14ac:dyDescent="0.3">
      <c r="A97" s="895" t="s">
        <v>3689</v>
      </c>
      <c r="B97" s="895" t="s">
        <v>4193</v>
      </c>
      <c r="C97" s="896">
        <v>231.03125</v>
      </c>
      <c r="D97" s="894">
        <v>6</v>
      </c>
      <c r="G97" s="80" t="s">
        <v>5141</v>
      </c>
      <c r="H97" s="80"/>
      <c r="I97" s="80"/>
      <c r="J97" s="301">
        <f>J95/365</f>
        <v>0.81858194876712342</v>
      </c>
      <c r="K97" s="80" t="s">
        <v>2499</v>
      </c>
      <c r="M97" t="e">
        <f t="shared" si="12"/>
        <v>#VALUE!</v>
      </c>
      <c r="N97" s="314"/>
      <c r="O97" s="9" t="s">
        <v>172</v>
      </c>
      <c r="P97" s="9" t="s">
        <v>221</v>
      </c>
      <c r="Q97" s="28" t="s">
        <v>5142</v>
      </c>
      <c r="R97" s="560">
        <f>S85</f>
        <v>40</v>
      </c>
      <c r="S97" s="102">
        <f t="shared" si="13"/>
        <v>9.6000000000000002E-2</v>
      </c>
      <c r="T97" s="102">
        <f t="shared" si="14"/>
        <v>0.17899999999999999</v>
      </c>
      <c r="U97" s="557">
        <f t="shared" si="15"/>
        <v>0.13740000000000002</v>
      </c>
      <c r="V97" s="1036">
        <v>8.5000000000000006E-3</v>
      </c>
      <c r="W97" s="1037">
        <v>-0.2026</v>
      </c>
      <c r="X97" s="391" t="s">
        <v>5070</v>
      </c>
      <c r="Z97" s="2997" t="s">
        <v>5143</v>
      </c>
      <c r="AA97" s="2998"/>
      <c r="AB97" s="2998"/>
      <c r="AC97" s="2998"/>
      <c r="AD97" s="2998"/>
      <c r="AE97" s="2999"/>
    </row>
    <row r="98" spans="1:32" x14ac:dyDescent="0.3">
      <c r="A98" s="895" t="s">
        <v>3690</v>
      </c>
      <c r="B98" s="895" t="s">
        <v>4194</v>
      </c>
      <c r="C98" s="896">
        <v>49.375000000000007</v>
      </c>
      <c r="D98" s="894">
        <v>6</v>
      </c>
      <c r="H98" t="s">
        <v>41</v>
      </c>
      <c r="I98" t="s">
        <v>42</v>
      </c>
      <c r="J98" s="90"/>
      <c r="M98" t="e">
        <f t="shared" si="12"/>
        <v>#VALUE!</v>
      </c>
      <c r="N98" s="314"/>
      <c r="O98" s="9" t="s">
        <v>172</v>
      </c>
      <c r="P98" s="9" t="s">
        <v>5144</v>
      </c>
      <c r="Q98" s="28" t="s">
        <v>5145</v>
      </c>
      <c r="R98" s="560">
        <f>S85</f>
        <v>40</v>
      </c>
      <c r="S98" s="102">
        <f t="shared" si="13"/>
        <v>2.7E-2</v>
      </c>
      <c r="T98" s="102">
        <f t="shared" si="14"/>
        <v>5.1000000000000004E-2</v>
      </c>
      <c r="U98" s="557">
        <f t="shared" si="15"/>
        <v>3.9200000000000006E-2</v>
      </c>
      <c r="V98" s="1036">
        <v>2.5000000000000001E-3</v>
      </c>
      <c r="W98" s="1037">
        <v>-6.08E-2</v>
      </c>
      <c r="X98" s="391" t="s">
        <v>5071</v>
      </c>
      <c r="Z98" s="49" t="s">
        <v>5146</v>
      </c>
      <c r="AA98" s="49" t="s">
        <v>2664</v>
      </c>
      <c r="AB98" s="68" t="s">
        <v>41</v>
      </c>
      <c r="AC98" s="68" t="s">
        <v>42</v>
      </c>
      <c r="AD98" s="68" t="s">
        <v>39</v>
      </c>
      <c r="AE98" s="49"/>
      <c r="AF98" s="1016" t="s">
        <v>5129</v>
      </c>
    </row>
    <row r="99" spans="1:32" ht="15.6" x14ac:dyDescent="0.3">
      <c r="A99" s="895" t="s">
        <v>3691</v>
      </c>
      <c r="B99" s="895" t="s">
        <v>4195</v>
      </c>
      <c r="C99" s="896">
        <v>152.65625</v>
      </c>
      <c r="D99" s="894">
        <v>6</v>
      </c>
      <c r="G99" s="1071" t="s">
        <v>5119</v>
      </c>
      <c r="H99" s="1072">
        <v>1</v>
      </c>
      <c r="I99" s="1072">
        <v>5</v>
      </c>
      <c r="J99" s="1073">
        <v>3</v>
      </c>
      <c r="K99" s="1071" t="s">
        <v>5120</v>
      </c>
      <c r="M99" t="e">
        <f t="shared" si="12"/>
        <v>#VALUE!</v>
      </c>
      <c r="N99" s="314"/>
      <c r="O99" s="9" t="s">
        <v>172</v>
      </c>
      <c r="P99" s="9" t="s">
        <v>222</v>
      </c>
      <c r="Q99" s="28" t="s">
        <v>5147</v>
      </c>
      <c r="R99" s="560">
        <f>S85</f>
        <v>40</v>
      </c>
      <c r="S99" s="102">
        <f t="shared" si="13"/>
        <v>3.0000000000000001E-3</v>
      </c>
      <c r="T99" s="102">
        <f t="shared" si="14"/>
        <v>6.0000000000000001E-3</v>
      </c>
      <c r="U99" s="557">
        <f t="shared" si="15"/>
        <v>4.4999999999999797E-3</v>
      </c>
      <c r="V99" s="1036">
        <v>-5.0000000000000004E-19</v>
      </c>
      <c r="W99" s="1037">
        <v>4.4999999999999997E-3</v>
      </c>
      <c r="X99" s="391" t="s">
        <v>5072</v>
      </c>
      <c r="Z99" s="49" t="s">
        <v>1742</v>
      </c>
      <c r="AA99" s="49" t="s">
        <v>1773</v>
      </c>
      <c r="AB99" s="37">
        <v>0</v>
      </c>
      <c r="AC99" s="37">
        <v>3.78</v>
      </c>
      <c r="AD99" s="62">
        <v>0</v>
      </c>
      <c r="AE99" s="9" t="s">
        <v>2499</v>
      </c>
      <c r="AF99" t="str">
        <f>_xlfn.CONCAT("UDV.",Z99,".",AA99)</f>
        <v>UDV.handling_manure.a_deeppit</v>
      </c>
    </row>
    <row r="100" spans="1:32" ht="15.6" x14ac:dyDescent="0.3">
      <c r="A100" s="895" t="s">
        <v>3692</v>
      </c>
      <c r="B100" s="895" t="s">
        <v>4196</v>
      </c>
      <c r="C100" s="896">
        <v>142.9375</v>
      </c>
      <c r="D100" s="894">
        <v>6</v>
      </c>
      <c r="G100" s="1071" t="s">
        <v>5122</v>
      </c>
      <c r="H100" s="1072">
        <v>1</v>
      </c>
      <c r="I100" s="1072">
        <v>96</v>
      </c>
      <c r="J100" s="1073">
        <v>6</v>
      </c>
      <c r="K100" s="1071" t="s">
        <v>5123</v>
      </c>
      <c r="M100" t="e">
        <f t="shared" si="12"/>
        <v>#VALUE!</v>
      </c>
      <c r="N100" s="314"/>
      <c r="O100" s="9" t="s">
        <v>172</v>
      </c>
      <c r="P100" s="9" t="s">
        <v>223</v>
      </c>
      <c r="Q100" s="28" t="s">
        <v>5148</v>
      </c>
      <c r="R100" s="560">
        <f>S85</f>
        <v>40</v>
      </c>
      <c r="S100" s="102">
        <f t="shared" si="13"/>
        <v>6.0000000000000001E-3</v>
      </c>
      <c r="T100" s="102">
        <f t="shared" si="14"/>
        <v>1.2E-2</v>
      </c>
      <c r="U100" s="557">
        <f t="shared" si="15"/>
        <v>8.9999999999999976E-3</v>
      </c>
      <c r="V100" s="1036">
        <v>2.9999999999999997E-4</v>
      </c>
      <c r="W100" s="1037">
        <v>-3.0000000000000001E-3</v>
      </c>
      <c r="X100" s="391" t="s">
        <v>5073</v>
      </c>
      <c r="Z100" s="49" t="s">
        <v>1742</v>
      </c>
      <c r="AA100" s="49" t="s">
        <v>1777</v>
      </c>
      <c r="AB100" s="37">
        <v>15</v>
      </c>
      <c r="AC100" s="37">
        <v>30</v>
      </c>
      <c r="AD100" s="37">
        <v>15.14</v>
      </c>
      <c r="AE100" s="9" t="s">
        <v>2499</v>
      </c>
      <c r="AF100" t="str">
        <f t="shared" ref="AF100:AF118" si="16">_xlfn.CONCAT("UDV.",Z100,".",AA100)</f>
        <v>UDV.handling_manure.a_flush</v>
      </c>
    </row>
    <row r="101" spans="1:32" x14ac:dyDescent="0.3">
      <c r="A101" s="895" t="s">
        <v>3693</v>
      </c>
      <c r="B101" s="895" t="s">
        <v>4197</v>
      </c>
      <c r="C101" s="896">
        <v>137.53125</v>
      </c>
      <c r="D101" s="894">
        <v>6</v>
      </c>
      <c r="J101" s="90"/>
      <c r="M101" t="e">
        <f t="shared" si="12"/>
        <v>#VALUE!</v>
      </c>
      <c r="N101" s="314"/>
      <c r="O101" s="9" t="s">
        <v>174</v>
      </c>
      <c r="P101" s="9" t="s">
        <v>232</v>
      </c>
      <c r="Q101" s="563" t="s">
        <v>5056</v>
      </c>
      <c r="R101" s="560">
        <f>S86</f>
        <v>280</v>
      </c>
      <c r="S101" s="102">
        <f t="shared" si="13"/>
        <v>4.3819999999999997</v>
      </c>
      <c r="T101" s="102">
        <f t="shared" si="14"/>
        <v>8.1399999999999988</v>
      </c>
      <c r="U101" s="557">
        <f t="shared" si="15"/>
        <v>6.2611999999999997</v>
      </c>
      <c r="V101" s="1036">
        <v>2.23E-2</v>
      </c>
      <c r="W101" s="1037">
        <v>1.72E-2</v>
      </c>
      <c r="X101" s="391" t="s">
        <v>5075</v>
      </c>
      <c r="Z101" s="49" t="s">
        <v>1742</v>
      </c>
      <c r="AA101" s="49" t="s">
        <v>1779</v>
      </c>
      <c r="AB101" s="37">
        <v>0</v>
      </c>
      <c r="AC101" s="37">
        <v>40</v>
      </c>
      <c r="AD101" s="62">
        <v>32.4</v>
      </c>
      <c r="AE101" s="9" t="s">
        <v>2499</v>
      </c>
      <c r="AF101" t="str">
        <f t="shared" si="16"/>
        <v>UDV.handling_manure.a_pullplug</v>
      </c>
    </row>
    <row r="102" spans="1:32" x14ac:dyDescent="0.3">
      <c r="A102" s="895" t="s">
        <v>3694</v>
      </c>
      <c r="B102" s="895" t="s">
        <v>4198</v>
      </c>
      <c r="C102" s="896">
        <v>168.8125</v>
      </c>
      <c r="D102" s="894">
        <v>6</v>
      </c>
      <c r="G102" s="82" t="s">
        <v>5149</v>
      </c>
      <c r="M102" t="e">
        <f t="shared" si="12"/>
        <v>#VALUE!</v>
      </c>
      <c r="N102" s="314"/>
      <c r="O102" s="9" t="s">
        <v>2677</v>
      </c>
      <c r="P102" s="9" t="s">
        <v>233</v>
      </c>
      <c r="Q102" s="563" t="s">
        <v>5057</v>
      </c>
      <c r="R102" s="560">
        <f>S86</f>
        <v>280</v>
      </c>
      <c r="S102" s="102">
        <f t="shared" si="13"/>
        <v>0.47299999999999998</v>
      </c>
      <c r="T102" s="102">
        <f t="shared" si="14"/>
        <v>0.88</v>
      </c>
      <c r="U102" s="557">
        <f t="shared" si="15"/>
        <v>0.67669999999999997</v>
      </c>
      <c r="V102" s="1036">
        <v>2.3999999999999998E-3</v>
      </c>
      <c r="W102" s="1037">
        <v>4.7000000000000002E-3</v>
      </c>
      <c r="X102" s="391" t="s">
        <v>5076</v>
      </c>
      <c r="Z102" s="49" t="s">
        <v>1742</v>
      </c>
      <c r="AA102" s="49" t="s">
        <v>1781</v>
      </c>
      <c r="AB102" s="37">
        <v>0</v>
      </c>
      <c r="AC102" s="37">
        <v>3.78</v>
      </c>
      <c r="AD102" s="62">
        <v>0</v>
      </c>
      <c r="AE102" s="9" t="s">
        <v>2499</v>
      </c>
      <c r="AF102" t="str">
        <f t="shared" si="16"/>
        <v>UDV.handling_manure.a_scrape</v>
      </c>
    </row>
    <row r="103" spans="1:32" x14ac:dyDescent="0.3">
      <c r="A103" s="895" t="s">
        <v>3695</v>
      </c>
      <c r="B103" s="895" t="s">
        <v>4199</v>
      </c>
      <c r="C103" s="896">
        <v>169.0625</v>
      </c>
      <c r="D103" s="894">
        <v>6</v>
      </c>
      <c r="G103" s="49" t="s">
        <v>5119</v>
      </c>
      <c r="H103" s="48">
        <v>3</v>
      </c>
      <c r="K103">
        <v>1</v>
      </c>
      <c r="M103" t="e">
        <f t="shared" si="12"/>
        <v>#VALUE!</v>
      </c>
      <c r="N103" s="314"/>
      <c r="O103" s="9" t="s">
        <v>174</v>
      </c>
      <c r="P103" s="9" t="s">
        <v>234</v>
      </c>
      <c r="Q103" s="563" t="s">
        <v>5058</v>
      </c>
      <c r="R103" s="560">
        <f>S86</f>
        <v>280</v>
      </c>
      <c r="S103" s="102">
        <f t="shared" si="13"/>
        <v>0.39200000000000002</v>
      </c>
      <c r="T103" s="102">
        <f t="shared" si="14"/>
        <v>0.72899999999999998</v>
      </c>
      <c r="U103" s="557">
        <f t="shared" si="15"/>
        <v>0.56010000000000004</v>
      </c>
      <c r="V103" s="1036">
        <v>2E-3</v>
      </c>
      <c r="W103" s="1037">
        <v>1E-4</v>
      </c>
      <c r="X103" s="391" t="s">
        <v>5077</v>
      </c>
      <c r="Z103" s="49" t="s">
        <v>1742</v>
      </c>
      <c r="AA103" s="49" t="s">
        <v>1783</v>
      </c>
      <c r="AB103" s="37">
        <v>0</v>
      </c>
      <c r="AC103" s="37">
        <v>3.78</v>
      </c>
      <c r="AD103" s="62">
        <v>0</v>
      </c>
      <c r="AE103" s="9" t="s">
        <v>2499</v>
      </c>
      <c r="AF103" t="str">
        <f t="shared" si="16"/>
        <v>UDV.handling_manure.b_deeppit</v>
      </c>
    </row>
    <row r="104" spans="1:32" ht="15" customHeight="1" x14ac:dyDescent="0.3">
      <c r="A104" s="895" t="s">
        <v>3696</v>
      </c>
      <c r="B104" s="895" t="s">
        <v>4200</v>
      </c>
      <c r="C104" s="896">
        <v>258.9375</v>
      </c>
      <c r="D104" s="894">
        <v>6</v>
      </c>
      <c r="G104" s="49" t="s">
        <v>5150</v>
      </c>
      <c r="H104" s="48">
        <v>12</v>
      </c>
      <c r="K104">
        <v>14</v>
      </c>
      <c r="M104" t="e">
        <f t="shared" si="12"/>
        <v>#VALUE!</v>
      </c>
      <c r="N104" s="314"/>
      <c r="O104" s="9" t="s">
        <v>174</v>
      </c>
      <c r="P104" s="9" t="s">
        <v>235</v>
      </c>
      <c r="Q104" s="28" t="s">
        <v>5142</v>
      </c>
      <c r="R104" s="560">
        <f>S86</f>
        <v>280</v>
      </c>
      <c r="S104" s="102">
        <f t="shared" si="13"/>
        <v>0.06</v>
      </c>
      <c r="T104" s="102">
        <f t="shared" si="14"/>
        <v>0.113</v>
      </c>
      <c r="U104" s="557">
        <f t="shared" si="15"/>
        <v>8.6299999999999988E-2</v>
      </c>
      <c r="V104" s="1036">
        <v>2.9999999999999997E-4</v>
      </c>
      <c r="W104" s="1037">
        <v>2.3E-3</v>
      </c>
      <c r="X104" s="391" t="s">
        <v>5078</v>
      </c>
      <c r="Z104" s="49" t="s">
        <v>1742</v>
      </c>
      <c r="AA104" s="49" t="s">
        <v>1785</v>
      </c>
      <c r="AB104" s="37">
        <v>15</v>
      </c>
      <c r="AC104" s="37">
        <v>57</v>
      </c>
      <c r="AD104" s="37">
        <v>56.78</v>
      </c>
      <c r="AE104" s="9" t="s">
        <v>2499</v>
      </c>
      <c r="AF104" t="str">
        <f t="shared" si="16"/>
        <v>UDV.handling_manure.b_flush</v>
      </c>
    </row>
    <row r="105" spans="1:32" x14ac:dyDescent="0.3">
      <c r="A105" s="895" t="s">
        <v>3697</v>
      </c>
      <c r="B105" s="895" t="s">
        <v>4201</v>
      </c>
      <c r="C105" s="896">
        <v>84.6875</v>
      </c>
      <c r="D105" s="894">
        <v>6</v>
      </c>
      <c r="G105" s="49" t="s">
        <v>2461</v>
      </c>
      <c r="H105" s="67">
        <v>15</v>
      </c>
      <c r="M105" t="e">
        <f t="shared" si="12"/>
        <v>#VALUE!</v>
      </c>
      <c r="N105" s="314"/>
      <c r="O105" s="9" t="s">
        <v>174</v>
      </c>
      <c r="P105" s="9" t="s">
        <v>5151</v>
      </c>
      <c r="Q105" s="28" t="s">
        <v>5145</v>
      </c>
      <c r="R105" s="560">
        <f>S86</f>
        <v>280</v>
      </c>
      <c r="S105" s="102">
        <f t="shared" si="13"/>
        <v>1.6E-2</v>
      </c>
      <c r="T105" s="102">
        <f t="shared" si="14"/>
        <v>3.1E-2</v>
      </c>
      <c r="U105" s="557">
        <f t="shared" si="15"/>
        <v>2.3100000000000002E-2</v>
      </c>
      <c r="V105" s="1036">
        <v>8.0000000000000007E-5</v>
      </c>
      <c r="W105" s="1037">
        <v>6.9999999999999999E-4</v>
      </c>
      <c r="X105" s="391" t="s">
        <v>5079</v>
      </c>
      <c r="Z105" s="49" t="s">
        <v>1742</v>
      </c>
      <c r="AA105" s="49" t="s">
        <v>1787</v>
      </c>
      <c r="AB105" s="37">
        <v>0</v>
      </c>
      <c r="AC105" s="37">
        <v>40</v>
      </c>
      <c r="AD105" s="62">
        <v>32.4</v>
      </c>
      <c r="AE105" s="9" t="s">
        <v>2499</v>
      </c>
      <c r="AF105" t="str">
        <f t="shared" si="16"/>
        <v>UDV.handling_manure.b_pullplug</v>
      </c>
    </row>
    <row r="106" spans="1:32" ht="15.6" x14ac:dyDescent="0.3">
      <c r="A106" s="895" t="s">
        <v>3698</v>
      </c>
      <c r="B106" s="895" t="s">
        <v>4202</v>
      </c>
      <c r="C106" s="896">
        <v>159.15625</v>
      </c>
      <c r="D106" s="894">
        <v>6</v>
      </c>
      <c r="G106" s="49" t="s">
        <v>5152</v>
      </c>
      <c r="H106" s="9">
        <v>4</v>
      </c>
      <c r="M106" t="e">
        <f t="shared" si="12"/>
        <v>#VALUE!</v>
      </c>
      <c r="N106" s="314"/>
      <c r="O106" s="9" t="s">
        <v>174</v>
      </c>
      <c r="P106" s="9" t="s">
        <v>236</v>
      </c>
      <c r="Q106" s="28" t="s">
        <v>5147</v>
      </c>
      <c r="R106" s="560">
        <f>S86</f>
        <v>280</v>
      </c>
      <c r="S106" s="102">
        <f t="shared" si="13"/>
        <v>1.7000000000000001E-2</v>
      </c>
      <c r="T106" s="102">
        <f t="shared" si="14"/>
        <v>3.3000000000000002E-2</v>
      </c>
      <c r="U106" s="557">
        <f t="shared" si="15"/>
        <v>2.4900000000000002E-2</v>
      </c>
      <c r="V106" s="1036">
        <v>8.0000000000000007E-5</v>
      </c>
      <c r="W106" s="1037">
        <v>2.5000000000000001E-3</v>
      </c>
      <c r="X106" s="391" t="s">
        <v>5080</v>
      </c>
      <c r="Z106" s="49" t="s">
        <v>1742</v>
      </c>
      <c r="AA106" s="49" t="s">
        <v>1789</v>
      </c>
      <c r="AB106" s="37">
        <v>0</v>
      </c>
      <c r="AC106" s="37">
        <v>3.78</v>
      </c>
      <c r="AD106" s="62">
        <v>0</v>
      </c>
      <c r="AE106" s="9" t="s">
        <v>2499</v>
      </c>
      <c r="AF106" t="str">
        <f t="shared" si="16"/>
        <v>UDV.handling_manure.b_scrape</v>
      </c>
    </row>
    <row r="107" spans="1:32" ht="15.6" x14ac:dyDescent="0.3">
      <c r="A107" s="895" t="s">
        <v>3699</v>
      </c>
      <c r="B107" s="895" t="s">
        <v>4203</v>
      </c>
      <c r="C107" s="896">
        <v>125.15625</v>
      </c>
      <c r="D107" s="894">
        <v>6</v>
      </c>
      <c r="G107" s="49" t="s">
        <v>5153</v>
      </c>
      <c r="H107" s="9">
        <f>H106*24</f>
        <v>96</v>
      </c>
      <c r="M107" t="e">
        <f t="shared" si="12"/>
        <v>#VALUE!</v>
      </c>
      <c r="N107" s="314"/>
      <c r="O107" s="9" t="s">
        <v>174</v>
      </c>
      <c r="P107" s="9" t="s">
        <v>237</v>
      </c>
      <c r="Q107" s="28" t="s">
        <v>5148</v>
      </c>
      <c r="R107" s="560">
        <f>S86</f>
        <v>280</v>
      </c>
      <c r="S107" s="102">
        <f t="shared" si="13"/>
        <v>3.5000000000000003E-2</v>
      </c>
      <c r="T107" s="102">
        <f t="shared" si="14"/>
        <v>6.6000000000000003E-2</v>
      </c>
      <c r="U107" s="557">
        <f t="shared" si="15"/>
        <v>5.0500000000000003E-2</v>
      </c>
      <c r="V107" s="1036">
        <v>2.0000000000000001E-4</v>
      </c>
      <c r="W107" s="1037">
        <v>-5.4999999999999997E-3</v>
      </c>
      <c r="X107" s="391" t="s">
        <v>5081</v>
      </c>
      <c r="Z107" s="49" t="s">
        <v>1742</v>
      </c>
      <c r="AA107" s="49" t="s">
        <v>1791</v>
      </c>
      <c r="AB107" s="37">
        <v>0</v>
      </c>
      <c r="AC107" s="37">
        <v>3.78</v>
      </c>
      <c r="AD107" s="62">
        <v>0</v>
      </c>
      <c r="AE107" s="9" t="s">
        <v>2499</v>
      </c>
      <c r="AF107" t="str">
        <f t="shared" si="16"/>
        <v>UDV.handling_manure.c_deeppit</v>
      </c>
    </row>
    <row r="108" spans="1:32" x14ac:dyDescent="0.3">
      <c r="A108" s="895" t="s">
        <v>3700</v>
      </c>
      <c r="B108" s="895" t="s">
        <v>4204</v>
      </c>
      <c r="C108" s="896">
        <v>108.09375</v>
      </c>
      <c r="D108" s="894">
        <v>6</v>
      </c>
      <c r="M108" t="e">
        <f t="shared" si="12"/>
        <v>#VALUE!</v>
      </c>
      <c r="N108" s="314"/>
      <c r="O108" s="9" t="s">
        <v>177</v>
      </c>
      <c r="P108" s="9" t="s">
        <v>239</v>
      </c>
      <c r="Q108" s="563" t="s">
        <v>5056</v>
      </c>
      <c r="R108" s="560">
        <f>S87</f>
        <v>400</v>
      </c>
      <c r="S108" s="102">
        <f t="shared" si="13"/>
        <v>2.88</v>
      </c>
      <c r="T108" s="102">
        <f t="shared" si="14"/>
        <v>5.3490000000000002</v>
      </c>
      <c r="U108" s="557">
        <f t="shared" si="15"/>
        <v>4.1146000000000003</v>
      </c>
      <c r="V108" s="1036">
        <v>1.04E-2</v>
      </c>
      <c r="W108" s="1037">
        <v>-4.5400000000000003E-2</v>
      </c>
      <c r="X108" s="391" t="s">
        <v>5083</v>
      </c>
      <c r="Z108" s="49" t="s">
        <v>1742</v>
      </c>
      <c r="AA108" s="49" t="s">
        <v>1793</v>
      </c>
      <c r="AB108" s="37">
        <v>15</v>
      </c>
      <c r="AC108" s="37">
        <v>94.64</v>
      </c>
      <c r="AD108" s="37">
        <v>94.64</v>
      </c>
      <c r="AE108" s="9" t="s">
        <v>2499</v>
      </c>
      <c r="AF108" t="str">
        <f t="shared" si="16"/>
        <v>UDV.handling_manure.c_flush</v>
      </c>
    </row>
    <row r="109" spans="1:32" x14ac:dyDescent="0.3">
      <c r="A109" s="895" t="s">
        <v>3701</v>
      </c>
      <c r="B109" s="895" t="s">
        <v>4205</v>
      </c>
      <c r="C109" s="896">
        <v>101.96875</v>
      </c>
      <c r="D109" s="894">
        <v>6</v>
      </c>
      <c r="G109" s="49" t="s">
        <v>5119</v>
      </c>
      <c r="H109" s="48">
        <v>3</v>
      </c>
      <c r="M109" t="e">
        <f t="shared" si="12"/>
        <v>#VALUE!</v>
      </c>
      <c r="N109" s="314"/>
      <c r="O109" s="9" t="s">
        <v>5118</v>
      </c>
      <c r="P109" s="9" t="s">
        <v>240</v>
      </c>
      <c r="Q109" s="563" t="s">
        <v>5057</v>
      </c>
      <c r="R109" s="560">
        <f>S87</f>
        <v>400</v>
      </c>
      <c r="S109" s="102">
        <f t="shared" si="13"/>
        <v>0.25</v>
      </c>
      <c r="T109" s="102">
        <f t="shared" si="14"/>
        <v>0.46700000000000003</v>
      </c>
      <c r="U109" s="557">
        <f t="shared" si="15"/>
        <v>0.35849999999999999</v>
      </c>
      <c r="V109" s="1036">
        <v>8.9999999999999998E-4</v>
      </c>
      <c r="W109" s="1037">
        <v>-1.5E-3</v>
      </c>
      <c r="X109" s="391" t="s">
        <v>5084</v>
      </c>
      <c r="Z109" s="49" t="s">
        <v>1742</v>
      </c>
      <c r="AA109" s="49" t="s">
        <v>1795</v>
      </c>
      <c r="AB109" s="37">
        <v>0</v>
      </c>
      <c r="AC109" s="37">
        <v>40</v>
      </c>
      <c r="AD109" s="62">
        <v>32.4</v>
      </c>
      <c r="AE109" s="9" t="s">
        <v>2499</v>
      </c>
      <c r="AF109" t="str">
        <f t="shared" si="16"/>
        <v>UDV.handling_manure.c_pullplug</v>
      </c>
    </row>
    <row r="110" spans="1:32" x14ac:dyDescent="0.3">
      <c r="A110" s="895" t="s">
        <v>3702</v>
      </c>
      <c r="B110" s="895" t="s">
        <v>1626</v>
      </c>
      <c r="C110" s="896">
        <v>224.1875</v>
      </c>
      <c r="D110" s="894">
        <v>6</v>
      </c>
      <c r="G110" s="49" t="s">
        <v>5150</v>
      </c>
      <c r="H110" s="48">
        <v>27</v>
      </c>
      <c r="M110" t="e">
        <f t="shared" si="12"/>
        <v>#VALUE!</v>
      </c>
      <c r="N110" s="314"/>
      <c r="O110" s="9" t="s">
        <v>177</v>
      </c>
      <c r="P110" s="9" t="s">
        <v>241</v>
      </c>
      <c r="Q110" s="563" t="s">
        <v>5058</v>
      </c>
      <c r="R110" s="560">
        <f>S87</f>
        <v>400</v>
      </c>
      <c r="S110" s="102">
        <f t="shared" si="13"/>
        <v>0.222</v>
      </c>
      <c r="T110" s="102">
        <f t="shared" si="14"/>
        <v>0.41499999999999998</v>
      </c>
      <c r="U110" s="557">
        <f t="shared" si="15"/>
        <v>0.31850000000000001</v>
      </c>
      <c r="V110" s="1036">
        <v>8.0000000000000004E-4</v>
      </c>
      <c r="W110" s="1037">
        <v>-1.5E-3</v>
      </c>
      <c r="X110" s="391" t="s">
        <v>5085</v>
      </c>
      <c r="Z110" s="49" t="s">
        <v>1742</v>
      </c>
      <c r="AA110" s="49" t="s">
        <v>1797</v>
      </c>
      <c r="AB110" s="37">
        <v>0</v>
      </c>
      <c r="AC110" s="37">
        <v>3.78</v>
      </c>
      <c r="AD110" s="62">
        <v>0</v>
      </c>
      <c r="AE110" s="9" t="s">
        <v>2499</v>
      </c>
      <c r="AF110" t="str">
        <f t="shared" si="16"/>
        <v>UDV.handling_manure.c_scrape</v>
      </c>
    </row>
    <row r="111" spans="1:32" x14ac:dyDescent="0.3">
      <c r="A111" s="895" t="s">
        <v>3703</v>
      </c>
      <c r="B111" s="895" t="s">
        <v>4206</v>
      </c>
      <c r="C111" s="896">
        <v>164.75</v>
      </c>
      <c r="D111" s="894">
        <v>6</v>
      </c>
      <c r="G111" s="49" t="s">
        <v>2461</v>
      </c>
      <c r="H111" s="67">
        <v>30</v>
      </c>
      <c r="L111" s="9" t="s">
        <v>172</v>
      </c>
      <c r="M111" t="e">
        <f t="shared" si="12"/>
        <v>#VALUE!</v>
      </c>
      <c r="N111" s="314"/>
      <c r="O111" s="9" t="s">
        <v>177</v>
      </c>
      <c r="P111" s="9" t="s">
        <v>242</v>
      </c>
      <c r="Q111" s="28" t="s">
        <v>5142</v>
      </c>
      <c r="R111" s="560">
        <f>S87</f>
        <v>400</v>
      </c>
      <c r="S111" s="102">
        <f t="shared" si="13"/>
        <v>0.02</v>
      </c>
      <c r="T111" s="102">
        <f t="shared" si="14"/>
        <v>3.9E-2</v>
      </c>
      <c r="U111" s="557">
        <f t="shared" si="15"/>
        <v>2.9499999999999998E-2</v>
      </c>
      <c r="V111" s="1036">
        <v>6.9999999999999994E-5</v>
      </c>
      <c r="W111" s="1037">
        <v>1.5E-3</v>
      </c>
      <c r="X111" s="391" t="s">
        <v>5086</v>
      </c>
      <c r="Z111" s="49" t="s">
        <v>1742</v>
      </c>
      <c r="AA111" s="49" t="s">
        <v>1799</v>
      </c>
      <c r="AB111" s="37">
        <v>0</v>
      </c>
      <c r="AC111" s="37">
        <v>3.78</v>
      </c>
      <c r="AD111" s="62">
        <v>0</v>
      </c>
      <c r="AE111" s="9" t="s">
        <v>2499</v>
      </c>
      <c r="AF111" t="str">
        <f t="shared" si="16"/>
        <v>UDV.handling_manure.d_deeppit</v>
      </c>
    </row>
    <row r="112" spans="1:32" ht="15" customHeight="1" x14ac:dyDescent="0.3">
      <c r="A112" s="895" t="s">
        <v>3704</v>
      </c>
      <c r="B112" s="895" t="s">
        <v>4207</v>
      </c>
      <c r="C112" s="896">
        <v>91.46875</v>
      </c>
      <c r="D112" s="894">
        <v>6</v>
      </c>
      <c r="G112" s="49" t="s">
        <v>5152</v>
      </c>
      <c r="H112" s="9">
        <v>2</v>
      </c>
      <c r="L112" s="9" t="s">
        <v>174</v>
      </c>
      <c r="M112" t="e">
        <f t="shared" si="12"/>
        <v>#VALUE!</v>
      </c>
      <c r="N112" s="314"/>
      <c r="O112" s="9" t="s">
        <v>177</v>
      </c>
      <c r="P112" s="9" t="s">
        <v>5154</v>
      </c>
      <c r="Q112" s="28" t="s">
        <v>5145</v>
      </c>
      <c r="R112" s="560">
        <f>S87</f>
        <v>400</v>
      </c>
      <c r="S112" s="102">
        <f t="shared" si="13"/>
        <v>5.0000000000000001E-3</v>
      </c>
      <c r="T112" s="102">
        <f t="shared" si="14"/>
        <v>1.2E-2</v>
      </c>
      <c r="U112" s="557">
        <f t="shared" si="15"/>
        <v>8.5000000000000006E-3</v>
      </c>
      <c r="V112" s="1036">
        <v>2.0000000000000002E-5</v>
      </c>
      <c r="W112" s="1037">
        <v>5.0000000000000001E-4</v>
      </c>
      <c r="X112" s="391" t="s">
        <v>5087</v>
      </c>
      <c r="Z112" s="49" t="s">
        <v>1742</v>
      </c>
      <c r="AA112" s="49" t="s">
        <v>1801</v>
      </c>
      <c r="AB112" s="37">
        <v>15</v>
      </c>
      <c r="AC112" s="37">
        <v>132.5</v>
      </c>
      <c r="AD112" s="37">
        <v>132.5</v>
      </c>
      <c r="AE112" s="9" t="s">
        <v>2499</v>
      </c>
      <c r="AF112" t="str">
        <f t="shared" si="16"/>
        <v>UDV.handling_manure.d_flush</v>
      </c>
    </row>
    <row r="113" spans="1:32" ht="15.6" x14ac:dyDescent="0.3">
      <c r="A113" s="895" t="s">
        <v>3705</v>
      </c>
      <c r="B113" s="895" t="s">
        <v>4208</v>
      </c>
      <c r="C113" s="896">
        <v>137.09375</v>
      </c>
      <c r="D113" s="894">
        <v>6</v>
      </c>
      <c r="E113">
        <v>5.5</v>
      </c>
      <c r="G113" s="49" t="s">
        <v>5153</v>
      </c>
      <c r="H113" s="9">
        <f>H112*24</f>
        <v>48</v>
      </c>
      <c r="L113" s="9" t="s">
        <v>177</v>
      </c>
      <c r="M113" t="e">
        <f t="shared" si="12"/>
        <v>#VALUE!</v>
      </c>
      <c r="N113" s="314"/>
      <c r="O113" s="9" t="s">
        <v>177</v>
      </c>
      <c r="P113" s="9" t="s">
        <v>243</v>
      </c>
      <c r="Q113" s="28" t="s">
        <v>5147</v>
      </c>
      <c r="R113" s="560">
        <f>S87</f>
        <v>400</v>
      </c>
      <c r="S113" s="102">
        <f t="shared" si="13"/>
        <v>1.4E-2</v>
      </c>
      <c r="T113" s="102">
        <f t="shared" si="14"/>
        <v>2.5999999999999999E-2</v>
      </c>
      <c r="U113" s="557">
        <f t="shared" si="15"/>
        <v>0.02</v>
      </c>
      <c r="V113" s="1036">
        <v>5.0000000000000002E-5</v>
      </c>
      <c r="W113" s="1037">
        <v>0</v>
      </c>
      <c r="X113" s="391" t="s">
        <v>5088</v>
      </c>
      <c r="Z113" s="49" t="s">
        <v>1742</v>
      </c>
      <c r="AA113" s="49" t="s">
        <v>1803</v>
      </c>
      <c r="AB113" s="37">
        <v>0</v>
      </c>
      <c r="AC113" s="37">
        <v>40</v>
      </c>
      <c r="AD113" s="62">
        <v>32.4</v>
      </c>
      <c r="AE113" s="9" t="s">
        <v>2499</v>
      </c>
      <c r="AF113" t="str">
        <f t="shared" si="16"/>
        <v>UDV.handling_manure.d_pullplug</v>
      </c>
    </row>
    <row r="114" spans="1:32" ht="15.6" x14ac:dyDescent="0.3">
      <c r="A114" s="895" t="s">
        <v>3706</v>
      </c>
      <c r="B114" s="895" t="s">
        <v>4209</v>
      </c>
      <c r="C114" s="896">
        <v>124.46875</v>
      </c>
      <c r="D114" s="894">
        <v>6</v>
      </c>
      <c r="L114" s="9" t="s">
        <v>179</v>
      </c>
      <c r="M114" t="e">
        <f t="shared" si="12"/>
        <v>#VALUE!</v>
      </c>
      <c r="N114" s="314"/>
      <c r="O114" s="9" t="s">
        <v>177</v>
      </c>
      <c r="P114" s="9" t="s">
        <v>244</v>
      </c>
      <c r="Q114" s="28" t="s">
        <v>5148</v>
      </c>
      <c r="R114" s="560">
        <f>S87</f>
        <v>400</v>
      </c>
      <c r="S114" s="102">
        <f t="shared" si="13"/>
        <v>1.7000000000000001E-2</v>
      </c>
      <c r="T114" s="102">
        <f t="shared" si="14"/>
        <v>3.2000000000000001E-2</v>
      </c>
      <c r="U114" s="557">
        <f t="shared" si="15"/>
        <v>2.4500000000000001E-2</v>
      </c>
      <c r="V114" s="1036">
        <v>5.0000000000000002E-5</v>
      </c>
      <c r="W114" s="1037">
        <v>4.4999999999999997E-3</v>
      </c>
      <c r="X114" s="391" t="s">
        <v>5089</v>
      </c>
      <c r="Z114" s="49" t="s">
        <v>1742</v>
      </c>
      <c r="AA114" s="49" t="s">
        <v>1805</v>
      </c>
      <c r="AB114" s="37">
        <v>0</v>
      </c>
      <c r="AC114" s="37">
        <v>3.78</v>
      </c>
      <c r="AD114" s="62">
        <v>0</v>
      </c>
      <c r="AE114" s="9" t="s">
        <v>2499</v>
      </c>
      <c r="AF114" t="str">
        <f t="shared" si="16"/>
        <v>UDV.handling_manure.d_scrape</v>
      </c>
    </row>
    <row r="115" spans="1:32" x14ac:dyDescent="0.3">
      <c r="A115" s="895" t="s">
        <v>3707</v>
      </c>
      <c r="B115" s="895" t="s">
        <v>4210</v>
      </c>
      <c r="C115" s="896">
        <v>39.15625</v>
      </c>
      <c r="D115" s="894">
        <v>6</v>
      </c>
      <c r="M115" t="e">
        <f t="shared" si="12"/>
        <v>#VALUE!</v>
      </c>
      <c r="N115" s="314"/>
      <c r="O115" s="9" t="s">
        <v>179</v>
      </c>
      <c r="P115" s="9" t="s">
        <v>245</v>
      </c>
      <c r="Q115" s="563" t="s">
        <v>5056</v>
      </c>
      <c r="R115" s="562">
        <f>S88</f>
        <v>423</v>
      </c>
      <c r="S115" s="102">
        <f t="shared" si="13"/>
        <v>6.2839999999999998</v>
      </c>
      <c r="T115" s="102">
        <f t="shared" si="14"/>
        <v>11.670999999999999</v>
      </c>
      <c r="U115" s="557">
        <f t="shared" si="15"/>
        <v>8.9774999999999991</v>
      </c>
      <c r="V115" s="1036">
        <v>2.1399999999999999E-2</v>
      </c>
      <c r="W115" s="1037">
        <v>-7.4700000000000003E-2</v>
      </c>
      <c r="X115" s="391" t="s">
        <v>5090</v>
      </c>
      <c r="Z115" s="49" t="s">
        <v>1742</v>
      </c>
      <c r="AA115" s="49" t="s">
        <v>1807</v>
      </c>
      <c r="AB115" s="37">
        <v>0</v>
      </c>
      <c r="AC115" s="37">
        <v>3.78</v>
      </c>
      <c r="AD115" s="62">
        <v>0</v>
      </c>
      <c r="AE115" s="9" t="s">
        <v>2499</v>
      </c>
      <c r="AF115" t="str">
        <f t="shared" si="16"/>
        <v>UDV.handling_manure.e_deeppit</v>
      </c>
    </row>
    <row r="116" spans="1:32" x14ac:dyDescent="0.3">
      <c r="A116" s="895" t="s">
        <v>3708</v>
      </c>
      <c r="B116" s="895" t="s">
        <v>4211</v>
      </c>
      <c r="C116" s="896">
        <v>151.625</v>
      </c>
      <c r="D116" s="894">
        <v>6</v>
      </c>
      <c r="M116" t="e">
        <f t="shared" si="12"/>
        <v>#VALUE!</v>
      </c>
      <c r="N116" s="314"/>
      <c r="O116" s="9" t="s">
        <v>5121</v>
      </c>
      <c r="P116" s="9" t="s">
        <v>247</v>
      </c>
      <c r="Q116" s="563" t="s">
        <v>5057</v>
      </c>
      <c r="R116" s="560">
        <f>S88</f>
        <v>423</v>
      </c>
      <c r="S116" s="102">
        <f t="shared" si="13"/>
        <v>0.61599999999999999</v>
      </c>
      <c r="T116" s="102">
        <f t="shared" si="14"/>
        <v>1.1459999999999999</v>
      </c>
      <c r="U116" s="557">
        <f t="shared" si="15"/>
        <v>0.88080000000000003</v>
      </c>
      <c r="V116" s="1036">
        <v>2.0999999999999999E-3</v>
      </c>
      <c r="W116" s="1037">
        <v>-7.4999999999999997E-3</v>
      </c>
      <c r="X116" s="391" t="s">
        <v>5091</v>
      </c>
      <c r="Z116" s="49" t="s">
        <v>1742</v>
      </c>
      <c r="AA116" s="49" t="s">
        <v>1809</v>
      </c>
      <c r="AB116" s="37">
        <v>15</v>
      </c>
      <c r="AC116" s="37">
        <v>57</v>
      </c>
      <c r="AD116" s="37">
        <v>56.78</v>
      </c>
      <c r="AE116" s="9" t="s">
        <v>2499</v>
      </c>
      <c r="AF116" t="str">
        <f t="shared" si="16"/>
        <v>UDV.handling_manure.e_flush</v>
      </c>
    </row>
    <row r="117" spans="1:32" x14ac:dyDescent="0.3">
      <c r="A117" s="895" t="s">
        <v>3709</v>
      </c>
      <c r="B117" s="895" t="s">
        <v>4212</v>
      </c>
      <c r="C117" s="896">
        <v>169.0625</v>
      </c>
      <c r="D117" s="894">
        <v>6</v>
      </c>
      <c r="M117" t="e">
        <f t="shared" si="12"/>
        <v>#VALUE!</v>
      </c>
      <c r="N117" s="314"/>
      <c r="O117" s="9" t="s">
        <v>179</v>
      </c>
      <c r="P117" s="9" t="s">
        <v>248</v>
      </c>
      <c r="Q117" s="563" t="s">
        <v>5058</v>
      </c>
      <c r="R117" s="560">
        <f>S88</f>
        <v>423</v>
      </c>
      <c r="S117" s="102">
        <f t="shared" si="13"/>
        <v>0.56100000000000005</v>
      </c>
      <c r="T117" s="102">
        <f t="shared" si="14"/>
        <v>1.0439999999999998</v>
      </c>
      <c r="U117" s="557">
        <f t="shared" si="15"/>
        <v>0.8024</v>
      </c>
      <c r="V117" s="1036">
        <v>1.9E-3</v>
      </c>
      <c r="W117" s="1037">
        <v>-1.2999999999999999E-3</v>
      </c>
      <c r="X117" s="391" t="s">
        <v>5092</v>
      </c>
      <c r="Z117" s="49" t="s">
        <v>1742</v>
      </c>
      <c r="AA117" s="49" t="s">
        <v>1811</v>
      </c>
      <c r="AB117" s="37">
        <v>0</v>
      </c>
      <c r="AC117" s="37">
        <v>40</v>
      </c>
      <c r="AD117" s="62">
        <v>32.4</v>
      </c>
      <c r="AE117" s="9" t="s">
        <v>2499</v>
      </c>
      <c r="AF117" t="str">
        <f t="shared" si="16"/>
        <v>UDV.handling_manure.e_pullplug</v>
      </c>
    </row>
    <row r="118" spans="1:32" x14ac:dyDescent="0.3">
      <c r="A118" s="895" t="s">
        <v>3710</v>
      </c>
      <c r="B118" s="895" t="s">
        <v>4213</v>
      </c>
      <c r="C118" s="896">
        <v>117.4375</v>
      </c>
      <c r="D118" s="894">
        <v>6</v>
      </c>
      <c r="M118" t="e">
        <f t="shared" si="12"/>
        <v>#VALUE!</v>
      </c>
      <c r="N118" s="314"/>
      <c r="O118" s="9" t="s">
        <v>179</v>
      </c>
      <c r="P118" s="9" t="s">
        <v>249</v>
      </c>
      <c r="Q118" s="28" t="s">
        <v>5142</v>
      </c>
      <c r="R118" s="560">
        <f>S88</f>
        <v>423</v>
      </c>
      <c r="S118" s="102">
        <f t="shared" si="13"/>
        <v>5.8999999999999997E-2</v>
      </c>
      <c r="T118" s="102">
        <f t="shared" si="14"/>
        <v>0.112</v>
      </c>
      <c r="U118" s="557">
        <f t="shared" si="15"/>
        <v>8.5700000000000012E-2</v>
      </c>
      <c r="V118" s="1036">
        <v>2.0000000000000001E-4</v>
      </c>
      <c r="W118" s="1037">
        <v>1.1000000000000001E-3</v>
      </c>
      <c r="X118" s="391" t="s">
        <v>5093</v>
      </c>
      <c r="Z118" s="49" t="s">
        <v>1742</v>
      </c>
      <c r="AA118" s="49" t="s">
        <v>1813</v>
      </c>
      <c r="AB118" s="37">
        <v>0</v>
      </c>
      <c r="AC118" s="37">
        <v>3.78</v>
      </c>
      <c r="AD118" s="62">
        <v>0</v>
      </c>
      <c r="AE118" s="9" t="s">
        <v>2499</v>
      </c>
      <c r="AF118" t="str">
        <f t="shared" si="16"/>
        <v>UDV.handling_manure.e_scrape</v>
      </c>
    </row>
    <row r="119" spans="1:32" x14ac:dyDescent="0.3">
      <c r="A119" s="895" t="s">
        <v>3711</v>
      </c>
      <c r="B119" s="895" t="s">
        <v>4214</v>
      </c>
      <c r="C119" s="896">
        <v>187.5</v>
      </c>
      <c r="D119" s="894">
        <v>6</v>
      </c>
      <c r="M119" t="e">
        <f t="shared" si="12"/>
        <v>#VALUE!</v>
      </c>
      <c r="N119" s="314"/>
      <c r="O119" s="9" t="s">
        <v>179</v>
      </c>
      <c r="P119" s="9" t="s">
        <v>5155</v>
      </c>
      <c r="Q119" s="28" t="s">
        <v>5145</v>
      </c>
      <c r="R119" s="560">
        <f>S88</f>
        <v>423</v>
      </c>
      <c r="S119" s="102">
        <f t="shared" si="13"/>
        <v>1.7000000000000001E-2</v>
      </c>
      <c r="T119" s="102">
        <f t="shared" si="14"/>
        <v>3.4000000000000002E-2</v>
      </c>
      <c r="U119" s="557">
        <f t="shared" si="15"/>
        <v>2.5680000000000001E-2</v>
      </c>
      <c r="V119" s="1036">
        <v>6.0000000000000002E-5</v>
      </c>
      <c r="W119" s="1037">
        <v>2.9999999999999997E-4</v>
      </c>
      <c r="X119" s="391" t="s">
        <v>5094</v>
      </c>
    </row>
    <row r="120" spans="1:32" ht="18" customHeight="1" x14ac:dyDescent="0.3">
      <c r="A120" s="895" t="s">
        <v>3712</v>
      </c>
      <c r="B120" s="895" t="s">
        <v>4215</v>
      </c>
      <c r="C120" s="896">
        <v>107.1875</v>
      </c>
      <c r="D120" s="894">
        <v>6</v>
      </c>
      <c r="M120" t="e">
        <f t="shared" si="12"/>
        <v>#VALUE!</v>
      </c>
      <c r="N120" s="314"/>
      <c r="O120" s="9" t="s">
        <v>179</v>
      </c>
      <c r="P120" s="9" t="s">
        <v>250</v>
      </c>
      <c r="Q120" s="28" t="s">
        <v>5147</v>
      </c>
      <c r="R120" s="560">
        <f>S88</f>
        <v>423</v>
      </c>
      <c r="S120" s="102">
        <f t="shared" si="13"/>
        <v>2.7E-2</v>
      </c>
      <c r="T120" s="102">
        <f t="shared" si="14"/>
        <v>5.1999999999999998E-2</v>
      </c>
      <c r="U120" s="557">
        <f t="shared" si="15"/>
        <v>3.9400000000000004E-2</v>
      </c>
      <c r="V120" s="1036">
        <v>1E-4</v>
      </c>
      <c r="W120" s="1037">
        <v>-2.8999999999999998E-3</v>
      </c>
      <c r="X120" s="391" t="s">
        <v>5095</v>
      </c>
    </row>
    <row r="121" spans="1:32" ht="15.6" x14ac:dyDescent="0.3">
      <c r="A121" s="895" t="s">
        <v>3713</v>
      </c>
      <c r="B121" s="895" t="s">
        <v>4216</v>
      </c>
      <c r="C121" s="896">
        <v>142.21875</v>
      </c>
      <c r="D121" s="894">
        <v>6</v>
      </c>
      <c r="M121" t="e">
        <f t="shared" si="12"/>
        <v>#VALUE!</v>
      </c>
      <c r="N121" s="314"/>
      <c r="O121" s="9" t="s">
        <v>179</v>
      </c>
      <c r="P121" s="9" t="s">
        <v>251</v>
      </c>
      <c r="Q121" s="28" t="s">
        <v>5148</v>
      </c>
      <c r="R121" s="560">
        <f>S88</f>
        <v>423</v>
      </c>
      <c r="S121" s="102">
        <f t="shared" si="13"/>
        <v>5.8000000000000003E-2</v>
      </c>
      <c r="T121" s="102">
        <f t="shared" si="14"/>
        <v>0.109</v>
      </c>
      <c r="U121" s="557">
        <f t="shared" si="15"/>
        <v>8.3500000000000005E-2</v>
      </c>
      <c r="V121" s="1036">
        <v>2.0000000000000001E-4</v>
      </c>
      <c r="W121" s="1037">
        <v>-1.1000000000000001E-3</v>
      </c>
      <c r="X121" s="391" t="s">
        <v>5096</v>
      </c>
    </row>
    <row r="122" spans="1:32" x14ac:dyDescent="0.3">
      <c r="A122" s="895" t="s">
        <v>3714</v>
      </c>
      <c r="B122" s="895" t="s">
        <v>4217</v>
      </c>
      <c r="C122" s="896">
        <v>199.1875</v>
      </c>
      <c r="D122" s="894">
        <v>6</v>
      </c>
      <c r="M122" t="e">
        <f t="shared" si="12"/>
        <v>#VALUE!</v>
      </c>
      <c r="N122" s="314"/>
      <c r="O122" s="9" t="s">
        <v>5156</v>
      </c>
      <c r="P122" s="9" t="s">
        <v>225</v>
      </c>
      <c r="Q122" s="563" t="s">
        <v>5056</v>
      </c>
      <c r="R122" s="25">
        <f>S89</f>
        <v>260</v>
      </c>
      <c r="S122" s="102">
        <f t="shared" si="13"/>
        <v>3.9129999999999998</v>
      </c>
      <c r="T122" s="102">
        <f t="shared" si="14"/>
        <v>7.2680000000000007</v>
      </c>
      <c r="U122" s="557">
        <f t="shared" si="15"/>
        <v>5.5900099999999995</v>
      </c>
      <c r="V122" s="1036">
        <v>2.1499999999999998E-2</v>
      </c>
      <c r="W122" s="1037">
        <v>1.0000000000000001E-5</v>
      </c>
      <c r="X122" s="391" t="s">
        <v>5157</v>
      </c>
    </row>
    <row r="123" spans="1:32" x14ac:dyDescent="0.3">
      <c r="A123" s="895" t="s">
        <v>3715</v>
      </c>
      <c r="B123" s="895" t="s">
        <v>4218</v>
      </c>
      <c r="C123" s="896">
        <v>104.3125</v>
      </c>
      <c r="D123" s="894">
        <v>6</v>
      </c>
      <c r="M123" t="e">
        <f t="shared" ref="M123:M128" si="17">FIND(":",P123)</f>
        <v>#VALUE!</v>
      </c>
      <c r="N123" s="314"/>
      <c r="O123" s="9" t="s">
        <v>5112</v>
      </c>
      <c r="P123" s="9" t="s">
        <v>226</v>
      </c>
      <c r="Q123" s="563" t="s">
        <v>5057</v>
      </c>
      <c r="R123" s="25">
        <f>S89</f>
        <v>260</v>
      </c>
      <c r="S123" s="102">
        <f t="shared" si="13"/>
        <v>0.38200000000000001</v>
      </c>
      <c r="T123" s="102">
        <f t="shared" si="14"/>
        <v>0.71</v>
      </c>
      <c r="U123" s="557">
        <f t="shared" si="15"/>
        <v>0.54600999999999988</v>
      </c>
      <c r="V123" s="1036">
        <v>2.0999999999999999E-3</v>
      </c>
      <c r="W123" s="1037">
        <v>1.0000000000000001E-5</v>
      </c>
      <c r="X123" s="391" t="s">
        <v>5158</v>
      </c>
    </row>
    <row r="124" spans="1:32" x14ac:dyDescent="0.3">
      <c r="A124" s="895" t="s">
        <v>3716</v>
      </c>
      <c r="B124" s="895" t="s">
        <v>4219</v>
      </c>
      <c r="C124" s="896">
        <v>136.03125</v>
      </c>
      <c r="D124" s="894">
        <v>6</v>
      </c>
      <c r="M124" t="e">
        <f t="shared" si="17"/>
        <v>#VALUE!</v>
      </c>
      <c r="N124" s="314"/>
      <c r="O124" s="9" t="s">
        <v>5156</v>
      </c>
      <c r="P124" s="9" t="s">
        <v>227</v>
      </c>
      <c r="Q124" s="563" t="s">
        <v>5058</v>
      </c>
      <c r="R124" s="25">
        <f>S89</f>
        <v>260</v>
      </c>
      <c r="S124" s="102">
        <f t="shared" si="13"/>
        <v>0.309</v>
      </c>
      <c r="T124" s="102">
        <f t="shared" si="14"/>
        <v>0.57499999999999996</v>
      </c>
      <c r="U124" s="557">
        <f t="shared" si="15"/>
        <v>0.44200899999999993</v>
      </c>
      <c r="V124" s="1036">
        <v>1.6999999999999999E-3</v>
      </c>
      <c r="W124" s="1037">
        <v>9.0000000000000002E-6</v>
      </c>
      <c r="X124" s="391" t="s">
        <v>5159</v>
      </c>
      <c r="Z124" s="3010" t="s">
        <v>4846</v>
      </c>
      <c r="AA124" s="3010"/>
      <c r="AB124" s="3010"/>
      <c r="AC124" s="3010"/>
      <c r="AD124" s="3010"/>
      <c r="AE124" s="1017"/>
    </row>
    <row r="125" spans="1:32" x14ac:dyDescent="0.3">
      <c r="A125" s="895" t="s">
        <v>3717</v>
      </c>
      <c r="B125" s="895" t="s">
        <v>4220</v>
      </c>
      <c r="C125" s="896">
        <v>110.78125</v>
      </c>
      <c r="D125" s="894">
        <v>6</v>
      </c>
      <c r="M125" t="e">
        <f t="shared" si="17"/>
        <v>#VALUE!</v>
      </c>
      <c r="N125" s="314"/>
      <c r="O125" s="9" t="s">
        <v>5156</v>
      </c>
      <c r="P125" s="9" t="s">
        <v>228</v>
      </c>
      <c r="Q125" s="28" t="s">
        <v>5142</v>
      </c>
      <c r="R125" s="25">
        <f>S89</f>
        <v>260</v>
      </c>
      <c r="S125" s="102">
        <f t="shared" si="13"/>
        <v>3.5999999999999997E-2</v>
      </c>
      <c r="T125" s="102">
        <f t="shared" si="14"/>
        <v>6.8000000000000005E-2</v>
      </c>
      <c r="U125" s="557">
        <f t="shared" si="15"/>
        <v>5.2000900000000003E-2</v>
      </c>
      <c r="V125" s="1036">
        <v>2.0000000000000001E-4</v>
      </c>
      <c r="W125" s="1037">
        <v>8.9999999999999996E-7</v>
      </c>
      <c r="X125" s="391" t="s">
        <v>5160</v>
      </c>
      <c r="Z125" s="1017" t="s">
        <v>1742</v>
      </c>
      <c r="AA125" s="1017" t="s">
        <v>5161</v>
      </c>
      <c r="AB125" s="1018">
        <f t="shared" ref="AB125:AC127" si="18">AVERAGE(AB99,AB103,AB107,AB111,AB115)</f>
        <v>0</v>
      </c>
      <c r="AC125" s="1018">
        <f t="shared" si="18"/>
        <v>3.78</v>
      </c>
      <c r="AD125" s="1018">
        <f>AVERAGE(AD99,AD103,AD107,AD111,AD115)</f>
        <v>0</v>
      </c>
      <c r="AE125" s="1017" t="s">
        <v>2499</v>
      </c>
    </row>
    <row r="126" spans="1:32" x14ac:dyDescent="0.3">
      <c r="A126" s="895" t="s">
        <v>3718</v>
      </c>
      <c r="B126" s="895" t="s">
        <v>4221</v>
      </c>
      <c r="C126" s="896">
        <v>225.21875</v>
      </c>
      <c r="D126" s="894">
        <v>6</v>
      </c>
      <c r="M126" t="e">
        <f t="shared" si="17"/>
        <v>#VALUE!</v>
      </c>
      <c r="N126" s="314"/>
      <c r="O126" s="9" t="s">
        <v>5156</v>
      </c>
      <c r="P126" s="9" t="s">
        <v>5162</v>
      </c>
      <c r="Q126" s="28" t="s">
        <v>5145</v>
      </c>
      <c r="R126" s="25">
        <f>S89</f>
        <v>260</v>
      </c>
      <c r="S126" s="102">
        <f t="shared" si="13"/>
        <v>1.6E-2</v>
      </c>
      <c r="T126" s="102">
        <f t="shared" si="14"/>
        <v>3.1E-2</v>
      </c>
      <c r="U126" s="557">
        <f t="shared" si="15"/>
        <v>2.3400500000000001E-2</v>
      </c>
      <c r="V126" s="1036">
        <v>9.0000000000000006E-5</v>
      </c>
      <c r="W126" s="1037">
        <v>4.9999999999999998E-7</v>
      </c>
      <c r="X126" s="391" t="s">
        <v>5163</v>
      </c>
      <c r="Z126" s="1017" t="s">
        <v>1742</v>
      </c>
      <c r="AA126" s="1017" t="s">
        <v>5164</v>
      </c>
      <c r="AB126" s="1018">
        <f t="shared" si="18"/>
        <v>15</v>
      </c>
      <c r="AC126" s="1018">
        <f t="shared" si="18"/>
        <v>74.227999999999994</v>
      </c>
      <c r="AD126" s="1018">
        <f>AVERAGE(AD100,AD104,AD108,AD112,AD116)</f>
        <v>71.168000000000006</v>
      </c>
      <c r="AE126" s="1017" t="s">
        <v>2499</v>
      </c>
    </row>
    <row r="127" spans="1:32" ht="15.6" x14ac:dyDescent="0.3">
      <c r="A127" s="895" t="s">
        <v>3719</v>
      </c>
      <c r="B127" s="895" t="s">
        <v>4222</v>
      </c>
      <c r="C127" s="896">
        <v>134.0625</v>
      </c>
      <c r="D127" s="894">
        <v>6</v>
      </c>
      <c r="M127" t="e">
        <f t="shared" si="17"/>
        <v>#VALUE!</v>
      </c>
      <c r="N127" s="314"/>
      <c r="O127" s="9" t="s">
        <v>5156</v>
      </c>
      <c r="P127" s="9" t="s">
        <v>229</v>
      </c>
      <c r="Q127" s="28" t="s">
        <v>5147</v>
      </c>
      <c r="R127" s="25">
        <f>S89</f>
        <v>260</v>
      </c>
      <c r="S127" s="102">
        <f t="shared" si="13"/>
        <v>1.2E-2</v>
      </c>
      <c r="T127" s="102">
        <f t="shared" si="14"/>
        <v>2.4E-2</v>
      </c>
      <c r="U127" s="557">
        <f t="shared" si="15"/>
        <v>1.8200299999999999E-2</v>
      </c>
      <c r="V127" s="1036">
        <v>6.9999999999999994E-5</v>
      </c>
      <c r="W127" s="1037">
        <v>2.9999999999999999E-7</v>
      </c>
      <c r="X127" s="391" t="s">
        <v>5165</v>
      </c>
      <c r="Z127" s="1017" t="s">
        <v>1742</v>
      </c>
      <c r="AA127" s="1017" t="s">
        <v>1976</v>
      </c>
      <c r="AB127" s="1018">
        <f t="shared" si="18"/>
        <v>0</v>
      </c>
      <c r="AC127" s="1018">
        <f t="shared" si="18"/>
        <v>40</v>
      </c>
      <c r="AD127" s="1018">
        <f>AVERAGE(AD101,AD105,AD109,AD113,AD117)</f>
        <v>32.4</v>
      </c>
      <c r="AE127" s="1017" t="s">
        <v>2499</v>
      </c>
    </row>
    <row r="128" spans="1:32" ht="15" customHeight="1" x14ac:dyDescent="0.3">
      <c r="A128" s="895" t="s">
        <v>3720</v>
      </c>
      <c r="B128" s="895" t="s">
        <v>4223</v>
      </c>
      <c r="C128" s="896">
        <v>184.03125</v>
      </c>
      <c r="D128" s="894">
        <v>6</v>
      </c>
      <c r="M128" t="e">
        <f t="shared" si="17"/>
        <v>#VALUE!</v>
      </c>
      <c r="N128" s="314"/>
      <c r="O128" s="9" t="s">
        <v>5156</v>
      </c>
      <c r="P128" s="9" t="s">
        <v>230</v>
      </c>
      <c r="Q128" s="28" t="s">
        <v>5148</v>
      </c>
      <c r="R128" s="25">
        <f>S89</f>
        <v>260</v>
      </c>
      <c r="S128" s="102">
        <f t="shared" si="13"/>
        <v>1.6E-2</v>
      </c>
      <c r="T128" s="102">
        <f t="shared" si="14"/>
        <v>3.1E-2</v>
      </c>
      <c r="U128" s="557">
        <f t="shared" si="15"/>
        <v>2.3400500000000001E-2</v>
      </c>
      <c r="V128" s="1036">
        <v>9.0000000000000006E-5</v>
      </c>
      <c r="W128" s="1037">
        <v>4.9999999999999998E-7</v>
      </c>
      <c r="X128" s="391" t="s">
        <v>5163</v>
      </c>
      <c r="Z128" s="1017" t="s">
        <v>1742</v>
      </c>
      <c r="AA128" s="1017" t="s">
        <v>5166</v>
      </c>
      <c r="AB128" s="1018">
        <v>0.1</v>
      </c>
      <c r="AC128" s="1018">
        <f>AVERAGE(AC102,AC106,AC110,AC114,AC118)</f>
        <v>3.78</v>
      </c>
      <c r="AD128" s="1018">
        <f>AVERAGE(AD102,AD106,AD110,AD114,AD118)</f>
        <v>0</v>
      </c>
      <c r="AE128" s="1017" t="s">
        <v>2499</v>
      </c>
    </row>
    <row r="129" spans="1:33" x14ac:dyDescent="0.3">
      <c r="A129" s="895" t="s">
        <v>3721</v>
      </c>
      <c r="B129" s="895" t="s">
        <v>4224</v>
      </c>
      <c r="C129" s="896">
        <v>243.28125</v>
      </c>
      <c r="D129" s="894">
        <v>6</v>
      </c>
      <c r="N129" s="314"/>
      <c r="X129" s="142"/>
    </row>
    <row r="130" spans="1:33" x14ac:dyDescent="0.3">
      <c r="A130" s="895" t="s">
        <v>3722</v>
      </c>
      <c r="B130" s="895" t="s">
        <v>4225</v>
      </c>
      <c r="C130" s="896">
        <v>148.625</v>
      </c>
      <c r="D130" s="894">
        <v>6</v>
      </c>
      <c r="N130" s="314"/>
      <c r="Z130" s="49" t="s">
        <v>2003</v>
      </c>
      <c r="AA130" s="49" t="s">
        <v>2004</v>
      </c>
      <c r="AB130" s="9">
        <v>1</v>
      </c>
      <c r="AC130" s="9">
        <v>4</v>
      </c>
      <c r="AD130" s="9">
        <v>1</v>
      </c>
      <c r="AE130" s="49" t="s">
        <v>2323</v>
      </c>
    </row>
    <row r="131" spans="1:33" ht="15" thickBot="1" x14ac:dyDescent="0.35">
      <c r="A131" s="895" t="s">
        <v>3723</v>
      </c>
      <c r="B131" s="895" t="s">
        <v>4226</v>
      </c>
      <c r="C131" s="896">
        <v>71.25</v>
      </c>
      <c r="D131" s="894">
        <v>6</v>
      </c>
      <c r="N131" s="314"/>
      <c r="Z131" s="1031" t="s">
        <v>5055</v>
      </c>
      <c r="AA131" s="1031" t="s">
        <v>304</v>
      </c>
      <c r="AB131" t="s">
        <v>5167</v>
      </c>
      <c r="AC131" t="s">
        <v>5168</v>
      </c>
      <c r="AD131" t="s">
        <v>5169</v>
      </c>
    </row>
    <row r="132" spans="1:33" ht="15" thickBot="1" x14ac:dyDescent="0.35">
      <c r="A132" s="895" t="s">
        <v>3724</v>
      </c>
      <c r="B132" s="895" t="s">
        <v>4227</v>
      </c>
      <c r="C132" s="896">
        <v>169.65625</v>
      </c>
      <c r="D132" s="894">
        <v>6</v>
      </c>
      <c r="Z132" s="300" t="s">
        <v>819</v>
      </c>
      <c r="AA132" s="10" t="s">
        <v>820</v>
      </c>
      <c r="AB132" s="10">
        <f>UDV.animal.a_treated</f>
        <v>0</v>
      </c>
      <c r="AC132" s="21">
        <f>UDV.animal.a_count</f>
        <v>0</v>
      </c>
      <c r="AD132" s="10">
        <f>AB132*AC132</f>
        <v>0</v>
      </c>
      <c r="AE132" s="35" t="s">
        <v>5170</v>
      </c>
      <c r="AF132" s="1019">
        <v>45314</v>
      </c>
      <c r="AG132" t="s">
        <v>5171</v>
      </c>
    </row>
    <row r="133" spans="1:33" ht="15" customHeight="1" thickBot="1" x14ac:dyDescent="0.35">
      <c r="A133" s="895" t="s">
        <v>3725</v>
      </c>
      <c r="B133" s="895" t="s">
        <v>4228</v>
      </c>
      <c r="C133" s="896">
        <v>87.65625</v>
      </c>
      <c r="D133" s="894">
        <v>6</v>
      </c>
      <c r="Z133" s="73" t="s">
        <v>819</v>
      </c>
      <c r="AA133" s="49" t="s">
        <v>849</v>
      </c>
      <c r="AB133" s="49">
        <f>UDV.animal.b_treated</f>
        <v>0</v>
      </c>
      <c r="AC133" s="9">
        <f>UDV.animal.b_count</f>
        <v>0</v>
      </c>
      <c r="AD133" s="10">
        <f t="shared" ref="AD133:AD136" si="19">AB133*AC133</f>
        <v>0</v>
      </c>
      <c r="AE133" s="11" t="s">
        <v>5170</v>
      </c>
    </row>
    <row r="134" spans="1:33" ht="15" thickBot="1" x14ac:dyDescent="0.35">
      <c r="A134" s="895" t="s">
        <v>3726</v>
      </c>
      <c r="B134" s="895" t="s">
        <v>4229</v>
      </c>
      <c r="C134" s="896">
        <v>153.9375</v>
      </c>
      <c r="D134" s="894">
        <v>6</v>
      </c>
      <c r="N134" s="314"/>
      <c r="Z134" s="73" t="s">
        <v>819</v>
      </c>
      <c r="AA134" s="49" t="s">
        <v>870</v>
      </c>
      <c r="AB134" s="49">
        <f>UDV.animal.c_treated</f>
        <v>0</v>
      </c>
      <c r="AC134" s="9">
        <f>UDV.animal.c_count</f>
        <v>0</v>
      </c>
      <c r="AD134" s="10">
        <f t="shared" si="19"/>
        <v>0</v>
      </c>
      <c r="AE134" s="11" t="s">
        <v>5170</v>
      </c>
    </row>
    <row r="135" spans="1:33" ht="15" thickBot="1" x14ac:dyDescent="0.35">
      <c r="A135" s="895" t="s">
        <v>3727</v>
      </c>
      <c r="B135" s="895" t="s">
        <v>4230</v>
      </c>
      <c r="C135" s="896">
        <v>108.46875</v>
      </c>
      <c r="D135" s="894">
        <v>6</v>
      </c>
      <c r="N135" s="314"/>
      <c r="Z135" s="73" t="s">
        <v>819</v>
      </c>
      <c r="AA135" s="49" t="s">
        <v>891</v>
      </c>
      <c r="AB135" s="49">
        <f>UDV.animal.d_treated</f>
        <v>0</v>
      </c>
      <c r="AC135" s="9">
        <f>UDV.animal.d_count</f>
        <v>0</v>
      </c>
      <c r="AD135" s="10">
        <f t="shared" si="19"/>
        <v>0</v>
      </c>
      <c r="AE135" s="11" t="s">
        <v>5170</v>
      </c>
    </row>
    <row r="136" spans="1:33" ht="15" thickBot="1" x14ac:dyDescent="0.35">
      <c r="A136" s="895" t="s">
        <v>3728</v>
      </c>
      <c r="B136" s="895" t="s">
        <v>4231</v>
      </c>
      <c r="C136" s="896">
        <v>102.78125</v>
      </c>
      <c r="D136" s="894">
        <v>6</v>
      </c>
      <c r="N136" s="314"/>
      <c r="Z136" s="75" t="s">
        <v>819</v>
      </c>
      <c r="AA136" s="22" t="s">
        <v>912</v>
      </c>
      <c r="AB136" s="22">
        <f>UDV.animal.e_treated</f>
        <v>1</v>
      </c>
      <c r="AC136" s="23">
        <f>UDV.animal.e_count</f>
        <v>500</v>
      </c>
      <c r="AD136" s="603">
        <f t="shared" si="19"/>
        <v>500</v>
      </c>
      <c r="AE136" s="17" t="s">
        <v>5170</v>
      </c>
    </row>
    <row r="137" spans="1:33" ht="15" thickBot="1" x14ac:dyDescent="0.35">
      <c r="N137" s="314"/>
      <c r="AD137" s="42"/>
    </row>
    <row r="138" spans="1:33" x14ac:dyDescent="0.3">
      <c r="N138" s="314"/>
      <c r="Z138" s="1020" t="s">
        <v>5172</v>
      </c>
      <c r="AA138" s="1021" t="s">
        <v>5173</v>
      </c>
      <c r="AB138" s="1021" t="s">
        <v>41</v>
      </c>
      <c r="AC138" s="1021" t="s">
        <v>42</v>
      </c>
      <c r="AD138" s="1030" t="s">
        <v>39</v>
      </c>
      <c r="AE138" s="1022" t="s">
        <v>38</v>
      </c>
      <c r="AF138" s="1019">
        <v>45314</v>
      </c>
      <c r="AG138" t="s">
        <v>5171</v>
      </c>
    </row>
    <row r="139" spans="1:33" x14ac:dyDescent="0.3">
      <c r="N139" s="314"/>
      <c r="Z139" s="73" t="s">
        <v>1742</v>
      </c>
      <c r="AA139" s="49" t="s">
        <v>1815</v>
      </c>
      <c r="AB139" s="49">
        <f>$AD$132*AB99+$AD$133*AB103+$AD$134*AB107+$AD$135*AB111+$AD$136*AB115</f>
        <v>0</v>
      </c>
      <c r="AC139" s="49">
        <f t="shared" ref="AC139:AD139" si="20">$AD$132*AC99+$AD$133*AC103+$AD$134*AC107+$AD$135*AC111+$AD$136*AC115</f>
        <v>1890</v>
      </c>
      <c r="AD139" s="49">
        <f t="shared" si="20"/>
        <v>0</v>
      </c>
      <c r="AE139" s="11" t="s">
        <v>2519</v>
      </c>
    </row>
    <row r="140" spans="1:33" x14ac:dyDescent="0.3">
      <c r="N140" s="314"/>
      <c r="O140" s="150"/>
      <c r="P140" s="150"/>
      <c r="Q140" s="150"/>
      <c r="R140" s="150"/>
      <c r="S140" s="150"/>
      <c r="T140" s="150"/>
      <c r="U140" s="150"/>
      <c r="V140" s="150"/>
      <c r="W140" s="150"/>
      <c r="X140" s="150"/>
      <c r="Z140" s="73" t="s">
        <v>1742</v>
      </c>
      <c r="AA140" s="49" t="s">
        <v>1818</v>
      </c>
      <c r="AB140" s="49">
        <f>$AD$132*AB100+$AD$133*AB104+$AD$134*AB108+$AD$135*AB112+$AD$136*AB116</f>
        <v>7500</v>
      </c>
      <c r="AC140" s="49">
        <f t="shared" ref="AC140" si="21">$AD$132*AC100+$AD$133*AC104+$AD$134*AC108+$AD$135*AC112+$AD$136*AC116</f>
        <v>28500</v>
      </c>
      <c r="AD140" s="49">
        <f>$AD$132*AD100+$AD$133*AD104+$AD$134*AD108+$AD$135*AD112+$AD$136*AD116</f>
        <v>28390</v>
      </c>
      <c r="AE140" s="11" t="s">
        <v>2519</v>
      </c>
    </row>
    <row r="141" spans="1:33" x14ac:dyDescent="0.3">
      <c r="Z141" s="73" t="s">
        <v>1742</v>
      </c>
      <c r="AA141" s="49" t="s">
        <v>1820</v>
      </c>
      <c r="AB141" s="49">
        <f>$AD$132*AB101+$AD$133*AB105+$AD$134*AB109+$AD$135*AB113+$AD$136*AB117</f>
        <v>0</v>
      </c>
      <c r="AC141" s="49">
        <f>$AD$132*AC101+$AD$133*AC105+$AD$134*AC109+$AD$135*AC113+$AD$136*AC117</f>
        <v>20000</v>
      </c>
      <c r="AD141" s="49">
        <f>$AD$132*AD101+$AD$133*AD105+$AD$134*AD109+$AD$135*AD113+$AD$136*AD117</f>
        <v>16200</v>
      </c>
      <c r="AE141" s="11" t="s">
        <v>2519</v>
      </c>
    </row>
    <row r="142" spans="1:33" ht="15" thickBot="1" x14ac:dyDescent="0.35">
      <c r="Q142" s="877"/>
      <c r="Z142" s="75" t="s">
        <v>1742</v>
      </c>
      <c r="AA142" s="22" t="s">
        <v>1822</v>
      </c>
      <c r="AB142" s="22">
        <f>$AD$132*AB102+$AD$133*AB106+$AD$134*AB110+$AD$135*AB114+$AD$136*AB118</f>
        <v>0</v>
      </c>
      <c r="AC142" s="22">
        <f t="shared" ref="AC142" si="22">$AD$132*AC102+$AD$133*AC106+$AD$134*AC110+$AD$135*AC114+$AD$136*AC118</f>
        <v>1890</v>
      </c>
      <c r="AD142" s="22">
        <f>$AD$132*AD102+$AD$133*AD106+$AD$134*AD110+$AD$135*AD114+$AD$136*AD118</f>
        <v>0</v>
      </c>
      <c r="AE142" s="17" t="s">
        <v>2519</v>
      </c>
    </row>
    <row r="143" spans="1:33" x14ac:dyDescent="0.3">
      <c r="O143" s="1024"/>
      <c r="P143" s="1025"/>
      <c r="Q143" s="1026" t="s">
        <v>5174</v>
      </c>
      <c r="R143" s="1025"/>
      <c r="S143" s="1025" t="s">
        <v>41</v>
      </c>
      <c r="T143" s="1025" t="s">
        <v>42</v>
      </c>
      <c r="U143" s="1025" t="s">
        <v>39</v>
      </c>
      <c r="V143" s="1033"/>
      <c r="W143" s="1033"/>
      <c r="X143" s="1027" t="s">
        <v>5175</v>
      </c>
      <c r="Y143" s="1023">
        <v>45314</v>
      </c>
    </row>
    <row r="144" spans="1:33" x14ac:dyDescent="0.3">
      <c r="N144" t="str">
        <f>_xlfn.CONCAT("UDV.",O144,".",P144)</f>
        <v>UDV.animal.manure</v>
      </c>
      <c r="O144" s="73" t="s">
        <v>819</v>
      </c>
      <c r="P144" s="49" t="s">
        <v>938</v>
      </c>
      <c r="Q144" s="49" t="s">
        <v>5056</v>
      </c>
      <c r="R144" s="1028"/>
      <c r="S144" s="77">
        <f t="shared" ref="S144:U150" si="23">$AD$132*S94+$AD$133*S101+$AD$134*S108+$AD$135*S115+$AD$136*S122</f>
        <v>1956.5</v>
      </c>
      <c r="T144" s="77">
        <f t="shared" si="23"/>
        <v>3634.0000000000005</v>
      </c>
      <c r="U144" s="77">
        <f t="shared" si="23"/>
        <v>2795.0049999999997</v>
      </c>
      <c r="V144" s="1034"/>
      <c r="W144" s="1034"/>
      <c r="X144" s="11" t="s">
        <v>5176</v>
      </c>
      <c r="Y144" t="s">
        <v>5171</v>
      </c>
    </row>
    <row r="145" spans="14:24" x14ac:dyDescent="0.3">
      <c r="N145" t="str">
        <f t="shared" ref="N145:N150" si="24">_xlfn.CONCAT("UDV.",O145,".",P145)</f>
        <v>UDV.animal.TS</v>
      </c>
      <c r="O145" s="73" t="s">
        <v>819</v>
      </c>
      <c r="P145" s="49" t="s">
        <v>706</v>
      </c>
      <c r="Q145" s="49" t="s">
        <v>5057</v>
      </c>
      <c r="R145" s="1028"/>
      <c r="S145" s="77">
        <f t="shared" si="23"/>
        <v>191</v>
      </c>
      <c r="T145" s="77">
        <f t="shared" si="23"/>
        <v>355</v>
      </c>
      <c r="U145" s="77">
        <f t="shared" si="23"/>
        <v>273.00499999999994</v>
      </c>
      <c r="V145" s="1034"/>
      <c r="W145" s="1034"/>
      <c r="X145" s="11" t="s">
        <v>5176</v>
      </c>
    </row>
    <row r="146" spans="14:24" x14ac:dyDescent="0.3">
      <c r="N146" t="str">
        <f t="shared" si="24"/>
        <v>UDV.animal.VS</v>
      </c>
      <c r="O146" s="73" t="s">
        <v>819</v>
      </c>
      <c r="P146" s="49" t="s">
        <v>708</v>
      </c>
      <c r="Q146" s="49" t="s">
        <v>5058</v>
      </c>
      <c r="R146" s="1028"/>
      <c r="S146" s="77">
        <f t="shared" si="23"/>
        <v>154.5</v>
      </c>
      <c r="T146" s="77">
        <f t="shared" si="23"/>
        <v>287.5</v>
      </c>
      <c r="U146" s="77">
        <f t="shared" si="23"/>
        <v>221.00449999999998</v>
      </c>
      <c r="V146" s="1034"/>
      <c r="W146" s="1034"/>
      <c r="X146" s="11" t="s">
        <v>5176</v>
      </c>
    </row>
    <row r="147" spans="14:24" x14ac:dyDescent="0.3">
      <c r="N147" t="str">
        <f t="shared" si="24"/>
        <v>UDV.animal.N</v>
      </c>
      <c r="O147" s="73" t="s">
        <v>819</v>
      </c>
      <c r="P147" s="49" t="s">
        <v>84</v>
      </c>
      <c r="Q147" s="49" t="s">
        <v>5142</v>
      </c>
      <c r="R147" s="1028"/>
      <c r="S147" s="77">
        <f t="shared" si="23"/>
        <v>18</v>
      </c>
      <c r="T147" s="77">
        <f t="shared" si="23"/>
        <v>34</v>
      </c>
      <c r="U147" s="77">
        <f t="shared" si="23"/>
        <v>26.000450000000001</v>
      </c>
      <c r="V147" s="1034"/>
      <c r="W147" s="1034"/>
      <c r="X147" s="11" t="s">
        <v>5176</v>
      </c>
    </row>
    <row r="148" spans="14:24" x14ac:dyDescent="0.3">
      <c r="N148" t="str">
        <f t="shared" si="24"/>
        <v>UDV.animal.TAN</v>
      </c>
      <c r="O148" s="73" t="s">
        <v>819</v>
      </c>
      <c r="P148" s="49" t="s">
        <v>705</v>
      </c>
      <c r="Q148" s="49" t="s">
        <v>5145</v>
      </c>
      <c r="R148" s="1028"/>
      <c r="S148" s="77">
        <f t="shared" si="23"/>
        <v>8</v>
      </c>
      <c r="T148" s="77">
        <f t="shared" si="23"/>
        <v>15.5</v>
      </c>
      <c r="U148" s="77">
        <f t="shared" si="23"/>
        <v>11.70025</v>
      </c>
      <c r="V148" s="1034"/>
      <c r="W148" s="1034"/>
      <c r="X148" s="11" t="s">
        <v>5176</v>
      </c>
    </row>
    <row r="149" spans="14:24" x14ac:dyDescent="0.3">
      <c r="N149" t="str">
        <f t="shared" si="24"/>
        <v>UDV.animal.P2O5</v>
      </c>
      <c r="O149" s="73" t="s">
        <v>819</v>
      </c>
      <c r="P149" s="49" t="s">
        <v>941</v>
      </c>
      <c r="Q149" s="49" t="s">
        <v>5177</v>
      </c>
      <c r="R149" s="1028"/>
      <c r="S149" s="77">
        <f t="shared" si="23"/>
        <v>6</v>
      </c>
      <c r="T149" s="77">
        <f t="shared" si="23"/>
        <v>12</v>
      </c>
      <c r="U149" s="77">
        <f t="shared" si="23"/>
        <v>9.1001499999999993</v>
      </c>
      <c r="V149" s="1034"/>
      <c r="W149" s="1034"/>
      <c r="X149" s="11" t="s">
        <v>5176</v>
      </c>
    </row>
    <row r="150" spans="14:24" ht="15" thickBot="1" x14ac:dyDescent="0.35">
      <c r="N150" t="str">
        <f t="shared" si="24"/>
        <v>UDV.animal.K2O</v>
      </c>
      <c r="O150" s="75" t="s">
        <v>819</v>
      </c>
      <c r="P150" s="22" t="s">
        <v>934</v>
      </c>
      <c r="Q150" s="22" t="s">
        <v>5178</v>
      </c>
      <c r="R150" s="1029"/>
      <c r="S150" s="555">
        <f t="shared" si="23"/>
        <v>8</v>
      </c>
      <c r="T150" s="555">
        <f t="shared" si="23"/>
        <v>15.5</v>
      </c>
      <c r="U150" s="555">
        <f t="shared" si="23"/>
        <v>11.70025</v>
      </c>
      <c r="V150" s="1035"/>
      <c r="W150" s="1035"/>
      <c r="X150" s="17" t="s">
        <v>5176</v>
      </c>
    </row>
  </sheetData>
  <mergeCells count="18">
    <mergeCell ref="A24:A33"/>
    <mergeCell ref="A35:A44"/>
    <mergeCell ref="A46:A55"/>
    <mergeCell ref="C2:K2"/>
    <mergeCell ref="H3:K3"/>
    <mergeCell ref="Z124:AD124"/>
    <mergeCell ref="Z97:AE97"/>
    <mergeCell ref="A57:A66"/>
    <mergeCell ref="A68:A77"/>
    <mergeCell ref="Q92:Q93"/>
    <mergeCell ref="R92:R93"/>
    <mergeCell ref="Y29:AF29"/>
    <mergeCell ref="P92:P93"/>
    <mergeCell ref="Y3:AF3"/>
    <mergeCell ref="Y8:AF8"/>
    <mergeCell ref="Y13:AF13"/>
    <mergeCell ref="Y24:AF24"/>
    <mergeCell ref="X92:X93"/>
  </mergeCells>
  <hyperlinks>
    <hyperlink ref="A1" location="INDEX!A1" display="Index" xr:uid="{58307DA8-A457-4B39-893A-16BAC5391F6F}"/>
    <hyperlink ref="B1" location="'Units'!A1" display="Previous" xr:uid="{3A038742-2F68-4DC5-A3D9-A69DAC092102}"/>
    <hyperlink ref="C1" location="'Swine_USER INPUT'!A1" display="Next" xr:uid="{43B21672-D861-4D7B-A77F-91C4022DBE84}"/>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F305B-1CFA-4478-8059-C4B344B29AA6}">
  <sheetPr codeName="Sheet23">
    <tabColor rgb="FFFFFF00"/>
  </sheetPr>
  <dimension ref="A1:T242"/>
  <sheetViews>
    <sheetView workbookViewId="0">
      <selection sqref="A1:C1"/>
    </sheetView>
  </sheetViews>
  <sheetFormatPr defaultColWidth="9.109375" defaultRowHeight="14.4" x14ac:dyDescent="0.3"/>
  <cols>
    <col min="1" max="1" width="11.44140625" customWidth="1"/>
    <col min="2" max="2" width="17.5546875" bestFit="1" customWidth="1"/>
    <col min="3" max="3" width="15" customWidth="1"/>
    <col min="4" max="4" width="11.44140625" bestFit="1" customWidth="1"/>
    <col min="5" max="5" width="16.44140625" bestFit="1" customWidth="1"/>
    <col min="6" max="6" width="11.5546875" bestFit="1" customWidth="1"/>
    <col min="7" max="7" width="14.5546875" bestFit="1" customWidth="1"/>
    <col min="8" max="8" width="9.5546875" bestFit="1" customWidth="1"/>
    <col min="9" max="9" width="18.5546875" bestFit="1" customWidth="1"/>
    <col min="10" max="10" width="15.88671875" customWidth="1"/>
    <col min="11" max="11" width="10.44140625" style="148" bestFit="1" customWidth="1"/>
    <col min="12" max="12" width="13.44140625" bestFit="1" customWidth="1"/>
    <col min="13" max="13" width="11.5546875" style="148" bestFit="1" customWidth="1"/>
    <col min="14" max="14" width="10.44140625" bestFit="1" customWidth="1"/>
    <col min="15" max="15" width="12.44140625" style="148" bestFit="1" customWidth="1"/>
    <col min="16" max="16" width="12.44140625" bestFit="1" customWidth="1"/>
    <col min="17" max="17" width="13.5546875" style="148" bestFit="1" customWidth="1"/>
    <col min="18" max="18" width="13.5546875" bestFit="1" customWidth="1"/>
    <col min="19" max="19" width="10.44140625" style="148" bestFit="1" customWidth="1"/>
    <col min="20" max="20" width="14.44140625" bestFit="1" customWidth="1"/>
  </cols>
  <sheetData>
    <row r="1" spans="1:20" ht="18.600000000000001" thickBot="1" x14ac:dyDescent="0.4">
      <c r="A1" s="3026" t="s">
        <v>5179</v>
      </c>
      <c r="B1" s="3026"/>
      <c r="C1" s="3026"/>
      <c r="E1" s="649" t="s">
        <v>5180</v>
      </c>
      <c r="F1" s="338" t="s">
        <v>5181</v>
      </c>
      <c r="L1" s="511"/>
      <c r="M1" s="511"/>
      <c r="N1" s="511"/>
      <c r="O1" s="511"/>
      <c r="P1" s="511"/>
      <c r="Q1" s="511"/>
      <c r="R1" s="511"/>
      <c r="S1" s="511"/>
      <c r="T1" s="511"/>
    </row>
    <row r="2" spans="1:20" x14ac:dyDescent="0.3">
      <c r="A2" s="511" t="s">
        <v>5182</v>
      </c>
      <c r="E2" s="82"/>
      <c r="F2" s="82"/>
      <c r="K2" s="511" t="s">
        <v>5182</v>
      </c>
      <c r="L2" s="511"/>
      <c r="M2" s="511"/>
      <c r="N2" s="511"/>
      <c r="O2" s="511"/>
      <c r="P2" s="511"/>
      <c r="Q2" s="511"/>
      <c r="R2" s="511"/>
      <c r="S2" s="511"/>
      <c r="T2" s="511"/>
    </row>
    <row r="3" spans="1:20" x14ac:dyDescent="0.3">
      <c r="C3">
        <v>6</v>
      </c>
      <c r="D3">
        <v>7</v>
      </c>
      <c r="E3">
        <v>8</v>
      </c>
      <c r="F3">
        <v>9</v>
      </c>
      <c r="G3">
        <v>10</v>
      </c>
      <c r="H3">
        <v>11</v>
      </c>
      <c r="I3">
        <v>12</v>
      </c>
      <c r="J3">
        <v>13</v>
      </c>
      <c r="K3" s="511">
        <v>14</v>
      </c>
      <c r="L3" s="511">
        <v>15</v>
      </c>
      <c r="M3" s="511">
        <v>16</v>
      </c>
      <c r="N3" s="511">
        <v>17</v>
      </c>
      <c r="O3" s="511">
        <v>18</v>
      </c>
      <c r="P3" s="511">
        <v>19</v>
      </c>
      <c r="Q3" s="511">
        <v>20</v>
      </c>
      <c r="R3" s="511">
        <v>21</v>
      </c>
      <c r="S3" s="511">
        <v>22</v>
      </c>
      <c r="T3" s="511">
        <v>23</v>
      </c>
    </row>
    <row r="4" spans="1:20" ht="28.8" x14ac:dyDescent="0.3">
      <c r="C4" s="1179" t="s">
        <v>5183</v>
      </c>
      <c r="D4" s="199" t="s">
        <v>5184</v>
      </c>
      <c r="E4" s="199" t="s">
        <v>5185</v>
      </c>
      <c r="F4" s="199" t="s">
        <v>5184</v>
      </c>
      <c r="G4" s="199" t="s">
        <v>5184</v>
      </c>
      <c r="H4" s="199" t="s">
        <v>5184</v>
      </c>
      <c r="I4" s="199" t="s">
        <v>5184</v>
      </c>
      <c r="J4" s="199" t="s">
        <v>5184</v>
      </c>
      <c r="K4" s="511"/>
      <c r="L4" s="511"/>
      <c r="M4" s="511"/>
      <c r="N4" s="511"/>
      <c r="O4" s="511"/>
      <c r="P4" s="511"/>
      <c r="Q4" s="511"/>
      <c r="R4" s="511"/>
      <c r="S4" s="511"/>
      <c r="T4" s="511"/>
    </row>
    <row r="5" spans="1:20" x14ac:dyDescent="0.3">
      <c r="A5" s="3020" t="s">
        <v>5186</v>
      </c>
      <c r="B5" s="3021"/>
      <c r="C5" s="3021"/>
      <c r="D5" s="3021"/>
      <c r="E5" s="3021"/>
      <c r="F5" s="3021"/>
      <c r="G5" s="3021"/>
      <c r="H5" s="3021"/>
      <c r="I5" s="3021"/>
      <c r="J5" s="3021"/>
      <c r="K5" s="3021"/>
      <c r="L5" s="3021"/>
      <c r="M5" s="3021"/>
      <c r="N5" s="3021"/>
      <c r="O5" s="3021"/>
      <c r="P5" s="3021"/>
      <c r="Q5" s="3021"/>
      <c r="R5" s="3021"/>
      <c r="S5" s="3021"/>
      <c r="T5" s="3022"/>
    </row>
    <row r="6" spans="1:20" ht="28.8" x14ac:dyDescent="0.3">
      <c r="A6" s="99"/>
      <c r="B6" s="82" t="s">
        <v>5187</v>
      </c>
      <c r="C6" s="82" t="s">
        <v>2585</v>
      </c>
      <c r="D6" s="82" t="s">
        <v>2588</v>
      </c>
      <c r="E6" s="82" t="s">
        <v>5188</v>
      </c>
      <c r="F6" s="82" t="s">
        <v>5189</v>
      </c>
      <c r="G6" s="82" t="s">
        <v>5190</v>
      </c>
      <c r="H6" s="82" t="s">
        <v>442</v>
      </c>
      <c r="I6" s="82" t="s">
        <v>5191</v>
      </c>
      <c r="J6" s="173" t="s">
        <v>439</v>
      </c>
      <c r="K6" s="661" t="s">
        <v>5192</v>
      </c>
      <c r="L6" s="281" t="s">
        <v>5193</v>
      </c>
      <c r="M6" s="663" t="s">
        <v>5194</v>
      </c>
      <c r="N6" s="281" t="s">
        <v>5195</v>
      </c>
      <c r="O6" s="663" t="s">
        <v>5196</v>
      </c>
      <c r="P6" s="281" t="s">
        <v>5197</v>
      </c>
      <c r="Q6" s="663" t="s">
        <v>5198</v>
      </c>
      <c r="R6" s="281" t="s">
        <v>5199</v>
      </c>
      <c r="S6" s="663" t="s">
        <v>5200</v>
      </c>
      <c r="T6" s="282" t="s">
        <v>5201</v>
      </c>
    </row>
    <row r="7" spans="1:20" x14ac:dyDescent="0.3">
      <c r="A7" s="99" t="s">
        <v>4912</v>
      </c>
      <c r="B7" t="s">
        <v>5202</v>
      </c>
      <c r="C7" s="233">
        <f>VLOOKUP($A7&amp;$B7,'Sc1'!$A$300:$Z$2016,C$3,FALSE)</f>
        <v>32209.358207063866</v>
      </c>
      <c r="D7" s="233">
        <f>VLOOKUP($A7&amp;$B7,'Sc1'!$A$300:$Z$2016,D$3,FALSE)</f>
        <v>13116.391672536629</v>
      </c>
      <c r="E7" s="233">
        <f>VLOOKUP($A7&amp;$B7,'Sc1'!$A$300:$Z$2016,E$3,FALSE)</f>
        <v>45325.749879600495</v>
      </c>
      <c r="F7" s="233">
        <f>VLOOKUP($A7&amp;$B7,'Sc1'!$A$300:$Z$2016,F$3,FALSE)</f>
        <v>0</v>
      </c>
      <c r="G7" s="233">
        <f>VLOOKUP($A7&amp;$B7,'Sc1'!$A$300:$Z$2016,G$3,FALSE)</f>
        <v>13214.040328378442</v>
      </c>
      <c r="H7" s="233">
        <f>VLOOKUP($A7&amp;$B7,'Sc1'!$A$300:$Z$2016,H$3,FALSE)</f>
        <v>0</v>
      </c>
      <c r="I7" s="233">
        <f>VLOOKUP($A7&amp;$B7,'Sc1'!$A$300:$Z$2016,I$3,FALSE)</f>
        <v>0</v>
      </c>
      <c r="J7" s="167">
        <f>VLOOKUP($A7&amp;$B7,'Sc1'!$A$300:$Z$2016,J$3,FALSE)</f>
        <v>-45325.749879600495</v>
      </c>
      <c r="K7" s="164">
        <f>VLOOKUP($A7&amp;$B7,'Sc1'!$A$300:$Z$2016,K$3,FALSE)</f>
        <v>0</v>
      </c>
      <c r="L7" s="233">
        <f>VLOOKUP($A7&amp;$B7,'Sc1'!$A$300:$Z$2016,L$3,FALSE)</f>
        <v>0</v>
      </c>
      <c r="M7" s="278">
        <f>VLOOKUP($A7&amp;$B7,'Sc1'!$A$300:$Z$2016,M$3,FALSE)</f>
        <v>370.31185144590069</v>
      </c>
      <c r="N7" s="233">
        <f>VLOOKUP($A7&amp;$B7,'Sc1'!$A$300:$Z$2016,N$3,FALSE)</f>
        <v>1368.8542653617394</v>
      </c>
      <c r="O7" s="278">
        <f>VLOOKUP($A7&amp;$B7,'Sc1'!$A$300:$Z$2016,O$3,FALSE)</f>
        <v>22.003886560796118</v>
      </c>
      <c r="P7" s="233">
        <f>VLOOKUP($A7&amp;$B7,'Sc1'!$A$300:$Z$2016,P$3,FALSE)</f>
        <v>520.61195602843623</v>
      </c>
      <c r="Q7" s="278">
        <f>VLOOKUP($A7&amp;$B7,'Sc1'!$A$300:$Z$2016,Q$3,FALSE)</f>
        <v>0</v>
      </c>
      <c r="R7" s="233">
        <f>VLOOKUP($A7&amp;$B7,'Sc1'!$A$300:$Z$2016,R$3,FALSE)</f>
        <v>0</v>
      </c>
      <c r="S7" s="278">
        <f>VLOOKUP($A7&amp;$B7,'Sc1'!$A$300:$Z$2016,S$3,FALSE)</f>
        <v>22.003886560796118</v>
      </c>
      <c r="T7" s="167">
        <f>VLOOKUP($A7&amp;$B7,'Sc1'!$A$300:$Z$2016,T$3,FALSE)</f>
        <v>520.61195602843623</v>
      </c>
    </row>
    <row r="8" spans="1:20" x14ac:dyDescent="0.3">
      <c r="A8" s="149" t="s">
        <v>4912</v>
      </c>
      <c r="B8" s="650" t="s">
        <v>5203</v>
      </c>
      <c r="C8" s="655">
        <f>VLOOKUP($A8&amp;$B8,'Sc1'!$A$300:$Z$2016,C$3,FALSE)</f>
        <v>40009.766013836401</v>
      </c>
      <c r="D8" s="655">
        <f>VLOOKUP($A8&amp;$B8,'Sc1'!$A$300:$Z$2016,D$3,FALSE)</f>
        <v>14562.261669309773</v>
      </c>
      <c r="E8" s="655">
        <f>VLOOKUP($A8&amp;$B8,'Sc1'!$A$300:$Z$2016,E$3,FALSE)</f>
        <v>54572.027683146167</v>
      </c>
      <c r="F8" s="655">
        <f>VLOOKUP($A8&amp;$B8,'Sc1'!$A$300:$Z$2016,F$3,FALSE)</f>
        <v>0</v>
      </c>
      <c r="G8" s="655">
        <f>VLOOKUP($A8&amp;$B8,'Sc1'!$A$300:$Z$2016,G$3,FALSE)</f>
        <v>13214.040328378442</v>
      </c>
      <c r="H8" s="655">
        <f>VLOOKUP($A8&amp;$B8,'Sc1'!$A$300:$Z$2016,H$3,FALSE)</f>
        <v>0</v>
      </c>
      <c r="I8" s="655">
        <f>VLOOKUP($A8&amp;$B8,'Sc1'!$A$300:$Z$2016,I$3,FALSE)</f>
        <v>0</v>
      </c>
      <c r="J8" s="656">
        <f>VLOOKUP($A8&amp;$B8,'Sc1'!$A$300:$Z$2016,J$3,FALSE)</f>
        <v>-54572.027683146167</v>
      </c>
      <c r="K8" s="651">
        <f>VLOOKUP($A8&amp;$B8,'Sc1'!$A$300:$Z$2016,K$3,FALSE)</f>
        <v>0</v>
      </c>
      <c r="L8" s="655">
        <f>VLOOKUP($A8&amp;$B8,'Sc1'!$A$300:$Z$2016,L$3,FALSE)</f>
        <v>0</v>
      </c>
      <c r="M8" s="652">
        <f>VLOOKUP($A8&amp;$B8,'Sc1'!$A$300:$Z$2016,M$3,FALSE)</f>
        <v>370.31185144590069</v>
      </c>
      <c r="N8" s="655">
        <f>VLOOKUP($A8&amp;$B8,'Sc1'!$A$300:$Z$2016,N$3,FALSE)</f>
        <v>1368.8542653617394</v>
      </c>
      <c r="O8" s="652">
        <f>VLOOKUP($A8&amp;$B8,'Sc1'!$A$300:$Z$2016,O$3,FALSE)</f>
        <v>22.003886560796118</v>
      </c>
      <c r="P8" s="655">
        <f>VLOOKUP($A8&amp;$B8,'Sc1'!$A$300:$Z$2016,P$3,FALSE)</f>
        <v>520.61195602843623</v>
      </c>
      <c r="Q8" s="652">
        <f>VLOOKUP($A8&amp;$B8,'Sc1'!$A$300:$Z$2016,Q$3,FALSE)</f>
        <v>0</v>
      </c>
      <c r="R8" s="655">
        <f>VLOOKUP($A8&amp;$B8,'Sc1'!$A$300:$Z$2016,R$3,FALSE)</f>
        <v>0</v>
      </c>
      <c r="S8" s="652">
        <f>VLOOKUP($A8&amp;$B8,'Sc1'!$A$300:$Z$2016,S$3,FALSE)</f>
        <v>22.003886560796118</v>
      </c>
      <c r="T8" s="656">
        <f>VLOOKUP($A8&amp;$B8,'Sc1'!$A$300:$Z$2016,T$3,FALSE)</f>
        <v>520.61195602843623</v>
      </c>
    </row>
    <row r="10" spans="1:20" x14ac:dyDescent="0.3">
      <c r="A10" s="3023" t="s">
        <v>5204</v>
      </c>
      <c r="B10" s="3024"/>
      <c r="C10" s="3024"/>
      <c r="D10" s="3024"/>
      <c r="E10" s="3024"/>
      <c r="F10" s="3024"/>
      <c r="G10" s="3024"/>
      <c r="H10" s="3024"/>
      <c r="I10" s="3024"/>
      <c r="J10" s="3024"/>
      <c r="K10" s="3024"/>
      <c r="L10" s="3024"/>
      <c r="M10" s="3024"/>
      <c r="N10" s="3024"/>
      <c r="O10" s="3024"/>
      <c r="P10" s="3024"/>
      <c r="Q10" s="3024"/>
      <c r="R10" s="3024"/>
      <c r="S10" s="3024"/>
      <c r="T10" s="3025"/>
    </row>
    <row r="11" spans="1:20" ht="28.8" x14ac:dyDescent="0.3">
      <c r="A11" s="99"/>
      <c r="B11" s="82" t="s">
        <v>5187</v>
      </c>
      <c r="C11" s="82" t="s">
        <v>2585</v>
      </c>
      <c r="D11" s="82" t="s">
        <v>2588</v>
      </c>
      <c r="E11" s="82" t="s">
        <v>5188</v>
      </c>
      <c r="F11" s="82" t="s">
        <v>5189</v>
      </c>
      <c r="G11" s="82" t="s">
        <v>5190</v>
      </c>
      <c r="H11" s="82" t="s">
        <v>442</v>
      </c>
      <c r="I11" s="82" t="s">
        <v>5191</v>
      </c>
      <c r="J11" s="173" t="s">
        <v>439</v>
      </c>
      <c r="K11" s="661" t="s">
        <v>5192</v>
      </c>
      <c r="L11" s="281" t="s">
        <v>5193</v>
      </c>
      <c r="M11" s="663" t="s">
        <v>5194</v>
      </c>
      <c r="N11" s="281" t="s">
        <v>5195</v>
      </c>
      <c r="O11" s="663" t="s">
        <v>5196</v>
      </c>
      <c r="P11" s="281" t="s">
        <v>5197</v>
      </c>
      <c r="Q11" s="663" t="s">
        <v>5198</v>
      </c>
      <c r="R11" s="281" t="s">
        <v>5199</v>
      </c>
      <c r="S11" s="663" t="s">
        <v>5200</v>
      </c>
      <c r="T11" s="282" t="s">
        <v>5201</v>
      </c>
    </row>
    <row r="12" spans="1:20" x14ac:dyDescent="0.3">
      <c r="A12" s="99" t="s">
        <v>4917</v>
      </c>
      <c r="B12" t="s">
        <v>5205</v>
      </c>
      <c r="C12" s="233">
        <f>VLOOKUP($A12&amp;$B12,'Sc1'!$A$300:$Z$2016,C$3,FALSE)</f>
        <v>85896.695883608991</v>
      </c>
      <c r="D12" s="233">
        <f>VLOOKUP($A12&amp;$B12,'Sc1'!$A$300:$Z$2016,D$3,FALSE)</f>
        <v>31086.777982621927</v>
      </c>
      <c r="E12" s="233">
        <f>VLOOKUP($A12&amp;$B12,'Sc1'!$A$300:$Z$2016,E$3,FALSE)</f>
        <v>116983.47386623092</v>
      </c>
      <c r="F12" s="233">
        <f>VLOOKUP($A12&amp;$B12,'Sc1'!$A$300:$Z$2016,F$3,FALSE)</f>
        <v>0</v>
      </c>
      <c r="G12" s="233">
        <f>VLOOKUP($A12&amp;$B12,'Sc1'!$A$300:$Z$2016,G$3,FALSE)</f>
        <v>13214.040328378442</v>
      </c>
      <c r="H12" s="233">
        <f>VLOOKUP($A12&amp;$B12,'Sc1'!$A$300:$Z$2016,H$3,FALSE)</f>
        <v>0</v>
      </c>
      <c r="I12" s="233">
        <f>VLOOKUP($A12&amp;$B12,'Sc1'!$A$300:$Z$2016,I$3,FALSE)</f>
        <v>0</v>
      </c>
      <c r="J12" s="167">
        <f>VLOOKUP($A12&amp;$B12,'Sc1'!$A$300:$Z$2016,J$3,FALSE)</f>
        <v>-116983.47386623092</v>
      </c>
      <c r="K12" s="164">
        <f>VLOOKUP($A12&amp;$B12,'Sc1'!$A$300:$Z$2016,K$3,FALSE)</f>
        <v>0</v>
      </c>
      <c r="L12" s="233">
        <f>VLOOKUP($A12&amp;$B12,'Sc1'!$A$300:$Z$2016,L$3,FALSE)</f>
        <v>0</v>
      </c>
      <c r="M12" s="278">
        <f>VLOOKUP($A12&amp;$B12,'Sc1'!$A$300:$Z$2016,M$3,FALSE)</f>
        <v>459.80735729012861</v>
      </c>
      <c r="N12" s="233">
        <f>VLOOKUP($A12&amp;$B12,'Sc1'!$A$300:$Z$2016,N$3,FALSE)</f>
        <v>1699.6735584177027</v>
      </c>
      <c r="O12" s="278">
        <f>VLOOKUP($A12&amp;$B12,'Sc1'!$A$300:$Z$2016,O$3,FALSE)</f>
        <v>16.100315177561104</v>
      </c>
      <c r="P12" s="233">
        <f>VLOOKUP($A12&amp;$B12,'Sc1'!$A$300:$Z$2016,P$3,FALSE)</f>
        <v>380.93345710109571</v>
      </c>
      <c r="Q12" s="278">
        <f>VLOOKUP($A12&amp;$B12,'Sc1'!$A$300:$Z$2016,Q$3,FALSE)</f>
        <v>0</v>
      </c>
      <c r="R12" s="233">
        <f>VLOOKUP($A12&amp;$B12,'Sc1'!$A$300:$Z$2016,R$3,FALSE)</f>
        <v>0</v>
      </c>
      <c r="S12" s="278">
        <f>VLOOKUP($A12&amp;$B12,'Sc1'!$A$300:$Z$2016,S$3,FALSE)</f>
        <v>16.100315177561104</v>
      </c>
      <c r="T12" s="167">
        <f>VLOOKUP($A12&amp;$B12,'Sc1'!$A$300:$Z$2016,T$3,FALSE)</f>
        <v>380.93345710109571</v>
      </c>
    </row>
    <row r="13" spans="1:20" x14ac:dyDescent="0.3">
      <c r="A13" s="149" t="s">
        <v>4917</v>
      </c>
      <c r="B13" s="650" t="s">
        <v>5203</v>
      </c>
      <c r="C13" s="655">
        <f>VLOOKUP($A13&amp;$B13,'Sc1'!$A$300:$Z$2016,C$3,FALSE)</f>
        <v>93697.103690381526</v>
      </c>
      <c r="D13" s="655">
        <f>VLOOKUP($A13&amp;$B13,'Sc1'!$A$300:$Z$2016,D$3,FALSE)</f>
        <v>32532.647979395071</v>
      </c>
      <c r="E13" s="655">
        <f>VLOOKUP($A13&amp;$B13,'Sc1'!$A$300:$Z$2016,E$3,FALSE)</f>
        <v>126229.7516697766</v>
      </c>
      <c r="F13" s="655">
        <f>VLOOKUP($A13&amp;$B13,'Sc1'!$A$300:$Z$2016,F$3,FALSE)</f>
        <v>0</v>
      </c>
      <c r="G13" s="655">
        <f>VLOOKUP($A13&amp;$B13,'Sc1'!$A$300:$Z$2016,G$3,FALSE)</f>
        <v>13214.040328378442</v>
      </c>
      <c r="H13" s="655">
        <f>VLOOKUP($A13&amp;$B13,'Sc1'!$A$300:$Z$2016,H$3,FALSE)</f>
        <v>0</v>
      </c>
      <c r="I13" s="655">
        <f>VLOOKUP($A13&amp;$B13,'Sc1'!$A$300:$Z$2016,I$3,FALSE)</f>
        <v>0</v>
      </c>
      <c r="J13" s="656">
        <f>VLOOKUP($A13&amp;$B13,'Sc1'!$A$300:$Z$2016,J$3,FALSE)</f>
        <v>-126229.7516697766</v>
      </c>
      <c r="K13" s="651">
        <f>VLOOKUP($A13&amp;$B13,'Sc1'!$A$300:$Z$2016,K$3,FALSE)</f>
        <v>0</v>
      </c>
      <c r="L13" s="655">
        <f>VLOOKUP($A13&amp;$B13,'Sc1'!$A$300:$Z$2016,L$3,FALSE)</f>
        <v>0</v>
      </c>
      <c r="M13" s="652">
        <f>VLOOKUP($A13&amp;$B13,'Sc1'!$A$300:$Z$2016,M$3,FALSE)</f>
        <v>459.80735729012861</v>
      </c>
      <c r="N13" s="655">
        <f>VLOOKUP($A13&amp;$B13,'Sc1'!$A$300:$Z$2016,N$3,FALSE)</f>
        <v>1699.6735584177027</v>
      </c>
      <c r="O13" s="652">
        <f>VLOOKUP($A13&amp;$B13,'Sc1'!$A$300:$Z$2016,O$3,FALSE)</f>
        <v>16.100315177561104</v>
      </c>
      <c r="P13" s="655">
        <f>VLOOKUP($A13&amp;$B13,'Sc1'!$A$300:$Z$2016,P$3,FALSE)</f>
        <v>380.93345710109571</v>
      </c>
      <c r="Q13" s="652">
        <f>VLOOKUP($A13&amp;$B13,'Sc1'!$A$300:$Z$2016,Q$3,FALSE)</f>
        <v>0</v>
      </c>
      <c r="R13" s="655">
        <f>VLOOKUP($A13&amp;$B13,'Sc1'!$A$300:$Z$2016,R$3,FALSE)</f>
        <v>0</v>
      </c>
      <c r="S13" s="652">
        <f>VLOOKUP($A13&amp;$B13,'Sc1'!$A$300:$Z$2016,S$3,FALSE)</f>
        <v>16.100315177561104</v>
      </c>
      <c r="T13" s="656">
        <f>VLOOKUP($A13&amp;$B13,'Sc1'!$A$300:$Z$2016,T$3,FALSE)</f>
        <v>380.93345710109571</v>
      </c>
    </row>
    <row r="15" spans="1:20" x14ac:dyDescent="0.3">
      <c r="A15" s="3021" t="s">
        <v>5206</v>
      </c>
      <c r="B15" s="3021"/>
      <c r="C15" s="3021"/>
      <c r="D15" s="3021"/>
      <c r="E15" s="3021"/>
      <c r="F15" s="3021"/>
      <c r="G15" s="3021"/>
      <c r="H15" s="3021"/>
      <c r="I15" s="3021"/>
      <c r="J15" s="3021"/>
      <c r="K15" s="3021"/>
      <c r="L15" s="3021"/>
      <c r="M15" s="3021"/>
      <c r="N15" s="3021"/>
      <c r="O15" s="3021"/>
      <c r="P15" s="3021"/>
      <c r="Q15" s="3021"/>
      <c r="R15" s="3021"/>
      <c r="S15" s="3021"/>
      <c r="T15" s="3022"/>
    </row>
    <row r="16" spans="1:20" ht="28.8" x14ac:dyDescent="0.3">
      <c r="B16" s="82" t="s">
        <v>5187</v>
      </c>
      <c r="C16" s="82" t="s">
        <v>2585</v>
      </c>
      <c r="D16" s="82" t="s">
        <v>2588</v>
      </c>
      <c r="E16" s="82" t="s">
        <v>5188</v>
      </c>
      <c r="F16" s="82" t="s">
        <v>5189</v>
      </c>
      <c r="G16" s="82" t="s">
        <v>5190</v>
      </c>
      <c r="H16" s="82" t="s">
        <v>442</v>
      </c>
      <c r="I16" s="82" t="s">
        <v>5191</v>
      </c>
      <c r="J16" s="173" t="s">
        <v>439</v>
      </c>
      <c r="K16" s="661" t="s">
        <v>5192</v>
      </c>
      <c r="L16" s="281" t="s">
        <v>5193</v>
      </c>
      <c r="M16" s="663" t="s">
        <v>5194</v>
      </c>
      <c r="N16" s="281" t="s">
        <v>5195</v>
      </c>
      <c r="O16" s="663" t="s">
        <v>5196</v>
      </c>
      <c r="P16" s="281" t="s">
        <v>5197</v>
      </c>
      <c r="Q16" s="663" t="s">
        <v>5198</v>
      </c>
      <c r="R16" s="281" t="s">
        <v>5199</v>
      </c>
      <c r="S16" s="663" t="s">
        <v>5200</v>
      </c>
      <c r="T16" s="282" t="s">
        <v>5201</v>
      </c>
    </row>
    <row r="17" spans="1:20" x14ac:dyDescent="0.3">
      <c r="A17" t="s">
        <v>4912</v>
      </c>
      <c r="B17" t="s">
        <v>3652</v>
      </c>
      <c r="C17" s="233">
        <f>VLOOKUP($A17&amp;$B17,'Sc2'!$A$299:$Z$2047,C$3,FALSE)</f>
        <v>2312.2144562197736</v>
      </c>
      <c r="D17" s="233">
        <f>VLOOKUP($A17&amp;$B17,'Sc2'!$A$299:$Z$2047,D$3,FALSE)</f>
        <v>1792.7946962488695</v>
      </c>
      <c r="E17" s="233">
        <f>VLOOKUP($A17&amp;$B17,'Sc2'!$A$299:$Z$2047,E$3,FALSE)</f>
        <v>4105.0091524686432</v>
      </c>
      <c r="F17" s="233">
        <f>VLOOKUP($A17&amp;$B17,'Sc2'!$A$299:$Z$2047,F$3,FALSE)</f>
        <v>0</v>
      </c>
      <c r="G17" s="233">
        <f>VLOOKUP($A17&amp;$B17,'Sc2'!$A$299:$Z$2047,G$3,FALSE)</f>
        <v>0</v>
      </c>
      <c r="H17" s="233">
        <f>VLOOKUP($A17&amp;$B17,'Sc2'!$A$299:$Z$2047,H$3,FALSE)</f>
        <v>0</v>
      </c>
      <c r="I17" s="233">
        <f>VLOOKUP($A17&amp;$B17,'Sc2'!$A$299:$Z$2047,I$3,FALSE)</f>
        <v>0</v>
      </c>
      <c r="J17" s="167">
        <f>VLOOKUP($A17&amp;$B17,'Sc2'!$A$299:$Z$2047,J$3,FALSE)</f>
        <v>-4105.0091524686432</v>
      </c>
      <c r="K17" s="164">
        <f>VLOOKUP($A17&amp;$B17,'Sc2'!$A$299:$Z$2047,K$3,FALSE)</f>
        <v>17419.548963200003</v>
      </c>
      <c r="L17" s="233">
        <f>VLOOKUP($A17&amp;$B17,'Sc2'!$A$299:$Z$2047,L$3,FALSE)</f>
        <v>1194.8358959674933</v>
      </c>
      <c r="M17" s="278">
        <f>VLOOKUP($A17&amp;$B17,'Sc2'!$A$299:$Z$2047,M$3,FALSE)</f>
        <v>0</v>
      </c>
      <c r="N17" s="233">
        <f>VLOOKUP($A17&amp;$B17,'Sc2'!$A$299:$Z$2047,N$3,FALSE)</f>
        <v>0</v>
      </c>
      <c r="O17" s="278">
        <f>VLOOKUP($A17&amp;$B17,'Sc2'!$A$299:$Z$2047,O$3,FALSE)</f>
        <v>0</v>
      </c>
      <c r="P17" s="233">
        <f>VLOOKUP($A17&amp;$B17,'Sc2'!$A$299:$Z$2047,P$3,FALSE)</f>
        <v>0</v>
      </c>
      <c r="Q17" s="278">
        <f>VLOOKUP($A17&amp;$B17,'Sc2'!$A$299:$Z$2047,Q$3,FALSE)</f>
        <v>0</v>
      </c>
      <c r="R17" s="233">
        <f>VLOOKUP($A17&amp;$B17,'Sc2'!$A$299:$Z$2047,R$3,FALSE)</f>
        <v>0</v>
      </c>
      <c r="S17" s="278">
        <f>VLOOKUP($A17&amp;$B17,'Sc2'!$A$299:$Z$2047,S$3,FALSE)</f>
        <v>0</v>
      </c>
      <c r="T17" s="167">
        <f>VLOOKUP($A17&amp;$B17,'Sc2'!$A$299:$Z$2047,T$3,FALSE)</f>
        <v>0</v>
      </c>
    </row>
    <row r="18" spans="1:20" x14ac:dyDescent="0.3">
      <c r="A18" t="s">
        <v>4912</v>
      </c>
      <c r="B18" t="s">
        <v>5202</v>
      </c>
      <c r="C18" s="233">
        <f>VLOOKUP($A18&amp;$B18,'Sc2'!$A$299:$Z$2047,C$3,FALSE)</f>
        <v>27858.162507485868</v>
      </c>
      <c r="D18" s="233">
        <f>VLOOKUP($A18&amp;$B18,'Sc2'!$A$299:$Z$2047,D$3,FALSE)</f>
        <v>10685.112042368146</v>
      </c>
      <c r="E18" s="233">
        <f>VLOOKUP($A18&amp;$B18,'Sc2'!$A$299:$Z$2047,E$3,FALSE)</f>
        <v>38543.274549854017</v>
      </c>
      <c r="F18" s="233">
        <f>VLOOKUP($A18&amp;$B18,'Sc2'!$A$299:$Z$2047,F$3,FALSE)</f>
        <v>0</v>
      </c>
      <c r="G18" s="233">
        <f>VLOOKUP($A18&amp;$B18,'Sc2'!$A$299:$Z$2047,G$3,FALSE)</f>
        <v>7923.9347030405379</v>
      </c>
      <c r="H18" s="233">
        <f>VLOOKUP($A18&amp;$B18,'Sc2'!$A$299:$Z$2047,H$3,FALSE)</f>
        <v>0</v>
      </c>
      <c r="I18" s="233">
        <f>VLOOKUP($A18&amp;$B18,'Sc2'!$A$299:$Z$2047,I$3,FALSE)</f>
        <v>0</v>
      </c>
      <c r="J18" s="167">
        <f>VLOOKUP($A18&amp;$B18,'Sc2'!$A$299:$Z$2047,J$3,FALSE)</f>
        <v>-38543.274549854017</v>
      </c>
      <c r="K18" s="164">
        <f>VLOOKUP($A18&amp;$B18,'Sc2'!$A$299:$Z$2047,K$3,FALSE)</f>
        <v>0</v>
      </c>
      <c r="L18" s="233">
        <f>VLOOKUP($A18&amp;$B18,'Sc2'!$A$299:$Z$2047,L$3,FALSE)</f>
        <v>0</v>
      </c>
      <c r="M18" s="278">
        <f>VLOOKUP($A18&amp;$B18,'Sc2'!$A$299:$Z$2047,M$3,FALSE)</f>
        <v>213.91345097078369</v>
      </c>
      <c r="N18" s="233">
        <f>VLOOKUP($A18&amp;$B18,'Sc2'!$A$299:$Z$2047,N$3,FALSE)</f>
        <v>790.72905346207767</v>
      </c>
      <c r="O18" s="278">
        <f>VLOOKUP($A18&amp;$B18,'Sc2'!$A$299:$Z$2047,O$3,FALSE)</f>
        <v>19.782318372229117</v>
      </c>
      <c r="P18" s="233">
        <f>VLOOKUP($A18&amp;$B18,'Sc2'!$A$299:$Z$2047,P$3,FALSE)</f>
        <v>468.04965268694093</v>
      </c>
      <c r="Q18" s="278">
        <f>VLOOKUP($A18&amp;$B18,'Sc2'!$A$299:$Z$2047,Q$3,FALSE)</f>
        <v>0</v>
      </c>
      <c r="R18" s="233">
        <f>VLOOKUP($A18&amp;$B18,'Sc2'!$A$299:$Z$2047,R$3,FALSE)</f>
        <v>0</v>
      </c>
      <c r="S18" s="278">
        <f>VLOOKUP($A18&amp;$B18,'Sc2'!$A$299:$Z$2047,S$3,FALSE)</f>
        <v>19.782318372229117</v>
      </c>
      <c r="T18" s="167">
        <f>VLOOKUP($A18&amp;$B18,'Sc2'!$A$299:$Z$2047,T$3,FALSE)</f>
        <v>468.04965268694093</v>
      </c>
    </row>
    <row r="19" spans="1:20" x14ac:dyDescent="0.3">
      <c r="A19" s="150" t="s">
        <v>4912</v>
      </c>
      <c r="B19" s="650" t="s">
        <v>5203</v>
      </c>
      <c r="C19" s="655">
        <f>VLOOKUP($A19&amp;$B19,'Sc2'!$A$299:$Z$2047,C$3,FALSE)</f>
        <v>37970.784770478174</v>
      </c>
      <c r="D19" s="655">
        <f>VLOOKUP($A19&amp;$B19,'Sc2'!$A$299:$Z$2047,D$3,FALSE)</f>
        <v>13923.77673539016</v>
      </c>
      <c r="E19" s="655">
        <f>VLOOKUP($A19&amp;$B19,'Sc2'!$A$299:$Z$2047,E$3,FALSE)</f>
        <v>51894.561505868332</v>
      </c>
      <c r="F19" s="655">
        <f>VLOOKUP($A19&amp;$B19,'Sc2'!$A$299:$Z$2047,F$3,FALSE)</f>
        <v>0</v>
      </c>
      <c r="G19" s="655">
        <f>VLOOKUP($A19&amp;$B19,'Sc2'!$A$299:$Z$2047,G$3,FALSE)</f>
        <v>7923.9347030405379</v>
      </c>
      <c r="H19" s="655">
        <f>VLOOKUP($A19&amp;$B19,'Sc2'!$A$299:$Z$2047,H$3,FALSE)</f>
        <v>0</v>
      </c>
      <c r="I19" s="655">
        <f>VLOOKUP($A19&amp;$B19,'Sc2'!$A$299:$Z$2047,I$3,FALSE)</f>
        <v>0</v>
      </c>
      <c r="J19" s="656">
        <f>VLOOKUP($A19&amp;$B19,'Sc2'!$A$299:$Z$2047,J$3,FALSE)</f>
        <v>-51894.561505868332</v>
      </c>
      <c r="K19" s="651">
        <f>VLOOKUP($A19&amp;$B19,'Sc2'!$A$299:$Z$2047,K$3,FALSE)</f>
        <v>17419.548963200003</v>
      </c>
      <c r="L19" s="655">
        <f>VLOOKUP($A19&amp;$B19,'Sc2'!$A$299:$Z$2047,L$3,FALSE)</f>
        <v>1194.8358959674933</v>
      </c>
      <c r="M19" s="652">
        <f>VLOOKUP($A19&amp;$B19,'Sc2'!$A$299:$Z$2047,M$3,FALSE)</f>
        <v>213.91345097078369</v>
      </c>
      <c r="N19" s="655">
        <f>VLOOKUP($A19&amp;$B19,'Sc2'!$A$299:$Z$2047,N$3,FALSE)</f>
        <v>790.72905346207767</v>
      </c>
      <c r="O19" s="652">
        <f>VLOOKUP($A19&amp;$B19,'Sc2'!$A$299:$Z$2047,O$3,FALSE)</f>
        <v>19.782318372229117</v>
      </c>
      <c r="P19" s="655">
        <f>VLOOKUP($A19&amp;$B19,'Sc2'!$A$299:$Z$2047,P$3,FALSE)</f>
        <v>468.04965268694093</v>
      </c>
      <c r="Q19" s="652">
        <f>VLOOKUP($A19&amp;$B19,'Sc2'!$A$299:$Z$2047,Q$3,FALSE)</f>
        <v>0</v>
      </c>
      <c r="R19" s="655">
        <f>VLOOKUP($A19&amp;$B19,'Sc2'!$A$299:$Z$2047,R$3,FALSE)</f>
        <v>0</v>
      </c>
      <c r="S19" s="652">
        <f>VLOOKUP($A19&amp;$B19,'Sc2'!$A$299:$Z$2047,S$3,FALSE)</f>
        <v>19.782318372229117</v>
      </c>
      <c r="T19" s="656">
        <f>VLOOKUP($A19&amp;$B19,'Sc2'!$A$299:$Z$2047,T$3,FALSE)</f>
        <v>468.04965268694093</v>
      </c>
    </row>
    <row r="21" spans="1:20" x14ac:dyDescent="0.3">
      <c r="A21" s="3023" t="s">
        <v>5207</v>
      </c>
      <c r="B21" s="3024"/>
      <c r="C21" s="3024"/>
      <c r="D21" s="3024"/>
      <c r="E21" s="3024"/>
      <c r="F21" s="3024"/>
      <c r="G21" s="3024"/>
      <c r="H21" s="3024"/>
      <c r="I21" s="3024"/>
      <c r="J21" s="3024"/>
      <c r="K21" s="3024"/>
      <c r="L21" s="3024"/>
      <c r="M21" s="3024"/>
      <c r="N21" s="3024"/>
      <c r="O21" s="3024"/>
      <c r="P21" s="3024"/>
      <c r="Q21" s="3024"/>
      <c r="R21" s="3024"/>
      <c r="S21" s="3024"/>
      <c r="T21" s="3025"/>
    </row>
    <row r="22" spans="1:20" ht="28.8" x14ac:dyDescent="0.3">
      <c r="A22" s="99"/>
      <c r="B22" s="82" t="s">
        <v>5187</v>
      </c>
      <c r="C22" s="82" t="s">
        <v>2585</v>
      </c>
      <c r="D22" s="82" t="s">
        <v>2588</v>
      </c>
      <c r="E22" s="82" t="s">
        <v>5188</v>
      </c>
      <c r="F22" s="82" t="s">
        <v>5189</v>
      </c>
      <c r="G22" s="82" t="s">
        <v>5190</v>
      </c>
      <c r="H22" s="82" t="s">
        <v>442</v>
      </c>
      <c r="I22" s="82" t="s">
        <v>5191</v>
      </c>
      <c r="J22" s="173" t="s">
        <v>439</v>
      </c>
      <c r="K22" s="661" t="s">
        <v>5192</v>
      </c>
      <c r="L22" s="281" t="s">
        <v>5193</v>
      </c>
      <c r="M22" s="663" t="s">
        <v>5194</v>
      </c>
      <c r="N22" s="281" t="s">
        <v>5195</v>
      </c>
      <c r="O22" s="663" t="s">
        <v>5196</v>
      </c>
      <c r="P22" s="281" t="s">
        <v>5197</v>
      </c>
      <c r="Q22" s="663" t="s">
        <v>5198</v>
      </c>
      <c r="R22" s="281" t="s">
        <v>5199</v>
      </c>
      <c r="S22" s="663" t="s">
        <v>5200</v>
      </c>
      <c r="T22" s="282" t="s">
        <v>5201</v>
      </c>
    </row>
    <row r="23" spans="1:20" x14ac:dyDescent="0.3">
      <c r="A23" s="99" t="s">
        <v>4917</v>
      </c>
      <c r="B23" t="s">
        <v>3652</v>
      </c>
      <c r="C23" s="233">
        <f>VLOOKUP($A23&amp;$B23,'Sc2'!$A$299:$Z$2047,C$3,FALSE)</f>
        <v>2312.2144562197736</v>
      </c>
      <c r="D23" s="233">
        <f>VLOOKUP($A23&amp;$B23,'Sc2'!$A$299:$Z$2047,D$3,FALSE)</f>
        <v>1792.7946962488695</v>
      </c>
      <c r="E23" s="233">
        <f>VLOOKUP($A23&amp;$B23,'Sc2'!$A$299:$Z$2047,E$3,FALSE)</f>
        <v>4105.0091524686432</v>
      </c>
      <c r="F23" s="233">
        <f>VLOOKUP($A23&amp;$B23,'Sc2'!$A$299:$Z$2047,F$3,FALSE)</f>
        <v>0</v>
      </c>
      <c r="G23" s="233">
        <f>VLOOKUP($A23&amp;$B23,'Sc2'!$A$299:$Z$2047,G$3,FALSE)</f>
        <v>0</v>
      </c>
      <c r="H23" s="233">
        <f>VLOOKUP($A23&amp;$B23,'Sc2'!$A$299:$Z$2047,H$3,FALSE)</f>
        <v>0</v>
      </c>
      <c r="I23" s="233">
        <f>VLOOKUP($A23&amp;$B23,'Sc2'!$A$299:$Z$2047,I$3,FALSE)</f>
        <v>0</v>
      </c>
      <c r="J23" s="167">
        <f>VLOOKUP($A23&amp;$B23,'Sc2'!$A$299:$Z$2047,J$3,FALSE)</f>
        <v>-4105.0091524686432</v>
      </c>
      <c r="K23" s="164">
        <f>VLOOKUP($A23&amp;$B23,'Sc2'!$A$299:$Z$2047,K$3,FALSE)</f>
        <v>17419.548963200003</v>
      </c>
      <c r="L23" s="233">
        <f>VLOOKUP($A23&amp;$B23,'Sc2'!$A$299:$Z$2047,L$3,FALSE)</f>
        <v>1194.8358959674933</v>
      </c>
      <c r="M23" s="278">
        <f>VLOOKUP($A23&amp;$B23,'Sc2'!$A$299:$Z$2047,M$3,FALSE)</f>
        <v>0</v>
      </c>
      <c r="N23" s="233">
        <f>VLOOKUP($A23&amp;$B23,'Sc2'!$A$299:$Z$2047,N$3,FALSE)</f>
        <v>0</v>
      </c>
      <c r="O23" s="278">
        <f>VLOOKUP($A23&amp;$B23,'Sc2'!$A$299:$Z$2047,O$3,FALSE)</f>
        <v>0</v>
      </c>
      <c r="P23" s="233">
        <f>VLOOKUP($A23&amp;$B23,'Sc2'!$A$299:$Z$2047,P$3,FALSE)</f>
        <v>0</v>
      </c>
      <c r="Q23" s="278">
        <f>VLOOKUP($A23&amp;$B23,'Sc2'!$A$299:$Z$2047,Q$3,FALSE)</f>
        <v>0</v>
      </c>
      <c r="R23" s="233">
        <f>VLOOKUP($A23&amp;$B23,'Sc2'!$A$299:$Z$2047,R$3,FALSE)</f>
        <v>0</v>
      </c>
      <c r="S23" s="278">
        <f>VLOOKUP($A23&amp;$B23,'Sc2'!$A$299:$Z$2047,S$3,FALSE)</f>
        <v>0</v>
      </c>
      <c r="T23" s="167">
        <f>VLOOKUP($A23&amp;$B23,'Sc2'!$A$299:$Z$2047,T$3,FALSE)</f>
        <v>0</v>
      </c>
    </row>
    <row r="24" spans="1:20" x14ac:dyDescent="0.3">
      <c r="A24" s="99" t="s">
        <v>4917</v>
      </c>
      <c r="B24" t="s">
        <v>5205</v>
      </c>
      <c r="C24" s="233">
        <f>VLOOKUP($A24&amp;$B24,'Sc2'!$A$299:$Z$2047,C$3,FALSE)</f>
        <v>70618.499581770957</v>
      </c>
      <c r="D24" s="233">
        <f>VLOOKUP($A24&amp;$B24,'Sc2'!$A$299:$Z$2047,D$3,FALSE)</f>
        <v>25390.767337554895</v>
      </c>
      <c r="E24" s="233">
        <f>VLOOKUP($A24&amp;$B24,'Sc2'!$A$299:$Z$2047,E$3,FALSE)</f>
        <v>96009.266919325848</v>
      </c>
      <c r="F24" s="233">
        <f>VLOOKUP($A24&amp;$B24,'Sc2'!$A$299:$Z$2047,F$3,FALSE)</f>
        <v>0</v>
      </c>
      <c r="G24" s="233">
        <f>VLOOKUP($A24&amp;$B24,'Sc2'!$A$299:$Z$2047,G$3,FALSE)</f>
        <v>7923.9347030405379</v>
      </c>
      <c r="H24" s="233">
        <f>VLOOKUP($A24&amp;$B24,'Sc2'!$A$299:$Z$2047,H$3,FALSE)</f>
        <v>0</v>
      </c>
      <c r="I24" s="233">
        <f>VLOOKUP($A24&amp;$B24,'Sc2'!$A$299:$Z$2047,I$3,FALSE)</f>
        <v>0</v>
      </c>
      <c r="J24" s="167">
        <f>VLOOKUP($A24&amp;$B24,'Sc2'!$A$299:$Z$2047,J$3,FALSE)</f>
        <v>-96009.266919325848</v>
      </c>
      <c r="K24" s="164">
        <f>VLOOKUP($A24&amp;$B24,'Sc2'!$A$299:$Z$2047,K$3,FALSE)</f>
        <v>0</v>
      </c>
      <c r="L24" s="233">
        <f>VLOOKUP($A24&amp;$B24,'Sc2'!$A$299:$Z$2047,L$3,FALSE)</f>
        <v>0</v>
      </c>
      <c r="M24" s="278">
        <f>VLOOKUP($A24&amp;$B24,'Sc2'!$A$299:$Z$2047,M$3,FALSE)</f>
        <v>253.05566406613033</v>
      </c>
      <c r="N24" s="233">
        <f>VLOOKUP($A24&amp;$B24,'Sc2'!$A$299:$Z$2047,N$3,FALSE)</f>
        <v>935.41787490286515</v>
      </c>
      <c r="O24" s="278">
        <f>VLOOKUP($A24&amp;$B24,'Sc2'!$A$299:$Z$2047,O$3,FALSE)</f>
        <v>9.6547189954748998</v>
      </c>
      <c r="P24" s="233">
        <f>VLOOKUP($A24&amp;$B24,'Sc2'!$A$299:$Z$2047,P$3,FALSE)</f>
        <v>228.43065143293614</v>
      </c>
      <c r="Q24" s="278">
        <f>VLOOKUP($A24&amp;$B24,'Sc2'!$A$299:$Z$2047,Q$3,FALSE)</f>
        <v>0</v>
      </c>
      <c r="R24" s="233">
        <f>VLOOKUP($A24&amp;$B24,'Sc2'!$A$299:$Z$2047,R$3,FALSE)</f>
        <v>0</v>
      </c>
      <c r="S24" s="278">
        <f>VLOOKUP($A24&amp;$B24,'Sc2'!$A$299:$Z$2047,S$3,FALSE)</f>
        <v>9.6547189954748998</v>
      </c>
      <c r="T24" s="167">
        <f>VLOOKUP($A24&amp;$B24,'Sc2'!$A$299:$Z$2047,T$3,FALSE)</f>
        <v>228.43065143293614</v>
      </c>
    </row>
    <row r="25" spans="1:20" x14ac:dyDescent="0.3">
      <c r="A25" s="149" t="s">
        <v>4917</v>
      </c>
      <c r="B25" s="650" t="s">
        <v>5203</v>
      </c>
      <c r="C25" s="655">
        <f>VLOOKUP($A25&amp;$B25,'Sc2'!$A$299:$Z$2047,C$3,FALSE)</f>
        <v>80731.121844763256</v>
      </c>
      <c r="D25" s="655">
        <f>VLOOKUP($A25&amp;$B25,'Sc2'!$A$299:$Z$2047,D$3,FALSE)</f>
        <v>28629.432030576907</v>
      </c>
      <c r="E25" s="655">
        <f>VLOOKUP($A25&amp;$B25,'Sc2'!$A$299:$Z$2047,E$3,FALSE)</f>
        <v>109360.55387534016</v>
      </c>
      <c r="F25" s="655">
        <f>VLOOKUP($A25&amp;$B25,'Sc2'!$A$299:$Z$2047,F$3,FALSE)</f>
        <v>0</v>
      </c>
      <c r="G25" s="655">
        <f>VLOOKUP($A25&amp;$B25,'Sc2'!$A$299:$Z$2047,G$3,FALSE)</f>
        <v>7923.9347030405379</v>
      </c>
      <c r="H25" s="655">
        <f>VLOOKUP($A25&amp;$B25,'Sc2'!$A$299:$Z$2047,H$3,FALSE)</f>
        <v>0</v>
      </c>
      <c r="I25" s="655">
        <f>VLOOKUP($A25&amp;$B25,'Sc2'!$A$299:$Z$2047,I$3,FALSE)</f>
        <v>0</v>
      </c>
      <c r="J25" s="656">
        <f>VLOOKUP($A25&amp;$B25,'Sc2'!$A$299:$Z$2047,J$3,FALSE)</f>
        <v>-109360.55387534016</v>
      </c>
      <c r="K25" s="651">
        <f>VLOOKUP($A25&amp;$B25,'Sc2'!$A$299:$Z$2047,K$3,FALSE)</f>
        <v>17419.548963200003</v>
      </c>
      <c r="L25" s="655">
        <f>VLOOKUP($A25&amp;$B25,'Sc2'!$A$299:$Z$2047,L$3,FALSE)</f>
        <v>1194.8358959674933</v>
      </c>
      <c r="M25" s="652">
        <f>VLOOKUP($A25&amp;$B25,'Sc2'!$A$299:$Z$2047,M$3,FALSE)</f>
        <v>253.05566406613033</v>
      </c>
      <c r="N25" s="655">
        <f>VLOOKUP($A25&amp;$B25,'Sc2'!$A$299:$Z$2047,N$3,FALSE)</f>
        <v>935.41787490286515</v>
      </c>
      <c r="O25" s="652">
        <f>VLOOKUP($A25&amp;$B25,'Sc2'!$A$299:$Z$2047,O$3,FALSE)</f>
        <v>9.6547189954748998</v>
      </c>
      <c r="P25" s="655">
        <f>VLOOKUP($A25&amp;$B25,'Sc2'!$A$299:$Z$2047,P$3,FALSE)</f>
        <v>228.43065143293614</v>
      </c>
      <c r="Q25" s="652">
        <f>VLOOKUP($A25&amp;$B25,'Sc2'!$A$299:$Z$2047,Q$3,FALSE)</f>
        <v>0</v>
      </c>
      <c r="R25" s="655">
        <f>VLOOKUP($A25&amp;$B25,'Sc2'!$A$299:$Z$2047,R$3,FALSE)</f>
        <v>0</v>
      </c>
      <c r="S25" s="652">
        <f>VLOOKUP($A25&amp;$B25,'Sc2'!$A$299:$Z$2047,S$3,FALSE)</f>
        <v>9.6547189954748998</v>
      </c>
      <c r="T25" s="656">
        <f>VLOOKUP($A25&amp;$B25,'Sc2'!$A$299:$Z$2047,T$3,FALSE)</f>
        <v>228.43065143293614</v>
      </c>
    </row>
    <row r="27" spans="1:20" x14ac:dyDescent="0.3">
      <c r="A27" s="3020" t="s">
        <v>5208</v>
      </c>
      <c r="B27" s="3021"/>
      <c r="C27" s="3021"/>
      <c r="D27" s="3021"/>
      <c r="E27" s="3021"/>
      <c r="F27" s="3021"/>
      <c r="G27" s="3021"/>
      <c r="H27" s="3021"/>
      <c r="I27" s="3021"/>
      <c r="J27" s="3021"/>
      <c r="K27" s="3021"/>
      <c r="L27" s="3021"/>
      <c r="M27" s="3021"/>
      <c r="N27" s="3021"/>
      <c r="O27" s="3021"/>
      <c r="P27" s="3021"/>
      <c r="Q27" s="3021"/>
      <c r="R27" s="3021"/>
      <c r="S27" s="3021"/>
      <c r="T27" s="3022"/>
    </row>
    <row r="28" spans="1:20" ht="28.8" x14ac:dyDescent="0.3">
      <c r="A28" s="99"/>
      <c r="B28" s="82" t="s">
        <v>5187</v>
      </c>
      <c r="C28" s="82" t="s">
        <v>2585</v>
      </c>
      <c r="D28" s="82" t="s">
        <v>2588</v>
      </c>
      <c r="E28" s="82" t="s">
        <v>5188</v>
      </c>
      <c r="F28" s="82" t="s">
        <v>5189</v>
      </c>
      <c r="G28" s="82" t="s">
        <v>5190</v>
      </c>
      <c r="H28" s="82" t="s">
        <v>442</v>
      </c>
      <c r="I28" s="82" t="s">
        <v>5191</v>
      </c>
      <c r="J28" s="173" t="s">
        <v>439</v>
      </c>
      <c r="K28" s="661" t="s">
        <v>5192</v>
      </c>
      <c r="L28" s="281" t="s">
        <v>5193</v>
      </c>
      <c r="M28" s="663" t="s">
        <v>5194</v>
      </c>
      <c r="N28" s="281" t="s">
        <v>5195</v>
      </c>
      <c r="O28" s="663" t="s">
        <v>5196</v>
      </c>
      <c r="P28" s="281" t="s">
        <v>5197</v>
      </c>
      <c r="Q28" s="663" t="s">
        <v>5198</v>
      </c>
      <c r="R28" s="281" t="s">
        <v>5199</v>
      </c>
      <c r="S28" s="663" t="s">
        <v>5200</v>
      </c>
      <c r="T28" s="282" t="s">
        <v>5201</v>
      </c>
    </row>
    <row r="29" spans="1:20" x14ac:dyDescent="0.3">
      <c r="A29" s="99" t="s">
        <v>4912</v>
      </c>
      <c r="B29" t="s">
        <v>5209</v>
      </c>
      <c r="C29" s="233">
        <f>VLOOKUP($A29&amp;$B29,'Sc3'!$A$299:$Z$2029,C$3,FALSE)</f>
        <v>0</v>
      </c>
      <c r="D29" s="233">
        <f>VLOOKUP($A29&amp;$B29,'Sc3'!$A$299:$Z$2029,D$3,FALSE)</f>
        <v>21024.745279285704</v>
      </c>
      <c r="E29" s="233">
        <f>VLOOKUP($A29&amp;$B29,'Sc3'!$A$299:$Z$2029,E$3,FALSE)</f>
        <v>21024.745279285704</v>
      </c>
      <c r="F29" s="233">
        <f>VLOOKUP($A29&amp;$B29,'Sc3'!$A$299:$Z$2029,F$3,FALSE)</f>
        <v>0</v>
      </c>
      <c r="G29" s="233">
        <f>VLOOKUP($A29&amp;$B29,'Sc3'!$A$299:$Z$2029,G$3,FALSE)</f>
        <v>0</v>
      </c>
      <c r="H29" s="233">
        <f>VLOOKUP($A29&amp;$B29,'Sc3'!$A$299:$Z$2029,H$3,FALSE)</f>
        <v>0</v>
      </c>
      <c r="I29" s="233">
        <f>VLOOKUP($A29&amp;$B29,'Sc3'!$A$299:$Z$2029,I$3,FALSE)</f>
        <v>0</v>
      </c>
      <c r="J29" s="167">
        <f>VLOOKUP($A29&amp;$B29,'Sc3'!$A$299:$Z$2029,J$3,FALSE)</f>
        <v>-21024.745279285704</v>
      </c>
      <c r="K29" s="164">
        <f>VLOOKUP($A29&amp;$B29,'Sc3'!$A$299:$Z$2029,K$3,FALSE)</f>
        <v>0</v>
      </c>
      <c r="L29" s="233">
        <f>VLOOKUP($A29&amp;$B29,'Sc3'!$A$299:$Z$2029,L$3,FALSE)</f>
        <v>0</v>
      </c>
      <c r="M29" s="278">
        <f>VLOOKUP($A29&amp;$B29,'Sc3'!$A$299:$Z$2029,M$3,FALSE)</f>
        <v>0</v>
      </c>
      <c r="N29" s="233">
        <f>VLOOKUP($A29&amp;$B29,'Sc3'!$A$299:$Z$2029,N$3,FALSE)</f>
        <v>0</v>
      </c>
      <c r="O29" s="278">
        <f>VLOOKUP($A29&amp;$B29,'Sc3'!$A$299:$Z$2029,O$3,FALSE)</f>
        <v>0</v>
      </c>
      <c r="P29" s="233">
        <f>VLOOKUP($A29&amp;$B29,'Sc3'!$A$299:$Z$2029,P$3,FALSE)</f>
        <v>0</v>
      </c>
      <c r="Q29" s="278">
        <f>VLOOKUP($A29&amp;$B29,'Sc3'!$A$299:$Z$2029,Q$3,FALSE)</f>
        <v>0</v>
      </c>
      <c r="R29" s="233">
        <f>VLOOKUP($A29&amp;$B29,'Sc3'!$A$299:$Z$2029,R$3,FALSE)</f>
        <v>0</v>
      </c>
      <c r="S29" s="278">
        <f>VLOOKUP($A29&amp;$B29,'Sc3'!$A$299:$Z$2029,S$3,FALSE)</f>
        <v>0</v>
      </c>
      <c r="T29" s="167">
        <f>VLOOKUP($A29&amp;$B29,'Sc3'!$A$299:$Z$2029,T$3,FALSE)</f>
        <v>0</v>
      </c>
    </row>
    <row r="30" spans="1:20" x14ac:dyDescent="0.3">
      <c r="A30" s="99" t="s">
        <v>4912</v>
      </c>
      <c r="B30" t="s">
        <v>5210</v>
      </c>
      <c r="C30" s="233">
        <f>VLOOKUP($A30&amp;$B30,'Sc3'!$A$299:$Z$2029,C$3,FALSE)</f>
        <v>13520.962552369338</v>
      </c>
      <c r="D30" s="233">
        <f>VLOOKUP($A30&amp;$B30,'Sc3'!$A$299:$Z$2029,D$3,FALSE)</f>
        <v>2506.2220548252108</v>
      </c>
      <c r="E30" s="233">
        <f>VLOOKUP($A30&amp;$B30,'Sc3'!$A$299:$Z$2029,E$3,FALSE)</f>
        <v>16027.184607194547</v>
      </c>
      <c r="F30" s="233">
        <f>VLOOKUP($A30&amp;$B30,'Sc3'!$A$299:$Z$2029,F$3,FALSE)</f>
        <v>0</v>
      </c>
      <c r="G30" s="233">
        <f>VLOOKUP($A30&amp;$B30,'Sc3'!$A$299:$Z$2029,G$3,FALSE)</f>
        <v>0</v>
      </c>
      <c r="H30" s="233">
        <f>VLOOKUP($A30&amp;$B30,'Sc3'!$A$299:$Z$2029,H$3,FALSE)</f>
        <v>0</v>
      </c>
      <c r="I30" s="233">
        <f>VLOOKUP($A30&amp;$B30,'Sc3'!$A$299:$Z$2029,I$3,FALSE)</f>
        <v>0</v>
      </c>
      <c r="J30" s="167">
        <f>VLOOKUP($A30&amp;$B30,'Sc3'!$A$299:$Z$2029,J$3,FALSE)</f>
        <v>-16027.184607194547</v>
      </c>
      <c r="K30" s="164">
        <f>VLOOKUP($A30&amp;$B30,'Sc3'!$A$299:$Z$2029,K$3,FALSE)</f>
        <v>0</v>
      </c>
      <c r="L30" s="233">
        <f>VLOOKUP($A30&amp;$B30,'Sc3'!$A$299:$Z$2029,L$3,FALSE)</f>
        <v>0</v>
      </c>
      <c r="M30" s="278">
        <f>VLOOKUP($A30&amp;$B30,'Sc3'!$A$299:$Z$2029,M$3,FALSE)</f>
        <v>0</v>
      </c>
      <c r="N30" s="233">
        <f>VLOOKUP($A30&amp;$B30,'Sc3'!$A$299:$Z$2029,N$3,FALSE)</f>
        <v>0</v>
      </c>
      <c r="O30" s="278">
        <f>VLOOKUP($A30&amp;$B30,'Sc3'!$A$299:$Z$2029,O$3,FALSE)</f>
        <v>0</v>
      </c>
      <c r="P30" s="233">
        <f>VLOOKUP($A30&amp;$B30,'Sc3'!$A$299:$Z$2029,P$3,FALSE)</f>
        <v>0</v>
      </c>
      <c r="Q30" s="278">
        <f>VLOOKUP($A30&amp;$B30,'Sc3'!$A$299:$Z$2029,Q$3,FALSE)</f>
        <v>0</v>
      </c>
      <c r="R30" s="233">
        <f>VLOOKUP($A30&amp;$B30,'Sc3'!$A$299:$Z$2029,R$3,FALSE)</f>
        <v>0</v>
      </c>
      <c r="S30" s="278">
        <f>VLOOKUP($A30&amp;$B30,'Sc3'!$A$299:$Z$2029,S$3,FALSE)</f>
        <v>0</v>
      </c>
      <c r="T30" s="167">
        <f>VLOOKUP($A30&amp;$B30,'Sc3'!$A$299:$Z$2029,T$3,FALSE)</f>
        <v>0</v>
      </c>
    </row>
    <row r="31" spans="1:20" x14ac:dyDescent="0.3">
      <c r="A31" s="99" t="s">
        <v>4912</v>
      </c>
      <c r="B31" t="s">
        <v>5211</v>
      </c>
      <c r="C31" s="233">
        <f>VLOOKUP($A31&amp;$B31,'Sc3'!$A$299:$Z$2029,C$3,FALSE)</f>
        <v>3017.6174069102476</v>
      </c>
      <c r="D31" s="233">
        <f>VLOOKUP($A31&amp;$B31,'Sc3'!$A$299:$Z$2029,D$3,FALSE)</f>
        <v>1085.2004420208236</v>
      </c>
      <c r="E31" s="233">
        <f>VLOOKUP($A31&amp;$B31,'Sc3'!$A$299:$Z$2029,E$3,FALSE)</f>
        <v>4102.8178489310712</v>
      </c>
      <c r="F31" s="233">
        <f>VLOOKUP($A31&amp;$B31,'Sc3'!$A$299:$Z$2029,F$3,FALSE)</f>
        <v>10561.452582174725</v>
      </c>
      <c r="G31" s="233">
        <f>VLOOKUP($A31&amp;$B31,'Sc3'!$A$299:$Z$2029,G$3,FALSE)</f>
        <v>0</v>
      </c>
      <c r="H31" s="233">
        <f>VLOOKUP($A31&amp;$B31,'Sc3'!$A$299:$Z$2029,H$3,FALSE)</f>
        <v>0</v>
      </c>
      <c r="I31" s="233">
        <f>VLOOKUP($A31&amp;$B31,'Sc3'!$A$299:$Z$2029,I$3,FALSE)</f>
        <v>0</v>
      </c>
      <c r="J31" s="167">
        <f>VLOOKUP($A31&amp;$B31,'Sc3'!$A$299:$Z$2029,J$3,FALSE)</f>
        <v>-4102.8178489310712</v>
      </c>
      <c r="K31" s="164">
        <f>VLOOKUP($A31&amp;$B31,'Sc3'!$A$299:$Z$2029,K$3,FALSE)</f>
        <v>1129.152356031932</v>
      </c>
      <c r="L31" s="233">
        <f>VLOOKUP($A31&amp;$B31,'Sc3'!$A$299:$Z$2029,L$3,FALSE)</f>
        <v>77.450442020823601</v>
      </c>
      <c r="M31" s="278">
        <f>VLOOKUP($A31&amp;$B31,'Sc3'!$A$299:$Z$2029,M$3,FALSE)</f>
        <v>0</v>
      </c>
      <c r="N31" s="233">
        <f>VLOOKUP($A31&amp;$B31,'Sc3'!$A$299:$Z$2029,N$3,FALSE)</f>
        <v>0</v>
      </c>
      <c r="O31" s="278">
        <f>VLOOKUP($A31&amp;$B31,'Sc3'!$A$299:$Z$2029,O$3,FALSE)</f>
        <v>0</v>
      </c>
      <c r="P31" s="233">
        <f>VLOOKUP($A31&amp;$B31,'Sc3'!$A$299:$Z$2029,P$3,FALSE)</f>
        <v>0</v>
      </c>
      <c r="Q31" s="278">
        <f>VLOOKUP($A31&amp;$B31,'Sc3'!$A$299:$Z$2029,Q$3,FALSE)</f>
        <v>0</v>
      </c>
      <c r="R31" s="233">
        <f>VLOOKUP($A31&amp;$B31,'Sc3'!$A$299:$Z$2029,R$3,FALSE)</f>
        <v>0</v>
      </c>
      <c r="S31" s="278">
        <f>VLOOKUP($A31&amp;$B31,'Sc3'!$A$299:$Z$2029,S$3,FALSE)</f>
        <v>0</v>
      </c>
      <c r="T31" s="167">
        <f>VLOOKUP($A31&amp;$B31,'Sc3'!$A$299:$Z$2029,T$3,FALSE)</f>
        <v>0</v>
      </c>
    </row>
    <row r="32" spans="1:20" x14ac:dyDescent="0.3">
      <c r="A32" s="99" t="s">
        <v>4912</v>
      </c>
      <c r="B32" t="s">
        <v>5202</v>
      </c>
      <c r="C32" s="233">
        <f>VLOOKUP($A32&amp;$B32,'Sc3'!$A$299:$Z$2029,C$3,FALSE)</f>
        <v>35858.482619276263</v>
      </c>
      <c r="D32" s="233">
        <f>VLOOKUP($A32&amp;$B32,'Sc3'!$A$299:$Z$2029,D$3,FALSE)</f>
        <v>14184.728899523692</v>
      </c>
      <c r="E32" s="233">
        <f>VLOOKUP($A32&amp;$B32,'Sc3'!$A$299:$Z$2029,E$3,FALSE)</f>
        <v>50043.211518799959</v>
      </c>
      <c r="F32" s="233">
        <f>VLOOKUP($A32&amp;$B32,'Sc3'!$A$299:$Z$2029,F$3,FALSE)</f>
        <v>0</v>
      </c>
      <c r="G32" s="233">
        <f>VLOOKUP($A32&amp;$B32,'Sc3'!$A$299:$Z$2029,G$3,FALSE)</f>
        <v>5889.5450523297313</v>
      </c>
      <c r="H32" s="233">
        <f>VLOOKUP($A32&amp;$B32,'Sc3'!$A$299:$Z$2029,H$3,FALSE)</f>
        <v>0</v>
      </c>
      <c r="I32" s="233">
        <f>VLOOKUP($A32&amp;$B32,'Sc3'!$A$299:$Z$2029,I$3,FALSE)</f>
        <v>0</v>
      </c>
      <c r="J32" s="167">
        <f>VLOOKUP($A32&amp;$B32,'Sc3'!$A$299:$Z$2029,J$3,FALSE)</f>
        <v>-50043.211518799959</v>
      </c>
      <c r="K32" s="164">
        <f>VLOOKUP($A32&amp;$B32,'Sc3'!$A$299:$Z$2029,K$3,FALSE)</f>
        <v>946.46267270594763</v>
      </c>
      <c r="L32" s="233">
        <f>VLOOKUP($A32&amp;$B32,'Sc3'!$A$299:$Z$2029,L$3,FALSE)</f>
        <v>64.919452158688784</v>
      </c>
      <c r="M32" s="278">
        <f>VLOOKUP($A32&amp;$B32,'Sc3'!$A$299:$Z$2029,M$3,FALSE)</f>
        <v>178.67213700367461</v>
      </c>
      <c r="N32" s="233">
        <f>VLOOKUP($A32&amp;$B32,'Sc3'!$A$299:$Z$2029,N$3,FALSE)</f>
        <v>660.4598688478851</v>
      </c>
      <c r="O32" s="278">
        <f>VLOOKUP($A32&amp;$B32,'Sc3'!$A$299:$Z$2029,O$3,FALSE)</f>
        <v>30.156235793134364</v>
      </c>
      <c r="P32" s="233">
        <f>VLOOKUP($A32&amp;$B32,'Sc3'!$A$299:$Z$2029,P$3,FALSE)</f>
        <v>713.49653886555916</v>
      </c>
      <c r="Q32" s="278">
        <f>VLOOKUP($A32&amp;$B32,'Sc3'!$A$299:$Z$2029,Q$3,FALSE)</f>
        <v>0</v>
      </c>
      <c r="R32" s="233">
        <f>VLOOKUP($A32&amp;$B32,'Sc3'!$A$299:$Z$2029,R$3,FALSE)</f>
        <v>0</v>
      </c>
      <c r="S32" s="278">
        <f>VLOOKUP($A32&amp;$B32,'Sc3'!$A$299:$Z$2029,S$3,FALSE)</f>
        <v>30.156235793134364</v>
      </c>
      <c r="T32" s="167">
        <f>VLOOKUP($A32&amp;$B32,'Sc3'!$A$299:$Z$2029,T$3,FALSE)</f>
        <v>713.49653886555916</v>
      </c>
    </row>
    <row r="33" spans="1:20" x14ac:dyDescent="0.3">
      <c r="A33" s="149" t="s">
        <v>4912</v>
      </c>
      <c r="B33" s="650" t="s">
        <v>5203</v>
      </c>
      <c r="C33" s="655">
        <f>VLOOKUP($A33&amp;$B33,'Sc3'!$A$299:$Z$2029,C$3,FALSE)</f>
        <v>53505.337523637514</v>
      </c>
      <c r="D33" s="655">
        <f>VLOOKUP($A33&amp;$B33,'Sc3'!$A$299:$Z$2029,D$3,FALSE)</f>
        <v>39006.324588011208</v>
      </c>
      <c r="E33" s="655">
        <f>VLOOKUP($A33&amp;$B33,'Sc3'!$A$299:$Z$2029,E$3,FALSE)</f>
        <v>92511.662111648722</v>
      </c>
      <c r="F33" s="655">
        <f>VLOOKUP($A33&amp;$B33,'Sc3'!$A$299:$Z$2029,F$3,FALSE)</f>
        <v>10561.452582174725</v>
      </c>
      <c r="G33" s="655">
        <f>VLOOKUP($A33&amp;$B33,'Sc3'!$A$299:$Z$2029,G$3,FALSE)</f>
        <v>5889.5450523297313</v>
      </c>
      <c r="H33" s="655">
        <f>VLOOKUP($A33&amp;$B33,'Sc3'!$A$299:$Z$2029,H$3,FALSE)</f>
        <v>0</v>
      </c>
      <c r="I33" s="655">
        <f>VLOOKUP($A33&amp;$B33,'Sc3'!$A$299:$Z$2029,I$3,FALSE)</f>
        <v>0</v>
      </c>
      <c r="J33" s="656">
        <f>VLOOKUP($A33&amp;$B33,'Sc3'!$A$299:$Z$2029,J$3,FALSE)</f>
        <v>-92511.662111648722</v>
      </c>
      <c r="K33" s="651">
        <f>VLOOKUP($A33&amp;$B33,'Sc3'!$A$299:$Z$2029,K$3,FALSE)</f>
        <v>2075.6150287378796</v>
      </c>
      <c r="L33" s="655">
        <f>VLOOKUP($A33&amp;$B33,'Sc3'!$A$299:$Z$2029,L$3,FALSE)</f>
        <v>142.36989417951239</v>
      </c>
      <c r="M33" s="652">
        <f>VLOOKUP($A33&amp;$B33,'Sc3'!$A$299:$Z$2029,M$3,FALSE)</f>
        <v>178.67213700367461</v>
      </c>
      <c r="N33" s="655">
        <f>VLOOKUP($A33&amp;$B33,'Sc3'!$A$299:$Z$2029,N$3,FALSE)</f>
        <v>660.4598688478851</v>
      </c>
      <c r="O33" s="652">
        <f>VLOOKUP($A33&amp;$B33,'Sc3'!$A$299:$Z$2029,O$3,FALSE)</f>
        <v>30.156235793134364</v>
      </c>
      <c r="P33" s="655">
        <f>VLOOKUP($A33&amp;$B33,'Sc3'!$A$299:$Z$2029,P$3,FALSE)</f>
        <v>713.49653886555916</v>
      </c>
      <c r="Q33" s="652">
        <f>VLOOKUP($A33&amp;$B33,'Sc3'!$A$299:$Z$2029,Q$3,FALSE)</f>
        <v>0</v>
      </c>
      <c r="R33" s="655">
        <f>VLOOKUP($A33&amp;$B33,'Sc3'!$A$299:$Z$2029,R$3,FALSE)</f>
        <v>0</v>
      </c>
      <c r="S33" s="652">
        <f>VLOOKUP($A33&amp;$B33,'Sc3'!$A$299:$Z$2029,S$3,FALSE)</f>
        <v>30.156235793134364</v>
      </c>
      <c r="T33" s="656">
        <f>VLOOKUP($A33&amp;$B33,'Sc3'!$A$299:$Z$2029,T$3,FALSE)</f>
        <v>713.49653886555916</v>
      </c>
    </row>
    <row r="35" spans="1:20" x14ac:dyDescent="0.3">
      <c r="A35" s="3023" t="s">
        <v>5212</v>
      </c>
      <c r="B35" s="3024"/>
      <c r="C35" s="3024"/>
      <c r="D35" s="3024"/>
      <c r="E35" s="3024"/>
      <c r="F35" s="3024"/>
      <c r="G35" s="3024"/>
      <c r="H35" s="3024"/>
      <c r="I35" s="3024"/>
      <c r="J35" s="3024"/>
      <c r="K35" s="3024"/>
      <c r="L35" s="3024"/>
      <c r="M35" s="3024"/>
      <c r="N35" s="3024"/>
      <c r="O35" s="3024"/>
      <c r="P35" s="3024"/>
      <c r="Q35" s="3024"/>
      <c r="R35" s="3024"/>
      <c r="S35" s="3024"/>
      <c r="T35" s="3025"/>
    </row>
    <row r="36" spans="1:20" ht="28.8" x14ac:dyDescent="0.3">
      <c r="A36" s="99"/>
      <c r="B36" s="82" t="s">
        <v>5187</v>
      </c>
      <c r="C36" s="82" t="s">
        <v>2585</v>
      </c>
      <c r="D36" s="82" t="s">
        <v>2588</v>
      </c>
      <c r="E36" s="82" t="s">
        <v>5188</v>
      </c>
      <c r="F36" s="82" t="s">
        <v>5189</v>
      </c>
      <c r="G36" s="82" t="s">
        <v>5190</v>
      </c>
      <c r="H36" s="82" t="s">
        <v>442</v>
      </c>
      <c r="I36" s="82" t="s">
        <v>5191</v>
      </c>
      <c r="J36" s="173" t="s">
        <v>439</v>
      </c>
      <c r="K36" s="661" t="s">
        <v>5192</v>
      </c>
      <c r="L36" s="281" t="s">
        <v>5193</v>
      </c>
      <c r="M36" s="663" t="s">
        <v>5194</v>
      </c>
      <c r="N36" s="281" t="s">
        <v>5195</v>
      </c>
      <c r="O36" s="663" t="s">
        <v>5196</v>
      </c>
      <c r="P36" s="281" t="s">
        <v>5197</v>
      </c>
      <c r="Q36" s="663" t="s">
        <v>5198</v>
      </c>
      <c r="R36" s="281" t="s">
        <v>5199</v>
      </c>
      <c r="S36" s="663" t="s">
        <v>5200</v>
      </c>
      <c r="T36" s="282" t="s">
        <v>5201</v>
      </c>
    </row>
    <row r="37" spans="1:20" x14ac:dyDescent="0.3">
      <c r="A37" s="99" t="s">
        <v>4917</v>
      </c>
      <c r="B37" t="s">
        <v>5209</v>
      </c>
      <c r="C37" s="233">
        <f>VLOOKUP($A37&amp;$B37,'Sc3'!$A$299:$Z$2029,C$3,FALSE)</f>
        <v>0</v>
      </c>
      <c r="D37" s="233">
        <f>VLOOKUP($A37&amp;$B37,'Sc3'!$A$299:$Z$2029,D$3,FALSE)</f>
        <v>21024.745279285704</v>
      </c>
      <c r="E37" s="233">
        <f>VLOOKUP($A37&amp;$B37,'Sc3'!$A$299:$Z$2029,E$3,FALSE)</f>
        <v>21024.745279285704</v>
      </c>
      <c r="F37" s="233">
        <f>VLOOKUP($A37&amp;$B37,'Sc3'!$A$299:$Z$2029,F$3,FALSE)</f>
        <v>0</v>
      </c>
      <c r="G37" s="233">
        <f>VLOOKUP($A37&amp;$B37,'Sc3'!$A$299:$Z$2029,G$3,FALSE)</f>
        <v>0</v>
      </c>
      <c r="H37" s="233">
        <f>VLOOKUP($A37&amp;$B37,'Sc3'!$A$299:$Z$2029,H$3,FALSE)</f>
        <v>0</v>
      </c>
      <c r="I37" s="233">
        <f>VLOOKUP($A37&amp;$B37,'Sc3'!$A$299:$Z$2029,I$3,FALSE)</f>
        <v>0</v>
      </c>
      <c r="J37" s="167">
        <f>VLOOKUP($A37&amp;$B37,'Sc3'!$A$299:$Z$2029,J$3,FALSE)</f>
        <v>-21024.745279285704</v>
      </c>
      <c r="K37" s="164">
        <f>VLOOKUP($A37&amp;$B37,'Sc3'!$A$299:$Z$2029,K$3,FALSE)</f>
        <v>0</v>
      </c>
      <c r="L37" s="233">
        <f>VLOOKUP($A37&amp;$B37,'Sc3'!$A$299:$Z$2029,L$3,FALSE)</f>
        <v>0</v>
      </c>
      <c r="M37" s="278">
        <f>VLOOKUP($A37&amp;$B37,'Sc3'!$A$299:$Z$2029,M$3,FALSE)</f>
        <v>0</v>
      </c>
      <c r="N37" s="233">
        <f>VLOOKUP($A37&amp;$B37,'Sc3'!$A$299:$Z$2029,N$3,FALSE)</f>
        <v>0</v>
      </c>
      <c r="O37" s="278">
        <f>VLOOKUP($A37&amp;$B37,'Sc3'!$A$299:$Z$2029,O$3,FALSE)</f>
        <v>0</v>
      </c>
      <c r="P37" s="233">
        <f>VLOOKUP($A37&amp;$B37,'Sc3'!$A$299:$Z$2029,P$3,FALSE)</f>
        <v>0</v>
      </c>
      <c r="Q37" s="278">
        <f>VLOOKUP($A37&amp;$B37,'Sc3'!$A$299:$Z$2029,Q$3,FALSE)</f>
        <v>0</v>
      </c>
      <c r="R37" s="233">
        <f>VLOOKUP($A37&amp;$B37,'Sc3'!$A$299:$Z$2029,R$3,FALSE)</f>
        <v>0</v>
      </c>
      <c r="S37" s="278">
        <f>VLOOKUP($A37&amp;$B37,'Sc3'!$A$299:$Z$2029,S$3,FALSE)</f>
        <v>0</v>
      </c>
      <c r="T37" s="167">
        <f>VLOOKUP($A37&amp;$B37,'Sc3'!$A$299:$Z$2029,T$3,FALSE)</f>
        <v>0</v>
      </c>
    </row>
    <row r="38" spans="1:20" x14ac:dyDescent="0.3">
      <c r="A38" s="99" t="s">
        <v>4917</v>
      </c>
      <c r="B38" t="s">
        <v>5210</v>
      </c>
      <c r="C38" s="233">
        <f>VLOOKUP($A38&amp;$B38,'Sc3'!$A$299:$Z$2029,C$3,FALSE)</f>
        <v>13520.962552369338</v>
      </c>
      <c r="D38" s="233">
        <f>VLOOKUP($A38&amp;$B38,'Sc3'!$A$299:$Z$2029,D$3,FALSE)</f>
        <v>2506.2220548252108</v>
      </c>
      <c r="E38" s="233">
        <f>VLOOKUP($A38&amp;$B38,'Sc3'!$A$299:$Z$2029,E$3,FALSE)</f>
        <v>16027.184607194547</v>
      </c>
      <c r="F38" s="233">
        <f>VLOOKUP($A38&amp;$B38,'Sc3'!$A$299:$Z$2029,F$3,FALSE)</f>
        <v>0</v>
      </c>
      <c r="G38" s="233">
        <f>VLOOKUP($A38&amp;$B38,'Sc3'!$A$299:$Z$2029,G$3,FALSE)</f>
        <v>0</v>
      </c>
      <c r="H38" s="233">
        <f>VLOOKUP($A38&amp;$B38,'Sc3'!$A$299:$Z$2029,H$3,FALSE)</f>
        <v>0</v>
      </c>
      <c r="I38" s="233">
        <f>VLOOKUP($A38&amp;$B38,'Sc3'!$A$299:$Z$2029,I$3,FALSE)</f>
        <v>0</v>
      </c>
      <c r="J38" s="167">
        <f>VLOOKUP($A38&amp;$B38,'Sc3'!$A$299:$Z$2029,J$3,FALSE)</f>
        <v>-16027.184607194547</v>
      </c>
      <c r="K38" s="164">
        <f>VLOOKUP($A38&amp;$B38,'Sc3'!$A$299:$Z$2029,K$3,FALSE)</f>
        <v>0</v>
      </c>
      <c r="L38" s="233">
        <f>VLOOKUP($A38&amp;$B38,'Sc3'!$A$299:$Z$2029,L$3,FALSE)</f>
        <v>0</v>
      </c>
      <c r="M38" s="278">
        <f>VLOOKUP($A38&amp;$B38,'Sc3'!$A$299:$Z$2029,M$3,FALSE)</f>
        <v>0</v>
      </c>
      <c r="N38" s="233">
        <f>VLOOKUP($A38&amp;$B38,'Sc3'!$A$299:$Z$2029,N$3,FALSE)</f>
        <v>0</v>
      </c>
      <c r="O38" s="278">
        <f>VLOOKUP($A38&amp;$B38,'Sc3'!$A$299:$Z$2029,O$3,FALSE)</f>
        <v>0</v>
      </c>
      <c r="P38" s="233">
        <f>VLOOKUP($A38&amp;$B38,'Sc3'!$A$299:$Z$2029,P$3,FALSE)</f>
        <v>0</v>
      </c>
      <c r="Q38" s="278">
        <f>VLOOKUP($A38&amp;$B38,'Sc3'!$A$299:$Z$2029,Q$3,FALSE)</f>
        <v>0</v>
      </c>
      <c r="R38" s="233">
        <f>VLOOKUP($A38&amp;$B38,'Sc3'!$A$299:$Z$2029,R$3,FALSE)</f>
        <v>0</v>
      </c>
      <c r="S38" s="278">
        <f>VLOOKUP($A38&amp;$B38,'Sc3'!$A$299:$Z$2029,S$3,FALSE)</f>
        <v>0</v>
      </c>
      <c r="T38" s="167">
        <f>VLOOKUP($A38&amp;$B38,'Sc3'!$A$299:$Z$2029,T$3,FALSE)</f>
        <v>0</v>
      </c>
    </row>
    <row r="39" spans="1:20" x14ac:dyDescent="0.3">
      <c r="A39" s="99" t="s">
        <v>4917</v>
      </c>
      <c r="B39" t="s">
        <v>5211</v>
      </c>
      <c r="C39" s="233">
        <f>VLOOKUP($A39&amp;$B39,'Sc3'!$A$299:$Z$2029,C$3,FALSE)</f>
        <v>3017.6174069102476</v>
      </c>
      <c r="D39" s="233">
        <f>VLOOKUP($A39&amp;$B39,'Sc3'!$A$299:$Z$2029,D$3,FALSE)</f>
        <v>1085.2004420208236</v>
      </c>
      <c r="E39" s="233">
        <f>VLOOKUP($A39&amp;$B39,'Sc3'!$A$299:$Z$2029,E$3,FALSE)</f>
        <v>4102.8178489310712</v>
      </c>
      <c r="F39" s="233">
        <f>VLOOKUP($A39&amp;$B39,'Sc3'!$A$299:$Z$2029,F$3,FALSE)</f>
        <v>10561.452582174725</v>
      </c>
      <c r="G39" s="233">
        <f>VLOOKUP($A39&amp;$B39,'Sc3'!$A$299:$Z$2029,G$3,FALSE)</f>
        <v>0</v>
      </c>
      <c r="H39" s="233">
        <f>VLOOKUP($A39&amp;$B39,'Sc3'!$A$299:$Z$2029,H$3,FALSE)</f>
        <v>0</v>
      </c>
      <c r="I39" s="233">
        <f>VLOOKUP($A39&amp;$B39,'Sc3'!$A$299:$Z$2029,I$3,FALSE)</f>
        <v>0</v>
      </c>
      <c r="J39" s="167">
        <f>VLOOKUP($A39&amp;$B39,'Sc3'!$A$299:$Z$2029,J$3,FALSE)</f>
        <v>-4102.8178489310712</v>
      </c>
      <c r="K39" s="164">
        <f>VLOOKUP($A39&amp;$B39,'Sc3'!$A$299:$Z$2029,K$3,FALSE)</f>
        <v>1129.152356031932</v>
      </c>
      <c r="L39" s="233">
        <f>VLOOKUP($A39&amp;$B39,'Sc3'!$A$299:$Z$2029,L$3,FALSE)</f>
        <v>77.450442020823601</v>
      </c>
      <c r="M39" s="278">
        <f>VLOOKUP($A39&amp;$B39,'Sc3'!$A$299:$Z$2029,M$3,FALSE)</f>
        <v>0</v>
      </c>
      <c r="N39" s="233">
        <f>VLOOKUP($A39&amp;$B39,'Sc3'!$A$299:$Z$2029,N$3,FALSE)</f>
        <v>0</v>
      </c>
      <c r="O39" s="278">
        <f>VLOOKUP($A39&amp;$B39,'Sc3'!$A$299:$Z$2029,O$3,FALSE)</f>
        <v>0</v>
      </c>
      <c r="P39" s="233">
        <f>VLOOKUP($A39&amp;$B39,'Sc3'!$A$299:$Z$2029,P$3,FALSE)</f>
        <v>0</v>
      </c>
      <c r="Q39" s="278">
        <f>VLOOKUP($A39&amp;$B39,'Sc3'!$A$299:$Z$2029,Q$3,FALSE)</f>
        <v>0</v>
      </c>
      <c r="R39" s="233">
        <f>VLOOKUP($A39&amp;$B39,'Sc3'!$A$299:$Z$2029,R$3,FALSE)</f>
        <v>0</v>
      </c>
      <c r="S39" s="278">
        <f>VLOOKUP($A39&amp;$B39,'Sc3'!$A$299:$Z$2029,S$3,FALSE)</f>
        <v>0</v>
      </c>
      <c r="T39" s="167">
        <f>VLOOKUP($A39&amp;$B39,'Sc3'!$A$299:$Z$2029,T$3,FALSE)</f>
        <v>0</v>
      </c>
    </row>
    <row r="40" spans="1:20" x14ac:dyDescent="0.3">
      <c r="A40" s="99" t="s">
        <v>4917</v>
      </c>
      <c r="B40" t="s">
        <v>5205</v>
      </c>
      <c r="C40" s="233">
        <f>VLOOKUP($A40&amp;$B40,'Sc3'!$A$299:$Z$2029,C$3,FALSE)</f>
        <v>89643.269523944022</v>
      </c>
      <c r="D40" s="233">
        <f>VLOOKUP($A40&amp;$B40,'Sc3'!$A$299:$Z$2029,D$3,FALSE)</f>
        <v>31046.223475551382</v>
      </c>
      <c r="E40" s="233">
        <f>VLOOKUP($A40&amp;$B40,'Sc3'!$A$299:$Z$2029,E$3,FALSE)</f>
        <v>120689.4929994954</v>
      </c>
      <c r="F40" s="233">
        <f>VLOOKUP($A40&amp;$B40,'Sc3'!$A$299:$Z$2029,F$3,FALSE)</f>
        <v>0</v>
      </c>
      <c r="G40" s="233">
        <f>VLOOKUP($A40&amp;$B40,'Sc3'!$A$299:$Z$2029,G$3,FALSE)</f>
        <v>5889.5450523297313</v>
      </c>
      <c r="H40" s="233">
        <f>VLOOKUP($A40&amp;$B40,'Sc3'!$A$299:$Z$2029,H$3,FALSE)</f>
        <v>0</v>
      </c>
      <c r="I40" s="233">
        <f>VLOOKUP($A40&amp;$B40,'Sc3'!$A$299:$Z$2029,I$3,FALSE)</f>
        <v>0</v>
      </c>
      <c r="J40" s="167">
        <f>VLOOKUP($A40&amp;$B40,'Sc3'!$A$299:$Z$2029,J$3,FALSE)</f>
        <v>-120689.4929994954</v>
      </c>
      <c r="K40" s="164">
        <f>VLOOKUP($A40&amp;$B40,'Sc3'!$A$299:$Z$2029,K$3,FALSE)</f>
        <v>946.46267270594763</v>
      </c>
      <c r="L40" s="233">
        <f>VLOOKUP($A40&amp;$B40,'Sc3'!$A$299:$Z$2029,L$3,FALSE)</f>
        <v>64.919452158688784</v>
      </c>
      <c r="M40" s="278">
        <f>VLOOKUP($A40&amp;$B40,'Sc3'!$A$299:$Z$2029,M$3,FALSE)</f>
        <v>68.56569558113172</v>
      </c>
      <c r="N40" s="233">
        <f>VLOOKUP($A40&amp;$B40,'Sc3'!$A$299:$Z$2029,N$3,FALSE)</f>
        <v>253.45244686946867</v>
      </c>
      <c r="O40" s="278">
        <f>VLOOKUP($A40&amp;$B40,'Sc3'!$A$299:$Z$2029,O$3,FALSE)</f>
        <v>9.817763243618403</v>
      </c>
      <c r="P40" s="233">
        <f>VLOOKUP($A40&amp;$B40,'Sc3'!$A$299:$Z$2029,P$3,FALSE)</f>
        <v>232.28827834401142</v>
      </c>
      <c r="Q40" s="278">
        <f>VLOOKUP($A40&amp;$B40,'Sc3'!$A$299:$Z$2029,Q$3,FALSE)</f>
        <v>0</v>
      </c>
      <c r="R40" s="233">
        <f>VLOOKUP($A40&amp;$B40,'Sc3'!$A$299:$Z$2029,R$3,FALSE)</f>
        <v>0</v>
      </c>
      <c r="S40" s="278">
        <f>VLOOKUP($A40&amp;$B40,'Sc3'!$A$299:$Z$2029,S$3,FALSE)</f>
        <v>9.817763243618403</v>
      </c>
      <c r="T40" s="167">
        <f>VLOOKUP($A40&amp;$B40,'Sc3'!$A$299:$Z$2029,T$3,FALSE)</f>
        <v>232.28827834401142</v>
      </c>
    </row>
    <row r="41" spans="1:20" x14ac:dyDescent="0.3">
      <c r="A41" s="149" t="s">
        <v>4917</v>
      </c>
      <c r="B41" s="650" t="s">
        <v>5203</v>
      </c>
      <c r="C41" s="655">
        <f>VLOOKUP($A41&amp;$B41,'Sc3'!$A$299:$Z$2029,C$3,FALSE)</f>
        <v>107290.12442830527</v>
      </c>
      <c r="D41" s="655">
        <f>VLOOKUP($A41&amp;$B41,'Sc3'!$A$299:$Z$2029,D$3,FALSE)</f>
        <v>55867.819164038898</v>
      </c>
      <c r="E41" s="655">
        <f>VLOOKUP($A41&amp;$B41,'Sc3'!$A$299:$Z$2029,E$3,FALSE)</f>
        <v>163157.94359234418</v>
      </c>
      <c r="F41" s="655">
        <f>VLOOKUP($A41&amp;$B41,'Sc3'!$A$299:$Z$2029,F$3,FALSE)</f>
        <v>10561.452582174725</v>
      </c>
      <c r="G41" s="655">
        <f>VLOOKUP($A41&amp;$B41,'Sc3'!$A$299:$Z$2029,G$3,FALSE)</f>
        <v>5889.5450523297313</v>
      </c>
      <c r="H41" s="655">
        <f>VLOOKUP($A41&amp;$B41,'Sc3'!$A$299:$Z$2029,H$3,FALSE)</f>
        <v>0</v>
      </c>
      <c r="I41" s="655">
        <f>VLOOKUP($A41&amp;$B41,'Sc3'!$A$299:$Z$2029,I$3,FALSE)</f>
        <v>0</v>
      </c>
      <c r="J41" s="656">
        <f>VLOOKUP($A41&amp;$B41,'Sc3'!$A$299:$Z$2029,J$3,FALSE)</f>
        <v>-163157.94359234418</v>
      </c>
      <c r="K41" s="651">
        <f>VLOOKUP($A41&amp;$B41,'Sc3'!$A$299:$Z$2029,K$3,FALSE)</f>
        <v>2075.6150287378796</v>
      </c>
      <c r="L41" s="655">
        <f>VLOOKUP($A41&amp;$B41,'Sc3'!$A$299:$Z$2029,L$3,FALSE)</f>
        <v>142.36989417951239</v>
      </c>
      <c r="M41" s="652">
        <f>VLOOKUP($A41&amp;$B41,'Sc3'!$A$299:$Z$2029,M$3,FALSE)</f>
        <v>68.56569558113172</v>
      </c>
      <c r="N41" s="655">
        <f>VLOOKUP($A41&amp;$B41,'Sc3'!$A$299:$Z$2029,N$3,FALSE)</f>
        <v>253.45244686946867</v>
      </c>
      <c r="O41" s="652">
        <f>VLOOKUP($A41&amp;$B41,'Sc3'!$A$299:$Z$2029,O$3,FALSE)</f>
        <v>9.817763243618403</v>
      </c>
      <c r="P41" s="655">
        <f>VLOOKUP($A41&amp;$B41,'Sc3'!$A$299:$Z$2029,P$3,FALSE)</f>
        <v>232.28827834401142</v>
      </c>
      <c r="Q41" s="652">
        <f>VLOOKUP($A41&amp;$B41,'Sc3'!$A$299:$Z$2029,Q$3,FALSE)</f>
        <v>0</v>
      </c>
      <c r="R41" s="655">
        <f>VLOOKUP($A41&amp;$B41,'Sc3'!$A$299:$Z$2029,R$3,FALSE)</f>
        <v>0</v>
      </c>
      <c r="S41" s="652">
        <f>VLOOKUP($A41&amp;$B41,'Sc3'!$A$299:$Z$2029,S$3,FALSE)</f>
        <v>9.817763243618403</v>
      </c>
      <c r="T41" s="656">
        <f>VLOOKUP($A41&amp;$B41,'Sc3'!$A$299:$Z$2029,T$3,FALSE)</f>
        <v>232.28827834401142</v>
      </c>
    </row>
    <row r="43" spans="1:20" x14ac:dyDescent="0.3">
      <c r="A43" s="3020" t="s">
        <v>5213</v>
      </c>
      <c r="B43" s="3021"/>
      <c r="C43" s="3021"/>
      <c r="D43" s="3021"/>
      <c r="E43" s="3021"/>
      <c r="F43" s="3021"/>
      <c r="G43" s="3021"/>
      <c r="H43" s="3021"/>
      <c r="I43" s="3021"/>
      <c r="J43" s="3021"/>
      <c r="K43" s="3021"/>
      <c r="L43" s="3021"/>
      <c r="M43" s="3021"/>
      <c r="N43" s="3021"/>
      <c r="O43" s="3021"/>
      <c r="P43" s="3021"/>
      <c r="Q43" s="3021"/>
      <c r="R43" s="3021"/>
      <c r="S43" s="3021"/>
      <c r="T43" s="3022"/>
    </row>
    <row r="44" spans="1:20" ht="28.8" x14ac:dyDescent="0.3">
      <c r="A44" s="99"/>
      <c r="B44" s="82" t="s">
        <v>5187</v>
      </c>
      <c r="C44" s="82" t="s">
        <v>2585</v>
      </c>
      <c r="D44" s="82" t="s">
        <v>2588</v>
      </c>
      <c r="E44" s="82" t="s">
        <v>5188</v>
      </c>
      <c r="F44" s="82" t="s">
        <v>5189</v>
      </c>
      <c r="G44" s="82" t="s">
        <v>5190</v>
      </c>
      <c r="H44" s="82" t="s">
        <v>442</v>
      </c>
      <c r="I44" s="82" t="s">
        <v>5191</v>
      </c>
      <c r="J44" s="173" t="s">
        <v>439</v>
      </c>
      <c r="K44" s="661" t="s">
        <v>5192</v>
      </c>
      <c r="L44" s="281" t="s">
        <v>5193</v>
      </c>
      <c r="M44" s="663" t="s">
        <v>5194</v>
      </c>
      <c r="N44" s="281" t="s">
        <v>5195</v>
      </c>
      <c r="O44" s="663" t="s">
        <v>5196</v>
      </c>
      <c r="P44" s="281" t="s">
        <v>5197</v>
      </c>
      <c r="Q44" s="663" t="s">
        <v>5198</v>
      </c>
      <c r="R44" s="281" t="s">
        <v>5199</v>
      </c>
      <c r="S44" s="663" t="s">
        <v>5200</v>
      </c>
      <c r="T44" s="282" t="s">
        <v>5201</v>
      </c>
    </row>
    <row r="45" spans="1:20" x14ac:dyDescent="0.3">
      <c r="A45" s="99" t="s">
        <v>4912</v>
      </c>
      <c r="B45" t="s">
        <v>5209</v>
      </c>
      <c r="C45" s="233">
        <f>VLOOKUP($A45&amp;$B45,'Sc4'!$A$299:$Z$1979,C$3,FALSE)</f>
        <v>0</v>
      </c>
      <c r="D45" s="233">
        <f>VLOOKUP($A45&amp;$B45,'Sc4'!$A$299:$Z$1979,D$3,FALSE)</f>
        <v>57.602041861056726</v>
      </c>
      <c r="E45" s="233">
        <f>VLOOKUP($A45&amp;$B45,'Sc4'!$A$299:$Z$1979,E$3,FALSE)</f>
        <v>57.602041861056726</v>
      </c>
      <c r="F45" s="233">
        <f>VLOOKUP($A45&amp;$B45,'Sc4'!$A$299:$Z$1979,F$3,FALSE)</f>
        <v>0</v>
      </c>
      <c r="G45" s="233">
        <f>VLOOKUP($A45&amp;$B45,'Sc4'!$A$299:$Z$1979,G$3,FALSE)</f>
        <v>0</v>
      </c>
      <c r="H45" s="233">
        <f>VLOOKUP($A45&amp;$B45,'Sc4'!$A$299:$Z$1979,H$3,FALSE)</f>
        <v>0</v>
      </c>
      <c r="I45" s="233">
        <f>VLOOKUP($A45&amp;$B45,'Sc4'!$A$299:$Z$1979,I$3,FALSE)</f>
        <v>0</v>
      </c>
      <c r="J45" s="167">
        <f>VLOOKUP($A45&amp;$B45,'Sc4'!$A$299:$Z$1979,J$3,FALSE)</f>
        <v>-57.602041861056726</v>
      </c>
      <c r="K45" s="164">
        <f>VLOOKUP($A45&amp;$B45,'Sc4'!$A$299:$Z$1979,K$3,FALSE)</f>
        <v>0</v>
      </c>
      <c r="L45" s="233">
        <f>VLOOKUP($A45&amp;$B45,'Sc4'!$A$299:$Z$1979,L$3,FALSE)</f>
        <v>0</v>
      </c>
      <c r="M45" s="278">
        <f>VLOOKUP($A45&amp;$B45,'Sc4'!$A$299:$Z$1979,M$3,FALSE)</f>
        <v>0</v>
      </c>
      <c r="N45" s="233">
        <f>VLOOKUP($A45&amp;$B45,'Sc4'!$A$299:$Z$1979,N$3,FALSE)</f>
        <v>0</v>
      </c>
      <c r="O45" s="278">
        <f>VLOOKUP($A45&amp;$B45,'Sc4'!$A$299:$Z$1979,O$3,FALSE)</f>
        <v>0</v>
      </c>
      <c r="P45" s="233">
        <f>VLOOKUP($A45&amp;$B45,'Sc4'!$A$299:$Z$1979,P$3,FALSE)</f>
        <v>0</v>
      </c>
      <c r="Q45" s="278">
        <f>VLOOKUP($A45&amp;$B45,'Sc4'!$A$299:$Z$1979,Q$3,FALSE)</f>
        <v>0</v>
      </c>
      <c r="R45" s="233">
        <f>VLOOKUP($A45&amp;$B45,'Sc4'!$A$299:$Z$1979,R$3,FALSE)</f>
        <v>0</v>
      </c>
      <c r="S45" s="278">
        <f>VLOOKUP($A45&amp;$B45,'Sc4'!$A$299:$Z$1979,S$3,FALSE)</f>
        <v>0</v>
      </c>
      <c r="T45" s="167">
        <f>VLOOKUP($A45&amp;$B45,'Sc4'!$A$299:$Z$1979,T$3,FALSE)</f>
        <v>0</v>
      </c>
    </row>
    <row r="46" spans="1:20" x14ac:dyDescent="0.3">
      <c r="A46" s="99" t="s">
        <v>4912</v>
      </c>
      <c r="B46" t="s">
        <v>5210</v>
      </c>
      <c r="C46" s="233">
        <f>VLOOKUP($A46&amp;$B46,'Sc4'!$A$299:$Z$1979,C$3,FALSE)</f>
        <v>13520.962552369338</v>
      </c>
      <c r="D46" s="233">
        <f>VLOOKUP($A46&amp;$B46,'Sc4'!$A$299:$Z$1979,D$3,FALSE)</f>
        <v>2506.2220548252108</v>
      </c>
      <c r="E46" s="233">
        <f>VLOOKUP($A46&amp;$B46,'Sc4'!$A$299:$Z$1979,E$3,FALSE)</f>
        <v>16027.184607194547</v>
      </c>
      <c r="F46" s="233">
        <f>VLOOKUP($A46&amp;$B46,'Sc4'!$A$299:$Z$1979,F$3,FALSE)</f>
        <v>0</v>
      </c>
      <c r="G46" s="233">
        <f>VLOOKUP($A46&amp;$B46,'Sc4'!$A$299:$Z$1979,G$3,FALSE)</f>
        <v>0</v>
      </c>
      <c r="H46" s="233">
        <f>VLOOKUP($A46&amp;$B46,'Sc4'!$A$299:$Z$1979,H$3,FALSE)</f>
        <v>0</v>
      </c>
      <c r="I46" s="233">
        <f>VLOOKUP($A46&amp;$B46,'Sc4'!$A$299:$Z$1979,I$3,FALSE)</f>
        <v>0</v>
      </c>
      <c r="J46" s="167">
        <f>VLOOKUP($A46&amp;$B46,'Sc4'!$A$299:$Z$1979,J$3,FALSE)</f>
        <v>-16027.184607194547</v>
      </c>
      <c r="K46" s="164">
        <f>VLOOKUP($A46&amp;$B46,'Sc4'!$A$299:$Z$1979,K$3,FALSE)</f>
        <v>0</v>
      </c>
      <c r="L46" s="233">
        <f>VLOOKUP($A46&amp;$B46,'Sc4'!$A$299:$Z$1979,L$3,FALSE)</f>
        <v>0</v>
      </c>
      <c r="M46" s="278">
        <f>VLOOKUP($A46&amp;$B46,'Sc4'!$A$299:$Z$1979,M$3,FALSE)</f>
        <v>0</v>
      </c>
      <c r="N46" s="233">
        <f>VLOOKUP($A46&amp;$B46,'Sc4'!$A$299:$Z$1979,N$3,FALSE)</f>
        <v>0</v>
      </c>
      <c r="O46" s="278">
        <f>VLOOKUP($A46&amp;$B46,'Sc4'!$A$299:$Z$1979,O$3,FALSE)</f>
        <v>0</v>
      </c>
      <c r="P46" s="233">
        <f>VLOOKUP($A46&amp;$B46,'Sc4'!$A$299:$Z$1979,P$3,FALSE)</f>
        <v>0</v>
      </c>
      <c r="Q46" s="278">
        <f>VLOOKUP($A46&amp;$B46,'Sc4'!$A$299:$Z$1979,Q$3,FALSE)</f>
        <v>0</v>
      </c>
      <c r="R46" s="233">
        <f>VLOOKUP($A46&amp;$B46,'Sc4'!$A$299:$Z$1979,R$3,FALSE)</f>
        <v>0</v>
      </c>
      <c r="S46" s="278">
        <f>VLOOKUP($A46&amp;$B46,'Sc4'!$A$299:$Z$1979,S$3,FALSE)</f>
        <v>0</v>
      </c>
      <c r="T46" s="167">
        <f>VLOOKUP($A46&amp;$B46,'Sc4'!$A$299:$Z$1979,T$3,FALSE)</f>
        <v>0</v>
      </c>
    </row>
    <row r="47" spans="1:20" x14ac:dyDescent="0.3">
      <c r="A47" s="99" t="s">
        <v>4912</v>
      </c>
      <c r="B47" t="s">
        <v>5211</v>
      </c>
      <c r="C47" s="233" t="e">
        <f>VLOOKUP($A47&amp;$B47,'Sc4'!$A$299:$Z$1979,C$3,FALSE)</f>
        <v>#N/A</v>
      </c>
      <c r="D47" s="233" t="e">
        <f>VLOOKUP($A47&amp;$B47,'Sc4'!$A$299:$Z$1979,D$3,FALSE)</f>
        <v>#N/A</v>
      </c>
      <c r="E47" s="233" t="e">
        <f>VLOOKUP($A47&amp;$B47,'Sc4'!$A$299:$Z$1979,E$3,FALSE)</f>
        <v>#N/A</v>
      </c>
      <c r="F47" s="233" t="e">
        <f>VLOOKUP($A47&amp;$B47,'Sc4'!$A$299:$Z$1979,F$3,FALSE)</f>
        <v>#N/A</v>
      </c>
      <c r="G47" s="233" t="e">
        <f>VLOOKUP($A47&amp;$B47,'Sc4'!$A$299:$Z$1979,G$3,FALSE)</f>
        <v>#N/A</v>
      </c>
      <c r="H47" s="233" t="e">
        <f>VLOOKUP($A47&amp;$B47,'Sc4'!$A$299:$Z$1979,H$3,FALSE)</f>
        <v>#N/A</v>
      </c>
      <c r="I47" s="233" t="e">
        <f>VLOOKUP($A47&amp;$B47,'Sc4'!$A$299:$Z$1979,I$3,FALSE)</f>
        <v>#N/A</v>
      </c>
      <c r="J47" s="167" t="e">
        <f>VLOOKUP($A47&amp;$B47,'Sc4'!$A$299:$Z$1979,J$3,FALSE)</f>
        <v>#N/A</v>
      </c>
      <c r="K47" s="164" t="e">
        <f>VLOOKUP($A47&amp;$B47,'Sc4'!$A$299:$Z$1979,K$3,FALSE)</f>
        <v>#N/A</v>
      </c>
      <c r="L47" s="233" t="e">
        <f>VLOOKUP($A47&amp;$B47,'Sc4'!$A$299:$Z$1979,L$3,FALSE)</f>
        <v>#N/A</v>
      </c>
      <c r="M47" s="278" t="e">
        <f>VLOOKUP($A47&amp;$B47,'Sc4'!$A$299:$Z$1979,M$3,FALSE)</f>
        <v>#N/A</v>
      </c>
      <c r="N47" s="233" t="e">
        <f>VLOOKUP($A47&amp;$B47,'Sc4'!$A$299:$Z$1979,N$3,FALSE)</f>
        <v>#N/A</v>
      </c>
      <c r="O47" s="278" t="e">
        <f>VLOOKUP($A47&amp;$B47,'Sc4'!$A$299:$Z$1979,O$3,FALSE)</f>
        <v>#N/A</v>
      </c>
      <c r="P47" s="233" t="e">
        <f>VLOOKUP($A47&amp;$B47,'Sc4'!$A$299:$Z$1979,P$3,FALSE)</f>
        <v>#N/A</v>
      </c>
      <c r="Q47" s="278" t="e">
        <f>VLOOKUP($A47&amp;$B47,'Sc4'!$A$299:$Z$1979,Q$3,FALSE)</f>
        <v>#N/A</v>
      </c>
      <c r="R47" s="233" t="e">
        <f>VLOOKUP($A47&amp;$B47,'Sc4'!$A$299:$Z$1979,R$3,FALSE)</f>
        <v>#N/A</v>
      </c>
      <c r="S47" s="278" t="e">
        <f>VLOOKUP($A47&amp;$B47,'Sc4'!$A$299:$Z$1979,S$3,FALSE)</f>
        <v>#N/A</v>
      </c>
      <c r="T47" s="167" t="e">
        <f>VLOOKUP($A47&amp;$B47,'Sc4'!$A$299:$Z$1979,T$3,FALSE)</f>
        <v>#N/A</v>
      </c>
    </row>
    <row r="48" spans="1:20" x14ac:dyDescent="0.3">
      <c r="A48" s="99" t="s">
        <v>4912</v>
      </c>
      <c r="B48" t="s">
        <v>5202</v>
      </c>
      <c r="C48" s="233">
        <f>VLOOKUP($A48&amp;$B48,'Sc4'!$A$299:$Z$1979,C$3,FALSE)</f>
        <v>36258.026121805407</v>
      </c>
      <c r="D48" s="233">
        <f>VLOOKUP($A48&amp;$B48,'Sc4'!$A$299:$Z$1979,D$3,FALSE)</f>
        <v>14279.388944674361</v>
      </c>
      <c r="E48" s="233">
        <f>VLOOKUP($A48&amp;$B48,'Sc4'!$A$299:$Z$1979,E$3,FALSE)</f>
        <v>50537.415066479771</v>
      </c>
      <c r="F48" s="233">
        <f>VLOOKUP($A48&amp;$B48,'Sc4'!$A$299:$Z$1979,F$3,FALSE)</f>
        <v>0</v>
      </c>
      <c r="G48" s="233">
        <f>VLOOKUP($A48&amp;$B48,'Sc4'!$A$299:$Z$1979,G$3,FALSE)</f>
        <v>6582.5858243817474</v>
      </c>
      <c r="H48" s="233">
        <f>VLOOKUP($A48&amp;$B48,'Sc4'!$A$299:$Z$1979,H$3,FALSE)</f>
        <v>0</v>
      </c>
      <c r="I48" s="233">
        <f>VLOOKUP($A48&amp;$B48,'Sc4'!$A$299:$Z$1979,I$3,FALSE)</f>
        <v>0</v>
      </c>
      <c r="J48" s="167">
        <f>VLOOKUP($A48&amp;$B48,'Sc4'!$A$299:$Z$1979,J$3,FALSE)</f>
        <v>-50537.415066479771</v>
      </c>
      <c r="K48" s="164">
        <f>VLOOKUP($A48&amp;$B48,'Sc4'!$A$299:$Z$1979,K$3,FALSE)</f>
        <v>946.46267270594763</v>
      </c>
      <c r="L48" s="233">
        <f>VLOOKUP($A48&amp;$B48,'Sc4'!$A$299:$Z$1979,L$3,FALSE)</f>
        <v>64.919452158688784</v>
      </c>
      <c r="M48" s="278">
        <f>VLOOKUP($A48&amp;$B48,'Sc4'!$A$299:$Z$1979,M$3,FALSE)</f>
        <v>173.68792485077398</v>
      </c>
      <c r="N48" s="233">
        <f>VLOOKUP($A48&amp;$B48,'Sc4'!$A$299:$Z$1979,N$3,FALSE)</f>
        <v>642.03577564555712</v>
      </c>
      <c r="O48" s="278">
        <f>VLOOKUP($A48&amp;$B48,'Sc4'!$A$299:$Z$1979,O$3,FALSE)</f>
        <v>27.697383596829393</v>
      </c>
      <c r="P48" s="233">
        <f>VLOOKUP($A48&amp;$B48,'Sc4'!$A$299:$Z$1979,P$3,FALSE)</f>
        <v>655.32009590098335</v>
      </c>
      <c r="Q48" s="278">
        <f>VLOOKUP($A48&amp;$B48,'Sc4'!$A$299:$Z$1979,Q$3,FALSE)</f>
        <v>0</v>
      </c>
      <c r="R48" s="233">
        <f>VLOOKUP($A48&amp;$B48,'Sc4'!$A$299:$Z$1979,R$3,FALSE)</f>
        <v>0</v>
      </c>
      <c r="S48" s="278">
        <f>VLOOKUP($A48&amp;$B48,'Sc4'!$A$299:$Z$1979,S$3,FALSE)</f>
        <v>27.697383596829393</v>
      </c>
      <c r="T48" s="167">
        <f>VLOOKUP($A48&amp;$B48,'Sc4'!$A$299:$Z$1979,T$3,FALSE)</f>
        <v>655.32009590098335</v>
      </c>
    </row>
    <row r="49" spans="1:20" x14ac:dyDescent="0.3">
      <c r="A49" s="149" t="s">
        <v>4912</v>
      </c>
      <c r="B49" s="650" t="s">
        <v>5203</v>
      </c>
      <c r="C49" s="655">
        <f>VLOOKUP($A49&amp;$B49,'Sc4'!$A$299:$Z$1979,C$3,FALSE)</f>
        <v>50414.928157342118</v>
      </c>
      <c r="D49" s="655">
        <f>VLOOKUP($A49&amp;$B49,'Sc4'!$A$299:$Z$1979,D$3,FALSE)</f>
        <v>16961.089675666441</v>
      </c>
      <c r="E49" s="655">
        <f>VLOOKUP($A49&amp;$B49,'Sc4'!$A$299:$Z$1979,E$3,FALSE)</f>
        <v>67376.017833008562</v>
      </c>
      <c r="F49" s="655">
        <f>VLOOKUP($A49&amp;$B49,'Sc4'!$A$299:$Z$1979,F$3,FALSE)</f>
        <v>0</v>
      </c>
      <c r="G49" s="655">
        <f>VLOOKUP($A49&amp;$B49,'Sc4'!$A$299:$Z$1979,G$3,FALSE)</f>
        <v>6582.5858243817474</v>
      </c>
      <c r="H49" s="655">
        <f>VLOOKUP($A49&amp;$B49,'Sc4'!$A$299:$Z$1979,H$3,FALSE)</f>
        <v>0</v>
      </c>
      <c r="I49" s="655">
        <f>VLOOKUP($A49&amp;$B49,'Sc4'!$A$299:$Z$1979,I$3,FALSE)</f>
        <v>0</v>
      </c>
      <c r="J49" s="656">
        <f>VLOOKUP($A49&amp;$B49,'Sc4'!$A$299:$Z$1979,J$3,FALSE)</f>
        <v>-67376.017833008562</v>
      </c>
      <c r="K49" s="651">
        <f>VLOOKUP($A49&amp;$B49,'Sc4'!$A$299:$Z$1979,K$3,FALSE)</f>
        <v>946.46267270594763</v>
      </c>
      <c r="L49" s="655">
        <f>VLOOKUP($A49&amp;$B49,'Sc4'!$A$299:$Z$1979,L$3,FALSE)</f>
        <v>64.919452158688784</v>
      </c>
      <c r="M49" s="652">
        <f>VLOOKUP($A49&amp;$B49,'Sc4'!$A$299:$Z$1979,M$3,FALSE)</f>
        <v>173.68792485077398</v>
      </c>
      <c r="N49" s="655">
        <f>VLOOKUP($A49&amp;$B49,'Sc4'!$A$299:$Z$1979,N$3,FALSE)</f>
        <v>642.03577564555712</v>
      </c>
      <c r="O49" s="652">
        <f>VLOOKUP($A49&amp;$B49,'Sc4'!$A$299:$Z$1979,O$3,FALSE)</f>
        <v>27.697383596829393</v>
      </c>
      <c r="P49" s="655">
        <f>VLOOKUP($A49&amp;$B49,'Sc4'!$A$299:$Z$1979,P$3,FALSE)</f>
        <v>655.32009590098335</v>
      </c>
      <c r="Q49" s="652">
        <f>VLOOKUP($A49&amp;$B49,'Sc4'!$A$299:$Z$1979,Q$3,FALSE)</f>
        <v>0</v>
      </c>
      <c r="R49" s="655">
        <f>VLOOKUP($A49&amp;$B49,'Sc4'!$A$299:$Z$1979,R$3,FALSE)</f>
        <v>0</v>
      </c>
      <c r="S49" s="652">
        <f>VLOOKUP($A49&amp;$B49,'Sc4'!$A$299:$Z$1979,S$3,FALSE)</f>
        <v>27.697383596829393</v>
      </c>
      <c r="T49" s="656">
        <f>VLOOKUP($A49&amp;$B49,'Sc4'!$A$299:$Z$1979,T$3,FALSE)</f>
        <v>655.32009590098335</v>
      </c>
    </row>
    <row r="51" spans="1:20" x14ac:dyDescent="0.3">
      <c r="A51" s="3023" t="s">
        <v>5214</v>
      </c>
      <c r="B51" s="3024"/>
      <c r="C51" s="3024"/>
      <c r="D51" s="3024"/>
      <c r="E51" s="3024"/>
      <c r="F51" s="3024"/>
      <c r="G51" s="3024"/>
      <c r="H51" s="3024"/>
      <c r="I51" s="3024"/>
      <c r="J51" s="3024"/>
      <c r="K51" s="3024"/>
      <c r="L51" s="3024"/>
      <c r="M51" s="3024"/>
      <c r="N51" s="3024"/>
      <c r="O51" s="3024"/>
      <c r="P51" s="3024"/>
      <c r="Q51" s="3024"/>
      <c r="R51" s="3024"/>
      <c r="S51" s="3024"/>
      <c r="T51" s="3025"/>
    </row>
    <row r="52" spans="1:20" ht="28.8" x14ac:dyDescent="0.3">
      <c r="A52" s="99"/>
      <c r="B52" s="82" t="s">
        <v>5187</v>
      </c>
      <c r="C52" s="82" t="s">
        <v>2585</v>
      </c>
      <c r="D52" s="82" t="s">
        <v>2588</v>
      </c>
      <c r="E52" s="82" t="s">
        <v>5188</v>
      </c>
      <c r="F52" s="82" t="s">
        <v>5189</v>
      </c>
      <c r="G52" s="82" t="s">
        <v>5190</v>
      </c>
      <c r="H52" s="82" t="s">
        <v>442</v>
      </c>
      <c r="I52" s="82" t="s">
        <v>5191</v>
      </c>
      <c r="J52" s="173" t="s">
        <v>439</v>
      </c>
      <c r="K52" s="661" t="s">
        <v>5192</v>
      </c>
      <c r="L52" s="281" t="s">
        <v>5193</v>
      </c>
      <c r="M52" s="663" t="s">
        <v>5194</v>
      </c>
      <c r="N52" s="281" t="s">
        <v>5195</v>
      </c>
      <c r="O52" s="663" t="s">
        <v>5196</v>
      </c>
      <c r="P52" s="281" t="s">
        <v>5197</v>
      </c>
      <c r="Q52" s="663" t="s">
        <v>5198</v>
      </c>
      <c r="R52" s="281" t="s">
        <v>5199</v>
      </c>
      <c r="S52" s="663" t="s">
        <v>5200</v>
      </c>
      <c r="T52" s="282" t="s">
        <v>5201</v>
      </c>
    </row>
    <row r="53" spans="1:20" x14ac:dyDescent="0.3">
      <c r="A53" s="99" t="s">
        <v>4917</v>
      </c>
      <c r="B53" t="s">
        <v>5209</v>
      </c>
      <c r="C53" s="233">
        <f>VLOOKUP($A53&amp;$B53,'Sc4'!$A$299:$Z$1979,C$3,FALSE)</f>
        <v>0</v>
      </c>
      <c r="D53" s="233">
        <f>VLOOKUP($A53&amp;$B53,'Sc4'!$A$299:$Z$1979,D$3,FALSE)</f>
        <v>57.602041861056726</v>
      </c>
      <c r="E53" s="233">
        <f>VLOOKUP($A53&amp;$B53,'Sc4'!$A$299:$Z$1979,E$3,FALSE)</f>
        <v>57.602041861056726</v>
      </c>
      <c r="F53" s="233">
        <f>VLOOKUP($A53&amp;$B53,'Sc4'!$A$299:$Z$1979,F$3,FALSE)</f>
        <v>0</v>
      </c>
      <c r="G53" s="233">
        <f>VLOOKUP($A53&amp;$B53,'Sc4'!$A$299:$Z$1979,G$3,FALSE)</f>
        <v>0</v>
      </c>
      <c r="H53" s="233">
        <f>VLOOKUP($A53&amp;$B53,'Sc4'!$A$299:$Z$1979,H$3,FALSE)</f>
        <v>0</v>
      </c>
      <c r="I53" s="233">
        <f>VLOOKUP($A53&amp;$B53,'Sc4'!$A$299:$Z$1979,I$3,FALSE)</f>
        <v>0</v>
      </c>
      <c r="J53" s="167">
        <f>VLOOKUP($A53&amp;$B53,'Sc4'!$A$299:$Z$1979,J$3,FALSE)</f>
        <v>-57.602041861056726</v>
      </c>
      <c r="K53" s="164">
        <f>VLOOKUP($A53&amp;$B53,'Sc4'!$A$299:$Z$1979,K$3,FALSE)</f>
        <v>0</v>
      </c>
      <c r="L53" s="233">
        <f>VLOOKUP($A53&amp;$B53,'Sc4'!$A$299:$Z$1979,L$3,FALSE)</f>
        <v>0</v>
      </c>
      <c r="M53" s="278">
        <f>VLOOKUP($A53&amp;$B53,'Sc4'!$A$299:$Z$1979,M$3,FALSE)</f>
        <v>0</v>
      </c>
      <c r="N53" s="233">
        <f>VLOOKUP($A53&amp;$B53,'Sc4'!$A$299:$Z$1979,N$3,FALSE)</f>
        <v>0</v>
      </c>
      <c r="O53" s="278">
        <f>VLOOKUP($A53&amp;$B53,'Sc4'!$A$299:$Z$1979,O$3,FALSE)</f>
        <v>0</v>
      </c>
      <c r="P53" s="233">
        <f>VLOOKUP($A53&amp;$B53,'Sc4'!$A$299:$Z$1979,P$3,FALSE)</f>
        <v>0</v>
      </c>
      <c r="Q53" s="278">
        <f>VLOOKUP($A53&amp;$B53,'Sc4'!$A$299:$Z$1979,Q$3,FALSE)</f>
        <v>0</v>
      </c>
      <c r="R53" s="233">
        <f>VLOOKUP($A53&amp;$B53,'Sc4'!$A$299:$Z$1979,R$3,FALSE)</f>
        <v>0</v>
      </c>
      <c r="S53" s="278">
        <f>VLOOKUP($A53&amp;$B53,'Sc4'!$A$299:$Z$1979,S$3,FALSE)</f>
        <v>0</v>
      </c>
      <c r="T53" s="167">
        <f>VLOOKUP($A53&amp;$B53,'Sc4'!$A$299:$Z$1979,T$3,FALSE)</f>
        <v>0</v>
      </c>
    </row>
    <row r="54" spans="1:20" x14ac:dyDescent="0.3">
      <c r="A54" s="99" t="s">
        <v>4917</v>
      </c>
      <c r="B54" t="s">
        <v>5210</v>
      </c>
      <c r="C54" s="233">
        <f>VLOOKUP($A54&amp;$B54,'Sc4'!$A$299:$Z$1979,C$3,FALSE)</f>
        <v>13520.962552369338</v>
      </c>
      <c r="D54" s="233">
        <f>VLOOKUP($A54&amp;$B54,'Sc4'!$A$299:$Z$1979,D$3,FALSE)</f>
        <v>2506.2220548252108</v>
      </c>
      <c r="E54" s="233">
        <f>VLOOKUP($A54&amp;$B54,'Sc4'!$A$299:$Z$1979,E$3,FALSE)</f>
        <v>16027.184607194547</v>
      </c>
      <c r="F54" s="233">
        <f>VLOOKUP($A54&amp;$B54,'Sc4'!$A$299:$Z$1979,F$3,FALSE)</f>
        <v>0</v>
      </c>
      <c r="G54" s="233">
        <f>VLOOKUP($A54&amp;$B54,'Sc4'!$A$299:$Z$1979,G$3,FALSE)</f>
        <v>0</v>
      </c>
      <c r="H54" s="233">
        <f>VLOOKUP($A54&amp;$B54,'Sc4'!$A$299:$Z$1979,H$3,FALSE)</f>
        <v>0</v>
      </c>
      <c r="I54" s="233">
        <f>VLOOKUP($A54&amp;$B54,'Sc4'!$A$299:$Z$1979,I$3,FALSE)</f>
        <v>0</v>
      </c>
      <c r="J54" s="167">
        <f>VLOOKUP($A54&amp;$B54,'Sc4'!$A$299:$Z$1979,J$3,FALSE)</f>
        <v>-16027.184607194547</v>
      </c>
      <c r="K54" s="164">
        <f>VLOOKUP($A54&amp;$B54,'Sc4'!$A$299:$Z$1979,K$3,FALSE)</f>
        <v>0</v>
      </c>
      <c r="L54" s="233">
        <f>VLOOKUP($A54&amp;$B54,'Sc4'!$A$299:$Z$1979,L$3,FALSE)</f>
        <v>0</v>
      </c>
      <c r="M54" s="278">
        <f>VLOOKUP($A54&amp;$B54,'Sc4'!$A$299:$Z$1979,M$3,FALSE)</f>
        <v>0</v>
      </c>
      <c r="N54" s="233">
        <f>VLOOKUP($A54&amp;$B54,'Sc4'!$A$299:$Z$1979,N$3,FALSE)</f>
        <v>0</v>
      </c>
      <c r="O54" s="278">
        <f>VLOOKUP($A54&amp;$B54,'Sc4'!$A$299:$Z$1979,O$3,FALSE)</f>
        <v>0</v>
      </c>
      <c r="P54" s="233">
        <f>VLOOKUP($A54&amp;$B54,'Sc4'!$A$299:$Z$1979,P$3,FALSE)</f>
        <v>0</v>
      </c>
      <c r="Q54" s="278">
        <f>VLOOKUP($A54&amp;$B54,'Sc4'!$A$299:$Z$1979,Q$3,FALSE)</f>
        <v>0</v>
      </c>
      <c r="R54" s="233">
        <f>VLOOKUP($A54&amp;$B54,'Sc4'!$A$299:$Z$1979,R$3,FALSE)</f>
        <v>0</v>
      </c>
      <c r="S54" s="278">
        <f>VLOOKUP($A54&amp;$B54,'Sc4'!$A$299:$Z$1979,S$3,FALSE)</f>
        <v>0</v>
      </c>
      <c r="T54" s="167">
        <f>VLOOKUP($A54&amp;$B54,'Sc4'!$A$299:$Z$1979,T$3,FALSE)</f>
        <v>0</v>
      </c>
    </row>
    <row r="55" spans="1:20" x14ac:dyDescent="0.3">
      <c r="A55" s="99" t="s">
        <v>4917</v>
      </c>
      <c r="B55" t="s">
        <v>5211</v>
      </c>
      <c r="C55" s="233" t="e">
        <f>VLOOKUP($A55&amp;$B55,'Sc4'!$A$299:$Z$1979,C$3,FALSE)</f>
        <v>#N/A</v>
      </c>
      <c r="D55" s="233" t="e">
        <f>VLOOKUP($A55&amp;$B55,'Sc4'!$A$299:$Z$1979,D$3,FALSE)</f>
        <v>#N/A</v>
      </c>
      <c r="E55" s="233" t="e">
        <f>VLOOKUP($A55&amp;$B55,'Sc4'!$A$299:$Z$1979,E$3,FALSE)</f>
        <v>#N/A</v>
      </c>
      <c r="F55" s="233" t="e">
        <f>VLOOKUP($A55&amp;$B55,'Sc4'!$A$299:$Z$1979,F$3,FALSE)</f>
        <v>#N/A</v>
      </c>
      <c r="G55" s="233" t="e">
        <f>VLOOKUP($A55&amp;$B55,'Sc4'!$A$299:$Z$1979,G$3,FALSE)</f>
        <v>#N/A</v>
      </c>
      <c r="H55" s="233" t="e">
        <f>VLOOKUP($A55&amp;$B55,'Sc4'!$A$299:$Z$1979,H$3,FALSE)</f>
        <v>#N/A</v>
      </c>
      <c r="I55" s="233" t="e">
        <f>VLOOKUP($A55&amp;$B55,'Sc4'!$A$299:$Z$1979,I$3,FALSE)</f>
        <v>#N/A</v>
      </c>
      <c r="J55" s="167" t="e">
        <f>VLOOKUP($A55&amp;$B55,'Sc4'!$A$299:$Z$1979,J$3,FALSE)</f>
        <v>#N/A</v>
      </c>
      <c r="K55" s="164" t="e">
        <f>VLOOKUP($A55&amp;$B55,'Sc4'!$A$299:$Z$1979,K$3,FALSE)</f>
        <v>#N/A</v>
      </c>
      <c r="L55" s="233" t="e">
        <f>VLOOKUP($A55&amp;$B55,'Sc4'!$A$299:$Z$1979,L$3,FALSE)</f>
        <v>#N/A</v>
      </c>
      <c r="M55" s="278" t="e">
        <f>VLOOKUP($A55&amp;$B55,'Sc4'!$A$299:$Z$1979,M$3,FALSE)</f>
        <v>#N/A</v>
      </c>
      <c r="N55" s="233" t="e">
        <f>VLOOKUP($A55&amp;$B55,'Sc4'!$A$299:$Z$1979,N$3,FALSE)</f>
        <v>#N/A</v>
      </c>
      <c r="O55" s="278" t="e">
        <f>VLOOKUP($A55&amp;$B55,'Sc4'!$A$299:$Z$1979,O$3,FALSE)</f>
        <v>#N/A</v>
      </c>
      <c r="P55" s="233" t="e">
        <f>VLOOKUP($A55&amp;$B55,'Sc4'!$A$299:$Z$1979,P$3,FALSE)</f>
        <v>#N/A</v>
      </c>
      <c r="Q55" s="278" t="e">
        <f>VLOOKUP($A55&amp;$B55,'Sc4'!$A$299:$Z$1979,Q$3,FALSE)</f>
        <v>#N/A</v>
      </c>
      <c r="R55" s="233" t="e">
        <f>VLOOKUP($A55&amp;$B55,'Sc4'!$A$299:$Z$1979,R$3,FALSE)</f>
        <v>#N/A</v>
      </c>
      <c r="S55" s="278" t="e">
        <f>VLOOKUP($A55&amp;$B55,'Sc4'!$A$299:$Z$1979,S$3,FALSE)</f>
        <v>#N/A</v>
      </c>
      <c r="T55" s="167" t="e">
        <f>VLOOKUP($A55&amp;$B55,'Sc4'!$A$299:$Z$1979,T$3,FALSE)</f>
        <v>#N/A</v>
      </c>
    </row>
    <row r="56" spans="1:20" x14ac:dyDescent="0.3">
      <c r="A56" s="99" t="s">
        <v>4917</v>
      </c>
      <c r="B56" t="s">
        <v>5205</v>
      </c>
      <c r="C56" s="233">
        <f>VLOOKUP($A56&amp;$B56,'Sc4'!$A$299:$Z$1979,C$3,FALSE)</f>
        <v>90055.957961911525</v>
      </c>
      <c r="D56" s="233">
        <f>VLOOKUP($A56&amp;$B56,'Sc4'!$A$299:$Z$1979,D$3,FALSE)</f>
        <v>31170.253718398308</v>
      </c>
      <c r="E56" s="233">
        <f>VLOOKUP($A56&amp;$B56,'Sc4'!$A$299:$Z$1979,E$3,FALSE)</f>
        <v>121226.21168030983</v>
      </c>
      <c r="F56" s="233">
        <f>VLOOKUP($A56&amp;$B56,'Sc4'!$A$299:$Z$1979,F$3,FALSE)</f>
        <v>0</v>
      </c>
      <c r="G56" s="233">
        <f>VLOOKUP($A56&amp;$B56,'Sc4'!$A$299:$Z$1979,G$3,FALSE)</f>
        <v>6582.5858243817474</v>
      </c>
      <c r="H56" s="233">
        <f>VLOOKUP($A56&amp;$B56,'Sc4'!$A$299:$Z$1979,H$3,FALSE)</f>
        <v>0</v>
      </c>
      <c r="I56" s="233">
        <f>VLOOKUP($A56&amp;$B56,'Sc4'!$A$299:$Z$1979,I$3,FALSE)</f>
        <v>0</v>
      </c>
      <c r="J56" s="167">
        <f>VLOOKUP($A56&amp;$B56,'Sc4'!$A$299:$Z$1979,J$3,FALSE)</f>
        <v>-121226.21168030983</v>
      </c>
      <c r="K56" s="164">
        <f>VLOOKUP($A56&amp;$B56,'Sc4'!$A$299:$Z$1979,K$3,FALSE)</f>
        <v>946.46267270594763</v>
      </c>
      <c r="L56" s="233">
        <f>VLOOKUP($A56&amp;$B56,'Sc4'!$A$299:$Z$1979,L$3,FALSE)</f>
        <v>64.919452158688784</v>
      </c>
      <c r="M56" s="278">
        <f>VLOOKUP($A56&amp;$B56,'Sc4'!$A$299:$Z$1979,M$3,FALSE)</f>
        <v>66.221946471027607</v>
      </c>
      <c r="N56" s="233">
        <f>VLOOKUP($A56&amp;$B56,'Sc4'!$A$299:$Z$1979,N$3,FALSE)</f>
        <v>244.78880039480944</v>
      </c>
      <c r="O56" s="278">
        <f>VLOOKUP($A56&amp;$B56,'Sc4'!$A$299:$Z$1979,O$3,FALSE)</f>
        <v>7.9155137936195086</v>
      </c>
      <c r="P56" s="233">
        <f>VLOOKUP($A56&amp;$B56,'Sc4'!$A$299:$Z$1979,P$3,FALSE)</f>
        <v>187.28105635703753</v>
      </c>
      <c r="Q56" s="278">
        <f>VLOOKUP($A56&amp;$B56,'Sc4'!$A$299:$Z$1979,Q$3,FALSE)</f>
        <v>0</v>
      </c>
      <c r="R56" s="233">
        <f>VLOOKUP($A56&amp;$B56,'Sc4'!$A$299:$Z$1979,R$3,FALSE)</f>
        <v>0</v>
      </c>
      <c r="S56" s="278">
        <f>VLOOKUP($A56&amp;$B56,'Sc4'!$A$299:$Z$1979,S$3,FALSE)</f>
        <v>7.9155137936195086</v>
      </c>
      <c r="T56" s="167">
        <f>VLOOKUP($A56&amp;$B56,'Sc4'!$A$299:$Z$1979,T$3,FALSE)</f>
        <v>187.28105635703753</v>
      </c>
    </row>
    <row r="57" spans="1:20" x14ac:dyDescent="0.3">
      <c r="A57" s="149" t="s">
        <v>4917</v>
      </c>
      <c r="B57" s="650" t="s">
        <v>5203</v>
      </c>
      <c r="C57" s="655">
        <f>VLOOKUP($A57&amp;$B57,'Sc4'!$A$299:$Z$1979,C$3,FALSE)</f>
        <v>104212.85999744823</v>
      </c>
      <c r="D57" s="655">
        <f>VLOOKUP($A57&amp;$B57,'Sc4'!$A$299:$Z$1979,D$3,FALSE)</f>
        <v>33851.954449390389</v>
      </c>
      <c r="E57" s="655">
        <f>VLOOKUP($A57&amp;$B57,'Sc4'!$A$299:$Z$1979,E$3,FALSE)</f>
        <v>138064.81444683863</v>
      </c>
      <c r="F57" s="655">
        <f>VLOOKUP($A57&amp;$B57,'Sc4'!$A$299:$Z$1979,F$3,FALSE)</f>
        <v>0</v>
      </c>
      <c r="G57" s="655">
        <f>VLOOKUP($A57&amp;$B57,'Sc4'!$A$299:$Z$1979,G$3,FALSE)</f>
        <v>6582.5858243817474</v>
      </c>
      <c r="H57" s="655">
        <f>VLOOKUP($A57&amp;$B57,'Sc4'!$A$299:$Z$1979,H$3,FALSE)</f>
        <v>0</v>
      </c>
      <c r="I57" s="655">
        <f>VLOOKUP($A57&amp;$B57,'Sc4'!$A$299:$Z$1979,I$3,FALSE)</f>
        <v>0</v>
      </c>
      <c r="J57" s="656">
        <f>VLOOKUP($A57&amp;$B57,'Sc4'!$A$299:$Z$1979,J$3,FALSE)</f>
        <v>-138064.81444683863</v>
      </c>
      <c r="K57" s="651">
        <f>VLOOKUP($A57&amp;$B57,'Sc4'!$A$299:$Z$1979,K$3,FALSE)</f>
        <v>946.46267270594763</v>
      </c>
      <c r="L57" s="655">
        <f>VLOOKUP($A57&amp;$B57,'Sc4'!$A$299:$Z$1979,L$3,FALSE)</f>
        <v>64.919452158688784</v>
      </c>
      <c r="M57" s="652">
        <f>VLOOKUP($A57&amp;$B57,'Sc4'!$A$299:$Z$1979,M$3,FALSE)</f>
        <v>66.221946471027607</v>
      </c>
      <c r="N57" s="655">
        <f>VLOOKUP($A57&amp;$B57,'Sc4'!$A$299:$Z$1979,N$3,FALSE)</f>
        <v>244.78880039480944</v>
      </c>
      <c r="O57" s="652">
        <f>VLOOKUP($A57&amp;$B57,'Sc4'!$A$299:$Z$1979,O$3,FALSE)</f>
        <v>7.9155137936195086</v>
      </c>
      <c r="P57" s="655">
        <f>VLOOKUP($A57&amp;$B57,'Sc4'!$A$299:$Z$1979,P$3,FALSE)</f>
        <v>187.28105635703753</v>
      </c>
      <c r="Q57" s="652">
        <f>VLOOKUP($A57&amp;$B57,'Sc4'!$A$299:$Z$1979,Q$3,FALSE)</f>
        <v>0</v>
      </c>
      <c r="R57" s="655">
        <f>VLOOKUP($A57&amp;$B57,'Sc4'!$A$299:$Z$1979,R$3,FALSE)</f>
        <v>0</v>
      </c>
      <c r="S57" s="652">
        <f>VLOOKUP($A57&amp;$B57,'Sc4'!$A$299:$Z$1979,S$3,FALSE)</f>
        <v>7.9155137936195086</v>
      </c>
      <c r="T57" s="656">
        <f>VLOOKUP($A57&amp;$B57,'Sc4'!$A$299:$Z$1979,T$3,FALSE)</f>
        <v>187.28105635703753</v>
      </c>
    </row>
    <row r="59" spans="1:20" x14ac:dyDescent="0.3">
      <c r="A59" s="3020" t="s">
        <v>5215</v>
      </c>
      <c r="B59" s="3021"/>
      <c r="C59" s="3021"/>
      <c r="D59" s="3021"/>
      <c r="E59" s="3021"/>
      <c r="F59" s="3021"/>
      <c r="G59" s="3021"/>
      <c r="H59" s="3021"/>
      <c r="I59" s="3021"/>
      <c r="J59" s="3021"/>
      <c r="K59" s="3021"/>
      <c r="L59" s="3021"/>
      <c r="M59" s="3021"/>
      <c r="N59" s="3021"/>
      <c r="O59" s="3021"/>
      <c r="P59" s="3021"/>
      <c r="Q59" s="3021"/>
      <c r="R59" s="3021"/>
      <c r="S59" s="3021"/>
      <c r="T59" s="3022"/>
    </row>
    <row r="60" spans="1:20" ht="28.8" x14ac:dyDescent="0.3">
      <c r="A60" s="99"/>
      <c r="B60" s="82" t="s">
        <v>5187</v>
      </c>
      <c r="C60" s="82" t="s">
        <v>2585</v>
      </c>
      <c r="D60" s="82" t="s">
        <v>2588</v>
      </c>
      <c r="E60" s="82" t="s">
        <v>5188</v>
      </c>
      <c r="F60" s="82" t="s">
        <v>5189</v>
      </c>
      <c r="G60" s="82" t="s">
        <v>5190</v>
      </c>
      <c r="H60" s="82" t="s">
        <v>442</v>
      </c>
      <c r="I60" s="82" t="s">
        <v>5191</v>
      </c>
      <c r="J60" s="173" t="s">
        <v>439</v>
      </c>
      <c r="K60" s="661" t="s">
        <v>5192</v>
      </c>
      <c r="L60" s="281" t="s">
        <v>5193</v>
      </c>
      <c r="M60" s="663" t="s">
        <v>5194</v>
      </c>
      <c r="N60" s="281" t="s">
        <v>5195</v>
      </c>
      <c r="O60" s="663" t="s">
        <v>5196</v>
      </c>
      <c r="P60" s="281" t="s">
        <v>5197</v>
      </c>
      <c r="Q60" s="663" t="s">
        <v>5198</v>
      </c>
      <c r="R60" s="281" t="s">
        <v>5199</v>
      </c>
      <c r="S60" s="663" t="s">
        <v>5200</v>
      </c>
      <c r="T60" s="282" t="s">
        <v>5201</v>
      </c>
    </row>
    <row r="61" spans="1:20" x14ac:dyDescent="0.3">
      <c r="A61" s="99" t="s">
        <v>4912</v>
      </c>
      <c r="B61" t="s">
        <v>5209</v>
      </c>
      <c r="C61" s="233">
        <f>VLOOKUP($A61&amp;$B61,'Sc5'!$A$299:$Z$2028,C$3,FALSE)</f>
        <v>0</v>
      </c>
      <c r="D61" s="233">
        <f>VLOOKUP($A61&amp;$B61,'Sc5'!$A$299:$Z$2028,D$3,FALSE)</f>
        <v>37476.047923116217</v>
      </c>
      <c r="E61" s="233">
        <f>VLOOKUP($A61&amp;$B61,'Sc5'!$A$299:$Z$2028,E$3,FALSE)</f>
        <v>37476.047923116217</v>
      </c>
      <c r="F61" s="233">
        <f>VLOOKUP($A61&amp;$B61,'Sc5'!$A$299:$Z$2028,F$3,FALSE)</f>
        <v>0</v>
      </c>
      <c r="G61" s="233">
        <f>VLOOKUP($A61&amp;$B61,'Sc5'!$A$299:$Z$2028,G$3,FALSE)</f>
        <v>0</v>
      </c>
      <c r="H61" s="233">
        <f>VLOOKUP($A61&amp;$B61,'Sc5'!$A$299:$Z$2028,H$3,FALSE)</f>
        <v>0</v>
      </c>
      <c r="I61" s="233">
        <f>VLOOKUP($A61&amp;$B61,'Sc5'!$A$299:$Z$2028,I$3,FALSE)</f>
        <v>0</v>
      </c>
      <c r="J61" s="167">
        <f>VLOOKUP($A61&amp;$B61,'Sc5'!$A$299:$Z$2028,J$3,FALSE)</f>
        <v>-37476.047923116217</v>
      </c>
      <c r="K61" s="164">
        <f>VLOOKUP($A61&amp;$B61,'Sc5'!$A$299:$Z$2028,K$3,FALSE)</f>
        <v>0</v>
      </c>
      <c r="L61" s="233">
        <f>VLOOKUP($A61&amp;$B61,'Sc5'!$A$299:$Z$2028,L$3,FALSE)</f>
        <v>0</v>
      </c>
      <c r="M61" s="278">
        <f>VLOOKUP($A61&amp;$B61,'Sc5'!$A$299:$Z$2028,M$3,FALSE)</f>
        <v>0</v>
      </c>
      <c r="N61" s="233">
        <f>VLOOKUP($A61&amp;$B61,'Sc5'!$A$299:$Z$2028,N$3,FALSE)</f>
        <v>0</v>
      </c>
      <c r="O61" s="278">
        <f>VLOOKUP($A61&amp;$B61,'Sc5'!$A$299:$Z$2028,O$3,FALSE)</f>
        <v>0</v>
      </c>
      <c r="P61" s="233">
        <f>VLOOKUP($A61&amp;$B61,'Sc5'!$A$299:$Z$2028,P$3,FALSE)</f>
        <v>0</v>
      </c>
      <c r="Q61" s="278">
        <f>VLOOKUP($A61&amp;$B61,'Sc5'!$A$299:$Z$2028,Q$3,FALSE)</f>
        <v>0</v>
      </c>
      <c r="R61" s="233">
        <f>VLOOKUP($A61&amp;$B61,'Sc5'!$A$299:$Z$2028,R$3,FALSE)</f>
        <v>0</v>
      </c>
      <c r="S61" s="278">
        <f>VLOOKUP($A61&amp;$B61,'Sc5'!$A$299:$Z$2028,S$3,FALSE)</f>
        <v>0</v>
      </c>
      <c r="T61" s="167">
        <f>VLOOKUP($A61&amp;$B61,'Sc5'!$A$299:$Z$2028,T$3,FALSE)</f>
        <v>0</v>
      </c>
    </row>
    <row r="62" spans="1:20" x14ac:dyDescent="0.3">
      <c r="A62" s="99" t="s">
        <v>4912</v>
      </c>
      <c r="B62" t="s">
        <v>5210</v>
      </c>
      <c r="C62" s="233">
        <f>VLOOKUP($A62&amp;$B62,'Sc5'!$A$299:$Z$2028,C$3,FALSE)</f>
        <v>13433.591647467869</v>
      </c>
      <c r="D62" s="233">
        <f>VLOOKUP($A62&amp;$B62,'Sc5'!$A$299:$Z$2028,D$3,FALSE)</f>
        <v>2490.0271361597693</v>
      </c>
      <c r="E62" s="233">
        <f>VLOOKUP($A62&amp;$B62,'Sc5'!$A$299:$Z$2028,E$3,FALSE)</f>
        <v>15923.618783627639</v>
      </c>
      <c r="F62" s="233">
        <f>VLOOKUP($A62&amp;$B62,'Sc5'!$A$299:$Z$2028,F$3,FALSE)</f>
        <v>0</v>
      </c>
      <c r="G62" s="233">
        <f>VLOOKUP($A62&amp;$B62,'Sc5'!$A$299:$Z$2028,G$3,FALSE)</f>
        <v>0</v>
      </c>
      <c r="H62" s="233">
        <f>VLOOKUP($A62&amp;$B62,'Sc5'!$A$299:$Z$2028,H$3,FALSE)</f>
        <v>0</v>
      </c>
      <c r="I62" s="233">
        <f>VLOOKUP($A62&amp;$B62,'Sc5'!$A$299:$Z$2028,I$3,FALSE)</f>
        <v>0</v>
      </c>
      <c r="J62" s="167">
        <f>VLOOKUP($A62&amp;$B62,'Sc5'!$A$299:$Z$2028,J$3,FALSE)</f>
        <v>-15923.618783627639</v>
      </c>
      <c r="K62" s="164">
        <f>VLOOKUP($A62&amp;$B62,'Sc5'!$A$299:$Z$2028,K$3,FALSE)</f>
        <v>0</v>
      </c>
      <c r="L62" s="233">
        <f>VLOOKUP($A62&amp;$B62,'Sc5'!$A$299:$Z$2028,L$3,FALSE)</f>
        <v>0</v>
      </c>
      <c r="M62" s="278">
        <f>VLOOKUP($A62&amp;$B62,'Sc5'!$A$299:$Z$2028,M$3,FALSE)</f>
        <v>0</v>
      </c>
      <c r="N62" s="233">
        <f>VLOOKUP($A62&amp;$B62,'Sc5'!$A$299:$Z$2028,N$3,FALSE)</f>
        <v>0</v>
      </c>
      <c r="O62" s="278">
        <f>VLOOKUP($A62&amp;$B62,'Sc5'!$A$299:$Z$2028,O$3,FALSE)</f>
        <v>0</v>
      </c>
      <c r="P62" s="233">
        <f>VLOOKUP($A62&amp;$B62,'Sc5'!$A$299:$Z$2028,P$3,FALSE)</f>
        <v>0</v>
      </c>
      <c r="Q62" s="278">
        <f>VLOOKUP($A62&amp;$B62,'Sc5'!$A$299:$Z$2028,Q$3,FALSE)</f>
        <v>0</v>
      </c>
      <c r="R62" s="233">
        <f>VLOOKUP($A62&amp;$B62,'Sc5'!$A$299:$Z$2028,R$3,FALSE)</f>
        <v>0</v>
      </c>
      <c r="S62" s="278">
        <f>VLOOKUP($A62&amp;$B62,'Sc5'!$A$299:$Z$2028,S$3,FALSE)</f>
        <v>0</v>
      </c>
      <c r="T62" s="167">
        <f>VLOOKUP($A62&amp;$B62,'Sc5'!$A$299:$Z$2028,T$3,FALSE)</f>
        <v>0</v>
      </c>
    </row>
    <row r="63" spans="1:20" x14ac:dyDescent="0.3">
      <c r="A63" s="99" t="s">
        <v>4912</v>
      </c>
      <c r="B63" t="s">
        <v>5216</v>
      </c>
      <c r="C63" s="233">
        <f>VLOOKUP($A63&amp;$B63,'Sc5'!$A$299:$Z$2028,C$3,FALSE)</f>
        <v>3017.6174069102476</v>
      </c>
      <c r="D63" s="233">
        <f>VLOOKUP($A63&amp;$B63,'Sc5'!$A$299:$Z$2028,D$3,FALSE)</f>
        <v>1014.0635770177494</v>
      </c>
      <c r="E63" s="233">
        <f>VLOOKUP($A63&amp;$B63,'Sc5'!$A$299:$Z$2028,E$3,FALSE)</f>
        <v>4031.6809839279967</v>
      </c>
      <c r="F63" s="233">
        <f>VLOOKUP($A63&amp;$B63,'Sc5'!$A$299:$Z$2028,F$3,FALSE)</f>
        <v>860.94465773275579</v>
      </c>
      <c r="G63" s="233">
        <f>VLOOKUP($A63&amp;$B63,'Sc5'!$A$299:$Z$2028,G$3,FALSE)</f>
        <v>0</v>
      </c>
      <c r="H63" s="233">
        <f>VLOOKUP($A63&amp;$B63,'Sc5'!$A$299:$Z$2028,H$3,FALSE)</f>
        <v>0</v>
      </c>
      <c r="I63" s="233">
        <f>VLOOKUP($A63&amp;$B63,'Sc5'!$A$299:$Z$2028,I$3,FALSE)</f>
        <v>0</v>
      </c>
      <c r="J63" s="167">
        <f>VLOOKUP($A63&amp;$B63,'Sc5'!$A$299:$Z$2028,J$3,FALSE)</f>
        <v>-4031.6809839279967</v>
      </c>
      <c r="K63" s="164">
        <f>VLOOKUP($A63&amp;$B63,'Sc5'!$A$299:$Z$2028,K$3,FALSE)</f>
        <v>92.045831870967106</v>
      </c>
      <c r="L63" s="233">
        <f>VLOOKUP($A63&amp;$B63,'Sc5'!$A$299:$Z$2028,L$3,FALSE)</f>
        <v>6.3135770177494184</v>
      </c>
      <c r="M63" s="278">
        <f>VLOOKUP($A63&amp;$B63,'Sc5'!$A$299:$Z$2028,M$3,FALSE)</f>
        <v>0</v>
      </c>
      <c r="N63" s="233">
        <f>VLOOKUP($A63&amp;$B63,'Sc5'!$A$299:$Z$2028,N$3,FALSE)</f>
        <v>0</v>
      </c>
      <c r="O63" s="278">
        <f>VLOOKUP($A63&amp;$B63,'Sc5'!$A$299:$Z$2028,O$3,FALSE)</f>
        <v>0</v>
      </c>
      <c r="P63" s="233">
        <f>VLOOKUP($A63&amp;$B63,'Sc5'!$A$299:$Z$2028,P$3,FALSE)</f>
        <v>0</v>
      </c>
      <c r="Q63" s="278">
        <f>VLOOKUP($A63&amp;$B63,'Sc5'!$A$299:$Z$2028,Q$3,FALSE)</f>
        <v>0</v>
      </c>
      <c r="R63" s="233">
        <f>VLOOKUP($A63&amp;$B63,'Sc5'!$A$299:$Z$2028,R$3,FALSE)</f>
        <v>0</v>
      </c>
      <c r="S63" s="278">
        <f>VLOOKUP($A63&amp;$B63,'Sc5'!$A$299:$Z$2028,S$3,FALSE)</f>
        <v>0</v>
      </c>
      <c r="T63" s="167">
        <f>VLOOKUP($A63&amp;$B63,'Sc5'!$A$299:$Z$2028,T$3,FALSE)</f>
        <v>0</v>
      </c>
    </row>
    <row r="64" spans="1:20" x14ac:dyDescent="0.3">
      <c r="A64" s="99" t="s">
        <v>4912</v>
      </c>
      <c r="B64" t="s">
        <v>5202</v>
      </c>
      <c r="C64" s="233">
        <f>VLOOKUP($A64&amp;$B64,'Sc5'!$A$299:$Z$2028,C$3,FALSE)</f>
        <v>36058.869050214467</v>
      </c>
      <c r="D64" s="233">
        <f>VLOOKUP($A64&amp;$B64,'Sc5'!$A$299:$Z$2028,D$3,FALSE)</f>
        <v>14263.372252204907</v>
      </c>
      <c r="E64" s="233">
        <f>VLOOKUP($A64&amp;$B64,'Sc5'!$A$299:$Z$2028,E$3,FALSE)</f>
        <v>50322.241302419374</v>
      </c>
      <c r="F64" s="233">
        <f>VLOOKUP($A64&amp;$B64,'Sc5'!$A$299:$Z$2028,F$3,FALSE)</f>
        <v>0</v>
      </c>
      <c r="G64" s="233">
        <f>VLOOKUP($A64&amp;$B64,'Sc5'!$A$299:$Z$2028,G$3,FALSE)</f>
        <v>6233.3231634486147</v>
      </c>
      <c r="H64" s="233">
        <f>VLOOKUP($A64&amp;$B64,'Sc5'!$A$299:$Z$2028,H$3,FALSE)</f>
        <v>0</v>
      </c>
      <c r="I64" s="233">
        <f>VLOOKUP($A64&amp;$B64,'Sc5'!$A$299:$Z$2028,I$3,FALSE)</f>
        <v>0</v>
      </c>
      <c r="J64" s="167">
        <f>VLOOKUP($A64&amp;$B64,'Sc5'!$A$299:$Z$2028,J$3,FALSE)</f>
        <v>-50322.241302419374</v>
      </c>
      <c r="K64" s="164">
        <f>VLOOKUP($A64&amp;$B64,'Sc5'!$A$299:$Z$2028,K$3,FALSE)</f>
        <v>940.31230973063862</v>
      </c>
      <c r="L64" s="233">
        <f>VLOOKUP($A64&amp;$B64,'Sc5'!$A$299:$Z$2028,L$3,FALSE)</f>
        <v>64.49758851160739</v>
      </c>
      <c r="M64" s="278">
        <f>VLOOKUP($A64&amp;$B64,'Sc5'!$A$299:$Z$2028,M$3,FALSE)</f>
        <v>175.71719103442982</v>
      </c>
      <c r="N64" s="233">
        <f>VLOOKUP($A64&amp;$B64,'Sc5'!$A$299:$Z$2028,N$3,FALSE)</f>
        <v>649.53693894942035</v>
      </c>
      <c r="O64" s="278">
        <f>VLOOKUP($A64&amp;$B64,'Sc5'!$A$299:$Z$2028,O$3,FALSE)</f>
        <v>30.335242213921511</v>
      </c>
      <c r="P64" s="233">
        <f>VLOOKUP($A64&amp;$B64,'Sc5'!$A$299:$Z$2028,P$3,FALSE)</f>
        <v>717.731830781383</v>
      </c>
      <c r="Q64" s="278">
        <f>VLOOKUP($A64&amp;$B64,'Sc5'!$A$299:$Z$2028,Q$3,FALSE)</f>
        <v>0</v>
      </c>
      <c r="R64" s="233">
        <f>VLOOKUP($A64&amp;$B64,'Sc5'!$A$299:$Z$2028,R$3,FALSE)</f>
        <v>0</v>
      </c>
      <c r="S64" s="278">
        <f>VLOOKUP($A64&amp;$B64,'Sc5'!$A$299:$Z$2028,S$3,FALSE)</f>
        <v>30.335242213921511</v>
      </c>
      <c r="T64" s="167">
        <f>VLOOKUP($A64&amp;$B64,'Sc5'!$A$299:$Z$2028,T$3,FALSE)</f>
        <v>717.731830781383</v>
      </c>
    </row>
    <row r="65" spans="1:20" x14ac:dyDescent="0.3">
      <c r="A65" s="149" t="s">
        <v>4912</v>
      </c>
      <c r="B65" s="650" t="s">
        <v>5203</v>
      </c>
      <c r="C65" s="655">
        <f>VLOOKUP($A65&amp;$B65,'Sc5'!$A$299:$Z$2028,C$3,FALSE)</f>
        <v>53942.511612497787</v>
      </c>
      <c r="D65" s="655">
        <f>VLOOKUP($A65&amp;$B65,'Sc5'!$A$299:$Z$2028,D$3,FALSE)</f>
        <v>55509.024267126668</v>
      </c>
      <c r="E65" s="655">
        <f>VLOOKUP($A65&amp;$B65,'Sc5'!$A$299:$Z$2028,E$3,FALSE)</f>
        <v>109451.53587962445</v>
      </c>
      <c r="F65" s="655">
        <f>VLOOKUP($A65&amp;$B65,'Sc5'!$A$299:$Z$2028,F$3,FALSE)</f>
        <v>860.94465773275579</v>
      </c>
      <c r="G65" s="655">
        <f>VLOOKUP($A65&amp;$B65,'Sc5'!$A$299:$Z$2028,G$3,FALSE)</f>
        <v>6233.3231634486147</v>
      </c>
      <c r="H65" s="655">
        <f>VLOOKUP($A65&amp;$B65,'Sc5'!$A$299:$Z$2028,H$3,FALSE)</f>
        <v>0</v>
      </c>
      <c r="I65" s="655">
        <f>VLOOKUP($A65&amp;$B65,'Sc5'!$A$299:$Z$2028,I$3,FALSE)</f>
        <v>0</v>
      </c>
      <c r="J65" s="656">
        <f>VLOOKUP($A65&amp;$B65,'Sc5'!$A$299:$Z$2028,J$3,FALSE)</f>
        <v>-109451.53587962445</v>
      </c>
      <c r="K65" s="651">
        <f>VLOOKUP($A65&amp;$B65,'Sc5'!$A$299:$Z$2028,K$3,FALSE)</f>
        <v>1032.3581416016057</v>
      </c>
      <c r="L65" s="655">
        <f>VLOOKUP($A65&amp;$B65,'Sc5'!$A$299:$Z$2028,L$3,FALSE)</f>
        <v>70.811165529356813</v>
      </c>
      <c r="M65" s="652">
        <f>VLOOKUP($A65&amp;$B65,'Sc5'!$A$299:$Z$2028,M$3,FALSE)</f>
        <v>175.71719103442982</v>
      </c>
      <c r="N65" s="655">
        <f>VLOOKUP($A65&amp;$B65,'Sc5'!$A$299:$Z$2028,N$3,FALSE)</f>
        <v>649.53693894942035</v>
      </c>
      <c r="O65" s="652">
        <f>VLOOKUP($A65&amp;$B65,'Sc5'!$A$299:$Z$2028,O$3,FALSE)</f>
        <v>30.335242213921511</v>
      </c>
      <c r="P65" s="655">
        <f>VLOOKUP($A65&amp;$B65,'Sc5'!$A$299:$Z$2028,P$3,FALSE)</f>
        <v>717.731830781383</v>
      </c>
      <c r="Q65" s="652">
        <f>VLOOKUP($A65&amp;$B65,'Sc5'!$A$299:$Z$2028,Q$3,FALSE)</f>
        <v>0</v>
      </c>
      <c r="R65" s="655">
        <f>VLOOKUP($A65&amp;$B65,'Sc5'!$A$299:$Z$2028,R$3,FALSE)</f>
        <v>0</v>
      </c>
      <c r="S65" s="652">
        <f>VLOOKUP($A65&amp;$B65,'Sc5'!$A$299:$Z$2028,S$3,FALSE)</f>
        <v>30.335242213921511</v>
      </c>
      <c r="T65" s="656">
        <f>VLOOKUP($A65&amp;$B65,'Sc5'!$A$299:$Z$2028,T$3,FALSE)</f>
        <v>717.731830781383</v>
      </c>
    </row>
    <row r="67" spans="1:20" x14ac:dyDescent="0.3">
      <c r="A67" s="3023" t="s">
        <v>5217</v>
      </c>
      <c r="B67" s="3024"/>
      <c r="C67" s="3024"/>
      <c r="D67" s="3024"/>
      <c r="E67" s="3024"/>
      <c r="F67" s="3024"/>
      <c r="G67" s="3024"/>
      <c r="H67" s="3024"/>
      <c r="I67" s="3024"/>
      <c r="J67" s="3024"/>
      <c r="K67" s="3024"/>
      <c r="L67" s="3024"/>
      <c r="M67" s="3024"/>
      <c r="N67" s="3024"/>
      <c r="O67" s="3024"/>
      <c r="P67" s="3024"/>
      <c r="Q67" s="3024"/>
      <c r="R67" s="3024"/>
      <c r="S67" s="3024"/>
      <c r="T67" s="3025"/>
    </row>
    <row r="68" spans="1:20" ht="28.8" x14ac:dyDescent="0.3">
      <c r="A68" s="99"/>
      <c r="B68" s="82" t="s">
        <v>5187</v>
      </c>
      <c r="C68" s="82" t="s">
        <v>2585</v>
      </c>
      <c r="D68" s="82" t="s">
        <v>2588</v>
      </c>
      <c r="E68" s="82" t="s">
        <v>5188</v>
      </c>
      <c r="F68" s="82" t="s">
        <v>5189</v>
      </c>
      <c r="G68" s="82" t="s">
        <v>5190</v>
      </c>
      <c r="H68" s="82" t="s">
        <v>442</v>
      </c>
      <c r="I68" s="82" t="s">
        <v>5191</v>
      </c>
      <c r="J68" s="173" t="s">
        <v>439</v>
      </c>
      <c r="K68" s="661" t="s">
        <v>5192</v>
      </c>
      <c r="L68" s="281" t="s">
        <v>5193</v>
      </c>
      <c r="M68" s="663" t="s">
        <v>5194</v>
      </c>
      <c r="N68" s="281" t="s">
        <v>5195</v>
      </c>
      <c r="O68" s="663" t="s">
        <v>5196</v>
      </c>
      <c r="P68" s="281" t="s">
        <v>5197</v>
      </c>
      <c r="Q68" s="663" t="s">
        <v>5198</v>
      </c>
      <c r="R68" s="281" t="s">
        <v>5199</v>
      </c>
      <c r="S68" s="663" t="s">
        <v>5200</v>
      </c>
      <c r="T68" s="282" t="s">
        <v>5201</v>
      </c>
    </row>
    <row r="69" spans="1:20" x14ac:dyDescent="0.3">
      <c r="A69" s="99" t="s">
        <v>4917</v>
      </c>
      <c r="B69" t="s">
        <v>5209</v>
      </c>
      <c r="C69" s="233">
        <f>VLOOKUP($A69&amp;$B69,'Sc5'!$A$299:$Z$2028,C$3,FALSE)</f>
        <v>0</v>
      </c>
      <c r="D69" s="233">
        <f>VLOOKUP($A69&amp;$B69,'Sc5'!$A$299:$Z$2028,D$3,FALSE)</f>
        <v>37476.047923116217</v>
      </c>
      <c r="E69" s="233">
        <f>VLOOKUP($A69&amp;$B69,'Sc5'!$A$299:$Z$2028,E$3,FALSE)</f>
        <v>37476.047923116217</v>
      </c>
      <c r="F69" s="233">
        <f>VLOOKUP($A69&amp;$B69,'Sc5'!$A$299:$Z$2028,F$3,FALSE)</f>
        <v>0</v>
      </c>
      <c r="G69" s="233">
        <f>VLOOKUP($A69&amp;$B69,'Sc5'!$A$299:$Z$2028,G$3,FALSE)</f>
        <v>0</v>
      </c>
      <c r="H69" s="233">
        <f>VLOOKUP($A69&amp;$B69,'Sc5'!$A$299:$Z$2028,H$3,FALSE)</f>
        <v>0</v>
      </c>
      <c r="I69" s="233">
        <f>VLOOKUP($A69&amp;$B69,'Sc5'!$A$299:$Z$2028,I$3,FALSE)</f>
        <v>0</v>
      </c>
      <c r="J69" s="167">
        <f>VLOOKUP($A69&amp;$B69,'Sc5'!$A$299:$Z$2028,J$3,FALSE)</f>
        <v>-37476.047923116217</v>
      </c>
      <c r="K69" s="164">
        <f>VLOOKUP($A69&amp;$B69,'Sc5'!$A$299:$Z$2028,K$3,FALSE)</f>
        <v>0</v>
      </c>
      <c r="L69" s="233">
        <f>VLOOKUP($A69&amp;$B69,'Sc5'!$A$299:$Z$2028,L$3,FALSE)</f>
        <v>0</v>
      </c>
      <c r="M69" s="278">
        <f>VLOOKUP($A69&amp;$B69,'Sc5'!$A$299:$Z$2028,M$3,FALSE)</f>
        <v>0</v>
      </c>
      <c r="N69" s="233">
        <f>VLOOKUP($A69&amp;$B69,'Sc5'!$A$299:$Z$2028,N$3,FALSE)</f>
        <v>0</v>
      </c>
      <c r="O69" s="278">
        <f>VLOOKUP($A69&amp;$B69,'Sc5'!$A$299:$Z$2028,O$3,FALSE)</f>
        <v>0</v>
      </c>
      <c r="P69" s="233">
        <f>VLOOKUP($A69&amp;$B69,'Sc5'!$A$299:$Z$2028,P$3,FALSE)</f>
        <v>0</v>
      </c>
      <c r="Q69" s="278">
        <f>VLOOKUP($A69&amp;$B69,'Sc5'!$A$299:$Z$2028,Q$3,FALSE)</f>
        <v>0</v>
      </c>
      <c r="R69" s="233">
        <f>VLOOKUP($A69&amp;$B69,'Sc5'!$A$299:$Z$2028,R$3,FALSE)</f>
        <v>0</v>
      </c>
      <c r="S69" s="278">
        <f>VLOOKUP($A69&amp;$B69,'Sc5'!$A$299:$Z$2028,S$3,FALSE)</f>
        <v>0</v>
      </c>
      <c r="T69" s="167">
        <f>VLOOKUP($A69&amp;$B69,'Sc5'!$A$299:$Z$2028,T$3,FALSE)</f>
        <v>0</v>
      </c>
    </row>
    <row r="70" spans="1:20" x14ac:dyDescent="0.3">
      <c r="A70" s="99" t="s">
        <v>4917</v>
      </c>
      <c r="B70" t="s">
        <v>5210</v>
      </c>
      <c r="C70" s="233">
        <f>VLOOKUP($A70&amp;$B70,'Sc5'!$A$299:$Z$2028,C$3,FALSE)</f>
        <v>13433.591647467869</v>
      </c>
      <c r="D70" s="233">
        <f>VLOOKUP($A70&amp;$B70,'Sc5'!$A$299:$Z$2028,D$3,FALSE)</f>
        <v>2490.0271361597693</v>
      </c>
      <c r="E70" s="233">
        <f>VLOOKUP($A70&amp;$B70,'Sc5'!$A$299:$Z$2028,E$3,FALSE)</f>
        <v>15923.618783627639</v>
      </c>
      <c r="F70" s="233">
        <f>VLOOKUP($A70&amp;$B70,'Sc5'!$A$299:$Z$2028,F$3,FALSE)</f>
        <v>0</v>
      </c>
      <c r="G70" s="233">
        <f>VLOOKUP($A70&amp;$B70,'Sc5'!$A$299:$Z$2028,G$3,FALSE)</f>
        <v>0</v>
      </c>
      <c r="H70" s="233">
        <f>VLOOKUP($A70&amp;$B70,'Sc5'!$A$299:$Z$2028,H$3,FALSE)</f>
        <v>0</v>
      </c>
      <c r="I70" s="233">
        <f>VLOOKUP($A70&amp;$B70,'Sc5'!$A$299:$Z$2028,I$3,FALSE)</f>
        <v>0</v>
      </c>
      <c r="J70" s="167">
        <f>VLOOKUP($A70&amp;$B70,'Sc5'!$A$299:$Z$2028,J$3,FALSE)</f>
        <v>-15923.618783627639</v>
      </c>
      <c r="K70" s="164">
        <f>VLOOKUP($A70&amp;$B70,'Sc5'!$A$299:$Z$2028,K$3,FALSE)</f>
        <v>0</v>
      </c>
      <c r="L70" s="233">
        <f>VLOOKUP($A70&amp;$B70,'Sc5'!$A$299:$Z$2028,L$3,FALSE)</f>
        <v>0</v>
      </c>
      <c r="M70" s="278">
        <f>VLOOKUP($A70&amp;$B70,'Sc5'!$A$299:$Z$2028,M$3,FALSE)</f>
        <v>0</v>
      </c>
      <c r="N70" s="233">
        <f>VLOOKUP($A70&amp;$B70,'Sc5'!$A$299:$Z$2028,N$3,FALSE)</f>
        <v>0</v>
      </c>
      <c r="O70" s="278">
        <f>VLOOKUP($A70&amp;$B70,'Sc5'!$A$299:$Z$2028,O$3,FALSE)</f>
        <v>0</v>
      </c>
      <c r="P70" s="233">
        <f>VLOOKUP($A70&amp;$B70,'Sc5'!$A$299:$Z$2028,P$3,FALSE)</f>
        <v>0</v>
      </c>
      <c r="Q70" s="278">
        <f>VLOOKUP($A70&amp;$B70,'Sc5'!$A$299:$Z$2028,Q$3,FALSE)</f>
        <v>0</v>
      </c>
      <c r="R70" s="233">
        <f>VLOOKUP($A70&amp;$B70,'Sc5'!$A$299:$Z$2028,R$3,FALSE)</f>
        <v>0</v>
      </c>
      <c r="S70" s="278">
        <f>VLOOKUP($A70&amp;$B70,'Sc5'!$A$299:$Z$2028,S$3,FALSE)</f>
        <v>0</v>
      </c>
      <c r="T70" s="167">
        <f>VLOOKUP($A70&amp;$B70,'Sc5'!$A$299:$Z$2028,T$3,FALSE)</f>
        <v>0</v>
      </c>
    </row>
    <row r="71" spans="1:20" x14ac:dyDescent="0.3">
      <c r="A71" s="99" t="s">
        <v>4917</v>
      </c>
      <c r="B71" t="s">
        <v>5216</v>
      </c>
      <c r="C71" s="233">
        <f>VLOOKUP($A71&amp;$B71,'Sc5'!$A$299:$Z$2028,C$3,FALSE)</f>
        <v>3017.6174069102476</v>
      </c>
      <c r="D71" s="233">
        <f>VLOOKUP($A71&amp;$B71,'Sc5'!$A$299:$Z$2028,D$3,FALSE)</f>
        <v>1014.0635770177494</v>
      </c>
      <c r="E71" s="233">
        <f>VLOOKUP($A71&amp;$B71,'Sc5'!$A$299:$Z$2028,E$3,FALSE)</f>
        <v>4031.6809839279967</v>
      </c>
      <c r="F71" s="233">
        <f>VLOOKUP($A71&amp;$B71,'Sc5'!$A$299:$Z$2028,F$3,FALSE)</f>
        <v>860.94465773275579</v>
      </c>
      <c r="G71" s="233">
        <f>VLOOKUP($A71&amp;$B71,'Sc5'!$A$299:$Z$2028,G$3,FALSE)</f>
        <v>0</v>
      </c>
      <c r="H71" s="233">
        <f>VLOOKUP($A71&amp;$B71,'Sc5'!$A$299:$Z$2028,H$3,FALSE)</f>
        <v>0</v>
      </c>
      <c r="I71" s="233">
        <f>VLOOKUP($A71&amp;$B71,'Sc5'!$A$299:$Z$2028,I$3,FALSE)</f>
        <v>0</v>
      </c>
      <c r="J71" s="167">
        <f>VLOOKUP($A71&amp;$B71,'Sc5'!$A$299:$Z$2028,J$3,FALSE)</f>
        <v>-4031.6809839279967</v>
      </c>
      <c r="K71" s="164">
        <f>VLOOKUP($A71&amp;$B71,'Sc5'!$A$299:$Z$2028,K$3,FALSE)</f>
        <v>92.045831870967106</v>
      </c>
      <c r="L71" s="233">
        <f>VLOOKUP($A71&amp;$B71,'Sc5'!$A$299:$Z$2028,L$3,FALSE)</f>
        <v>6.3135770177494184</v>
      </c>
      <c r="M71" s="278">
        <f>VLOOKUP($A71&amp;$B71,'Sc5'!$A$299:$Z$2028,M$3,FALSE)</f>
        <v>0</v>
      </c>
      <c r="N71" s="233">
        <f>VLOOKUP($A71&amp;$B71,'Sc5'!$A$299:$Z$2028,N$3,FALSE)</f>
        <v>0</v>
      </c>
      <c r="O71" s="278">
        <f>VLOOKUP($A71&amp;$B71,'Sc5'!$A$299:$Z$2028,O$3,FALSE)</f>
        <v>0</v>
      </c>
      <c r="P71" s="233">
        <f>VLOOKUP($A71&amp;$B71,'Sc5'!$A$299:$Z$2028,P$3,FALSE)</f>
        <v>0</v>
      </c>
      <c r="Q71" s="278">
        <f>VLOOKUP($A71&amp;$B71,'Sc5'!$A$299:$Z$2028,Q$3,FALSE)</f>
        <v>0</v>
      </c>
      <c r="R71" s="233">
        <f>VLOOKUP($A71&amp;$B71,'Sc5'!$A$299:$Z$2028,R$3,FALSE)</f>
        <v>0</v>
      </c>
      <c r="S71" s="278">
        <f>VLOOKUP($A71&amp;$B71,'Sc5'!$A$299:$Z$2028,S$3,FALSE)</f>
        <v>0</v>
      </c>
      <c r="T71" s="167">
        <f>VLOOKUP($A71&amp;$B71,'Sc5'!$A$299:$Z$2028,T$3,FALSE)</f>
        <v>0</v>
      </c>
    </row>
    <row r="72" spans="1:20" x14ac:dyDescent="0.3">
      <c r="A72" s="99" t="s">
        <v>4917</v>
      </c>
      <c r="B72" t="s">
        <v>5205</v>
      </c>
      <c r="C72" s="233">
        <f>VLOOKUP($A72&amp;$B72,'Sc5'!$A$299:$Z$2028,C$3,FALSE)</f>
        <v>89851.557770849104</v>
      </c>
      <c r="D72" s="233">
        <f>VLOOKUP($A72&amp;$B72,'Sc5'!$A$299:$Z$2028,D$3,FALSE)</f>
        <v>31142.615620221601</v>
      </c>
      <c r="E72" s="233">
        <f>VLOOKUP($A72&amp;$B72,'Sc5'!$A$299:$Z$2028,E$3,FALSE)</f>
        <v>120994.17339107071</v>
      </c>
      <c r="F72" s="233">
        <f>VLOOKUP($A72&amp;$B72,'Sc5'!$A$299:$Z$2028,F$3,FALSE)</f>
        <v>0</v>
      </c>
      <c r="G72" s="233">
        <f>VLOOKUP($A72&amp;$B72,'Sc5'!$A$299:$Z$2028,G$3,FALSE)</f>
        <v>6233.3231634486147</v>
      </c>
      <c r="H72" s="233">
        <f>VLOOKUP($A72&amp;$B72,'Sc5'!$A$299:$Z$2028,H$3,FALSE)</f>
        <v>0</v>
      </c>
      <c r="I72" s="233">
        <f>VLOOKUP($A72&amp;$B72,'Sc5'!$A$299:$Z$2028,I$3,FALSE)</f>
        <v>0</v>
      </c>
      <c r="J72" s="167">
        <f>VLOOKUP($A72&amp;$B72,'Sc5'!$A$299:$Z$2028,J$3,FALSE)</f>
        <v>-120994.17339107071</v>
      </c>
      <c r="K72" s="164">
        <f>VLOOKUP($A72&amp;$B72,'Sc5'!$A$299:$Z$2028,K$3,FALSE)</f>
        <v>940.31230973063862</v>
      </c>
      <c r="L72" s="233">
        <f>VLOOKUP($A72&amp;$B72,'Sc5'!$A$299:$Z$2028,L$3,FALSE)</f>
        <v>64.49758851160739</v>
      </c>
      <c r="M72" s="278">
        <f>VLOOKUP($A72&amp;$B72,'Sc5'!$A$299:$Z$2028,M$3,FALSE)</f>
        <v>67.233447724780731</v>
      </c>
      <c r="N72" s="233">
        <f>VLOOKUP($A72&amp;$B72,'Sc5'!$A$299:$Z$2028,N$3,FALSE)</f>
        <v>248.52780523684316</v>
      </c>
      <c r="O72" s="278">
        <f>VLOOKUP($A72&amp;$B72,'Sc5'!$A$299:$Z$2028,O$3,FALSE)</f>
        <v>10.329263495158749</v>
      </c>
      <c r="P72" s="233">
        <f>VLOOKUP($A72&amp;$B72,'Sc5'!$A$299:$Z$2028,P$3,FALSE)</f>
        <v>244.39037429545596</v>
      </c>
      <c r="Q72" s="278">
        <f>VLOOKUP($A72&amp;$B72,'Sc5'!$A$299:$Z$2028,Q$3,FALSE)</f>
        <v>0</v>
      </c>
      <c r="R72" s="233">
        <f>VLOOKUP($A72&amp;$B72,'Sc5'!$A$299:$Z$2028,R$3,FALSE)</f>
        <v>0</v>
      </c>
      <c r="S72" s="278">
        <f>VLOOKUP($A72&amp;$B72,'Sc5'!$A$299:$Z$2028,S$3,FALSE)</f>
        <v>10.329263495158749</v>
      </c>
      <c r="T72" s="167">
        <f>VLOOKUP($A72&amp;$B72,'Sc5'!$A$299:$Z$2028,T$3,FALSE)</f>
        <v>244.39037429545596</v>
      </c>
    </row>
    <row r="73" spans="1:20" x14ac:dyDescent="0.3">
      <c r="A73" s="149" t="s">
        <v>4917</v>
      </c>
      <c r="B73" s="650" t="s">
        <v>5203</v>
      </c>
      <c r="C73" s="655">
        <f>VLOOKUP($A73&amp;$B73,'Sc5'!$A$299:$Z$2028,C$3,FALSE)</f>
        <v>107735.20033313242</v>
      </c>
      <c r="D73" s="655">
        <f>VLOOKUP($A73&amp;$B73,'Sc5'!$A$299:$Z$2028,D$3,FALSE)</f>
        <v>72388.267635143362</v>
      </c>
      <c r="E73" s="655">
        <f>VLOOKUP($A73&amp;$B73,'Sc5'!$A$299:$Z$2028,E$3,FALSE)</f>
        <v>180123.4679682758</v>
      </c>
      <c r="F73" s="655">
        <f>VLOOKUP($A73&amp;$B73,'Sc5'!$A$299:$Z$2028,F$3,FALSE)</f>
        <v>860.94465773275579</v>
      </c>
      <c r="G73" s="655">
        <f>VLOOKUP($A73&amp;$B73,'Sc5'!$A$299:$Z$2028,G$3,FALSE)</f>
        <v>6233.3231634486147</v>
      </c>
      <c r="H73" s="655">
        <f>VLOOKUP($A73&amp;$B73,'Sc5'!$A$299:$Z$2028,H$3,FALSE)</f>
        <v>0</v>
      </c>
      <c r="I73" s="655">
        <f>VLOOKUP($A73&amp;$B73,'Sc5'!$A$299:$Z$2028,I$3,FALSE)</f>
        <v>0</v>
      </c>
      <c r="J73" s="656">
        <f>VLOOKUP($A73&amp;$B73,'Sc5'!$A$299:$Z$2028,J$3,FALSE)</f>
        <v>-180123.4679682758</v>
      </c>
      <c r="K73" s="651">
        <f>VLOOKUP($A73&amp;$B73,'Sc5'!$A$299:$Z$2028,K$3,FALSE)</f>
        <v>1032.3581416016057</v>
      </c>
      <c r="L73" s="655">
        <f>VLOOKUP($A73&amp;$B73,'Sc5'!$A$299:$Z$2028,L$3,FALSE)</f>
        <v>70.811165529356813</v>
      </c>
      <c r="M73" s="652">
        <f>VLOOKUP($A73&amp;$B73,'Sc5'!$A$299:$Z$2028,M$3,FALSE)</f>
        <v>67.233447724780731</v>
      </c>
      <c r="N73" s="655">
        <f>VLOOKUP($A73&amp;$B73,'Sc5'!$A$299:$Z$2028,N$3,FALSE)</f>
        <v>248.52780523684316</v>
      </c>
      <c r="O73" s="652">
        <f>VLOOKUP($A73&amp;$B73,'Sc5'!$A$299:$Z$2028,O$3,FALSE)</f>
        <v>10.329263495158749</v>
      </c>
      <c r="P73" s="655">
        <f>VLOOKUP($A73&amp;$B73,'Sc5'!$A$299:$Z$2028,P$3,FALSE)</f>
        <v>244.39037429545596</v>
      </c>
      <c r="Q73" s="652">
        <f>VLOOKUP($A73&amp;$B73,'Sc5'!$A$299:$Z$2028,Q$3,FALSE)</f>
        <v>0</v>
      </c>
      <c r="R73" s="655">
        <f>VLOOKUP($A73&amp;$B73,'Sc5'!$A$299:$Z$2028,R$3,FALSE)</f>
        <v>0</v>
      </c>
      <c r="S73" s="652">
        <f>VLOOKUP($A73&amp;$B73,'Sc5'!$A$299:$Z$2028,S$3,FALSE)</f>
        <v>10.329263495158749</v>
      </c>
      <c r="T73" s="656">
        <f>VLOOKUP($A73&amp;$B73,'Sc5'!$A$299:$Z$2028,T$3,FALSE)</f>
        <v>244.39037429545596</v>
      </c>
    </row>
    <row r="75" spans="1:20" x14ac:dyDescent="0.3">
      <c r="A75" s="3020" t="s">
        <v>5218</v>
      </c>
      <c r="B75" s="3021"/>
      <c r="C75" s="3021"/>
      <c r="D75" s="3021"/>
      <c r="E75" s="3021"/>
      <c r="F75" s="3021"/>
      <c r="G75" s="3021"/>
      <c r="H75" s="3021"/>
      <c r="I75" s="3021"/>
      <c r="J75" s="3021"/>
      <c r="K75" s="3021"/>
      <c r="L75" s="3021"/>
      <c r="M75" s="3021"/>
      <c r="N75" s="3021"/>
      <c r="O75" s="3021"/>
      <c r="P75" s="3021"/>
      <c r="Q75" s="3021"/>
      <c r="R75" s="3021"/>
      <c r="S75" s="3021"/>
      <c r="T75" s="3022"/>
    </row>
    <row r="76" spans="1:20" ht="28.8" x14ac:dyDescent="0.3">
      <c r="A76" s="99"/>
      <c r="B76" s="82" t="s">
        <v>5187</v>
      </c>
      <c r="C76" s="82" t="s">
        <v>2585</v>
      </c>
      <c r="D76" s="82" t="s">
        <v>2588</v>
      </c>
      <c r="E76" s="82" t="s">
        <v>5188</v>
      </c>
      <c r="F76" s="82" t="s">
        <v>5189</v>
      </c>
      <c r="G76" s="82" t="s">
        <v>5190</v>
      </c>
      <c r="H76" s="82" t="s">
        <v>442</v>
      </c>
      <c r="I76" s="82" t="s">
        <v>5191</v>
      </c>
      <c r="J76" s="173" t="s">
        <v>439</v>
      </c>
      <c r="K76" s="661" t="s">
        <v>5192</v>
      </c>
      <c r="L76" s="281" t="s">
        <v>5193</v>
      </c>
      <c r="M76" s="663" t="s">
        <v>5194</v>
      </c>
      <c r="N76" s="281" t="s">
        <v>5195</v>
      </c>
      <c r="O76" s="663" t="s">
        <v>5196</v>
      </c>
      <c r="P76" s="281" t="s">
        <v>5197</v>
      </c>
      <c r="Q76" s="663" t="s">
        <v>5198</v>
      </c>
      <c r="R76" s="281" t="s">
        <v>5199</v>
      </c>
      <c r="S76" s="663" t="s">
        <v>5200</v>
      </c>
      <c r="T76" s="282" t="s">
        <v>5201</v>
      </c>
    </row>
    <row r="77" spans="1:20" x14ac:dyDescent="0.3">
      <c r="A77" s="99" t="s">
        <v>4912</v>
      </c>
      <c r="B77" t="s">
        <v>5209</v>
      </c>
      <c r="C77" s="233">
        <f>VLOOKUP($A77&amp;$B77,'Sc6'!$A$299:$Z$2032,C$3,FALSE)</f>
        <v>0</v>
      </c>
      <c r="D77" s="233">
        <f>VLOOKUP($A77&amp;$B77,'Sc6'!$A$299:$Z$2032,D$3,FALSE)</f>
        <v>217.84991231530387</v>
      </c>
      <c r="E77" s="233">
        <f>VLOOKUP($A77&amp;$B77,'Sc6'!$A$299:$Z$2032,E$3,FALSE)</f>
        <v>217.84991231530387</v>
      </c>
      <c r="F77" s="233">
        <f>VLOOKUP($A77&amp;$B77,'Sc6'!$A$299:$Z$2032,F$3,FALSE)</f>
        <v>0</v>
      </c>
      <c r="G77" s="233">
        <f>VLOOKUP($A77&amp;$B77,'Sc6'!$A$299:$Z$2032,G$3,FALSE)</f>
        <v>0</v>
      </c>
      <c r="H77" s="233">
        <f>VLOOKUP($A77&amp;$B77,'Sc6'!$A$299:$Z$2032,H$3,FALSE)</f>
        <v>0</v>
      </c>
      <c r="I77" s="233">
        <f>VLOOKUP($A77&amp;$B77,'Sc6'!$A$299:$Z$2032,I$3,FALSE)</f>
        <v>0</v>
      </c>
      <c r="J77" s="167">
        <f>VLOOKUP($A77&amp;$B77,'Sc6'!$A$299:$Z$2032,J$3,FALSE)</f>
        <v>-217.84991231530387</v>
      </c>
      <c r="K77" s="164">
        <f>VLOOKUP($A77&amp;$B77,'Sc6'!$A$299:$Z$2032,K$3,FALSE)</f>
        <v>0</v>
      </c>
      <c r="L77" s="233">
        <f>VLOOKUP($A77&amp;$B77,'Sc6'!$A$299:$Z$2032,L$3,FALSE)</f>
        <v>0</v>
      </c>
      <c r="M77" s="278">
        <f>VLOOKUP($A77&amp;$B77,'Sc6'!$A$299:$Z$2032,M$3,FALSE)</f>
        <v>0</v>
      </c>
      <c r="N77" s="233">
        <f>VLOOKUP($A77&amp;$B77,'Sc6'!$A$299:$Z$2032,N$3,FALSE)</f>
        <v>0</v>
      </c>
      <c r="O77" s="278">
        <f>VLOOKUP($A77&amp;$B77,'Sc6'!$A$299:$Z$2032,O$3,FALSE)</f>
        <v>0</v>
      </c>
      <c r="P77" s="233">
        <f>VLOOKUP($A77&amp;$B77,'Sc6'!$A$299:$Z$2032,P$3,FALSE)</f>
        <v>0</v>
      </c>
      <c r="Q77" s="278">
        <f>VLOOKUP($A77&amp;$B77,'Sc6'!$A$299:$Z$2032,Q$3,FALSE)</f>
        <v>0</v>
      </c>
      <c r="R77" s="233">
        <f>VLOOKUP($A77&amp;$B77,'Sc6'!$A$299:$Z$2032,R$3,FALSE)</f>
        <v>0</v>
      </c>
      <c r="S77" s="278">
        <f>VLOOKUP($A77&amp;$B77,'Sc6'!$A$299:$Z$2032,S$3,FALSE)</f>
        <v>0</v>
      </c>
      <c r="T77" s="167">
        <f>VLOOKUP($A77&amp;$B77,'Sc6'!$A$299:$Z$2032,T$3,FALSE)</f>
        <v>0</v>
      </c>
    </row>
    <row r="78" spans="1:20" x14ac:dyDescent="0.3">
      <c r="A78" s="99" t="s">
        <v>4912</v>
      </c>
      <c r="B78" t="s">
        <v>5219</v>
      </c>
      <c r="C78" s="233">
        <f>VLOOKUP($A78&amp;$B78,'Sc6'!$A$299:$Z$2032,C$3,FALSE)</f>
        <v>3756.3169475301229</v>
      </c>
      <c r="D78" s="233">
        <f>VLOOKUP($A78&amp;$B78,'Sc6'!$A$299:$Z$2032,D$3,FALSE)</f>
        <v>2024.7429898674507</v>
      </c>
      <c r="E78" s="233">
        <f>VLOOKUP($A78&amp;$B78,'Sc6'!$A$299:$Z$2032,E$3,FALSE)</f>
        <v>5781.0599373975738</v>
      </c>
      <c r="F78" s="233">
        <f>VLOOKUP($A78&amp;$B78,'Sc6'!$A$299:$Z$2032,F$3,FALSE)</f>
        <v>0</v>
      </c>
      <c r="G78" s="233">
        <f>VLOOKUP($A78&amp;$B78,'Sc6'!$A$299:$Z$2032,G$3,FALSE)</f>
        <v>0</v>
      </c>
      <c r="H78" s="233">
        <f>VLOOKUP($A78&amp;$B78,'Sc6'!$A$299:$Z$2032,H$3,FALSE)</f>
        <v>0</v>
      </c>
      <c r="I78" s="233">
        <f>VLOOKUP($A78&amp;$B78,'Sc6'!$A$299:$Z$2032,I$3,FALSE)</f>
        <v>0</v>
      </c>
      <c r="J78" s="167">
        <f>VLOOKUP($A78&amp;$B78,'Sc6'!$A$299:$Z$2032,J$3,FALSE)</f>
        <v>-5781.0599373975738</v>
      </c>
      <c r="K78" s="164">
        <f>VLOOKUP($A78&amp;$B78,'Sc6'!$A$299:$Z$2032,K$3,FALSE)</f>
        <v>1499.5858662098678</v>
      </c>
      <c r="L78" s="233">
        <f>VLOOKUP($A78&amp;$B78,'Sc6'!$A$299:$Z$2032,L$3,FALSE)</f>
        <v>102.85909387311185</v>
      </c>
      <c r="M78" s="278">
        <f>VLOOKUP($A78&amp;$B78,'Sc6'!$A$299:$Z$2032,M$3,FALSE)</f>
        <v>0</v>
      </c>
      <c r="N78" s="233">
        <f>VLOOKUP($A78&amp;$B78,'Sc6'!$A$299:$Z$2032,N$3,FALSE)</f>
        <v>0</v>
      </c>
      <c r="O78" s="278">
        <f>VLOOKUP($A78&amp;$B78,'Sc6'!$A$299:$Z$2032,O$3,FALSE)</f>
        <v>0</v>
      </c>
      <c r="P78" s="233">
        <f>VLOOKUP($A78&amp;$B78,'Sc6'!$A$299:$Z$2032,P$3,FALSE)</f>
        <v>0</v>
      </c>
      <c r="Q78" s="278">
        <f>VLOOKUP($A78&amp;$B78,'Sc6'!$A$299:$Z$2032,Q$3,FALSE)</f>
        <v>0</v>
      </c>
      <c r="R78" s="233">
        <f>VLOOKUP($A78&amp;$B78,'Sc6'!$A$299:$Z$2032,R$3,FALSE)</f>
        <v>0</v>
      </c>
      <c r="S78" s="278">
        <f>VLOOKUP($A78&amp;$B78,'Sc6'!$A$299:$Z$2032,S$3,FALSE)</f>
        <v>0</v>
      </c>
      <c r="T78" s="167">
        <f>VLOOKUP($A78&amp;$B78,'Sc6'!$A$299:$Z$2032,T$3,FALSE)</f>
        <v>0</v>
      </c>
    </row>
    <row r="79" spans="1:20" x14ac:dyDescent="0.3">
      <c r="A79" s="99" t="s">
        <v>4912</v>
      </c>
      <c r="B79" t="s">
        <v>5220</v>
      </c>
      <c r="C79" s="233">
        <f>VLOOKUP($A79&amp;$B79,'Sc6'!$A$299:$Z$2032,C$3,FALSE)</f>
        <v>281197.6051648162</v>
      </c>
      <c r="D79" s="233">
        <f>VLOOKUP($A79&amp;$B79,'Sc6'!$A$299:$Z$2032,D$3,FALSE)</f>
        <v>135952.85138749413</v>
      </c>
      <c r="E79" s="233">
        <f>VLOOKUP($A79&amp;$B79,'Sc6'!$A$299:$Z$2032,E$3,FALSE)</f>
        <v>417150.45655231032</v>
      </c>
      <c r="F79" s="233">
        <f>VLOOKUP($A79&amp;$B79,'Sc6'!$A$299:$Z$2032,F$3,FALSE)</f>
        <v>0</v>
      </c>
      <c r="G79" s="233">
        <f>VLOOKUP($A79&amp;$B79,'Sc6'!$A$299:$Z$2032,G$3,FALSE)</f>
        <v>0</v>
      </c>
      <c r="H79" s="233">
        <f>VLOOKUP($A79&amp;$B79,'Sc6'!$A$299:$Z$2032,H$3,FALSE)</f>
        <v>0</v>
      </c>
      <c r="I79" s="233">
        <f>VLOOKUP($A79&amp;$B79,'Sc6'!$A$299:$Z$2032,I$3,FALSE)</f>
        <v>0</v>
      </c>
      <c r="J79" s="167">
        <f>VLOOKUP($A79&amp;$B79,'Sc6'!$A$299:$Z$2032,J$3,FALSE)</f>
        <v>-417150.45655231032</v>
      </c>
      <c r="K79" s="164">
        <f>VLOOKUP($A79&amp;$B79,'Sc6'!$A$299:$Z$2032,K$3,FALSE)</f>
        <v>0</v>
      </c>
      <c r="L79" s="233">
        <f>VLOOKUP($A79&amp;$B79,'Sc6'!$A$299:$Z$2032,L$3,FALSE)</f>
        <v>0</v>
      </c>
      <c r="M79" s="278">
        <f>VLOOKUP($A79&amp;$B79,'Sc6'!$A$299:$Z$2032,M$3,FALSE)</f>
        <v>0</v>
      </c>
      <c r="N79" s="233">
        <f>VLOOKUP($A79&amp;$B79,'Sc6'!$A$299:$Z$2032,N$3,FALSE)</f>
        <v>0</v>
      </c>
      <c r="O79" s="278">
        <f>VLOOKUP($A79&amp;$B79,'Sc6'!$A$299:$Z$2032,O$3,FALSE)</f>
        <v>0</v>
      </c>
      <c r="P79" s="233">
        <f>VLOOKUP($A79&amp;$B79,'Sc6'!$A$299:$Z$2032,P$3,FALSE)</f>
        <v>0</v>
      </c>
      <c r="Q79" s="278">
        <f>VLOOKUP($A79&amp;$B79,'Sc6'!$A$299:$Z$2032,Q$3,FALSE)</f>
        <v>0</v>
      </c>
      <c r="R79" s="233">
        <f>VLOOKUP($A79&amp;$B79,'Sc6'!$A$299:$Z$2032,R$3,FALSE)</f>
        <v>0</v>
      </c>
      <c r="S79" s="278">
        <f>VLOOKUP($A79&amp;$B79,'Sc6'!$A$299:$Z$2032,S$3,FALSE)</f>
        <v>0</v>
      </c>
      <c r="T79" s="167">
        <f>VLOOKUP($A79&amp;$B79,'Sc6'!$A$299:$Z$2032,T$3,FALSE)</f>
        <v>0</v>
      </c>
    </row>
    <row r="80" spans="1:20" x14ac:dyDescent="0.3">
      <c r="A80" s="99" t="s">
        <v>4912</v>
      </c>
      <c r="B80" t="s">
        <v>5210</v>
      </c>
      <c r="C80" s="233">
        <f>VLOOKUP($A80&amp;$B80,'Sc6'!$A$299:$Z$2032,C$3,FALSE)</f>
        <v>10450.363362243077</v>
      </c>
      <c r="D80" s="233">
        <f>VLOOKUP($A80&amp;$B80,'Sc6'!$A$299:$Z$2032,D$3,FALSE)</f>
        <v>1937.0611402811251</v>
      </c>
      <c r="E80" s="233">
        <f>VLOOKUP($A80&amp;$B80,'Sc6'!$A$299:$Z$2032,E$3,FALSE)</f>
        <v>12387.424502524202</v>
      </c>
      <c r="F80" s="233">
        <f>VLOOKUP($A80&amp;$B80,'Sc6'!$A$299:$Z$2032,F$3,FALSE)</f>
        <v>0</v>
      </c>
      <c r="G80" s="233">
        <f>VLOOKUP($A80&amp;$B80,'Sc6'!$A$299:$Z$2032,G$3,FALSE)</f>
        <v>0</v>
      </c>
      <c r="H80" s="233">
        <f>VLOOKUP($A80&amp;$B80,'Sc6'!$A$299:$Z$2032,H$3,FALSE)</f>
        <v>0</v>
      </c>
      <c r="I80" s="233">
        <f>VLOOKUP($A80&amp;$B80,'Sc6'!$A$299:$Z$2032,I$3,FALSE)</f>
        <v>0</v>
      </c>
      <c r="J80" s="167">
        <f>VLOOKUP($A80&amp;$B80,'Sc6'!$A$299:$Z$2032,J$3,FALSE)</f>
        <v>-12387.424502524202</v>
      </c>
      <c r="K80" s="164">
        <f>VLOOKUP($A80&amp;$B80,'Sc6'!$A$299:$Z$2032,K$3,FALSE)</f>
        <v>0</v>
      </c>
      <c r="L80" s="233">
        <f>VLOOKUP($A80&amp;$B80,'Sc6'!$A$299:$Z$2032,L$3,FALSE)</f>
        <v>0</v>
      </c>
      <c r="M80" s="278">
        <f>VLOOKUP($A80&amp;$B80,'Sc6'!$A$299:$Z$2032,M$3,FALSE)</f>
        <v>0</v>
      </c>
      <c r="N80" s="233">
        <f>VLOOKUP($A80&amp;$B80,'Sc6'!$A$299:$Z$2032,N$3,FALSE)</f>
        <v>0</v>
      </c>
      <c r="O80" s="278">
        <f>VLOOKUP($A80&amp;$B80,'Sc6'!$A$299:$Z$2032,O$3,FALSE)</f>
        <v>0</v>
      </c>
      <c r="P80" s="233">
        <f>VLOOKUP($A80&amp;$B80,'Sc6'!$A$299:$Z$2032,P$3,FALSE)</f>
        <v>0</v>
      </c>
      <c r="Q80" s="278">
        <f>VLOOKUP($A80&amp;$B80,'Sc6'!$A$299:$Z$2032,Q$3,FALSE)</f>
        <v>0</v>
      </c>
      <c r="R80" s="233">
        <f>VLOOKUP($A80&amp;$B80,'Sc6'!$A$299:$Z$2032,R$3,FALSE)</f>
        <v>0</v>
      </c>
      <c r="S80" s="278">
        <f>VLOOKUP($A80&amp;$B80,'Sc6'!$A$299:$Z$2032,S$3,FALSE)</f>
        <v>0</v>
      </c>
      <c r="T80" s="167">
        <f>VLOOKUP($A80&amp;$B80,'Sc6'!$A$299:$Z$2032,T$3,FALSE)</f>
        <v>0</v>
      </c>
    </row>
    <row r="81" spans="1:20" x14ac:dyDescent="0.3">
      <c r="A81" s="99" t="s">
        <v>4912</v>
      </c>
      <c r="B81" t="s">
        <v>5211</v>
      </c>
      <c r="C81" s="233">
        <f>VLOOKUP($A81&amp;$B81,'Sc6'!$A$299:$Z$2032,C$3,FALSE)</f>
        <v>3017.6174069102476</v>
      </c>
      <c r="D81" s="233">
        <f>VLOOKUP($A81&amp;$B81,'Sc6'!$A$299:$Z$2032,D$3,FALSE)</f>
        <v>1085.2004420208236</v>
      </c>
      <c r="E81" s="233">
        <f>VLOOKUP($A81&amp;$B81,'Sc6'!$A$299:$Z$2032,E$3,FALSE)</f>
        <v>4102.8178489310712</v>
      </c>
      <c r="F81" s="233">
        <f>VLOOKUP($A81&amp;$B81,'Sc6'!$A$299:$Z$2032,F$3,FALSE)</f>
        <v>10561.452582174725</v>
      </c>
      <c r="G81" s="233">
        <f>VLOOKUP($A81&amp;$B81,'Sc6'!$A$299:$Z$2032,G$3,FALSE)</f>
        <v>0</v>
      </c>
      <c r="H81" s="233">
        <f>VLOOKUP($A81&amp;$B81,'Sc6'!$A$299:$Z$2032,H$3,FALSE)</f>
        <v>0</v>
      </c>
      <c r="I81" s="233">
        <f>VLOOKUP($A81&amp;$B81,'Sc6'!$A$299:$Z$2032,I$3,FALSE)</f>
        <v>0</v>
      </c>
      <c r="J81" s="167">
        <f>VLOOKUP($A81&amp;$B81,'Sc6'!$A$299:$Z$2032,J$3,FALSE)</f>
        <v>-4102.8178489310712</v>
      </c>
      <c r="K81" s="164">
        <f>VLOOKUP($A81&amp;$B81,'Sc6'!$A$299:$Z$2032,K$3,FALSE)</f>
        <v>1129.152356031932</v>
      </c>
      <c r="L81" s="233">
        <f>VLOOKUP($A81&amp;$B81,'Sc6'!$A$299:$Z$2032,L$3,FALSE)</f>
        <v>77.450442020823601</v>
      </c>
      <c r="M81" s="278">
        <f>VLOOKUP($A81&amp;$B81,'Sc6'!$A$299:$Z$2032,M$3,FALSE)</f>
        <v>0</v>
      </c>
      <c r="N81" s="233">
        <f>VLOOKUP($A81&amp;$B81,'Sc6'!$A$299:$Z$2032,N$3,FALSE)</f>
        <v>0</v>
      </c>
      <c r="O81" s="278">
        <f>VLOOKUP($A81&amp;$B81,'Sc6'!$A$299:$Z$2032,O$3,FALSE)</f>
        <v>0</v>
      </c>
      <c r="P81" s="233">
        <f>VLOOKUP($A81&amp;$B81,'Sc6'!$A$299:$Z$2032,P$3,FALSE)</f>
        <v>0</v>
      </c>
      <c r="Q81" s="278">
        <f>VLOOKUP($A81&amp;$B81,'Sc6'!$A$299:$Z$2032,Q$3,FALSE)</f>
        <v>0</v>
      </c>
      <c r="R81" s="233">
        <f>VLOOKUP($A81&amp;$B81,'Sc6'!$A$299:$Z$2032,R$3,FALSE)</f>
        <v>0</v>
      </c>
      <c r="S81" s="278">
        <f>VLOOKUP($A81&amp;$B81,'Sc6'!$A$299:$Z$2032,S$3,FALSE)</f>
        <v>0</v>
      </c>
      <c r="T81" s="167">
        <f>VLOOKUP($A81&amp;$B81,'Sc6'!$A$299:$Z$2032,T$3,FALSE)</f>
        <v>0</v>
      </c>
    </row>
    <row r="82" spans="1:20" x14ac:dyDescent="0.3">
      <c r="A82" s="99" t="s">
        <v>4912</v>
      </c>
      <c r="B82" t="s">
        <v>5202</v>
      </c>
      <c r="C82" s="233">
        <f>VLOOKUP($A82&amp;$B82,'Sc6'!$A$299:$Z$2032,C$3,FALSE)</f>
        <v>35629.220780100601</v>
      </c>
      <c r="D82" s="233">
        <f>VLOOKUP($A82&amp;$B82,'Sc6'!$A$299:$Z$2032,D$3,FALSE)</f>
        <v>14063.713085206346</v>
      </c>
      <c r="E82" s="233">
        <f>VLOOKUP($A82&amp;$B82,'Sc6'!$A$299:$Z$2032,E$3,FALSE)</f>
        <v>49692.933865306943</v>
      </c>
      <c r="F82" s="233">
        <f>VLOOKUP($A82&amp;$B82,'Sc6'!$A$299:$Z$2032,F$3,FALSE)</f>
        <v>0</v>
      </c>
      <c r="G82" s="233">
        <f>VLOOKUP($A82&amp;$B82,'Sc6'!$A$299:$Z$2032,G$3,FALSE)</f>
        <v>5773.5935150743935</v>
      </c>
      <c r="H82" s="233">
        <f>VLOOKUP($A82&amp;$B82,'Sc6'!$A$299:$Z$2032,H$3,FALSE)</f>
        <v>0</v>
      </c>
      <c r="I82" s="233">
        <f>VLOOKUP($A82&amp;$B82,'Sc6'!$A$299:$Z$2032,I$3,FALSE)</f>
        <v>0</v>
      </c>
      <c r="J82" s="167">
        <f>VLOOKUP($A82&amp;$B82,'Sc6'!$A$299:$Z$2032,J$3,FALSE)</f>
        <v>-49692.933865306943</v>
      </c>
      <c r="K82" s="164">
        <f>VLOOKUP($A82&amp;$B82,'Sc6'!$A$299:$Z$2032,K$3,FALSE)</f>
        <v>934.64729834049092</v>
      </c>
      <c r="L82" s="233">
        <f>VLOOKUP($A82&amp;$B82,'Sc6'!$A$299:$Z$2032,L$3,FALSE)</f>
        <v>64.109015938671504</v>
      </c>
      <c r="M82" s="278">
        <f>VLOOKUP($A82&amp;$B82,'Sc6'!$A$299:$Z$2032,M$3,FALSE)</f>
        <v>177.61872680194526</v>
      </c>
      <c r="N82" s="233">
        <f>VLOOKUP($A82&amp;$B82,'Sc6'!$A$299:$Z$2032,N$3,FALSE)</f>
        <v>656.56594797502453</v>
      </c>
      <c r="O82" s="278">
        <f>VLOOKUP($A82&amp;$B82,'Sc6'!$A$299:$Z$2032,O$3,FALSE)</f>
        <v>29.444950974763977</v>
      </c>
      <c r="P82" s="233">
        <f>VLOOKUP($A82&amp;$B82,'Sc6'!$A$299:$Z$2032,P$3,FALSE)</f>
        <v>696.66754006291569</v>
      </c>
      <c r="Q82" s="278">
        <f>VLOOKUP($A82&amp;$B82,'Sc6'!$A$299:$Z$2032,Q$3,FALSE)</f>
        <v>0</v>
      </c>
      <c r="R82" s="233">
        <f>VLOOKUP($A82&amp;$B82,'Sc6'!$A$299:$Z$2032,R$3,FALSE)</f>
        <v>0</v>
      </c>
      <c r="S82" s="278">
        <f>VLOOKUP($A82&amp;$B82,'Sc6'!$A$299:$Z$2032,S$3,FALSE)</f>
        <v>29.444950974763977</v>
      </c>
      <c r="T82" s="167">
        <f>VLOOKUP($A82&amp;$B82,'Sc6'!$A$299:$Z$2032,T$3,FALSE)</f>
        <v>696.66754006291569</v>
      </c>
    </row>
    <row r="83" spans="1:20" x14ac:dyDescent="0.3">
      <c r="A83" s="149" t="s">
        <v>4912</v>
      </c>
      <c r="B83" s="650" t="s">
        <v>5203</v>
      </c>
      <c r="C83" s="655">
        <f>VLOOKUP($A83&amp;$B83,'Sc6'!$A$299:$Z$2032,C$3,FALSE)</f>
        <v>335159.39860668185</v>
      </c>
      <c r="D83" s="655">
        <f>VLOOKUP($A83&amp;$B83,'Sc6'!$A$299:$Z$2032,D$3,FALSE)</f>
        <v>155486.84686954092</v>
      </c>
      <c r="E83" s="655">
        <f>VLOOKUP($A83&amp;$B83,'Sc6'!$A$299:$Z$2032,E$3,FALSE)</f>
        <v>490646.24547622289</v>
      </c>
      <c r="F83" s="655">
        <f>VLOOKUP($A83&amp;$B83,'Sc6'!$A$299:$Z$2032,F$3,FALSE)</f>
        <v>10561.452582174725</v>
      </c>
      <c r="G83" s="655">
        <f>VLOOKUP($A83&amp;$B83,'Sc6'!$A$299:$Z$2032,G$3,FALSE)</f>
        <v>5773.5935150743935</v>
      </c>
      <c r="H83" s="655">
        <f>VLOOKUP($A83&amp;$B83,'Sc6'!$A$299:$Z$2032,H$3,FALSE)</f>
        <v>0</v>
      </c>
      <c r="I83" s="655">
        <f>VLOOKUP($A83&amp;$B83,'Sc6'!$A$299:$Z$2032,I$3,FALSE)</f>
        <v>0</v>
      </c>
      <c r="J83" s="656">
        <f>VLOOKUP($A83&amp;$B83,'Sc6'!$A$299:$Z$2032,J$3,FALSE)</f>
        <v>-490646.24547622289</v>
      </c>
      <c r="K83" s="651">
        <f>VLOOKUP($A83&amp;$B83,'Sc6'!$A$299:$Z$2032,K$3,FALSE)</f>
        <v>3563.3855205822911</v>
      </c>
      <c r="L83" s="655">
        <f>VLOOKUP($A83&amp;$B83,'Sc6'!$A$299:$Z$2032,L$3,FALSE)</f>
        <v>244.41855183260697</v>
      </c>
      <c r="M83" s="652">
        <f>VLOOKUP($A83&amp;$B83,'Sc6'!$A$299:$Z$2032,M$3,FALSE)</f>
        <v>177.61872680194526</v>
      </c>
      <c r="N83" s="655">
        <f>VLOOKUP($A83&amp;$B83,'Sc6'!$A$299:$Z$2032,N$3,FALSE)</f>
        <v>656.56594797502453</v>
      </c>
      <c r="O83" s="652">
        <f>VLOOKUP($A83&amp;$B83,'Sc6'!$A$299:$Z$2032,O$3,FALSE)</f>
        <v>29.444950974763977</v>
      </c>
      <c r="P83" s="655">
        <f>VLOOKUP($A83&amp;$B83,'Sc6'!$A$299:$Z$2032,P$3,FALSE)</f>
        <v>696.66754006291569</v>
      </c>
      <c r="Q83" s="652">
        <f>VLOOKUP($A83&amp;$B83,'Sc6'!$A$299:$Z$2032,Q$3,FALSE)</f>
        <v>0</v>
      </c>
      <c r="R83" s="655">
        <f>VLOOKUP($A83&amp;$B83,'Sc6'!$A$299:$Z$2032,R$3,FALSE)</f>
        <v>0</v>
      </c>
      <c r="S83" s="652">
        <f>VLOOKUP($A83&amp;$B83,'Sc6'!$A$299:$Z$2032,S$3,FALSE)</f>
        <v>29.444950974763977</v>
      </c>
      <c r="T83" s="656">
        <f>VLOOKUP($A83&amp;$B83,'Sc6'!$A$299:$Z$2032,T$3,FALSE)</f>
        <v>696.66754006291569</v>
      </c>
    </row>
    <row r="85" spans="1:20" x14ac:dyDescent="0.3">
      <c r="A85" s="3023" t="s">
        <v>5221</v>
      </c>
      <c r="B85" s="3024"/>
      <c r="C85" s="3024"/>
      <c r="D85" s="3024"/>
      <c r="E85" s="3024"/>
      <c r="F85" s="3024"/>
      <c r="G85" s="3024"/>
      <c r="H85" s="3024"/>
      <c r="I85" s="3024"/>
      <c r="J85" s="3024"/>
      <c r="K85" s="3024"/>
      <c r="L85" s="3024"/>
      <c r="M85" s="3024"/>
      <c r="N85" s="3024"/>
      <c r="O85" s="3024"/>
      <c r="P85" s="3024"/>
      <c r="Q85" s="3024"/>
      <c r="R85" s="3024"/>
      <c r="S85" s="3024"/>
      <c r="T85" s="3025"/>
    </row>
    <row r="86" spans="1:20" ht="28.8" x14ac:dyDescent="0.3">
      <c r="A86" s="99"/>
      <c r="B86" s="82" t="s">
        <v>5187</v>
      </c>
      <c r="C86" s="82" t="s">
        <v>2585</v>
      </c>
      <c r="D86" s="82" t="s">
        <v>2588</v>
      </c>
      <c r="E86" s="82" t="s">
        <v>5188</v>
      </c>
      <c r="F86" s="82" t="s">
        <v>5189</v>
      </c>
      <c r="G86" s="82" t="s">
        <v>5190</v>
      </c>
      <c r="H86" s="82" t="s">
        <v>442</v>
      </c>
      <c r="I86" s="82" t="s">
        <v>5191</v>
      </c>
      <c r="J86" s="173" t="s">
        <v>439</v>
      </c>
      <c r="K86" s="661" t="s">
        <v>5192</v>
      </c>
      <c r="L86" s="281" t="s">
        <v>5193</v>
      </c>
      <c r="M86" s="663" t="s">
        <v>5194</v>
      </c>
      <c r="N86" s="281" t="s">
        <v>5195</v>
      </c>
      <c r="O86" s="663" t="s">
        <v>5196</v>
      </c>
      <c r="P86" s="281" t="s">
        <v>5197</v>
      </c>
      <c r="Q86" s="663" t="s">
        <v>5198</v>
      </c>
      <c r="R86" s="281" t="s">
        <v>5199</v>
      </c>
      <c r="S86" s="663" t="s">
        <v>5200</v>
      </c>
      <c r="T86" s="282" t="s">
        <v>5201</v>
      </c>
    </row>
    <row r="87" spans="1:20" x14ac:dyDescent="0.3">
      <c r="A87" s="99" t="s">
        <v>4917</v>
      </c>
      <c r="B87" t="s">
        <v>5209</v>
      </c>
      <c r="C87" s="233">
        <f>VLOOKUP($A87&amp;$B87,'Sc6'!$A$299:$Z$2032,C$3,FALSE)</f>
        <v>0</v>
      </c>
      <c r="D87" s="233">
        <f>VLOOKUP($A87&amp;$B87,'Sc6'!$A$299:$Z$2032,D$3,FALSE)</f>
        <v>217.84991231530387</v>
      </c>
      <c r="E87" s="233">
        <f>VLOOKUP($A87&amp;$B87,'Sc6'!$A$299:$Z$2032,E$3,FALSE)</f>
        <v>217.84991231530387</v>
      </c>
      <c r="F87" s="233">
        <f>VLOOKUP($A87&amp;$B87,'Sc6'!$A$299:$Z$2032,F$3,FALSE)</f>
        <v>0</v>
      </c>
      <c r="G87" s="233">
        <f>VLOOKUP($A87&amp;$B87,'Sc6'!$A$299:$Z$2032,G$3,FALSE)</f>
        <v>0</v>
      </c>
      <c r="H87" s="233">
        <f>VLOOKUP($A87&amp;$B87,'Sc6'!$A$299:$Z$2032,H$3,FALSE)</f>
        <v>0</v>
      </c>
      <c r="I87" s="233">
        <f>VLOOKUP($A87&amp;$B87,'Sc6'!$A$299:$Z$2032,I$3,FALSE)</f>
        <v>0</v>
      </c>
      <c r="J87" s="167">
        <f>VLOOKUP($A87&amp;$B87,'Sc6'!$A$299:$Z$2032,J$3,FALSE)</f>
        <v>-217.84991231530387</v>
      </c>
      <c r="K87" s="164">
        <f>VLOOKUP($A87&amp;$B87,'Sc6'!$A$299:$Z$2032,K$3,FALSE)</f>
        <v>0</v>
      </c>
      <c r="L87" s="233">
        <f>VLOOKUP($A87&amp;$B87,'Sc6'!$A$299:$Z$2032,L$3,FALSE)</f>
        <v>0</v>
      </c>
      <c r="M87" s="278">
        <f>VLOOKUP($A87&amp;$B87,'Sc6'!$A$299:$Z$2032,M$3,FALSE)</f>
        <v>0</v>
      </c>
      <c r="N87" s="233">
        <f>VLOOKUP($A87&amp;$B87,'Sc6'!$A$299:$Z$2032,N$3,FALSE)</f>
        <v>0</v>
      </c>
      <c r="O87" s="278">
        <f>VLOOKUP($A87&amp;$B87,'Sc6'!$A$299:$Z$2032,O$3,FALSE)</f>
        <v>0</v>
      </c>
      <c r="P87" s="233">
        <f>VLOOKUP($A87&amp;$B87,'Sc6'!$A$299:$Z$2032,P$3,FALSE)</f>
        <v>0</v>
      </c>
      <c r="Q87" s="278">
        <f>VLOOKUP($A87&amp;$B87,'Sc6'!$A$299:$Z$2032,Q$3,FALSE)</f>
        <v>0</v>
      </c>
      <c r="R87" s="233">
        <f>VLOOKUP($A87&amp;$B87,'Sc6'!$A$299:$Z$2032,R$3,FALSE)</f>
        <v>0</v>
      </c>
      <c r="S87" s="278">
        <f>VLOOKUP($A87&amp;$B87,'Sc6'!$A$299:$Z$2032,S$3,FALSE)</f>
        <v>0</v>
      </c>
      <c r="T87" s="167">
        <f>VLOOKUP($A87&amp;$B87,'Sc6'!$A$299:$Z$2032,T$3,FALSE)</f>
        <v>0</v>
      </c>
    </row>
    <row r="88" spans="1:20" x14ac:dyDescent="0.3">
      <c r="A88" s="99" t="s">
        <v>4917</v>
      </c>
      <c r="B88" t="s">
        <v>5219</v>
      </c>
      <c r="C88" s="233">
        <f>VLOOKUP($A88&amp;$B88,'Sc6'!$A$299:$Z$2032,C$3,FALSE)</f>
        <v>3756.3169475301229</v>
      </c>
      <c r="D88" s="233">
        <f>VLOOKUP($A88&amp;$B88,'Sc6'!$A$299:$Z$2032,D$3,FALSE)</f>
        <v>2024.7429898674507</v>
      </c>
      <c r="E88" s="233">
        <f>VLOOKUP($A88&amp;$B88,'Sc6'!$A$299:$Z$2032,E$3,FALSE)</f>
        <v>5781.0599373975738</v>
      </c>
      <c r="F88" s="233">
        <f>VLOOKUP($A88&amp;$B88,'Sc6'!$A$299:$Z$2032,F$3,FALSE)</f>
        <v>0</v>
      </c>
      <c r="G88" s="233">
        <f>VLOOKUP($A88&amp;$B88,'Sc6'!$A$299:$Z$2032,G$3,FALSE)</f>
        <v>0</v>
      </c>
      <c r="H88" s="233">
        <f>VLOOKUP($A88&amp;$B88,'Sc6'!$A$299:$Z$2032,H$3,FALSE)</f>
        <v>0</v>
      </c>
      <c r="I88" s="233">
        <f>VLOOKUP($A88&amp;$B88,'Sc6'!$A$299:$Z$2032,I$3,FALSE)</f>
        <v>0</v>
      </c>
      <c r="J88" s="167">
        <f>VLOOKUP($A88&amp;$B88,'Sc6'!$A$299:$Z$2032,J$3,FALSE)</f>
        <v>-5781.0599373975738</v>
      </c>
      <c r="K88" s="164">
        <f>VLOOKUP($A88&amp;$B88,'Sc6'!$A$299:$Z$2032,K$3,FALSE)</f>
        <v>1499.5858662098678</v>
      </c>
      <c r="L88" s="233">
        <f>VLOOKUP($A88&amp;$B88,'Sc6'!$A$299:$Z$2032,L$3,FALSE)</f>
        <v>102.85909387311185</v>
      </c>
      <c r="M88" s="278">
        <f>VLOOKUP($A88&amp;$B88,'Sc6'!$A$299:$Z$2032,M$3,FALSE)</f>
        <v>0</v>
      </c>
      <c r="N88" s="233">
        <f>VLOOKUP($A88&amp;$B88,'Sc6'!$A$299:$Z$2032,N$3,FALSE)</f>
        <v>0</v>
      </c>
      <c r="O88" s="278">
        <f>VLOOKUP($A88&amp;$B88,'Sc6'!$A$299:$Z$2032,O$3,FALSE)</f>
        <v>0</v>
      </c>
      <c r="P88" s="233">
        <f>VLOOKUP($A88&amp;$B88,'Sc6'!$A$299:$Z$2032,P$3,FALSE)</f>
        <v>0</v>
      </c>
      <c r="Q88" s="278">
        <f>VLOOKUP($A88&amp;$B88,'Sc6'!$A$299:$Z$2032,Q$3,FALSE)</f>
        <v>0</v>
      </c>
      <c r="R88" s="233">
        <f>VLOOKUP($A88&amp;$B88,'Sc6'!$A$299:$Z$2032,R$3,FALSE)</f>
        <v>0</v>
      </c>
      <c r="S88" s="278">
        <f>VLOOKUP($A88&amp;$B88,'Sc6'!$A$299:$Z$2032,S$3,FALSE)</f>
        <v>0</v>
      </c>
      <c r="T88" s="167">
        <f>VLOOKUP($A88&amp;$B88,'Sc6'!$A$299:$Z$2032,T$3,FALSE)</f>
        <v>0</v>
      </c>
    </row>
    <row r="89" spans="1:20" x14ac:dyDescent="0.3">
      <c r="A89" s="99" t="s">
        <v>4917</v>
      </c>
      <c r="B89" t="s">
        <v>5220</v>
      </c>
      <c r="C89" s="233">
        <f>VLOOKUP($A89&amp;$B89,'Sc6'!$A$299:$Z$2032,C$3,FALSE)</f>
        <v>281197.6051648162</v>
      </c>
      <c r="D89" s="233">
        <f>VLOOKUP($A89&amp;$B89,'Sc6'!$A$299:$Z$2032,D$3,FALSE)</f>
        <v>135952.85138749413</v>
      </c>
      <c r="E89" s="233">
        <f>VLOOKUP($A89&amp;$B89,'Sc6'!$A$299:$Z$2032,E$3,FALSE)</f>
        <v>417150.45655231032</v>
      </c>
      <c r="F89" s="233">
        <f>VLOOKUP($A89&amp;$B89,'Sc6'!$A$299:$Z$2032,F$3,FALSE)</f>
        <v>0</v>
      </c>
      <c r="G89" s="233">
        <f>VLOOKUP($A89&amp;$B89,'Sc6'!$A$299:$Z$2032,G$3,FALSE)</f>
        <v>0</v>
      </c>
      <c r="H89" s="233">
        <f>VLOOKUP($A89&amp;$B89,'Sc6'!$A$299:$Z$2032,H$3,FALSE)</f>
        <v>0</v>
      </c>
      <c r="I89" s="233">
        <f>VLOOKUP($A89&amp;$B89,'Sc6'!$A$299:$Z$2032,I$3,FALSE)</f>
        <v>0</v>
      </c>
      <c r="J89" s="167">
        <f>VLOOKUP($A89&amp;$B89,'Sc6'!$A$299:$Z$2032,J$3,FALSE)</f>
        <v>-417150.45655231032</v>
      </c>
      <c r="K89" s="164">
        <f>VLOOKUP($A89&amp;$B89,'Sc6'!$A$299:$Z$2032,K$3,FALSE)</f>
        <v>0</v>
      </c>
      <c r="L89" s="233">
        <f>VLOOKUP($A89&amp;$B89,'Sc6'!$A$299:$Z$2032,L$3,FALSE)</f>
        <v>0</v>
      </c>
      <c r="M89" s="278">
        <f>VLOOKUP($A89&amp;$B89,'Sc6'!$A$299:$Z$2032,M$3,FALSE)</f>
        <v>0</v>
      </c>
      <c r="N89" s="233">
        <f>VLOOKUP($A89&amp;$B89,'Sc6'!$A$299:$Z$2032,N$3,FALSE)</f>
        <v>0</v>
      </c>
      <c r="O89" s="278">
        <f>VLOOKUP($A89&amp;$B89,'Sc6'!$A$299:$Z$2032,O$3,FALSE)</f>
        <v>0</v>
      </c>
      <c r="P89" s="233">
        <f>VLOOKUP($A89&amp;$B89,'Sc6'!$A$299:$Z$2032,P$3,FALSE)</f>
        <v>0</v>
      </c>
      <c r="Q89" s="278">
        <f>VLOOKUP($A89&amp;$B89,'Sc6'!$A$299:$Z$2032,Q$3,FALSE)</f>
        <v>0</v>
      </c>
      <c r="R89" s="233">
        <f>VLOOKUP($A89&amp;$B89,'Sc6'!$A$299:$Z$2032,R$3,FALSE)</f>
        <v>0</v>
      </c>
      <c r="S89" s="278">
        <f>VLOOKUP($A89&amp;$B89,'Sc6'!$A$299:$Z$2032,S$3,FALSE)</f>
        <v>0</v>
      </c>
      <c r="T89" s="167">
        <f>VLOOKUP($A89&amp;$B89,'Sc6'!$A$299:$Z$2032,T$3,FALSE)</f>
        <v>0</v>
      </c>
    </row>
    <row r="90" spans="1:20" x14ac:dyDescent="0.3">
      <c r="A90" s="99" t="s">
        <v>4917</v>
      </c>
      <c r="B90" t="s">
        <v>5210</v>
      </c>
      <c r="C90" s="233">
        <f>VLOOKUP($A90&amp;$B90,'Sc6'!$A$299:$Z$2032,C$3,FALSE)</f>
        <v>10450.363362243077</v>
      </c>
      <c r="D90" s="233">
        <f>VLOOKUP($A90&amp;$B90,'Sc6'!$A$299:$Z$2032,D$3,FALSE)</f>
        <v>1937.0611402811251</v>
      </c>
      <c r="E90" s="233">
        <f>VLOOKUP($A90&amp;$B90,'Sc6'!$A$299:$Z$2032,E$3,FALSE)</f>
        <v>12387.424502524202</v>
      </c>
      <c r="F90" s="233">
        <f>VLOOKUP($A90&amp;$B90,'Sc6'!$A$299:$Z$2032,F$3,FALSE)</f>
        <v>0</v>
      </c>
      <c r="G90" s="233">
        <f>VLOOKUP($A90&amp;$B90,'Sc6'!$A$299:$Z$2032,G$3,FALSE)</f>
        <v>0</v>
      </c>
      <c r="H90" s="233">
        <f>VLOOKUP($A90&amp;$B90,'Sc6'!$A$299:$Z$2032,H$3,FALSE)</f>
        <v>0</v>
      </c>
      <c r="I90" s="233">
        <f>VLOOKUP($A90&amp;$B90,'Sc6'!$A$299:$Z$2032,I$3,FALSE)</f>
        <v>0</v>
      </c>
      <c r="J90" s="167">
        <f>VLOOKUP($A90&amp;$B90,'Sc6'!$A$299:$Z$2032,J$3,FALSE)</f>
        <v>-12387.424502524202</v>
      </c>
      <c r="K90" s="164">
        <f>VLOOKUP($A90&amp;$B90,'Sc6'!$A$299:$Z$2032,K$3,FALSE)</f>
        <v>0</v>
      </c>
      <c r="L90" s="233">
        <f>VLOOKUP($A90&amp;$B90,'Sc6'!$A$299:$Z$2032,L$3,FALSE)</f>
        <v>0</v>
      </c>
      <c r="M90" s="278">
        <f>VLOOKUP($A90&amp;$B90,'Sc6'!$A$299:$Z$2032,M$3,FALSE)</f>
        <v>0</v>
      </c>
      <c r="N90" s="233">
        <f>VLOOKUP($A90&amp;$B90,'Sc6'!$A$299:$Z$2032,N$3,FALSE)</f>
        <v>0</v>
      </c>
      <c r="O90" s="278">
        <f>VLOOKUP($A90&amp;$B90,'Sc6'!$A$299:$Z$2032,O$3,FALSE)</f>
        <v>0</v>
      </c>
      <c r="P90" s="233">
        <f>VLOOKUP($A90&amp;$B90,'Sc6'!$A$299:$Z$2032,P$3,FALSE)</f>
        <v>0</v>
      </c>
      <c r="Q90" s="278">
        <f>VLOOKUP($A90&amp;$B90,'Sc6'!$A$299:$Z$2032,Q$3,FALSE)</f>
        <v>0</v>
      </c>
      <c r="R90" s="233">
        <f>VLOOKUP($A90&amp;$B90,'Sc6'!$A$299:$Z$2032,R$3,FALSE)</f>
        <v>0</v>
      </c>
      <c r="S90" s="278">
        <f>VLOOKUP($A90&amp;$B90,'Sc6'!$A$299:$Z$2032,S$3,FALSE)</f>
        <v>0</v>
      </c>
      <c r="T90" s="167">
        <f>VLOOKUP($A90&amp;$B90,'Sc6'!$A$299:$Z$2032,T$3,FALSE)</f>
        <v>0</v>
      </c>
    </row>
    <row r="91" spans="1:20" x14ac:dyDescent="0.3">
      <c r="A91" s="99" t="s">
        <v>4917</v>
      </c>
      <c r="B91" t="s">
        <v>5211</v>
      </c>
      <c r="C91" s="233">
        <f>VLOOKUP($A91&amp;$B91,'Sc6'!$A$299:$Z$2032,C$3,FALSE)</f>
        <v>3017.6174069102476</v>
      </c>
      <c r="D91" s="233">
        <f>VLOOKUP($A91&amp;$B91,'Sc6'!$A$299:$Z$2032,D$3,FALSE)</f>
        <v>1085.2004420208236</v>
      </c>
      <c r="E91" s="233">
        <f>VLOOKUP($A91&amp;$B91,'Sc6'!$A$299:$Z$2032,E$3,FALSE)</f>
        <v>4102.8178489310712</v>
      </c>
      <c r="F91" s="233">
        <f>VLOOKUP($A91&amp;$B91,'Sc6'!$A$299:$Z$2032,F$3,FALSE)</f>
        <v>10561.452582174725</v>
      </c>
      <c r="G91" s="233">
        <f>VLOOKUP($A91&amp;$B91,'Sc6'!$A$299:$Z$2032,G$3,FALSE)</f>
        <v>0</v>
      </c>
      <c r="H91" s="233">
        <f>VLOOKUP($A91&amp;$B91,'Sc6'!$A$299:$Z$2032,H$3,FALSE)</f>
        <v>0</v>
      </c>
      <c r="I91" s="233">
        <f>VLOOKUP($A91&amp;$B91,'Sc6'!$A$299:$Z$2032,I$3,FALSE)</f>
        <v>0</v>
      </c>
      <c r="J91" s="167">
        <f>VLOOKUP($A91&amp;$B91,'Sc6'!$A$299:$Z$2032,J$3,FALSE)</f>
        <v>-4102.8178489310712</v>
      </c>
      <c r="K91" s="164">
        <f>VLOOKUP($A91&amp;$B91,'Sc6'!$A$299:$Z$2032,K$3,FALSE)</f>
        <v>1129.152356031932</v>
      </c>
      <c r="L91" s="233">
        <f>VLOOKUP($A91&amp;$B91,'Sc6'!$A$299:$Z$2032,L$3,FALSE)</f>
        <v>77.450442020823601</v>
      </c>
      <c r="M91" s="278">
        <f>VLOOKUP($A91&amp;$B91,'Sc6'!$A$299:$Z$2032,M$3,FALSE)</f>
        <v>0</v>
      </c>
      <c r="N91" s="233">
        <f>VLOOKUP($A91&amp;$B91,'Sc6'!$A$299:$Z$2032,N$3,FALSE)</f>
        <v>0</v>
      </c>
      <c r="O91" s="278">
        <f>VLOOKUP($A91&amp;$B91,'Sc6'!$A$299:$Z$2032,O$3,FALSE)</f>
        <v>0</v>
      </c>
      <c r="P91" s="233">
        <f>VLOOKUP($A91&amp;$B91,'Sc6'!$A$299:$Z$2032,P$3,FALSE)</f>
        <v>0</v>
      </c>
      <c r="Q91" s="278">
        <f>VLOOKUP($A91&amp;$B91,'Sc6'!$A$299:$Z$2032,Q$3,FALSE)</f>
        <v>0</v>
      </c>
      <c r="R91" s="233">
        <f>VLOOKUP($A91&amp;$B91,'Sc6'!$A$299:$Z$2032,R$3,FALSE)</f>
        <v>0</v>
      </c>
      <c r="S91" s="278">
        <f>VLOOKUP($A91&amp;$B91,'Sc6'!$A$299:$Z$2032,S$3,FALSE)</f>
        <v>0</v>
      </c>
      <c r="T91" s="167">
        <f>VLOOKUP($A91&amp;$B91,'Sc6'!$A$299:$Z$2032,T$3,FALSE)</f>
        <v>0</v>
      </c>
    </row>
    <row r="92" spans="1:20" x14ac:dyDescent="0.3">
      <c r="A92" s="99" t="s">
        <v>4917</v>
      </c>
      <c r="B92" t="s">
        <v>5205</v>
      </c>
      <c r="C92" s="233">
        <f>VLOOKUP($A92&amp;$B92,'Sc6'!$A$299:$Z$2032,C$3,FALSE)</f>
        <v>93193.833795776212</v>
      </c>
      <c r="D92" s="233">
        <f>VLOOKUP($A92&amp;$B92,'Sc6'!$A$299:$Z$2032,D$3,FALSE)</f>
        <v>35028.344537621997</v>
      </c>
      <c r="E92" s="233">
        <f>VLOOKUP($A92&amp;$B92,'Sc6'!$A$299:$Z$2032,E$3,FALSE)</f>
        <v>128222.17833339822</v>
      </c>
      <c r="F92" s="233">
        <f>VLOOKUP($A92&amp;$B92,'Sc6'!$A$299:$Z$2032,F$3,FALSE)</f>
        <v>0</v>
      </c>
      <c r="G92" s="233">
        <f>VLOOKUP($A92&amp;$B92,'Sc6'!$A$299:$Z$2032,G$3,FALSE)</f>
        <v>5773.5935150743935</v>
      </c>
      <c r="H92" s="233">
        <f>VLOOKUP($A92&amp;$B92,'Sc6'!$A$299:$Z$2032,H$3,FALSE)</f>
        <v>0</v>
      </c>
      <c r="I92" s="233">
        <f>VLOOKUP($A92&amp;$B92,'Sc6'!$A$299:$Z$2032,I$3,FALSE)</f>
        <v>0</v>
      </c>
      <c r="J92" s="167">
        <f>VLOOKUP($A92&amp;$B92,'Sc6'!$A$299:$Z$2032,J$3,FALSE)</f>
        <v>-128222.17833339822</v>
      </c>
      <c r="K92" s="164">
        <f>VLOOKUP($A92&amp;$B92,'Sc6'!$A$299:$Z$2032,K$3,FALSE)</f>
        <v>934.64729834049092</v>
      </c>
      <c r="L92" s="233">
        <f>VLOOKUP($A92&amp;$B92,'Sc6'!$A$299:$Z$2032,L$3,FALSE)</f>
        <v>64.109015938671504</v>
      </c>
      <c r="M92" s="278">
        <f>VLOOKUP($A92&amp;$B92,'Sc6'!$A$299:$Z$2032,M$3,FALSE)</f>
        <v>68.243645858903875</v>
      </c>
      <c r="N92" s="233">
        <f>VLOOKUP($A92&amp;$B92,'Sc6'!$A$299:$Z$2032,N$3,FALSE)</f>
        <v>252.26199310945836</v>
      </c>
      <c r="O92" s="278">
        <f>VLOOKUP($A92&amp;$B92,'Sc6'!$A$299:$Z$2032,O$3,FALSE)</f>
        <v>140.80318105284178</v>
      </c>
      <c r="P92" s="233">
        <f>VLOOKUP($A92&amp;$B92,'Sc6'!$A$299:$Z$2032,P$3,FALSE)</f>
        <v>3331.4032637102364</v>
      </c>
      <c r="Q92" s="278">
        <f>VLOOKUP($A92&amp;$B92,'Sc6'!$A$299:$Z$2032,Q$3,FALSE)</f>
        <v>0</v>
      </c>
      <c r="R92" s="233">
        <f>VLOOKUP($A92&amp;$B92,'Sc6'!$A$299:$Z$2032,R$3,FALSE)</f>
        <v>0</v>
      </c>
      <c r="S92" s="278">
        <f>VLOOKUP($A92&amp;$B92,'Sc6'!$A$299:$Z$2032,S$3,FALSE)</f>
        <v>140.80318105284178</v>
      </c>
      <c r="T92" s="167">
        <f>VLOOKUP($A92&amp;$B92,'Sc6'!$A$299:$Z$2032,T$3,FALSE)</f>
        <v>3331.4032637102364</v>
      </c>
    </row>
    <row r="93" spans="1:20" x14ac:dyDescent="0.3">
      <c r="A93" s="149" t="s">
        <v>4917</v>
      </c>
      <c r="B93" s="650" t="s">
        <v>5203</v>
      </c>
      <c r="C93" s="655">
        <f>VLOOKUP($A93&amp;$B93,'Sc6'!$A$299:$Z$2032,C$3,FALSE)</f>
        <v>392724.01162235742</v>
      </c>
      <c r="D93" s="655">
        <f>VLOOKUP($A93&amp;$B93,'Sc6'!$A$299:$Z$2032,D$3,FALSE)</f>
        <v>176451.47832195659</v>
      </c>
      <c r="E93" s="655">
        <f>VLOOKUP($A93&amp;$B93,'Sc6'!$A$299:$Z$2032,E$3,FALSE)</f>
        <v>569175.48994431412</v>
      </c>
      <c r="F93" s="655">
        <f>VLOOKUP($A93&amp;$B93,'Sc6'!$A$299:$Z$2032,F$3,FALSE)</f>
        <v>10561.452582174725</v>
      </c>
      <c r="G93" s="655">
        <f>VLOOKUP($A93&amp;$B93,'Sc6'!$A$299:$Z$2032,G$3,FALSE)</f>
        <v>5773.5935150743935</v>
      </c>
      <c r="H93" s="655">
        <f>VLOOKUP($A93&amp;$B93,'Sc6'!$A$299:$Z$2032,H$3,FALSE)</f>
        <v>0</v>
      </c>
      <c r="I93" s="655">
        <f>VLOOKUP($A93&amp;$B93,'Sc6'!$A$299:$Z$2032,I$3,FALSE)</f>
        <v>0</v>
      </c>
      <c r="J93" s="656">
        <f>VLOOKUP($A93&amp;$B93,'Sc6'!$A$299:$Z$2032,J$3,FALSE)</f>
        <v>-569175.48994431412</v>
      </c>
      <c r="K93" s="651">
        <f>VLOOKUP($A93&amp;$B93,'Sc6'!$A$299:$Z$2032,K$3,FALSE)</f>
        <v>3563.3855205822911</v>
      </c>
      <c r="L93" s="655">
        <f>VLOOKUP($A93&amp;$B93,'Sc6'!$A$299:$Z$2032,L$3,FALSE)</f>
        <v>244.41855183260697</v>
      </c>
      <c r="M93" s="652">
        <f>VLOOKUP($A93&amp;$B93,'Sc6'!$A$299:$Z$2032,M$3,FALSE)</f>
        <v>68.243645858903875</v>
      </c>
      <c r="N93" s="655">
        <f>VLOOKUP($A93&amp;$B93,'Sc6'!$A$299:$Z$2032,N$3,FALSE)</f>
        <v>252.26199310945836</v>
      </c>
      <c r="O93" s="652">
        <f>VLOOKUP($A93&amp;$B93,'Sc6'!$A$299:$Z$2032,O$3,FALSE)</f>
        <v>140.80318105284178</v>
      </c>
      <c r="P93" s="655">
        <f>VLOOKUP($A93&amp;$B93,'Sc6'!$A$299:$Z$2032,P$3,FALSE)</f>
        <v>3331.4032637102364</v>
      </c>
      <c r="Q93" s="652">
        <f>VLOOKUP($A93&amp;$B93,'Sc6'!$A$299:$Z$2032,Q$3,FALSE)</f>
        <v>0</v>
      </c>
      <c r="R93" s="655">
        <f>VLOOKUP($A93&amp;$B93,'Sc6'!$A$299:$Z$2032,R$3,FALSE)</f>
        <v>0</v>
      </c>
      <c r="S93" s="652">
        <f>VLOOKUP($A93&amp;$B93,'Sc6'!$A$299:$Z$2032,S$3,FALSE)</f>
        <v>140.80318105284178</v>
      </c>
      <c r="T93" s="656">
        <f>VLOOKUP($A93&amp;$B93,'Sc6'!$A$299:$Z$2032,T$3,FALSE)</f>
        <v>3331.4032637102364</v>
      </c>
    </row>
    <row r="95" spans="1:20" x14ac:dyDescent="0.3">
      <c r="A95" s="3020" t="s">
        <v>5222</v>
      </c>
      <c r="B95" s="3021"/>
      <c r="C95" s="3021"/>
      <c r="D95" s="3021"/>
      <c r="E95" s="3021"/>
      <c r="F95" s="3021"/>
      <c r="G95" s="3021"/>
      <c r="H95" s="3021"/>
      <c r="I95" s="3021"/>
      <c r="J95" s="3021"/>
      <c r="K95" s="3021"/>
      <c r="L95" s="3021"/>
      <c r="M95" s="3021"/>
      <c r="N95" s="3021"/>
      <c r="O95" s="3021"/>
      <c r="P95" s="3021"/>
      <c r="Q95" s="3021"/>
      <c r="R95" s="3021"/>
      <c r="S95" s="3021"/>
      <c r="T95" s="3022"/>
    </row>
    <row r="96" spans="1:20" ht="28.8" x14ac:dyDescent="0.3">
      <c r="A96" s="99"/>
      <c r="B96" s="82" t="s">
        <v>5187</v>
      </c>
      <c r="C96" s="82" t="s">
        <v>2585</v>
      </c>
      <c r="D96" s="82" t="s">
        <v>2588</v>
      </c>
      <c r="E96" s="82" t="s">
        <v>5188</v>
      </c>
      <c r="F96" s="82" t="s">
        <v>5189</v>
      </c>
      <c r="G96" s="82" t="s">
        <v>5190</v>
      </c>
      <c r="H96" s="82" t="s">
        <v>442</v>
      </c>
      <c r="I96" s="82" t="s">
        <v>5191</v>
      </c>
      <c r="J96" s="173" t="s">
        <v>439</v>
      </c>
      <c r="K96" s="661" t="s">
        <v>5192</v>
      </c>
      <c r="L96" s="281" t="s">
        <v>5193</v>
      </c>
      <c r="M96" s="663" t="s">
        <v>5194</v>
      </c>
      <c r="N96" s="281" t="s">
        <v>5195</v>
      </c>
      <c r="O96" s="663" t="s">
        <v>5196</v>
      </c>
      <c r="P96" s="281" t="s">
        <v>5197</v>
      </c>
      <c r="Q96" s="663" t="s">
        <v>5198</v>
      </c>
      <c r="R96" s="281" t="s">
        <v>5199</v>
      </c>
      <c r="S96" s="663" t="s">
        <v>5200</v>
      </c>
      <c r="T96" s="282" t="s">
        <v>5201</v>
      </c>
    </row>
    <row r="97" spans="1:20" x14ac:dyDescent="0.3">
      <c r="A97" s="99" t="s">
        <v>4912</v>
      </c>
      <c r="B97" t="s">
        <v>5209</v>
      </c>
      <c r="C97" s="233">
        <f>VLOOKUP($A97&amp;$B97,'Sc7'!$A$299:$Z$2030,C$3,FALSE)</f>
        <v>0</v>
      </c>
      <c r="D97" s="233">
        <f>VLOOKUP($A97&amp;$B97,'Sc7'!$A$299:$Z$2030,D$3,FALSE)</f>
        <v>217.84991231530387</v>
      </c>
      <c r="E97" s="233">
        <f>VLOOKUP($A97&amp;$B97,'Sc7'!$A$299:$Z$2030,E$3,FALSE)</f>
        <v>217.84991231530387</v>
      </c>
      <c r="F97" s="233">
        <f>VLOOKUP($A97&amp;$B97,'Sc7'!$A$299:$Z$2030,F$3,FALSE)</f>
        <v>0</v>
      </c>
      <c r="G97" s="233">
        <f>VLOOKUP($A97&amp;$B97,'Sc7'!$A$299:$Z$2030,G$3,FALSE)</f>
        <v>0</v>
      </c>
      <c r="H97" s="233">
        <f>VLOOKUP($A97&amp;$B97,'Sc7'!$A$299:$Z$2030,H$3,FALSE)</f>
        <v>0</v>
      </c>
      <c r="I97" s="233">
        <f>VLOOKUP($A97&amp;$B97,'Sc7'!$A$299:$Z$2030,I$3,FALSE)</f>
        <v>0</v>
      </c>
      <c r="J97" s="167">
        <f>VLOOKUP($A97&amp;$B97,'Sc7'!$A$299:$Z$2030,J$3,FALSE)</f>
        <v>-217.84991231530387</v>
      </c>
      <c r="K97" s="164">
        <f>VLOOKUP($A97&amp;$B97,'Sc7'!$A$299:$Z$2030,K$3,FALSE)</f>
        <v>0</v>
      </c>
      <c r="L97" s="233">
        <f>VLOOKUP($A97&amp;$B97,'Sc7'!$A$299:$Z$2030,L$3,FALSE)</f>
        <v>0</v>
      </c>
      <c r="M97" s="278">
        <f>VLOOKUP($A97&amp;$B97,'Sc7'!$A$299:$Z$2030,M$3,FALSE)</f>
        <v>0</v>
      </c>
      <c r="N97" s="233">
        <f>VLOOKUP($A97&amp;$B97,'Sc7'!$A$299:$Z$2030,N$3,FALSE)</f>
        <v>0</v>
      </c>
      <c r="O97" s="278">
        <f>VLOOKUP($A97&amp;$B97,'Sc7'!$A$299:$Z$2030,O$3,FALSE)</f>
        <v>0</v>
      </c>
      <c r="P97" s="233">
        <f>VLOOKUP($A97&amp;$B97,'Sc7'!$A$299:$Z$2030,P$3,FALSE)</f>
        <v>0</v>
      </c>
      <c r="Q97" s="278">
        <f>VLOOKUP($A97&amp;$B97,'Sc7'!$A$299:$Z$2030,Q$3,FALSE)</f>
        <v>0</v>
      </c>
      <c r="R97" s="233">
        <f>VLOOKUP($A97&amp;$B97,'Sc7'!$A$299:$Z$2030,R$3,FALSE)</f>
        <v>0</v>
      </c>
      <c r="S97" s="278">
        <f>VLOOKUP($A97&amp;$B97,'Sc7'!$A$299:$Z$2030,S$3,FALSE)</f>
        <v>0</v>
      </c>
      <c r="T97" s="167">
        <f>VLOOKUP($A97&amp;$B97,'Sc7'!$A$299:$Z$2030,T$3,FALSE)</f>
        <v>0</v>
      </c>
    </row>
    <row r="98" spans="1:20" x14ac:dyDescent="0.3">
      <c r="A98" s="99" t="s">
        <v>4912</v>
      </c>
      <c r="B98" t="s">
        <v>5223</v>
      </c>
      <c r="C98" s="233">
        <f>VLOOKUP($A98&amp;$B98,'Sc7'!$A$299:$Z$2030,C$3,FALSE)</f>
        <v>6707.1567934021641</v>
      </c>
      <c r="D98" s="233">
        <f>VLOOKUP($A98&amp;$B98,'Sc7'!$A$299:$Z$2030,D$3,FALSE)</f>
        <v>3245.8344510558195</v>
      </c>
      <c r="E98" s="233">
        <f>VLOOKUP($A98&amp;$B98,'Sc7'!$A$299:$Z$2030,E$3,FALSE)</f>
        <v>9952.9912444579841</v>
      </c>
      <c r="F98" s="233">
        <f>VLOOKUP($A98&amp;$B98,'Sc7'!$A$299:$Z$2030,F$3,FALSE)</f>
        <v>0</v>
      </c>
      <c r="G98" s="233">
        <f>VLOOKUP($A98&amp;$B98,'Sc7'!$A$299:$Z$2030,G$3,FALSE)</f>
        <v>0</v>
      </c>
      <c r="H98" s="233">
        <f>VLOOKUP($A98&amp;$B98,'Sc7'!$A$299:$Z$2030,H$3,FALSE)</f>
        <v>0</v>
      </c>
      <c r="I98" s="233">
        <f>VLOOKUP($A98&amp;$B98,'Sc7'!$A$299:$Z$2030,I$3,FALSE)</f>
        <v>0</v>
      </c>
      <c r="J98" s="167">
        <f>VLOOKUP($A98&amp;$B98,'Sc7'!$A$299:$Z$2030,J$3,FALSE)</f>
        <v>-9952.9912444579841</v>
      </c>
      <c r="K98" s="164">
        <f>VLOOKUP($A98&amp;$B98,'Sc7'!$A$299:$Z$2030,K$3,FALSE)</f>
        <v>4471.5360061785714</v>
      </c>
      <c r="L98" s="233">
        <f>VLOOKUP($A98&amp;$B98,'Sc7'!$A$299:$Z$2030,L$3,FALSE)</f>
        <v>306.7101072237985</v>
      </c>
      <c r="M98" s="278">
        <f>VLOOKUP($A98&amp;$B98,'Sc7'!$A$299:$Z$2030,M$3,FALSE)</f>
        <v>0</v>
      </c>
      <c r="N98" s="233">
        <f>VLOOKUP($A98&amp;$B98,'Sc7'!$A$299:$Z$2030,N$3,FALSE)</f>
        <v>0</v>
      </c>
      <c r="O98" s="278">
        <f>VLOOKUP($A98&amp;$B98,'Sc7'!$A$299:$Z$2030,O$3,FALSE)</f>
        <v>0</v>
      </c>
      <c r="P98" s="233">
        <f>VLOOKUP($A98&amp;$B98,'Sc7'!$A$299:$Z$2030,P$3,FALSE)</f>
        <v>0</v>
      </c>
      <c r="Q98" s="278">
        <f>VLOOKUP($A98&amp;$B98,'Sc7'!$A$299:$Z$2030,Q$3,FALSE)</f>
        <v>0</v>
      </c>
      <c r="R98" s="233">
        <f>VLOOKUP($A98&amp;$B98,'Sc7'!$A$299:$Z$2030,R$3,FALSE)</f>
        <v>0</v>
      </c>
      <c r="S98" s="278">
        <f>VLOOKUP($A98&amp;$B98,'Sc7'!$A$299:$Z$2030,S$3,FALSE)</f>
        <v>0</v>
      </c>
      <c r="T98" s="167">
        <f>VLOOKUP($A98&amp;$B98,'Sc7'!$A$299:$Z$2030,T$3,FALSE)</f>
        <v>0</v>
      </c>
    </row>
    <row r="99" spans="1:20" x14ac:dyDescent="0.3">
      <c r="A99" s="99" t="s">
        <v>4912</v>
      </c>
      <c r="B99" t="s">
        <v>5219</v>
      </c>
      <c r="C99" s="233">
        <f>VLOOKUP($A99&amp;$B99,'Sc7'!$A$299:$Z$2030,C$3,FALSE)</f>
        <v>1821.4045073202617</v>
      </c>
      <c r="D99" s="233">
        <f>VLOOKUP($A99&amp;$B99,'Sc7'!$A$299:$Z$2030,D$3,FALSE)</f>
        <v>1572.7463282449262</v>
      </c>
      <c r="E99" s="233">
        <f>VLOOKUP($A99&amp;$B99,'Sc7'!$A$299:$Z$2030,E$3,FALSE)</f>
        <v>3394.1508355651877</v>
      </c>
      <c r="F99" s="233">
        <f>VLOOKUP($A99&amp;$B99,'Sc7'!$A$299:$Z$2030,F$3,FALSE)</f>
        <v>0</v>
      </c>
      <c r="G99" s="233">
        <f>VLOOKUP($A99&amp;$B99,'Sc7'!$A$299:$Z$2030,G$3,FALSE)</f>
        <v>0</v>
      </c>
      <c r="H99" s="233">
        <f>VLOOKUP($A99&amp;$B99,'Sc7'!$A$299:$Z$2030,H$3,FALSE)</f>
        <v>0</v>
      </c>
      <c r="I99" s="233">
        <f>VLOOKUP($A99&amp;$B99,'Sc7'!$A$299:$Z$2030,I$3,FALSE)</f>
        <v>0</v>
      </c>
      <c r="J99" s="167">
        <f>VLOOKUP($A99&amp;$B99,'Sc7'!$A$299:$Z$2030,J$3,FALSE)</f>
        <v>-3394.1508355651877</v>
      </c>
      <c r="K99" s="164">
        <f>VLOOKUP($A99&amp;$B99,'Sc7'!$A$299:$Z$2030,K$3,FALSE)</f>
        <v>138.71116608588275</v>
      </c>
      <c r="L99" s="233">
        <f>VLOOKUP($A99&amp;$B99,'Sc7'!$A$299:$Z$2030,L$3,FALSE)</f>
        <v>9.5144300671075079</v>
      </c>
      <c r="M99" s="278">
        <f>VLOOKUP($A99&amp;$B99,'Sc7'!$A$299:$Z$2030,M$3,FALSE)</f>
        <v>0</v>
      </c>
      <c r="N99" s="233">
        <f>VLOOKUP($A99&amp;$B99,'Sc7'!$A$299:$Z$2030,N$3,FALSE)</f>
        <v>0</v>
      </c>
      <c r="O99" s="278">
        <f>VLOOKUP($A99&amp;$B99,'Sc7'!$A$299:$Z$2030,O$3,FALSE)</f>
        <v>0</v>
      </c>
      <c r="P99" s="233">
        <f>VLOOKUP($A99&amp;$B99,'Sc7'!$A$299:$Z$2030,P$3,FALSE)</f>
        <v>0</v>
      </c>
      <c r="Q99" s="278">
        <f>VLOOKUP($A99&amp;$B99,'Sc7'!$A$299:$Z$2030,Q$3,FALSE)</f>
        <v>0</v>
      </c>
      <c r="R99" s="233">
        <f>VLOOKUP($A99&amp;$B99,'Sc7'!$A$299:$Z$2030,R$3,FALSE)</f>
        <v>0</v>
      </c>
      <c r="S99" s="278">
        <f>VLOOKUP($A99&amp;$B99,'Sc7'!$A$299:$Z$2030,S$3,FALSE)</f>
        <v>0</v>
      </c>
      <c r="T99" s="167">
        <f>VLOOKUP($A99&amp;$B99,'Sc7'!$A$299:$Z$2030,T$3,FALSE)</f>
        <v>0</v>
      </c>
    </row>
    <row r="100" spans="1:20" x14ac:dyDescent="0.3">
      <c r="A100" s="99" t="s">
        <v>4912</v>
      </c>
      <c r="B100" t="s">
        <v>5220</v>
      </c>
      <c r="C100" s="233">
        <f>VLOOKUP($A100&amp;$B100,'Sc7'!$A$299:$Z$2030,C$3,FALSE)</f>
        <v>164341.42883179875</v>
      </c>
      <c r="D100" s="233">
        <f>VLOOKUP($A100&amp;$B100,'Sc7'!$A$299:$Z$2030,D$3,FALSE)</f>
        <v>79530.340061287963</v>
      </c>
      <c r="E100" s="233">
        <f>VLOOKUP($A100&amp;$B100,'Sc7'!$A$299:$Z$2030,E$3,FALSE)</f>
        <v>243871.7688930867</v>
      </c>
      <c r="F100" s="233">
        <f>VLOOKUP($A100&amp;$B100,'Sc7'!$A$299:$Z$2030,F$3,FALSE)</f>
        <v>0</v>
      </c>
      <c r="G100" s="233">
        <f>VLOOKUP($A100&amp;$B100,'Sc7'!$A$299:$Z$2030,G$3,FALSE)</f>
        <v>0</v>
      </c>
      <c r="H100" s="233">
        <f>VLOOKUP($A100&amp;$B100,'Sc7'!$A$299:$Z$2030,H$3,FALSE)</f>
        <v>0</v>
      </c>
      <c r="I100" s="233">
        <f>VLOOKUP($A100&amp;$B100,'Sc7'!$A$299:$Z$2030,I$3,FALSE)</f>
        <v>0</v>
      </c>
      <c r="J100" s="167">
        <f>VLOOKUP($A100&amp;$B100,'Sc7'!$A$299:$Z$2030,J$3,FALSE)</f>
        <v>-243871.7688930867</v>
      </c>
      <c r="K100" s="164">
        <f>VLOOKUP($A100&amp;$B100,'Sc7'!$A$299:$Z$2030,K$3,FALSE)</f>
        <v>0</v>
      </c>
      <c r="L100" s="233">
        <f>VLOOKUP($A100&amp;$B100,'Sc7'!$A$299:$Z$2030,L$3,FALSE)</f>
        <v>0</v>
      </c>
      <c r="M100" s="278">
        <f>VLOOKUP($A100&amp;$B100,'Sc7'!$A$299:$Z$2030,M$3,FALSE)</f>
        <v>0</v>
      </c>
      <c r="N100" s="233">
        <f>VLOOKUP($A100&amp;$B100,'Sc7'!$A$299:$Z$2030,N$3,FALSE)</f>
        <v>0</v>
      </c>
      <c r="O100" s="278">
        <f>VLOOKUP($A100&amp;$B100,'Sc7'!$A$299:$Z$2030,O$3,FALSE)</f>
        <v>0</v>
      </c>
      <c r="P100" s="233">
        <f>VLOOKUP($A100&amp;$B100,'Sc7'!$A$299:$Z$2030,P$3,FALSE)</f>
        <v>0</v>
      </c>
      <c r="Q100" s="278">
        <f>VLOOKUP($A100&amp;$B100,'Sc7'!$A$299:$Z$2030,Q$3,FALSE)</f>
        <v>0</v>
      </c>
      <c r="R100" s="233">
        <f>VLOOKUP($A100&amp;$B100,'Sc7'!$A$299:$Z$2030,R$3,FALSE)</f>
        <v>0</v>
      </c>
      <c r="S100" s="278">
        <f>VLOOKUP($A100&amp;$B100,'Sc7'!$A$299:$Z$2030,S$3,FALSE)</f>
        <v>0</v>
      </c>
      <c r="T100" s="167">
        <f>VLOOKUP($A100&amp;$B100,'Sc7'!$A$299:$Z$2030,T$3,FALSE)</f>
        <v>0</v>
      </c>
    </row>
    <row r="101" spans="1:20" x14ac:dyDescent="0.3">
      <c r="A101" s="99" t="s">
        <v>4912</v>
      </c>
      <c r="B101" t="s">
        <v>5210</v>
      </c>
      <c r="C101" s="233">
        <f>VLOOKUP($A101&amp;$B101,'Sc7'!$A$299:$Z$2030,C$3,FALSE)</f>
        <v>10450.363362243077</v>
      </c>
      <c r="D101" s="233">
        <f>VLOOKUP($A101&amp;$B101,'Sc7'!$A$299:$Z$2030,D$3,FALSE)</f>
        <v>1937.0611402811251</v>
      </c>
      <c r="E101" s="233">
        <f>VLOOKUP($A101&amp;$B101,'Sc7'!$A$299:$Z$2030,E$3,FALSE)</f>
        <v>12387.424502524202</v>
      </c>
      <c r="F101" s="233">
        <f>VLOOKUP($A101&amp;$B101,'Sc7'!$A$299:$Z$2030,F$3,FALSE)</f>
        <v>0</v>
      </c>
      <c r="G101" s="233">
        <f>VLOOKUP($A101&amp;$B101,'Sc7'!$A$299:$Z$2030,G$3,FALSE)</f>
        <v>0</v>
      </c>
      <c r="H101" s="233">
        <f>VLOOKUP($A101&amp;$B101,'Sc7'!$A$299:$Z$2030,H$3,FALSE)</f>
        <v>0</v>
      </c>
      <c r="I101" s="233">
        <f>VLOOKUP($A101&amp;$B101,'Sc7'!$A$299:$Z$2030,I$3,FALSE)</f>
        <v>0</v>
      </c>
      <c r="J101" s="167">
        <f>VLOOKUP($A101&amp;$B101,'Sc7'!$A$299:$Z$2030,J$3,FALSE)</f>
        <v>-12387.424502524202</v>
      </c>
      <c r="K101" s="164">
        <f>VLOOKUP($A101&amp;$B101,'Sc7'!$A$299:$Z$2030,K$3,FALSE)</f>
        <v>0</v>
      </c>
      <c r="L101" s="233">
        <f>VLOOKUP($A101&amp;$B101,'Sc7'!$A$299:$Z$2030,L$3,FALSE)</f>
        <v>0</v>
      </c>
      <c r="M101" s="278">
        <f>VLOOKUP($A101&amp;$B101,'Sc7'!$A$299:$Z$2030,M$3,FALSE)</f>
        <v>0</v>
      </c>
      <c r="N101" s="233">
        <f>VLOOKUP($A101&amp;$B101,'Sc7'!$A$299:$Z$2030,N$3,FALSE)</f>
        <v>0</v>
      </c>
      <c r="O101" s="278">
        <f>VLOOKUP($A101&amp;$B101,'Sc7'!$A$299:$Z$2030,O$3,FALSE)</f>
        <v>0</v>
      </c>
      <c r="P101" s="233">
        <f>VLOOKUP($A101&amp;$B101,'Sc7'!$A$299:$Z$2030,P$3,FALSE)</f>
        <v>0</v>
      </c>
      <c r="Q101" s="278">
        <f>VLOOKUP($A101&amp;$B101,'Sc7'!$A$299:$Z$2030,Q$3,FALSE)</f>
        <v>0</v>
      </c>
      <c r="R101" s="233">
        <f>VLOOKUP($A101&amp;$B101,'Sc7'!$A$299:$Z$2030,R$3,FALSE)</f>
        <v>0</v>
      </c>
      <c r="S101" s="278">
        <f>VLOOKUP($A101&amp;$B101,'Sc7'!$A$299:$Z$2030,S$3,FALSE)</f>
        <v>0</v>
      </c>
      <c r="T101" s="167">
        <f>VLOOKUP($A101&amp;$B101,'Sc7'!$A$299:$Z$2030,T$3,FALSE)</f>
        <v>0</v>
      </c>
    </row>
    <row r="102" spans="1:20" x14ac:dyDescent="0.3">
      <c r="A102" s="99" t="s">
        <v>4912</v>
      </c>
      <c r="B102" t="s">
        <v>5202</v>
      </c>
      <c r="C102" s="233">
        <f>VLOOKUP($A102&amp;$B102,'Sc7'!$A$299:$Z$2030,C$3,FALSE)</f>
        <v>36000.130209020703</v>
      </c>
      <c r="D102" s="233">
        <f>VLOOKUP($A102&amp;$B102,'Sc7'!$A$299:$Z$2030,D$3,FALSE)</f>
        <v>14199.123866079721</v>
      </c>
      <c r="E102" s="233">
        <f>VLOOKUP($A102&amp;$B102,'Sc7'!$A$299:$Z$2030,E$3,FALSE)</f>
        <v>50199.254075100427</v>
      </c>
      <c r="F102" s="233">
        <f>VLOOKUP($A102&amp;$B102,'Sc7'!$A$299:$Z$2030,F$3,FALSE)</f>
        <v>0</v>
      </c>
      <c r="G102" s="233">
        <f>VLOOKUP($A102&amp;$B102,'Sc7'!$A$299:$Z$2030,G$3,FALSE)</f>
        <v>6429.1572140620729</v>
      </c>
      <c r="H102" s="233">
        <f>VLOOKUP($A102&amp;$B102,'Sc7'!$A$299:$Z$2030,H$3,FALSE)</f>
        <v>0</v>
      </c>
      <c r="I102" s="233">
        <f>VLOOKUP($A102&amp;$B102,'Sc7'!$A$299:$Z$2030,I$3,FALSE)</f>
        <v>0</v>
      </c>
      <c r="J102" s="167">
        <f>VLOOKUP($A102&amp;$B102,'Sc7'!$A$299:$Z$2030,J$3,FALSE)</f>
        <v>-50199.254075100427</v>
      </c>
      <c r="K102" s="164">
        <f>VLOOKUP($A102&amp;$B102,'Sc7'!$A$299:$Z$2030,K$3,FALSE)</f>
        <v>934.64729834049092</v>
      </c>
      <c r="L102" s="233">
        <f>VLOOKUP($A102&amp;$B102,'Sc7'!$A$299:$Z$2030,L$3,FALSE)</f>
        <v>64.109015938671504</v>
      </c>
      <c r="M102" s="278">
        <f>VLOOKUP($A102&amp;$B102,'Sc7'!$A$299:$Z$2030,M$3,FALSE)</f>
        <v>170.58486103092133</v>
      </c>
      <c r="N102" s="233">
        <f>VLOOKUP($A102&amp;$B102,'Sc7'!$A$299:$Z$2030,N$3,FALSE)</f>
        <v>630.56532950965891</v>
      </c>
      <c r="O102" s="278">
        <f>VLOOKUP($A102&amp;$B102,'Sc7'!$A$299:$Z$2030,O$3,FALSE)</f>
        <v>29.578918227578932</v>
      </c>
      <c r="P102" s="233">
        <f>VLOOKUP($A102&amp;$B102,'Sc7'!$A$299:$Z$2030,P$3,FALSE)</f>
        <v>699.83720526451748</v>
      </c>
      <c r="Q102" s="278">
        <f>VLOOKUP($A102&amp;$B102,'Sc7'!$A$299:$Z$2030,Q$3,FALSE)</f>
        <v>0</v>
      </c>
      <c r="R102" s="233">
        <f>VLOOKUP($A102&amp;$B102,'Sc7'!$A$299:$Z$2030,R$3,FALSE)</f>
        <v>0</v>
      </c>
      <c r="S102" s="278">
        <f>VLOOKUP($A102&amp;$B102,'Sc7'!$A$299:$Z$2030,S$3,FALSE)</f>
        <v>29.578918227578932</v>
      </c>
      <c r="T102" s="167">
        <f>VLOOKUP($A102&amp;$B102,'Sc7'!$A$299:$Z$2030,T$3,FALSE)</f>
        <v>699.83720526451748</v>
      </c>
    </row>
    <row r="103" spans="1:20" x14ac:dyDescent="0.3">
      <c r="A103" s="149" t="s">
        <v>4912</v>
      </c>
      <c r="B103" s="650" t="s">
        <v>5203</v>
      </c>
      <c r="C103" s="655">
        <f>VLOOKUP($A103&amp;$B103,'Sc7'!$A$299:$Z$2030,C$3,FALSE)</f>
        <v>219956.42318695231</v>
      </c>
      <c r="D103" s="655">
        <f>VLOOKUP($A103&amp;$B103,'Sc7'!$A$299:$Z$2030,D$3,FALSE)</f>
        <v>100820.83239357067</v>
      </c>
      <c r="E103" s="655">
        <f>VLOOKUP($A103&amp;$B103,'Sc7'!$A$299:$Z$2030,E$3,FALSE)</f>
        <v>320777.25558052299</v>
      </c>
      <c r="F103" s="655">
        <f>VLOOKUP($A103&amp;$B103,'Sc7'!$A$299:$Z$2030,F$3,FALSE)</f>
        <v>0</v>
      </c>
      <c r="G103" s="655">
        <f>VLOOKUP($A103&amp;$B103,'Sc7'!$A$299:$Z$2030,G$3,FALSE)</f>
        <v>6429.1572140620729</v>
      </c>
      <c r="H103" s="655">
        <f>VLOOKUP($A103&amp;$B103,'Sc7'!$A$299:$Z$2030,H$3,FALSE)</f>
        <v>0</v>
      </c>
      <c r="I103" s="655">
        <f>VLOOKUP($A103&amp;$B103,'Sc7'!$A$299:$Z$2030,I$3,FALSE)</f>
        <v>0</v>
      </c>
      <c r="J103" s="656">
        <f>VLOOKUP($A103&amp;$B103,'Sc7'!$A$299:$Z$2030,J$3,FALSE)</f>
        <v>-320777.25558052299</v>
      </c>
      <c r="K103" s="651">
        <f>VLOOKUP($A103&amp;$B103,'Sc7'!$A$299:$Z$2030,K$3,FALSE)</f>
        <v>5544.8944706049451</v>
      </c>
      <c r="L103" s="655">
        <f>VLOOKUP($A103&amp;$B103,'Sc7'!$A$299:$Z$2030,L$3,FALSE)</f>
        <v>380.33355322957755</v>
      </c>
      <c r="M103" s="652">
        <f>VLOOKUP($A103&amp;$B103,'Sc7'!$A$299:$Z$2030,M$3,FALSE)</f>
        <v>170.58486103092133</v>
      </c>
      <c r="N103" s="655">
        <f>VLOOKUP($A103&amp;$B103,'Sc7'!$A$299:$Z$2030,N$3,FALSE)</f>
        <v>630.56532950965891</v>
      </c>
      <c r="O103" s="652">
        <f>VLOOKUP($A103&amp;$B103,'Sc7'!$A$299:$Z$2030,O$3,FALSE)</f>
        <v>29.578918227578932</v>
      </c>
      <c r="P103" s="655">
        <f>VLOOKUP($A103&amp;$B103,'Sc7'!$A$299:$Z$2030,P$3,FALSE)</f>
        <v>699.83720526451748</v>
      </c>
      <c r="Q103" s="652">
        <f>VLOOKUP($A103&amp;$B103,'Sc7'!$A$299:$Z$2030,Q$3,FALSE)</f>
        <v>0</v>
      </c>
      <c r="R103" s="655">
        <f>VLOOKUP($A103&amp;$B103,'Sc7'!$A$299:$Z$2030,R$3,FALSE)</f>
        <v>0</v>
      </c>
      <c r="S103" s="652">
        <f>VLOOKUP($A103&amp;$B103,'Sc7'!$A$299:$Z$2030,S$3,FALSE)</f>
        <v>29.578918227578932</v>
      </c>
      <c r="T103" s="656">
        <f>VLOOKUP($A103&amp;$B103,'Sc7'!$A$299:$Z$2030,T$3,FALSE)</f>
        <v>699.83720526451748</v>
      </c>
    </row>
    <row r="106" spans="1:20" x14ac:dyDescent="0.3">
      <c r="A106" s="3023" t="s">
        <v>5224</v>
      </c>
      <c r="B106" s="3024"/>
      <c r="C106" s="3024"/>
      <c r="D106" s="3024"/>
      <c r="E106" s="3024"/>
      <c r="F106" s="3024"/>
      <c r="G106" s="3024"/>
      <c r="H106" s="3024"/>
      <c r="I106" s="3024"/>
      <c r="J106" s="3024"/>
      <c r="K106" s="3024"/>
      <c r="L106" s="3024"/>
      <c r="M106" s="3024"/>
      <c r="N106" s="3024"/>
      <c r="O106" s="3024"/>
      <c r="P106" s="3024"/>
      <c r="Q106" s="3024"/>
      <c r="R106" s="3024"/>
      <c r="S106" s="3024"/>
      <c r="T106" s="3025"/>
    </row>
    <row r="107" spans="1:20" ht="28.8" x14ac:dyDescent="0.3">
      <c r="A107" s="99"/>
      <c r="B107" s="82" t="s">
        <v>5187</v>
      </c>
      <c r="C107" s="82" t="s">
        <v>2585</v>
      </c>
      <c r="D107" s="82" t="s">
        <v>2588</v>
      </c>
      <c r="E107" s="82" t="s">
        <v>5188</v>
      </c>
      <c r="F107" s="82" t="s">
        <v>5189</v>
      </c>
      <c r="G107" s="82" t="s">
        <v>5190</v>
      </c>
      <c r="H107" s="82" t="s">
        <v>442</v>
      </c>
      <c r="I107" s="82" t="s">
        <v>5191</v>
      </c>
      <c r="J107" s="173" t="s">
        <v>439</v>
      </c>
      <c r="K107" s="661" t="s">
        <v>5192</v>
      </c>
      <c r="L107" s="281" t="s">
        <v>5193</v>
      </c>
      <c r="M107" s="663" t="s">
        <v>5194</v>
      </c>
      <c r="N107" s="281" t="s">
        <v>5195</v>
      </c>
      <c r="O107" s="663" t="s">
        <v>5196</v>
      </c>
      <c r="P107" s="281" t="s">
        <v>5197</v>
      </c>
      <c r="Q107" s="663" t="s">
        <v>5198</v>
      </c>
      <c r="R107" s="281" t="s">
        <v>5199</v>
      </c>
      <c r="S107" s="663" t="s">
        <v>5200</v>
      </c>
      <c r="T107" s="282" t="s">
        <v>5201</v>
      </c>
    </row>
    <row r="108" spans="1:20" x14ac:dyDescent="0.3">
      <c r="A108" s="99" t="s">
        <v>4917</v>
      </c>
      <c r="B108" t="s">
        <v>5209</v>
      </c>
      <c r="C108" s="233">
        <f>VLOOKUP($A108&amp;$B108,'Sc7'!$A$299:$Z$2030,C$3,FALSE)</f>
        <v>0</v>
      </c>
      <c r="D108" s="233">
        <f>VLOOKUP($A108&amp;$B108,'Sc7'!$A$299:$Z$2030,D$3,FALSE)</f>
        <v>217.84991231530387</v>
      </c>
      <c r="E108" s="233">
        <f>VLOOKUP($A108&amp;$B108,'Sc7'!$A$299:$Z$2030,E$3,FALSE)</f>
        <v>217.84991231530387</v>
      </c>
      <c r="F108" s="233">
        <f>VLOOKUP($A108&amp;$B108,'Sc7'!$A$299:$Z$2030,F$3,FALSE)</f>
        <v>0</v>
      </c>
      <c r="G108" s="233">
        <f>VLOOKUP($A108&amp;$B108,'Sc7'!$A$299:$Z$2030,G$3,FALSE)</f>
        <v>0</v>
      </c>
      <c r="H108" s="233">
        <f>VLOOKUP($A108&amp;$B108,'Sc7'!$A$299:$Z$2030,H$3,FALSE)</f>
        <v>0</v>
      </c>
      <c r="I108" s="233">
        <f>VLOOKUP($A108&amp;$B108,'Sc7'!$A$299:$Z$2030,I$3,FALSE)</f>
        <v>0</v>
      </c>
      <c r="J108" s="167">
        <f>VLOOKUP($A108&amp;$B108,'Sc7'!$A$299:$Z$2030,J$3,FALSE)</f>
        <v>-217.84991231530387</v>
      </c>
      <c r="K108" s="164">
        <f>VLOOKUP($A108&amp;$B108,'Sc7'!$A$299:$Z$2030,K$3,FALSE)</f>
        <v>0</v>
      </c>
      <c r="L108" s="233">
        <f>VLOOKUP($A108&amp;$B108,'Sc7'!$A$299:$Z$2030,L$3,FALSE)</f>
        <v>0</v>
      </c>
      <c r="M108" s="278">
        <f>VLOOKUP($A108&amp;$B108,'Sc7'!$A$299:$Z$2030,M$3,FALSE)</f>
        <v>0</v>
      </c>
      <c r="N108" s="233">
        <f>VLOOKUP($A108&amp;$B108,'Sc7'!$A$299:$Z$2030,N$3,FALSE)</f>
        <v>0</v>
      </c>
      <c r="O108" s="278">
        <f>VLOOKUP($A108&amp;$B108,'Sc7'!$A$299:$Z$2030,O$3,FALSE)</f>
        <v>0</v>
      </c>
      <c r="P108" s="233">
        <f>VLOOKUP($A108&amp;$B108,'Sc7'!$A$299:$Z$2030,P$3,FALSE)</f>
        <v>0</v>
      </c>
      <c r="Q108" s="278">
        <f>VLOOKUP($A108&amp;$B108,'Sc7'!$A$299:$Z$2030,Q$3,FALSE)</f>
        <v>0</v>
      </c>
      <c r="R108" s="233">
        <f>VLOOKUP($A108&amp;$B108,'Sc7'!$A$299:$Z$2030,R$3,FALSE)</f>
        <v>0</v>
      </c>
      <c r="S108" s="278">
        <f>VLOOKUP($A108&amp;$B108,'Sc7'!$A$299:$Z$2030,S$3,FALSE)</f>
        <v>0</v>
      </c>
      <c r="T108" s="167">
        <f>VLOOKUP($A108&amp;$B108,'Sc7'!$A$299:$Z$2030,T$3,FALSE)</f>
        <v>0</v>
      </c>
    </row>
    <row r="109" spans="1:20" x14ac:dyDescent="0.3">
      <c r="A109" s="99" t="s">
        <v>4917</v>
      </c>
      <c r="B109" t="s">
        <v>5223</v>
      </c>
      <c r="C109" s="233">
        <f>VLOOKUP($A109&amp;$B109,'Sc7'!$A$299:$Z$2030,C$3,FALSE)</f>
        <v>6707.1567934021641</v>
      </c>
      <c r="D109" s="233">
        <f>VLOOKUP($A109&amp;$B109,'Sc7'!$A$299:$Z$2030,D$3,FALSE)</f>
        <v>3245.8344510558195</v>
      </c>
      <c r="E109" s="233">
        <f>VLOOKUP($A109&amp;$B109,'Sc7'!$A$299:$Z$2030,E$3,FALSE)</f>
        <v>9952.9912444579841</v>
      </c>
      <c r="F109" s="233">
        <f>VLOOKUP($A109&amp;$B109,'Sc7'!$A$299:$Z$2030,F$3,FALSE)</f>
        <v>0</v>
      </c>
      <c r="G109" s="233">
        <f>VLOOKUP($A109&amp;$B109,'Sc7'!$A$299:$Z$2030,G$3,FALSE)</f>
        <v>0</v>
      </c>
      <c r="H109" s="233">
        <f>VLOOKUP($A109&amp;$B109,'Sc7'!$A$299:$Z$2030,H$3,FALSE)</f>
        <v>0</v>
      </c>
      <c r="I109" s="233">
        <f>VLOOKUP($A109&amp;$B109,'Sc7'!$A$299:$Z$2030,I$3,FALSE)</f>
        <v>0</v>
      </c>
      <c r="J109" s="167">
        <f>VLOOKUP($A109&amp;$B109,'Sc7'!$A$299:$Z$2030,J$3,FALSE)</f>
        <v>-9952.9912444579841</v>
      </c>
      <c r="K109" s="164">
        <f>VLOOKUP($A109&amp;$B109,'Sc7'!$A$299:$Z$2030,K$3,FALSE)</f>
        <v>4471.5360061785714</v>
      </c>
      <c r="L109" s="233">
        <f>VLOOKUP($A109&amp;$B109,'Sc7'!$A$299:$Z$2030,L$3,FALSE)</f>
        <v>306.7101072237985</v>
      </c>
      <c r="M109" s="278">
        <f>VLOOKUP($A109&amp;$B109,'Sc7'!$A$299:$Z$2030,M$3,FALSE)</f>
        <v>0</v>
      </c>
      <c r="N109" s="233">
        <f>VLOOKUP($A109&amp;$B109,'Sc7'!$A$299:$Z$2030,N$3,FALSE)</f>
        <v>0</v>
      </c>
      <c r="O109" s="278">
        <f>VLOOKUP($A109&amp;$B109,'Sc7'!$A$299:$Z$2030,O$3,FALSE)</f>
        <v>0</v>
      </c>
      <c r="P109" s="233">
        <f>VLOOKUP($A109&amp;$B109,'Sc7'!$A$299:$Z$2030,P$3,FALSE)</f>
        <v>0</v>
      </c>
      <c r="Q109" s="278">
        <f>VLOOKUP($A109&amp;$B109,'Sc7'!$A$299:$Z$2030,Q$3,FALSE)</f>
        <v>0</v>
      </c>
      <c r="R109" s="233">
        <f>VLOOKUP($A109&amp;$B109,'Sc7'!$A$299:$Z$2030,R$3,FALSE)</f>
        <v>0</v>
      </c>
      <c r="S109" s="278">
        <f>VLOOKUP($A109&amp;$B109,'Sc7'!$A$299:$Z$2030,S$3,FALSE)</f>
        <v>0</v>
      </c>
      <c r="T109" s="167">
        <f>VLOOKUP($A109&amp;$B109,'Sc7'!$A$299:$Z$2030,T$3,FALSE)</f>
        <v>0</v>
      </c>
    </row>
    <row r="110" spans="1:20" x14ac:dyDescent="0.3">
      <c r="A110" s="99" t="s">
        <v>4917</v>
      </c>
      <c r="B110" t="s">
        <v>5219</v>
      </c>
      <c r="C110" s="233">
        <f>VLOOKUP($A110&amp;$B110,'Sc7'!$A$299:$Z$2030,C$3,FALSE)</f>
        <v>1821.4045073202617</v>
      </c>
      <c r="D110" s="233">
        <f>VLOOKUP($A110&amp;$B110,'Sc7'!$A$299:$Z$2030,D$3,FALSE)</f>
        <v>1572.7463282449262</v>
      </c>
      <c r="E110" s="233">
        <f>VLOOKUP($A110&amp;$B110,'Sc7'!$A$299:$Z$2030,E$3,FALSE)</f>
        <v>3394.1508355651877</v>
      </c>
      <c r="F110" s="233">
        <f>VLOOKUP($A110&amp;$B110,'Sc7'!$A$299:$Z$2030,F$3,FALSE)</f>
        <v>0</v>
      </c>
      <c r="G110" s="233">
        <f>VLOOKUP($A110&amp;$B110,'Sc7'!$A$299:$Z$2030,G$3,FALSE)</f>
        <v>0</v>
      </c>
      <c r="H110" s="233">
        <f>VLOOKUP($A110&amp;$B110,'Sc7'!$A$299:$Z$2030,H$3,FALSE)</f>
        <v>0</v>
      </c>
      <c r="I110" s="233">
        <f>VLOOKUP($A110&amp;$B110,'Sc7'!$A$299:$Z$2030,I$3,FALSE)</f>
        <v>0</v>
      </c>
      <c r="J110" s="167">
        <f>VLOOKUP($A110&amp;$B110,'Sc7'!$A$299:$Z$2030,J$3,FALSE)</f>
        <v>-3394.1508355651877</v>
      </c>
      <c r="K110" s="164">
        <f>VLOOKUP($A110&amp;$B110,'Sc7'!$A$299:$Z$2030,K$3,FALSE)</f>
        <v>138.71116608588275</v>
      </c>
      <c r="L110" s="233">
        <f>VLOOKUP($A110&amp;$B110,'Sc7'!$A$299:$Z$2030,L$3,FALSE)</f>
        <v>9.5144300671075079</v>
      </c>
      <c r="M110" s="278">
        <f>VLOOKUP($A110&amp;$B110,'Sc7'!$A$299:$Z$2030,M$3,FALSE)</f>
        <v>0</v>
      </c>
      <c r="N110" s="233">
        <f>VLOOKUP($A110&amp;$B110,'Sc7'!$A$299:$Z$2030,N$3,FALSE)</f>
        <v>0</v>
      </c>
      <c r="O110" s="278">
        <f>VLOOKUP($A110&amp;$B110,'Sc7'!$A$299:$Z$2030,O$3,FALSE)</f>
        <v>0</v>
      </c>
      <c r="P110" s="233">
        <f>VLOOKUP($A110&amp;$B110,'Sc7'!$A$299:$Z$2030,P$3,FALSE)</f>
        <v>0</v>
      </c>
      <c r="Q110" s="278">
        <f>VLOOKUP($A110&amp;$B110,'Sc7'!$A$299:$Z$2030,Q$3,FALSE)</f>
        <v>0</v>
      </c>
      <c r="R110" s="233">
        <f>VLOOKUP($A110&amp;$B110,'Sc7'!$A$299:$Z$2030,R$3,FALSE)</f>
        <v>0</v>
      </c>
      <c r="S110" s="278">
        <f>VLOOKUP($A110&amp;$B110,'Sc7'!$A$299:$Z$2030,S$3,FALSE)</f>
        <v>0</v>
      </c>
      <c r="T110" s="167">
        <f>VLOOKUP($A110&amp;$B110,'Sc7'!$A$299:$Z$2030,T$3,FALSE)</f>
        <v>0</v>
      </c>
    </row>
    <row r="111" spans="1:20" x14ac:dyDescent="0.3">
      <c r="A111" s="99" t="s">
        <v>4917</v>
      </c>
      <c r="B111" t="s">
        <v>5220</v>
      </c>
      <c r="C111" s="233">
        <f>VLOOKUP($A111&amp;$B111,'Sc7'!$A$299:$Z$2030,C$3,FALSE)</f>
        <v>164341.42883179875</v>
      </c>
      <c r="D111" s="233">
        <f>VLOOKUP($A111&amp;$B111,'Sc7'!$A$299:$Z$2030,D$3,FALSE)</f>
        <v>79530.340061287963</v>
      </c>
      <c r="E111" s="233">
        <f>VLOOKUP($A111&amp;$B111,'Sc7'!$A$299:$Z$2030,E$3,FALSE)</f>
        <v>243871.7688930867</v>
      </c>
      <c r="F111" s="233">
        <f>VLOOKUP($A111&amp;$B111,'Sc7'!$A$299:$Z$2030,F$3,FALSE)</f>
        <v>0</v>
      </c>
      <c r="G111" s="233">
        <f>VLOOKUP($A111&amp;$B111,'Sc7'!$A$299:$Z$2030,G$3,FALSE)</f>
        <v>0</v>
      </c>
      <c r="H111" s="233">
        <f>VLOOKUP($A111&amp;$B111,'Sc7'!$A$299:$Z$2030,H$3,FALSE)</f>
        <v>0</v>
      </c>
      <c r="I111" s="233">
        <f>VLOOKUP($A111&amp;$B111,'Sc7'!$A$299:$Z$2030,I$3,FALSE)</f>
        <v>0</v>
      </c>
      <c r="J111" s="167">
        <f>VLOOKUP($A111&amp;$B111,'Sc7'!$A$299:$Z$2030,J$3,FALSE)</f>
        <v>-243871.7688930867</v>
      </c>
      <c r="K111" s="164">
        <f>VLOOKUP($A111&amp;$B111,'Sc7'!$A$299:$Z$2030,K$3,FALSE)</f>
        <v>0</v>
      </c>
      <c r="L111" s="233">
        <f>VLOOKUP($A111&amp;$B111,'Sc7'!$A$299:$Z$2030,L$3,FALSE)</f>
        <v>0</v>
      </c>
      <c r="M111" s="278">
        <f>VLOOKUP($A111&amp;$B111,'Sc7'!$A$299:$Z$2030,M$3,FALSE)</f>
        <v>0</v>
      </c>
      <c r="N111" s="233">
        <f>VLOOKUP($A111&amp;$B111,'Sc7'!$A$299:$Z$2030,N$3,FALSE)</f>
        <v>0</v>
      </c>
      <c r="O111" s="278">
        <f>VLOOKUP($A111&amp;$B111,'Sc7'!$A$299:$Z$2030,O$3,FALSE)</f>
        <v>0</v>
      </c>
      <c r="P111" s="233">
        <f>VLOOKUP($A111&amp;$B111,'Sc7'!$A$299:$Z$2030,P$3,FALSE)</f>
        <v>0</v>
      </c>
      <c r="Q111" s="278">
        <f>VLOOKUP($A111&amp;$B111,'Sc7'!$A$299:$Z$2030,Q$3,FALSE)</f>
        <v>0</v>
      </c>
      <c r="R111" s="233">
        <f>VLOOKUP($A111&amp;$B111,'Sc7'!$A$299:$Z$2030,R$3,FALSE)</f>
        <v>0</v>
      </c>
      <c r="S111" s="278">
        <f>VLOOKUP($A111&amp;$B111,'Sc7'!$A$299:$Z$2030,S$3,FALSE)</f>
        <v>0</v>
      </c>
      <c r="T111" s="167">
        <f>VLOOKUP($A111&amp;$B111,'Sc7'!$A$299:$Z$2030,T$3,FALSE)</f>
        <v>0</v>
      </c>
    </row>
    <row r="112" spans="1:20" x14ac:dyDescent="0.3">
      <c r="A112" s="99" t="s">
        <v>4917</v>
      </c>
      <c r="B112" t="s">
        <v>5210</v>
      </c>
      <c r="C112" s="233">
        <f>VLOOKUP($A112&amp;$B112,'Sc7'!$A$299:$Z$2030,C$3,FALSE)</f>
        <v>10450.363362243077</v>
      </c>
      <c r="D112" s="233">
        <f>VLOOKUP($A112&amp;$B112,'Sc7'!$A$299:$Z$2030,D$3,FALSE)</f>
        <v>1937.0611402811251</v>
      </c>
      <c r="E112" s="233">
        <f>VLOOKUP($A112&amp;$B112,'Sc7'!$A$299:$Z$2030,E$3,FALSE)</f>
        <v>12387.424502524202</v>
      </c>
      <c r="F112" s="233">
        <f>VLOOKUP($A112&amp;$B112,'Sc7'!$A$299:$Z$2030,F$3,FALSE)</f>
        <v>0</v>
      </c>
      <c r="G112" s="233">
        <f>VLOOKUP($A112&amp;$B112,'Sc7'!$A$299:$Z$2030,G$3,FALSE)</f>
        <v>0</v>
      </c>
      <c r="H112" s="233">
        <f>VLOOKUP($A112&amp;$B112,'Sc7'!$A$299:$Z$2030,H$3,FALSE)</f>
        <v>0</v>
      </c>
      <c r="I112" s="233">
        <f>VLOOKUP($A112&amp;$B112,'Sc7'!$A$299:$Z$2030,I$3,FALSE)</f>
        <v>0</v>
      </c>
      <c r="J112" s="167">
        <f>VLOOKUP($A112&amp;$B112,'Sc7'!$A$299:$Z$2030,J$3,FALSE)</f>
        <v>-12387.424502524202</v>
      </c>
      <c r="K112" s="164">
        <f>VLOOKUP($A112&amp;$B112,'Sc7'!$A$299:$Z$2030,K$3,FALSE)</f>
        <v>0</v>
      </c>
      <c r="L112" s="233">
        <f>VLOOKUP($A112&amp;$B112,'Sc7'!$A$299:$Z$2030,L$3,FALSE)</f>
        <v>0</v>
      </c>
      <c r="M112" s="278">
        <f>VLOOKUP($A112&amp;$B112,'Sc7'!$A$299:$Z$2030,M$3,FALSE)</f>
        <v>0</v>
      </c>
      <c r="N112" s="233">
        <f>VLOOKUP($A112&amp;$B112,'Sc7'!$A$299:$Z$2030,N$3,FALSE)</f>
        <v>0</v>
      </c>
      <c r="O112" s="278">
        <f>VLOOKUP($A112&amp;$B112,'Sc7'!$A$299:$Z$2030,O$3,FALSE)</f>
        <v>0</v>
      </c>
      <c r="P112" s="233">
        <f>VLOOKUP($A112&amp;$B112,'Sc7'!$A$299:$Z$2030,P$3,FALSE)</f>
        <v>0</v>
      </c>
      <c r="Q112" s="278">
        <f>VLOOKUP($A112&amp;$B112,'Sc7'!$A$299:$Z$2030,Q$3,FALSE)</f>
        <v>0</v>
      </c>
      <c r="R112" s="233">
        <f>VLOOKUP($A112&amp;$B112,'Sc7'!$A$299:$Z$2030,R$3,FALSE)</f>
        <v>0</v>
      </c>
      <c r="S112" s="278">
        <f>VLOOKUP($A112&amp;$B112,'Sc7'!$A$299:$Z$2030,S$3,FALSE)</f>
        <v>0</v>
      </c>
      <c r="T112" s="167">
        <f>VLOOKUP($A112&amp;$B112,'Sc7'!$A$299:$Z$2030,T$3,FALSE)</f>
        <v>0</v>
      </c>
    </row>
    <row r="113" spans="1:20" x14ac:dyDescent="0.3">
      <c r="A113" s="99" t="s">
        <v>4917</v>
      </c>
      <c r="B113" t="s">
        <v>5205</v>
      </c>
      <c r="C113" s="233">
        <f>VLOOKUP($A113&amp;$B113,'Sc7'!$A$299:$Z$2030,C$3,FALSE)</f>
        <v>89809.583453902582</v>
      </c>
      <c r="D113" s="233">
        <f>VLOOKUP($A113&amp;$B113,'Sc7'!$A$299:$Z$2030,D$3,FALSE)</f>
        <v>31122.122203329189</v>
      </c>
      <c r="E113" s="233">
        <f>VLOOKUP($A113&amp;$B113,'Sc7'!$A$299:$Z$2030,E$3,FALSE)</f>
        <v>120931.70565723177</v>
      </c>
      <c r="F113" s="233">
        <f>VLOOKUP($A113&amp;$B113,'Sc7'!$A$299:$Z$2030,F$3,FALSE)</f>
        <v>0</v>
      </c>
      <c r="G113" s="233">
        <f>VLOOKUP($A113&amp;$B113,'Sc7'!$A$299:$Z$2030,G$3,FALSE)</f>
        <v>6429.1572140620729</v>
      </c>
      <c r="H113" s="233">
        <f>VLOOKUP($A113&amp;$B113,'Sc7'!$A$299:$Z$2030,H$3,FALSE)</f>
        <v>0</v>
      </c>
      <c r="I113" s="233">
        <f>VLOOKUP($A113&amp;$B113,'Sc7'!$A$299:$Z$2030,I$3,FALSE)</f>
        <v>0</v>
      </c>
      <c r="J113" s="167">
        <f>VLOOKUP($A113&amp;$B113,'Sc7'!$A$299:$Z$2030,J$3,FALSE)</f>
        <v>-120931.70565723177</v>
      </c>
      <c r="K113" s="164">
        <f>VLOOKUP($A113&amp;$B113,'Sc7'!$A$299:$Z$2030,K$3,FALSE)</f>
        <v>934.64729834049092</v>
      </c>
      <c r="L113" s="233">
        <f>VLOOKUP($A113&amp;$B113,'Sc7'!$A$299:$Z$2030,L$3,FALSE)</f>
        <v>64.109015938671504</v>
      </c>
      <c r="M113" s="278">
        <f>VLOOKUP($A113&amp;$B113,'Sc7'!$A$299:$Z$2030,M$3,FALSE)</f>
        <v>67.387124452167157</v>
      </c>
      <c r="N113" s="233">
        <f>VLOOKUP($A113&amp;$B113,'Sc7'!$A$299:$Z$2030,N$3,FALSE)</f>
        <v>249.09586980984673</v>
      </c>
      <c r="O113" s="278">
        <f>VLOOKUP($A113&amp;$B113,'Sc7'!$A$299:$Z$2030,O$3,FALSE)</f>
        <v>10.22051845076796</v>
      </c>
      <c r="P113" s="233">
        <f>VLOOKUP($A113&amp;$B113,'Sc7'!$A$299:$Z$2030,P$3,FALSE)</f>
        <v>241.81746654516996</v>
      </c>
      <c r="Q113" s="278">
        <f>VLOOKUP($A113&amp;$B113,'Sc7'!$A$299:$Z$2030,Q$3,FALSE)</f>
        <v>0</v>
      </c>
      <c r="R113" s="233">
        <f>VLOOKUP($A113&amp;$B113,'Sc7'!$A$299:$Z$2030,R$3,FALSE)</f>
        <v>0</v>
      </c>
      <c r="S113" s="278">
        <f>VLOOKUP($A113&amp;$B113,'Sc7'!$A$299:$Z$2030,S$3,FALSE)</f>
        <v>10.22051845076796</v>
      </c>
      <c r="T113" s="167">
        <f>VLOOKUP($A113&amp;$B113,'Sc7'!$A$299:$Z$2030,T$3,FALSE)</f>
        <v>241.81746654516996</v>
      </c>
    </row>
    <row r="114" spans="1:20" x14ac:dyDescent="0.3">
      <c r="A114" s="149" t="s">
        <v>4917</v>
      </c>
      <c r="B114" s="650" t="s">
        <v>5203</v>
      </c>
      <c r="C114" s="655">
        <f>VLOOKUP($A114&amp;$B114,'Sc7'!$A$299:$Z$2030,C$3,FALSE)</f>
        <v>273765.87643183419</v>
      </c>
      <c r="D114" s="655">
        <f>VLOOKUP($A114&amp;$B114,'Sc7'!$A$299:$Z$2030,D$3,FALSE)</f>
        <v>117743.83073082013</v>
      </c>
      <c r="E114" s="655">
        <f>VLOOKUP($A114&amp;$B114,'Sc7'!$A$299:$Z$2030,E$3,FALSE)</f>
        <v>391509.70716265438</v>
      </c>
      <c r="F114" s="655">
        <f>VLOOKUP($A114&amp;$B114,'Sc7'!$A$299:$Z$2030,F$3,FALSE)</f>
        <v>0</v>
      </c>
      <c r="G114" s="655">
        <f>VLOOKUP($A114&amp;$B114,'Sc7'!$A$299:$Z$2030,G$3,FALSE)</f>
        <v>6429.1572140620729</v>
      </c>
      <c r="H114" s="655">
        <f>VLOOKUP($A114&amp;$B114,'Sc7'!$A$299:$Z$2030,H$3,FALSE)</f>
        <v>0</v>
      </c>
      <c r="I114" s="655">
        <f>VLOOKUP($A114&amp;$B114,'Sc7'!$A$299:$Z$2030,I$3,FALSE)</f>
        <v>0</v>
      </c>
      <c r="J114" s="656">
        <f>VLOOKUP($A114&amp;$B114,'Sc7'!$A$299:$Z$2030,J$3,FALSE)</f>
        <v>-391509.70716265438</v>
      </c>
      <c r="K114" s="651">
        <f>VLOOKUP($A114&amp;$B114,'Sc7'!$A$299:$Z$2030,K$3,FALSE)</f>
        <v>5544.8944706049451</v>
      </c>
      <c r="L114" s="655">
        <f>VLOOKUP($A114&amp;$B114,'Sc7'!$A$299:$Z$2030,L$3,FALSE)</f>
        <v>380.33355322957755</v>
      </c>
      <c r="M114" s="652">
        <f>VLOOKUP($A114&amp;$B114,'Sc7'!$A$299:$Z$2030,M$3,FALSE)</f>
        <v>67.387124452167157</v>
      </c>
      <c r="N114" s="655">
        <f>VLOOKUP($A114&amp;$B114,'Sc7'!$A$299:$Z$2030,N$3,FALSE)</f>
        <v>249.09586980984673</v>
      </c>
      <c r="O114" s="652">
        <f>VLOOKUP($A114&amp;$B114,'Sc7'!$A$299:$Z$2030,O$3,FALSE)</f>
        <v>10.22051845076796</v>
      </c>
      <c r="P114" s="655">
        <f>VLOOKUP($A114&amp;$B114,'Sc7'!$A$299:$Z$2030,P$3,FALSE)</f>
        <v>241.81746654516996</v>
      </c>
      <c r="Q114" s="652">
        <f>VLOOKUP($A114&amp;$B114,'Sc7'!$A$299:$Z$2030,Q$3,FALSE)</f>
        <v>0</v>
      </c>
      <c r="R114" s="655">
        <f>VLOOKUP($A114&amp;$B114,'Sc7'!$A$299:$Z$2030,R$3,FALSE)</f>
        <v>0</v>
      </c>
      <c r="S114" s="652">
        <f>VLOOKUP($A114&amp;$B114,'Sc7'!$A$299:$Z$2030,S$3,FALSE)</f>
        <v>10.22051845076796</v>
      </c>
      <c r="T114" s="656">
        <f>VLOOKUP($A114&amp;$B114,'Sc7'!$A$299:$Z$2030,T$3,FALSE)</f>
        <v>241.81746654516996</v>
      </c>
    </row>
    <row r="116" spans="1:20" x14ac:dyDescent="0.3">
      <c r="A116" s="3020" t="s">
        <v>5225</v>
      </c>
      <c r="B116" s="3021"/>
      <c r="C116" s="3021"/>
      <c r="D116" s="3021"/>
      <c r="E116" s="3021"/>
      <c r="F116" s="3021"/>
      <c r="G116" s="3021"/>
      <c r="H116" s="3021"/>
      <c r="I116" s="3021"/>
      <c r="J116" s="3021"/>
      <c r="K116" s="3021"/>
      <c r="L116" s="3021"/>
      <c r="M116" s="3021"/>
      <c r="N116" s="3021"/>
      <c r="O116" s="3021"/>
      <c r="P116" s="3021"/>
      <c r="Q116" s="3021"/>
      <c r="R116" s="3021"/>
      <c r="S116" s="3021"/>
      <c r="T116" s="3022"/>
    </row>
    <row r="117" spans="1:20" ht="28.8" x14ac:dyDescent="0.3">
      <c r="A117" s="99"/>
      <c r="B117" s="82" t="s">
        <v>5187</v>
      </c>
      <c r="C117" s="82" t="s">
        <v>2585</v>
      </c>
      <c r="D117" s="82" t="s">
        <v>2588</v>
      </c>
      <c r="E117" s="82" t="s">
        <v>5188</v>
      </c>
      <c r="F117" s="82" t="s">
        <v>5189</v>
      </c>
      <c r="G117" s="82" t="s">
        <v>5190</v>
      </c>
      <c r="H117" s="82" t="s">
        <v>442</v>
      </c>
      <c r="I117" s="82" t="s">
        <v>5191</v>
      </c>
      <c r="J117" s="173" t="s">
        <v>439</v>
      </c>
      <c r="K117" s="661" t="s">
        <v>5192</v>
      </c>
      <c r="L117" s="281" t="s">
        <v>5193</v>
      </c>
      <c r="M117" s="663" t="s">
        <v>5194</v>
      </c>
      <c r="N117" s="281" t="s">
        <v>5195</v>
      </c>
      <c r="O117" s="663" t="s">
        <v>5196</v>
      </c>
      <c r="P117" s="281" t="s">
        <v>5197</v>
      </c>
      <c r="Q117" s="663" t="s">
        <v>5198</v>
      </c>
      <c r="R117" s="281" t="s">
        <v>5199</v>
      </c>
      <c r="S117" s="663" t="s">
        <v>5200</v>
      </c>
      <c r="T117" s="282" t="s">
        <v>5201</v>
      </c>
    </row>
    <row r="118" spans="1:20" x14ac:dyDescent="0.3">
      <c r="A118" s="99" t="s">
        <v>4912</v>
      </c>
      <c r="B118" t="s">
        <v>5209</v>
      </c>
      <c r="C118" s="233">
        <f>VLOOKUP($A118&amp;$B118,'Sc8'!$A$299:$Z$2032,C$3,FALSE)</f>
        <v>0</v>
      </c>
      <c r="D118" s="233">
        <f>VLOOKUP($A118&amp;$B118,'Sc8'!$A$299:$Z$2032,D$3,FALSE)</f>
        <v>217.84991231530387</v>
      </c>
      <c r="E118" s="233">
        <f>VLOOKUP($A118&amp;$B118,'Sc8'!$A$299:$Z$2032,E$3,FALSE)</f>
        <v>217.84991231530387</v>
      </c>
      <c r="F118" s="233">
        <f>VLOOKUP($A118&amp;$B118,'Sc8'!$A$299:$Z$2032,F$3,FALSE)</f>
        <v>0</v>
      </c>
      <c r="G118" s="233">
        <f>VLOOKUP($A118&amp;$B118,'Sc8'!$A$299:$Z$2032,G$3,FALSE)</f>
        <v>0</v>
      </c>
      <c r="H118" s="233">
        <f>VLOOKUP($A118&amp;$B118,'Sc8'!$A$299:$Z$2032,H$3,FALSE)</f>
        <v>0</v>
      </c>
      <c r="I118" s="233">
        <f>VLOOKUP($A118&amp;$B118,'Sc8'!$A$299:$Z$2032,I$3,FALSE)</f>
        <v>0</v>
      </c>
      <c r="J118" s="167">
        <f>VLOOKUP($A118&amp;$B118,'Sc8'!$A$299:$Z$2032,J$3,FALSE)</f>
        <v>-217.84991231530387</v>
      </c>
      <c r="K118" s="164">
        <f>VLOOKUP($A118&amp;$B118,'Sc8'!$A$299:$Z$2032,K$3,FALSE)</f>
        <v>0</v>
      </c>
      <c r="L118" s="233">
        <f>VLOOKUP($A118&amp;$B118,'Sc8'!$A$299:$Z$2032,L$3,FALSE)</f>
        <v>0</v>
      </c>
      <c r="M118" s="278">
        <f>VLOOKUP($A118&amp;$B118,'Sc8'!$A$299:$Z$2032,M$3,FALSE)</f>
        <v>0</v>
      </c>
      <c r="N118" s="233">
        <f>VLOOKUP($A118&amp;$B118,'Sc8'!$A$299:$Z$2032,N$3,FALSE)</f>
        <v>0</v>
      </c>
      <c r="O118" s="278">
        <f>VLOOKUP($A118&amp;$B118,'Sc8'!$A$299:$Z$2032,O$3,FALSE)</f>
        <v>0</v>
      </c>
      <c r="P118" s="233">
        <f>VLOOKUP($A118&amp;$B118,'Sc8'!$A$299:$Z$2032,P$3,FALSE)</f>
        <v>0</v>
      </c>
      <c r="Q118" s="278">
        <f>VLOOKUP($A118&amp;$B118,'Sc8'!$A$299:$Z$2032,Q$3,FALSE)</f>
        <v>0</v>
      </c>
      <c r="R118" s="233">
        <f>VLOOKUP($A118&amp;$B118,'Sc8'!$A$299:$Z$2032,R$3,FALSE)</f>
        <v>0</v>
      </c>
      <c r="S118" s="278">
        <f>VLOOKUP($A118&amp;$B118,'Sc8'!$A$299:$Z$2032,S$3,FALSE)</f>
        <v>0</v>
      </c>
      <c r="T118" s="167">
        <f>VLOOKUP($A118&amp;$B118,'Sc8'!$A$299:$Z$2032,T$3,FALSE)</f>
        <v>0</v>
      </c>
    </row>
    <row r="119" spans="1:20" x14ac:dyDescent="0.3">
      <c r="A119" s="99" t="s">
        <v>4912</v>
      </c>
      <c r="B119" t="s">
        <v>5219</v>
      </c>
      <c r="C119" s="233">
        <f>VLOOKUP($A119&amp;$B119,'Sc8'!$A$299:$Z$2032,C$3,FALSE)</f>
        <v>2085.172249970477</v>
      </c>
      <c r="D119" s="233">
        <f>VLOOKUP($A119&amp;$B119,'Sc8'!$A$299:$Z$2032,D$3,FALSE)</f>
        <v>1629.2470937565076</v>
      </c>
      <c r="E119" s="233">
        <f>VLOOKUP($A119&amp;$B119,'Sc8'!$A$299:$Z$2032,E$3,FALSE)</f>
        <v>3714.4193437269846</v>
      </c>
      <c r="F119" s="233">
        <f>VLOOKUP($A119&amp;$B119,'Sc8'!$A$299:$Z$2032,F$3,FALSE)</f>
        <v>0</v>
      </c>
      <c r="G119" s="233">
        <f>VLOOKUP($A119&amp;$B119,'Sc8'!$A$299:$Z$2032,G$3,FALSE)</f>
        <v>0</v>
      </c>
      <c r="H119" s="233">
        <f>VLOOKUP($A119&amp;$B119,'Sc8'!$A$299:$Z$2032,H$3,FALSE)</f>
        <v>0</v>
      </c>
      <c r="I119" s="233">
        <f>VLOOKUP($A119&amp;$B119,'Sc8'!$A$299:$Z$2032,I$3,FALSE)</f>
        <v>0</v>
      </c>
      <c r="J119" s="167">
        <f>VLOOKUP($A119&amp;$B119,'Sc8'!$A$299:$Z$2032,J$3,FALSE)</f>
        <v>-3714.4193437269846</v>
      </c>
      <c r="K119" s="164">
        <f>VLOOKUP($A119&amp;$B119,'Sc8'!$A$299:$Z$2032,K$3,FALSE)</f>
        <v>249.64645588615733</v>
      </c>
      <c r="L119" s="233">
        <f>VLOOKUP($A119&amp;$B119,'Sc8'!$A$299:$Z$2032,L$3,FALSE)</f>
        <v>17.123666486658006</v>
      </c>
      <c r="M119" s="278">
        <f>VLOOKUP($A119&amp;$B119,'Sc8'!$A$299:$Z$2032,M$3,FALSE)</f>
        <v>0</v>
      </c>
      <c r="N119" s="233">
        <f>VLOOKUP($A119&amp;$B119,'Sc8'!$A$299:$Z$2032,N$3,FALSE)</f>
        <v>0</v>
      </c>
      <c r="O119" s="278">
        <f>VLOOKUP($A119&amp;$B119,'Sc8'!$A$299:$Z$2032,O$3,FALSE)</f>
        <v>0</v>
      </c>
      <c r="P119" s="233">
        <f>VLOOKUP($A119&amp;$B119,'Sc8'!$A$299:$Z$2032,P$3,FALSE)</f>
        <v>0</v>
      </c>
      <c r="Q119" s="278">
        <f>VLOOKUP($A119&amp;$B119,'Sc8'!$A$299:$Z$2032,Q$3,FALSE)</f>
        <v>0</v>
      </c>
      <c r="R119" s="233">
        <f>VLOOKUP($A119&amp;$B119,'Sc8'!$A$299:$Z$2032,R$3,FALSE)</f>
        <v>0</v>
      </c>
      <c r="S119" s="278">
        <f>VLOOKUP($A119&amp;$B119,'Sc8'!$A$299:$Z$2032,S$3,FALSE)</f>
        <v>0</v>
      </c>
      <c r="T119" s="167">
        <f>VLOOKUP($A119&amp;$B119,'Sc8'!$A$299:$Z$2032,T$3,FALSE)</f>
        <v>0</v>
      </c>
    </row>
    <row r="120" spans="1:20" x14ac:dyDescent="0.3">
      <c r="A120" s="99" t="s">
        <v>4912</v>
      </c>
      <c r="B120" t="s">
        <v>5220</v>
      </c>
      <c r="C120" s="233">
        <f>VLOOKUP($A120&amp;$B120,'Sc8'!$A$299:$Z$2032,C$3,FALSE)</f>
        <v>187641.84410893399</v>
      </c>
      <c r="D120" s="233">
        <f>VLOOKUP($A120&amp;$B120,'Sc8'!$A$299:$Z$2032,D$3,FALSE)</f>
        <v>90757.52770813668</v>
      </c>
      <c r="E120" s="233">
        <f>VLOOKUP($A120&amp;$B120,'Sc8'!$A$299:$Z$2032,E$3,FALSE)</f>
        <v>278399.37181707064</v>
      </c>
      <c r="F120" s="233">
        <f>VLOOKUP($A120&amp;$B120,'Sc8'!$A$299:$Z$2032,F$3,FALSE)</f>
        <v>0</v>
      </c>
      <c r="G120" s="233">
        <f>VLOOKUP($A120&amp;$B120,'Sc8'!$A$299:$Z$2032,G$3,FALSE)</f>
        <v>0</v>
      </c>
      <c r="H120" s="233">
        <f>VLOOKUP($A120&amp;$B120,'Sc8'!$A$299:$Z$2032,H$3,FALSE)</f>
        <v>0</v>
      </c>
      <c r="I120" s="233">
        <f>VLOOKUP($A120&amp;$B120,'Sc8'!$A$299:$Z$2032,I$3,FALSE)</f>
        <v>0</v>
      </c>
      <c r="J120" s="167">
        <f>VLOOKUP($A120&amp;$B120,'Sc8'!$A$299:$Z$2032,J$3,FALSE)</f>
        <v>-278399.37181707064</v>
      </c>
      <c r="K120" s="164">
        <f>VLOOKUP($A120&amp;$B120,'Sc8'!$A$299:$Z$2032,K$3,FALSE)</f>
        <v>0</v>
      </c>
      <c r="L120" s="233">
        <f>VLOOKUP($A120&amp;$B120,'Sc8'!$A$299:$Z$2032,L$3,FALSE)</f>
        <v>0</v>
      </c>
      <c r="M120" s="278">
        <f>VLOOKUP($A120&amp;$B120,'Sc8'!$A$299:$Z$2032,M$3,FALSE)</f>
        <v>0</v>
      </c>
      <c r="N120" s="233">
        <f>VLOOKUP($A120&amp;$B120,'Sc8'!$A$299:$Z$2032,N$3,FALSE)</f>
        <v>0</v>
      </c>
      <c r="O120" s="278">
        <f>VLOOKUP($A120&amp;$B120,'Sc8'!$A$299:$Z$2032,O$3,FALSE)</f>
        <v>0</v>
      </c>
      <c r="P120" s="233">
        <f>VLOOKUP($A120&amp;$B120,'Sc8'!$A$299:$Z$2032,P$3,FALSE)</f>
        <v>0</v>
      </c>
      <c r="Q120" s="278">
        <f>VLOOKUP($A120&amp;$B120,'Sc8'!$A$299:$Z$2032,Q$3,FALSE)</f>
        <v>0</v>
      </c>
      <c r="R120" s="233">
        <f>VLOOKUP($A120&amp;$B120,'Sc8'!$A$299:$Z$2032,R$3,FALSE)</f>
        <v>0</v>
      </c>
      <c r="S120" s="278">
        <f>VLOOKUP($A120&amp;$B120,'Sc8'!$A$299:$Z$2032,S$3,FALSE)</f>
        <v>0</v>
      </c>
      <c r="T120" s="167">
        <f>VLOOKUP($A120&amp;$B120,'Sc8'!$A$299:$Z$2032,T$3,FALSE)</f>
        <v>0</v>
      </c>
    </row>
    <row r="121" spans="1:20" x14ac:dyDescent="0.3">
      <c r="A121" s="99" t="s">
        <v>4912</v>
      </c>
      <c r="B121" s="90" t="s">
        <v>5210</v>
      </c>
      <c r="C121" s="233">
        <f>VLOOKUP($A121&amp;$B121,'Sc8'!$A$299:$Z$2032,C$3,FALSE)</f>
        <v>10450.363362243077</v>
      </c>
      <c r="D121" s="233">
        <f>VLOOKUP($A121&amp;$B121,'Sc8'!$A$299:$Z$2032,D$3,FALSE)</f>
        <v>1937.0611402811251</v>
      </c>
      <c r="E121" s="233">
        <f>VLOOKUP($A121&amp;$B121,'Sc8'!$A$299:$Z$2032,E$3,FALSE)</f>
        <v>12387.424502524202</v>
      </c>
      <c r="F121" s="233">
        <f>VLOOKUP($A121&amp;$B121,'Sc8'!$A$299:$Z$2032,F$3,FALSE)</f>
        <v>0</v>
      </c>
      <c r="G121" s="233">
        <f>VLOOKUP($A121&amp;$B121,'Sc8'!$A$299:$Z$2032,G$3,FALSE)</f>
        <v>0</v>
      </c>
      <c r="H121" s="233">
        <f>VLOOKUP($A121&amp;$B121,'Sc8'!$A$299:$Z$2032,H$3,FALSE)</f>
        <v>0</v>
      </c>
      <c r="I121" s="233">
        <f>VLOOKUP($A121&amp;$B121,'Sc8'!$A$299:$Z$2032,I$3,FALSE)</f>
        <v>0</v>
      </c>
      <c r="J121" s="167">
        <f>VLOOKUP($A121&amp;$B121,'Sc8'!$A$299:$Z$2032,J$3,FALSE)</f>
        <v>-12387.424502524202</v>
      </c>
      <c r="K121" s="164">
        <f>VLOOKUP($A121&amp;$B121,'Sc8'!$A$299:$Z$2032,K$3,FALSE)</f>
        <v>0</v>
      </c>
      <c r="L121" s="233">
        <f>VLOOKUP($A121&amp;$B121,'Sc8'!$A$299:$Z$2032,L$3,FALSE)</f>
        <v>0</v>
      </c>
      <c r="M121" s="278">
        <f>VLOOKUP($A121&amp;$B121,'Sc8'!$A$299:$Z$2032,M$3,FALSE)</f>
        <v>0</v>
      </c>
      <c r="N121" s="233">
        <f>VLOOKUP($A121&amp;$B121,'Sc8'!$A$299:$Z$2032,N$3,FALSE)</f>
        <v>0</v>
      </c>
      <c r="O121" s="278">
        <f>VLOOKUP($A121&amp;$B121,'Sc8'!$A$299:$Z$2032,O$3,FALSE)</f>
        <v>0</v>
      </c>
      <c r="P121" s="233">
        <f>VLOOKUP($A121&amp;$B121,'Sc8'!$A$299:$Z$2032,P$3,FALSE)</f>
        <v>0</v>
      </c>
      <c r="Q121" s="278">
        <f>VLOOKUP($A121&amp;$B121,'Sc8'!$A$299:$Z$2032,Q$3,FALSE)</f>
        <v>0</v>
      </c>
      <c r="R121" s="233">
        <f>VLOOKUP($A121&amp;$B121,'Sc8'!$A$299:$Z$2032,R$3,FALSE)</f>
        <v>0</v>
      </c>
      <c r="S121" s="278">
        <f>VLOOKUP($A121&amp;$B121,'Sc8'!$A$299:$Z$2032,S$3,FALSE)</f>
        <v>0</v>
      </c>
      <c r="T121" s="167">
        <f>VLOOKUP($A121&amp;$B121,'Sc8'!$A$299:$Z$2032,T$3,FALSE)</f>
        <v>0</v>
      </c>
    </row>
    <row r="122" spans="1:20" x14ac:dyDescent="0.3">
      <c r="A122" s="99" t="s">
        <v>4912</v>
      </c>
      <c r="B122" t="s">
        <v>5216</v>
      </c>
      <c r="C122" s="233">
        <f>VLOOKUP($A122&amp;$B122,'Sc8'!$A$299:$Z$2032,C$3,FALSE)</f>
        <v>3017.6174069102476</v>
      </c>
      <c r="D122" s="233">
        <f>VLOOKUP($A122&amp;$B122,'Sc8'!$A$299:$Z$2032,D$3,FALSE)</f>
        <v>1014.0635770177494</v>
      </c>
      <c r="E122" s="233">
        <f>VLOOKUP($A122&amp;$B122,'Sc8'!$A$299:$Z$2032,E$3,FALSE)</f>
        <v>4031.6809839279967</v>
      </c>
      <c r="F122" s="233">
        <f>VLOOKUP($A122&amp;$B122,'Sc8'!$A$299:$Z$2032,F$3,FALSE)</f>
        <v>860.94465773275579</v>
      </c>
      <c r="G122" s="233">
        <f>VLOOKUP($A122&amp;$B122,'Sc8'!$A$299:$Z$2032,G$3,FALSE)</f>
        <v>0</v>
      </c>
      <c r="H122" s="233">
        <f>VLOOKUP($A122&amp;$B122,'Sc8'!$A$299:$Z$2032,H$3,FALSE)</f>
        <v>0</v>
      </c>
      <c r="I122" s="233">
        <f>VLOOKUP($A122&amp;$B122,'Sc8'!$A$299:$Z$2032,I$3,FALSE)</f>
        <v>0</v>
      </c>
      <c r="J122" s="167">
        <f>VLOOKUP($A122&amp;$B122,'Sc8'!$A$299:$Z$2032,J$3,FALSE)</f>
        <v>-4031.6809839279967</v>
      </c>
      <c r="K122" s="164">
        <f>VLOOKUP($A122&amp;$B122,'Sc8'!$A$299:$Z$2032,K$3,FALSE)</f>
        <v>92.045831870967106</v>
      </c>
      <c r="L122" s="233">
        <f>VLOOKUP($A122&amp;$B122,'Sc8'!$A$299:$Z$2032,L$3,FALSE)</f>
        <v>6.3135770177494184</v>
      </c>
      <c r="M122" s="278">
        <f>VLOOKUP($A122&amp;$B122,'Sc8'!$A$299:$Z$2032,M$3,FALSE)</f>
        <v>0</v>
      </c>
      <c r="N122" s="233">
        <f>VLOOKUP($A122&amp;$B122,'Sc8'!$A$299:$Z$2032,N$3,FALSE)</f>
        <v>0</v>
      </c>
      <c r="O122" s="278">
        <f>VLOOKUP($A122&amp;$B122,'Sc8'!$A$299:$Z$2032,O$3,FALSE)</f>
        <v>0</v>
      </c>
      <c r="P122" s="233">
        <f>VLOOKUP($A122&amp;$B122,'Sc8'!$A$299:$Z$2032,P$3,FALSE)</f>
        <v>0</v>
      </c>
      <c r="Q122" s="278">
        <f>VLOOKUP($A122&amp;$B122,'Sc8'!$A$299:$Z$2032,Q$3,FALSE)</f>
        <v>0</v>
      </c>
      <c r="R122" s="233">
        <f>VLOOKUP($A122&amp;$B122,'Sc8'!$A$299:$Z$2032,R$3,FALSE)</f>
        <v>0</v>
      </c>
      <c r="S122" s="278">
        <f>VLOOKUP($A122&amp;$B122,'Sc8'!$A$299:$Z$2032,S$3,FALSE)</f>
        <v>0</v>
      </c>
      <c r="T122" s="167">
        <f>VLOOKUP($A122&amp;$B122,'Sc8'!$A$299:$Z$2032,T$3,FALSE)</f>
        <v>0</v>
      </c>
    </row>
    <row r="123" spans="1:20" x14ac:dyDescent="0.3">
      <c r="A123" s="99" t="s">
        <v>4912</v>
      </c>
      <c r="B123" t="s">
        <v>5202</v>
      </c>
      <c r="C123" s="233">
        <f>VLOOKUP($A123&amp;$B123,'Sc8'!$A$299:$Z$2032,C$3,FALSE)</f>
        <v>35828.094139103763</v>
      </c>
      <c r="D123" s="233">
        <f>VLOOKUP($A123&amp;$B123,'Sc8'!$A$299:$Z$2032,D$3,FALSE)</f>
        <v>14161.769964325866</v>
      </c>
      <c r="E123" s="233">
        <f>VLOOKUP($A123&amp;$B123,'Sc8'!$A$299:$Z$2032,E$3,FALSE)</f>
        <v>49989.864103429631</v>
      </c>
      <c r="F123" s="233">
        <f>VLOOKUP($A123&amp;$B123,'Sc8'!$A$299:$Z$2032,F$3,FALSE)</f>
        <v>0</v>
      </c>
      <c r="G123" s="233">
        <f>VLOOKUP($A123&amp;$B123,'Sc8'!$A$299:$Z$2032,G$3,FALSE)</f>
        <v>6135.3295612709117</v>
      </c>
      <c r="H123" s="233">
        <f>VLOOKUP($A123&amp;$B123,'Sc8'!$A$299:$Z$2032,H$3,FALSE)</f>
        <v>0</v>
      </c>
      <c r="I123" s="233">
        <f>VLOOKUP($A123&amp;$B123,'Sc8'!$A$299:$Z$2032,I$3,FALSE)</f>
        <v>0</v>
      </c>
      <c r="J123" s="167">
        <f>VLOOKUP($A123&amp;$B123,'Sc8'!$A$299:$Z$2032,J$3,FALSE)</f>
        <v>-49989.864103429631</v>
      </c>
      <c r="K123" s="164">
        <f>VLOOKUP($A123&amp;$B123,'Sc8'!$A$299:$Z$2032,K$3,FALSE)</f>
        <v>934.64729834049092</v>
      </c>
      <c r="L123" s="233">
        <f>VLOOKUP($A123&amp;$B123,'Sc8'!$A$299:$Z$2032,L$3,FALSE)</f>
        <v>64.109015938671504</v>
      </c>
      <c r="M123" s="278">
        <f>VLOOKUP($A123&amp;$B123,'Sc8'!$A$299:$Z$2032,M$3,FALSE)</f>
        <v>177.61872680194526</v>
      </c>
      <c r="N123" s="233">
        <f>VLOOKUP($A123&amp;$B123,'Sc8'!$A$299:$Z$2032,N$3,FALSE)</f>
        <v>656.56594797502453</v>
      </c>
      <c r="O123" s="278">
        <f>VLOOKUP($A123&amp;$B123,'Sc8'!$A$299:$Z$2032,O$3,FALSE)</f>
        <v>29.953980317025426</v>
      </c>
      <c r="P123" s="233">
        <f>VLOOKUP($A123&amp;$B123,'Sc8'!$A$299:$Z$2032,P$3,FALSE)</f>
        <v>708.71117430082154</v>
      </c>
      <c r="Q123" s="278">
        <f>VLOOKUP($A123&amp;$B123,'Sc8'!$A$299:$Z$2032,Q$3,FALSE)</f>
        <v>0</v>
      </c>
      <c r="R123" s="233">
        <f>VLOOKUP($A123&amp;$B123,'Sc8'!$A$299:$Z$2032,R$3,FALSE)</f>
        <v>0</v>
      </c>
      <c r="S123" s="278">
        <f>VLOOKUP($A123&amp;$B123,'Sc8'!$A$299:$Z$2032,S$3,FALSE)</f>
        <v>29.953980317025426</v>
      </c>
      <c r="T123" s="167">
        <f>VLOOKUP($A123&amp;$B123,'Sc8'!$A$299:$Z$2032,T$3,FALSE)</f>
        <v>708.71117430082154</v>
      </c>
    </row>
    <row r="124" spans="1:20" x14ac:dyDescent="0.3">
      <c r="A124" s="149" t="s">
        <v>4912</v>
      </c>
      <c r="B124" s="650" t="s">
        <v>5203</v>
      </c>
      <c r="C124" s="655">
        <f>VLOOKUP($A124&amp;$B124,'Sc8'!$A$299:$Z$2032,C$3,FALSE)</f>
        <v>240455.52477506676</v>
      </c>
      <c r="D124" s="655">
        <f>VLOOKUP($A124&amp;$B124,'Sc8'!$A$299:$Z$2032,D$3,FALSE)</f>
        <v>109983.03277446126</v>
      </c>
      <c r="E124" s="655">
        <f>VLOOKUP($A124&amp;$B124,'Sc8'!$A$299:$Z$2032,E$3,FALSE)</f>
        <v>350438.55754952796</v>
      </c>
      <c r="F124" s="655">
        <f>VLOOKUP($A124&amp;$B124,'Sc8'!$A$299:$Z$2032,F$3,FALSE)</f>
        <v>860.94465773275579</v>
      </c>
      <c r="G124" s="655">
        <f>VLOOKUP($A124&amp;$B124,'Sc8'!$A$299:$Z$2032,G$3,FALSE)</f>
        <v>6135.3295612709117</v>
      </c>
      <c r="H124" s="655">
        <f>VLOOKUP($A124&amp;$B124,'Sc8'!$A$299:$Z$2032,H$3,FALSE)</f>
        <v>0</v>
      </c>
      <c r="I124" s="655">
        <f>VLOOKUP($A124&amp;$B124,'Sc8'!$A$299:$Z$2032,I$3,FALSE)</f>
        <v>0</v>
      </c>
      <c r="J124" s="656">
        <f>VLOOKUP($A124&amp;$B124,'Sc8'!$A$299:$Z$2032,J$3,FALSE)</f>
        <v>-350438.55754952796</v>
      </c>
      <c r="K124" s="651">
        <f>VLOOKUP($A124&amp;$B124,'Sc8'!$A$299:$Z$2032,K$3,FALSE)</f>
        <v>1276.3395860976152</v>
      </c>
      <c r="L124" s="655">
        <f>VLOOKUP($A124&amp;$B124,'Sc8'!$A$299:$Z$2032,L$3,FALSE)</f>
        <v>87.546259443078924</v>
      </c>
      <c r="M124" s="652">
        <f>VLOOKUP($A124&amp;$B124,'Sc8'!$A$299:$Z$2032,M$3,FALSE)</f>
        <v>177.61872680194526</v>
      </c>
      <c r="N124" s="655">
        <f>VLOOKUP($A124&amp;$B124,'Sc8'!$A$299:$Z$2032,N$3,FALSE)</f>
        <v>656.56594797502453</v>
      </c>
      <c r="O124" s="652">
        <f>VLOOKUP($A124&amp;$B124,'Sc8'!$A$299:$Z$2032,O$3,FALSE)</f>
        <v>29.953980317025426</v>
      </c>
      <c r="P124" s="655">
        <f>VLOOKUP($A124&amp;$B124,'Sc8'!$A$299:$Z$2032,P$3,FALSE)</f>
        <v>708.71117430082154</v>
      </c>
      <c r="Q124" s="652">
        <f>VLOOKUP($A124&amp;$B124,'Sc8'!$A$299:$Z$2032,Q$3,FALSE)</f>
        <v>0</v>
      </c>
      <c r="R124" s="655">
        <f>VLOOKUP($A124&amp;$B124,'Sc8'!$A$299:$Z$2032,R$3,FALSE)</f>
        <v>0</v>
      </c>
      <c r="S124" s="652">
        <f>VLOOKUP($A124&amp;$B124,'Sc8'!$A$299:$Z$2032,S$3,FALSE)</f>
        <v>29.953980317025426</v>
      </c>
      <c r="T124" s="656">
        <f>VLOOKUP($A124&amp;$B124,'Sc8'!$A$299:$Z$2032,T$3,FALSE)</f>
        <v>708.71117430082154</v>
      </c>
    </row>
    <row r="126" spans="1:20" x14ac:dyDescent="0.3">
      <c r="A126" s="3023" t="s">
        <v>5226</v>
      </c>
      <c r="B126" s="3024"/>
      <c r="C126" s="3024"/>
      <c r="D126" s="3024"/>
      <c r="E126" s="3024"/>
      <c r="F126" s="3024"/>
      <c r="G126" s="3024"/>
      <c r="H126" s="3024"/>
      <c r="I126" s="3024"/>
      <c r="J126" s="3024"/>
      <c r="K126" s="3024"/>
      <c r="L126" s="3024"/>
      <c r="M126" s="3024"/>
      <c r="N126" s="3024"/>
      <c r="O126" s="3024"/>
      <c r="P126" s="3024"/>
      <c r="Q126" s="3024"/>
      <c r="R126" s="3024"/>
      <c r="S126" s="3024"/>
      <c r="T126" s="3025"/>
    </row>
    <row r="127" spans="1:20" ht="28.8" x14ac:dyDescent="0.3">
      <c r="A127" s="99"/>
      <c r="B127" s="82" t="s">
        <v>5187</v>
      </c>
      <c r="C127" s="82" t="s">
        <v>2585</v>
      </c>
      <c r="D127" s="82" t="s">
        <v>2588</v>
      </c>
      <c r="E127" s="82" t="s">
        <v>5188</v>
      </c>
      <c r="F127" s="82" t="s">
        <v>5189</v>
      </c>
      <c r="G127" s="82" t="s">
        <v>5190</v>
      </c>
      <c r="H127" s="82" t="s">
        <v>442</v>
      </c>
      <c r="I127" s="82" t="s">
        <v>5191</v>
      </c>
      <c r="J127" s="173" t="s">
        <v>439</v>
      </c>
      <c r="K127" s="661" t="s">
        <v>5192</v>
      </c>
      <c r="L127" s="281" t="s">
        <v>5193</v>
      </c>
      <c r="M127" s="663" t="s">
        <v>5194</v>
      </c>
      <c r="N127" s="281" t="s">
        <v>5195</v>
      </c>
      <c r="O127" s="663" t="s">
        <v>5196</v>
      </c>
      <c r="P127" s="281" t="s">
        <v>5197</v>
      </c>
      <c r="Q127" s="663" t="s">
        <v>5198</v>
      </c>
      <c r="R127" s="281" t="s">
        <v>5199</v>
      </c>
      <c r="S127" s="663" t="s">
        <v>5200</v>
      </c>
      <c r="T127" s="282" t="s">
        <v>5201</v>
      </c>
    </row>
    <row r="128" spans="1:20" x14ac:dyDescent="0.3">
      <c r="A128" s="99" t="s">
        <v>4917</v>
      </c>
      <c r="B128" t="s">
        <v>5209</v>
      </c>
      <c r="C128" s="233">
        <f>VLOOKUP($A128&amp;$B128,'Sc8'!$A$299:$Z$2032,C$3,FALSE)</f>
        <v>0</v>
      </c>
      <c r="D128" s="233">
        <f>VLOOKUP($A128&amp;$B128,'Sc8'!$A$299:$Z$2032,D$3,FALSE)</f>
        <v>217.84991231530387</v>
      </c>
      <c r="E128" s="233">
        <f>VLOOKUP($A128&amp;$B128,'Sc8'!$A$299:$Z$2032,E$3,FALSE)</f>
        <v>217.84991231530387</v>
      </c>
      <c r="F128" s="233">
        <f>VLOOKUP($A128&amp;$B128,'Sc8'!$A$299:$Z$2032,F$3,FALSE)</f>
        <v>0</v>
      </c>
      <c r="G128" s="233">
        <f>VLOOKUP($A128&amp;$B128,'Sc8'!$A$299:$Z$2032,G$3,FALSE)</f>
        <v>0</v>
      </c>
      <c r="H128" s="233">
        <f>VLOOKUP($A128&amp;$B128,'Sc8'!$A$299:$Z$2032,H$3,FALSE)</f>
        <v>0</v>
      </c>
      <c r="I128" s="233">
        <f>VLOOKUP($A128&amp;$B128,'Sc8'!$A$299:$Z$2032,I$3,FALSE)</f>
        <v>0</v>
      </c>
      <c r="J128" s="167">
        <f>VLOOKUP($A128&amp;$B128,'Sc8'!$A$299:$Z$2032,J$3,FALSE)</f>
        <v>-217.84991231530387</v>
      </c>
      <c r="K128" s="164">
        <f>VLOOKUP($A128&amp;$B128,'Sc8'!$A$299:$Z$2032,K$3,FALSE)</f>
        <v>0</v>
      </c>
      <c r="L128" s="233">
        <f>VLOOKUP($A128&amp;$B128,'Sc8'!$A$299:$Z$2032,L$3,FALSE)</f>
        <v>0</v>
      </c>
      <c r="M128" s="278">
        <f>VLOOKUP($A128&amp;$B128,'Sc8'!$A$299:$Z$2032,M$3,FALSE)</f>
        <v>0</v>
      </c>
      <c r="N128" s="233">
        <f>VLOOKUP($A128&amp;$B128,'Sc8'!$A$299:$Z$2032,N$3,FALSE)</f>
        <v>0</v>
      </c>
      <c r="O128" s="278">
        <f>VLOOKUP($A128&amp;$B128,'Sc8'!$A$299:$Z$2032,O$3,FALSE)</f>
        <v>0</v>
      </c>
      <c r="P128" s="233">
        <f>VLOOKUP($A128&amp;$B128,'Sc8'!$A$299:$Z$2032,P$3,FALSE)</f>
        <v>0</v>
      </c>
      <c r="Q128" s="278">
        <f>VLOOKUP($A128&amp;$B128,'Sc8'!$A$299:$Z$2032,Q$3,FALSE)</f>
        <v>0</v>
      </c>
      <c r="R128" s="233">
        <f>VLOOKUP($A128&amp;$B128,'Sc8'!$A$299:$Z$2032,R$3,FALSE)</f>
        <v>0</v>
      </c>
      <c r="S128" s="278">
        <f>VLOOKUP($A128&amp;$B128,'Sc8'!$A$299:$Z$2032,S$3,FALSE)</f>
        <v>0</v>
      </c>
      <c r="T128" s="167">
        <f>VLOOKUP($A128&amp;$B128,'Sc8'!$A$299:$Z$2032,T$3,FALSE)</f>
        <v>0</v>
      </c>
    </row>
    <row r="129" spans="1:20" x14ac:dyDescent="0.3">
      <c r="A129" s="99" t="s">
        <v>4917</v>
      </c>
      <c r="B129" t="s">
        <v>5219</v>
      </c>
      <c r="C129" s="233">
        <f>VLOOKUP($A129&amp;$B129,'Sc8'!$A$299:$Z$2032,C$3,FALSE)</f>
        <v>2085.172249970477</v>
      </c>
      <c r="D129" s="233">
        <f>VLOOKUP($A129&amp;$B129,'Sc8'!$A$299:$Z$2032,D$3,FALSE)</f>
        <v>1629.2470937565076</v>
      </c>
      <c r="E129" s="233">
        <f>VLOOKUP($A129&amp;$B129,'Sc8'!$A$299:$Z$2032,E$3,FALSE)</f>
        <v>3714.4193437269846</v>
      </c>
      <c r="F129" s="233">
        <f>VLOOKUP($A129&amp;$B129,'Sc8'!$A$299:$Z$2032,F$3,FALSE)</f>
        <v>0</v>
      </c>
      <c r="G129" s="233">
        <f>VLOOKUP($A129&amp;$B129,'Sc8'!$A$299:$Z$2032,G$3,FALSE)</f>
        <v>0</v>
      </c>
      <c r="H129" s="233">
        <f>VLOOKUP($A129&amp;$B129,'Sc8'!$A$299:$Z$2032,H$3,FALSE)</f>
        <v>0</v>
      </c>
      <c r="I129" s="233">
        <f>VLOOKUP($A129&amp;$B129,'Sc8'!$A$299:$Z$2032,I$3,FALSE)</f>
        <v>0</v>
      </c>
      <c r="J129" s="167">
        <f>VLOOKUP($A129&amp;$B129,'Sc8'!$A$299:$Z$2032,J$3,FALSE)</f>
        <v>-3714.4193437269846</v>
      </c>
      <c r="K129" s="164">
        <f>VLOOKUP($A129&amp;$B129,'Sc8'!$A$299:$Z$2032,K$3,FALSE)</f>
        <v>249.64645588615733</v>
      </c>
      <c r="L129" s="233">
        <f>VLOOKUP($A129&amp;$B129,'Sc8'!$A$299:$Z$2032,L$3,FALSE)</f>
        <v>17.123666486658006</v>
      </c>
      <c r="M129" s="278">
        <f>VLOOKUP($A129&amp;$B129,'Sc8'!$A$299:$Z$2032,M$3,FALSE)</f>
        <v>0</v>
      </c>
      <c r="N129" s="233">
        <f>VLOOKUP($A129&amp;$B129,'Sc8'!$A$299:$Z$2032,N$3,FALSE)</f>
        <v>0</v>
      </c>
      <c r="O129" s="278">
        <f>VLOOKUP($A129&amp;$B129,'Sc8'!$A$299:$Z$2032,O$3,FALSE)</f>
        <v>0</v>
      </c>
      <c r="P129" s="233">
        <f>VLOOKUP($A129&amp;$B129,'Sc8'!$A$299:$Z$2032,P$3,FALSE)</f>
        <v>0</v>
      </c>
      <c r="Q129" s="278">
        <f>VLOOKUP($A129&amp;$B129,'Sc8'!$A$299:$Z$2032,Q$3,FALSE)</f>
        <v>0</v>
      </c>
      <c r="R129" s="233">
        <f>VLOOKUP($A129&amp;$B129,'Sc8'!$A$299:$Z$2032,R$3,FALSE)</f>
        <v>0</v>
      </c>
      <c r="S129" s="278">
        <f>VLOOKUP($A129&amp;$B129,'Sc8'!$A$299:$Z$2032,S$3,FALSE)</f>
        <v>0</v>
      </c>
      <c r="T129" s="167">
        <f>VLOOKUP($A129&amp;$B129,'Sc8'!$A$299:$Z$2032,T$3,FALSE)</f>
        <v>0</v>
      </c>
    </row>
    <row r="130" spans="1:20" x14ac:dyDescent="0.3">
      <c r="A130" s="99" t="s">
        <v>4917</v>
      </c>
      <c r="B130" t="s">
        <v>5220</v>
      </c>
      <c r="C130" s="233">
        <f>VLOOKUP($A130&amp;$B130,'Sc8'!$A$299:$Z$2032,C$3,FALSE)</f>
        <v>187641.84410893399</v>
      </c>
      <c r="D130" s="233">
        <f>VLOOKUP($A130&amp;$B130,'Sc8'!$A$299:$Z$2032,D$3,FALSE)</f>
        <v>90757.52770813668</v>
      </c>
      <c r="E130" s="233">
        <f>VLOOKUP($A130&amp;$B130,'Sc8'!$A$299:$Z$2032,E$3,FALSE)</f>
        <v>278399.37181707064</v>
      </c>
      <c r="F130" s="233">
        <f>VLOOKUP($A130&amp;$B130,'Sc8'!$A$299:$Z$2032,F$3,FALSE)</f>
        <v>0</v>
      </c>
      <c r="G130" s="233">
        <f>VLOOKUP($A130&amp;$B130,'Sc8'!$A$299:$Z$2032,G$3,FALSE)</f>
        <v>0</v>
      </c>
      <c r="H130" s="233">
        <f>VLOOKUP($A130&amp;$B130,'Sc8'!$A$299:$Z$2032,H$3,FALSE)</f>
        <v>0</v>
      </c>
      <c r="I130" s="233">
        <f>VLOOKUP($A130&amp;$B130,'Sc8'!$A$299:$Z$2032,I$3,FALSE)</f>
        <v>0</v>
      </c>
      <c r="J130" s="167">
        <f>VLOOKUP($A130&amp;$B130,'Sc8'!$A$299:$Z$2032,J$3,FALSE)</f>
        <v>-278399.37181707064</v>
      </c>
      <c r="K130" s="164">
        <f>VLOOKUP($A130&amp;$B130,'Sc8'!$A$299:$Z$2032,K$3,FALSE)</f>
        <v>0</v>
      </c>
      <c r="L130" s="233">
        <f>VLOOKUP($A130&amp;$B130,'Sc8'!$A$299:$Z$2032,L$3,FALSE)</f>
        <v>0</v>
      </c>
      <c r="M130" s="278">
        <f>VLOOKUP($A130&amp;$B130,'Sc8'!$A$299:$Z$2032,M$3,FALSE)</f>
        <v>0</v>
      </c>
      <c r="N130" s="233">
        <f>VLOOKUP($A130&amp;$B130,'Sc8'!$A$299:$Z$2032,N$3,FALSE)</f>
        <v>0</v>
      </c>
      <c r="O130" s="278">
        <f>VLOOKUP($A130&amp;$B130,'Sc8'!$A$299:$Z$2032,O$3,FALSE)</f>
        <v>0</v>
      </c>
      <c r="P130" s="233">
        <f>VLOOKUP($A130&amp;$B130,'Sc8'!$A$299:$Z$2032,P$3,FALSE)</f>
        <v>0</v>
      </c>
      <c r="Q130" s="278">
        <f>VLOOKUP($A130&amp;$B130,'Sc8'!$A$299:$Z$2032,Q$3,FALSE)</f>
        <v>0</v>
      </c>
      <c r="R130" s="233">
        <f>VLOOKUP($A130&amp;$B130,'Sc8'!$A$299:$Z$2032,R$3,FALSE)</f>
        <v>0</v>
      </c>
      <c r="S130" s="278">
        <f>VLOOKUP($A130&amp;$B130,'Sc8'!$A$299:$Z$2032,S$3,FALSE)</f>
        <v>0</v>
      </c>
      <c r="T130" s="167">
        <f>VLOOKUP($A130&amp;$B130,'Sc8'!$A$299:$Z$2032,T$3,FALSE)</f>
        <v>0</v>
      </c>
    </row>
    <row r="131" spans="1:20" x14ac:dyDescent="0.3">
      <c r="A131" s="99" t="s">
        <v>4917</v>
      </c>
      <c r="B131" s="90" t="s">
        <v>5210</v>
      </c>
      <c r="C131" s="233">
        <f>VLOOKUP($A131&amp;$B131,'Sc8'!$A$299:$Z$2032,C$3,FALSE)</f>
        <v>10450.363362243077</v>
      </c>
      <c r="D131" s="233">
        <f>VLOOKUP($A131&amp;$B131,'Sc8'!$A$299:$Z$2032,D$3,FALSE)</f>
        <v>1937.0611402811251</v>
      </c>
      <c r="E131" s="233">
        <f>VLOOKUP($A131&amp;$B131,'Sc8'!$A$299:$Z$2032,E$3,FALSE)</f>
        <v>12387.424502524202</v>
      </c>
      <c r="F131" s="233">
        <f>VLOOKUP($A131&amp;$B131,'Sc8'!$A$299:$Z$2032,F$3,FALSE)</f>
        <v>0</v>
      </c>
      <c r="G131" s="233">
        <f>VLOOKUP($A131&amp;$B131,'Sc8'!$A$299:$Z$2032,G$3,FALSE)</f>
        <v>0</v>
      </c>
      <c r="H131" s="233">
        <f>VLOOKUP($A131&amp;$B131,'Sc8'!$A$299:$Z$2032,H$3,FALSE)</f>
        <v>0</v>
      </c>
      <c r="I131" s="233">
        <f>VLOOKUP($A131&amp;$B131,'Sc8'!$A$299:$Z$2032,I$3,FALSE)</f>
        <v>0</v>
      </c>
      <c r="J131" s="167">
        <f>VLOOKUP($A131&amp;$B131,'Sc8'!$A$299:$Z$2032,J$3,FALSE)</f>
        <v>-12387.424502524202</v>
      </c>
      <c r="K131" s="164">
        <f>VLOOKUP($A131&amp;$B131,'Sc8'!$A$299:$Z$2032,K$3,FALSE)</f>
        <v>0</v>
      </c>
      <c r="L131" s="233">
        <f>VLOOKUP($A131&amp;$B131,'Sc8'!$A$299:$Z$2032,L$3,FALSE)</f>
        <v>0</v>
      </c>
      <c r="M131" s="278">
        <f>VLOOKUP($A131&amp;$B131,'Sc8'!$A$299:$Z$2032,M$3,FALSE)</f>
        <v>0</v>
      </c>
      <c r="N131" s="233">
        <f>VLOOKUP($A131&amp;$B131,'Sc8'!$A$299:$Z$2032,N$3,FALSE)</f>
        <v>0</v>
      </c>
      <c r="O131" s="278">
        <f>VLOOKUP($A131&amp;$B131,'Sc8'!$A$299:$Z$2032,O$3,FALSE)</f>
        <v>0</v>
      </c>
      <c r="P131" s="233">
        <f>VLOOKUP($A131&amp;$B131,'Sc8'!$A$299:$Z$2032,P$3,FALSE)</f>
        <v>0</v>
      </c>
      <c r="Q131" s="278">
        <f>VLOOKUP($A131&amp;$B131,'Sc8'!$A$299:$Z$2032,Q$3,FALSE)</f>
        <v>0</v>
      </c>
      <c r="R131" s="233">
        <f>VLOOKUP($A131&amp;$B131,'Sc8'!$A$299:$Z$2032,R$3,FALSE)</f>
        <v>0</v>
      </c>
      <c r="S131" s="278">
        <f>VLOOKUP($A131&amp;$B131,'Sc8'!$A$299:$Z$2032,S$3,FALSE)</f>
        <v>0</v>
      </c>
      <c r="T131" s="167">
        <f>VLOOKUP($A131&amp;$B131,'Sc8'!$A$299:$Z$2032,T$3,FALSE)</f>
        <v>0</v>
      </c>
    </row>
    <row r="132" spans="1:20" x14ac:dyDescent="0.3">
      <c r="A132" s="99" t="s">
        <v>4917</v>
      </c>
      <c r="B132" t="s">
        <v>5216</v>
      </c>
      <c r="C132" s="233">
        <f>VLOOKUP($A132&amp;$B132,'Sc8'!$A$299:$Z$2032,C$3,FALSE)</f>
        <v>3017.6174069102476</v>
      </c>
      <c r="D132" s="233">
        <f>VLOOKUP($A132&amp;$B132,'Sc8'!$A$299:$Z$2032,D$3,FALSE)</f>
        <v>1014.0635770177494</v>
      </c>
      <c r="E132" s="233">
        <f>VLOOKUP($A132&amp;$B132,'Sc8'!$A$299:$Z$2032,E$3,FALSE)</f>
        <v>4031.6809839279967</v>
      </c>
      <c r="F132" s="233">
        <f>VLOOKUP($A132&amp;$B132,'Sc8'!$A$299:$Z$2032,F$3,FALSE)</f>
        <v>860.94465773275579</v>
      </c>
      <c r="G132" s="233">
        <f>VLOOKUP($A132&amp;$B132,'Sc8'!$A$299:$Z$2032,G$3,FALSE)</f>
        <v>0</v>
      </c>
      <c r="H132" s="233">
        <f>VLOOKUP($A132&amp;$B132,'Sc8'!$A$299:$Z$2032,H$3,FALSE)</f>
        <v>0</v>
      </c>
      <c r="I132" s="233">
        <f>VLOOKUP($A132&amp;$B132,'Sc8'!$A$299:$Z$2032,I$3,FALSE)</f>
        <v>0</v>
      </c>
      <c r="J132" s="167">
        <f>VLOOKUP($A132&amp;$B132,'Sc8'!$A$299:$Z$2032,J$3,FALSE)</f>
        <v>-4031.6809839279967</v>
      </c>
      <c r="K132" s="164">
        <f>VLOOKUP($A132&amp;$B132,'Sc8'!$A$299:$Z$2032,K$3,FALSE)</f>
        <v>92.045831870967106</v>
      </c>
      <c r="L132" s="233">
        <f>VLOOKUP($A132&amp;$B132,'Sc8'!$A$299:$Z$2032,L$3,FALSE)</f>
        <v>6.3135770177494184</v>
      </c>
      <c r="M132" s="278">
        <f>VLOOKUP($A132&amp;$B132,'Sc8'!$A$299:$Z$2032,M$3,FALSE)</f>
        <v>0</v>
      </c>
      <c r="N132" s="233">
        <f>VLOOKUP($A132&amp;$B132,'Sc8'!$A$299:$Z$2032,N$3,FALSE)</f>
        <v>0</v>
      </c>
      <c r="O132" s="278">
        <f>VLOOKUP($A132&amp;$B132,'Sc8'!$A$299:$Z$2032,O$3,FALSE)</f>
        <v>0</v>
      </c>
      <c r="P132" s="233">
        <f>VLOOKUP($A132&amp;$B132,'Sc8'!$A$299:$Z$2032,P$3,FALSE)</f>
        <v>0</v>
      </c>
      <c r="Q132" s="278">
        <f>VLOOKUP($A132&amp;$B132,'Sc8'!$A$299:$Z$2032,Q$3,FALSE)</f>
        <v>0</v>
      </c>
      <c r="R132" s="233">
        <f>VLOOKUP($A132&amp;$B132,'Sc8'!$A$299:$Z$2032,R$3,FALSE)</f>
        <v>0</v>
      </c>
      <c r="S132" s="278">
        <f>VLOOKUP($A132&amp;$B132,'Sc8'!$A$299:$Z$2032,S$3,FALSE)</f>
        <v>0</v>
      </c>
      <c r="T132" s="167">
        <f>VLOOKUP($A132&amp;$B132,'Sc8'!$A$299:$Z$2032,T$3,FALSE)</f>
        <v>0</v>
      </c>
    </row>
    <row r="133" spans="1:20" x14ac:dyDescent="0.3">
      <c r="A133" s="99" t="s">
        <v>4917</v>
      </c>
      <c r="B133" t="s">
        <v>5205</v>
      </c>
      <c r="C133" s="233">
        <f>VLOOKUP($A133&amp;$B133,'Sc8'!$A$299:$Z$2032,C$3,FALSE)</f>
        <v>89615.868028058525</v>
      </c>
      <c r="D133" s="233">
        <f>VLOOKUP($A133&amp;$B133,'Sc8'!$A$299:$Z$2032,D$3,FALSE)</f>
        <v>31030.375358167454</v>
      </c>
      <c r="E133" s="233">
        <f>VLOOKUP($A133&amp;$B133,'Sc8'!$A$299:$Z$2032,E$3,FALSE)</f>
        <v>120646.24338622598</v>
      </c>
      <c r="F133" s="233">
        <f>VLOOKUP($A133&amp;$B133,'Sc8'!$A$299:$Z$2032,F$3,FALSE)</f>
        <v>0</v>
      </c>
      <c r="G133" s="233">
        <f>VLOOKUP($A133&amp;$B133,'Sc8'!$A$299:$Z$2032,G$3,FALSE)</f>
        <v>6135.3295612709117</v>
      </c>
      <c r="H133" s="233">
        <f>VLOOKUP($A133&amp;$B133,'Sc8'!$A$299:$Z$2032,H$3,FALSE)</f>
        <v>0</v>
      </c>
      <c r="I133" s="233">
        <f>VLOOKUP($A133&amp;$B133,'Sc8'!$A$299:$Z$2032,I$3,FALSE)</f>
        <v>0</v>
      </c>
      <c r="J133" s="167">
        <f>VLOOKUP($A133&amp;$B133,'Sc8'!$A$299:$Z$2032,J$3,FALSE)</f>
        <v>-120646.24338622598</v>
      </c>
      <c r="K133" s="164">
        <f>VLOOKUP($A133&amp;$B133,'Sc8'!$A$299:$Z$2032,K$3,FALSE)</f>
        <v>934.64729834049092</v>
      </c>
      <c r="L133" s="233">
        <f>VLOOKUP($A133&amp;$B133,'Sc8'!$A$299:$Z$2032,L$3,FALSE)</f>
        <v>64.109015938671504</v>
      </c>
      <c r="M133" s="278">
        <f>VLOOKUP($A133&amp;$B133,'Sc8'!$A$299:$Z$2032,M$3,FALSE)</f>
        <v>68.243645858903875</v>
      </c>
      <c r="N133" s="233">
        <f>VLOOKUP($A133&amp;$B133,'Sc8'!$A$299:$Z$2032,N$3,FALSE)</f>
        <v>252.26199310945836</v>
      </c>
      <c r="O133" s="278">
        <f>VLOOKUP($A133&amp;$B133,'Sc8'!$A$299:$Z$2032,O$3,FALSE)</f>
        <v>9.7379590100001963</v>
      </c>
      <c r="P133" s="233">
        <f>VLOOKUP($A133&amp;$B133,'Sc8'!$A$299:$Z$2032,P$3,FALSE)</f>
        <v>230.40011017660464</v>
      </c>
      <c r="Q133" s="278">
        <f>VLOOKUP($A133&amp;$B133,'Sc8'!$A$299:$Z$2032,Q$3,FALSE)</f>
        <v>0</v>
      </c>
      <c r="R133" s="233">
        <f>VLOOKUP($A133&amp;$B133,'Sc8'!$A$299:$Z$2032,R$3,FALSE)</f>
        <v>0</v>
      </c>
      <c r="S133" s="278">
        <f>VLOOKUP($A133&amp;$B133,'Sc8'!$A$299:$Z$2032,S$3,FALSE)</f>
        <v>9.7379590100001963</v>
      </c>
      <c r="T133" s="167">
        <f>VLOOKUP($A133&amp;$B133,'Sc8'!$A$299:$Z$2032,T$3,FALSE)</f>
        <v>230.40011017660464</v>
      </c>
    </row>
    <row r="134" spans="1:20" x14ac:dyDescent="0.3">
      <c r="A134" s="149" t="s">
        <v>4917</v>
      </c>
      <c r="B134" s="650" t="s">
        <v>5203</v>
      </c>
      <c r="C134" s="655">
        <f>VLOOKUP($A134&amp;$B134,'Sc8'!$A$299:$Z$2032,C$3,FALSE)</f>
        <v>294243.29866402154</v>
      </c>
      <c r="D134" s="655">
        <f>VLOOKUP($A134&amp;$B134,'Sc8'!$A$299:$Z$2032,D$3,FALSE)</f>
        <v>126851.63816830284</v>
      </c>
      <c r="E134" s="655">
        <f>VLOOKUP($A134&amp;$B134,'Sc8'!$A$299:$Z$2032,E$3,FALSE)</f>
        <v>421094.93683232437</v>
      </c>
      <c r="F134" s="655">
        <f>VLOOKUP($A134&amp;$B134,'Sc8'!$A$299:$Z$2032,F$3,FALSE)</f>
        <v>860.94465773275579</v>
      </c>
      <c r="G134" s="655">
        <f>VLOOKUP($A134&amp;$B134,'Sc8'!$A$299:$Z$2032,G$3,FALSE)</f>
        <v>6135.3295612709117</v>
      </c>
      <c r="H134" s="655">
        <f>VLOOKUP($A134&amp;$B134,'Sc8'!$A$299:$Z$2032,H$3,FALSE)</f>
        <v>0</v>
      </c>
      <c r="I134" s="655">
        <f>VLOOKUP($A134&amp;$B134,'Sc8'!$A$299:$Z$2032,I$3,FALSE)</f>
        <v>0</v>
      </c>
      <c r="J134" s="656">
        <f>VLOOKUP($A134&amp;$B134,'Sc8'!$A$299:$Z$2032,J$3,FALSE)</f>
        <v>-421094.93683232437</v>
      </c>
      <c r="K134" s="651">
        <f>VLOOKUP($A134&amp;$B134,'Sc8'!$A$299:$Z$2032,K$3,FALSE)</f>
        <v>1276.3395860976152</v>
      </c>
      <c r="L134" s="655">
        <f>VLOOKUP($A134&amp;$B134,'Sc8'!$A$299:$Z$2032,L$3,FALSE)</f>
        <v>87.546259443078924</v>
      </c>
      <c r="M134" s="652">
        <f>VLOOKUP($A134&amp;$B134,'Sc8'!$A$299:$Z$2032,M$3,FALSE)</f>
        <v>68.243645858903875</v>
      </c>
      <c r="N134" s="655">
        <f>VLOOKUP($A134&amp;$B134,'Sc8'!$A$299:$Z$2032,N$3,FALSE)</f>
        <v>252.26199310945836</v>
      </c>
      <c r="O134" s="652">
        <f>VLOOKUP($A134&amp;$B134,'Sc8'!$A$299:$Z$2032,O$3,FALSE)</f>
        <v>9.7379590100001963</v>
      </c>
      <c r="P134" s="655">
        <f>VLOOKUP($A134&amp;$B134,'Sc8'!$A$299:$Z$2032,P$3,FALSE)</f>
        <v>230.40011017660464</v>
      </c>
      <c r="Q134" s="652">
        <f>VLOOKUP($A134&amp;$B134,'Sc8'!$A$299:$Z$2032,Q$3,FALSE)</f>
        <v>0</v>
      </c>
      <c r="R134" s="655">
        <f>VLOOKUP($A134&amp;$B134,'Sc8'!$A$299:$Z$2032,R$3,FALSE)</f>
        <v>0</v>
      </c>
      <c r="S134" s="652">
        <f>VLOOKUP($A134&amp;$B134,'Sc8'!$A$299:$Z$2032,S$3,FALSE)</f>
        <v>9.7379590100001963</v>
      </c>
      <c r="T134" s="656">
        <f>VLOOKUP($A134&amp;$B134,'Sc8'!$A$299:$Z$2032,T$3,FALSE)</f>
        <v>230.40011017660464</v>
      </c>
    </row>
    <row r="136" spans="1:20" x14ac:dyDescent="0.3">
      <c r="A136" s="3020" t="s">
        <v>5227</v>
      </c>
      <c r="B136" s="3021"/>
      <c r="C136" s="3021"/>
      <c r="D136" s="3021"/>
      <c r="E136" s="3021"/>
      <c r="F136" s="3021"/>
      <c r="G136" s="3021"/>
      <c r="H136" s="3021"/>
      <c r="I136" s="3021"/>
      <c r="J136" s="3021"/>
      <c r="K136" s="3021"/>
      <c r="L136" s="3021"/>
      <c r="M136" s="3021"/>
      <c r="N136" s="3021"/>
      <c r="O136" s="3021"/>
      <c r="P136" s="3021"/>
      <c r="Q136" s="3021"/>
      <c r="R136" s="3021"/>
      <c r="S136" s="3021"/>
      <c r="T136" s="3022"/>
    </row>
    <row r="137" spans="1:20" ht="28.8" x14ac:dyDescent="0.3">
      <c r="A137" s="99"/>
      <c r="B137" s="82" t="s">
        <v>5187</v>
      </c>
      <c r="C137" s="82" t="s">
        <v>2585</v>
      </c>
      <c r="D137" s="82" t="s">
        <v>2588</v>
      </c>
      <c r="E137" s="82" t="s">
        <v>5188</v>
      </c>
      <c r="F137" s="82" t="s">
        <v>5189</v>
      </c>
      <c r="G137" s="82" t="s">
        <v>5190</v>
      </c>
      <c r="H137" s="82" t="s">
        <v>442</v>
      </c>
      <c r="I137" s="82" t="s">
        <v>5191</v>
      </c>
      <c r="J137" s="173" t="s">
        <v>439</v>
      </c>
      <c r="K137" s="661" t="s">
        <v>5192</v>
      </c>
      <c r="L137" s="281" t="s">
        <v>5193</v>
      </c>
      <c r="M137" s="663" t="s">
        <v>5194</v>
      </c>
      <c r="N137" s="281" t="s">
        <v>5195</v>
      </c>
      <c r="O137" s="663" t="s">
        <v>5196</v>
      </c>
      <c r="P137" s="281" t="s">
        <v>5197</v>
      </c>
      <c r="Q137" s="663" t="s">
        <v>5198</v>
      </c>
      <c r="R137" s="281" t="s">
        <v>5199</v>
      </c>
      <c r="S137" s="663" t="s">
        <v>5200</v>
      </c>
      <c r="T137" s="282" t="s">
        <v>5201</v>
      </c>
    </row>
    <row r="138" spans="1:20" x14ac:dyDescent="0.3">
      <c r="A138" s="99" t="s">
        <v>4912</v>
      </c>
      <c r="B138" t="s">
        <v>5209</v>
      </c>
      <c r="C138" s="233">
        <f>VLOOKUP($A138&amp;$B138,'Sc9'!$A$299:$Z$2039,C$3,FALSE)</f>
        <v>0</v>
      </c>
      <c r="D138" s="233">
        <f>VLOOKUP($A138&amp;$B138,'Sc9'!$A$299:$Z$2039,D$3,FALSE)</f>
        <v>239.78900165651024</v>
      </c>
      <c r="E138" s="233">
        <f>VLOOKUP($A138&amp;$B138,'Sc9'!$A$299:$Z$2039,E$3,FALSE)</f>
        <v>239.78900165651024</v>
      </c>
      <c r="F138" s="233">
        <f>VLOOKUP($A138&amp;$B138,'Sc9'!$A$299:$Z$2039,F$3,FALSE)</f>
        <v>0</v>
      </c>
      <c r="G138" s="233">
        <f>VLOOKUP($A138&amp;$B138,'Sc9'!$A$299:$Z$2039,G$3,FALSE)</f>
        <v>0</v>
      </c>
      <c r="H138" s="233">
        <f>VLOOKUP($A138&amp;$B138,'Sc9'!$A$299:$Z$2039,H$3,FALSE)</f>
        <v>0</v>
      </c>
      <c r="I138" s="233">
        <f>VLOOKUP($A138&amp;$B138,'Sc9'!$A$299:$Z$2039,I$3,FALSE)</f>
        <v>0</v>
      </c>
      <c r="J138" s="167">
        <f>VLOOKUP($A138&amp;$B138,'Sc9'!$A$299:$Z$2039,J$3,FALSE)</f>
        <v>-239.78900165651024</v>
      </c>
      <c r="K138" s="164">
        <f>VLOOKUP($A138&amp;$B138,'Sc9'!$A$299:$Z$2039,K$3,FALSE)</f>
        <v>0</v>
      </c>
      <c r="L138" s="233">
        <f>VLOOKUP($A138&amp;$B138,'Sc9'!$A$299:$Z$2039,L$3,FALSE)</f>
        <v>0</v>
      </c>
      <c r="M138" s="278">
        <f>VLOOKUP($A138&amp;$B138,'Sc9'!$A$299:$Z$2039,M$3,FALSE)</f>
        <v>0</v>
      </c>
      <c r="N138" s="233">
        <f>VLOOKUP($A138&amp;$B138,'Sc9'!$A$299:$Z$2039,N$3,FALSE)</f>
        <v>0</v>
      </c>
      <c r="O138" s="278">
        <f>VLOOKUP($A138&amp;$B138,'Sc9'!$A$299:$Z$2039,O$3,FALSE)</f>
        <v>0</v>
      </c>
      <c r="P138" s="233">
        <f>VLOOKUP($A138&amp;$B138,'Sc9'!$A$299:$Z$2039,P$3,FALSE)</f>
        <v>0</v>
      </c>
      <c r="Q138" s="278">
        <f>VLOOKUP($A138&amp;$B138,'Sc9'!$A$299:$Z$2039,Q$3,FALSE)</f>
        <v>0</v>
      </c>
      <c r="R138" s="233">
        <f>VLOOKUP($A138&amp;$B138,'Sc9'!$A$299:$Z$2039,R$3,FALSE)</f>
        <v>0</v>
      </c>
      <c r="S138" s="278">
        <f>VLOOKUP($A138&amp;$B138,'Sc9'!$A$299:$Z$2039,S$3,FALSE)</f>
        <v>0</v>
      </c>
      <c r="T138" s="167">
        <f>VLOOKUP($A138&amp;$B138,'Sc9'!$A$299:$Z$2039,T$3,FALSE)</f>
        <v>0</v>
      </c>
    </row>
    <row r="139" spans="1:20" x14ac:dyDescent="0.3">
      <c r="A139" s="99" t="s">
        <v>4912</v>
      </c>
      <c r="B139" t="s">
        <v>5219</v>
      </c>
      <c r="C139" s="233">
        <f>VLOOKUP($A139&amp;$B139,'Sc9'!$A$299:$Z$2039,C$3,FALSE)</f>
        <v>3756.3169475301229</v>
      </c>
      <c r="D139" s="233">
        <f>VLOOKUP($A139&amp;$B139,'Sc9'!$A$299:$Z$2039,D$3,FALSE)</f>
        <v>2024.7429898674507</v>
      </c>
      <c r="E139" s="233">
        <f>VLOOKUP($A139&amp;$B139,'Sc9'!$A$299:$Z$2039,E$3,FALSE)</f>
        <v>5781.0599373975738</v>
      </c>
      <c r="F139" s="233">
        <f>VLOOKUP($A139&amp;$B139,'Sc9'!$A$299:$Z$2039,F$3,FALSE)</f>
        <v>0</v>
      </c>
      <c r="G139" s="233">
        <f>VLOOKUP($A139&amp;$B139,'Sc9'!$A$299:$Z$2039,G$3,FALSE)</f>
        <v>0</v>
      </c>
      <c r="H139" s="233">
        <f>VLOOKUP($A139&amp;$B139,'Sc9'!$A$299:$Z$2039,H$3,FALSE)</f>
        <v>0</v>
      </c>
      <c r="I139" s="233">
        <f>VLOOKUP($A139&amp;$B139,'Sc9'!$A$299:$Z$2039,I$3,FALSE)</f>
        <v>0</v>
      </c>
      <c r="J139" s="167">
        <f>VLOOKUP($A139&amp;$B139,'Sc9'!$A$299:$Z$2039,J$3,FALSE)</f>
        <v>-5781.0599373975738</v>
      </c>
      <c r="K139" s="164">
        <f>VLOOKUP($A139&amp;$B139,'Sc9'!$A$299:$Z$2039,K$3,FALSE)</f>
        <v>1499.5858662098678</v>
      </c>
      <c r="L139" s="233">
        <f>VLOOKUP($A139&amp;$B139,'Sc9'!$A$299:$Z$2039,L$3,FALSE)</f>
        <v>102.85909387311185</v>
      </c>
      <c r="M139" s="278">
        <f>VLOOKUP($A139&amp;$B139,'Sc9'!$A$299:$Z$2039,M$3,FALSE)</f>
        <v>0</v>
      </c>
      <c r="N139" s="233">
        <f>VLOOKUP($A139&amp;$B139,'Sc9'!$A$299:$Z$2039,N$3,FALSE)</f>
        <v>0</v>
      </c>
      <c r="O139" s="278">
        <f>VLOOKUP($A139&amp;$B139,'Sc9'!$A$299:$Z$2039,O$3,FALSE)</f>
        <v>0</v>
      </c>
      <c r="P139" s="233">
        <f>VLOOKUP($A139&amp;$B139,'Sc9'!$A$299:$Z$2039,P$3,FALSE)</f>
        <v>0</v>
      </c>
      <c r="Q139" s="278">
        <f>VLOOKUP($A139&amp;$B139,'Sc9'!$A$299:$Z$2039,Q$3,FALSE)</f>
        <v>0</v>
      </c>
      <c r="R139" s="233">
        <f>VLOOKUP($A139&amp;$B139,'Sc9'!$A$299:$Z$2039,R$3,FALSE)</f>
        <v>0</v>
      </c>
      <c r="S139" s="278">
        <f>VLOOKUP($A139&amp;$B139,'Sc9'!$A$299:$Z$2039,S$3,FALSE)</f>
        <v>0</v>
      </c>
      <c r="T139" s="167">
        <f>VLOOKUP($A139&amp;$B139,'Sc9'!$A$299:$Z$2039,T$3,FALSE)</f>
        <v>0</v>
      </c>
    </row>
    <row r="140" spans="1:20" x14ac:dyDescent="0.3">
      <c r="A140" s="99" t="s">
        <v>4912</v>
      </c>
      <c r="B140" t="s">
        <v>4683</v>
      </c>
      <c r="C140" s="233">
        <f>VLOOKUP($A140&amp;$B140,'Sc9'!$A$299:$Z$2039,C$3,FALSE)</f>
        <v>28823.135132095718</v>
      </c>
      <c r="D140" s="233">
        <f>VLOOKUP($A140&amp;$B140,'Sc9'!$A$299:$Z$2039,D$3,FALSE)</f>
        <v>5342.606096087974</v>
      </c>
      <c r="E140" s="233">
        <f>VLOOKUP($A140&amp;$B140,'Sc9'!$A$299:$Z$2039,E$3,FALSE)</f>
        <v>34165.741228183695</v>
      </c>
      <c r="F140" s="233">
        <f>VLOOKUP($A140&amp;$B140,'Sc9'!$A$299:$Z$2039,F$3,FALSE)</f>
        <v>0</v>
      </c>
      <c r="G140" s="233">
        <f>VLOOKUP($A140&amp;$B140,'Sc9'!$A$299:$Z$2039,G$3,FALSE)</f>
        <v>0</v>
      </c>
      <c r="H140" s="233">
        <f>VLOOKUP($A140&amp;$B140,'Sc9'!$A$299:$Z$2039,H$3,FALSE)</f>
        <v>0</v>
      </c>
      <c r="I140" s="233">
        <f>VLOOKUP($A140&amp;$B140,'Sc9'!$A$299:$Z$2039,I$3,FALSE)</f>
        <v>0</v>
      </c>
      <c r="J140" s="167">
        <f>VLOOKUP($A140&amp;$B140,'Sc9'!$A$299:$Z$2039,J$3,FALSE)</f>
        <v>-34165.741228183695</v>
      </c>
      <c r="K140" s="164">
        <f>VLOOKUP($A140&amp;$B140,'Sc9'!$A$299:$Z$2039,K$3,FALSE)</f>
        <v>0</v>
      </c>
      <c r="L140" s="233">
        <f>VLOOKUP($A140&amp;$B140,'Sc9'!$A$299:$Z$2039,L$3,FALSE)</f>
        <v>0</v>
      </c>
      <c r="M140" s="278">
        <f>VLOOKUP($A140&amp;$B140,'Sc9'!$A$299:$Z$2039,M$3,FALSE)</f>
        <v>0</v>
      </c>
      <c r="N140" s="233">
        <f>VLOOKUP($A140&amp;$B140,'Sc9'!$A$299:$Z$2039,N$3,FALSE)</f>
        <v>0</v>
      </c>
      <c r="O140" s="278">
        <f>VLOOKUP($A140&amp;$B140,'Sc9'!$A$299:$Z$2039,O$3,FALSE)</f>
        <v>0</v>
      </c>
      <c r="P140" s="233">
        <f>VLOOKUP($A140&amp;$B140,'Sc9'!$A$299:$Z$2039,P$3,FALSE)</f>
        <v>0</v>
      </c>
      <c r="Q140" s="278">
        <f>VLOOKUP($A140&amp;$B140,'Sc9'!$A$299:$Z$2039,Q$3,FALSE)</f>
        <v>0</v>
      </c>
      <c r="R140" s="233">
        <f>VLOOKUP($A140&amp;$B140,'Sc9'!$A$299:$Z$2039,R$3,FALSE)</f>
        <v>0</v>
      </c>
      <c r="S140" s="278">
        <f>VLOOKUP($A140&amp;$B140,'Sc9'!$A$299:$Z$2039,S$3,FALSE)</f>
        <v>0</v>
      </c>
      <c r="T140" s="167">
        <f>VLOOKUP($A140&amp;$B140,'Sc9'!$A$299:$Z$2039,T$3,FALSE)</f>
        <v>0</v>
      </c>
    </row>
    <row r="141" spans="1:20" x14ac:dyDescent="0.3">
      <c r="A141" s="99" t="s">
        <v>4912</v>
      </c>
      <c r="B141" s="90" t="s">
        <v>5210</v>
      </c>
      <c r="C141" s="233">
        <f>VLOOKUP($A141&amp;$B141,'Sc9'!$A$299:$Z$2039,C$3,FALSE)</f>
        <v>9823.6953618016832</v>
      </c>
      <c r="D141" s="233">
        <f>VLOOKUP($A141&amp;$B141,'Sc9'!$A$299:$Z$2039,D$3,FALSE)</f>
        <v>1820.9030518553702</v>
      </c>
      <c r="E141" s="233">
        <f>VLOOKUP($A141&amp;$B141,'Sc9'!$A$299:$Z$2039,E$3,FALSE)</f>
        <v>11644.598413657053</v>
      </c>
      <c r="F141" s="233">
        <f>VLOOKUP($A141&amp;$B141,'Sc9'!$A$299:$Z$2039,F$3,FALSE)</f>
        <v>0</v>
      </c>
      <c r="G141" s="233">
        <f>VLOOKUP($A141&amp;$B141,'Sc9'!$A$299:$Z$2039,G$3,FALSE)</f>
        <v>0</v>
      </c>
      <c r="H141" s="233">
        <f>VLOOKUP($A141&amp;$B141,'Sc9'!$A$299:$Z$2039,H$3,FALSE)</f>
        <v>0</v>
      </c>
      <c r="I141" s="233">
        <f>VLOOKUP($A141&amp;$B141,'Sc9'!$A$299:$Z$2039,I$3,FALSE)</f>
        <v>0</v>
      </c>
      <c r="J141" s="167">
        <f>VLOOKUP($A141&amp;$B141,'Sc9'!$A$299:$Z$2039,J$3,FALSE)</f>
        <v>-11644.598413657053</v>
      </c>
      <c r="K141" s="164">
        <f>VLOOKUP($A141&amp;$B141,'Sc9'!$A$299:$Z$2039,K$3,FALSE)</f>
        <v>0</v>
      </c>
      <c r="L141" s="233">
        <f>VLOOKUP($A141&amp;$B141,'Sc9'!$A$299:$Z$2039,L$3,FALSE)</f>
        <v>0</v>
      </c>
      <c r="M141" s="278">
        <f>VLOOKUP($A141&amp;$B141,'Sc9'!$A$299:$Z$2039,M$3,FALSE)</f>
        <v>0</v>
      </c>
      <c r="N141" s="233">
        <f>VLOOKUP($A141&amp;$B141,'Sc9'!$A$299:$Z$2039,N$3,FALSE)</f>
        <v>0</v>
      </c>
      <c r="O141" s="278">
        <f>VLOOKUP($A141&amp;$B141,'Sc9'!$A$299:$Z$2039,O$3,FALSE)</f>
        <v>0</v>
      </c>
      <c r="P141" s="233">
        <f>VLOOKUP($A141&amp;$B141,'Sc9'!$A$299:$Z$2039,P$3,FALSE)</f>
        <v>0</v>
      </c>
      <c r="Q141" s="278">
        <f>VLOOKUP($A141&amp;$B141,'Sc9'!$A$299:$Z$2039,Q$3,FALSE)</f>
        <v>0</v>
      </c>
      <c r="R141" s="233">
        <f>VLOOKUP($A141&amp;$B141,'Sc9'!$A$299:$Z$2039,R$3,FALSE)</f>
        <v>0</v>
      </c>
      <c r="S141" s="278">
        <f>VLOOKUP($A141&amp;$B141,'Sc9'!$A$299:$Z$2039,S$3,FALSE)</f>
        <v>0</v>
      </c>
      <c r="T141" s="167">
        <f>VLOOKUP($A141&amp;$B141,'Sc9'!$A$299:$Z$2039,T$3,FALSE)</f>
        <v>0</v>
      </c>
    </row>
    <row r="142" spans="1:20" x14ac:dyDescent="0.3">
      <c r="A142" s="99" t="s">
        <v>4912</v>
      </c>
      <c r="B142" t="s">
        <v>5211</v>
      </c>
      <c r="C142" s="233">
        <f>VLOOKUP($A142&amp;$B142,'Sc9'!$A$299:$Z$2039,C$3,FALSE)</f>
        <v>3017.6174069102476</v>
      </c>
      <c r="D142" s="233">
        <f>VLOOKUP($A142&amp;$B142,'Sc9'!$A$299:$Z$2039,D$3,FALSE)</f>
        <v>1085.2004420208236</v>
      </c>
      <c r="E142" s="233">
        <f>VLOOKUP($A142&amp;$B142,'Sc9'!$A$299:$Z$2039,E$3,FALSE)</f>
        <v>4102.8178489310712</v>
      </c>
      <c r="F142" s="233">
        <f>VLOOKUP($A142&amp;$B142,'Sc9'!$A$299:$Z$2039,F$3,FALSE)</f>
        <v>10561.452582174725</v>
      </c>
      <c r="G142" s="233">
        <f>VLOOKUP($A142&amp;$B142,'Sc9'!$A$299:$Z$2039,G$3,FALSE)</f>
        <v>0</v>
      </c>
      <c r="H142" s="233">
        <f>VLOOKUP($A142&amp;$B142,'Sc9'!$A$299:$Z$2039,H$3,FALSE)</f>
        <v>0</v>
      </c>
      <c r="I142" s="233">
        <f>VLOOKUP($A142&amp;$B142,'Sc9'!$A$299:$Z$2039,I$3,FALSE)</f>
        <v>0</v>
      </c>
      <c r="J142" s="167">
        <f>VLOOKUP($A142&amp;$B142,'Sc9'!$A$299:$Z$2039,J$3,FALSE)</f>
        <v>-4102.8178489310712</v>
      </c>
      <c r="K142" s="164">
        <f>VLOOKUP($A142&amp;$B142,'Sc9'!$A$299:$Z$2039,K$3,FALSE)</f>
        <v>1129.152356031932</v>
      </c>
      <c r="L142" s="233">
        <f>VLOOKUP($A142&amp;$B142,'Sc9'!$A$299:$Z$2039,L$3,FALSE)</f>
        <v>77.450442020823601</v>
      </c>
      <c r="M142" s="278">
        <f>VLOOKUP($A142&amp;$B142,'Sc9'!$A$299:$Z$2039,M$3,FALSE)</f>
        <v>0</v>
      </c>
      <c r="N142" s="233">
        <f>VLOOKUP($A142&amp;$B142,'Sc9'!$A$299:$Z$2039,N$3,FALSE)</f>
        <v>0</v>
      </c>
      <c r="O142" s="278">
        <f>VLOOKUP($A142&amp;$B142,'Sc9'!$A$299:$Z$2039,O$3,FALSE)</f>
        <v>0</v>
      </c>
      <c r="P142" s="233">
        <f>VLOOKUP($A142&amp;$B142,'Sc9'!$A$299:$Z$2039,P$3,FALSE)</f>
        <v>0</v>
      </c>
      <c r="Q142" s="278">
        <f>VLOOKUP($A142&amp;$B142,'Sc9'!$A$299:$Z$2039,Q$3,FALSE)</f>
        <v>0</v>
      </c>
      <c r="R142" s="233">
        <f>VLOOKUP($A142&amp;$B142,'Sc9'!$A$299:$Z$2039,R$3,FALSE)</f>
        <v>0</v>
      </c>
      <c r="S142" s="278">
        <f>VLOOKUP($A142&amp;$B142,'Sc9'!$A$299:$Z$2039,S$3,FALSE)</f>
        <v>0</v>
      </c>
      <c r="T142" s="167">
        <f>VLOOKUP($A142&amp;$B142,'Sc9'!$A$299:$Z$2039,T$3,FALSE)</f>
        <v>0</v>
      </c>
    </row>
    <row r="143" spans="1:20" x14ac:dyDescent="0.3">
      <c r="A143" s="99" t="s">
        <v>4912</v>
      </c>
      <c r="B143" t="s">
        <v>5202</v>
      </c>
      <c r="C143" s="233">
        <f>VLOOKUP($A143&amp;$B143,'Sc9'!$A$299:$Z$2039,C$3,FALSE)</f>
        <v>35505.934698584562</v>
      </c>
      <c r="D143" s="233">
        <f>VLOOKUP($A143&amp;$B143,'Sc9'!$A$299:$Z$2039,D$3,FALSE)</f>
        <v>13913.565588313126</v>
      </c>
      <c r="E143" s="233">
        <f>VLOOKUP($A143&amp;$B143,'Sc9'!$A$299:$Z$2039,E$3,FALSE)</f>
        <v>49419.500286897688</v>
      </c>
      <c r="F143" s="233">
        <f>VLOOKUP($A143&amp;$B143,'Sc9'!$A$299:$Z$2039,F$3,FALSE)</f>
        <v>0</v>
      </c>
      <c r="G143" s="233">
        <f>VLOOKUP($A143&amp;$B143,'Sc9'!$A$299:$Z$2039,G$3,FALSE)</f>
        <v>5578.7691036372507</v>
      </c>
      <c r="H143" s="233">
        <f>VLOOKUP($A143&amp;$B143,'Sc9'!$A$299:$Z$2039,H$3,FALSE)</f>
        <v>0</v>
      </c>
      <c r="I143" s="233">
        <f>VLOOKUP($A143&amp;$B143,'Sc9'!$A$299:$Z$2039,I$3,FALSE)</f>
        <v>0</v>
      </c>
      <c r="J143" s="167">
        <f>VLOOKUP($A143&amp;$B143,'Sc9'!$A$299:$Z$2039,J$3,FALSE)</f>
        <v>-49419.500286897688</v>
      </c>
      <c r="K143" s="164">
        <f>VLOOKUP($A143&amp;$B143,'Sc9'!$A$299:$Z$2039,K$3,FALSE)</f>
        <v>931.22205127489565</v>
      </c>
      <c r="L143" s="233">
        <f>VLOOKUP($A143&amp;$B143,'Sc9'!$A$299:$Z$2039,L$3,FALSE)</f>
        <v>63.874072533697216</v>
      </c>
      <c r="M143" s="278">
        <f>VLOOKUP($A143&amp;$B143,'Sc9'!$A$299:$Z$2039,M$3,FALSE)</f>
        <v>164.46926905347129</v>
      </c>
      <c r="N143" s="233">
        <f>VLOOKUP($A143&amp;$B143,'Sc9'!$A$299:$Z$2039,N$3,FALSE)</f>
        <v>607.95910145927871</v>
      </c>
      <c r="O143" s="278">
        <f>VLOOKUP($A143&amp;$B143,'Sc9'!$A$299:$Z$2039,O$3,FALSE)</f>
        <v>27.588935735217159</v>
      </c>
      <c r="P143" s="233">
        <f>VLOOKUP($A143&amp;$B143,'Sc9'!$A$299:$Z$2039,P$3,FALSE)</f>
        <v>652.75421949523798</v>
      </c>
      <c r="Q143" s="278">
        <f>VLOOKUP($A143&amp;$B143,'Sc9'!$A$299:$Z$2039,Q$3,FALSE)</f>
        <v>0</v>
      </c>
      <c r="R143" s="233">
        <f>VLOOKUP($A143&amp;$B143,'Sc9'!$A$299:$Z$2039,R$3,FALSE)</f>
        <v>0</v>
      </c>
      <c r="S143" s="278">
        <f>VLOOKUP($A143&amp;$B143,'Sc9'!$A$299:$Z$2039,S$3,FALSE)</f>
        <v>27.588935735217159</v>
      </c>
      <c r="T143" s="167">
        <f>VLOOKUP($A143&amp;$B143,'Sc9'!$A$299:$Z$2039,T$3,FALSE)</f>
        <v>652.75421949523798</v>
      </c>
    </row>
    <row r="144" spans="1:20" x14ac:dyDescent="0.3">
      <c r="A144" s="149" t="s">
        <v>4912</v>
      </c>
      <c r="B144" s="650" t="s">
        <v>5203</v>
      </c>
      <c r="C144" s="655">
        <f>VLOOKUP($A144&amp;$B144,'Sc9'!$A$299:$Z$2039,C$3,FALSE)</f>
        <v>82034.974492003996</v>
      </c>
      <c r="D144" s="655">
        <f>VLOOKUP($A144&amp;$B144,'Sc9'!$A$299:$Z$2039,D$3,FALSE)</f>
        <v>24632.235082157029</v>
      </c>
      <c r="E144" s="655">
        <f>VLOOKUP($A144&amp;$B144,'Sc9'!$A$299:$Z$2039,E$3,FALSE)</f>
        <v>106667.20957416104</v>
      </c>
      <c r="F144" s="655">
        <f>VLOOKUP($A144&amp;$B144,'Sc9'!$A$299:$Z$2039,F$3,FALSE)</f>
        <v>10561.452582174725</v>
      </c>
      <c r="G144" s="655">
        <f>VLOOKUP($A144&amp;$B144,'Sc9'!$A$299:$Z$2039,G$3,FALSE)</f>
        <v>5578.7691036372507</v>
      </c>
      <c r="H144" s="655">
        <f>VLOOKUP($A144&amp;$B144,'Sc9'!$A$299:$Z$2039,H$3,FALSE)</f>
        <v>0</v>
      </c>
      <c r="I144" s="655">
        <f>VLOOKUP($A144&amp;$B144,'Sc9'!$A$299:$Z$2039,I$3,FALSE)</f>
        <v>0</v>
      </c>
      <c r="J144" s="656">
        <f>VLOOKUP($A144&amp;$B144,'Sc9'!$A$299:$Z$2039,J$3,FALSE)</f>
        <v>-106667.20957416104</v>
      </c>
      <c r="K144" s="651">
        <f>VLOOKUP($A144&amp;$B144,'Sc9'!$A$299:$Z$2039,K$3,FALSE)</f>
        <v>3559.9602735166955</v>
      </c>
      <c r="L144" s="655">
        <f>VLOOKUP($A144&amp;$B144,'Sc9'!$A$299:$Z$2039,L$3,FALSE)</f>
        <v>244.18360842763266</v>
      </c>
      <c r="M144" s="652">
        <f>VLOOKUP($A144&amp;$B144,'Sc9'!$A$299:$Z$2039,M$3,FALSE)</f>
        <v>164.46926905347129</v>
      </c>
      <c r="N144" s="655">
        <f>VLOOKUP($A144&amp;$B144,'Sc9'!$A$299:$Z$2039,N$3,FALSE)</f>
        <v>607.95910145927871</v>
      </c>
      <c r="O144" s="652">
        <f>VLOOKUP($A144&amp;$B144,'Sc9'!$A$299:$Z$2039,O$3,FALSE)</f>
        <v>27.588935735217159</v>
      </c>
      <c r="P144" s="655">
        <f>VLOOKUP($A144&amp;$B144,'Sc9'!$A$299:$Z$2039,P$3,FALSE)</f>
        <v>652.75421949523798</v>
      </c>
      <c r="Q144" s="652">
        <f>VLOOKUP($A144&amp;$B144,'Sc9'!$A$299:$Z$2039,Q$3,FALSE)</f>
        <v>0</v>
      </c>
      <c r="R144" s="655">
        <f>VLOOKUP($A144&amp;$B144,'Sc9'!$A$299:$Z$2039,R$3,FALSE)</f>
        <v>0</v>
      </c>
      <c r="S144" s="652">
        <f>VLOOKUP($A144&amp;$B144,'Sc9'!$A$299:$Z$2039,S$3,FALSE)</f>
        <v>27.588935735217159</v>
      </c>
      <c r="T144" s="656">
        <f>VLOOKUP($A144&amp;$B144,'Sc9'!$A$299:$Z$2039,T$3,FALSE)</f>
        <v>652.75421949523798</v>
      </c>
    </row>
    <row r="146" spans="1:20" x14ac:dyDescent="0.3">
      <c r="A146" s="3023" t="s">
        <v>5228</v>
      </c>
      <c r="B146" s="3024"/>
      <c r="C146" s="3024"/>
      <c r="D146" s="3024"/>
      <c r="E146" s="3024"/>
      <c r="F146" s="3024"/>
      <c r="G146" s="3024"/>
      <c r="H146" s="3024"/>
      <c r="I146" s="3024"/>
      <c r="J146" s="3024"/>
      <c r="K146" s="3024"/>
      <c r="L146" s="3024"/>
      <c r="M146" s="3024"/>
      <c r="N146" s="3024"/>
      <c r="O146" s="3024"/>
      <c r="P146" s="3024"/>
      <c r="Q146" s="3024"/>
      <c r="R146" s="3024"/>
      <c r="S146" s="3024"/>
      <c r="T146" s="3025"/>
    </row>
    <row r="147" spans="1:20" ht="28.8" x14ac:dyDescent="0.3">
      <c r="A147" s="99"/>
      <c r="B147" s="82" t="s">
        <v>5187</v>
      </c>
      <c r="C147" s="82" t="s">
        <v>2585</v>
      </c>
      <c r="D147" s="82" t="s">
        <v>2588</v>
      </c>
      <c r="E147" s="82" t="s">
        <v>5188</v>
      </c>
      <c r="F147" s="82" t="s">
        <v>5189</v>
      </c>
      <c r="G147" s="82" t="s">
        <v>5190</v>
      </c>
      <c r="H147" s="82" t="s">
        <v>442</v>
      </c>
      <c r="I147" s="82" t="s">
        <v>5191</v>
      </c>
      <c r="J147" s="173" t="s">
        <v>439</v>
      </c>
      <c r="K147" s="661" t="s">
        <v>5192</v>
      </c>
      <c r="L147" s="281" t="s">
        <v>5193</v>
      </c>
      <c r="M147" s="663" t="s">
        <v>5194</v>
      </c>
      <c r="N147" s="281" t="s">
        <v>5195</v>
      </c>
      <c r="O147" s="663" t="s">
        <v>5196</v>
      </c>
      <c r="P147" s="281" t="s">
        <v>5197</v>
      </c>
      <c r="Q147" s="663" t="s">
        <v>5198</v>
      </c>
      <c r="R147" s="281" t="s">
        <v>5199</v>
      </c>
      <c r="S147" s="663" t="s">
        <v>5200</v>
      </c>
      <c r="T147" s="282" t="s">
        <v>5201</v>
      </c>
    </row>
    <row r="148" spans="1:20" x14ac:dyDescent="0.3">
      <c r="A148" s="99" t="s">
        <v>4917</v>
      </c>
      <c r="B148" t="s">
        <v>5209</v>
      </c>
      <c r="C148" s="233">
        <f>VLOOKUP($A148&amp;$B148,'Sc9'!$A$299:$Z$2039,C$3,FALSE)</f>
        <v>0</v>
      </c>
      <c r="D148" s="233">
        <f>VLOOKUP($A148&amp;$B148,'Sc9'!$A$299:$Z$2039,D$3,FALSE)</f>
        <v>239.78900165651024</v>
      </c>
      <c r="E148" s="233">
        <f>VLOOKUP($A148&amp;$B148,'Sc9'!$A$299:$Z$2039,E$3,FALSE)</f>
        <v>239.78900165651024</v>
      </c>
      <c r="F148" s="233">
        <f>VLOOKUP($A148&amp;$B148,'Sc9'!$A$299:$Z$2039,F$3,FALSE)</f>
        <v>0</v>
      </c>
      <c r="G148" s="233">
        <f>VLOOKUP($A148&amp;$B148,'Sc9'!$A$299:$Z$2039,G$3,FALSE)</f>
        <v>0</v>
      </c>
      <c r="H148" s="233">
        <f>VLOOKUP($A148&amp;$B148,'Sc9'!$A$299:$Z$2039,H$3,FALSE)</f>
        <v>0</v>
      </c>
      <c r="I148" s="233">
        <f>VLOOKUP($A148&amp;$B148,'Sc9'!$A$299:$Z$2039,I$3,FALSE)</f>
        <v>0</v>
      </c>
      <c r="J148" s="167">
        <f>VLOOKUP($A148&amp;$B148,'Sc9'!$A$299:$Z$2039,J$3,FALSE)</f>
        <v>-239.78900165651024</v>
      </c>
      <c r="K148" s="164">
        <f>VLOOKUP($A148&amp;$B148,'Sc9'!$A$299:$Z$2039,K$3,FALSE)</f>
        <v>0</v>
      </c>
      <c r="L148" s="233">
        <f>VLOOKUP($A148&amp;$B148,'Sc9'!$A$299:$Z$2039,L$3,FALSE)</f>
        <v>0</v>
      </c>
      <c r="M148" s="278">
        <f>VLOOKUP($A148&amp;$B148,'Sc9'!$A$299:$Z$2039,M$3,FALSE)</f>
        <v>0</v>
      </c>
      <c r="N148" s="233">
        <f>VLOOKUP($A148&amp;$B148,'Sc9'!$A$299:$Z$2039,N$3,FALSE)</f>
        <v>0</v>
      </c>
      <c r="O148" s="278">
        <f>VLOOKUP($A148&amp;$B148,'Sc9'!$A$299:$Z$2039,O$3,FALSE)</f>
        <v>0</v>
      </c>
      <c r="P148" s="233">
        <f>VLOOKUP($A148&amp;$B148,'Sc9'!$A$299:$Z$2039,P$3,FALSE)</f>
        <v>0</v>
      </c>
      <c r="Q148" s="278">
        <f>VLOOKUP($A148&amp;$B148,'Sc9'!$A$299:$Z$2039,Q$3,FALSE)</f>
        <v>0</v>
      </c>
      <c r="R148" s="233">
        <f>VLOOKUP($A148&amp;$B148,'Sc9'!$A$299:$Z$2039,R$3,FALSE)</f>
        <v>0</v>
      </c>
      <c r="S148" s="278">
        <f>VLOOKUP($A148&amp;$B148,'Sc9'!$A$299:$Z$2039,S$3,FALSE)</f>
        <v>0</v>
      </c>
      <c r="T148" s="167">
        <f>VLOOKUP($A148&amp;$B148,'Sc9'!$A$299:$Z$2039,T$3,FALSE)</f>
        <v>0</v>
      </c>
    </row>
    <row r="149" spans="1:20" x14ac:dyDescent="0.3">
      <c r="A149" s="99" t="s">
        <v>4917</v>
      </c>
      <c r="B149" t="s">
        <v>5219</v>
      </c>
      <c r="C149" s="233">
        <f>VLOOKUP($A149&amp;$B149,'Sc9'!$A$299:$Z$2039,C$3,FALSE)</f>
        <v>3756.3169475301229</v>
      </c>
      <c r="D149" s="233">
        <f>VLOOKUP($A149&amp;$B149,'Sc9'!$A$299:$Z$2039,D$3,FALSE)</f>
        <v>2024.7429898674507</v>
      </c>
      <c r="E149" s="233">
        <f>VLOOKUP($A149&amp;$B149,'Sc9'!$A$299:$Z$2039,E$3,FALSE)</f>
        <v>5781.0599373975738</v>
      </c>
      <c r="F149" s="233">
        <f>VLOOKUP($A149&amp;$B149,'Sc9'!$A$299:$Z$2039,F$3,FALSE)</f>
        <v>0</v>
      </c>
      <c r="G149" s="233">
        <f>VLOOKUP($A149&amp;$B149,'Sc9'!$A$299:$Z$2039,G$3,FALSE)</f>
        <v>0</v>
      </c>
      <c r="H149" s="233">
        <f>VLOOKUP($A149&amp;$B149,'Sc9'!$A$299:$Z$2039,H$3,FALSE)</f>
        <v>0</v>
      </c>
      <c r="I149" s="233">
        <f>VLOOKUP($A149&amp;$B149,'Sc9'!$A$299:$Z$2039,I$3,FALSE)</f>
        <v>0</v>
      </c>
      <c r="J149" s="167">
        <f>VLOOKUP($A149&amp;$B149,'Sc9'!$A$299:$Z$2039,J$3,FALSE)</f>
        <v>-5781.0599373975738</v>
      </c>
      <c r="K149" s="164">
        <f>VLOOKUP($A149&amp;$B149,'Sc9'!$A$299:$Z$2039,K$3,FALSE)</f>
        <v>1499.5858662098678</v>
      </c>
      <c r="L149" s="233">
        <f>VLOOKUP($A149&amp;$B149,'Sc9'!$A$299:$Z$2039,L$3,FALSE)</f>
        <v>102.85909387311185</v>
      </c>
      <c r="M149" s="278">
        <f>VLOOKUP($A149&amp;$B149,'Sc9'!$A$299:$Z$2039,M$3,FALSE)</f>
        <v>0</v>
      </c>
      <c r="N149" s="233">
        <f>VLOOKUP($A149&amp;$B149,'Sc9'!$A$299:$Z$2039,N$3,FALSE)</f>
        <v>0</v>
      </c>
      <c r="O149" s="278">
        <f>VLOOKUP($A149&amp;$B149,'Sc9'!$A$299:$Z$2039,O$3,FALSE)</f>
        <v>0</v>
      </c>
      <c r="P149" s="233">
        <f>VLOOKUP($A149&amp;$B149,'Sc9'!$A$299:$Z$2039,P$3,FALSE)</f>
        <v>0</v>
      </c>
      <c r="Q149" s="278">
        <f>VLOOKUP($A149&amp;$B149,'Sc9'!$A$299:$Z$2039,Q$3,FALSE)</f>
        <v>0</v>
      </c>
      <c r="R149" s="233">
        <f>VLOOKUP($A149&amp;$B149,'Sc9'!$A$299:$Z$2039,R$3,FALSE)</f>
        <v>0</v>
      </c>
      <c r="S149" s="278">
        <f>VLOOKUP($A149&amp;$B149,'Sc9'!$A$299:$Z$2039,S$3,FALSE)</f>
        <v>0</v>
      </c>
      <c r="T149" s="167">
        <f>VLOOKUP($A149&amp;$B149,'Sc9'!$A$299:$Z$2039,T$3,FALSE)</f>
        <v>0</v>
      </c>
    </row>
    <row r="150" spans="1:20" x14ac:dyDescent="0.3">
      <c r="A150" s="99" t="s">
        <v>4917</v>
      </c>
      <c r="B150" t="s">
        <v>4683</v>
      </c>
      <c r="C150" s="233">
        <f>VLOOKUP($A150&amp;$B150,'Sc9'!$A$299:$Z$2039,C$3,FALSE)</f>
        <v>28823.135132095718</v>
      </c>
      <c r="D150" s="233">
        <f>VLOOKUP($A150&amp;$B150,'Sc9'!$A$299:$Z$2039,D$3,FALSE)</f>
        <v>5342.606096087974</v>
      </c>
      <c r="E150" s="233">
        <f>VLOOKUP($A150&amp;$B150,'Sc9'!$A$299:$Z$2039,E$3,FALSE)</f>
        <v>34165.741228183695</v>
      </c>
      <c r="F150" s="233">
        <f>VLOOKUP($A150&amp;$B150,'Sc9'!$A$299:$Z$2039,F$3,FALSE)</f>
        <v>0</v>
      </c>
      <c r="G150" s="233">
        <f>VLOOKUP($A150&amp;$B150,'Sc9'!$A$299:$Z$2039,G$3,FALSE)</f>
        <v>0</v>
      </c>
      <c r="H150" s="233">
        <f>VLOOKUP($A150&amp;$B150,'Sc9'!$A$299:$Z$2039,H$3,FALSE)</f>
        <v>0</v>
      </c>
      <c r="I150" s="233">
        <f>VLOOKUP($A150&amp;$B150,'Sc9'!$A$299:$Z$2039,I$3,FALSE)</f>
        <v>0</v>
      </c>
      <c r="J150" s="167">
        <f>VLOOKUP($A150&amp;$B150,'Sc9'!$A$299:$Z$2039,J$3,FALSE)</f>
        <v>-34165.741228183695</v>
      </c>
      <c r="K150" s="164">
        <f>VLOOKUP($A150&amp;$B150,'Sc9'!$A$299:$Z$2039,K$3,FALSE)</f>
        <v>0</v>
      </c>
      <c r="L150" s="233">
        <f>VLOOKUP($A150&amp;$B150,'Sc9'!$A$299:$Z$2039,L$3,FALSE)</f>
        <v>0</v>
      </c>
      <c r="M150" s="278">
        <f>VLOOKUP($A150&amp;$B150,'Sc9'!$A$299:$Z$2039,M$3,FALSE)</f>
        <v>0</v>
      </c>
      <c r="N150" s="233">
        <f>VLOOKUP($A150&amp;$B150,'Sc9'!$A$299:$Z$2039,N$3,FALSE)</f>
        <v>0</v>
      </c>
      <c r="O150" s="278">
        <f>VLOOKUP($A150&amp;$B150,'Sc9'!$A$299:$Z$2039,O$3,FALSE)</f>
        <v>0</v>
      </c>
      <c r="P150" s="233">
        <f>VLOOKUP($A150&amp;$B150,'Sc9'!$A$299:$Z$2039,P$3,FALSE)</f>
        <v>0</v>
      </c>
      <c r="Q150" s="278">
        <f>VLOOKUP($A150&amp;$B150,'Sc9'!$A$299:$Z$2039,Q$3,FALSE)</f>
        <v>0</v>
      </c>
      <c r="R150" s="233">
        <f>VLOOKUP($A150&amp;$B150,'Sc9'!$A$299:$Z$2039,R$3,FALSE)</f>
        <v>0</v>
      </c>
      <c r="S150" s="278">
        <f>VLOOKUP($A150&amp;$B150,'Sc9'!$A$299:$Z$2039,S$3,FALSE)</f>
        <v>0</v>
      </c>
      <c r="T150" s="167">
        <f>VLOOKUP($A150&amp;$B150,'Sc9'!$A$299:$Z$2039,T$3,FALSE)</f>
        <v>0</v>
      </c>
    </row>
    <row r="151" spans="1:20" x14ac:dyDescent="0.3">
      <c r="A151" s="99" t="s">
        <v>4917</v>
      </c>
      <c r="B151" s="90" t="s">
        <v>5210</v>
      </c>
      <c r="C151" s="233">
        <f>VLOOKUP($A151&amp;$B151,'Sc9'!$A$299:$Z$2039,C$3,FALSE)</f>
        <v>9823.6953618016832</v>
      </c>
      <c r="D151" s="233">
        <f>VLOOKUP($A151&amp;$B151,'Sc9'!$A$299:$Z$2039,D$3,FALSE)</f>
        <v>1820.9030518553702</v>
      </c>
      <c r="E151" s="233">
        <f>VLOOKUP($A151&amp;$B151,'Sc9'!$A$299:$Z$2039,E$3,FALSE)</f>
        <v>11644.598413657053</v>
      </c>
      <c r="F151" s="233">
        <f>VLOOKUP($A151&amp;$B151,'Sc9'!$A$299:$Z$2039,F$3,FALSE)</f>
        <v>0</v>
      </c>
      <c r="G151" s="233">
        <f>VLOOKUP($A151&amp;$B151,'Sc9'!$A$299:$Z$2039,G$3,FALSE)</f>
        <v>0</v>
      </c>
      <c r="H151" s="233">
        <f>VLOOKUP($A151&amp;$B151,'Sc9'!$A$299:$Z$2039,H$3,FALSE)</f>
        <v>0</v>
      </c>
      <c r="I151" s="233">
        <f>VLOOKUP($A151&amp;$B151,'Sc9'!$A$299:$Z$2039,I$3,FALSE)</f>
        <v>0</v>
      </c>
      <c r="J151" s="167">
        <f>VLOOKUP($A151&amp;$B151,'Sc9'!$A$299:$Z$2039,J$3,FALSE)</f>
        <v>-11644.598413657053</v>
      </c>
      <c r="K151" s="164">
        <f>VLOOKUP($A151&amp;$B151,'Sc9'!$A$299:$Z$2039,K$3,FALSE)</f>
        <v>0</v>
      </c>
      <c r="L151" s="233">
        <f>VLOOKUP($A151&amp;$B151,'Sc9'!$A$299:$Z$2039,L$3,FALSE)</f>
        <v>0</v>
      </c>
      <c r="M151" s="278">
        <f>VLOOKUP($A151&amp;$B151,'Sc9'!$A$299:$Z$2039,M$3,FALSE)</f>
        <v>0</v>
      </c>
      <c r="N151" s="233">
        <f>VLOOKUP($A151&amp;$B151,'Sc9'!$A$299:$Z$2039,N$3,FALSE)</f>
        <v>0</v>
      </c>
      <c r="O151" s="278">
        <f>VLOOKUP($A151&amp;$B151,'Sc9'!$A$299:$Z$2039,O$3,FALSE)</f>
        <v>0</v>
      </c>
      <c r="P151" s="233">
        <f>VLOOKUP($A151&amp;$B151,'Sc9'!$A$299:$Z$2039,P$3,FALSE)</f>
        <v>0</v>
      </c>
      <c r="Q151" s="278">
        <f>VLOOKUP($A151&amp;$B151,'Sc9'!$A$299:$Z$2039,Q$3,FALSE)</f>
        <v>0</v>
      </c>
      <c r="R151" s="233">
        <f>VLOOKUP($A151&amp;$B151,'Sc9'!$A$299:$Z$2039,R$3,FALSE)</f>
        <v>0</v>
      </c>
      <c r="S151" s="278">
        <f>VLOOKUP($A151&amp;$B151,'Sc9'!$A$299:$Z$2039,S$3,FALSE)</f>
        <v>0</v>
      </c>
      <c r="T151" s="167">
        <f>VLOOKUP($A151&amp;$B151,'Sc9'!$A$299:$Z$2039,T$3,FALSE)</f>
        <v>0</v>
      </c>
    </row>
    <row r="152" spans="1:20" x14ac:dyDescent="0.3">
      <c r="A152" s="99" t="s">
        <v>4917</v>
      </c>
      <c r="B152" t="s">
        <v>5211</v>
      </c>
      <c r="C152" s="233">
        <f>VLOOKUP($A152&amp;$B152,'Sc9'!$A$299:$Z$2039,C$3,FALSE)</f>
        <v>3017.6174069102476</v>
      </c>
      <c r="D152" s="233">
        <f>VLOOKUP($A152&amp;$B152,'Sc9'!$A$299:$Z$2039,D$3,FALSE)</f>
        <v>1085.2004420208236</v>
      </c>
      <c r="E152" s="233">
        <f>VLOOKUP($A152&amp;$B152,'Sc9'!$A$299:$Z$2039,E$3,FALSE)</f>
        <v>4102.8178489310712</v>
      </c>
      <c r="F152" s="233">
        <f>VLOOKUP($A152&amp;$B152,'Sc9'!$A$299:$Z$2039,F$3,FALSE)</f>
        <v>10561.452582174725</v>
      </c>
      <c r="G152" s="233">
        <f>VLOOKUP($A152&amp;$B152,'Sc9'!$A$299:$Z$2039,G$3,FALSE)</f>
        <v>0</v>
      </c>
      <c r="H152" s="233">
        <f>VLOOKUP($A152&amp;$B152,'Sc9'!$A$299:$Z$2039,H$3,FALSE)</f>
        <v>0</v>
      </c>
      <c r="I152" s="233">
        <f>VLOOKUP($A152&amp;$B152,'Sc9'!$A$299:$Z$2039,I$3,FALSE)</f>
        <v>0</v>
      </c>
      <c r="J152" s="167">
        <f>VLOOKUP($A152&amp;$B152,'Sc9'!$A$299:$Z$2039,J$3,FALSE)</f>
        <v>-4102.8178489310712</v>
      </c>
      <c r="K152" s="164">
        <f>VLOOKUP($A152&amp;$B152,'Sc9'!$A$299:$Z$2039,K$3,FALSE)</f>
        <v>1129.152356031932</v>
      </c>
      <c r="L152" s="233">
        <f>VLOOKUP($A152&amp;$B152,'Sc9'!$A$299:$Z$2039,L$3,FALSE)</f>
        <v>77.450442020823601</v>
      </c>
      <c r="M152" s="278">
        <f>VLOOKUP($A152&amp;$B152,'Sc9'!$A$299:$Z$2039,M$3,FALSE)</f>
        <v>0</v>
      </c>
      <c r="N152" s="233">
        <f>VLOOKUP($A152&amp;$B152,'Sc9'!$A$299:$Z$2039,N$3,FALSE)</f>
        <v>0</v>
      </c>
      <c r="O152" s="278">
        <f>VLOOKUP($A152&amp;$B152,'Sc9'!$A$299:$Z$2039,O$3,FALSE)</f>
        <v>0</v>
      </c>
      <c r="P152" s="233">
        <f>VLOOKUP($A152&amp;$B152,'Sc9'!$A$299:$Z$2039,P$3,FALSE)</f>
        <v>0</v>
      </c>
      <c r="Q152" s="278">
        <f>VLOOKUP($A152&amp;$B152,'Sc9'!$A$299:$Z$2039,Q$3,FALSE)</f>
        <v>0</v>
      </c>
      <c r="R152" s="233">
        <f>VLOOKUP($A152&amp;$B152,'Sc9'!$A$299:$Z$2039,R$3,FALSE)</f>
        <v>0</v>
      </c>
      <c r="S152" s="278">
        <f>VLOOKUP($A152&amp;$B152,'Sc9'!$A$299:$Z$2039,S$3,FALSE)</f>
        <v>0</v>
      </c>
      <c r="T152" s="167">
        <f>VLOOKUP($A152&amp;$B152,'Sc9'!$A$299:$Z$2039,T$3,FALSE)</f>
        <v>0</v>
      </c>
    </row>
    <row r="153" spans="1:20" x14ac:dyDescent="0.3">
      <c r="A153" s="99" t="s">
        <v>4917</v>
      </c>
      <c r="B153" t="s">
        <v>5205</v>
      </c>
      <c r="C153" s="233">
        <f>VLOOKUP($A153&amp;$B153,'Sc9'!$A$299:$Z$2039,C$3,FALSE)</f>
        <v>89330.513343795246</v>
      </c>
      <c r="D153" s="233">
        <f>VLOOKUP($A153&amp;$B153,'Sc9'!$A$299:$Z$2039,D$3,FALSE)</f>
        <v>30869.016632765375</v>
      </c>
      <c r="E153" s="233">
        <f>VLOOKUP($A153&amp;$B153,'Sc9'!$A$299:$Z$2039,E$3,FALSE)</f>
        <v>120199.52997656062</v>
      </c>
      <c r="F153" s="233">
        <f>VLOOKUP($A153&amp;$B153,'Sc9'!$A$299:$Z$2039,F$3,FALSE)</f>
        <v>0</v>
      </c>
      <c r="G153" s="233">
        <f>VLOOKUP($A153&amp;$B153,'Sc9'!$A$299:$Z$2039,G$3,FALSE)</f>
        <v>5578.7691036372507</v>
      </c>
      <c r="H153" s="233">
        <f>VLOOKUP($A153&amp;$B153,'Sc9'!$A$299:$Z$2039,H$3,FALSE)</f>
        <v>0</v>
      </c>
      <c r="I153" s="233">
        <f>VLOOKUP($A153&amp;$B153,'Sc9'!$A$299:$Z$2039,I$3,FALSE)</f>
        <v>0</v>
      </c>
      <c r="J153" s="167">
        <f>VLOOKUP($A153&amp;$B153,'Sc9'!$A$299:$Z$2039,J$3,FALSE)</f>
        <v>-120199.52997656062</v>
      </c>
      <c r="K153" s="164">
        <f>VLOOKUP($A153&amp;$B153,'Sc9'!$A$299:$Z$2039,K$3,FALSE)</f>
        <v>931.22205127489565</v>
      </c>
      <c r="L153" s="233">
        <f>VLOOKUP($A153&amp;$B153,'Sc9'!$A$299:$Z$2039,L$3,FALSE)</f>
        <v>63.874072533697216</v>
      </c>
      <c r="M153" s="278">
        <f>VLOOKUP($A153&amp;$B153,'Sc9'!$A$299:$Z$2039,M$3,FALSE)</f>
        <v>63.864762891122659</v>
      </c>
      <c r="N153" s="233">
        <f>VLOOKUP($A153&amp;$B153,'Sc9'!$A$299:$Z$2039,N$3,FALSE)</f>
        <v>236.0754935292718</v>
      </c>
      <c r="O153" s="278">
        <f>VLOOKUP($A153&amp;$B153,'Sc9'!$A$299:$Z$2039,O$3,FALSE)</f>
        <v>8.890354011362362</v>
      </c>
      <c r="P153" s="233">
        <f>VLOOKUP($A153&amp;$B153,'Sc9'!$A$299:$Z$2039,P$3,FALSE)</f>
        <v>210.34577590883347</v>
      </c>
      <c r="Q153" s="278">
        <f>VLOOKUP($A153&amp;$B153,'Sc9'!$A$299:$Z$2039,Q$3,FALSE)</f>
        <v>0</v>
      </c>
      <c r="R153" s="233">
        <f>VLOOKUP($A153&amp;$B153,'Sc9'!$A$299:$Z$2039,R$3,FALSE)</f>
        <v>0</v>
      </c>
      <c r="S153" s="278">
        <f>VLOOKUP($A153&amp;$B153,'Sc9'!$A$299:$Z$2039,S$3,FALSE)</f>
        <v>8.890354011362362</v>
      </c>
      <c r="T153" s="167">
        <f>VLOOKUP($A153&amp;$B153,'Sc9'!$A$299:$Z$2039,T$3,FALSE)</f>
        <v>210.34577590883347</v>
      </c>
    </row>
    <row r="154" spans="1:20" x14ac:dyDescent="0.3">
      <c r="A154" s="149" t="s">
        <v>4917</v>
      </c>
      <c r="B154" s="650" t="s">
        <v>5203</v>
      </c>
      <c r="C154" s="655">
        <f>VLOOKUP($A154&amp;$B154,'Sc9'!$A$299:$Z$2039,C$3,FALSE)</f>
        <v>135859.55313721468</v>
      </c>
      <c r="D154" s="655">
        <f>VLOOKUP($A154&amp;$B154,'Sc9'!$A$299:$Z$2039,D$3,FALSE)</f>
        <v>41587.686126609282</v>
      </c>
      <c r="E154" s="655">
        <f>VLOOKUP($A154&amp;$B154,'Sc9'!$A$299:$Z$2039,E$3,FALSE)</f>
        <v>177447.23926382395</v>
      </c>
      <c r="F154" s="655">
        <f>VLOOKUP($A154&amp;$B154,'Sc9'!$A$299:$Z$2039,F$3,FALSE)</f>
        <v>10561.452582174725</v>
      </c>
      <c r="G154" s="655">
        <f>VLOOKUP($A154&amp;$B154,'Sc9'!$A$299:$Z$2039,G$3,FALSE)</f>
        <v>5578.7691036372507</v>
      </c>
      <c r="H154" s="655">
        <f>VLOOKUP($A154&amp;$B154,'Sc9'!$A$299:$Z$2039,H$3,FALSE)</f>
        <v>0</v>
      </c>
      <c r="I154" s="655">
        <f>VLOOKUP($A154&amp;$B154,'Sc9'!$A$299:$Z$2039,I$3,FALSE)</f>
        <v>0</v>
      </c>
      <c r="J154" s="656">
        <f>VLOOKUP($A154&amp;$B154,'Sc9'!$A$299:$Z$2039,J$3,FALSE)</f>
        <v>-177447.23926382395</v>
      </c>
      <c r="K154" s="651">
        <f>VLOOKUP($A154&amp;$B154,'Sc9'!$A$299:$Z$2039,K$3,FALSE)</f>
        <v>3559.9602735166955</v>
      </c>
      <c r="L154" s="655">
        <f>VLOOKUP($A154&amp;$B154,'Sc9'!$A$299:$Z$2039,L$3,FALSE)</f>
        <v>244.18360842763266</v>
      </c>
      <c r="M154" s="652">
        <f>VLOOKUP($A154&amp;$B154,'Sc9'!$A$299:$Z$2039,M$3,FALSE)</f>
        <v>63.864762891122659</v>
      </c>
      <c r="N154" s="655">
        <f>VLOOKUP($A154&amp;$B154,'Sc9'!$A$299:$Z$2039,N$3,FALSE)</f>
        <v>236.0754935292718</v>
      </c>
      <c r="O154" s="652">
        <f>VLOOKUP($A154&amp;$B154,'Sc9'!$A$299:$Z$2039,O$3,FALSE)</f>
        <v>8.890354011362362</v>
      </c>
      <c r="P154" s="655">
        <f>VLOOKUP($A154&amp;$B154,'Sc9'!$A$299:$Z$2039,P$3,FALSE)</f>
        <v>210.34577590883347</v>
      </c>
      <c r="Q154" s="652">
        <f>VLOOKUP($A154&amp;$B154,'Sc9'!$A$299:$Z$2039,Q$3,FALSE)</f>
        <v>0</v>
      </c>
      <c r="R154" s="655">
        <f>VLOOKUP($A154&amp;$B154,'Sc9'!$A$299:$Z$2039,R$3,FALSE)</f>
        <v>0</v>
      </c>
      <c r="S154" s="652">
        <f>VLOOKUP($A154&amp;$B154,'Sc9'!$A$299:$Z$2039,S$3,FALSE)</f>
        <v>8.890354011362362</v>
      </c>
      <c r="T154" s="656">
        <f>VLOOKUP($A154&amp;$B154,'Sc9'!$A$299:$Z$2039,T$3,FALSE)</f>
        <v>210.34577590883347</v>
      </c>
    </row>
    <row r="156" spans="1:20" x14ac:dyDescent="0.3">
      <c r="A156" s="3020" t="s">
        <v>5229</v>
      </c>
      <c r="B156" s="3021"/>
      <c r="C156" s="3021"/>
      <c r="D156" s="3021"/>
      <c r="E156" s="3021"/>
      <c r="F156" s="3021"/>
      <c r="G156" s="3021"/>
      <c r="H156" s="3021"/>
      <c r="I156" s="3021"/>
      <c r="J156" s="3021"/>
      <c r="K156" s="3021"/>
      <c r="L156" s="3021"/>
      <c r="M156" s="3021"/>
      <c r="N156" s="3021"/>
      <c r="O156" s="3021"/>
      <c r="P156" s="3021"/>
      <c r="Q156" s="3021"/>
      <c r="R156" s="3021"/>
      <c r="S156" s="3021"/>
      <c r="T156" s="3022"/>
    </row>
    <row r="157" spans="1:20" ht="28.8" x14ac:dyDescent="0.3">
      <c r="A157" s="99"/>
      <c r="B157" s="82" t="s">
        <v>5187</v>
      </c>
      <c r="C157" s="82" t="s">
        <v>2585</v>
      </c>
      <c r="D157" s="82" t="s">
        <v>2588</v>
      </c>
      <c r="E157" s="82" t="s">
        <v>5188</v>
      </c>
      <c r="F157" s="82" t="s">
        <v>5189</v>
      </c>
      <c r="G157" s="82" t="s">
        <v>5190</v>
      </c>
      <c r="H157" s="82" t="s">
        <v>442</v>
      </c>
      <c r="I157" s="82" t="s">
        <v>5191</v>
      </c>
      <c r="J157" s="173" t="s">
        <v>439</v>
      </c>
      <c r="K157" s="661" t="s">
        <v>5192</v>
      </c>
      <c r="L157" s="281" t="s">
        <v>5193</v>
      </c>
      <c r="M157" s="663" t="s">
        <v>5194</v>
      </c>
      <c r="N157" s="281" t="s">
        <v>5195</v>
      </c>
      <c r="O157" s="663" t="s">
        <v>5196</v>
      </c>
      <c r="P157" s="281" t="s">
        <v>5197</v>
      </c>
      <c r="Q157" s="663" t="s">
        <v>5198</v>
      </c>
      <c r="R157" s="281" t="s">
        <v>5199</v>
      </c>
      <c r="S157" s="663" t="s">
        <v>5200</v>
      </c>
      <c r="T157" s="282" t="s">
        <v>5201</v>
      </c>
    </row>
    <row r="158" spans="1:20" x14ac:dyDescent="0.3">
      <c r="A158" s="99" t="s">
        <v>4912</v>
      </c>
      <c r="B158" t="s">
        <v>5209</v>
      </c>
      <c r="C158" s="233">
        <f>VLOOKUP($A158&amp;$B158,'Sc10'!$A$299:$Z$2036,C$3,FALSE)</f>
        <v>0</v>
      </c>
      <c r="D158" s="233">
        <f>VLOOKUP($A158&amp;$B158,'Sc10'!$A$299:$Z$2036,D$3,FALSE)</f>
        <v>239.78900165651024</v>
      </c>
      <c r="E158" s="233">
        <f>VLOOKUP($A158&amp;$B158,'Sc10'!$A$299:$Z$2036,E$3,FALSE)</f>
        <v>239.78900165651024</v>
      </c>
      <c r="F158" s="233">
        <f>VLOOKUP($A158&amp;$B158,'Sc10'!$A$299:$Z$2036,F$3,FALSE)</f>
        <v>0</v>
      </c>
      <c r="G158" s="233">
        <f>VLOOKUP($A158&amp;$B158,'Sc10'!$A$299:$Z$2036,G$3,FALSE)</f>
        <v>0</v>
      </c>
      <c r="H158" s="233">
        <f>VLOOKUP($A158&amp;$B158,'Sc10'!$A$299:$Z$2036,H$3,FALSE)</f>
        <v>0</v>
      </c>
      <c r="I158" s="233">
        <f>VLOOKUP($A158&amp;$B158,'Sc10'!$A$299:$Z$2036,I$3,FALSE)</f>
        <v>0</v>
      </c>
      <c r="J158" s="167">
        <f>VLOOKUP($A158&amp;$B158,'Sc10'!$A$299:$Z$2036,J$3,FALSE)</f>
        <v>-239.78900165651024</v>
      </c>
      <c r="K158" s="164">
        <f>VLOOKUP($A158&amp;$B158,'Sc10'!$A$299:$Z$2036,K$3,FALSE)</f>
        <v>0</v>
      </c>
      <c r="L158" s="233">
        <f>VLOOKUP($A158&amp;$B158,'Sc10'!$A$299:$Z$2036,L$3,FALSE)</f>
        <v>0</v>
      </c>
      <c r="M158" s="278">
        <f>VLOOKUP($A158&amp;$B158,'Sc10'!$A$299:$Z$2036,M$3,FALSE)</f>
        <v>0</v>
      </c>
      <c r="N158" s="233">
        <f>VLOOKUP($A158&amp;$B158,'Sc10'!$A$299:$Z$2036,N$3,FALSE)</f>
        <v>0</v>
      </c>
      <c r="O158" s="278">
        <f>VLOOKUP($A158&amp;$B158,'Sc10'!$A$299:$Z$2036,O$3,FALSE)</f>
        <v>0</v>
      </c>
      <c r="P158" s="233">
        <f>VLOOKUP($A158&amp;$B158,'Sc10'!$A$299:$Z$2036,P$3,FALSE)</f>
        <v>0</v>
      </c>
      <c r="Q158" s="278">
        <f>VLOOKUP($A158&amp;$B158,'Sc10'!$A$299:$Z$2036,Q$3,FALSE)</f>
        <v>0</v>
      </c>
      <c r="R158" s="233">
        <f>VLOOKUP($A158&amp;$B158,'Sc10'!$A$299:$Z$2036,R$3,FALSE)</f>
        <v>0</v>
      </c>
      <c r="S158" s="278">
        <f>VLOOKUP($A158&amp;$B158,'Sc10'!$A$299:$Z$2036,S$3,FALSE)</f>
        <v>0</v>
      </c>
      <c r="T158" s="167">
        <f>VLOOKUP($A158&amp;$B158,'Sc10'!$A$299:$Z$2036,T$3,FALSE)</f>
        <v>0</v>
      </c>
    </row>
    <row r="159" spans="1:20" x14ac:dyDescent="0.3">
      <c r="A159" s="99" t="s">
        <v>4912</v>
      </c>
      <c r="B159" t="s">
        <v>5223</v>
      </c>
      <c r="C159" s="233">
        <f>VLOOKUP($A159&amp;$B159,'Sc10'!$A$299:$Z$2036,C$3,FALSE)</f>
        <v>6707.1567934021641</v>
      </c>
      <c r="D159" s="233">
        <f>VLOOKUP($A159&amp;$B159,'Sc10'!$A$299:$Z$2036,D$3,FALSE)</f>
        <v>3245.8344510558195</v>
      </c>
      <c r="E159" s="233">
        <f>VLOOKUP($A159&amp;$B159,'Sc10'!$A$299:$Z$2036,E$3,FALSE)</f>
        <v>9952.9912444579841</v>
      </c>
      <c r="F159" s="233">
        <f>VLOOKUP($A159&amp;$B159,'Sc10'!$A$299:$Z$2036,F$3,FALSE)</f>
        <v>0</v>
      </c>
      <c r="G159" s="233">
        <f>VLOOKUP($A159&amp;$B159,'Sc10'!$A$299:$Z$2036,G$3,FALSE)</f>
        <v>0</v>
      </c>
      <c r="H159" s="233">
        <f>VLOOKUP($A159&amp;$B159,'Sc10'!$A$299:$Z$2036,H$3,FALSE)</f>
        <v>0</v>
      </c>
      <c r="I159" s="233">
        <f>VLOOKUP($A159&amp;$B159,'Sc10'!$A$299:$Z$2036,I$3,FALSE)</f>
        <v>0</v>
      </c>
      <c r="J159" s="167">
        <f>VLOOKUP($A159&amp;$B159,'Sc10'!$A$299:$Z$2036,J$3,FALSE)</f>
        <v>-9952.9912444579841</v>
      </c>
      <c r="K159" s="164">
        <f>VLOOKUP($A159&amp;$B159,'Sc10'!$A$299:$Z$2036,K$3,FALSE)</f>
        <v>4471.5360061785714</v>
      </c>
      <c r="L159" s="233">
        <f>VLOOKUP($A159&amp;$B159,'Sc10'!$A$299:$Z$2036,L$3,FALSE)</f>
        <v>306.7101072237985</v>
      </c>
      <c r="M159" s="278">
        <f>VLOOKUP($A159&amp;$B159,'Sc10'!$A$299:$Z$2036,M$3,FALSE)</f>
        <v>0</v>
      </c>
      <c r="N159" s="233">
        <f>VLOOKUP($A159&amp;$B159,'Sc10'!$A$299:$Z$2036,N$3,FALSE)</f>
        <v>0</v>
      </c>
      <c r="O159" s="278">
        <f>VLOOKUP($A159&amp;$B159,'Sc10'!$A$299:$Z$2036,O$3,FALSE)</f>
        <v>0</v>
      </c>
      <c r="P159" s="233">
        <f>VLOOKUP($A159&amp;$B159,'Sc10'!$A$299:$Z$2036,P$3,FALSE)</f>
        <v>0</v>
      </c>
      <c r="Q159" s="278">
        <f>VLOOKUP($A159&amp;$B159,'Sc10'!$A$299:$Z$2036,Q$3,FALSE)</f>
        <v>0</v>
      </c>
      <c r="R159" s="233">
        <f>VLOOKUP($A159&amp;$B159,'Sc10'!$A$299:$Z$2036,R$3,FALSE)</f>
        <v>0</v>
      </c>
      <c r="S159" s="278">
        <f>VLOOKUP($A159&amp;$B159,'Sc10'!$A$299:$Z$2036,S$3,FALSE)</f>
        <v>0</v>
      </c>
      <c r="T159" s="167">
        <f>VLOOKUP($A159&amp;$B159,'Sc10'!$A$299:$Z$2036,T$3,FALSE)</f>
        <v>0</v>
      </c>
    </row>
    <row r="160" spans="1:20" x14ac:dyDescent="0.3">
      <c r="A160" s="99" t="s">
        <v>4912</v>
      </c>
      <c r="B160" t="s">
        <v>5219</v>
      </c>
      <c r="C160" s="233">
        <f>VLOOKUP($A160&amp;$B160,'Sc10'!$A$299:$Z$2036,C$3,FALSE)</f>
        <v>1821.4045073202617</v>
      </c>
      <c r="D160" s="233">
        <f>VLOOKUP($A160&amp;$B160,'Sc10'!$A$299:$Z$2036,D$3,FALSE)</f>
        <v>1572.7463282449262</v>
      </c>
      <c r="E160" s="233">
        <f>VLOOKUP($A160&amp;$B160,'Sc10'!$A$299:$Z$2036,E$3,FALSE)</f>
        <v>3394.1508355651877</v>
      </c>
      <c r="F160" s="233">
        <f>VLOOKUP($A160&amp;$B160,'Sc10'!$A$299:$Z$2036,F$3,FALSE)</f>
        <v>0</v>
      </c>
      <c r="G160" s="233">
        <f>VLOOKUP($A160&amp;$B160,'Sc10'!$A$299:$Z$2036,G$3,FALSE)</f>
        <v>0</v>
      </c>
      <c r="H160" s="233">
        <f>VLOOKUP($A160&amp;$B160,'Sc10'!$A$299:$Z$2036,H$3,FALSE)</f>
        <v>0</v>
      </c>
      <c r="I160" s="233">
        <f>VLOOKUP($A160&amp;$B160,'Sc10'!$A$299:$Z$2036,I$3,FALSE)</f>
        <v>0</v>
      </c>
      <c r="J160" s="167">
        <f>VLOOKUP($A160&amp;$B160,'Sc10'!$A$299:$Z$2036,J$3,FALSE)</f>
        <v>-3394.1508355651877</v>
      </c>
      <c r="K160" s="164">
        <f>VLOOKUP($A160&amp;$B160,'Sc10'!$A$299:$Z$2036,K$3,FALSE)</f>
        <v>138.71116608588275</v>
      </c>
      <c r="L160" s="233">
        <f>VLOOKUP($A160&amp;$B160,'Sc10'!$A$299:$Z$2036,L$3,FALSE)</f>
        <v>9.5144300671075079</v>
      </c>
      <c r="M160" s="278">
        <f>VLOOKUP($A160&amp;$B160,'Sc10'!$A$299:$Z$2036,M$3,FALSE)</f>
        <v>0</v>
      </c>
      <c r="N160" s="233">
        <f>VLOOKUP($A160&amp;$B160,'Sc10'!$A$299:$Z$2036,N$3,FALSE)</f>
        <v>0</v>
      </c>
      <c r="O160" s="278">
        <f>VLOOKUP($A160&amp;$B160,'Sc10'!$A$299:$Z$2036,O$3,FALSE)</f>
        <v>0</v>
      </c>
      <c r="P160" s="233">
        <f>VLOOKUP($A160&amp;$B160,'Sc10'!$A$299:$Z$2036,P$3,FALSE)</f>
        <v>0</v>
      </c>
      <c r="Q160" s="278">
        <f>VLOOKUP($A160&amp;$B160,'Sc10'!$A$299:$Z$2036,Q$3,FALSE)</f>
        <v>0</v>
      </c>
      <c r="R160" s="233">
        <f>VLOOKUP($A160&amp;$B160,'Sc10'!$A$299:$Z$2036,R$3,FALSE)</f>
        <v>0</v>
      </c>
      <c r="S160" s="278">
        <f>VLOOKUP($A160&amp;$B160,'Sc10'!$A$299:$Z$2036,S$3,FALSE)</f>
        <v>0</v>
      </c>
      <c r="T160" s="167">
        <f>VLOOKUP($A160&amp;$B160,'Sc10'!$A$299:$Z$2036,T$3,FALSE)</f>
        <v>0</v>
      </c>
    </row>
    <row r="161" spans="1:20" x14ac:dyDescent="0.3">
      <c r="A161" s="99" t="s">
        <v>4912</v>
      </c>
      <c r="B161" s="90" t="s">
        <v>4683</v>
      </c>
      <c r="C161" s="233">
        <f>VLOOKUP($A161&amp;$B161,'Sc10'!$A$299:$Z$2036,C$3,FALSE)</f>
        <v>28823.135132095718</v>
      </c>
      <c r="D161" s="233">
        <f>VLOOKUP($A161&amp;$B161,'Sc10'!$A$299:$Z$2036,D$3,FALSE)</f>
        <v>5342.606096087974</v>
      </c>
      <c r="E161" s="233">
        <f>VLOOKUP($A161&amp;$B161,'Sc10'!$A$299:$Z$2036,E$3,FALSE)</f>
        <v>34165.741228183695</v>
      </c>
      <c r="F161" s="233">
        <f>VLOOKUP($A161&amp;$B161,'Sc10'!$A$299:$Z$2036,F$3,FALSE)</f>
        <v>0</v>
      </c>
      <c r="G161" s="233">
        <f>VLOOKUP($A161&amp;$B161,'Sc10'!$A$299:$Z$2036,G$3,FALSE)</f>
        <v>0</v>
      </c>
      <c r="H161" s="233">
        <f>VLOOKUP($A161&amp;$B161,'Sc10'!$A$299:$Z$2036,H$3,FALSE)</f>
        <v>0</v>
      </c>
      <c r="I161" s="233">
        <f>VLOOKUP($A161&amp;$B161,'Sc10'!$A$299:$Z$2036,I$3,FALSE)</f>
        <v>0</v>
      </c>
      <c r="J161" s="167">
        <f>VLOOKUP($A161&amp;$B161,'Sc10'!$A$299:$Z$2036,J$3,FALSE)</f>
        <v>-34165.741228183695</v>
      </c>
      <c r="K161" s="164">
        <f>VLOOKUP($A161&amp;$B161,'Sc10'!$A$299:$Z$2036,K$3,FALSE)</f>
        <v>0</v>
      </c>
      <c r="L161" s="233">
        <f>VLOOKUP($A161&amp;$B161,'Sc10'!$A$299:$Z$2036,L$3,FALSE)</f>
        <v>0</v>
      </c>
      <c r="M161" s="278">
        <f>VLOOKUP($A161&amp;$B161,'Sc10'!$A$299:$Z$2036,M$3,FALSE)</f>
        <v>0</v>
      </c>
      <c r="N161" s="233">
        <f>VLOOKUP($A161&amp;$B161,'Sc10'!$A$299:$Z$2036,N$3,FALSE)</f>
        <v>0</v>
      </c>
      <c r="O161" s="278">
        <f>VLOOKUP($A161&amp;$B161,'Sc10'!$A$299:$Z$2036,O$3,FALSE)</f>
        <v>0</v>
      </c>
      <c r="P161" s="233">
        <f>VLOOKUP($A161&amp;$B161,'Sc10'!$A$299:$Z$2036,P$3,FALSE)</f>
        <v>0</v>
      </c>
      <c r="Q161" s="278">
        <f>VLOOKUP($A161&amp;$B161,'Sc10'!$A$299:$Z$2036,Q$3,FALSE)</f>
        <v>0</v>
      </c>
      <c r="R161" s="233">
        <f>VLOOKUP($A161&amp;$B161,'Sc10'!$A$299:$Z$2036,R$3,FALSE)</f>
        <v>0</v>
      </c>
      <c r="S161" s="278">
        <f>VLOOKUP($A161&amp;$B161,'Sc10'!$A$299:$Z$2036,S$3,FALSE)</f>
        <v>0</v>
      </c>
      <c r="T161" s="167">
        <f>VLOOKUP($A161&amp;$B161,'Sc10'!$A$299:$Z$2036,T$3,FALSE)</f>
        <v>0</v>
      </c>
    </row>
    <row r="162" spans="1:20" x14ac:dyDescent="0.3">
      <c r="A162" s="99" t="s">
        <v>4912</v>
      </c>
      <c r="B162" t="s">
        <v>5210</v>
      </c>
      <c r="C162" s="233">
        <f>VLOOKUP($A162&amp;$B162,'Sc10'!$A$299:$Z$2036,C$3,FALSE)</f>
        <v>9823.6953618016832</v>
      </c>
      <c r="D162" s="233">
        <f>VLOOKUP($A162&amp;$B162,'Sc10'!$A$299:$Z$2036,D$3,FALSE)</f>
        <v>1820.9030518553702</v>
      </c>
      <c r="E162" s="233">
        <f>VLOOKUP($A162&amp;$B162,'Sc10'!$A$299:$Z$2036,E$3,FALSE)</f>
        <v>11644.598413657053</v>
      </c>
      <c r="F162" s="233">
        <f>VLOOKUP($A162&amp;$B162,'Sc10'!$A$299:$Z$2036,F$3,FALSE)</f>
        <v>0</v>
      </c>
      <c r="G162" s="233">
        <f>VLOOKUP($A162&amp;$B162,'Sc10'!$A$299:$Z$2036,G$3,FALSE)</f>
        <v>0</v>
      </c>
      <c r="H162" s="233">
        <f>VLOOKUP($A162&amp;$B162,'Sc10'!$A$299:$Z$2036,H$3,FALSE)</f>
        <v>0</v>
      </c>
      <c r="I162" s="233">
        <f>VLOOKUP($A162&amp;$B162,'Sc10'!$A$299:$Z$2036,I$3,FALSE)</f>
        <v>0</v>
      </c>
      <c r="J162" s="167">
        <f>VLOOKUP($A162&amp;$B162,'Sc10'!$A$299:$Z$2036,J$3,FALSE)</f>
        <v>-11644.598413657053</v>
      </c>
      <c r="K162" s="164">
        <f>VLOOKUP($A162&amp;$B162,'Sc10'!$A$299:$Z$2036,K$3,FALSE)</f>
        <v>0</v>
      </c>
      <c r="L162" s="233">
        <f>VLOOKUP($A162&amp;$B162,'Sc10'!$A$299:$Z$2036,L$3,FALSE)</f>
        <v>0</v>
      </c>
      <c r="M162" s="278">
        <f>VLOOKUP($A162&amp;$B162,'Sc10'!$A$299:$Z$2036,M$3,FALSE)</f>
        <v>0</v>
      </c>
      <c r="N162" s="233">
        <f>VLOOKUP($A162&amp;$B162,'Sc10'!$A$299:$Z$2036,N$3,FALSE)</f>
        <v>0</v>
      </c>
      <c r="O162" s="278">
        <f>VLOOKUP($A162&amp;$B162,'Sc10'!$A$299:$Z$2036,O$3,FALSE)</f>
        <v>0</v>
      </c>
      <c r="P162" s="233">
        <f>VLOOKUP($A162&amp;$B162,'Sc10'!$A$299:$Z$2036,P$3,FALSE)</f>
        <v>0</v>
      </c>
      <c r="Q162" s="278">
        <f>VLOOKUP($A162&amp;$B162,'Sc10'!$A$299:$Z$2036,Q$3,FALSE)</f>
        <v>0</v>
      </c>
      <c r="R162" s="233">
        <f>VLOOKUP($A162&amp;$B162,'Sc10'!$A$299:$Z$2036,R$3,FALSE)</f>
        <v>0</v>
      </c>
      <c r="S162" s="278">
        <f>VLOOKUP($A162&amp;$B162,'Sc10'!$A$299:$Z$2036,S$3,FALSE)</f>
        <v>0</v>
      </c>
      <c r="T162" s="167">
        <f>VLOOKUP($A162&amp;$B162,'Sc10'!$A$299:$Z$2036,T$3,FALSE)</f>
        <v>0</v>
      </c>
    </row>
    <row r="163" spans="1:20" x14ac:dyDescent="0.3">
      <c r="A163" s="99" t="s">
        <v>4912</v>
      </c>
      <c r="B163" t="s">
        <v>5202</v>
      </c>
      <c r="C163" s="233">
        <f>VLOOKUP($A163&amp;$B163,'Sc10'!$A$299:$Z$2036,C$3,FALSE)</f>
        <v>35882.148130731883</v>
      </c>
      <c r="D163" s="233">
        <f>VLOOKUP($A163&amp;$B163,'Sc10'!$A$299:$Z$2036,D$3,FALSE)</f>
        <v>14078.865101538144</v>
      </c>
      <c r="E163" s="233">
        <f>VLOOKUP($A163&amp;$B163,'Sc10'!$A$299:$Z$2036,E$3,FALSE)</f>
        <v>49961.013232270023</v>
      </c>
      <c r="F163" s="233">
        <f>VLOOKUP($A163&amp;$B163,'Sc10'!$A$299:$Z$2036,F$3,FALSE)</f>
        <v>0</v>
      </c>
      <c r="G163" s="233">
        <f>VLOOKUP($A163&amp;$B163,'Sc10'!$A$299:$Z$2036,G$3,FALSE)</f>
        <v>6299.0931327066219</v>
      </c>
      <c r="H163" s="233">
        <f>VLOOKUP($A163&amp;$B163,'Sc10'!$A$299:$Z$2036,H$3,FALSE)</f>
        <v>0</v>
      </c>
      <c r="I163" s="233">
        <f>VLOOKUP($A163&amp;$B163,'Sc10'!$A$299:$Z$2036,I$3,FALSE)</f>
        <v>0</v>
      </c>
      <c r="J163" s="167">
        <f>VLOOKUP($A163&amp;$B163,'Sc10'!$A$299:$Z$2036,J$3,FALSE)</f>
        <v>-49961.013232270023</v>
      </c>
      <c r="K163" s="164">
        <f>VLOOKUP($A163&amp;$B163,'Sc10'!$A$299:$Z$2036,K$3,FALSE)</f>
        <v>931.22205127489565</v>
      </c>
      <c r="L163" s="233">
        <f>VLOOKUP($A163&amp;$B163,'Sc10'!$A$299:$Z$2036,L$3,FALSE)</f>
        <v>63.874072533697216</v>
      </c>
      <c r="M163" s="278">
        <f>VLOOKUP($A163&amp;$B163,'Sc10'!$A$299:$Z$2036,M$3,FALSE)</f>
        <v>161.48736569260842</v>
      </c>
      <c r="N163" s="233">
        <f>VLOOKUP($A163&amp;$B163,'Sc10'!$A$299:$Z$2036,N$3,FALSE)</f>
        <v>596.93652381701293</v>
      </c>
      <c r="O163" s="278">
        <f>VLOOKUP($A163&amp;$B163,'Sc10'!$A$299:$Z$2036,O$3,FALSE)</f>
        <v>28.203134673069055</v>
      </c>
      <c r="P163" s="233">
        <f>VLOOKUP($A163&amp;$B163,'Sc10'!$A$299:$Z$2036,P$3,FALSE)</f>
        <v>667.28616636481388</v>
      </c>
      <c r="Q163" s="278">
        <f>VLOOKUP($A163&amp;$B163,'Sc10'!$A$299:$Z$2036,Q$3,FALSE)</f>
        <v>0</v>
      </c>
      <c r="R163" s="233">
        <f>VLOOKUP($A163&amp;$B163,'Sc10'!$A$299:$Z$2036,R$3,FALSE)</f>
        <v>0</v>
      </c>
      <c r="S163" s="278">
        <f>VLOOKUP($A163&amp;$B163,'Sc10'!$A$299:$Z$2036,S$3,FALSE)</f>
        <v>28.203134673069055</v>
      </c>
      <c r="T163" s="167">
        <f>VLOOKUP($A163&amp;$B163,'Sc10'!$A$299:$Z$2036,T$3,FALSE)</f>
        <v>667.28616636481388</v>
      </c>
    </row>
    <row r="164" spans="1:20" x14ac:dyDescent="0.3">
      <c r="A164" s="149" t="s">
        <v>4912</v>
      </c>
      <c r="B164" s="650" t="s">
        <v>5203</v>
      </c>
      <c r="C164" s="655">
        <f>VLOOKUP($A164&amp;$B164,'Sc10'!$A$299:$Z$2036,C$3,FALSE)</f>
        <v>83693.479408519081</v>
      </c>
      <c r="D164" s="655">
        <f>VLOOKUP($A164&amp;$B164,'Sc10'!$A$299:$Z$2036,D$3,FALSE)</f>
        <v>26418.620664744554</v>
      </c>
      <c r="E164" s="655">
        <f>VLOOKUP($A164&amp;$B164,'Sc10'!$A$299:$Z$2036,E$3,FALSE)</f>
        <v>110112.10007326363</v>
      </c>
      <c r="F164" s="655">
        <f>VLOOKUP($A164&amp;$B164,'Sc10'!$A$299:$Z$2036,F$3,FALSE)</f>
        <v>0</v>
      </c>
      <c r="G164" s="655">
        <f>VLOOKUP($A164&amp;$B164,'Sc10'!$A$299:$Z$2036,G$3,FALSE)</f>
        <v>6299.0931327066219</v>
      </c>
      <c r="H164" s="655">
        <f>VLOOKUP($A164&amp;$B164,'Sc10'!$A$299:$Z$2036,H$3,FALSE)</f>
        <v>0</v>
      </c>
      <c r="I164" s="655">
        <f>VLOOKUP($A164&amp;$B164,'Sc10'!$A$299:$Z$2036,I$3,FALSE)</f>
        <v>0</v>
      </c>
      <c r="J164" s="656">
        <f>VLOOKUP($A164&amp;$B164,'Sc10'!$A$299:$Z$2036,J$3,FALSE)</f>
        <v>-110112.10007326363</v>
      </c>
      <c r="K164" s="651">
        <f>VLOOKUP($A164&amp;$B164,'Sc10'!$A$299:$Z$2036,K$3,FALSE)</f>
        <v>5541.4692235393495</v>
      </c>
      <c r="L164" s="655">
        <f>VLOOKUP($A164&amp;$B164,'Sc10'!$A$299:$Z$2036,L$3,FALSE)</f>
        <v>380.09860982460327</v>
      </c>
      <c r="M164" s="652">
        <f>VLOOKUP($A164&amp;$B164,'Sc10'!$A$299:$Z$2036,M$3,FALSE)</f>
        <v>161.48736569260842</v>
      </c>
      <c r="N164" s="655">
        <f>VLOOKUP($A164&amp;$B164,'Sc10'!$A$299:$Z$2036,N$3,FALSE)</f>
        <v>596.93652381701293</v>
      </c>
      <c r="O164" s="652">
        <f>VLOOKUP($A164&amp;$B164,'Sc10'!$A$299:$Z$2036,O$3,FALSE)</f>
        <v>28.203134673069055</v>
      </c>
      <c r="P164" s="655">
        <f>VLOOKUP($A164&amp;$B164,'Sc10'!$A$299:$Z$2036,P$3,FALSE)</f>
        <v>667.28616636481388</v>
      </c>
      <c r="Q164" s="652">
        <f>VLOOKUP($A164&amp;$B164,'Sc10'!$A$299:$Z$2036,Q$3,FALSE)</f>
        <v>0</v>
      </c>
      <c r="R164" s="655">
        <f>VLOOKUP($A164&amp;$B164,'Sc10'!$A$299:$Z$2036,R$3,FALSE)</f>
        <v>0</v>
      </c>
      <c r="S164" s="652">
        <f>VLOOKUP($A164&amp;$B164,'Sc10'!$A$299:$Z$2036,S$3,FALSE)</f>
        <v>28.203134673069055</v>
      </c>
      <c r="T164" s="656">
        <f>VLOOKUP($A164&amp;$B164,'Sc10'!$A$299:$Z$2036,T$3,FALSE)</f>
        <v>667.28616636481388</v>
      </c>
    </row>
    <row r="166" spans="1:20" x14ac:dyDescent="0.3">
      <c r="A166" s="3023" t="s">
        <v>5230</v>
      </c>
      <c r="B166" s="3024"/>
      <c r="C166" s="3024"/>
      <c r="D166" s="3024"/>
      <c r="E166" s="3024"/>
      <c r="F166" s="3024"/>
      <c r="G166" s="3024"/>
      <c r="H166" s="3024"/>
      <c r="I166" s="3024"/>
      <c r="J166" s="3024"/>
      <c r="K166" s="3024"/>
      <c r="L166" s="3024"/>
      <c r="M166" s="3024"/>
      <c r="N166" s="3024"/>
      <c r="O166" s="3024"/>
      <c r="P166" s="3024"/>
      <c r="Q166" s="3024"/>
      <c r="R166" s="3024"/>
      <c r="S166" s="3024"/>
      <c r="T166" s="3025"/>
    </row>
    <row r="167" spans="1:20" ht="28.8" x14ac:dyDescent="0.3">
      <c r="A167" s="99"/>
      <c r="B167" s="82" t="s">
        <v>5187</v>
      </c>
      <c r="C167" s="82" t="s">
        <v>2585</v>
      </c>
      <c r="D167" s="82" t="s">
        <v>2588</v>
      </c>
      <c r="E167" s="82" t="s">
        <v>5188</v>
      </c>
      <c r="F167" s="82" t="s">
        <v>5189</v>
      </c>
      <c r="G167" s="82" t="s">
        <v>5190</v>
      </c>
      <c r="H167" s="82" t="s">
        <v>442</v>
      </c>
      <c r="I167" s="82" t="s">
        <v>5191</v>
      </c>
      <c r="J167" s="173" t="s">
        <v>439</v>
      </c>
      <c r="K167" s="661" t="s">
        <v>5192</v>
      </c>
      <c r="L167" s="281" t="s">
        <v>5193</v>
      </c>
      <c r="M167" s="663" t="s">
        <v>5194</v>
      </c>
      <c r="N167" s="281" t="s">
        <v>5195</v>
      </c>
      <c r="O167" s="663" t="s">
        <v>5196</v>
      </c>
      <c r="P167" s="281" t="s">
        <v>5197</v>
      </c>
      <c r="Q167" s="663" t="s">
        <v>5198</v>
      </c>
      <c r="R167" s="281" t="s">
        <v>5199</v>
      </c>
      <c r="S167" s="663" t="s">
        <v>5200</v>
      </c>
      <c r="T167" s="282" t="s">
        <v>5201</v>
      </c>
    </row>
    <row r="168" spans="1:20" x14ac:dyDescent="0.3">
      <c r="A168" s="99" t="s">
        <v>4917</v>
      </c>
      <c r="B168" t="s">
        <v>5209</v>
      </c>
      <c r="C168" s="233">
        <f>VLOOKUP($A168&amp;$B168,'Sc10'!$A$299:$Z$2036,C$3,FALSE)</f>
        <v>0</v>
      </c>
      <c r="D168" s="233">
        <f>VLOOKUP($A168&amp;$B168,'Sc10'!$A$299:$Z$2036,D$3,FALSE)</f>
        <v>239.78900165651024</v>
      </c>
      <c r="E168" s="233">
        <f>VLOOKUP($A168&amp;$B168,'Sc10'!$A$299:$Z$2036,E$3,FALSE)</f>
        <v>239.78900165651024</v>
      </c>
      <c r="F168" s="233">
        <f>VLOOKUP($A168&amp;$B168,'Sc10'!$A$299:$Z$2036,F$3,FALSE)</f>
        <v>0</v>
      </c>
      <c r="G168" s="233">
        <f>VLOOKUP($A168&amp;$B168,'Sc10'!$A$299:$Z$2036,G$3,FALSE)</f>
        <v>0</v>
      </c>
      <c r="H168" s="233">
        <f>VLOOKUP($A168&amp;$B168,'Sc10'!$A$299:$Z$2036,H$3,FALSE)</f>
        <v>0</v>
      </c>
      <c r="I168" s="233">
        <f>VLOOKUP($A168&amp;$B168,'Sc10'!$A$299:$Z$2036,I$3,FALSE)</f>
        <v>0</v>
      </c>
      <c r="J168" s="167">
        <f>VLOOKUP($A168&amp;$B168,'Sc10'!$A$299:$Z$2036,J$3,FALSE)</f>
        <v>-239.78900165651024</v>
      </c>
      <c r="K168" s="164">
        <f>VLOOKUP($A168&amp;$B168,'Sc10'!$A$299:$Z$2036,K$3,FALSE)</f>
        <v>0</v>
      </c>
      <c r="L168" s="233">
        <f>VLOOKUP($A168&amp;$B168,'Sc10'!$A$299:$Z$2036,L$3,FALSE)</f>
        <v>0</v>
      </c>
      <c r="M168" s="278">
        <f>VLOOKUP($A168&amp;$B168,'Sc10'!$A$299:$Z$2036,M$3,FALSE)</f>
        <v>0</v>
      </c>
      <c r="N168" s="233">
        <f>VLOOKUP($A168&amp;$B168,'Sc10'!$A$299:$Z$2036,N$3,FALSE)</f>
        <v>0</v>
      </c>
      <c r="O168" s="278">
        <f>VLOOKUP($A168&amp;$B168,'Sc10'!$A$299:$Z$2036,O$3,FALSE)</f>
        <v>0</v>
      </c>
      <c r="P168" s="233">
        <f>VLOOKUP($A168&amp;$B168,'Sc10'!$A$299:$Z$2036,P$3,FALSE)</f>
        <v>0</v>
      </c>
      <c r="Q168" s="278">
        <f>VLOOKUP($A168&amp;$B168,'Sc10'!$A$299:$Z$2036,Q$3,FALSE)</f>
        <v>0</v>
      </c>
      <c r="R168" s="233">
        <f>VLOOKUP($A168&amp;$B168,'Sc10'!$A$299:$Z$2036,R$3,FALSE)</f>
        <v>0</v>
      </c>
      <c r="S168" s="278">
        <f>VLOOKUP($A168&amp;$B168,'Sc10'!$A$299:$Z$2036,S$3,FALSE)</f>
        <v>0</v>
      </c>
      <c r="T168" s="167">
        <f>VLOOKUP($A168&amp;$B168,'Sc10'!$A$299:$Z$2036,T$3,FALSE)</f>
        <v>0</v>
      </c>
    </row>
    <row r="169" spans="1:20" x14ac:dyDescent="0.3">
      <c r="A169" s="99" t="s">
        <v>4917</v>
      </c>
      <c r="B169" t="s">
        <v>5223</v>
      </c>
      <c r="C169" s="233">
        <f>VLOOKUP($A169&amp;$B169,'Sc10'!$A$299:$Z$2036,C$3,FALSE)</f>
        <v>6707.1567934021641</v>
      </c>
      <c r="D169" s="233">
        <f>VLOOKUP($A169&amp;$B169,'Sc10'!$A$299:$Z$2036,D$3,FALSE)</f>
        <v>3245.8344510558195</v>
      </c>
      <c r="E169" s="233">
        <f>VLOOKUP($A169&amp;$B169,'Sc10'!$A$299:$Z$2036,E$3,FALSE)</f>
        <v>9952.9912444579841</v>
      </c>
      <c r="F169" s="233">
        <f>VLOOKUP($A169&amp;$B169,'Sc10'!$A$299:$Z$2036,F$3,FALSE)</f>
        <v>0</v>
      </c>
      <c r="G169" s="233">
        <f>VLOOKUP($A169&amp;$B169,'Sc10'!$A$299:$Z$2036,G$3,FALSE)</f>
        <v>0</v>
      </c>
      <c r="H169" s="233">
        <f>VLOOKUP($A169&amp;$B169,'Sc10'!$A$299:$Z$2036,H$3,FALSE)</f>
        <v>0</v>
      </c>
      <c r="I169" s="233">
        <f>VLOOKUP($A169&amp;$B169,'Sc10'!$A$299:$Z$2036,I$3,FALSE)</f>
        <v>0</v>
      </c>
      <c r="J169" s="167">
        <f>VLOOKUP($A169&amp;$B169,'Sc10'!$A$299:$Z$2036,J$3,FALSE)</f>
        <v>-9952.9912444579841</v>
      </c>
      <c r="K169" s="164">
        <f>VLOOKUP($A169&amp;$B169,'Sc10'!$A$299:$Z$2036,K$3,FALSE)</f>
        <v>4471.5360061785714</v>
      </c>
      <c r="L169" s="233">
        <f>VLOOKUP($A169&amp;$B169,'Sc10'!$A$299:$Z$2036,L$3,FALSE)</f>
        <v>306.7101072237985</v>
      </c>
      <c r="M169" s="278">
        <f>VLOOKUP($A169&amp;$B169,'Sc10'!$A$299:$Z$2036,M$3,FALSE)</f>
        <v>0</v>
      </c>
      <c r="N169" s="233">
        <f>VLOOKUP($A169&amp;$B169,'Sc10'!$A$299:$Z$2036,N$3,FALSE)</f>
        <v>0</v>
      </c>
      <c r="O169" s="278">
        <f>VLOOKUP($A169&amp;$B169,'Sc10'!$A$299:$Z$2036,O$3,FALSE)</f>
        <v>0</v>
      </c>
      <c r="P169" s="233">
        <f>VLOOKUP($A169&amp;$B169,'Sc10'!$A$299:$Z$2036,P$3,FALSE)</f>
        <v>0</v>
      </c>
      <c r="Q169" s="278">
        <f>VLOOKUP($A169&amp;$B169,'Sc10'!$A$299:$Z$2036,Q$3,FALSE)</f>
        <v>0</v>
      </c>
      <c r="R169" s="233">
        <f>VLOOKUP($A169&amp;$B169,'Sc10'!$A$299:$Z$2036,R$3,FALSE)</f>
        <v>0</v>
      </c>
      <c r="S169" s="278">
        <f>VLOOKUP($A169&amp;$B169,'Sc10'!$A$299:$Z$2036,S$3,FALSE)</f>
        <v>0</v>
      </c>
      <c r="T169" s="167">
        <f>VLOOKUP($A169&amp;$B169,'Sc10'!$A$299:$Z$2036,T$3,FALSE)</f>
        <v>0</v>
      </c>
    </row>
    <row r="170" spans="1:20" x14ac:dyDescent="0.3">
      <c r="A170" s="99" t="s">
        <v>4917</v>
      </c>
      <c r="B170" t="s">
        <v>5219</v>
      </c>
      <c r="C170" s="233">
        <f>VLOOKUP($A170&amp;$B170,'Sc10'!$A$299:$Z$2036,C$3,FALSE)</f>
        <v>1821.4045073202617</v>
      </c>
      <c r="D170" s="233">
        <f>VLOOKUP($A170&amp;$B170,'Sc10'!$A$299:$Z$2036,D$3,FALSE)</f>
        <v>1572.7463282449262</v>
      </c>
      <c r="E170" s="233">
        <f>VLOOKUP($A170&amp;$B170,'Sc10'!$A$299:$Z$2036,E$3,FALSE)</f>
        <v>3394.1508355651877</v>
      </c>
      <c r="F170" s="233">
        <f>VLOOKUP($A170&amp;$B170,'Sc10'!$A$299:$Z$2036,F$3,FALSE)</f>
        <v>0</v>
      </c>
      <c r="G170" s="233">
        <f>VLOOKUP($A170&amp;$B170,'Sc10'!$A$299:$Z$2036,G$3,FALSE)</f>
        <v>0</v>
      </c>
      <c r="H170" s="233">
        <f>VLOOKUP($A170&amp;$B170,'Sc10'!$A$299:$Z$2036,H$3,FALSE)</f>
        <v>0</v>
      </c>
      <c r="I170" s="233">
        <f>VLOOKUP($A170&amp;$B170,'Sc10'!$A$299:$Z$2036,I$3,FALSE)</f>
        <v>0</v>
      </c>
      <c r="J170" s="167">
        <f>VLOOKUP($A170&amp;$B170,'Sc10'!$A$299:$Z$2036,J$3,FALSE)</f>
        <v>-3394.1508355651877</v>
      </c>
      <c r="K170" s="164">
        <f>VLOOKUP($A170&amp;$B170,'Sc10'!$A$299:$Z$2036,K$3,FALSE)</f>
        <v>138.71116608588275</v>
      </c>
      <c r="L170" s="233">
        <f>VLOOKUP($A170&amp;$B170,'Sc10'!$A$299:$Z$2036,L$3,FALSE)</f>
        <v>9.5144300671075079</v>
      </c>
      <c r="M170" s="278">
        <f>VLOOKUP($A170&amp;$B170,'Sc10'!$A$299:$Z$2036,M$3,FALSE)</f>
        <v>0</v>
      </c>
      <c r="N170" s="233">
        <f>VLOOKUP($A170&amp;$B170,'Sc10'!$A$299:$Z$2036,N$3,FALSE)</f>
        <v>0</v>
      </c>
      <c r="O170" s="278">
        <f>VLOOKUP($A170&amp;$B170,'Sc10'!$A$299:$Z$2036,O$3,FALSE)</f>
        <v>0</v>
      </c>
      <c r="P170" s="233">
        <f>VLOOKUP($A170&amp;$B170,'Sc10'!$A$299:$Z$2036,P$3,FALSE)</f>
        <v>0</v>
      </c>
      <c r="Q170" s="278">
        <f>VLOOKUP($A170&amp;$B170,'Sc10'!$A$299:$Z$2036,Q$3,FALSE)</f>
        <v>0</v>
      </c>
      <c r="R170" s="233">
        <f>VLOOKUP($A170&amp;$B170,'Sc10'!$A$299:$Z$2036,R$3,FALSE)</f>
        <v>0</v>
      </c>
      <c r="S170" s="278">
        <f>VLOOKUP($A170&amp;$B170,'Sc10'!$A$299:$Z$2036,S$3,FALSE)</f>
        <v>0</v>
      </c>
      <c r="T170" s="167">
        <f>VLOOKUP($A170&amp;$B170,'Sc10'!$A$299:$Z$2036,T$3,FALSE)</f>
        <v>0</v>
      </c>
    </row>
    <row r="171" spans="1:20" x14ac:dyDescent="0.3">
      <c r="A171" s="99" t="s">
        <v>4917</v>
      </c>
      <c r="B171" s="90" t="s">
        <v>4683</v>
      </c>
      <c r="C171" s="233">
        <f>VLOOKUP($A171&amp;$B171,'Sc10'!$A$299:$Z$2036,C$3,FALSE)</f>
        <v>28823.135132095718</v>
      </c>
      <c r="D171" s="233">
        <f>VLOOKUP($A171&amp;$B171,'Sc10'!$A$299:$Z$2036,D$3,FALSE)</f>
        <v>5342.606096087974</v>
      </c>
      <c r="E171" s="233">
        <f>VLOOKUP($A171&amp;$B171,'Sc10'!$A$299:$Z$2036,E$3,FALSE)</f>
        <v>34165.741228183695</v>
      </c>
      <c r="F171" s="233">
        <f>VLOOKUP($A171&amp;$B171,'Sc10'!$A$299:$Z$2036,F$3,FALSE)</f>
        <v>0</v>
      </c>
      <c r="G171" s="233">
        <f>VLOOKUP($A171&amp;$B171,'Sc10'!$A$299:$Z$2036,G$3,FALSE)</f>
        <v>0</v>
      </c>
      <c r="H171" s="233">
        <f>VLOOKUP($A171&amp;$B171,'Sc10'!$A$299:$Z$2036,H$3,FALSE)</f>
        <v>0</v>
      </c>
      <c r="I171" s="233">
        <f>VLOOKUP($A171&amp;$B171,'Sc10'!$A$299:$Z$2036,I$3,FALSE)</f>
        <v>0</v>
      </c>
      <c r="J171" s="167">
        <f>VLOOKUP($A171&amp;$B171,'Sc10'!$A$299:$Z$2036,J$3,FALSE)</f>
        <v>-34165.741228183695</v>
      </c>
      <c r="K171" s="164">
        <f>VLOOKUP($A171&amp;$B171,'Sc10'!$A$299:$Z$2036,K$3,FALSE)</f>
        <v>0</v>
      </c>
      <c r="L171" s="233">
        <f>VLOOKUP($A171&amp;$B171,'Sc10'!$A$299:$Z$2036,L$3,FALSE)</f>
        <v>0</v>
      </c>
      <c r="M171" s="278">
        <f>VLOOKUP($A171&amp;$B171,'Sc10'!$A$299:$Z$2036,M$3,FALSE)</f>
        <v>0</v>
      </c>
      <c r="N171" s="233">
        <f>VLOOKUP($A171&amp;$B171,'Sc10'!$A$299:$Z$2036,N$3,FALSE)</f>
        <v>0</v>
      </c>
      <c r="O171" s="278">
        <f>VLOOKUP($A171&amp;$B171,'Sc10'!$A$299:$Z$2036,O$3,FALSE)</f>
        <v>0</v>
      </c>
      <c r="P171" s="233">
        <f>VLOOKUP($A171&amp;$B171,'Sc10'!$A$299:$Z$2036,P$3,FALSE)</f>
        <v>0</v>
      </c>
      <c r="Q171" s="278">
        <f>VLOOKUP($A171&amp;$B171,'Sc10'!$A$299:$Z$2036,Q$3,FALSE)</f>
        <v>0</v>
      </c>
      <c r="R171" s="233">
        <f>VLOOKUP($A171&amp;$B171,'Sc10'!$A$299:$Z$2036,R$3,FALSE)</f>
        <v>0</v>
      </c>
      <c r="S171" s="278">
        <f>VLOOKUP($A171&amp;$B171,'Sc10'!$A$299:$Z$2036,S$3,FALSE)</f>
        <v>0</v>
      </c>
      <c r="T171" s="167">
        <f>VLOOKUP($A171&amp;$B171,'Sc10'!$A$299:$Z$2036,T$3,FALSE)</f>
        <v>0</v>
      </c>
    </row>
    <row r="172" spans="1:20" x14ac:dyDescent="0.3">
      <c r="A172" s="99" t="s">
        <v>4917</v>
      </c>
      <c r="B172" t="s">
        <v>5210</v>
      </c>
      <c r="C172" s="233">
        <f>VLOOKUP($A172&amp;$B172,'Sc10'!$A$299:$Z$2036,C$3,FALSE)</f>
        <v>9823.6953618016832</v>
      </c>
      <c r="D172" s="233">
        <f>VLOOKUP($A172&amp;$B172,'Sc10'!$A$299:$Z$2036,D$3,FALSE)</f>
        <v>1820.9030518553702</v>
      </c>
      <c r="E172" s="233">
        <f>VLOOKUP($A172&amp;$B172,'Sc10'!$A$299:$Z$2036,E$3,FALSE)</f>
        <v>11644.598413657053</v>
      </c>
      <c r="F172" s="233">
        <f>VLOOKUP($A172&amp;$B172,'Sc10'!$A$299:$Z$2036,F$3,FALSE)</f>
        <v>0</v>
      </c>
      <c r="G172" s="233">
        <f>VLOOKUP($A172&amp;$B172,'Sc10'!$A$299:$Z$2036,G$3,FALSE)</f>
        <v>0</v>
      </c>
      <c r="H172" s="233">
        <f>VLOOKUP($A172&amp;$B172,'Sc10'!$A$299:$Z$2036,H$3,FALSE)</f>
        <v>0</v>
      </c>
      <c r="I172" s="233">
        <f>VLOOKUP($A172&amp;$B172,'Sc10'!$A$299:$Z$2036,I$3,FALSE)</f>
        <v>0</v>
      </c>
      <c r="J172" s="167">
        <f>VLOOKUP($A172&amp;$B172,'Sc10'!$A$299:$Z$2036,J$3,FALSE)</f>
        <v>-11644.598413657053</v>
      </c>
      <c r="K172" s="164">
        <f>VLOOKUP($A172&amp;$B172,'Sc10'!$A$299:$Z$2036,K$3,FALSE)</f>
        <v>0</v>
      </c>
      <c r="L172" s="233">
        <f>VLOOKUP($A172&amp;$B172,'Sc10'!$A$299:$Z$2036,L$3,FALSE)</f>
        <v>0</v>
      </c>
      <c r="M172" s="278">
        <f>VLOOKUP($A172&amp;$B172,'Sc10'!$A$299:$Z$2036,M$3,FALSE)</f>
        <v>0</v>
      </c>
      <c r="N172" s="233">
        <f>VLOOKUP($A172&amp;$B172,'Sc10'!$A$299:$Z$2036,N$3,FALSE)</f>
        <v>0</v>
      </c>
      <c r="O172" s="278">
        <f>VLOOKUP($A172&amp;$B172,'Sc10'!$A$299:$Z$2036,O$3,FALSE)</f>
        <v>0</v>
      </c>
      <c r="P172" s="233">
        <f>VLOOKUP($A172&amp;$B172,'Sc10'!$A$299:$Z$2036,P$3,FALSE)</f>
        <v>0</v>
      </c>
      <c r="Q172" s="278">
        <f>VLOOKUP($A172&amp;$B172,'Sc10'!$A$299:$Z$2036,Q$3,FALSE)</f>
        <v>0</v>
      </c>
      <c r="R172" s="233">
        <f>VLOOKUP($A172&amp;$B172,'Sc10'!$A$299:$Z$2036,R$3,FALSE)</f>
        <v>0</v>
      </c>
      <c r="S172" s="278">
        <f>VLOOKUP($A172&amp;$B172,'Sc10'!$A$299:$Z$2036,S$3,FALSE)</f>
        <v>0</v>
      </c>
      <c r="T172" s="167">
        <f>VLOOKUP($A172&amp;$B172,'Sc10'!$A$299:$Z$2036,T$3,FALSE)</f>
        <v>0</v>
      </c>
    </row>
    <row r="173" spans="1:20" x14ac:dyDescent="0.3">
      <c r="A173" s="99" t="s">
        <v>4917</v>
      </c>
      <c r="B173" t="s">
        <v>5205</v>
      </c>
      <c r="C173" s="233">
        <f>VLOOKUP($A173&amp;$B173,'Sc10'!$A$299:$Z$2036,C$3,FALSE)</f>
        <v>89721.635641040601</v>
      </c>
      <c r="D173" s="233">
        <f>VLOOKUP($A173&amp;$B173,'Sc10'!$A$299:$Z$2036,D$3,FALSE)</f>
        <v>31080.162719874097</v>
      </c>
      <c r="E173" s="233">
        <f>VLOOKUP($A173&amp;$B173,'Sc10'!$A$299:$Z$2036,E$3,FALSE)</f>
        <v>120801.79836091469</v>
      </c>
      <c r="F173" s="233">
        <f>VLOOKUP($A173&amp;$B173,'Sc10'!$A$299:$Z$2036,F$3,FALSE)</f>
        <v>0</v>
      </c>
      <c r="G173" s="233">
        <f>VLOOKUP($A173&amp;$B173,'Sc10'!$A$299:$Z$2036,G$3,FALSE)</f>
        <v>6299.0931327066219</v>
      </c>
      <c r="H173" s="233">
        <f>VLOOKUP($A173&amp;$B173,'Sc10'!$A$299:$Z$2036,H$3,FALSE)</f>
        <v>0</v>
      </c>
      <c r="I173" s="233">
        <f>VLOOKUP($A173&amp;$B173,'Sc10'!$A$299:$Z$2036,I$3,FALSE)</f>
        <v>0</v>
      </c>
      <c r="J173" s="167">
        <f>VLOOKUP($A173&amp;$B173,'Sc10'!$A$299:$Z$2036,J$3,FALSE)</f>
        <v>-120801.79836091469</v>
      </c>
      <c r="K173" s="164">
        <f>VLOOKUP($A173&amp;$B173,'Sc10'!$A$299:$Z$2036,K$3,FALSE)</f>
        <v>931.22205127489565</v>
      </c>
      <c r="L173" s="233">
        <f>VLOOKUP($A173&amp;$B173,'Sc10'!$A$299:$Z$2036,L$3,FALSE)</f>
        <v>63.874072533697216</v>
      </c>
      <c r="M173" s="278">
        <f>VLOOKUP($A173&amp;$B173,'Sc10'!$A$299:$Z$2036,M$3,FALSE)</f>
        <v>67.767099636382738</v>
      </c>
      <c r="N173" s="233">
        <f>VLOOKUP($A173&amp;$B173,'Sc10'!$A$299:$Z$2036,N$3,FALSE)</f>
        <v>250.50044449362804</v>
      </c>
      <c r="O173" s="278">
        <f>VLOOKUP($A173&amp;$B173,'Sc10'!$A$299:$Z$2036,O$3,FALSE)</f>
        <v>9.9999480862218775</v>
      </c>
      <c r="P173" s="233">
        <f>VLOOKUP($A173&amp;$B173,'Sc10'!$A$299:$Z$2036,P$3,FALSE)</f>
        <v>236.59877172000967</v>
      </c>
      <c r="Q173" s="278">
        <f>VLOOKUP($A173&amp;$B173,'Sc10'!$A$299:$Z$2036,Q$3,FALSE)</f>
        <v>0</v>
      </c>
      <c r="R173" s="233">
        <f>VLOOKUP($A173&amp;$B173,'Sc10'!$A$299:$Z$2036,R$3,FALSE)</f>
        <v>0</v>
      </c>
      <c r="S173" s="278">
        <f>VLOOKUP($A173&amp;$B173,'Sc10'!$A$299:$Z$2036,S$3,FALSE)</f>
        <v>9.9999480862218775</v>
      </c>
      <c r="T173" s="167">
        <f>VLOOKUP($A173&amp;$B173,'Sc10'!$A$299:$Z$2036,T$3,FALSE)</f>
        <v>236.59877172000967</v>
      </c>
    </row>
    <row r="174" spans="1:20" x14ac:dyDescent="0.3">
      <c r="A174" s="149" t="s">
        <v>4917</v>
      </c>
      <c r="B174" s="650" t="s">
        <v>5203</v>
      </c>
      <c r="C174" s="655">
        <f>VLOOKUP($A174&amp;$B174,'Sc10'!$A$299:$Z$2036,C$3,FALSE)</f>
        <v>137532.96691882779</v>
      </c>
      <c r="D174" s="655">
        <f>VLOOKUP($A174&amp;$B174,'Sc10'!$A$299:$Z$2036,D$3,FALSE)</f>
        <v>43419.918283080508</v>
      </c>
      <c r="E174" s="655">
        <f>VLOOKUP($A174&amp;$B174,'Sc10'!$A$299:$Z$2036,E$3,FALSE)</f>
        <v>180952.8852019083</v>
      </c>
      <c r="F174" s="655">
        <f>VLOOKUP($A174&amp;$B174,'Sc10'!$A$299:$Z$2036,F$3,FALSE)</f>
        <v>0</v>
      </c>
      <c r="G174" s="655">
        <f>VLOOKUP($A174&amp;$B174,'Sc10'!$A$299:$Z$2036,G$3,FALSE)</f>
        <v>6299.0931327066219</v>
      </c>
      <c r="H174" s="655">
        <f>VLOOKUP($A174&amp;$B174,'Sc10'!$A$299:$Z$2036,H$3,FALSE)</f>
        <v>0</v>
      </c>
      <c r="I174" s="655">
        <f>VLOOKUP($A174&amp;$B174,'Sc10'!$A$299:$Z$2036,I$3,FALSE)</f>
        <v>0</v>
      </c>
      <c r="J174" s="656">
        <f>VLOOKUP($A174&amp;$B174,'Sc10'!$A$299:$Z$2036,J$3,FALSE)</f>
        <v>-180952.8852019083</v>
      </c>
      <c r="K174" s="651">
        <f>VLOOKUP($A174&amp;$B174,'Sc10'!$A$299:$Z$2036,K$3,FALSE)</f>
        <v>5541.4692235393495</v>
      </c>
      <c r="L174" s="655">
        <f>VLOOKUP($A174&amp;$B174,'Sc10'!$A$299:$Z$2036,L$3,FALSE)</f>
        <v>380.09860982460327</v>
      </c>
      <c r="M174" s="652">
        <f>VLOOKUP($A174&amp;$B174,'Sc10'!$A$299:$Z$2036,M$3,FALSE)</f>
        <v>67.767099636382738</v>
      </c>
      <c r="N174" s="655">
        <f>VLOOKUP($A174&amp;$B174,'Sc10'!$A$299:$Z$2036,N$3,FALSE)</f>
        <v>250.50044449362804</v>
      </c>
      <c r="O174" s="652">
        <f>VLOOKUP($A174&amp;$B174,'Sc10'!$A$299:$Z$2036,O$3,FALSE)</f>
        <v>9.9999480862218775</v>
      </c>
      <c r="P174" s="655">
        <f>VLOOKUP($A174&amp;$B174,'Sc10'!$A$299:$Z$2036,P$3,FALSE)</f>
        <v>236.59877172000967</v>
      </c>
      <c r="Q174" s="652">
        <f>VLOOKUP($A174&amp;$B174,'Sc10'!$A$299:$Z$2036,Q$3,FALSE)</f>
        <v>0</v>
      </c>
      <c r="R174" s="655">
        <f>VLOOKUP($A174&amp;$B174,'Sc10'!$A$299:$Z$2036,R$3,FALSE)</f>
        <v>0</v>
      </c>
      <c r="S174" s="652">
        <f>VLOOKUP($A174&amp;$B174,'Sc10'!$A$299:$Z$2036,S$3,FALSE)</f>
        <v>9.9999480862218775</v>
      </c>
      <c r="T174" s="656">
        <f>VLOOKUP($A174&amp;$B174,'Sc10'!$A$299:$Z$2036,T$3,FALSE)</f>
        <v>236.59877172000967</v>
      </c>
    </row>
    <row r="176" spans="1:20" x14ac:dyDescent="0.3">
      <c r="A176" s="3020" t="s">
        <v>5231</v>
      </c>
      <c r="B176" s="3021"/>
      <c r="C176" s="3021"/>
      <c r="D176" s="3021"/>
      <c r="E176" s="3021"/>
      <c r="F176" s="3021"/>
      <c r="G176" s="3021"/>
      <c r="H176" s="3021"/>
      <c r="I176" s="3021"/>
      <c r="J176" s="3021"/>
      <c r="K176" s="3021"/>
      <c r="L176" s="3021"/>
      <c r="M176" s="3021"/>
      <c r="N176" s="3021"/>
      <c r="O176" s="3021"/>
      <c r="P176" s="3021"/>
      <c r="Q176" s="3021"/>
      <c r="R176" s="3021"/>
      <c r="S176" s="3021"/>
      <c r="T176" s="3022"/>
    </row>
    <row r="177" spans="1:20" ht="28.8" x14ac:dyDescent="0.3">
      <c r="A177" s="99"/>
      <c r="B177" s="82" t="s">
        <v>5187</v>
      </c>
      <c r="C177" s="82" t="s">
        <v>2585</v>
      </c>
      <c r="D177" s="82" t="s">
        <v>2588</v>
      </c>
      <c r="E177" s="82" t="s">
        <v>5188</v>
      </c>
      <c r="F177" s="82" t="s">
        <v>5189</v>
      </c>
      <c r="G177" s="82" t="s">
        <v>5190</v>
      </c>
      <c r="H177" s="82" t="s">
        <v>442</v>
      </c>
      <c r="I177" s="82" t="s">
        <v>5191</v>
      </c>
      <c r="J177" s="173" t="s">
        <v>439</v>
      </c>
      <c r="K177" s="661" t="s">
        <v>5192</v>
      </c>
      <c r="L177" s="281" t="s">
        <v>5193</v>
      </c>
      <c r="M177" s="663" t="s">
        <v>5194</v>
      </c>
      <c r="N177" s="281" t="s">
        <v>5195</v>
      </c>
      <c r="O177" s="663" t="s">
        <v>5196</v>
      </c>
      <c r="P177" s="281" t="s">
        <v>5197</v>
      </c>
      <c r="Q177" s="663" t="s">
        <v>5198</v>
      </c>
      <c r="R177" s="281" t="s">
        <v>5199</v>
      </c>
      <c r="S177" s="663" t="s">
        <v>5200</v>
      </c>
      <c r="T177" s="282" t="s">
        <v>5201</v>
      </c>
    </row>
    <row r="178" spans="1:20" x14ac:dyDescent="0.3">
      <c r="A178" s="99" t="s">
        <v>4912</v>
      </c>
      <c r="B178" t="s">
        <v>5209</v>
      </c>
      <c r="C178" s="233">
        <f>VLOOKUP($A178&amp;$B178,'Sc11'!$A$299:$Z$2038,C$3,FALSE)</f>
        <v>0</v>
      </c>
      <c r="D178" s="233">
        <f>VLOOKUP($A178&amp;$B178,'Sc11'!$A$299:$Z$2038,D$3,FALSE)</f>
        <v>239.78900165651024</v>
      </c>
      <c r="E178" s="233">
        <f>VLOOKUP($A178&amp;$B178,'Sc11'!$A$299:$Z$2038,E$3,FALSE)</f>
        <v>239.78900165651024</v>
      </c>
      <c r="F178" s="233">
        <f>VLOOKUP($A178&amp;$B178,'Sc11'!$A$299:$Z$2038,F$3,FALSE)</f>
        <v>0</v>
      </c>
      <c r="G178" s="233">
        <f>VLOOKUP($A178&amp;$B178,'Sc11'!$A$299:$Z$2038,G$3,FALSE)</f>
        <v>0</v>
      </c>
      <c r="H178" s="233">
        <f>VLOOKUP($A178&amp;$B178,'Sc11'!$A$299:$Z$2038,H$3,FALSE)</f>
        <v>0</v>
      </c>
      <c r="I178" s="233">
        <f>VLOOKUP($A178&amp;$B178,'Sc11'!$A$299:$Z$2038,I$3,FALSE)</f>
        <v>0</v>
      </c>
      <c r="J178" s="167">
        <f>VLOOKUP($A178&amp;$B178,'Sc11'!$A$299:$Z$2038,J$3,FALSE)</f>
        <v>-239.78900165651024</v>
      </c>
      <c r="K178" s="164">
        <f>VLOOKUP($A178&amp;$B178,'Sc11'!$A$299:$Z$2038,K$3,FALSE)</f>
        <v>0</v>
      </c>
      <c r="L178" s="233">
        <f>VLOOKUP($A178&amp;$B178,'Sc11'!$A$299:$Z$2038,L$3,FALSE)</f>
        <v>0</v>
      </c>
      <c r="M178" s="278">
        <f>VLOOKUP($A178&amp;$B178,'Sc11'!$A$299:$Z$2038,M$3,FALSE)</f>
        <v>0</v>
      </c>
      <c r="N178" s="233">
        <f>VLOOKUP($A178&amp;$B178,'Sc11'!$A$299:$Z$2038,N$3,FALSE)</f>
        <v>0</v>
      </c>
      <c r="O178" s="278">
        <f>VLOOKUP($A178&amp;$B178,'Sc11'!$A$299:$Z$2038,O$3,FALSE)</f>
        <v>0</v>
      </c>
      <c r="P178" s="233">
        <f>VLOOKUP($A178&amp;$B178,'Sc11'!$A$299:$Z$2038,P$3,FALSE)</f>
        <v>0</v>
      </c>
      <c r="Q178" s="278">
        <f>VLOOKUP($A178&amp;$B178,'Sc11'!$A$299:$Z$2038,Q$3,FALSE)</f>
        <v>0</v>
      </c>
      <c r="R178" s="233">
        <f>VLOOKUP($A178&amp;$B178,'Sc11'!$A$299:$Z$2038,R$3,FALSE)</f>
        <v>0</v>
      </c>
      <c r="S178" s="278">
        <f>VLOOKUP($A178&amp;$B178,'Sc11'!$A$299:$Z$2038,S$3,FALSE)</f>
        <v>0</v>
      </c>
      <c r="T178" s="167">
        <f>VLOOKUP($A178&amp;$B178,'Sc11'!$A$299:$Z$2038,T$3,FALSE)</f>
        <v>0</v>
      </c>
    </row>
    <row r="179" spans="1:20" x14ac:dyDescent="0.3">
      <c r="A179" s="99" t="s">
        <v>4912</v>
      </c>
      <c r="B179" t="s">
        <v>5219</v>
      </c>
      <c r="C179" s="233">
        <f>VLOOKUP($A179&amp;$B179,'Sc11'!$A$299:$Z$2038,C$3,FALSE)</f>
        <v>2085.172249970477</v>
      </c>
      <c r="D179" s="233">
        <f>VLOOKUP($A179&amp;$B179,'Sc11'!$A$299:$Z$2038,D$3,FALSE)</f>
        <v>1629.2470937565076</v>
      </c>
      <c r="E179" s="233">
        <f>VLOOKUP($A179&amp;$B179,'Sc11'!$A$299:$Z$2038,E$3,FALSE)</f>
        <v>3714.4193437269846</v>
      </c>
      <c r="F179" s="233">
        <f>VLOOKUP($A179&amp;$B179,'Sc11'!$A$299:$Z$2038,F$3,FALSE)</f>
        <v>0</v>
      </c>
      <c r="G179" s="233">
        <f>VLOOKUP($A179&amp;$B179,'Sc11'!$A$299:$Z$2038,G$3,FALSE)</f>
        <v>0</v>
      </c>
      <c r="H179" s="233">
        <f>VLOOKUP($A179&amp;$B179,'Sc11'!$A$299:$Z$2038,H$3,FALSE)</f>
        <v>0</v>
      </c>
      <c r="I179" s="233">
        <f>VLOOKUP($A179&amp;$B179,'Sc11'!$A$299:$Z$2038,I$3,FALSE)</f>
        <v>0</v>
      </c>
      <c r="J179" s="167">
        <f>VLOOKUP($A179&amp;$B179,'Sc11'!$A$299:$Z$2038,J$3,FALSE)</f>
        <v>-3714.4193437269846</v>
      </c>
      <c r="K179" s="164">
        <f>VLOOKUP($A179&amp;$B179,'Sc11'!$A$299:$Z$2038,K$3,FALSE)</f>
        <v>249.64645588615733</v>
      </c>
      <c r="L179" s="233">
        <f>VLOOKUP($A179&amp;$B179,'Sc11'!$A$299:$Z$2038,L$3,FALSE)</f>
        <v>17.123666486658006</v>
      </c>
      <c r="M179" s="278">
        <f>VLOOKUP($A179&amp;$B179,'Sc11'!$A$299:$Z$2038,M$3,FALSE)</f>
        <v>0</v>
      </c>
      <c r="N179" s="233">
        <f>VLOOKUP($A179&amp;$B179,'Sc11'!$A$299:$Z$2038,N$3,FALSE)</f>
        <v>0</v>
      </c>
      <c r="O179" s="278">
        <f>VLOOKUP($A179&amp;$B179,'Sc11'!$A$299:$Z$2038,O$3,FALSE)</f>
        <v>0</v>
      </c>
      <c r="P179" s="233">
        <f>VLOOKUP($A179&amp;$B179,'Sc11'!$A$299:$Z$2038,P$3,FALSE)</f>
        <v>0</v>
      </c>
      <c r="Q179" s="278">
        <f>VLOOKUP($A179&amp;$B179,'Sc11'!$A$299:$Z$2038,Q$3,FALSE)</f>
        <v>0</v>
      </c>
      <c r="R179" s="233">
        <f>VLOOKUP($A179&amp;$B179,'Sc11'!$A$299:$Z$2038,R$3,FALSE)</f>
        <v>0</v>
      </c>
      <c r="S179" s="278">
        <f>VLOOKUP($A179&amp;$B179,'Sc11'!$A$299:$Z$2038,S$3,FALSE)</f>
        <v>0</v>
      </c>
      <c r="T179" s="167">
        <f>VLOOKUP($A179&amp;$B179,'Sc11'!$A$299:$Z$2038,T$3,FALSE)</f>
        <v>0</v>
      </c>
    </row>
    <row r="180" spans="1:20" x14ac:dyDescent="0.3">
      <c r="A180" s="99" t="s">
        <v>4912</v>
      </c>
      <c r="B180" t="s">
        <v>4683</v>
      </c>
      <c r="C180" s="233">
        <f>VLOOKUP($A180&amp;$B180,'Sc11'!$A$299:$Z$2038,C$3,FALSE)</f>
        <v>28823.135132095718</v>
      </c>
      <c r="D180" s="233">
        <f>VLOOKUP($A180&amp;$B180,'Sc11'!$A$299:$Z$2038,D$3,FALSE)</f>
        <v>5342.606096087974</v>
      </c>
      <c r="E180" s="233">
        <f>VLOOKUP($A180&amp;$B180,'Sc11'!$A$299:$Z$2038,E$3,FALSE)</f>
        <v>34165.741228183695</v>
      </c>
      <c r="F180" s="233">
        <f>VLOOKUP($A180&amp;$B180,'Sc11'!$A$299:$Z$2038,F$3,FALSE)</f>
        <v>0</v>
      </c>
      <c r="G180" s="233">
        <f>VLOOKUP($A180&amp;$B180,'Sc11'!$A$299:$Z$2038,G$3,FALSE)</f>
        <v>0</v>
      </c>
      <c r="H180" s="233">
        <f>VLOOKUP($A180&amp;$B180,'Sc11'!$A$299:$Z$2038,H$3,FALSE)</f>
        <v>0</v>
      </c>
      <c r="I180" s="233">
        <f>VLOOKUP($A180&amp;$B180,'Sc11'!$A$299:$Z$2038,I$3,FALSE)</f>
        <v>0</v>
      </c>
      <c r="J180" s="167">
        <f>VLOOKUP($A180&amp;$B180,'Sc11'!$A$299:$Z$2038,J$3,FALSE)</f>
        <v>-34165.741228183695</v>
      </c>
      <c r="K180" s="164">
        <f>VLOOKUP($A180&amp;$B180,'Sc11'!$A$299:$Z$2038,K$3,FALSE)</f>
        <v>0</v>
      </c>
      <c r="L180" s="233">
        <f>VLOOKUP($A180&amp;$B180,'Sc11'!$A$299:$Z$2038,L$3,FALSE)</f>
        <v>0</v>
      </c>
      <c r="M180" s="278">
        <f>VLOOKUP($A180&amp;$B180,'Sc11'!$A$299:$Z$2038,M$3,FALSE)</f>
        <v>0</v>
      </c>
      <c r="N180" s="233">
        <f>VLOOKUP($A180&amp;$B180,'Sc11'!$A$299:$Z$2038,N$3,FALSE)</f>
        <v>0</v>
      </c>
      <c r="O180" s="278">
        <f>VLOOKUP($A180&amp;$B180,'Sc11'!$A$299:$Z$2038,O$3,FALSE)</f>
        <v>0</v>
      </c>
      <c r="P180" s="233">
        <f>VLOOKUP($A180&amp;$B180,'Sc11'!$A$299:$Z$2038,P$3,FALSE)</f>
        <v>0</v>
      </c>
      <c r="Q180" s="278">
        <f>VLOOKUP($A180&amp;$B180,'Sc11'!$A$299:$Z$2038,Q$3,FALSE)</f>
        <v>0</v>
      </c>
      <c r="R180" s="233">
        <f>VLOOKUP($A180&amp;$B180,'Sc11'!$A$299:$Z$2038,R$3,FALSE)</f>
        <v>0</v>
      </c>
      <c r="S180" s="278">
        <f>VLOOKUP($A180&amp;$B180,'Sc11'!$A$299:$Z$2038,S$3,FALSE)</f>
        <v>0</v>
      </c>
      <c r="T180" s="167">
        <f>VLOOKUP($A180&amp;$B180,'Sc11'!$A$299:$Z$2038,T$3,FALSE)</f>
        <v>0</v>
      </c>
    </row>
    <row r="181" spans="1:20" x14ac:dyDescent="0.3">
      <c r="A181" s="99" t="s">
        <v>4912</v>
      </c>
      <c r="B181" s="90" t="s">
        <v>5210</v>
      </c>
      <c r="C181" s="233">
        <f>VLOOKUP($A181&amp;$B181,'Sc11'!$A$299:$Z$2038,C$3,FALSE)</f>
        <v>9823.6953618016832</v>
      </c>
      <c r="D181" s="233">
        <f>VLOOKUP($A181&amp;$B181,'Sc11'!$A$299:$Z$2038,D$3,FALSE)</f>
        <v>1820.9030518553702</v>
      </c>
      <c r="E181" s="233">
        <f>VLOOKUP($A181&amp;$B181,'Sc11'!$A$299:$Z$2038,E$3,FALSE)</f>
        <v>11644.598413657053</v>
      </c>
      <c r="F181" s="233">
        <f>VLOOKUP($A181&amp;$B181,'Sc11'!$A$299:$Z$2038,F$3,FALSE)</f>
        <v>0</v>
      </c>
      <c r="G181" s="233">
        <f>VLOOKUP($A181&amp;$B181,'Sc11'!$A$299:$Z$2038,G$3,FALSE)</f>
        <v>0</v>
      </c>
      <c r="H181" s="233">
        <f>VLOOKUP($A181&amp;$B181,'Sc11'!$A$299:$Z$2038,H$3,FALSE)</f>
        <v>0</v>
      </c>
      <c r="I181" s="233">
        <f>VLOOKUP($A181&amp;$B181,'Sc11'!$A$299:$Z$2038,I$3,FALSE)</f>
        <v>0</v>
      </c>
      <c r="J181" s="167">
        <f>VLOOKUP($A181&amp;$B181,'Sc11'!$A$299:$Z$2038,J$3,FALSE)</f>
        <v>-11644.598413657053</v>
      </c>
      <c r="K181" s="164">
        <f>VLOOKUP($A181&amp;$B181,'Sc11'!$A$299:$Z$2038,K$3,FALSE)</f>
        <v>0</v>
      </c>
      <c r="L181" s="233">
        <f>VLOOKUP($A181&amp;$B181,'Sc11'!$A$299:$Z$2038,L$3,FALSE)</f>
        <v>0</v>
      </c>
      <c r="M181" s="278">
        <f>VLOOKUP($A181&amp;$B181,'Sc11'!$A$299:$Z$2038,M$3,FALSE)</f>
        <v>0</v>
      </c>
      <c r="N181" s="233">
        <f>VLOOKUP($A181&amp;$B181,'Sc11'!$A$299:$Z$2038,N$3,FALSE)</f>
        <v>0</v>
      </c>
      <c r="O181" s="278">
        <f>VLOOKUP($A181&amp;$B181,'Sc11'!$A$299:$Z$2038,O$3,FALSE)</f>
        <v>0</v>
      </c>
      <c r="P181" s="233">
        <f>VLOOKUP($A181&amp;$B181,'Sc11'!$A$299:$Z$2038,P$3,FALSE)</f>
        <v>0</v>
      </c>
      <c r="Q181" s="278">
        <f>VLOOKUP($A181&amp;$B181,'Sc11'!$A$299:$Z$2038,Q$3,FALSE)</f>
        <v>0</v>
      </c>
      <c r="R181" s="233">
        <f>VLOOKUP($A181&amp;$B181,'Sc11'!$A$299:$Z$2038,R$3,FALSE)</f>
        <v>0</v>
      </c>
      <c r="S181" s="278">
        <f>VLOOKUP($A181&amp;$B181,'Sc11'!$A$299:$Z$2038,S$3,FALSE)</f>
        <v>0</v>
      </c>
      <c r="T181" s="167">
        <f>VLOOKUP($A181&amp;$B181,'Sc11'!$A$299:$Z$2038,T$3,FALSE)</f>
        <v>0</v>
      </c>
    </row>
    <row r="182" spans="1:20" x14ac:dyDescent="0.3">
      <c r="A182" s="99" t="s">
        <v>4912</v>
      </c>
      <c r="B182" t="s">
        <v>5216</v>
      </c>
      <c r="C182" s="233">
        <f>VLOOKUP($A182&amp;$B182,'Sc11'!$A$299:$Z$2038,C$3,FALSE)</f>
        <v>3017.6174069102476</v>
      </c>
      <c r="D182" s="233">
        <f>VLOOKUP($A182&amp;$B182,'Sc11'!$A$299:$Z$2038,D$3,FALSE)</f>
        <v>1014.0635770177494</v>
      </c>
      <c r="E182" s="233">
        <f>VLOOKUP($A182&amp;$B182,'Sc11'!$A$299:$Z$2038,E$3,FALSE)</f>
        <v>4031.6809839279967</v>
      </c>
      <c r="F182" s="233">
        <f>VLOOKUP($A182&amp;$B182,'Sc11'!$A$299:$Z$2038,F$3,FALSE)</f>
        <v>860.94465773275579</v>
      </c>
      <c r="G182" s="233">
        <f>VLOOKUP($A182&amp;$B182,'Sc11'!$A$299:$Z$2038,G$3,FALSE)</f>
        <v>0</v>
      </c>
      <c r="H182" s="233">
        <f>VLOOKUP($A182&amp;$B182,'Sc11'!$A$299:$Z$2038,H$3,FALSE)</f>
        <v>0</v>
      </c>
      <c r="I182" s="233">
        <f>VLOOKUP($A182&amp;$B182,'Sc11'!$A$299:$Z$2038,I$3,FALSE)</f>
        <v>0</v>
      </c>
      <c r="J182" s="167">
        <f>VLOOKUP($A182&amp;$B182,'Sc11'!$A$299:$Z$2038,J$3,FALSE)</f>
        <v>-4031.6809839279967</v>
      </c>
      <c r="K182" s="164">
        <f>VLOOKUP($A182&amp;$B182,'Sc11'!$A$299:$Z$2038,K$3,FALSE)</f>
        <v>92.045831870967106</v>
      </c>
      <c r="L182" s="233">
        <f>VLOOKUP($A182&amp;$B182,'Sc11'!$A$299:$Z$2038,L$3,FALSE)</f>
        <v>6.3135770177494184</v>
      </c>
      <c r="M182" s="278">
        <f>VLOOKUP($A182&amp;$B182,'Sc11'!$A$299:$Z$2038,M$3,FALSE)</f>
        <v>0</v>
      </c>
      <c r="N182" s="233">
        <f>VLOOKUP($A182&amp;$B182,'Sc11'!$A$299:$Z$2038,N$3,FALSE)</f>
        <v>0</v>
      </c>
      <c r="O182" s="278">
        <f>VLOOKUP($A182&amp;$B182,'Sc11'!$A$299:$Z$2038,O$3,FALSE)</f>
        <v>0</v>
      </c>
      <c r="P182" s="233">
        <f>VLOOKUP($A182&amp;$B182,'Sc11'!$A$299:$Z$2038,P$3,FALSE)</f>
        <v>0</v>
      </c>
      <c r="Q182" s="278">
        <f>VLOOKUP($A182&amp;$B182,'Sc11'!$A$299:$Z$2038,Q$3,FALSE)</f>
        <v>0</v>
      </c>
      <c r="R182" s="233">
        <f>VLOOKUP($A182&amp;$B182,'Sc11'!$A$299:$Z$2038,R$3,FALSE)</f>
        <v>0</v>
      </c>
      <c r="S182" s="278">
        <f>VLOOKUP($A182&amp;$B182,'Sc11'!$A$299:$Z$2038,S$3,FALSE)</f>
        <v>0</v>
      </c>
      <c r="T182" s="167">
        <f>VLOOKUP($A182&amp;$B182,'Sc11'!$A$299:$Z$2038,T$3,FALSE)</f>
        <v>0</v>
      </c>
    </row>
    <row r="183" spans="1:20" x14ac:dyDescent="0.3">
      <c r="A183" s="99" t="s">
        <v>4912</v>
      </c>
      <c r="B183" t="s">
        <v>5202</v>
      </c>
      <c r="C183" s="233">
        <f>VLOOKUP($A183&amp;$B183,'Sc11'!$A$299:$Z$2038,C$3,FALSE)</f>
        <v>35700.845019020991</v>
      </c>
      <c r="D183" s="233">
        <f>VLOOKUP($A183&amp;$B183,'Sc11'!$A$299:$Z$2038,D$3,FALSE)</f>
        <v>14009.56463641025</v>
      </c>
      <c r="E183" s="233">
        <f>VLOOKUP($A183&amp;$B183,'Sc11'!$A$299:$Z$2038,E$3,FALSE)</f>
        <v>49710.409655431242</v>
      </c>
      <c r="F183" s="233">
        <f>VLOOKUP($A183&amp;$B183,'Sc11'!$A$299:$Z$2038,F$3,FALSE)</f>
        <v>0</v>
      </c>
      <c r="G183" s="233">
        <f>VLOOKUP($A183&amp;$B183,'Sc11'!$A$299:$Z$2038,G$3,FALSE)</f>
        <v>5962.0693197026221</v>
      </c>
      <c r="H183" s="233">
        <f>VLOOKUP($A183&amp;$B183,'Sc11'!$A$299:$Z$2038,H$3,FALSE)</f>
        <v>0</v>
      </c>
      <c r="I183" s="233">
        <f>VLOOKUP($A183&amp;$B183,'Sc11'!$A$299:$Z$2038,I$3,FALSE)</f>
        <v>0</v>
      </c>
      <c r="J183" s="167">
        <f>VLOOKUP($A183&amp;$B183,'Sc11'!$A$299:$Z$2038,J$3,FALSE)</f>
        <v>-49710.409655431242</v>
      </c>
      <c r="K183" s="164">
        <f>VLOOKUP($A183&amp;$B183,'Sc11'!$A$299:$Z$2038,K$3,FALSE)</f>
        <v>931.22205127489576</v>
      </c>
      <c r="L183" s="233">
        <f>VLOOKUP($A183&amp;$B183,'Sc11'!$A$299:$Z$2038,L$3,FALSE)</f>
        <v>63.874072533697223</v>
      </c>
      <c r="M183" s="278">
        <f>VLOOKUP($A183&amp;$B183,'Sc11'!$A$299:$Z$2038,M$3,FALSE)</f>
        <v>164.46926905347146</v>
      </c>
      <c r="N183" s="233">
        <f>VLOOKUP($A183&amp;$B183,'Sc11'!$A$299:$Z$2038,N$3,FALSE)</f>
        <v>607.95910145927928</v>
      </c>
      <c r="O183" s="278">
        <f>VLOOKUP($A183&amp;$B183,'Sc11'!$A$299:$Z$2038,O$3,FALSE)</f>
        <v>28.083433947404629</v>
      </c>
      <c r="P183" s="233">
        <f>VLOOKUP($A183&amp;$B183,'Sc11'!$A$299:$Z$2038,P$3,FALSE)</f>
        <v>664.4540471955936</v>
      </c>
      <c r="Q183" s="278">
        <f>VLOOKUP($A183&amp;$B183,'Sc11'!$A$299:$Z$2038,Q$3,FALSE)</f>
        <v>0</v>
      </c>
      <c r="R183" s="233">
        <f>VLOOKUP($A183&amp;$B183,'Sc11'!$A$299:$Z$2038,R$3,FALSE)</f>
        <v>0</v>
      </c>
      <c r="S183" s="278">
        <f>VLOOKUP($A183&amp;$B183,'Sc11'!$A$299:$Z$2038,S$3,FALSE)</f>
        <v>28.083433947404629</v>
      </c>
      <c r="T183" s="167">
        <f>VLOOKUP($A183&amp;$B183,'Sc11'!$A$299:$Z$2038,T$3,FALSE)</f>
        <v>664.4540471955936</v>
      </c>
    </row>
    <row r="184" spans="1:20" x14ac:dyDescent="0.3">
      <c r="A184" s="149" t="s">
        <v>4912</v>
      </c>
      <c r="B184" s="650" t="s">
        <v>5203</v>
      </c>
      <c r="C184" s="655">
        <f>VLOOKUP($A184&amp;$B184,'Sc11'!$A$299:$Z$2038,C$3,FALSE)</f>
        <v>80882.898677704332</v>
      </c>
      <c r="D184" s="655">
        <f>VLOOKUP($A184&amp;$B184,'Sc11'!$A$299:$Z$2038,D$3,FALSE)</f>
        <v>24321.686835412394</v>
      </c>
      <c r="E184" s="655">
        <f>VLOOKUP($A184&amp;$B184,'Sc11'!$A$299:$Z$2038,E$3,FALSE)</f>
        <v>105204.58551311672</v>
      </c>
      <c r="F184" s="655">
        <f>VLOOKUP($A184&amp;$B184,'Sc11'!$A$299:$Z$2038,F$3,FALSE)</f>
        <v>860.94465773275579</v>
      </c>
      <c r="G184" s="655">
        <f>VLOOKUP($A184&amp;$B184,'Sc11'!$A$299:$Z$2038,G$3,FALSE)</f>
        <v>5962.0693197026221</v>
      </c>
      <c r="H184" s="655">
        <f>VLOOKUP($A184&amp;$B184,'Sc11'!$A$299:$Z$2038,H$3,FALSE)</f>
        <v>0</v>
      </c>
      <c r="I184" s="655">
        <f>VLOOKUP($A184&amp;$B184,'Sc11'!$A$299:$Z$2038,I$3,FALSE)</f>
        <v>0</v>
      </c>
      <c r="J184" s="656">
        <f>VLOOKUP($A184&amp;$B184,'Sc11'!$A$299:$Z$2038,J$3,FALSE)</f>
        <v>-105204.58551311672</v>
      </c>
      <c r="K184" s="651">
        <f>VLOOKUP($A184&amp;$B184,'Sc11'!$A$299:$Z$2038,K$3,FALSE)</f>
        <v>1272.9143390320201</v>
      </c>
      <c r="L184" s="655">
        <f>VLOOKUP($A184&amp;$B184,'Sc11'!$A$299:$Z$2038,L$3,FALSE)</f>
        <v>87.31131603810465</v>
      </c>
      <c r="M184" s="652">
        <f>VLOOKUP($A184&amp;$B184,'Sc11'!$A$299:$Z$2038,M$3,FALSE)</f>
        <v>164.46926905347146</v>
      </c>
      <c r="N184" s="655">
        <f>VLOOKUP($A184&amp;$B184,'Sc11'!$A$299:$Z$2038,N$3,FALSE)</f>
        <v>607.95910145927928</v>
      </c>
      <c r="O184" s="652">
        <f>VLOOKUP($A184&amp;$B184,'Sc11'!$A$299:$Z$2038,O$3,FALSE)</f>
        <v>28.083433947404629</v>
      </c>
      <c r="P184" s="655">
        <f>VLOOKUP($A184&amp;$B184,'Sc11'!$A$299:$Z$2038,P$3,FALSE)</f>
        <v>664.4540471955936</v>
      </c>
      <c r="Q184" s="652">
        <f>VLOOKUP($A184&amp;$B184,'Sc11'!$A$299:$Z$2038,Q$3,FALSE)</f>
        <v>0</v>
      </c>
      <c r="R184" s="655">
        <f>VLOOKUP($A184&amp;$B184,'Sc11'!$A$299:$Z$2038,R$3,FALSE)</f>
        <v>0</v>
      </c>
      <c r="S184" s="652">
        <f>VLOOKUP($A184&amp;$B184,'Sc11'!$A$299:$Z$2038,S$3,FALSE)</f>
        <v>28.083433947404629</v>
      </c>
      <c r="T184" s="656">
        <f>VLOOKUP($A184&amp;$B184,'Sc11'!$A$299:$Z$2038,T$3,FALSE)</f>
        <v>664.4540471955936</v>
      </c>
    </row>
    <row r="186" spans="1:20" x14ac:dyDescent="0.3">
      <c r="A186" s="3023" t="s">
        <v>5232</v>
      </c>
      <c r="B186" s="3024"/>
      <c r="C186" s="3024"/>
      <c r="D186" s="3024"/>
      <c r="E186" s="3024"/>
      <c r="F186" s="3024"/>
      <c r="G186" s="3024"/>
      <c r="H186" s="3024"/>
      <c r="I186" s="3024"/>
      <c r="J186" s="3024"/>
      <c r="K186" s="3024"/>
      <c r="L186" s="3024"/>
      <c r="M186" s="3024"/>
      <c r="N186" s="3024"/>
      <c r="O186" s="3024"/>
      <c r="P186" s="3024"/>
      <c r="Q186" s="3024"/>
      <c r="R186" s="3024"/>
      <c r="S186" s="3024"/>
      <c r="T186" s="3025"/>
    </row>
    <row r="187" spans="1:20" ht="28.8" x14ac:dyDescent="0.3">
      <c r="A187" s="99"/>
      <c r="B187" s="82" t="s">
        <v>5187</v>
      </c>
      <c r="C187" s="82" t="s">
        <v>2585</v>
      </c>
      <c r="D187" s="82" t="s">
        <v>2588</v>
      </c>
      <c r="E187" s="82" t="s">
        <v>5188</v>
      </c>
      <c r="F187" s="82" t="s">
        <v>5189</v>
      </c>
      <c r="G187" s="82" t="s">
        <v>5190</v>
      </c>
      <c r="H187" s="82" t="s">
        <v>442</v>
      </c>
      <c r="I187" s="82" t="s">
        <v>5191</v>
      </c>
      <c r="J187" s="173" t="s">
        <v>439</v>
      </c>
      <c r="K187" s="661" t="s">
        <v>5192</v>
      </c>
      <c r="L187" s="281" t="s">
        <v>5193</v>
      </c>
      <c r="M187" s="663" t="s">
        <v>5194</v>
      </c>
      <c r="N187" s="281" t="s">
        <v>5195</v>
      </c>
      <c r="O187" s="663" t="s">
        <v>5196</v>
      </c>
      <c r="P187" s="281" t="s">
        <v>5197</v>
      </c>
      <c r="Q187" s="663" t="s">
        <v>5198</v>
      </c>
      <c r="R187" s="281" t="s">
        <v>5199</v>
      </c>
      <c r="S187" s="663" t="s">
        <v>5200</v>
      </c>
      <c r="T187" s="282" t="s">
        <v>5201</v>
      </c>
    </row>
    <row r="188" spans="1:20" x14ac:dyDescent="0.3">
      <c r="A188" s="99" t="s">
        <v>4917</v>
      </c>
      <c r="B188" t="s">
        <v>5209</v>
      </c>
      <c r="C188" s="233">
        <f>VLOOKUP($A188&amp;$B188,'Sc11'!$A$299:$Z$2038,C$3,FALSE)</f>
        <v>0</v>
      </c>
      <c r="D188" s="233">
        <f>VLOOKUP($A188&amp;$B188,'Sc11'!$A$299:$Z$2038,D$3,FALSE)</f>
        <v>239.78900165651024</v>
      </c>
      <c r="E188" s="233">
        <f>VLOOKUP($A188&amp;$B188,'Sc11'!$A$299:$Z$2038,E$3,FALSE)</f>
        <v>239.78900165651024</v>
      </c>
      <c r="F188" s="233">
        <f>VLOOKUP($A188&amp;$B188,'Sc11'!$A$299:$Z$2038,F$3,FALSE)</f>
        <v>0</v>
      </c>
      <c r="G188" s="233">
        <f>VLOOKUP($A188&amp;$B188,'Sc11'!$A$299:$Z$2038,G$3,FALSE)</f>
        <v>0</v>
      </c>
      <c r="H188" s="233">
        <f>VLOOKUP($A188&amp;$B188,'Sc11'!$A$299:$Z$2038,H$3,FALSE)</f>
        <v>0</v>
      </c>
      <c r="I188" s="233">
        <f>VLOOKUP($A188&amp;$B188,'Sc11'!$A$299:$Z$2038,I$3,FALSE)</f>
        <v>0</v>
      </c>
      <c r="J188" s="167">
        <f>VLOOKUP($A188&amp;$B188,'Sc11'!$A$299:$Z$2038,J$3,FALSE)</f>
        <v>-239.78900165651024</v>
      </c>
      <c r="K188" s="164">
        <f>VLOOKUP($A188&amp;$B188,'Sc11'!$A$299:$Z$2038,K$3,FALSE)</f>
        <v>0</v>
      </c>
      <c r="L188" s="233">
        <f>VLOOKUP($A188&amp;$B188,'Sc11'!$A$299:$Z$2038,L$3,FALSE)</f>
        <v>0</v>
      </c>
      <c r="M188" s="278">
        <f>VLOOKUP($A188&amp;$B188,'Sc11'!$A$299:$Z$2038,M$3,FALSE)</f>
        <v>0</v>
      </c>
      <c r="N188" s="233">
        <f>VLOOKUP($A188&amp;$B188,'Sc11'!$A$299:$Z$2038,N$3,FALSE)</f>
        <v>0</v>
      </c>
      <c r="O188" s="278">
        <f>VLOOKUP($A188&amp;$B188,'Sc11'!$A$299:$Z$2038,O$3,FALSE)</f>
        <v>0</v>
      </c>
      <c r="P188" s="233">
        <f>VLOOKUP($A188&amp;$B188,'Sc11'!$A$299:$Z$2038,P$3,FALSE)</f>
        <v>0</v>
      </c>
      <c r="Q188" s="278">
        <f>VLOOKUP($A188&amp;$B188,'Sc11'!$A$299:$Z$2038,Q$3,FALSE)</f>
        <v>0</v>
      </c>
      <c r="R188" s="233">
        <f>VLOOKUP($A188&amp;$B188,'Sc11'!$A$299:$Z$2038,R$3,FALSE)</f>
        <v>0</v>
      </c>
      <c r="S188" s="278">
        <f>VLOOKUP($A188&amp;$B188,'Sc11'!$A$299:$Z$2038,S$3,FALSE)</f>
        <v>0</v>
      </c>
      <c r="T188" s="167">
        <f>VLOOKUP($A188&amp;$B188,'Sc11'!$A$299:$Z$2038,T$3,FALSE)</f>
        <v>0</v>
      </c>
    </row>
    <row r="189" spans="1:20" x14ac:dyDescent="0.3">
      <c r="A189" s="99" t="s">
        <v>4917</v>
      </c>
      <c r="B189" t="s">
        <v>5219</v>
      </c>
      <c r="C189" s="233">
        <f>VLOOKUP($A189&amp;$B189,'Sc11'!$A$299:$Z$2038,C$3,FALSE)</f>
        <v>2085.172249970477</v>
      </c>
      <c r="D189" s="233">
        <f>VLOOKUP($A189&amp;$B189,'Sc11'!$A$299:$Z$2038,D$3,FALSE)</f>
        <v>1629.2470937565076</v>
      </c>
      <c r="E189" s="233">
        <f>VLOOKUP($A189&amp;$B189,'Sc11'!$A$299:$Z$2038,E$3,FALSE)</f>
        <v>3714.4193437269846</v>
      </c>
      <c r="F189" s="233">
        <f>VLOOKUP($A189&amp;$B189,'Sc11'!$A$299:$Z$2038,F$3,FALSE)</f>
        <v>0</v>
      </c>
      <c r="G189" s="233">
        <f>VLOOKUP($A189&amp;$B189,'Sc11'!$A$299:$Z$2038,G$3,FALSE)</f>
        <v>0</v>
      </c>
      <c r="H189" s="233">
        <f>VLOOKUP($A189&amp;$B189,'Sc11'!$A$299:$Z$2038,H$3,FALSE)</f>
        <v>0</v>
      </c>
      <c r="I189" s="233">
        <f>VLOOKUP($A189&amp;$B189,'Sc11'!$A$299:$Z$2038,I$3,FALSE)</f>
        <v>0</v>
      </c>
      <c r="J189" s="167">
        <f>VLOOKUP($A189&amp;$B189,'Sc11'!$A$299:$Z$2038,J$3,FALSE)</f>
        <v>-3714.4193437269846</v>
      </c>
      <c r="K189" s="164">
        <f>VLOOKUP($A189&amp;$B189,'Sc11'!$A$299:$Z$2038,K$3,FALSE)</f>
        <v>249.64645588615733</v>
      </c>
      <c r="L189" s="233">
        <f>VLOOKUP($A189&amp;$B189,'Sc11'!$A$299:$Z$2038,L$3,FALSE)</f>
        <v>17.123666486658006</v>
      </c>
      <c r="M189" s="278">
        <f>VLOOKUP($A189&amp;$B189,'Sc11'!$A$299:$Z$2038,M$3,FALSE)</f>
        <v>0</v>
      </c>
      <c r="N189" s="233">
        <f>VLOOKUP($A189&amp;$B189,'Sc11'!$A$299:$Z$2038,N$3,FALSE)</f>
        <v>0</v>
      </c>
      <c r="O189" s="278">
        <f>VLOOKUP($A189&amp;$B189,'Sc11'!$A$299:$Z$2038,O$3,FALSE)</f>
        <v>0</v>
      </c>
      <c r="P189" s="233">
        <f>VLOOKUP($A189&amp;$B189,'Sc11'!$A$299:$Z$2038,P$3,FALSE)</f>
        <v>0</v>
      </c>
      <c r="Q189" s="278">
        <f>VLOOKUP($A189&amp;$B189,'Sc11'!$A$299:$Z$2038,Q$3,FALSE)</f>
        <v>0</v>
      </c>
      <c r="R189" s="233">
        <f>VLOOKUP($A189&amp;$B189,'Sc11'!$A$299:$Z$2038,R$3,FALSE)</f>
        <v>0</v>
      </c>
      <c r="S189" s="278">
        <f>VLOOKUP($A189&amp;$B189,'Sc11'!$A$299:$Z$2038,S$3,FALSE)</f>
        <v>0</v>
      </c>
      <c r="T189" s="167">
        <f>VLOOKUP($A189&amp;$B189,'Sc11'!$A$299:$Z$2038,T$3,FALSE)</f>
        <v>0</v>
      </c>
    </row>
    <row r="190" spans="1:20" x14ac:dyDescent="0.3">
      <c r="A190" s="99" t="s">
        <v>4917</v>
      </c>
      <c r="B190" t="s">
        <v>4683</v>
      </c>
      <c r="C190" s="233">
        <f>VLOOKUP($A190&amp;$B190,'Sc11'!$A$299:$Z$2038,C$3,FALSE)</f>
        <v>28823.135132095718</v>
      </c>
      <c r="D190" s="233">
        <f>VLOOKUP($A190&amp;$B190,'Sc11'!$A$299:$Z$2038,D$3,FALSE)</f>
        <v>5342.606096087974</v>
      </c>
      <c r="E190" s="233">
        <f>VLOOKUP($A190&amp;$B190,'Sc11'!$A$299:$Z$2038,E$3,FALSE)</f>
        <v>34165.741228183695</v>
      </c>
      <c r="F190" s="233">
        <f>VLOOKUP($A190&amp;$B190,'Sc11'!$A$299:$Z$2038,F$3,FALSE)</f>
        <v>0</v>
      </c>
      <c r="G190" s="233">
        <f>VLOOKUP($A190&amp;$B190,'Sc11'!$A$299:$Z$2038,G$3,FALSE)</f>
        <v>0</v>
      </c>
      <c r="H190" s="233">
        <f>VLOOKUP($A190&amp;$B190,'Sc11'!$A$299:$Z$2038,H$3,FALSE)</f>
        <v>0</v>
      </c>
      <c r="I190" s="233">
        <f>VLOOKUP($A190&amp;$B190,'Sc11'!$A$299:$Z$2038,I$3,FALSE)</f>
        <v>0</v>
      </c>
      <c r="J190" s="167">
        <f>VLOOKUP($A190&amp;$B190,'Sc11'!$A$299:$Z$2038,J$3,FALSE)</f>
        <v>-34165.741228183695</v>
      </c>
      <c r="K190" s="164">
        <f>VLOOKUP($A190&amp;$B190,'Sc11'!$A$299:$Z$2038,K$3,FALSE)</f>
        <v>0</v>
      </c>
      <c r="L190" s="233">
        <f>VLOOKUP($A190&amp;$B190,'Sc11'!$A$299:$Z$2038,L$3,FALSE)</f>
        <v>0</v>
      </c>
      <c r="M190" s="278">
        <f>VLOOKUP($A190&amp;$B190,'Sc11'!$A$299:$Z$2038,M$3,FALSE)</f>
        <v>0</v>
      </c>
      <c r="N190" s="233">
        <f>VLOOKUP($A190&amp;$B190,'Sc11'!$A$299:$Z$2038,N$3,FALSE)</f>
        <v>0</v>
      </c>
      <c r="O190" s="278">
        <f>VLOOKUP($A190&amp;$B190,'Sc11'!$A$299:$Z$2038,O$3,FALSE)</f>
        <v>0</v>
      </c>
      <c r="P190" s="233">
        <f>VLOOKUP($A190&amp;$B190,'Sc11'!$A$299:$Z$2038,P$3,FALSE)</f>
        <v>0</v>
      </c>
      <c r="Q190" s="278">
        <f>VLOOKUP($A190&amp;$B190,'Sc11'!$A$299:$Z$2038,Q$3,FALSE)</f>
        <v>0</v>
      </c>
      <c r="R190" s="233">
        <f>VLOOKUP($A190&amp;$B190,'Sc11'!$A$299:$Z$2038,R$3,FALSE)</f>
        <v>0</v>
      </c>
      <c r="S190" s="278">
        <f>VLOOKUP($A190&amp;$B190,'Sc11'!$A$299:$Z$2038,S$3,FALSE)</f>
        <v>0</v>
      </c>
      <c r="T190" s="167">
        <f>VLOOKUP($A190&amp;$B190,'Sc11'!$A$299:$Z$2038,T$3,FALSE)</f>
        <v>0</v>
      </c>
    </row>
    <row r="191" spans="1:20" x14ac:dyDescent="0.3">
      <c r="A191" s="99" t="s">
        <v>4917</v>
      </c>
      <c r="B191" s="90" t="s">
        <v>5210</v>
      </c>
      <c r="C191" s="233">
        <f>VLOOKUP($A191&amp;$B191,'Sc11'!$A$299:$Z$2038,C$3,FALSE)</f>
        <v>9823.6953618016832</v>
      </c>
      <c r="D191" s="233">
        <f>VLOOKUP($A191&amp;$B191,'Sc11'!$A$299:$Z$2038,D$3,FALSE)</f>
        <v>1820.9030518553702</v>
      </c>
      <c r="E191" s="233">
        <f>VLOOKUP($A191&amp;$B191,'Sc11'!$A$299:$Z$2038,E$3,FALSE)</f>
        <v>11644.598413657053</v>
      </c>
      <c r="F191" s="233">
        <f>VLOOKUP($A191&amp;$B191,'Sc11'!$A$299:$Z$2038,F$3,FALSE)</f>
        <v>0</v>
      </c>
      <c r="G191" s="233">
        <f>VLOOKUP($A191&amp;$B191,'Sc11'!$A$299:$Z$2038,G$3,FALSE)</f>
        <v>0</v>
      </c>
      <c r="H191" s="233">
        <f>VLOOKUP($A191&amp;$B191,'Sc11'!$A$299:$Z$2038,H$3,FALSE)</f>
        <v>0</v>
      </c>
      <c r="I191" s="233">
        <f>VLOOKUP($A191&amp;$B191,'Sc11'!$A$299:$Z$2038,I$3,FALSE)</f>
        <v>0</v>
      </c>
      <c r="J191" s="167">
        <f>VLOOKUP($A191&amp;$B191,'Sc11'!$A$299:$Z$2038,J$3,FALSE)</f>
        <v>-11644.598413657053</v>
      </c>
      <c r="K191" s="164">
        <f>VLOOKUP($A191&amp;$B191,'Sc11'!$A$299:$Z$2038,K$3,FALSE)</f>
        <v>0</v>
      </c>
      <c r="L191" s="233">
        <f>VLOOKUP($A191&amp;$B191,'Sc11'!$A$299:$Z$2038,L$3,FALSE)</f>
        <v>0</v>
      </c>
      <c r="M191" s="278">
        <f>VLOOKUP($A191&amp;$B191,'Sc11'!$A$299:$Z$2038,M$3,FALSE)</f>
        <v>0</v>
      </c>
      <c r="N191" s="233">
        <f>VLOOKUP($A191&amp;$B191,'Sc11'!$A$299:$Z$2038,N$3,FALSE)</f>
        <v>0</v>
      </c>
      <c r="O191" s="278">
        <f>VLOOKUP($A191&amp;$B191,'Sc11'!$A$299:$Z$2038,O$3,FALSE)</f>
        <v>0</v>
      </c>
      <c r="P191" s="233">
        <f>VLOOKUP($A191&amp;$B191,'Sc11'!$A$299:$Z$2038,P$3,FALSE)</f>
        <v>0</v>
      </c>
      <c r="Q191" s="278">
        <f>VLOOKUP($A191&amp;$B191,'Sc11'!$A$299:$Z$2038,Q$3,FALSE)</f>
        <v>0</v>
      </c>
      <c r="R191" s="233">
        <f>VLOOKUP($A191&amp;$B191,'Sc11'!$A$299:$Z$2038,R$3,FALSE)</f>
        <v>0</v>
      </c>
      <c r="S191" s="278">
        <f>VLOOKUP($A191&amp;$B191,'Sc11'!$A$299:$Z$2038,S$3,FALSE)</f>
        <v>0</v>
      </c>
      <c r="T191" s="167">
        <f>VLOOKUP($A191&amp;$B191,'Sc11'!$A$299:$Z$2038,T$3,FALSE)</f>
        <v>0</v>
      </c>
    </row>
    <row r="192" spans="1:20" x14ac:dyDescent="0.3">
      <c r="A192" s="99" t="s">
        <v>4917</v>
      </c>
      <c r="B192" t="s">
        <v>5216</v>
      </c>
      <c r="C192" s="233">
        <f>VLOOKUP($A192&amp;$B192,'Sc11'!$A$299:$Z$2038,C$3,FALSE)</f>
        <v>3017.6174069102476</v>
      </c>
      <c r="D192" s="233">
        <f>VLOOKUP($A192&amp;$B192,'Sc11'!$A$299:$Z$2038,D$3,FALSE)</f>
        <v>1014.0635770177494</v>
      </c>
      <c r="E192" s="233">
        <f>VLOOKUP($A192&amp;$B192,'Sc11'!$A$299:$Z$2038,E$3,FALSE)</f>
        <v>4031.6809839279967</v>
      </c>
      <c r="F192" s="233">
        <f>VLOOKUP($A192&amp;$B192,'Sc11'!$A$299:$Z$2038,F$3,FALSE)</f>
        <v>860.94465773275579</v>
      </c>
      <c r="G192" s="233">
        <f>VLOOKUP($A192&amp;$B192,'Sc11'!$A$299:$Z$2038,G$3,FALSE)</f>
        <v>0</v>
      </c>
      <c r="H192" s="233">
        <f>VLOOKUP($A192&amp;$B192,'Sc11'!$A$299:$Z$2038,H$3,FALSE)</f>
        <v>0</v>
      </c>
      <c r="I192" s="233">
        <f>VLOOKUP($A192&amp;$B192,'Sc11'!$A$299:$Z$2038,I$3,FALSE)</f>
        <v>0</v>
      </c>
      <c r="J192" s="167">
        <f>VLOOKUP($A192&amp;$B192,'Sc11'!$A$299:$Z$2038,J$3,FALSE)</f>
        <v>-4031.6809839279967</v>
      </c>
      <c r="K192" s="164">
        <f>VLOOKUP($A192&amp;$B192,'Sc11'!$A$299:$Z$2038,K$3,FALSE)</f>
        <v>92.045831870967106</v>
      </c>
      <c r="L192" s="233">
        <f>VLOOKUP($A192&amp;$B192,'Sc11'!$A$299:$Z$2038,L$3,FALSE)</f>
        <v>6.3135770177494184</v>
      </c>
      <c r="M192" s="278">
        <f>VLOOKUP($A192&amp;$B192,'Sc11'!$A$299:$Z$2038,M$3,FALSE)</f>
        <v>0</v>
      </c>
      <c r="N192" s="233">
        <f>VLOOKUP($A192&amp;$B192,'Sc11'!$A$299:$Z$2038,N$3,FALSE)</f>
        <v>0</v>
      </c>
      <c r="O192" s="278">
        <f>VLOOKUP($A192&amp;$B192,'Sc11'!$A$299:$Z$2038,O$3,FALSE)</f>
        <v>0</v>
      </c>
      <c r="P192" s="233">
        <f>VLOOKUP($A192&amp;$B192,'Sc11'!$A$299:$Z$2038,P$3,FALSE)</f>
        <v>0</v>
      </c>
      <c r="Q192" s="278">
        <f>VLOOKUP($A192&amp;$B192,'Sc11'!$A$299:$Z$2038,Q$3,FALSE)</f>
        <v>0</v>
      </c>
      <c r="R192" s="233">
        <f>VLOOKUP($A192&amp;$B192,'Sc11'!$A$299:$Z$2038,R$3,FALSE)</f>
        <v>0</v>
      </c>
      <c r="S192" s="278">
        <f>VLOOKUP($A192&amp;$B192,'Sc11'!$A$299:$Z$2038,S$3,FALSE)</f>
        <v>0</v>
      </c>
      <c r="T192" s="167">
        <f>VLOOKUP($A192&amp;$B192,'Sc11'!$A$299:$Z$2038,T$3,FALSE)</f>
        <v>0</v>
      </c>
    </row>
    <row r="193" spans="1:20" x14ac:dyDescent="0.3">
      <c r="A193" s="99" t="s">
        <v>4917</v>
      </c>
      <c r="B193" t="s">
        <v>5205</v>
      </c>
      <c r="C193" s="233">
        <f>VLOOKUP($A193&amp;$B193,'Sc11'!$A$299:$Z$2038,C$3,FALSE)</f>
        <v>89529.118745142667</v>
      </c>
      <c r="D193" s="233">
        <f>VLOOKUP($A193&amp;$B193,'Sc11'!$A$299:$Z$2038,D$3,FALSE)</f>
        <v>30979.740818786286</v>
      </c>
      <c r="E193" s="233">
        <f>VLOOKUP($A193&amp;$B193,'Sc11'!$A$299:$Z$2038,E$3,FALSE)</f>
        <v>120508.85956392896</v>
      </c>
      <c r="F193" s="233">
        <f>VLOOKUP($A193&amp;$B193,'Sc11'!$A$299:$Z$2038,F$3,FALSE)</f>
        <v>0</v>
      </c>
      <c r="G193" s="233">
        <f>VLOOKUP($A193&amp;$B193,'Sc11'!$A$299:$Z$2038,G$3,FALSE)</f>
        <v>5962.0693197026221</v>
      </c>
      <c r="H193" s="233">
        <f>VLOOKUP($A193&amp;$B193,'Sc11'!$A$299:$Z$2038,H$3,FALSE)</f>
        <v>0</v>
      </c>
      <c r="I193" s="233">
        <f>VLOOKUP($A193&amp;$B193,'Sc11'!$A$299:$Z$2038,I$3,FALSE)</f>
        <v>0</v>
      </c>
      <c r="J193" s="167">
        <f>VLOOKUP($A193&amp;$B193,'Sc11'!$A$299:$Z$2038,J$3,FALSE)</f>
        <v>-120508.85956392896</v>
      </c>
      <c r="K193" s="164">
        <f>VLOOKUP($A193&amp;$B193,'Sc11'!$A$299:$Z$2038,K$3,FALSE)</f>
        <v>931.22205127489576</v>
      </c>
      <c r="L193" s="233">
        <f>VLOOKUP($A193&amp;$B193,'Sc11'!$A$299:$Z$2038,L$3,FALSE)</f>
        <v>63.874072533697223</v>
      </c>
      <c r="M193" s="278">
        <f>VLOOKUP($A193&amp;$B193,'Sc11'!$A$299:$Z$2038,M$3,FALSE)</f>
        <v>66.621068453732661</v>
      </c>
      <c r="N193" s="233">
        <f>VLOOKUP($A193&amp;$B193,'Sc11'!$A$299:$Z$2038,N$3,FALSE)</f>
        <v>246.26415103857695</v>
      </c>
      <c r="O193" s="278">
        <f>VLOOKUP($A193&amp;$B193,'Sc11'!$A$299:$Z$2038,O$3,FALSE)</f>
        <v>9.4700329746144636</v>
      </c>
      <c r="P193" s="233">
        <f>VLOOKUP($A193&amp;$B193,'Sc11'!$A$299:$Z$2038,P$3,FALSE)</f>
        <v>224.06098017937822</v>
      </c>
      <c r="Q193" s="278">
        <f>VLOOKUP($A193&amp;$B193,'Sc11'!$A$299:$Z$2038,Q$3,FALSE)</f>
        <v>0</v>
      </c>
      <c r="R193" s="233">
        <f>VLOOKUP($A193&amp;$B193,'Sc11'!$A$299:$Z$2038,R$3,FALSE)</f>
        <v>0</v>
      </c>
      <c r="S193" s="278">
        <f>VLOOKUP($A193&amp;$B193,'Sc11'!$A$299:$Z$2038,S$3,FALSE)</f>
        <v>9.4700329746144636</v>
      </c>
      <c r="T193" s="167">
        <f>VLOOKUP($A193&amp;$B193,'Sc11'!$A$299:$Z$2038,T$3,FALSE)</f>
        <v>224.06098017937822</v>
      </c>
    </row>
    <row r="194" spans="1:20" x14ac:dyDescent="0.3">
      <c r="A194" s="149" t="s">
        <v>4917</v>
      </c>
      <c r="B194" s="650" t="s">
        <v>5203</v>
      </c>
      <c r="C194" s="655">
        <f>VLOOKUP($A194&amp;$B194,'Sc11'!$A$299:$Z$2038,C$3,FALSE)</f>
        <v>134711.172403826</v>
      </c>
      <c r="D194" s="655">
        <f>VLOOKUP($A194&amp;$B194,'Sc11'!$A$299:$Z$2038,D$3,FALSE)</f>
        <v>41291.863017788426</v>
      </c>
      <c r="E194" s="655">
        <f>VLOOKUP($A194&amp;$B194,'Sc11'!$A$299:$Z$2038,E$3,FALSE)</f>
        <v>176003.03542161442</v>
      </c>
      <c r="F194" s="655">
        <f>VLOOKUP($A194&amp;$B194,'Sc11'!$A$299:$Z$2038,F$3,FALSE)</f>
        <v>860.94465773275579</v>
      </c>
      <c r="G194" s="655">
        <f>VLOOKUP($A194&amp;$B194,'Sc11'!$A$299:$Z$2038,G$3,FALSE)</f>
        <v>5962.0693197026221</v>
      </c>
      <c r="H194" s="655">
        <f>VLOOKUP($A194&amp;$B194,'Sc11'!$A$299:$Z$2038,H$3,FALSE)</f>
        <v>0</v>
      </c>
      <c r="I194" s="655">
        <f>VLOOKUP($A194&amp;$B194,'Sc11'!$A$299:$Z$2038,I$3,FALSE)</f>
        <v>0</v>
      </c>
      <c r="J194" s="656">
        <f>VLOOKUP($A194&amp;$B194,'Sc11'!$A$299:$Z$2038,J$3,FALSE)</f>
        <v>-176003.03542161442</v>
      </c>
      <c r="K194" s="651">
        <f>VLOOKUP($A194&amp;$B194,'Sc11'!$A$299:$Z$2038,K$3,FALSE)</f>
        <v>1272.9143390320201</v>
      </c>
      <c r="L194" s="655">
        <f>VLOOKUP($A194&amp;$B194,'Sc11'!$A$299:$Z$2038,L$3,FALSE)</f>
        <v>87.31131603810465</v>
      </c>
      <c r="M194" s="652">
        <f>VLOOKUP($A194&amp;$B194,'Sc11'!$A$299:$Z$2038,M$3,FALSE)</f>
        <v>66.621068453732661</v>
      </c>
      <c r="N194" s="655">
        <f>VLOOKUP($A194&amp;$B194,'Sc11'!$A$299:$Z$2038,N$3,FALSE)</f>
        <v>246.26415103857695</v>
      </c>
      <c r="O194" s="652">
        <f>VLOOKUP($A194&amp;$B194,'Sc11'!$A$299:$Z$2038,O$3,FALSE)</f>
        <v>9.4700329746144636</v>
      </c>
      <c r="P194" s="655">
        <f>VLOOKUP($A194&amp;$B194,'Sc11'!$A$299:$Z$2038,P$3,FALSE)</f>
        <v>224.06098017937822</v>
      </c>
      <c r="Q194" s="652">
        <f>VLOOKUP($A194&amp;$B194,'Sc11'!$A$299:$Z$2038,Q$3,FALSE)</f>
        <v>0</v>
      </c>
      <c r="R194" s="655">
        <f>VLOOKUP($A194&amp;$B194,'Sc11'!$A$299:$Z$2038,R$3,FALSE)</f>
        <v>0</v>
      </c>
      <c r="S194" s="652">
        <f>VLOOKUP($A194&amp;$B194,'Sc11'!$A$299:$Z$2038,S$3,FALSE)</f>
        <v>9.4700329746144636</v>
      </c>
      <c r="T194" s="656">
        <f>VLOOKUP($A194&amp;$B194,'Sc11'!$A$299:$Z$2038,T$3,FALSE)</f>
        <v>224.06098017937822</v>
      </c>
    </row>
    <row r="196" spans="1:20" x14ac:dyDescent="0.3">
      <c r="A196" s="3020" t="s">
        <v>5233</v>
      </c>
      <c r="B196" s="3021"/>
      <c r="C196" s="3021"/>
      <c r="D196" s="3021"/>
      <c r="E196" s="3021"/>
      <c r="F196" s="3021"/>
      <c r="G196" s="3021"/>
      <c r="H196" s="3021"/>
      <c r="I196" s="3021"/>
      <c r="J196" s="3021"/>
      <c r="K196" s="3021"/>
      <c r="L196" s="3021"/>
      <c r="M196" s="3021"/>
      <c r="N196" s="3021"/>
      <c r="O196" s="3021"/>
      <c r="P196" s="3021"/>
      <c r="Q196" s="3021"/>
      <c r="R196" s="3021"/>
      <c r="S196" s="3021"/>
      <c r="T196" s="3022"/>
    </row>
    <row r="197" spans="1:20" ht="28.8" x14ac:dyDescent="0.3">
      <c r="A197" s="99"/>
      <c r="B197" s="82" t="s">
        <v>5187</v>
      </c>
      <c r="C197" s="82" t="s">
        <v>2585</v>
      </c>
      <c r="D197" s="82" t="s">
        <v>2588</v>
      </c>
      <c r="E197" s="82" t="s">
        <v>5188</v>
      </c>
      <c r="F197" s="82" t="s">
        <v>5189</v>
      </c>
      <c r="G197" s="82" t="s">
        <v>5190</v>
      </c>
      <c r="H197" s="82" t="s">
        <v>442</v>
      </c>
      <c r="I197" s="82" t="s">
        <v>5191</v>
      </c>
      <c r="J197" s="173" t="s">
        <v>439</v>
      </c>
      <c r="K197" s="661" t="s">
        <v>5192</v>
      </c>
      <c r="L197" s="281" t="s">
        <v>5193</v>
      </c>
      <c r="M197" s="663" t="s">
        <v>5194</v>
      </c>
      <c r="N197" s="281" t="s">
        <v>5195</v>
      </c>
      <c r="O197" s="663" t="s">
        <v>5196</v>
      </c>
      <c r="P197" s="281" t="s">
        <v>5197</v>
      </c>
      <c r="Q197" s="663" t="s">
        <v>5198</v>
      </c>
      <c r="R197" s="281" t="s">
        <v>5199</v>
      </c>
      <c r="S197" s="663" t="s">
        <v>5200</v>
      </c>
      <c r="T197" s="282" t="s">
        <v>5201</v>
      </c>
    </row>
    <row r="198" spans="1:20" x14ac:dyDescent="0.3">
      <c r="A198" s="99" t="s">
        <v>4912</v>
      </c>
      <c r="B198" t="s">
        <v>5209</v>
      </c>
      <c r="C198" s="233">
        <f>VLOOKUP($A198&amp;$B198,'Sc12'!$A$299:$Z$2026,C$3,FALSE)</f>
        <v>0</v>
      </c>
      <c r="D198" s="233">
        <f>VLOOKUP($A198&amp;$B198,'Sc12'!$A$299:$Z$2026,D$3,FALSE)</f>
        <v>2101.3796554187147</v>
      </c>
      <c r="E198" s="233">
        <f>VLOOKUP($A198&amp;$B198,'Sc12'!$A$299:$Z$2026,E$3,FALSE)</f>
        <v>2101.3796554187147</v>
      </c>
      <c r="F198" s="233">
        <f>VLOOKUP($A198&amp;$B198,'Sc12'!$A$299:$Z$2026,F$3,FALSE)</f>
        <v>0</v>
      </c>
      <c r="G198" s="233">
        <f>VLOOKUP($A198&amp;$B198,'Sc12'!$A$299:$Z$2026,G$3,FALSE)</f>
        <v>0</v>
      </c>
      <c r="H198" s="233">
        <f>VLOOKUP($A198&amp;$B198,'Sc12'!$A$299:$Z$2026,H$3,FALSE)</f>
        <v>0</v>
      </c>
      <c r="I198" s="233">
        <f>VLOOKUP($A198&amp;$B198,'Sc12'!$A$299:$Z$2026,I$3,FALSE)</f>
        <v>0</v>
      </c>
      <c r="J198" s="167">
        <f>VLOOKUP($A198&amp;$B198,'Sc12'!$A$299:$Z$2026,J$3,FALSE)</f>
        <v>-2101.3796554187147</v>
      </c>
      <c r="K198" s="164">
        <f>VLOOKUP($A198&amp;$B198,'Sc12'!$A$299:$Z$2026,K$3,FALSE)</f>
        <v>0</v>
      </c>
      <c r="L198" s="233">
        <f>VLOOKUP($A198&amp;$B198,'Sc12'!$A$299:$Z$2026,L$3,FALSE)</f>
        <v>0</v>
      </c>
      <c r="M198" s="278">
        <f>VLOOKUP($A198&amp;$B198,'Sc12'!$A$299:$Z$2026,M$3,FALSE)</f>
        <v>0</v>
      </c>
      <c r="N198" s="233">
        <f>VLOOKUP($A198&amp;$B198,'Sc12'!$A$299:$Z$2026,N$3,FALSE)</f>
        <v>0</v>
      </c>
      <c r="O198" s="278">
        <f>VLOOKUP($A198&amp;$B198,'Sc12'!$A$299:$Z$2026,O$3,FALSE)</f>
        <v>0</v>
      </c>
      <c r="P198" s="233">
        <f>VLOOKUP($A198&amp;$B198,'Sc12'!$A$299:$Z$2026,P$3,FALSE)</f>
        <v>0</v>
      </c>
      <c r="Q198" s="278">
        <f>VLOOKUP($A198&amp;$B198,'Sc12'!$A$299:$Z$2026,Q$3,FALSE)</f>
        <v>0</v>
      </c>
      <c r="R198" s="233">
        <f>VLOOKUP($A198&amp;$B198,'Sc12'!$A$299:$Z$2026,R$3,FALSE)</f>
        <v>0</v>
      </c>
      <c r="S198" s="278">
        <f>VLOOKUP($A198&amp;$B198,'Sc12'!$A$299:$Z$2026,S$3,FALSE)</f>
        <v>0</v>
      </c>
      <c r="T198" s="167">
        <f>VLOOKUP($A198&amp;$B198,'Sc12'!$A$299:$Z$2026,T$3,FALSE)</f>
        <v>0</v>
      </c>
    </row>
    <row r="199" spans="1:20" x14ac:dyDescent="0.3">
      <c r="A199" s="99" t="s">
        <v>4912</v>
      </c>
      <c r="B199" t="s">
        <v>5223</v>
      </c>
      <c r="C199" s="233">
        <f>VLOOKUP($A199&amp;$B199,'Sc12'!$A$299:$Z$2026,C$3,FALSE)</f>
        <v>6707.1567934021641</v>
      </c>
      <c r="D199" s="233">
        <f>VLOOKUP($A199&amp;$B199,'Sc12'!$A$299:$Z$2026,D$3,FALSE)</f>
        <v>3245.8344510558195</v>
      </c>
      <c r="E199" s="233">
        <f>VLOOKUP($A199&amp;$B199,'Sc12'!$A$299:$Z$2026,E$3,FALSE)</f>
        <v>9952.9912444579841</v>
      </c>
      <c r="F199" s="233">
        <f>VLOOKUP($A199&amp;$B199,'Sc12'!$A$299:$Z$2026,F$3,FALSE)</f>
        <v>0</v>
      </c>
      <c r="G199" s="233">
        <f>VLOOKUP($A199&amp;$B199,'Sc12'!$A$299:$Z$2026,G$3,FALSE)</f>
        <v>0</v>
      </c>
      <c r="H199" s="233">
        <f>VLOOKUP($A199&amp;$B199,'Sc12'!$A$299:$Z$2026,H$3,FALSE)</f>
        <v>0</v>
      </c>
      <c r="I199" s="233">
        <f>VLOOKUP($A199&amp;$B199,'Sc12'!$A$299:$Z$2026,I$3,FALSE)</f>
        <v>0</v>
      </c>
      <c r="J199" s="167">
        <f>VLOOKUP($A199&amp;$B199,'Sc12'!$A$299:$Z$2026,J$3,FALSE)</f>
        <v>-9952.9912444579841</v>
      </c>
      <c r="K199" s="164">
        <f>VLOOKUP($A199&amp;$B199,'Sc12'!$A$299:$Z$2026,K$3,FALSE)</f>
        <v>4471.5360061785714</v>
      </c>
      <c r="L199" s="233">
        <f>VLOOKUP($A199&amp;$B199,'Sc12'!$A$299:$Z$2026,L$3,FALSE)</f>
        <v>306.7101072237985</v>
      </c>
      <c r="M199" s="278">
        <f>VLOOKUP($A199&amp;$B199,'Sc12'!$A$299:$Z$2026,M$3,FALSE)</f>
        <v>0</v>
      </c>
      <c r="N199" s="233">
        <f>VLOOKUP($A199&amp;$B199,'Sc12'!$A$299:$Z$2026,N$3,FALSE)</f>
        <v>0</v>
      </c>
      <c r="O199" s="278">
        <f>VLOOKUP($A199&amp;$B199,'Sc12'!$A$299:$Z$2026,O$3,FALSE)</f>
        <v>0</v>
      </c>
      <c r="P199" s="233">
        <f>VLOOKUP($A199&amp;$B199,'Sc12'!$A$299:$Z$2026,P$3,FALSE)</f>
        <v>0</v>
      </c>
      <c r="Q199" s="278">
        <f>VLOOKUP($A199&amp;$B199,'Sc12'!$A$299:$Z$2026,Q$3,FALSE)</f>
        <v>0</v>
      </c>
      <c r="R199" s="233">
        <f>VLOOKUP($A199&amp;$B199,'Sc12'!$A$299:$Z$2026,R$3,FALSE)</f>
        <v>0</v>
      </c>
      <c r="S199" s="278">
        <f>VLOOKUP($A199&amp;$B199,'Sc12'!$A$299:$Z$2026,S$3,FALSE)</f>
        <v>0</v>
      </c>
      <c r="T199" s="167">
        <f>VLOOKUP($A199&amp;$B199,'Sc12'!$A$299:$Z$2026,T$3,FALSE)</f>
        <v>0</v>
      </c>
    </row>
    <row r="200" spans="1:20" x14ac:dyDescent="0.3">
      <c r="A200" s="99" t="s">
        <v>4912</v>
      </c>
      <c r="B200" t="s">
        <v>5219</v>
      </c>
      <c r="C200" s="233">
        <f>VLOOKUP($A200&amp;$B200,'Sc12'!$A$299:$Z$2026,C$3,FALSE)</f>
        <v>1821.4045073202617</v>
      </c>
      <c r="D200" s="233">
        <f>VLOOKUP($A200&amp;$B200,'Sc12'!$A$299:$Z$2026,D$3,FALSE)</f>
        <v>1572.7463282449262</v>
      </c>
      <c r="E200" s="233">
        <f>VLOOKUP($A200&amp;$B200,'Sc12'!$A$299:$Z$2026,E$3,FALSE)</f>
        <v>3394.1508355651877</v>
      </c>
      <c r="F200" s="233">
        <f>VLOOKUP($A200&amp;$B200,'Sc12'!$A$299:$Z$2026,F$3,FALSE)</f>
        <v>0</v>
      </c>
      <c r="G200" s="233">
        <f>VLOOKUP($A200&amp;$B200,'Sc12'!$A$299:$Z$2026,G$3,FALSE)</f>
        <v>0</v>
      </c>
      <c r="H200" s="233">
        <f>VLOOKUP($A200&amp;$B200,'Sc12'!$A$299:$Z$2026,H$3,FALSE)</f>
        <v>0</v>
      </c>
      <c r="I200" s="233">
        <f>VLOOKUP($A200&amp;$B200,'Sc12'!$A$299:$Z$2026,I$3,FALSE)</f>
        <v>0</v>
      </c>
      <c r="J200" s="167">
        <f>VLOOKUP($A200&amp;$B200,'Sc12'!$A$299:$Z$2026,J$3,FALSE)</f>
        <v>-3394.1508355651877</v>
      </c>
      <c r="K200" s="164">
        <f>VLOOKUP($A200&amp;$B200,'Sc12'!$A$299:$Z$2026,K$3,FALSE)</f>
        <v>138.71116608588275</v>
      </c>
      <c r="L200" s="233">
        <f>VLOOKUP($A200&amp;$B200,'Sc12'!$A$299:$Z$2026,L$3,FALSE)</f>
        <v>9.5144300671075079</v>
      </c>
      <c r="M200" s="278">
        <f>VLOOKUP($A200&amp;$B200,'Sc12'!$A$299:$Z$2026,M$3,FALSE)</f>
        <v>0</v>
      </c>
      <c r="N200" s="233">
        <f>VLOOKUP($A200&amp;$B200,'Sc12'!$A$299:$Z$2026,N$3,FALSE)</f>
        <v>0</v>
      </c>
      <c r="O200" s="278">
        <f>VLOOKUP($A200&amp;$B200,'Sc12'!$A$299:$Z$2026,O$3,FALSE)</f>
        <v>0</v>
      </c>
      <c r="P200" s="233">
        <f>VLOOKUP($A200&amp;$B200,'Sc12'!$A$299:$Z$2026,P$3,FALSE)</f>
        <v>0</v>
      </c>
      <c r="Q200" s="278">
        <f>VLOOKUP($A200&amp;$B200,'Sc12'!$A$299:$Z$2026,Q$3,FALSE)</f>
        <v>0</v>
      </c>
      <c r="R200" s="233">
        <f>VLOOKUP($A200&amp;$B200,'Sc12'!$A$299:$Z$2026,R$3,FALSE)</f>
        <v>0</v>
      </c>
      <c r="S200" s="278">
        <f>VLOOKUP($A200&amp;$B200,'Sc12'!$A$299:$Z$2026,S$3,FALSE)</f>
        <v>0</v>
      </c>
      <c r="T200" s="167">
        <f>VLOOKUP($A200&amp;$B200,'Sc12'!$A$299:$Z$2026,T$3,FALSE)</f>
        <v>0</v>
      </c>
    </row>
    <row r="201" spans="1:20" x14ac:dyDescent="0.3">
      <c r="A201" s="99" t="s">
        <v>4912</v>
      </c>
      <c r="B201" s="90" t="s">
        <v>4622</v>
      </c>
      <c r="C201" s="233">
        <f>VLOOKUP($A201&amp;$B201,'Sc12'!$A$299:$Z$2026,C$3,FALSE)</f>
        <v>5185.8653052991831</v>
      </c>
      <c r="D201" s="233">
        <f>VLOOKUP($A201&amp;$B201,'Sc12'!$A$299:$Z$2026,D$3,FALSE)</f>
        <v>4199.9549929890763</v>
      </c>
      <c r="E201" s="233">
        <f>VLOOKUP($A201&amp;$B201,'Sc12'!$A$299:$Z$2026,E$3,FALSE)</f>
        <v>9385.8202982882594</v>
      </c>
      <c r="F201" s="233">
        <f>VLOOKUP($A201&amp;$B201,'Sc12'!$A$299:$Z$2026,F$3,FALSE)</f>
        <v>0</v>
      </c>
      <c r="G201" s="233">
        <f>VLOOKUP($A201&amp;$B201,'Sc12'!$A$299:$Z$2026,G$3,FALSE)</f>
        <v>0</v>
      </c>
      <c r="H201" s="233">
        <f>VLOOKUP($A201&amp;$B201,'Sc12'!$A$299:$Z$2026,H$3,FALSE)</f>
        <v>0</v>
      </c>
      <c r="I201" s="233">
        <f>VLOOKUP($A201&amp;$B201,'Sc12'!$A$299:$Z$2026,I$3,FALSE)</f>
        <v>0</v>
      </c>
      <c r="J201" s="167">
        <f>VLOOKUP($A201&amp;$B201,'Sc12'!$A$299:$Z$2026,J$3,FALSE)</f>
        <v>-9385.8202982882594</v>
      </c>
      <c r="K201" s="164">
        <f>VLOOKUP($A201&amp;$B201,'Sc12'!$A$299:$Z$2026,K$3,FALSE)</f>
        <v>0</v>
      </c>
      <c r="L201" s="233">
        <f>VLOOKUP($A201&amp;$B201,'Sc12'!$A$299:$Z$2026,L$3,FALSE)</f>
        <v>0</v>
      </c>
      <c r="M201" s="278">
        <f>VLOOKUP($A201&amp;$B201,'Sc12'!$A$299:$Z$2026,M$3,FALSE)</f>
        <v>0</v>
      </c>
      <c r="N201" s="233">
        <f>VLOOKUP($A201&amp;$B201,'Sc12'!$A$299:$Z$2026,N$3,FALSE)</f>
        <v>0</v>
      </c>
      <c r="O201" s="278">
        <f>VLOOKUP($A201&amp;$B201,'Sc12'!$A$299:$Z$2026,O$3,FALSE)</f>
        <v>0</v>
      </c>
      <c r="P201" s="233">
        <f>VLOOKUP($A201&amp;$B201,'Sc12'!$A$299:$Z$2026,P$3,FALSE)</f>
        <v>0</v>
      </c>
      <c r="Q201" s="278">
        <f>VLOOKUP($A201&amp;$B201,'Sc12'!$A$299:$Z$2026,Q$3,FALSE)</f>
        <v>0</v>
      </c>
      <c r="R201" s="233">
        <f>VLOOKUP($A201&amp;$B201,'Sc12'!$A$299:$Z$2026,R$3,FALSE)</f>
        <v>0</v>
      </c>
      <c r="S201" s="278">
        <f>VLOOKUP($A201&amp;$B201,'Sc12'!$A$299:$Z$2026,S$3,FALSE)</f>
        <v>0</v>
      </c>
      <c r="T201" s="167">
        <f>VLOOKUP($A201&amp;$B201,'Sc12'!$A$299:$Z$2026,T$3,FALSE)</f>
        <v>0</v>
      </c>
    </row>
    <row r="202" spans="1:20" x14ac:dyDescent="0.3">
      <c r="A202" s="99" t="s">
        <v>4912</v>
      </c>
      <c r="B202" t="s">
        <v>5202</v>
      </c>
      <c r="C202" s="233">
        <f>VLOOKUP($A202&amp;$B202,'Sc12'!$A$299:$Z$2026,C$3,FALSE)</f>
        <v>34532.218679812438</v>
      </c>
      <c r="D202" s="233">
        <f>VLOOKUP($A202&amp;$B202,'Sc12'!$A$299:$Z$2026,D$3,FALSE)</f>
        <v>19697.494287244564</v>
      </c>
      <c r="E202" s="233">
        <f>VLOOKUP($A202&amp;$B202,'Sc12'!$A$299:$Z$2026,E$3,FALSE)</f>
        <v>54229.712967056999</v>
      </c>
      <c r="F202" s="233">
        <f>VLOOKUP($A202&amp;$B202,'Sc12'!$A$299:$Z$2026,F$3,FALSE)</f>
        <v>0</v>
      </c>
      <c r="G202" s="233">
        <f>VLOOKUP($A202&amp;$B202,'Sc12'!$A$299:$Z$2026,G$3,FALSE)</f>
        <v>12315.520455039321</v>
      </c>
      <c r="H202" s="233">
        <f>VLOOKUP($A202&amp;$B202,'Sc12'!$A$299:$Z$2026,H$3,FALSE)</f>
        <v>0</v>
      </c>
      <c r="I202" s="233">
        <f>VLOOKUP($A202&amp;$B202,'Sc12'!$A$299:$Z$2026,I$3,FALSE)</f>
        <v>0</v>
      </c>
      <c r="J202" s="167">
        <f>VLOOKUP($A202&amp;$B202,'Sc12'!$A$299:$Z$2026,J$3,FALSE)</f>
        <v>-54229.712967056999</v>
      </c>
      <c r="K202" s="164">
        <f>VLOOKUP($A202&amp;$B202,'Sc12'!$A$299:$Z$2026,K$3,FALSE)</f>
        <v>0</v>
      </c>
      <c r="L202" s="233">
        <f>VLOOKUP($A202&amp;$B202,'Sc12'!$A$299:$Z$2026,L$3,FALSE)</f>
        <v>0</v>
      </c>
      <c r="M202" s="278">
        <f>VLOOKUP($A202&amp;$B202,'Sc12'!$A$299:$Z$2026,M$3,FALSE)</f>
        <v>1086.0545328568232</v>
      </c>
      <c r="N202" s="233">
        <f>VLOOKUP($A202&amp;$B202,'Sc12'!$A$299:$Z$2026,N$3,FALSE)</f>
        <v>4014.5903349077666</v>
      </c>
      <c r="O202" s="278">
        <f>VLOOKUP($A202&amp;$B202,'Sc12'!$A$299:$Z$2026,O$3,FALSE)</f>
        <v>136.50694200360343</v>
      </c>
      <c r="P202" s="233">
        <f>VLOOKUP($A202&amp;$B202,'Sc12'!$A$299:$Z$2026,P$3,FALSE)</f>
        <v>3229.7542478052574</v>
      </c>
      <c r="Q202" s="278">
        <f>VLOOKUP($A202&amp;$B202,'Sc12'!$A$299:$Z$2026,Q$3,FALSE)</f>
        <v>0</v>
      </c>
      <c r="R202" s="233">
        <f>VLOOKUP($A202&amp;$B202,'Sc12'!$A$299:$Z$2026,R$3,FALSE)</f>
        <v>0</v>
      </c>
      <c r="S202" s="278">
        <f>VLOOKUP($A202&amp;$B202,'Sc12'!$A$299:$Z$2026,S$3,FALSE)</f>
        <v>136.50694200360343</v>
      </c>
      <c r="T202" s="167">
        <f>VLOOKUP($A202&amp;$B202,'Sc12'!$A$299:$Z$2026,T$3,FALSE)</f>
        <v>3229.7542478052574</v>
      </c>
    </row>
    <row r="203" spans="1:20" x14ac:dyDescent="0.3">
      <c r="A203" s="149" t="s">
        <v>4912</v>
      </c>
      <c r="B203" s="650" t="s">
        <v>5203</v>
      </c>
      <c r="C203" s="655">
        <f>VLOOKUP($A203&amp;$B203,'Sc12'!$A$299:$Z$2026,C$3,FALSE)</f>
        <v>48882.58476900142</v>
      </c>
      <c r="D203" s="655">
        <f>VLOOKUP($A203&amp;$B203,'Sc12'!$A$299:$Z$2026,D$3,FALSE)</f>
        <v>30935.286349258913</v>
      </c>
      <c r="E203" s="655">
        <f>VLOOKUP($A203&amp;$B203,'Sc12'!$A$299:$Z$2026,E$3,FALSE)</f>
        <v>79817.871118260329</v>
      </c>
      <c r="F203" s="655">
        <f>VLOOKUP($A203&amp;$B203,'Sc12'!$A$299:$Z$2026,F$3,FALSE)</f>
        <v>0</v>
      </c>
      <c r="G203" s="655">
        <f>VLOOKUP($A203&amp;$B203,'Sc12'!$A$299:$Z$2026,G$3,FALSE)</f>
        <v>12315.520455039321</v>
      </c>
      <c r="H203" s="655">
        <f>VLOOKUP($A203&amp;$B203,'Sc12'!$A$299:$Z$2026,H$3,FALSE)</f>
        <v>0</v>
      </c>
      <c r="I203" s="655">
        <f>VLOOKUP($A203&amp;$B203,'Sc12'!$A$299:$Z$2026,I$3,FALSE)</f>
        <v>0</v>
      </c>
      <c r="J203" s="656">
        <f>VLOOKUP($A203&amp;$B203,'Sc12'!$A$299:$Z$2026,J$3,FALSE)</f>
        <v>-79817.871118260329</v>
      </c>
      <c r="K203" s="651">
        <f>VLOOKUP($A203&amp;$B203,'Sc12'!$A$299:$Z$2026,K$3,FALSE)</f>
        <v>4610.2471722644541</v>
      </c>
      <c r="L203" s="655">
        <f>VLOOKUP($A203&amp;$B203,'Sc12'!$A$299:$Z$2026,L$3,FALSE)</f>
        <v>316.22453729090603</v>
      </c>
      <c r="M203" s="652">
        <f>VLOOKUP($A203&amp;$B203,'Sc12'!$A$299:$Z$2026,M$3,FALSE)</f>
        <v>1086.0545328568232</v>
      </c>
      <c r="N203" s="655">
        <f>VLOOKUP($A203&amp;$B203,'Sc12'!$A$299:$Z$2026,N$3,FALSE)</f>
        <v>4014.5903349077666</v>
      </c>
      <c r="O203" s="652">
        <f>VLOOKUP($A203&amp;$B203,'Sc12'!$A$299:$Z$2026,O$3,FALSE)</f>
        <v>136.50694200360343</v>
      </c>
      <c r="P203" s="655">
        <f>VLOOKUP($A203&amp;$B203,'Sc12'!$A$299:$Z$2026,P$3,FALSE)</f>
        <v>3229.7542478052574</v>
      </c>
      <c r="Q203" s="652">
        <f>VLOOKUP($A203&amp;$B203,'Sc12'!$A$299:$Z$2026,Q$3,FALSE)</f>
        <v>0</v>
      </c>
      <c r="R203" s="655">
        <f>VLOOKUP($A203&amp;$B203,'Sc12'!$A$299:$Z$2026,R$3,FALSE)</f>
        <v>0</v>
      </c>
      <c r="S203" s="652">
        <f>VLOOKUP($A203&amp;$B203,'Sc12'!$A$299:$Z$2026,S$3,FALSE)</f>
        <v>136.50694200360343</v>
      </c>
      <c r="T203" s="656">
        <f>VLOOKUP($A203&amp;$B203,'Sc12'!$A$299:$Z$2026,T$3,FALSE)</f>
        <v>3229.7542478052574</v>
      </c>
    </row>
    <row r="205" spans="1:20" x14ac:dyDescent="0.3">
      <c r="A205" s="3023" t="s">
        <v>5234</v>
      </c>
      <c r="B205" s="3024"/>
      <c r="C205" s="3024"/>
      <c r="D205" s="3024"/>
      <c r="E205" s="3024"/>
      <c r="F205" s="3024"/>
      <c r="G205" s="3024"/>
      <c r="H205" s="3024"/>
      <c r="I205" s="3024"/>
      <c r="J205" s="3024"/>
      <c r="K205" s="3024"/>
      <c r="L205" s="3024"/>
      <c r="M205" s="3024"/>
      <c r="N205" s="3024"/>
      <c r="O205" s="3024"/>
      <c r="P205" s="3024"/>
      <c r="Q205" s="3024"/>
      <c r="R205" s="3024"/>
      <c r="S205" s="3024"/>
      <c r="T205" s="3025"/>
    </row>
    <row r="206" spans="1:20" ht="28.8" x14ac:dyDescent="0.3">
      <c r="A206" s="99"/>
      <c r="B206" s="82" t="s">
        <v>5187</v>
      </c>
      <c r="C206" s="82" t="s">
        <v>2585</v>
      </c>
      <c r="D206" s="82" t="s">
        <v>2588</v>
      </c>
      <c r="E206" s="82" t="s">
        <v>5188</v>
      </c>
      <c r="F206" s="82" t="s">
        <v>5189</v>
      </c>
      <c r="G206" s="82" t="s">
        <v>5190</v>
      </c>
      <c r="H206" s="82" t="s">
        <v>442</v>
      </c>
      <c r="I206" s="82" t="s">
        <v>5191</v>
      </c>
      <c r="J206" s="173" t="s">
        <v>439</v>
      </c>
      <c r="K206" s="661" t="s">
        <v>5192</v>
      </c>
      <c r="L206" s="281" t="s">
        <v>5193</v>
      </c>
      <c r="M206" s="663" t="s">
        <v>5194</v>
      </c>
      <c r="N206" s="281" t="s">
        <v>5195</v>
      </c>
      <c r="O206" s="663" t="s">
        <v>5196</v>
      </c>
      <c r="P206" s="281" t="s">
        <v>5197</v>
      </c>
      <c r="Q206" s="663" t="s">
        <v>5198</v>
      </c>
      <c r="R206" s="281" t="s">
        <v>5199</v>
      </c>
      <c r="S206" s="663" t="s">
        <v>5200</v>
      </c>
      <c r="T206" s="282" t="s">
        <v>5201</v>
      </c>
    </row>
    <row r="207" spans="1:20" x14ac:dyDescent="0.3">
      <c r="A207" s="99" t="s">
        <v>4917</v>
      </c>
      <c r="B207" t="s">
        <v>5209</v>
      </c>
      <c r="C207" s="233">
        <f>VLOOKUP($A207&amp;$B207,'Sc12'!$A$299:$Z$2026,C$3,FALSE)</f>
        <v>0</v>
      </c>
      <c r="D207" s="233">
        <f>VLOOKUP($A207&amp;$B207,'Sc12'!$A$299:$Z$2026,D$3,FALSE)</f>
        <v>2101.3796554187147</v>
      </c>
      <c r="E207" s="233">
        <f>VLOOKUP($A207&amp;$B207,'Sc12'!$A$299:$Z$2026,E$3,FALSE)</f>
        <v>2101.3796554187147</v>
      </c>
      <c r="F207" s="233">
        <f>VLOOKUP($A207&amp;$B207,'Sc12'!$A$299:$Z$2026,F$3,FALSE)</f>
        <v>0</v>
      </c>
      <c r="G207" s="233">
        <f>VLOOKUP($A207&amp;$B207,'Sc12'!$A$299:$Z$2026,G$3,FALSE)</f>
        <v>0</v>
      </c>
      <c r="H207" s="233">
        <f>VLOOKUP($A207&amp;$B207,'Sc12'!$A$299:$Z$2026,H$3,FALSE)</f>
        <v>0</v>
      </c>
      <c r="I207" s="233">
        <f>VLOOKUP($A207&amp;$B207,'Sc12'!$A$299:$Z$2026,I$3,FALSE)</f>
        <v>0</v>
      </c>
      <c r="J207" s="167">
        <f>VLOOKUP($A207&amp;$B207,'Sc12'!$A$299:$Z$2026,J$3,FALSE)</f>
        <v>-2101.3796554187147</v>
      </c>
      <c r="K207" s="164">
        <f>VLOOKUP($A207&amp;$B207,'Sc12'!$A$299:$Z$2026,K$3,FALSE)</f>
        <v>0</v>
      </c>
      <c r="L207" s="233">
        <f>VLOOKUP($A207&amp;$B207,'Sc12'!$A$299:$Z$2026,L$3,FALSE)</f>
        <v>0</v>
      </c>
      <c r="M207" s="278">
        <f>VLOOKUP($A207&amp;$B207,'Sc12'!$A$299:$Z$2026,M$3,FALSE)</f>
        <v>0</v>
      </c>
      <c r="N207" s="233">
        <f>VLOOKUP($A207&amp;$B207,'Sc12'!$A$299:$Z$2026,N$3,FALSE)</f>
        <v>0</v>
      </c>
      <c r="O207" s="278">
        <f>VLOOKUP($A207&amp;$B207,'Sc12'!$A$299:$Z$2026,O$3,FALSE)</f>
        <v>0</v>
      </c>
      <c r="P207" s="233">
        <f>VLOOKUP($A207&amp;$B207,'Sc12'!$A$299:$Z$2026,P$3,FALSE)</f>
        <v>0</v>
      </c>
      <c r="Q207" s="278">
        <f>VLOOKUP($A207&amp;$B207,'Sc12'!$A$299:$Z$2026,Q$3,FALSE)</f>
        <v>0</v>
      </c>
      <c r="R207" s="233">
        <f>VLOOKUP($A207&amp;$B207,'Sc12'!$A$299:$Z$2026,R$3,FALSE)</f>
        <v>0</v>
      </c>
      <c r="S207" s="278">
        <f>VLOOKUP($A207&amp;$B207,'Sc12'!$A$299:$Z$2026,S$3,FALSE)</f>
        <v>0</v>
      </c>
      <c r="T207" s="167">
        <f>VLOOKUP($A207&amp;$B207,'Sc12'!$A$299:$Z$2026,T$3,FALSE)</f>
        <v>0</v>
      </c>
    </row>
    <row r="208" spans="1:20" x14ac:dyDescent="0.3">
      <c r="A208" s="99" t="s">
        <v>4917</v>
      </c>
      <c r="B208" t="s">
        <v>5223</v>
      </c>
      <c r="C208" s="233">
        <f>VLOOKUP($A208&amp;$B208,'Sc12'!$A$299:$Z$2026,C$3,FALSE)</f>
        <v>6707.1567934021641</v>
      </c>
      <c r="D208" s="233">
        <f>VLOOKUP($A208&amp;$B208,'Sc12'!$A$299:$Z$2026,D$3,FALSE)</f>
        <v>3245.8344510558195</v>
      </c>
      <c r="E208" s="233">
        <f>VLOOKUP($A208&amp;$B208,'Sc12'!$A$299:$Z$2026,E$3,FALSE)</f>
        <v>9952.9912444579841</v>
      </c>
      <c r="F208" s="233">
        <f>VLOOKUP($A208&amp;$B208,'Sc12'!$A$299:$Z$2026,F$3,FALSE)</f>
        <v>0</v>
      </c>
      <c r="G208" s="233">
        <f>VLOOKUP($A208&amp;$B208,'Sc12'!$A$299:$Z$2026,G$3,FALSE)</f>
        <v>0</v>
      </c>
      <c r="H208" s="233">
        <f>VLOOKUP($A208&amp;$B208,'Sc12'!$A$299:$Z$2026,H$3,FALSE)</f>
        <v>0</v>
      </c>
      <c r="I208" s="233">
        <f>VLOOKUP($A208&amp;$B208,'Sc12'!$A$299:$Z$2026,I$3,FALSE)</f>
        <v>0</v>
      </c>
      <c r="J208" s="167">
        <f>VLOOKUP($A208&amp;$B208,'Sc12'!$A$299:$Z$2026,J$3,FALSE)</f>
        <v>-9952.9912444579841</v>
      </c>
      <c r="K208" s="164">
        <f>VLOOKUP($A208&amp;$B208,'Sc12'!$A$299:$Z$2026,K$3,FALSE)</f>
        <v>4471.5360061785714</v>
      </c>
      <c r="L208" s="233">
        <f>VLOOKUP($A208&amp;$B208,'Sc12'!$A$299:$Z$2026,L$3,FALSE)</f>
        <v>306.7101072237985</v>
      </c>
      <c r="M208" s="278">
        <f>VLOOKUP($A208&amp;$B208,'Sc12'!$A$299:$Z$2026,M$3,FALSE)</f>
        <v>0</v>
      </c>
      <c r="N208" s="233">
        <f>VLOOKUP($A208&amp;$B208,'Sc12'!$A$299:$Z$2026,N$3,FALSE)</f>
        <v>0</v>
      </c>
      <c r="O208" s="278">
        <f>VLOOKUP($A208&amp;$B208,'Sc12'!$A$299:$Z$2026,O$3,FALSE)</f>
        <v>0</v>
      </c>
      <c r="P208" s="233">
        <f>VLOOKUP($A208&amp;$B208,'Sc12'!$A$299:$Z$2026,P$3,FALSE)</f>
        <v>0</v>
      </c>
      <c r="Q208" s="278">
        <f>VLOOKUP($A208&amp;$B208,'Sc12'!$A$299:$Z$2026,Q$3,FALSE)</f>
        <v>0</v>
      </c>
      <c r="R208" s="233">
        <f>VLOOKUP($A208&amp;$B208,'Sc12'!$A$299:$Z$2026,R$3,FALSE)</f>
        <v>0</v>
      </c>
      <c r="S208" s="278">
        <f>VLOOKUP($A208&amp;$B208,'Sc12'!$A$299:$Z$2026,S$3,FALSE)</f>
        <v>0</v>
      </c>
      <c r="T208" s="167">
        <f>VLOOKUP($A208&amp;$B208,'Sc12'!$A$299:$Z$2026,T$3,FALSE)</f>
        <v>0</v>
      </c>
    </row>
    <row r="209" spans="1:20" x14ac:dyDescent="0.3">
      <c r="A209" s="99" t="s">
        <v>4917</v>
      </c>
      <c r="B209" t="s">
        <v>5219</v>
      </c>
      <c r="C209" s="233">
        <f>VLOOKUP($A209&amp;$B209,'Sc12'!$A$299:$Z$2026,C$3,FALSE)</f>
        <v>1821.4045073202617</v>
      </c>
      <c r="D209" s="233">
        <f>VLOOKUP($A209&amp;$B209,'Sc12'!$A$299:$Z$2026,D$3,FALSE)</f>
        <v>1572.7463282449262</v>
      </c>
      <c r="E209" s="233">
        <f>VLOOKUP($A209&amp;$B209,'Sc12'!$A$299:$Z$2026,E$3,FALSE)</f>
        <v>3394.1508355651877</v>
      </c>
      <c r="F209" s="233">
        <f>VLOOKUP($A209&amp;$B209,'Sc12'!$A$299:$Z$2026,F$3,FALSE)</f>
        <v>0</v>
      </c>
      <c r="G209" s="233">
        <f>VLOOKUP($A209&amp;$B209,'Sc12'!$A$299:$Z$2026,G$3,FALSE)</f>
        <v>0</v>
      </c>
      <c r="H209" s="233">
        <f>VLOOKUP($A209&amp;$B209,'Sc12'!$A$299:$Z$2026,H$3,FALSE)</f>
        <v>0</v>
      </c>
      <c r="I209" s="233">
        <f>VLOOKUP($A209&amp;$B209,'Sc12'!$A$299:$Z$2026,I$3,FALSE)</f>
        <v>0</v>
      </c>
      <c r="J209" s="167">
        <f>VLOOKUP($A209&amp;$B209,'Sc12'!$A$299:$Z$2026,J$3,FALSE)</f>
        <v>-3394.1508355651877</v>
      </c>
      <c r="K209" s="164">
        <f>VLOOKUP($A209&amp;$B209,'Sc12'!$A$299:$Z$2026,K$3,FALSE)</f>
        <v>138.71116608588275</v>
      </c>
      <c r="L209" s="233">
        <f>VLOOKUP($A209&amp;$B209,'Sc12'!$A$299:$Z$2026,L$3,FALSE)</f>
        <v>9.5144300671075079</v>
      </c>
      <c r="M209" s="278">
        <f>VLOOKUP($A209&amp;$B209,'Sc12'!$A$299:$Z$2026,M$3,FALSE)</f>
        <v>0</v>
      </c>
      <c r="N209" s="233">
        <f>VLOOKUP($A209&amp;$B209,'Sc12'!$A$299:$Z$2026,N$3,FALSE)</f>
        <v>0</v>
      </c>
      <c r="O209" s="278">
        <f>VLOOKUP($A209&amp;$B209,'Sc12'!$A$299:$Z$2026,O$3,FALSE)</f>
        <v>0</v>
      </c>
      <c r="P209" s="233">
        <f>VLOOKUP($A209&amp;$B209,'Sc12'!$A$299:$Z$2026,P$3,FALSE)</f>
        <v>0</v>
      </c>
      <c r="Q209" s="278">
        <f>VLOOKUP($A209&amp;$B209,'Sc12'!$A$299:$Z$2026,Q$3,FALSE)</f>
        <v>0</v>
      </c>
      <c r="R209" s="233">
        <f>VLOOKUP($A209&amp;$B209,'Sc12'!$A$299:$Z$2026,R$3,FALSE)</f>
        <v>0</v>
      </c>
      <c r="S209" s="278">
        <f>VLOOKUP($A209&amp;$B209,'Sc12'!$A$299:$Z$2026,S$3,FALSE)</f>
        <v>0</v>
      </c>
      <c r="T209" s="167">
        <f>VLOOKUP($A209&amp;$B209,'Sc12'!$A$299:$Z$2026,T$3,FALSE)</f>
        <v>0</v>
      </c>
    </row>
    <row r="210" spans="1:20" x14ac:dyDescent="0.3">
      <c r="A210" s="99" t="s">
        <v>4917</v>
      </c>
      <c r="B210" s="90" t="s">
        <v>4622</v>
      </c>
      <c r="C210" s="233">
        <f>VLOOKUP($A210&amp;$B210,'Sc12'!$A$299:$Z$2026,C$3,FALSE)</f>
        <v>5185.8653052991831</v>
      </c>
      <c r="D210" s="233">
        <f>VLOOKUP($A210&amp;$B210,'Sc12'!$A$299:$Z$2026,D$3,FALSE)</f>
        <v>4199.9549929890763</v>
      </c>
      <c r="E210" s="233">
        <f>VLOOKUP($A210&amp;$B210,'Sc12'!$A$299:$Z$2026,E$3,FALSE)</f>
        <v>9385.8202982882594</v>
      </c>
      <c r="F210" s="233">
        <f>VLOOKUP($A210&amp;$B210,'Sc12'!$A$299:$Z$2026,F$3,FALSE)</f>
        <v>0</v>
      </c>
      <c r="G210" s="233">
        <f>VLOOKUP($A210&amp;$B210,'Sc12'!$A$299:$Z$2026,G$3,FALSE)</f>
        <v>0</v>
      </c>
      <c r="H210" s="233">
        <f>VLOOKUP($A210&amp;$B210,'Sc12'!$A$299:$Z$2026,H$3,FALSE)</f>
        <v>0</v>
      </c>
      <c r="I210" s="233">
        <f>VLOOKUP($A210&amp;$B210,'Sc12'!$A$299:$Z$2026,I$3,FALSE)</f>
        <v>0</v>
      </c>
      <c r="J210" s="167">
        <f>VLOOKUP($A210&amp;$B210,'Sc12'!$A$299:$Z$2026,J$3,FALSE)</f>
        <v>-9385.8202982882594</v>
      </c>
      <c r="K210" s="164">
        <f>VLOOKUP($A210&amp;$B210,'Sc12'!$A$299:$Z$2026,K$3,FALSE)</f>
        <v>0</v>
      </c>
      <c r="L210" s="233">
        <f>VLOOKUP($A210&amp;$B210,'Sc12'!$A$299:$Z$2026,L$3,FALSE)</f>
        <v>0</v>
      </c>
      <c r="M210" s="278">
        <f>VLOOKUP($A210&amp;$B210,'Sc12'!$A$299:$Z$2026,M$3,FALSE)</f>
        <v>0</v>
      </c>
      <c r="N210" s="233">
        <f>VLOOKUP($A210&amp;$B210,'Sc12'!$A$299:$Z$2026,N$3,FALSE)</f>
        <v>0</v>
      </c>
      <c r="O210" s="278">
        <f>VLOOKUP($A210&amp;$B210,'Sc12'!$A$299:$Z$2026,O$3,FALSE)</f>
        <v>0</v>
      </c>
      <c r="P210" s="233">
        <f>VLOOKUP($A210&amp;$B210,'Sc12'!$A$299:$Z$2026,P$3,FALSE)</f>
        <v>0</v>
      </c>
      <c r="Q210" s="278">
        <f>VLOOKUP($A210&amp;$B210,'Sc12'!$A$299:$Z$2026,Q$3,FALSE)</f>
        <v>0</v>
      </c>
      <c r="R210" s="233">
        <f>VLOOKUP($A210&amp;$B210,'Sc12'!$A$299:$Z$2026,R$3,FALSE)</f>
        <v>0</v>
      </c>
      <c r="S210" s="278">
        <f>VLOOKUP($A210&amp;$B210,'Sc12'!$A$299:$Z$2026,S$3,FALSE)</f>
        <v>0</v>
      </c>
      <c r="T210" s="167">
        <f>VLOOKUP($A210&amp;$B210,'Sc12'!$A$299:$Z$2026,T$3,FALSE)</f>
        <v>0</v>
      </c>
    </row>
    <row r="211" spans="1:20" x14ac:dyDescent="0.3">
      <c r="A211" s="99" t="s">
        <v>4917</v>
      </c>
      <c r="B211" t="s">
        <v>5205</v>
      </c>
      <c r="C211" s="233">
        <f>VLOOKUP($A211&amp;$B211,'Sc12'!$A$299:$Z$2026,C$3,FALSE)</f>
        <v>85854.781356919426</v>
      </c>
      <c r="D211" s="233">
        <f>VLOOKUP($A211&amp;$B211,'Sc12'!$A$299:$Z$2026,D$3,FALSE)</f>
        <v>30875.017866889928</v>
      </c>
      <c r="E211" s="233">
        <f>VLOOKUP($A211&amp;$B211,'Sc12'!$A$299:$Z$2026,E$3,FALSE)</f>
        <v>116729.79922380936</v>
      </c>
      <c r="F211" s="233">
        <f>VLOOKUP($A211&amp;$B211,'Sc12'!$A$299:$Z$2026,F$3,FALSE)</f>
        <v>0</v>
      </c>
      <c r="G211" s="233">
        <f>VLOOKUP($A211&amp;$B211,'Sc12'!$A$299:$Z$2026,G$3,FALSE)</f>
        <v>12315.520455039321</v>
      </c>
      <c r="H211" s="233">
        <f>VLOOKUP($A211&amp;$B211,'Sc12'!$A$299:$Z$2026,H$3,FALSE)</f>
        <v>0</v>
      </c>
      <c r="I211" s="233">
        <f>VLOOKUP($A211&amp;$B211,'Sc12'!$A$299:$Z$2026,I$3,FALSE)</f>
        <v>0</v>
      </c>
      <c r="J211" s="167">
        <f>VLOOKUP($A211&amp;$B211,'Sc12'!$A$299:$Z$2026,J$3,FALSE)</f>
        <v>-116729.79922380936</v>
      </c>
      <c r="K211" s="164">
        <f>VLOOKUP($A211&amp;$B211,'Sc12'!$A$299:$Z$2026,K$3,FALSE)</f>
        <v>0</v>
      </c>
      <c r="L211" s="233">
        <f>VLOOKUP($A211&amp;$B211,'Sc12'!$A$299:$Z$2026,L$3,FALSE)</f>
        <v>0</v>
      </c>
      <c r="M211" s="278">
        <f>VLOOKUP($A211&amp;$B211,'Sc12'!$A$299:$Z$2026,M$3,FALSE)</f>
        <v>428.54167032643346</v>
      </c>
      <c r="N211" s="233">
        <f>VLOOKUP($A211&amp;$B211,'Sc12'!$A$299:$Z$2026,N$3,FALSE)</f>
        <v>1584.1002415157147</v>
      </c>
      <c r="O211" s="278">
        <f>VLOOKUP($A211&amp;$B211,'Sc12'!$A$299:$Z$2026,O$3,FALSE)</f>
        <v>13.243633737886574</v>
      </c>
      <c r="P211" s="233">
        <f>VLOOKUP($A211&amp;$B211,'Sc12'!$A$299:$Z$2026,P$3,FALSE)</f>
        <v>313.34437423839631</v>
      </c>
      <c r="Q211" s="278">
        <f>VLOOKUP($A211&amp;$B211,'Sc12'!$A$299:$Z$2026,Q$3,FALSE)</f>
        <v>0</v>
      </c>
      <c r="R211" s="233">
        <f>VLOOKUP($A211&amp;$B211,'Sc12'!$A$299:$Z$2026,R$3,FALSE)</f>
        <v>0</v>
      </c>
      <c r="S211" s="278">
        <f>VLOOKUP($A211&amp;$B211,'Sc12'!$A$299:$Z$2026,S$3,FALSE)</f>
        <v>13.243633737886574</v>
      </c>
      <c r="T211" s="167">
        <f>VLOOKUP($A211&amp;$B211,'Sc12'!$A$299:$Z$2026,T$3,FALSE)</f>
        <v>313.34437423839631</v>
      </c>
    </row>
    <row r="212" spans="1:20" x14ac:dyDescent="0.3">
      <c r="A212" s="149" t="s">
        <v>4917</v>
      </c>
      <c r="B212" s="650" t="s">
        <v>5203</v>
      </c>
      <c r="C212" s="655">
        <f>VLOOKUP($A212&amp;$B212,'Sc12'!$A$299:$Z$2026,C$3,FALSE)</f>
        <v>100205.14744610841</v>
      </c>
      <c r="D212" s="655">
        <f>VLOOKUP($A212&amp;$B212,'Sc12'!$A$299:$Z$2026,D$3,FALSE)</f>
        <v>42112.809928904273</v>
      </c>
      <c r="E212" s="655">
        <f>VLOOKUP($A212&amp;$B212,'Sc12'!$A$299:$Z$2026,E$3,FALSE)</f>
        <v>142317.95737501269</v>
      </c>
      <c r="F212" s="655">
        <f>VLOOKUP($A212&amp;$B212,'Sc12'!$A$299:$Z$2026,F$3,FALSE)</f>
        <v>0</v>
      </c>
      <c r="G212" s="655">
        <f>VLOOKUP($A212&amp;$B212,'Sc12'!$A$299:$Z$2026,G$3,FALSE)</f>
        <v>12315.520455039321</v>
      </c>
      <c r="H212" s="655">
        <f>VLOOKUP($A212&amp;$B212,'Sc12'!$A$299:$Z$2026,H$3,FALSE)</f>
        <v>0</v>
      </c>
      <c r="I212" s="655">
        <f>VLOOKUP($A212&amp;$B212,'Sc12'!$A$299:$Z$2026,I$3,FALSE)</f>
        <v>0</v>
      </c>
      <c r="J212" s="656">
        <f>VLOOKUP($A212&amp;$B212,'Sc12'!$A$299:$Z$2026,J$3,FALSE)</f>
        <v>-142317.95737501269</v>
      </c>
      <c r="K212" s="651">
        <f>VLOOKUP($A212&amp;$B212,'Sc12'!$A$299:$Z$2026,K$3,FALSE)</f>
        <v>4610.2471722644541</v>
      </c>
      <c r="L212" s="655">
        <f>VLOOKUP($A212&amp;$B212,'Sc12'!$A$299:$Z$2026,L$3,FALSE)</f>
        <v>316.22453729090603</v>
      </c>
      <c r="M212" s="652">
        <f>VLOOKUP($A212&amp;$B212,'Sc12'!$A$299:$Z$2026,M$3,FALSE)</f>
        <v>428.54167032643346</v>
      </c>
      <c r="N212" s="655">
        <f>VLOOKUP($A212&amp;$B212,'Sc12'!$A$299:$Z$2026,N$3,FALSE)</f>
        <v>1584.1002415157147</v>
      </c>
      <c r="O212" s="652">
        <f>VLOOKUP($A212&amp;$B212,'Sc12'!$A$299:$Z$2026,O$3,FALSE)</f>
        <v>13.243633737886574</v>
      </c>
      <c r="P212" s="655">
        <f>VLOOKUP($A212&amp;$B212,'Sc12'!$A$299:$Z$2026,P$3,FALSE)</f>
        <v>313.34437423839631</v>
      </c>
      <c r="Q212" s="652">
        <f>VLOOKUP($A212&amp;$B212,'Sc12'!$A$299:$Z$2026,Q$3,FALSE)</f>
        <v>0</v>
      </c>
      <c r="R212" s="655">
        <f>VLOOKUP($A212&amp;$B212,'Sc12'!$A$299:$Z$2026,R$3,FALSE)</f>
        <v>0</v>
      </c>
      <c r="S212" s="652">
        <f>VLOOKUP($A212&amp;$B212,'Sc12'!$A$299:$Z$2026,S$3,FALSE)</f>
        <v>13.243633737886574</v>
      </c>
      <c r="T212" s="656">
        <f>VLOOKUP($A212&amp;$B212,'Sc12'!$A$299:$Z$2026,T$3,FALSE)</f>
        <v>313.34437423839631</v>
      </c>
    </row>
    <row r="214" spans="1:20" x14ac:dyDescent="0.3">
      <c r="A214" s="3020" t="s">
        <v>5235</v>
      </c>
      <c r="B214" s="3021"/>
      <c r="C214" s="3021"/>
      <c r="D214" s="3021"/>
      <c r="E214" s="3021"/>
      <c r="F214" s="3021"/>
      <c r="G214" s="3021"/>
      <c r="H214" s="3021"/>
      <c r="I214" s="3021"/>
      <c r="J214" s="3021"/>
      <c r="K214" s="3021"/>
      <c r="L214" s="3021"/>
      <c r="M214" s="3021"/>
      <c r="N214" s="3021"/>
      <c r="O214" s="3021"/>
      <c r="P214" s="3021"/>
      <c r="Q214" s="3021"/>
      <c r="R214" s="3021"/>
      <c r="S214" s="3021"/>
      <c r="T214" s="3022"/>
    </row>
    <row r="215" spans="1:20" ht="28.8" x14ac:dyDescent="0.3">
      <c r="A215" s="99"/>
      <c r="B215" s="82" t="s">
        <v>5187</v>
      </c>
      <c r="C215" s="82" t="s">
        <v>2585</v>
      </c>
      <c r="D215" s="82" t="s">
        <v>2588</v>
      </c>
      <c r="E215" s="82" t="s">
        <v>5188</v>
      </c>
      <c r="F215" s="82" t="s">
        <v>5189</v>
      </c>
      <c r="G215" s="82" t="s">
        <v>5190</v>
      </c>
      <c r="H215" s="82" t="s">
        <v>442</v>
      </c>
      <c r="I215" s="82" t="s">
        <v>5191</v>
      </c>
      <c r="J215" s="173" t="s">
        <v>439</v>
      </c>
      <c r="K215" s="661" t="s">
        <v>5192</v>
      </c>
      <c r="L215" s="281" t="s">
        <v>5193</v>
      </c>
      <c r="M215" s="663" t="s">
        <v>5194</v>
      </c>
      <c r="N215" s="281" t="s">
        <v>5195</v>
      </c>
      <c r="O215" s="663" t="s">
        <v>5196</v>
      </c>
      <c r="P215" s="281" t="s">
        <v>5197</v>
      </c>
      <c r="Q215" s="663" t="s">
        <v>5198</v>
      </c>
      <c r="R215" s="281" t="s">
        <v>5199</v>
      </c>
      <c r="S215" s="663" t="s">
        <v>5200</v>
      </c>
      <c r="T215" s="282" t="s">
        <v>5201</v>
      </c>
    </row>
    <row r="216" spans="1:20" x14ac:dyDescent="0.3">
      <c r="A216" s="99" t="s">
        <v>4912</v>
      </c>
      <c r="B216" t="s">
        <v>5209</v>
      </c>
      <c r="C216" s="233">
        <f>VLOOKUP($A216&amp;$B216,'Sc13'!$A$299:$Z$2029,C$3,FALSE)</f>
        <v>0</v>
      </c>
      <c r="D216" s="233">
        <f>VLOOKUP($A216&amp;$B216,'Sc13'!$A$299:$Z$2029,D$3,FALSE)</f>
        <v>0</v>
      </c>
      <c r="E216" s="233">
        <f>VLOOKUP($A216&amp;$B216,'Sc13'!$A$299:$Z$2029,E$3,FALSE)</f>
        <v>0</v>
      </c>
      <c r="F216" s="233">
        <f>VLOOKUP($A216&amp;$B216,'Sc13'!$A$299:$Z$2029,F$3,FALSE)</f>
        <v>0</v>
      </c>
      <c r="G216" s="233">
        <f>VLOOKUP($A216&amp;$B216,'Sc13'!$A$299:$Z$2029,G$3,FALSE)</f>
        <v>0</v>
      </c>
      <c r="H216" s="233">
        <f>VLOOKUP($A216&amp;$B216,'Sc13'!$A$299:$Z$2029,H$3,FALSE)</f>
        <v>0</v>
      </c>
      <c r="I216" s="233">
        <f>VLOOKUP($A216&amp;$B216,'Sc13'!$A$299:$Z$2029,I$3,FALSE)</f>
        <v>0</v>
      </c>
      <c r="J216" s="167">
        <f>VLOOKUP($A216&amp;$B216,'Sc13'!$A$299:$Z$2029,J$3,FALSE)</f>
        <v>0</v>
      </c>
      <c r="K216" s="164">
        <f>VLOOKUP($A216&amp;$B216,'Sc13'!$A$299:$Z$2029,K$3,FALSE)</f>
        <v>0</v>
      </c>
      <c r="L216" s="233">
        <f>VLOOKUP($A216&amp;$B216,'Sc13'!$A$299:$Z$2029,L$3,FALSE)</f>
        <v>0</v>
      </c>
      <c r="M216" s="278">
        <f>VLOOKUP($A216&amp;$B216,'Sc13'!$A$299:$Z$2029,M$3,FALSE)</f>
        <v>0</v>
      </c>
      <c r="N216" s="233">
        <f>VLOOKUP($A216&amp;$B216,'Sc13'!$A$299:$Z$2029,N$3,FALSE)</f>
        <v>0</v>
      </c>
      <c r="O216" s="278">
        <f>VLOOKUP($A216&amp;$B216,'Sc13'!$A$299:$Z$2029,O$3,FALSE)</f>
        <v>0</v>
      </c>
      <c r="P216" s="233">
        <f>VLOOKUP($A216&amp;$B216,'Sc13'!$A$299:$Z$2029,P$3,FALSE)</f>
        <v>0</v>
      </c>
      <c r="Q216" s="278">
        <f>VLOOKUP($A216&amp;$B216,'Sc13'!$A$299:$Z$2029,Q$3,FALSE)</f>
        <v>0</v>
      </c>
      <c r="R216" s="233">
        <f>VLOOKUP($A216&amp;$B216,'Sc13'!$A$299:$Z$2029,R$3,FALSE)</f>
        <v>0</v>
      </c>
      <c r="S216" s="278">
        <f>VLOOKUP($A216&amp;$B216,'Sc13'!$A$299:$Z$2029,S$3,FALSE)</f>
        <v>0</v>
      </c>
      <c r="T216" s="167">
        <f>VLOOKUP($A216&amp;$B216,'Sc13'!$A$299:$Z$2029,T$3,FALSE)</f>
        <v>0</v>
      </c>
    </row>
    <row r="217" spans="1:20" x14ac:dyDescent="0.3">
      <c r="A217" s="99" t="s">
        <v>4912</v>
      </c>
      <c r="B217" t="s">
        <v>5223</v>
      </c>
      <c r="C217" s="233">
        <f>VLOOKUP($A217&amp;$B217,'Sc13'!$A$299:$Z$2029,C$3,FALSE)</f>
        <v>6707.1567934021641</v>
      </c>
      <c r="D217" s="233">
        <f>VLOOKUP($A217&amp;$B217,'Sc13'!$A$299:$Z$2029,D$3,FALSE)</f>
        <v>3245.8344510558195</v>
      </c>
      <c r="E217" s="233">
        <f>VLOOKUP($A217&amp;$B217,'Sc13'!$A$299:$Z$2029,E$3,FALSE)</f>
        <v>9952.9912444579841</v>
      </c>
      <c r="F217" s="233">
        <f>VLOOKUP($A217&amp;$B217,'Sc13'!$A$299:$Z$2029,F$3,FALSE)</f>
        <v>0</v>
      </c>
      <c r="G217" s="233">
        <f>VLOOKUP($A217&amp;$B217,'Sc13'!$A$299:$Z$2029,G$3,FALSE)</f>
        <v>0</v>
      </c>
      <c r="H217" s="233">
        <f>VLOOKUP($A217&amp;$B217,'Sc13'!$A$299:$Z$2029,H$3,FALSE)</f>
        <v>0</v>
      </c>
      <c r="I217" s="233">
        <f>VLOOKUP($A217&amp;$B217,'Sc13'!$A$299:$Z$2029,I$3,FALSE)</f>
        <v>0</v>
      </c>
      <c r="J217" s="167">
        <f>VLOOKUP($A217&amp;$B217,'Sc13'!$A$299:$Z$2029,J$3,FALSE)</f>
        <v>-9952.9912444579841</v>
      </c>
      <c r="K217" s="164">
        <f>VLOOKUP($A217&amp;$B217,'Sc13'!$A$299:$Z$2029,K$3,FALSE)</f>
        <v>4471.5360061785714</v>
      </c>
      <c r="L217" s="233">
        <f>VLOOKUP($A217&amp;$B217,'Sc13'!$A$299:$Z$2029,L$3,FALSE)</f>
        <v>306.7101072237985</v>
      </c>
      <c r="M217" s="278">
        <f>VLOOKUP($A217&amp;$B217,'Sc13'!$A$299:$Z$2029,M$3,FALSE)</f>
        <v>0</v>
      </c>
      <c r="N217" s="233">
        <f>VLOOKUP($A217&amp;$B217,'Sc13'!$A$299:$Z$2029,N$3,FALSE)</f>
        <v>0</v>
      </c>
      <c r="O217" s="278">
        <f>VLOOKUP($A217&amp;$B217,'Sc13'!$A$299:$Z$2029,O$3,FALSE)</f>
        <v>0</v>
      </c>
      <c r="P217" s="233">
        <f>VLOOKUP($A217&amp;$B217,'Sc13'!$A$299:$Z$2029,P$3,FALSE)</f>
        <v>0</v>
      </c>
      <c r="Q217" s="278">
        <f>VLOOKUP($A217&amp;$B217,'Sc13'!$A$299:$Z$2029,Q$3,FALSE)</f>
        <v>0</v>
      </c>
      <c r="R217" s="233">
        <f>VLOOKUP($A217&amp;$B217,'Sc13'!$A$299:$Z$2029,R$3,FALSE)</f>
        <v>0</v>
      </c>
      <c r="S217" s="278">
        <f>VLOOKUP($A217&amp;$B217,'Sc13'!$A$299:$Z$2029,S$3,FALSE)</f>
        <v>0</v>
      </c>
      <c r="T217" s="167">
        <f>VLOOKUP($A217&amp;$B217,'Sc13'!$A$299:$Z$2029,T$3,FALSE)</f>
        <v>0</v>
      </c>
    </row>
    <row r="218" spans="1:20" x14ac:dyDescent="0.3">
      <c r="A218" s="99" t="s">
        <v>4912</v>
      </c>
      <c r="B218" t="s">
        <v>5219</v>
      </c>
      <c r="C218" s="233">
        <f>VLOOKUP($A218&amp;$B218,'Sc13'!$A$299:$Z$2029,C$3,FALSE)</f>
        <v>1821.4045073202617</v>
      </c>
      <c r="D218" s="233">
        <f>VLOOKUP($A218&amp;$B218,'Sc13'!$A$299:$Z$2029,D$3,FALSE)</f>
        <v>1572.7463282449262</v>
      </c>
      <c r="E218" s="233">
        <f>VLOOKUP($A218&amp;$B218,'Sc13'!$A$299:$Z$2029,E$3,FALSE)</f>
        <v>3394.1508355651877</v>
      </c>
      <c r="F218" s="233">
        <f>VLOOKUP($A218&amp;$B218,'Sc13'!$A$299:$Z$2029,F$3,FALSE)</f>
        <v>0</v>
      </c>
      <c r="G218" s="233">
        <f>VLOOKUP($A218&amp;$B218,'Sc13'!$A$299:$Z$2029,G$3,FALSE)</f>
        <v>0</v>
      </c>
      <c r="H218" s="233">
        <f>VLOOKUP($A218&amp;$B218,'Sc13'!$A$299:$Z$2029,H$3,FALSE)</f>
        <v>0</v>
      </c>
      <c r="I218" s="233">
        <f>VLOOKUP($A218&amp;$B218,'Sc13'!$A$299:$Z$2029,I$3,FALSE)</f>
        <v>0</v>
      </c>
      <c r="J218" s="167">
        <f>VLOOKUP($A218&amp;$B218,'Sc13'!$A$299:$Z$2029,J$3,FALSE)</f>
        <v>-3394.1508355651877</v>
      </c>
      <c r="K218" s="164">
        <f>VLOOKUP($A218&amp;$B218,'Sc13'!$A$299:$Z$2029,K$3,FALSE)</f>
        <v>138.71116608588275</v>
      </c>
      <c r="L218" s="233">
        <f>VLOOKUP($A218&amp;$B218,'Sc13'!$A$299:$Z$2029,L$3,FALSE)</f>
        <v>9.5144300671075079</v>
      </c>
      <c r="M218" s="278">
        <f>VLOOKUP($A218&amp;$B218,'Sc13'!$A$299:$Z$2029,M$3,FALSE)</f>
        <v>0</v>
      </c>
      <c r="N218" s="233">
        <f>VLOOKUP($A218&amp;$B218,'Sc13'!$A$299:$Z$2029,N$3,FALSE)</f>
        <v>0</v>
      </c>
      <c r="O218" s="278">
        <f>VLOOKUP($A218&amp;$B218,'Sc13'!$A$299:$Z$2029,O$3,FALSE)</f>
        <v>0</v>
      </c>
      <c r="P218" s="233">
        <f>VLOOKUP($A218&amp;$B218,'Sc13'!$A$299:$Z$2029,P$3,FALSE)</f>
        <v>0</v>
      </c>
      <c r="Q218" s="278">
        <f>VLOOKUP($A218&amp;$B218,'Sc13'!$A$299:$Z$2029,Q$3,FALSE)</f>
        <v>0</v>
      </c>
      <c r="R218" s="233">
        <f>VLOOKUP($A218&amp;$B218,'Sc13'!$A$299:$Z$2029,R$3,FALSE)</f>
        <v>0</v>
      </c>
      <c r="S218" s="278">
        <f>VLOOKUP($A218&amp;$B218,'Sc13'!$A$299:$Z$2029,S$3,FALSE)</f>
        <v>0</v>
      </c>
      <c r="T218" s="167">
        <f>VLOOKUP($A218&amp;$B218,'Sc13'!$A$299:$Z$2029,T$3,FALSE)</f>
        <v>0</v>
      </c>
    </row>
    <row r="219" spans="1:20" x14ac:dyDescent="0.3">
      <c r="A219" s="99" t="s">
        <v>4912</v>
      </c>
      <c r="B219" s="90" t="s">
        <v>5236</v>
      </c>
      <c r="C219" s="233">
        <f>VLOOKUP($A219&amp;$B219,'Sc13'!$A$299:$Z$2029,C$3,FALSE)</f>
        <v>48914.748556387647</v>
      </c>
      <c r="D219" s="233">
        <f>VLOOKUP($A219&amp;$B219,'Sc13'!$A$299:$Z$2029,D$3,FALSE)</f>
        <v>30305.250252191254</v>
      </c>
      <c r="E219" s="233">
        <f>VLOOKUP($A219&amp;$B219,'Sc13'!$A$299:$Z$2029,E$3,FALSE)</f>
        <v>79219.998808578908</v>
      </c>
      <c r="F219" s="233">
        <f>VLOOKUP($A219&amp;$B219,'Sc13'!$A$299:$Z$2029,F$3,FALSE)</f>
        <v>0</v>
      </c>
      <c r="G219" s="233">
        <f>VLOOKUP($A219&amp;$B219,'Sc13'!$A$299:$Z$2029,G$3,FALSE)</f>
        <v>0</v>
      </c>
      <c r="H219" s="233">
        <f>VLOOKUP($A219&amp;$B219,'Sc13'!$A$299:$Z$2029,H$3,FALSE)</f>
        <v>0</v>
      </c>
      <c r="I219" s="233">
        <f>VLOOKUP($A219&amp;$B219,'Sc13'!$A$299:$Z$2029,I$3,FALSE)</f>
        <v>0</v>
      </c>
      <c r="J219" s="167">
        <f>VLOOKUP($A219&amp;$B219,'Sc13'!$A$299:$Z$2029,J$3,FALSE)</f>
        <v>-79219.998808578908</v>
      </c>
      <c r="K219" s="164">
        <f>VLOOKUP($A219&amp;$B219,'Sc13'!$A$299:$Z$2029,K$3,FALSE)</f>
        <v>23951.879860806865</v>
      </c>
      <c r="L219" s="233">
        <f>VLOOKUP($A219&amp;$B219,'Sc13'!$A$299:$Z$2029,L$3,FALSE)</f>
        <v>1642.8993594525107</v>
      </c>
      <c r="M219" s="278">
        <f>VLOOKUP($A219&amp;$B219,'Sc13'!$A$299:$Z$2029,M$3,FALSE)</f>
        <v>1031.6822093652054</v>
      </c>
      <c r="N219" s="233">
        <f>VLOOKUP($A219&amp;$B219,'Sc13'!$A$299:$Z$2029,N$3,FALSE)</f>
        <v>3813.6035540674497</v>
      </c>
      <c r="O219" s="278">
        <f>VLOOKUP($A219&amp;$B219,'Sc13'!$A$299:$Z$2029,O$3,FALSE)</f>
        <v>182.34045247765718</v>
      </c>
      <c r="P219" s="233">
        <f>VLOOKUP($A219&amp;$B219,'Sc13'!$A$299:$Z$2029,P$3,FALSE)</f>
        <v>4314.1751056213689</v>
      </c>
      <c r="Q219" s="278">
        <f>VLOOKUP($A219&amp;$B219,'Sc13'!$A$299:$Z$2029,Q$3,FALSE)</f>
        <v>0</v>
      </c>
      <c r="R219" s="233">
        <f>VLOOKUP($A219&amp;$B219,'Sc13'!$A$299:$Z$2029,R$3,FALSE)</f>
        <v>0</v>
      </c>
      <c r="S219" s="278">
        <f>VLOOKUP($A219&amp;$B219,'Sc13'!$A$299:$Z$2029,S$3,FALSE)</f>
        <v>182.34045247765718</v>
      </c>
      <c r="T219" s="167">
        <f>VLOOKUP($A219&amp;$B219,'Sc13'!$A$299:$Z$2029,T$3,FALSE)</f>
        <v>4314.1751056213689</v>
      </c>
    </row>
    <row r="220" spans="1:20" x14ac:dyDescent="0.3">
      <c r="A220" s="99" t="s">
        <v>4912</v>
      </c>
      <c r="B220" t="s">
        <v>3204</v>
      </c>
      <c r="C220" s="233">
        <f>VLOOKUP($A220&amp;$B220,'Sc13'!$A$299:$Z$2029,C$3,FALSE)</f>
        <v>10406.854071059724</v>
      </c>
      <c r="D220" s="233">
        <f>VLOOKUP($A220&amp;$B220,'Sc13'!$A$299:$Z$2029,D$3,FALSE)</f>
        <v>6787.5503399034405</v>
      </c>
      <c r="E220" s="233">
        <f>VLOOKUP($A220&amp;$B220,'Sc13'!$A$299:$Z$2029,E$3,FALSE)</f>
        <v>17194.404410963165</v>
      </c>
      <c r="F220" s="233">
        <f>VLOOKUP($A220&amp;$B220,'Sc13'!$A$299:$Z$2029,F$3,FALSE)</f>
        <v>0</v>
      </c>
      <c r="G220" s="233">
        <f>VLOOKUP($A220&amp;$B220,'Sc13'!$A$299:$Z$2029,G$3,FALSE)</f>
        <v>0</v>
      </c>
      <c r="H220" s="233">
        <f>VLOOKUP($A220&amp;$B220,'Sc13'!$A$299:$Z$2029,H$3,FALSE)</f>
        <v>0</v>
      </c>
      <c r="I220" s="233">
        <f>VLOOKUP($A220&amp;$B220,'Sc13'!$A$299:$Z$2029,I$3,FALSE)</f>
        <v>0</v>
      </c>
      <c r="J220" s="167">
        <f>VLOOKUP($A220&amp;$B220,'Sc13'!$A$299:$Z$2029,J$3,FALSE)</f>
        <v>-17194.404410963165</v>
      </c>
      <c r="K220" s="164">
        <f>VLOOKUP($A220&amp;$B220,'Sc13'!$A$299:$Z$2029,K$3,FALSE)</f>
        <v>0</v>
      </c>
      <c r="L220" s="233">
        <f>VLOOKUP($A220&amp;$B220,'Sc13'!$A$299:$Z$2029,L$3,FALSE)</f>
        <v>0</v>
      </c>
      <c r="M220" s="278">
        <f>VLOOKUP($A220&amp;$B220,'Sc13'!$A$299:$Z$2029,M$3,FALSE)</f>
        <v>0</v>
      </c>
      <c r="N220" s="233">
        <f>VLOOKUP($A220&amp;$B220,'Sc13'!$A$299:$Z$2029,N$3,FALSE)</f>
        <v>0</v>
      </c>
      <c r="O220" s="278">
        <f>VLOOKUP($A220&amp;$B220,'Sc13'!$A$299:$Z$2029,O$3,FALSE)</f>
        <v>0</v>
      </c>
      <c r="P220" s="233">
        <f>VLOOKUP($A220&amp;$B220,'Sc13'!$A$299:$Z$2029,P$3,FALSE)</f>
        <v>0</v>
      </c>
      <c r="Q220" s="278">
        <f>VLOOKUP($A220&amp;$B220,'Sc13'!$A$299:$Z$2029,Q$3,FALSE)</f>
        <v>0</v>
      </c>
      <c r="R220" s="233">
        <f>VLOOKUP($A220&amp;$B220,'Sc13'!$A$299:$Z$2029,R$3,FALSE)</f>
        <v>0</v>
      </c>
      <c r="S220" s="278">
        <f>VLOOKUP($A220&amp;$B220,'Sc13'!$A$299:$Z$2029,S$3,FALSE)</f>
        <v>0</v>
      </c>
      <c r="T220" s="167">
        <f>VLOOKUP($A220&amp;$B220,'Sc13'!$A$299:$Z$2029,T$3,FALSE)</f>
        <v>0</v>
      </c>
    </row>
    <row r="221" spans="1:20" x14ac:dyDescent="0.3">
      <c r="A221" s="99" t="s">
        <v>4912</v>
      </c>
      <c r="B221" t="s">
        <v>5202</v>
      </c>
      <c r="C221" s="233">
        <f>VLOOKUP($A221&amp;$B221,'Sc13'!$A$299:$Z$2029,C$3,FALSE)</f>
        <v>0</v>
      </c>
      <c r="D221" s="233">
        <f>VLOOKUP($A221&amp;$B221,'Sc13'!$A$299:$Z$2029,D$3,FALSE)</f>
        <v>3003.5190341897323</v>
      </c>
      <c r="E221" s="233">
        <f>VLOOKUP($A221&amp;$B221,'Sc13'!$A$299:$Z$2029,E$3,FALSE)</f>
        <v>3003.5190341897323</v>
      </c>
      <c r="F221" s="233">
        <f>VLOOKUP($A221&amp;$B221,'Sc13'!$A$299:$Z$2029,F$3,FALSE)</f>
        <v>0</v>
      </c>
      <c r="G221" s="233">
        <f>VLOOKUP($A221&amp;$B221,'Sc13'!$A$299:$Z$2029,G$3,FALSE)</f>
        <v>4519.4376184626626</v>
      </c>
      <c r="H221" s="233">
        <f>VLOOKUP($A221&amp;$B221,'Sc13'!$A$299:$Z$2029,H$3,FALSE)</f>
        <v>0</v>
      </c>
      <c r="I221" s="233">
        <f>VLOOKUP($A221&amp;$B221,'Sc13'!$A$299:$Z$2029,I$3,FALSE)</f>
        <v>0</v>
      </c>
      <c r="J221" s="167">
        <f>VLOOKUP($A221&amp;$B221,'Sc13'!$A$299:$Z$2029,J$3,FALSE)</f>
        <v>-3003.5190341897323</v>
      </c>
      <c r="K221" s="164">
        <f>VLOOKUP($A221&amp;$B221,'Sc13'!$A$299:$Z$2029,K$3,FALSE)</f>
        <v>0</v>
      </c>
      <c r="L221" s="233">
        <f>VLOOKUP($A221&amp;$B221,'Sc13'!$A$299:$Z$2029,L$3,FALSE)</f>
        <v>0</v>
      </c>
      <c r="M221" s="278">
        <f>VLOOKUP($A221&amp;$B221,'Sc13'!$A$299:$Z$2029,M$3,FALSE)</f>
        <v>285.72939048921415</v>
      </c>
      <c r="N221" s="233">
        <f>VLOOKUP($A221&amp;$B221,'Sc13'!$A$299:$Z$2029,N$3,FALSE)</f>
        <v>1056.1959963830925</v>
      </c>
      <c r="O221" s="278">
        <f>VLOOKUP($A221&amp;$B221,'Sc13'!$A$299:$Z$2029,O$3,FALSE)</f>
        <v>77.840382002042702</v>
      </c>
      <c r="P221" s="233">
        <f>VLOOKUP($A221&amp;$B221,'Sc13'!$A$299:$Z$2029,P$3,FALSE)</f>
        <v>1841.7034381683304</v>
      </c>
      <c r="Q221" s="278">
        <f>VLOOKUP($A221&amp;$B221,'Sc13'!$A$299:$Z$2029,Q$3,FALSE)</f>
        <v>0</v>
      </c>
      <c r="R221" s="233">
        <f>VLOOKUP($A221&amp;$B221,'Sc13'!$A$299:$Z$2029,R$3,FALSE)</f>
        <v>0</v>
      </c>
      <c r="S221" s="278">
        <f>VLOOKUP($A221&amp;$B221,'Sc13'!$A$299:$Z$2029,S$3,FALSE)</f>
        <v>77.840382002042702</v>
      </c>
      <c r="T221" s="167">
        <f>VLOOKUP($A221&amp;$B221,'Sc13'!$A$299:$Z$2029,T$3,FALSE)</f>
        <v>1841.7034381683304</v>
      </c>
    </row>
    <row r="222" spans="1:20" x14ac:dyDescent="0.3">
      <c r="A222" s="149" t="s">
        <v>4912</v>
      </c>
      <c r="B222" s="650" t="s">
        <v>5203</v>
      </c>
      <c r="C222" s="655">
        <f>VLOOKUP($A222&amp;$B222,'Sc13'!$A$299:$Z$2029,C$3,FALSE)</f>
        <v>69126.340198908365</v>
      </c>
      <c r="D222" s="655">
        <f>VLOOKUP($A222&amp;$B222,'Sc13'!$A$299:$Z$2029,D$3,FALSE)</f>
        <v>45151.450215051889</v>
      </c>
      <c r="E222" s="655">
        <f>VLOOKUP($A222&amp;$B222,'Sc13'!$A$299:$Z$2029,E$3,FALSE)</f>
        <v>114277.79041396026</v>
      </c>
      <c r="F222" s="655">
        <f>VLOOKUP($A222&amp;$B222,'Sc13'!$A$299:$Z$2029,F$3,FALSE)</f>
        <v>0</v>
      </c>
      <c r="G222" s="655">
        <f>VLOOKUP($A222&amp;$B222,'Sc13'!$A$299:$Z$2029,G$3,FALSE)</f>
        <v>4519.4376184626626</v>
      </c>
      <c r="H222" s="655">
        <f>VLOOKUP($A222&amp;$B222,'Sc13'!$A$299:$Z$2029,H$3,FALSE)</f>
        <v>0</v>
      </c>
      <c r="I222" s="655">
        <f>VLOOKUP($A222&amp;$B222,'Sc13'!$A$299:$Z$2029,I$3,FALSE)</f>
        <v>0</v>
      </c>
      <c r="J222" s="656">
        <f>VLOOKUP($A222&amp;$B222,'Sc13'!$A$299:$Z$2029,J$3,FALSE)</f>
        <v>-114277.79041396026</v>
      </c>
      <c r="K222" s="651">
        <f>VLOOKUP($A222&amp;$B222,'Sc13'!$A$299:$Z$2029,K$3,FALSE)</f>
        <v>28562.12703307132</v>
      </c>
      <c r="L222" s="655">
        <f>VLOOKUP($A222&amp;$B222,'Sc13'!$A$299:$Z$2029,L$3,FALSE)</f>
        <v>1959.1238967434167</v>
      </c>
      <c r="M222" s="652">
        <f>VLOOKUP($A222&amp;$B222,'Sc13'!$A$299:$Z$2029,M$3,FALSE)</f>
        <v>1317.4115998544196</v>
      </c>
      <c r="N222" s="655">
        <f>VLOOKUP($A222&amp;$B222,'Sc13'!$A$299:$Z$2029,N$3,FALSE)</f>
        <v>4869.7995504505425</v>
      </c>
      <c r="O222" s="652">
        <f>VLOOKUP($A222&amp;$B222,'Sc13'!$A$299:$Z$2029,O$3,FALSE)</f>
        <v>260.18083447969991</v>
      </c>
      <c r="P222" s="655">
        <f>VLOOKUP($A222&amp;$B222,'Sc13'!$A$299:$Z$2029,P$3,FALSE)</f>
        <v>6155.8785437896995</v>
      </c>
      <c r="Q222" s="652">
        <f>VLOOKUP($A222&amp;$B222,'Sc13'!$A$299:$Z$2029,Q$3,FALSE)</f>
        <v>0</v>
      </c>
      <c r="R222" s="655">
        <f>VLOOKUP($A222&amp;$B222,'Sc13'!$A$299:$Z$2029,R$3,FALSE)</f>
        <v>0</v>
      </c>
      <c r="S222" s="652">
        <f>VLOOKUP($A222&amp;$B222,'Sc13'!$A$299:$Z$2029,S$3,FALSE)</f>
        <v>260.18083447969991</v>
      </c>
      <c r="T222" s="656">
        <f>VLOOKUP($A222&amp;$B222,'Sc13'!$A$299:$Z$2029,T$3,FALSE)</f>
        <v>6155.8785437896995</v>
      </c>
    </row>
    <row r="224" spans="1:20" x14ac:dyDescent="0.3">
      <c r="A224" s="3020" t="s">
        <v>5237</v>
      </c>
      <c r="B224" s="3021"/>
      <c r="C224" s="3021"/>
      <c r="D224" s="3021"/>
      <c r="E224" s="3021"/>
      <c r="F224" s="3021"/>
      <c r="G224" s="3021"/>
      <c r="H224" s="3021"/>
      <c r="I224" s="3021"/>
      <c r="J224" s="3021"/>
      <c r="K224" s="3021"/>
      <c r="L224" s="3021"/>
      <c r="M224" s="3021"/>
      <c r="N224" s="3021"/>
      <c r="O224" s="3021"/>
      <c r="P224" s="3021"/>
      <c r="Q224" s="3021"/>
      <c r="R224" s="3021"/>
      <c r="S224" s="3021"/>
      <c r="T224" s="3022"/>
    </row>
    <row r="225" spans="1:20" ht="28.8" x14ac:dyDescent="0.3">
      <c r="A225" s="99"/>
      <c r="B225" s="82" t="s">
        <v>5187</v>
      </c>
      <c r="C225" s="82" t="s">
        <v>2585</v>
      </c>
      <c r="D225" s="82" t="s">
        <v>2588</v>
      </c>
      <c r="E225" s="82" t="s">
        <v>5188</v>
      </c>
      <c r="F225" s="82" t="s">
        <v>5189</v>
      </c>
      <c r="G225" s="82" t="s">
        <v>5190</v>
      </c>
      <c r="H225" s="82" t="s">
        <v>442</v>
      </c>
      <c r="I225" s="82" t="s">
        <v>5191</v>
      </c>
      <c r="J225" s="173" t="s">
        <v>439</v>
      </c>
      <c r="K225" s="661" t="s">
        <v>5192</v>
      </c>
      <c r="L225" s="281" t="s">
        <v>5193</v>
      </c>
      <c r="M225" s="663" t="s">
        <v>5194</v>
      </c>
      <c r="N225" s="281" t="s">
        <v>5195</v>
      </c>
      <c r="O225" s="663" t="s">
        <v>5196</v>
      </c>
      <c r="P225" s="281" t="s">
        <v>5197</v>
      </c>
      <c r="Q225" s="663" t="s">
        <v>5198</v>
      </c>
      <c r="R225" s="281" t="s">
        <v>5199</v>
      </c>
      <c r="S225" s="663" t="s">
        <v>5200</v>
      </c>
      <c r="T225" s="282" t="s">
        <v>5201</v>
      </c>
    </row>
    <row r="226" spans="1:20" x14ac:dyDescent="0.3">
      <c r="A226" s="99" t="s">
        <v>4912</v>
      </c>
      <c r="B226" t="s">
        <v>5209</v>
      </c>
      <c r="C226" s="233">
        <f>VLOOKUP($A226&amp;$B226,'Sc14'!$A$299:$Z$2034,C$3,FALSE)</f>
        <v>0</v>
      </c>
      <c r="D226" s="233">
        <f>VLOOKUP($A226&amp;$B226,'Sc14'!$A$299:$Z$2034,D$3,FALSE)</f>
        <v>1981.3171950056176</v>
      </c>
      <c r="E226" s="233">
        <f>VLOOKUP($A226&amp;$B226,'Sc14'!$A$299:$Z$2034,E$3,FALSE)</f>
        <v>1981.3171950056176</v>
      </c>
      <c r="F226" s="233">
        <f>VLOOKUP($A226&amp;$B226,'Sc14'!$A$299:$Z$2034,F$3,FALSE)</f>
        <v>0</v>
      </c>
      <c r="G226" s="233">
        <f>VLOOKUP($A226&amp;$B226,'Sc14'!$A$299:$Z$2034,G$3,FALSE)</f>
        <v>0</v>
      </c>
      <c r="H226" s="233">
        <f>VLOOKUP($A226&amp;$B226,'Sc14'!$A$299:$Z$2034,H$3,FALSE)</f>
        <v>0</v>
      </c>
      <c r="I226" s="233">
        <f>VLOOKUP($A226&amp;$B226,'Sc14'!$A$299:$Z$2034,I$3,FALSE)</f>
        <v>0</v>
      </c>
      <c r="J226" s="167">
        <f>VLOOKUP($A226&amp;$B226,'Sc14'!$A$299:$Z$2034,J$3,FALSE)</f>
        <v>-1981.3171950056176</v>
      </c>
      <c r="K226" s="164">
        <f>VLOOKUP($A226&amp;$B226,'Sc14'!$A$299:$Z$2034,K$3,FALSE)</f>
        <v>0</v>
      </c>
      <c r="L226" s="233">
        <f>VLOOKUP($A226&amp;$B226,'Sc14'!$A$299:$Z$2034,L$3,FALSE)</f>
        <v>0</v>
      </c>
      <c r="M226" s="278">
        <f>VLOOKUP($A226&amp;$B226,'Sc14'!$A$299:$Z$2034,M$3,FALSE)</f>
        <v>0</v>
      </c>
      <c r="N226" s="233">
        <f>VLOOKUP($A226&amp;$B226,'Sc14'!$A$299:$Z$2034,N$3,FALSE)</f>
        <v>0</v>
      </c>
      <c r="O226" s="278">
        <f>VLOOKUP($A226&amp;$B226,'Sc14'!$A$299:$Z$2034,O$3,FALSE)</f>
        <v>0</v>
      </c>
      <c r="P226" s="233">
        <f>VLOOKUP($A226&amp;$B226,'Sc14'!$A$299:$Z$2034,P$3,FALSE)</f>
        <v>0</v>
      </c>
      <c r="Q226" s="278">
        <f>VLOOKUP($A226&amp;$B226,'Sc14'!$A$299:$Z$2034,Q$3,FALSE)</f>
        <v>0</v>
      </c>
      <c r="R226" s="233">
        <f>VLOOKUP($A226&amp;$B226,'Sc14'!$A$299:$Z$2034,R$3,FALSE)</f>
        <v>0</v>
      </c>
      <c r="S226" s="278">
        <f>VLOOKUP($A226&amp;$B226,'Sc14'!$A$299:$Z$2034,S$3,FALSE)</f>
        <v>0</v>
      </c>
      <c r="T226" s="167">
        <f>VLOOKUP($A226&amp;$B226,'Sc14'!$A$299:$Z$2034,T$3,FALSE)</f>
        <v>0</v>
      </c>
    </row>
    <row r="227" spans="1:20" x14ac:dyDescent="0.3">
      <c r="A227" s="99" t="s">
        <v>4912</v>
      </c>
      <c r="B227" t="s">
        <v>5219</v>
      </c>
      <c r="C227" s="233">
        <f>VLOOKUP($A227&amp;$B227,'Sc14'!$A$299:$Z$2034,C$3,FALSE)</f>
        <v>1821.4045073202617</v>
      </c>
      <c r="D227" s="233">
        <f>VLOOKUP($A227&amp;$B227,'Sc14'!$A$299:$Z$2034,D$3,FALSE)</f>
        <v>1572.7463282449262</v>
      </c>
      <c r="E227" s="233">
        <f>VLOOKUP($A227&amp;$B227,'Sc14'!$A$299:$Z$2034,E$3,FALSE)</f>
        <v>3394.1508355651877</v>
      </c>
      <c r="F227" s="233">
        <f>VLOOKUP($A227&amp;$B227,'Sc14'!$A$299:$Z$2034,F$3,FALSE)</f>
        <v>0</v>
      </c>
      <c r="G227" s="233">
        <f>VLOOKUP($A227&amp;$B227,'Sc14'!$A$299:$Z$2034,G$3,FALSE)</f>
        <v>0</v>
      </c>
      <c r="H227" s="233">
        <f>VLOOKUP($A227&amp;$B227,'Sc14'!$A$299:$Z$2034,H$3,FALSE)</f>
        <v>0</v>
      </c>
      <c r="I227" s="233">
        <f>VLOOKUP($A227&amp;$B227,'Sc14'!$A$299:$Z$2034,I$3,FALSE)</f>
        <v>0</v>
      </c>
      <c r="J227" s="167">
        <f>VLOOKUP($A227&amp;$B227,'Sc14'!$A$299:$Z$2034,J$3,FALSE)</f>
        <v>-3394.1508355651877</v>
      </c>
      <c r="K227" s="164">
        <f>VLOOKUP($A227&amp;$B227,'Sc14'!$A$299:$Z$2034,K$3,FALSE)</f>
        <v>138.71116608588275</v>
      </c>
      <c r="L227" s="233">
        <f>VLOOKUP($A227&amp;$B227,'Sc14'!$A$299:$Z$2034,L$3,FALSE)</f>
        <v>9.5144300671075079</v>
      </c>
      <c r="M227" s="278">
        <f>VLOOKUP($A227&amp;$B227,'Sc14'!$A$299:$Z$2034,M$3,FALSE)</f>
        <v>0</v>
      </c>
      <c r="N227" s="233">
        <f>VLOOKUP($A227&amp;$B227,'Sc14'!$A$299:$Z$2034,N$3,FALSE)</f>
        <v>0</v>
      </c>
      <c r="O227" s="278">
        <f>VLOOKUP($A227&amp;$B227,'Sc14'!$A$299:$Z$2034,O$3,FALSE)</f>
        <v>0</v>
      </c>
      <c r="P227" s="233">
        <f>VLOOKUP($A227&amp;$B227,'Sc14'!$A$299:$Z$2034,P$3,FALSE)</f>
        <v>0</v>
      </c>
      <c r="Q227" s="278">
        <f>VLOOKUP($A227&amp;$B227,'Sc14'!$A$299:$Z$2034,Q$3,FALSE)</f>
        <v>0</v>
      </c>
      <c r="R227" s="233">
        <f>VLOOKUP($A227&amp;$B227,'Sc14'!$A$299:$Z$2034,R$3,FALSE)</f>
        <v>0</v>
      </c>
      <c r="S227" s="278">
        <f>VLOOKUP($A227&amp;$B227,'Sc14'!$A$299:$Z$2034,S$3,FALSE)</f>
        <v>0</v>
      </c>
      <c r="T227" s="167">
        <f>VLOOKUP($A227&amp;$B227,'Sc14'!$A$299:$Z$2034,T$3,FALSE)</f>
        <v>0</v>
      </c>
    </row>
    <row r="228" spans="1:20" x14ac:dyDescent="0.3">
      <c r="A228" s="99" t="s">
        <v>4912</v>
      </c>
      <c r="B228" t="s">
        <v>2847</v>
      </c>
      <c r="C228" s="233">
        <f>VLOOKUP($A228&amp;$B228,'Sc14'!$A$299:$Z$2034,C$3,FALSE)</f>
        <v>6657.3099509325566</v>
      </c>
      <c r="D228" s="233">
        <f>VLOOKUP($A228&amp;$B228,'Sc14'!$A$299:$Z$2034,D$3,FALSE)</f>
        <v>981.77616622345704</v>
      </c>
      <c r="E228" s="233">
        <f>VLOOKUP($A228&amp;$B228,'Sc14'!$A$299:$Z$2034,E$3,FALSE)</f>
        <v>7639.0861171560136</v>
      </c>
      <c r="F228" s="233">
        <f>VLOOKUP($A228&amp;$B228,'Sc14'!$A$299:$Z$2034,F$3,FALSE)</f>
        <v>0</v>
      </c>
      <c r="G228" s="233">
        <f>VLOOKUP($A228&amp;$B228,'Sc14'!$A$299:$Z$2034,G$3,FALSE)</f>
        <v>0</v>
      </c>
      <c r="H228" s="233">
        <f>VLOOKUP($A228&amp;$B228,'Sc14'!$A$299:$Z$2034,H$3,FALSE)</f>
        <v>0</v>
      </c>
      <c r="I228" s="233">
        <f>VLOOKUP($A228&amp;$B228,'Sc14'!$A$299:$Z$2034,I$3,FALSE)</f>
        <v>0</v>
      </c>
      <c r="J228" s="167">
        <f>VLOOKUP($A228&amp;$B228,'Sc14'!$A$299:$Z$2034,J$3,FALSE)</f>
        <v>-7639.0861171560136</v>
      </c>
      <c r="K228" s="164">
        <f>VLOOKUP($A228&amp;$B228,'Sc14'!$A$299:$Z$2034,K$3,FALSE)</f>
        <v>8.6729330032516483</v>
      </c>
      <c r="L228" s="233">
        <f>VLOOKUP($A228&amp;$B228,'Sc14'!$A$299:$Z$2034,L$3,FALSE)</f>
        <v>0.59489092958136924</v>
      </c>
      <c r="M228" s="278">
        <f>VLOOKUP($A228&amp;$B228,'Sc14'!$A$299:$Z$2034,M$3,FALSE)</f>
        <v>3.2596088263919412</v>
      </c>
      <c r="N228" s="233">
        <f>VLOOKUP($A228&amp;$B228,'Sc14'!$A$299:$Z$2034,N$3,FALSE)</f>
        <v>12.049113275731147</v>
      </c>
      <c r="O228" s="278">
        <f>VLOOKUP($A228&amp;$B228,'Sc14'!$A$299:$Z$2034,O$3,FALSE)</f>
        <v>5.7881065827833513</v>
      </c>
      <c r="P228" s="233">
        <f>VLOOKUP($A228&amp;$B228,'Sc14'!$A$299:$Z$2034,P$3,FALSE)</f>
        <v>136.9466017486541</v>
      </c>
      <c r="Q228" s="278">
        <f>VLOOKUP($A228&amp;$B228,'Sc14'!$A$299:$Z$2034,Q$3,FALSE)</f>
        <v>0</v>
      </c>
      <c r="R228" s="233">
        <f>VLOOKUP($A228&amp;$B228,'Sc14'!$A$299:$Z$2034,R$3,FALSE)</f>
        <v>0</v>
      </c>
      <c r="S228" s="278">
        <f>VLOOKUP($A228&amp;$B228,'Sc14'!$A$299:$Z$2034,S$3,FALSE)</f>
        <v>5.7881065827833513</v>
      </c>
      <c r="T228" s="167">
        <f>VLOOKUP($A228&amp;$B228,'Sc14'!$A$299:$Z$2034,T$3,FALSE)</f>
        <v>136.9466017486541</v>
      </c>
    </row>
    <row r="229" spans="1:20" x14ac:dyDescent="0.3">
      <c r="A229" s="99" t="s">
        <v>4912</v>
      </c>
      <c r="B229" s="90" t="s">
        <v>5210</v>
      </c>
      <c r="C229" s="233">
        <f>VLOOKUP($A229&amp;$B229,'Sc14'!$A$299:$Z$2034,C$3,FALSE)</f>
        <v>7307.9193065224426</v>
      </c>
      <c r="D229" s="233">
        <f>VLOOKUP($A229&amp;$B229,'Sc14'!$A$299:$Z$2034,D$3,FALSE)</f>
        <v>1354.5831866592989</v>
      </c>
      <c r="E229" s="233">
        <f>VLOOKUP($A229&amp;$B229,'Sc14'!$A$299:$Z$2034,E$3,FALSE)</f>
        <v>8662.5024931817425</v>
      </c>
      <c r="F229" s="233">
        <f>VLOOKUP($A229&amp;$B229,'Sc14'!$A$299:$Z$2034,F$3,FALSE)</f>
        <v>0</v>
      </c>
      <c r="G229" s="233">
        <f>VLOOKUP($A229&amp;$B229,'Sc14'!$A$299:$Z$2034,G$3,FALSE)</f>
        <v>0</v>
      </c>
      <c r="H229" s="233">
        <f>VLOOKUP($A229&amp;$B229,'Sc14'!$A$299:$Z$2034,H$3,FALSE)</f>
        <v>0</v>
      </c>
      <c r="I229" s="233">
        <f>VLOOKUP($A229&amp;$B229,'Sc14'!$A$299:$Z$2034,I$3,FALSE)</f>
        <v>0</v>
      </c>
      <c r="J229" s="167">
        <f>VLOOKUP($A229&amp;$B229,'Sc14'!$A$299:$Z$2034,J$3,FALSE)</f>
        <v>-8662.5024931817425</v>
      </c>
      <c r="K229" s="164">
        <f>VLOOKUP($A229&amp;$B229,'Sc14'!$A$299:$Z$2034,K$3,FALSE)</f>
        <v>0</v>
      </c>
      <c r="L229" s="233">
        <f>VLOOKUP($A229&amp;$B229,'Sc14'!$A$299:$Z$2034,L$3,FALSE)</f>
        <v>0</v>
      </c>
      <c r="M229" s="278">
        <f>VLOOKUP($A229&amp;$B229,'Sc14'!$A$299:$Z$2034,M$3,FALSE)</f>
        <v>0</v>
      </c>
      <c r="N229" s="233">
        <f>VLOOKUP($A229&amp;$B229,'Sc14'!$A$299:$Z$2034,N$3,FALSE)</f>
        <v>0</v>
      </c>
      <c r="O229" s="278">
        <f>VLOOKUP($A229&amp;$B229,'Sc14'!$A$299:$Z$2034,O$3,FALSE)</f>
        <v>0</v>
      </c>
      <c r="P229" s="233">
        <f>VLOOKUP($A229&amp;$B229,'Sc14'!$A$299:$Z$2034,P$3,FALSE)</f>
        <v>0</v>
      </c>
      <c r="Q229" s="278">
        <f>VLOOKUP($A229&amp;$B229,'Sc14'!$A$299:$Z$2034,Q$3,FALSE)</f>
        <v>0</v>
      </c>
      <c r="R229" s="233">
        <f>VLOOKUP($A229&amp;$B229,'Sc14'!$A$299:$Z$2034,R$3,FALSE)</f>
        <v>0</v>
      </c>
      <c r="S229" s="278">
        <f>VLOOKUP($A229&amp;$B229,'Sc14'!$A$299:$Z$2034,S$3,FALSE)</f>
        <v>0</v>
      </c>
      <c r="T229" s="167">
        <f>VLOOKUP($A229&amp;$B229,'Sc14'!$A$299:$Z$2034,T$3,FALSE)</f>
        <v>0</v>
      </c>
    </row>
    <row r="230" spans="1:20" x14ac:dyDescent="0.3">
      <c r="A230" s="99" t="s">
        <v>4912</v>
      </c>
      <c r="B230" t="s">
        <v>3204</v>
      </c>
      <c r="C230" s="233">
        <f>VLOOKUP($A230&amp;$B230,'Sc14'!$A$299:$Z$2034,C$3,FALSE)</f>
        <v>7554.6698706753787</v>
      </c>
      <c r="D230" s="233">
        <f>VLOOKUP($A230&amp;$B230,'Sc14'!$A$299:$Z$2034,D$3,FALSE)</f>
        <v>5606.7627669017202</v>
      </c>
      <c r="E230" s="233">
        <f>VLOOKUP($A230&amp;$B230,'Sc14'!$A$299:$Z$2034,E$3,FALSE)</f>
        <v>13161.432637577098</v>
      </c>
      <c r="F230" s="233">
        <f>VLOOKUP($A230&amp;$B230,'Sc14'!$A$299:$Z$2034,F$3,FALSE)</f>
        <v>0</v>
      </c>
      <c r="G230" s="233">
        <f>VLOOKUP($A230&amp;$B230,'Sc14'!$A$299:$Z$2034,G$3,FALSE)</f>
        <v>0</v>
      </c>
      <c r="H230" s="233">
        <f>VLOOKUP($A230&amp;$B230,'Sc14'!$A$299:$Z$2034,H$3,FALSE)</f>
        <v>0</v>
      </c>
      <c r="I230" s="233">
        <f>VLOOKUP($A230&amp;$B230,'Sc14'!$A$299:$Z$2034,I$3,FALSE)</f>
        <v>0</v>
      </c>
      <c r="J230" s="167">
        <f>VLOOKUP($A230&amp;$B230,'Sc14'!$A$299:$Z$2034,J$3,FALSE)</f>
        <v>-13161.432637577098</v>
      </c>
      <c r="K230" s="164">
        <f>VLOOKUP($A230&amp;$B230,'Sc14'!$A$299:$Z$2034,K$3,FALSE)</f>
        <v>0</v>
      </c>
      <c r="L230" s="233">
        <f>VLOOKUP($A230&amp;$B230,'Sc14'!$A$299:$Z$2034,L$3,FALSE)</f>
        <v>0</v>
      </c>
      <c r="M230" s="278">
        <f>VLOOKUP($A230&amp;$B230,'Sc14'!$A$299:$Z$2034,M$3,FALSE)</f>
        <v>0</v>
      </c>
      <c r="N230" s="233">
        <f>VLOOKUP($A230&amp;$B230,'Sc14'!$A$299:$Z$2034,N$3,FALSE)</f>
        <v>0</v>
      </c>
      <c r="O230" s="278">
        <f>VLOOKUP($A230&amp;$B230,'Sc14'!$A$299:$Z$2034,O$3,FALSE)</f>
        <v>0</v>
      </c>
      <c r="P230" s="233">
        <f>VLOOKUP($A230&amp;$B230,'Sc14'!$A$299:$Z$2034,P$3,FALSE)</f>
        <v>0</v>
      </c>
      <c r="Q230" s="278">
        <f>VLOOKUP($A230&amp;$B230,'Sc14'!$A$299:$Z$2034,Q$3,FALSE)</f>
        <v>0</v>
      </c>
      <c r="R230" s="233">
        <f>VLOOKUP($A230&amp;$B230,'Sc14'!$A$299:$Z$2034,R$3,FALSE)</f>
        <v>0</v>
      </c>
      <c r="S230" s="278">
        <f>VLOOKUP($A230&amp;$B230,'Sc14'!$A$299:$Z$2034,S$3,FALSE)</f>
        <v>0</v>
      </c>
      <c r="T230" s="167">
        <f>VLOOKUP($A230&amp;$B230,'Sc14'!$A$299:$Z$2034,T$3,FALSE)</f>
        <v>0</v>
      </c>
    </row>
    <row r="231" spans="1:20" x14ac:dyDescent="0.3">
      <c r="A231" s="99" t="s">
        <v>4912</v>
      </c>
      <c r="B231" t="s">
        <v>5202</v>
      </c>
      <c r="C231" s="233">
        <f>VLOOKUP($A231&amp;$B231,'Sc14'!$A$299:$Z$2034,C$3,FALSE)</f>
        <v>35575.994900523743</v>
      </c>
      <c r="D231" s="233">
        <f>VLOOKUP($A231&amp;$B231,'Sc14'!$A$299:$Z$2034,D$3,FALSE)</f>
        <v>14180.470075611451</v>
      </c>
      <c r="E231" s="233">
        <f>VLOOKUP($A231&amp;$B231,'Sc14'!$A$299:$Z$2034,E$3,FALSE)</f>
        <v>49756.46497613519</v>
      </c>
      <c r="F231" s="233">
        <f>VLOOKUP($A231&amp;$B231,'Sc14'!$A$299:$Z$2034,F$3,FALSE)</f>
        <v>0</v>
      </c>
      <c r="G231" s="233">
        <f>VLOOKUP($A231&amp;$B231,'Sc14'!$A$299:$Z$2034,G$3,FALSE)</f>
        <v>7281.660643921783</v>
      </c>
      <c r="H231" s="233">
        <f>VLOOKUP($A231&amp;$B231,'Sc14'!$A$299:$Z$2034,H$3,FALSE)</f>
        <v>17.276141784564739</v>
      </c>
      <c r="I231" s="233">
        <f>VLOOKUP($A231&amp;$B231,'Sc14'!$A$299:$Z$2034,I$3,FALSE)</f>
        <v>0</v>
      </c>
      <c r="J231" s="167">
        <f>VLOOKUP($A231&amp;$B231,'Sc14'!$A$299:$Z$2034,J$3,FALSE)</f>
        <v>-49739.188834350629</v>
      </c>
      <c r="K231" s="164">
        <f>VLOOKUP($A231&amp;$B231,'Sc14'!$A$299:$Z$2034,K$3,FALSE)</f>
        <v>1437.980276853388</v>
      </c>
      <c r="L231" s="233">
        <f>VLOOKUP($A231&amp;$B231,'Sc14'!$A$299:$Z$2034,L$3,FALSE)</f>
        <v>98.633463823168626</v>
      </c>
      <c r="M231" s="278">
        <f>VLOOKUP($A231&amp;$B231,'Sc14'!$A$299:$Z$2034,M$3,FALSE)</f>
        <v>180.12696099200716</v>
      </c>
      <c r="N231" s="233">
        <f>VLOOKUP($A231&amp;$B231,'Sc14'!$A$299:$Z$2034,N$3,FALSE)</f>
        <v>665.83761199600167</v>
      </c>
      <c r="O231" s="278">
        <f>VLOOKUP($A231&amp;$B231,'Sc14'!$A$299:$Z$2034,O$3,FALSE)</f>
        <v>33.44563483912853</v>
      </c>
      <c r="P231" s="233">
        <f>VLOOKUP($A231&amp;$B231,'Sc14'!$A$299:$Z$2034,P$3,FALSE)</f>
        <v>791.32372029378098</v>
      </c>
      <c r="Q231" s="278">
        <f>VLOOKUP($A231&amp;$B231,'Sc14'!$A$299:$Z$2034,Q$3,FALSE)</f>
        <v>0</v>
      </c>
      <c r="R231" s="233">
        <f>VLOOKUP($A231&amp;$B231,'Sc14'!$A$299:$Z$2034,R$3,FALSE)</f>
        <v>0</v>
      </c>
      <c r="S231" s="278">
        <f>VLOOKUP($A231&amp;$B231,'Sc14'!$A$299:$Z$2034,S$3,FALSE)</f>
        <v>33.44563483912853</v>
      </c>
      <c r="T231" s="167">
        <f>VLOOKUP($A231&amp;$B231,'Sc14'!$A$299:$Z$2034,T$3,FALSE)</f>
        <v>791.32372029378098</v>
      </c>
    </row>
    <row r="232" spans="1:20" x14ac:dyDescent="0.3">
      <c r="A232" s="149" t="s">
        <v>4912</v>
      </c>
      <c r="B232" s="650" t="s">
        <v>5203</v>
      </c>
      <c r="C232" s="655">
        <f>VLOOKUP($A232&amp;$B232,'Sc14'!$A$299:$Z$2034,C$3,FALSE)</f>
        <v>59553.238019141761</v>
      </c>
      <c r="D232" s="655">
        <f>VLOOKUP($A232&amp;$B232,'Sc14'!$A$299:$Z$2034,D$3,FALSE)</f>
        <v>25795.532352952283</v>
      </c>
      <c r="E232" s="655">
        <f>VLOOKUP($A232&amp;$B232,'Sc14'!$A$299:$Z$2034,E$3,FALSE)</f>
        <v>85348.770372094034</v>
      </c>
      <c r="F232" s="655">
        <f>VLOOKUP($A232&amp;$B232,'Sc14'!$A$299:$Z$2034,F$3,FALSE)</f>
        <v>0</v>
      </c>
      <c r="G232" s="655">
        <f>VLOOKUP($A232&amp;$B232,'Sc14'!$A$299:$Z$2034,G$3,FALSE)</f>
        <v>7281.660643921783</v>
      </c>
      <c r="H232" s="655">
        <f>VLOOKUP($A232&amp;$B232,'Sc14'!$A$299:$Z$2034,H$3,FALSE)</f>
        <v>17.276141784564739</v>
      </c>
      <c r="I232" s="655">
        <f>VLOOKUP($A232&amp;$B232,'Sc14'!$A$299:$Z$2034,I$3,FALSE)</f>
        <v>0</v>
      </c>
      <c r="J232" s="656">
        <f>VLOOKUP($A232&amp;$B232,'Sc14'!$A$299:$Z$2034,J$3,FALSE)</f>
        <v>-85331.494230309472</v>
      </c>
      <c r="K232" s="651">
        <f>VLOOKUP($A232&amp;$B232,'Sc14'!$A$299:$Z$2034,K$3,FALSE)</f>
        <v>1585.3643759425224</v>
      </c>
      <c r="L232" s="655">
        <f>VLOOKUP($A232&amp;$B232,'Sc14'!$A$299:$Z$2034,L$3,FALSE)</f>
        <v>108.7427848198575</v>
      </c>
      <c r="M232" s="652">
        <f>VLOOKUP($A232&amp;$B232,'Sc14'!$A$299:$Z$2034,M$3,FALSE)</f>
        <v>183.3865698183991</v>
      </c>
      <c r="N232" s="655">
        <f>VLOOKUP($A232&amp;$B232,'Sc14'!$A$299:$Z$2034,N$3,FALSE)</f>
        <v>677.88672527173287</v>
      </c>
      <c r="O232" s="652">
        <f>VLOOKUP($A232&amp;$B232,'Sc14'!$A$299:$Z$2034,O$3,FALSE)</f>
        <v>39.23374142191188</v>
      </c>
      <c r="P232" s="655">
        <f>VLOOKUP($A232&amp;$B232,'Sc14'!$A$299:$Z$2034,P$3,FALSE)</f>
        <v>928.27032204243505</v>
      </c>
      <c r="Q232" s="652">
        <f>VLOOKUP($A232&amp;$B232,'Sc14'!$A$299:$Z$2034,Q$3,FALSE)</f>
        <v>0</v>
      </c>
      <c r="R232" s="655">
        <f>VLOOKUP($A232&amp;$B232,'Sc14'!$A$299:$Z$2034,R$3,FALSE)</f>
        <v>0</v>
      </c>
      <c r="S232" s="652">
        <f>VLOOKUP($A232&amp;$B232,'Sc14'!$A$299:$Z$2034,S$3,FALSE)</f>
        <v>39.23374142191188</v>
      </c>
      <c r="T232" s="656">
        <f>VLOOKUP($A232&amp;$B232,'Sc14'!$A$299:$Z$2034,T$3,FALSE)</f>
        <v>928.27032204243505</v>
      </c>
    </row>
    <row r="234" spans="1:20" x14ac:dyDescent="0.3">
      <c r="A234" s="3023" t="s">
        <v>5238</v>
      </c>
      <c r="B234" s="3024"/>
      <c r="C234" s="3024"/>
      <c r="D234" s="3024"/>
      <c r="E234" s="3024"/>
      <c r="F234" s="3024"/>
      <c r="G234" s="3024"/>
      <c r="H234" s="3024"/>
      <c r="I234" s="3024"/>
      <c r="J234" s="3024"/>
      <c r="K234" s="3024"/>
      <c r="L234" s="3024"/>
      <c r="M234" s="3024"/>
      <c r="N234" s="3024"/>
      <c r="O234" s="3024"/>
      <c r="P234" s="3024"/>
      <c r="Q234" s="3024"/>
      <c r="R234" s="3024"/>
      <c r="S234" s="3024"/>
      <c r="T234" s="3025"/>
    </row>
    <row r="235" spans="1:20" ht="28.8" x14ac:dyDescent="0.3">
      <c r="A235" s="99"/>
      <c r="B235" s="82" t="s">
        <v>5187</v>
      </c>
      <c r="C235" s="82" t="s">
        <v>2585</v>
      </c>
      <c r="D235" s="82" t="s">
        <v>2588</v>
      </c>
      <c r="E235" s="82" t="s">
        <v>5188</v>
      </c>
      <c r="F235" s="82" t="s">
        <v>5189</v>
      </c>
      <c r="G235" s="82" t="s">
        <v>5190</v>
      </c>
      <c r="H235" s="82" t="s">
        <v>442</v>
      </c>
      <c r="I235" s="82" t="s">
        <v>5191</v>
      </c>
      <c r="J235" s="173" t="s">
        <v>439</v>
      </c>
      <c r="K235" s="661" t="s">
        <v>5192</v>
      </c>
      <c r="L235" s="281" t="s">
        <v>5193</v>
      </c>
      <c r="M235" s="663" t="s">
        <v>5194</v>
      </c>
      <c r="N235" s="281" t="s">
        <v>5195</v>
      </c>
      <c r="O235" s="663" t="s">
        <v>5196</v>
      </c>
      <c r="P235" s="281" t="s">
        <v>5197</v>
      </c>
      <c r="Q235" s="663" t="s">
        <v>5198</v>
      </c>
      <c r="R235" s="281" t="s">
        <v>5199</v>
      </c>
      <c r="S235" s="663" t="s">
        <v>5200</v>
      </c>
      <c r="T235" s="282" t="s">
        <v>5201</v>
      </c>
    </row>
    <row r="236" spans="1:20" x14ac:dyDescent="0.3">
      <c r="A236" s="99" t="s">
        <v>4917</v>
      </c>
      <c r="B236" t="s">
        <v>5209</v>
      </c>
      <c r="C236" s="233">
        <f>VLOOKUP($A236&amp;$B236,'Sc14'!$A$299:$Z$2034,C$3,FALSE)</f>
        <v>0</v>
      </c>
      <c r="D236" s="233">
        <f>VLOOKUP($A236&amp;$B236,'Sc14'!$A$299:$Z$2034,D$3,FALSE)</f>
        <v>1981.3171950056176</v>
      </c>
      <c r="E236" s="233">
        <f>VLOOKUP($A236&amp;$B236,'Sc14'!$A$299:$Z$2034,E$3,FALSE)</f>
        <v>1981.3171950056176</v>
      </c>
      <c r="F236" s="233">
        <f>VLOOKUP($A236&amp;$B236,'Sc14'!$A$299:$Z$2034,F$3,FALSE)</f>
        <v>0</v>
      </c>
      <c r="G236" s="233">
        <f>VLOOKUP($A236&amp;$B236,'Sc14'!$A$299:$Z$2034,G$3,FALSE)</f>
        <v>0</v>
      </c>
      <c r="H236" s="233">
        <f>VLOOKUP($A236&amp;$B236,'Sc14'!$A$299:$Z$2034,H$3,FALSE)</f>
        <v>0</v>
      </c>
      <c r="I236" s="233">
        <f>VLOOKUP($A236&amp;$B236,'Sc14'!$A$299:$Z$2034,I$3,FALSE)</f>
        <v>0</v>
      </c>
      <c r="J236" s="167">
        <f>VLOOKUP($A236&amp;$B236,'Sc14'!$A$299:$Z$2034,J$3,FALSE)</f>
        <v>-1981.3171950056176</v>
      </c>
      <c r="K236" s="164">
        <f>VLOOKUP($A236&amp;$B236,'Sc14'!$A$299:$Z$2034,K$3,FALSE)</f>
        <v>0</v>
      </c>
      <c r="L236" s="233">
        <f>VLOOKUP($A236&amp;$B236,'Sc14'!$A$299:$Z$2034,L$3,FALSE)</f>
        <v>0</v>
      </c>
      <c r="M236" s="278">
        <f>VLOOKUP($A236&amp;$B236,'Sc14'!$A$299:$Z$2034,M$3,FALSE)</f>
        <v>0</v>
      </c>
      <c r="N236" s="233">
        <f>VLOOKUP($A236&amp;$B236,'Sc14'!$A$299:$Z$2034,N$3,FALSE)</f>
        <v>0</v>
      </c>
      <c r="O236" s="278">
        <f>VLOOKUP($A236&amp;$B236,'Sc14'!$A$299:$Z$2034,O$3,FALSE)</f>
        <v>0</v>
      </c>
      <c r="P236" s="233">
        <f>VLOOKUP($A236&amp;$B236,'Sc14'!$A$299:$Z$2034,P$3,FALSE)</f>
        <v>0</v>
      </c>
      <c r="Q236" s="278">
        <f>VLOOKUP($A236&amp;$B236,'Sc14'!$A$299:$Z$2034,Q$3,FALSE)</f>
        <v>0</v>
      </c>
      <c r="R236" s="233">
        <f>VLOOKUP($A236&amp;$B236,'Sc14'!$A$299:$Z$2034,R$3,FALSE)</f>
        <v>0</v>
      </c>
      <c r="S236" s="278">
        <f>VLOOKUP($A236&amp;$B236,'Sc14'!$A$299:$Z$2034,S$3,FALSE)</f>
        <v>0</v>
      </c>
      <c r="T236" s="167">
        <f>VLOOKUP($A236&amp;$B236,'Sc14'!$A$299:$Z$2034,T$3,FALSE)</f>
        <v>0</v>
      </c>
    </row>
    <row r="237" spans="1:20" x14ac:dyDescent="0.3">
      <c r="A237" s="99" t="s">
        <v>4917</v>
      </c>
      <c r="B237" t="s">
        <v>5219</v>
      </c>
      <c r="C237" s="233">
        <f>VLOOKUP($A237&amp;$B237,'Sc14'!$A$299:$Z$2034,C$3,FALSE)</f>
        <v>1821.4045073202617</v>
      </c>
      <c r="D237" s="233">
        <f>VLOOKUP($A237&amp;$B237,'Sc14'!$A$299:$Z$2034,D$3,FALSE)</f>
        <v>1572.7463282449262</v>
      </c>
      <c r="E237" s="233">
        <f>VLOOKUP($A237&amp;$B237,'Sc14'!$A$299:$Z$2034,E$3,FALSE)</f>
        <v>3394.1508355651877</v>
      </c>
      <c r="F237" s="233">
        <f>VLOOKUP($A237&amp;$B237,'Sc14'!$A$299:$Z$2034,F$3,FALSE)</f>
        <v>0</v>
      </c>
      <c r="G237" s="233">
        <f>VLOOKUP($A237&amp;$B237,'Sc14'!$A$299:$Z$2034,G$3,FALSE)</f>
        <v>0</v>
      </c>
      <c r="H237" s="233">
        <f>VLOOKUP($A237&amp;$B237,'Sc14'!$A$299:$Z$2034,H$3,FALSE)</f>
        <v>0</v>
      </c>
      <c r="I237" s="233">
        <f>VLOOKUP($A237&amp;$B237,'Sc14'!$A$299:$Z$2034,I$3,FALSE)</f>
        <v>0</v>
      </c>
      <c r="J237" s="167">
        <f>VLOOKUP($A237&amp;$B237,'Sc14'!$A$299:$Z$2034,J$3,FALSE)</f>
        <v>-3394.1508355651877</v>
      </c>
      <c r="K237" s="164">
        <f>VLOOKUP($A237&amp;$B237,'Sc14'!$A$299:$Z$2034,K$3,FALSE)</f>
        <v>138.71116608588275</v>
      </c>
      <c r="L237" s="233">
        <f>VLOOKUP($A237&amp;$B237,'Sc14'!$A$299:$Z$2034,L$3,FALSE)</f>
        <v>9.5144300671075079</v>
      </c>
      <c r="M237" s="278">
        <f>VLOOKUP($A237&amp;$B237,'Sc14'!$A$299:$Z$2034,M$3,FALSE)</f>
        <v>0</v>
      </c>
      <c r="N237" s="233">
        <f>VLOOKUP($A237&amp;$B237,'Sc14'!$A$299:$Z$2034,N$3,FALSE)</f>
        <v>0</v>
      </c>
      <c r="O237" s="278">
        <f>VLOOKUP($A237&amp;$B237,'Sc14'!$A$299:$Z$2034,O$3,FALSE)</f>
        <v>0</v>
      </c>
      <c r="P237" s="233">
        <f>VLOOKUP($A237&amp;$B237,'Sc14'!$A$299:$Z$2034,P$3,FALSE)</f>
        <v>0</v>
      </c>
      <c r="Q237" s="278">
        <f>VLOOKUP($A237&amp;$B237,'Sc14'!$A$299:$Z$2034,Q$3,FALSE)</f>
        <v>0</v>
      </c>
      <c r="R237" s="233">
        <f>VLOOKUP($A237&amp;$B237,'Sc14'!$A$299:$Z$2034,R$3,FALSE)</f>
        <v>0</v>
      </c>
      <c r="S237" s="278">
        <f>VLOOKUP($A237&amp;$B237,'Sc14'!$A$299:$Z$2034,S$3,FALSE)</f>
        <v>0</v>
      </c>
      <c r="T237" s="167">
        <f>VLOOKUP($A237&amp;$B237,'Sc14'!$A$299:$Z$2034,T$3,FALSE)</f>
        <v>0</v>
      </c>
    </row>
    <row r="238" spans="1:20" x14ac:dyDescent="0.3">
      <c r="A238" s="99" t="s">
        <v>4917</v>
      </c>
      <c r="B238" t="s">
        <v>2847</v>
      </c>
      <c r="C238" s="233">
        <f>VLOOKUP($A238&amp;$B238,'Sc14'!$A$299:$Z$2034,C$3,FALSE)</f>
        <v>6657.3099509325566</v>
      </c>
      <c r="D238" s="233">
        <f>VLOOKUP($A238&amp;$B238,'Sc14'!$A$299:$Z$2034,D$3,FALSE)</f>
        <v>981.77616622345704</v>
      </c>
      <c r="E238" s="233">
        <f>VLOOKUP($A238&amp;$B238,'Sc14'!$A$299:$Z$2034,E$3,FALSE)</f>
        <v>7639.0861171560136</v>
      </c>
      <c r="F238" s="233">
        <f>VLOOKUP($A238&amp;$B238,'Sc14'!$A$299:$Z$2034,F$3,FALSE)</f>
        <v>0</v>
      </c>
      <c r="G238" s="233">
        <f>VLOOKUP($A238&amp;$B238,'Sc14'!$A$299:$Z$2034,G$3,FALSE)</f>
        <v>0</v>
      </c>
      <c r="H238" s="233">
        <f>VLOOKUP($A238&amp;$B238,'Sc14'!$A$299:$Z$2034,H$3,FALSE)</f>
        <v>0</v>
      </c>
      <c r="I238" s="233">
        <f>VLOOKUP($A238&amp;$B238,'Sc14'!$A$299:$Z$2034,I$3,FALSE)</f>
        <v>0</v>
      </c>
      <c r="J238" s="167">
        <f>VLOOKUP($A238&amp;$B238,'Sc14'!$A$299:$Z$2034,J$3,FALSE)</f>
        <v>-7639.0861171560136</v>
      </c>
      <c r="K238" s="164">
        <f>VLOOKUP($A238&amp;$B238,'Sc14'!$A$299:$Z$2034,K$3,FALSE)</f>
        <v>8.6729330032516483</v>
      </c>
      <c r="L238" s="233">
        <f>VLOOKUP($A238&amp;$B238,'Sc14'!$A$299:$Z$2034,L$3,FALSE)</f>
        <v>0.59489092958136924</v>
      </c>
      <c r="M238" s="278">
        <f>VLOOKUP($A238&amp;$B238,'Sc14'!$A$299:$Z$2034,M$3,FALSE)</f>
        <v>3.2596088263919412</v>
      </c>
      <c r="N238" s="233">
        <f>VLOOKUP($A238&amp;$B238,'Sc14'!$A$299:$Z$2034,N$3,FALSE)</f>
        <v>12.049113275731147</v>
      </c>
      <c r="O238" s="278">
        <f>VLOOKUP($A238&amp;$B238,'Sc14'!$A$299:$Z$2034,O$3,FALSE)</f>
        <v>5.7881065827833513</v>
      </c>
      <c r="P238" s="233">
        <f>VLOOKUP($A238&amp;$B238,'Sc14'!$A$299:$Z$2034,P$3,FALSE)</f>
        <v>136.9466017486541</v>
      </c>
      <c r="Q238" s="278">
        <f>VLOOKUP($A238&amp;$B238,'Sc14'!$A$299:$Z$2034,Q$3,FALSE)</f>
        <v>0</v>
      </c>
      <c r="R238" s="233">
        <f>VLOOKUP($A238&amp;$B238,'Sc14'!$A$299:$Z$2034,R$3,FALSE)</f>
        <v>0</v>
      </c>
      <c r="S238" s="278">
        <f>VLOOKUP($A238&amp;$B238,'Sc14'!$A$299:$Z$2034,S$3,FALSE)</f>
        <v>5.7881065827833513</v>
      </c>
      <c r="T238" s="167">
        <f>VLOOKUP($A238&amp;$B238,'Sc14'!$A$299:$Z$2034,T$3,FALSE)</f>
        <v>136.9466017486541</v>
      </c>
    </row>
    <row r="239" spans="1:20" x14ac:dyDescent="0.3">
      <c r="A239" s="99" t="s">
        <v>4917</v>
      </c>
      <c r="B239" s="90" t="s">
        <v>5210</v>
      </c>
      <c r="C239" s="233">
        <f>VLOOKUP($A239&amp;$B239,'Sc14'!$A$299:$Z$2034,C$3,FALSE)</f>
        <v>7307.9193065224426</v>
      </c>
      <c r="D239" s="233">
        <f>VLOOKUP($A239&amp;$B239,'Sc14'!$A$299:$Z$2034,D$3,FALSE)</f>
        <v>1354.5831866592989</v>
      </c>
      <c r="E239" s="233">
        <f>VLOOKUP($A239&amp;$B239,'Sc14'!$A$299:$Z$2034,E$3,FALSE)</f>
        <v>8662.5024931817425</v>
      </c>
      <c r="F239" s="233">
        <f>VLOOKUP($A239&amp;$B239,'Sc14'!$A$299:$Z$2034,F$3,FALSE)</f>
        <v>0</v>
      </c>
      <c r="G239" s="233">
        <f>VLOOKUP($A239&amp;$B239,'Sc14'!$A$299:$Z$2034,G$3,FALSE)</f>
        <v>0</v>
      </c>
      <c r="H239" s="233">
        <f>VLOOKUP($A239&amp;$B239,'Sc14'!$A$299:$Z$2034,H$3,FALSE)</f>
        <v>0</v>
      </c>
      <c r="I239" s="233">
        <f>VLOOKUP($A239&amp;$B239,'Sc14'!$A$299:$Z$2034,I$3,FALSE)</f>
        <v>0</v>
      </c>
      <c r="J239" s="167">
        <f>VLOOKUP($A239&amp;$B239,'Sc14'!$A$299:$Z$2034,J$3,FALSE)</f>
        <v>-8662.5024931817425</v>
      </c>
      <c r="K239" s="164">
        <f>VLOOKUP($A239&amp;$B239,'Sc14'!$A$299:$Z$2034,K$3,FALSE)</f>
        <v>0</v>
      </c>
      <c r="L239" s="233">
        <f>VLOOKUP($A239&amp;$B239,'Sc14'!$A$299:$Z$2034,L$3,FALSE)</f>
        <v>0</v>
      </c>
      <c r="M239" s="278">
        <f>VLOOKUP($A239&amp;$B239,'Sc14'!$A$299:$Z$2034,M$3,FALSE)</f>
        <v>0</v>
      </c>
      <c r="N239" s="233">
        <f>VLOOKUP($A239&amp;$B239,'Sc14'!$A$299:$Z$2034,N$3,FALSE)</f>
        <v>0</v>
      </c>
      <c r="O239" s="278">
        <f>VLOOKUP($A239&amp;$B239,'Sc14'!$A$299:$Z$2034,O$3,FALSE)</f>
        <v>0</v>
      </c>
      <c r="P239" s="233">
        <f>VLOOKUP($A239&amp;$B239,'Sc14'!$A$299:$Z$2034,P$3,FALSE)</f>
        <v>0</v>
      </c>
      <c r="Q239" s="278">
        <f>VLOOKUP($A239&amp;$B239,'Sc14'!$A$299:$Z$2034,Q$3,FALSE)</f>
        <v>0</v>
      </c>
      <c r="R239" s="233">
        <f>VLOOKUP($A239&amp;$B239,'Sc14'!$A$299:$Z$2034,R$3,FALSE)</f>
        <v>0</v>
      </c>
      <c r="S239" s="278">
        <f>VLOOKUP($A239&amp;$B239,'Sc14'!$A$299:$Z$2034,S$3,FALSE)</f>
        <v>0</v>
      </c>
      <c r="T239" s="167">
        <f>VLOOKUP($A239&amp;$B239,'Sc14'!$A$299:$Z$2034,T$3,FALSE)</f>
        <v>0</v>
      </c>
    </row>
    <row r="240" spans="1:20" x14ac:dyDescent="0.3">
      <c r="A240" s="99" t="s">
        <v>4917</v>
      </c>
      <c r="B240" t="s">
        <v>3204</v>
      </c>
      <c r="C240" s="233">
        <f>VLOOKUP($A240&amp;$B240,'Sc14'!$A$299:$Z$2034,C$3,FALSE)</f>
        <v>7554.6698706753787</v>
      </c>
      <c r="D240" s="233">
        <f>VLOOKUP($A240&amp;$B240,'Sc14'!$A$299:$Z$2034,D$3,FALSE)</f>
        <v>5606.7627669017202</v>
      </c>
      <c r="E240" s="233">
        <f>VLOOKUP($A240&amp;$B240,'Sc14'!$A$299:$Z$2034,E$3,FALSE)</f>
        <v>13161.432637577098</v>
      </c>
      <c r="F240" s="233">
        <f>VLOOKUP($A240&amp;$B240,'Sc14'!$A$299:$Z$2034,F$3,FALSE)</f>
        <v>0</v>
      </c>
      <c r="G240" s="233">
        <f>VLOOKUP($A240&amp;$B240,'Sc14'!$A$299:$Z$2034,G$3,FALSE)</f>
        <v>0</v>
      </c>
      <c r="H240" s="233">
        <f>VLOOKUP($A240&amp;$B240,'Sc14'!$A$299:$Z$2034,H$3,FALSE)</f>
        <v>0</v>
      </c>
      <c r="I240" s="233">
        <f>VLOOKUP($A240&amp;$B240,'Sc14'!$A$299:$Z$2034,I$3,FALSE)</f>
        <v>0</v>
      </c>
      <c r="J240" s="167">
        <f>VLOOKUP($A240&amp;$B240,'Sc14'!$A$299:$Z$2034,J$3,FALSE)</f>
        <v>-13161.432637577098</v>
      </c>
      <c r="K240" s="164">
        <f>VLOOKUP($A240&amp;$B240,'Sc14'!$A$299:$Z$2034,K$3,FALSE)</f>
        <v>0</v>
      </c>
      <c r="L240" s="233">
        <f>VLOOKUP($A240&amp;$B240,'Sc14'!$A$299:$Z$2034,L$3,FALSE)</f>
        <v>0</v>
      </c>
      <c r="M240" s="278">
        <f>VLOOKUP($A240&amp;$B240,'Sc14'!$A$299:$Z$2034,M$3,FALSE)</f>
        <v>0</v>
      </c>
      <c r="N240" s="233">
        <f>VLOOKUP($A240&amp;$B240,'Sc14'!$A$299:$Z$2034,N$3,FALSE)</f>
        <v>0</v>
      </c>
      <c r="O240" s="278">
        <f>VLOOKUP($A240&amp;$B240,'Sc14'!$A$299:$Z$2034,O$3,FALSE)</f>
        <v>0</v>
      </c>
      <c r="P240" s="233">
        <f>VLOOKUP($A240&amp;$B240,'Sc14'!$A$299:$Z$2034,P$3,FALSE)</f>
        <v>0</v>
      </c>
      <c r="Q240" s="278">
        <f>VLOOKUP($A240&amp;$B240,'Sc14'!$A$299:$Z$2034,Q$3,FALSE)</f>
        <v>0</v>
      </c>
      <c r="R240" s="233">
        <f>VLOOKUP($A240&amp;$B240,'Sc14'!$A$299:$Z$2034,R$3,FALSE)</f>
        <v>0</v>
      </c>
      <c r="S240" s="278">
        <f>VLOOKUP($A240&amp;$B240,'Sc14'!$A$299:$Z$2034,S$3,FALSE)</f>
        <v>0</v>
      </c>
      <c r="T240" s="167">
        <f>VLOOKUP($A240&amp;$B240,'Sc14'!$A$299:$Z$2034,T$3,FALSE)</f>
        <v>0</v>
      </c>
    </row>
    <row r="241" spans="1:20" x14ac:dyDescent="0.3">
      <c r="A241" t="s">
        <v>4917</v>
      </c>
      <c r="B241" t="s">
        <v>5205</v>
      </c>
      <c r="C241" s="233">
        <f>VLOOKUP($A241&amp;$B241,'Sc14'!$A$299:$Z$2034,C$3,FALSE)</f>
        <v>89398.77974734419</v>
      </c>
      <c r="D241" s="233">
        <f>VLOOKUP($A241&amp;$B241,'Sc14'!$A$299:$Z$2034,D$3,FALSE)</f>
        <v>31158.461990956552</v>
      </c>
      <c r="E241" s="233">
        <f>VLOOKUP($A241&amp;$B241,'Sc14'!$A$299:$Z$2034,E$3,FALSE)</f>
        <v>120557.24173830074</v>
      </c>
      <c r="F241" s="233">
        <f>VLOOKUP($A241&amp;$B241,'Sc14'!$A$299:$Z$2034,F$3,FALSE)</f>
        <v>0</v>
      </c>
      <c r="G241" s="233">
        <f>VLOOKUP($A241&amp;$B241,'Sc14'!$A$299:$Z$2034,G$3,FALSE)</f>
        <v>7281.660643921783</v>
      </c>
      <c r="H241" s="233">
        <f>VLOOKUP($A241&amp;$B241,'Sc14'!$A$299:$Z$2034,H$3,FALSE)</f>
        <v>17.276141784564739</v>
      </c>
      <c r="I241" s="233">
        <f>VLOOKUP($A241&amp;$B241,'Sc14'!$A$299:$Z$2034,I$3,FALSE)</f>
        <v>2401.427062345158</v>
      </c>
      <c r="J241" s="167">
        <f>VLOOKUP($A241&amp;$B241,'Sc14'!$A$299:$Z$2034,J$3,FALSE)</f>
        <v>-120539.96559651618</v>
      </c>
      <c r="K241" s="164">
        <f>VLOOKUP($A241&amp;$B241,'Sc14'!$A$299:$Z$2034,K$3,FALSE)</f>
        <v>1437.980276853388</v>
      </c>
      <c r="L241" s="233">
        <f>VLOOKUP($A241&amp;$B241,'Sc14'!$A$299:$Z$2034,L$3,FALSE)</f>
        <v>98.633463823168626</v>
      </c>
      <c r="M241" s="278">
        <f>VLOOKUP($A241&amp;$B241,'Sc14'!$A$299:$Z$2034,M$3,FALSE)</f>
        <v>87.456645123723348</v>
      </c>
      <c r="N241" s="233">
        <f>VLOOKUP($A241&amp;$B241,'Sc14'!$A$299:$Z$2034,N$3,FALSE)</f>
        <v>323.28266363715358</v>
      </c>
      <c r="O241" s="278">
        <f>VLOOKUP($A241&amp;$B241,'Sc14'!$A$299:$Z$2034,O$3,FALSE)</f>
        <v>14.373691172507284</v>
      </c>
      <c r="P241" s="233">
        <f>VLOOKUP($A241&amp;$B241,'Sc14'!$A$299:$Z$2034,P$3,FALSE)</f>
        <v>340.08153314152224</v>
      </c>
      <c r="Q241" s="278">
        <f>VLOOKUP($A241&amp;$B241,'Sc14'!$A$299:$Z$2034,Q$3,FALSE)</f>
        <v>0</v>
      </c>
      <c r="R241" s="233">
        <f>VLOOKUP($A241&amp;$B241,'Sc14'!$A$299:$Z$2034,R$3,FALSE)</f>
        <v>0</v>
      </c>
      <c r="S241" s="278">
        <f>VLOOKUP($A241&amp;$B241,'Sc14'!$A$299:$Z$2034,S$3,FALSE)</f>
        <v>14.373691172507284</v>
      </c>
      <c r="T241" s="167">
        <f>VLOOKUP($A241&amp;$B241,'Sc14'!$A$299:$Z$2034,T$3,FALSE)</f>
        <v>340.08153314152224</v>
      </c>
    </row>
    <row r="242" spans="1:20" x14ac:dyDescent="0.3">
      <c r="A242" s="149" t="s">
        <v>4917</v>
      </c>
      <c r="B242" s="650" t="s">
        <v>5203</v>
      </c>
      <c r="C242" s="655">
        <f>VLOOKUP($A242&amp;$B242,'Sc14'!$A$299:$Z$2034,C$3,FALSE)</f>
        <v>113376.02286596221</v>
      </c>
      <c r="D242" s="655">
        <f>VLOOKUP($A242&amp;$B242,'Sc14'!$A$299:$Z$2034,D$3,FALSE)</f>
        <v>42773.524268297384</v>
      </c>
      <c r="E242" s="655">
        <f>VLOOKUP($A242&amp;$B242,'Sc14'!$A$299:$Z$2034,E$3,FALSE)</f>
        <v>156149.5471342596</v>
      </c>
      <c r="F242" s="655">
        <f>VLOOKUP($A242&amp;$B242,'Sc14'!$A$299:$Z$2034,F$3,FALSE)</f>
        <v>0</v>
      </c>
      <c r="G242" s="655">
        <f>VLOOKUP($A242&amp;$B242,'Sc14'!$A$299:$Z$2034,G$3,FALSE)</f>
        <v>7281.660643921783</v>
      </c>
      <c r="H242" s="655">
        <f>VLOOKUP($A242&amp;$B242,'Sc14'!$A$299:$Z$2034,H$3,FALSE)</f>
        <v>17.276141784564739</v>
      </c>
      <c r="I242" s="655">
        <f>VLOOKUP($A242&amp;$B242,'Sc14'!$A$299:$Z$2034,I$3,FALSE)</f>
        <v>2401.427062345158</v>
      </c>
      <c r="J242" s="656">
        <f>VLOOKUP($A242&amp;$B242,'Sc14'!$A$299:$Z$2034,J$3,FALSE)</f>
        <v>-156132.27099247504</v>
      </c>
      <c r="K242" s="651">
        <f>VLOOKUP($A242&amp;$B242,'Sc14'!$A$299:$Z$2034,K$3,FALSE)</f>
        <v>1585.3643759425224</v>
      </c>
      <c r="L242" s="655">
        <f>VLOOKUP($A242&amp;$B242,'Sc14'!$A$299:$Z$2034,L$3,FALSE)</f>
        <v>108.7427848198575</v>
      </c>
      <c r="M242" s="652">
        <f>VLOOKUP($A242&amp;$B242,'Sc14'!$A$299:$Z$2034,M$3,FALSE)</f>
        <v>90.716253950115288</v>
      </c>
      <c r="N242" s="655">
        <f>VLOOKUP($A242&amp;$B242,'Sc14'!$A$299:$Z$2034,N$3,FALSE)</f>
        <v>335.33177691288472</v>
      </c>
      <c r="O242" s="652">
        <f>VLOOKUP($A242&amp;$B242,'Sc14'!$A$299:$Z$2034,O$3,FALSE)</f>
        <v>20.161797755290635</v>
      </c>
      <c r="P242" s="655">
        <f>VLOOKUP($A242&amp;$B242,'Sc14'!$A$299:$Z$2034,P$3,FALSE)</f>
        <v>477.02813489017637</v>
      </c>
      <c r="Q242" s="652">
        <f>VLOOKUP($A242&amp;$B242,'Sc14'!$A$299:$Z$2034,Q$3,FALSE)</f>
        <v>0</v>
      </c>
      <c r="R242" s="655">
        <f>VLOOKUP($A242&amp;$B242,'Sc14'!$A$299:$Z$2034,R$3,FALSE)</f>
        <v>0</v>
      </c>
      <c r="S242" s="652">
        <f>VLOOKUP($A242&amp;$B242,'Sc14'!$A$299:$Z$2034,S$3,FALSE)</f>
        <v>20.161797755290635</v>
      </c>
      <c r="T242" s="656">
        <f>VLOOKUP($A242&amp;$B242,'Sc14'!$A$299:$Z$2034,T$3,FALSE)</f>
        <v>477.02813489017637</v>
      </c>
    </row>
  </sheetData>
  <mergeCells count="28">
    <mergeCell ref="A1:C1"/>
    <mergeCell ref="A5:T5"/>
    <mergeCell ref="A10:T10"/>
    <mergeCell ref="A15:T15"/>
    <mergeCell ref="A21:T21"/>
    <mergeCell ref="A27:T27"/>
    <mergeCell ref="A35:T35"/>
    <mergeCell ref="A186:T186"/>
    <mergeCell ref="A176:T176"/>
    <mergeCell ref="A43:T43"/>
    <mergeCell ref="A51:T51"/>
    <mergeCell ref="A59:T59"/>
    <mergeCell ref="A67:T67"/>
    <mergeCell ref="A75:T75"/>
    <mergeCell ref="A95:T95"/>
    <mergeCell ref="A116:T116"/>
    <mergeCell ref="A136:T136"/>
    <mergeCell ref="A156:T156"/>
    <mergeCell ref="A85:T85"/>
    <mergeCell ref="A106:T106"/>
    <mergeCell ref="A214:T214"/>
    <mergeCell ref="A224:T224"/>
    <mergeCell ref="A234:T234"/>
    <mergeCell ref="A126:T126"/>
    <mergeCell ref="A146:T146"/>
    <mergeCell ref="A166:T166"/>
    <mergeCell ref="A196:T196"/>
    <mergeCell ref="A205:T20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3FD60-021F-4061-84AD-BFE86245A230}">
  <sheetPr codeName="Sheet54">
    <tabColor rgb="FFFF0000"/>
  </sheetPr>
  <dimension ref="A1:AE100"/>
  <sheetViews>
    <sheetView workbookViewId="0">
      <selection sqref="A1:C1"/>
    </sheetView>
  </sheetViews>
  <sheetFormatPr defaultRowHeight="14.4" x14ac:dyDescent="0.3"/>
  <cols>
    <col min="1" max="1" width="75.6640625" customWidth="1"/>
    <col min="2" max="2" width="29.6640625" customWidth="1"/>
    <col min="3" max="3" width="14.88671875" customWidth="1"/>
    <col min="4" max="6" width="21.5546875" customWidth="1"/>
    <col min="7" max="7" width="34.5546875" customWidth="1"/>
    <col min="8" max="9" width="21.5546875" customWidth="1"/>
    <col min="10" max="15" width="9.44140625" customWidth="1"/>
    <col min="16" max="16" width="18.33203125" customWidth="1"/>
    <col min="18" max="33" width="16.109375" customWidth="1"/>
  </cols>
  <sheetData>
    <row r="1" spans="1:31" x14ac:dyDescent="0.3">
      <c r="A1" s="82" t="s">
        <v>5239</v>
      </c>
      <c r="C1" s="42" t="s">
        <v>5240</v>
      </c>
      <c r="D1" s="42" t="s">
        <v>5241</v>
      </c>
      <c r="E1" s="42" t="s">
        <v>4776</v>
      </c>
      <c r="F1" s="42" t="s">
        <v>4777</v>
      </c>
      <c r="G1" s="42" t="s">
        <v>4778</v>
      </c>
      <c r="H1" s="42" t="s">
        <v>4779</v>
      </c>
      <c r="I1" s="42" t="s">
        <v>4780</v>
      </c>
      <c r="J1" s="42" t="s">
        <v>4781</v>
      </c>
      <c r="K1" s="42" t="s">
        <v>4721</v>
      </c>
      <c r="L1" s="42" t="s">
        <v>4722</v>
      </c>
      <c r="M1" s="42" t="s">
        <v>4723</v>
      </c>
      <c r="N1" s="42" t="s">
        <v>5242</v>
      </c>
      <c r="O1" s="42" t="s">
        <v>5243</v>
      </c>
      <c r="P1" s="42" t="s">
        <v>4782</v>
      </c>
      <c r="Q1" s="817"/>
      <c r="R1" s="42" t="s">
        <v>5240</v>
      </c>
      <c r="S1" s="42" t="s">
        <v>5241</v>
      </c>
      <c r="T1" s="42" t="s">
        <v>4776</v>
      </c>
      <c r="U1" s="42" t="s">
        <v>4777</v>
      </c>
      <c r="V1" s="42" t="s">
        <v>4778</v>
      </c>
      <c r="W1" s="42" t="s">
        <v>4779</v>
      </c>
      <c r="X1" s="42" t="s">
        <v>4780</v>
      </c>
      <c r="Y1" s="42" t="s">
        <v>4781</v>
      </c>
      <c r="Z1" s="42" t="s">
        <v>4721</v>
      </c>
      <c r="AA1" s="42" t="s">
        <v>4722</v>
      </c>
      <c r="AB1" s="42" t="s">
        <v>4723</v>
      </c>
      <c r="AC1" s="42" t="s">
        <v>5242</v>
      </c>
      <c r="AD1" s="42" t="s">
        <v>5243</v>
      </c>
      <c r="AE1" s="42" t="s">
        <v>4782</v>
      </c>
    </row>
    <row r="2" spans="1:31" x14ac:dyDescent="0.3">
      <c r="C2" s="3027" t="s">
        <v>5244</v>
      </c>
      <c r="D2" s="3028"/>
      <c r="E2" s="3028"/>
      <c r="F2" s="3028"/>
      <c r="G2" s="3028"/>
      <c r="H2" s="3028"/>
      <c r="I2" s="3028"/>
      <c r="J2" s="3028"/>
      <c r="K2" s="3028"/>
      <c r="L2" s="3028"/>
      <c r="M2" s="3028"/>
      <c r="N2" s="3028"/>
      <c r="O2" s="3028"/>
      <c r="P2" s="3028"/>
      <c r="Q2" s="818"/>
      <c r="R2" s="3029" t="s">
        <v>5244</v>
      </c>
      <c r="S2" s="3030"/>
      <c r="T2" s="3030"/>
      <c r="U2" s="3030"/>
      <c r="V2" s="3030"/>
      <c r="W2" s="3030"/>
      <c r="X2" s="3030"/>
      <c r="Y2" s="3030"/>
      <c r="Z2" s="3030"/>
      <c r="AA2" s="3030"/>
      <c r="AB2" s="3030"/>
      <c r="AC2" s="3030"/>
      <c r="AD2" s="3030"/>
      <c r="AE2" s="3030"/>
    </row>
    <row r="3" spans="1:31" s="369" customFormat="1" ht="115.2" x14ac:dyDescent="0.3">
      <c r="A3" s="665" t="s">
        <v>2664</v>
      </c>
      <c r="B3" s="664" t="s">
        <v>5180</v>
      </c>
      <c r="C3" s="819" t="str">
        <f>EconResultsSummary!C3</f>
        <v>Deep pit, tanker</v>
      </c>
      <c r="D3" s="819" t="str">
        <f>EconResultsSummary!D3</f>
        <v>Deep pit, aeration, tanker</v>
      </c>
      <c r="E3" s="819" t="str">
        <f>EconResultsSummary!E3</f>
        <v>Shallow pit, flush, lagoon, irrigation + tanker</v>
      </c>
      <c r="F3" s="819" t="str">
        <f>EconResultsSummary!F3</f>
        <v>Shallow pit, scrape auto, lagoon, irrigation + tanker</v>
      </c>
      <c r="G3" s="819" t="str">
        <f>EconResultsSummary!G3</f>
        <v>Shallow pit, pull plug, lagoon, irrigation + tanker</v>
      </c>
      <c r="H3" s="819" t="str">
        <f>EconResultsSummary!H3</f>
        <v>Shallow pit, flush, AD, lagoon, irrigation + tanker</v>
      </c>
      <c r="I3" s="819" t="str">
        <f>EconResultsSummary!I3</f>
        <v>Shallow pit, scrape auto, AD, lagoon, irrigation + tanker</v>
      </c>
      <c r="J3" s="819" t="str">
        <f>EconResultsSummary!J3</f>
        <v>Shallow pit, pull plug, AD, lagoon, irrigation + tanker</v>
      </c>
      <c r="K3" s="819" t="str">
        <f>EconResultsSummary!K3</f>
        <v>Shallow pit, flush, covered digestion basin, lagoon, irrigation + tanker</v>
      </c>
      <c r="L3" s="819" t="str">
        <f>EconResultsSummary!L3</f>
        <v>Shallow pit, scrape auto, covered digestion basin, lagoon, irrigation + tanker</v>
      </c>
      <c r="M3" s="819" t="str">
        <f>EconResultsSummary!M3</f>
        <v>Shallow pit, pull plug, covered digestion basin, lagoon, irrigation + tanker</v>
      </c>
      <c r="N3" s="819" t="str">
        <f>EconResultsSummary!N3</f>
        <v>Shallow pit, scrape auto, above ground storage tank, tanker</v>
      </c>
      <c r="O3" s="819" t="str">
        <f>EconResultsSummary!O3</f>
        <v>Shallow pit, scrape auto, compost, tanker</v>
      </c>
      <c r="P3" s="819" t="str">
        <f>EconResultsSummary!P3</f>
        <v>Shallow pit, scrape auto, slope screen, lagoon, irrigation + tanker</v>
      </c>
      <c r="Q3" s="848"/>
      <c r="R3" s="819" t="str">
        <f>EconResultsSummary!R3</f>
        <v>Deep pit, drag hose</v>
      </c>
      <c r="S3" s="819" t="str">
        <f>EconResultsSummary!S3</f>
        <v>Deep pit, aeration, drag hose</v>
      </c>
      <c r="T3" s="819" t="str">
        <f>EconResultsSummary!T3</f>
        <v>Shallow pit, flush, lagoon, irrigation + drag hose</v>
      </c>
      <c r="U3" s="819" t="str">
        <f>EconResultsSummary!U3</f>
        <v>Shallow pit, scrape auto, lagoon, irrigation + drag hose</v>
      </c>
      <c r="V3" s="819" t="str">
        <f>EconResultsSummary!V3</f>
        <v>Shallow pit, pull plug, lagoon, irrigation + drag hose</v>
      </c>
      <c r="W3" s="819" t="str">
        <f>EconResultsSummary!W3</f>
        <v>Shallow pit, flush, AD, lagoon, irrigation + drag hose</v>
      </c>
      <c r="X3" s="819" t="str">
        <f>EconResultsSummary!X3</f>
        <v>Shallow pit, scrape auto, AD, lagoon, irrigation + drag hose</v>
      </c>
      <c r="Y3" s="819" t="str">
        <f>EconResultsSummary!Y3</f>
        <v>Shallow pit, pull plug, AD, lagoon, irrigation + drag hose</v>
      </c>
      <c r="Z3" s="819" t="str">
        <f>EconResultsSummary!Z3</f>
        <v>Shallow pit, flush, covered digestion basin, lagoon, irrigation + drag hose</v>
      </c>
      <c r="AA3" s="819" t="str">
        <f>EconResultsSummary!AA3</f>
        <v>Shallow pit, scrape auto, covered digestion basin, lagoon, irrigation + drag hose</v>
      </c>
      <c r="AB3" s="819" t="str">
        <f>EconResultsSummary!AB3</f>
        <v>Shallow pit, pull plug, covered digestion basin, lagoon, irrigation + drag hose</v>
      </c>
      <c r="AC3" s="819" t="str">
        <f>EconResultsSummary!AC3</f>
        <v>Shallow pit, scrape auto, above ground storage tank, drag hose</v>
      </c>
      <c r="AD3" s="1165" t="str">
        <f>EconResultsSummary!AD3</f>
        <v>NA - drag hose application does not exist in Sc13</v>
      </c>
      <c r="AE3" s="819" t="str">
        <f>EconResultsSummary!AE3</f>
        <v>Shallow pit, scrape auto, slope screen, lagoon, irrigation + drag hose</v>
      </c>
    </row>
    <row r="4" spans="1:31" x14ac:dyDescent="0.3">
      <c r="A4" s="1313" t="s">
        <v>5245</v>
      </c>
      <c r="B4" s="1314" t="s">
        <v>5246</v>
      </c>
      <c r="C4" s="278">
        <f>INDEX(EconResultsSummary!$C30:$BQ30, MATCH(C$3,EconResultsSummary!$C$3:$BQ$3,0))</f>
        <v>0</v>
      </c>
      <c r="D4" s="278">
        <f>INDEX(EconResultsSummary!$C30:$BQ30, MATCH(D$3,EconResultsSummary!$C$3:$BQ$3,0))</f>
        <v>0</v>
      </c>
      <c r="E4" s="278">
        <f>INDEX(EconResultsSummary!$C30:$BQ30, MATCH(E$3,EconResultsSummary!$C$3:$BQ$3,0))</f>
        <v>0</v>
      </c>
      <c r="F4" s="278">
        <f>INDEX(EconResultsSummary!$C30:$BQ30, MATCH(F$3,EconResultsSummary!$C$3:$BQ$3,0))</f>
        <v>0</v>
      </c>
      <c r="G4" s="278">
        <f>INDEX(EconResultsSummary!$C30:$BQ30, MATCH(G$3,EconResultsSummary!$C$3:$BQ$3,0))</f>
        <v>0</v>
      </c>
      <c r="H4" s="278">
        <f>INDEX(EconResultsSummary!$C30:$BQ30, MATCH(H$3,EconResultsSummary!$C$3:$BQ$3,0))</f>
        <v>0</v>
      </c>
      <c r="I4" s="278">
        <f>INDEX(EconResultsSummary!$C30:$BQ30, MATCH(I$3,EconResultsSummary!$C$3:$BQ$3,0))</f>
        <v>0</v>
      </c>
      <c r="J4" s="278">
        <f>INDEX(EconResultsSummary!$C30:$BQ30, MATCH(J$3,EconResultsSummary!$C$3:$BQ$3,0))</f>
        <v>0</v>
      </c>
      <c r="K4" s="278">
        <f>INDEX(EconResultsSummary!$C30:$BQ30, MATCH(K$3,EconResultsSummary!$C$3:$BQ$3,0))</f>
        <v>0</v>
      </c>
      <c r="L4" s="278">
        <f>INDEX(EconResultsSummary!$C30:$BQ30, MATCH(L$3,EconResultsSummary!$C$3:$BQ$3,0))</f>
        <v>0</v>
      </c>
      <c r="M4" s="278">
        <f>INDEX(EconResultsSummary!$C30:$BQ30, MATCH(M$3,EconResultsSummary!$C$3:$BQ$3,0))</f>
        <v>0</v>
      </c>
      <c r="N4" s="278">
        <f>INDEX(EconResultsSummary!$C30:$BQ30, MATCH(N$3,EconResultsSummary!$C$3:$BQ$3,0))</f>
        <v>0</v>
      </c>
      <c r="O4" s="278">
        <f>INDEX(EconResultsSummary!$C30:$BQ30, MATCH(O$3,EconResultsSummary!$C$3:$BQ$3,0))</f>
        <v>0</v>
      </c>
      <c r="P4" s="278">
        <f>INDEX(EconResultsSummary!$C30:$BQ30, MATCH(P$3,EconResultsSummary!$C$3:$BQ$3,0))</f>
        <v>0</v>
      </c>
      <c r="Q4" s="1162"/>
      <c r="R4" s="278">
        <f>INDEX(EconResultsSummary!$C30:$BQ30, MATCH(R$3,EconResultsSummary!$C$3:$BQ$3,0))</f>
        <v>0</v>
      </c>
      <c r="S4" s="278">
        <f>INDEX(EconResultsSummary!$C30:$BQ30, MATCH(S$3,EconResultsSummary!$C$3:$BQ$3,0))</f>
        <v>0</v>
      </c>
      <c r="T4" s="278">
        <f>INDEX(EconResultsSummary!$C30:$BQ30, MATCH(T$3,EconResultsSummary!$C$3:$BQ$3,0))</f>
        <v>0</v>
      </c>
      <c r="U4" s="278">
        <f>INDEX(EconResultsSummary!$C30:$BQ30, MATCH(U$3,EconResultsSummary!$C$3:$BQ$3,0))</f>
        <v>0</v>
      </c>
      <c r="V4" s="278">
        <f>INDEX(EconResultsSummary!$C30:$BQ30, MATCH(V$3,EconResultsSummary!$C$3:$BQ$3,0))</f>
        <v>0</v>
      </c>
      <c r="W4" s="278">
        <f>INDEX(EconResultsSummary!$C30:$BQ30, MATCH(W$3,EconResultsSummary!$C$3:$BQ$3,0))</f>
        <v>0</v>
      </c>
      <c r="X4" s="278">
        <f>INDEX(EconResultsSummary!$C30:$BQ30, MATCH(X$3,EconResultsSummary!$C$3:$BQ$3,0))</f>
        <v>0</v>
      </c>
      <c r="Y4" s="278">
        <f>INDEX(EconResultsSummary!$C30:$BQ30, MATCH(Y$3,EconResultsSummary!$C$3:$BQ$3,0))</f>
        <v>0</v>
      </c>
      <c r="Z4" s="278">
        <f>INDEX(EconResultsSummary!$C30:$BQ30, MATCH(Z$3,EconResultsSummary!$C$3:$BQ$3,0))</f>
        <v>0</v>
      </c>
      <c r="AA4" s="278">
        <f>INDEX(EconResultsSummary!$C30:$BQ30, MATCH(AA$3,EconResultsSummary!$C$3:$BQ$3,0))</f>
        <v>0</v>
      </c>
      <c r="AB4" s="278">
        <f>INDEX(EconResultsSummary!$C30:$BQ30, MATCH(AB$3,EconResultsSummary!$C$3:$BQ$3,0))</f>
        <v>0</v>
      </c>
      <c r="AC4" s="278">
        <f>INDEX(EconResultsSummary!$C30:$BQ30, MATCH(AC$3,EconResultsSummary!$C$3:$BQ$3,0))</f>
        <v>0</v>
      </c>
      <c r="AD4" s="278"/>
      <c r="AE4" s="278">
        <f>INDEX(EconResultsSummary!$C30:$BQ30, MATCH(AE$3,EconResultsSummary!$C$3:$BQ$3,0))</f>
        <v>0</v>
      </c>
    </row>
    <row r="5" spans="1:31" x14ac:dyDescent="0.3">
      <c r="A5" s="1313" t="s">
        <v>5247</v>
      </c>
      <c r="B5" s="1314" t="s">
        <v>5246</v>
      </c>
      <c r="C5" s="278">
        <f>INDEX(EconResultsSummary!$C31:$BQ31, MATCH(C$3,EconResultsSummary!$C$3:$BQ$3,0))</f>
        <v>0</v>
      </c>
      <c r="D5" s="278">
        <f>INDEX(EconResultsSummary!$C31:$BQ31, MATCH(D$3,EconResultsSummary!$C$3:$BQ$3,0))</f>
        <v>0</v>
      </c>
      <c r="E5" s="278">
        <f>INDEX(EconResultsSummary!$C31:$BQ31, MATCH(E$3,EconResultsSummary!$C$3:$BQ$3,0))</f>
        <v>0</v>
      </c>
      <c r="F5" s="278">
        <f>INDEX(EconResultsSummary!$C31:$BQ31, MATCH(F$3,EconResultsSummary!$C$3:$BQ$3,0))</f>
        <v>0</v>
      </c>
      <c r="G5" s="278">
        <f>INDEX(EconResultsSummary!$C31:$BQ31, MATCH(G$3,EconResultsSummary!$C$3:$BQ$3,0))</f>
        <v>0</v>
      </c>
      <c r="H5" s="278">
        <f>INDEX(EconResultsSummary!$C31:$BQ31, MATCH(H$3,EconResultsSummary!$C$3:$BQ$3,0))</f>
        <v>0</v>
      </c>
      <c r="I5" s="278">
        <f>INDEX(EconResultsSummary!$C31:$BQ31, MATCH(I$3,EconResultsSummary!$C$3:$BQ$3,0))</f>
        <v>0</v>
      </c>
      <c r="J5" s="278">
        <f>INDEX(EconResultsSummary!$C31:$BQ31, MATCH(J$3,EconResultsSummary!$C$3:$BQ$3,0))</f>
        <v>0</v>
      </c>
      <c r="K5" s="278">
        <f>INDEX(EconResultsSummary!$C31:$BQ31, MATCH(K$3,EconResultsSummary!$C$3:$BQ$3,0))</f>
        <v>0</v>
      </c>
      <c r="L5" s="278">
        <f>INDEX(EconResultsSummary!$C31:$BQ31, MATCH(L$3,EconResultsSummary!$C$3:$BQ$3,0))</f>
        <v>0</v>
      </c>
      <c r="M5" s="278">
        <f>INDEX(EconResultsSummary!$C31:$BQ31, MATCH(M$3,EconResultsSummary!$C$3:$BQ$3,0))</f>
        <v>0</v>
      </c>
      <c r="N5" s="278">
        <f>INDEX(EconResultsSummary!$C31:$BQ31, MATCH(N$3,EconResultsSummary!$C$3:$BQ$3,0))</f>
        <v>0</v>
      </c>
      <c r="O5" s="278">
        <f>INDEX(EconResultsSummary!$C31:$BQ31, MATCH(O$3,EconResultsSummary!$C$3:$BQ$3,0))</f>
        <v>0</v>
      </c>
      <c r="P5" s="278">
        <f>INDEX(EconResultsSummary!$C31:$BQ31, MATCH(P$3,EconResultsSummary!$C$3:$BQ$3,0))</f>
        <v>0</v>
      </c>
      <c r="Q5" s="1162"/>
      <c r="R5" s="278">
        <f>INDEX(EconResultsSummary!$C31:$BQ31, MATCH(R$3,EconResultsSummary!$C$3:$BQ$3,0))</f>
        <v>0</v>
      </c>
      <c r="S5" s="278">
        <f>INDEX(EconResultsSummary!$C31:$BQ31, MATCH(S$3,EconResultsSummary!$C$3:$BQ$3,0))</f>
        <v>0</v>
      </c>
      <c r="T5" s="278">
        <f>INDEX(EconResultsSummary!$C31:$BQ31, MATCH(T$3,EconResultsSummary!$C$3:$BQ$3,0))</f>
        <v>0</v>
      </c>
      <c r="U5" s="278">
        <f>INDEX(EconResultsSummary!$C31:$BQ31, MATCH(U$3,EconResultsSummary!$C$3:$BQ$3,0))</f>
        <v>0</v>
      </c>
      <c r="V5" s="278">
        <f>INDEX(EconResultsSummary!$C31:$BQ31, MATCH(V$3,EconResultsSummary!$C$3:$BQ$3,0))</f>
        <v>0</v>
      </c>
      <c r="W5" s="278">
        <f>INDEX(EconResultsSummary!$C31:$BQ31, MATCH(W$3,EconResultsSummary!$C$3:$BQ$3,0))</f>
        <v>0</v>
      </c>
      <c r="X5" s="278">
        <f>INDEX(EconResultsSummary!$C31:$BQ31, MATCH(X$3,EconResultsSummary!$C$3:$BQ$3,0))</f>
        <v>0</v>
      </c>
      <c r="Y5" s="278">
        <f>INDEX(EconResultsSummary!$C31:$BQ31, MATCH(Y$3,EconResultsSummary!$C$3:$BQ$3,0))</f>
        <v>0</v>
      </c>
      <c r="Z5" s="278">
        <f>INDEX(EconResultsSummary!$C31:$BQ31, MATCH(Z$3,EconResultsSummary!$C$3:$BQ$3,0))</f>
        <v>0</v>
      </c>
      <c r="AA5" s="278">
        <f>INDEX(EconResultsSummary!$C31:$BQ31, MATCH(AA$3,EconResultsSummary!$C$3:$BQ$3,0))</f>
        <v>0</v>
      </c>
      <c r="AB5" s="278">
        <f>INDEX(EconResultsSummary!$C31:$BQ31, MATCH(AB$3,EconResultsSummary!$C$3:$BQ$3,0))</f>
        <v>0</v>
      </c>
      <c r="AC5" s="278">
        <f>INDEX(EconResultsSummary!$C31:$BQ31, MATCH(AC$3,EconResultsSummary!$C$3:$BQ$3,0))</f>
        <v>0</v>
      </c>
      <c r="AD5" s="278"/>
      <c r="AE5" s="278">
        <f>INDEX(EconResultsSummary!$C31:$BQ31, MATCH(AE$3,EconResultsSummary!$C$3:$BQ$3,0))</f>
        <v>0</v>
      </c>
    </row>
    <row r="6" spans="1:31" s="150" customFormat="1" x14ac:dyDescent="0.3">
      <c r="A6" s="1315" t="s">
        <v>5248</v>
      </c>
      <c r="B6" s="1316" t="s">
        <v>5249</v>
      </c>
      <c r="C6" s="359">
        <f>INDEX(EconResultsSummary!$C32:$BQ32, MATCH(C$3,EconResultsSummary!$C$3:$BQ$3,0))</f>
        <v>0</v>
      </c>
      <c r="D6" s="359">
        <f>INDEX(EconResultsSummary!$C32:$BQ32, MATCH(D$3,EconResultsSummary!$C$3:$BQ$3,0))</f>
        <v>0</v>
      </c>
      <c r="E6" s="359">
        <f>INDEX(EconResultsSummary!$C32:$BQ32, MATCH(E$3,EconResultsSummary!$C$3:$BQ$3,0))</f>
        <v>483.89339964141004</v>
      </c>
      <c r="F6" s="359">
        <f>INDEX(EconResultsSummary!$C32:$BQ32, MATCH(F$3,EconResultsSummary!$C$3:$BQ$3,0))</f>
        <v>521.44836082673976</v>
      </c>
      <c r="G6" s="359">
        <f>INDEX(EconResultsSummary!$C32:$BQ32, MATCH(G$3,EconResultsSummary!$C$3:$BQ$3,0))</f>
        <v>502.03439246564983</v>
      </c>
      <c r="H6" s="359">
        <f>INDEX(EconResultsSummary!$C32:$BQ32, MATCH(H$3,EconResultsSummary!$C$3:$BQ$3,0))</f>
        <v>0</v>
      </c>
      <c r="I6" s="359">
        <f>INDEX(EconResultsSummary!$C32:$BQ32, MATCH(I$3,EconResultsSummary!$C$3:$BQ$3,0))</f>
        <v>52.998658144977185</v>
      </c>
      <c r="J6" s="359">
        <f>INDEX(EconResultsSummary!$C32:$BQ32, MATCH(J$3,EconResultsSummary!$C$3:$BQ$3,0))</f>
        <v>0</v>
      </c>
      <c r="K6" s="359">
        <f>INDEX(EconResultsSummary!$C32:$BQ32, MATCH(K$3,EconResultsSummary!$C$3:$BQ$3,0))</f>
        <v>0</v>
      </c>
      <c r="L6" s="359">
        <f>INDEX(EconResultsSummary!$C32:$BQ32, MATCH(L$3,EconResultsSummary!$C$3:$BQ$3,0))</f>
        <v>22.46799725618348</v>
      </c>
      <c r="M6" s="359">
        <f>INDEX(EconResultsSummary!$C32:$BQ32, MATCH(M$3,EconResultsSummary!$C$3:$BQ$3,0))</f>
        <v>0</v>
      </c>
      <c r="N6" s="359">
        <f>INDEX(EconResultsSummary!$C32:$BQ32, MATCH(N$3,EconResultsSummary!$C$3:$BQ$3,0))</f>
        <v>0</v>
      </c>
      <c r="O6" s="359">
        <f>INDEX(EconResultsSummary!$C32:$BQ32, MATCH(O$3,EconResultsSummary!$C$3:$BQ$3,0))</f>
        <v>0</v>
      </c>
      <c r="P6" s="359">
        <f>INDEX(EconResultsSummary!$C32:$BQ32, MATCH(P$3,EconResultsSummary!$C$3:$BQ$3,0))</f>
        <v>0</v>
      </c>
      <c r="Q6" s="1058"/>
      <c r="R6" s="359">
        <f>INDEX(EconResultsSummary!$C32:$BQ32, MATCH(R$3,EconResultsSummary!$C$3:$BQ$3,0))</f>
        <v>0</v>
      </c>
      <c r="S6" s="359">
        <f>INDEX(EconResultsSummary!$C32:$BQ32, MATCH(S$3,EconResultsSummary!$C$3:$BQ$3,0))</f>
        <v>0</v>
      </c>
      <c r="T6" s="359">
        <f>INDEX(EconResultsSummary!$C32:$BQ32, MATCH(T$3,EconResultsSummary!$C$3:$BQ$3,0))</f>
        <v>483.89339964141004</v>
      </c>
      <c r="U6" s="359">
        <f>INDEX(EconResultsSummary!$C32:$BQ32, MATCH(U$3,EconResultsSummary!$C$3:$BQ$3,0))</f>
        <v>521.44836082673976</v>
      </c>
      <c r="V6" s="359">
        <f>INDEX(EconResultsSummary!$C32:$BQ32, MATCH(V$3,EconResultsSummary!$C$3:$BQ$3,0))</f>
        <v>502.03439246564983</v>
      </c>
      <c r="W6" s="359">
        <f>INDEX(EconResultsSummary!$C32:$BQ32, MATCH(W$3,EconResultsSummary!$C$3:$BQ$3,0))</f>
        <v>0</v>
      </c>
      <c r="X6" s="359">
        <f>INDEX(EconResultsSummary!$C32:$BQ32, MATCH(X$3,EconResultsSummary!$C$3:$BQ$3,0))</f>
        <v>52.998658144977185</v>
      </c>
      <c r="Y6" s="359">
        <f>INDEX(EconResultsSummary!$C32:$BQ32, MATCH(Y$3,EconResultsSummary!$C$3:$BQ$3,0))</f>
        <v>0</v>
      </c>
      <c r="Z6" s="359">
        <f>INDEX(EconResultsSummary!$C32:$BQ32, MATCH(Z$3,EconResultsSummary!$C$3:$BQ$3,0))</f>
        <v>0</v>
      </c>
      <c r="AA6" s="359">
        <f>INDEX(EconResultsSummary!$C32:$BQ32, MATCH(AA$3,EconResultsSummary!$C$3:$BQ$3,0))</f>
        <v>22.46799725618348</v>
      </c>
      <c r="AB6" s="359">
        <f>INDEX(EconResultsSummary!$C32:$BQ32, MATCH(AB$3,EconResultsSummary!$C$3:$BQ$3,0))</f>
        <v>0</v>
      </c>
      <c r="AC6" s="359">
        <f>INDEX(EconResultsSummary!$C32:$BQ32, MATCH(AC$3,EconResultsSummary!$C$3:$BQ$3,0))</f>
        <v>0</v>
      </c>
      <c r="AD6" s="359"/>
      <c r="AE6" s="359">
        <f>INDEX(EconResultsSummary!$C32:$BQ32, MATCH(AE$3,EconResultsSummary!$C$3:$BQ$3,0))</f>
        <v>0</v>
      </c>
    </row>
    <row r="7" spans="1:31" x14ac:dyDescent="0.3">
      <c r="A7" s="123" t="s">
        <v>5245</v>
      </c>
      <c r="B7" s="1175" t="s">
        <v>5250</v>
      </c>
      <c r="C7" s="278">
        <f t="shared" ref="C7:P7" si="0">$B37*C4</f>
        <v>0</v>
      </c>
      <c r="D7" s="278">
        <f t="shared" si="0"/>
        <v>0</v>
      </c>
      <c r="E7" s="278">
        <f t="shared" si="0"/>
        <v>0</v>
      </c>
      <c r="F7" s="278">
        <f t="shared" si="0"/>
        <v>0</v>
      </c>
      <c r="G7" s="278">
        <f t="shared" si="0"/>
        <v>0</v>
      </c>
      <c r="H7" s="278">
        <f t="shared" si="0"/>
        <v>0</v>
      </c>
      <c r="I7" s="278">
        <f t="shared" si="0"/>
        <v>0</v>
      </c>
      <c r="J7" s="278">
        <f t="shared" si="0"/>
        <v>0</v>
      </c>
      <c r="K7" s="278">
        <f t="shared" si="0"/>
        <v>0</v>
      </c>
      <c r="L7" s="278">
        <f t="shared" si="0"/>
        <v>0</v>
      </c>
      <c r="M7" s="278">
        <f t="shared" si="0"/>
        <v>0</v>
      </c>
      <c r="N7" s="278">
        <f t="shared" si="0"/>
        <v>0</v>
      </c>
      <c r="O7" s="278">
        <f t="shared" si="0"/>
        <v>0</v>
      </c>
      <c r="P7" s="278">
        <f t="shared" si="0"/>
        <v>0</v>
      </c>
      <c r="Q7" s="1162"/>
      <c r="R7" s="278">
        <f t="shared" ref="R7:AC7" si="1">$B37*R4</f>
        <v>0</v>
      </c>
      <c r="S7" s="278">
        <f t="shared" si="1"/>
        <v>0</v>
      </c>
      <c r="T7" s="278">
        <f t="shared" si="1"/>
        <v>0</v>
      </c>
      <c r="U7" s="278">
        <f t="shared" si="1"/>
        <v>0</v>
      </c>
      <c r="V7" s="278">
        <f t="shared" si="1"/>
        <v>0</v>
      </c>
      <c r="W7" s="278">
        <f t="shared" si="1"/>
        <v>0</v>
      </c>
      <c r="X7" s="278">
        <f t="shared" si="1"/>
        <v>0</v>
      </c>
      <c r="Y7" s="278">
        <f t="shared" si="1"/>
        <v>0</v>
      </c>
      <c r="Z7" s="278">
        <f t="shared" si="1"/>
        <v>0</v>
      </c>
      <c r="AA7" s="278">
        <f t="shared" si="1"/>
        <v>0</v>
      </c>
      <c r="AB7" s="278">
        <f t="shared" si="1"/>
        <v>0</v>
      </c>
      <c r="AC7" s="278">
        <f t="shared" si="1"/>
        <v>0</v>
      </c>
      <c r="AD7" s="278"/>
      <c r="AE7" s="278">
        <f>$B37*AE4</f>
        <v>0</v>
      </c>
    </row>
    <row r="8" spans="1:31" x14ac:dyDescent="0.3">
      <c r="A8" s="123" t="s">
        <v>5247</v>
      </c>
      <c r="B8" s="1175" t="s">
        <v>5250</v>
      </c>
      <c r="C8" s="278">
        <f t="shared" ref="C8:P8" si="2">$B38*C5</f>
        <v>0</v>
      </c>
      <c r="D8" s="278">
        <f t="shared" si="2"/>
        <v>0</v>
      </c>
      <c r="E8" s="278">
        <f t="shared" si="2"/>
        <v>0</v>
      </c>
      <c r="F8" s="278">
        <f t="shared" si="2"/>
        <v>0</v>
      </c>
      <c r="G8" s="278">
        <f t="shared" si="2"/>
        <v>0</v>
      </c>
      <c r="H8" s="278">
        <f t="shared" si="2"/>
        <v>0</v>
      </c>
      <c r="I8" s="278">
        <f t="shared" si="2"/>
        <v>0</v>
      </c>
      <c r="J8" s="278">
        <f t="shared" si="2"/>
        <v>0</v>
      </c>
      <c r="K8" s="278">
        <f t="shared" si="2"/>
        <v>0</v>
      </c>
      <c r="L8" s="278">
        <f t="shared" si="2"/>
        <v>0</v>
      </c>
      <c r="M8" s="278">
        <f t="shared" si="2"/>
        <v>0</v>
      </c>
      <c r="N8" s="278">
        <f t="shared" si="2"/>
        <v>0</v>
      </c>
      <c r="O8" s="278">
        <f t="shared" si="2"/>
        <v>0</v>
      </c>
      <c r="P8" s="278">
        <f t="shared" si="2"/>
        <v>0</v>
      </c>
      <c r="Q8" s="1162"/>
      <c r="R8" s="278">
        <f t="shared" ref="R8:AC8" si="3">$B38*R5</f>
        <v>0</v>
      </c>
      <c r="S8" s="278">
        <f t="shared" si="3"/>
        <v>0</v>
      </c>
      <c r="T8" s="278">
        <f t="shared" si="3"/>
        <v>0</v>
      </c>
      <c r="U8" s="278">
        <f t="shared" si="3"/>
        <v>0</v>
      </c>
      <c r="V8" s="278">
        <f t="shared" si="3"/>
        <v>0</v>
      </c>
      <c r="W8" s="278">
        <f t="shared" si="3"/>
        <v>0</v>
      </c>
      <c r="X8" s="278">
        <f t="shared" si="3"/>
        <v>0</v>
      </c>
      <c r="Y8" s="278">
        <f t="shared" si="3"/>
        <v>0</v>
      </c>
      <c r="Z8" s="278">
        <f t="shared" si="3"/>
        <v>0</v>
      </c>
      <c r="AA8" s="278">
        <f t="shared" si="3"/>
        <v>0</v>
      </c>
      <c r="AB8" s="278">
        <f t="shared" si="3"/>
        <v>0</v>
      </c>
      <c r="AC8" s="278">
        <f t="shared" si="3"/>
        <v>0</v>
      </c>
      <c r="AD8" s="278"/>
      <c r="AE8" s="278">
        <f>$B38*AE5</f>
        <v>0</v>
      </c>
    </row>
    <row r="9" spans="1:31" s="150" customFormat="1" x14ac:dyDescent="0.3">
      <c r="A9" s="1317" t="s">
        <v>5251</v>
      </c>
      <c r="B9" s="1318" t="s">
        <v>5252</v>
      </c>
      <c r="C9" s="359">
        <f t="shared" ref="C9:P9" si="4">$B39*C6</f>
        <v>0</v>
      </c>
      <c r="D9" s="359">
        <f t="shared" si="4"/>
        <v>0</v>
      </c>
      <c r="E9" s="359">
        <f t="shared" si="4"/>
        <v>2177.5202983863451</v>
      </c>
      <c r="F9" s="359">
        <f t="shared" si="4"/>
        <v>2346.5176237203291</v>
      </c>
      <c r="G9" s="359">
        <f t="shared" si="4"/>
        <v>2259.1547660954243</v>
      </c>
      <c r="H9" s="359">
        <f t="shared" si="4"/>
        <v>0</v>
      </c>
      <c r="I9" s="359">
        <f t="shared" si="4"/>
        <v>238.49396165239733</v>
      </c>
      <c r="J9" s="359">
        <f t="shared" si="4"/>
        <v>0</v>
      </c>
      <c r="K9" s="359">
        <f t="shared" si="4"/>
        <v>0</v>
      </c>
      <c r="L9" s="359">
        <f t="shared" si="4"/>
        <v>101.10598765282566</v>
      </c>
      <c r="M9" s="359">
        <f t="shared" si="4"/>
        <v>0</v>
      </c>
      <c r="N9" s="359">
        <f t="shared" si="4"/>
        <v>0</v>
      </c>
      <c r="O9" s="359">
        <f t="shared" si="4"/>
        <v>0</v>
      </c>
      <c r="P9" s="359">
        <f t="shared" si="4"/>
        <v>0</v>
      </c>
      <c r="Q9" s="818"/>
      <c r="R9" s="359">
        <f t="shared" ref="R9:AC9" si="5">$B39*R6</f>
        <v>0</v>
      </c>
      <c r="S9" s="359">
        <f t="shared" si="5"/>
        <v>0</v>
      </c>
      <c r="T9" s="359">
        <f t="shared" si="5"/>
        <v>2177.5202983863451</v>
      </c>
      <c r="U9" s="359">
        <f t="shared" si="5"/>
        <v>2346.5176237203291</v>
      </c>
      <c r="V9" s="359">
        <f t="shared" si="5"/>
        <v>2259.1547660954243</v>
      </c>
      <c r="W9" s="359">
        <f t="shared" si="5"/>
        <v>0</v>
      </c>
      <c r="X9" s="359">
        <f t="shared" si="5"/>
        <v>238.49396165239733</v>
      </c>
      <c r="Y9" s="359">
        <f t="shared" si="5"/>
        <v>0</v>
      </c>
      <c r="Z9" s="359">
        <f t="shared" si="5"/>
        <v>0</v>
      </c>
      <c r="AA9" s="359">
        <f t="shared" si="5"/>
        <v>101.10598765282566</v>
      </c>
      <c r="AB9" s="359">
        <f t="shared" si="5"/>
        <v>0</v>
      </c>
      <c r="AC9" s="359">
        <f t="shared" si="5"/>
        <v>0</v>
      </c>
      <c r="AD9" s="359"/>
      <c r="AE9" s="359">
        <f>$B39*AE6</f>
        <v>0</v>
      </c>
    </row>
    <row r="10" spans="1:31" x14ac:dyDescent="0.3">
      <c r="A10" s="123" t="s">
        <v>5253</v>
      </c>
      <c r="B10" s="1175" t="s">
        <v>5254</v>
      </c>
      <c r="C10" s="278">
        <f>INDEX(EconResultsSummary!$C24:$BQ24, MATCH(C$3,EconResultsSummary!$C$3:$BQ$3,0))</f>
        <v>0</v>
      </c>
      <c r="D10" s="278">
        <f>INDEX(EconResultsSummary!$C24:$BQ24, MATCH(D$3,EconResultsSummary!$C$3:$BQ$3,0))</f>
        <v>0</v>
      </c>
      <c r="E10" s="278">
        <f>INDEX(EconResultsSummary!$C24:$BQ24, MATCH(E$3,EconResultsSummary!$C$3:$BQ$3,0))</f>
        <v>0</v>
      </c>
      <c r="F10" s="278">
        <f>INDEX(EconResultsSummary!$C24:$BQ24, MATCH(F$3,EconResultsSummary!$C$3:$BQ$3,0))</f>
        <v>0</v>
      </c>
      <c r="G10" s="278">
        <f>INDEX(EconResultsSummary!$C24:$BQ24, MATCH(G$3,EconResultsSummary!$C$3:$BQ$3,0))</f>
        <v>0</v>
      </c>
      <c r="H10" s="278">
        <f>INDEX(EconResultsSummary!$C24:$BQ24, MATCH(H$3,EconResultsSummary!$C$3:$BQ$3,0))</f>
        <v>0</v>
      </c>
      <c r="I10" s="278">
        <f>INDEX(EconResultsSummary!$C24:$BQ24, MATCH(I$3,EconResultsSummary!$C$3:$BQ$3,0))</f>
        <v>0</v>
      </c>
      <c r="J10" s="278">
        <f>INDEX(EconResultsSummary!$C24:$BQ24, MATCH(J$3,EconResultsSummary!$C$3:$BQ$3,0))</f>
        <v>0</v>
      </c>
      <c r="K10" s="278">
        <f>INDEX(EconResultsSummary!$C24:$BQ24, MATCH(K$3,EconResultsSummary!$C$3:$BQ$3,0))</f>
        <v>0</v>
      </c>
      <c r="L10" s="278">
        <f>INDEX(EconResultsSummary!$C24:$BQ24, MATCH(L$3,EconResultsSummary!$C$3:$BQ$3,0))</f>
        <v>0</v>
      </c>
      <c r="M10" s="278">
        <f>INDEX(EconResultsSummary!$C24:$BQ24, MATCH(M$3,EconResultsSummary!$C$3:$BQ$3,0))</f>
        <v>0</v>
      </c>
      <c r="N10" s="278">
        <f>INDEX(EconResultsSummary!$C24:$BQ24, MATCH(N$3,EconResultsSummary!$C$3:$BQ$3,0))</f>
        <v>0</v>
      </c>
      <c r="O10" s="278">
        <f>INDEX(EconResultsSummary!$C24:$BQ24, MATCH(O$3,EconResultsSummary!$C$3:$BQ$3,0))</f>
        <v>0</v>
      </c>
      <c r="P10" s="278">
        <f>INDEX(EconResultsSummary!$C24:$BQ24, MATCH(P$3,EconResultsSummary!$C$3:$BQ$3,0))</f>
        <v>0.65192987866282037</v>
      </c>
      <c r="Q10" s="818"/>
      <c r="R10" s="278">
        <f>INDEX(EconResultsSummary!$C24:$BQ24, MATCH(R$3,EconResultsSummary!$C$3:$BQ$3,0))</f>
        <v>0</v>
      </c>
      <c r="S10" s="278">
        <f>INDEX(EconResultsSummary!$C24:$BQ24, MATCH(S$3,EconResultsSummary!$C$3:$BQ$3,0))</f>
        <v>0</v>
      </c>
      <c r="T10" s="278">
        <f>INDEX(EconResultsSummary!$C24:$BQ24, MATCH(T$3,EconResultsSummary!$C$3:$BQ$3,0))</f>
        <v>0</v>
      </c>
      <c r="U10" s="278">
        <f>INDEX(EconResultsSummary!$C24:$BQ24, MATCH(U$3,EconResultsSummary!$C$3:$BQ$3,0))</f>
        <v>0</v>
      </c>
      <c r="V10" s="278">
        <f>INDEX(EconResultsSummary!$C24:$BQ24, MATCH(V$3,EconResultsSummary!$C$3:$BQ$3,0))</f>
        <v>0</v>
      </c>
      <c r="W10" s="278">
        <f>INDEX(EconResultsSummary!$C24:$BQ24, MATCH(W$3,EconResultsSummary!$C$3:$BQ$3,0))</f>
        <v>0</v>
      </c>
      <c r="X10" s="278">
        <f>INDEX(EconResultsSummary!$C24:$BQ24, MATCH(X$3,EconResultsSummary!$C$3:$BQ$3,0))</f>
        <v>0</v>
      </c>
      <c r="Y10" s="278">
        <f>INDEX(EconResultsSummary!$C24:$BQ24, MATCH(Y$3,EconResultsSummary!$C$3:$BQ$3,0))</f>
        <v>0</v>
      </c>
      <c r="Z10" s="278">
        <f>INDEX(EconResultsSummary!$C24:$BQ24, MATCH(Z$3,EconResultsSummary!$C$3:$BQ$3,0))</f>
        <v>0</v>
      </c>
      <c r="AA10" s="278">
        <f>INDEX(EconResultsSummary!$C24:$BQ24, MATCH(AA$3,EconResultsSummary!$C$3:$BQ$3,0))</f>
        <v>0</v>
      </c>
      <c r="AB10" s="278">
        <f>INDEX(EconResultsSummary!$C24:$BQ24, MATCH(AB$3,EconResultsSummary!$C$3:$BQ$3,0))</f>
        <v>0</v>
      </c>
      <c r="AC10" s="278">
        <f>INDEX(EconResultsSummary!$C24:$BQ24, MATCH(AC$3,EconResultsSummary!$C$3:$BQ$3,0))</f>
        <v>0</v>
      </c>
      <c r="AD10" s="278"/>
      <c r="AE10" s="278">
        <f>INDEX(EconResultsSummary!$C24:$BQ24, MATCH(AE$3,EconResultsSummary!$C$3:$BQ$3,0))</f>
        <v>0.65192987866282037</v>
      </c>
    </row>
    <row r="11" spans="1:31" x14ac:dyDescent="0.3">
      <c r="A11" s="123" t="s">
        <v>5255</v>
      </c>
      <c r="B11" s="1175" t="s">
        <v>5256</v>
      </c>
      <c r="C11" s="278">
        <f>INDEX(EconResultsSummary!$C25:$BQ25, MATCH(C$3,EconResultsSummary!$C$3:$BQ$3,0))</f>
        <v>0</v>
      </c>
      <c r="D11" s="278">
        <f>INDEX(EconResultsSummary!$C25:$BQ25, MATCH(D$3,EconResultsSummary!$C$3:$BQ$3,0))</f>
        <v>0</v>
      </c>
      <c r="E11" s="278">
        <f>INDEX(EconResultsSummary!$C25:$BQ25, MATCH(E$3,EconResultsSummary!$C$3:$BQ$3,0))</f>
        <v>0</v>
      </c>
      <c r="F11" s="278">
        <f>INDEX(EconResultsSummary!$C25:$BQ25, MATCH(F$3,EconResultsSummary!$C$3:$BQ$3,0))</f>
        <v>0</v>
      </c>
      <c r="G11" s="278">
        <f>INDEX(EconResultsSummary!$C25:$BQ25, MATCH(G$3,EconResultsSummary!$C$3:$BQ$3,0))</f>
        <v>0</v>
      </c>
      <c r="H11" s="278">
        <f>INDEX(EconResultsSummary!$C25:$BQ25, MATCH(H$3,EconResultsSummary!$C$3:$BQ$3,0))</f>
        <v>0</v>
      </c>
      <c r="I11" s="278">
        <f>INDEX(EconResultsSummary!$C25:$BQ25, MATCH(I$3,EconResultsSummary!$C$3:$BQ$3,0))</f>
        <v>0</v>
      </c>
      <c r="J11" s="278">
        <f>INDEX(EconResultsSummary!$C25:$BQ25, MATCH(J$3,EconResultsSummary!$C$3:$BQ$3,0))</f>
        <v>0</v>
      </c>
      <c r="K11" s="278">
        <f>INDEX(EconResultsSummary!$C25:$BQ25, MATCH(K$3,EconResultsSummary!$C$3:$BQ$3,0))</f>
        <v>0</v>
      </c>
      <c r="L11" s="278">
        <f>INDEX(EconResultsSummary!$C25:$BQ25, MATCH(L$3,EconResultsSummary!$C$3:$BQ$3,0))</f>
        <v>0</v>
      </c>
      <c r="M11" s="278">
        <f>INDEX(EconResultsSummary!$C25:$BQ25, MATCH(M$3,EconResultsSummary!$C$3:$BQ$3,0))</f>
        <v>0</v>
      </c>
      <c r="N11" s="278">
        <f>INDEX(EconResultsSummary!$C25:$BQ25, MATCH(N$3,EconResultsSummary!$C$3:$BQ$3,0))</f>
        <v>0</v>
      </c>
      <c r="O11" s="278">
        <f>INDEX(EconResultsSummary!$C25:$BQ25, MATCH(O$3,EconResultsSummary!$C$3:$BQ$3,0))</f>
        <v>0</v>
      </c>
      <c r="P11" s="278">
        <f>INDEX(EconResultsSummary!$C25:$BQ25, MATCH(P$3,EconResultsSummary!$C$3:$BQ$3,0))</f>
        <v>0</v>
      </c>
      <c r="Q11" s="818"/>
      <c r="R11" s="278">
        <f>INDEX(EconResultsSummary!$C25:$BQ25, MATCH(R$3,EconResultsSummary!$C$3:$BQ$3,0))</f>
        <v>0</v>
      </c>
      <c r="S11" s="278">
        <f>INDEX(EconResultsSummary!$C25:$BQ25, MATCH(S$3,EconResultsSummary!$C$3:$BQ$3,0))</f>
        <v>0</v>
      </c>
      <c r="T11" s="278">
        <f>INDEX(EconResultsSummary!$C25:$BQ25, MATCH(T$3,EconResultsSummary!$C$3:$BQ$3,0))</f>
        <v>0</v>
      </c>
      <c r="U11" s="278">
        <f>INDEX(EconResultsSummary!$C25:$BQ25, MATCH(U$3,EconResultsSummary!$C$3:$BQ$3,0))</f>
        <v>0</v>
      </c>
      <c r="V11" s="278">
        <f>INDEX(EconResultsSummary!$C25:$BQ25, MATCH(V$3,EconResultsSummary!$C$3:$BQ$3,0))</f>
        <v>0</v>
      </c>
      <c r="W11" s="278">
        <f>INDEX(EconResultsSummary!$C25:$BQ25, MATCH(W$3,EconResultsSummary!$C$3:$BQ$3,0))</f>
        <v>0</v>
      </c>
      <c r="X11" s="278">
        <f>INDEX(EconResultsSummary!$C25:$BQ25, MATCH(X$3,EconResultsSummary!$C$3:$BQ$3,0))</f>
        <v>0</v>
      </c>
      <c r="Y11" s="278">
        <f>INDEX(EconResultsSummary!$C25:$BQ25, MATCH(Y$3,EconResultsSummary!$C$3:$BQ$3,0))</f>
        <v>0</v>
      </c>
      <c r="Z11" s="278">
        <f>INDEX(EconResultsSummary!$C25:$BQ25, MATCH(Z$3,EconResultsSummary!$C$3:$BQ$3,0))</f>
        <v>0</v>
      </c>
      <c r="AA11" s="278">
        <f>INDEX(EconResultsSummary!$C25:$BQ25, MATCH(AA$3,EconResultsSummary!$C$3:$BQ$3,0))</f>
        <v>0</v>
      </c>
      <c r="AB11" s="278">
        <f>INDEX(EconResultsSummary!$C25:$BQ25, MATCH(AB$3,EconResultsSummary!$C$3:$BQ$3,0))</f>
        <v>0</v>
      </c>
      <c r="AC11" s="278">
        <f>INDEX(EconResultsSummary!$C25:$BQ25, MATCH(AC$3,EconResultsSummary!$C$3:$BQ$3,0))</f>
        <v>0</v>
      </c>
      <c r="AD11" s="278"/>
      <c r="AE11" s="278">
        <f>INDEX(EconResultsSummary!$C25:$BQ25, MATCH(AE$3,EconResultsSummary!$C$3:$BQ$3,0))</f>
        <v>0</v>
      </c>
    </row>
    <row r="12" spans="1:31" x14ac:dyDescent="0.3">
      <c r="A12" s="1319" t="s">
        <v>5257</v>
      </c>
      <c r="B12" s="1320" t="s">
        <v>5258</v>
      </c>
      <c r="C12" s="278">
        <f>INDEX(EconResultsSummary!$C26:$BQ26, MATCH(C$3,EconResultsSummary!$C$3:$BQ$3,0))</f>
        <v>0</v>
      </c>
      <c r="D12" s="278">
        <f>INDEX(EconResultsSummary!$C26:$BQ26, MATCH(D$3,EconResultsSummary!$C$3:$BQ$3,0))</f>
        <v>0</v>
      </c>
      <c r="E12" s="278">
        <f>INDEX(EconResultsSummary!$C26:$BQ26, MATCH(E$3,EconResultsSummary!$C$3:$BQ$3,0))</f>
        <v>0</v>
      </c>
      <c r="F12" s="278">
        <f>INDEX(EconResultsSummary!$C26:$BQ26, MATCH(F$3,EconResultsSummary!$C$3:$BQ$3,0))</f>
        <v>0</v>
      </c>
      <c r="G12" s="278">
        <f>INDEX(EconResultsSummary!$C26:$BQ26, MATCH(G$3,EconResultsSummary!$C$3:$BQ$3,0))</f>
        <v>0</v>
      </c>
      <c r="H12" s="278">
        <f>INDEX(EconResultsSummary!$C26:$BQ26, MATCH(H$3,EconResultsSummary!$C$3:$BQ$3,0))</f>
        <v>0</v>
      </c>
      <c r="I12" s="278">
        <f>INDEX(EconResultsSummary!$C26:$BQ26, MATCH(I$3,EconResultsSummary!$C$3:$BQ$3,0))</f>
        <v>0</v>
      </c>
      <c r="J12" s="278">
        <f>INDEX(EconResultsSummary!$C26:$BQ26, MATCH(J$3,EconResultsSummary!$C$3:$BQ$3,0))</f>
        <v>0</v>
      </c>
      <c r="K12" s="278">
        <f>INDEX(EconResultsSummary!$C26:$BQ26, MATCH(K$3,EconResultsSummary!$C$3:$BQ$3,0))</f>
        <v>0</v>
      </c>
      <c r="L12" s="278">
        <f>INDEX(EconResultsSummary!$C26:$BQ26, MATCH(L$3,EconResultsSummary!$C$3:$BQ$3,0))</f>
        <v>0</v>
      </c>
      <c r="M12" s="278">
        <f>INDEX(EconResultsSummary!$C26:$BQ26, MATCH(M$3,EconResultsSummary!$C$3:$BQ$3,0))</f>
        <v>0</v>
      </c>
      <c r="N12" s="278">
        <f>INDEX(EconResultsSummary!$C26:$BQ26, MATCH(N$3,EconResultsSummary!$C$3:$BQ$3,0))</f>
        <v>0</v>
      </c>
      <c r="O12" s="278">
        <f>INDEX(EconResultsSummary!$C26:$BQ26, MATCH(O$3,EconResultsSummary!$C$3:$BQ$3,0))</f>
        <v>0</v>
      </c>
      <c r="P12" s="278">
        <f>INDEX(EconResultsSummary!$C26:$BQ26, MATCH(P$3,EconResultsSummary!$C$3:$BQ$3,0))</f>
        <v>6.5192987866282035</v>
      </c>
      <c r="Q12" s="818"/>
      <c r="R12" s="278">
        <f>INDEX(EconResultsSummary!$C26:$BQ26, MATCH(R$3,EconResultsSummary!$C$3:$BQ$3,0))</f>
        <v>0</v>
      </c>
      <c r="S12" s="278">
        <f>INDEX(EconResultsSummary!$C26:$BQ26, MATCH(S$3,EconResultsSummary!$C$3:$BQ$3,0))</f>
        <v>0</v>
      </c>
      <c r="T12" s="278">
        <f>INDEX(EconResultsSummary!$C26:$BQ26, MATCH(T$3,EconResultsSummary!$C$3:$BQ$3,0))</f>
        <v>0</v>
      </c>
      <c r="U12" s="278">
        <f>INDEX(EconResultsSummary!$C26:$BQ26, MATCH(U$3,EconResultsSummary!$C$3:$BQ$3,0))</f>
        <v>0</v>
      </c>
      <c r="V12" s="278">
        <f>INDEX(EconResultsSummary!$C26:$BQ26, MATCH(V$3,EconResultsSummary!$C$3:$BQ$3,0))</f>
        <v>0</v>
      </c>
      <c r="W12" s="278">
        <f>INDEX(EconResultsSummary!$C26:$BQ26, MATCH(W$3,EconResultsSummary!$C$3:$BQ$3,0))</f>
        <v>0</v>
      </c>
      <c r="X12" s="278">
        <f>INDEX(EconResultsSummary!$C26:$BQ26, MATCH(X$3,EconResultsSummary!$C$3:$BQ$3,0))</f>
        <v>0</v>
      </c>
      <c r="Y12" s="278">
        <f>INDEX(EconResultsSummary!$C26:$BQ26, MATCH(Y$3,EconResultsSummary!$C$3:$BQ$3,0))</f>
        <v>0</v>
      </c>
      <c r="Z12" s="278">
        <f>INDEX(EconResultsSummary!$C26:$BQ26, MATCH(Z$3,EconResultsSummary!$C$3:$BQ$3,0))</f>
        <v>0</v>
      </c>
      <c r="AA12" s="278">
        <f>INDEX(EconResultsSummary!$C26:$BQ26, MATCH(AA$3,EconResultsSummary!$C$3:$BQ$3,0))</f>
        <v>0</v>
      </c>
      <c r="AB12" s="278">
        <f>INDEX(EconResultsSummary!$C26:$BQ26, MATCH(AB$3,EconResultsSummary!$C$3:$BQ$3,0))</f>
        <v>0</v>
      </c>
      <c r="AC12" s="278">
        <f>INDEX(EconResultsSummary!$C26:$BQ26, MATCH(AC$3,EconResultsSummary!$C$3:$BQ$3,0))</f>
        <v>0</v>
      </c>
      <c r="AD12" s="278"/>
      <c r="AE12" s="278">
        <f>INDEX(EconResultsSummary!$C26:$BQ26, MATCH(AE$3,EconResultsSummary!$C$3:$BQ$3,0))</f>
        <v>6.5192987866282035</v>
      </c>
    </row>
    <row r="13" spans="1:31" x14ac:dyDescent="0.3">
      <c r="A13" s="123" t="s">
        <v>5259</v>
      </c>
      <c r="B13" s="1175" t="s">
        <v>5254</v>
      </c>
      <c r="C13" s="278">
        <f>INDEX(EconResultsSummary!$C27:$BQ27, MATCH(C$3,EconResultsSummary!$C$3:$BQ$3,0))</f>
        <v>0</v>
      </c>
      <c r="D13" s="278">
        <f>INDEX(EconResultsSummary!$C27:$BQ27, MATCH(D$3,EconResultsSummary!$C$3:$BQ$3,0))</f>
        <v>0</v>
      </c>
      <c r="E13" s="278">
        <f>INDEX(EconResultsSummary!$C27:$BQ27, MATCH(E$3,EconResultsSummary!$C$3:$BQ$3,0))</f>
        <v>0</v>
      </c>
      <c r="F13" s="278">
        <f>INDEX(EconResultsSummary!$C27:$BQ27, MATCH(F$3,EconResultsSummary!$C$3:$BQ$3,0))</f>
        <v>0</v>
      </c>
      <c r="G13" s="278">
        <f>INDEX(EconResultsSummary!$C27:$BQ27, MATCH(G$3,EconResultsSummary!$C$3:$BQ$3,0))</f>
        <v>0</v>
      </c>
      <c r="H13" s="278">
        <f>INDEX(EconResultsSummary!$C27:$BQ27, MATCH(H$3,EconResultsSummary!$C$3:$BQ$3,0))</f>
        <v>0</v>
      </c>
      <c r="I13" s="278">
        <f>INDEX(EconResultsSummary!$C27:$BQ27, MATCH(I$3,EconResultsSummary!$C$3:$BQ$3,0))</f>
        <v>0</v>
      </c>
      <c r="J13" s="278">
        <f>INDEX(EconResultsSummary!$C27:$BQ27, MATCH(J$3,EconResultsSummary!$C$3:$BQ$3,0))</f>
        <v>0</v>
      </c>
      <c r="K13" s="278">
        <f>INDEX(EconResultsSummary!$C27:$BQ27, MATCH(K$3,EconResultsSummary!$C$3:$BQ$3,0))</f>
        <v>0</v>
      </c>
      <c r="L13" s="278">
        <f>INDEX(EconResultsSummary!$C27:$BQ27, MATCH(L$3,EconResultsSummary!$C$3:$BQ$3,0))</f>
        <v>0</v>
      </c>
      <c r="M13" s="278">
        <f>INDEX(EconResultsSummary!$C27:$BQ27, MATCH(M$3,EconResultsSummary!$C$3:$BQ$3,0))</f>
        <v>0</v>
      </c>
      <c r="N13" s="278">
        <f>INDEX(EconResultsSummary!$C27:$BQ27, MATCH(N$3,EconResultsSummary!$C$3:$BQ$3,0))</f>
        <v>0</v>
      </c>
      <c r="O13" s="278">
        <f>INDEX(EconResultsSummary!$C27:$BQ27, MATCH(O$3,EconResultsSummary!$C$3:$BQ$3,0))</f>
        <v>0</v>
      </c>
      <c r="P13" s="278">
        <f>INDEX(EconResultsSummary!$C27:$BQ27, MATCH(P$3,EconResultsSummary!$C$3:$BQ$3,0))</f>
        <v>0</v>
      </c>
      <c r="Q13" s="818"/>
      <c r="R13" s="278">
        <f>INDEX(EconResultsSummary!$C27:$BQ27, MATCH(R$3,EconResultsSummary!$C$3:$BQ$3,0))</f>
        <v>0</v>
      </c>
      <c r="S13" s="278">
        <f>INDEX(EconResultsSummary!$C27:$BQ27, MATCH(S$3,EconResultsSummary!$C$3:$BQ$3,0))</f>
        <v>0</v>
      </c>
      <c r="T13" s="278">
        <f>INDEX(EconResultsSummary!$C27:$BQ27, MATCH(T$3,EconResultsSummary!$C$3:$BQ$3,0))</f>
        <v>0</v>
      </c>
      <c r="U13" s="278">
        <f>INDEX(EconResultsSummary!$C27:$BQ27, MATCH(U$3,EconResultsSummary!$C$3:$BQ$3,0))</f>
        <v>0</v>
      </c>
      <c r="V13" s="278">
        <f>INDEX(EconResultsSummary!$C27:$BQ27, MATCH(V$3,EconResultsSummary!$C$3:$BQ$3,0))</f>
        <v>0</v>
      </c>
      <c r="W13" s="278">
        <f>INDEX(EconResultsSummary!$C27:$BQ27, MATCH(W$3,EconResultsSummary!$C$3:$BQ$3,0))</f>
        <v>0</v>
      </c>
      <c r="X13" s="278">
        <f>INDEX(EconResultsSummary!$C27:$BQ27, MATCH(X$3,EconResultsSummary!$C$3:$BQ$3,0))</f>
        <v>0</v>
      </c>
      <c r="Y13" s="278">
        <f>INDEX(EconResultsSummary!$C27:$BQ27, MATCH(Y$3,EconResultsSummary!$C$3:$BQ$3,0))</f>
        <v>0</v>
      </c>
      <c r="Z13" s="278">
        <f>INDEX(EconResultsSummary!$C27:$BQ27, MATCH(Z$3,EconResultsSummary!$C$3:$BQ$3,0))</f>
        <v>0</v>
      </c>
      <c r="AA13" s="278">
        <f>INDEX(EconResultsSummary!$C27:$BQ27, MATCH(AA$3,EconResultsSummary!$C$3:$BQ$3,0))</f>
        <v>0</v>
      </c>
      <c r="AB13" s="278">
        <f>INDEX(EconResultsSummary!$C27:$BQ27, MATCH(AB$3,EconResultsSummary!$C$3:$BQ$3,0))</f>
        <v>0</v>
      </c>
      <c r="AC13" s="278">
        <f>INDEX(EconResultsSummary!$C27:$BQ27, MATCH(AC$3,EconResultsSummary!$C$3:$BQ$3,0))</f>
        <v>0</v>
      </c>
      <c r="AD13" s="278"/>
      <c r="AE13" s="278">
        <f>INDEX(EconResultsSummary!$C27:$BQ27, MATCH(AE$3,EconResultsSummary!$C$3:$BQ$3,0))</f>
        <v>0</v>
      </c>
    </row>
    <row r="14" spans="1:31" x14ac:dyDescent="0.3">
      <c r="A14" s="123" t="s">
        <v>5260</v>
      </c>
      <c r="B14" s="1175" t="s">
        <v>5256</v>
      </c>
      <c r="C14" s="2184" t="str">
        <f>INDEX(EconResultsSummary!$C28:$BQ28, MATCH(C$3,EconResultsSummary!$C$3:$BQ$3,0))</f>
        <v>[KEEPING THESE ROWS - NOT BEING USED RN, BUT JUST IN CASE SOMETHING CHANGES IN THE FUTURE 6/24/2025]</v>
      </c>
      <c r="D14" s="278"/>
      <c r="E14" s="278"/>
      <c r="F14" s="278"/>
      <c r="G14" s="278"/>
      <c r="H14" s="278"/>
      <c r="I14" s="278">
        <f>INDEX(EconResultsSummary!$C28:$BQ28, MATCH(I$3,EconResultsSummary!$C$3:$BQ$3,0))</f>
        <v>0</v>
      </c>
      <c r="J14" s="278">
        <f>INDEX(EconResultsSummary!$C28:$BQ28, MATCH(J$3,EconResultsSummary!$C$3:$BQ$3,0))</f>
        <v>0</v>
      </c>
      <c r="K14" s="278">
        <f>INDEX(EconResultsSummary!$C28:$BQ28, MATCH(K$3,EconResultsSummary!$C$3:$BQ$3,0))</f>
        <v>0</v>
      </c>
      <c r="L14" s="278">
        <f>INDEX(EconResultsSummary!$C28:$BQ28, MATCH(L$3,EconResultsSummary!$C$3:$BQ$3,0))</f>
        <v>0</v>
      </c>
      <c r="M14" s="278">
        <f>INDEX(EconResultsSummary!$C28:$BQ28, MATCH(M$3,EconResultsSummary!$C$3:$BQ$3,0))</f>
        <v>0</v>
      </c>
      <c r="N14" s="278">
        <f>INDEX(EconResultsSummary!$C28:$BQ28, MATCH(N$3,EconResultsSummary!$C$3:$BQ$3,0))</f>
        <v>0</v>
      </c>
      <c r="O14" s="278">
        <f>INDEX(EconResultsSummary!$C28:$BQ28, MATCH(O$3,EconResultsSummary!$C$3:$BQ$3,0))</f>
        <v>0</v>
      </c>
      <c r="P14" s="278">
        <f>INDEX(EconResultsSummary!$C28:$BQ28, MATCH(P$3,EconResultsSummary!$C$3:$BQ$3,0))</f>
        <v>0</v>
      </c>
      <c r="Q14" s="818"/>
      <c r="R14" s="278">
        <f>INDEX(EconResultsSummary!$C28:$BQ28, MATCH(R$3,EconResultsSummary!$C$3:$BQ$3,0))</f>
        <v>0</v>
      </c>
      <c r="S14" s="278">
        <f>INDEX(EconResultsSummary!$C28:$BQ28, MATCH(S$3,EconResultsSummary!$C$3:$BQ$3,0))</f>
        <v>0</v>
      </c>
      <c r="T14" s="278">
        <f>INDEX(EconResultsSummary!$C28:$BQ28, MATCH(T$3,EconResultsSummary!$C$3:$BQ$3,0))</f>
        <v>0</v>
      </c>
      <c r="U14" s="278">
        <f>INDEX(EconResultsSummary!$C28:$BQ28, MATCH(U$3,EconResultsSummary!$C$3:$BQ$3,0))</f>
        <v>0</v>
      </c>
      <c r="V14" s="278">
        <f>INDEX(EconResultsSummary!$C28:$BQ28, MATCH(V$3,EconResultsSummary!$C$3:$BQ$3,0))</f>
        <v>0</v>
      </c>
      <c r="W14" s="278">
        <f>INDEX(EconResultsSummary!$C28:$BQ28, MATCH(W$3,EconResultsSummary!$C$3:$BQ$3,0))</f>
        <v>0</v>
      </c>
      <c r="X14" s="278">
        <f>INDEX(EconResultsSummary!$C28:$BQ28, MATCH(X$3,EconResultsSummary!$C$3:$BQ$3,0))</f>
        <v>0</v>
      </c>
      <c r="Y14" s="278">
        <f>INDEX(EconResultsSummary!$C28:$BQ28, MATCH(Y$3,EconResultsSummary!$C$3:$BQ$3,0))</f>
        <v>0</v>
      </c>
      <c r="Z14" s="278">
        <f>INDEX(EconResultsSummary!$C28:$BQ28, MATCH(Z$3,EconResultsSummary!$C$3:$BQ$3,0))</f>
        <v>0</v>
      </c>
      <c r="AA14" s="278">
        <f>INDEX(EconResultsSummary!$C28:$BQ28, MATCH(AA$3,EconResultsSummary!$C$3:$BQ$3,0))</f>
        <v>0</v>
      </c>
      <c r="AB14" s="278">
        <f>INDEX(EconResultsSummary!$C28:$BQ28, MATCH(AB$3,EconResultsSummary!$C$3:$BQ$3,0))</f>
        <v>0</v>
      </c>
      <c r="AC14" s="278">
        <f>INDEX(EconResultsSummary!$C28:$BQ28, MATCH(AC$3,EconResultsSummary!$C$3:$BQ$3,0))</f>
        <v>0</v>
      </c>
      <c r="AD14" s="278"/>
      <c r="AE14" s="278">
        <f>INDEX(EconResultsSummary!$C28:$BQ28, MATCH(AE$3,EconResultsSummary!$C$3:$BQ$3,0))</f>
        <v>0</v>
      </c>
    </row>
    <row r="15" spans="1:31" x14ac:dyDescent="0.3">
      <c r="A15" s="1319" t="s">
        <v>5261</v>
      </c>
      <c r="B15" s="1320" t="s">
        <v>5258</v>
      </c>
      <c r="C15" s="2184" t="str">
        <f>INDEX(EconResultsSummary!$C29:$BQ29, MATCH(C$3,EconResultsSummary!$C$3:$BQ$3,0))</f>
        <v>[KEEPING THESE ROWS - NOT BEING USED RN, BUT JUST IN CASE SOMETHING CHANGES IN THE FUTURE 6/24/2025]</v>
      </c>
      <c r="D15" s="278"/>
      <c r="E15" s="278"/>
      <c r="F15" s="278"/>
      <c r="G15" s="278"/>
      <c r="H15" s="278"/>
      <c r="I15" s="278">
        <f>INDEX(EconResultsSummary!$C29:$BQ29, MATCH(I$3,EconResultsSummary!$C$3:$BQ$3,0))</f>
        <v>0</v>
      </c>
      <c r="J15" s="278">
        <f>INDEX(EconResultsSummary!$C29:$BQ29, MATCH(J$3,EconResultsSummary!$C$3:$BQ$3,0))</f>
        <v>0</v>
      </c>
      <c r="K15" s="278">
        <f>INDEX(EconResultsSummary!$C29:$BQ29, MATCH(K$3,EconResultsSummary!$C$3:$BQ$3,0))</f>
        <v>0</v>
      </c>
      <c r="L15" s="278">
        <f>INDEX(EconResultsSummary!$C29:$BQ29, MATCH(L$3,EconResultsSummary!$C$3:$BQ$3,0))</f>
        <v>0</v>
      </c>
      <c r="M15" s="278">
        <f>INDEX(EconResultsSummary!$C29:$BQ29, MATCH(M$3,EconResultsSummary!$C$3:$BQ$3,0))</f>
        <v>0</v>
      </c>
      <c r="N15" s="278">
        <f>INDEX(EconResultsSummary!$C29:$BQ29, MATCH(N$3,EconResultsSummary!$C$3:$BQ$3,0))</f>
        <v>0</v>
      </c>
      <c r="O15" s="278">
        <f>INDEX(EconResultsSummary!$C29:$BQ29, MATCH(O$3,EconResultsSummary!$C$3:$BQ$3,0))</f>
        <v>0</v>
      </c>
      <c r="P15" s="278">
        <f>INDEX(EconResultsSummary!$C29:$BQ29, MATCH(P$3,EconResultsSummary!$C$3:$BQ$3,0))</f>
        <v>0</v>
      </c>
      <c r="Q15" s="818"/>
      <c r="R15" s="278">
        <f>INDEX(EconResultsSummary!$C29:$BQ29, MATCH(R$3,EconResultsSummary!$C$3:$BQ$3,0))</f>
        <v>0</v>
      </c>
      <c r="S15" s="278">
        <f>INDEX(EconResultsSummary!$C29:$BQ29, MATCH(S$3,EconResultsSummary!$C$3:$BQ$3,0))</f>
        <v>0</v>
      </c>
      <c r="T15" s="278">
        <f>INDEX(EconResultsSummary!$C29:$BQ29, MATCH(T$3,EconResultsSummary!$C$3:$BQ$3,0))</f>
        <v>0</v>
      </c>
      <c r="U15" s="278">
        <f>INDEX(EconResultsSummary!$C29:$BQ29, MATCH(U$3,EconResultsSummary!$C$3:$BQ$3,0))</f>
        <v>0</v>
      </c>
      <c r="V15" s="278">
        <f>INDEX(EconResultsSummary!$C29:$BQ29, MATCH(V$3,EconResultsSummary!$C$3:$BQ$3,0))</f>
        <v>0</v>
      </c>
      <c r="W15" s="278">
        <f>INDEX(EconResultsSummary!$C29:$BQ29, MATCH(W$3,EconResultsSummary!$C$3:$BQ$3,0))</f>
        <v>0</v>
      </c>
      <c r="X15" s="278">
        <f>INDEX(EconResultsSummary!$C29:$BQ29, MATCH(X$3,EconResultsSummary!$C$3:$BQ$3,0))</f>
        <v>0</v>
      </c>
      <c r="Y15" s="278">
        <f>INDEX(EconResultsSummary!$C29:$BQ29, MATCH(Y$3,EconResultsSummary!$C$3:$BQ$3,0))</f>
        <v>0</v>
      </c>
      <c r="Z15" s="278">
        <f>INDEX(EconResultsSummary!$C29:$BQ29, MATCH(Z$3,EconResultsSummary!$C$3:$BQ$3,0))</f>
        <v>0</v>
      </c>
      <c r="AA15" s="278">
        <f>INDEX(EconResultsSummary!$C29:$BQ29, MATCH(AA$3,EconResultsSummary!$C$3:$BQ$3,0))</f>
        <v>0</v>
      </c>
      <c r="AB15" s="278">
        <f>INDEX(EconResultsSummary!$C29:$BQ29, MATCH(AB$3,EconResultsSummary!$C$3:$BQ$3,0))</f>
        <v>0</v>
      </c>
      <c r="AC15" s="278">
        <f>INDEX(EconResultsSummary!$C29:$BQ29, MATCH(AC$3,EconResultsSummary!$C$3:$BQ$3,0))</f>
        <v>0</v>
      </c>
      <c r="AD15" s="278"/>
      <c r="AE15" s="278">
        <f>INDEX(EconResultsSummary!$C29:$BQ29, MATCH(AE$3,EconResultsSummary!$C$3:$BQ$3,0))</f>
        <v>0</v>
      </c>
    </row>
    <row r="16" spans="1:31" x14ac:dyDescent="0.3">
      <c r="A16" s="1321" t="s">
        <v>5262</v>
      </c>
      <c r="B16" s="1322" t="s">
        <v>5256</v>
      </c>
      <c r="C16" s="316">
        <f>SUM(C7:C8)</f>
        <v>0</v>
      </c>
      <c r="D16" s="316">
        <f t="shared" ref="D16:AE16" si="6">SUM(D7:D8)</f>
        <v>0</v>
      </c>
      <c r="E16" s="316">
        <f t="shared" si="6"/>
        <v>0</v>
      </c>
      <c r="F16" s="316">
        <f t="shared" si="6"/>
        <v>0</v>
      </c>
      <c r="G16" s="316">
        <f t="shared" si="6"/>
        <v>0</v>
      </c>
      <c r="H16" s="316">
        <f t="shared" si="6"/>
        <v>0</v>
      </c>
      <c r="I16" s="316">
        <f t="shared" si="6"/>
        <v>0</v>
      </c>
      <c r="J16" s="316">
        <f t="shared" si="6"/>
        <v>0</v>
      </c>
      <c r="K16" s="316">
        <f t="shared" si="6"/>
        <v>0</v>
      </c>
      <c r="L16" s="316">
        <f t="shared" si="6"/>
        <v>0</v>
      </c>
      <c r="M16" s="316">
        <f t="shared" si="6"/>
        <v>0</v>
      </c>
      <c r="N16" s="316">
        <f t="shared" si="6"/>
        <v>0</v>
      </c>
      <c r="O16" s="316">
        <f t="shared" si="6"/>
        <v>0</v>
      </c>
      <c r="P16" s="316">
        <f t="shared" si="6"/>
        <v>0</v>
      </c>
      <c r="Q16" s="818"/>
      <c r="R16" s="316">
        <f t="shared" si="6"/>
        <v>0</v>
      </c>
      <c r="S16" s="316">
        <f t="shared" si="6"/>
        <v>0</v>
      </c>
      <c r="T16" s="316">
        <f t="shared" si="6"/>
        <v>0</v>
      </c>
      <c r="U16" s="316">
        <f t="shared" si="6"/>
        <v>0</v>
      </c>
      <c r="V16" s="316">
        <f t="shared" si="6"/>
        <v>0</v>
      </c>
      <c r="W16" s="316">
        <f t="shared" si="6"/>
        <v>0</v>
      </c>
      <c r="X16" s="316">
        <f t="shared" si="6"/>
        <v>0</v>
      </c>
      <c r="Y16" s="316">
        <f t="shared" si="6"/>
        <v>0</v>
      </c>
      <c r="Z16" s="316">
        <f t="shared" si="6"/>
        <v>0</v>
      </c>
      <c r="AA16" s="316">
        <f t="shared" si="6"/>
        <v>0</v>
      </c>
      <c r="AB16" s="316">
        <f t="shared" si="6"/>
        <v>0</v>
      </c>
      <c r="AC16" s="316">
        <f t="shared" si="6"/>
        <v>0</v>
      </c>
      <c r="AD16" s="316"/>
      <c r="AE16" s="316">
        <f t="shared" si="6"/>
        <v>0</v>
      </c>
    </row>
    <row r="17" spans="1:31" x14ac:dyDescent="0.3">
      <c r="A17" s="1321" t="s">
        <v>5263</v>
      </c>
      <c r="B17" s="1322" t="s">
        <v>5256</v>
      </c>
      <c r="C17" s="316">
        <f>SUM(C11,C14)</f>
        <v>0</v>
      </c>
      <c r="D17" s="316">
        <f t="shared" ref="D17:AE17" si="7">SUM(D11,D14)</f>
        <v>0</v>
      </c>
      <c r="E17" s="316">
        <f t="shared" si="7"/>
        <v>0</v>
      </c>
      <c r="F17" s="316">
        <f t="shared" si="7"/>
        <v>0</v>
      </c>
      <c r="G17" s="316">
        <f t="shared" si="7"/>
        <v>0</v>
      </c>
      <c r="H17" s="316">
        <f t="shared" si="7"/>
        <v>0</v>
      </c>
      <c r="I17" s="316">
        <f t="shared" si="7"/>
        <v>0</v>
      </c>
      <c r="J17" s="316">
        <f t="shared" si="7"/>
        <v>0</v>
      </c>
      <c r="K17" s="316">
        <f t="shared" si="7"/>
        <v>0</v>
      </c>
      <c r="L17" s="316">
        <f t="shared" si="7"/>
        <v>0</v>
      </c>
      <c r="M17" s="316">
        <f t="shared" si="7"/>
        <v>0</v>
      </c>
      <c r="N17" s="316">
        <f t="shared" si="7"/>
        <v>0</v>
      </c>
      <c r="O17" s="316">
        <f t="shared" si="7"/>
        <v>0</v>
      </c>
      <c r="P17" s="316">
        <f t="shared" si="7"/>
        <v>0</v>
      </c>
      <c r="Q17" s="818"/>
      <c r="R17" s="316">
        <f t="shared" si="7"/>
        <v>0</v>
      </c>
      <c r="S17" s="316">
        <f t="shared" si="7"/>
        <v>0</v>
      </c>
      <c r="T17" s="316">
        <f t="shared" si="7"/>
        <v>0</v>
      </c>
      <c r="U17" s="316">
        <f t="shared" si="7"/>
        <v>0</v>
      </c>
      <c r="V17" s="316">
        <f t="shared" si="7"/>
        <v>0</v>
      </c>
      <c r="W17" s="316">
        <f t="shared" si="7"/>
        <v>0</v>
      </c>
      <c r="X17" s="316">
        <f t="shared" si="7"/>
        <v>0</v>
      </c>
      <c r="Y17" s="316">
        <f t="shared" si="7"/>
        <v>0</v>
      </c>
      <c r="Z17" s="316">
        <f t="shared" si="7"/>
        <v>0</v>
      </c>
      <c r="AA17" s="316">
        <f t="shared" si="7"/>
        <v>0</v>
      </c>
      <c r="AB17" s="316">
        <f t="shared" si="7"/>
        <v>0</v>
      </c>
      <c r="AC17" s="316">
        <f t="shared" si="7"/>
        <v>0</v>
      </c>
      <c r="AD17" s="316"/>
      <c r="AE17" s="316">
        <f t="shared" si="7"/>
        <v>0</v>
      </c>
    </row>
    <row r="18" spans="1:31" x14ac:dyDescent="0.3">
      <c r="A18" s="1321" t="s">
        <v>5264</v>
      </c>
      <c r="B18" s="1322" t="s">
        <v>5258</v>
      </c>
      <c r="C18" s="316">
        <f>SUM(C7:C9)</f>
        <v>0</v>
      </c>
      <c r="D18" s="316">
        <f t="shared" ref="D18:AE18" si="8">SUM(D7:D9)</f>
        <v>0</v>
      </c>
      <c r="E18" s="316">
        <f t="shared" si="8"/>
        <v>2177.5202983863451</v>
      </c>
      <c r="F18" s="316">
        <f t="shared" si="8"/>
        <v>2346.5176237203291</v>
      </c>
      <c r="G18" s="316">
        <f t="shared" si="8"/>
        <v>2259.1547660954243</v>
      </c>
      <c r="H18" s="316">
        <f t="shared" si="8"/>
        <v>0</v>
      </c>
      <c r="I18" s="316">
        <f t="shared" si="8"/>
        <v>238.49396165239733</v>
      </c>
      <c r="J18" s="316">
        <f t="shared" si="8"/>
        <v>0</v>
      </c>
      <c r="K18" s="316">
        <f t="shared" si="8"/>
        <v>0</v>
      </c>
      <c r="L18" s="316">
        <f t="shared" si="8"/>
        <v>101.10598765282566</v>
      </c>
      <c r="M18" s="316">
        <f t="shared" si="8"/>
        <v>0</v>
      </c>
      <c r="N18" s="316">
        <f t="shared" si="8"/>
        <v>0</v>
      </c>
      <c r="O18" s="316">
        <f t="shared" si="8"/>
        <v>0</v>
      </c>
      <c r="P18" s="316">
        <f t="shared" si="8"/>
        <v>0</v>
      </c>
      <c r="Q18" s="818"/>
      <c r="R18" s="316">
        <f t="shared" si="8"/>
        <v>0</v>
      </c>
      <c r="S18" s="316">
        <f t="shared" si="8"/>
        <v>0</v>
      </c>
      <c r="T18" s="316">
        <f t="shared" si="8"/>
        <v>2177.5202983863451</v>
      </c>
      <c r="U18" s="316">
        <f t="shared" si="8"/>
        <v>2346.5176237203291</v>
      </c>
      <c r="V18" s="316">
        <f t="shared" si="8"/>
        <v>2259.1547660954243</v>
      </c>
      <c r="W18" s="316">
        <f t="shared" si="8"/>
        <v>0</v>
      </c>
      <c r="X18" s="316">
        <f t="shared" si="8"/>
        <v>238.49396165239733</v>
      </c>
      <c r="Y18" s="316">
        <f t="shared" si="8"/>
        <v>0</v>
      </c>
      <c r="Z18" s="316">
        <f t="shared" si="8"/>
        <v>0</v>
      </c>
      <c r="AA18" s="316">
        <f t="shared" si="8"/>
        <v>101.10598765282566</v>
      </c>
      <c r="AB18" s="316">
        <f t="shared" si="8"/>
        <v>0</v>
      </c>
      <c r="AC18" s="316">
        <f t="shared" si="8"/>
        <v>0</v>
      </c>
      <c r="AD18" s="316"/>
      <c r="AE18" s="316">
        <f t="shared" si="8"/>
        <v>0</v>
      </c>
    </row>
    <row r="19" spans="1:31" x14ac:dyDescent="0.3">
      <c r="A19" s="1321" t="s">
        <v>5265</v>
      </c>
      <c r="B19" s="1322" t="s">
        <v>5258</v>
      </c>
      <c r="C19" s="316">
        <f>SUM(C12,C15)</f>
        <v>0</v>
      </c>
      <c r="D19" s="316">
        <f t="shared" ref="D19:AE19" si="9">SUM(D12,D15)</f>
        <v>0</v>
      </c>
      <c r="E19" s="316">
        <f t="shared" si="9"/>
        <v>0</v>
      </c>
      <c r="F19" s="316">
        <f t="shared" si="9"/>
        <v>0</v>
      </c>
      <c r="G19" s="316">
        <f t="shared" si="9"/>
        <v>0</v>
      </c>
      <c r="H19" s="316">
        <f t="shared" si="9"/>
        <v>0</v>
      </c>
      <c r="I19" s="316">
        <f t="shared" si="9"/>
        <v>0</v>
      </c>
      <c r="J19" s="316">
        <f t="shared" si="9"/>
        <v>0</v>
      </c>
      <c r="K19" s="316">
        <f t="shared" si="9"/>
        <v>0</v>
      </c>
      <c r="L19" s="316">
        <f t="shared" si="9"/>
        <v>0</v>
      </c>
      <c r="M19" s="316">
        <f t="shared" si="9"/>
        <v>0</v>
      </c>
      <c r="N19" s="316">
        <f t="shared" si="9"/>
        <v>0</v>
      </c>
      <c r="O19" s="316">
        <f t="shared" si="9"/>
        <v>0</v>
      </c>
      <c r="P19" s="316">
        <f t="shared" si="9"/>
        <v>6.5192987866282035</v>
      </c>
      <c r="Q19" s="818"/>
      <c r="R19" s="316">
        <f t="shared" si="9"/>
        <v>0</v>
      </c>
      <c r="S19" s="316">
        <f t="shared" si="9"/>
        <v>0</v>
      </c>
      <c r="T19" s="316">
        <f t="shared" si="9"/>
        <v>0</v>
      </c>
      <c r="U19" s="316">
        <f t="shared" si="9"/>
        <v>0</v>
      </c>
      <c r="V19" s="316">
        <f t="shared" si="9"/>
        <v>0</v>
      </c>
      <c r="W19" s="316">
        <f t="shared" si="9"/>
        <v>0</v>
      </c>
      <c r="X19" s="316">
        <f t="shared" si="9"/>
        <v>0</v>
      </c>
      <c r="Y19" s="316">
        <f t="shared" si="9"/>
        <v>0</v>
      </c>
      <c r="Z19" s="316">
        <f t="shared" si="9"/>
        <v>0</v>
      </c>
      <c r="AA19" s="316">
        <f t="shared" si="9"/>
        <v>0</v>
      </c>
      <c r="AB19" s="316">
        <f t="shared" si="9"/>
        <v>0</v>
      </c>
      <c r="AC19" s="316">
        <f t="shared" si="9"/>
        <v>0</v>
      </c>
      <c r="AD19" s="316"/>
      <c r="AE19" s="316">
        <f t="shared" si="9"/>
        <v>6.5192987866282035</v>
      </c>
    </row>
    <row r="20" spans="1:31" x14ac:dyDescent="0.3">
      <c r="A20" s="1321" t="s">
        <v>5266</v>
      </c>
      <c r="B20" s="1322" t="s">
        <v>5254</v>
      </c>
      <c r="C20" s="316">
        <f t="shared" ref="C20:P20" si="10">SUM(C7:C8)+(C9/UDV.anaer_lagoon.sludge_time)</f>
        <v>0</v>
      </c>
      <c r="D20" s="316">
        <f t="shared" si="10"/>
        <v>0</v>
      </c>
      <c r="E20" s="316">
        <f t="shared" si="10"/>
        <v>217.75202983863451</v>
      </c>
      <c r="F20" s="316">
        <f t="shared" si="10"/>
        <v>234.65176237203292</v>
      </c>
      <c r="G20" s="316">
        <f t="shared" si="10"/>
        <v>225.91547660954242</v>
      </c>
      <c r="H20" s="316">
        <f t="shared" si="10"/>
        <v>0</v>
      </c>
      <c r="I20" s="316">
        <f t="shared" si="10"/>
        <v>23.849396165239732</v>
      </c>
      <c r="J20" s="316">
        <f t="shared" si="10"/>
        <v>0</v>
      </c>
      <c r="K20" s="316">
        <f t="shared" si="10"/>
        <v>0</v>
      </c>
      <c r="L20" s="316">
        <f t="shared" si="10"/>
        <v>10.110598765282566</v>
      </c>
      <c r="M20" s="316">
        <f t="shared" si="10"/>
        <v>0</v>
      </c>
      <c r="N20" s="316">
        <f t="shared" si="10"/>
        <v>0</v>
      </c>
      <c r="O20" s="316">
        <f t="shared" si="10"/>
        <v>0</v>
      </c>
      <c r="P20" s="316">
        <f t="shared" si="10"/>
        <v>0</v>
      </c>
      <c r="Q20" s="818"/>
      <c r="R20" s="316">
        <f t="shared" ref="R20:AC20" si="11">SUM(R7:R8)+(R9/UDV.anaer_lagoon.sludge_time)</f>
        <v>0</v>
      </c>
      <c r="S20" s="316">
        <f t="shared" si="11"/>
        <v>0</v>
      </c>
      <c r="T20" s="316">
        <f t="shared" si="11"/>
        <v>217.75202983863451</v>
      </c>
      <c r="U20" s="316">
        <f t="shared" si="11"/>
        <v>234.65176237203292</v>
      </c>
      <c r="V20" s="316">
        <f t="shared" si="11"/>
        <v>225.91547660954242</v>
      </c>
      <c r="W20" s="316">
        <f t="shared" si="11"/>
        <v>0</v>
      </c>
      <c r="X20" s="316">
        <f t="shared" si="11"/>
        <v>23.849396165239732</v>
      </c>
      <c r="Y20" s="316">
        <f t="shared" si="11"/>
        <v>0</v>
      </c>
      <c r="Z20" s="316">
        <f t="shared" si="11"/>
        <v>0</v>
      </c>
      <c r="AA20" s="316">
        <f t="shared" si="11"/>
        <v>10.110598765282566</v>
      </c>
      <c r="AB20" s="316">
        <f t="shared" si="11"/>
        <v>0</v>
      </c>
      <c r="AC20" s="316">
        <f t="shared" si="11"/>
        <v>0</v>
      </c>
      <c r="AD20" s="316"/>
      <c r="AE20" s="316">
        <f>SUM(AE7:AE8)+(AE9/UDV.anaer_lagoon.sludge_time)</f>
        <v>0</v>
      </c>
    </row>
    <row r="21" spans="1:31" s="150" customFormat="1" x14ac:dyDescent="0.3">
      <c r="A21" s="1249" t="s">
        <v>5267</v>
      </c>
      <c r="B21" s="1177" t="s">
        <v>5254</v>
      </c>
      <c r="C21" s="1323">
        <f>SUM(C10,C13)</f>
        <v>0</v>
      </c>
      <c r="D21" s="1323">
        <f t="shared" ref="D21:AE21" si="12">SUM(D10,D13)</f>
        <v>0</v>
      </c>
      <c r="E21" s="1323">
        <f t="shared" si="12"/>
        <v>0</v>
      </c>
      <c r="F21" s="1323">
        <f t="shared" si="12"/>
        <v>0</v>
      </c>
      <c r="G21" s="1323">
        <f t="shared" si="12"/>
        <v>0</v>
      </c>
      <c r="H21" s="1323">
        <f t="shared" si="12"/>
        <v>0</v>
      </c>
      <c r="I21" s="1323">
        <f t="shared" si="12"/>
        <v>0</v>
      </c>
      <c r="J21" s="1323">
        <f t="shared" si="12"/>
        <v>0</v>
      </c>
      <c r="K21" s="1323">
        <f t="shared" si="12"/>
        <v>0</v>
      </c>
      <c r="L21" s="1323">
        <f t="shared" si="12"/>
        <v>0</v>
      </c>
      <c r="M21" s="1323">
        <f t="shared" si="12"/>
        <v>0</v>
      </c>
      <c r="N21" s="1323">
        <f t="shared" si="12"/>
        <v>0</v>
      </c>
      <c r="O21" s="1323">
        <f t="shared" si="12"/>
        <v>0</v>
      </c>
      <c r="P21" s="1323">
        <f t="shared" si="12"/>
        <v>0.65192987866282037</v>
      </c>
      <c r="Q21" s="818"/>
      <c r="R21" s="1323">
        <f t="shared" si="12"/>
        <v>0</v>
      </c>
      <c r="S21" s="1323">
        <f t="shared" si="12"/>
        <v>0</v>
      </c>
      <c r="T21" s="1323">
        <f t="shared" si="12"/>
        <v>0</v>
      </c>
      <c r="U21" s="1323">
        <f t="shared" si="12"/>
        <v>0</v>
      </c>
      <c r="V21" s="1323">
        <f t="shared" si="12"/>
        <v>0</v>
      </c>
      <c r="W21" s="1323">
        <f t="shared" si="12"/>
        <v>0</v>
      </c>
      <c r="X21" s="1323">
        <f t="shared" si="12"/>
        <v>0</v>
      </c>
      <c r="Y21" s="1323">
        <f t="shared" si="12"/>
        <v>0</v>
      </c>
      <c r="Z21" s="1323">
        <f t="shared" si="12"/>
        <v>0</v>
      </c>
      <c r="AA21" s="1323">
        <f t="shared" si="12"/>
        <v>0</v>
      </c>
      <c r="AB21" s="1323">
        <f t="shared" si="12"/>
        <v>0</v>
      </c>
      <c r="AC21" s="1323">
        <f t="shared" si="12"/>
        <v>0</v>
      </c>
      <c r="AD21" s="1323"/>
      <c r="AE21" s="1323">
        <f t="shared" si="12"/>
        <v>0.65192987866282037</v>
      </c>
    </row>
    <row r="22" spans="1:31" s="1716" customFormat="1" x14ac:dyDescent="0.3">
      <c r="A22" s="858" t="s">
        <v>5268</v>
      </c>
      <c r="B22" s="1714" t="s">
        <v>5256</v>
      </c>
      <c r="C22" s="1715">
        <f t="shared" ref="C22:AE22" si="13">SUM(C16:C17)</f>
        <v>0</v>
      </c>
      <c r="D22" s="1715">
        <f t="shared" si="13"/>
        <v>0</v>
      </c>
      <c r="E22" s="1715">
        <f t="shared" si="13"/>
        <v>0</v>
      </c>
      <c r="F22" s="1715">
        <f t="shared" si="13"/>
        <v>0</v>
      </c>
      <c r="G22" s="1715">
        <f t="shared" si="13"/>
        <v>0</v>
      </c>
      <c r="H22" s="1715">
        <f t="shared" si="13"/>
        <v>0</v>
      </c>
      <c r="I22" s="1715">
        <f t="shared" si="13"/>
        <v>0</v>
      </c>
      <c r="J22" s="1715">
        <f t="shared" si="13"/>
        <v>0</v>
      </c>
      <c r="K22" s="1715">
        <f t="shared" si="13"/>
        <v>0</v>
      </c>
      <c r="L22" s="1715">
        <f t="shared" si="13"/>
        <v>0</v>
      </c>
      <c r="M22" s="1715">
        <f t="shared" si="13"/>
        <v>0</v>
      </c>
      <c r="N22" s="1715">
        <f t="shared" si="13"/>
        <v>0</v>
      </c>
      <c r="O22" s="1715">
        <f t="shared" si="13"/>
        <v>0</v>
      </c>
      <c r="P22" s="1715">
        <f t="shared" si="13"/>
        <v>0</v>
      </c>
      <c r="R22" s="1715">
        <f t="shared" si="13"/>
        <v>0</v>
      </c>
      <c r="S22" s="1715">
        <f t="shared" si="13"/>
        <v>0</v>
      </c>
      <c r="T22" s="1715">
        <f t="shared" si="13"/>
        <v>0</v>
      </c>
      <c r="U22" s="1715">
        <f t="shared" si="13"/>
        <v>0</v>
      </c>
      <c r="V22" s="1715">
        <f t="shared" si="13"/>
        <v>0</v>
      </c>
      <c r="W22" s="1715">
        <f t="shared" si="13"/>
        <v>0</v>
      </c>
      <c r="X22" s="1715">
        <f t="shared" si="13"/>
        <v>0</v>
      </c>
      <c r="Y22" s="1715">
        <f t="shared" si="13"/>
        <v>0</v>
      </c>
      <c r="Z22" s="1715">
        <f t="shared" si="13"/>
        <v>0</v>
      </c>
      <c r="AA22" s="1715">
        <f t="shared" si="13"/>
        <v>0</v>
      </c>
      <c r="AB22" s="1715">
        <f t="shared" si="13"/>
        <v>0</v>
      </c>
      <c r="AC22" s="1715">
        <f t="shared" si="13"/>
        <v>0</v>
      </c>
      <c r="AD22" s="1715"/>
      <c r="AE22" s="1715">
        <f t="shared" si="13"/>
        <v>0</v>
      </c>
    </row>
    <row r="23" spans="1:31" s="1716" customFormat="1" x14ac:dyDescent="0.3">
      <c r="A23" s="858" t="s">
        <v>5269</v>
      </c>
      <c r="B23" s="1714" t="s">
        <v>5258</v>
      </c>
      <c r="C23" s="1715">
        <f t="shared" ref="C23:AE23" si="14">SUM(C18:C19)</f>
        <v>0</v>
      </c>
      <c r="D23" s="1715">
        <f t="shared" si="14"/>
        <v>0</v>
      </c>
      <c r="E23" s="1715">
        <f t="shared" si="14"/>
        <v>2177.5202983863451</v>
      </c>
      <c r="F23" s="1715">
        <f t="shared" si="14"/>
        <v>2346.5176237203291</v>
      </c>
      <c r="G23" s="1715">
        <f t="shared" si="14"/>
        <v>2259.1547660954243</v>
      </c>
      <c r="H23" s="1715">
        <f t="shared" si="14"/>
        <v>0</v>
      </c>
      <c r="I23" s="1715">
        <f t="shared" si="14"/>
        <v>238.49396165239733</v>
      </c>
      <c r="J23" s="1715">
        <f t="shared" si="14"/>
        <v>0</v>
      </c>
      <c r="K23" s="1715">
        <f t="shared" si="14"/>
        <v>0</v>
      </c>
      <c r="L23" s="1715">
        <f t="shared" si="14"/>
        <v>101.10598765282566</v>
      </c>
      <c r="M23" s="1715">
        <f t="shared" si="14"/>
        <v>0</v>
      </c>
      <c r="N23" s="1715">
        <f t="shared" si="14"/>
        <v>0</v>
      </c>
      <c r="O23" s="1715">
        <f t="shared" si="14"/>
        <v>0</v>
      </c>
      <c r="P23" s="1715">
        <f t="shared" si="14"/>
        <v>6.5192987866282035</v>
      </c>
      <c r="R23" s="1715">
        <f t="shared" si="14"/>
        <v>0</v>
      </c>
      <c r="S23" s="1715">
        <f t="shared" si="14"/>
        <v>0</v>
      </c>
      <c r="T23" s="1715">
        <f t="shared" si="14"/>
        <v>2177.5202983863451</v>
      </c>
      <c r="U23" s="1715">
        <f t="shared" si="14"/>
        <v>2346.5176237203291</v>
      </c>
      <c r="V23" s="1715">
        <f t="shared" si="14"/>
        <v>2259.1547660954243</v>
      </c>
      <c r="W23" s="1715">
        <f t="shared" si="14"/>
        <v>0</v>
      </c>
      <c r="X23" s="1715">
        <f t="shared" si="14"/>
        <v>238.49396165239733</v>
      </c>
      <c r="Y23" s="1715">
        <f t="shared" si="14"/>
        <v>0</v>
      </c>
      <c r="Z23" s="1715">
        <f t="shared" si="14"/>
        <v>0</v>
      </c>
      <c r="AA23" s="1715">
        <f t="shared" si="14"/>
        <v>101.10598765282566</v>
      </c>
      <c r="AB23" s="1715">
        <f t="shared" si="14"/>
        <v>0</v>
      </c>
      <c r="AC23" s="1715">
        <f t="shared" si="14"/>
        <v>0</v>
      </c>
      <c r="AD23" s="1715"/>
      <c r="AE23" s="1715">
        <f t="shared" si="14"/>
        <v>6.5192987866282035</v>
      </c>
    </row>
    <row r="24" spans="1:31" s="1718" customFormat="1" x14ac:dyDescent="0.3">
      <c r="A24" s="859" t="s">
        <v>5270</v>
      </c>
      <c r="B24" s="1717" t="s">
        <v>5254</v>
      </c>
      <c r="C24" s="1715">
        <f t="shared" ref="C24:AE24" si="15">SUM(C20:C21)</f>
        <v>0</v>
      </c>
      <c r="D24" s="1715">
        <f t="shared" si="15"/>
        <v>0</v>
      </c>
      <c r="E24" s="1715">
        <f t="shared" si="15"/>
        <v>217.75202983863451</v>
      </c>
      <c r="F24" s="1715">
        <f t="shared" si="15"/>
        <v>234.65176237203292</v>
      </c>
      <c r="G24" s="1715">
        <f t="shared" si="15"/>
        <v>225.91547660954242</v>
      </c>
      <c r="H24" s="1715">
        <f t="shared" si="15"/>
        <v>0</v>
      </c>
      <c r="I24" s="1715">
        <f t="shared" si="15"/>
        <v>23.849396165239732</v>
      </c>
      <c r="J24" s="1715">
        <f t="shared" si="15"/>
        <v>0</v>
      </c>
      <c r="K24" s="1715">
        <f t="shared" si="15"/>
        <v>0</v>
      </c>
      <c r="L24" s="1715">
        <f t="shared" si="15"/>
        <v>10.110598765282566</v>
      </c>
      <c r="M24" s="1715">
        <f t="shared" si="15"/>
        <v>0</v>
      </c>
      <c r="N24" s="1715">
        <f t="shared" si="15"/>
        <v>0</v>
      </c>
      <c r="O24" s="1715">
        <f t="shared" si="15"/>
        <v>0</v>
      </c>
      <c r="P24" s="1715">
        <f t="shared" si="15"/>
        <v>0.65192987866282037</v>
      </c>
      <c r="Q24" s="1716"/>
      <c r="R24" s="1715">
        <f t="shared" si="15"/>
        <v>0</v>
      </c>
      <c r="S24" s="1715">
        <f t="shared" si="15"/>
        <v>0</v>
      </c>
      <c r="T24" s="1715">
        <f t="shared" si="15"/>
        <v>217.75202983863451</v>
      </c>
      <c r="U24" s="1715">
        <f t="shared" si="15"/>
        <v>234.65176237203292</v>
      </c>
      <c r="V24" s="1715">
        <f t="shared" si="15"/>
        <v>225.91547660954242</v>
      </c>
      <c r="W24" s="1715">
        <f t="shared" si="15"/>
        <v>0</v>
      </c>
      <c r="X24" s="1715">
        <f t="shared" si="15"/>
        <v>23.849396165239732</v>
      </c>
      <c r="Y24" s="1715">
        <f t="shared" si="15"/>
        <v>0</v>
      </c>
      <c r="Z24" s="1715">
        <f t="shared" si="15"/>
        <v>0</v>
      </c>
      <c r="AA24" s="1715">
        <f t="shared" si="15"/>
        <v>10.110598765282566</v>
      </c>
      <c r="AB24" s="1715">
        <f t="shared" si="15"/>
        <v>0</v>
      </c>
      <c r="AC24" s="1715">
        <f t="shared" si="15"/>
        <v>0</v>
      </c>
      <c r="AD24" s="1715"/>
      <c r="AE24" s="1715">
        <f t="shared" si="15"/>
        <v>0.65192987866282037</v>
      </c>
    </row>
    <row r="25" spans="1:31" s="150" customFormat="1" x14ac:dyDescent="0.3">
      <c r="A25" s="1176" t="s">
        <v>5271</v>
      </c>
      <c r="B25" s="1177" t="s">
        <v>5272</v>
      </c>
      <c r="C25" s="1121">
        <f>'LCIA Summary output'!T5*UDV.animal.total</f>
        <v>259.06269083531066</v>
      </c>
      <c r="D25" s="1121">
        <f>'LCIA Summary output'!T11*UDV.animal.total</f>
        <v>154.6831302869123</v>
      </c>
      <c r="E25" s="1121">
        <f>'LCIA Summary output'!T17*UDV.animal.total</f>
        <v>518.70312661761511</v>
      </c>
      <c r="F25" s="359">
        <f>'LCIA Summary output'!T23*UDV.animal.total</f>
        <v>516.59305913866035</v>
      </c>
      <c r="G25" s="359">
        <f>'LCIA Summary output'!T29*UDV.animal.total</f>
        <v>524.23360783560383</v>
      </c>
      <c r="H25" s="359">
        <f>'LCIA Summary output'!T35*UDV.animal.total</f>
        <v>301.1532030755979</v>
      </c>
      <c r="I25" s="359">
        <f>'LCIA Summary output'!T41*UDV.animal.total</f>
        <v>299.35284035838959</v>
      </c>
      <c r="J25" s="359">
        <f>'LCIA Summary output'!T47*UDV.animal.total</f>
        <v>306.87905076134291</v>
      </c>
      <c r="K25" s="359">
        <f>'LCIA Summary output'!T53*UDV.animal.total</f>
        <v>330.32858953631529</v>
      </c>
      <c r="L25" s="359">
        <f>'LCIA Summary output'!T59*UDV.animal.total</f>
        <v>329.91251021942179</v>
      </c>
      <c r="M25" s="359">
        <f>'LCIA Summary output'!T65*UDV.animal.total</f>
        <v>336.72595443354999</v>
      </c>
      <c r="N25" s="359">
        <f>'LCIA Summary output'!T71*UDV.animal.total</f>
        <v>233.22073843927916</v>
      </c>
      <c r="O25" s="359">
        <f>'LCIA Summary output'!T77*UDV.animal.total</f>
        <v>103.00848038585963</v>
      </c>
      <c r="P25" s="359">
        <f>'LCIA Summary output'!T80*UDV.animal.total</f>
        <v>431.66922754888708</v>
      </c>
      <c r="Q25" s="1163"/>
      <c r="R25" s="1178">
        <f>'LCIA Summary output'!T8*UDV.animal.total</f>
        <v>260.35762390347782</v>
      </c>
      <c r="S25" s="1178">
        <f>'LCIA Summary output'!T14*UDV.animal.total</f>
        <v>155.31178888730457</v>
      </c>
      <c r="T25" s="1178">
        <f>'LCIA Summary output'!T20*UDV.animal.total</f>
        <v>517.63948491304882</v>
      </c>
      <c r="U25" s="1178">
        <f>'LCIA Summary output'!T26*UDV.animal.total</f>
        <v>515.55525483128724</v>
      </c>
      <c r="V25" s="1178">
        <f>'LCIA Summary output'!T32*UDV.animal.total</f>
        <v>523.18617719393001</v>
      </c>
      <c r="W25" s="1178">
        <f>'LCIA Summary output'!T38*UDV.animal.total</f>
        <v>300.09673775845039</v>
      </c>
      <c r="X25" s="1178">
        <f>'LCIA Summary output'!T44*UDV.animal.total</f>
        <v>298.35854534249552</v>
      </c>
      <c r="Y25" s="1178">
        <f>'LCIA Summary output'!T50*UDV.animal.total</f>
        <v>305.8225854441954</v>
      </c>
      <c r="Z25" s="1178">
        <f>'LCIA Summary output'!T56*UDV.animal.total</f>
        <v>329.35775297287995</v>
      </c>
      <c r="AA25" s="1178">
        <f>'LCIA Summary output'!T62*UDV.animal.total</f>
        <v>329.01501307461103</v>
      </c>
      <c r="AB25" s="1178">
        <f>'LCIA Summary output'!T68*UDV.animal.total</f>
        <v>335.78547815432705</v>
      </c>
      <c r="AC25" s="1178">
        <f>'LCIA Summary output'!T74*UDV.animal.total</f>
        <v>226.88502425066963</v>
      </c>
      <c r="AD25" s="1178"/>
      <c r="AE25" s="1178">
        <f>'LCIA Summary output'!T83*UDV.animal.total</f>
        <v>430.79123292807441</v>
      </c>
    </row>
    <row r="26" spans="1:31" x14ac:dyDescent="0.3">
      <c r="A26" s="82" t="s">
        <v>5273</v>
      </c>
      <c r="C26">
        <v>1</v>
      </c>
      <c r="D26">
        <v>2</v>
      </c>
      <c r="E26">
        <v>3</v>
      </c>
      <c r="F26">
        <v>4</v>
      </c>
      <c r="G26">
        <v>5</v>
      </c>
      <c r="H26">
        <v>6</v>
      </c>
      <c r="I26">
        <v>7</v>
      </c>
      <c r="J26">
        <v>8</v>
      </c>
      <c r="K26">
        <v>9</v>
      </c>
      <c r="L26">
        <v>10</v>
      </c>
      <c r="M26">
        <v>11</v>
      </c>
      <c r="N26">
        <v>12</v>
      </c>
      <c r="O26">
        <v>13</v>
      </c>
      <c r="P26">
        <v>14</v>
      </c>
      <c r="Q26" s="818"/>
      <c r="R26">
        <v>1</v>
      </c>
      <c r="S26">
        <v>2</v>
      </c>
      <c r="T26">
        <v>3</v>
      </c>
      <c r="U26">
        <v>4</v>
      </c>
      <c r="V26">
        <v>5</v>
      </c>
      <c r="W26">
        <v>6</v>
      </c>
      <c r="X26">
        <v>7</v>
      </c>
      <c r="Y26">
        <v>8</v>
      </c>
      <c r="Z26">
        <v>9</v>
      </c>
      <c r="AA26">
        <v>10</v>
      </c>
      <c r="AB26">
        <v>11</v>
      </c>
      <c r="AC26">
        <v>12</v>
      </c>
      <c r="AE26">
        <v>14</v>
      </c>
    </row>
    <row r="27" spans="1:31" x14ac:dyDescent="0.3">
      <c r="A27" s="82" t="s">
        <v>5274</v>
      </c>
      <c r="C27" s="66" t="s">
        <v>4912</v>
      </c>
      <c r="D27" s="66" t="s">
        <v>4912</v>
      </c>
      <c r="E27" s="66" t="s">
        <v>4912</v>
      </c>
      <c r="F27" s="66" t="s">
        <v>4912</v>
      </c>
      <c r="G27" s="66" t="s">
        <v>4912</v>
      </c>
      <c r="H27" s="66" t="s">
        <v>4912</v>
      </c>
      <c r="I27" s="66" t="s">
        <v>4912</v>
      </c>
      <c r="J27" s="66" t="s">
        <v>4912</v>
      </c>
      <c r="K27" s="66" t="s">
        <v>4912</v>
      </c>
      <c r="L27" s="66" t="s">
        <v>4912</v>
      </c>
      <c r="M27" s="66" t="s">
        <v>4912</v>
      </c>
      <c r="N27" s="66" t="s">
        <v>4912</v>
      </c>
      <c r="O27" s="66" t="s">
        <v>4912</v>
      </c>
      <c r="P27" s="66" t="s">
        <v>4912</v>
      </c>
      <c r="Q27" s="818"/>
      <c r="R27" s="66" t="s">
        <v>4917</v>
      </c>
      <c r="S27" s="66" t="s">
        <v>4917</v>
      </c>
      <c r="T27" s="66" t="s">
        <v>4917</v>
      </c>
      <c r="U27" s="66" t="s">
        <v>4917</v>
      </c>
      <c r="V27" s="66" t="s">
        <v>4917</v>
      </c>
      <c r="W27" s="66" t="s">
        <v>4917</v>
      </c>
      <c r="X27" s="66" t="s">
        <v>4917</v>
      </c>
      <c r="Y27" s="66" t="s">
        <v>4917</v>
      </c>
      <c r="Z27" s="66" t="s">
        <v>4917</v>
      </c>
      <c r="AA27" s="66" t="s">
        <v>4917</v>
      </c>
      <c r="AB27" s="66" t="s">
        <v>4917</v>
      </c>
      <c r="AC27" s="66" t="s">
        <v>4917</v>
      </c>
      <c r="AD27" s="66"/>
      <c r="AE27" s="66" t="s">
        <v>4917</v>
      </c>
    </row>
    <row r="28" spans="1:31" x14ac:dyDescent="0.3">
      <c r="A28" s="82" t="s">
        <v>5275</v>
      </c>
      <c r="C28" s="66" t="s">
        <v>5276</v>
      </c>
      <c r="D28" s="66" t="s">
        <v>5277</v>
      </c>
      <c r="E28" s="66" t="s">
        <v>5278</v>
      </c>
      <c r="F28" s="66" t="s">
        <v>5279</v>
      </c>
      <c r="G28" s="66" t="s">
        <v>5280</v>
      </c>
      <c r="H28" s="66" t="s">
        <v>5281</v>
      </c>
      <c r="I28" s="66" t="s">
        <v>5282</v>
      </c>
      <c r="J28" s="66" t="s">
        <v>5283</v>
      </c>
      <c r="K28" s="66" t="s">
        <v>5284</v>
      </c>
      <c r="L28" s="66" t="s">
        <v>5285</v>
      </c>
      <c r="M28" s="66" t="s">
        <v>5286</v>
      </c>
      <c r="N28" s="66" t="s">
        <v>5287</v>
      </c>
      <c r="O28" s="66" t="s">
        <v>5288</v>
      </c>
      <c r="P28" s="66" t="s">
        <v>5289</v>
      </c>
      <c r="Q28" s="818"/>
      <c r="R28" s="66" t="s">
        <v>5290</v>
      </c>
      <c r="S28" s="66" t="s">
        <v>5291</v>
      </c>
      <c r="T28" s="66" t="s">
        <v>5292</v>
      </c>
      <c r="U28" s="66" t="s">
        <v>5293</v>
      </c>
      <c r="V28" s="66" t="s">
        <v>5294</v>
      </c>
      <c r="W28" s="66" t="s">
        <v>5295</v>
      </c>
      <c r="X28" s="66" t="s">
        <v>5296</v>
      </c>
      <c r="Y28" s="66" t="s">
        <v>5297</v>
      </c>
      <c r="Z28" s="66" t="s">
        <v>5298</v>
      </c>
      <c r="AA28" s="66" t="s">
        <v>5299</v>
      </c>
      <c r="AB28" s="66" t="s">
        <v>5300</v>
      </c>
      <c r="AC28" s="66" t="s">
        <v>5301</v>
      </c>
      <c r="AD28" s="66"/>
      <c r="AE28" s="66" t="s">
        <v>5302</v>
      </c>
    </row>
    <row r="29" spans="1:31" x14ac:dyDescent="0.3">
      <c r="A29" s="847" t="s">
        <v>5303</v>
      </c>
      <c r="C29" t="str">
        <f t="shared" ref="C29:P29" si="16">_xlfn.CONCAT(C27,"Totals")</f>
        <v>TLTotals</v>
      </c>
      <c r="D29" t="str">
        <f t="shared" si="16"/>
        <v>TLTotals</v>
      </c>
      <c r="E29" t="str">
        <f t="shared" si="16"/>
        <v>TLTotals</v>
      </c>
      <c r="F29" t="str">
        <f t="shared" si="16"/>
        <v>TLTotals</v>
      </c>
      <c r="G29" t="str">
        <f t="shared" si="16"/>
        <v>TLTotals</v>
      </c>
      <c r="H29" t="str">
        <f t="shared" si="16"/>
        <v>TLTotals</v>
      </c>
      <c r="I29" t="str">
        <f t="shared" si="16"/>
        <v>TLTotals</v>
      </c>
      <c r="J29" t="str">
        <f t="shared" si="16"/>
        <v>TLTotals</v>
      </c>
      <c r="K29" t="str">
        <f t="shared" si="16"/>
        <v>TLTotals</v>
      </c>
      <c r="L29" t="str">
        <f t="shared" si="16"/>
        <v>TLTotals</v>
      </c>
      <c r="M29" t="str">
        <f t="shared" si="16"/>
        <v>TLTotals</v>
      </c>
      <c r="N29" t="str">
        <f t="shared" si="16"/>
        <v>TLTotals</v>
      </c>
      <c r="O29" t="str">
        <f t="shared" si="16"/>
        <v>TLTotals</v>
      </c>
      <c r="P29" t="str">
        <f t="shared" si="16"/>
        <v>TLTotals</v>
      </c>
      <c r="Q29" s="818"/>
      <c r="R29" t="str">
        <f t="shared" ref="R29:AE29" si="17">_xlfn.CONCAT(R27,"Totals")</f>
        <v>DHLTotals</v>
      </c>
      <c r="S29" t="str">
        <f t="shared" si="17"/>
        <v>DHLTotals</v>
      </c>
      <c r="T29" t="str">
        <f t="shared" si="17"/>
        <v>DHLTotals</v>
      </c>
      <c r="U29" t="str">
        <f t="shared" si="17"/>
        <v>DHLTotals</v>
      </c>
      <c r="V29" t="str">
        <f t="shared" si="17"/>
        <v>DHLTotals</v>
      </c>
      <c r="W29" t="str">
        <f t="shared" si="17"/>
        <v>DHLTotals</v>
      </c>
      <c r="X29" t="str">
        <f t="shared" si="17"/>
        <v>DHLTotals</v>
      </c>
      <c r="Y29" t="str">
        <f t="shared" si="17"/>
        <v>DHLTotals</v>
      </c>
      <c r="Z29" t="str">
        <f t="shared" si="17"/>
        <v>DHLTotals</v>
      </c>
      <c r="AA29" t="str">
        <f t="shared" si="17"/>
        <v>DHLTotals</v>
      </c>
      <c r="AB29" t="str">
        <f t="shared" si="17"/>
        <v>DHLTotals</v>
      </c>
      <c r="AC29" t="str">
        <f t="shared" si="17"/>
        <v>DHLTotals</v>
      </c>
      <c r="AE29" t="str">
        <f t="shared" si="17"/>
        <v>DHLTotals</v>
      </c>
    </row>
    <row r="30" spans="1:31" x14ac:dyDescent="0.3">
      <c r="A30" s="82" t="s">
        <v>5304</v>
      </c>
      <c r="C30" s="66"/>
      <c r="D30" s="66"/>
      <c r="E30" s="66"/>
      <c r="F30" s="66"/>
      <c r="G30" s="66"/>
      <c r="H30" s="66"/>
      <c r="I30" s="66"/>
      <c r="J30" s="66"/>
      <c r="K30" s="66"/>
      <c r="L30" s="66"/>
      <c r="M30" s="66"/>
      <c r="N30" s="66"/>
      <c r="O30" s="66"/>
      <c r="P30" s="66"/>
      <c r="Q30" s="818"/>
      <c r="X30" s="66"/>
      <c r="Y30" s="66"/>
      <c r="Z30" s="66"/>
      <c r="AA30" s="66"/>
      <c r="AB30" s="66"/>
      <c r="AC30" s="66"/>
    </row>
    <row r="31" spans="1:31" x14ac:dyDescent="0.3">
      <c r="A31" s="82" t="s">
        <v>5305</v>
      </c>
      <c r="C31" t="s">
        <v>5202</v>
      </c>
      <c r="D31" t="s">
        <v>5202</v>
      </c>
      <c r="E31" t="s">
        <v>5202</v>
      </c>
      <c r="F31" t="s">
        <v>5202</v>
      </c>
      <c r="G31" t="s">
        <v>5202</v>
      </c>
      <c r="H31" t="s">
        <v>5202</v>
      </c>
      <c r="I31" t="s">
        <v>5202</v>
      </c>
      <c r="J31" t="s">
        <v>5202</v>
      </c>
      <c r="K31" t="s">
        <v>5202</v>
      </c>
      <c r="L31" t="s">
        <v>5202</v>
      </c>
      <c r="M31" t="s">
        <v>5202</v>
      </c>
      <c r="N31" t="s">
        <v>5202</v>
      </c>
      <c r="O31" t="s">
        <v>5202</v>
      </c>
      <c r="P31" t="s">
        <v>5202</v>
      </c>
      <c r="Q31" s="818"/>
      <c r="R31" t="s">
        <v>5205</v>
      </c>
      <c r="S31" t="s">
        <v>5205</v>
      </c>
      <c r="T31" t="s">
        <v>5205</v>
      </c>
      <c r="U31" t="s">
        <v>5205</v>
      </c>
      <c r="V31" t="s">
        <v>5205</v>
      </c>
      <c r="W31" t="s">
        <v>5205</v>
      </c>
      <c r="X31" t="s">
        <v>5205</v>
      </c>
      <c r="Y31" t="s">
        <v>5205</v>
      </c>
      <c r="Z31" t="s">
        <v>5205</v>
      </c>
      <c r="AA31" t="s">
        <v>5205</v>
      </c>
      <c r="AB31" t="s">
        <v>5205</v>
      </c>
      <c r="AC31" t="s">
        <v>5205</v>
      </c>
      <c r="AE31" t="s">
        <v>5205</v>
      </c>
    </row>
    <row r="33" spans="1:18" x14ac:dyDescent="0.3">
      <c r="B33" s="1052"/>
      <c r="D33" s="3031" t="s">
        <v>5306</v>
      </c>
      <c r="E33" s="3032"/>
      <c r="F33" s="3032"/>
      <c r="G33" s="3032"/>
      <c r="H33" s="3032"/>
      <c r="I33" s="3033"/>
      <c r="Q33" s="818"/>
    </row>
    <row r="34" spans="1:18" x14ac:dyDescent="0.3">
      <c r="D34" s="99"/>
      <c r="F34" t="s">
        <v>5307</v>
      </c>
      <c r="G34" t="s">
        <v>5308</v>
      </c>
      <c r="H34" t="s">
        <v>5309</v>
      </c>
      <c r="I34" s="146"/>
      <c r="Q34" s="818"/>
    </row>
    <row r="35" spans="1:18" x14ac:dyDescent="0.3">
      <c r="D35" s="99"/>
      <c r="E35" t="s">
        <v>261</v>
      </c>
      <c r="F35">
        <f>UDV.econ_manure.liquid_give_pct</f>
        <v>1</v>
      </c>
      <c r="G35">
        <f>UDV.econ_manure.liquid_export_pct</f>
        <v>0</v>
      </c>
      <c r="H35">
        <f>F35+G35</f>
        <v>1</v>
      </c>
      <c r="I35" s="146"/>
      <c r="Q35" s="818"/>
      <c r="R35" t="s">
        <v>5310</v>
      </c>
    </row>
    <row r="36" spans="1:18" x14ac:dyDescent="0.3">
      <c r="A36" s="139" t="s">
        <v>5311</v>
      </c>
      <c r="B36" s="142"/>
      <c r="C36" s="142"/>
      <c r="D36" s="99"/>
      <c r="E36" t="s">
        <v>262</v>
      </c>
      <c r="F36">
        <f>UDV.econ_manure.slurry_give_pct</f>
        <v>1</v>
      </c>
      <c r="G36">
        <f>UDV.econ_manure.slurry_export_pct</f>
        <v>0</v>
      </c>
      <c r="H36">
        <f t="shared" ref="H36:H40" si="18">F36+G36</f>
        <v>1</v>
      </c>
      <c r="I36" s="146"/>
    </row>
    <row r="37" spans="1:18" x14ac:dyDescent="0.3">
      <c r="A37" s="99" t="s">
        <v>5312</v>
      </c>
      <c r="B37" s="78">
        <v>4.25</v>
      </c>
      <c r="C37" t="s">
        <v>5313</v>
      </c>
      <c r="D37" s="99"/>
      <c r="E37" t="s">
        <v>263</v>
      </c>
      <c r="F37">
        <f>UDV.econ_manure.sludge_give_pct</f>
        <v>1</v>
      </c>
      <c r="G37">
        <f>UDV.econ_manure.sludge_export_pct</f>
        <v>0</v>
      </c>
      <c r="H37">
        <f t="shared" si="18"/>
        <v>1</v>
      </c>
      <c r="I37" s="146"/>
    </row>
    <row r="38" spans="1:18" x14ac:dyDescent="0.3">
      <c r="A38" s="99" t="s">
        <v>5314</v>
      </c>
      <c r="B38" s="78">
        <v>4.375</v>
      </c>
      <c r="C38" t="s">
        <v>5313</v>
      </c>
      <c r="D38" s="99"/>
      <c r="E38" t="s">
        <v>5315</v>
      </c>
      <c r="F38">
        <f>UDV.econ_manure.sep_solids_give_pct</f>
        <v>0</v>
      </c>
      <c r="G38">
        <f>UDV.econ_manure.sep_solids_export_pct</f>
        <v>0</v>
      </c>
      <c r="H38">
        <f t="shared" si="18"/>
        <v>0</v>
      </c>
      <c r="I38" s="146"/>
    </row>
    <row r="39" spans="1:18" x14ac:dyDescent="0.3">
      <c r="A39" s="149" t="s">
        <v>5316</v>
      </c>
      <c r="B39" s="312">
        <v>4.5</v>
      </c>
      <c r="C39" s="150" t="s">
        <v>5313</v>
      </c>
      <c r="D39" s="99"/>
      <c r="E39" t="s">
        <v>5317</v>
      </c>
      <c r="F39">
        <f>UDV.econ_manure.set_solids_give_pct</f>
        <v>0</v>
      </c>
      <c r="G39">
        <f>UDV.econ_manure.set_solids_export_pct</f>
        <v>0</v>
      </c>
      <c r="H39">
        <f t="shared" si="18"/>
        <v>0</v>
      </c>
      <c r="I39" s="146"/>
    </row>
    <row r="40" spans="1:18" x14ac:dyDescent="0.3">
      <c r="D40" s="149"/>
      <c r="E40" s="150" t="s">
        <v>265</v>
      </c>
      <c r="F40" s="150">
        <f>UDV.econ_manure.compost_give_pct</f>
        <v>0</v>
      </c>
      <c r="G40" s="150">
        <f>UDV.econ_manure.compost_export_pct</f>
        <v>0</v>
      </c>
      <c r="H40" s="150">
        <f t="shared" si="18"/>
        <v>0</v>
      </c>
      <c r="I40" s="151"/>
    </row>
    <row r="41" spans="1:18" x14ac:dyDescent="0.3">
      <c r="A41" s="262"/>
      <c r="B41" s="142" t="s">
        <v>5318</v>
      </c>
      <c r="C41" s="142" t="s">
        <v>262</v>
      </c>
      <c r="D41" s="146" t="s">
        <v>263</v>
      </c>
    </row>
    <row r="42" spans="1:18" x14ac:dyDescent="0.3">
      <c r="A42" s="850" t="s">
        <v>5319</v>
      </c>
      <c r="B42">
        <v>8.5</v>
      </c>
      <c r="C42">
        <v>8.75</v>
      </c>
      <c r="D42" s="146">
        <v>9</v>
      </c>
    </row>
    <row r="43" spans="1:18" x14ac:dyDescent="0.3">
      <c r="A43" s="850" t="s">
        <v>2414</v>
      </c>
      <c r="B43">
        <f>B42*1000</f>
        <v>8500</v>
      </c>
      <c r="D43" s="146">
        <f>D42*1000</f>
        <v>9000</v>
      </c>
    </row>
    <row r="44" spans="1:18" x14ac:dyDescent="0.3">
      <c r="A44" s="850" t="s">
        <v>5313</v>
      </c>
      <c r="B44">
        <f>CONVERT(B43,"lbm","ton")</f>
        <v>4.25</v>
      </c>
      <c r="D44" s="146">
        <f>CONVERT(D43,"lbm","ton")</f>
        <v>4.5</v>
      </c>
    </row>
    <row r="45" spans="1:18" x14ac:dyDescent="0.3">
      <c r="A45" s="165"/>
      <c r="D45" s="146"/>
    </row>
    <row r="46" spans="1:18" x14ac:dyDescent="0.3">
      <c r="A46" s="165"/>
      <c r="D46" s="146"/>
    </row>
    <row r="47" spans="1:18" x14ac:dyDescent="0.3">
      <c r="A47" s="165"/>
      <c r="D47" s="146"/>
    </row>
    <row r="48" spans="1:18" x14ac:dyDescent="0.3">
      <c r="A48" s="851"/>
      <c r="B48" s="150" t="s">
        <v>5320</v>
      </c>
      <c r="C48" s="150"/>
      <c r="D48" s="151" t="s">
        <v>5321</v>
      </c>
    </row>
    <row r="50" spans="1:5" x14ac:dyDescent="0.3">
      <c r="A50" s="1118" t="s">
        <v>5322</v>
      </c>
      <c r="B50" s="404"/>
      <c r="C50" s="405"/>
    </row>
    <row r="51" spans="1:5" x14ac:dyDescent="0.3">
      <c r="A51" s="1119">
        <v>14</v>
      </c>
      <c r="B51" t="s">
        <v>5192</v>
      </c>
      <c r="C51" s="72" t="s">
        <v>5323</v>
      </c>
    </row>
    <row r="52" spans="1:5" x14ac:dyDescent="0.3">
      <c r="A52" s="1119">
        <v>15</v>
      </c>
      <c r="B52" t="s">
        <v>5193</v>
      </c>
      <c r="C52" s="72" t="s">
        <v>5181</v>
      </c>
    </row>
    <row r="53" spans="1:5" x14ac:dyDescent="0.3">
      <c r="A53" s="1119">
        <v>16</v>
      </c>
      <c r="B53" t="s">
        <v>5194</v>
      </c>
      <c r="C53" s="72" t="s">
        <v>5324</v>
      </c>
    </row>
    <row r="54" spans="1:5" x14ac:dyDescent="0.3">
      <c r="A54" s="1119">
        <v>17</v>
      </c>
      <c r="B54" t="s">
        <v>5195</v>
      </c>
      <c r="C54" s="72" t="s">
        <v>5181</v>
      </c>
    </row>
    <row r="55" spans="1:5" x14ac:dyDescent="0.3">
      <c r="A55" s="1119">
        <v>18</v>
      </c>
      <c r="B55" t="s">
        <v>5196</v>
      </c>
      <c r="C55" s="72" t="s">
        <v>2710</v>
      </c>
    </row>
    <row r="56" spans="1:5" x14ac:dyDescent="0.3">
      <c r="A56" s="1119">
        <v>19</v>
      </c>
      <c r="B56" t="s">
        <v>5197</v>
      </c>
      <c r="C56" s="72" t="s">
        <v>5181</v>
      </c>
    </row>
    <row r="57" spans="1:5" x14ac:dyDescent="0.3">
      <c r="A57" s="1119">
        <v>20</v>
      </c>
      <c r="B57" t="s">
        <v>5198</v>
      </c>
      <c r="C57" s="72" t="s">
        <v>2710</v>
      </c>
      <c r="E57" s="166"/>
    </row>
    <row r="58" spans="1:5" x14ac:dyDescent="0.3">
      <c r="A58" s="1119">
        <v>21</v>
      </c>
      <c r="B58" t="s">
        <v>5199</v>
      </c>
      <c r="C58" s="72" t="s">
        <v>5181</v>
      </c>
    </row>
    <row r="59" spans="1:5" x14ac:dyDescent="0.3">
      <c r="A59" s="1119">
        <v>22</v>
      </c>
      <c r="B59" t="s">
        <v>5325</v>
      </c>
      <c r="C59" s="72" t="s">
        <v>2710</v>
      </c>
    </row>
    <row r="60" spans="1:5" x14ac:dyDescent="0.3">
      <c r="A60" s="1119">
        <v>22</v>
      </c>
      <c r="B60" t="s">
        <v>5200</v>
      </c>
      <c r="C60" s="72" t="s">
        <v>2710</v>
      </c>
    </row>
    <row r="61" spans="1:5" ht="15" thickBot="1" x14ac:dyDescent="0.35">
      <c r="A61" s="1120">
        <v>23</v>
      </c>
      <c r="B61" s="492" t="s">
        <v>5201</v>
      </c>
      <c r="C61" s="339" t="s">
        <v>5181</v>
      </c>
    </row>
    <row r="62" spans="1:5" ht="16.5" customHeight="1" thickBot="1" x14ac:dyDescent="0.35"/>
    <row r="63" spans="1:5" x14ac:dyDescent="0.3">
      <c r="A63" s="804" t="s">
        <v>5326</v>
      </c>
      <c r="B63" s="404"/>
      <c r="C63" s="404"/>
      <c r="D63" s="404"/>
      <c r="E63" s="404"/>
    </row>
    <row r="64" spans="1:5" x14ac:dyDescent="0.3">
      <c r="A64" s="1122" t="s">
        <v>5327</v>
      </c>
      <c r="C64" s="177"/>
      <c r="D64" s="177"/>
      <c r="E64" s="177"/>
    </row>
    <row r="65" spans="1:9" x14ac:dyDescent="0.3">
      <c r="A65" s="1123" t="s">
        <v>5328</v>
      </c>
      <c r="B65" s="179" t="s">
        <v>565</v>
      </c>
      <c r="C65" s="179" t="s">
        <v>5329</v>
      </c>
      <c r="D65" s="179" t="s">
        <v>5330</v>
      </c>
      <c r="E65" s="179" t="s">
        <v>5330</v>
      </c>
      <c r="G65" s="290" t="s">
        <v>5331</v>
      </c>
      <c r="H65" s="150"/>
      <c r="I65" s="72"/>
    </row>
    <row r="66" spans="1:9" x14ac:dyDescent="0.3">
      <c r="A66" s="1124" t="s">
        <v>5332</v>
      </c>
      <c r="B66" s="181">
        <f>B91*B99</f>
        <v>17198.76603097254</v>
      </c>
      <c r="C66" s="180" t="s">
        <v>5181</v>
      </c>
      <c r="D66" s="177" t="s">
        <v>5333</v>
      </c>
      <c r="E66" s="177">
        <f>IF(VLOOKUP("Application by broadcast or injection?",'Sc1'!R:U,3,FALSE)="Broadcast",UDV.crops.N_avail_surface,UDV.crops.N_avail_injection)</f>
        <v>0.95</v>
      </c>
      <c r="G66" s="82" t="s">
        <v>5334</v>
      </c>
      <c r="H66" t="s">
        <v>5335</v>
      </c>
      <c r="I66" s="1125">
        <f>PT.waste_generation!G11*UC.year_to_day</f>
        <v>1026334.8340040242</v>
      </c>
    </row>
    <row r="67" spans="1:9" x14ac:dyDescent="0.3">
      <c r="A67" s="1126" t="s">
        <v>5336</v>
      </c>
      <c r="B67" s="183">
        <f>I70</f>
        <v>271.12897950550263</v>
      </c>
      <c r="C67" s="182" t="s">
        <v>5246</v>
      </c>
      <c r="D67" s="177" t="s">
        <v>5337</v>
      </c>
      <c r="E67" s="177">
        <f>IF(VLOOKUP("Application by broadcast or injection?",'Sc1'!R:U,3,FALSE)="Broadcast",UDV.crops.P2O5_avail_surface,UDV.crops.P2O5_avail_injection)</f>
        <v>0.95</v>
      </c>
      <c r="G67" s="82" t="s">
        <v>84</v>
      </c>
      <c r="H67" t="s">
        <v>4908</v>
      </c>
      <c r="I67" s="1127">
        <f>PT.waste_generation!G7*UC.year_to_day</f>
        <v>9490.1642499999998</v>
      </c>
    </row>
    <row r="68" spans="1:9" x14ac:dyDescent="0.3">
      <c r="A68" s="1128" t="s">
        <v>5338</v>
      </c>
      <c r="B68" s="78">
        <f>E77</f>
        <v>77.167076823618913</v>
      </c>
      <c r="C68" s="177" t="s">
        <v>2414</v>
      </c>
      <c r="D68" s="177" t="s">
        <v>5339</v>
      </c>
      <c r="E68" s="177">
        <f>IF(VLOOKUP("Application by broadcast or injection?",'Sc1'!R:U,3,FALSE)="Broadcast",UDV.crops.P2O5_avail_surface,UDV.crops.P2O5_avail_injection)</f>
        <v>0.95</v>
      </c>
      <c r="G68" s="1117" t="s">
        <v>941</v>
      </c>
      <c r="H68" t="s">
        <v>4908</v>
      </c>
      <c r="I68" s="1127">
        <f>PT.waste_generation!G8*UC.year_to_day</f>
        <v>3321.5547499999998</v>
      </c>
    </row>
    <row r="69" spans="1:9" x14ac:dyDescent="0.3">
      <c r="A69" s="1128" t="s">
        <v>5340</v>
      </c>
      <c r="B69" s="78">
        <f>E78</f>
        <v>27.008454628918177</v>
      </c>
      <c r="C69" s="177" t="s">
        <v>2414</v>
      </c>
      <c r="D69" s="184" t="s">
        <v>5341</v>
      </c>
      <c r="E69" s="150"/>
      <c r="G69" s="290" t="s">
        <v>934</v>
      </c>
      <c r="H69" s="150" t="s">
        <v>4908</v>
      </c>
      <c r="I69" s="1129">
        <f>PT.waste_generation!G9*UC.year_to_day</f>
        <v>4270.5912499999995</v>
      </c>
    </row>
    <row r="70" spans="1:9" x14ac:dyDescent="0.3">
      <c r="A70" s="1128" t="s">
        <v>5342</v>
      </c>
      <c r="B70" s="78">
        <f>E79</f>
        <v>34.725325546501971</v>
      </c>
      <c r="C70" s="177" t="s">
        <v>2414</v>
      </c>
      <c r="D70" s="185" t="s">
        <v>5343</v>
      </c>
      <c r="E70" s="185" t="str">
        <f>UDV.crops.apply_for</f>
        <v>N</v>
      </c>
      <c r="G70" s="82" t="s">
        <v>5334</v>
      </c>
      <c r="H70" t="s">
        <v>5246</v>
      </c>
      <c r="I70" s="1130">
        <f>CONVERT(I66,"l","gal")/1000</f>
        <v>271.12897950550263</v>
      </c>
    </row>
    <row r="71" spans="1:9" x14ac:dyDescent="0.3">
      <c r="A71" s="1131" t="s">
        <v>5344</v>
      </c>
      <c r="B71" s="187">
        <f>B68*E66</f>
        <v>73.30872298243797</v>
      </c>
      <c r="C71" s="186" t="s">
        <v>2414</v>
      </c>
      <c r="D71" s="989" t="s">
        <v>5345</v>
      </c>
      <c r="E71" s="990" t="e">
        <f>E74*#REF!</f>
        <v>#REF!</v>
      </c>
      <c r="G71" s="82" t="s">
        <v>84</v>
      </c>
      <c r="H71" t="s">
        <v>5346</v>
      </c>
      <c r="I71" s="1127">
        <f>CONVERT(I67,"kg","lbm")</f>
        <v>20922.23079061052</v>
      </c>
    </row>
    <row r="72" spans="1:9" x14ac:dyDescent="0.3">
      <c r="A72" s="1128" t="s">
        <v>5347</v>
      </c>
      <c r="B72" s="189">
        <f>B69*E67</f>
        <v>25.658031897472267</v>
      </c>
      <c r="C72" s="177" t="s">
        <v>2414</v>
      </c>
      <c r="D72" s="989" t="s">
        <v>5348</v>
      </c>
      <c r="E72" s="990" t="e">
        <f>E75/#REF!</f>
        <v>#REF!</v>
      </c>
      <c r="G72" s="1117" t="s">
        <v>941</v>
      </c>
      <c r="H72" t="s">
        <v>5346</v>
      </c>
      <c r="I72" s="1127">
        <f>CONVERT(I68,"kg","lbm")</f>
        <v>7322.7747415592539</v>
      </c>
    </row>
    <row r="73" spans="1:9" x14ac:dyDescent="0.3">
      <c r="A73" s="1126" t="s">
        <v>5349</v>
      </c>
      <c r="B73" s="190">
        <f>B70*E68</f>
        <v>32.98905926917687</v>
      </c>
      <c r="C73" s="182" t="s">
        <v>2414</v>
      </c>
      <c r="D73" s="991" t="s">
        <v>5350</v>
      </c>
      <c r="E73" s="992" t="e">
        <f>E76/#REF!</f>
        <v>#REF!</v>
      </c>
      <c r="G73" s="290" t="s">
        <v>934</v>
      </c>
      <c r="H73" s="150" t="s">
        <v>5346</v>
      </c>
      <c r="I73" s="1129">
        <f>CONVERT(I69,"kg","lbm")</f>
        <v>9415.0420784194393</v>
      </c>
    </row>
    <row r="74" spans="1:9" x14ac:dyDescent="0.3">
      <c r="A74" s="1128" t="s">
        <v>5351</v>
      </c>
      <c r="B74" s="189">
        <f>E74/B71</f>
        <v>2.6599835881292697</v>
      </c>
      <c r="C74" s="177" t="s">
        <v>5352</v>
      </c>
      <c r="D74" s="186" t="s">
        <v>5345</v>
      </c>
      <c r="E74" s="186">
        <f>UDV.crops.N_need</f>
        <v>195</v>
      </c>
      <c r="I74" s="72"/>
    </row>
    <row r="75" spans="1:9" x14ac:dyDescent="0.3">
      <c r="A75" s="1128" t="s">
        <v>5353</v>
      </c>
      <c r="B75" s="189">
        <f>E75/B72</f>
        <v>2.1435782845611939</v>
      </c>
      <c r="C75" s="177" t="s">
        <v>5352</v>
      </c>
      <c r="D75" s="177" t="s">
        <v>5354</v>
      </c>
      <c r="E75" s="177">
        <f>UDV.crops.P_need</f>
        <v>55</v>
      </c>
      <c r="I75" s="72"/>
    </row>
    <row r="76" spans="1:9" x14ac:dyDescent="0.3">
      <c r="A76" s="1128" t="s">
        <v>5355</v>
      </c>
      <c r="B76" s="189">
        <f>E76/B73</f>
        <v>2.7281772197757381</v>
      </c>
      <c r="C76" s="177" t="s">
        <v>5352</v>
      </c>
      <c r="D76" s="182" t="s">
        <v>5356</v>
      </c>
      <c r="E76" s="182">
        <f>UDV.crops.K_need</f>
        <v>90</v>
      </c>
      <c r="I76" s="72"/>
    </row>
    <row r="77" spans="1:9" x14ac:dyDescent="0.3">
      <c r="A77" s="1132" t="s">
        <v>5357</v>
      </c>
      <c r="B77" s="192">
        <f>IF(E70="P",VLOOKUP("Amount of manure needed for P2O5",A74:B76,2,FALSE),VLOOKUP("Amount of manure needed for N",A74:B76,2,FALSE))</f>
        <v>2.6599835881292697</v>
      </c>
      <c r="C77" s="185" t="s">
        <v>5358</v>
      </c>
      <c r="D77" s="177" t="s">
        <v>5359</v>
      </c>
      <c r="E77" s="193">
        <f>I71/I70</f>
        <v>77.167076823618913</v>
      </c>
      <c r="I77" s="72"/>
    </row>
    <row r="78" spans="1:9" x14ac:dyDescent="0.3">
      <c r="A78" s="1133" t="s">
        <v>5360</v>
      </c>
      <c r="B78" s="195">
        <f>B71*B77</f>
        <v>195</v>
      </c>
      <c r="C78" s="194" t="s">
        <v>5361</v>
      </c>
      <c r="D78" s="177" t="s">
        <v>5362</v>
      </c>
      <c r="E78" s="193">
        <f>I72/I70</f>
        <v>27.008454628918177</v>
      </c>
      <c r="I78" s="72"/>
    </row>
    <row r="79" spans="1:9" x14ac:dyDescent="0.3">
      <c r="A79" s="1133" t="s">
        <v>5363</v>
      </c>
      <c r="B79" s="195">
        <f>B72*B77</f>
        <v>68.249943750973529</v>
      </c>
      <c r="C79" s="194" t="s">
        <v>5361</v>
      </c>
      <c r="D79" s="182" t="s">
        <v>5364</v>
      </c>
      <c r="E79" s="196">
        <f>I73/I70</f>
        <v>34.725325546501971</v>
      </c>
      <c r="I79" s="72"/>
    </row>
    <row r="80" spans="1:9" x14ac:dyDescent="0.3">
      <c r="A80" s="1134" t="s">
        <v>5365</v>
      </c>
      <c r="B80" s="198">
        <f>B73*B77</f>
        <v>87.750356243834233</v>
      </c>
      <c r="C80" s="197" t="s">
        <v>5361</v>
      </c>
      <c r="I80" s="72"/>
    </row>
    <row r="81" spans="1:5" x14ac:dyDescent="0.3">
      <c r="A81" s="1128" t="s">
        <v>5366</v>
      </c>
      <c r="B81" s="188">
        <f>IF(E74&lt;B78,E74,B78)</f>
        <v>195</v>
      </c>
      <c r="C81" s="177" t="s">
        <v>5361</v>
      </c>
      <c r="D81" s="199" t="s">
        <v>5367</v>
      </c>
      <c r="E81" s="177"/>
    </row>
    <row r="82" spans="1:5" x14ac:dyDescent="0.3">
      <c r="A82" s="1128" t="s">
        <v>5368</v>
      </c>
      <c r="B82" s="188">
        <f>IF(E75&lt;B79,E75,B79)</f>
        <v>55</v>
      </c>
      <c r="C82" s="177" t="s">
        <v>5361</v>
      </c>
      <c r="D82" s="199" t="s">
        <v>5369</v>
      </c>
      <c r="E82" s="177"/>
    </row>
    <row r="83" spans="1:5" x14ac:dyDescent="0.3">
      <c r="A83" s="1126" t="s">
        <v>5370</v>
      </c>
      <c r="B83" s="191">
        <f>IF(E76&lt;B80,E76,B80)</f>
        <v>87.750356243834233</v>
      </c>
      <c r="C83" s="182" t="s">
        <v>5361</v>
      </c>
      <c r="D83" s="199" t="s">
        <v>5371</v>
      </c>
      <c r="E83" s="177"/>
    </row>
    <row r="84" spans="1:5" x14ac:dyDescent="0.3">
      <c r="A84" s="1128" t="s">
        <v>5372</v>
      </c>
      <c r="B84" s="189">
        <f>UDV.econ_fertilizer.N</f>
        <v>0.53</v>
      </c>
      <c r="C84" s="177" t="s">
        <v>2299</v>
      </c>
      <c r="D84" s="177"/>
      <c r="E84" s="177"/>
    </row>
    <row r="85" spans="1:5" x14ac:dyDescent="0.3">
      <c r="A85" s="1128" t="s">
        <v>5373</v>
      </c>
      <c r="B85" s="189">
        <f>UDV.econ_fertilizer.P2O5</f>
        <v>0.53</v>
      </c>
      <c r="C85" s="177" t="s">
        <v>2299</v>
      </c>
    </row>
    <row r="86" spans="1:5" x14ac:dyDescent="0.3">
      <c r="A86" s="1126" t="s">
        <v>5374</v>
      </c>
      <c r="B86" s="190">
        <f>UDV.econ_fertilizer.K2O</f>
        <v>0.45</v>
      </c>
      <c r="C86" s="182" t="s">
        <v>2299</v>
      </c>
    </row>
    <row r="87" spans="1:5" x14ac:dyDescent="0.3">
      <c r="A87" s="1128" t="s">
        <v>5375</v>
      </c>
      <c r="B87" s="193">
        <f>B81*B84</f>
        <v>103.35000000000001</v>
      </c>
      <c r="C87" s="177" t="s">
        <v>5376</v>
      </c>
    </row>
    <row r="88" spans="1:5" x14ac:dyDescent="0.3">
      <c r="A88" s="1128" t="s">
        <v>5377</v>
      </c>
      <c r="B88" s="193">
        <f>B82*B85</f>
        <v>29.150000000000002</v>
      </c>
      <c r="C88" s="177" t="s">
        <v>5376</v>
      </c>
    </row>
    <row r="89" spans="1:5" x14ac:dyDescent="0.3">
      <c r="A89" s="1126" t="s">
        <v>5378</v>
      </c>
      <c r="B89" s="196">
        <f>B83*B86</f>
        <v>39.487660309725406</v>
      </c>
      <c r="C89" s="182" t="s">
        <v>5376</v>
      </c>
    </row>
    <row r="90" spans="1:5" x14ac:dyDescent="0.3">
      <c r="A90" s="1132" t="s">
        <v>5379</v>
      </c>
      <c r="B90" s="202">
        <f>SUM(B87:B89)</f>
        <v>171.98766030972541</v>
      </c>
      <c r="C90" s="185" t="s">
        <v>5376</v>
      </c>
    </row>
    <row r="91" spans="1:5" x14ac:dyDescent="0.3">
      <c r="A91" s="1132" t="s">
        <v>5380</v>
      </c>
      <c r="B91" s="202">
        <f>B90/B77</f>
        <v>64.657414082273334</v>
      </c>
      <c r="C91" s="203" t="s">
        <v>2314</v>
      </c>
    </row>
    <row r="92" spans="1:5" x14ac:dyDescent="0.3">
      <c r="A92" s="1131" t="s">
        <v>5381</v>
      </c>
      <c r="B92" s="204">
        <f>B78-B81</f>
        <v>0</v>
      </c>
      <c r="C92" s="186" t="s">
        <v>5361</v>
      </c>
    </row>
    <row r="93" spans="1:5" x14ac:dyDescent="0.3">
      <c r="A93" s="1128" t="s">
        <v>5382</v>
      </c>
      <c r="B93" s="205">
        <f>B79-B82</f>
        <v>13.249943750973529</v>
      </c>
      <c r="C93" s="177" t="s">
        <v>5361</v>
      </c>
      <c r="D93" s="34"/>
    </row>
    <row r="94" spans="1:5" x14ac:dyDescent="0.3">
      <c r="A94" s="1126" t="s">
        <v>5383</v>
      </c>
      <c r="B94" s="209">
        <f>B80-B83</f>
        <v>0</v>
      </c>
      <c r="C94" s="182" t="s">
        <v>5361</v>
      </c>
    </row>
    <row r="95" spans="1:5" x14ac:dyDescent="0.3">
      <c r="A95" s="1131" t="s">
        <v>5384</v>
      </c>
      <c r="B95" s="211">
        <f>B67/B77</f>
        <v>101.92881667220509</v>
      </c>
      <c r="C95" s="212" t="s">
        <v>5385</v>
      </c>
    </row>
    <row r="96" spans="1:5" x14ac:dyDescent="0.3">
      <c r="A96" s="1128" t="s">
        <v>5386</v>
      </c>
      <c r="B96" s="147">
        <f>UDV.crops.acres_available</f>
        <v>100</v>
      </c>
      <c r="C96" s="177" t="s">
        <v>5385</v>
      </c>
      <c r="E96" s="219"/>
    </row>
    <row r="97" spans="1:5" x14ac:dyDescent="0.3">
      <c r="A97" s="1128" t="s">
        <v>5387</v>
      </c>
      <c r="B97" s="221">
        <f>IF(B95&lt;B96,B95,B96)</f>
        <v>100</v>
      </c>
      <c r="C97" s="194" t="s">
        <v>5385</v>
      </c>
    </row>
    <row r="98" spans="1:5" x14ac:dyDescent="0.3">
      <c r="A98" s="1128" t="s">
        <v>5388</v>
      </c>
      <c r="B98" s="278">
        <f>B77*B96</f>
        <v>265.99835881292699</v>
      </c>
      <c r="C98" s="177" t="s">
        <v>5246</v>
      </c>
    </row>
    <row r="99" spans="1:5" x14ac:dyDescent="0.3">
      <c r="A99" s="1135" t="s">
        <v>5389</v>
      </c>
      <c r="B99" s="225">
        <f>IF(B67&gt;B98,B98,B67)</f>
        <v>265.99835881292699</v>
      </c>
      <c r="C99" s="226" t="s">
        <v>5246</v>
      </c>
      <c r="E99" s="219"/>
    </row>
    <row r="100" spans="1:5" ht="15" thickBot="1" x14ac:dyDescent="0.35">
      <c r="A100" s="1136" t="s">
        <v>5390</v>
      </c>
      <c r="B100" s="1137">
        <f>B67-B99</f>
        <v>5.1306206925756328</v>
      </c>
      <c r="C100" s="1138" t="s">
        <v>5246</v>
      </c>
      <c r="D100" s="1139"/>
      <c r="E100" s="492"/>
    </row>
  </sheetData>
  <mergeCells count="3">
    <mergeCell ref="C2:P2"/>
    <mergeCell ref="R2:AE2"/>
    <mergeCell ref="D33:I33"/>
  </mergeCells>
  <phoneticPr fontId="51" type="noConversion"/>
  <pageMargins left="0.7" right="0.7" top="0.75" bottom="0.75" header="0.3" footer="0.3"/>
  <pageSetup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F9997-206B-47BF-91BD-52DB5E92144B}">
  <sheetPr codeName="Sheet55">
    <tabColor rgb="FFFFFF00"/>
  </sheetPr>
  <dimension ref="A1:AE116"/>
  <sheetViews>
    <sheetView workbookViewId="0">
      <selection sqref="A1:C1"/>
    </sheetView>
  </sheetViews>
  <sheetFormatPr defaultRowHeight="14.4" x14ac:dyDescent="0.3"/>
  <cols>
    <col min="1" max="1" width="57" customWidth="1"/>
    <col min="2" max="2" width="23.88671875" customWidth="1"/>
    <col min="3" max="7" width="11" customWidth="1"/>
    <col min="8" max="10" width="14" customWidth="1"/>
    <col min="11" max="11" width="11.5546875" customWidth="1"/>
    <col min="12" max="14" width="11" customWidth="1"/>
    <col min="15" max="15" width="9.88671875" customWidth="1"/>
    <col min="16" max="16" width="10.5546875" customWidth="1"/>
    <col min="17" max="17" width="10.109375" style="818" customWidth="1"/>
    <col min="18" max="26" width="24.88671875" customWidth="1"/>
    <col min="27" max="27" width="14.44140625" customWidth="1"/>
    <col min="28" max="28" width="15.88671875" customWidth="1"/>
    <col min="29" max="29" width="14.44140625" customWidth="1"/>
    <col min="30" max="30" width="13" customWidth="1"/>
    <col min="31" max="31" width="29.33203125" customWidth="1"/>
  </cols>
  <sheetData>
    <row r="1" spans="1:31" x14ac:dyDescent="0.3">
      <c r="A1" s="82" t="s">
        <v>5239</v>
      </c>
      <c r="C1" t="s">
        <v>5240</v>
      </c>
      <c r="D1" t="s">
        <v>5241</v>
      </c>
      <c r="E1" t="s">
        <v>4776</v>
      </c>
      <c r="F1" t="s">
        <v>4777</v>
      </c>
      <c r="G1" t="s">
        <v>4778</v>
      </c>
      <c r="H1" t="s">
        <v>4779</v>
      </c>
      <c r="I1" t="s">
        <v>4780</v>
      </c>
      <c r="J1" t="s">
        <v>4781</v>
      </c>
      <c r="K1" t="s">
        <v>4721</v>
      </c>
      <c r="L1" t="s">
        <v>4722</v>
      </c>
      <c r="M1" t="s">
        <v>4723</v>
      </c>
      <c r="N1" t="s">
        <v>5242</v>
      </c>
      <c r="O1" t="s">
        <v>5243</v>
      </c>
      <c r="P1" t="s">
        <v>4782</v>
      </c>
      <c r="R1" t="s">
        <v>5240</v>
      </c>
      <c r="S1" t="s">
        <v>5241</v>
      </c>
      <c r="T1" t="s">
        <v>4776</v>
      </c>
      <c r="U1" t="s">
        <v>4777</v>
      </c>
      <c r="V1" t="s">
        <v>4778</v>
      </c>
      <c r="W1" t="s">
        <v>4779</v>
      </c>
      <c r="X1" t="s">
        <v>4780</v>
      </c>
      <c r="Y1" t="s">
        <v>4781</v>
      </c>
      <c r="Z1" t="s">
        <v>4721</v>
      </c>
      <c r="AA1" t="s">
        <v>4722</v>
      </c>
      <c r="AB1" t="s">
        <v>4723</v>
      </c>
      <c r="AC1" t="s">
        <v>5242</v>
      </c>
      <c r="AD1" t="s">
        <v>5243</v>
      </c>
      <c r="AE1" t="s">
        <v>4782</v>
      </c>
    </row>
    <row r="2" spans="1:31" x14ac:dyDescent="0.3">
      <c r="C2" s="3034" t="s">
        <v>5244</v>
      </c>
      <c r="D2" s="3035"/>
      <c r="E2" s="3035"/>
      <c r="F2" s="3035"/>
      <c r="G2" s="3035"/>
      <c r="H2" s="3035"/>
      <c r="I2" s="3035"/>
      <c r="J2" s="3035"/>
      <c r="K2" s="3035"/>
      <c r="L2" s="3035"/>
      <c r="M2" s="3035"/>
      <c r="N2" s="3035"/>
      <c r="O2" s="3035"/>
      <c r="P2" s="3035"/>
      <c r="R2" s="3036" t="s">
        <v>5244</v>
      </c>
      <c r="S2" s="3037"/>
      <c r="T2" s="3037"/>
      <c r="U2" s="3037"/>
      <c r="V2" s="3037"/>
      <c r="W2" s="3037"/>
      <c r="X2" s="3037"/>
      <c r="Y2" s="3037"/>
      <c r="Z2" s="3037"/>
      <c r="AA2" s="3037"/>
      <c r="AB2" s="3037"/>
      <c r="AC2" s="3037"/>
      <c r="AD2" s="3037"/>
      <c r="AE2" s="3037"/>
    </row>
    <row r="3" spans="1:31" s="369" customFormat="1" ht="57.6" customHeight="1" x14ac:dyDescent="0.3">
      <c r="A3" s="665" t="s">
        <v>2664</v>
      </c>
      <c r="B3" s="664" t="s">
        <v>5180</v>
      </c>
      <c r="C3" s="819" t="str" cm="1">
        <f t="array" ref="C3">INDEX(Sc.Table!$I$12:$I$98,MATCH(1,(EconIntermediate!C26=Sc.Table!$C$12:$C$98)*(EconIntermediate!C27=Sc.Table!$E$12:$E$98),0))</f>
        <v>Deep pit, tanker</v>
      </c>
      <c r="D3" s="819" t="str" cm="1">
        <f t="array" ref="D3">INDEX(Sc.Table!$I$12:$I$98,MATCH(1,(EconIntermediate!D26=Sc.Table!$C$12:$C$98)*(EconIntermediate!D27=Sc.Table!$E$12:$E$98),0))</f>
        <v>Deep pit, aeration, tanker</v>
      </c>
      <c r="E3" s="819" t="str" cm="1">
        <f t="array" ref="E3">INDEX(Sc.Table!$I$12:$I$98,MATCH(1,(EconIntermediate!E26=Sc.Table!$C$12:$C$98)*(EconIntermediate!E27=Sc.Table!$E$12:$E$98),0))</f>
        <v>Shallow pit, flush, lagoon, irrigation + tanker</v>
      </c>
      <c r="F3" s="819" t="str" cm="1">
        <f t="array" ref="F3">INDEX(Sc.Table!$I$12:$I$98,MATCH(1,(EconIntermediate!F26=Sc.Table!$C$12:$C$98)*(EconIntermediate!F27=Sc.Table!$E$12:$E$98),0))</f>
        <v>Shallow pit, scrape auto, lagoon, irrigation + tanker</v>
      </c>
      <c r="G3" s="819" t="str" cm="1">
        <f t="array" ref="G3">INDEX(Sc.Table!$I$12:$I$98,MATCH(1,(EconIntermediate!G26=Sc.Table!$C$12:$C$98)*(EconIntermediate!G27=Sc.Table!$E$12:$E$98),0))</f>
        <v>Shallow pit, pull plug, lagoon, irrigation + tanker</v>
      </c>
      <c r="H3" s="819" t="str" cm="1">
        <f t="array" ref="H3">INDEX(Sc.Table!$I$12:$I$98,MATCH(1,(EconIntermediate!H26=Sc.Table!$C$12:$C$98)*(EconIntermediate!H27=Sc.Table!$E$12:$E$98),0))</f>
        <v>Shallow pit, flush, AD, lagoon, irrigation + tanker</v>
      </c>
      <c r="I3" s="819" t="str" cm="1">
        <f t="array" ref="I3">INDEX(Sc.Table!$I$12:$I$98,MATCH(1,(EconIntermediate!I26=Sc.Table!$C$12:$C$98)*(EconIntermediate!I27=Sc.Table!$E$12:$E$98),0))</f>
        <v>Shallow pit, scrape auto, AD, lagoon, irrigation + tanker</v>
      </c>
      <c r="J3" s="819" t="str" cm="1">
        <f t="array" ref="J3">INDEX(Sc.Table!$I$12:$I$98,MATCH(1,(EconIntermediate!J26=Sc.Table!$C$12:$C$98)*(EconIntermediate!J27=Sc.Table!$E$12:$E$98),0))</f>
        <v>Shallow pit, pull plug, AD, lagoon, irrigation + tanker</v>
      </c>
      <c r="K3" s="819" t="str" cm="1">
        <f t="array" ref="K3">INDEX(Sc.Table!$I$12:$I$98,MATCH(1,(EconIntermediate!K26=Sc.Table!$C$12:$C$98)*(EconIntermediate!K27=Sc.Table!$E$12:$E$98),0))</f>
        <v>Shallow pit, flush, covered digestion basin, lagoon, irrigation + tanker</v>
      </c>
      <c r="L3" s="819" t="str" cm="1">
        <f t="array" ref="L3">INDEX(Sc.Table!$I$12:$I$98,MATCH(1,(EconIntermediate!L26=Sc.Table!$C$12:$C$98)*(EconIntermediate!L27=Sc.Table!$E$12:$E$98),0))</f>
        <v>Shallow pit, scrape auto, covered digestion basin, lagoon, irrigation + tanker</v>
      </c>
      <c r="M3" s="819" t="str" cm="1">
        <f t="array" ref="M3">INDEX(Sc.Table!$I$12:$I$98,MATCH(1,(EconIntermediate!M26=Sc.Table!$C$12:$C$98)*(EconIntermediate!M27=Sc.Table!$E$12:$E$98),0))</f>
        <v>Shallow pit, pull plug, covered digestion basin, lagoon, irrigation + tanker</v>
      </c>
      <c r="N3" s="819" t="str" cm="1">
        <f t="array" ref="N3">INDEX(Sc.Table!$I$12:$I$98,MATCH(1,(EconIntermediate!N26=Sc.Table!$C$12:$C$98)*(EconIntermediate!N27=Sc.Table!$E$12:$E$98),0))</f>
        <v>Shallow pit, scrape auto, above ground storage tank, tanker</v>
      </c>
      <c r="O3" s="819" t="str" cm="1">
        <f t="array" ref="O3">INDEX(Sc.Table!$I$12:$I$98,MATCH(1,(EconIntermediate!O26=Sc.Table!$C$12:$C$98)*(EconIntermediate!O27=Sc.Table!$E$12:$E$98),0))</f>
        <v>Shallow pit, scrape auto, compost, tanker</v>
      </c>
      <c r="P3" s="819" t="str" cm="1">
        <f t="array" ref="P3">INDEX(Sc.Table!$I$12:$I$98,MATCH(1,(EconIntermediate!P26=Sc.Table!$C$12:$C$98)*(EconIntermediate!P27=Sc.Table!$E$12:$E$98),0))</f>
        <v>Shallow pit, scrape auto, slope screen, lagoon, irrigation + tanker</v>
      </c>
      <c r="Q3" s="818"/>
      <c r="R3" s="819" t="str" cm="1">
        <f t="array" ref="R3">INDEX(Sc.Table!$I$12:$I$98,MATCH(1,(EconIntermediate!R26=Sc.Table!$C$12:$C$98)*(EconIntermediate!R27=Sc.Table!$E$12:$E$98),0))</f>
        <v>Deep pit, drag hose</v>
      </c>
      <c r="S3" s="819" t="str" cm="1">
        <f t="array" ref="S3">INDEX(Sc.Table!$I$12:$I$98,MATCH(1,(EconIntermediate!S26=Sc.Table!$C$12:$C$98)*(EconIntermediate!S27=Sc.Table!$E$12:$E$98),0))</f>
        <v>Deep pit, aeration, drag hose</v>
      </c>
      <c r="T3" s="819" t="str" cm="1">
        <f t="array" ref="T3">INDEX(Sc.Table!$I$12:$I$98,MATCH(1,(EconIntermediate!T26=Sc.Table!$C$12:$C$98)*(EconIntermediate!T27=Sc.Table!$E$12:$E$98),0))</f>
        <v>Shallow pit, flush, lagoon, irrigation + drag hose</v>
      </c>
      <c r="U3" s="819" t="str" cm="1">
        <f t="array" ref="U3">INDEX(Sc.Table!$I$12:$I$98,MATCH(1,(EconIntermediate!U26=Sc.Table!$C$12:$C$98)*(EconIntermediate!U27=Sc.Table!$E$12:$E$98),0))</f>
        <v>Shallow pit, scrape auto, lagoon, irrigation + drag hose</v>
      </c>
      <c r="V3" s="819" t="str" cm="1">
        <f t="array" ref="V3">INDEX(Sc.Table!$I$12:$I$98,MATCH(1,(EconIntermediate!V26=Sc.Table!$C$12:$C$98)*(EconIntermediate!V27=Sc.Table!$E$12:$E$98),0))</f>
        <v>Shallow pit, pull plug, lagoon, irrigation + drag hose</v>
      </c>
      <c r="W3" s="819" t="str" cm="1">
        <f t="array" ref="W3">INDEX(Sc.Table!$I$12:$I$98,MATCH(1,(EconIntermediate!W26=Sc.Table!$C$12:$C$98)*(EconIntermediate!W27=Sc.Table!$E$12:$E$98),0))</f>
        <v>Shallow pit, flush, AD, lagoon, irrigation + drag hose</v>
      </c>
      <c r="X3" s="819" t="str" cm="1">
        <f t="array" ref="X3">INDEX(Sc.Table!$I$12:$I$98,MATCH(1,(EconIntermediate!X26=Sc.Table!$C$12:$C$98)*(EconIntermediate!X27=Sc.Table!$E$12:$E$98),0))</f>
        <v>Shallow pit, scrape auto, AD, lagoon, irrigation + drag hose</v>
      </c>
      <c r="Y3" s="819" t="str" cm="1">
        <f t="array" ref="Y3">INDEX(Sc.Table!$I$12:$I$98,MATCH(1,(EconIntermediate!Y26=Sc.Table!$C$12:$C$98)*(EconIntermediate!Y27=Sc.Table!$E$12:$E$98),0))</f>
        <v>Shallow pit, pull plug, AD, lagoon, irrigation + drag hose</v>
      </c>
      <c r="Z3" s="819" t="str" cm="1">
        <f t="array" ref="Z3">INDEX(Sc.Table!$I$12:$I$98,MATCH(1,(EconIntermediate!Z26=Sc.Table!$C$12:$C$98)*(EconIntermediate!Z27=Sc.Table!$E$12:$E$98),0))</f>
        <v>Shallow pit, flush, covered digestion basin, lagoon, irrigation + drag hose</v>
      </c>
      <c r="AA3" s="819" t="str" cm="1">
        <f t="array" ref="AA3">INDEX(Sc.Table!$I$12:$I$98,MATCH(1,(EconIntermediate!AA26=Sc.Table!$C$12:$C$98)*(EconIntermediate!AA27=Sc.Table!$E$12:$E$98),0))</f>
        <v>Shallow pit, scrape auto, covered digestion basin, lagoon, irrigation + drag hose</v>
      </c>
      <c r="AB3" s="819" t="str" cm="1">
        <f t="array" ref="AB3">INDEX(Sc.Table!$I$12:$I$98,MATCH(1,(EconIntermediate!AB26=Sc.Table!$C$12:$C$98)*(EconIntermediate!AB27=Sc.Table!$E$12:$E$98),0))</f>
        <v>Shallow pit, pull plug, covered digestion basin, lagoon, irrigation + drag hose</v>
      </c>
      <c r="AC3" s="819" t="str" cm="1">
        <f t="array" ref="AC3">INDEX(Sc.Table!$I$12:$I$98,MATCH(1,(EconIntermediate!AC26=Sc.Table!$C$12:$C$98)*(EconIntermediate!AC27=Sc.Table!$E$12:$E$98),0))</f>
        <v>Shallow pit, scrape auto, above ground storage tank, drag hose</v>
      </c>
      <c r="AD3" s="1165" t="s">
        <v>5391</v>
      </c>
      <c r="AE3" s="819" t="str" cm="1">
        <f t="array" ref="AE3">INDEX(Sc.Table!$I$12:$I$98,MATCH(1,(EconIntermediate!AE26=Sc.Table!$C$12:$C$98)*(EconIntermediate!AE27=Sc.Table!$E$12:$E$98),0))</f>
        <v>Shallow pit, scrape auto, slope screen, lagoon, irrigation + drag hose</v>
      </c>
    </row>
    <row r="4" spans="1:31" x14ac:dyDescent="0.3">
      <c r="A4" s="820" t="s">
        <v>2585</v>
      </c>
      <c r="B4" s="821" t="s">
        <v>4980</v>
      </c>
      <c r="C4" s="2150">
        <f ca="1">SUMIFS(INDIRECT("'"&amp;C$1&amp;"'!"&amp;"$D:$D"),INDIRECT("'"&amp;C$1&amp;"'!"&amp;"$A:$A"),EconIntermediate!C$27,INDIRECT("'"&amp;C$1&amp;"'!"&amp;"$B:$B"),$A4)</f>
        <v>80.019532027672795</v>
      </c>
      <c r="D4" s="860">
        <f ca="1">SUMIFS(INDIRECT("'"&amp;D$1&amp;"'!"&amp;"$D:$D"),INDIRECT("'"&amp;D$1&amp;"'!"&amp;"$A:$A"),EconIntermediate!D$27,INDIRECT("'"&amp;D$1&amp;"'!"&amp;"$B:$B"),$A4)</f>
        <v>75.941569540956351</v>
      </c>
      <c r="E4" s="860">
        <f ca="1">SUMIFS(INDIRECT("'"&amp;E$1&amp;"'!"&amp;"$D:$D"),INDIRECT("'"&amp;E$1&amp;"'!"&amp;"$A:$A"),EconIntermediate!E$27,INDIRECT("'"&amp;E$1&amp;"'!"&amp;"$B:$B"),$A4)</f>
        <v>107.01067504727503</v>
      </c>
      <c r="F4" s="860">
        <f ca="1">SUMIFS(INDIRECT("'"&amp;F$1&amp;"'!"&amp;"$D:$D"),INDIRECT("'"&amp;F$1&amp;"'!"&amp;"$A:$A"),EconIntermediate!F$27,INDIRECT("'"&amp;F$1&amp;"'!"&amp;"$B:$B"),$A4)</f>
        <v>100.82985631468424</v>
      </c>
      <c r="G4" s="860">
        <f ca="1">SUMIFS(INDIRECT("'"&amp;G$1&amp;"'!"&amp;"$D:$D"),INDIRECT("'"&amp;G$1&amp;"'!"&amp;"$A:$A"),EconIntermediate!G$27,INDIRECT("'"&amp;G$1&amp;"'!"&amp;"$B:$B"),$A4)</f>
        <v>107.88502322499558</v>
      </c>
      <c r="H4" s="860">
        <f ca="1">SUMIFS(INDIRECT("'"&amp;H$1&amp;"'!"&amp;"$D:$D"),INDIRECT("'"&amp;H$1&amp;"'!"&amp;"$A:$A"),EconIntermediate!H$27,INDIRECT("'"&amp;H$1&amp;"'!"&amp;"$B:$B"),$A4)</f>
        <v>670.31879721336372</v>
      </c>
      <c r="I4" s="860">
        <f ca="1">SUMIFS(INDIRECT("'"&amp;I$1&amp;"'!"&amp;"$D:$D"),INDIRECT("'"&amp;I$1&amp;"'!"&amp;"$A:$A"),EconIntermediate!I$27,INDIRECT("'"&amp;I$1&amp;"'!"&amp;"$B:$B"),$A4)</f>
        <v>439.91284637390459</v>
      </c>
      <c r="J4" s="860">
        <f ca="1">SUMIFS(INDIRECT("'"&amp;J$1&amp;"'!"&amp;"$D:$D"),INDIRECT("'"&amp;J$1&amp;"'!"&amp;"$A:$A"),EconIntermediate!J$27,INDIRECT("'"&amp;J$1&amp;"'!"&amp;"$B:$B"),$A4)</f>
        <v>480.9110495501335</v>
      </c>
      <c r="K4" s="860">
        <f ca="1">SUMIFS(INDIRECT("'"&amp;K$1&amp;"'!"&amp;"$D:$D"),INDIRECT("'"&amp;K$1&amp;"'!"&amp;"$A:$A"),EconIntermediate!K$27,INDIRECT("'"&amp;K$1&amp;"'!"&amp;"$B:$B"),$A4)</f>
        <v>164.06994898400799</v>
      </c>
      <c r="L4" s="860">
        <f ca="1">SUMIFS(INDIRECT("'"&amp;L$1&amp;"'!"&amp;"$D:$D"),INDIRECT("'"&amp;L$1&amp;"'!"&amp;"$A:$A"),EconIntermediate!L$27,INDIRECT("'"&amp;L$1&amp;"'!"&amp;"$B:$B"),$A4)</f>
        <v>167.38695881703816</v>
      </c>
      <c r="M4" s="860">
        <f ca="1">SUMIFS(INDIRECT("'"&amp;M$1&amp;"'!"&amp;"$D:$D"),INDIRECT("'"&amp;M$1&amp;"'!"&amp;"$A:$A"),EconIntermediate!M$27,INDIRECT("'"&amp;M$1&amp;"'!"&amp;"$B:$B"),$A4)</f>
        <v>161.76579735540867</v>
      </c>
      <c r="N4" s="860">
        <f ca="1">SUMIFS(INDIRECT("'"&amp;N$1&amp;"'!"&amp;"$D:$D"),INDIRECT("'"&amp;N$1&amp;"'!"&amp;"$A:$A"),EconIntermediate!N$27,INDIRECT("'"&amp;N$1&amp;"'!"&amp;"$B:$B"),$A4)</f>
        <v>97.765169538002837</v>
      </c>
      <c r="O4" s="860">
        <f ca="1">SUMIFS(INDIRECT("'"&amp;O$1&amp;"'!"&amp;"$D:$D"),INDIRECT("'"&amp;O$1&amp;"'!"&amp;"$A:$A"),EconIntermediate!O$27,INDIRECT("'"&amp;O$1&amp;"'!"&amp;"$B:$B"),$A4)</f>
        <v>138.25268039781673</v>
      </c>
      <c r="P4" s="860">
        <f ca="1">SUMIFS(INDIRECT("'"&amp;P$1&amp;"'!"&amp;"$D:$D"),INDIRECT("'"&amp;P$1&amp;"'!"&amp;"$A:$A"),EconIntermediate!P$27,INDIRECT("'"&amp;P$1&amp;"'!"&amp;"$B:$B"),$A4)</f>
        <v>119.10647603828352</v>
      </c>
      <c r="Q4" s="861"/>
      <c r="R4" s="860">
        <f ca="1">SUMIFS(INDIRECT("'"&amp;R$1&amp;"'!"&amp;"$D:$D"),INDIRECT("'"&amp;R$1&amp;"'!"&amp;"$A:$A"),EconIntermediate!R$27,INDIRECT("'"&amp;R$1&amp;"'!"&amp;"$B:$B"),$A4)</f>
        <v>187.39420738076305</v>
      </c>
      <c r="S4" s="860">
        <f ca="1">SUMIFS(INDIRECT("'"&amp;S$1&amp;"'!"&amp;"$D:$D"),INDIRECT("'"&amp;S$1&amp;"'!"&amp;"$A:$A"),EconIntermediate!S$27,INDIRECT("'"&amp;S$1&amp;"'!"&amp;"$B:$B"),$A4)</f>
        <v>161.4622436895265</v>
      </c>
      <c r="T4" s="860">
        <f ca="1">SUMIFS(INDIRECT("'"&amp;T$1&amp;"'!"&amp;"$D:$D"),INDIRECT("'"&amp;T$1&amp;"'!"&amp;"$A:$A"),EconIntermediate!T$27,INDIRECT("'"&amp;T$1&amp;"'!"&amp;"$B:$B"),$A4)</f>
        <v>214.58024885661052</v>
      </c>
      <c r="U4" s="860">
        <f ca="1">SUMIFS(INDIRECT("'"&amp;U$1&amp;"'!"&amp;"$D:$D"),INDIRECT("'"&amp;U$1&amp;"'!"&amp;"$A:$A"),EconIntermediate!U$27,INDIRECT("'"&amp;U$1&amp;"'!"&amp;"$B:$B"),$A4)</f>
        <v>208.42571999489647</v>
      </c>
      <c r="V4" s="860">
        <f ca="1">SUMIFS(INDIRECT("'"&amp;V$1&amp;"'!"&amp;"$D:$D"),INDIRECT("'"&amp;V$1&amp;"'!"&amp;"$A:$A"),EconIntermediate!V$27,INDIRECT("'"&amp;V$1&amp;"'!"&amp;"$B:$B"),$A4)</f>
        <v>215.47040066626485</v>
      </c>
      <c r="W4" s="860">
        <f ca="1">SUMIFS(INDIRECT("'"&amp;W$1&amp;"'!"&amp;"$D:$D"),INDIRECT("'"&amp;W$1&amp;"'!"&amp;"$A:$A"),EconIntermediate!W$27,INDIRECT("'"&amp;W$1&amp;"'!"&amp;"$B:$B"),$A4)</f>
        <v>785.44802324471482</v>
      </c>
      <c r="X4" s="860">
        <f ca="1">SUMIFS(INDIRECT("'"&amp;X$1&amp;"'!"&amp;"$D:$D"),INDIRECT("'"&amp;X$1&amp;"'!"&amp;"$A:$A"),EconIntermediate!X$27,INDIRECT("'"&amp;X$1&amp;"'!"&amp;"$B:$B"),$A4)</f>
        <v>547.53175286366832</v>
      </c>
      <c r="Y4" s="860">
        <f ca="1">SUMIFS(INDIRECT("'"&amp;Y$1&amp;"'!"&amp;"$D:$D"),INDIRECT("'"&amp;Y$1&amp;"'!"&amp;"$A:$A"),EconIntermediate!Y$27,INDIRECT("'"&amp;Y$1&amp;"'!"&amp;"$B:$B"),$A4)</f>
        <v>588.4865973280431</v>
      </c>
      <c r="Z4" s="860">
        <f ca="1">SUMIFS(INDIRECT("'"&amp;Z$1&amp;"'!"&amp;"$D:$D"),INDIRECT("'"&amp;Z$1&amp;"'!"&amp;"$A:$A"),EconIntermediate!Z$27,INDIRECT("'"&amp;Z$1&amp;"'!"&amp;"$B:$B"),$A4)</f>
        <v>271.71910627442935</v>
      </c>
      <c r="AA4" s="860">
        <f ca="1">SUMIFS(INDIRECT("'"&amp;AA$1&amp;"'!"&amp;"$D:$D"),INDIRECT("'"&amp;AA$1&amp;"'!"&amp;"$A:$A"),EconIntermediate!AA$27,INDIRECT("'"&amp;AA$1&amp;"'!"&amp;"$B:$B"),$A4)</f>
        <v>275.06593383765556</v>
      </c>
      <c r="AB4" s="860">
        <f ca="1">SUMIFS(INDIRECT("'"&amp;AB$1&amp;"'!"&amp;"$D:$D"),INDIRECT("'"&amp;AB$1&amp;"'!"&amp;"$A:$A"),EconIntermediate!AB$27,INDIRECT("'"&amp;AB$1&amp;"'!"&amp;"$B:$B"),$A4)</f>
        <v>269.422344807652</v>
      </c>
      <c r="AC4" s="860">
        <f ca="1">SUMIFS(INDIRECT("'"&amp;AC$1&amp;"'!"&amp;"$D:$D"),INDIRECT("'"&amp;AC$1&amp;"'!"&amp;"$A:$A"),EconIntermediate!AC$27,INDIRECT("'"&amp;AC$1&amp;"'!"&amp;"$B:$B"),$A4)</f>
        <v>200.41029489221683</v>
      </c>
      <c r="AD4" s="860"/>
      <c r="AE4" s="860">
        <f ca="1">SUMIFS(INDIRECT("'"&amp;AE$1&amp;"'!"&amp;"$D:$D"),INDIRECT("'"&amp;AE$1&amp;"'!"&amp;"$A:$A"),EconIntermediate!AE$27,INDIRECT("'"&amp;AE$1&amp;"'!"&amp;"$B:$B"),$A4)</f>
        <v>226.75204573192443</v>
      </c>
    </row>
    <row r="5" spans="1:31" x14ac:dyDescent="0.3">
      <c r="A5" s="820" t="s">
        <v>2588</v>
      </c>
      <c r="B5" s="821" t="s">
        <v>4980</v>
      </c>
      <c r="C5" s="2150">
        <f ca="1">SUMIFS(INDIRECT("'"&amp;C$1&amp;"'!"&amp;"$D:$D"),INDIRECT("'"&amp;C$1&amp;"'!"&amp;"$A:$A"),EconIntermediate!C$27,INDIRECT("'"&amp;C$1&amp;"'!"&amp;"$B:$B"),$A5)</f>
        <v>29.124523338619547</v>
      </c>
      <c r="D5" s="860">
        <f ca="1">SUMIFS(INDIRECT("'"&amp;D$1&amp;"'!"&amp;"$D:$D"),INDIRECT("'"&amp;D$1&amp;"'!"&amp;"$A:$A"),EconIntermediate!D$27,INDIRECT("'"&amp;D$1&amp;"'!"&amp;"$B:$B"),$A5)</f>
        <v>27.847553470780319</v>
      </c>
      <c r="E5" s="860">
        <f ca="1">SUMIFS(INDIRECT("'"&amp;E$1&amp;"'!"&amp;"$D:$D"),INDIRECT("'"&amp;E$1&amp;"'!"&amp;"$A:$A"),EconIntermediate!E$27,INDIRECT("'"&amp;E$1&amp;"'!"&amp;"$B:$B"),$A5)</f>
        <v>78.012649176022421</v>
      </c>
      <c r="F5" s="860">
        <f ca="1">SUMIFS(INDIRECT("'"&amp;F$1&amp;"'!"&amp;"$D:$D"),INDIRECT("'"&amp;F$1&amp;"'!"&amp;"$A:$A"),EconIntermediate!F$27,INDIRECT("'"&amp;F$1&amp;"'!"&amp;"$B:$B"),$A5)</f>
        <v>33.922179351332879</v>
      </c>
      <c r="G5" s="860">
        <f ca="1">SUMIFS(INDIRECT("'"&amp;G$1&amp;"'!"&amp;"$D:$D"),INDIRECT("'"&amp;G$1&amp;"'!"&amp;"$A:$A"),EconIntermediate!G$27,INDIRECT("'"&amp;G$1&amp;"'!"&amp;"$B:$B"),$A5)</f>
        <v>111.01804853425334</v>
      </c>
      <c r="H5" s="860">
        <f ca="1">SUMIFS(INDIRECT("'"&amp;H$1&amp;"'!"&amp;"$D:$D"),INDIRECT("'"&amp;H$1&amp;"'!"&amp;"$A:$A"),EconIntermediate!H$27,INDIRECT("'"&amp;H$1&amp;"'!"&amp;"$B:$B"),$A5)</f>
        <v>310.97369373908185</v>
      </c>
      <c r="I5" s="860">
        <f ca="1">SUMIFS(INDIRECT("'"&amp;I$1&amp;"'!"&amp;"$D:$D"),INDIRECT("'"&amp;I$1&amp;"'!"&amp;"$A:$A"),EconIntermediate!I$27,INDIRECT("'"&amp;I$1&amp;"'!"&amp;"$B:$B"),$A5)</f>
        <v>201.64166478714134</v>
      </c>
      <c r="J5" s="860">
        <f ca="1">SUMIFS(INDIRECT("'"&amp;J$1&amp;"'!"&amp;"$D:$D"),INDIRECT("'"&amp;J$1&amp;"'!"&amp;"$A:$A"),EconIntermediate!J$27,INDIRECT("'"&amp;J$1&amp;"'!"&amp;"$B:$B"),$A5)</f>
        <v>219.96606554892253</v>
      </c>
      <c r="K5" s="860">
        <f ca="1">SUMIFS(INDIRECT("'"&amp;K$1&amp;"'!"&amp;"$D:$D"),INDIRECT("'"&amp;K$1&amp;"'!"&amp;"$A:$A"),EconIntermediate!K$27,INDIRECT("'"&amp;K$1&amp;"'!"&amp;"$B:$B"),$A5)</f>
        <v>49.264470164314055</v>
      </c>
      <c r="L5" s="860">
        <f ca="1">SUMIFS(INDIRECT("'"&amp;L$1&amp;"'!"&amp;"$D:$D"),INDIRECT("'"&amp;L$1&amp;"'!"&amp;"$A:$A"),EconIntermediate!L$27,INDIRECT("'"&amp;L$1&amp;"'!"&amp;"$B:$B"),$A5)</f>
        <v>52.83724132948911</v>
      </c>
      <c r="M5" s="860">
        <f ca="1">SUMIFS(INDIRECT("'"&amp;M$1&amp;"'!"&amp;"$D:$D"),INDIRECT("'"&amp;M$1&amp;"'!"&amp;"$A:$A"),EconIntermediate!M$27,INDIRECT("'"&amp;M$1&amp;"'!"&amp;"$B:$B"),$A5)</f>
        <v>48.643373670824786</v>
      </c>
      <c r="N5" s="860">
        <f ca="1">SUMIFS(INDIRECT("'"&amp;N$1&amp;"'!"&amp;"$D:$D"),INDIRECT("'"&amp;N$1&amp;"'!"&amp;"$A:$A"),EconIntermediate!N$27,INDIRECT("'"&amp;N$1&amp;"'!"&amp;"$B:$B"),$A5)</f>
        <v>61.870572698517826</v>
      </c>
      <c r="O5" s="860">
        <f ca="1">SUMIFS(INDIRECT("'"&amp;O$1&amp;"'!"&amp;"$D:$D"),INDIRECT("'"&amp;O$1&amp;"'!"&amp;"$A:$A"),EconIntermediate!O$27,INDIRECT("'"&amp;O$1&amp;"'!"&amp;"$B:$B"),$A5)</f>
        <v>90.302900430103776</v>
      </c>
      <c r="P5" s="860">
        <f ca="1">SUMIFS(INDIRECT("'"&amp;P$1&amp;"'!"&amp;"$D:$D"),INDIRECT("'"&amp;P$1&amp;"'!"&amp;"$A:$A"),EconIntermediate!P$27,INDIRECT("'"&amp;P$1&amp;"'!"&amp;"$B:$B"),$A5)</f>
        <v>51.591064705904564</v>
      </c>
      <c r="Q5" s="861"/>
      <c r="R5" s="860">
        <f ca="1">SUMIFS(INDIRECT("'"&amp;R$1&amp;"'!"&amp;"$D:$D"),INDIRECT("'"&amp;R$1&amp;"'!"&amp;"$A:$A"),EconIntermediate!R$27,INDIRECT("'"&amp;R$1&amp;"'!"&amp;"$B:$B"),$A5)</f>
        <v>65.065295958790145</v>
      </c>
      <c r="S5" s="860">
        <f ca="1">SUMIFS(INDIRECT("'"&amp;S$1&amp;"'!"&amp;"$D:$D"),INDIRECT("'"&amp;S$1&amp;"'!"&amp;"$A:$A"),EconIntermediate!S$27,INDIRECT("'"&amp;S$1&amp;"'!"&amp;"$B:$B"),$A5)</f>
        <v>57.258864061153815</v>
      </c>
      <c r="T5" s="860">
        <f ca="1">SUMIFS(INDIRECT("'"&amp;T$1&amp;"'!"&amp;"$D:$D"),INDIRECT("'"&amp;T$1&amp;"'!"&amp;"$A:$A"),EconIntermediate!T$27,INDIRECT("'"&amp;T$1&amp;"'!"&amp;"$B:$B"),$A5)</f>
        <v>111.7356383280778</v>
      </c>
      <c r="U5" s="860">
        <f ca="1">SUMIFS(INDIRECT("'"&amp;U$1&amp;"'!"&amp;"$D:$D"),INDIRECT("'"&amp;U$1&amp;"'!"&amp;"$A:$A"),EconIntermediate!U$27,INDIRECT("'"&amp;U$1&amp;"'!"&amp;"$B:$B"),$A5)</f>
        <v>67.703908898780782</v>
      </c>
      <c r="V5" s="860">
        <f ca="1">SUMIFS(INDIRECT("'"&amp;V$1&amp;"'!"&amp;"$D:$D"),INDIRECT("'"&amp;V$1&amp;"'!"&amp;"$A:$A"),EconIntermediate!V$27,INDIRECT("'"&amp;V$1&amp;"'!"&amp;"$B:$B"),$A5)</f>
        <v>144.77653527028673</v>
      </c>
      <c r="W5" s="860">
        <f ca="1">SUMIFS(INDIRECT("'"&amp;W$1&amp;"'!"&amp;"$D:$D"),INDIRECT("'"&amp;W$1&amp;"'!"&amp;"$A:$A"),EconIntermediate!W$27,INDIRECT("'"&amp;W$1&amp;"'!"&amp;"$B:$B"),$A5)</f>
        <v>352.90295664391317</v>
      </c>
      <c r="X5" s="860">
        <f ca="1">SUMIFS(INDIRECT("'"&amp;X$1&amp;"'!"&amp;"$D:$D"),INDIRECT("'"&amp;X$1&amp;"'!"&amp;"$A:$A"),EconIntermediate!X$27,INDIRECT("'"&amp;X$1&amp;"'!"&amp;"$B:$B"),$A5)</f>
        <v>235.48766146164027</v>
      </c>
      <c r="Y5" s="860">
        <f ca="1">SUMIFS(INDIRECT("'"&amp;Y$1&amp;"'!"&amp;"$D:$D"),INDIRECT("'"&amp;Y$1&amp;"'!"&amp;"$A:$A"),EconIntermediate!Y$27,INDIRECT("'"&amp;Y$1&amp;"'!"&amp;"$B:$B"),$A5)</f>
        <v>253.70327633660568</v>
      </c>
      <c r="Z5" s="860">
        <f ca="1">SUMIFS(INDIRECT("'"&amp;Z$1&amp;"'!"&amp;"$D:$D"),INDIRECT("'"&amp;Z$1&amp;"'!"&amp;"$A:$A"),EconIntermediate!Z$27,INDIRECT("'"&amp;Z$1&amp;"'!"&amp;"$B:$B"),$A5)</f>
        <v>83.175372253218569</v>
      </c>
      <c r="AA5" s="860">
        <f ca="1">SUMIFS(INDIRECT("'"&amp;AA$1&amp;"'!"&amp;"$D:$D"),INDIRECT("'"&amp;AA$1&amp;"'!"&amp;"$A:$A"),EconIntermediate!AA$27,INDIRECT("'"&amp;AA$1&amp;"'!"&amp;"$B:$B"),$A5)</f>
        <v>86.839836566161011</v>
      </c>
      <c r="AB5" s="860">
        <f ca="1">SUMIFS(INDIRECT("'"&amp;AB$1&amp;"'!"&amp;"$D:$D"),INDIRECT("'"&amp;AB$1&amp;"'!"&amp;"$A:$A"),EconIntermediate!AB$27,INDIRECT("'"&amp;AB$1&amp;"'!"&amp;"$B:$B"),$A5)</f>
        <v>82.583726035576859</v>
      </c>
      <c r="AC5" s="860">
        <f ca="1">SUMIFS(INDIRECT("'"&amp;AC$1&amp;"'!"&amp;"$D:$D"),INDIRECT("'"&amp;AC$1&amp;"'!"&amp;"$A:$A"),EconIntermediate!AC$27,INDIRECT("'"&amp;AC$1&amp;"'!"&amp;"$B:$B"),$A5)</f>
        <v>84.225619857808539</v>
      </c>
      <c r="AD5" s="860"/>
      <c r="AE5" s="860">
        <f ca="1">SUMIFS(INDIRECT("'"&amp;AE$1&amp;"'!"&amp;"$D:$D"),INDIRECT("'"&amp;AE$1&amp;"'!"&amp;"$A:$A"),EconIntermediate!AE$27,INDIRECT("'"&amp;AE$1&amp;"'!"&amp;"$B:$B"),$A5)</f>
        <v>90.349902661285086</v>
      </c>
    </row>
    <row r="6" spans="1:31" x14ac:dyDescent="0.3">
      <c r="A6" s="820" t="s">
        <v>441</v>
      </c>
      <c r="B6" s="821" t="s">
        <v>4980</v>
      </c>
      <c r="C6" s="2150">
        <f ca="1">SUMIFS(INDIRECT("'"&amp;C$1&amp;"'!"&amp;"$D:$D"),INDIRECT("'"&amp;C$1&amp;"'!"&amp;"$A:$A"),EconIntermediate!C$27,INDIRECT("'"&amp;C$1&amp;"'!"&amp;"$B:$B"),$A6)</f>
        <v>0</v>
      </c>
      <c r="D6" s="860">
        <f ca="1">SUMIFS(INDIRECT("'"&amp;D$1&amp;"'!"&amp;"$D:$D"),INDIRECT("'"&amp;D$1&amp;"'!"&amp;"$A:$A"),EconIntermediate!D$27,INDIRECT("'"&amp;D$1&amp;"'!"&amp;"$B:$B"),$A6)</f>
        <v>0</v>
      </c>
      <c r="E6" s="860">
        <f ca="1">SUMIFS(INDIRECT("'"&amp;E$1&amp;"'!"&amp;"$D:$D"),INDIRECT("'"&amp;E$1&amp;"'!"&amp;"$A:$A"),EconIntermediate!E$27,INDIRECT("'"&amp;E$1&amp;"'!"&amp;"$B:$B"),$A6)</f>
        <v>21.122905164349451</v>
      </c>
      <c r="F6" s="860">
        <f ca="1">SUMIFS(INDIRECT("'"&amp;F$1&amp;"'!"&amp;"$D:$D"),INDIRECT("'"&amp;F$1&amp;"'!"&amp;"$A:$A"),EconIntermediate!F$27,INDIRECT("'"&amp;F$1&amp;"'!"&amp;"$B:$B"),$A6)</f>
        <v>0</v>
      </c>
      <c r="G6" s="860">
        <f ca="1">SUMIFS(INDIRECT("'"&amp;G$1&amp;"'!"&amp;"$D:$D"),INDIRECT("'"&amp;G$1&amp;"'!"&amp;"$A:$A"),EconIntermediate!G$27,INDIRECT("'"&amp;G$1&amp;"'!"&amp;"$B:$B"),$A6)</f>
        <v>1.7218893154655115</v>
      </c>
      <c r="H6" s="860">
        <f ca="1">SUMIFS(INDIRECT("'"&amp;H$1&amp;"'!"&amp;"$D:$D"),INDIRECT("'"&amp;H$1&amp;"'!"&amp;"$A:$A"),EconIntermediate!H$27,INDIRECT("'"&amp;H$1&amp;"'!"&amp;"$B:$B"),$A6)</f>
        <v>21.122905164349451</v>
      </c>
      <c r="I6" s="860">
        <f ca="1">SUMIFS(INDIRECT("'"&amp;I$1&amp;"'!"&amp;"$D:$D"),INDIRECT("'"&amp;I$1&amp;"'!"&amp;"$A:$A"),EconIntermediate!I$27,INDIRECT("'"&amp;I$1&amp;"'!"&amp;"$B:$B"),$A6)</f>
        <v>0</v>
      </c>
      <c r="J6" s="860">
        <f ca="1">SUMIFS(INDIRECT("'"&amp;J$1&amp;"'!"&amp;"$D:$D"),INDIRECT("'"&amp;J$1&amp;"'!"&amp;"$A:$A"),EconIntermediate!J$27,INDIRECT("'"&amp;J$1&amp;"'!"&amp;"$B:$B"),$A6)</f>
        <v>1.7218893154655115</v>
      </c>
      <c r="K6" s="860">
        <f ca="1">SUMIFS(INDIRECT("'"&amp;K$1&amp;"'!"&amp;"$D:$D"),INDIRECT("'"&amp;K$1&amp;"'!"&amp;"$A:$A"),EconIntermediate!K$27,INDIRECT("'"&amp;K$1&amp;"'!"&amp;"$B:$B"),$A6)</f>
        <v>21.122905164349451</v>
      </c>
      <c r="L6" s="860">
        <f ca="1">SUMIFS(INDIRECT("'"&amp;L$1&amp;"'!"&amp;"$D:$D"),INDIRECT("'"&amp;L$1&amp;"'!"&amp;"$A:$A"),EconIntermediate!L$27,INDIRECT("'"&amp;L$1&amp;"'!"&amp;"$B:$B"),$A6)</f>
        <v>0</v>
      </c>
      <c r="M6" s="860">
        <f ca="1">SUMIFS(INDIRECT("'"&amp;M$1&amp;"'!"&amp;"$D:$D"),INDIRECT("'"&amp;M$1&amp;"'!"&amp;"$A:$A"),EconIntermediate!M$27,INDIRECT("'"&amp;M$1&amp;"'!"&amp;"$B:$B"),$A6)</f>
        <v>1.7218893154655115</v>
      </c>
      <c r="N6" s="860">
        <f ca="1">SUMIFS(INDIRECT("'"&amp;N$1&amp;"'!"&amp;"$D:$D"),INDIRECT("'"&amp;N$1&amp;"'!"&amp;"$A:$A"),EconIntermediate!N$27,INDIRECT("'"&amp;N$1&amp;"'!"&amp;"$B:$B"),$A6)</f>
        <v>0</v>
      </c>
      <c r="O6" s="860">
        <f ca="1">SUMIFS(INDIRECT("'"&amp;O$1&amp;"'!"&amp;"$D:$D"),INDIRECT("'"&amp;O$1&amp;"'!"&amp;"$A:$A"),EconIntermediate!O$27,INDIRECT("'"&amp;O$1&amp;"'!"&amp;"$B:$B"),$A6)</f>
        <v>0</v>
      </c>
      <c r="P6" s="860">
        <f ca="1">SUMIFS(INDIRECT("'"&amp;P$1&amp;"'!"&amp;"$D:$D"),INDIRECT("'"&amp;P$1&amp;"'!"&amp;"$A:$A"),EconIntermediate!P$27,INDIRECT("'"&amp;P$1&amp;"'!"&amp;"$B:$B"),$A6)</f>
        <v>0</v>
      </c>
      <c r="Q6" s="861"/>
      <c r="R6" s="860">
        <f ca="1">SUMIFS(INDIRECT("'"&amp;R$1&amp;"'!"&amp;"$D:$D"),INDIRECT("'"&amp;R$1&amp;"'!"&amp;"$A:$A"),EconIntermediate!R$27,INDIRECT("'"&amp;R$1&amp;"'!"&amp;"$B:$B"),$A6)</f>
        <v>0</v>
      </c>
      <c r="S6" s="860">
        <f ca="1">SUMIFS(INDIRECT("'"&amp;S$1&amp;"'!"&amp;"$D:$D"),INDIRECT("'"&amp;S$1&amp;"'!"&amp;"$A:$A"),EconIntermediate!S$27,INDIRECT("'"&amp;S$1&amp;"'!"&amp;"$B:$B"),$A6)</f>
        <v>0</v>
      </c>
      <c r="T6" s="860">
        <f ca="1">SUMIFS(INDIRECT("'"&amp;T$1&amp;"'!"&amp;"$D:$D"),INDIRECT("'"&amp;T$1&amp;"'!"&amp;"$A:$A"),EconIntermediate!T$27,INDIRECT("'"&amp;T$1&amp;"'!"&amp;"$B:$B"),$A6)</f>
        <v>21.122905164349451</v>
      </c>
      <c r="U6" s="860">
        <f ca="1">SUMIFS(INDIRECT("'"&amp;U$1&amp;"'!"&amp;"$D:$D"),INDIRECT("'"&amp;U$1&amp;"'!"&amp;"$A:$A"),EconIntermediate!U$27,INDIRECT("'"&amp;U$1&amp;"'!"&amp;"$B:$B"),$A6)</f>
        <v>0</v>
      </c>
      <c r="V6" s="860">
        <f ca="1">SUMIFS(INDIRECT("'"&amp;V$1&amp;"'!"&amp;"$D:$D"),INDIRECT("'"&amp;V$1&amp;"'!"&amp;"$A:$A"),EconIntermediate!V$27,INDIRECT("'"&amp;V$1&amp;"'!"&amp;"$B:$B"),$A6)</f>
        <v>1.7218893154655115</v>
      </c>
      <c r="W6" s="860">
        <f ca="1">SUMIFS(INDIRECT("'"&amp;W$1&amp;"'!"&amp;"$D:$D"),INDIRECT("'"&amp;W$1&amp;"'!"&amp;"$A:$A"),EconIntermediate!W$27,INDIRECT("'"&amp;W$1&amp;"'!"&amp;"$B:$B"),$A6)</f>
        <v>21.122905164349451</v>
      </c>
      <c r="X6" s="860">
        <f ca="1">SUMIFS(INDIRECT("'"&amp;X$1&amp;"'!"&amp;"$D:$D"),INDIRECT("'"&amp;X$1&amp;"'!"&amp;"$A:$A"),EconIntermediate!X$27,INDIRECT("'"&amp;X$1&amp;"'!"&amp;"$B:$B"),$A6)</f>
        <v>0</v>
      </c>
      <c r="Y6" s="860">
        <f ca="1">SUMIFS(INDIRECT("'"&amp;Y$1&amp;"'!"&amp;"$D:$D"),INDIRECT("'"&amp;Y$1&amp;"'!"&amp;"$A:$A"),EconIntermediate!Y$27,INDIRECT("'"&amp;Y$1&amp;"'!"&amp;"$B:$B"),$A6)</f>
        <v>1.7218893154655115</v>
      </c>
      <c r="Z6" s="860">
        <f ca="1">SUMIFS(INDIRECT("'"&amp;Z$1&amp;"'!"&amp;"$D:$D"),INDIRECT("'"&amp;Z$1&amp;"'!"&amp;"$A:$A"),EconIntermediate!Z$27,INDIRECT("'"&amp;Z$1&amp;"'!"&amp;"$B:$B"),$A6)</f>
        <v>21.122905164349451</v>
      </c>
      <c r="AA6" s="860">
        <f ca="1">SUMIFS(INDIRECT("'"&amp;AA$1&amp;"'!"&amp;"$D:$D"),INDIRECT("'"&amp;AA$1&amp;"'!"&amp;"$A:$A"),EconIntermediate!AA$27,INDIRECT("'"&amp;AA$1&amp;"'!"&amp;"$B:$B"),$A6)</f>
        <v>0</v>
      </c>
      <c r="AB6" s="860">
        <f ca="1">SUMIFS(INDIRECT("'"&amp;AB$1&amp;"'!"&amp;"$D:$D"),INDIRECT("'"&amp;AB$1&amp;"'!"&amp;"$A:$A"),EconIntermediate!AB$27,INDIRECT("'"&amp;AB$1&amp;"'!"&amp;"$B:$B"),$A6)</f>
        <v>1.7218893154655115</v>
      </c>
      <c r="AC6" s="860">
        <f ca="1">SUMIFS(INDIRECT("'"&amp;AC$1&amp;"'!"&amp;"$D:$D"),INDIRECT("'"&amp;AC$1&amp;"'!"&amp;"$A:$A"),EconIntermediate!AC$27,INDIRECT("'"&amp;AC$1&amp;"'!"&amp;"$B:$B"),$A6)</f>
        <v>0</v>
      </c>
      <c r="AD6" s="860"/>
      <c r="AE6" s="860">
        <f ca="1">SUMIFS(INDIRECT("'"&amp;AE$1&amp;"'!"&amp;"$D:$D"),INDIRECT("'"&amp;AE$1&amp;"'!"&amp;"$A:$A"),EconIntermediate!AE$27,INDIRECT("'"&amp;AE$1&amp;"'!"&amp;"$B:$B"),$A6)</f>
        <v>0</v>
      </c>
    </row>
    <row r="7" spans="1:31" x14ac:dyDescent="0.3">
      <c r="A7" s="820" t="s">
        <v>440</v>
      </c>
      <c r="B7" s="821" t="s">
        <v>4980</v>
      </c>
      <c r="C7" s="2150">
        <f ca="1">SUMIFS(INDIRECT("'"&amp;C$1&amp;"'!"&amp;"$D:$D"),INDIRECT("'"&amp;C$1&amp;"'!"&amp;"$A:$A"),EconIntermediate!C$27,INDIRECT("'"&amp;C$1&amp;"'!"&amp;"$B:$B"),$A7)</f>
        <v>26.428080656756883</v>
      </c>
      <c r="D7" s="860">
        <f ca="1">SUMIFS(INDIRECT("'"&amp;D$1&amp;"'!"&amp;"$D:$D"),INDIRECT("'"&amp;D$1&amp;"'!"&amp;"$A:$A"),EconIntermediate!D$27,INDIRECT("'"&amp;D$1&amp;"'!"&amp;"$B:$B"),$A7)</f>
        <v>15.847869406081076</v>
      </c>
      <c r="E7" s="860">
        <f ca="1">SUMIFS(INDIRECT("'"&amp;E$1&amp;"'!"&amp;"$D:$D"),INDIRECT("'"&amp;E$1&amp;"'!"&amp;"$A:$A"),EconIntermediate!E$27,INDIRECT("'"&amp;E$1&amp;"'!"&amp;"$B:$B"),$A7)</f>
        <v>11.779090104659463</v>
      </c>
      <c r="F7" s="860">
        <f ca="1">SUMIFS(INDIRECT("'"&amp;F$1&amp;"'!"&amp;"$D:$D"),INDIRECT("'"&amp;F$1&amp;"'!"&amp;"$A:$A"),EconIntermediate!F$27,INDIRECT("'"&amp;F$1&amp;"'!"&amp;"$B:$B"),$A7)</f>
        <v>13.165171648763495</v>
      </c>
      <c r="G7" s="860">
        <f ca="1">SUMIFS(INDIRECT("'"&amp;G$1&amp;"'!"&amp;"$D:$D"),INDIRECT("'"&amp;G$1&amp;"'!"&amp;"$A:$A"),EconIntermediate!G$27,INDIRECT("'"&amp;G$1&amp;"'!"&amp;"$B:$B"),$A7)</f>
        <v>12.46664632689723</v>
      </c>
      <c r="H7" s="860">
        <f ca="1">SUMIFS(INDIRECT("'"&amp;H$1&amp;"'!"&amp;"$D:$D"),INDIRECT("'"&amp;H$1&amp;"'!"&amp;"$A:$A"),EconIntermediate!H$27,INDIRECT("'"&amp;H$1&amp;"'!"&amp;"$B:$B"),$A7)</f>
        <v>11.547187030148788</v>
      </c>
      <c r="I7" s="860">
        <f ca="1">SUMIFS(INDIRECT("'"&amp;I$1&amp;"'!"&amp;"$D:$D"),INDIRECT("'"&amp;I$1&amp;"'!"&amp;"$A:$A"),EconIntermediate!I$27,INDIRECT("'"&amp;I$1&amp;"'!"&amp;"$B:$B"),$A7)</f>
        <v>12.858314428124146</v>
      </c>
      <c r="J7" s="860">
        <f ca="1">SUMIFS(INDIRECT("'"&amp;J$1&amp;"'!"&amp;"$D:$D"),INDIRECT("'"&amp;J$1&amp;"'!"&amp;"$A:$A"),EconIntermediate!J$27,INDIRECT("'"&amp;J$1&amp;"'!"&amp;"$B:$B"),$A7)</f>
        <v>12.270659122541824</v>
      </c>
      <c r="K7" s="860">
        <f ca="1">SUMIFS(INDIRECT("'"&amp;K$1&amp;"'!"&amp;"$D:$D"),INDIRECT("'"&amp;K$1&amp;"'!"&amp;"$A:$A"),EconIntermediate!K$27,INDIRECT("'"&amp;K$1&amp;"'!"&amp;"$B:$B"),$A7)</f>
        <v>11.157538207274502</v>
      </c>
      <c r="L7" s="860">
        <f ca="1">SUMIFS(INDIRECT("'"&amp;L$1&amp;"'!"&amp;"$D:$D"),INDIRECT("'"&amp;L$1&amp;"'!"&amp;"$A:$A"),EconIntermediate!L$27,INDIRECT("'"&amp;L$1&amp;"'!"&amp;"$B:$B"),$A7)</f>
        <v>12.598186265413243</v>
      </c>
      <c r="M7" s="860">
        <f ca="1">SUMIFS(INDIRECT("'"&amp;M$1&amp;"'!"&amp;"$D:$D"),INDIRECT("'"&amp;M$1&amp;"'!"&amp;"$A:$A"),EconIntermediate!M$27,INDIRECT("'"&amp;M$1&amp;"'!"&amp;"$B:$B"),$A7)</f>
        <v>11.924138639405244</v>
      </c>
      <c r="N7" s="860">
        <f ca="1">SUMIFS(INDIRECT("'"&amp;N$1&amp;"'!"&amp;"$D:$D"),INDIRECT("'"&amp;N$1&amp;"'!"&amp;"$A:$A"),EconIntermediate!N$27,INDIRECT("'"&amp;N$1&amp;"'!"&amp;"$B:$B"),$A7)</f>
        <v>24.631040910078642</v>
      </c>
      <c r="O7" s="860">
        <f ca="1">SUMIFS(INDIRECT("'"&amp;O$1&amp;"'!"&amp;"$D:$D"),INDIRECT("'"&amp;O$1&amp;"'!"&amp;"$A:$A"),EconIntermediate!O$27,INDIRECT("'"&amp;O$1&amp;"'!"&amp;"$B:$B"),$A7)</f>
        <v>9.0388752369253247</v>
      </c>
      <c r="P7" s="860">
        <f ca="1">SUMIFS(INDIRECT("'"&amp;P$1&amp;"'!"&amp;"$D:$D"),INDIRECT("'"&amp;P$1&amp;"'!"&amp;"$A:$A"),EconIntermediate!P$27,INDIRECT("'"&amp;P$1&amp;"'!"&amp;"$B:$B"),$A7)</f>
        <v>14.563321287843566</v>
      </c>
      <c r="Q7" s="861"/>
      <c r="R7" s="860">
        <f ca="1">SUMIFS(INDIRECT("'"&amp;R$1&amp;"'!"&amp;"$D:$D"),INDIRECT("'"&amp;R$1&amp;"'!"&amp;"$A:$A"),EconIntermediate!R$27,INDIRECT("'"&amp;R$1&amp;"'!"&amp;"$B:$B"),$A7)</f>
        <v>26.428080656756883</v>
      </c>
      <c r="S7" s="860">
        <f ca="1">SUMIFS(INDIRECT("'"&amp;S$1&amp;"'!"&amp;"$D:$D"),INDIRECT("'"&amp;S$1&amp;"'!"&amp;"$A:$A"),EconIntermediate!S$27,INDIRECT("'"&amp;S$1&amp;"'!"&amp;"$B:$B"),$A7)</f>
        <v>15.847869406081076</v>
      </c>
      <c r="T7" s="860">
        <f ca="1">SUMIFS(INDIRECT("'"&amp;T$1&amp;"'!"&amp;"$D:$D"),INDIRECT("'"&amp;T$1&amp;"'!"&amp;"$A:$A"),EconIntermediate!T$27,INDIRECT("'"&amp;T$1&amp;"'!"&amp;"$B:$B"),$A7)</f>
        <v>11.779090104659463</v>
      </c>
      <c r="U7" s="860">
        <f ca="1">SUMIFS(INDIRECT("'"&amp;U$1&amp;"'!"&amp;"$D:$D"),INDIRECT("'"&amp;U$1&amp;"'!"&amp;"$A:$A"),EconIntermediate!U$27,INDIRECT("'"&amp;U$1&amp;"'!"&amp;"$B:$B"),$A7)</f>
        <v>13.165171648763495</v>
      </c>
      <c r="V7" s="860">
        <f ca="1">SUMIFS(INDIRECT("'"&amp;V$1&amp;"'!"&amp;"$D:$D"),INDIRECT("'"&amp;V$1&amp;"'!"&amp;"$A:$A"),EconIntermediate!V$27,INDIRECT("'"&amp;V$1&amp;"'!"&amp;"$B:$B"),$A7)</f>
        <v>12.46664632689723</v>
      </c>
      <c r="W7" s="860">
        <f ca="1">SUMIFS(INDIRECT("'"&amp;W$1&amp;"'!"&amp;"$D:$D"),INDIRECT("'"&amp;W$1&amp;"'!"&amp;"$A:$A"),EconIntermediate!W$27,INDIRECT("'"&amp;W$1&amp;"'!"&amp;"$B:$B"),$A7)</f>
        <v>11.547187030148788</v>
      </c>
      <c r="X7" s="860">
        <f ca="1">SUMIFS(INDIRECT("'"&amp;X$1&amp;"'!"&amp;"$D:$D"),INDIRECT("'"&amp;X$1&amp;"'!"&amp;"$A:$A"),EconIntermediate!X$27,INDIRECT("'"&amp;X$1&amp;"'!"&amp;"$B:$B"),$A7)</f>
        <v>12.858314428124146</v>
      </c>
      <c r="Y7" s="860">
        <f ca="1">SUMIFS(INDIRECT("'"&amp;Y$1&amp;"'!"&amp;"$D:$D"),INDIRECT("'"&amp;Y$1&amp;"'!"&amp;"$A:$A"),EconIntermediate!Y$27,INDIRECT("'"&amp;Y$1&amp;"'!"&amp;"$B:$B"),$A7)</f>
        <v>12.270659122541824</v>
      </c>
      <c r="Z7" s="860">
        <f ca="1">SUMIFS(INDIRECT("'"&amp;Z$1&amp;"'!"&amp;"$D:$D"),INDIRECT("'"&amp;Z$1&amp;"'!"&amp;"$A:$A"),EconIntermediate!Z$27,INDIRECT("'"&amp;Z$1&amp;"'!"&amp;"$B:$B"),$A7)</f>
        <v>11.157538207274502</v>
      </c>
      <c r="AA7" s="860">
        <f ca="1">SUMIFS(INDIRECT("'"&amp;AA$1&amp;"'!"&amp;"$D:$D"),INDIRECT("'"&amp;AA$1&amp;"'!"&amp;"$A:$A"),EconIntermediate!AA$27,INDIRECT("'"&amp;AA$1&amp;"'!"&amp;"$B:$B"),$A7)</f>
        <v>12.598186265413243</v>
      </c>
      <c r="AB7" s="860">
        <f ca="1">SUMIFS(INDIRECT("'"&amp;AB$1&amp;"'!"&amp;"$D:$D"),INDIRECT("'"&amp;AB$1&amp;"'!"&amp;"$A:$A"),EconIntermediate!AB$27,INDIRECT("'"&amp;AB$1&amp;"'!"&amp;"$B:$B"),$A7)</f>
        <v>11.924138639405244</v>
      </c>
      <c r="AC7" s="860">
        <f ca="1">SUMIFS(INDIRECT("'"&amp;AC$1&amp;"'!"&amp;"$D:$D"),INDIRECT("'"&amp;AC$1&amp;"'!"&amp;"$A:$A"),EconIntermediate!AC$27,INDIRECT("'"&amp;AC$1&amp;"'!"&amp;"$B:$B"),$A7)</f>
        <v>24.631040910078642</v>
      </c>
      <c r="AD7" s="860"/>
      <c r="AE7" s="860">
        <f ca="1">SUMIFS(INDIRECT("'"&amp;AE$1&amp;"'!"&amp;"$D:$D"),INDIRECT("'"&amp;AE$1&amp;"'!"&amp;"$A:$A"),EconIntermediate!AE$27,INDIRECT("'"&amp;AE$1&amp;"'!"&amp;"$B:$B"),$A7)</f>
        <v>14.563321287843566</v>
      </c>
    </row>
    <row r="8" spans="1:31" x14ac:dyDescent="0.3">
      <c r="A8" s="820" t="s">
        <v>442</v>
      </c>
      <c r="B8" s="821" t="s">
        <v>4980</v>
      </c>
      <c r="C8" s="2150">
        <f ca="1">SUMIFS(INDIRECT("'"&amp;C$1&amp;"'!"&amp;"$D:$D"),INDIRECT("'"&amp;C$1&amp;"'!"&amp;"$A:$A"),EconIntermediate!C$27,INDIRECT("'"&amp;C$1&amp;"'!"&amp;"$B:$B"),$A8)</f>
        <v>0</v>
      </c>
      <c r="D8" s="860">
        <f ca="1">SUMIFS(INDIRECT("'"&amp;D$1&amp;"'!"&amp;"$D:$D"),INDIRECT("'"&amp;D$1&amp;"'!"&amp;"$A:$A"),EconIntermediate!D$27,INDIRECT("'"&amp;D$1&amp;"'!"&amp;"$B:$B"),$A8)</f>
        <v>0</v>
      </c>
      <c r="E8" s="860">
        <f ca="1">SUMIFS(INDIRECT("'"&amp;E$1&amp;"'!"&amp;"$D:$D"),INDIRECT("'"&amp;E$1&amp;"'!"&amp;"$A:$A"),EconIntermediate!E$27,INDIRECT("'"&amp;E$1&amp;"'!"&amp;"$B:$B"),$A8)</f>
        <v>0</v>
      </c>
      <c r="F8" s="860">
        <f ca="1">SUMIFS(INDIRECT("'"&amp;F$1&amp;"'!"&amp;"$D:$D"),INDIRECT("'"&amp;F$1&amp;"'!"&amp;"$A:$A"),EconIntermediate!F$27,INDIRECT("'"&amp;F$1&amp;"'!"&amp;"$B:$B"),$A8)</f>
        <v>0</v>
      </c>
      <c r="G8" s="860">
        <f ca="1">SUMIFS(INDIRECT("'"&amp;G$1&amp;"'!"&amp;"$D:$D"),INDIRECT("'"&amp;G$1&amp;"'!"&amp;"$A:$A"),EconIntermediate!G$27,INDIRECT("'"&amp;G$1&amp;"'!"&amp;"$B:$B"),$A8)</f>
        <v>0</v>
      </c>
      <c r="H8" s="860">
        <f ca="1">SUMIFS(INDIRECT("'"&amp;H$1&amp;"'!"&amp;"$D:$D"),INDIRECT("'"&amp;H$1&amp;"'!"&amp;"$A:$A"),EconIntermediate!H$27,INDIRECT("'"&amp;H$1&amp;"'!"&amp;"$B:$B"),$A8)</f>
        <v>0</v>
      </c>
      <c r="I8" s="860">
        <f ca="1">SUMIFS(INDIRECT("'"&amp;I$1&amp;"'!"&amp;"$D:$D"),INDIRECT("'"&amp;I$1&amp;"'!"&amp;"$A:$A"),EconIntermediate!I$27,INDIRECT("'"&amp;I$1&amp;"'!"&amp;"$B:$B"),$A8)</f>
        <v>0</v>
      </c>
      <c r="J8" s="860">
        <f ca="1">SUMIFS(INDIRECT("'"&amp;J$1&amp;"'!"&amp;"$D:$D"),INDIRECT("'"&amp;J$1&amp;"'!"&amp;"$A:$A"),EconIntermediate!J$27,INDIRECT("'"&amp;J$1&amp;"'!"&amp;"$B:$B"),$A8)</f>
        <v>0</v>
      </c>
      <c r="K8" s="860">
        <f ca="1">SUMIFS(INDIRECT("'"&amp;K$1&amp;"'!"&amp;"$D:$D"),INDIRECT("'"&amp;K$1&amp;"'!"&amp;"$A:$A"),EconIntermediate!K$27,INDIRECT("'"&amp;K$1&amp;"'!"&amp;"$B:$B"),$A8)</f>
        <v>0</v>
      </c>
      <c r="L8" s="860">
        <f ca="1">SUMIFS(INDIRECT("'"&amp;L$1&amp;"'!"&amp;"$D:$D"),INDIRECT("'"&amp;L$1&amp;"'!"&amp;"$A:$A"),EconIntermediate!L$27,INDIRECT("'"&amp;L$1&amp;"'!"&amp;"$B:$B"),$A8)</f>
        <v>0</v>
      </c>
      <c r="M8" s="860">
        <f ca="1">SUMIFS(INDIRECT("'"&amp;M$1&amp;"'!"&amp;"$D:$D"),INDIRECT("'"&amp;M$1&amp;"'!"&amp;"$A:$A"),EconIntermediate!M$27,INDIRECT("'"&amp;M$1&amp;"'!"&amp;"$B:$B"),$A8)</f>
        <v>0</v>
      </c>
      <c r="N8" s="860">
        <f ca="1">SUMIFS(INDIRECT("'"&amp;N$1&amp;"'!"&amp;"$D:$D"),INDIRECT("'"&amp;N$1&amp;"'!"&amp;"$A:$A"),EconIntermediate!N$27,INDIRECT("'"&amp;N$1&amp;"'!"&amp;"$B:$B"),$A8)</f>
        <v>0</v>
      </c>
      <c r="O8" s="860">
        <f ca="1">SUMIFS(INDIRECT("'"&amp;O$1&amp;"'!"&amp;"$D:$D"),INDIRECT("'"&amp;O$1&amp;"'!"&amp;"$A:$A"),EconIntermediate!O$27,INDIRECT("'"&amp;O$1&amp;"'!"&amp;"$B:$B"),$A8)</f>
        <v>0</v>
      </c>
      <c r="P8" s="860">
        <f ca="1">SUMIFS(INDIRECT("'"&amp;P$1&amp;"'!"&amp;"$D:$D"),INDIRECT("'"&amp;P$1&amp;"'!"&amp;"$A:$A"),EconIntermediate!P$27,INDIRECT("'"&amp;P$1&amp;"'!"&amp;"$B:$B"),$A8)</f>
        <v>3.4552283569129476E-2</v>
      </c>
      <c r="Q8" s="861"/>
      <c r="R8" s="860">
        <f ca="1">SUMIFS(INDIRECT("'"&amp;R$1&amp;"'!"&amp;"$D:$D"),INDIRECT("'"&amp;R$1&amp;"'!"&amp;"$A:$A"),EconIntermediate!R$27,INDIRECT("'"&amp;R$1&amp;"'!"&amp;"$B:$B"),$A8)</f>
        <v>0</v>
      </c>
      <c r="S8" s="860">
        <f ca="1">SUMIFS(INDIRECT("'"&amp;S$1&amp;"'!"&amp;"$D:$D"),INDIRECT("'"&amp;S$1&amp;"'!"&amp;"$A:$A"),EconIntermediate!S$27,INDIRECT("'"&amp;S$1&amp;"'!"&amp;"$B:$B"),$A8)</f>
        <v>0</v>
      </c>
      <c r="T8" s="860">
        <f ca="1">SUMIFS(INDIRECT("'"&amp;T$1&amp;"'!"&amp;"$D:$D"),INDIRECT("'"&amp;T$1&amp;"'!"&amp;"$A:$A"),EconIntermediate!T$27,INDIRECT("'"&amp;T$1&amp;"'!"&amp;"$B:$B"),$A8)</f>
        <v>0</v>
      </c>
      <c r="U8" s="860">
        <f ca="1">SUMIFS(INDIRECT("'"&amp;U$1&amp;"'!"&amp;"$D:$D"),INDIRECT("'"&amp;U$1&amp;"'!"&amp;"$A:$A"),EconIntermediate!U$27,INDIRECT("'"&amp;U$1&amp;"'!"&amp;"$B:$B"),$A8)</f>
        <v>0</v>
      </c>
      <c r="V8" s="860">
        <f ca="1">SUMIFS(INDIRECT("'"&amp;V$1&amp;"'!"&amp;"$D:$D"),INDIRECT("'"&amp;V$1&amp;"'!"&amp;"$A:$A"),EconIntermediate!V$27,INDIRECT("'"&amp;V$1&amp;"'!"&amp;"$B:$B"),$A8)</f>
        <v>0</v>
      </c>
      <c r="W8" s="860">
        <f ca="1">SUMIFS(INDIRECT("'"&amp;W$1&amp;"'!"&amp;"$D:$D"),INDIRECT("'"&amp;W$1&amp;"'!"&amp;"$A:$A"),EconIntermediate!W$27,INDIRECT("'"&amp;W$1&amp;"'!"&amp;"$B:$B"),$A8)</f>
        <v>0</v>
      </c>
      <c r="X8" s="860">
        <f ca="1">SUMIFS(INDIRECT("'"&amp;X$1&amp;"'!"&amp;"$D:$D"),INDIRECT("'"&amp;X$1&amp;"'!"&amp;"$A:$A"),EconIntermediate!X$27,INDIRECT("'"&amp;X$1&amp;"'!"&amp;"$B:$B"),$A8)</f>
        <v>0</v>
      </c>
      <c r="Y8" s="860">
        <f ca="1">SUMIFS(INDIRECT("'"&amp;Y$1&amp;"'!"&amp;"$D:$D"),INDIRECT("'"&amp;Y$1&amp;"'!"&amp;"$A:$A"),EconIntermediate!Y$27,INDIRECT("'"&amp;Y$1&amp;"'!"&amp;"$B:$B"),$A8)</f>
        <v>0</v>
      </c>
      <c r="Z8" s="860">
        <f ca="1">SUMIFS(INDIRECT("'"&amp;Z$1&amp;"'!"&amp;"$D:$D"),INDIRECT("'"&amp;Z$1&amp;"'!"&amp;"$A:$A"),EconIntermediate!Z$27,INDIRECT("'"&amp;Z$1&amp;"'!"&amp;"$B:$B"),$A8)</f>
        <v>0</v>
      </c>
      <c r="AA8" s="860">
        <f ca="1">SUMIFS(INDIRECT("'"&amp;AA$1&amp;"'!"&amp;"$D:$D"),INDIRECT("'"&amp;AA$1&amp;"'!"&amp;"$A:$A"),EconIntermediate!AA$27,INDIRECT("'"&amp;AA$1&amp;"'!"&amp;"$B:$B"),$A8)</f>
        <v>0</v>
      </c>
      <c r="AB8" s="860">
        <f ca="1">SUMIFS(INDIRECT("'"&amp;AB$1&amp;"'!"&amp;"$D:$D"),INDIRECT("'"&amp;AB$1&amp;"'!"&amp;"$A:$A"),EconIntermediate!AB$27,INDIRECT("'"&amp;AB$1&amp;"'!"&amp;"$B:$B"),$A8)</f>
        <v>0</v>
      </c>
      <c r="AC8" s="860">
        <f ca="1">SUMIFS(INDIRECT("'"&amp;AC$1&amp;"'!"&amp;"$D:$D"),INDIRECT("'"&amp;AC$1&amp;"'!"&amp;"$A:$A"),EconIntermediate!AC$27,INDIRECT("'"&amp;AC$1&amp;"'!"&amp;"$B:$B"),$A8)</f>
        <v>0</v>
      </c>
      <c r="AD8" s="860"/>
      <c r="AE8" s="860">
        <f ca="1">SUMIFS(INDIRECT("'"&amp;AE$1&amp;"'!"&amp;"$D:$D"),INDIRECT("'"&amp;AE$1&amp;"'!"&amp;"$A:$A"),EconIntermediate!AE$27,INDIRECT("'"&amp;AE$1&amp;"'!"&amp;"$B:$B"),$A8)</f>
        <v>3.4552283569129476E-2</v>
      </c>
    </row>
    <row r="9" spans="1:31" x14ac:dyDescent="0.3">
      <c r="A9" s="820" t="s">
        <v>439</v>
      </c>
      <c r="B9" s="821" t="s">
        <v>4980</v>
      </c>
      <c r="C9" s="2150">
        <f ca="1">SUMIFS(INDIRECT("'"&amp;C$1&amp;"'!"&amp;"$D:$D"),INDIRECT("'"&amp;C$1&amp;"'!"&amp;"$A:$A"),EconIntermediate!C$27,INDIRECT("'"&amp;C$1&amp;"'!"&amp;"$B:$B"),$A9)</f>
        <v>-109.14405536629233</v>
      </c>
      <c r="D9" s="860">
        <f ca="1">SUMIFS(INDIRECT("'"&amp;D$1&amp;"'!"&amp;"$D:$D"),INDIRECT("'"&amp;D$1&amp;"'!"&amp;"$A:$A"),EconIntermediate!D$27,INDIRECT("'"&amp;D$1&amp;"'!"&amp;"$B:$B"),$A9)</f>
        <v>-103.78912301173666</v>
      </c>
      <c r="E9" s="860">
        <f ca="1">SUMIFS(INDIRECT("'"&amp;E$1&amp;"'!"&amp;"$D:$D"),INDIRECT("'"&amp;E$1&amp;"'!"&amp;"$A:$A"),EconIntermediate!E$27,INDIRECT("'"&amp;E$1&amp;"'!"&amp;"$B:$B"),$A9)</f>
        <v>-185.02332422329744</v>
      </c>
      <c r="F9" s="860">
        <f ca="1">SUMIFS(INDIRECT("'"&amp;F$1&amp;"'!"&amp;"$D:$D"),INDIRECT("'"&amp;F$1&amp;"'!"&amp;"$A:$A"),EconIntermediate!F$27,INDIRECT("'"&amp;F$1&amp;"'!"&amp;"$B:$B"),$A9)</f>
        <v>-134.75203566601712</v>
      </c>
      <c r="G9" s="860">
        <f ca="1">SUMIFS(INDIRECT("'"&amp;G$1&amp;"'!"&amp;"$D:$D"),INDIRECT("'"&amp;G$1&amp;"'!"&amp;"$A:$A"),EconIntermediate!G$27,INDIRECT("'"&amp;G$1&amp;"'!"&amp;"$B:$B"),$A9)</f>
        <v>-218.90307175924892</v>
      </c>
      <c r="H9" s="860">
        <f ca="1">SUMIFS(INDIRECT("'"&amp;H$1&amp;"'!"&amp;"$D:$D"),INDIRECT("'"&amp;H$1&amp;"'!"&amp;"$A:$A"),EconIntermediate!H$27,INDIRECT("'"&amp;H$1&amp;"'!"&amp;"$B:$B"),$A9)</f>
        <v>-981.29249095244575</v>
      </c>
      <c r="I9" s="860">
        <f ca="1">SUMIFS(INDIRECT("'"&amp;I$1&amp;"'!"&amp;"$D:$D"),INDIRECT("'"&amp;I$1&amp;"'!"&amp;"$A:$A"),EconIntermediate!I$27,INDIRECT("'"&amp;I$1&amp;"'!"&amp;"$B:$B"),$A9)</f>
        <v>-641.55451116104598</v>
      </c>
      <c r="J9" s="860">
        <f ca="1">SUMIFS(INDIRECT("'"&amp;J$1&amp;"'!"&amp;"$D:$D"),INDIRECT("'"&amp;J$1&amp;"'!"&amp;"$A:$A"),EconIntermediate!J$27,INDIRECT("'"&amp;J$1&amp;"'!"&amp;"$B:$B"),$A9)</f>
        <v>-700.87711509905591</v>
      </c>
      <c r="K9" s="860">
        <f ca="1">SUMIFS(INDIRECT("'"&amp;K$1&amp;"'!"&amp;"$D:$D"),INDIRECT("'"&amp;K$1&amp;"'!"&amp;"$A:$A"),EconIntermediate!K$27,INDIRECT("'"&amp;K$1&amp;"'!"&amp;"$B:$B"),$A9)</f>
        <v>-213.33441914832207</v>
      </c>
      <c r="L9" s="860">
        <f ca="1">SUMIFS(INDIRECT("'"&amp;L$1&amp;"'!"&amp;"$D:$D"),INDIRECT("'"&amp;L$1&amp;"'!"&amp;"$A:$A"),EconIntermediate!L$27,INDIRECT("'"&amp;L$1&amp;"'!"&amp;"$B:$B"),$A9)</f>
        <v>-220.22420014652727</v>
      </c>
      <c r="M9" s="860">
        <f ca="1">SUMIFS(INDIRECT("'"&amp;M$1&amp;"'!"&amp;"$D:$D"),INDIRECT("'"&amp;M$1&amp;"'!"&amp;"$A:$A"),EconIntermediate!M$27,INDIRECT("'"&amp;M$1&amp;"'!"&amp;"$B:$B"),$A9)</f>
        <v>-210.40917102623345</v>
      </c>
      <c r="N9" s="860">
        <f ca="1">SUMIFS(INDIRECT("'"&amp;N$1&amp;"'!"&amp;"$D:$D"),INDIRECT("'"&amp;N$1&amp;"'!"&amp;"$A:$A"),EconIntermediate!N$27,INDIRECT("'"&amp;N$1&amp;"'!"&amp;"$B:$B"),$A9)</f>
        <v>-159.63574223652066</v>
      </c>
      <c r="O9" s="860">
        <f ca="1">SUMIFS(INDIRECT("'"&amp;O$1&amp;"'!"&amp;"$D:$D"),INDIRECT("'"&amp;O$1&amp;"'!"&amp;"$A:$A"),EconIntermediate!O$27,INDIRECT("'"&amp;O$1&amp;"'!"&amp;"$B:$B"),$A9)</f>
        <v>-228.55558082792052</v>
      </c>
      <c r="P9" s="860">
        <f ca="1">SUMIFS(INDIRECT("'"&amp;P$1&amp;"'!"&amp;"$D:$D"),INDIRECT("'"&amp;P$1&amp;"'!"&amp;"$A:$A"),EconIntermediate!P$27,INDIRECT("'"&amp;P$1&amp;"'!"&amp;"$B:$B"),$A9)</f>
        <v>-170.66298846061895</v>
      </c>
      <c r="Q9" s="861"/>
      <c r="R9" s="860">
        <f ca="1">SUMIFS(INDIRECT("'"&amp;R$1&amp;"'!"&amp;"$D:$D"),INDIRECT("'"&amp;R$1&amp;"'!"&amp;"$A:$A"),EconIntermediate!R$27,INDIRECT("'"&amp;R$1&amp;"'!"&amp;"$B:$B"),$A9)</f>
        <v>-252.45950333955318</v>
      </c>
      <c r="S9" s="860">
        <f ca="1">SUMIFS(INDIRECT("'"&amp;S$1&amp;"'!"&amp;"$D:$D"),INDIRECT("'"&amp;S$1&amp;"'!"&amp;"$A:$A"),EconIntermediate!S$27,INDIRECT("'"&amp;S$1&amp;"'!"&amp;"$B:$B"),$A9)</f>
        <v>-218.72110775068032</v>
      </c>
      <c r="T9" s="860">
        <f ca="1">SUMIFS(INDIRECT("'"&amp;T$1&amp;"'!"&amp;"$D:$D"),INDIRECT("'"&amp;T$1&amp;"'!"&amp;"$A:$A"),EconIntermediate!T$27,INDIRECT("'"&amp;T$1&amp;"'!"&amp;"$B:$B"),$A9)</f>
        <v>-326.31588718468834</v>
      </c>
      <c r="U9" s="860">
        <f ca="1">SUMIFS(INDIRECT("'"&amp;U$1&amp;"'!"&amp;"$D:$D"),INDIRECT("'"&amp;U$1&amp;"'!"&amp;"$A:$A"),EconIntermediate!U$27,INDIRECT("'"&amp;U$1&amp;"'!"&amp;"$B:$B"),$A9)</f>
        <v>-276.12962889367725</v>
      </c>
      <c r="V9" s="860">
        <f ca="1">SUMIFS(INDIRECT("'"&amp;V$1&amp;"'!"&amp;"$D:$D"),INDIRECT("'"&amp;V$1&amp;"'!"&amp;"$A:$A"),EconIntermediate!V$27,INDIRECT("'"&amp;V$1&amp;"'!"&amp;"$B:$B"),$A9)</f>
        <v>-360.24693593655161</v>
      </c>
      <c r="W9" s="860">
        <f ca="1">SUMIFS(INDIRECT("'"&amp;W$1&amp;"'!"&amp;"$D:$D"),INDIRECT("'"&amp;W$1&amp;"'!"&amp;"$A:$A"),EconIntermediate!W$27,INDIRECT("'"&amp;W$1&amp;"'!"&amp;"$B:$B"),$A9)</f>
        <v>-1138.3509798886282</v>
      </c>
      <c r="X9" s="860">
        <f ca="1">SUMIFS(INDIRECT("'"&amp;X$1&amp;"'!"&amp;"$D:$D"),INDIRECT("'"&amp;X$1&amp;"'!"&amp;"$A:$A"),EconIntermediate!X$27,INDIRECT("'"&amp;X$1&amp;"'!"&amp;"$B:$B"),$A9)</f>
        <v>-783.01941432530873</v>
      </c>
      <c r="Y9" s="860">
        <f ca="1">SUMIFS(INDIRECT("'"&amp;Y$1&amp;"'!"&amp;"$D:$D"),INDIRECT("'"&amp;Y$1&amp;"'!"&amp;"$A:$A"),EconIntermediate!Y$27,INDIRECT("'"&amp;Y$1&amp;"'!"&amp;"$B:$B"),$A9)</f>
        <v>-842.18987366464876</v>
      </c>
      <c r="Z9" s="860">
        <f ca="1">SUMIFS(INDIRECT("'"&amp;Z$1&amp;"'!"&amp;"$D:$D"),INDIRECT("'"&amp;Z$1&amp;"'!"&amp;"$A:$A"),EconIntermediate!Z$27,INDIRECT("'"&amp;Z$1&amp;"'!"&amp;"$B:$B"),$A9)</f>
        <v>-354.89447852764789</v>
      </c>
      <c r="AA9" s="860">
        <f ca="1">SUMIFS(INDIRECT("'"&amp;AA$1&amp;"'!"&amp;"$D:$D"),INDIRECT("'"&amp;AA$1&amp;"'!"&amp;"$A:$A"),EconIntermediate!AA$27,INDIRECT("'"&amp;AA$1&amp;"'!"&amp;"$B:$B"),$A9)</f>
        <v>-361.90577040381658</v>
      </c>
      <c r="AB9" s="860">
        <f ca="1">SUMIFS(INDIRECT("'"&amp;AB$1&amp;"'!"&amp;"$D:$D"),INDIRECT("'"&amp;AB$1&amp;"'!"&amp;"$A:$A"),EconIntermediate!AB$27,INDIRECT("'"&amp;AB$1&amp;"'!"&amp;"$B:$B"),$A9)</f>
        <v>-352.00607084322883</v>
      </c>
      <c r="AC9" s="860">
        <f ca="1">SUMIFS(INDIRECT("'"&amp;AC$1&amp;"'!"&amp;"$D:$D"),INDIRECT("'"&amp;AC$1&amp;"'!"&amp;"$A:$A"),EconIntermediate!AC$27,INDIRECT("'"&amp;AC$1&amp;"'!"&amp;"$B:$B"),$A9)</f>
        <v>-284.63591475002539</v>
      </c>
      <c r="AD9" s="860"/>
      <c r="AE9" s="860">
        <f ca="1">SUMIFS(INDIRECT("'"&amp;AE$1&amp;"'!"&amp;"$D:$D"),INDIRECT("'"&amp;AE$1&amp;"'!"&amp;"$A:$A"),EconIntermediate!AE$27,INDIRECT("'"&amp;AE$1&amp;"'!"&amp;"$B:$B"),$A9)</f>
        <v>-312.26454198495009</v>
      </c>
    </row>
    <row r="10" spans="1:31" x14ac:dyDescent="0.3">
      <c r="A10" s="822" t="s">
        <v>5392</v>
      </c>
      <c r="B10" s="823" t="s">
        <v>2284</v>
      </c>
      <c r="C10" s="2151">
        <f ca="1">SUMIFS(INDIRECT("'"&amp;C$1&amp;"'!"&amp;"$D:$D"),INDIRECT("'"&amp;C$1&amp;"'!"&amp;"$A:$A"),EconIntermediate!C$27,INDIRECT("'"&amp;C$1&amp;"'!"&amp;"$B:$B"),$A10)</f>
        <v>1385491.3331182096</v>
      </c>
      <c r="D10" s="862">
        <f ca="1">SUMIFS(INDIRECT("'"&amp;D$1&amp;"'!"&amp;"$D:$D"),INDIRECT("'"&amp;D$1&amp;"'!"&amp;"$A:$A"),EconIntermediate!D$27,INDIRECT("'"&amp;D$1&amp;"'!"&amp;"$B:$B"),$A10)</f>
        <v>1076459.2517551419</v>
      </c>
      <c r="E10" s="863">
        <f ca="1">SUMIFS(INDIRECT("'"&amp;E$1&amp;"'!"&amp;"$D:$D"),INDIRECT("'"&amp;E$1&amp;"'!"&amp;"$A:$A"),EconIntermediate!E$27,INDIRECT("'"&amp;E$1&amp;"'!"&amp;"$B:$B"),$A10)</f>
        <v>1469876.6644787325</v>
      </c>
      <c r="F10" s="862">
        <f ca="1">SUMIFS(INDIRECT("'"&amp;F$1&amp;"'!"&amp;"$D:$D"),INDIRECT("'"&amp;F$1&amp;"'!"&amp;"$A:$A"),EconIntermediate!F$27,INDIRECT("'"&amp;F$1&amp;"'!"&amp;"$B:$B"),$A10)</f>
        <v>1464039.9126087348</v>
      </c>
      <c r="G10" s="862">
        <f ca="1">SUMIFS(INDIRECT("'"&amp;G$1&amp;"'!"&amp;"$D:$D"),INDIRECT("'"&amp;G$1&amp;"'!"&amp;"$A:$A"),EconIntermediate!G$27,INDIRECT("'"&amp;G$1&amp;"'!"&amp;"$B:$B"),$A10)</f>
        <v>1472802.7009858533</v>
      </c>
      <c r="H10" s="862">
        <f ca="1">SUMIFS(INDIRECT("'"&amp;H$1&amp;"'!"&amp;"$D:$D"),INDIRECT("'"&amp;H$1&amp;"'!"&amp;"$A:$A"),EconIntermediate!H$27,INDIRECT("'"&amp;H$1&amp;"'!"&amp;"$B:$B"),$A10)</f>
        <v>3937444.0878288946</v>
      </c>
      <c r="I10" s="862">
        <f ca="1">SUMIFS(INDIRECT("'"&amp;I$1&amp;"'!"&amp;"$D:$D"),INDIRECT("'"&amp;I$1&amp;"'!"&amp;"$A:$A"),EconIntermediate!I$27,INDIRECT("'"&amp;I$1&amp;"'!"&amp;"$B:$B"),$A10)</f>
        <v>2929689.7136339424</v>
      </c>
      <c r="J10" s="862">
        <f ca="1">SUMIFS(INDIRECT("'"&amp;J$1&amp;"'!"&amp;"$D:$D"),INDIRECT("'"&amp;J$1&amp;"'!"&amp;"$A:$A"),EconIntermediate!J$27,INDIRECT("'"&amp;J$1&amp;"'!"&amp;"$B:$B"),$A10)</f>
        <v>3102341.3809280042</v>
      </c>
      <c r="K10" s="862">
        <f ca="1">SUMIFS(INDIRECT("'"&amp;K$1&amp;"'!"&amp;"$D:$D"),INDIRECT("'"&amp;K$1&amp;"'!"&amp;"$A:$A"),EconIntermediate!K$27,INDIRECT("'"&amp;K$1&amp;"'!"&amp;"$B:$B"),$A10)</f>
        <v>1825861.3970862306</v>
      </c>
      <c r="L10" s="863">
        <f ca="1">SUMIFS(INDIRECT("'"&amp;L$1&amp;"'!"&amp;"$D:$D"),INDIRECT("'"&amp;L$1&amp;"'!"&amp;"$A:$A"),EconIntermediate!L$27,INDIRECT("'"&amp;L$1&amp;"'!"&amp;"$B:$B"),$A10)</f>
        <v>1840404.7095350267</v>
      </c>
      <c r="M10" s="862">
        <f ca="1">SUMIFS(INDIRECT("'"&amp;M$1&amp;"'!"&amp;"$D:$D"),INDIRECT("'"&amp;M$1&amp;"'!"&amp;"$A:$A"),EconIntermediate!M$27,INDIRECT("'"&amp;M$1&amp;"'!"&amp;"$B:$B"),$A10)</f>
        <v>1809216.3969227483</v>
      </c>
      <c r="N10" s="862">
        <f ca="1">SUMIFS(INDIRECT("'"&amp;N$1&amp;"'!"&amp;"$D:$D"),INDIRECT("'"&amp;N$1&amp;"'!"&amp;"$A:$A"),EconIntermediate!N$27,INDIRECT("'"&amp;N$1&amp;"'!"&amp;"$B:$B"),$A10)</f>
        <v>1606014.9295000087</v>
      </c>
      <c r="O10" s="862">
        <f ca="1">SUMIFS(INDIRECT("'"&amp;O$1&amp;"'!"&amp;"$D:$D"),INDIRECT("'"&amp;O$1&amp;"'!"&amp;"$A:$A"),EconIntermediate!O$27,INDIRECT("'"&amp;O$1&amp;"'!"&amp;"$B:$B"),$A10)</f>
        <v>395348.97801619745</v>
      </c>
      <c r="P10" s="862">
        <f ca="1">SUMIFS(INDIRECT("'"&amp;P$1&amp;"'!"&amp;"$D:$D"),INDIRECT("'"&amp;P$1&amp;"'!"&amp;"$A:$A"),EconIntermediate!P$27,INDIRECT("'"&amp;P$1&amp;"'!"&amp;"$B:$B"),$A10)</f>
        <v>1789367.4393330102</v>
      </c>
      <c r="Q10" s="864"/>
      <c r="R10" s="862">
        <f ca="1">SUMIFS(INDIRECT("'"&amp;R$1&amp;"'!"&amp;"$D:$D"),INDIRECT("'"&amp;R$1&amp;"'!"&amp;"$A:$A"),EconIntermediate!AK$27,INDIRECT("'"&amp;R$1&amp;"'!"&amp;"$B:$B"),$A10)</f>
        <v>0</v>
      </c>
      <c r="S10" s="862">
        <f ca="1">SUMIFS(INDIRECT("'"&amp;S$1&amp;"'!"&amp;"$D:$D"),INDIRECT("'"&amp;S$1&amp;"'!"&amp;"$A:$A"),EconIntermediate!AL$27,INDIRECT("'"&amp;S$1&amp;"'!"&amp;"$B:$B"),$A10)</f>
        <v>0</v>
      </c>
      <c r="T10" s="862">
        <f ca="1">SUMIFS(INDIRECT("'"&amp;T$1&amp;"'!"&amp;"$D:$D"),INDIRECT("'"&amp;T$1&amp;"'!"&amp;"$A:$A"),EconIntermediate!AM$27,INDIRECT("'"&amp;T$1&amp;"'!"&amp;"$B:$B"),$A10)</f>
        <v>0</v>
      </c>
      <c r="U10" s="862">
        <f ca="1">SUMIFS(INDIRECT("'"&amp;U$1&amp;"'!"&amp;"$D:$D"),INDIRECT("'"&amp;U$1&amp;"'!"&amp;"$A:$A"),EconIntermediate!AN$27,INDIRECT("'"&amp;U$1&amp;"'!"&amp;"$B:$B"),$A10)</f>
        <v>0</v>
      </c>
      <c r="V10" s="862">
        <f ca="1">SUMIFS(INDIRECT("'"&amp;V$1&amp;"'!"&amp;"$D:$D"),INDIRECT("'"&amp;V$1&amp;"'!"&amp;"$A:$A"),EconIntermediate!AO$27,INDIRECT("'"&amp;V$1&amp;"'!"&amp;"$B:$B"),$A10)</f>
        <v>0</v>
      </c>
      <c r="W10" s="862">
        <f ca="1">SUMIFS(INDIRECT("'"&amp;W$1&amp;"'!"&amp;"$D:$D"),INDIRECT("'"&amp;W$1&amp;"'!"&amp;"$A:$A"),EconIntermediate!AP$27,INDIRECT("'"&amp;W$1&amp;"'!"&amp;"$B:$B"),$A10)</f>
        <v>0</v>
      </c>
      <c r="X10" s="863">
        <f ca="1">SUMIFS(INDIRECT("'"&amp;X$1&amp;"'!"&amp;"$D:$D"),INDIRECT("'"&amp;X$1&amp;"'!"&amp;"$A:$A"),EconIntermediate!AQ$27,INDIRECT("'"&amp;X$1&amp;"'!"&amp;"$B:$B"),$A10)</f>
        <v>0</v>
      </c>
      <c r="Y10" s="862">
        <f ca="1">SUMIFS(INDIRECT("'"&amp;Y$1&amp;"'!"&amp;"$D:$D"),INDIRECT("'"&amp;Y$1&amp;"'!"&amp;"$A:$A"),EconIntermediate!AR$27,INDIRECT("'"&amp;Y$1&amp;"'!"&amp;"$B:$B"),$A10)</f>
        <v>0</v>
      </c>
      <c r="Z10" s="862">
        <f ca="1">SUMIFS(INDIRECT("'"&amp;Z$1&amp;"'!"&amp;"$D:$D"),INDIRECT("'"&amp;Z$1&amp;"'!"&amp;"$A:$A"),EconIntermediate!AS$27,INDIRECT("'"&amp;Z$1&amp;"'!"&amp;"$B:$B"),$A10)</f>
        <v>0</v>
      </c>
      <c r="AA10" s="862">
        <f ca="1">SUMIFS(INDIRECT("'"&amp;AA$1&amp;"'!"&amp;"$D:$D"),INDIRECT("'"&amp;AA$1&amp;"'!"&amp;"$A:$A"),EconIntermediate!AT$27,INDIRECT("'"&amp;AA$1&amp;"'!"&amp;"$B:$B"),$A10)</f>
        <v>0</v>
      </c>
      <c r="AB10" s="862">
        <f ca="1">SUMIFS(INDIRECT("'"&amp;AB$1&amp;"'!"&amp;"$D:$D"),INDIRECT("'"&amp;AB$1&amp;"'!"&amp;"$A:$A"),EconIntermediate!AU$27,INDIRECT("'"&amp;AB$1&amp;"'!"&amp;"$B:$B"),$A10)</f>
        <v>0</v>
      </c>
      <c r="AC10" s="862">
        <f ca="1">SUMIFS(INDIRECT("'"&amp;AC$1&amp;"'!"&amp;"$D:$D"),INDIRECT("'"&amp;AC$1&amp;"'!"&amp;"$A:$A"),EconIntermediate!AV$27,INDIRECT("'"&amp;AC$1&amp;"'!"&amp;"$B:$B"),$A10)</f>
        <v>0</v>
      </c>
      <c r="AD10" s="862"/>
      <c r="AE10" s="862">
        <f ca="1">SUMIFS(INDIRECT("'"&amp;AE$1&amp;"'!"&amp;"$D:$D"),INDIRECT("'"&amp;AE$1&amp;"'!"&amp;"$A:$A"),EconIntermediate!AX$27,INDIRECT("'"&amp;AE$1&amp;"'!"&amp;"$B:$B"),$A10)</f>
        <v>0</v>
      </c>
    </row>
    <row r="11" spans="1:31" x14ac:dyDescent="0.3">
      <c r="A11" s="824" t="s">
        <v>5393</v>
      </c>
      <c r="B11" s="821" t="s">
        <v>5394</v>
      </c>
      <c r="C11" s="2150">
        <f ca="1">SUMIFS(INDIRECT("'"&amp;C$1&amp;"'!"&amp;"$D:$D"),INDIRECT("'"&amp;C$1&amp;"'!"&amp;"$A:$A"),EconIntermediate!C$27,INDIRECT("'"&amp;C$1&amp;"'!"&amp;"$B:$B"),$A11)</f>
        <v>2770.9826662364194</v>
      </c>
      <c r="D11" s="865">
        <f ca="1">SUMIFS(INDIRECT("'"&amp;D$1&amp;"'!"&amp;"$D:$D"),INDIRECT("'"&amp;D$1&amp;"'!"&amp;"$A:$A"),EconIntermediate!D$27,INDIRECT("'"&amp;D$1&amp;"'!"&amp;"$B:$B"),$A11)</f>
        <v>2152.9185035102837</v>
      </c>
      <c r="E11" s="866">
        <f ca="1">SUMIFS(INDIRECT("'"&amp;E$1&amp;"'!"&amp;"$D:$D"),INDIRECT("'"&amp;E$1&amp;"'!"&amp;"$A:$A"),EconIntermediate!E$27,INDIRECT("'"&amp;E$1&amp;"'!"&amp;"$B:$B"),$A11)</f>
        <v>2939.7533289574649</v>
      </c>
      <c r="F11" s="865">
        <f ca="1">SUMIFS(INDIRECT("'"&amp;F$1&amp;"'!"&amp;"$D:$D"),INDIRECT("'"&amp;F$1&amp;"'!"&amp;"$A:$A"),EconIntermediate!F$27,INDIRECT("'"&amp;F$1&amp;"'!"&amp;"$B:$B"),$A11)</f>
        <v>2928.0798252174695</v>
      </c>
      <c r="G11" s="865">
        <f ca="1">SUMIFS(INDIRECT("'"&amp;G$1&amp;"'!"&amp;"$D:$D"),INDIRECT("'"&amp;G$1&amp;"'!"&amp;"$A:$A"),EconIntermediate!G$27,INDIRECT("'"&amp;G$1&amp;"'!"&amp;"$B:$B"),$A11)</f>
        <v>2945.6054019717067</v>
      </c>
      <c r="H11" s="865">
        <f ca="1">SUMIFS(INDIRECT("'"&amp;H$1&amp;"'!"&amp;"$D:$D"),INDIRECT("'"&amp;H$1&amp;"'!"&amp;"$A:$A"),EconIntermediate!H$27,INDIRECT("'"&amp;H$1&amp;"'!"&amp;"$B:$B"),$A11)</f>
        <v>7874.8881756577894</v>
      </c>
      <c r="I11" s="865">
        <f ca="1">SUMIFS(INDIRECT("'"&amp;I$1&amp;"'!"&amp;"$D:$D"),INDIRECT("'"&amp;I$1&amp;"'!"&amp;"$A:$A"),EconIntermediate!I$27,INDIRECT("'"&amp;I$1&amp;"'!"&amp;"$B:$B"),$A11)</f>
        <v>5859.3794272678851</v>
      </c>
      <c r="J11" s="865">
        <f ca="1">SUMIFS(INDIRECT("'"&amp;J$1&amp;"'!"&amp;"$D:$D"),INDIRECT("'"&amp;J$1&amp;"'!"&amp;"$A:$A"),EconIntermediate!J$27,INDIRECT("'"&amp;J$1&amp;"'!"&amp;"$B:$B"),$A11)</f>
        <v>6204.6827618560083</v>
      </c>
      <c r="K11" s="865">
        <f ca="1">SUMIFS(INDIRECT("'"&amp;K$1&amp;"'!"&amp;"$D:$D"),INDIRECT("'"&amp;K$1&amp;"'!"&amp;"$A:$A"),EconIntermediate!K$27,INDIRECT("'"&amp;K$1&amp;"'!"&amp;"$B:$B"),$A11)</f>
        <v>3651.7227941724614</v>
      </c>
      <c r="L11" s="866">
        <f ca="1">SUMIFS(INDIRECT("'"&amp;L$1&amp;"'!"&amp;"$D:$D"),INDIRECT("'"&amp;L$1&amp;"'!"&amp;"$A:$A"),EconIntermediate!L$27,INDIRECT("'"&amp;L$1&amp;"'!"&amp;"$B:$B"),$A11)</f>
        <v>3680.8094190700535</v>
      </c>
      <c r="M11" s="865">
        <f ca="1">SUMIFS(INDIRECT("'"&amp;M$1&amp;"'!"&amp;"$D:$D"),INDIRECT("'"&amp;M$1&amp;"'!"&amp;"$A:$A"),EconIntermediate!M$27,INDIRECT("'"&amp;M$1&amp;"'!"&amp;"$B:$B"),$A11)</f>
        <v>3618.4327938454967</v>
      </c>
      <c r="N11" s="865">
        <f ca="1">SUMIFS(INDIRECT("'"&amp;N$1&amp;"'!"&amp;"$D:$D"),INDIRECT("'"&amp;N$1&amp;"'!"&amp;"$A:$A"),EconIntermediate!N$27,INDIRECT("'"&amp;N$1&amp;"'!"&amp;"$B:$B"),$A11)</f>
        <v>3212.0298590000175</v>
      </c>
      <c r="O11" s="865">
        <f ca="1">SUMIFS(INDIRECT("'"&amp;O$1&amp;"'!"&amp;"$D:$D"),INDIRECT("'"&amp;O$1&amp;"'!"&amp;"$A:$A"),EconIntermediate!O$27,INDIRECT("'"&amp;O$1&amp;"'!"&amp;"$B:$B"),$A11)</f>
        <v>790.69795603239493</v>
      </c>
      <c r="P11" s="865">
        <f ca="1">SUMIFS(INDIRECT("'"&amp;P$1&amp;"'!"&amp;"$D:$D"),INDIRECT("'"&amp;P$1&amp;"'!"&amp;"$A:$A"),EconIntermediate!P$27,INDIRECT("'"&amp;P$1&amp;"'!"&amp;"$B:$B"),$A11)</f>
        <v>3578.7348786660204</v>
      </c>
      <c r="Q11" s="861"/>
      <c r="R11" s="865">
        <f ca="1">SUMIFS(INDIRECT("'"&amp;R$1&amp;"'!"&amp;"$D:$D"),INDIRECT("'"&amp;R$1&amp;"'!"&amp;"$A:$A"),EconIntermediate!AK$27,INDIRECT("'"&amp;R$1&amp;"'!"&amp;"$B:$B"),$A11)</f>
        <v>0</v>
      </c>
      <c r="S11" s="865">
        <f ca="1">SUMIFS(INDIRECT("'"&amp;S$1&amp;"'!"&amp;"$D:$D"),INDIRECT("'"&amp;S$1&amp;"'!"&amp;"$A:$A"),EconIntermediate!AL$27,INDIRECT("'"&amp;S$1&amp;"'!"&amp;"$B:$B"),$A11)</f>
        <v>0</v>
      </c>
      <c r="T11" s="865">
        <f ca="1">SUMIFS(INDIRECT("'"&amp;T$1&amp;"'!"&amp;"$D:$D"),INDIRECT("'"&amp;T$1&amp;"'!"&amp;"$A:$A"),EconIntermediate!AM$27,INDIRECT("'"&amp;T$1&amp;"'!"&amp;"$B:$B"),$A11)</f>
        <v>0</v>
      </c>
      <c r="U11" s="865">
        <f ca="1">SUMIFS(INDIRECT("'"&amp;U$1&amp;"'!"&amp;"$D:$D"),INDIRECT("'"&amp;U$1&amp;"'!"&amp;"$A:$A"),EconIntermediate!AN$27,INDIRECT("'"&amp;U$1&amp;"'!"&amp;"$B:$B"),$A11)</f>
        <v>0</v>
      </c>
      <c r="V11" s="865">
        <f ca="1">SUMIFS(INDIRECT("'"&amp;V$1&amp;"'!"&amp;"$D:$D"),INDIRECT("'"&amp;V$1&amp;"'!"&amp;"$A:$A"),EconIntermediate!AO$27,INDIRECT("'"&amp;V$1&amp;"'!"&amp;"$B:$B"),$A11)</f>
        <v>0</v>
      </c>
      <c r="W11" s="865">
        <f ca="1">SUMIFS(INDIRECT("'"&amp;W$1&amp;"'!"&amp;"$D:$D"),INDIRECT("'"&amp;W$1&amp;"'!"&amp;"$A:$A"),EconIntermediate!AP$27,INDIRECT("'"&amp;W$1&amp;"'!"&amp;"$B:$B"),$A11)</f>
        <v>0</v>
      </c>
      <c r="X11" s="866">
        <f ca="1">SUMIFS(INDIRECT("'"&amp;X$1&amp;"'!"&amp;"$D:$D"),INDIRECT("'"&amp;X$1&amp;"'!"&amp;"$A:$A"),EconIntermediate!AQ$27,INDIRECT("'"&amp;X$1&amp;"'!"&amp;"$B:$B"),$A11)</f>
        <v>0</v>
      </c>
      <c r="Y11" s="865">
        <f ca="1">SUMIFS(INDIRECT("'"&amp;Y$1&amp;"'!"&amp;"$D:$D"),INDIRECT("'"&amp;Y$1&amp;"'!"&amp;"$A:$A"),EconIntermediate!AR$27,INDIRECT("'"&amp;Y$1&amp;"'!"&amp;"$B:$B"),$A11)</f>
        <v>0</v>
      </c>
      <c r="Z11" s="865">
        <f ca="1">SUMIFS(INDIRECT("'"&amp;Z$1&amp;"'!"&amp;"$D:$D"),INDIRECT("'"&amp;Z$1&amp;"'!"&amp;"$A:$A"),EconIntermediate!AS$27,INDIRECT("'"&amp;Z$1&amp;"'!"&amp;"$B:$B"),$A11)</f>
        <v>0</v>
      </c>
      <c r="AA11" s="865">
        <f ca="1">SUMIFS(INDIRECT("'"&amp;AA$1&amp;"'!"&amp;"$D:$D"),INDIRECT("'"&amp;AA$1&amp;"'!"&amp;"$A:$A"),EconIntermediate!AT$27,INDIRECT("'"&amp;AA$1&amp;"'!"&amp;"$B:$B"),$A11)</f>
        <v>0</v>
      </c>
      <c r="AB11" s="865">
        <f ca="1">SUMIFS(INDIRECT("'"&amp;AB$1&amp;"'!"&amp;"$D:$D"),INDIRECT("'"&amp;AB$1&amp;"'!"&amp;"$A:$A"),EconIntermediate!AU$27,INDIRECT("'"&amp;AB$1&amp;"'!"&amp;"$B:$B"),$A11)</f>
        <v>0</v>
      </c>
      <c r="AC11" s="865">
        <f ca="1">SUMIFS(INDIRECT("'"&amp;AC$1&amp;"'!"&amp;"$D:$D"),INDIRECT("'"&amp;AC$1&amp;"'!"&amp;"$A:$A"),EconIntermediate!AV$27,INDIRECT("'"&amp;AC$1&amp;"'!"&amp;"$B:$B"),$A11)</f>
        <v>0</v>
      </c>
      <c r="AD11" s="865"/>
      <c r="AE11" s="865">
        <f ca="1">SUMIFS(INDIRECT("'"&amp;AE$1&amp;"'!"&amp;"$D:$D"),INDIRECT("'"&amp;AE$1&amp;"'!"&amp;"$A:$A"),EconIntermediate!AX$27,INDIRECT("'"&amp;AE$1&amp;"'!"&amp;"$B:$B"),$A11)</f>
        <v>0</v>
      </c>
    </row>
    <row r="12" spans="1:31" x14ac:dyDescent="0.3">
      <c r="A12" s="820" t="s">
        <v>5395</v>
      </c>
      <c r="B12" s="821" t="s">
        <v>4980</v>
      </c>
      <c r="C12" s="2150">
        <f ca="1">SUMIFS(INDIRECT("'"&amp;C$1&amp;"'!"&amp;"$D:$D"),INDIRECT("'"&amp;C$1&amp;"'!"&amp;"$A:$A"),EconIntermediate!C$27,INDIRECT("'"&amp;C$1&amp;"'!"&amp;"$B:$B"),$A12)</f>
        <v>0</v>
      </c>
      <c r="D12" s="860">
        <f ca="1">SUMIFS(INDIRECT("'"&amp;D$1&amp;"'!"&amp;"$D:$D"),INDIRECT("'"&amp;D$1&amp;"'!"&amp;"$A:$A"),EconIntermediate!D$27,INDIRECT("'"&amp;D$1&amp;"'!"&amp;"$B:$B"),$A12)</f>
        <v>0</v>
      </c>
      <c r="E12" s="860">
        <f ca="1">SUMIFS(INDIRECT("'"&amp;E$1&amp;"'!"&amp;"$D:$D"),INDIRECT("'"&amp;E$1&amp;"'!"&amp;"$A:$A"),EconIntermediate!E$27,INDIRECT("'"&amp;E$1&amp;"'!"&amp;"$B:$B"),$A12)</f>
        <v>0</v>
      </c>
      <c r="F12" s="860">
        <f ca="1">SUMIFS(INDIRECT("'"&amp;F$1&amp;"'!"&amp;"$D:$D"),INDIRECT("'"&amp;F$1&amp;"'!"&amp;"$A:$A"),EconIntermediate!F$27,INDIRECT("'"&amp;F$1&amp;"'!"&amp;"$B:$B"),$A12)</f>
        <v>0</v>
      </c>
      <c r="G12" s="860">
        <f ca="1">SUMIFS(INDIRECT("'"&amp;G$1&amp;"'!"&amp;"$D:$D"),INDIRECT("'"&amp;G$1&amp;"'!"&amp;"$A:$A"),EconIntermediate!G$27,INDIRECT("'"&amp;G$1&amp;"'!"&amp;"$B:$B"),$A12)</f>
        <v>0</v>
      </c>
      <c r="H12" s="860">
        <f ca="1">SUMIFS(INDIRECT("'"&amp;H$1&amp;"'!"&amp;"$D:$D"),INDIRECT("'"&amp;H$1&amp;"'!"&amp;"$A:$A"),EconIntermediate!H$27,INDIRECT("'"&amp;H$1&amp;"'!"&amp;"$B:$B"),$A12)</f>
        <v>0</v>
      </c>
      <c r="I12" s="860">
        <f ca="1">SUMIFS(INDIRECT("'"&amp;I$1&amp;"'!"&amp;"$D:$D"),INDIRECT("'"&amp;I$1&amp;"'!"&amp;"$A:$A"),EconIntermediate!I$27,INDIRECT("'"&amp;I$1&amp;"'!"&amp;"$B:$B"),$A12)</f>
        <v>0</v>
      </c>
      <c r="J12" s="860">
        <f ca="1">SUMIFS(INDIRECT("'"&amp;J$1&amp;"'!"&amp;"$D:$D"),INDIRECT("'"&amp;J$1&amp;"'!"&amp;"$A:$A"),EconIntermediate!J$27,INDIRECT("'"&amp;J$1&amp;"'!"&amp;"$B:$B"),$A12)</f>
        <v>0</v>
      </c>
      <c r="K12" s="860">
        <f ca="1">SUMIFS(INDIRECT("'"&amp;K$1&amp;"'!"&amp;"$D:$D"),INDIRECT("'"&amp;K$1&amp;"'!"&amp;"$A:$A"),EconIntermediate!K$27,INDIRECT("'"&amp;K$1&amp;"'!"&amp;"$B:$B"),$A12)</f>
        <v>0</v>
      </c>
      <c r="L12" s="860">
        <f ca="1">SUMIFS(INDIRECT("'"&amp;L$1&amp;"'!"&amp;"$D:$D"),INDIRECT("'"&amp;L$1&amp;"'!"&amp;"$A:$A"),EconIntermediate!L$27,INDIRECT("'"&amp;L$1&amp;"'!"&amp;"$B:$B"),$A12)</f>
        <v>0</v>
      </c>
      <c r="M12" s="860">
        <f ca="1">SUMIFS(INDIRECT("'"&amp;M$1&amp;"'!"&amp;"$D:$D"),INDIRECT("'"&amp;M$1&amp;"'!"&amp;"$A:$A"),EconIntermediate!M$27,INDIRECT("'"&amp;M$1&amp;"'!"&amp;"$B:$B"),$A12)</f>
        <v>0</v>
      </c>
      <c r="N12" s="860">
        <f ca="1">SUMIFS(INDIRECT("'"&amp;N$1&amp;"'!"&amp;"$D:$D"),INDIRECT("'"&amp;N$1&amp;"'!"&amp;"$A:$A"),EconIntermediate!N$27,INDIRECT("'"&amp;N$1&amp;"'!"&amp;"$B:$B"),$A12)</f>
        <v>0</v>
      </c>
      <c r="O12" s="860">
        <f ca="1">SUMIFS(INDIRECT("'"&amp;O$1&amp;"'!"&amp;"$D:$D"),INDIRECT("'"&amp;O$1&amp;"'!"&amp;"$A:$A"),EconIntermediate!O$27,INDIRECT("'"&amp;O$1&amp;"'!"&amp;"$B:$B"),$A12)</f>
        <v>0</v>
      </c>
      <c r="P12" s="860">
        <f ca="1">SUMIFS(INDIRECT("'"&amp;P$1&amp;"'!"&amp;"$D:$D"),INDIRECT("'"&amp;P$1&amp;"'!"&amp;"$A:$A"),EconIntermediate!P$27,INDIRECT("'"&amp;P$1&amp;"'!"&amp;"$B:$B"),$A12)</f>
        <v>0</v>
      </c>
      <c r="Q12" s="861"/>
      <c r="R12" s="860">
        <f ca="1">SUMIFS(INDIRECT("'"&amp;R$1&amp;"'!"&amp;"$D:$D"),INDIRECT("'"&amp;R$1&amp;"'!"&amp;"$A:$A"),EconIntermediate!AK$27,INDIRECT("'"&amp;R$1&amp;"'!"&amp;"$B:$B"),$A12)</f>
        <v>0</v>
      </c>
      <c r="S12" s="860">
        <f ca="1">SUMIFS(INDIRECT("'"&amp;S$1&amp;"'!"&amp;"$D:$D"),INDIRECT("'"&amp;S$1&amp;"'!"&amp;"$A:$A"),EconIntermediate!AL$27,INDIRECT("'"&amp;S$1&amp;"'!"&amp;"$B:$B"),$A12)</f>
        <v>0</v>
      </c>
      <c r="T12" s="860">
        <f ca="1">SUMIFS(INDIRECT("'"&amp;T$1&amp;"'!"&amp;"$D:$D"),INDIRECT("'"&amp;T$1&amp;"'!"&amp;"$A:$A"),EconIntermediate!AM$27,INDIRECT("'"&amp;T$1&amp;"'!"&amp;"$B:$B"),$A12)</f>
        <v>0</v>
      </c>
      <c r="U12" s="860">
        <f ca="1">SUMIFS(INDIRECT("'"&amp;U$1&amp;"'!"&amp;"$D:$D"),INDIRECT("'"&amp;U$1&amp;"'!"&amp;"$A:$A"),EconIntermediate!AN$27,INDIRECT("'"&amp;U$1&amp;"'!"&amp;"$B:$B"),$A12)</f>
        <v>0</v>
      </c>
      <c r="V12" s="860">
        <f ca="1">SUMIFS(INDIRECT("'"&amp;V$1&amp;"'!"&amp;"$D:$D"),INDIRECT("'"&amp;V$1&amp;"'!"&amp;"$A:$A"),EconIntermediate!AO$27,INDIRECT("'"&amp;V$1&amp;"'!"&amp;"$B:$B"),$A12)</f>
        <v>0</v>
      </c>
      <c r="W12" s="860">
        <f ca="1">SUMIFS(INDIRECT("'"&amp;W$1&amp;"'!"&amp;"$D:$D"),INDIRECT("'"&amp;W$1&amp;"'!"&amp;"$A:$A"),EconIntermediate!AP$27,INDIRECT("'"&amp;W$1&amp;"'!"&amp;"$B:$B"),$A12)</f>
        <v>0</v>
      </c>
      <c r="X12" s="860">
        <f ca="1">SUMIFS(INDIRECT("'"&amp;X$1&amp;"'!"&amp;"$D:$D"),INDIRECT("'"&amp;X$1&amp;"'!"&amp;"$A:$A"),EconIntermediate!AQ$27,INDIRECT("'"&amp;X$1&amp;"'!"&amp;"$B:$B"),$A12)</f>
        <v>0</v>
      </c>
      <c r="Y12" s="860">
        <f ca="1">SUMIFS(INDIRECT("'"&amp;Y$1&amp;"'!"&amp;"$D:$D"),INDIRECT("'"&amp;Y$1&amp;"'!"&amp;"$A:$A"),EconIntermediate!AR$27,INDIRECT("'"&amp;Y$1&amp;"'!"&amp;"$B:$B"),$A12)</f>
        <v>0</v>
      </c>
      <c r="Z12" s="860">
        <f ca="1">SUMIFS(INDIRECT("'"&amp;Z$1&amp;"'!"&amp;"$D:$D"),INDIRECT("'"&amp;Z$1&amp;"'!"&amp;"$A:$A"),EconIntermediate!AS$27,INDIRECT("'"&amp;Z$1&amp;"'!"&amp;"$B:$B"),$A12)</f>
        <v>0</v>
      </c>
      <c r="AA12" s="860">
        <f ca="1">SUMIFS(INDIRECT("'"&amp;AA$1&amp;"'!"&amp;"$D:$D"),INDIRECT("'"&amp;AA$1&amp;"'!"&amp;"$A:$A"),EconIntermediate!AT$27,INDIRECT("'"&amp;AA$1&amp;"'!"&amp;"$B:$B"),$A12)</f>
        <v>0</v>
      </c>
      <c r="AB12" s="860">
        <f ca="1">SUMIFS(INDIRECT("'"&amp;AB$1&amp;"'!"&amp;"$D:$D"),INDIRECT("'"&amp;AB$1&amp;"'!"&amp;"$A:$A"),EconIntermediate!AU$27,INDIRECT("'"&amp;AB$1&amp;"'!"&amp;"$B:$B"),$A12)</f>
        <v>0</v>
      </c>
      <c r="AC12" s="860">
        <f ca="1">SUMIFS(INDIRECT("'"&amp;AC$1&amp;"'!"&amp;"$D:$D"),INDIRECT("'"&amp;AC$1&amp;"'!"&amp;"$A:$A"),EconIntermediate!AV$27,INDIRECT("'"&amp;AC$1&amp;"'!"&amp;"$B:$B"),$A12)</f>
        <v>0</v>
      </c>
      <c r="AD12" s="860"/>
      <c r="AE12" s="860">
        <f ca="1">SUMIFS(INDIRECT("'"&amp;AE$1&amp;"'!"&amp;"$D:$D"),INDIRECT("'"&amp;AE$1&amp;"'!"&amp;"$A:$A"),EconIntermediate!AX$27,INDIRECT("'"&amp;AE$1&amp;"'!"&amp;"$B:$B"),$A12)</f>
        <v>0</v>
      </c>
    </row>
    <row r="13" spans="1:31" x14ac:dyDescent="0.3">
      <c r="A13" s="824" t="s">
        <v>5396</v>
      </c>
      <c r="B13" s="821" t="s">
        <v>2315</v>
      </c>
      <c r="C13" s="2152">
        <f ca="1">SUMIFS(INDIRECT("'"&amp;C$1&amp;"'!"&amp;"$C:$C"),INDIRECT("'"&amp;C$1&amp;"'!"&amp;"$A:$A"),EconIntermediate!C$31,INDIRECT("'"&amp;C$1&amp;"'!"&amp;"$B:$B"),"Cost per unit manure land applied on-farm")</f>
        <v>0</v>
      </c>
      <c r="D13" s="867">
        <f ca="1">SUMIFS(INDIRECT("'"&amp;D$1&amp;"'!"&amp;"$C:$C"),INDIRECT("'"&amp;D$1&amp;"'!"&amp;"$A:$A"),EconIntermediate!D$31,INDIRECT("'"&amp;D$1&amp;"'!"&amp;"$B:$B"),"Cost per unit manure land applied on-farm")</f>
        <v>0</v>
      </c>
      <c r="E13" s="867">
        <f ca="1">SUMIFS(INDIRECT("'"&amp;E$1&amp;"'!"&amp;"$C:$C"),INDIRECT("'"&amp;E$1&amp;"'!"&amp;"$A:$A"),EconIntermediate!E$31,INDIRECT("'"&amp;E$1&amp;"'!"&amp;"$B:$B"),"Cost per unit manure land applied on-farm")</f>
        <v>0</v>
      </c>
      <c r="F13" s="867">
        <f ca="1">SUMIFS(INDIRECT("'"&amp;F$1&amp;"'!"&amp;"$C:$C"),INDIRECT("'"&amp;F$1&amp;"'!"&amp;"$A:$A"),EconIntermediate!F$31,INDIRECT("'"&amp;F$1&amp;"'!"&amp;"$B:$B"),"Cost per unit manure land applied on-farm")</f>
        <v>0</v>
      </c>
      <c r="G13" s="867">
        <f ca="1">SUMIFS(INDIRECT("'"&amp;G$1&amp;"'!"&amp;"$C:$C"),INDIRECT("'"&amp;G$1&amp;"'!"&amp;"$A:$A"),EconIntermediate!G$31,INDIRECT("'"&amp;G$1&amp;"'!"&amp;"$B:$B"),"Cost per unit manure land applied on-farm")</f>
        <v>0</v>
      </c>
      <c r="H13" s="867">
        <f ca="1">SUMIFS(INDIRECT("'"&amp;H$1&amp;"'!"&amp;"$C:$C"),INDIRECT("'"&amp;H$1&amp;"'!"&amp;"$A:$A"),EconIntermediate!H$31,INDIRECT("'"&amp;H$1&amp;"'!"&amp;"$B:$B"),"Cost per unit manure land applied on-farm")</f>
        <v>0</v>
      </c>
      <c r="I13" s="867">
        <f ca="1">SUMIFS(INDIRECT("'"&amp;I$1&amp;"'!"&amp;"$C:$C"),INDIRECT("'"&amp;I$1&amp;"'!"&amp;"$A:$A"),EconIntermediate!I$31,INDIRECT("'"&amp;I$1&amp;"'!"&amp;"$B:$B"),"Cost per unit manure land applied on-farm")</f>
        <v>0</v>
      </c>
      <c r="J13" s="867">
        <f ca="1">SUMIFS(INDIRECT("'"&amp;J$1&amp;"'!"&amp;"$C:$C"),INDIRECT("'"&amp;J$1&amp;"'!"&amp;"$A:$A"),EconIntermediate!J$31,INDIRECT("'"&amp;J$1&amp;"'!"&amp;"$B:$B"),"Cost per unit manure land applied on-farm")</f>
        <v>0</v>
      </c>
      <c r="K13" s="867">
        <f ca="1">SUMIFS(INDIRECT("'"&amp;K$1&amp;"'!"&amp;"$C:$C"),INDIRECT("'"&amp;K$1&amp;"'!"&amp;"$A:$A"),EconIntermediate!K$31,INDIRECT("'"&amp;K$1&amp;"'!"&amp;"$B:$B"),"Cost per unit manure land applied on-farm")</f>
        <v>0</v>
      </c>
      <c r="L13" s="867">
        <f ca="1">SUMIFS(INDIRECT("'"&amp;L$1&amp;"'!"&amp;"$C:$C"),INDIRECT("'"&amp;L$1&amp;"'!"&amp;"$A:$A"),EconIntermediate!L$31,INDIRECT("'"&amp;L$1&amp;"'!"&amp;"$B:$B"),"Cost per unit manure land applied on-farm")</f>
        <v>0</v>
      </c>
      <c r="M13" s="867">
        <f ca="1">SUMIFS(INDIRECT("'"&amp;M$1&amp;"'!"&amp;"$C:$C"),INDIRECT("'"&amp;M$1&amp;"'!"&amp;"$A:$A"),EconIntermediate!M$31,INDIRECT("'"&amp;M$1&amp;"'!"&amp;"$B:$B"),"Cost per unit manure land applied on-farm")</f>
        <v>0</v>
      </c>
      <c r="N13" s="867">
        <f ca="1">SUMIFS(INDIRECT("'"&amp;N$1&amp;"'!"&amp;"$C:$C"),INDIRECT("'"&amp;N$1&amp;"'!"&amp;"$A:$A"),EconIntermediate!N$31,INDIRECT("'"&amp;N$1&amp;"'!"&amp;"$B:$B"),"Cost per unit manure land applied on-farm")</f>
        <v>0</v>
      </c>
      <c r="O13" s="867">
        <f ca="1">SUMIFS(INDIRECT("'"&amp;O$1&amp;"'!"&amp;"$C:$C"),INDIRECT("'"&amp;O$1&amp;"'!"&amp;"$A:$A"),EconIntermediate!O$31,INDIRECT("'"&amp;O$1&amp;"'!"&amp;"$B:$B"),"Cost per unit manure land applied on-farm")</f>
        <v>0</v>
      </c>
      <c r="P13" s="867">
        <f ca="1">SUMIFS(INDIRECT("'"&amp;P$1&amp;"'!"&amp;"$C:$C"),INDIRECT("'"&amp;P$1&amp;"'!"&amp;"$A:$A"),EconIntermediate!P$31,INDIRECT("'"&amp;P$1&amp;"'!"&amp;"$B:$B"),"Cost per unit manure land applied on-farm")</f>
        <v>0</v>
      </c>
      <c r="R13" s="867">
        <f ca="1">SUMIFS(INDIRECT("'"&amp;R$1&amp;"'!"&amp;"$C:$C"),INDIRECT("'"&amp;R$1&amp;"'!"&amp;"$A:$A"),EconIntermediate!AK$31,INDIRECT("'"&amp;R$1&amp;"'!"&amp;"$B:$B"),"Cost per unit manure land applied on-farm")</f>
        <v>0</v>
      </c>
      <c r="S13" s="867">
        <f ca="1">SUMIFS(INDIRECT("'"&amp;S$1&amp;"'!"&amp;"$C:$C"),INDIRECT("'"&amp;S$1&amp;"'!"&amp;"$A:$A"),EconIntermediate!AL$31,INDIRECT("'"&amp;S$1&amp;"'!"&amp;"$B:$B"),"Cost per unit manure land applied on-farm")</f>
        <v>0</v>
      </c>
      <c r="T13" s="867">
        <f ca="1">SUMIFS(INDIRECT("'"&amp;T$1&amp;"'!"&amp;"$C:$C"),INDIRECT("'"&amp;T$1&amp;"'!"&amp;"$A:$A"),EconIntermediate!AM$31,INDIRECT("'"&amp;T$1&amp;"'!"&amp;"$B:$B"),"Cost per unit manure land applied on-farm")</f>
        <v>0</v>
      </c>
      <c r="U13" s="867">
        <f ca="1">SUMIFS(INDIRECT("'"&amp;U$1&amp;"'!"&amp;"$C:$C"),INDIRECT("'"&amp;U$1&amp;"'!"&amp;"$A:$A"),EconIntermediate!AN$31,INDIRECT("'"&amp;U$1&amp;"'!"&amp;"$B:$B"),"Cost per unit manure land applied on-farm")</f>
        <v>0</v>
      </c>
      <c r="V13" s="867">
        <f ca="1">SUMIFS(INDIRECT("'"&amp;V$1&amp;"'!"&amp;"$C:$C"),INDIRECT("'"&amp;V$1&amp;"'!"&amp;"$A:$A"),EconIntermediate!AO$31,INDIRECT("'"&amp;V$1&amp;"'!"&amp;"$B:$B"),"Cost per unit manure land applied on-farm")</f>
        <v>0</v>
      </c>
      <c r="W13" s="867">
        <f ca="1">SUMIFS(INDIRECT("'"&amp;W$1&amp;"'!"&amp;"$C:$C"),INDIRECT("'"&amp;W$1&amp;"'!"&amp;"$A:$A"),EconIntermediate!AP$31,INDIRECT("'"&amp;W$1&amp;"'!"&amp;"$B:$B"),"Cost per unit manure land applied on-farm")</f>
        <v>0</v>
      </c>
      <c r="X13" s="867">
        <f ca="1">SUMIFS(INDIRECT("'"&amp;X$1&amp;"'!"&amp;"$C:$C"),INDIRECT("'"&amp;X$1&amp;"'!"&amp;"$A:$A"),EconIntermediate!AQ$31,INDIRECT("'"&amp;X$1&amp;"'!"&amp;"$B:$B"),"Cost per unit manure land applied on-farm")</f>
        <v>0</v>
      </c>
      <c r="Y13" s="867">
        <f ca="1">SUMIFS(INDIRECT("'"&amp;Y$1&amp;"'!"&amp;"$C:$C"),INDIRECT("'"&amp;Y$1&amp;"'!"&amp;"$A:$A"),EconIntermediate!AR$31,INDIRECT("'"&amp;Y$1&amp;"'!"&amp;"$B:$B"),"Cost per unit manure land applied on-farm")</f>
        <v>0</v>
      </c>
      <c r="Z13" s="867">
        <f ca="1">SUMIFS(INDIRECT("'"&amp;Z$1&amp;"'!"&amp;"$C:$C"),INDIRECT("'"&amp;Z$1&amp;"'!"&amp;"$A:$A"),EconIntermediate!AS$31,INDIRECT("'"&amp;Z$1&amp;"'!"&amp;"$B:$B"),"Cost per unit manure land applied on-farm")</f>
        <v>0</v>
      </c>
      <c r="AA13" s="867">
        <f ca="1">SUMIFS(INDIRECT("'"&amp;AA$1&amp;"'!"&amp;"$C:$C"),INDIRECT("'"&amp;AA$1&amp;"'!"&amp;"$A:$A"),EconIntermediate!AT$31,INDIRECT("'"&amp;AA$1&amp;"'!"&amp;"$B:$B"),"Cost per unit manure land applied on-farm")</f>
        <v>0</v>
      </c>
      <c r="AB13" s="867">
        <f ca="1">SUMIFS(INDIRECT("'"&amp;AB$1&amp;"'!"&amp;"$C:$C"),INDIRECT("'"&amp;AB$1&amp;"'!"&amp;"$A:$A"),EconIntermediate!AU$31,INDIRECT("'"&amp;AB$1&amp;"'!"&amp;"$B:$B"),"Cost per unit manure land applied on-farm")</f>
        <v>0</v>
      </c>
      <c r="AC13" s="867">
        <f ca="1">SUMIFS(INDIRECT("'"&amp;AC$1&amp;"'!"&amp;"$C:$C"),INDIRECT("'"&amp;AC$1&amp;"'!"&amp;"$A:$A"),EconIntermediate!AV$31,INDIRECT("'"&amp;AC$1&amp;"'!"&amp;"$B:$B"),"Cost per unit manure land applied on-farm")</f>
        <v>0</v>
      </c>
      <c r="AD13" s="867"/>
      <c r="AE13" s="867">
        <f ca="1">SUMIFS(INDIRECT("'"&amp;AE$1&amp;"'!"&amp;"$C:$C"),INDIRECT("'"&amp;AE$1&amp;"'!"&amp;"$A:$A"),EconIntermediate!AX$31,INDIRECT("'"&amp;AE$1&amp;"'!"&amp;"$B:$B"),"Cost per unit manure land applied on-farm")</f>
        <v>0</v>
      </c>
    </row>
    <row r="14" spans="1:31" x14ac:dyDescent="0.3">
      <c r="A14" s="824" t="s">
        <v>5397</v>
      </c>
      <c r="B14" s="825" t="s">
        <v>5398</v>
      </c>
      <c r="C14" s="2153"/>
      <c r="D14" s="865"/>
      <c r="E14" s="866"/>
      <c r="F14" s="865"/>
      <c r="G14" s="865"/>
      <c r="H14" s="865"/>
      <c r="I14" s="865"/>
      <c r="J14" s="865"/>
      <c r="K14" s="865"/>
      <c r="L14" s="866"/>
      <c r="M14" s="865"/>
      <c r="N14" s="865"/>
      <c r="O14" s="865"/>
      <c r="P14" s="865"/>
      <c r="Q14" s="861"/>
      <c r="R14" s="865"/>
      <c r="S14" s="865"/>
      <c r="T14" s="865"/>
      <c r="U14" s="865"/>
      <c r="V14" s="865"/>
      <c r="W14" s="865"/>
      <c r="X14" s="866"/>
      <c r="Y14" s="865"/>
      <c r="Z14" s="865"/>
      <c r="AA14" s="865"/>
      <c r="AB14" s="865"/>
      <c r="AC14" s="865"/>
      <c r="AD14" s="865"/>
      <c r="AE14" s="865"/>
    </row>
    <row r="15" spans="1:31" x14ac:dyDescent="0.3">
      <c r="A15" s="826" t="s">
        <v>5399</v>
      </c>
      <c r="B15" s="827" t="s">
        <v>5400</v>
      </c>
      <c r="C15" s="868">
        <f>PT.waste_generation!G18*UC.L_to_gal</f>
        <v>764.44376245194292</v>
      </c>
      <c r="D15" s="868">
        <f>PT.waste_generation!G18*UC.L_to_gal</f>
        <v>764.44376245194292</v>
      </c>
      <c r="E15" s="868">
        <f>PT.waste_generation!G24*UC.L_to_gal</f>
        <v>8264.2882619519423</v>
      </c>
      <c r="F15" s="869">
        <f>PT.waste_generation!G31*UC.L_to_gal</f>
        <v>764.44376245194292</v>
      </c>
      <c r="G15" s="869">
        <f>PT.waste_generation!G40*UC.L_to_gal</f>
        <v>1375.8133638805143</v>
      </c>
      <c r="H15" s="869">
        <f>PT.waste_generation!G24*UC.L_to_gal</f>
        <v>8264.2882619519423</v>
      </c>
      <c r="I15" s="869">
        <f>PT.waste_generation!G31*UC.L_to_gal</f>
        <v>764.44376245194292</v>
      </c>
      <c r="J15" s="869">
        <f>PT.waste_generation!G40*UC.L_to_gal</f>
        <v>1375.8133638805143</v>
      </c>
      <c r="K15" s="869">
        <f>PT.waste_generation!G24*UC.L_to_gal</f>
        <v>8264.2882619519423</v>
      </c>
      <c r="L15" s="868">
        <f>PT.waste_generation!G31*UC.L_to_gal</f>
        <v>764.44376245194292</v>
      </c>
      <c r="M15" s="869">
        <f>PT.waste_generation!G40*UC.L_to_gal</f>
        <v>1375.8133638805143</v>
      </c>
      <c r="N15" s="869">
        <f>PT.waste_generation!G31*UC.L_to_gal</f>
        <v>764.44376245194292</v>
      </c>
      <c r="O15" s="869">
        <f>PT.waste_generation!G31*UC.L_to_gal</f>
        <v>764.44376245194292</v>
      </c>
      <c r="P15" s="869">
        <f>PT.waste_generation!G31*UC.L_to_gal</f>
        <v>764.44376245194292</v>
      </c>
      <c r="Q15" s="870"/>
      <c r="R15" s="869">
        <f>C15</f>
        <v>764.44376245194292</v>
      </c>
      <c r="S15" s="869">
        <f t="shared" ref="S15:AE15" si="0">D15</f>
        <v>764.44376245194292</v>
      </c>
      <c r="T15" s="869">
        <f t="shared" si="0"/>
        <v>8264.2882619519423</v>
      </c>
      <c r="U15" s="869">
        <f t="shared" si="0"/>
        <v>764.44376245194292</v>
      </c>
      <c r="V15" s="869">
        <f t="shared" si="0"/>
        <v>1375.8133638805143</v>
      </c>
      <c r="W15" s="869">
        <f t="shared" si="0"/>
        <v>8264.2882619519423</v>
      </c>
      <c r="X15" s="869">
        <f t="shared" si="0"/>
        <v>764.44376245194292</v>
      </c>
      <c r="Y15" s="869">
        <f t="shared" si="0"/>
        <v>1375.8133638805143</v>
      </c>
      <c r="Z15" s="869">
        <f t="shared" si="0"/>
        <v>8264.2882619519423</v>
      </c>
      <c r="AA15" s="869">
        <f t="shared" si="0"/>
        <v>764.44376245194292</v>
      </c>
      <c r="AB15" s="869">
        <f t="shared" si="0"/>
        <v>1375.8133638805143</v>
      </c>
      <c r="AC15" s="869">
        <f t="shared" si="0"/>
        <v>764.44376245194292</v>
      </c>
      <c r="AD15" s="869"/>
      <c r="AE15" s="869">
        <f t="shared" si="0"/>
        <v>764.44376245194292</v>
      </c>
    </row>
    <row r="16" spans="1:31" x14ac:dyDescent="0.3">
      <c r="A16" s="828" t="s">
        <v>5399</v>
      </c>
      <c r="B16" s="829" t="s">
        <v>5401</v>
      </c>
      <c r="C16" s="248">
        <f t="shared" ref="C16:AE16" si="1">C15/UDV.animal.total</f>
        <v>1.5288875249038858</v>
      </c>
      <c r="D16" s="248">
        <f t="shared" si="1"/>
        <v>1.5288875249038858</v>
      </c>
      <c r="E16" s="248">
        <f t="shared" si="1"/>
        <v>16.528576523903883</v>
      </c>
      <c r="F16" s="248">
        <f t="shared" si="1"/>
        <v>1.5288875249038858</v>
      </c>
      <c r="G16" s="248">
        <f t="shared" si="1"/>
        <v>2.7516267277610287</v>
      </c>
      <c r="H16" s="248">
        <f t="shared" si="1"/>
        <v>16.528576523903883</v>
      </c>
      <c r="I16" s="248">
        <f t="shared" si="1"/>
        <v>1.5288875249038858</v>
      </c>
      <c r="J16" s="248">
        <f t="shared" si="1"/>
        <v>2.7516267277610287</v>
      </c>
      <c r="K16" s="248">
        <f t="shared" si="1"/>
        <v>16.528576523903883</v>
      </c>
      <c r="L16" s="248">
        <f t="shared" si="1"/>
        <v>1.5288875249038858</v>
      </c>
      <c r="M16" s="248">
        <f t="shared" si="1"/>
        <v>2.7516267277610287</v>
      </c>
      <c r="N16" s="248">
        <f t="shared" si="1"/>
        <v>1.5288875249038858</v>
      </c>
      <c r="O16" s="248">
        <f t="shared" si="1"/>
        <v>1.5288875249038858</v>
      </c>
      <c r="P16" s="248">
        <f t="shared" si="1"/>
        <v>1.5288875249038858</v>
      </c>
      <c r="Q16" s="1166"/>
      <c r="R16" s="248">
        <f t="shared" si="1"/>
        <v>1.5288875249038858</v>
      </c>
      <c r="S16" s="248">
        <f t="shared" si="1"/>
        <v>1.5288875249038858</v>
      </c>
      <c r="T16" s="248">
        <f t="shared" si="1"/>
        <v>16.528576523903883</v>
      </c>
      <c r="U16" s="248">
        <f t="shared" si="1"/>
        <v>1.5288875249038858</v>
      </c>
      <c r="V16" s="248">
        <f t="shared" si="1"/>
        <v>2.7516267277610287</v>
      </c>
      <c r="W16" s="248">
        <f t="shared" si="1"/>
        <v>16.528576523903883</v>
      </c>
      <c r="X16" s="248">
        <f t="shared" si="1"/>
        <v>1.5288875249038858</v>
      </c>
      <c r="Y16" s="248">
        <f t="shared" si="1"/>
        <v>2.7516267277610287</v>
      </c>
      <c r="Z16" s="248">
        <f t="shared" si="1"/>
        <v>16.528576523903883</v>
      </c>
      <c r="AA16" s="248">
        <f t="shared" si="1"/>
        <v>1.5288875249038858</v>
      </c>
      <c r="AB16" s="248">
        <f t="shared" si="1"/>
        <v>2.7516267277610287</v>
      </c>
      <c r="AC16" s="248">
        <f t="shared" si="1"/>
        <v>1.5288875249038858</v>
      </c>
      <c r="AD16" s="248"/>
      <c r="AE16" s="248">
        <f t="shared" si="1"/>
        <v>1.5288875249038858</v>
      </c>
    </row>
    <row r="17" spans="1:31" x14ac:dyDescent="0.3">
      <c r="A17" s="831" t="s">
        <v>5399</v>
      </c>
      <c r="B17" s="832" t="s">
        <v>5324</v>
      </c>
      <c r="C17" s="388">
        <f t="shared" ref="C17:P17" si="2">C15*365</f>
        <v>279021.97329495917</v>
      </c>
      <c r="D17" s="388">
        <f t="shared" si="2"/>
        <v>279021.97329495917</v>
      </c>
      <c r="E17" s="873">
        <f>E15*365</f>
        <v>3016465.215612459</v>
      </c>
      <c r="F17" s="874">
        <f t="shared" si="2"/>
        <v>279021.97329495917</v>
      </c>
      <c r="G17" s="874">
        <f t="shared" si="2"/>
        <v>502171.87781638774</v>
      </c>
      <c r="H17" s="874">
        <f t="shared" si="2"/>
        <v>3016465.215612459</v>
      </c>
      <c r="I17" s="874">
        <f t="shared" si="2"/>
        <v>279021.97329495917</v>
      </c>
      <c r="J17" s="874">
        <f t="shared" si="2"/>
        <v>502171.87781638774</v>
      </c>
      <c r="K17" s="874">
        <f t="shared" si="2"/>
        <v>3016465.215612459</v>
      </c>
      <c r="L17" s="873">
        <f t="shared" si="2"/>
        <v>279021.97329495917</v>
      </c>
      <c r="M17" s="874">
        <f t="shared" si="2"/>
        <v>502171.87781638774</v>
      </c>
      <c r="N17" s="874">
        <f t="shared" si="2"/>
        <v>279021.97329495917</v>
      </c>
      <c r="O17" s="874">
        <f t="shared" si="2"/>
        <v>279021.97329495917</v>
      </c>
      <c r="P17" s="874">
        <f t="shared" si="2"/>
        <v>279021.97329495917</v>
      </c>
      <c r="Q17" s="875"/>
      <c r="R17" s="874">
        <f t="shared" ref="R17:AE17" si="3">R15*365</f>
        <v>279021.97329495917</v>
      </c>
      <c r="S17" s="874">
        <f t="shared" si="3"/>
        <v>279021.97329495917</v>
      </c>
      <c r="T17" s="874">
        <f t="shared" si="3"/>
        <v>3016465.215612459</v>
      </c>
      <c r="U17" s="874">
        <f t="shared" si="3"/>
        <v>279021.97329495917</v>
      </c>
      <c r="V17" s="874">
        <f t="shared" si="3"/>
        <v>502171.87781638774</v>
      </c>
      <c r="W17" s="874">
        <f t="shared" si="3"/>
        <v>3016465.215612459</v>
      </c>
      <c r="X17" s="873">
        <f t="shared" si="3"/>
        <v>279021.97329495917</v>
      </c>
      <c r="Y17" s="874">
        <f t="shared" si="3"/>
        <v>502171.87781638774</v>
      </c>
      <c r="Z17" s="874">
        <f t="shared" si="3"/>
        <v>3016465.215612459</v>
      </c>
      <c r="AA17" s="874">
        <f t="shared" si="3"/>
        <v>279021.97329495917</v>
      </c>
      <c r="AB17" s="874">
        <f t="shared" si="3"/>
        <v>502171.87781638774</v>
      </c>
      <c r="AC17" s="874">
        <f t="shared" si="3"/>
        <v>279021.97329495917</v>
      </c>
      <c r="AD17" s="874"/>
      <c r="AE17" s="874">
        <f t="shared" si="3"/>
        <v>279021.97329495917</v>
      </c>
    </row>
    <row r="18" spans="1:31" x14ac:dyDescent="0.3">
      <c r="A18" s="833" t="s">
        <v>5402</v>
      </c>
      <c r="B18" s="829" t="s">
        <v>5250</v>
      </c>
      <c r="C18" s="876"/>
      <c r="D18" s="248"/>
      <c r="E18" s="877"/>
      <c r="F18" s="877"/>
      <c r="G18" s="877"/>
      <c r="H18" s="877"/>
      <c r="I18" s="877"/>
      <c r="J18" s="877"/>
      <c r="K18" s="877"/>
      <c r="L18" s="877"/>
      <c r="M18" s="877"/>
      <c r="N18" s="877"/>
      <c r="O18" s="877"/>
      <c r="P18" s="830">
        <f>PT.slope_screen!G111</f>
        <v>24.409293822909042</v>
      </c>
      <c r="Q18" s="872"/>
      <c r="R18" s="876"/>
      <c r="S18" s="248"/>
      <c r="T18" s="877"/>
      <c r="U18" s="877"/>
      <c r="V18" s="877"/>
      <c r="W18" s="877"/>
      <c r="X18" s="877"/>
      <c r="Y18" s="877"/>
      <c r="Z18" s="877"/>
      <c r="AA18" s="877"/>
      <c r="AB18" s="877"/>
      <c r="AC18" s="877"/>
      <c r="AD18" s="877"/>
      <c r="AE18" s="830">
        <f>P18</f>
        <v>24.409293822909042</v>
      </c>
    </row>
    <row r="19" spans="1:31" x14ac:dyDescent="0.3">
      <c r="A19" s="833" t="s">
        <v>5403</v>
      </c>
      <c r="B19" s="829" t="s">
        <v>5250</v>
      </c>
      <c r="C19" s="876"/>
      <c r="D19" s="248"/>
      <c r="E19" s="386"/>
      <c r="F19" s="386"/>
      <c r="G19" s="386"/>
      <c r="H19" s="386"/>
      <c r="I19" s="386"/>
      <c r="J19" s="386"/>
      <c r="K19" s="386"/>
      <c r="L19" s="386"/>
      <c r="M19" s="386"/>
      <c r="N19" s="386"/>
      <c r="O19" s="386"/>
      <c r="P19" s="830"/>
      <c r="Q19" s="872"/>
      <c r="R19" s="876"/>
      <c r="S19" s="248"/>
      <c r="T19" s="386"/>
      <c r="U19" s="386"/>
      <c r="V19" s="386"/>
      <c r="W19" s="386"/>
      <c r="X19" s="386"/>
      <c r="Y19" s="386"/>
      <c r="Z19" s="386"/>
      <c r="AA19" s="386"/>
      <c r="AB19" s="386"/>
      <c r="AC19" s="386"/>
      <c r="AD19" s="386"/>
      <c r="AE19" s="830"/>
    </row>
    <row r="20" spans="1:31" x14ac:dyDescent="0.3">
      <c r="A20" s="833" t="s">
        <v>5404</v>
      </c>
      <c r="B20" s="829" t="s">
        <v>5250</v>
      </c>
      <c r="C20" s="876"/>
      <c r="D20" s="248"/>
      <c r="E20" s="386"/>
      <c r="F20" s="386"/>
      <c r="G20" s="386"/>
      <c r="H20" s="386"/>
      <c r="I20" s="386"/>
      <c r="J20" s="386"/>
      <c r="K20" s="386"/>
      <c r="L20" s="386"/>
      <c r="M20" s="386"/>
      <c r="N20" s="386"/>
      <c r="O20" s="830">
        <f>PT.composting!G252/UC.ton_to_kg*365/PT.composting!G243</f>
        <v>209.53985705787656</v>
      </c>
      <c r="P20" s="386"/>
      <c r="Q20" s="872"/>
      <c r="R20" s="876"/>
      <c r="S20" s="248"/>
      <c r="T20" s="386"/>
      <c r="U20" s="386"/>
      <c r="V20" s="386"/>
      <c r="W20" s="386"/>
      <c r="X20" s="386"/>
      <c r="Y20" s="386"/>
      <c r="Z20" s="386"/>
      <c r="AA20" s="386"/>
      <c r="AB20" s="386"/>
      <c r="AC20" s="386"/>
      <c r="AD20" s="830"/>
      <c r="AE20" s="386"/>
    </row>
    <row r="21" spans="1:31" x14ac:dyDescent="0.3">
      <c r="A21" s="833" t="s">
        <v>5405</v>
      </c>
      <c r="B21" s="829" t="s">
        <v>5324</v>
      </c>
      <c r="C21" s="248"/>
      <c r="D21" s="871"/>
      <c r="E21" s="871">
        <f>PT.anaer_lagoon!F73*1000</f>
        <v>634613.67688447342</v>
      </c>
      <c r="F21" s="871">
        <f>PT.anaer_lagoon!J73*1000</f>
        <v>634613.67688447342</v>
      </c>
      <c r="G21" s="871">
        <f>PT.anaer_lagoon!N73*1000</f>
        <v>630489.79057126457</v>
      </c>
      <c r="H21" s="871">
        <f>PT.anaer_lagoon!R73*1000</f>
        <v>626691.33785720717</v>
      </c>
      <c r="I21" s="871">
        <f>PT.anaer_lagoon!V73*1000</f>
        <v>626691.33785720717</v>
      </c>
      <c r="J21" s="871">
        <f>PT.anaer_lagoon!Z73*1000</f>
        <v>626691.33785720717</v>
      </c>
      <c r="K21" s="871">
        <f>PT.anaer_lagoon!AD73*1000</f>
        <v>624394.671863692</v>
      </c>
      <c r="L21" s="871">
        <f>PT.anaer_lagoon!AI73*1000</f>
        <v>624394.671863692</v>
      </c>
      <c r="M21" s="871">
        <f>PT.anaer_lagoon!AM73*1000</f>
        <v>624394.67186369211</v>
      </c>
      <c r="N21" s="386"/>
      <c r="O21" s="386"/>
      <c r="P21" s="871">
        <f>PT.anaer_lagoon!AQ73*1000</f>
        <v>964181.65987704135</v>
      </c>
      <c r="Q21" s="872"/>
      <c r="R21" s="248"/>
      <c r="S21" s="871"/>
      <c r="T21" s="871">
        <f>E21</f>
        <v>634613.67688447342</v>
      </c>
      <c r="U21" s="871">
        <f t="shared" ref="U21:AB21" si="4">F21</f>
        <v>634613.67688447342</v>
      </c>
      <c r="V21" s="871">
        <f t="shared" si="4"/>
        <v>630489.79057126457</v>
      </c>
      <c r="W21" s="871">
        <f t="shared" si="4"/>
        <v>626691.33785720717</v>
      </c>
      <c r="X21" s="871">
        <f t="shared" si="4"/>
        <v>626691.33785720717</v>
      </c>
      <c r="Y21" s="871">
        <f t="shared" si="4"/>
        <v>626691.33785720717</v>
      </c>
      <c r="Z21" s="871">
        <f t="shared" si="4"/>
        <v>624394.671863692</v>
      </c>
      <c r="AA21" s="871">
        <f t="shared" si="4"/>
        <v>624394.671863692</v>
      </c>
      <c r="AB21" s="871">
        <f t="shared" si="4"/>
        <v>624394.67186369211</v>
      </c>
      <c r="AC21" s="386"/>
      <c r="AD21" s="386"/>
      <c r="AE21" s="871">
        <f>P21</f>
        <v>964181.65987704135</v>
      </c>
    </row>
    <row r="22" spans="1:31" x14ac:dyDescent="0.3">
      <c r="A22" s="833" t="s">
        <v>5406</v>
      </c>
      <c r="B22" s="829" t="s">
        <v>5324</v>
      </c>
      <c r="C22" s="248">
        <f>PT.deep_pit!G70*1000</f>
        <v>279021.97540738533</v>
      </c>
      <c r="D22" s="248">
        <f>PT.deep_pit!H70*1000</f>
        <v>279021.97540738533</v>
      </c>
      <c r="E22" s="386"/>
      <c r="F22" s="386"/>
      <c r="G22" s="386"/>
      <c r="H22" s="386"/>
      <c r="I22" s="386"/>
      <c r="J22" s="386"/>
      <c r="K22" s="386"/>
      <c r="L22" s="386"/>
      <c r="M22" s="386"/>
      <c r="N22" s="248">
        <f>PT.storage_tank!G80*1000</f>
        <v>818318.61436421331</v>
      </c>
      <c r="O22" s="386"/>
      <c r="P22" s="386"/>
      <c r="Q22" s="872"/>
      <c r="R22" s="248">
        <f>C22</f>
        <v>279021.97540738533</v>
      </c>
      <c r="S22" s="248">
        <f>D22</f>
        <v>279021.97540738533</v>
      </c>
      <c r="T22" s="386"/>
      <c r="U22" s="386"/>
      <c r="V22" s="386"/>
      <c r="W22" s="386"/>
      <c r="X22" s="386"/>
      <c r="Y22" s="386"/>
      <c r="Z22" s="386"/>
      <c r="AA22" s="386"/>
      <c r="AB22" s="386"/>
      <c r="AC22" s="248">
        <f>N22</f>
        <v>818318.61436421331</v>
      </c>
      <c r="AD22" s="386"/>
      <c r="AE22" s="386"/>
    </row>
    <row r="23" spans="1:31" x14ac:dyDescent="0.3">
      <c r="A23" s="834" t="s">
        <v>5407</v>
      </c>
      <c r="B23" s="832" t="s">
        <v>2489</v>
      </c>
      <c r="C23" s="388"/>
      <c r="D23" s="874"/>
      <c r="E23" s="874">
        <f>PT.anaer_lagoon!G73*1000</f>
        <v>1195535.6533292115</v>
      </c>
      <c r="F23" s="874">
        <f>PT.anaer_lagoon!K73*1000</f>
        <v>1195535.6533292115</v>
      </c>
      <c r="G23" s="874">
        <f>PT.anaer_lagoon!O73*1000</f>
        <v>1195535.6533292115</v>
      </c>
      <c r="H23" s="874">
        <f>PT.anaer_lagoon!S73*1000</f>
        <v>711627.37455007585</v>
      </c>
      <c r="I23" s="874">
        <f>PT.anaer_lagoon!W73*1000</f>
        <v>711627.37455007585</v>
      </c>
      <c r="J23" s="874">
        <f>PT.anaer_lagoon!AA73*1000</f>
        <v>711627.37455007585</v>
      </c>
      <c r="K23" s="874">
        <f>PT.anaer_lagoon!AE73*1000</f>
        <v>614845.71879424888</v>
      </c>
      <c r="L23" s="874">
        <f>PT.anaer_lagoon!AJ73*1000</f>
        <v>614845.71879424888</v>
      </c>
      <c r="M23" s="871">
        <f>PT.anaer_lagoon!AN73*1000</f>
        <v>614845.71879424888</v>
      </c>
      <c r="N23" s="70"/>
      <c r="O23" s="70"/>
      <c r="P23" s="871">
        <f>PT.anaer_lagoon!AR73*1000</f>
        <v>324229.26918288221</v>
      </c>
      <c r="Q23" s="875"/>
      <c r="R23" s="388"/>
      <c r="S23" s="874"/>
      <c r="T23" s="874">
        <f>E23</f>
        <v>1195535.6533292115</v>
      </c>
      <c r="U23" s="874">
        <f t="shared" ref="U23:AB23" si="5">F23</f>
        <v>1195535.6533292115</v>
      </c>
      <c r="V23" s="874">
        <f t="shared" si="5"/>
        <v>1195535.6533292115</v>
      </c>
      <c r="W23" s="874">
        <f t="shared" si="5"/>
        <v>711627.37455007585</v>
      </c>
      <c r="X23" s="874">
        <f t="shared" si="5"/>
        <v>711627.37455007585</v>
      </c>
      <c r="Y23" s="874">
        <f t="shared" si="5"/>
        <v>711627.37455007585</v>
      </c>
      <c r="Z23" s="874">
        <f t="shared" si="5"/>
        <v>614845.71879424888</v>
      </c>
      <c r="AA23" s="874">
        <f t="shared" si="5"/>
        <v>614845.71879424888</v>
      </c>
      <c r="AB23" s="874">
        <f t="shared" si="5"/>
        <v>614845.71879424888</v>
      </c>
      <c r="AC23" s="70"/>
      <c r="AD23" s="70"/>
      <c r="AE23" s="871">
        <f>P23</f>
        <v>324229.26918288221</v>
      </c>
    </row>
    <row r="24" spans="1:31" x14ac:dyDescent="0.3">
      <c r="A24" s="835" t="s">
        <v>5253</v>
      </c>
      <c r="B24" s="836" t="s">
        <v>5254</v>
      </c>
      <c r="C24" s="2154"/>
      <c r="D24" s="248"/>
      <c r="E24" s="877"/>
      <c r="F24" s="877"/>
      <c r="G24" s="877"/>
      <c r="H24" s="877"/>
      <c r="I24" s="877"/>
      <c r="J24" s="877"/>
      <c r="K24" s="877"/>
      <c r="L24" s="877"/>
      <c r="M24" s="877"/>
      <c r="N24" s="877"/>
      <c r="O24" s="877"/>
      <c r="P24" s="857">
        <f>P25+(P26/UDV.anaer_lagoon.sludge_time)</f>
        <v>0.65192987866282037</v>
      </c>
      <c r="Q24" s="872"/>
      <c r="R24" s="876"/>
      <c r="S24" s="248"/>
      <c r="T24" s="877"/>
      <c r="U24" s="877"/>
      <c r="V24" s="877"/>
      <c r="W24" s="877"/>
      <c r="X24" s="877"/>
      <c r="Y24" s="877"/>
      <c r="Z24" s="877"/>
      <c r="AA24" s="877"/>
      <c r="AB24" s="877"/>
      <c r="AC24" s="877"/>
      <c r="AD24" s="877"/>
      <c r="AE24" s="857">
        <f>P24</f>
        <v>0.65192987866282037</v>
      </c>
    </row>
    <row r="25" spans="1:31" x14ac:dyDescent="0.3">
      <c r="A25" s="835" t="s">
        <v>5255</v>
      </c>
      <c r="B25" s="836" t="s">
        <v>5256</v>
      </c>
      <c r="C25" s="2154"/>
      <c r="D25" s="248"/>
      <c r="E25" s="386"/>
      <c r="F25" s="386"/>
      <c r="G25" s="386"/>
      <c r="H25" s="386"/>
      <c r="I25" s="386"/>
      <c r="J25" s="386"/>
      <c r="K25" s="386"/>
      <c r="L25" s="386"/>
      <c r="M25" s="386"/>
      <c r="N25" s="386"/>
      <c r="O25" s="386"/>
      <c r="P25" s="830">
        <f>PT.slope_screen!F145</f>
        <v>0</v>
      </c>
      <c r="Q25" s="872"/>
      <c r="R25" s="876"/>
      <c r="S25" s="248"/>
      <c r="T25" s="386"/>
      <c r="U25" s="386"/>
      <c r="V25" s="386"/>
      <c r="W25" s="386"/>
      <c r="X25" s="386"/>
      <c r="Y25" s="386"/>
      <c r="Z25" s="386"/>
      <c r="AA25" s="386"/>
      <c r="AB25" s="386"/>
      <c r="AC25" s="386"/>
      <c r="AD25" s="386"/>
      <c r="AE25" s="830">
        <f>P25</f>
        <v>0</v>
      </c>
    </row>
    <row r="26" spans="1:31" x14ac:dyDescent="0.3">
      <c r="A26" s="1308" t="s">
        <v>5257</v>
      </c>
      <c r="B26" s="1309" t="s">
        <v>5258</v>
      </c>
      <c r="C26" s="2154"/>
      <c r="D26" s="248"/>
      <c r="E26" s="386"/>
      <c r="F26" s="386"/>
      <c r="G26" s="386"/>
      <c r="H26" s="386"/>
      <c r="I26" s="386"/>
      <c r="J26" s="386"/>
      <c r="K26" s="386"/>
      <c r="L26" s="386"/>
      <c r="M26" s="386"/>
      <c r="N26" s="386"/>
      <c r="O26" s="386"/>
      <c r="P26" s="830">
        <f>PT.slope_screen!G145</f>
        <v>6.5192987866282035</v>
      </c>
      <c r="Q26" s="872"/>
      <c r="R26" s="876"/>
      <c r="S26" s="248"/>
      <c r="T26" s="386"/>
      <c r="U26" s="386"/>
      <c r="V26" s="386"/>
      <c r="W26" s="386"/>
      <c r="X26" s="386"/>
      <c r="Y26" s="386"/>
      <c r="Z26" s="386"/>
      <c r="AA26" s="386"/>
      <c r="AB26" s="386"/>
      <c r="AC26" s="386"/>
      <c r="AD26" s="386"/>
      <c r="AE26" s="830">
        <f>P26</f>
        <v>6.5192987866282035</v>
      </c>
    </row>
    <row r="27" spans="1:31" x14ac:dyDescent="0.3">
      <c r="A27" s="835" t="s">
        <v>5259</v>
      </c>
      <c r="B27" s="836" t="s">
        <v>5254</v>
      </c>
      <c r="C27" s="2155"/>
      <c r="D27" s="248"/>
      <c r="E27" s="386"/>
      <c r="F27" s="386"/>
      <c r="G27" s="386"/>
      <c r="H27" s="386"/>
      <c r="I27" s="386"/>
      <c r="J27" s="386"/>
      <c r="K27" s="386"/>
      <c r="L27" s="386"/>
      <c r="M27" s="386"/>
      <c r="N27" s="386"/>
      <c r="O27" s="830">
        <f>PT.composting!F194</f>
        <v>0</v>
      </c>
      <c r="P27" s="386"/>
      <c r="Q27" s="872"/>
      <c r="R27" s="1310"/>
      <c r="S27" s="248"/>
      <c r="T27" s="386"/>
      <c r="U27" s="386"/>
      <c r="V27" s="386"/>
      <c r="W27" s="386"/>
      <c r="X27" s="386"/>
      <c r="Y27" s="386"/>
      <c r="Z27" s="386"/>
      <c r="AA27" s="386"/>
      <c r="AB27" s="386"/>
      <c r="AC27" s="386"/>
      <c r="AD27" s="830"/>
      <c r="AE27" s="386"/>
    </row>
    <row r="28" spans="1:31" x14ac:dyDescent="0.3">
      <c r="A28" s="835" t="s">
        <v>5260</v>
      </c>
      <c r="B28" s="836" t="s">
        <v>5256</v>
      </c>
      <c r="C28" s="2156" t="s">
        <v>5408</v>
      </c>
      <c r="D28" s="248"/>
      <c r="E28" s="386"/>
      <c r="F28" s="386"/>
      <c r="G28" s="386"/>
      <c r="H28" s="386"/>
      <c r="I28" s="386"/>
      <c r="J28" s="386"/>
      <c r="K28" s="386"/>
      <c r="L28" s="386"/>
      <c r="M28" s="386"/>
      <c r="N28" s="386"/>
      <c r="O28" s="830"/>
      <c r="P28" s="386"/>
      <c r="Q28" s="872"/>
      <c r="R28" s="876"/>
      <c r="S28" s="248"/>
      <c r="T28" s="386"/>
      <c r="U28" s="386"/>
      <c r="V28" s="386"/>
      <c r="W28" s="386"/>
      <c r="X28" s="386"/>
      <c r="Y28" s="386"/>
      <c r="Z28" s="386"/>
      <c r="AA28" s="386"/>
      <c r="AB28" s="386"/>
      <c r="AC28" s="386"/>
      <c r="AD28" s="830"/>
      <c r="AE28" s="386"/>
    </row>
    <row r="29" spans="1:31" x14ac:dyDescent="0.3">
      <c r="A29" s="1308" t="s">
        <v>5261</v>
      </c>
      <c r="B29" s="1309" t="s">
        <v>5258</v>
      </c>
      <c r="C29" s="2156" t="s">
        <v>5408</v>
      </c>
      <c r="D29" s="248"/>
      <c r="E29" s="386"/>
      <c r="F29" s="386"/>
      <c r="G29" s="386"/>
      <c r="H29" s="386"/>
      <c r="I29" s="386"/>
      <c r="J29" s="386"/>
      <c r="K29" s="386"/>
      <c r="L29" s="386"/>
      <c r="M29" s="386"/>
      <c r="N29" s="386"/>
      <c r="O29" s="830"/>
      <c r="P29" s="386"/>
      <c r="Q29" s="872"/>
      <c r="R29" s="876"/>
      <c r="S29" s="248"/>
      <c r="T29" s="386"/>
      <c r="U29" s="386"/>
      <c r="V29" s="386"/>
      <c r="W29" s="386"/>
      <c r="X29" s="386"/>
      <c r="Y29" s="386"/>
      <c r="Z29" s="386"/>
      <c r="AA29" s="386"/>
      <c r="AB29" s="386"/>
      <c r="AC29" s="386"/>
      <c r="AD29" s="830"/>
      <c r="AE29" s="386"/>
    </row>
    <row r="30" spans="1:31" x14ac:dyDescent="0.3">
      <c r="A30" s="1311" t="s">
        <v>5245</v>
      </c>
      <c r="B30" s="1312" t="s">
        <v>5246</v>
      </c>
      <c r="C30" s="248"/>
      <c r="D30" s="871"/>
      <c r="E30" s="878">
        <f>PT.anaer_lagoon!E117+PT.anaer_lagoon!F117</f>
        <v>0</v>
      </c>
      <c r="F30" s="878">
        <f>PT.anaer_lagoon!I117+PT.anaer_lagoon!J117</f>
        <v>0</v>
      </c>
      <c r="G30" s="878">
        <f>PT.anaer_lagoon!M117+PT.anaer_lagoon!N117</f>
        <v>0</v>
      </c>
      <c r="H30" s="878">
        <f>PT.anaer_lagoon!Q117+PT.anaer_lagoon!R117</f>
        <v>0</v>
      </c>
      <c r="I30" s="878">
        <f>PT.anaer_lagoon!U117+PT.anaer_lagoon!V117</f>
        <v>0</v>
      </c>
      <c r="J30" s="878">
        <f>PT.anaer_lagoon!Y117+PT.anaer_lagoon!Z117</f>
        <v>0</v>
      </c>
      <c r="K30" s="878">
        <f>PT.anaer_lagoon!AC117+PT.anaer_lagoon!AD117</f>
        <v>0</v>
      </c>
      <c r="L30" s="878">
        <f>PT.anaer_lagoon!AH117+PT.anaer_lagoon!AI117</f>
        <v>0</v>
      </c>
      <c r="M30" s="878">
        <f>PT.anaer_lagoon!AL117+PT.anaer_lagoon!AM117</f>
        <v>0</v>
      </c>
      <c r="N30" s="386"/>
      <c r="O30" s="386"/>
      <c r="P30" s="878">
        <f>PT.anaer_lagoon!AP117+PT.anaer_lagoon!AQ117</f>
        <v>0</v>
      </c>
      <c r="Q30" s="872"/>
      <c r="R30" s="248"/>
      <c r="S30" s="871"/>
      <c r="T30" s="878">
        <f>E30</f>
        <v>0</v>
      </c>
      <c r="U30" s="878">
        <f t="shared" ref="U30:AB30" si="6">F30</f>
        <v>0</v>
      </c>
      <c r="V30" s="878">
        <f t="shared" si="6"/>
        <v>0</v>
      </c>
      <c r="W30" s="878">
        <f t="shared" si="6"/>
        <v>0</v>
      </c>
      <c r="X30" s="878">
        <f t="shared" si="6"/>
        <v>0</v>
      </c>
      <c r="Y30" s="878">
        <f t="shared" si="6"/>
        <v>0</v>
      </c>
      <c r="Z30" s="878">
        <f t="shared" si="6"/>
        <v>0</v>
      </c>
      <c r="AA30" s="878">
        <f t="shared" si="6"/>
        <v>0</v>
      </c>
      <c r="AB30" s="878">
        <f t="shared" si="6"/>
        <v>0</v>
      </c>
      <c r="AC30" s="386"/>
      <c r="AD30" s="386"/>
      <c r="AE30" s="878">
        <f>P30</f>
        <v>0</v>
      </c>
    </row>
    <row r="31" spans="1:31" x14ac:dyDescent="0.3">
      <c r="A31" s="835" t="s">
        <v>5247</v>
      </c>
      <c r="B31" s="836" t="s">
        <v>5246</v>
      </c>
      <c r="C31" s="285">
        <f>PT.deep_pit!G113</f>
        <v>0</v>
      </c>
      <c r="D31" s="285">
        <f>PT.deep_pit!H113</f>
        <v>0</v>
      </c>
      <c r="E31" s="386"/>
      <c r="F31" s="386"/>
      <c r="G31" s="386"/>
      <c r="H31" s="386"/>
      <c r="I31" s="386"/>
      <c r="J31" s="386"/>
      <c r="K31" s="386"/>
      <c r="L31" s="386"/>
      <c r="M31" s="386"/>
      <c r="N31" s="248">
        <f>PT.storage_tank!G121</f>
        <v>0</v>
      </c>
      <c r="O31" s="386"/>
      <c r="P31" s="386"/>
      <c r="Q31" s="872"/>
      <c r="R31" s="248">
        <f>C31</f>
        <v>0</v>
      </c>
      <c r="S31" s="248">
        <f>D31</f>
        <v>0</v>
      </c>
      <c r="T31" s="386"/>
      <c r="U31" s="386"/>
      <c r="V31" s="386"/>
      <c r="W31" s="386"/>
      <c r="X31" s="386"/>
      <c r="Y31" s="386"/>
      <c r="Z31" s="386"/>
      <c r="AA31" s="386"/>
      <c r="AB31" s="386"/>
      <c r="AC31" s="248">
        <f>N31</f>
        <v>0</v>
      </c>
      <c r="AD31" s="386"/>
      <c r="AE31" s="386"/>
    </row>
    <row r="32" spans="1:31" x14ac:dyDescent="0.3">
      <c r="A32" s="837" t="s">
        <v>5251</v>
      </c>
      <c r="B32" s="838" t="s">
        <v>5409</v>
      </c>
      <c r="C32" s="388"/>
      <c r="D32" s="874"/>
      <c r="E32" s="109">
        <f>PT.anaer_lagoon!G117</f>
        <v>483.89339964141004</v>
      </c>
      <c r="F32" s="109">
        <f>PT.anaer_lagoon!K117</f>
        <v>521.44836082673976</v>
      </c>
      <c r="G32" s="109">
        <f>PT.anaer_lagoon!O117</f>
        <v>502.03439246564983</v>
      </c>
      <c r="H32" s="109">
        <f>PT.anaer_lagoon!S117</f>
        <v>0</v>
      </c>
      <c r="I32" s="109">
        <f>PT.anaer_lagoon!W117</f>
        <v>52.998658144977185</v>
      </c>
      <c r="J32" s="109">
        <f>PT.anaer_lagoon!AA117</f>
        <v>0</v>
      </c>
      <c r="K32" s="109">
        <f>PT.anaer_lagoon!AE117</f>
        <v>0</v>
      </c>
      <c r="L32" s="109">
        <f>PT.anaer_lagoon!AJ117</f>
        <v>22.46799725618348</v>
      </c>
      <c r="M32" s="109">
        <f>PT.anaer_lagoon!AN117</f>
        <v>0</v>
      </c>
      <c r="N32" s="70"/>
      <c r="O32" s="70"/>
      <c r="P32" s="109">
        <f>PT.anaer_lagoon!AR117</f>
        <v>0</v>
      </c>
      <c r="Q32" s="875"/>
      <c r="R32" s="388"/>
      <c r="S32" s="874"/>
      <c r="T32" s="109">
        <f>E32</f>
        <v>483.89339964141004</v>
      </c>
      <c r="U32" s="109">
        <f t="shared" ref="U32:AB34" si="7">F32</f>
        <v>521.44836082673976</v>
      </c>
      <c r="V32" s="109">
        <f t="shared" si="7"/>
        <v>502.03439246564983</v>
      </c>
      <c r="W32" s="109">
        <f t="shared" si="7"/>
        <v>0</v>
      </c>
      <c r="X32" s="109">
        <f t="shared" si="7"/>
        <v>52.998658144977185</v>
      </c>
      <c r="Y32" s="109">
        <f t="shared" si="7"/>
        <v>0</v>
      </c>
      <c r="Z32" s="109">
        <f t="shared" si="7"/>
        <v>0</v>
      </c>
      <c r="AA32" s="109">
        <f t="shared" si="7"/>
        <v>22.46799725618348</v>
      </c>
      <c r="AB32" s="109">
        <f t="shared" si="7"/>
        <v>0</v>
      </c>
      <c r="AC32" s="70"/>
      <c r="AD32" s="70"/>
      <c r="AE32" s="109">
        <f>P32</f>
        <v>0</v>
      </c>
    </row>
    <row r="33" spans="1:31" x14ac:dyDescent="0.3">
      <c r="A33" s="826" t="s">
        <v>5381</v>
      </c>
      <c r="B33" s="827" t="s">
        <v>5410</v>
      </c>
      <c r="C33" s="1053">
        <f>PT.deep_pit!G316*UDV.animal.total*UC.kg_to_lb</f>
        <v>0</v>
      </c>
      <c r="D33" s="1053">
        <f>PT.deep_pit!H316*UDV.animal.total*UC.kg_to_lb</f>
        <v>0</v>
      </c>
      <c r="E33" s="1054">
        <f>(PT.anaer_lagoon!G370+PT.anaer_lagoon!G374)*UDV.animal.total*UC.kg_to_lb</f>
        <v>0</v>
      </c>
      <c r="F33" s="1054">
        <f>(PT.anaer_lagoon!K370+PT.anaer_lagoon!K374)*UDV.animal.total*UC.kg_to_lb</f>
        <v>0</v>
      </c>
      <c r="G33" s="1054">
        <f>(PT.anaer_lagoon!O370+PT.anaer_lagoon!O374)*UDV.animal.total*UC.kg_to_lb</f>
        <v>0</v>
      </c>
      <c r="H33" s="1054">
        <f>(PT.anaer_lagoon!S370+PT.anaer_lagoon!S374)*UDV.animal.total*UC.kg_to_lb</f>
        <v>0</v>
      </c>
      <c r="I33" s="1054">
        <f>(PT.anaer_lagoon!W370+PT.anaer_lagoon!W374)*UDV.animal.total*UC.kg_to_lb</f>
        <v>0</v>
      </c>
      <c r="J33" s="1054">
        <f>(PT.anaer_lagoon!AA370+PT.anaer_lagoon!AA374)*UDV.animal.total*UC.kg_to_lb</f>
        <v>0</v>
      </c>
      <c r="K33" s="1054">
        <f>(PT.anaer_lagoon!AE370+PT.anaer_lagoon!AE374)*UDV.animal.total*UC.kg_to_lb</f>
        <v>0</v>
      </c>
      <c r="L33" s="1054">
        <f>(PT.anaer_lagoon!AJ370+PT.anaer_lagoon!AJ374)*UDV.animal.total*UC.kg_to_lb</f>
        <v>0</v>
      </c>
      <c r="M33" s="1054">
        <f>(PT.anaer_lagoon!AN370+PT.anaer_lagoon!AN374)*UDV.animal.total*UC.kg_to_lb</f>
        <v>0</v>
      </c>
      <c r="N33" s="1054">
        <f>PT.storage_tank!G341*UDV.animal.total*UC.kg_to_lb</f>
        <v>0</v>
      </c>
      <c r="O33" s="1054">
        <f>PT.composting!G292*UDV.animal.total*UC.kg_to_lb</f>
        <v>0</v>
      </c>
      <c r="P33" s="1054">
        <f>(PT.anaer_lagoon!AR370+PT.anaer_lagoon!AR374+PT.slope_screen!G252)*UDV.animal.total*UC.kg_to_lb</f>
        <v>0</v>
      </c>
      <c r="Q33" s="1055"/>
      <c r="R33" s="1053">
        <f>C33</f>
        <v>0</v>
      </c>
      <c r="S33" s="1053">
        <f t="shared" ref="S33:T34" si="8">D33</f>
        <v>0</v>
      </c>
      <c r="T33" s="1053">
        <f t="shared" si="8"/>
        <v>0</v>
      </c>
      <c r="U33" s="1053">
        <f t="shared" si="7"/>
        <v>0</v>
      </c>
      <c r="V33" s="1053">
        <f t="shared" si="7"/>
        <v>0</v>
      </c>
      <c r="W33" s="1053">
        <f t="shared" si="7"/>
        <v>0</v>
      </c>
      <c r="X33" s="1053">
        <f t="shared" si="7"/>
        <v>0</v>
      </c>
      <c r="Y33" s="1053">
        <f t="shared" si="7"/>
        <v>0</v>
      </c>
      <c r="Z33" s="1053">
        <f t="shared" si="7"/>
        <v>0</v>
      </c>
      <c r="AA33" s="1053">
        <f t="shared" si="7"/>
        <v>0</v>
      </c>
      <c r="AB33" s="1053">
        <f t="shared" si="7"/>
        <v>0</v>
      </c>
      <c r="AC33" s="1053">
        <f t="shared" ref="AC33:AE34" si="9">N33</f>
        <v>0</v>
      </c>
      <c r="AD33" s="1053"/>
      <c r="AE33" s="1053">
        <f t="shared" si="9"/>
        <v>0</v>
      </c>
    </row>
    <row r="34" spans="1:31" x14ac:dyDescent="0.3">
      <c r="A34" s="831" t="s">
        <v>5382</v>
      </c>
      <c r="B34" s="832" t="s">
        <v>5410</v>
      </c>
      <c r="C34" s="1056">
        <f>PT.deep_pit!G317*UDV.animal.total*UC.kg_to_lb</f>
        <v>2755.6405770284418</v>
      </c>
      <c r="D34" s="1056">
        <f>PT.deep_pit!H317*UDV.animal.total*UC.kg_to_lb</f>
        <v>4437.4660648526296</v>
      </c>
      <c r="E34" s="1057">
        <f>(PT.anaer_lagoon!K371+PT.anaer_lagoon!K375)*UDV.animal.total*UC.kg_to_lb</f>
        <v>3427.9660388840621</v>
      </c>
      <c r="F34" s="1057">
        <f>(PT.anaer_lagoon!K371+PT.anaer_lagoon!K375)*UDV.animal.total*UC.kg_to_lb</f>
        <v>3427.9660388840621</v>
      </c>
      <c r="G34" s="1057">
        <f>(PT.anaer_lagoon!O371+PT.anaer_lagoon!O375)*UDV.animal.total*UC.kg_to_lb</f>
        <v>3574.900270603332</v>
      </c>
      <c r="H34" s="1057">
        <f>(PT.anaer_lagoon!S371+PT.anaer_lagoon!S375)*UDV.animal.total*UC.kg_to_lb</f>
        <v>5087.5802165457326</v>
      </c>
      <c r="I34" s="1057">
        <f>(PT.anaer_lagoon!W371+PT.anaer_lagoon!W375)*UDV.animal.total*UC.kg_to_lb</f>
        <v>4675.6177851286056</v>
      </c>
      <c r="J34" s="1057">
        <f>(PT.anaer_lagoon!AA371+PT.anaer_lagoon!AA375)*UDV.animal.total*UC.kg_to_lb</f>
        <v>4994.2581704644672</v>
      </c>
      <c r="K34" s="1057">
        <f>(PT.anaer_lagoon!AE371+PT.anaer_lagoon!AE375)*UDV.animal.total*UC.kg_to_lb</f>
        <v>5164.6311731881833</v>
      </c>
      <c r="L34" s="1057">
        <f>(PT.anaer_lagoon!AJ371+PT.anaer_lagoon!AJ375)*UDV.animal.total*UC.kg_to_lb</f>
        <v>4833.2659740990539</v>
      </c>
      <c r="M34" s="1057">
        <f>(PT.anaer_lagoon!AN371+PT.anaer_lagoon!AN375)*UDV.animal.total*UC.kg_to_lb</f>
        <v>5048.7903882961227</v>
      </c>
      <c r="N34" s="1057">
        <f>PT.storage_tank!G342*UDV.animal.total*UC.kg_to_lb</f>
        <v>3041.2971841593776</v>
      </c>
      <c r="O34" s="1057">
        <f>PT.composting!G293*UDV.animal.total*UC.kg_to_lb</f>
        <v>6011.9708779938101</v>
      </c>
      <c r="P34" s="1057">
        <f>(PT.anaer_lagoon!AR371+PT.anaer_lagoon!AR375+PT.slope_screen!G253)*UDV.animal.total*UC.kg_to_lb</f>
        <v>4516.7869380553047</v>
      </c>
      <c r="Q34" s="1058"/>
      <c r="R34" s="1056">
        <f>C34</f>
        <v>2755.6405770284418</v>
      </c>
      <c r="S34" s="1056">
        <f t="shared" si="8"/>
        <v>4437.4660648526296</v>
      </c>
      <c r="T34" s="1056">
        <f t="shared" si="8"/>
        <v>3427.9660388840621</v>
      </c>
      <c r="U34" s="1056">
        <f t="shared" si="7"/>
        <v>3427.9660388840621</v>
      </c>
      <c r="V34" s="1056">
        <f t="shared" si="7"/>
        <v>3574.900270603332</v>
      </c>
      <c r="W34" s="1056">
        <f t="shared" si="7"/>
        <v>5087.5802165457326</v>
      </c>
      <c r="X34" s="1056">
        <f t="shared" si="7"/>
        <v>4675.6177851286056</v>
      </c>
      <c r="Y34" s="1056">
        <f t="shared" si="7"/>
        <v>4994.2581704644672</v>
      </c>
      <c r="Z34" s="1056">
        <f t="shared" si="7"/>
        <v>5164.6311731881833</v>
      </c>
      <c r="AA34" s="1056">
        <f t="shared" si="7"/>
        <v>4833.2659740990539</v>
      </c>
      <c r="AB34" s="1056">
        <f t="shared" si="7"/>
        <v>5048.7903882961227</v>
      </c>
      <c r="AC34" s="1056">
        <f t="shared" si="9"/>
        <v>3041.2971841593776</v>
      </c>
      <c r="AD34" s="1056"/>
      <c r="AE34" s="1056">
        <f t="shared" si="9"/>
        <v>4516.7869380553047</v>
      </c>
    </row>
    <row r="35" spans="1:31" x14ac:dyDescent="0.3">
      <c r="A35" s="828" t="s">
        <v>5411</v>
      </c>
      <c r="B35" s="829" t="s">
        <v>5385</v>
      </c>
      <c r="C35" s="883">
        <f>PT.deep_pit!G107</f>
        <v>76.381736002187523</v>
      </c>
      <c r="D35" s="883">
        <f>PT.deep_pit!H107</f>
        <v>45.80309076902045</v>
      </c>
      <c r="E35" s="877"/>
      <c r="F35" s="877"/>
      <c r="G35" s="877"/>
      <c r="H35" s="877"/>
      <c r="I35" s="877"/>
      <c r="J35" s="877"/>
      <c r="K35" s="877"/>
      <c r="L35" s="877"/>
      <c r="M35" s="877"/>
      <c r="N35" s="877"/>
      <c r="O35" s="877"/>
      <c r="P35" s="877"/>
      <c r="R35" s="883">
        <f>C35</f>
        <v>76.381736002187523</v>
      </c>
      <c r="S35" s="883">
        <f>D35</f>
        <v>45.80309076902045</v>
      </c>
      <c r="T35" s="877"/>
      <c r="U35" s="877"/>
      <c r="V35" s="877"/>
      <c r="W35" s="877"/>
      <c r="X35" s="877"/>
      <c r="Y35" s="877"/>
      <c r="Z35" s="877"/>
      <c r="AA35" s="877"/>
      <c r="AB35" s="877"/>
      <c r="AC35" s="877"/>
      <c r="AD35" s="877"/>
      <c r="AE35" s="877"/>
    </row>
    <row r="36" spans="1:31" x14ac:dyDescent="0.3">
      <c r="A36" s="828" t="s">
        <v>5412</v>
      </c>
      <c r="B36" s="829" t="s">
        <v>5385</v>
      </c>
      <c r="C36" s="884"/>
      <c r="D36" s="880"/>
      <c r="E36" s="386"/>
      <c r="F36" s="386"/>
      <c r="G36" s="386"/>
      <c r="H36" s="386"/>
      <c r="I36" s="386"/>
      <c r="J36" s="386"/>
      <c r="K36" s="386"/>
      <c r="L36" s="386"/>
      <c r="M36" s="386"/>
      <c r="N36" s="879">
        <f>PT.storage_tank!G115</f>
        <v>71.187979508897797</v>
      </c>
      <c r="P36" s="386"/>
      <c r="R36" s="884"/>
      <c r="S36" s="880"/>
      <c r="T36" s="386"/>
      <c r="U36" s="386"/>
      <c r="V36" s="386"/>
      <c r="W36" s="386"/>
      <c r="X36" s="386"/>
      <c r="Y36" s="386"/>
      <c r="Z36" s="386"/>
      <c r="AA36" s="386"/>
      <c r="AB36" s="386"/>
      <c r="AC36" s="879">
        <f>N36</f>
        <v>71.187979508897797</v>
      </c>
      <c r="AD36" s="386"/>
      <c r="AE36" s="386"/>
    </row>
    <row r="37" spans="1:31" x14ac:dyDescent="0.3">
      <c r="A37" s="828" t="s">
        <v>5413</v>
      </c>
      <c r="B37" s="829" t="s">
        <v>5385</v>
      </c>
      <c r="C37" s="885"/>
      <c r="D37" s="880"/>
      <c r="E37" s="879">
        <f>PT.anaer_lagoon!E111+PT.anaer_lagoon!F111</f>
        <v>28.835774631219849</v>
      </c>
      <c r="F37" s="879">
        <f>PT.anaer_lagoon!I111+PT.anaer_lagoon!J111</f>
        <v>32.591270749752816</v>
      </c>
      <c r="G37" s="879">
        <f>PT.anaer_lagoon!M111+PT.anaer_lagoon!N111</f>
        <v>30.649873913643837</v>
      </c>
      <c r="H37" s="879">
        <f>PT.anaer_lagoon!Q111+PT.anaer_lagoon!R111</f>
        <v>26.866559720008752</v>
      </c>
      <c r="I37" s="879">
        <f>PT.anaer_lagoon!U111+PT.anaer_lagoon!V111</f>
        <v>30.260088668418415</v>
      </c>
      <c r="J37" s="879">
        <f>PT.anaer_lagoon!Y111+PT.anaer_lagoon!Z111</f>
        <v>28.563324194213582</v>
      </c>
      <c r="K37" s="879">
        <f>PT.anaer_lagoon!AC111+PT.anaer_lagoon!AD111</f>
        <v>26.177573585061577</v>
      </c>
      <c r="L37" s="879">
        <f>PT.anaer_lagoon!AH111+PT.anaer_lagoon!AI111</f>
        <v>29.474228332977912</v>
      </c>
      <c r="M37" s="879">
        <f>PT.anaer_lagoon!AL111+PT.anaer_lagoon!AM111</f>
        <v>27.825900959019744</v>
      </c>
      <c r="N37" s="114"/>
      <c r="P37" s="879">
        <f>PT.anaer_lagoon!AP111+PT.anaer_lagoon!AQ111</f>
        <v>28.286623239207238</v>
      </c>
      <c r="Q37" s="817"/>
      <c r="R37" s="885"/>
      <c r="S37" s="880"/>
      <c r="T37" s="879">
        <f>E37</f>
        <v>28.835774631219849</v>
      </c>
      <c r="U37" s="879">
        <f t="shared" ref="U37:AB38" si="10">F37</f>
        <v>32.591270749752816</v>
      </c>
      <c r="V37" s="879">
        <f t="shared" si="10"/>
        <v>30.649873913643837</v>
      </c>
      <c r="W37" s="879">
        <f t="shared" si="10"/>
        <v>26.866559720008752</v>
      </c>
      <c r="X37" s="879">
        <f t="shared" si="10"/>
        <v>30.260088668418415</v>
      </c>
      <c r="Y37" s="879">
        <f t="shared" si="10"/>
        <v>28.563324194213582</v>
      </c>
      <c r="Z37" s="879">
        <f t="shared" si="10"/>
        <v>26.177573585061577</v>
      </c>
      <c r="AA37" s="879">
        <f t="shared" si="10"/>
        <v>29.474228332977912</v>
      </c>
      <c r="AB37" s="879">
        <f t="shared" si="10"/>
        <v>27.825900959019744</v>
      </c>
      <c r="AC37" s="114"/>
      <c r="AD37" s="114"/>
      <c r="AE37" s="879">
        <f>P37</f>
        <v>28.286623239207238</v>
      </c>
    </row>
    <row r="38" spans="1:31" x14ac:dyDescent="0.3">
      <c r="A38" s="828" t="s">
        <v>5414</v>
      </c>
      <c r="B38" s="829" t="s">
        <v>5415</v>
      </c>
      <c r="C38" s="885"/>
      <c r="D38" s="880"/>
      <c r="E38" s="879">
        <f>PT.anaer_lagoon!G111</f>
        <v>119.55356533292115</v>
      </c>
      <c r="F38" s="879">
        <f>PT.anaer_lagoon!K111</f>
        <v>119.55356533292115</v>
      </c>
      <c r="G38" s="879">
        <f>PT.anaer_lagoon!O111</f>
        <v>119.55356533292115</v>
      </c>
      <c r="H38" s="879">
        <f>PT.anaer_lagoon!S111</f>
        <v>71.162737455007587</v>
      </c>
      <c r="I38" s="879">
        <f>PT.anaer_lagoon!W111</f>
        <v>75.35175549758992</v>
      </c>
      <c r="J38" s="879">
        <f>PT.anaer_lagoon!AA111</f>
        <v>71.162737455007587</v>
      </c>
      <c r="K38" s="879">
        <f>PT.anaer_lagoon!AE111</f>
        <v>64.043333960397533</v>
      </c>
      <c r="L38" s="879">
        <f>PT.anaer_lagoon!AJ111</f>
        <v>73.200708260165129</v>
      </c>
      <c r="M38" s="879">
        <f>PT.anaer_lagoon!AN111</f>
        <v>68.622021110281324</v>
      </c>
      <c r="N38" s="114"/>
      <c r="P38" s="879">
        <f>PT.anaer_lagoon!AR111</f>
        <v>65.182541499505589</v>
      </c>
      <c r="Q38" s="817"/>
      <c r="R38" s="885"/>
      <c r="S38" s="880"/>
      <c r="T38" s="879">
        <f>E38</f>
        <v>119.55356533292115</v>
      </c>
      <c r="U38" s="879">
        <f t="shared" si="10"/>
        <v>119.55356533292115</v>
      </c>
      <c r="V38" s="879">
        <f t="shared" si="10"/>
        <v>119.55356533292115</v>
      </c>
      <c r="W38" s="879">
        <f t="shared" si="10"/>
        <v>71.162737455007587</v>
      </c>
      <c r="X38" s="879">
        <f t="shared" si="10"/>
        <v>75.35175549758992</v>
      </c>
      <c r="Y38" s="879">
        <f t="shared" si="10"/>
        <v>71.162737455007587</v>
      </c>
      <c r="Z38" s="879">
        <f t="shared" si="10"/>
        <v>64.043333960397533</v>
      </c>
      <c r="AA38" s="879">
        <f t="shared" si="10"/>
        <v>73.200708260165129</v>
      </c>
      <c r="AB38" s="879">
        <f t="shared" si="10"/>
        <v>68.622021110281324</v>
      </c>
      <c r="AC38" s="114"/>
      <c r="AD38" s="114"/>
      <c r="AE38" s="879">
        <f>P38</f>
        <v>65.182541499505589</v>
      </c>
    </row>
    <row r="39" spans="1:31" x14ac:dyDescent="0.3">
      <c r="A39" s="828" t="s">
        <v>5416</v>
      </c>
      <c r="B39" s="829" t="s">
        <v>5385</v>
      </c>
      <c r="C39" s="885"/>
      <c r="D39" s="886"/>
      <c r="E39" s="114"/>
      <c r="F39" s="114"/>
      <c r="G39" s="114"/>
      <c r="H39" s="114"/>
      <c r="I39" s="114"/>
      <c r="J39" s="114"/>
      <c r="K39" s="114"/>
      <c r="L39" s="114"/>
      <c r="M39" s="114"/>
      <c r="N39" s="114"/>
      <c r="P39" s="879">
        <f>PT.slope_screen!G137</f>
        <v>8.9107390180089094</v>
      </c>
      <c r="Q39" s="817"/>
      <c r="R39" s="885"/>
      <c r="S39" s="886"/>
      <c r="T39" s="114"/>
      <c r="U39" s="114"/>
      <c r="V39" s="114"/>
      <c r="W39" s="114"/>
      <c r="X39" s="114"/>
      <c r="Y39" s="114"/>
      <c r="Z39" s="114"/>
      <c r="AA39" s="114"/>
      <c r="AB39" s="114"/>
      <c r="AC39" s="114"/>
      <c r="AD39" s="114"/>
      <c r="AE39" s="879">
        <f>P39</f>
        <v>8.9107390180089094</v>
      </c>
    </row>
    <row r="40" spans="1:31" x14ac:dyDescent="0.3">
      <c r="A40" s="828" t="s">
        <v>5417</v>
      </c>
      <c r="B40" s="829" t="s">
        <v>5385</v>
      </c>
      <c r="C40" s="885"/>
      <c r="D40" s="886"/>
      <c r="E40" s="114"/>
      <c r="F40" s="114"/>
      <c r="G40" s="114"/>
      <c r="H40" s="114"/>
      <c r="I40" s="114"/>
      <c r="J40" s="114"/>
      <c r="K40" s="114"/>
      <c r="L40" s="114"/>
      <c r="M40" s="114"/>
      <c r="N40" s="114"/>
      <c r="O40" s="879">
        <f>PT.composting!G186</f>
        <v>26.123916869726369</v>
      </c>
      <c r="P40" s="114"/>
      <c r="Q40" s="817"/>
      <c r="R40" s="885"/>
      <c r="S40" s="886"/>
      <c r="T40" s="114"/>
      <c r="U40" s="114"/>
      <c r="V40" s="114"/>
      <c r="W40" s="114"/>
      <c r="X40" s="114"/>
      <c r="Y40" s="114"/>
      <c r="Z40" s="114"/>
      <c r="AA40" s="114"/>
      <c r="AB40" s="114"/>
      <c r="AC40" s="114"/>
      <c r="AD40" s="879"/>
      <c r="AE40" s="114"/>
    </row>
    <row r="41" spans="1:31" x14ac:dyDescent="0.3">
      <c r="A41" s="826" t="s">
        <v>5418</v>
      </c>
      <c r="B41" s="827" t="s">
        <v>5385</v>
      </c>
      <c r="C41" s="2157">
        <f t="shared" ref="C41:P41" si="11">SUM(C35:C37,C39:C40)</f>
        <v>76.381736002187523</v>
      </c>
      <c r="D41" s="2157">
        <f t="shared" si="11"/>
        <v>45.80309076902045</v>
      </c>
      <c r="E41" s="2157">
        <f t="shared" si="11"/>
        <v>28.835774631219849</v>
      </c>
      <c r="F41" s="2157">
        <f t="shared" si="11"/>
        <v>32.591270749752816</v>
      </c>
      <c r="G41" s="2157">
        <f t="shared" si="11"/>
        <v>30.649873913643837</v>
      </c>
      <c r="H41" s="2157">
        <f t="shared" si="11"/>
        <v>26.866559720008752</v>
      </c>
      <c r="I41" s="2157">
        <f t="shared" si="11"/>
        <v>30.260088668418415</v>
      </c>
      <c r="J41" s="2157">
        <f t="shared" si="11"/>
        <v>28.563324194213582</v>
      </c>
      <c r="K41" s="2157">
        <f t="shared" si="11"/>
        <v>26.177573585061577</v>
      </c>
      <c r="L41" s="2157">
        <f t="shared" si="11"/>
        <v>29.474228332977912</v>
      </c>
      <c r="M41" s="2157">
        <f t="shared" si="11"/>
        <v>27.825900959019744</v>
      </c>
      <c r="N41" s="2157">
        <f t="shared" si="11"/>
        <v>71.187979508897797</v>
      </c>
      <c r="O41" s="2157">
        <f t="shared" si="11"/>
        <v>26.123916869726369</v>
      </c>
      <c r="P41" s="2157">
        <f t="shared" si="11"/>
        <v>37.197362257216149</v>
      </c>
      <c r="Q41" s="2162"/>
      <c r="R41" s="2167">
        <f>C41</f>
        <v>76.381736002187523</v>
      </c>
      <c r="S41" s="2167">
        <f t="shared" ref="S41:AE49" si="12">D41</f>
        <v>45.80309076902045</v>
      </c>
      <c r="T41" s="2167">
        <f t="shared" si="12"/>
        <v>28.835774631219849</v>
      </c>
      <c r="U41" s="2165">
        <f t="shared" si="12"/>
        <v>32.591270749752816</v>
      </c>
      <c r="V41" s="2167">
        <f t="shared" si="12"/>
        <v>30.649873913643837</v>
      </c>
      <c r="W41" s="2167">
        <f t="shared" si="12"/>
        <v>26.866559720008752</v>
      </c>
      <c r="X41" s="2165">
        <f t="shared" si="12"/>
        <v>30.260088668418415</v>
      </c>
      <c r="Y41" s="2167">
        <f t="shared" si="12"/>
        <v>28.563324194213582</v>
      </c>
      <c r="Z41" s="2167">
        <f t="shared" si="12"/>
        <v>26.177573585061577</v>
      </c>
      <c r="AA41" s="2167">
        <f t="shared" si="12"/>
        <v>29.474228332977912</v>
      </c>
      <c r="AB41" s="2167">
        <f t="shared" si="12"/>
        <v>27.825900959019744</v>
      </c>
      <c r="AC41" s="2167">
        <f t="shared" si="12"/>
        <v>71.187979508897797</v>
      </c>
      <c r="AD41" s="2167"/>
      <c r="AE41" s="1180">
        <f t="shared" si="12"/>
        <v>37.197362257216149</v>
      </c>
    </row>
    <row r="42" spans="1:31" x14ac:dyDescent="0.3">
      <c r="A42" s="828" t="s">
        <v>5419</v>
      </c>
      <c r="B42" s="829" t="s">
        <v>5415</v>
      </c>
      <c r="C42" s="2158">
        <f t="shared" ref="C42:P42" si="13">SUM(C35:C37,C39:C40)+SUM(C38:C38)</f>
        <v>76.381736002187523</v>
      </c>
      <c r="D42" s="2158">
        <f t="shared" si="13"/>
        <v>45.80309076902045</v>
      </c>
      <c r="E42" s="2158">
        <f t="shared" si="13"/>
        <v>148.38933996414102</v>
      </c>
      <c r="F42" s="2158">
        <f t="shared" si="13"/>
        <v>152.14483608267398</v>
      </c>
      <c r="G42" s="2158">
        <f t="shared" si="13"/>
        <v>150.20343924656498</v>
      </c>
      <c r="H42" s="2158">
        <f t="shared" si="13"/>
        <v>98.029297175016339</v>
      </c>
      <c r="I42" s="2158">
        <f t="shared" si="13"/>
        <v>105.61184416600834</v>
      </c>
      <c r="J42" s="2158">
        <f t="shared" si="13"/>
        <v>99.726061649221165</v>
      </c>
      <c r="K42" s="2158">
        <f t="shared" si="13"/>
        <v>90.220907545459113</v>
      </c>
      <c r="L42" s="2158">
        <f t="shared" si="13"/>
        <v>102.67493659314304</v>
      </c>
      <c r="M42" s="2158">
        <f t="shared" si="13"/>
        <v>96.447922069301072</v>
      </c>
      <c r="N42" s="2158">
        <f t="shared" si="13"/>
        <v>71.187979508897797</v>
      </c>
      <c r="O42" s="2158">
        <f t="shared" si="13"/>
        <v>26.123916869726369</v>
      </c>
      <c r="P42" s="2158">
        <f t="shared" si="13"/>
        <v>102.37990375672175</v>
      </c>
      <c r="Q42" s="2163"/>
      <c r="R42" s="886">
        <f t="shared" ref="R42:R49" si="14">C42</f>
        <v>76.381736002187523</v>
      </c>
      <c r="S42" s="886">
        <f t="shared" si="12"/>
        <v>45.80309076902045</v>
      </c>
      <c r="T42" s="886">
        <f t="shared" si="12"/>
        <v>148.38933996414102</v>
      </c>
      <c r="U42" s="2166">
        <f t="shared" si="12"/>
        <v>152.14483608267398</v>
      </c>
      <c r="V42" s="886">
        <f t="shared" si="12"/>
        <v>150.20343924656498</v>
      </c>
      <c r="W42" s="886">
        <f t="shared" si="12"/>
        <v>98.029297175016339</v>
      </c>
      <c r="X42" s="2166">
        <f t="shared" si="12"/>
        <v>105.61184416600834</v>
      </c>
      <c r="Y42" s="886">
        <f t="shared" si="12"/>
        <v>99.726061649221165</v>
      </c>
      <c r="Z42" s="886">
        <f t="shared" si="12"/>
        <v>90.220907545459113</v>
      </c>
      <c r="AA42" s="886">
        <f t="shared" si="12"/>
        <v>102.67493659314304</v>
      </c>
      <c r="AB42" s="886">
        <f t="shared" si="12"/>
        <v>96.447922069301072</v>
      </c>
      <c r="AC42" s="886">
        <f t="shared" si="12"/>
        <v>71.187979508897797</v>
      </c>
      <c r="AD42" s="886"/>
      <c r="AE42" s="885">
        <f t="shared" si="12"/>
        <v>102.37990375672175</v>
      </c>
    </row>
    <row r="43" spans="1:31" x14ac:dyDescent="0.3">
      <c r="A43" s="840" t="s">
        <v>5420</v>
      </c>
      <c r="B43" s="841" t="s">
        <v>5421</v>
      </c>
      <c r="C43" s="2168">
        <f t="shared" ref="C43:P43" si="15">SUM(C35:C37,C39:C40)+(SUM(C38:C38)/UDV.anaer_lagoon.sludge_time)</f>
        <v>76.381736002187523</v>
      </c>
      <c r="D43" s="2159">
        <f t="shared" si="15"/>
        <v>45.80309076902045</v>
      </c>
      <c r="E43" s="2158">
        <f t="shared" si="15"/>
        <v>40.791131164511967</v>
      </c>
      <c r="F43" s="2158">
        <f t="shared" si="15"/>
        <v>44.546627283044927</v>
      </c>
      <c r="G43" s="2158">
        <f t="shared" si="15"/>
        <v>42.605230446935948</v>
      </c>
      <c r="H43" s="2158">
        <f t="shared" si="15"/>
        <v>33.982833465509508</v>
      </c>
      <c r="I43" s="2158">
        <f t="shared" si="15"/>
        <v>37.795264218177408</v>
      </c>
      <c r="J43" s="2158">
        <f t="shared" si="15"/>
        <v>35.679597939714341</v>
      </c>
      <c r="K43" s="2158">
        <f t="shared" si="15"/>
        <v>32.581906981101326</v>
      </c>
      <c r="L43" s="2158">
        <f t="shared" si="15"/>
        <v>36.794299158994427</v>
      </c>
      <c r="M43" s="2158">
        <f t="shared" si="15"/>
        <v>34.688103070047873</v>
      </c>
      <c r="N43" s="2158">
        <f t="shared" si="15"/>
        <v>71.187979508897797</v>
      </c>
      <c r="O43" s="2158">
        <f t="shared" si="15"/>
        <v>26.123916869726369</v>
      </c>
      <c r="P43" s="2158">
        <f t="shared" si="15"/>
        <v>43.715616407166706</v>
      </c>
      <c r="Q43" s="817"/>
      <c r="R43" s="886">
        <f t="shared" si="14"/>
        <v>76.381736002187523</v>
      </c>
      <c r="S43" s="886">
        <f t="shared" si="12"/>
        <v>45.80309076902045</v>
      </c>
      <c r="T43" s="886">
        <f t="shared" si="12"/>
        <v>40.791131164511967</v>
      </c>
      <c r="U43" s="2166">
        <f t="shared" si="12"/>
        <v>44.546627283044927</v>
      </c>
      <c r="V43" s="886">
        <f t="shared" si="12"/>
        <v>42.605230446935948</v>
      </c>
      <c r="W43" s="886">
        <f t="shared" si="12"/>
        <v>33.982833465509508</v>
      </c>
      <c r="X43" s="2166">
        <f t="shared" si="12"/>
        <v>37.795264218177408</v>
      </c>
      <c r="Y43" s="886">
        <f t="shared" si="12"/>
        <v>35.679597939714341</v>
      </c>
      <c r="Z43" s="886">
        <f t="shared" si="12"/>
        <v>32.581906981101326</v>
      </c>
      <c r="AA43" s="886">
        <f t="shared" si="12"/>
        <v>36.794299158994427</v>
      </c>
      <c r="AB43" s="886">
        <f t="shared" si="12"/>
        <v>34.688103070047873</v>
      </c>
      <c r="AC43" s="886">
        <f t="shared" si="12"/>
        <v>71.187979508897797</v>
      </c>
      <c r="AD43" s="886"/>
      <c r="AE43" s="885">
        <f t="shared" si="12"/>
        <v>43.715616407166706</v>
      </c>
    </row>
    <row r="44" spans="1:31" s="818" customFormat="1" x14ac:dyDescent="0.3">
      <c r="A44" s="2180" t="s">
        <v>5422</v>
      </c>
      <c r="B44" s="2275" t="s">
        <v>5421</v>
      </c>
      <c r="C44" s="2276">
        <f t="shared" ref="C44:P44" si="16">UDV.crops.acres_available-C43</f>
        <v>23.618263997812477</v>
      </c>
      <c r="D44" s="2276">
        <f t="shared" si="16"/>
        <v>54.19690923097955</v>
      </c>
      <c r="E44" s="2276">
        <f t="shared" si="16"/>
        <v>59.208868835488033</v>
      </c>
      <c r="F44" s="2276">
        <f t="shared" si="16"/>
        <v>55.453372716955073</v>
      </c>
      <c r="G44" s="2276">
        <f t="shared" si="16"/>
        <v>57.394769553064052</v>
      </c>
      <c r="H44" s="2276">
        <f t="shared" si="16"/>
        <v>66.017166534490485</v>
      </c>
      <c r="I44" s="2276">
        <f t="shared" si="16"/>
        <v>62.204735781822592</v>
      </c>
      <c r="J44" s="2276">
        <f t="shared" si="16"/>
        <v>64.320402060285659</v>
      </c>
      <c r="K44" s="2276">
        <f t="shared" si="16"/>
        <v>67.418093018898674</v>
      </c>
      <c r="L44" s="2276">
        <f t="shared" si="16"/>
        <v>63.205700841005573</v>
      </c>
      <c r="M44" s="2276">
        <f t="shared" si="16"/>
        <v>65.311896929952127</v>
      </c>
      <c r="N44" s="2276">
        <f t="shared" si="16"/>
        <v>28.812020491102203</v>
      </c>
      <c r="O44" s="2276">
        <f t="shared" si="16"/>
        <v>73.876083130273628</v>
      </c>
      <c r="P44" s="2276">
        <f t="shared" si="16"/>
        <v>56.284383592833294</v>
      </c>
      <c r="Q44" s="1164"/>
      <c r="R44" s="2277">
        <f t="shared" si="14"/>
        <v>23.618263997812477</v>
      </c>
      <c r="S44" s="2277">
        <f t="shared" si="12"/>
        <v>54.19690923097955</v>
      </c>
      <c r="T44" s="2277">
        <f t="shared" si="12"/>
        <v>59.208868835488033</v>
      </c>
      <c r="U44" s="2278">
        <f t="shared" si="12"/>
        <v>55.453372716955073</v>
      </c>
      <c r="V44" s="2277">
        <f t="shared" si="12"/>
        <v>57.394769553064052</v>
      </c>
      <c r="W44" s="2277">
        <f t="shared" si="12"/>
        <v>66.017166534490485</v>
      </c>
      <c r="X44" s="2278">
        <f t="shared" si="12"/>
        <v>62.204735781822592</v>
      </c>
      <c r="Y44" s="2277">
        <f t="shared" si="12"/>
        <v>64.320402060285659</v>
      </c>
      <c r="Z44" s="2277">
        <f t="shared" si="12"/>
        <v>67.418093018898674</v>
      </c>
      <c r="AA44" s="2277">
        <f t="shared" si="12"/>
        <v>63.205700841005573</v>
      </c>
      <c r="AB44" s="2277">
        <f t="shared" si="12"/>
        <v>65.311896929952127</v>
      </c>
      <c r="AC44" s="2277">
        <f t="shared" si="12"/>
        <v>28.812020491102203</v>
      </c>
      <c r="AD44" s="2277"/>
      <c r="AE44" s="2279">
        <f t="shared" si="12"/>
        <v>56.284383592833294</v>
      </c>
    </row>
    <row r="45" spans="1:31" s="818" customFormat="1" x14ac:dyDescent="0.3">
      <c r="A45" s="2180" t="s">
        <v>5423</v>
      </c>
      <c r="B45" s="2275" t="s">
        <v>5421</v>
      </c>
      <c r="C45" s="2276">
        <f t="shared" ref="C45:P45" si="17">UDV.crops.acres_available-C41</f>
        <v>23.618263997812477</v>
      </c>
      <c r="D45" s="2276">
        <f t="shared" si="17"/>
        <v>54.19690923097955</v>
      </c>
      <c r="E45" s="2276">
        <f t="shared" si="17"/>
        <v>71.164225368780151</v>
      </c>
      <c r="F45" s="2276">
        <f t="shared" si="17"/>
        <v>67.408729250247177</v>
      </c>
      <c r="G45" s="2276">
        <f t="shared" si="17"/>
        <v>69.35012608635617</v>
      </c>
      <c r="H45" s="2276">
        <f t="shared" si="17"/>
        <v>73.133440279991248</v>
      </c>
      <c r="I45" s="2276">
        <f t="shared" si="17"/>
        <v>69.739911331581581</v>
      </c>
      <c r="J45" s="2276">
        <f t="shared" si="17"/>
        <v>71.436675805786422</v>
      </c>
      <c r="K45" s="2276">
        <f t="shared" si="17"/>
        <v>73.82242641493842</v>
      </c>
      <c r="L45" s="2276">
        <f t="shared" si="17"/>
        <v>70.525771667022084</v>
      </c>
      <c r="M45" s="2276">
        <f t="shared" si="17"/>
        <v>72.174099040980252</v>
      </c>
      <c r="N45" s="2276">
        <f t="shared" si="17"/>
        <v>28.812020491102203</v>
      </c>
      <c r="O45" s="2276">
        <f t="shared" si="17"/>
        <v>73.876083130273628</v>
      </c>
      <c r="P45" s="2276">
        <f t="shared" si="17"/>
        <v>62.802637742783851</v>
      </c>
      <c r="Q45" s="2164"/>
      <c r="R45" s="2280">
        <f t="shared" si="14"/>
        <v>23.618263997812477</v>
      </c>
      <c r="S45" s="2280">
        <f t="shared" si="12"/>
        <v>54.19690923097955</v>
      </c>
      <c r="T45" s="2280">
        <f t="shared" si="12"/>
        <v>71.164225368780151</v>
      </c>
      <c r="U45" s="2280">
        <f t="shared" si="12"/>
        <v>67.408729250247177</v>
      </c>
      <c r="V45" s="2280">
        <f t="shared" si="12"/>
        <v>69.35012608635617</v>
      </c>
      <c r="W45" s="2280">
        <f t="shared" si="12"/>
        <v>73.133440279991248</v>
      </c>
      <c r="X45" s="2280">
        <f t="shared" si="12"/>
        <v>69.739911331581581</v>
      </c>
      <c r="Y45" s="2280">
        <f t="shared" si="12"/>
        <v>71.436675805786422</v>
      </c>
      <c r="Z45" s="2280">
        <f t="shared" si="12"/>
        <v>73.82242641493842</v>
      </c>
      <c r="AA45" s="2280">
        <f t="shared" si="12"/>
        <v>70.525771667022084</v>
      </c>
      <c r="AB45" s="2280">
        <f t="shared" si="12"/>
        <v>72.174099040980252</v>
      </c>
      <c r="AC45" s="2280">
        <f t="shared" si="12"/>
        <v>28.812020491102203</v>
      </c>
      <c r="AD45" s="2280"/>
      <c r="AE45" s="2280">
        <f t="shared" si="12"/>
        <v>62.802637742783851</v>
      </c>
    </row>
    <row r="46" spans="1:31" s="818" customFormat="1" x14ac:dyDescent="0.3">
      <c r="A46" s="2180" t="s">
        <v>5424</v>
      </c>
      <c r="B46" s="2275" t="s">
        <v>5415</v>
      </c>
      <c r="C46" s="2276">
        <f t="shared" ref="C46:P46" si="18">UDV.crops.acres_available-C42</f>
        <v>23.618263997812477</v>
      </c>
      <c r="D46" s="2276">
        <f t="shared" si="18"/>
        <v>54.19690923097955</v>
      </c>
      <c r="E46" s="2276">
        <f t="shared" si="18"/>
        <v>-48.389339964141016</v>
      </c>
      <c r="F46" s="2276">
        <f t="shared" si="18"/>
        <v>-52.144836082673976</v>
      </c>
      <c r="G46" s="2276">
        <f t="shared" si="18"/>
        <v>-50.203439246564983</v>
      </c>
      <c r="H46" s="2276">
        <f t="shared" si="18"/>
        <v>1.9707028249836611</v>
      </c>
      <c r="I46" s="2276">
        <f t="shared" si="18"/>
        <v>-5.6118441660083391</v>
      </c>
      <c r="J46" s="2276">
        <f t="shared" si="18"/>
        <v>0.27393835077883466</v>
      </c>
      <c r="K46" s="2276">
        <f t="shared" si="18"/>
        <v>9.779092454540887</v>
      </c>
      <c r="L46" s="2276">
        <f t="shared" si="18"/>
        <v>-2.6749365931430447</v>
      </c>
      <c r="M46" s="2276">
        <f t="shared" si="18"/>
        <v>3.5520779306989283</v>
      </c>
      <c r="N46" s="2276">
        <f t="shared" si="18"/>
        <v>28.812020491102203</v>
      </c>
      <c r="O46" s="2276">
        <f t="shared" si="18"/>
        <v>73.876083130273628</v>
      </c>
      <c r="P46" s="2276">
        <f t="shared" si="18"/>
        <v>-2.3799037567217454</v>
      </c>
      <c r="Q46" s="2164"/>
      <c r="R46" s="2280">
        <f t="shared" si="14"/>
        <v>23.618263997812477</v>
      </c>
      <c r="S46" s="2280">
        <f t="shared" si="12"/>
        <v>54.19690923097955</v>
      </c>
      <c r="T46" s="2280">
        <f t="shared" si="12"/>
        <v>-48.389339964141016</v>
      </c>
      <c r="U46" s="2280">
        <f t="shared" si="12"/>
        <v>-52.144836082673976</v>
      </c>
      <c r="V46" s="2280">
        <f t="shared" si="12"/>
        <v>-50.203439246564983</v>
      </c>
      <c r="W46" s="2280">
        <f t="shared" si="12"/>
        <v>1.9707028249836611</v>
      </c>
      <c r="X46" s="2280">
        <f t="shared" si="12"/>
        <v>-5.6118441660083391</v>
      </c>
      <c r="Y46" s="2280">
        <f t="shared" si="12"/>
        <v>0.27393835077883466</v>
      </c>
      <c r="Z46" s="2280">
        <f t="shared" si="12"/>
        <v>9.779092454540887</v>
      </c>
      <c r="AA46" s="2280">
        <f t="shared" si="12"/>
        <v>-2.6749365931430447</v>
      </c>
      <c r="AB46" s="2280">
        <f t="shared" si="12"/>
        <v>3.5520779306989283</v>
      </c>
      <c r="AC46" s="2280">
        <f t="shared" si="12"/>
        <v>28.812020491102203</v>
      </c>
      <c r="AD46" s="2280"/>
      <c r="AE46" s="2280">
        <f t="shared" si="12"/>
        <v>-2.3799037567217454</v>
      </c>
    </row>
    <row r="47" spans="1:31" x14ac:dyDescent="0.3">
      <c r="A47" s="1249" t="s">
        <v>5425</v>
      </c>
      <c r="B47" s="1177" t="s">
        <v>5421</v>
      </c>
      <c r="C47" s="2160">
        <f t="shared" ref="C47:P47" si="19">(MAX(0, C41-UDV.crops.acres_available)*(UDV.anaer_lagoon.sludge_time-1) + MAX(0, C42-UDV.crops.acres_available))/UDV.anaer_lagoon.sludge_time</f>
        <v>0</v>
      </c>
      <c r="D47" s="2160">
        <f t="shared" si="19"/>
        <v>0</v>
      </c>
      <c r="E47" s="2160">
        <f t="shared" si="19"/>
        <v>4.8389339964141014</v>
      </c>
      <c r="F47" s="2160">
        <f t="shared" si="19"/>
        <v>5.2144836082673978</v>
      </c>
      <c r="G47" s="2160">
        <f t="shared" si="19"/>
        <v>5.0203439246564985</v>
      </c>
      <c r="H47" s="2160">
        <f t="shared" si="19"/>
        <v>0</v>
      </c>
      <c r="I47" s="2160">
        <f t="shared" si="19"/>
        <v>0.56118441660083396</v>
      </c>
      <c r="J47" s="2160">
        <f t="shared" si="19"/>
        <v>0</v>
      </c>
      <c r="K47" s="2160">
        <f t="shared" si="19"/>
        <v>0</v>
      </c>
      <c r="L47" s="2160">
        <f t="shared" si="19"/>
        <v>0.26749365931430447</v>
      </c>
      <c r="M47" s="2160">
        <f t="shared" si="19"/>
        <v>0</v>
      </c>
      <c r="N47" s="2160">
        <f t="shared" si="19"/>
        <v>0</v>
      </c>
      <c r="O47" s="2160">
        <f t="shared" si="19"/>
        <v>0</v>
      </c>
      <c r="P47" s="2160">
        <f t="shared" si="19"/>
        <v>0.23799037567217454</v>
      </c>
      <c r="R47" s="2160">
        <f t="shared" ref="R47:AC47" si="20">(MAX(0, R41-UDV.crops.acres_available)*(UDV.anaer_lagoon.sludge_time-1) + MAX(0, R42-UDV.crops.acres_available))/UDV.anaer_lagoon.sludge_time</f>
        <v>0</v>
      </c>
      <c r="S47" s="2160">
        <f t="shared" si="20"/>
        <v>0</v>
      </c>
      <c r="T47" s="2160">
        <f t="shared" si="20"/>
        <v>4.8389339964141014</v>
      </c>
      <c r="U47" s="2160">
        <f t="shared" si="20"/>
        <v>5.2144836082673978</v>
      </c>
      <c r="V47" s="2160">
        <f t="shared" si="20"/>
        <v>5.0203439246564985</v>
      </c>
      <c r="W47" s="2160">
        <f t="shared" si="20"/>
        <v>0</v>
      </c>
      <c r="X47" s="2160">
        <f t="shared" si="20"/>
        <v>0.56118441660083396</v>
      </c>
      <c r="Y47" s="2160">
        <f t="shared" si="20"/>
        <v>0</v>
      </c>
      <c r="Z47" s="2160">
        <f t="shared" si="20"/>
        <v>0</v>
      </c>
      <c r="AA47" s="2160">
        <f t="shared" si="20"/>
        <v>0.26749365931430447</v>
      </c>
      <c r="AB47" s="2160">
        <f t="shared" si="20"/>
        <v>0</v>
      </c>
      <c r="AC47" s="2160">
        <f t="shared" si="20"/>
        <v>0</v>
      </c>
      <c r="AD47" s="2160"/>
      <c r="AE47" s="2160">
        <f>(MAX(0, AE41-UDV.crops.acres_available)*(UDV.anaer_lagoon.sludge_time-1) + MAX(0, AE42-UDV.crops.acres_available))/UDV.anaer_lagoon.sludge_time</f>
        <v>0.23799037567217454</v>
      </c>
    </row>
    <row r="48" spans="1:31" x14ac:dyDescent="0.3">
      <c r="A48" s="1249" t="s">
        <v>5426</v>
      </c>
      <c r="B48" s="1177" t="s">
        <v>5421</v>
      </c>
      <c r="C48" s="2160">
        <f t="shared" ref="C48:P48" si="21">MIN(0,UDV.crops.acres_available-C41)*-1</f>
        <v>0</v>
      </c>
      <c r="D48" s="2160">
        <f t="shared" si="21"/>
        <v>0</v>
      </c>
      <c r="E48" s="2160">
        <f>MIN(0,UDV.crops.acres_available-E41)*-1</f>
        <v>0</v>
      </c>
      <c r="F48" s="2160">
        <f t="shared" si="21"/>
        <v>0</v>
      </c>
      <c r="G48" s="2160">
        <f t="shared" si="21"/>
        <v>0</v>
      </c>
      <c r="H48" s="2160">
        <f t="shared" si="21"/>
        <v>0</v>
      </c>
      <c r="I48" s="2160">
        <f t="shared" si="21"/>
        <v>0</v>
      </c>
      <c r="J48" s="2160">
        <f t="shared" si="21"/>
        <v>0</v>
      </c>
      <c r="K48" s="2160">
        <f t="shared" si="21"/>
        <v>0</v>
      </c>
      <c r="L48" s="2160">
        <f t="shared" si="21"/>
        <v>0</v>
      </c>
      <c r="M48" s="2160">
        <f t="shared" si="21"/>
        <v>0</v>
      </c>
      <c r="N48" s="2160">
        <f t="shared" si="21"/>
        <v>0</v>
      </c>
      <c r="O48" s="2160">
        <f t="shared" si="21"/>
        <v>0</v>
      </c>
      <c r="P48" s="2160">
        <f t="shared" si="21"/>
        <v>0</v>
      </c>
      <c r="R48" s="1180">
        <f t="shared" si="14"/>
        <v>0</v>
      </c>
      <c r="S48" s="1180">
        <f t="shared" si="12"/>
        <v>0</v>
      </c>
      <c r="T48" s="1180">
        <f t="shared" si="12"/>
        <v>0</v>
      </c>
      <c r="U48" s="1180">
        <f t="shared" si="12"/>
        <v>0</v>
      </c>
      <c r="V48" s="1180">
        <f t="shared" si="12"/>
        <v>0</v>
      </c>
      <c r="W48" s="1180">
        <f t="shared" si="12"/>
        <v>0</v>
      </c>
      <c r="X48" s="1180">
        <f t="shared" si="12"/>
        <v>0</v>
      </c>
      <c r="Y48" s="1180">
        <f t="shared" si="12"/>
        <v>0</v>
      </c>
      <c r="Z48" s="1180">
        <f t="shared" si="12"/>
        <v>0</v>
      </c>
      <c r="AA48" s="1180">
        <f t="shared" si="12"/>
        <v>0</v>
      </c>
      <c r="AB48" s="1180">
        <f t="shared" si="12"/>
        <v>0</v>
      </c>
      <c r="AC48" s="1180">
        <f t="shared" si="12"/>
        <v>0</v>
      </c>
      <c r="AD48" s="1180"/>
      <c r="AE48" s="1180">
        <f t="shared" si="12"/>
        <v>0</v>
      </c>
    </row>
    <row r="49" spans="1:31" x14ac:dyDescent="0.3">
      <c r="A49" s="1249" t="s">
        <v>5427</v>
      </c>
      <c r="B49" s="1177" t="s">
        <v>5415</v>
      </c>
      <c r="C49" s="2160">
        <f t="shared" ref="C49:P49" si="22">MIN(0,UDV.crops.acres_available-C42)*-1</f>
        <v>0</v>
      </c>
      <c r="D49" s="2160">
        <f t="shared" si="22"/>
        <v>0</v>
      </c>
      <c r="E49" s="2160">
        <f t="shared" si="22"/>
        <v>48.389339964141016</v>
      </c>
      <c r="F49" s="2160">
        <f t="shared" si="22"/>
        <v>52.144836082673976</v>
      </c>
      <c r="G49" s="2160">
        <f t="shared" si="22"/>
        <v>50.203439246564983</v>
      </c>
      <c r="H49" s="2160">
        <f t="shared" si="22"/>
        <v>0</v>
      </c>
      <c r="I49" s="2160">
        <f t="shared" si="22"/>
        <v>5.6118441660083391</v>
      </c>
      <c r="J49" s="2160">
        <f t="shared" si="22"/>
        <v>0</v>
      </c>
      <c r="K49" s="2160">
        <f t="shared" si="22"/>
        <v>0</v>
      </c>
      <c r="L49" s="2160">
        <f t="shared" si="22"/>
        <v>2.6749365931430447</v>
      </c>
      <c r="M49" s="2160">
        <f t="shared" si="22"/>
        <v>0</v>
      </c>
      <c r="N49" s="2160">
        <f t="shared" si="22"/>
        <v>0</v>
      </c>
      <c r="O49" s="2160">
        <f t="shared" si="22"/>
        <v>0</v>
      </c>
      <c r="P49" s="2160">
        <f t="shared" si="22"/>
        <v>2.3799037567217454</v>
      </c>
      <c r="R49" s="2161">
        <f t="shared" si="14"/>
        <v>0</v>
      </c>
      <c r="S49" s="2161">
        <f t="shared" si="12"/>
        <v>0</v>
      </c>
      <c r="T49" s="2161">
        <f t="shared" si="12"/>
        <v>48.389339964141016</v>
      </c>
      <c r="U49" s="2161">
        <f t="shared" si="12"/>
        <v>52.144836082673976</v>
      </c>
      <c r="V49" s="2161">
        <f t="shared" si="12"/>
        <v>50.203439246564983</v>
      </c>
      <c r="W49" s="2161">
        <f t="shared" si="12"/>
        <v>0</v>
      </c>
      <c r="X49" s="2161">
        <f t="shared" si="12"/>
        <v>5.6118441660083391</v>
      </c>
      <c r="Y49" s="2161">
        <f t="shared" si="12"/>
        <v>0</v>
      </c>
      <c r="Z49" s="2161">
        <f t="shared" si="12"/>
        <v>0</v>
      </c>
      <c r="AA49" s="2161">
        <f t="shared" si="12"/>
        <v>2.6749365931430447</v>
      </c>
      <c r="AB49" s="2161">
        <f t="shared" si="12"/>
        <v>0</v>
      </c>
      <c r="AC49" s="2161">
        <f t="shared" si="12"/>
        <v>0</v>
      </c>
      <c r="AD49" s="2161"/>
      <c r="AE49" s="2161">
        <f t="shared" si="12"/>
        <v>2.3799037567217454</v>
      </c>
    </row>
    <row r="50" spans="1:31" s="818" customFormat="1" x14ac:dyDescent="0.3">
      <c r="A50" s="2169" t="s">
        <v>5428</v>
      </c>
      <c r="B50" s="2170" t="s">
        <v>5246</v>
      </c>
      <c r="C50" s="2171">
        <f ca="1">SUMIFS(INDIRECT("'"&amp;C$1&amp;"'!"&amp;"$C:$C"),INDIRECT("'"&amp;C$1&amp;"'!"&amp;"$A:$A"),EconIntermediate!C$27,INDIRECT("'"&amp;C$1&amp;"'!"&amp;"$B:$B"),$A50)</f>
        <v>0</v>
      </c>
      <c r="D50" s="2171">
        <f ca="1">SUMIFS(INDIRECT("'"&amp;D$1&amp;"'!"&amp;"$C:$C"),INDIRECT("'"&amp;D$1&amp;"'!"&amp;"$A:$A"),EconIntermediate!D$27,INDIRECT("'"&amp;D$1&amp;"'!"&amp;"$B:$B"),$A50)</f>
        <v>0</v>
      </c>
      <c r="E50" s="2172"/>
      <c r="F50" s="2172"/>
      <c r="G50" s="2172"/>
      <c r="H50" s="2172"/>
      <c r="I50" s="2172"/>
      <c r="J50" s="2172"/>
      <c r="K50" s="2172"/>
      <c r="L50" s="2172"/>
      <c r="M50" s="2172"/>
      <c r="N50" s="2172"/>
      <c r="O50" s="2172"/>
      <c r="P50" s="2172"/>
      <c r="Q50" s="817"/>
      <c r="R50" s="2171">
        <f ca="1">SUMIFS(INDIRECT("'"&amp;R$1&amp;"'!"&amp;"$C:$C"),INDIRECT("'"&amp;R$1&amp;"'!"&amp;"$A:$A"),EconIntermediate!R$27,INDIRECT("'"&amp;R$1&amp;"'!"&amp;"$B:$B"),$A50)</f>
        <v>0</v>
      </c>
      <c r="S50" s="2171">
        <f ca="1">SUMIFS(INDIRECT("'"&amp;S$1&amp;"'!"&amp;"$C:$C"),INDIRECT("'"&amp;S$1&amp;"'!"&amp;"$A:$A"),EconIntermediate!S$27,INDIRECT("'"&amp;S$1&amp;"'!"&amp;"$B:$B"),$A50)</f>
        <v>0</v>
      </c>
      <c r="T50" s="2173"/>
      <c r="U50" s="2173"/>
      <c r="V50" s="2173"/>
      <c r="W50" s="2173"/>
      <c r="X50" s="2173"/>
      <c r="Y50" s="2173"/>
      <c r="Z50" s="2173"/>
      <c r="AA50" s="2173"/>
      <c r="AB50" s="2173"/>
      <c r="AC50" s="2173"/>
      <c r="AD50" s="2173"/>
      <c r="AE50" s="2173"/>
    </row>
    <row r="51" spans="1:31" s="818" customFormat="1" x14ac:dyDescent="0.3">
      <c r="A51" s="92"/>
      <c r="B51" s="2175" t="s">
        <v>5246</v>
      </c>
      <c r="C51" s="2173"/>
      <c r="D51" s="2173"/>
      <c r="E51" s="2173"/>
      <c r="F51" s="2173"/>
      <c r="G51" s="2173"/>
      <c r="H51" s="2173"/>
      <c r="I51" s="2173"/>
      <c r="J51" s="2173"/>
      <c r="K51" s="2173"/>
      <c r="L51" s="2173"/>
      <c r="M51" s="2173"/>
      <c r="N51" s="2171">
        <f ca="1">SUMIFS(INDIRECT("'"&amp;N$1&amp;"'!"&amp;"$C:$C"),INDIRECT("'"&amp;N$1&amp;"'!"&amp;"$A:$A"),EconIntermediate!N$27,INDIRECT("'"&amp;N$1&amp;"'!"&amp;"$B:$B"),$A51)</f>
        <v>0</v>
      </c>
      <c r="O51" s="2173"/>
      <c r="P51" s="2173"/>
      <c r="Q51" s="817"/>
      <c r="R51" s="2176"/>
      <c r="S51" s="2177"/>
      <c r="T51" s="2173"/>
      <c r="U51" s="2173"/>
      <c r="V51" s="2173"/>
      <c r="W51" s="2173"/>
      <c r="X51" s="2173"/>
      <c r="Y51" s="2173"/>
      <c r="Z51" s="2173"/>
      <c r="AA51" s="2173"/>
      <c r="AB51" s="2173"/>
      <c r="AC51" s="2171">
        <f ca="1">SUMIFS(INDIRECT("'"&amp;AC$1&amp;"'!"&amp;"$C:$C"),INDIRECT("'"&amp;AC$1&amp;"'!"&amp;"$A:$A"),EconIntermediate!AC$27,INDIRECT("'"&amp;AC$1&amp;"'!"&amp;"$B:$B"),$A51)</f>
        <v>0</v>
      </c>
      <c r="AD51" s="2173"/>
      <c r="AE51" s="2173"/>
    </row>
    <row r="52" spans="1:31" s="818" customFormat="1" x14ac:dyDescent="0.3">
      <c r="A52" s="92"/>
      <c r="B52" s="2175" t="s">
        <v>5246</v>
      </c>
      <c r="C52" s="2173"/>
      <c r="D52" s="2173"/>
      <c r="E52" s="2171">
        <f ca="1">SUMIFS(INDIRECT("'"&amp;E$1&amp;"'!"&amp;"$C:$C"),INDIRECT("'"&amp;E$1&amp;"'!"&amp;"$A:$A"),EconIntermediate!E$27,INDIRECT("'"&amp;E$1&amp;"'!"&amp;"$B:$B"),$A52)</f>
        <v>0</v>
      </c>
      <c r="F52" s="2171">
        <f ca="1">SUMIFS(INDIRECT("'"&amp;F$1&amp;"'!"&amp;"$C:$C"),INDIRECT("'"&amp;F$1&amp;"'!"&amp;"$A:$A"),EconIntermediate!F$27,INDIRECT("'"&amp;F$1&amp;"'!"&amp;"$B:$B"),$A52)</f>
        <v>0</v>
      </c>
      <c r="G52" s="2171">
        <f ca="1">SUMIFS(INDIRECT("'"&amp;G$1&amp;"'!"&amp;"$C:$C"),INDIRECT("'"&amp;G$1&amp;"'!"&amp;"$A:$A"),EconIntermediate!G$27,INDIRECT("'"&amp;G$1&amp;"'!"&amp;"$B:$B"),$A52)</f>
        <v>0</v>
      </c>
      <c r="H52" s="2171">
        <f ca="1">SUMIFS(INDIRECT("'"&amp;H$1&amp;"'!"&amp;"$C:$C"),INDIRECT("'"&amp;H$1&amp;"'!"&amp;"$A:$A"),EconIntermediate!H$27,INDIRECT("'"&amp;H$1&amp;"'!"&amp;"$B:$B"),$A52)</f>
        <v>0</v>
      </c>
      <c r="I52" s="2171">
        <f ca="1">SUMIFS(INDIRECT("'"&amp;I$1&amp;"'!"&amp;"$C:$C"),INDIRECT("'"&amp;I$1&amp;"'!"&amp;"$A:$A"),EconIntermediate!I$27,INDIRECT("'"&amp;I$1&amp;"'!"&amp;"$B:$B"),$A52)</f>
        <v>0</v>
      </c>
      <c r="J52" s="2171">
        <f ca="1">SUMIFS(INDIRECT("'"&amp;J$1&amp;"'!"&amp;"$C:$C"),INDIRECT("'"&amp;J$1&amp;"'!"&amp;"$A:$A"),EconIntermediate!J$27,INDIRECT("'"&amp;J$1&amp;"'!"&amp;"$B:$B"),$A52)</f>
        <v>0</v>
      </c>
      <c r="K52" s="2171">
        <f ca="1">SUMIFS(INDIRECT("'"&amp;K$1&amp;"'!"&amp;"$C:$C"),INDIRECT("'"&amp;K$1&amp;"'!"&amp;"$A:$A"),EconIntermediate!K$27,INDIRECT("'"&amp;K$1&amp;"'!"&amp;"$B:$B"),$A52)</f>
        <v>0</v>
      </c>
      <c r="L52" s="2171">
        <f ca="1">SUMIFS(INDIRECT("'"&amp;L$1&amp;"'!"&amp;"$C:$C"),INDIRECT("'"&amp;L$1&amp;"'!"&amp;"$A:$A"),EconIntermediate!L$27,INDIRECT("'"&amp;L$1&amp;"'!"&amp;"$B:$B"),$A52)</f>
        <v>0</v>
      </c>
      <c r="M52" s="2171">
        <f ca="1">SUMIFS(INDIRECT("'"&amp;M$1&amp;"'!"&amp;"$C:$C"),INDIRECT("'"&amp;M$1&amp;"'!"&amp;"$A:$A"),EconIntermediate!M$27,INDIRECT("'"&amp;M$1&amp;"'!"&amp;"$B:$B"),$A52)</f>
        <v>0</v>
      </c>
      <c r="N52" s="2173"/>
      <c r="O52" s="2173"/>
      <c r="P52" s="2171">
        <f ca="1">SUMIFS(INDIRECT("'"&amp;P$1&amp;"'!"&amp;"$C:$C"),INDIRECT("'"&amp;P$1&amp;"'!"&amp;"$A:$A"),EconIntermediate!P$27,INDIRECT("'"&amp;P$1&amp;"'!"&amp;"$B:$B"),$A52)</f>
        <v>0</v>
      </c>
      <c r="Q52" s="817"/>
      <c r="R52" s="2173"/>
      <c r="S52" s="2178"/>
      <c r="T52" s="2171">
        <f ca="1">SUMIFS(INDIRECT("'"&amp;T$1&amp;"'!"&amp;"$C:$C"),INDIRECT("'"&amp;T$1&amp;"'!"&amp;"$A:$A"),EconIntermediate!T$27,INDIRECT("'"&amp;T$1&amp;"'!"&amp;"$B:$B"),$A52)</f>
        <v>0</v>
      </c>
      <c r="U52" s="2171">
        <f ca="1">SUMIFS(INDIRECT("'"&amp;U$1&amp;"'!"&amp;"$C:$C"),INDIRECT("'"&amp;U$1&amp;"'!"&amp;"$A:$A"),EconIntermediate!U$27,INDIRECT("'"&amp;U$1&amp;"'!"&amp;"$B:$B"),$A52)</f>
        <v>0</v>
      </c>
      <c r="V52" s="2171">
        <f ca="1">SUMIFS(INDIRECT("'"&amp;V$1&amp;"'!"&amp;"$C:$C"),INDIRECT("'"&amp;V$1&amp;"'!"&amp;"$A:$A"),EconIntermediate!V$27,INDIRECT("'"&amp;V$1&amp;"'!"&amp;"$B:$B"),$A52)</f>
        <v>0</v>
      </c>
      <c r="W52" s="2171">
        <f ca="1">SUMIFS(INDIRECT("'"&amp;W$1&amp;"'!"&amp;"$C:$C"),INDIRECT("'"&amp;W$1&amp;"'!"&amp;"$A:$A"),EconIntermediate!W$27,INDIRECT("'"&amp;W$1&amp;"'!"&amp;"$B:$B"),$A52)</f>
        <v>0</v>
      </c>
      <c r="X52" s="2171">
        <f ca="1">SUMIFS(INDIRECT("'"&amp;X$1&amp;"'!"&amp;"$C:$C"),INDIRECT("'"&amp;X$1&amp;"'!"&amp;"$A:$A"),EconIntermediate!X$27,INDIRECT("'"&amp;X$1&amp;"'!"&amp;"$B:$B"),$A52)</f>
        <v>0</v>
      </c>
      <c r="Y52" s="2171">
        <f ca="1">SUMIFS(INDIRECT("'"&amp;Y$1&amp;"'!"&amp;"$C:$C"),INDIRECT("'"&amp;Y$1&amp;"'!"&amp;"$A:$A"),EconIntermediate!Y$27,INDIRECT("'"&amp;Y$1&amp;"'!"&amp;"$B:$B"),$A52)</f>
        <v>0</v>
      </c>
      <c r="Z52" s="2171">
        <f ca="1">SUMIFS(INDIRECT("'"&amp;Z$1&amp;"'!"&amp;"$C:$C"),INDIRECT("'"&amp;Z$1&amp;"'!"&amp;"$A:$A"),EconIntermediate!Z$27,INDIRECT("'"&amp;Z$1&amp;"'!"&amp;"$B:$B"),$A52)</f>
        <v>0</v>
      </c>
      <c r="AA52" s="2171">
        <f ca="1">SUMIFS(INDIRECT("'"&amp;AA$1&amp;"'!"&amp;"$C:$C"),INDIRECT("'"&amp;AA$1&amp;"'!"&amp;"$A:$A"),EconIntermediate!AA$27,INDIRECT("'"&amp;AA$1&amp;"'!"&amp;"$B:$B"),$A52)</f>
        <v>0</v>
      </c>
      <c r="AB52" s="2171">
        <f ca="1">SUMIFS(INDIRECT("'"&amp;AB$1&amp;"'!"&amp;"$C:$C"),INDIRECT("'"&amp;AB$1&amp;"'!"&amp;"$A:$A"),EconIntermediate!AB$27,INDIRECT("'"&amp;AB$1&amp;"'!"&amp;"$B:$B"),$A52)</f>
        <v>0</v>
      </c>
      <c r="AC52" s="2173"/>
      <c r="AD52" s="2173"/>
      <c r="AE52" s="2171">
        <f ca="1">SUMIFS(INDIRECT("'"&amp;AE$1&amp;"'!"&amp;"$C:$C"),INDIRECT("'"&amp;AE$1&amp;"'!"&amp;"$A:$A"),EconIntermediate!AE$27,INDIRECT("'"&amp;AE$1&amp;"'!"&amp;"$B:$B"),$A52)</f>
        <v>0</v>
      </c>
    </row>
    <row r="53" spans="1:31" s="818" customFormat="1" x14ac:dyDescent="0.3">
      <c r="A53" s="2174" t="s">
        <v>5429</v>
      </c>
      <c r="B53" s="2175" t="s">
        <v>5430</v>
      </c>
      <c r="C53" s="2173"/>
      <c r="D53" s="2173"/>
      <c r="E53" s="2171">
        <f ca="1">SUMIFS(INDIRECT("'"&amp;E$1&amp;"'!"&amp;"$C:$C"),INDIRECT("'"&amp;E$1&amp;"'!"&amp;"$A:$A"),EconIntermediate!E$27,INDIRECT("'"&amp;E$1&amp;"'!"&amp;"$B:$B"),$A53)</f>
        <v>0</v>
      </c>
      <c r="F53" s="2171">
        <f ca="1">SUMIFS(INDIRECT("'"&amp;F$1&amp;"'!"&amp;"$C:$C"),INDIRECT("'"&amp;F$1&amp;"'!"&amp;"$A:$A"),EconIntermediate!F$27,INDIRECT("'"&amp;F$1&amp;"'!"&amp;"$B:$B"),$A53)</f>
        <v>0</v>
      </c>
      <c r="G53" s="2171">
        <f ca="1">SUMIFS(INDIRECT("'"&amp;G$1&amp;"'!"&amp;"$C:$C"),INDIRECT("'"&amp;G$1&amp;"'!"&amp;"$A:$A"),EconIntermediate!G$27,INDIRECT("'"&amp;G$1&amp;"'!"&amp;"$B:$B"),$A53)</f>
        <v>0</v>
      </c>
      <c r="H53" s="2171">
        <f ca="1">SUMIFS(INDIRECT("'"&amp;H$1&amp;"'!"&amp;"$C:$C"),INDIRECT("'"&amp;H$1&amp;"'!"&amp;"$A:$A"),EconIntermediate!H$27,INDIRECT("'"&amp;H$1&amp;"'!"&amp;"$B:$B"),#REF!)</f>
        <v>0</v>
      </c>
      <c r="I53" s="2171">
        <f ca="1">SUMIFS(INDIRECT("'"&amp;I$1&amp;"'!"&amp;"$C:$C"),INDIRECT("'"&amp;I$1&amp;"'!"&amp;"$A:$A"),EconIntermediate!I$27,INDIRECT("'"&amp;I$1&amp;"'!"&amp;"$B:$B"),#REF!)</f>
        <v>0</v>
      </c>
      <c r="J53" s="2171">
        <f ca="1">SUMIFS(INDIRECT("'"&amp;J$1&amp;"'!"&amp;"$C:$C"),INDIRECT("'"&amp;J$1&amp;"'!"&amp;"$A:$A"),EconIntermediate!J$27,INDIRECT("'"&amp;J$1&amp;"'!"&amp;"$B:$B"),#REF!)</f>
        <v>0</v>
      </c>
      <c r="K53" s="2171">
        <f ca="1">SUMIFS(INDIRECT("'"&amp;K$1&amp;"'!"&amp;"$C:$C"),INDIRECT("'"&amp;K$1&amp;"'!"&amp;"$A:$A"),EconIntermediate!K$27,INDIRECT("'"&amp;K$1&amp;"'!"&amp;"$B:$B"),#REF!)</f>
        <v>0</v>
      </c>
      <c r="L53" s="2171">
        <f ca="1">SUMIFS(INDIRECT("'"&amp;L$1&amp;"'!"&amp;"$C:$C"),INDIRECT("'"&amp;L$1&amp;"'!"&amp;"$A:$A"),EconIntermediate!L$27,INDIRECT("'"&amp;L$1&amp;"'!"&amp;"$B:$B"),#REF!)</f>
        <v>0</v>
      </c>
      <c r="M53" s="2171">
        <f ca="1">SUMIFS(INDIRECT("'"&amp;M$1&amp;"'!"&amp;"$C:$C"),INDIRECT("'"&amp;M$1&amp;"'!"&amp;"$A:$A"),EconIntermediate!M$27,INDIRECT("'"&amp;M$1&amp;"'!"&amp;"$B:$B"),#REF!)</f>
        <v>0</v>
      </c>
      <c r="N53" s="2173"/>
      <c r="O53" s="2173"/>
      <c r="P53" s="2171">
        <f ca="1">SUMIFS(INDIRECT("'"&amp;P$1&amp;"'!"&amp;"$C:$C"),INDIRECT("'"&amp;P$1&amp;"'!"&amp;"$A:$A"),EconIntermediate!P$27,INDIRECT("'"&amp;P$1&amp;"'!"&amp;"$B:$B"),$A53)</f>
        <v>0</v>
      </c>
      <c r="Q53" s="817"/>
      <c r="R53" s="2173"/>
      <c r="S53" s="2178"/>
      <c r="T53" s="2171">
        <f ca="1">SUMIFS(INDIRECT("'"&amp;T$1&amp;"'!"&amp;"$C:$C"),INDIRECT("'"&amp;T$1&amp;"'!"&amp;"$A:$A"),EconIntermediate!T$27,INDIRECT("'"&amp;T$1&amp;"'!"&amp;"$B:$B"),$A53)</f>
        <v>0</v>
      </c>
      <c r="U53" s="2171">
        <f ca="1">SUMIFS(INDIRECT("'"&amp;U$1&amp;"'!"&amp;"$C:$C"),INDIRECT("'"&amp;U$1&amp;"'!"&amp;"$A:$A"),EconIntermediate!U$27,INDIRECT("'"&amp;U$1&amp;"'!"&amp;"$B:$B"),$A53)</f>
        <v>0</v>
      </c>
      <c r="V53" s="2171">
        <f ca="1">SUMIFS(INDIRECT("'"&amp;V$1&amp;"'!"&amp;"$C:$C"),INDIRECT("'"&amp;V$1&amp;"'!"&amp;"$A:$A"),EconIntermediate!V$27,INDIRECT("'"&amp;V$1&amp;"'!"&amp;"$B:$B"),$A53)</f>
        <v>0</v>
      </c>
      <c r="W53" s="2173"/>
      <c r="X53" s="2173"/>
      <c r="Y53" s="2173"/>
      <c r="Z53" s="2173"/>
      <c r="AA53" s="2173"/>
      <c r="AB53" s="2173"/>
      <c r="AC53" s="2173"/>
      <c r="AD53" s="2173"/>
      <c r="AE53" s="2171">
        <f ca="1">SUMIFS(INDIRECT("'"&amp;AE$1&amp;"'!"&amp;"$C:$C"),INDIRECT("'"&amp;AE$1&amp;"'!"&amp;"$A:$A"),EconIntermediate!AE$27,INDIRECT("'"&amp;AE$1&amp;"'!"&amp;"$B:$B"),$A53)</f>
        <v>0</v>
      </c>
    </row>
    <row r="54" spans="1:31" s="818" customFormat="1" x14ac:dyDescent="0.3">
      <c r="A54" s="2174" t="s">
        <v>5431</v>
      </c>
      <c r="B54" s="2175" t="s">
        <v>5254</v>
      </c>
      <c r="C54" s="2173"/>
      <c r="D54" s="2173"/>
      <c r="E54" s="2173"/>
      <c r="F54" s="2173"/>
      <c r="G54" s="2173"/>
      <c r="H54" s="2173"/>
      <c r="I54" s="2173"/>
      <c r="J54" s="2173"/>
      <c r="K54" s="2173"/>
      <c r="L54" s="2173"/>
      <c r="M54" s="2173"/>
      <c r="N54" s="2173"/>
      <c r="O54" s="2173"/>
      <c r="P54" s="2171">
        <f ca="1">SUMIFS(INDIRECT("'"&amp;P$1&amp;"'!"&amp;"$C:$C"),INDIRECT("'"&amp;P$1&amp;"'!"&amp;"$A:$A"),EconIntermediate!P$27,INDIRECT("'"&amp;P$1&amp;"'!"&amp;"$B:$B"),$A54)</f>
        <v>0</v>
      </c>
      <c r="Q54" s="817"/>
      <c r="R54" s="2173"/>
      <c r="S54" s="2173"/>
      <c r="T54" s="2173"/>
      <c r="U54" s="2173"/>
      <c r="V54" s="2173"/>
      <c r="W54" s="2173"/>
      <c r="X54" s="2173"/>
      <c r="Y54" s="2173"/>
      <c r="Z54" s="2173"/>
      <c r="AA54" s="2173"/>
      <c r="AB54" s="2173"/>
      <c r="AC54" s="2173"/>
      <c r="AD54" s="2173"/>
      <c r="AE54" s="2171">
        <f ca="1">SUMIFS(INDIRECT("'"&amp;AE$1&amp;"'!"&amp;"$C:$C"),INDIRECT("'"&amp;AE$1&amp;"'!"&amp;"$A:$A"),EconIntermediate!AE$27,INDIRECT("'"&amp;AE$1&amp;"'!"&amp;"$B:$B"),$A54)</f>
        <v>0</v>
      </c>
    </row>
    <row r="55" spans="1:31" s="818" customFormat="1" x14ac:dyDescent="0.3">
      <c r="A55" s="2174" t="s">
        <v>5432</v>
      </c>
      <c r="B55" s="2175" t="s">
        <v>5254</v>
      </c>
      <c r="C55" s="2173"/>
      <c r="D55" s="2173"/>
      <c r="E55" s="2173"/>
      <c r="F55" s="2173"/>
      <c r="G55" s="2173"/>
      <c r="H55" s="2173"/>
      <c r="I55" s="2173"/>
      <c r="J55" s="2173"/>
      <c r="K55" s="2173"/>
      <c r="L55" s="2173"/>
      <c r="M55" s="2173"/>
      <c r="N55" s="2173"/>
      <c r="O55" s="2173"/>
      <c r="P55" s="2171">
        <f ca="1">SUMIFS(INDIRECT("'"&amp;P$1&amp;"'!"&amp;"$C:$C"),INDIRECT("'"&amp;P$1&amp;"'!"&amp;"$A:$A"),EconIntermediate!P$27,INDIRECT("'"&amp;P$1&amp;"'!"&amp;"$B:$B"),$A55)</f>
        <v>0</v>
      </c>
      <c r="Q55" s="817"/>
      <c r="R55" s="2173"/>
      <c r="S55" s="2173"/>
      <c r="T55" s="2173"/>
      <c r="U55" s="2173"/>
      <c r="V55" s="2173"/>
      <c r="W55" s="2173"/>
      <c r="X55" s="2173"/>
      <c r="Y55" s="2173"/>
      <c r="Z55" s="2173"/>
      <c r="AA55" s="2173"/>
      <c r="AB55" s="2173"/>
      <c r="AC55" s="2173"/>
      <c r="AD55" s="2173"/>
      <c r="AE55" s="2171">
        <f ca="1">SUMIFS(INDIRECT("'"&amp;AE$1&amp;"'!"&amp;"$C:$C"),INDIRECT("'"&amp;AE$1&amp;"'!"&amp;"$A:$A"),EconIntermediate!AE$27,INDIRECT("'"&amp;AE$1&amp;"'!"&amp;"$B:$B"),$A55)</f>
        <v>0</v>
      </c>
    </row>
    <row r="56" spans="1:31" s="818" customFormat="1" x14ac:dyDescent="0.3">
      <c r="A56" s="2174" t="s">
        <v>5433</v>
      </c>
      <c r="B56" s="2175" t="s">
        <v>5254</v>
      </c>
      <c r="C56" s="2173"/>
      <c r="D56" s="2173"/>
      <c r="E56" s="2173"/>
      <c r="F56" s="2173"/>
      <c r="G56" s="2173"/>
      <c r="H56" s="2173"/>
      <c r="I56" s="2173"/>
      <c r="J56" s="2173"/>
      <c r="K56" s="2173"/>
      <c r="L56" s="2173"/>
      <c r="M56" s="2173"/>
      <c r="N56" s="2173"/>
      <c r="O56" s="2171">
        <f ca="1">SUMIFS(INDIRECT("'"&amp;O$1&amp;"'!"&amp;"$C:$C"),INDIRECT("'"&amp;O$1&amp;"'!"&amp;"$A:$A"),EconIntermediate!O$27,INDIRECT("'"&amp;O$1&amp;"'!"&amp;"$B:$B"),$A56)</f>
        <v>0</v>
      </c>
      <c r="P56" s="2173"/>
      <c r="Q56" s="817"/>
      <c r="R56" s="2173"/>
      <c r="S56" s="2173"/>
      <c r="T56" s="2173"/>
      <c r="U56" s="2173"/>
      <c r="V56" s="2173"/>
      <c r="W56" s="2173"/>
      <c r="X56" s="2173"/>
      <c r="Y56" s="2173"/>
      <c r="Z56" s="2173"/>
      <c r="AA56" s="2173"/>
      <c r="AB56" s="2173"/>
      <c r="AC56" s="2173"/>
      <c r="AD56" s="2171"/>
      <c r="AE56" s="2173"/>
    </row>
    <row r="57" spans="1:31" s="818" customFormat="1" x14ac:dyDescent="0.3">
      <c r="A57" s="2179" t="s">
        <v>5434</v>
      </c>
      <c r="B57" s="2180" t="s">
        <v>5254</v>
      </c>
      <c r="C57" s="2181"/>
      <c r="D57" s="2181"/>
      <c r="E57" s="2181"/>
      <c r="F57" s="2181"/>
      <c r="G57" s="2181"/>
      <c r="H57" s="2181"/>
      <c r="I57" s="2181"/>
      <c r="J57" s="2181"/>
      <c r="K57" s="2181"/>
      <c r="L57" s="2181"/>
      <c r="M57" s="2181"/>
      <c r="N57" s="2181"/>
      <c r="O57" s="2171">
        <f ca="1">SUMIFS(INDIRECT("'"&amp;O$1&amp;"'!"&amp;"$C:$C"),INDIRECT("'"&amp;O$1&amp;"'!"&amp;"$A:$A"),EconIntermediate!O$27,INDIRECT("'"&amp;O$1&amp;"'!"&amp;"$B:$B"),$A57)</f>
        <v>0</v>
      </c>
      <c r="P57" s="2181"/>
      <c r="Q57" s="881"/>
      <c r="R57" s="2181"/>
      <c r="S57" s="2181"/>
      <c r="T57" s="2181"/>
      <c r="U57" s="2181"/>
      <c r="V57" s="2181"/>
      <c r="W57" s="2181"/>
      <c r="X57" s="2181"/>
      <c r="Y57" s="2181"/>
      <c r="Z57" s="2181"/>
      <c r="AA57" s="2181"/>
      <c r="AB57" s="2181"/>
      <c r="AC57" s="2181"/>
      <c r="AD57" s="2171"/>
      <c r="AE57" s="2181"/>
    </row>
    <row r="58" spans="1:31" x14ac:dyDescent="0.3">
      <c r="A58" s="858" t="s">
        <v>5435</v>
      </c>
      <c r="B58" s="858" t="s">
        <v>2480</v>
      </c>
      <c r="C58" s="2182"/>
      <c r="D58" s="114"/>
      <c r="E58" s="12"/>
      <c r="F58" s="272"/>
      <c r="G58" s="12"/>
      <c r="H58" s="12"/>
      <c r="I58" s="12"/>
      <c r="J58" s="12"/>
      <c r="K58" s="12"/>
      <c r="L58" s="12"/>
      <c r="M58" s="12"/>
      <c r="N58" s="839">
        <f>PT.storage_tank!G258*PT.storage_tank!G259</f>
        <v>164806.71414197996</v>
      </c>
      <c r="O58" s="12"/>
      <c r="P58" s="12"/>
      <c r="Q58" s="817"/>
      <c r="R58" s="114"/>
      <c r="S58" s="114"/>
      <c r="T58" s="12"/>
      <c r="U58" s="272"/>
      <c r="V58" s="12"/>
      <c r="W58" s="12"/>
      <c r="X58" s="12"/>
      <c r="Y58" s="12"/>
      <c r="Z58" s="12"/>
      <c r="AA58" s="12"/>
      <c r="AB58" s="12"/>
      <c r="AC58" s="839">
        <f ca="1">SUMIFS(INDIRECT("'"&amp;AC$1&amp;"'!"&amp;"$C:$C"),INDIRECT("'"&amp;AC$1&amp;"'!"&amp;"$A:$A"),EconIntermediate!AC$27,INDIRECT("'"&amp;AC$1&amp;"'!"&amp;"$B:$B"),$A58)</f>
        <v>0</v>
      </c>
      <c r="AD58" s="12"/>
      <c r="AE58" s="12"/>
    </row>
    <row r="59" spans="1:31" x14ac:dyDescent="0.3">
      <c r="A59" s="858" t="s">
        <v>5436</v>
      </c>
      <c r="B59" s="858" t="s">
        <v>2284</v>
      </c>
      <c r="C59" s="2183"/>
      <c r="D59" s="114"/>
      <c r="E59" s="114"/>
      <c r="F59" s="113"/>
      <c r="G59" s="114"/>
      <c r="H59" s="114"/>
      <c r="I59" s="114"/>
      <c r="J59" s="114"/>
      <c r="K59" s="114"/>
      <c r="L59" s="114"/>
      <c r="M59" s="114"/>
      <c r="N59" s="843">
        <f ca="1">SUMIFS(INDIRECT("'"&amp;N$1&amp;"'!"&amp;"$D:$D"),INDIRECT("'"&amp;N$1&amp;"'!"&amp;"$A:$A"),"Storage tank",INDIRECT("'"&amp;N$1&amp;"'!"&amp;"$B:$B"),"Total capital cost")</f>
        <v>243177.49649453838</v>
      </c>
      <c r="O59" s="114"/>
      <c r="P59" s="114"/>
      <c r="Q59" s="817"/>
      <c r="R59" s="114"/>
      <c r="S59" s="114"/>
      <c r="T59" s="114"/>
      <c r="U59" s="113"/>
      <c r="V59" s="114"/>
      <c r="W59" s="114"/>
      <c r="X59" s="114"/>
      <c r="Y59" s="114"/>
      <c r="Z59" s="114"/>
      <c r="AA59" s="114"/>
      <c r="AB59" s="114"/>
      <c r="AC59" s="843">
        <f ca="1">SUMIFS(INDIRECT("'"&amp;AC$1&amp;"'!"&amp;"$D:$D"),INDIRECT("'"&amp;AC$1&amp;"'!"&amp;"$A:$A"),"Storage tank",INDIRECT("'"&amp;AC$1&amp;"'!"&amp;"$B:$B"),"Total capital cost")</f>
        <v>243177.49649453838</v>
      </c>
      <c r="AD59" s="114"/>
      <c r="AE59" s="114"/>
    </row>
    <row r="60" spans="1:31" x14ac:dyDescent="0.3">
      <c r="A60" s="842" t="s">
        <v>5437</v>
      </c>
      <c r="B60" s="858" t="s">
        <v>2479</v>
      </c>
      <c r="C60" s="386"/>
      <c r="D60" s="114"/>
      <c r="E60" s="839">
        <f>PT.anaer_lagoon!G58*UC.m3_to_ft3</f>
        <v>273028.8523786494</v>
      </c>
      <c r="F60" s="839">
        <f>PT.anaer_lagoon!K58*UC.m3_to_ft3</f>
        <v>273028.8523786494</v>
      </c>
      <c r="G60" s="839">
        <f>PT.anaer_lagoon!O58*UC.m3_to_ft3</f>
        <v>270768.43157066312</v>
      </c>
      <c r="H60" s="839">
        <f>PT.anaer_lagoon!S58*UC.m3_to_ft3</f>
        <v>195503.76233437</v>
      </c>
      <c r="I60" s="839">
        <f>PT.anaer_lagoon!W58*UC.m3_to_ft3</f>
        <v>195503.76233437</v>
      </c>
      <c r="J60" s="839">
        <f>PT.anaer_lagoon!AA58*UC.m3_to_ft3</f>
        <v>195503.76233437</v>
      </c>
      <c r="K60" s="839">
        <f>PT.anaer_lagoon!AE58*UC.m3_to_ft3</f>
        <v>180228.91165601058</v>
      </c>
      <c r="L60" s="839">
        <f>PT.anaer_lagoon!AJ58*UC.m3_to_ft3</f>
        <v>180228.91165601058</v>
      </c>
      <c r="M60" s="839">
        <f>PT.anaer_lagoon!AN58*UC.m3_to_ft3</f>
        <v>180228.91165601058</v>
      </c>
      <c r="N60" s="114"/>
      <c r="O60" s="114"/>
      <c r="P60" s="839">
        <f>PT.anaer_lagoon!AR58*UC.m3_to_ft3</f>
        <v>121284.93201618538</v>
      </c>
      <c r="Q60" s="817"/>
      <c r="R60" s="114"/>
      <c r="S60" s="114"/>
      <c r="T60" s="839">
        <f ca="1">SUMIFS(INDIRECT("'"&amp;T$1&amp;"'!"&amp;"$C:$C"),INDIRECT("'"&amp;T$1&amp;"'!"&amp;"$A:$A"),EconIntermediate!T$27,INDIRECT("'"&amp;T$1&amp;"'!"&amp;"$B:$B"),$A60)</f>
        <v>0</v>
      </c>
      <c r="U60" s="839">
        <f ca="1">SUMIFS(INDIRECT("'"&amp;U$1&amp;"'!"&amp;"$C:$C"),INDIRECT("'"&amp;U$1&amp;"'!"&amp;"$A:$A"),EconIntermediate!U$27,INDIRECT("'"&amp;U$1&amp;"'!"&amp;"$B:$B"),$A60)</f>
        <v>0</v>
      </c>
      <c r="V60" s="839">
        <f ca="1">SUMIFS(INDIRECT("'"&amp;V$1&amp;"'!"&amp;"$C:$C"),INDIRECT("'"&amp;V$1&amp;"'!"&amp;"$A:$A"),EconIntermediate!V$27,INDIRECT("'"&amp;V$1&amp;"'!"&amp;"$B:$B"),$A60)</f>
        <v>0</v>
      </c>
      <c r="W60" s="839">
        <f ca="1">SUMIFS(INDIRECT("'"&amp;W$1&amp;"'!"&amp;"$C:$C"),INDIRECT("'"&amp;W$1&amp;"'!"&amp;"$A:$A"),EconIntermediate!W$27,INDIRECT("'"&amp;W$1&amp;"'!"&amp;"$B:$B"),$A60)</f>
        <v>0</v>
      </c>
      <c r="X60" s="839">
        <f ca="1">SUMIFS(INDIRECT("'"&amp;X$1&amp;"'!"&amp;"$C:$C"),INDIRECT("'"&amp;X$1&amp;"'!"&amp;"$A:$A"),EconIntermediate!X$27,INDIRECT("'"&amp;X$1&amp;"'!"&amp;"$B:$B"),$A60)</f>
        <v>0</v>
      </c>
      <c r="Y60" s="839">
        <f ca="1">SUMIFS(INDIRECT("'"&amp;Y$1&amp;"'!"&amp;"$C:$C"),INDIRECT("'"&amp;Y$1&amp;"'!"&amp;"$A:$A"),EconIntermediate!Y$27,INDIRECT("'"&amp;Y$1&amp;"'!"&amp;"$B:$B"),$A60)</f>
        <v>0</v>
      </c>
      <c r="Z60" s="839">
        <f ca="1">SUMIFS(INDIRECT("'"&amp;Z$1&amp;"'!"&amp;"$C:$C"),INDIRECT("'"&amp;Z$1&amp;"'!"&amp;"$A:$A"),EconIntermediate!Z$27,INDIRECT("'"&amp;Z$1&amp;"'!"&amp;"$B:$B"),$A60)</f>
        <v>0</v>
      </c>
      <c r="AA60" s="839">
        <f ca="1">SUMIFS(INDIRECT("'"&amp;AA$1&amp;"'!"&amp;"$C:$C"),INDIRECT("'"&amp;AA$1&amp;"'!"&amp;"$A:$A"),EconIntermediate!AA$27,INDIRECT("'"&amp;AA$1&amp;"'!"&amp;"$B:$B"),$A60)</f>
        <v>0</v>
      </c>
      <c r="AB60" s="839">
        <f ca="1">SUMIFS(INDIRECT("'"&amp;AB$1&amp;"'!"&amp;"$C:$C"),INDIRECT("'"&amp;AB$1&amp;"'!"&amp;"$A:$A"),EconIntermediate!AB$27,INDIRECT("'"&amp;AB$1&amp;"'!"&amp;"$B:$B"),$A60)</f>
        <v>0</v>
      </c>
      <c r="AC60" s="114"/>
      <c r="AD60" s="114"/>
      <c r="AE60" s="839">
        <f ca="1">SUMIFS(INDIRECT("'"&amp;AE$1&amp;"'!"&amp;"$C:$C"),INDIRECT("'"&amp;AE$1&amp;"'!"&amp;"$A:$A"),EconIntermediate!AE$27,INDIRECT("'"&amp;AE$1&amp;"'!"&amp;"$B:$B"),$A60)</f>
        <v>0</v>
      </c>
    </row>
    <row r="61" spans="1:31" x14ac:dyDescent="0.3">
      <c r="A61" s="842" t="s">
        <v>5438</v>
      </c>
      <c r="B61" s="858" t="s">
        <v>2284</v>
      </c>
      <c r="C61" s="114"/>
      <c r="D61" s="114"/>
      <c r="E61" s="843">
        <f t="shared" ref="E61:M61" ca="1" si="23">SUMIFS(INDIRECT("'"&amp;E$1&amp;"'!"&amp;"$D:$D"),INDIRECT("'"&amp;E$1&amp;"'!"&amp;"$A:$A"),"Lagoon",INDIRECT("'"&amp;E$1&amp;"'!"&amp;"$B:$B"),"Total capital cost")</f>
        <v>167081.47032168071</v>
      </c>
      <c r="F61" s="843">
        <f t="shared" ca="1" si="23"/>
        <v>167081.47032168071</v>
      </c>
      <c r="G61" s="843">
        <f t="shared" ca="1" si="23"/>
        <v>166001.80907731794</v>
      </c>
      <c r="H61" s="843">
        <f t="shared" ca="1" si="23"/>
        <v>129137.409352075</v>
      </c>
      <c r="I61" s="843">
        <f t="shared" ca="1" si="23"/>
        <v>129137.409352075</v>
      </c>
      <c r="J61" s="843">
        <f t="shared" ca="1" si="23"/>
        <v>129137.409352075</v>
      </c>
      <c r="K61" s="843">
        <f t="shared" ca="1" si="23"/>
        <v>121393.53679035802</v>
      </c>
      <c r="L61" s="843">
        <f t="shared" ca="1" si="23"/>
        <v>121393.53679035802</v>
      </c>
      <c r="M61" s="843">
        <f t="shared" ca="1" si="23"/>
        <v>121393.53679035802</v>
      </c>
      <c r="N61" s="114"/>
      <c r="O61" s="114"/>
      <c r="P61" s="843">
        <f ca="1">SUMIFS(INDIRECT("'"&amp;P$1&amp;"'!"&amp;"$D:$D"),INDIRECT("'"&amp;P$1&amp;"'!"&amp;"$A:$A"),"Lagoon",INDIRECT("'"&amp;P$1&amp;"'!"&amp;"$B:$B"),"Total capital cost")</f>
        <v>90305.545777286592</v>
      </c>
      <c r="Q61" s="817"/>
      <c r="R61" s="114"/>
      <c r="S61" s="114"/>
      <c r="T61" s="843">
        <f t="shared" ref="T61:AB61" ca="1" si="24">SUMIFS(INDIRECT("'"&amp;T$1&amp;"'!"&amp;"$D:$D"),INDIRECT("'"&amp;T$1&amp;"'!"&amp;"$A:$A"),"Lagoon",INDIRECT("'"&amp;T$1&amp;"'!"&amp;"$B:$B"),"Total capital cost")</f>
        <v>167081.47032168071</v>
      </c>
      <c r="U61" s="843">
        <f t="shared" ca="1" si="24"/>
        <v>167081.47032168071</v>
      </c>
      <c r="V61" s="843">
        <f t="shared" ca="1" si="24"/>
        <v>166001.80907731794</v>
      </c>
      <c r="W61" s="843">
        <f t="shared" ca="1" si="24"/>
        <v>129137.409352075</v>
      </c>
      <c r="X61" s="843">
        <f t="shared" ca="1" si="24"/>
        <v>129137.409352075</v>
      </c>
      <c r="Y61" s="843">
        <f t="shared" ca="1" si="24"/>
        <v>129137.409352075</v>
      </c>
      <c r="Z61" s="843">
        <f t="shared" ca="1" si="24"/>
        <v>121393.53679035802</v>
      </c>
      <c r="AA61" s="843">
        <f t="shared" ca="1" si="24"/>
        <v>121393.53679035802</v>
      </c>
      <c r="AB61" s="843">
        <f t="shared" ca="1" si="24"/>
        <v>121393.53679035802</v>
      </c>
      <c r="AC61" s="114"/>
      <c r="AD61" s="114"/>
      <c r="AE61" s="843">
        <f ca="1">SUMIFS(INDIRECT("'"&amp;AE$1&amp;"'!"&amp;"$D:$D"),INDIRECT("'"&amp;AE$1&amp;"'!"&amp;"$A:$A"),"Lagoon",INDIRECT("'"&amp;AE$1&amp;"'!"&amp;"$B:$B"),"Total capital cost")</f>
        <v>90305.545777286592</v>
      </c>
    </row>
    <row r="62" spans="1:31" x14ac:dyDescent="0.3">
      <c r="A62" s="842" t="s">
        <v>5439</v>
      </c>
      <c r="B62" s="858" t="s">
        <v>2479</v>
      </c>
      <c r="C62" s="114"/>
      <c r="D62" s="114"/>
      <c r="E62" s="114"/>
      <c r="F62" s="113"/>
      <c r="G62" s="114"/>
      <c r="H62" s="114"/>
      <c r="I62" s="114"/>
      <c r="J62" s="114"/>
      <c r="K62" s="839">
        <f>PT.cover_digest!G49*UC.m3_to_ft3</f>
        <v>95366.936415126765</v>
      </c>
      <c r="L62" s="839">
        <f>PT.cover_digest!H49*UC.m3_to_ft3</f>
        <v>95366.936415126765</v>
      </c>
      <c r="M62" s="839">
        <f>PT.cover_digest!I49*UC.m3_to_ft3</f>
        <v>95366.936415126765</v>
      </c>
      <c r="N62" s="114"/>
      <c r="O62" s="114"/>
      <c r="P62" s="114"/>
      <c r="Q62" s="817"/>
      <c r="R62" s="114"/>
      <c r="S62" s="114"/>
      <c r="T62" s="114"/>
      <c r="U62" s="113"/>
      <c r="V62" s="114"/>
      <c r="W62" s="114"/>
      <c r="X62" s="114"/>
      <c r="Y62" s="114"/>
      <c r="Z62" s="839">
        <f ca="1">SUMIFS(INDIRECT("'"&amp;Z$1&amp;"'!"&amp;"$C:$C"),INDIRECT("'"&amp;Z$1&amp;"'!"&amp;"$A:$A"),EconIntermediate!Z$27,INDIRECT("'"&amp;Z$1&amp;"'!"&amp;"$B:$B"),$A62)</f>
        <v>0</v>
      </c>
      <c r="AA62" s="839">
        <f ca="1">SUMIFS(INDIRECT("'"&amp;AA$1&amp;"'!"&amp;"$C:$C"),INDIRECT("'"&amp;AA$1&amp;"'!"&amp;"$A:$A"),EconIntermediate!AA$27,INDIRECT("'"&amp;AA$1&amp;"'!"&amp;"$B:$B"),$A62)</f>
        <v>0</v>
      </c>
      <c r="AB62" s="839">
        <f ca="1">SUMIFS(INDIRECT("'"&amp;AB$1&amp;"'!"&amp;"$C:$C"),INDIRECT("'"&amp;AB$1&amp;"'!"&amp;"$A:$A"),EconIntermediate!AB$27,INDIRECT("'"&amp;AB$1&amp;"'!"&amp;"$B:$B"),$A62)</f>
        <v>0</v>
      </c>
      <c r="AC62" s="114"/>
      <c r="AD62" s="114"/>
      <c r="AE62" s="114"/>
    </row>
    <row r="63" spans="1:31" x14ac:dyDescent="0.3">
      <c r="A63" s="842" t="s">
        <v>5440</v>
      </c>
      <c r="B63" s="858" t="s">
        <v>2284</v>
      </c>
      <c r="C63" s="114"/>
      <c r="D63" s="114"/>
      <c r="E63" s="114"/>
      <c r="F63" s="113"/>
      <c r="G63" s="114"/>
      <c r="H63" s="114"/>
      <c r="I63" s="114"/>
      <c r="J63" s="114"/>
      <c r="K63" s="843">
        <f ca="1">SUMIFS(INDIRECT("'"&amp;K$1&amp;"'!"&amp;"$D:$D"),INDIRECT("'"&amp;K$1&amp;"'!"&amp;"$A:$A"),"Covered lagoon",INDIRECT("'"&amp;K$1&amp;"'!"&amp;"$B:$B"),"Total capital cost")</f>
        <v>356173.7397391983</v>
      </c>
      <c r="L63" s="843">
        <f ca="1">SUMIFS(INDIRECT("'"&amp;L$1&amp;"'!"&amp;"$D:$D"),INDIRECT("'"&amp;L$1&amp;"'!"&amp;"$A:$A"),"Covered lagoon",INDIRECT("'"&amp;L$1&amp;"'!"&amp;"$B:$B"),"Total capital cost")</f>
        <v>356173.7397391983</v>
      </c>
      <c r="M63" s="843">
        <f ca="1">SUMIFS(INDIRECT("'"&amp;M$1&amp;"'!"&amp;"$D:$D"),INDIRECT("'"&amp;M$1&amp;"'!"&amp;"$A:$A"),"Covered lagoon",INDIRECT("'"&amp;M$1&amp;"'!"&amp;"$B:$B"),"Total capital cost")</f>
        <v>356173.7397391983</v>
      </c>
      <c r="N63" s="114"/>
      <c r="O63" s="114"/>
      <c r="P63" s="114"/>
      <c r="Q63" s="817"/>
      <c r="R63" s="114"/>
      <c r="S63" s="114"/>
      <c r="T63" s="114"/>
      <c r="U63" s="113"/>
      <c r="V63" s="114"/>
      <c r="W63" s="114"/>
      <c r="X63" s="114"/>
      <c r="Y63" s="114"/>
      <c r="Z63" s="843">
        <f ca="1">SUMIFS(INDIRECT("'"&amp;Z$1&amp;"'!"&amp;"$D:$D"),INDIRECT("'"&amp;Z$1&amp;"'!"&amp;"$A:$A"),"Covered lagoon",INDIRECT("'"&amp;Z$1&amp;"'!"&amp;"$B:$B"),"Total capital cost")</f>
        <v>356173.7397391983</v>
      </c>
      <c r="AA63" s="843">
        <f ca="1">SUMIFS(INDIRECT("'"&amp;AA$1&amp;"'!"&amp;"$D:$D"),INDIRECT("'"&amp;AA$1&amp;"'!"&amp;"$A:$A"),"Covered lagoon",INDIRECT("'"&amp;AA$1&amp;"'!"&amp;"$B:$B"),"Total capital cost")</f>
        <v>356173.7397391983</v>
      </c>
      <c r="AB63" s="843">
        <f ca="1">SUMIFS(INDIRECT("'"&amp;AB$1&amp;"'!"&amp;"$D:$D"),INDIRECT("'"&amp;AB$1&amp;"'!"&amp;"$A:$A"),"Covered lagoon",INDIRECT("'"&amp;AB$1&amp;"'!"&amp;"$B:$B"),"Total capital cost")</f>
        <v>356173.7397391983</v>
      </c>
      <c r="AC63" s="114"/>
      <c r="AD63" s="114"/>
      <c r="AE63" s="114"/>
    </row>
    <row r="64" spans="1:31" x14ac:dyDescent="0.3">
      <c r="A64" s="842" t="s">
        <v>5441</v>
      </c>
      <c r="B64" s="858" t="s">
        <v>2479</v>
      </c>
      <c r="C64" s="114"/>
      <c r="D64" s="114"/>
      <c r="E64" s="114"/>
      <c r="F64" s="113"/>
      <c r="G64" s="114"/>
      <c r="H64" s="839">
        <f>PT.anaer_digest!G38*UC.m3_to_ft3*PT.anaer_digest!G37</f>
        <v>27619.366382964734</v>
      </c>
      <c r="I64" s="839">
        <f>PT.anaer_digest!H38*UC.m3_to_ft3*PT.anaer_digest!H37</f>
        <v>2554.781692639734</v>
      </c>
      <c r="J64" s="839">
        <f>PT.anaer_digest!I38*UC.m3_to_ft3*PT.anaer_digest!I37</f>
        <v>4597.98740885402</v>
      </c>
      <c r="K64" s="114"/>
      <c r="L64" s="114"/>
      <c r="M64" s="114"/>
      <c r="N64" s="114"/>
      <c r="O64" s="114"/>
      <c r="P64" s="114"/>
      <c r="Q64" s="817"/>
      <c r="R64" s="114"/>
      <c r="S64" s="114"/>
      <c r="T64" s="114"/>
      <c r="U64" s="113"/>
      <c r="V64" s="114"/>
      <c r="W64" s="839">
        <f ca="1">SUMIFS(INDIRECT("'"&amp;W$1&amp;"'!"&amp;"$C:$C"),INDIRECT("'"&amp;W$1&amp;"'!"&amp;"$A:$A"),EconIntermediate!W$27,INDIRECT("'"&amp;W$1&amp;"'!"&amp;"$B:$B"),$A64)</f>
        <v>0</v>
      </c>
      <c r="X64" s="839">
        <f ca="1">SUMIFS(INDIRECT("'"&amp;X$1&amp;"'!"&amp;"$C:$C"),INDIRECT("'"&amp;X$1&amp;"'!"&amp;"$A:$A"),EconIntermediate!X$27,INDIRECT("'"&amp;X$1&amp;"'!"&amp;"$B:$B"),$A64)</f>
        <v>0</v>
      </c>
      <c r="Y64" s="839">
        <f ca="1">SUMIFS(INDIRECT("'"&amp;Y$1&amp;"'!"&amp;"$C:$C"),INDIRECT("'"&amp;Y$1&amp;"'!"&amp;"$A:$A"),EconIntermediate!Y$27,INDIRECT("'"&amp;Y$1&amp;"'!"&amp;"$B:$B"),$A64)</f>
        <v>0</v>
      </c>
      <c r="Z64" s="114"/>
      <c r="AA64" s="114"/>
      <c r="AB64" s="114"/>
      <c r="AC64" s="114"/>
      <c r="AD64" s="114"/>
      <c r="AE64" s="114"/>
    </row>
    <row r="65" spans="1:31" x14ac:dyDescent="0.3">
      <c r="A65" s="844" t="s">
        <v>5442</v>
      </c>
      <c r="B65" s="859" t="s">
        <v>2284</v>
      </c>
      <c r="C65" s="71"/>
      <c r="D65" s="71"/>
      <c r="E65" s="71"/>
      <c r="F65" s="500"/>
      <c r="G65" s="71"/>
      <c r="H65" s="887">
        <f t="shared" ref="H65:J65" ca="1" si="25">SUMIFS(INDIRECT("'"&amp;H$1&amp;"'!"&amp;"$D:$D"),INDIRECT("'"&amp;H$1&amp;"'!"&amp;"$A:$A"),"Anaerobic digestion",INDIRECT("'"&amp;H$1&amp;"'!"&amp;"$B:$B"),"Total capital cost")</f>
        <v>2460012.5579201453</v>
      </c>
      <c r="I65" s="887">
        <f t="shared" ca="1" si="25"/>
        <v>1437714.8712763968</v>
      </c>
      <c r="J65" s="887">
        <f t="shared" ca="1" si="25"/>
        <v>1641554.8511827372</v>
      </c>
      <c r="K65" s="71"/>
      <c r="L65" s="71"/>
      <c r="M65" s="71"/>
      <c r="N65" s="71"/>
      <c r="O65" s="71"/>
      <c r="P65" s="71"/>
      <c r="Q65" s="881"/>
      <c r="R65" s="71"/>
      <c r="S65" s="71"/>
      <c r="T65" s="71"/>
      <c r="U65" s="500"/>
      <c r="V65" s="71"/>
      <c r="W65" s="887">
        <f t="shared" ref="W65:Y65" ca="1" si="26">SUMIFS(INDIRECT("'"&amp;W$1&amp;"'!"&amp;"$D:$D"),INDIRECT("'"&amp;W$1&amp;"'!"&amp;"$A:$A"),"Anaerobic digestion",INDIRECT("'"&amp;W$1&amp;"'!"&amp;"$B:$B"),"Total capital cost")</f>
        <v>2460012.5579201453</v>
      </c>
      <c r="X65" s="887">
        <f t="shared" ca="1" si="26"/>
        <v>1437714.8712763968</v>
      </c>
      <c r="Y65" s="887">
        <f t="shared" ca="1" si="26"/>
        <v>1641554.8511827372</v>
      </c>
      <c r="Z65" s="71"/>
      <c r="AA65" s="71"/>
      <c r="AB65" s="71"/>
      <c r="AC65" s="71"/>
      <c r="AD65" s="71"/>
      <c r="AE65" s="71"/>
    </row>
    <row r="66" spans="1:31" x14ac:dyDescent="0.3">
      <c r="A66" s="845" t="s">
        <v>5192</v>
      </c>
      <c r="B66" s="846" t="s">
        <v>5323</v>
      </c>
      <c r="C66" s="2185">
        <f ca="1">VLOOKUP(EconIntermediate!C$29, INDIRECT("'"&amp;C$1&amp;"'!"&amp;"$A$300:$Z$2004"),EconIntermediate!$A51, FALSE)</f>
        <v>0</v>
      </c>
      <c r="D66" s="888">
        <f ca="1">VLOOKUP(EconIntermediate!D$29, INDIRECT("'"&amp;D$1&amp;"'!"&amp;"$A$300:$Z$2004"),EconIntermediate!$A51, FALSE)</f>
        <v>17419.548963200003</v>
      </c>
      <c r="E66" s="888">
        <f ca="1">VLOOKUP(EconIntermediate!E$29, INDIRECT("'"&amp;E$1&amp;"'!"&amp;"$A$300:$Z$2004"),EconIntermediate!$A51, FALSE)</f>
        <v>2075.6150287378796</v>
      </c>
      <c r="F66" s="888">
        <f ca="1">VLOOKUP(EconIntermediate!F$29, INDIRECT("'"&amp;F$1&amp;"'!"&amp;"$A$300:$Z$2004"),EconIntermediate!$A51, FALSE)</f>
        <v>946.46267270594763</v>
      </c>
      <c r="G66" s="888">
        <f ca="1">VLOOKUP(EconIntermediate!G$29, INDIRECT("'"&amp;G$1&amp;"'!"&amp;"$A$300:$Z$2004"),EconIntermediate!$A51, FALSE)</f>
        <v>1032.3581416016057</v>
      </c>
      <c r="H66" s="888">
        <f ca="1">VLOOKUP(EconIntermediate!H$29, INDIRECT("'"&amp;H$1&amp;"'!"&amp;"$A$300:$Z$2004"),EconIntermediate!$A51, FALSE)</f>
        <v>3563.3855205822911</v>
      </c>
      <c r="I66" s="888">
        <f ca="1">VLOOKUP(EconIntermediate!I$29, INDIRECT("'"&amp;I$1&amp;"'!"&amp;"$A$300:$Z$2004"),EconIntermediate!$A51, FALSE)</f>
        <v>5544.8944706049451</v>
      </c>
      <c r="J66" s="888">
        <f ca="1">VLOOKUP(EconIntermediate!J$29, INDIRECT("'"&amp;J$1&amp;"'!"&amp;"$A$300:$Z$2004"),EconIntermediate!$A51, FALSE)</f>
        <v>1276.3395860976152</v>
      </c>
      <c r="K66" s="888">
        <f ca="1">VLOOKUP(EconIntermediate!K$29, INDIRECT("'"&amp;K$1&amp;"'!"&amp;"$A$300:$Z$2004"),EconIntermediate!$A51, FALSE)</f>
        <v>3559.9602735166955</v>
      </c>
      <c r="L66" s="888">
        <f ca="1">VLOOKUP(EconIntermediate!L$29, INDIRECT("'"&amp;L$1&amp;"'!"&amp;"$A$300:$Z$2004"),EconIntermediate!$A51, FALSE)</f>
        <v>5541.4692235393495</v>
      </c>
      <c r="M66" s="888">
        <f ca="1">VLOOKUP(EconIntermediate!M$29, INDIRECT("'"&amp;M$1&amp;"'!"&amp;"$A$300:$Z$2004"),EconIntermediate!$A51, FALSE)</f>
        <v>1272.9143390320201</v>
      </c>
      <c r="N66" s="888">
        <f ca="1">VLOOKUP(EconIntermediate!N$29, INDIRECT("'"&amp;N$1&amp;"'!"&amp;"$A$300:$Z$2004"),EconIntermediate!$A51, FALSE)</f>
        <v>4610.2471722644541</v>
      </c>
      <c r="O66" s="888">
        <f ca="1">VLOOKUP(EconIntermediate!O$29, INDIRECT("'"&amp;O$1&amp;"'!"&amp;"$A$300:$Z$2004"),EconIntermediate!$A51, FALSE)</f>
        <v>28562.12703307132</v>
      </c>
      <c r="P66" s="888">
        <f ca="1">VLOOKUP(EconIntermediate!P$29, INDIRECT("'"&amp;P$1&amp;"'!"&amp;"$A$300:$Z$2004"),EconIntermediate!$A51, FALSE)</f>
        <v>1585.3643759425224</v>
      </c>
      <c r="Q66" s="882"/>
      <c r="R66" s="888">
        <f ca="1">VLOOKUP(EconIntermediate!R$29, INDIRECT("'"&amp;R$1&amp;"'!"&amp;"$A$300:$Z$2004"),EconIntermediate!$A51, FALSE)</f>
        <v>0</v>
      </c>
      <c r="S66" s="888">
        <f ca="1">VLOOKUP(EconIntermediate!S$29, INDIRECT("'"&amp;S$1&amp;"'!"&amp;"$A$300:$Z$2004"),EconIntermediate!$A51, FALSE)</f>
        <v>17419.548963200003</v>
      </c>
      <c r="T66" s="888">
        <f ca="1">VLOOKUP(EconIntermediate!T$29, INDIRECT("'"&amp;T$1&amp;"'!"&amp;"$A$300:$Z$2004"),EconIntermediate!$A51, FALSE)</f>
        <v>2075.6150287378796</v>
      </c>
      <c r="U66" s="888">
        <f ca="1">VLOOKUP(EconIntermediate!U$29, INDIRECT("'"&amp;U$1&amp;"'!"&amp;"$A$300:$Z$2004"),EconIntermediate!$A51, FALSE)</f>
        <v>946.46267270594763</v>
      </c>
      <c r="V66" s="888">
        <f ca="1">VLOOKUP(EconIntermediate!V$29, INDIRECT("'"&amp;V$1&amp;"'!"&amp;"$A$300:$Z$2004"),EconIntermediate!$A51, FALSE)</f>
        <v>1032.3581416016057</v>
      </c>
      <c r="W66" s="888">
        <f ca="1">VLOOKUP(EconIntermediate!W$29, INDIRECT("'"&amp;W$1&amp;"'!"&amp;"$A$300:$Z$2004"),EconIntermediate!$A51, FALSE)</f>
        <v>3563.3855205822911</v>
      </c>
      <c r="X66" s="888">
        <f ca="1">VLOOKUP(EconIntermediate!X$29, INDIRECT("'"&amp;X$1&amp;"'!"&amp;"$A$300:$Z$2004"),EconIntermediate!$A51, FALSE)</f>
        <v>5544.8944706049451</v>
      </c>
      <c r="Y66" s="888">
        <f ca="1">VLOOKUP(EconIntermediate!Y$29, INDIRECT("'"&amp;Y$1&amp;"'!"&amp;"$A$300:$Z$2004"),EconIntermediate!$A51, FALSE)</f>
        <v>1276.3395860976152</v>
      </c>
      <c r="Z66" s="888">
        <f ca="1">VLOOKUP(EconIntermediate!Z$29, INDIRECT("'"&amp;Z$1&amp;"'!"&amp;"$A$300:$Z$2004"),EconIntermediate!$A51, FALSE)</f>
        <v>3559.9602735166955</v>
      </c>
      <c r="AA66" s="888">
        <f ca="1">VLOOKUP(EconIntermediate!AA$29, INDIRECT("'"&amp;AA$1&amp;"'!"&amp;"$A$300:$Z$2004"),EconIntermediate!$A51, FALSE)</f>
        <v>5541.4692235393495</v>
      </c>
      <c r="AB66" s="888">
        <f ca="1">VLOOKUP(EconIntermediate!AB$29, INDIRECT("'"&amp;AB$1&amp;"'!"&amp;"$A$300:$Z$2004"),EconIntermediate!$A51, FALSE)</f>
        <v>1272.9143390320201</v>
      </c>
      <c r="AC66" s="888">
        <f ca="1">VLOOKUP(EconIntermediate!AC$29, INDIRECT("'"&amp;AC$1&amp;"'!"&amp;"$A$300:$Z$2004"),EconIntermediate!$A51, FALSE)</f>
        <v>4610.2471722644541</v>
      </c>
      <c r="AD66" s="888"/>
      <c r="AE66" s="888">
        <f ca="1">VLOOKUP(EconIntermediate!AE$29, INDIRECT("'"&amp;AE$1&amp;"'!"&amp;"$A$300:$Z$2004"),EconIntermediate!$A51, FALSE)</f>
        <v>1585.3643759425224</v>
      </c>
    </row>
    <row r="67" spans="1:31" x14ac:dyDescent="0.3">
      <c r="A67" s="845" t="s">
        <v>5193</v>
      </c>
      <c r="B67" s="846" t="s">
        <v>5181</v>
      </c>
      <c r="C67" s="2186">
        <f ca="1">VLOOKUP(EconIntermediate!C$29, INDIRECT("'"&amp;C$1&amp;"'!"&amp;"$A$300:$Z$2004"),EconIntermediate!$A52, FALSE)</f>
        <v>0</v>
      </c>
      <c r="D67" s="889">
        <f ca="1">VLOOKUP(EconIntermediate!D$29, INDIRECT("'"&amp;D$1&amp;"'!"&amp;"$A$300:$Z$2004"),EconIntermediate!$A52, FALSE)</f>
        <v>1194.8358959674933</v>
      </c>
      <c r="E67" s="889">
        <f ca="1">VLOOKUP(EconIntermediate!E$29, INDIRECT("'"&amp;E$1&amp;"'!"&amp;"$A$300:$Z$2004"),EconIntermediate!$A52, FALSE)</f>
        <v>142.36989417951239</v>
      </c>
      <c r="F67" s="889">
        <f ca="1">VLOOKUP(EconIntermediate!F$29, INDIRECT("'"&amp;F$1&amp;"'!"&amp;"$A$300:$Z$2004"),EconIntermediate!$A52, FALSE)</f>
        <v>64.919452158688784</v>
      </c>
      <c r="G67" s="889">
        <f ca="1">VLOOKUP(EconIntermediate!G$29, INDIRECT("'"&amp;G$1&amp;"'!"&amp;"$A$300:$Z$2004"),EconIntermediate!$A52, FALSE)</f>
        <v>70.811165529356813</v>
      </c>
      <c r="H67" s="889">
        <f ca="1">VLOOKUP(EconIntermediate!H$29, INDIRECT("'"&amp;H$1&amp;"'!"&amp;"$A$300:$Z$2004"),EconIntermediate!$A52, FALSE)</f>
        <v>244.41855183260697</v>
      </c>
      <c r="I67" s="889">
        <f ca="1">VLOOKUP(EconIntermediate!I$29, INDIRECT("'"&amp;I$1&amp;"'!"&amp;"$A$300:$Z$2004"),EconIntermediate!$A52, FALSE)</f>
        <v>380.33355322957755</v>
      </c>
      <c r="J67" s="889">
        <f ca="1">VLOOKUP(EconIntermediate!J$29, INDIRECT("'"&amp;J$1&amp;"'!"&amp;"$A$300:$Z$2004"),EconIntermediate!$A52, FALSE)</f>
        <v>87.546259443078924</v>
      </c>
      <c r="K67" s="889">
        <f ca="1">VLOOKUP(EconIntermediate!K$29, INDIRECT("'"&amp;K$1&amp;"'!"&amp;"$A$300:$Z$2004"),EconIntermediate!$A52, FALSE)</f>
        <v>244.18360842763266</v>
      </c>
      <c r="L67" s="889">
        <f ca="1">VLOOKUP(EconIntermediate!L$29, INDIRECT("'"&amp;L$1&amp;"'!"&amp;"$A$300:$Z$2004"),EconIntermediate!$A52, FALSE)</f>
        <v>380.09860982460327</v>
      </c>
      <c r="M67" s="889">
        <f ca="1">VLOOKUP(EconIntermediate!M$29, INDIRECT("'"&amp;M$1&amp;"'!"&amp;"$A$300:$Z$2004"),EconIntermediate!$A52, FALSE)</f>
        <v>87.31131603810465</v>
      </c>
      <c r="N67" s="889">
        <f ca="1">VLOOKUP(EconIntermediate!N$29, INDIRECT("'"&amp;N$1&amp;"'!"&amp;"$A$300:$Z$2004"),EconIntermediate!$A52, FALSE)</f>
        <v>316.22453729090603</v>
      </c>
      <c r="O67" s="889">
        <f ca="1">VLOOKUP(EconIntermediate!O$29, INDIRECT("'"&amp;O$1&amp;"'!"&amp;"$A$300:$Z$2004"),EconIntermediate!$A52, FALSE)</f>
        <v>1959.1238967434167</v>
      </c>
      <c r="P67" s="889">
        <f ca="1">VLOOKUP(EconIntermediate!P$29, INDIRECT("'"&amp;P$1&amp;"'!"&amp;"$A$300:$Z$2004"),EconIntermediate!$A52, FALSE)</f>
        <v>108.7427848198575</v>
      </c>
      <c r="Q67" s="882"/>
      <c r="R67" s="889">
        <f ca="1">VLOOKUP(EconIntermediate!R$29, INDIRECT("'"&amp;R$1&amp;"'!"&amp;"$A$300:$Z$2004"),EconIntermediate!$A52, FALSE)</f>
        <v>0</v>
      </c>
      <c r="S67" s="889">
        <f ca="1">VLOOKUP(EconIntermediate!S$29, INDIRECT("'"&amp;S$1&amp;"'!"&amp;"$A$300:$Z$2004"),EconIntermediate!$A52, FALSE)</f>
        <v>1194.8358959674933</v>
      </c>
      <c r="T67" s="889">
        <f ca="1">VLOOKUP(EconIntermediate!T$29, INDIRECT("'"&amp;T$1&amp;"'!"&amp;"$A$300:$Z$2004"),EconIntermediate!$A52, FALSE)</f>
        <v>142.36989417951239</v>
      </c>
      <c r="U67" s="889">
        <f ca="1">VLOOKUP(EconIntermediate!U$29, INDIRECT("'"&amp;U$1&amp;"'!"&amp;"$A$300:$Z$2004"),EconIntermediate!$A52, FALSE)</f>
        <v>64.919452158688784</v>
      </c>
      <c r="V67" s="889">
        <f ca="1">VLOOKUP(EconIntermediate!V$29, INDIRECT("'"&amp;V$1&amp;"'!"&amp;"$A$300:$Z$2004"),EconIntermediate!$A52, FALSE)</f>
        <v>70.811165529356813</v>
      </c>
      <c r="W67" s="889">
        <f ca="1">VLOOKUP(EconIntermediate!W$29, INDIRECT("'"&amp;W$1&amp;"'!"&amp;"$A$300:$Z$2004"),EconIntermediate!$A52, FALSE)</f>
        <v>244.41855183260697</v>
      </c>
      <c r="X67" s="889">
        <f ca="1">VLOOKUP(EconIntermediate!X$29, INDIRECT("'"&amp;X$1&amp;"'!"&amp;"$A$300:$Z$2004"),EconIntermediate!$A52, FALSE)</f>
        <v>380.33355322957755</v>
      </c>
      <c r="Y67" s="889">
        <f ca="1">VLOOKUP(EconIntermediate!Y$29, INDIRECT("'"&amp;Y$1&amp;"'!"&amp;"$A$300:$Z$2004"),EconIntermediate!$A52, FALSE)</f>
        <v>87.546259443078924</v>
      </c>
      <c r="Z67" s="889">
        <f ca="1">VLOOKUP(EconIntermediate!Z$29, INDIRECT("'"&amp;Z$1&amp;"'!"&amp;"$A$300:$Z$2004"),EconIntermediate!$A52, FALSE)</f>
        <v>244.18360842763266</v>
      </c>
      <c r="AA67" s="889">
        <f ca="1">VLOOKUP(EconIntermediate!AA$29, INDIRECT("'"&amp;AA$1&amp;"'!"&amp;"$A$300:$Z$2004"),EconIntermediate!$A52, FALSE)</f>
        <v>380.09860982460327</v>
      </c>
      <c r="AB67" s="889">
        <f ca="1">VLOOKUP(EconIntermediate!AB$29, INDIRECT("'"&amp;AB$1&amp;"'!"&amp;"$A$300:$Z$2004"),EconIntermediate!$A52, FALSE)</f>
        <v>87.31131603810465</v>
      </c>
      <c r="AC67" s="889">
        <f ca="1">VLOOKUP(EconIntermediate!AC$29, INDIRECT("'"&amp;AC$1&amp;"'!"&amp;"$A$300:$Z$2004"),EconIntermediate!$A52, FALSE)</f>
        <v>316.22453729090603</v>
      </c>
      <c r="AD67" s="889"/>
      <c r="AE67" s="889">
        <f ca="1">VLOOKUP(EconIntermediate!AE$29, INDIRECT("'"&amp;AE$1&amp;"'!"&amp;"$A$300:$Z$2004"),EconIntermediate!$A52, FALSE)</f>
        <v>108.7427848198575</v>
      </c>
    </row>
    <row r="68" spans="1:31" x14ac:dyDescent="0.3">
      <c r="A68" s="845" t="s">
        <v>5194</v>
      </c>
      <c r="B68" s="846" t="s">
        <v>5324</v>
      </c>
      <c r="C68" s="2185">
        <f ca="1">VLOOKUP(EconIntermediate!C$29, INDIRECT("'"&amp;C$1&amp;"'!"&amp;"$A$300:$Z$2004"),EconIntermediate!$A53, FALSE)</f>
        <v>370.31185144590069</v>
      </c>
      <c r="D68" s="888">
        <f ca="1">VLOOKUP(EconIntermediate!D$29, INDIRECT("'"&amp;D$1&amp;"'!"&amp;"$A$300:$Z$2004"),EconIntermediate!$A53, FALSE)</f>
        <v>213.91345097078369</v>
      </c>
      <c r="E68" s="888">
        <f ca="1">VLOOKUP(EconIntermediate!E$29, INDIRECT("'"&amp;E$1&amp;"'!"&amp;"$A$300:$Z$2004"),EconIntermediate!$A53, FALSE)</f>
        <v>178.67213700367461</v>
      </c>
      <c r="F68" s="888">
        <f ca="1">VLOOKUP(EconIntermediate!F$29, INDIRECT("'"&amp;F$1&amp;"'!"&amp;"$A$300:$Z$2004"),EconIntermediate!$A53, FALSE)</f>
        <v>173.68792485077398</v>
      </c>
      <c r="G68" s="888">
        <f ca="1">VLOOKUP(EconIntermediate!G$29, INDIRECT("'"&amp;G$1&amp;"'!"&amp;"$A$300:$Z$2004"),EconIntermediate!$A53, FALSE)</f>
        <v>175.71719103442982</v>
      </c>
      <c r="H68" s="888">
        <f ca="1">VLOOKUP(EconIntermediate!H$29, INDIRECT("'"&amp;H$1&amp;"'!"&amp;"$A$300:$Z$2004"),EconIntermediate!$A53, FALSE)</f>
        <v>177.61872680194526</v>
      </c>
      <c r="I68" s="888">
        <f ca="1">VLOOKUP(EconIntermediate!I$29, INDIRECT("'"&amp;I$1&amp;"'!"&amp;"$A$300:$Z$2004"),EconIntermediate!$A53, FALSE)</f>
        <v>170.58486103092133</v>
      </c>
      <c r="J68" s="888">
        <f ca="1">VLOOKUP(EconIntermediate!J$29, INDIRECT("'"&amp;J$1&amp;"'!"&amp;"$A$300:$Z$2004"),EconIntermediate!$A53, FALSE)</f>
        <v>177.61872680194526</v>
      </c>
      <c r="K68" s="888">
        <f ca="1">VLOOKUP(EconIntermediate!K$29, INDIRECT("'"&amp;K$1&amp;"'!"&amp;"$A$300:$Z$2004"),EconIntermediate!$A53, FALSE)</f>
        <v>164.46926905347129</v>
      </c>
      <c r="L68" s="888">
        <f ca="1">VLOOKUP(EconIntermediate!L$29, INDIRECT("'"&amp;L$1&amp;"'!"&amp;"$A$300:$Z$2004"),EconIntermediate!$A53, FALSE)</f>
        <v>161.48736569260842</v>
      </c>
      <c r="M68" s="888">
        <f ca="1">VLOOKUP(EconIntermediate!M$29, INDIRECT("'"&amp;M$1&amp;"'!"&amp;"$A$300:$Z$2004"),EconIntermediate!$A53, FALSE)</f>
        <v>164.46926905347146</v>
      </c>
      <c r="N68" s="888">
        <f ca="1">VLOOKUP(EconIntermediate!N$29, INDIRECT("'"&amp;N$1&amp;"'!"&amp;"$A$300:$Z$2004"),EconIntermediate!$A53, FALSE)</f>
        <v>1086.0545328568232</v>
      </c>
      <c r="O68" s="888">
        <f ca="1">VLOOKUP(EconIntermediate!O$29, INDIRECT("'"&amp;O$1&amp;"'!"&amp;"$A$300:$Z$2004"),EconIntermediate!$A53, FALSE)</f>
        <v>1317.4115998544196</v>
      </c>
      <c r="P68" s="888">
        <f ca="1">VLOOKUP(EconIntermediate!P$29, INDIRECT("'"&amp;P$1&amp;"'!"&amp;"$A$300:$Z$2004"),EconIntermediate!$A53, FALSE)</f>
        <v>183.3865698183991</v>
      </c>
      <c r="Q68" s="882"/>
      <c r="R68" s="888">
        <f ca="1">VLOOKUP(EconIntermediate!R$29, INDIRECT("'"&amp;R$1&amp;"'!"&amp;"$A$300:$Z$2004"),EconIntermediate!$A53, FALSE)</f>
        <v>459.80735729012861</v>
      </c>
      <c r="S68" s="888">
        <f ca="1">VLOOKUP(EconIntermediate!S$29, INDIRECT("'"&amp;S$1&amp;"'!"&amp;"$A$300:$Z$2004"),EconIntermediate!$A53, FALSE)</f>
        <v>253.05566406613033</v>
      </c>
      <c r="T68" s="888">
        <f ca="1">VLOOKUP(EconIntermediate!T$29, INDIRECT("'"&amp;T$1&amp;"'!"&amp;"$A$300:$Z$2004"),EconIntermediate!$A53, FALSE)</f>
        <v>68.56569558113172</v>
      </c>
      <c r="U68" s="888">
        <f ca="1">VLOOKUP(EconIntermediate!U$29, INDIRECT("'"&amp;U$1&amp;"'!"&amp;"$A$300:$Z$2004"),EconIntermediate!$A53, FALSE)</f>
        <v>66.221946471027607</v>
      </c>
      <c r="V68" s="888">
        <f ca="1">VLOOKUP(EconIntermediate!V$29, INDIRECT("'"&amp;V$1&amp;"'!"&amp;"$A$300:$Z$2004"),EconIntermediate!$A53, FALSE)</f>
        <v>67.233447724780731</v>
      </c>
      <c r="W68" s="888">
        <f ca="1">VLOOKUP(EconIntermediate!W$29, INDIRECT("'"&amp;W$1&amp;"'!"&amp;"$A$300:$Z$2004"),EconIntermediate!$A53, FALSE)</f>
        <v>68.243645858903875</v>
      </c>
      <c r="X68" s="888">
        <f ca="1">VLOOKUP(EconIntermediate!X$29, INDIRECT("'"&amp;X$1&amp;"'!"&amp;"$A$300:$Z$2004"),EconIntermediate!$A53, FALSE)</f>
        <v>67.387124452167157</v>
      </c>
      <c r="Y68" s="888">
        <f ca="1">VLOOKUP(EconIntermediate!Y$29, INDIRECT("'"&amp;Y$1&amp;"'!"&amp;"$A$300:$Z$2004"),EconIntermediate!$A53, FALSE)</f>
        <v>68.243645858903875</v>
      </c>
      <c r="Z68" s="888">
        <f ca="1">VLOOKUP(EconIntermediate!Z$29, INDIRECT("'"&amp;Z$1&amp;"'!"&amp;"$A$300:$Z$2004"),EconIntermediate!$A53, FALSE)</f>
        <v>63.864762891122659</v>
      </c>
      <c r="AA68" s="888">
        <f ca="1">VLOOKUP(EconIntermediate!AA$29, INDIRECT("'"&amp;AA$1&amp;"'!"&amp;"$A$300:$Z$2004"),EconIntermediate!$A53, FALSE)</f>
        <v>67.767099636382738</v>
      </c>
      <c r="AB68" s="888">
        <f ca="1">VLOOKUP(EconIntermediate!AB$29, INDIRECT("'"&amp;AB$1&amp;"'!"&amp;"$A$300:$Z$2004"),EconIntermediate!$A53, FALSE)</f>
        <v>66.621068453732661</v>
      </c>
      <c r="AC68" s="888">
        <f ca="1">VLOOKUP(EconIntermediate!AC$29, INDIRECT("'"&amp;AC$1&amp;"'!"&amp;"$A$300:$Z$2004"),EconIntermediate!$A53, FALSE)</f>
        <v>428.54167032643346</v>
      </c>
      <c r="AD68" s="888"/>
      <c r="AE68" s="888">
        <f ca="1">VLOOKUP(EconIntermediate!AE$29, INDIRECT("'"&amp;AE$1&amp;"'!"&amp;"$A$300:$Z$2004"),EconIntermediate!$A53, FALSE)</f>
        <v>90.716253950115288</v>
      </c>
    </row>
    <row r="69" spans="1:31" x14ac:dyDescent="0.3">
      <c r="A69" s="845" t="s">
        <v>5195</v>
      </c>
      <c r="B69" s="846" t="s">
        <v>5181</v>
      </c>
      <c r="C69" s="2186">
        <f ca="1">VLOOKUP(EconIntermediate!C$29, INDIRECT("'"&amp;C$1&amp;"'!"&amp;"$A$300:$Z$2004"),EconIntermediate!$A54, FALSE)</f>
        <v>1368.8542653617394</v>
      </c>
      <c r="D69" s="889">
        <f ca="1">VLOOKUP(EconIntermediate!D$29, INDIRECT("'"&amp;D$1&amp;"'!"&amp;"$A$300:$Z$2004"),EconIntermediate!$A54, FALSE)</f>
        <v>790.72905346207767</v>
      </c>
      <c r="E69" s="889">
        <f ca="1">VLOOKUP(EconIntermediate!E$29, INDIRECT("'"&amp;E$1&amp;"'!"&amp;"$A$300:$Z$2004"),EconIntermediate!$A54, FALSE)</f>
        <v>660.4598688478851</v>
      </c>
      <c r="F69" s="889">
        <f ca="1">VLOOKUP(EconIntermediate!F$29, INDIRECT("'"&amp;F$1&amp;"'!"&amp;"$A$300:$Z$2004"),EconIntermediate!$A54, FALSE)</f>
        <v>642.03577564555712</v>
      </c>
      <c r="G69" s="889">
        <f ca="1">VLOOKUP(EconIntermediate!G$29, INDIRECT("'"&amp;G$1&amp;"'!"&amp;"$A$300:$Z$2004"),EconIntermediate!$A54, FALSE)</f>
        <v>649.53693894942035</v>
      </c>
      <c r="H69" s="889">
        <f ca="1">VLOOKUP(EconIntermediate!H$29, INDIRECT("'"&amp;H$1&amp;"'!"&amp;"$A$300:$Z$2004"),EconIntermediate!$A54, FALSE)</f>
        <v>656.56594797502453</v>
      </c>
      <c r="I69" s="889">
        <f ca="1">VLOOKUP(EconIntermediate!I$29, INDIRECT("'"&amp;I$1&amp;"'!"&amp;"$A$300:$Z$2004"),EconIntermediate!$A54, FALSE)</f>
        <v>630.56532950965891</v>
      </c>
      <c r="J69" s="889">
        <f ca="1">VLOOKUP(EconIntermediate!J$29, INDIRECT("'"&amp;J$1&amp;"'!"&amp;"$A$300:$Z$2004"),EconIntermediate!$A54, FALSE)</f>
        <v>656.56594797502453</v>
      </c>
      <c r="K69" s="889">
        <f ca="1">VLOOKUP(EconIntermediate!K$29, INDIRECT("'"&amp;K$1&amp;"'!"&amp;"$A$300:$Z$2004"),EconIntermediate!$A54, FALSE)</f>
        <v>607.95910145927871</v>
      </c>
      <c r="L69" s="889">
        <f ca="1">VLOOKUP(EconIntermediate!L$29, INDIRECT("'"&amp;L$1&amp;"'!"&amp;"$A$300:$Z$2004"),EconIntermediate!$A54, FALSE)</f>
        <v>596.93652381701293</v>
      </c>
      <c r="M69" s="889">
        <f ca="1">VLOOKUP(EconIntermediate!M$29, INDIRECT("'"&amp;M$1&amp;"'!"&amp;"$A$300:$Z$2004"),EconIntermediate!$A54, FALSE)</f>
        <v>607.95910145927928</v>
      </c>
      <c r="N69" s="889">
        <f ca="1">VLOOKUP(EconIntermediate!N$29, INDIRECT("'"&amp;N$1&amp;"'!"&amp;"$A$300:$Z$2004"),EconIntermediate!$A54, FALSE)</f>
        <v>4014.5903349077666</v>
      </c>
      <c r="O69" s="889">
        <f ca="1">VLOOKUP(EconIntermediate!O$29, INDIRECT("'"&amp;O$1&amp;"'!"&amp;"$A$300:$Z$2004"),EconIntermediate!$A54, FALSE)</f>
        <v>4869.7995504505425</v>
      </c>
      <c r="P69" s="889">
        <f ca="1">VLOOKUP(EconIntermediate!P$29, INDIRECT("'"&amp;P$1&amp;"'!"&amp;"$A$300:$Z$2004"),EconIntermediate!$A54, FALSE)</f>
        <v>677.88672527173287</v>
      </c>
      <c r="Q69" s="882"/>
      <c r="R69" s="889">
        <f ca="1">VLOOKUP(EconIntermediate!R$29, INDIRECT("'"&amp;R$1&amp;"'!"&amp;"$A$300:$Z$2004"),EconIntermediate!$A54, FALSE)</f>
        <v>1699.6735584177027</v>
      </c>
      <c r="S69" s="889">
        <f ca="1">VLOOKUP(EconIntermediate!S$29, INDIRECT("'"&amp;S$1&amp;"'!"&amp;"$A$300:$Z$2004"),EconIntermediate!$A54, FALSE)</f>
        <v>935.41787490286515</v>
      </c>
      <c r="T69" s="889">
        <f ca="1">VLOOKUP(EconIntermediate!T$29, INDIRECT("'"&amp;T$1&amp;"'!"&amp;"$A$300:$Z$2004"),EconIntermediate!$A54, FALSE)</f>
        <v>253.45244686946867</v>
      </c>
      <c r="U69" s="889">
        <f ca="1">VLOOKUP(EconIntermediate!U$29, INDIRECT("'"&amp;U$1&amp;"'!"&amp;"$A$300:$Z$2004"),EconIntermediate!$A54, FALSE)</f>
        <v>244.78880039480944</v>
      </c>
      <c r="V69" s="889">
        <f ca="1">VLOOKUP(EconIntermediate!V$29, INDIRECT("'"&amp;V$1&amp;"'!"&amp;"$A$300:$Z$2004"),EconIntermediate!$A54, FALSE)</f>
        <v>248.52780523684316</v>
      </c>
      <c r="W69" s="889">
        <f ca="1">VLOOKUP(EconIntermediate!W$29, INDIRECT("'"&amp;W$1&amp;"'!"&amp;"$A$300:$Z$2004"),EconIntermediate!$A54, FALSE)</f>
        <v>252.26199310945836</v>
      </c>
      <c r="X69" s="889">
        <f ca="1">VLOOKUP(EconIntermediate!X$29, INDIRECT("'"&amp;X$1&amp;"'!"&amp;"$A$300:$Z$2004"),EconIntermediate!$A54, FALSE)</f>
        <v>249.09586980984673</v>
      </c>
      <c r="Y69" s="889">
        <f ca="1">VLOOKUP(EconIntermediate!Y$29, INDIRECT("'"&amp;Y$1&amp;"'!"&amp;"$A$300:$Z$2004"),EconIntermediate!$A54, FALSE)</f>
        <v>252.26199310945836</v>
      </c>
      <c r="Z69" s="889">
        <f ca="1">VLOOKUP(EconIntermediate!Z$29, INDIRECT("'"&amp;Z$1&amp;"'!"&amp;"$A$300:$Z$2004"),EconIntermediate!$A54, FALSE)</f>
        <v>236.0754935292718</v>
      </c>
      <c r="AA69" s="889">
        <f ca="1">VLOOKUP(EconIntermediate!AA$29, INDIRECT("'"&amp;AA$1&amp;"'!"&amp;"$A$300:$Z$2004"),EconIntermediate!$A54, FALSE)</f>
        <v>250.50044449362804</v>
      </c>
      <c r="AB69" s="889">
        <f ca="1">VLOOKUP(EconIntermediate!AB$29, INDIRECT("'"&amp;AB$1&amp;"'!"&amp;"$A$300:$Z$2004"),EconIntermediate!$A54, FALSE)</f>
        <v>246.26415103857695</v>
      </c>
      <c r="AC69" s="889">
        <f ca="1">VLOOKUP(EconIntermediate!AC$29, INDIRECT("'"&amp;AC$1&amp;"'!"&amp;"$A$300:$Z$2004"),EconIntermediate!$A54, FALSE)</f>
        <v>1584.1002415157147</v>
      </c>
      <c r="AD69" s="889"/>
      <c r="AE69" s="889">
        <f ca="1">VLOOKUP(EconIntermediate!AE$29, INDIRECT("'"&amp;AE$1&amp;"'!"&amp;"$A$300:$Z$2004"),EconIntermediate!$A54, FALSE)</f>
        <v>335.33177691288472</v>
      </c>
    </row>
    <row r="70" spans="1:31" x14ac:dyDescent="0.3">
      <c r="A70" s="845" t="s">
        <v>5196</v>
      </c>
      <c r="B70" s="846" t="s">
        <v>2710</v>
      </c>
      <c r="C70" s="2185">
        <f ca="1">VLOOKUP(EconIntermediate!C$29, INDIRECT("'"&amp;C$1&amp;"'!"&amp;"$A$300:$Z$2004"),EconIntermediate!$A55, FALSE)</f>
        <v>22.003886560796118</v>
      </c>
      <c r="D70" s="888">
        <f ca="1">VLOOKUP(EconIntermediate!D$29, INDIRECT("'"&amp;D$1&amp;"'!"&amp;"$A$300:$Z$2004"),EconIntermediate!$A55, FALSE)</f>
        <v>19.782318372229117</v>
      </c>
      <c r="E70" s="888">
        <f ca="1">VLOOKUP(EconIntermediate!E$29, INDIRECT("'"&amp;E$1&amp;"'!"&amp;"$A$300:$Z$2004"),EconIntermediate!$A55, FALSE)</f>
        <v>30.156235793134364</v>
      </c>
      <c r="F70" s="888">
        <f ca="1">VLOOKUP(EconIntermediate!F$29, INDIRECT("'"&amp;F$1&amp;"'!"&amp;"$A$300:$Z$2004"),EconIntermediate!$A55, FALSE)</f>
        <v>27.697383596829393</v>
      </c>
      <c r="G70" s="888">
        <f ca="1">VLOOKUP(EconIntermediate!G$29, INDIRECT("'"&amp;G$1&amp;"'!"&amp;"$A$300:$Z$2004"),EconIntermediate!$A55, FALSE)</f>
        <v>30.335242213921511</v>
      </c>
      <c r="H70" s="888">
        <f ca="1">VLOOKUP(EconIntermediate!H$29, INDIRECT("'"&amp;H$1&amp;"'!"&amp;"$A$300:$Z$2004"),EconIntermediate!$A55, FALSE)</f>
        <v>29.444950974763977</v>
      </c>
      <c r="I70" s="888">
        <f ca="1">VLOOKUP(EconIntermediate!I$29, INDIRECT("'"&amp;I$1&amp;"'!"&amp;"$A$300:$Z$2004"),EconIntermediate!$A55, FALSE)</f>
        <v>29.578918227578932</v>
      </c>
      <c r="J70" s="888">
        <f ca="1">VLOOKUP(EconIntermediate!J$29, INDIRECT("'"&amp;J$1&amp;"'!"&amp;"$A$300:$Z$2004"),EconIntermediate!$A55, FALSE)</f>
        <v>29.953980317025426</v>
      </c>
      <c r="K70" s="888">
        <f ca="1">VLOOKUP(EconIntermediate!K$29, INDIRECT("'"&amp;K$1&amp;"'!"&amp;"$A$300:$Z$2004"),EconIntermediate!$A55, FALSE)</f>
        <v>27.588935735217159</v>
      </c>
      <c r="L70" s="888">
        <f ca="1">VLOOKUP(EconIntermediate!L$29, INDIRECT("'"&amp;L$1&amp;"'!"&amp;"$A$300:$Z$2004"),EconIntermediate!$A55, FALSE)</f>
        <v>28.203134673069055</v>
      </c>
      <c r="M70" s="888">
        <f ca="1">VLOOKUP(EconIntermediate!M$29, INDIRECT("'"&amp;M$1&amp;"'!"&amp;"$A$300:$Z$2004"),EconIntermediate!$A55, FALSE)</f>
        <v>28.083433947404629</v>
      </c>
      <c r="N70" s="888">
        <f ca="1">VLOOKUP(EconIntermediate!N$29, INDIRECT("'"&amp;N$1&amp;"'!"&amp;"$A$300:$Z$2004"),EconIntermediate!$A55, FALSE)</f>
        <v>136.50694200360343</v>
      </c>
      <c r="O70" s="888">
        <f ca="1">VLOOKUP(EconIntermediate!O$29, INDIRECT("'"&amp;O$1&amp;"'!"&amp;"$A$300:$Z$2004"),EconIntermediate!$A55, FALSE)</f>
        <v>260.18083447969991</v>
      </c>
      <c r="P70" s="888">
        <f ca="1">VLOOKUP(EconIntermediate!P$29, INDIRECT("'"&amp;P$1&amp;"'!"&amp;"$A$300:$Z$2004"),EconIntermediate!$A55, FALSE)</f>
        <v>39.23374142191188</v>
      </c>
      <c r="Q70" s="882"/>
      <c r="R70" s="888">
        <f ca="1">VLOOKUP(EconIntermediate!R$29, INDIRECT("'"&amp;R$1&amp;"'!"&amp;"$A$300:$Z$2004"),EconIntermediate!$A55, FALSE)</f>
        <v>16.100315177561104</v>
      </c>
      <c r="S70" s="888">
        <f ca="1">VLOOKUP(EconIntermediate!S$29, INDIRECT("'"&amp;S$1&amp;"'!"&amp;"$A$300:$Z$2004"),EconIntermediate!$A55, FALSE)</f>
        <v>9.6547189954748998</v>
      </c>
      <c r="T70" s="888">
        <f ca="1">VLOOKUP(EconIntermediate!T$29, INDIRECT("'"&amp;T$1&amp;"'!"&amp;"$A$300:$Z$2004"),EconIntermediate!$A55, FALSE)</f>
        <v>9.817763243618403</v>
      </c>
      <c r="U70" s="888">
        <f ca="1">VLOOKUP(EconIntermediate!U$29, INDIRECT("'"&amp;U$1&amp;"'!"&amp;"$A$300:$Z$2004"),EconIntermediate!$A55, FALSE)</f>
        <v>7.9155137936195086</v>
      </c>
      <c r="V70" s="888">
        <f ca="1">VLOOKUP(EconIntermediate!V$29, INDIRECT("'"&amp;V$1&amp;"'!"&amp;"$A$300:$Z$2004"),EconIntermediate!$A55, FALSE)</f>
        <v>10.329263495158749</v>
      </c>
      <c r="W70" s="888">
        <f ca="1">VLOOKUP(EconIntermediate!W$29, INDIRECT("'"&amp;W$1&amp;"'!"&amp;"$A$300:$Z$2004"),EconIntermediate!$A55, FALSE)</f>
        <v>140.80318105284178</v>
      </c>
      <c r="X70" s="888">
        <f ca="1">VLOOKUP(EconIntermediate!X$29, INDIRECT("'"&amp;X$1&amp;"'!"&amp;"$A$300:$Z$2004"),EconIntermediate!$A55, FALSE)</f>
        <v>10.22051845076796</v>
      </c>
      <c r="Y70" s="888">
        <f ca="1">VLOOKUP(EconIntermediate!Y$29, INDIRECT("'"&amp;Y$1&amp;"'!"&amp;"$A$300:$Z$2004"),EconIntermediate!$A55, FALSE)</f>
        <v>9.7379590100001963</v>
      </c>
      <c r="Z70" s="888">
        <f ca="1">VLOOKUP(EconIntermediate!Z$29, INDIRECT("'"&amp;Z$1&amp;"'!"&amp;"$A$300:$Z$2004"),EconIntermediate!$A55, FALSE)</f>
        <v>8.890354011362362</v>
      </c>
      <c r="AA70" s="888">
        <f ca="1">VLOOKUP(EconIntermediate!AA$29, INDIRECT("'"&amp;AA$1&amp;"'!"&amp;"$A$300:$Z$2004"),EconIntermediate!$A55, FALSE)</f>
        <v>9.9999480862218775</v>
      </c>
      <c r="AB70" s="888">
        <f ca="1">VLOOKUP(EconIntermediate!AB$29, INDIRECT("'"&amp;AB$1&amp;"'!"&amp;"$A$300:$Z$2004"),EconIntermediate!$A55, FALSE)</f>
        <v>9.4700329746144636</v>
      </c>
      <c r="AC70" s="888">
        <f ca="1">VLOOKUP(EconIntermediate!AC$29, INDIRECT("'"&amp;AC$1&amp;"'!"&amp;"$A$300:$Z$2004"),EconIntermediate!$A55, FALSE)</f>
        <v>13.243633737886574</v>
      </c>
      <c r="AD70" s="888"/>
      <c r="AE70" s="888">
        <f ca="1">VLOOKUP(EconIntermediate!AE$29, INDIRECT("'"&amp;AE$1&amp;"'!"&amp;"$A$300:$Z$2004"),EconIntermediate!$A55, FALSE)</f>
        <v>20.161797755290635</v>
      </c>
    </row>
    <row r="71" spans="1:31" x14ac:dyDescent="0.3">
      <c r="A71" s="845" t="s">
        <v>5197</v>
      </c>
      <c r="B71" s="846" t="s">
        <v>5181</v>
      </c>
      <c r="C71" s="2186">
        <f ca="1">VLOOKUP(EconIntermediate!C$29, INDIRECT("'"&amp;C$1&amp;"'!"&amp;"$A$300:$Z$2004"),EconIntermediate!$A56, FALSE)</f>
        <v>520.61195602843623</v>
      </c>
      <c r="D71" s="889">
        <f ca="1">VLOOKUP(EconIntermediate!D$29, INDIRECT("'"&amp;D$1&amp;"'!"&amp;"$A$300:$Z$2004"),EconIntermediate!$A56, FALSE)</f>
        <v>468.04965268694093</v>
      </c>
      <c r="E71" s="889">
        <f ca="1">VLOOKUP(EconIntermediate!E$29, INDIRECT("'"&amp;E$1&amp;"'!"&amp;"$A$300:$Z$2004"),EconIntermediate!$A56, FALSE)</f>
        <v>713.49653886555916</v>
      </c>
      <c r="F71" s="889">
        <f ca="1">VLOOKUP(EconIntermediate!F$29, INDIRECT("'"&amp;F$1&amp;"'!"&amp;"$A$300:$Z$2004"),EconIntermediate!$A56, FALSE)</f>
        <v>655.32009590098335</v>
      </c>
      <c r="G71" s="889">
        <f ca="1">VLOOKUP(EconIntermediate!G$29, INDIRECT("'"&amp;G$1&amp;"'!"&amp;"$A$300:$Z$2004"),EconIntermediate!$A56, FALSE)</f>
        <v>717.731830781383</v>
      </c>
      <c r="H71" s="889">
        <f ca="1">VLOOKUP(EconIntermediate!H$29, INDIRECT("'"&amp;H$1&amp;"'!"&amp;"$A$300:$Z$2004"),EconIntermediate!$A56, FALSE)</f>
        <v>696.66754006291569</v>
      </c>
      <c r="I71" s="889">
        <f ca="1">VLOOKUP(EconIntermediate!I$29, INDIRECT("'"&amp;I$1&amp;"'!"&amp;"$A$300:$Z$2004"),EconIntermediate!$A56, FALSE)</f>
        <v>699.83720526451748</v>
      </c>
      <c r="J71" s="889">
        <f ca="1">VLOOKUP(EconIntermediate!J$29, INDIRECT("'"&amp;J$1&amp;"'!"&amp;"$A$300:$Z$2004"),EconIntermediate!$A56, FALSE)</f>
        <v>708.71117430082154</v>
      </c>
      <c r="K71" s="889">
        <f ca="1">VLOOKUP(EconIntermediate!K$29, INDIRECT("'"&amp;K$1&amp;"'!"&amp;"$A$300:$Z$2004"),EconIntermediate!$A56, FALSE)</f>
        <v>652.75421949523798</v>
      </c>
      <c r="L71" s="889">
        <f ca="1">VLOOKUP(EconIntermediate!L$29, INDIRECT("'"&amp;L$1&amp;"'!"&amp;"$A$300:$Z$2004"),EconIntermediate!$A56, FALSE)</f>
        <v>667.28616636481388</v>
      </c>
      <c r="M71" s="889">
        <f ca="1">VLOOKUP(EconIntermediate!M$29, INDIRECT("'"&amp;M$1&amp;"'!"&amp;"$A$300:$Z$2004"),EconIntermediate!$A56, FALSE)</f>
        <v>664.4540471955936</v>
      </c>
      <c r="N71" s="889">
        <f ca="1">VLOOKUP(EconIntermediate!N$29, INDIRECT("'"&amp;N$1&amp;"'!"&amp;"$A$300:$Z$2004"),EconIntermediate!$A56, FALSE)</f>
        <v>3229.7542478052574</v>
      </c>
      <c r="O71" s="889">
        <f ca="1">VLOOKUP(EconIntermediate!O$29, INDIRECT("'"&amp;O$1&amp;"'!"&amp;"$A$300:$Z$2004"),EconIntermediate!$A56, FALSE)</f>
        <v>6155.8785437896995</v>
      </c>
      <c r="P71" s="889">
        <f ca="1">VLOOKUP(EconIntermediate!P$29, INDIRECT("'"&amp;P$1&amp;"'!"&amp;"$A$300:$Z$2004"),EconIntermediate!$A56, FALSE)</f>
        <v>928.27032204243505</v>
      </c>
      <c r="Q71" s="882"/>
      <c r="R71" s="889">
        <f ca="1">VLOOKUP(EconIntermediate!R$29, INDIRECT("'"&amp;R$1&amp;"'!"&amp;"$A$300:$Z$2004"),EconIntermediate!$A56, FALSE)</f>
        <v>380.93345710109571</v>
      </c>
      <c r="S71" s="889">
        <f ca="1">VLOOKUP(EconIntermediate!S$29, INDIRECT("'"&amp;S$1&amp;"'!"&amp;"$A$300:$Z$2004"),EconIntermediate!$A56, FALSE)</f>
        <v>228.43065143293614</v>
      </c>
      <c r="T71" s="889">
        <f ca="1">VLOOKUP(EconIntermediate!T$29, INDIRECT("'"&amp;T$1&amp;"'!"&amp;"$A$300:$Z$2004"),EconIntermediate!$A56, FALSE)</f>
        <v>232.28827834401142</v>
      </c>
      <c r="U71" s="889">
        <f ca="1">VLOOKUP(EconIntermediate!U$29, INDIRECT("'"&amp;U$1&amp;"'!"&amp;"$A$300:$Z$2004"),EconIntermediate!$A56, FALSE)</f>
        <v>187.28105635703753</v>
      </c>
      <c r="V71" s="889">
        <f ca="1">VLOOKUP(EconIntermediate!V$29, INDIRECT("'"&amp;V$1&amp;"'!"&amp;"$A$300:$Z$2004"),EconIntermediate!$A56, FALSE)</f>
        <v>244.39037429545596</v>
      </c>
      <c r="W71" s="889">
        <f ca="1">VLOOKUP(EconIntermediate!W$29, INDIRECT("'"&amp;W$1&amp;"'!"&amp;"$A$300:$Z$2004"),EconIntermediate!$A56, FALSE)</f>
        <v>3331.4032637102364</v>
      </c>
      <c r="X71" s="889">
        <f ca="1">VLOOKUP(EconIntermediate!X$29, INDIRECT("'"&amp;X$1&amp;"'!"&amp;"$A$300:$Z$2004"),EconIntermediate!$A56, FALSE)</f>
        <v>241.81746654516996</v>
      </c>
      <c r="Y71" s="889">
        <f ca="1">VLOOKUP(EconIntermediate!Y$29, INDIRECT("'"&amp;Y$1&amp;"'!"&amp;"$A$300:$Z$2004"),EconIntermediate!$A56, FALSE)</f>
        <v>230.40011017660464</v>
      </c>
      <c r="Z71" s="889">
        <f ca="1">VLOOKUP(EconIntermediate!Z$29, INDIRECT("'"&amp;Z$1&amp;"'!"&amp;"$A$300:$Z$2004"),EconIntermediate!$A56, FALSE)</f>
        <v>210.34577590883347</v>
      </c>
      <c r="AA71" s="889">
        <f ca="1">VLOOKUP(EconIntermediate!AA$29, INDIRECT("'"&amp;AA$1&amp;"'!"&amp;"$A$300:$Z$2004"),EconIntermediate!$A56, FALSE)</f>
        <v>236.59877172000967</v>
      </c>
      <c r="AB71" s="889">
        <f ca="1">VLOOKUP(EconIntermediate!AB$29, INDIRECT("'"&amp;AB$1&amp;"'!"&amp;"$A$300:$Z$2004"),EconIntermediate!$A56, FALSE)</f>
        <v>224.06098017937822</v>
      </c>
      <c r="AC71" s="889">
        <f ca="1">VLOOKUP(EconIntermediate!AC$29, INDIRECT("'"&amp;AC$1&amp;"'!"&amp;"$A$300:$Z$2004"),EconIntermediate!$A56, FALSE)</f>
        <v>313.34437423839631</v>
      </c>
      <c r="AD71" s="889"/>
      <c r="AE71" s="889">
        <f ca="1">VLOOKUP(EconIntermediate!AE$29, INDIRECT("'"&amp;AE$1&amp;"'!"&amp;"$A$300:$Z$2004"),EconIntermediate!$A56, FALSE)</f>
        <v>477.02813489017637</v>
      </c>
    </row>
    <row r="72" spans="1:31" x14ac:dyDescent="0.3">
      <c r="A72" s="845" t="s">
        <v>5198</v>
      </c>
      <c r="B72" s="846" t="s">
        <v>2710</v>
      </c>
      <c r="C72" s="2185">
        <f ca="1">VLOOKUP(EconIntermediate!C$29, INDIRECT("'"&amp;C$1&amp;"'!"&amp;"$A$300:$Z$2004"),EconIntermediate!$A57, FALSE)</f>
        <v>0</v>
      </c>
      <c r="D72" s="888">
        <f ca="1">VLOOKUP(EconIntermediate!D$29, INDIRECT("'"&amp;D$1&amp;"'!"&amp;"$A$300:$Z$2004"),EconIntermediate!$A57, FALSE)</f>
        <v>0</v>
      </c>
      <c r="E72" s="888">
        <f ca="1">VLOOKUP(EconIntermediate!E$29, INDIRECT("'"&amp;E$1&amp;"'!"&amp;"$A$300:$Z$2004"),EconIntermediate!$A57, FALSE)</f>
        <v>0</v>
      </c>
      <c r="F72" s="888">
        <f ca="1">VLOOKUP(EconIntermediate!F$29, INDIRECT("'"&amp;F$1&amp;"'!"&amp;"$A$300:$Z$2004"),EconIntermediate!$A57, FALSE)</f>
        <v>0</v>
      </c>
      <c r="G72" s="888">
        <f ca="1">VLOOKUP(EconIntermediate!G$29, INDIRECT("'"&amp;G$1&amp;"'!"&amp;"$A$300:$Z$2004"),EconIntermediate!$A57, FALSE)</f>
        <v>0</v>
      </c>
      <c r="H72" s="888">
        <f ca="1">VLOOKUP(EconIntermediate!H$29, INDIRECT("'"&amp;H$1&amp;"'!"&amp;"$A$300:$Z$2004"),EconIntermediate!$A57, FALSE)</f>
        <v>0</v>
      </c>
      <c r="I72" s="888">
        <f ca="1">VLOOKUP(EconIntermediate!I$29, INDIRECT("'"&amp;I$1&amp;"'!"&amp;"$A$300:$Z$2004"),EconIntermediate!$A57, FALSE)</f>
        <v>0</v>
      </c>
      <c r="J72" s="888">
        <f ca="1">VLOOKUP(EconIntermediate!J$29, INDIRECT("'"&amp;J$1&amp;"'!"&amp;"$A$300:$Z$2004"),EconIntermediate!$A57, FALSE)</f>
        <v>0</v>
      </c>
      <c r="K72" s="888">
        <f ca="1">VLOOKUP(EconIntermediate!K$29, INDIRECT("'"&amp;K$1&amp;"'!"&amp;"$A$300:$Z$2004"),EconIntermediate!$A57, FALSE)</f>
        <v>0</v>
      </c>
      <c r="L72" s="888">
        <f ca="1">VLOOKUP(EconIntermediate!L$29, INDIRECT("'"&amp;L$1&amp;"'!"&amp;"$A$300:$Z$2004"),EconIntermediate!$A57, FALSE)</f>
        <v>0</v>
      </c>
      <c r="M72" s="888">
        <f ca="1">VLOOKUP(EconIntermediate!M$29, INDIRECT("'"&amp;M$1&amp;"'!"&amp;"$A$300:$Z$2004"),EconIntermediate!$A57, FALSE)</f>
        <v>0</v>
      </c>
      <c r="N72" s="888">
        <f ca="1">VLOOKUP(EconIntermediate!N$29, INDIRECT("'"&amp;N$1&amp;"'!"&amp;"$A$300:$Z$2004"),EconIntermediate!$A57, FALSE)</f>
        <v>0</v>
      </c>
      <c r="O72" s="888">
        <f ca="1">VLOOKUP(EconIntermediate!O$29, INDIRECT("'"&amp;O$1&amp;"'!"&amp;"$A$300:$Z$2004"),EconIntermediate!$A57, FALSE)</f>
        <v>0</v>
      </c>
      <c r="P72" s="888">
        <f ca="1">VLOOKUP(EconIntermediate!P$29, INDIRECT("'"&amp;P$1&amp;"'!"&amp;"$A$300:$Z$2004"),EconIntermediate!$A57, FALSE)</f>
        <v>0</v>
      </c>
      <c r="Q72" s="882"/>
      <c r="R72" s="888">
        <f ca="1">VLOOKUP(EconIntermediate!R$29, INDIRECT("'"&amp;R$1&amp;"'!"&amp;"$A$300:$Z$2004"),EconIntermediate!$A57, FALSE)</f>
        <v>0</v>
      </c>
      <c r="S72" s="888">
        <f ca="1">VLOOKUP(EconIntermediate!S$29, INDIRECT("'"&amp;S$1&amp;"'!"&amp;"$A$300:$Z$2004"),EconIntermediate!$A57, FALSE)</f>
        <v>0</v>
      </c>
      <c r="T72" s="888">
        <f ca="1">VLOOKUP(EconIntermediate!T$29, INDIRECT("'"&amp;T$1&amp;"'!"&amp;"$A$300:$Z$2004"),EconIntermediate!$A57, FALSE)</f>
        <v>0</v>
      </c>
      <c r="U72" s="888">
        <f ca="1">VLOOKUP(EconIntermediate!U$29, INDIRECT("'"&amp;U$1&amp;"'!"&amp;"$A$300:$Z$2004"),EconIntermediate!$A57, FALSE)</f>
        <v>0</v>
      </c>
      <c r="V72" s="888">
        <f ca="1">VLOOKUP(EconIntermediate!V$29, INDIRECT("'"&amp;V$1&amp;"'!"&amp;"$A$300:$Z$2004"),EconIntermediate!$A57, FALSE)</f>
        <v>0</v>
      </c>
      <c r="W72" s="888">
        <f ca="1">VLOOKUP(EconIntermediate!W$29, INDIRECT("'"&amp;W$1&amp;"'!"&amp;"$A$300:$Z$2004"),EconIntermediate!$A57, FALSE)</f>
        <v>0</v>
      </c>
      <c r="X72" s="888">
        <f ca="1">VLOOKUP(EconIntermediate!X$29, INDIRECT("'"&amp;X$1&amp;"'!"&amp;"$A$300:$Z$2004"),EconIntermediate!$A57, FALSE)</f>
        <v>0</v>
      </c>
      <c r="Y72" s="888">
        <f ca="1">VLOOKUP(EconIntermediate!Y$29, INDIRECT("'"&amp;Y$1&amp;"'!"&amp;"$A$300:$Z$2004"),EconIntermediate!$A57, FALSE)</f>
        <v>0</v>
      </c>
      <c r="Z72" s="888">
        <f ca="1">VLOOKUP(EconIntermediate!Z$29, INDIRECT("'"&amp;Z$1&amp;"'!"&amp;"$A$300:$Z$2004"),EconIntermediate!$A57, FALSE)</f>
        <v>0</v>
      </c>
      <c r="AA72" s="888">
        <f ca="1">VLOOKUP(EconIntermediate!AA$29, INDIRECT("'"&amp;AA$1&amp;"'!"&amp;"$A$300:$Z$2004"),EconIntermediate!$A57, FALSE)</f>
        <v>0</v>
      </c>
      <c r="AB72" s="888">
        <f ca="1">VLOOKUP(EconIntermediate!AB$29, INDIRECT("'"&amp;AB$1&amp;"'!"&amp;"$A$300:$Z$2004"),EconIntermediate!$A57, FALSE)</f>
        <v>0</v>
      </c>
      <c r="AC72" s="888">
        <f ca="1">VLOOKUP(EconIntermediate!AC$29, INDIRECT("'"&amp;AC$1&amp;"'!"&amp;"$A$300:$Z$2004"),EconIntermediate!$A57, FALSE)</f>
        <v>0</v>
      </c>
      <c r="AD72" s="888"/>
      <c r="AE72" s="888">
        <f ca="1">VLOOKUP(EconIntermediate!AE$29, INDIRECT("'"&amp;AE$1&amp;"'!"&amp;"$A$300:$Z$2004"),EconIntermediate!$A57, FALSE)</f>
        <v>0</v>
      </c>
    </row>
    <row r="73" spans="1:31" x14ac:dyDescent="0.3">
      <c r="A73" s="845" t="s">
        <v>5199</v>
      </c>
      <c r="B73" s="846" t="s">
        <v>5181</v>
      </c>
      <c r="C73" s="2186">
        <f ca="1">VLOOKUP(EconIntermediate!C$29, INDIRECT("'"&amp;C$1&amp;"'!"&amp;"$A$300:$Z$2004"),EconIntermediate!$A58, FALSE)</f>
        <v>0</v>
      </c>
      <c r="D73" s="889">
        <f ca="1">VLOOKUP(EconIntermediate!D$29, INDIRECT("'"&amp;D$1&amp;"'!"&amp;"$A$300:$Z$2004"),EconIntermediate!$A58, FALSE)</f>
        <v>0</v>
      </c>
      <c r="E73" s="889">
        <f ca="1">VLOOKUP(EconIntermediate!E$29, INDIRECT("'"&amp;E$1&amp;"'!"&amp;"$A$300:$Z$2004"),EconIntermediate!$A58, FALSE)</f>
        <v>0</v>
      </c>
      <c r="F73" s="889">
        <f ca="1">VLOOKUP(EconIntermediate!F$29, INDIRECT("'"&amp;F$1&amp;"'!"&amp;"$A$300:$Z$2004"),EconIntermediate!$A58, FALSE)</f>
        <v>0</v>
      </c>
      <c r="G73" s="889">
        <f ca="1">VLOOKUP(EconIntermediate!G$29, INDIRECT("'"&amp;G$1&amp;"'!"&amp;"$A$300:$Z$2004"),EconIntermediate!$A58, FALSE)</f>
        <v>0</v>
      </c>
      <c r="H73" s="889">
        <f ca="1">VLOOKUP(EconIntermediate!H$29, INDIRECT("'"&amp;H$1&amp;"'!"&amp;"$A$300:$Z$2004"),EconIntermediate!$A58, FALSE)</f>
        <v>0</v>
      </c>
      <c r="I73" s="889">
        <f ca="1">VLOOKUP(EconIntermediate!I$29, INDIRECT("'"&amp;I$1&amp;"'!"&amp;"$A$300:$Z$2004"),EconIntermediate!$A58, FALSE)</f>
        <v>0</v>
      </c>
      <c r="J73" s="889">
        <f ca="1">VLOOKUP(EconIntermediate!J$29, INDIRECT("'"&amp;J$1&amp;"'!"&amp;"$A$300:$Z$2004"),EconIntermediate!$A58, FALSE)</f>
        <v>0</v>
      </c>
      <c r="K73" s="889">
        <f ca="1">VLOOKUP(EconIntermediate!K$29, INDIRECT("'"&amp;K$1&amp;"'!"&amp;"$A$300:$Z$2004"),EconIntermediate!$A58, FALSE)</f>
        <v>0</v>
      </c>
      <c r="L73" s="889">
        <f ca="1">VLOOKUP(EconIntermediate!L$29, INDIRECT("'"&amp;L$1&amp;"'!"&amp;"$A$300:$Z$2004"),EconIntermediate!$A58, FALSE)</f>
        <v>0</v>
      </c>
      <c r="M73" s="889">
        <f ca="1">VLOOKUP(EconIntermediate!M$29, INDIRECT("'"&amp;M$1&amp;"'!"&amp;"$A$300:$Z$2004"),EconIntermediate!$A58, FALSE)</f>
        <v>0</v>
      </c>
      <c r="N73" s="889">
        <f ca="1">VLOOKUP(EconIntermediate!N$29, INDIRECT("'"&amp;N$1&amp;"'!"&amp;"$A$300:$Z$2004"),EconIntermediate!$A58, FALSE)</f>
        <v>0</v>
      </c>
      <c r="O73" s="889">
        <f ca="1">VLOOKUP(EconIntermediate!O$29, INDIRECT("'"&amp;O$1&amp;"'!"&amp;"$A$300:$Z$2004"),EconIntermediate!$A58, FALSE)</f>
        <v>0</v>
      </c>
      <c r="P73" s="889">
        <f ca="1">VLOOKUP(EconIntermediate!P$29, INDIRECT("'"&amp;P$1&amp;"'!"&amp;"$A$300:$Z$2004"),EconIntermediate!$A58, FALSE)</f>
        <v>0</v>
      </c>
      <c r="Q73" s="882"/>
      <c r="R73" s="889">
        <f ca="1">VLOOKUP(EconIntermediate!R$29, INDIRECT("'"&amp;R$1&amp;"'!"&amp;"$A$300:$Z$2004"),EconIntermediate!$A58, FALSE)</f>
        <v>0</v>
      </c>
      <c r="S73" s="889">
        <f ca="1">VLOOKUP(EconIntermediate!S$29, INDIRECT("'"&amp;S$1&amp;"'!"&amp;"$A$300:$Z$2004"),EconIntermediate!$A58, FALSE)</f>
        <v>0</v>
      </c>
      <c r="T73" s="889">
        <f ca="1">VLOOKUP(EconIntermediate!T$29, INDIRECT("'"&amp;T$1&amp;"'!"&amp;"$A$300:$Z$2004"),EconIntermediate!$A58, FALSE)</f>
        <v>0</v>
      </c>
      <c r="U73" s="889">
        <f ca="1">VLOOKUP(EconIntermediate!U$29, INDIRECT("'"&amp;U$1&amp;"'!"&amp;"$A$300:$Z$2004"),EconIntermediate!$A58, FALSE)</f>
        <v>0</v>
      </c>
      <c r="V73" s="889">
        <f ca="1">VLOOKUP(EconIntermediate!V$29, INDIRECT("'"&amp;V$1&amp;"'!"&amp;"$A$300:$Z$2004"),EconIntermediate!$A58, FALSE)</f>
        <v>0</v>
      </c>
      <c r="W73" s="889">
        <f ca="1">VLOOKUP(EconIntermediate!W$29, INDIRECT("'"&amp;W$1&amp;"'!"&amp;"$A$300:$Z$2004"),EconIntermediate!$A58, FALSE)</f>
        <v>0</v>
      </c>
      <c r="X73" s="889">
        <f ca="1">VLOOKUP(EconIntermediate!X$29, INDIRECT("'"&amp;X$1&amp;"'!"&amp;"$A$300:$Z$2004"),EconIntermediate!$A58, FALSE)</f>
        <v>0</v>
      </c>
      <c r="Y73" s="889">
        <f ca="1">VLOOKUP(EconIntermediate!Y$29, INDIRECT("'"&amp;Y$1&amp;"'!"&amp;"$A$300:$Z$2004"),EconIntermediate!$A58, FALSE)</f>
        <v>0</v>
      </c>
      <c r="Z73" s="889">
        <f ca="1">VLOOKUP(EconIntermediate!Z$29, INDIRECT("'"&amp;Z$1&amp;"'!"&amp;"$A$300:$Z$2004"),EconIntermediate!$A58, FALSE)</f>
        <v>0</v>
      </c>
      <c r="AA73" s="889">
        <f ca="1">VLOOKUP(EconIntermediate!AA$29, INDIRECT("'"&amp;AA$1&amp;"'!"&amp;"$A$300:$Z$2004"),EconIntermediate!$A58, FALSE)</f>
        <v>0</v>
      </c>
      <c r="AB73" s="889">
        <f ca="1">VLOOKUP(EconIntermediate!AB$29, INDIRECT("'"&amp;AB$1&amp;"'!"&amp;"$A$300:$Z$2004"),EconIntermediate!$A58, FALSE)</f>
        <v>0</v>
      </c>
      <c r="AC73" s="889">
        <f ca="1">VLOOKUP(EconIntermediate!AC$29, INDIRECT("'"&amp;AC$1&amp;"'!"&amp;"$A$300:$Z$2004"),EconIntermediate!$A58, FALSE)</f>
        <v>0</v>
      </c>
      <c r="AD73" s="889"/>
      <c r="AE73" s="889">
        <f ca="1">VLOOKUP(EconIntermediate!AE$29, INDIRECT("'"&amp;AE$1&amp;"'!"&amp;"$A$300:$Z$2004"),EconIntermediate!$A58, FALSE)</f>
        <v>0</v>
      </c>
    </row>
    <row r="74" spans="1:31" x14ac:dyDescent="0.3">
      <c r="A74" s="845" t="s">
        <v>5200</v>
      </c>
      <c r="B74" s="846" t="s">
        <v>2710</v>
      </c>
      <c r="C74" s="2185">
        <f ca="1">VLOOKUP(EconIntermediate!C$29, INDIRECT("'"&amp;C$1&amp;"'!"&amp;"$A$300:$Z$2004"),EconIntermediate!$A60, FALSE)</f>
        <v>22.003886560796118</v>
      </c>
      <c r="D74" s="888">
        <f ca="1">VLOOKUP(EconIntermediate!D$29, INDIRECT("'"&amp;D$1&amp;"'!"&amp;"$A$300:$Z$2004"),EconIntermediate!$A60, FALSE)</f>
        <v>19.782318372229117</v>
      </c>
      <c r="E74" s="888">
        <f ca="1">VLOOKUP(EconIntermediate!E$29, INDIRECT("'"&amp;E$1&amp;"'!"&amp;"$A$300:$Z$2004"),EconIntermediate!$A60, FALSE)</f>
        <v>30.156235793134364</v>
      </c>
      <c r="F74" s="888">
        <f ca="1">VLOOKUP(EconIntermediate!F$29, INDIRECT("'"&amp;F$1&amp;"'!"&amp;"$A$300:$Z$2004"),EconIntermediate!$A60, FALSE)</f>
        <v>27.697383596829393</v>
      </c>
      <c r="G74" s="888">
        <f ca="1">VLOOKUP(EconIntermediate!G$29, INDIRECT("'"&amp;G$1&amp;"'!"&amp;"$A$300:$Z$2004"),EconIntermediate!$A60, FALSE)</f>
        <v>30.335242213921511</v>
      </c>
      <c r="H74" s="888">
        <f ca="1">VLOOKUP(EconIntermediate!H$29, INDIRECT("'"&amp;H$1&amp;"'!"&amp;"$A$300:$Z$2004"),EconIntermediate!$A60, FALSE)</f>
        <v>29.444950974763977</v>
      </c>
      <c r="I74" s="888">
        <f ca="1">VLOOKUP(EconIntermediate!I$29, INDIRECT("'"&amp;I$1&amp;"'!"&amp;"$A$300:$Z$2004"),EconIntermediate!$A60, FALSE)</f>
        <v>29.578918227578932</v>
      </c>
      <c r="J74" s="888">
        <f ca="1">VLOOKUP(EconIntermediate!J$29, INDIRECT("'"&amp;J$1&amp;"'!"&amp;"$A$300:$Z$2004"),EconIntermediate!$A60, FALSE)</f>
        <v>29.953980317025426</v>
      </c>
      <c r="K74" s="888">
        <f ca="1">VLOOKUP(EconIntermediate!K$29, INDIRECT("'"&amp;K$1&amp;"'!"&amp;"$A$300:$Z$2004"),EconIntermediate!$A60, FALSE)</f>
        <v>27.588935735217159</v>
      </c>
      <c r="L74" s="888">
        <f ca="1">VLOOKUP(EconIntermediate!L$29, INDIRECT("'"&amp;L$1&amp;"'!"&amp;"$A$300:$Z$2004"),EconIntermediate!$A60, FALSE)</f>
        <v>28.203134673069055</v>
      </c>
      <c r="M74" s="888">
        <f ca="1">VLOOKUP(EconIntermediate!M$29, INDIRECT("'"&amp;M$1&amp;"'!"&amp;"$A$300:$Z$2004"),EconIntermediate!$A60, FALSE)</f>
        <v>28.083433947404629</v>
      </c>
      <c r="N74" s="888">
        <f ca="1">VLOOKUP(EconIntermediate!N$29, INDIRECT("'"&amp;N$1&amp;"'!"&amp;"$A$300:$Z$2004"),EconIntermediate!$A60, FALSE)</f>
        <v>136.50694200360343</v>
      </c>
      <c r="O74" s="888">
        <f ca="1">VLOOKUP(EconIntermediate!O$29, INDIRECT("'"&amp;O$1&amp;"'!"&amp;"$A$300:$Z$2004"),EconIntermediate!$A60, FALSE)</f>
        <v>260.18083447969991</v>
      </c>
      <c r="P74" s="888">
        <f ca="1">VLOOKUP(EconIntermediate!P$29, INDIRECT("'"&amp;P$1&amp;"'!"&amp;"$A$300:$Z$2004"),EconIntermediate!$A60, FALSE)</f>
        <v>39.23374142191188</v>
      </c>
      <c r="Q74" s="882"/>
      <c r="R74" s="888">
        <f ca="1">VLOOKUP(EconIntermediate!R$29, INDIRECT("'"&amp;R$1&amp;"'!"&amp;"$A$300:$Z$2004"),EconIntermediate!$A60, FALSE)</f>
        <v>16.100315177561104</v>
      </c>
      <c r="S74" s="888">
        <f ca="1">VLOOKUP(EconIntermediate!S$29, INDIRECT("'"&amp;S$1&amp;"'!"&amp;"$A$300:$Z$2004"),EconIntermediate!$A60, FALSE)</f>
        <v>9.6547189954748998</v>
      </c>
      <c r="T74" s="888">
        <f ca="1">VLOOKUP(EconIntermediate!T$29, INDIRECT("'"&amp;T$1&amp;"'!"&amp;"$A$300:$Z$2004"),EconIntermediate!$A60, FALSE)</f>
        <v>9.817763243618403</v>
      </c>
      <c r="U74" s="888">
        <f ca="1">VLOOKUP(EconIntermediate!U$29, INDIRECT("'"&amp;U$1&amp;"'!"&amp;"$A$300:$Z$2004"),EconIntermediate!$A60, FALSE)</f>
        <v>7.9155137936195086</v>
      </c>
      <c r="V74" s="888">
        <f ca="1">VLOOKUP(EconIntermediate!V$29, INDIRECT("'"&amp;V$1&amp;"'!"&amp;"$A$300:$Z$2004"),EconIntermediate!$A60, FALSE)</f>
        <v>10.329263495158749</v>
      </c>
      <c r="W74" s="888">
        <f ca="1">VLOOKUP(EconIntermediate!W$29, INDIRECT("'"&amp;W$1&amp;"'!"&amp;"$A$300:$Z$2004"),EconIntermediate!$A60, FALSE)</f>
        <v>140.80318105284178</v>
      </c>
      <c r="X74" s="888">
        <f ca="1">VLOOKUP(EconIntermediate!X$29, INDIRECT("'"&amp;X$1&amp;"'!"&amp;"$A$300:$Z$2004"),EconIntermediate!$A60, FALSE)</f>
        <v>10.22051845076796</v>
      </c>
      <c r="Y74" s="888">
        <f ca="1">VLOOKUP(EconIntermediate!Y$29, INDIRECT("'"&amp;Y$1&amp;"'!"&amp;"$A$300:$Z$2004"),EconIntermediate!$A60, FALSE)</f>
        <v>9.7379590100001963</v>
      </c>
      <c r="Z74" s="888">
        <f ca="1">VLOOKUP(EconIntermediate!Z$29, INDIRECT("'"&amp;Z$1&amp;"'!"&amp;"$A$300:$Z$2004"),EconIntermediate!$A60, FALSE)</f>
        <v>8.890354011362362</v>
      </c>
      <c r="AA74" s="888">
        <f ca="1">VLOOKUP(EconIntermediate!AA$29, INDIRECT("'"&amp;AA$1&amp;"'!"&amp;"$A$300:$Z$2004"),EconIntermediate!$A60, FALSE)</f>
        <v>9.9999480862218775</v>
      </c>
      <c r="AB74" s="888">
        <f ca="1">VLOOKUP(EconIntermediate!AB$29, INDIRECT("'"&amp;AB$1&amp;"'!"&amp;"$A$300:$Z$2004"),EconIntermediate!$A60, FALSE)</f>
        <v>9.4700329746144636</v>
      </c>
      <c r="AC74" s="888">
        <f ca="1">VLOOKUP(EconIntermediate!AC$29, INDIRECT("'"&amp;AC$1&amp;"'!"&amp;"$A$300:$Z$2004"),EconIntermediate!$A60, FALSE)</f>
        <v>13.243633737886574</v>
      </c>
      <c r="AD74" s="888"/>
      <c r="AE74" s="888">
        <f ca="1">VLOOKUP(EconIntermediate!AE$29, INDIRECT("'"&amp;AE$1&amp;"'!"&amp;"$A$300:$Z$2004"),EconIntermediate!$A60, FALSE)</f>
        <v>20.161797755290635</v>
      </c>
    </row>
    <row r="75" spans="1:31" x14ac:dyDescent="0.3">
      <c r="A75" s="845" t="s">
        <v>5201</v>
      </c>
      <c r="B75" s="846" t="s">
        <v>5181</v>
      </c>
      <c r="C75" s="2187">
        <f ca="1">VLOOKUP(EconIntermediate!C$29, INDIRECT("'"&amp;C$1&amp;"'!"&amp;"$A$300:$Z$2004"),EconIntermediate!$A61, FALSE)</f>
        <v>520.61195602843623</v>
      </c>
      <c r="D75" s="890">
        <f ca="1">VLOOKUP(EconIntermediate!D$29, INDIRECT("'"&amp;D$1&amp;"'!"&amp;"$A$300:$Z$2004"),EconIntermediate!$A61, FALSE)</f>
        <v>468.04965268694093</v>
      </c>
      <c r="E75" s="890">
        <f ca="1">VLOOKUP(EconIntermediate!E$29, INDIRECT("'"&amp;E$1&amp;"'!"&amp;"$A$300:$Z$2004"),EconIntermediate!$A61, FALSE)</f>
        <v>713.49653886555916</v>
      </c>
      <c r="F75" s="890">
        <f ca="1">VLOOKUP(EconIntermediate!F$29, INDIRECT("'"&amp;F$1&amp;"'!"&amp;"$A$300:$Z$2004"),EconIntermediate!$A61, FALSE)</f>
        <v>655.32009590098335</v>
      </c>
      <c r="G75" s="890">
        <f ca="1">VLOOKUP(EconIntermediate!G$29, INDIRECT("'"&amp;G$1&amp;"'!"&amp;"$A$300:$Z$2004"),EconIntermediate!$A61, FALSE)</f>
        <v>717.731830781383</v>
      </c>
      <c r="H75" s="890">
        <f ca="1">VLOOKUP(EconIntermediate!H$29, INDIRECT("'"&amp;H$1&amp;"'!"&amp;"$A$300:$Z$2004"),EconIntermediate!$A61, FALSE)</f>
        <v>696.66754006291569</v>
      </c>
      <c r="I75" s="890">
        <f ca="1">VLOOKUP(EconIntermediate!I$29, INDIRECT("'"&amp;I$1&amp;"'!"&amp;"$A$300:$Z$2004"),EconIntermediate!$A61, FALSE)</f>
        <v>699.83720526451748</v>
      </c>
      <c r="J75" s="890">
        <f ca="1">VLOOKUP(EconIntermediate!J$29, INDIRECT("'"&amp;J$1&amp;"'!"&amp;"$A$300:$Z$2004"),EconIntermediate!$A61, FALSE)</f>
        <v>708.71117430082154</v>
      </c>
      <c r="K75" s="890">
        <f ca="1">VLOOKUP(EconIntermediate!K$29, INDIRECT("'"&amp;K$1&amp;"'!"&amp;"$A$300:$Z$2004"),EconIntermediate!$A61, FALSE)</f>
        <v>652.75421949523798</v>
      </c>
      <c r="L75" s="890">
        <f ca="1">VLOOKUP(EconIntermediate!L$29, INDIRECT("'"&amp;L$1&amp;"'!"&amp;"$A$300:$Z$2004"),EconIntermediate!$A61, FALSE)</f>
        <v>667.28616636481388</v>
      </c>
      <c r="M75" s="890">
        <f ca="1">VLOOKUP(EconIntermediate!M$29, INDIRECT("'"&amp;M$1&amp;"'!"&amp;"$A$300:$Z$2004"),EconIntermediate!$A61, FALSE)</f>
        <v>664.4540471955936</v>
      </c>
      <c r="N75" s="890">
        <f ca="1">VLOOKUP(EconIntermediate!N$29, INDIRECT("'"&amp;N$1&amp;"'!"&amp;"$A$300:$Z$2004"),EconIntermediate!$A61, FALSE)</f>
        <v>3229.7542478052574</v>
      </c>
      <c r="O75" s="890">
        <f ca="1">VLOOKUP(EconIntermediate!O$29, INDIRECT("'"&amp;O$1&amp;"'!"&amp;"$A$300:$Z$2004"),EconIntermediate!$A61, FALSE)</f>
        <v>6155.8785437896995</v>
      </c>
      <c r="P75" s="890">
        <f ca="1">VLOOKUP(EconIntermediate!P$29, INDIRECT("'"&amp;P$1&amp;"'!"&amp;"$A$300:$Z$2004"),EconIntermediate!$A61, FALSE)</f>
        <v>928.27032204243505</v>
      </c>
      <c r="Q75" s="882"/>
      <c r="R75" s="890">
        <f ca="1">VLOOKUP(EconIntermediate!R$29, INDIRECT("'"&amp;R$1&amp;"'!"&amp;"$A$300:$Z$2004"),EconIntermediate!$A61, FALSE)</f>
        <v>380.93345710109571</v>
      </c>
      <c r="S75" s="890">
        <f ca="1">VLOOKUP(EconIntermediate!S$29, INDIRECT("'"&amp;S$1&amp;"'!"&amp;"$A$300:$Z$2004"),EconIntermediate!$A61, FALSE)</f>
        <v>228.43065143293614</v>
      </c>
      <c r="T75" s="890">
        <f ca="1">VLOOKUP(EconIntermediate!T$29, INDIRECT("'"&amp;T$1&amp;"'!"&amp;"$A$300:$Z$2004"),EconIntermediate!$A61, FALSE)</f>
        <v>232.28827834401142</v>
      </c>
      <c r="U75" s="890">
        <f ca="1">VLOOKUP(EconIntermediate!U$29, INDIRECT("'"&amp;U$1&amp;"'!"&amp;"$A$300:$Z$2004"),EconIntermediate!$A61, FALSE)</f>
        <v>187.28105635703753</v>
      </c>
      <c r="V75" s="890">
        <f ca="1">VLOOKUP(EconIntermediate!V$29, INDIRECT("'"&amp;V$1&amp;"'!"&amp;"$A$300:$Z$2004"),EconIntermediate!$A61, FALSE)</f>
        <v>244.39037429545596</v>
      </c>
      <c r="W75" s="890">
        <f ca="1">VLOOKUP(EconIntermediate!W$29, INDIRECT("'"&amp;W$1&amp;"'!"&amp;"$A$300:$Z$2004"),EconIntermediate!$A61, FALSE)</f>
        <v>3331.4032637102364</v>
      </c>
      <c r="X75" s="890">
        <f ca="1">VLOOKUP(EconIntermediate!X$29, INDIRECT("'"&amp;X$1&amp;"'!"&amp;"$A$300:$Z$2004"),EconIntermediate!$A61, FALSE)</f>
        <v>241.81746654516996</v>
      </c>
      <c r="Y75" s="890">
        <f ca="1">VLOOKUP(EconIntermediate!Y$29, INDIRECT("'"&amp;Y$1&amp;"'!"&amp;"$A$300:$Z$2004"),EconIntermediate!$A61, FALSE)</f>
        <v>230.40011017660464</v>
      </c>
      <c r="Z75" s="890">
        <f ca="1">VLOOKUP(EconIntermediate!Z$29, INDIRECT("'"&amp;Z$1&amp;"'!"&amp;"$A$300:$Z$2004"),EconIntermediate!$A61, FALSE)</f>
        <v>210.34577590883347</v>
      </c>
      <c r="AA75" s="890">
        <f ca="1">VLOOKUP(EconIntermediate!AA$29, INDIRECT("'"&amp;AA$1&amp;"'!"&amp;"$A$300:$Z$2004"),EconIntermediate!$A61, FALSE)</f>
        <v>236.59877172000967</v>
      </c>
      <c r="AB75" s="890">
        <f ca="1">VLOOKUP(EconIntermediate!AB$29, INDIRECT("'"&amp;AB$1&amp;"'!"&amp;"$A$300:$Z$2004"),EconIntermediate!$A61, FALSE)</f>
        <v>224.06098017937822</v>
      </c>
      <c r="AC75" s="890">
        <f ca="1">VLOOKUP(EconIntermediate!AC$29, INDIRECT("'"&amp;AC$1&amp;"'!"&amp;"$A$300:$Z$2004"),EconIntermediate!$A61, FALSE)</f>
        <v>313.34437423839631</v>
      </c>
      <c r="AD75" s="890"/>
      <c r="AE75" s="890">
        <f ca="1">VLOOKUP(EconIntermediate!AE$29, INDIRECT("'"&amp;AE$1&amp;"'!"&amp;"$A$300:$Z$2004"),EconIntermediate!$A61, FALSE)</f>
        <v>477.02813489017637</v>
      </c>
    </row>
    <row r="76" spans="1:31" s="1214" customFormat="1" x14ac:dyDescent="0.3">
      <c r="A76" s="1211" t="s">
        <v>5443</v>
      </c>
      <c r="B76" s="1212" t="s">
        <v>2710</v>
      </c>
      <c r="C76" s="1213">
        <f t="shared" ref="C76:L76" ca="1" si="27">VLOOKUP(_xlfn.CONCAT("Tanker"," ",$A$76), INDIRECT("'"&amp;C$1&amp;"'!"&amp;"$G$300:$J$2004"),4, FALSE)</f>
        <v>22.003886560796118</v>
      </c>
      <c r="D76" s="1213">
        <f t="shared" ca="1" si="27"/>
        <v>19.782318372229117</v>
      </c>
      <c r="E76" s="1213">
        <f t="shared" ca="1" si="27"/>
        <v>12.703423907090624</v>
      </c>
      <c r="F76" s="1213">
        <f t="shared" ca="1" si="27"/>
        <v>10.871040768006885</v>
      </c>
      <c r="G76" s="1213">
        <f t="shared" ca="1" si="27"/>
        <v>13.221318238154655</v>
      </c>
      <c r="H76" s="1213">
        <f t="shared" ca="1" si="27"/>
        <v>12.062066770275784</v>
      </c>
      <c r="I76" s="1213">
        <f t="shared" ca="1" si="27"/>
        <v>13.080125454798685</v>
      </c>
      <c r="J76" s="1213">
        <f t="shared" ca="1" si="27"/>
        <v>12.571096112537234</v>
      </c>
      <c r="K76" s="1213">
        <f t="shared" ca="1" si="27"/>
        <v>11.840704244956441</v>
      </c>
      <c r="L76" s="1213">
        <f t="shared" ca="1" si="27"/>
        <v>12.829700669331343</v>
      </c>
      <c r="M76" s="2236">
        <f ca="1">VLOOKUP(_xlfn.CONCAT("Tanker"," ",$A$76), INDIRECT("'"&amp;M$1&amp;"'!"&amp;"$G$300:$J$2004"),4, FALSE)</f>
        <v>12.335202457143902</v>
      </c>
      <c r="N76" s="2236">
        <f ca="1">VLOOKUP(_xlfn.CONCAT("Tanker"," ",$A$76), INDIRECT("'"&amp;N$1&amp;"'!"&amp;"$G$300:$J$2004"),4, FALSE)</f>
        <v>64.533232318953097</v>
      </c>
      <c r="O76" s="1213">
        <f ca="1">VLOOKUP(_xlfn.CONCAT("Box spreader"," ",$A$76), INDIRECT("'"&amp;O$1&amp;"'!"&amp;"$G$300:$J$2004"),4, FALSE)</f>
        <v>77.840382002042702</v>
      </c>
      <c r="P76" s="1213">
        <f ca="1">VLOOKUP(_xlfn.CONCAT("Tanker"," ",$A$76), INDIRECT("'"&amp;P$1&amp;"'!"&amp;"$G$300:$J$2004"),4, FALSE)</f>
        <v>19.556756482893597</v>
      </c>
      <c r="Q76" s="1225"/>
      <c r="R76" s="1213">
        <f t="shared" ref="R76:AC76" ca="1" si="28">VLOOKUP(_xlfn.CONCAT("Drag hose"," ",$A$76), INDIRECT("'"&amp;R$1&amp;"'!"&amp;"$G$300:$J$2004"),4, FALSE)</f>
        <v>16.100315177561104</v>
      </c>
      <c r="S76" s="1213">
        <f t="shared" ca="1" si="28"/>
        <v>9.6547189954749015</v>
      </c>
      <c r="T76" s="1213">
        <f t="shared" ca="1" si="28"/>
        <v>8.5996107320613717</v>
      </c>
      <c r="U76" s="1213">
        <f t="shared" ca="1" si="28"/>
        <v>6.7672275929776342</v>
      </c>
      <c r="V76" s="1213">
        <f t="shared" ca="1" si="28"/>
        <v>9.1441727187415758</v>
      </c>
      <c r="W76" s="1213">
        <f t="shared" ca="1" si="28"/>
        <v>139.58373583222269</v>
      </c>
      <c r="X76" s="1213">
        <f t="shared" ca="1" si="28"/>
        <v>9.0275431316425845</v>
      </c>
      <c r="Y76" s="1213">
        <f t="shared" ca="1" si="28"/>
        <v>8.5185137893811333</v>
      </c>
      <c r="Z76" s="1213">
        <f t="shared" ca="1" si="28"/>
        <v>7.802973615840564</v>
      </c>
      <c r="AA76" s="1213">
        <f t="shared" ca="1" si="28"/>
        <v>8.7919700402154657</v>
      </c>
      <c r="AB76" s="1213">
        <f t="shared" ca="1" si="28"/>
        <v>8.2974718280280175</v>
      </c>
      <c r="AC76" s="1213">
        <f t="shared" ca="1" si="28"/>
        <v>15.005536230731796</v>
      </c>
      <c r="AD76"/>
      <c r="AE76" s="1213">
        <f ca="1">VLOOKUP(_xlfn.CONCAT("Drag hose"," ",$A$76), INDIRECT("'"&amp;AE$1&amp;"'!"&amp;"$G$300:$J$2004"),4, FALSE)</f>
        <v>13.321748409398694</v>
      </c>
    </row>
    <row r="77" spans="1:31" s="1214" customFormat="1" x14ac:dyDescent="0.3">
      <c r="A77" s="1211" t="s">
        <v>5444</v>
      </c>
      <c r="B77" s="1211" t="s">
        <v>2710</v>
      </c>
      <c r="C77" s="1223">
        <f t="shared" ref="C77:N77" ca="1" si="29">VLOOKUP(_xlfn.CONCAT("Tanker"," ",$A$77), INDIRECT("'"&amp;C$1&amp;"'!"&amp;"$G$300:$J$2004"),4, FALSE)</f>
        <v>0</v>
      </c>
      <c r="D77" s="1223">
        <f t="shared" ca="1" si="29"/>
        <v>0</v>
      </c>
      <c r="E77" s="1223">
        <f t="shared" ca="1" si="29"/>
        <v>56.120652859520995</v>
      </c>
      <c r="F77" s="1223">
        <f t="shared" ca="1" si="29"/>
        <v>53.159039873624167</v>
      </c>
      <c r="G77" s="1223">
        <f t="shared" ca="1" si="29"/>
        <v>54.690040279196538</v>
      </c>
      <c r="H77" s="1223">
        <f t="shared" ca="1" si="29"/>
        <v>56.119479479330572</v>
      </c>
      <c r="I77" s="1223">
        <f t="shared" ca="1" si="29"/>
        <v>51.939964729663217</v>
      </c>
      <c r="J77" s="1223">
        <f t="shared" ca="1" si="29"/>
        <v>56.119479479330572</v>
      </c>
      <c r="K77" s="1223">
        <f t="shared" ca="1" si="29"/>
        <v>48.487204023936926</v>
      </c>
      <c r="L77" s="1223">
        <f t="shared" ca="1" si="29"/>
        <v>46.715360561960431</v>
      </c>
      <c r="M77" s="1223">
        <f t="shared" ca="1" si="29"/>
        <v>48.487204023936926</v>
      </c>
      <c r="N77" s="1223">
        <f t="shared" ca="1" si="29"/>
        <v>0</v>
      </c>
      <c r="O77" s="1223">
        <f ca="1">VLOOKUP(_xlfn.CONCAT("Box spreader"," ",$A$77), INDIRECT("'"&amp;O$1&amp;"'!"&amp;"$G$300:$J$2004"),4, FALSE)</f>
        <v>0</v>
      </c>
      <c r="P77" s="1223">
        <f ca="1">VLOOKUP(_xlfn.CONCAT("Tanker"," ",$A$77), INDIRECT("'"&amp;P$1&amp;"'!"&amp;"$G$300:$J$2004"),4, FALSE)</f>
        <v>25.568968352308261</v>
      </c>
      <c r="Q77" s="1226"/>
      <c r="R77" s="1223">
        <f t="shared" ref="R77:AC77" ca="1" si="30">VLOOKUP(_xlfn.CONCAT("Drag hose"," ",$A$77), INDIRECT("'"&amp;R$1&amp;"'!"&amp;"$G$300:$J$2004"),4, FALSE)</f>
        <v>0</v>
      </c>
      <c r="S77" s="1223">
        <f t="shared" ca="1" si="30"/>
        <v>0</v>
      </c>
      <c r="T77" s="1223">
        <f t="shared" ca="1" si="30"/>
        <v>15.000529154921747</v>
      </c>
      <c r="U77" s="1223">
        <f t="shared" ca="1" si="30"/>
        <v>14.208917516836475</v>
      </c>
      <c r="V77" s="1223">
        <f t="shared" ca="1" si="30"/>
        <v>14.618139702427801</v>
      </c>
      <c r="W77" s="1223">
        <f t="shared" ca="1" si="30"/>
        <v>15.000215521297413</v>
      </c>
      <c r="X77" s="1223">
        <f t="shared" ca="1" si="30"/>
        <v>14.700301559805752</v>
      </c>
      <c r="Y77" s="1223">
        <f t="shared" ca="1" si="30"/>
        <v>15.000215521297413</v>
      </c>
      <c r="Z77" s="1223">
        <f t="shared" ca="1" si="30"/>
        <v>13.499534257177297</v>
      </c>
      <c r="AA77" s="1223">
        <f t="shared" ca="1" si="30"/>
        <v>14.865951095262416</v>
      </c>
      <c r="AB77" s="1223">
        <f t="shared" ca="1" si="30"/>
        <v>14.464664274783427</v>
      </c>
      <c r="AC77" s="1223">
        <f t="shared" ca="1" si="30"/>
        <v>0</v>
      </c>
      <c r="AD77"/>
      <c r="AE77" s="1223">
        <f ca="1">VLOOKUP(_xlfn.CONCAT("Drag hose"," ",$A$77), INDIRECT("'"&amp;AE$1&amp;"'!"&amp;"$G$300:$J$2004"),4, FALSE)</f>
        <v>13.739664966327034</v>
      </c>
    </row>
    <row r="78" spans="1:31" s="1214" customFormat="1" x14ac:dyDescent="0.3">
      <c r="A78" s="1211" t="s">
        <v>5445</v>
      </c>
      <c r="B78" s="1211" t="s">
        <v>2710</v>
      </c>
      <c r="C78" s="1223">
        <f t="shared" ref="C78:N78" ca="1" si="31">VLOOKUP(_xlfn.CONCAT("Tanker"," ",$A$78), INDIRECT("'"&amp;C$1&amp;"'!"&amp;"$G$300:$J$2004"),4, FALSE)</f>
        <v>22.003886560796118</v>
      </c>
      <c r="D78" s="1223">
        <f t="shared" ca="1" si="31"/>
        <v>19.782318372229117</v>
      </c>
      <c r="E78" s="1223">
        <f t="shared" ca="1" si="31"/>
        <v>68.824076766611626</v>
      </c>
      <c r="F78" s="1223">
        <f t="shared" ca="1" si="31"/>
        <v>64.030080641631059</v>
      </c>
      <c r="G78" s="1223">
        <f t="shared" ca="1" si="31"/>
        <v>67.911358517351189</v>
      </c>
      <c r="H78" s="1223">
        <f t="shared" ca="1" si="31"/>
        <v>68.181546249606356</v>
      </c>
      <c r="I78" s="1223">
        <f t="shared" ca="1" si="31"/>
        <v>65.020090184461907</v>
      </c>
      <c r="J78" s="1223">
        <f t="shared" ca="1" si="31"/>
        <v>68.690575591867798</v>
      </c>
      <c r="K78" s="1223">
        <f t="shared" ca="1" si="31"/>
        <v>60.327908268893367</v>
      </c>
      <c r="L78" s="1223">
        <f t="shared" ca="1" si="31"/>
        <v>59.545061231291776</v>
      </c>
      <c r="M78" s="1223">
        <f t="shared" ca="1" si="31"/>
        <v>60.822406481080826</v>
      </c>
      <c r="N78" s="1223">
        <f t="shared" ca="1" si="31"/>
        <v>64.533232318953097</v>
      </c>
      <c r="O78" s="1223">
        <f ca="1">VLOOKUP(_xlfn.CONCAT("Box spreader"," ",$A$78), INDIRECT("'"&amp;O$1&amp;"'!"&amp;"$G$300:$J$2004"),4, FALSE)</f>
        <v>77.840382002042702</v>
      </c>
      <c r="P78" s="1223">
        <f ca="1">VLOOKUP(_xlfn.CONCAT("Tanker"," ",$A$78), INDIRECT("'"&amp;P$1&amp;"'!"&amp;"$G$300:$J$2004"),4, FALSE)</f>
        <v>45.125724835201858</v>
      </c>
      <c r="Q78" s="1226"/>
      <c r="R78" s="1223">
        <f t="shared" ref="R78:AC78" ca="1" si="32">VLOOKUP(_xlfn.CONCAT("Drag hose"," ",$A$78), INDIRECT("'"&amp;R$1&amp;"'!"&amp;"$G$300:$J$2004"),4, FALSE)</f>
        <v>16.100315177561104</v>
      </c>
      <c r="S78" s="1223">
        <f t="shared" ca="1" si="32"/>
        <v>9.6547189954749015</v>
      </c>
      <c r="T78" s="1223">
        <f t="shared" ca="1" si="32"/>
        <v>23.600139886983118</v>
      </c>
      <c r="U78" s="1223">
        <f t="shared" ca="1" si="32"/>
        <v>20.976145109814109</v>
      </c>
      <c r="V78" s="1223">
        <f t="shared" ca="1" si="32"/>
        <v>23.762312421169376</v>
      </c>
      <c r="W78" s="1223">
        <f t="shared" ca="1" si="32"/>
        <v>154.58395135352009</v>
      </c>
      <c r="X78" s="1223">
        <f t="shared" ca="1" si="32"/>
        <v>23.727844691448336</v>
      </c>
      <c r="Y78" s="1223">
        <f t="shared" ca="1" si="32"/>
        <v>23.518729310678545</v>
      </c>
      <c r="Z78" s="1223">
        <f t="shared" ca="1" si="32"/>
        <v>21.302507873017859</v>
      </c>
      <c r="AA78" s="1223">
        <f t="shared" ca="1" si="32"/>
        <v>23.657921135477881</v>
      </c>
      <c r="AB78" s="1223">
        <f t="shared" ca="1" si="32"/>
        <v>22.762136102811446</v>
      </c>
      <c r="AC78" s="1223">
        <f t="shared" ca="1" si="32"/>
        <v>15.005536230731796</v>
      </c>
      <c r="AD78"/>
      <c r="AE78" s="1223">
        <f ca="1">VLOOKUP(_xlfn.CONCAT("Drag hose"," ",$A$78), INDIRECT("'"&amp;AE$1&amp;"'!"&amp;"$G$300:$J$2004"),4, FALSE)</f>
        <v>27.061413375725728</v>
      </c>
    </row>
    <row r="79" spans="1:31" s="1214" customFormat="1" x14ac:dyDescent="0.3">
      <c r="A79" s="1211" t="s">
        <v>5446</v>
      </c>
      <c r="B79" s="1211" t="s">
        <v>5447</v>
      </c>
      <c r="C79" s="1223">
        <f t="shared" ref="C79:N79" ca="1" si="33">VLOOKUP(_xlfn.CONCAT("Tanker"," ",$A$79), INDIRECT("'"&amp;C$1&amp;"'!"&amp;"$G$300:$J$2004"),4, FALSE)</f>
        <v>22.003886560796118</v>
      </c>
      <c r="D79" s="1223">
        <f t="shared" ca="1" si="33"/>
        <v>19.782318372229117</v>
      </c>
      <c r="E79" s="1223">
        <f t="shared" ca="1" si="33"/>
        <v>18.315489193042723</v>
      </c>
      <c r="F79" s="1223">
        <f t="shared" ca="1" si="33"/>
        <v>16.186944755369304</v>
      </c>
      <c r="G79" s="1223">
        <f t="shared" ca="1" si="33"/>
        <v>18.690322266074311</v>
      </c>
      <c r="H79" s="1223">
        <f t="shared" ca="1" si="33"/>
        <v>17.674014718208841</v>
      </c>
      <c r="I79" s="1223">
        <f t="shared" ca="1" si="33"/>
        <v>18.274121927765005</v>
      </c>
      <c r="J79" s="1223">
        <f t="shared" ca="1" si="33"/>
        <v>18.183044060470291</v>
      </c>
      <c r="K79" s="1223">
        <f t="shared" ca="1" si="33"/>
        <v>16.689424647350133</v>
      </c>
      <c r="L79" s="1223">
        <f t="shared" ca="1" si="33"/>
        <v>17.501236725527384</v>
      </c>
      <c r="M79" s="1223">
        <f t="shared" ca="1" si="33"/>
        <v>17.183922859537596</v>
      </c>
      <c r="N79" s="1223">
        <f t="shared" ca="1" si="33"/>
        <v>64.533232318953097</v>
      </c>
      <c r="O79" s="1223">
        <f ca="1">VLOOKUP(_xlfn.CONCAT("Box spreader"," ",$A$79), INDIRECT("'"&amp;O$1&amp;"'!"&amp;"$G$300:$J$2004"),4, FALSE)</f>
        <v>77.840382002042702</v>
      </c>
      <c r="P79" s="1223">
        <f ca="1">VLOOKUP(_xlfn.CONCAT("Tanker"," ",$A$79), INDIRECT("'"&amp;P$1&amp;"'!"&amp;"$G$300:$J$2004"),4, FALSE)</f>
        <v>22.113653318124424</v>
      </c>
      <c r="Q79" s="1226"/>
      <c r="R79" s="1223">
        <f t="shared" ref="R79:AC79" ca="1" si="34">VLOOKUP(_xlfn.CONCAT("Drag hose"," ",$A$79), INDIRECT("'"&amp;R$1&amp;"'!"&amp;"$G$300:$J$2004"),4, FALSE)</f>
        <v>16.100315177561104</v>
      </c>
      <c r="S79" s="1223">
        <f t="shared" ca="1" si="34"/>
        <v>9.6547189954749015</v>
      </c>
      <c r="T79" s="1223">
        <f t="shared" ca="1" si="34"/>
        <v>10.099663647553546</v>
      </c>
      <c r="U79" s="1223">
        <f t="shared" ca="1" si="34"/>
        <v>8.1881193446612812</v>
      </c>
      <c r="V79" s="1223">
        <f t="shared" ca="1" si="34"/>
        <v>10.605986688984355</v>
      </c>
      <c r="W79" s="1223">
        <f t="shared" ca="1" si="34"/>
        <v>141.08375738435242</v>
      </c>
      <c r="X79" s="1223">
        <f t="shared" ca="1" si="34"/>
        <v>10.49757328762316</v>
      </c>
      <c r="Y79" s="1223">
        <f t="shared" ca="1" si="34"/>
        <v>10.018535341510875</v>
      </c>
      <c r="Z79" s="1223">
        <f t="shared" ca="1" si="34"/>
        <v>9.1529270415582928</v>
      </c>
      <c r="AA79" s="1223">
        <f t="shared" ca="1" si="34"/>
        <v>10.278565149741707</v>
      </c>
      <c r="AB79" s="1223">
        <f t="shared" ca="1" si="34"/>
        <v>9.7439382555063609</v>
      </c>
      <c r="AC79" s="1223">
        <f t="shared" ca="1" si="34"/>
        <v>15.005536230731796</v>
      </c>
      <c r="AD79"/>
      <c r="AE79" s="1223">
        <f ca="1">VLOOKUP(_xlfn.CONCAT("Drag hose"," ",$A$79), INDIRECT("'"&amp;AE$1&amp;"'!"&amp;"$G$300:$J$2004"),4, FALSE)</f>
        <v>14.695714906031398</v>
      </c>
    </row>
    <row r="80" spans="1:31" x14ac:dyDescent="0.3">
      <c r="A80" s="42"/>
      <c r="B80" s="42"/>
      <c r="C80" s="42"/>
      <c r="D80" s="42"/>
      <c r="E80" s="42"/>
      <c r="F80" s="42"/>
      <c r="G80" s="42"/>
      <c r="H80" s="42"/>
      <c r="I80" s="42"/>
      <c r="J80" s="42"/>
      <c r="K80" s="42"/>
      <c r="L80" s="42"/>
      <c r="M80" s="42"/>
      <c r="N80" s="42"/>
      <c r="O80" s="42"/>
      <c r="P80" s="42"/>
    </row>
    <row r="81" spans="1:17" x14ac:dyDescent="0.3">
      <c r="A81" s="628" t="s">
        <v>5448</v>
      </c>
      <c r="B81" s="527" t="s">
        <v>5385</v>
      </c>
      <c r="C81" s="1121">
        <f>VLOOKUP("Acres needed for complete application",EconIntermediate!A:C,2,FALSE)</f>
        <v>101.92881667220509</v>
      </c>
    </row>
    <row r="84" spans="1:17" ht="15" thickBot="1" x14ac:dyDescent="0.35"/>
    <row r="85" spans="1:17" ht="15.6" x14ac:dyDescent="0.3">
      <c r="A85" s="1261" t="s">
        <v>5449</v>
      </c>
      <c r="B85" s="1262" t="s">
        <v>262</v>
      </c>
      <c r="C85" s="1263"/>
      <c r="D85" s="1263"/>
      <c r="E85" s="1264"/>
      <c r="F85" s="404"/>
      <c r="G85" s="404"/>
      <c r="H85" s="404"/>
      <c r="I85" s="404"/>
      <c r="J85" s="404"/>
      <c r="K85" s="404"/>
      <c r="L85" s="1265"/>
    </row>
    <row r="86" spans="1:17" x14ac:dyDescent="0.3">
      <c r="A86" s="74"/>
      <c r="B86" s="99"/>
      <c r="C86" s="36" t="s">
        <v>5240</v>
      </c>
      <c r="D86" s="36" t="s">
        <v>5241</v>
      </c>
      <c r="E86" s="1256" t="s">
        <v>5242</v>
      </c>
      <c r="L86" s="72"/>
    </row>
    <row r="87" spans="1:17" s="369" customFormat="1" ht="86.4" x14ac:dyDescent="0.3">
      <c r="A87" s="1266"/>
      <c r="B87" s="403"/>
      <c r="C87" s="1258" t="str">
        <f>_xlfn.XLOOKUP(C86,$C$1:$P$1,$C$3:$P$3)</f>
        <v>Deep pit, tanker</v>
      </c>
      <c r="D87" s="1258" t="str">
        <f t="shared" ref="D87:E87" si="35">_xlfn.XLOOKUP(D86,$C$1:$P$1,$C$3:$P$3)</f>
        <v>Deep pit, aeration, tanker</v>
      </c>
      <c r="E87" s="1259" t="str">
        <f t="shared" si="35"/>
        <v>Shallow pit, scrape auto, above ground storage tank, tanker</v>
      </c>
      <c r="L87" s="1267"/>
      <c r="Q87" s="1250"/>
    </row>
    <row r="88" spans="1:17" s="369" customFormat="1" x14ac:dyDescent="0.3">
      <c r="A88" s="1268"/>
      <c r="B88" s="403" t="s">
        <v>5450</v>
      </c>
      <c r="C88" s="231" t="e">
        <f>VLOOKUP("SlurryN removed",'Sc1'!$A$300:$F$2010,5, FALSE)</f>
        <v>#N/A</v>
      </c>
      <c r="D88" s="231" t="e">
        <f>VLOOKUP("SlurryN removed",'Sc2'!$A$299:$F$2009,5, FALSE)</f>
        <v>#N/A</v>
      </c>
      <c r="E88" s="1252">
        <f>VLOOKUP("SlurryN removed, tank",'Sc12'!$A$299:$F$2007,5, FALSE)</f>
        <v>17.856454957333554</v>
      </c>
      <c r="L88" s="1267"/>
      <c r="Q88" s="1250"/>
    </row>
    <row r="89" spans="1:17" s="369" customFormat="1" x14ac:dyDescent="0.3">
      <c r="A89" s="1268"/>
      <c r="B89" s="403" t="s">
        <v>5451</v>
      </c>
      <c r="C89" s="231" t="e">
        <f>VLOOKUP("SlurryP2O5 removed",'Sc1'!$A$300:$F$2010,5, FALSE)</f>
        <v>#N/A</v>
      </c>
      <c r="D89" s="231" t="e">
        <f>VLOOKUP("SlurryP2O5 removed",'Sc2'!$A$299:$F$2009,5, FALSE)</f>
        <v>#N/A</v>
      </c>
      <c r="E89" s="1252">
        <f>VLOOKUP("SlurryP2O5 removed, tank",'Sc12'!$A$299:$F$2007,5, FALSE)</f>
        <v>8.9485619274200019</v>
      </c>
      <c r="L89" s="1267"/>
      <c r="Q89" s="1250"/>
    </row>
    <row r="90" spans="1:17" s="369" customFormat="1" x14ac:dyDescent="0.3">
      <c r="A90" s="1268"/>
      <c r="B90" s="1253" t="s">
        <v>5452</v>
      </c>
      <c r="C90" s="1254" t="e">
        <f>VLOOKUP("SlurryK2O removed",'Sc1'!$A$300:$F$2010,5, FALSE)</f>
        <v>#N/A</v>
      </c>
      <c r="D90" s="1254" t="e">
        <f>VLOOKUP("SlurryK2O removed",'Sc2'!$A$299:$F$2009,5, FALSE)</f>
        <v>#N/A</v>
      </c>
      <c r="E90" s="1255">
        <f>VLOOKUP("SlurryK2O removed, tank",'Sc12'!$A$299:$F$2007,5, FALSE)</f>
        <v>11.505350097668268</v>
      </c>
      <c r="L90" s="1267"/>
      <c r="Q90" s="1250"/>
    </row>
    <row r="91" spans="1:17" s="369" customFormat="1" x14ac:dyDescent="0.3">
      <c r="A91" s="1268"/>
      <c r="C91" s="231"/>
      <c r="D91" s="231"/>
      <c r="E91" s="231"/>
      <c r="L91" s="1267"/>
      <c r="Q91" s="1250"/>
    </row>
    <row r="92" spans="1:17" s="369" customFormat="1" ht="15.6" x14ac:dyDescent="0.3">
      <c r="A92" s="1268"/>
      <c r="B92" s="1257" t="s">
        <v>261</v>
      </c>
      <c r="C92" s="1260"/>
      <c r="D92" s="1260"/>
      <c r="E92" s="1260"/>
      <c r="F92" s="1260"/>
      <c r="G92" s="1260"/>
      <c r="H92" s="1260"/>
      <c r="I92" s="1260"/>
      <c r="J92" s="1260"/>
      <c r="K92" s="1260"/>
      <c r="L92" s="1269"/>
      <c r="Q92" s="1250"/>
    </row>
    <row r="93" spans="1:17" s="369" customFormat="1" x14ac:dyDescent="0.3">
      <c r="B93" s="403"/>
      <c r="C93" s="152" t="s">
        <v>4776</v>
      </c>
      <c r="D93" s="152" t="s">
        <v>4777</v>
      </c>
      <c r="E93" s="152" t="s">
        <v>4778</v>
      </c>
      <c r="F93" s="152" t="s">
        <v>4779</v>
      </c>
      <c r="G93" s="152" t="s">
        <v>4780</v>
      </c>
      <c r="H93" s="152" t="s">
        <v>4781</v>
      </c>
      <c r="I93" s="152" t="s">
        <v>4721</v>
      </c>
      <c r="J93" s="152" t="s">
        <v>4722</v>
      </c>
      <c r="K93" s="152" t="s">
        <v>4723</v>
      </c>
      <c r="L93" s="1270" t="s">
        <v>4782</v>
      </c>
    </row>
    <row r="94" spans="1:17" s="369" customFormat="1" ht="115.2" x14ac:dyDescent="0.3">
      <c r="B94" s="403"/>
      <c r="C94" s="1258" t="str">
        <f t="shared" ref="C94:L94" si="36">_xlfn.XLOOKUP(C93,$C$1:$P$1,$C$3:$P$3)</f>
        <v>Shallow pit, flush, lagoon, irrigation + tanker</v>
      </c>
      <c r="D94" s="1258" t="str">
        <f t="shared" si="36"/>
        <v>Shallow pit, scrape auto, lagoon, irrigation + tanker</v>
      </c>
      <c r="E94" s="1258" t="str">
        <f t="shared" si="36"/>
        <v>Shallow pit, pull plug, lagoon, irrigation + tanker</v>
      </c>
      <c r="F94" s="1258" t="str">
        <f t="shared" si="36"/>
        <v>Shallow pit, flush, AD, lagoon, irrigation + tanker</v>
      </c>
      <c r="G94" s="1258" t="str">
        <f t="shared" si="36"/>
        <v>Shallow pit, scrape auto, AD, lagoon, irrigation + tanker</v>
      </c>
      <c r="H94" s="1258" t="str">
        <f t="shared" si="36"/>
        <v>Shallow pit, pull plug, AD, lagoon, irrigation + tanker</v>
      </c>
      <c r="I94" s="1258" t="str">
        <f t="shared" si="36"/>
        <v>Shallow pit, flush, covered digestion basin, lagoon, irrigation + tanker</v>
      </c>
      <c r="J94" s="1258" t="str">
        <f t="shared" si="36"/>
        <v>Shallow pit, scrape auto, covered digestion basin, lagoon, irrigation + tanker</v>
      </c>
      <c r="K94" s="1258" t="str">
        <f t="shared" si="36"/>
        <v>Shallow pit, pull plug, covered digestion basin, lagoon, irrigation + tanker</v>
      </c>
      <c r="L94" s="1271" t="str">
        <f t="shared" si="36"/>
        <v>Shallow pit, scrape auto, slope screen, lagoon, irrigation + tanker</v>
      </c>
    </row>
    <row r="95" spans="1:17" s="369" customFormat="1" x14ac:dyDescent="0.3">
      <c r="B95" s="403" t="s">
        <v>5450</v>
      </c>
      <c r="C95" s="231">
        <f>VLOOKUP("LiquidsN removed, lagoon",'Sc3'!$A$299:$F$2023,5, FALSE)</f>
        <v>9.2227730493771602</v>
      </c>
      <c r="D95" s="231">
        <f>VLOOKUP("LiquidsN removed, lagoon",'Sc4'!$A$299:$F$1975,5, FALSE)</f>
        <v>10.541500613545347</v>
      </c>
      <c r="E95" s="231">
        <f>VLOOKUP("LiquidsN removed, lagoon",'Sc5'!$A$299:$F$2022,5, FALSE)</f>
        <v>9.9467689366006411</v>
      </c>
      <c r="F95" s="231">
        <f>VLOOKUP("LiquidsN removed, lagoon",'Sc6'!$A$299:$F$2021,5, FALSE)</f>
        <v>8.6371274739918871</v>
      </c>
      <c r="G95" s="231">
        <f>VLOOKUP("LiquidsN removed, lagoon",'Sc7'!$A$299:$F$2019,5, FALSE)</f>
        <v>9.872125783153292</v>
      </c>
      <c r="H95" s="231">
        <f>VLOOKUP("LiquidsN removed, lagoon",'Sc8'!$A$299:$F$2021,5, FALSE)</f>
        <v>9.2546266285725878</v>
      </c>
      <c r="I95" s="231">
        <f>VLOOKUP("LiquidsN removed, lagoon",'Sc9'!$A$299:$F$2020,5, FALSE)</f>
        <v>8.4214280250541371</v>
      </c>
      <c r="J95" s="231">
        <f>VLOOKUP("LiquidsN removed, lagoon",'Sc10'!$A$299:$F$2017,5, FALSE)</f>
        <v>9.6255840830704305</v>
      </c>
      <c r="K95" s="231">
        <f>VLOOKUP("LiquidsN removed, lagoon",'Sc11'!$A$299:$F$2019,5, FALSE)</f>
        <v>9.0235060540622829</v>
      </c>
      <c r="L95" s="1272">
        <f>VLOOKUP("LiquidsN removed, lagoon",'Sc14'!$A$299:$F$2015,5, FALSE)</f>
        <v>5.5506445992758309</v>
      </c>
    </row>
    <row r="96" spans="1:17" s="369" customFormat="1" x14ac:dyDescent="0.3">
      <c r="B96" s="403" t="s">
        <v>5451</v>
      </c>
      <c r="C96" s="231">
        <f>VLOOKUP("LiquidsP2O5 removed, lagoon",'Sc3'!$A$299:$F$2023,5, FALSE)</f>
        <v>6.3464219020959751</v>
      </c>
      <c r="D96" s="231">
        <f>VLOOKUP("LiquidsP2O5 removed, lagoon",'Sc4'!$A$299:$F$1975,5, FALSE)</f>
        <v>6.3464155557997417</v>
      </c>
      <c r="E96" s="231">
        <f>VLOOKUP("LiquidsP2O5 removed, lagoon",'Sc5'!$A$299:$F$2022,5, FALSE)</f>
        <v>6.387925976174329</v>
      </c>
      <c r="F96" s="231">
        <f>VLOOKUP("LiquidsP2O5 removed, lagoon",'Sc6'!$A$299:$F$2021,5, FALSE)</f>
        <v>6.426650401967037</v>
      </c>
      <c r="G96" s="231">
        <f>VLOOKUP("LiquidsP2O5 removed, lagoon",'Sc7'!$A$299:$F$2019,5, FALSE)</f>
        <v>6.426650401967037</v>
      </c>
      <c r="H96" s="231">
        <f>VLOOKUP("LiquidsP2O5 removed, lagoon",'Sc8'!$A$299:$F$2021,5, FALSE)</f>
        <v>6.426650401967037</v>
      </c>
      <c r="I96" s="231">
        <f>VLOOKUP("LiquidsP2O5 removed, lagoon",'Sc9'!$A$299:$F$2020,5, FALSE)</f>
        <v>6.450289087714232</v>
      </c>
      <c r="J96" s="231">
        <f>VLOOKUP("LiquidsP2O5 removed, lagoon",'Sc10'!$A$299:$F$2017,5, FALSE)</f>
        <v>6.450289087714232</v>
      </c>
      <c r="K96" s="231">
        <f>VLOOKUP("LiquidsP2O5 removed, lagoon",'Sc11'!$A$299:$F$2019,5, FALSE)</f>
        <v>6.4502890877142312</v>
      </c>
      <c r="L96" s="1272">
        <f>VLOOKUP("LiquidsP2O5 removed, lagoon",'Sc14'!$A$299:$F$2015,5, FALSE)</f>
        <v>2.7151439390175529</v>
      </c>
    </row>
    <row r="97" spans="2:12" s="369" customFormat="1" x14ac:dyDescent="0.3">
      <c r="B97" s="1253" t="s">
        <v>5452</v>
      </c>
      <c r="C97" s="1254">
        <f>VLOOKUP("LiquidsK2O removed, lagoon",'Sc3'!$A$299:$F$2023,5, FALSE)</f>
        <v>9.6433115456136793</v>
      </c>
      <c r="D97" s="1254">
        <f>VLOOKUP("LiquidsK2O removed, lagoon",'Sc4'!$A$299:$F$1975,5, FALSE)</f>
        <v>9.6433019024930857</v>
      </c>
      <c r="E97" s="1254">
        <f>VLOOKUP("LiquidsK2O removed, lagoon",'Sc5'!$A$299:$F$2022,5, FALSE)</f>
        <v>9.7063764856577084</v>
      </c>
      <c r="F97" s="1254">
        <f>VLOOKUP("LiquidsK2O removed, lagoon",'Sc6'!$A$299:$F$2021,5, FALSE)</f>
        <v>9.7652177836528438</v>
      </c>
      <c r="G97" s="1254">
        <f>VLOOKUP("LiquidsK2O removed, lagoon",'Sc7'!$A$299:$F$2019,5, FALSE)</f>
        <v>9.7652177836528438</v>
      </c>
      <c r="H97" s="1254">
        <f>VLOOKUP("LiquidsK2O removed, lagoon",'Sc8'!$A$299:$F$2021,5, FALSE)</f>
        <v>9.7652177836528438</v>
      </c>
      <c r="I97" s="1254">
        <f>VLOOKUP("LiquidsK2O removed, lagoon",'Sc9'!$A$299:$F$2020,5, FALSE)</f>
        <v>9.801136481575174</v>
      </c>
      <c r="J97" s="1254">
        <f>VLOOKUP("LiquidsK2O removed, lagoon",'Sc10'!$A$299:$F$2017,5, FALSE)</f>
        <v>9.801136481575174</v>
      </c>
      <c r="K97" s="1254">
        <f>VLOOKUP("LiquidsK2O removed, lagoon",'Sc11'!$A$299:$F$2019,5, FALSE)</f>
        <v>9.8011364815751723</v>
      </c>
      <c r="L97" s="1273">
        <f>VLOOKUP("LiquidsK2O removed, lagoon",'Sc14'!$A$299:$F$2015,5, FALSE)</f>
        <v>4.442984508395833</v>
      </c>
    </row>
    <row r="98" spans="2:12" s="369" customFormat="1" x14ac:dyDescent="0.3">
      <c r="C98" s="231"/>
      <c r="D98" s="231"/>
      <c r="E98" s="231"/>
      <c r="F98" s="231"/>
      <c r="G98" s="231"/>
      <c r="H98" s="231"/>
      <c r="I98" s="231"/>
      <c r="J98" s="231"/>
      <c r="K98" s="231"/>
      <c r="L98" s="1272"/>
    </row>
    <row r="99" spans="2:12" s="369" customFormat="1" x14ac:dyDescent="0.3">
      <c r="L99" s="1267"/>
    </row>
    <row r="100" spans="2:12" s="369" customFormat="1" x14ac:dyDescent="0.3">
      <c r="B100" s="1277" t="s">
        <v>263</v>
      </c>
      <c r="C100" s="362" t="s">
        <v>4776</v>
      </c>
      <c r="D100" s="362" t="s">
        <v>4777</v>
      </c>
      <c r="E100" s="362" t="s">
        <v>4778</v>
      </c>
      <c r="F100" s="362" t="s">
        <v>4779</v>
      </c>
      <c r="G100" s="362" t="s">
        <v>4780</v>
      </c>
      <c r="H100" s="362" t="s">
        <v>4781</v>
      </c>
      <c r="I100" s="362" t="s">
        <v>4721</v>
      </c>
      <c r="J100" s="362" t="s">
        <v>4722</v>
      </c>
      <c r="K100" s="362" t="s">
        <v>4723</v>
      </c>
      <c r="L100" s="1274" t="s">
        <v>4782</v>
      </c>
    </row>
    <row r="101" spans="2:12" s="369" customFormat="1" ht="115.2" x14ac:dyDescent="0.3">
      <c r="B101" s="1251"/>
      <c r="C101" s="1258" t="str">
        <f t="shared" ref="C101:L101" si="37">_xlfn.XLOOKUP(C100,$C$1:$P$1,$C$3:$P$3)</f>
        <v>Shallow pit, flush, lagoon, irrigation + tanker</v>
      </c>
      <c r="D101" s="1258" t="str">
        <f t="shared" si="37"/>
        <v>Shallow pit, scrape auto, lagoon, irrigation + tanker</v>
      </c>
      <c r="E101" s="1258" t="str">
        <f t="shared" si="37"/>
        <v>Shallow pit, pull plug, lagoon, irrigation + tanker</v>
      </c>
      <c r="F101" s="1258" t="str">
        <f t="shared" si="37"/>
        <v>Shallow pit, flush, AD, lagoon, irrigation + tanker</v>
      </c>
      <c r="G101" s="1258" t="str">
        <f t="shared" si="37"/>
        <v>Shallow pit, scrape auto, AD, lagoon, irrigation + tanker</v>
      </c>
      <c r="H101" s="1258" t="str">
        <f t="shared" si="37"/>
        <v>Shallow pit, pull plug, AD, lagoon, irrigation + tanker</v>
      </c>
      <c r="I101" s="1258" t="str">
        <f t="shared" si="37"/>
        <v>Shallow pit, flush, covered digestion basin, lagoon, irrigation + tanker</v>
      </c>
      <c r="J101" s="1258" t="str">
        <f t="shared" si="37"/>
        <v>Shallow pit, scrape auto, covered digestion basin, lagoon, irrigation + tanker</v>
      </c>
      <c r="K101" s="1258" t="str">
        <f t="shared" si="37"/>
        <v>Shallow pit, pull plug, covered digestion basin, lagoon, irrigation + tanker</v>
      </c>
      <c r="L101" s="1271" t="str">
        <f t="shared" si="37"/>
        <v>Shallow pit, scrape auto, slope screen, lagoon, irrigation + tanker</v>
      </c>
    </row>
    <row r="102" spans="2:12" s="369" customFormat="1" x14ac:dyDescent="0.3">
      <c r="B102" s="403" t="s">
        <v>5450</v>
      </c>
      <c r="C102" s="231">
        <f>VLOOKUP("SludgeN removed, lagoon",'Sc3'!$A$299:$F$2023,5, FALSE)</f>
        <v>12.239070201791318</v>
      </c>
      <c r="D102" s="231">
        <f>VLOOKUP("SludgeN removed, lagoon",'Sc4'!$A$299:$F$1975,5, FALSE)</f>
        <v>13.98908607537737</v>
      </c>
      <c r="E102" s="231">
        <f>VLOOKUP("SludgeN removed, lagoon",'Sc5'!$A$299:$F$2022,5, FALSE)</f>
        <v>13.114072019170418</v>
      </c>
      <c r="F102" s="231" t="e">
        <f>VLOOKUP("SludgeN removed, AD and lagoon",'Sc6'!$A$299:$F$2021,5, FALSE)</f>
        <v>#N/A</v>
      </c>
      <c r="G102" s="231" t="e">
        <f>VLOOKUP("SludgeN removed, AD and lagoon",'Sc7'!$A$299:$F$2019,5, FALSE)</f>
        <v>#N/A</v>
      </c>
      <c r="H102" s="231" t="e">
        <f>VLOOKUP("SludgeN removed, AD and lagoon",'Sc8'!$A$299:$F$2021,5, FALSE)</f>
        <v>#N/A</v>
      </c>
      <c r="I102" s="231" t="e">
        <f>VLOOKUP("SludgeN removed, CL and lagoon",'Sc9'!$A$299:$F$2020,5, FALSE)</f>
        <v>#N/A</v>
      </c>
      <c r="J102" s="231" t="e">
        <f>VLOOKUP("SludgeN removed, CL and lagoon",'Sc10'!$A$299:$F$2017,5, FALSE)</f>
        <v>#N/A</v>
      </c>
      <c r="K102" s="231" t="e">
        <f>VLOOKUP("SludgeN removed, CL and lagoon",'Sc11'!$A$299:$F$2019,5, FALSE)</f>
        <v>#N/A</v>
      </c>
      <c r="L102" s="1272">
        <f>VLOOKUP("SludgeN removed, lagoon",'Sc14'!$A$299:$F$2015,5, FALSE)</f>
        <v>41.265781900296233</v>
      </c>
    </row>
    <row r="103" spans="2:12" s="369" customFormat="1" x14ac:dyDescent="0.3">
      <c r="B103" s="403" t="s">
        <v>5451</v>
      </c>
      <c r="C103" s="231">
        <f>VLOOKUP("SludgeP2O5 removed, lagoon",'Sc3'!$A$299:$F$2023,5, FALSE)</f>
        <v>27.562947616602834</v>
      </c>
      <c r="D103" s="231">
        <f>VLOOKUP("SludgeP2O5 removed, lagoon",'Sc4'!$A$299:$F$1975,5, FALSE)</f>
        <v>27.562920054201012</v>
      </c>
      <c r="E103" s="231">
        <f>VLOOKUP("SludgeP2O5 removed, lagoon",'Sc5'!$A$299:$F$2022,5, FALSE)</f>
        <v>27.562920054201012</v>
      </c>
      <c r="F103" s="231" t="e">
        <f>VLOOKUP("SludgeP2O5 removed, AD and lagoon",'Sc6'!$A$299:$F$2021,5, FALSE)</f>
        <v>#N/A</v>
      </c>
      <c r="G103" s="231" t="e">
        <f>VLOOKUP("SludgeP2O5 removed, AD and lagoon",'Sc7'!$A$299:$F$2019,5, FALSE)</f>
        <v>#N/A</v>
      </c>
      <c r="H103" s="231" t="e">
        <f>VLOOKUP("SludgeP2O5 removed, AD and lagoon",'Sc8'!$A$299:$F$2021,5, FALSE)</f>
        <v>#N/A</v>
      </c>
      <c r="I103" s="231" t="e">
        <f>VLOOKUP("SludgeP2O5 removed, CL and lagoon",'Sc9'!$A$299:$F$2020,5, FALSE)</f>
        <v>#N/A</v>
      </c>
      <c r="J103" s="231" t="e">
        <f>VLOOKUP("SludgeP2O5 removed, CL and lagoon",'Sc10'!$A$299:$F$2017,5, FALSE)</f>
        <v>#N/A</v>
      </c>
      <c r="K103" s="231" t="e">
        <f>VLOOKUP("SludgeP2O5 removed, CL and lagoon",'Sc11'!$A$299:$F$2019,5, FALSE)</f>
        <v>#N/A</v>
      </c>
      <c r="L103" s="1272">
        <f>VLOOKUP("SludgeP2O5 removed, lagoon",'Sc14'!$A$299:$F$2015,5, FALSE)</f>
        <v>66.061636986695575</v>
      </c>
    </row>
    <row r="104" spans="2:12" s="369" customFormat="1" x14ac:dyDescent="0.3">
      <c r="B104" s="1253" t="s">
        <v>5452</v>
      </c>
      <c r="C104" s="1254">
        <f>VLOOKUP("SludgeK2O removed, lagoon",'Sc3'!$A$299:$F$2023,5, FALSE)</f>
        <v>27.563082231954681</v>
      </c>
      <c r="D104" s="1254">
        <f>VLOOKUP("SludgeK2O removed, lagoon",'Sc4'!$A$299:$F$1975,5, FALSE)</f>
        <v>27.563054669418239</v>
      </c>
      <c r="E104" s="1254">
        <f>VLOOKUP("SludgeK2O removed, lagoon",'Sc5'!$A$299:$F$2022,5, FALSE)</f>
        <v>27.563054669418239</v>
      </c>
      <c r="F104" s="1254" t="e">
        <f>VLOOKUP("SludgeK2O removed, AD and lagoon",'Sc6'!$A$299:$F$2021,5, FALSE)</f>
        <v>#N/A</v>
      </c>
      <c r="G104" s="1254" t="e">
        <f>VLOOKUP("SludgeK2O removed, AD and lagoon",'Sc7'!$A$299:$F$2019,5, FALSE)</f>
        <v>#N/A</v>
      </c>
      <c r="H104" s="1254" t="e">
        <f>VLOOKUP("SludgeK2O removed, AD and lagoon",'Sc8'!$A$299:$F$2021,5, FALSE)</f>
        <v>#N/A</v>
      </c>
      <c r="I104" s="1254" t="e">
        <f>VLOOKUP("SludgeK2O removed, CL and lagoon",'Sc9'!$A$299:$F$2020,5, FALSE)</f>
        <v>#N/A</v>
      </c>
      <c r="J104" s="1254" t="e">
        <f>VLOOKUP("SludgeK2O removed, CL and lagoon",'Sc10'!$A$299:$F$2017,5, FALSE)</f>
        <v>#N/A</v>
      </c>
      <c r="K104" s="1254" t="e">
        <f>VLOOKUP("SludgeK2O removed, CL and lagoon",'Sc11'!$A$299:$F$2019,5, FALSE)</f>
        <v>#N/A</v>
      </c>
      <c r="L104" s="1273">
        <f>VLOOKUP("SludgeK2O removed, lagoon",'Sc14'!$A$299:$F$2015,5, FALSE)</f>
        <v>71.143648828791569</v>
      </c>
    </row>
    <row r="105" spans="2:12" s="369" customFormat="1" x14ac:dyDescent="0.3">
      <c r="L105" s="1267"/>
    </row>
    <row r="106" spans="2:12" s="369" customFormat="1" x14ac:dyDescent="0.3">
      <c r="B106" s="1277" t="s">
        <v>264</v>
      </c>
      <c r="C106" s="363" t="s">
        <v>4782</v>
      </c>
      <c r="L106" s="1267"/>
    </row>
    <row r="107" spans="2:12" s="369" customFormat="1" ht="100.8" x14ac:dyDescent="0.3">
      <c r="B107" s="1251"/>
      <c r="C107" s="1259" t="str">
        <f>_xlfn.XLOOKUP(C106,$C$1:$P$1,$C$3:$P$3)</f>
        <v>Shallow pit, scrape auto, slope screen, lagoon, irrigation + tanker</v>
      </c>
      <c r="L107" s="1267"/>
    </row>
    <row r="108" spans="2:12" s="369" customFormat="1" x14ac:dyDescent="0.3">
      <c r="B108" s="403" t="s">
        <v>84</v>
      </c>
      <c r="C108" s="1252">
        <f>VLOOKUP("Separated solidsN removed, SS",'Sc14'!$G$299:$L$2015,5, FALSE)</f>
        <v>74.932377941049907</v>
      </c>
      <c r="L108" s="1267"/>
    </row>
    <row r="109" spans="2:12" s="369" customFormat="1" x14ac:dyDescent="0.3">
      <c r="B109" s="403" t="s">
        <v>941</v>
      </c>
      <c r="C109" s="1252">
        <f>VLOOKUP("Separated solidsP2O5 removed, SS",'Sc14'!$G$299:$L$2015,5, FALSE)</f>
        <v>104.99980778388162</v>
      </c>
    </row>
    <row r="110" spans="2:12" s="369" customFormat="1" x14ac:dyDescent="0.3">
      <c r="B110" s="1253" t="s">
        <v>934</v>
      </c>
      <c r="C110" s="1255">
        <f>VLOOKUP("Separated solidsK2O removed, SS",'Sc14'!$G$299:$L$2015,5, FALSE)</f>
        <v>115.71463902306427</v>
      </c>
    </row>
    <row r="111" spans="2:12" s="369" customFormat="1" x14ac:dyDescent="0.3"/>
    <row r="112" spans="2:12" s="369" customFormat="1" x14ac:dyDescent="0.3">
      <c r="B112" s="1277" t="s">
        <v>265</v>
      </c>
      <c r="C112" s="363" t="s">
        <v>5243</v>
      </c>
    </row>
    <row r="113" spans="2:3" s="369" customFormat="1" ht="57.6" x14ac:dyDescent="0.3">
      <c r="B113" s="1251"/>
      <c r="C113" s="1259" t="str">
        <f>_xlfn.XLOOKUP(C112,$C$1:$P$1,$C$3:$P$3)</f>
        <v>Shallow pit, scrape auto, compost, tanker</v>
      </c>
    </row>
    <row r="114" spans="2:3" s="369" customFormat="1" x14ac:dyDescent="0.3">
      <c r="B114" s="403" t="s">
        <v>84</v>
      </c>
      <c r="C114" s="1252" t="e">
        <f>VLOOKUP("CompostN removed, pack compost",'Sc13'!$A$299:$F$2010,5, FALSE)</f>
        <v>#N/A</v>
      </c>
    </row>
    <row r="115" spans="2:3" s="369" customFormat="1" x14ac:dyDescent="0.3">
      <c r="B115" s="403" t="s">
        <v>941</v>
      </c>
      <c r="C115" s="1252" t="e">
        <f>VLOOKUP("CompostP2O5 removed, pack compost",'Sc13'!$A$299:$F$2010,5, FALSE)</f>
        <v>#N/A</v>
      </c>
    </row>
    <row r="116" spans="2:3" s="369" customFormat="1" ht="15" thickBot="1" x14ac:dyDescent="0.35">
      <c r="B116" s="1275" t="s">
        <v>934</v>
      </c>
      <c r="C116" s="1276" t="e">
        <f>VLOOKUP("CompostK2O removed, pack compost",'Sc13'!$A$299:$F$2010,5, FALSE)</f>
        <v>#N/A</v>
      </c>
    </row>
  </sheetData>
  <mergeCells count="2">
    <mergeCell ref="C2:P2"/>
    <mergeCell ref="R2:AE2"/>
  </mergeCells>
  <phoneticPr fontId="51"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66F44-F0D6-44CF-829E-7041A8A511E7}">
  <sheetPr codeName="Sheet48">
    <tabColor rgb="FF00B0F0"/>
  </sheetPr>
  <dimension ref="A1:BN282"/>
  <sheetViews>
    <sheetView workbookViewId="0">
      <selection activeCell="L2" sqref="L2:M4"/>
    </sheetView>
  </sheetViews>
  <sheetFormatPr defaultColWidth="9.44140625" defaultRowHeight="14.4" x14ac:dyDescent="0.3"/>
  <cols>
    <col min="1" max="1" width="9.44140625" customWidth="1"/>
    <col min="2" max="2" width="2.5546875" customWidth="1"/>
    <col min="3" max="3" width="9.44140625" customWidth="1"/>
    <col min="20" max="20" width="9.44140625" customWidth="1"/>
    <col min="21" max="21" width="2.5546875" customWidth="1"/>
    <col min="54" max="54" width="20.5546875" customWidth="1"/>
    <col min="55" max="55" width="14" customWidth="1"/>
    <col min="56" max="56" width="10.88671875" bestFit="1" customWidth="1"/>
    <col min="57" max="57" width="13.88671875" bestFit="1" customWidth="1"/>
    <col min="58" max="58" width="13.88671875" customWidth="1"/>
    <col min="59" max="59" width="10.88671875" bestFit="1" customWidth="1"/>
    <col min="60" max="60" width="10.88671875" customWidth="1"/>
    <col min="61" max="61" width="10.33203125" bestFit="1" customWidth="1"/>
    <col min="62" max="62" width="10.5546875" bestFit="1" customWidth="1"/>
    <col min="63" max="63" width="20" bestFit="1" customWidth="1"/>
    <col min="64" max="64" width="24.6640625" bestFit="1" customWidth="1"/>
    <col min="65" max="65" width="13.33203125" bestFit="1"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62" t="s">
        <v>2</v>
      </c>
      <c r="K2" s="2363"/>
      <c r="L2" s="2345" t="s">
        <v>3</v>
      </c>
      <c r="M2" s="2346"/>
      <c r="N2" s="2345" t="s">
        <v>4</v>
      </c>
      <c r="O2" s="2346"/>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64"/>
      <c r="K3" s="2365"/>
      <c r="L3" s="2347"/>
      <c r="M3" s="2348"/>
      <c r="N3" s="2347"/>
      <c r="O3" s="2348"/>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66"/>
      <c r="K4" s="2367"/>
      <c r="L4" s="2349"/>
      <c r="M4" s="2350"/>
      <c r="N4" s="2349"/>
      <c r="O4" s="2350"/>
      <c r="P4" s="2349"/>
      <c r="Q4" s="2350"/>
      <c r="R4" s="926"/>
      <c r="S4" s="2356" t="s">
        <v>7</v>
      </c>
      <c r="T4" s="2479"/>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480"/>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48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4"/>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491" t="s">
        <v>135</v>
      </c>
      <c r="E11" s="2492"/>
      <c r="F11" s="2492"/>
      <c r="G11" s="2492"/>
      <c r="H11" s="2492"/>
      <c r="I11" s="2492"/>
      <c r="J11" s="2492"/>
      <c r="K11" s="2492"/>
      <c r="L11" s="2492"/>
      <c r="M11" s="2492"/>
      <c r="N11" s="2492"/>
      <c r="O11" s="2492"/>
      <c r="P11" s="2492"/>
      <c r="Q11" s="2492"/>
      <c r="R11" s="2492"/>
      <c r="S11" s="2493"/>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494"/>
      <c r="E12" s="2495"/>
      <c r="F12" s="2495"/>
      <c r="G12" s="2495"/>
      <c r="H12" s="2495"/>
      <c r="I12" s="2495"/>
      <c r="J12" s="2495"/>
      <c r="K12" s="2495"/>
      <c r="L12" s="2495"/>
      <c r="M12" s="2495"/>
      <c r="N12" s="2495"/>
      <c r="O12" s="2495"/>
      <c r="P12" s="2495"/>
      <c r="Q12" s="2495"/>
      <c r="R12" s="2495"/>
      <c r="S12" s="2496"/>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494"/>
      <c r="E13" s="2495"/>
      <c r="F13" s="2495"/>
      <c r="G13" s="2495"/>
      <c r="H13" s="2495"/>
      <c r="I13" s="2495"/>
      <c r="J13" s="2495"/>
      <c r="K13" s="2495"/>
      <c r="L13" s="2495"/>
      <c r="M13" s="2495"/>
      <c r="N13" s="2495"/>
      <c r="O13" s="2495"/>
      <c r="P13" s="2495"/>
      <c r="Q13" s="2495"/>
      <c r="R13" s="2495"/>
      <c r="S13" s="2496"/>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494"/>
      <c r="E14" s="2495"/>
      <c r="F14" s="2495"/>
      <c r="G14" s="2495"/>
      <c r="H14" s="2495"/>
      <c r="I14" s="2495"/>
      <c r="J14" s="2495"/>
      <c r="K14" s="2495"/>
      <c r="L14" s="2495"/>
      <c r="M14" s="2495"/>
      <c r="N14" s="2495"/>
      <c r="O14" s="2495"/>
      <c r="P14" s="2495"/>
      <c r="Q14" s="2495"/>
      <c r="R14" s="2495"/>
      <c r="S14" s="2496"/>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494"/>
      <c r="E15" s="2495"/>
      <c r="F15" s="2495"/>
      <c r="G15" s="2495"/>
      <c r="H15" s="2495"/>
      <c r="I15" s="2495"/>
      <c r="J15" s="2495"/>
      <c r="K15" s="2495"/>
      <c r="L15" s="2495"/>
      <c r="M15" s="2495"/>
      <c r="N15" s="2495"/>
      <c r="O15" s="2495"/>
      <c r="P15" s="2495"/>
      <c r="Q15" s="2495"/>
      <c r="R15" s="2495"/>
      <c r="S15" s="2496"/>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497"/>
      <c r="E16" s="2498"/>
      <c r="F16" s="2498"/>
      <c r="G16" s="2498"/>
      <c r="H16" s="2498"/>
      <c r="I16" s="2498"/>
      <c r="J16" s="2498"/>
      <c r="K16" s="2498"/>
      <c r="L16" s="2498"/>
      <c r="M16" s="2498"/>
      <c r="N16" s="2498"/>
      <c r="O16" s="2498"/>
      <c r="P16" s="2498"/>
      <c r="Q16" s="2498"/>
      <c r="R16" s="2498"/>
      <c r="S16" s="2499"/>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40"/>
      <c r="E18" s="40"/>
      <c r="F18" s="40"/>
      <c r="G18" s="2441" t="s">
        <v>136</v>
      </c>
      <c r="H18" s="2442"/>
      <c r="I18" s="2442"/>
      <c r="J18" s="2442"/>
      <c r="K18" s="2442"/>
      <c r="L18" s="2442"/>
      <c r="M18" s="2442"/>
      <c r="N18" s="2442"/>
      <c r="O18" s="2442"/>
      <c r="P18" s="2443"/>
      <c r="Q18" s="40"/>
      <c r="R18" s="40"/>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40"/>
      <c r="F19" s="40"/>
      <c r="G19" s="2444"/>
      <c r="H19" s="2380"/>
      <c r="I19" s="2380"/>
      <c r="J19" s="2380"/>
      <c r="K19" s="2380"/>
      <c r="L19" s="2380"/>
      <c r="M19" s="2380"/>
      <c r="N19" s="2380"/>
      <c r="O19" s="2380"/>
      <c r="P19" s="2445"/>
      <c r="Q19" s="40"/>
      <c r="R19" s="40"/>
      <c r="S19" s="4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40"/>
      <c r="E20" s="40"/>
      <c r="F20" s="40"/>
      <c r="G20" s="2444"/>
      <c r="H20" s="2380"/>
      <c r="I20" s="2380"/>
      <c r="J20" s="2380"/>
      <c r="K20" s="2380"/>
      <c r="L20" s="2380"/>
      <c r="M20" s="2380"/>
      <c r="N20" s="2380"/>
      <c r="O20" s="2380"/>
      <c r="P20" s="2445"/>
      <c r="Q20" s="40"/>
      <c r="R20" s="40"/>
      <c r="S20" s="4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40"/>
      <c r="E21" s="40"/>
      <c r="F21" s="40"/>
      <c r="G21" s="2444"/>
      <c r="H21" s="2380"/>
      <c r="I21" s="2380"/>
      <c r="J21" s="2380"/>
      <c r="K21" s="2380"/>
      <c r="L21" s="2380"/>
      <c r="M21" s="2380"/>
      <c r="N21" s="2380"/>
      <c r="O21" s="2380"/>
      <c r="P21" s="2445"/>
      <c r="Q21" s="40"/>
      <c r="R21" s="40"/>
      <c r="S21" s="4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40"/>
      <c r="E22" s="40"/>
      <c r="F22" s="40"/>
      <c r="G22" s="2444"/>
      <c r="H22" s="2380"/>
      <c r="I22" s="2380"/>
      <c r="J22" s="2380"/>
      <c r="K22" s="2380"/>
      <c r="L22" s="2380"/>
      <c r="M22" s="2380"/>
      <c r="N22" s="2380"/>
      <c r="O22" s="2380"/>
      <c r="P22" s="2445"/>
      <c r="Q22" s="40"/>
      <c r="R22" s="40"/>
      <c r="S22" s="40"/>
      <c r="T22" s="963"/>
      <c r="U22" s="609"/>
      <c r="V22" s="926"/>
      <c r="W22" s="926"/>
      <c r="X22" s="926"/>
      <c r="Y22" s="926"/>
      <c r="Z22" s="926"/>
      <c r="AA22" s="926"/>
      <c r="AB22" s="926"/>
      <c r="AC22" s="926"/>
      <c r="AD22" s="926"/>
      <c r="AE22" s="926"/>
      <c r="AF22" s="926"/>
      <c r="AG22" s="926"/>
      <c r="AH22" s="926"/>
      <c r="AI22" s="926"/>
      <c r="AJ22" s="926"/>
    </row>
    <row r="23" spans="1:36" ht="15" customHeight="1" thickBot="1" x14ac:dyDescent="0.35">
      <c r="A23" s="926"/>
      <c r="B23" s="609"/>
      <c r="C23" s="962"/>
      <c r="D23" s="40"/>
      <c r="E23" s="40"/>
      <c r="F23" s="40"/>
      <c r="G23" s="2446"/>
      <c r="H23" s="2447"/>
      <c r="I23" s="2447"/>
      <c r="J23" s="2447"/>
      <c r="K23" s="2447"/>
      <c r="L23" s="2447"/>
      <c r="M23" s="2447"/>
      <c r="N23" s="2447"/>
      <c r="O23" s="2447"/>
      <c r="P23" s="2448"/>
      <c r="Q23" s="40"/>
      <c r="R23" s="40"/>
      <c r="S23" s="40"/>
      <c r="T23" s="963"/>
      <c r="U23" s="609"/>
      <c r="V23" s="926"/>
      <c r="W23" s="926"/>
      <c r="X23" s="926"/>
      <c r="Y23" s="926"/>
      <c r="Z23" s="926"/>
      <c r="AA23" s="926"/>
      <c r="AB23" s="926"/>
      <c r="AC23" s="926"/>
      <c r="AD23" s="926"/>
      <c r="AE23" s="926"/>
      <c r="AF23" s="926"/>
      <c r="AG23" s="926"/>
      <c r="AH23" s="926"/>
      <c r="AI23" s="926"/>
      <c r="AJ23" s="926"/>
    </row>
    <row r="24" spans="1:36" ht="15" customHeight="1" thickBot="1" x14ac:dyDescent="0.35">
      <c r="A24" s="926"/>
      <c r="B24" s="609"/>
      <c r="C24" s="962"/>
      <c r="D24" s="40"/>
      <c r="E24" s="40"/>
      <c r="F24" s="40"/>
      <c r="G24" s="981"/>
      <c r="H24" s="981"/>
      <c r="I24" s="981"/>
      <c r="J24" s="981"/>
      <c r="K24" s="981"/>
      <c r="L24" s="981"/>
      <c r="M24" s="981"/>
      <c r="N24" s="981"/>
      <c r="O24" s="981"/>
      <c r="P24" s="981"/>
      <c r="Q24" s="40"/>
      <c r="R24" s="40"/>
      <c r="S24" s="40"/>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461" t="s">
        <v>137</v>
      </c>
      <c r="E25" s="2462"/>
      <c r="F25" s="2462"/>
      <c r="G25" s="2462"/>
      <c r="H25" s="2462"/>
      <c r="I25" s="2462"/>
      <c r="J25" s="2462"/>
      <c r="K25" s="2462"/>
      <c r="L25" s="2462"/>
      <c r="M25" s="2462"/>
      <c r="N25" s="2462"/>
      <c r="O25" s="2462"/>
      <c r="P25" s="2462"/>
      <c r="Q25" s="2462"/>
      <c r="R25" s="2462"/>
      <c r="S25" s="2463"/>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464"/>
      <c r="E26" s="2465"/>
      <c r="F26" s="2465"/>
      <c r="G26" s="2465"/>
      <c r="H26" s="2465"/>
      <c r="I26" s="2465"/>
      <c r="J26" s="2465"/>
      <c r="K26" s="2465"/>
      <c r="L26" s="2465"/>
      <c r="M26" s="2465"/>
      <c r="N26" s="2465"/>
      <c r="O26" s="2465"/>
      <c r="P26" s="2465"/>
      <c r="Q26" s="2465"/>
      <c r="R26" s="2465"/>
      <c r="S26" s="2466"/>
      <c r="T26" s="963"/>
      <c r="U26" s="609"/>
      <c r="V26" s="926"/>
      <c r="W26" s="926"/>
      <c r="X26" s="926"/>
      <c r="Y26" s="926"/>
      <c r="Z26" s="926"/>
      <c r="AA26" s="926"/>
      <c r="AB26" s="926"/>
      <c r="AC26" s="926"/>
      <c r="AD26" s="926"/>
      <c r="AE26" s="926"/>
      <c r="AF26" s="926"/>
      <c r="AG26" s="926"/>
      <c r="AH26" s="926"/>
      <c r="AI26" s="926"/>
      <c r="AJ26" s="926"/>
    </row>
    <row r="27" spans="1:36" ht="15" customHeight="1" thickBot="1" x14ac:dyDescent="0.35">
      <c r="A27" s="926"/>
      <c r="B27" s="609"/>
      <c r="C27" s="962"/>
      <c r="D27" s="2467"/>
      <c r="E27" s="2468"/>
      <c r="F27" s="2468"/>
      <c r="G27" s="2468"/>
      <c r="H27" s="2468"/>
      <c r="I27" s="2468"/>
      <c r="J27" s="2468"/>
      <c r="K27" s="2468"/>
      <c r="L27" s="2468"/>
      <c r="M27" s="2468"/>
      <c r="N27" s="2468"/>
      <c r="O27" s="2468"/>
      <c r="P27" s="2468"/>
      <c r="Q27" s="2468"/>
      <c r="R27" s="2468"/>
      <c r="S27" s="2469"/>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40"/>
      <c r="E28" s="40"/>
      <c r="F28" s="40"/>
      <c r="G28" s="40"/>
      <c r="H28" s="40"/>
      <c r="I28" s="40"/>
      <c r="J28" s="40"/>
      <c r="K28" s="40"/>
      <c r="L28" s="40"/>
      <c r="M28" s="40"/>
      <c r="N28" s="40"/>
      <c r="O28" s="40"/>
      <c r="P28" s="40"/>
      <c r="Q28" s="40"/>
      <c r="R28" s="40"/>
      <c r="S28" s="40"/>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40"/>
      <c r="E29" s="2402" t="s">
        <v>138</v>
      </c>
      <c r="F29" s="2402"/>
      <c r="G29" s="2402"/>
      <c r="H29" s="2402"/>
      <c r="I29" s="2402"/>
      <c r="J29" s="2402"/>
      <c r="K29" s="2402"/>
      <c r="L29" s="2402"/>
      <c r="M29" s="2402"/>
      <c r="N29" s="2402"/>
      <c r="O29" s="2402"/>
      <c r="P29" s="2402"/>
      <c r="Q29" s="2402"/>
      <c r="R29" s="2402"/>
      <c r="S29" s="4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40"/>
      <c r="E30" s="2402"/>
      <c r="F30" s="2402"/>
      <c r="G30" s="2402"/>
      <c r="H30" s="2402"/>
      <c r="I30" s="2402"/>
      <c r="J30" s="2402"/>
      <c r="K30" s="2402"/>
      <c r="L30" s="2402"/>
      <c r="M30" s="2402"/>
      <c r="N30" s="2402"/>
      <c r="O30" s="2402"/>
      <c r="P30" s="2402"/>
      <c r="Q30" s="2402"/>
      <c r="R30" s="2402"/>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2402"/>
      <c r="F31" s="2402"/>
      <c r="G31" s="2402"/>
      <c r="H31" s="2402"/>
      <c r="I31" s="2402"/>
      <c r="J31" s="2402"/>
      <c r="K31" s="2402"/>
      <c r="L31" s="2402"/>
      <c r="M31" s="2402"/>
      <c r="N31" s="2402"/>
      <c r="O31" s="2402"/>
      <c r="P31" s="2402"/>
      <c r="Q31" s="2402"/>
      <c r="R31" s="2402"/>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2402"/>
      <c r="F32" s="2402"/>
      <c r="G32" s="2402"/>
      <c r="H32" s="2402"/>
      <c r="I32" s="2402"/>
      <c r="J32" s="2402"/>
      <c r="K32" s="2402"/>
      <c r="L32" s="2402"/>
      <c r="M32" s="2402"/>
      <c r="N32" s="2402"/>
      <c r="O32" s="2402"/>
      <c r="P32" s="2402"/>
      <c r="Q32" s="2402"/>
      <c r="R32" s="2402"/>
      <c r="S32" s="4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40"/>
      <c r="E33" s="2403" t="s">
        <v>31</v>
      </c>
      <c r="F33" s="2403"/>
      <c r="G33" s="2403"/>
      <c r="H33" s="2403"/>
      <c r="I33" s="2403"/>
      <c r="J33" s="2403"/>
      <c r="K33" s="2403" t="s">
        <v>32</v>
      </c>
      <c r="L33" s="2403"/>
      <c r="M33" s="2403"/>
      <c r="N33" s="2403"/>
      <c r="O33" s="2403"/>
      <c r="P33" s="2403"/>
      <c r="Q33" s="2403"/>
      <c r="R33" s="2403"/>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2400" t="s">
        <v>72</v>
      </c>
      <c r="F34" s="2400"/>
      <c r="G34" s="2400"/>
      <c r="H34" s="2400"/>
      <c r="I34" s="2400"/>
      <c r="J34" s="2400"/>
      <c r="K34" s="2429" t="s">
        <v>139</v>
      </c>
      <c r="L34" s="2429"/>
      <c r="M34" s="2429"/>
      <c r="N34" s="2429"/>
      <c r="O34" s="2429"/>
      <c r="P34" s="2429"/>
      <c r="Q34" s="2429"/>
      <c r="R34" s="2412"/>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2400"/>
      <c r="F35" s="2400"/>
      <c r="G35" s="2400"/>
      <c r="H35" s="2400"/>
      <c r="I35" s="2400"/>
      <c r="J35" s="2400"/>
      <c r="K35" s="2430"/>
      <c r="L35" s="2430"/>
      <c r="M35" s="2430"/>
      <c r="N35" s="2430"/>
      <c r="O35" s="2430"/>
      <c r="P35" s="2430"/>
      <c r="Q35" s="2430"/>
      <c r="R35" s="2414"/>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2400"/>
      <c r="F36" s="2400"/>
      <c r="G36" s="2400"/>
      <c r="H36" s="2400"/>
      <c r="I36" s="2400"/>
      <c r="J36" s="2400"/>
      <c r="K36" s="2430"/>
      <c r="L36" s="2430"/>
      <c r="M36" s="2430"/>
      <c r="N36" s="2430"/>
      <c r="O36" s="2430"/>
      <c r="P36" s="2430"/>
      <c r="Q36" s="2430"/>
      <c r="R36" s="2414"/>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2400"/>
      <c r="F37" s="2400"/>
      <c r="G37" s="2400"/>
      <c r="H37" s="2400"/>
      <c r="I37" s="2400"/>
      <c r="J37" s="2400"/>
      <c r="K37" s="2431"/>
      <c r="L37" s="2431"/>
      <c r="M37" s="2431"/>
      <c r="N37" s="2431"/>
      <c r="O37" s="2431"/>
      <c r="P37" s="2431"/>
      <c r="Q37" s="2431"/>
      <c r="R37" s="2416"/>
      <c r="S37" s="40"/>
      <c r="T37" s="963"/>
      <c r="U37" s="609"/>
      <c r="V37" s="926"/>
      <c r="W37" s="926"/>
      <c r="X37" s="926"/>
      <c r="Y37" s="926"/>
      <c r="Z37" s="926"/>
      <c r="AA37" s="926"/>
      <c r="AB37" s="926"/>
      <c r="AC37" s="926"/>
      <c r="AD37" s="926"/>
      <c r="AE37" s="926"/>
      <c r="AF37" s="926"/>
      <c r="AG37" s="926"/>
      <c r="AH37" s="926"/>
      <c r="AI37" s="926"/>
      <c r="AJ37" s="926"/>
    </row>
    <row r="38" spans="1:36" ht="15" customHeight="1" thickBot="1" x14ac:dyDescent="0.35">
      <c r="A38" s="926"/>
      <c r="B38" s="609"/>
      <c r="C38" s="962"/>
      <c r="D38" s="40"/>
      <c r="E38" s="40"/>
      <c r="F38" s="40"/>
      <c r="G38" s="40"/>
      <c r="H38" s="40"/>
      <c r="I38" s="40"/>
      <c r="J38" s="40"/>
      <c r="K38" s="40"/>
      <c r="L38" s="40"/>
      <c r="M38" s="40"/>
      <c r="N38" s="40"/>
      <c r="O38" s="40"/>
      <c r="P38" s="40"/>
      <c r="Q38" s="40"/>
      <c r="R38" s="40"/>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40"/>
      <c r="F39" s="40"/>
      <c r="G39" s="2470" t="str">
        <f>IF(K34="Yes", "Please answer the below questions about the number and average body weight of this part of your herd.", "You may skip the questions about the number and average body weight.")</f>
        <v>You may skip the questions about the number and average body weight.</v>
      </c>
      <c r="H39" s="2471"/>
      <c r="I39" s="2471"/>
      <c r="J39" s="2471"/>
      <c r="K39" s="2471"/>
      <c r="L39" s="2471"/>
      <c r="M39" s="2471"/>
      <c r="N39" s="2471"/>
      <c r="O39" s="2471"/>
      <c r="P39" s="2472"/>
      <c r="Q39" s="40"/>
      <c r="R39" s="40"/>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40"/>
      <c r="F40" s="40"/>
      <c r="G40" s="2473"/>
      <c r="H40" s="2474"/>
      <c r="I40" s="2474"/>
      <c r="J40" s="2474"/>
      <c r="K40" s="2474"/>
      <c r="L40" s="2474"/>
      <c r="M40" s="2474"/>
      <c r="N40" s="2474"/>
      <c r="O40" s="2474"/>
      <c r="P40" s="2475"/>
      <c r="Q40" s="40"/>
      <c r="R40" s="40"/>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40"/>
      <c r="F41" s="40"/>
      <c r="G41" s="2473"/>
      <c r="H41" s="2474"/>
      <c r="I41" s="2474"/>
      <c r="J41" s="2474"/>
      <c r="K41" s="2474"/>
      <c r="L41" s="2474"/>
      <c r="M41" s="2474"/>
      <c r="N41" s="2474"/>
      <c r="O41" s="2474"/>
      <c r="P41" s="2475"/>
      <c r="Q41" s="40"/>
      <c r="R41" s="40"/>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40"/>
      <c r="F42" s="40"/>
      <c r="G42" s="2473"/>
      <c r="H42" s="2474"/>
      <c r="I42" s="2474"/>
      <c r="J42" s="2474"/>
      <c r="K42" s="2474"/>
      <c r="L42" s="2474"/>
      <c r="M42" s="2474"/>
      <c r="N42" s="2474"/>
      <c r="O42" s="2474"/>
      <c r="P42" s="2475"/>
      <c r="Q42" s="40"/>
      <c r="R42" s="40"/>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40"/>
      <c r="F43" s="40"/>
      <c r="G43" s="2473"/>
      <c r="H43" s="2474"/>
      <c r="I43" s="2474"/>
      <c r="J43" s="2474"/>
      <c r="K43" s="2474"/>
      <c r="L43" s="2474"/>
      <c r="M43" s="2474"/>
      <c r="N43" s="2474"/>
      <c r="O43" s="2474"/>
      <c r="P43" s="2475"/>
      <c r="Q43" s="40"/>
      <c r="R43" s="40"/>
      <c r="S43" s="40"/>
      <c r="T43" s="963"/>
      <c r="U43" s="609"/>
      <c r="V43" s="926"/>
      <c r="W43" s="926"/>
      <c r="X43" s="926"/>
      <c r="Y43" s="926"/>
      <c r="Z43" s="926"/>
      <c r="AA43" s="926"/>
      <c r="AB43" s="926"/>
      <c r="AC43" s="926"/>
      <c r="AD43" s="926"/>
      <c r="AE43" s="926"/>
      <c r="AF43" s="926"/>
      <c r="AG43" s="926"/>
      <c r="AH43" s="926"/>
      <c r="AI43" s="926"/>
      <c r="AJ43" s="926"/>
    </row>
    <row r="44" spans="1:36" ht="15" customHeight="1" thickBot="1" x14ac:dyDescent="0.35">
      <c r="A44" s="926"/>
      <c r="B44" s="609"/>
      <c r="C44" s="962"/>
      <c r="D44" s="40"/>
      <c r="E44" s="40"/>
      <c r="F44" s="40"/>
      <c r="G44" s="2476"/>
      <c r="H44" s="2477"/>
      <c r="I44" s="2477"/>
      <c r="J44" s="2477"/>
      <c r="K44" s="2477"/>
      <c r="L44" s="2477"/>
      <c r="M44" s="2477"/>
      <c r="N44" s="2477"/>
      <c r="O44" s="2477"/>
      <c r="P44" s="2478"/>
      <c r="Q44" s="40"/>
      <c r="R44" s="40"/>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40"/>
      <c r="F45" s="40"/>
      <c r="G45" s="40"/>
      <c r="H45" s="40"/>
      <c r="I45" s="40"/>
      <c r="J45" s="40"/>
      <c r="K45" s="40"/>
      <c r="L45" s="40"/>
      <c r="M45" s="40"/>
      <c r="N45" s="40"/>
      <c r="O45" s="40"/>
      <c r="P45" s="40"/>
      <c r="Q45" s="40"/>
      <c r="R45" s="40"/>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2399" t="str">
        <f>IF(K34="Yes","How many nursery swine are in the herd? What is their average body weight?", "Please skip to the next question")</f>
        <v>Please skip to the next question</v>
      </c>
      <c r="F46" s="2399"/>
      <c r="G46" s="2399"/>
      <c r="H46" s="2399"/>
      <c r="I46" s="2399"/>
      <c r="J46" s="2399"/>
      <c r="K46" s="2399"/>
      <c r="L46" s="2399"/>
      <c r="M46" s="2399"/>
      <c r="N46" s="2399"/>
      <c r="O46" s="2399"/>
      <c r="P46" s="2399"/>
      <c r="Q46" s="2399"/>
      <c r="R46" s="2399"/>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2399"/>
      <c r="F47" s="2399"/>
      <c r="G47" s="2399"/>
      <c r="H47" s="2399"/>
      <c r="I47" s="2399"/>
      <c r="J47" s="2399"/>
      <c r="K47" s="2399"/>
      <c r="L47" s="2399"/>
      <c r="M47" s="2399"/>
      <c r="N47" s="2399"/>
      <c r="O47" s="2399"/>
      <c r="P47" s="2399"/>
      <c r="Q47" s="2399"/>
      <c r="R47" s="2399"/>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2399"/>
      <c r="F48" s="2399"/>
      <c r="G48" s="2399"/>
      <c r="H48" s="2399"/>
      <c r="I48" s="2399"/>
      <c r="J48" s="2399"/>
      <c r="K48" s="2399"/>
      <c r="L48" s="2399"/>
      <c r="M48" s="2399"/>
      <c r="N48" s="2399"/>
      <c r="O48" s="2399"/>
      <c r="P48" s="2399"/>
      <c r="Q48" s="2399"/>
      <c r="R48" s="2399"/>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2399"/>
      <c r="F49" s="2399"/>
      <c r="G49" s="2399"/>
      <c r="H49" s="2399"/>
      <c r="I49" s="2399"/>
      <c r="J49" s="2399"/>
      <c r="K49" s="2399"/>
      <c r="L49" s="2399"/>
      <c r="M49" s="2399"/>
      <c r="N49" s="2399"/>
      <c r="O49" s="2399"/>
      <c r="P49" s="2399"/>
      <c r="Q49" s="2399"/>
      <c r="R49" s="2399"/>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2397" t="s">
        <v>140</v>
      </c>
      <c r="F50" s="2397"/>
      <c r="G50" s="2397" t="s">
        <v>38</v>
      </c>
      <c r="H50" s="2397"/>
      <c r="I50" s="2397" t="s">
        <v>39</v>
      </c>
      <c r="J50" s="2397"/>
      <c r="K50" s="2397" t="s">
        <v>40</v>
      </c>
      <c r="L50" s="2397"/>
      <c r="M50" s="2397" t="s">
        <v>41</v>
      </c>
      <c r="N50" s="2397"/>
      <c r="O50" s="2397" t="s">
        <v>42</v>
      </c>
      <c r="P50" s="2397"/>
      <c r="Q50" s="2397" t="s">
        <v>43</v>
      </c>
      <c r="R50" s="2397"/>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2410" t="s">
        <v>44</v>
      </c>
      <c r="F51" s="2410"/>
      <c r="G51" s="2398" t="str">
        <f>BG259</f>
        <v>head</v>
      </c>
      <c r="H51" s="2398"/>
      <c r="I51" s="2407">
        <f>BE259</f>
        <v>0</v>
      </c>
      <c r="J51" s="2407"/>
      <c r="K51" s="2429"/>
      <c r="L51" s="2412"/>
      <c r="M51" s="2407">
        <f>BI259</f>
        <v>0</v>
      </c>
      <c r="N51" s="2407"/>
      <c r="O51" s="2407">
        <f>BJ259</f>
        <v>20000</v>
      </c>
      <c r="P51" s="2407"/>
      <c r="Q51" s="2398" t="str">
        <f>BN259</f>
        <v>Using default</v>
      </c>
      <c r="R51" s="2398"/>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2410"/>
      <c r="F52" s="2410"/>
      <c r="G52" s="2398"/>
      <c r="H52" s="2398"/>
      <c r="I52" s="2407"/>
      <c r="J52" s="2407"/>
      <c r="K52" s="2430"/>
      <c r="L52" s="2414"/>
      <c r="M52" s="2407"/>
      <c r="N52" s="2407"/>
      <c r="O52" s="2407"/>
      <c r="P52" s="2407"/>
      <c r="Q52" s="2398"/>
      <c r="R52" s="2398"/>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2410"/>
      <c r="F53" s="2410"/>
      <c r="G53" s="2398"/>
      <c r="H53" s="2398"/>
      <c r="I53" s="2407"/>
      <c r="J53" s="2407"/>
      <c r="K53" s="2431"/>
      <c r="L53" s="2416"/>
      <c r="M53" s="2407"/>
      <c r="N53" s="2407"/>
      <c r="O53" s="2407"/>
      <c r="P53" s="2407"/>
      <c r="Q53" s="2398"/>
      <c r="R53" s="2398"/>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2410" t="s">
        <v>141</v>
      </c>
      <c r="F54" s="2410"/>
      <c r="G54" s="2398" t="str">
        <f>BG260</f>
        <v>lb/head</v>
      </c>
      <c r="H54" s="2398"/>
      <c r="I54" s="2407">
        <f>BE260</f>
        <v>40</v>
      </c>
      <c r="J54" s="2407"/>
      <c r="K54" s="2429"/>
      <c r="L54" s="2412"/>
      <c r="M54" s="2407">
        <f>BI260</f>
        <v>25</v>
      </c>
      <c r="N54" s="2407"/>
      <c r="O54" s="2407">
        <f>BJ260</f>
        <v>40</v>
      </c>
      <c r="P54" s="2407"/>
      <c r="Q54" s="2398" t="str">
        <f>BN260</f>
        <v>Using default</v>
      </c>
      <c r="R54" s="2398"/>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2410"/>
      <c r="F55" s="2410"/>
      <c r="G55" s="2398"/>
      <c r="H55" s="2398"/>
      <c r="I55" s="2407"/>
      <c r="J55" s="2407"/>
      <c r="K55" s="2430"/>
      <c r="L55" s="2414"/>
      <c r="M55" s="2407"/>
      <c r="N55" s="2407"/>
      <c r="O55" s="2407"/>
      <c r="P55" s="2407"/>
      <c r="Q55" s="2398"/>
      <c r="R55" s="2398"/>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2410"/>
      <c r="F56" s="2410"/>
      <c r="G56" s="2398"/>
      <c r="H56" s="2398"/>
      <c r="I56" s="2407"/>
      <c r="J56" s="2407"/>
      <c r="K56" s="2431"/>
      <c r="L56" s="2416"/>
      <c r="M56" s="2407"/>
      <c r="N56" s="2407"/>
      <c r="O56" s="2407"/>
      <c r="P56" s="2407"/>
      <c r="Q56" s="2398"/>
      <c r="R56" s="2398"/>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40"/>
      <c r="H57" s="40"/>
      <c r="I57" s="40"/>
      <c r="J57" s="40"/>
      <c r="K57" s="40"/>
      <c r="L57" s="40"/>
      <c r="M57" s="40"/>
      <c r="N57" s="40"/>
      <c r="O57" s="40"/>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1962"/>
      <c r="H58" s="40"/>
      <c r="I58" s="40"/>
      <c r="J58" s="40"/>
      <c r="K58" s="40"/>
      <c r="L58" s="40"/>
      <c r="M58" s="40"/>
      <c r="N58" s="40"/>
      <c r="O58" s="40"/>
      <c r="P58" s="40"/>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thickBot="1" x14ac:dyDescent="0.35">
      <c r="A59" s="926"/>
      <c r="B59" s="609"/>
      <c r="C59" s="962"/>
      <c r="D59" s="40"/>
      <c r="E59" s="994"/>
      <c r="F59" s="994"/>
      <c r="G59" s="994"/>
      <c r="H59" s="994"/>
      <c r="I59" s="994"/>
      <c r="J59" s="994"/>
      <c r="K59" s="40"/>
      <c r="L59" s="1963"/>
      <c r="M59" s="1963"/>
      <c r="N59" s="1963"/>
      <c r="O59" s="1963"/>
      <c r="P59" s="1963"/>
      <c r="Q59" s="1964"/>
      <c r="R59" s="1964"/>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2482" t="s">
        <v>142</v>
      </c>
      <c r="E60" s="2483"/>
      <c r="F60" s="2483"/>
      <c r="G60" s="2483"/>
      <c r="H60" s="2483"/>
      <c r="I60" s="2483"/>
      <c r="J60" s="2483"/>
      <c r="K60" s="2483"/>
      <c r="L60" s="2483"/>
      <c r="M60" s="2483"/>
      <c r="N60" s="2483"/>
      <c r="O60" s="2483"/>
      <c r="P60" s="2483"/>
      <c r="Q60" s="2483"/>
      <c r="R60" s="2483"/>
      <c r="S60" s="2484"/>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2485"/>
      <c r="E61" s="2486"/>
      <c r="F61" s="2486"/>
      <c r="G61" s="2486"/>
      <c r="H61" s="2486"/>
      <c r="I61" s="2486"/>
      <c r="J61" s="2486"/>
      <c r="K61" s="2486"/>
      <c r="L61" s="2486"/>
      <c r="M61" s="2486"/>
      <c r="N61" s="2486"/>
      <c r="O61" s="2486"/>
      <c r="P61" s="2486"/>
      <c r="Q61" s="2486"/>
      <c r="R61" s="2486"/>
      <c r="S61" s="2487"/>
      <c r="T61" s="963"/>
      <c r="U61" s="609"/>
      <c r="V61" s="926"/>
      <c r="W61" s="926"/>
      <c r="X61" s="926"/>
      <c r="Y61" s="926"/>
      <c r="Z61" s="926"/>
      <c r="AA61" s="926"/>
      <c r="AB61" s="926"/>
      <c r="AC61" s="926"/>
      <c r="AD61" s="926"/>
      <c r="AE61" s="926"/>
      <c r="AF61" s="926"/>
      <c r="AG61" s="926"/>
      <c r="AH61" s="926"/>
      <c r="AI61" s="926"/>
      <c r="AJ61" s="926"/>
    </row>
    <row r="62" spans="1:36" ht="15" customHeight="1" thickBot="1" x14ac:dyDescent="0.35">
      <c r="A62" s="926"/>
      <c r="B62" s="609"/>
      <c r="C62" s="962"/>
      <c r="D62" s="2488"/>
      <c r="E62" s="2489"/>
      <c r="F62" s="2489"/>
      <c r="G62" s="2489"/>
      <c r="H62" s="2489"/>
      <c r="I62" s="2489"/>
      <c r="J62" s="2489"/>
      <c r="K62" s="2489"/>
      <c r="L62" s="2489"/>
      <c r="M62" s="2489"/>
      <c r="N62" s="2489"/>
      <c r="O62" s="2489"/>
      <c r="P62" s="2489"/>
      <c r="Q62" s="2489"/>
      <c r="R62" s="2489"/>
      <c r="S62" s="249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40"/>
      <c r="E63" s="994"/>
      <c r="F63" s="994"/>
      <c r="G63" s="994"/>
      <c r="H63" s="994"/>
      <c r="I63" s="994"/>
      <c r="J63" s="994"/>
      <c r="K63" s="40"/>
      <c r="L63" s="1963"/>
      <c r="M63" s="1963"/>
      <c r="N63" s="1963"/>
      <c r="O63" s="1963"/>
      <c r="P63" s="1963"/>
      <c r="Q63" s="1964"/>
      <c r="R63" s="1964"/>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40"/>
      <c r="E64" s="2402" t="s">
        <v>143</v>
      </c>
      <c r="F64" s="2402"/>
      <c r="G64" s="2402"/>
      <c r="H64" s="2402"/>
      <c r="I64" s="2402"/>
      <c r="J64" s="2402"/>
      <c r="K64" s="2402"/>
      <c r="L64" s="2402"/>
      <c r="M64" s="2402"/>
      <c r="N64" s="2402"/>
      <c r="O64" s="2402"/>
      <c r="P64" s="2402"/>
      <c r="Q64" s="2402"/>
      <c r="R64" s="2402"/>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40"/>
      <c r="E65" s="2402"/>
      <c r="F65" s="2402"/>
      <c r="G65" s="2402"/>
      <c r="H65" s="2402"/>
      <c r="I65" s="2402"/>
      <c r="J65" s="2402"/>
      <c r="K65" s="2402"/>
      <c r="L65" s="2402"/>
      <c r="M65" s="2402"/>
      <c r="N65" s="2402"/>
      <c r="O65" s="2402"/>
      <c r="P65" s="2402"/>
      <c r="Q65" s="2402"/>
      <c r="R65" s="2402"/>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40"/>
      <c r="E66" s="2402"/>
      <c r="F66" s="2402"/>
      <c r="G66" s="2402"/>
      <c r="H66" s="2402"/>
      <c r="I66" s="2402"/>
      <c r="J66" s="2402"/>
      <c r="K66" s="2402"/>
      <c r="L66" s="2402"/>
      <c r="M66" s="2402"/>
      <c r="N66" s="2402"/>
      <c r="O66" s="2402"/>
      <c r="P66" s="2402"/>
      <c r="Q66" s="2402"/>
      <c r="R66" s="2402"/>
      <c r="S66" s="4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962"/>
      <c r="D67" s="40"/>
      <c r="E67" s="2402"/>
      <c r="F67" s="2402"/>
      <c r="G67" s="2402"/>
      <c r="H67" s="2402"/>
      <c r="I67" s="2402"/>
      <c r="J67" s="2402"/>
      <c r="K67" s="2402"/>
      <c r="L67" s="2402"/>
      <c r="M67" s="2402"/>
      <c r="N67" s="2402"/>
      <c r="O67" s="2402"/>
      <c r="P67" s="2402"/>
      <c r="Q67" s="2402"/>
      <c r="R67" s="2402"/>
      <c r="S67" s="4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962"/>
      <c r="D68" s="40"/>
      <c r="E68" s="2403" t="s">
        <v>31</v>
      </c>
      <c r="F68" s="2403"/>
      <c r="G68" s="2403"/>
      <c r="H68" s="2403"/>
      <c r="I68" s="2403"/>
      <c r="J68" s="2403"/>
      <c r="K68" s="2403" t="s">
        <v>32</v>
      </c>
      <c r="L68" s="2403"/>
      <c r="M68" s="2403"/>
      <c r="N68" s="2403"/>
      <c r="O68" s="2403"/>
      <c r="P68" s="2403"/>
      <c r="Q68" s="2403"/>
      <c r="R68" s="2403"/>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40"/>
      <c r="E69" s="2400" t="s">
        <v>72</v>
      </c>
      <c r="F69" s="2400"/>
      <c r="G69" s="2400"/>
      <c r="H69" s="2400"/>
      <c r="I69" s="2400"/>
      <c r="J69" s="2400"/>
      <c r="K69" s="2429" t="s">
        <v>73</v>
      </c>
      <c r="L69" s="2429"/>
      <c r="M69" s="2429"/>
      <c r="N69" s="2429"/>
      <c r="O69" s="2429"/>
      <c r="P69" s="2429"/>
      <c r="Q69" s="2429"/>
      <c r="R69" s="2412"/>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962"/>
      <c r="D70" s="40"/>
      <c r="E70" s="2400"/>
      <c r="F70" s="2400"/>
      <c r="G70" s="2400"/>
      <c r="H70" s="2400"/>
      <c r="I70" s="2400"/>
      <c r="J70" s="2400"/>
      <c r="K70" s="2430"/>
      <c r="L70" s="2430"/>
      <c r="M70" s="2430"/>
      <c r="N70" s="2430"/>
      <c r="O70" s="2430"/>
      <c r="P70" s="2430"/>
      <c r="Q70" s="2430"/>
      <c r="R70" s="2414"/>
      <c r="S70" s="4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962"/>
      <c r="D71" s="40"/>
      <c r="E71" s="2400"/>
      <c r="F71" s="2400"/>
      <c r="G71" s="2400"/>
      <c r="H71" s="2400"/>
      <c r="I71" s="2400"/>
      <c r="J71" s="2400"/>
      <c r="K71" s="2430"/>
      <c r="L71" s="2430"/>
      <c r="M71" s="2430"/>
      <c r="N71" s="2430"/>
      <c r="O71" s="2430"/>
      <c r="P71" s="2430"/>
      <c r="Q71" s="2430"/>
      <c r="R71" s="2414"/>
      <c r="S71" s="40"/>
      <c r="T71" s="963"/>
      <c r="U71" s="609"/>
      <c r="V71" s="926"/>
      <c r="W71" s="926"/>
      <c r="X71" s="926"/>
      <c r="Y71" s="926"/>
      <c r="Z71" s="926"/>
      <c r="AA71" s="926"/>
      <c r="AB71" s="926"/>
      <c r="AC71" s="926"/>
      <c r="AD71" s="926"/>
      <c r="AE71" s="926"/>
      <c r="AF71" s="926"/>
      <c r="AG71" s="926"/>
      <c r="AH71" s="926"/>
      <c r="AI71" s="926"/>
      <c r="AJ71" s="926"/>
    </row>
    <row r="72" spans="1:36" ht="15" customHeight="1" x14ac:dyDescent="0.3">
      <c r="A72" s="926"/>
      <c r="B72" s="609"/>
      <c r="C72" s="962"/>
      <c r="D72" s="40"/>
      <c r="E72" s="2400"/>
      <c r="F72" s="2400"/>
      <c r="G72" s="2400"/>
      <c r="H72" s="2400"/>
      <c r="I72" s="2400"/>
      <c r="J72" s="2400"/>
      <c r="K72" s="2431"/>
      <c r="L72" s="2431"/>
      <c r="M72" s="2431"/>
      <c r="N72" s="2431"/>
      <c r="O72" s="2431"/>
      <c r="P72" s="2431"/>
      <c r="Q72" s="2431"/>
      <c r="R72" s="2416"/>
      <c r="S72" s="40"/>
      <c r="T72" s="963"/>
      <c r="U72" s="609"/>
      <c r="V72" s="926"/>
      <c r="W72" s="926"/>
      <c r="X72" s="926"/>
      <c r="Y72" s="926"/>
      <c r="Z72" s="926"/>
      <c r="AA72" s="926"/>
      <c r="AB72" s="926"/>
      <c r="AC72" s="926"/>
      <c r="AD72" s="926"/>
      <c r="AE72" s="926"/>
      <c r="AF72" s="926"/>
      <c r="AG72" s="926"/>
      <c r="AH72" s="926"/>
      <c r="AI72" s="926"/>
      <c r="AJ72" s="926"/>
    </row>
    <row r="73" spans="1:36" ht="15" customHeight="1" thickBot="1" x14ac:dyDescent="0.35">
      <c r="A73" s="926"/>
      <c r="B73" s="609"/>
      <c r="C73" s="962"/>
      <c r="D73" s="40"/>
      <c r="E73" s="40"/>
      <c r="F73" s="40"/>
      <c r="G73" s="40"/>
      <c r="H73" s="40"/>
      <c r="I73" s="40"/>
      <c r="J73" s="40"/>
      <c r="K73" s="40"/>
      <c r="L73" s="40"/>
      <c r="M73" s="40"/>
      <c r="N73" s="40"/>
      <c r="O73" s="40"/>
      <c r="P73" s="40"/>
      <c r="Q73" s="40"/>
      <c r="R73" s="40"/>
      <c r="S73" s="4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40"/>
      <c r="E74" s="40"/>
      <c r="F74" s="40"/>
      <c r="G74" s="2470" t="str">
        <f>IF(K69="Yes", "Please answer the below questions about the number and average body weight of this part of your herd.", "You may skip the questions about the number and average body weight.")</f>
        <v>Please answer the below questions about the number and average body weight of this part of your herd.</v>
      </c>
      <c r="H74" s="2471"/>
      <c r="I74" s="2471"/>
      <c r="J74" s="2471"/>
      <c r="K74" s="2471"/>
      <c r="L74" s="2471"/>
      <c r="M74" s="2471"/>
      <c r="N74" s="2471"/>
      <c r="O74" s="2471"/>
      <c r="P74" s="2472"/>
      <c r="Q74" s="40"/>
      <c r="R74" s="40"/>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962"/>
      <c r="D75" s="40"/>
      <c r="E75" s="40"/>
      <c r="F75" s="40"/>
      <c r="G75" s="2473"/>
      <c r="H75" s="2474"/>
      <c r="I75" s="2474"/>
      <c r="J75" s="2474"/>
      <c r="K75" s="2474"/>
      <c r="L75" s="2474"/>
      <c r="M75" s="2474"/>
      <c r="N75" s="2474"/>
      <c r="O75" s="2474"/>
      <c r="P75" s="2475"/>
      <c r="Q75" s="40"/>
      <c r="R75" s="40"/>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40"/>
      <c r="E76" s="40"/>
      <c r="F76" s="40"/>
      <c r="G76" s="2473"/>
      <c r="H76" s="2474"/>
      <c r="I76" s="2474"/>
      <c r="J76" s="2474"/>
      <c r="K76" s="2474"/>
      <c r="L76" s="2474"/>
      <c r="M76" s="2474"/>
      <c r="N76" s="2474"/>
      <c r="O76" s="2474"/>
      <c r="P76" s="2475"/>
      <c r="Q76" s="40"/>
      <c r="R76" s="40"/>
      <c r="S76" s="40"/>
      <c r="T76" s="963"/>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962"/>
      <c r="D77" s="40"/>
      <c r="E77" s="40"/>
      <c r="F77" s="40"/>
      <c r="G77" s="2473"/>
      <c r="H77" s="2474"/>
      <c r="I77" s="2474"/>
      <c r="J77" s="2474"/>
      <c r="K77" s="2474"/>
      <c r="L77" s="2474"/>
      <c r="M77" s="2474"/>
      <c r="N77" s="2474"/>
      <c r="O77" s="2474"/>
      <c r="P77" s="2475"/>
      <c r="Q77" s="40"/>
      <c r="R77" s="40"/>
      <c r="S77" s="40"/>
      <c r="T77" s="963"/>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962"/>
      <c r="D78" s="40"/>
      <c r="E78" s="40"/>
      <c r="F78" s="40"/>
      <c r="G78" s="2473"/>
      <c r="H78" s="2474"/>
      <c r="I78" s="2474"/>
      <c r="J78" s="2474"/>
      <c r="K78" s="2474"/>
      <c r="L78" s="2474"/>
      <c r="M78" s="2474"/>
      <c r="N78" s="2474"/>
      <c r="O78" s="2474"/>
      <c r="P78" s="2475"/>
      <c r="Q78" s="40"/>
      <c r="R78" s="40"/>
      <c r="S78" s="40"/>
      <c r="T78" s="963"/>
      <c r="U78" s="609"/>
      <c r="V78" s="926"/>
      <c r="W78" s="926"/>
      <c r="X78" s="926"/>
      <c r="Y78" s="926"/>
      <c r="Z78" s="926"/>
      <c r="AA78" s="926"/>
      <c r="AB78" s="926"/>
      <c r="AC78" s="926"/>
      <c r="AD78" s="926"/>
      <c r="AE78" s="926"/>
      <c r="AF78" s="926"/>
      <c r="AG78" s="926"/>
      <c r="AH78" s="926"/>
      <c r="AI78" s="926"/>
      <c r="AJ78" s="926"/>
    </row>
    <row r="79" spans="1:36" ht="15" customHeight="1" thickBot="1" x14ac:dyDescent="0.35">
      <c r="A79" s="926"/>
      <c r="B79" s="609"/>
      <c r="C79" s="962"/>
      <c r="D79" s="40"/>
      <c r="E79" s="40"/>
      <c r="F79" s="40"/>
      <c r="G79" s="2476"/>
      <c r="H79" s="2477"/>
      <c r="I79" s="2477"/>
      <c r="J79" s="2477"/>
      <c r="K79" s="2477"/>
      <c r="L79" s="2477"/>
      <c r="M79" s="2477"/>
      <c r="N79" s="2477"/>
      <c r="O79" s="2477"/>
      <c r="P79" s="2478"/>
      <c r="Q79" s="40"/>
      <c r="R79" s="40"/>
      <c r="S79" s="40"/>
      <c r="T79" s="963"/>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962"/>
      <c r="D80" s="40"/>
      <c r="E80" s="994"/>
      <c r="F80" s="994"/>
      <c r="G80" s="994"/>
      <c r="H80" s="994"/>
      <c r="I80" s="994"/>
      <c r="J80" s="994"/>
      <c r="K80" s="40"/>
      <c r="L80" s="1963"/>
      <c r="M80" s="1963"/>
      <c r="N80" s="1963"/>
      <c r="O80" s="1963"/>
      <c r="P80" s="1963"/>
      <c r="Q80" s="1964"/>
      <c r="R80" s="1964"/>
      <c r="S80" s="40"/>
      <c r="T80" s="963"/>
      <c r="U80" s="609"/>
      <c r="V80" s="926"/>
      <c r="W80" s="926"/>
      <c r="X80" s="926"/>
      <c r="Y80" s="926"/>
      <c r="Z80" s="926"/>
      <c r="AA80" s="926"/>
      <c r="AB80" s="926"/>
      <c r="AC80" s="926"/>
      <c r="AD80" s="926"/>
      <c r="AE80" s="926"/>
      <c r="AF80" s="926"/>
      <c r="AG80" s="926"/>
      <c r="AH80" s="926"/>
      <c r="AI80" s="926"/>
      <c r="AJ80" s="926"/>
    </row>
    <row r="81" spans="1:36" ht="15" customHeight="1" x14ac:dyDescent="0.3">
      <c r="A81" s="926"/>
      <c r="B81" s="609"/>
      <c r="C81" s="962"/>
      <c r="D81" s="40"/>
      <c r="E81" s="2399" t="str">
        <f>IF(K69="Yes","How many wean to finish swine does your farm have? What is their average body weight?", "Please skip to the next question")</f>
        <v>How many wean to finish swine does your farm have? What is their average body weight?</v>
      </c>
      <c r="F81" s="2399"/>
      <c r="G81" s="2399"/>
      <c r="H81" s="2399"/>
      <c r="I81" s="2399"/>
      <c r="J81" s="2399"/>
      <c r="K81" s="2399"/>
      <c r="L81" s="2399"/>
      <c r="M81" s="2399"/>
      <c r="N81" s="2399"/>
      <c r="O81" s="2399"/>
      <c r="P81" s="2399"/>
      <c r="Q81" s="2399"/>
      <c r="R81" s="2399"/>
      <c r="S81" s="40"/>
      <c r="T81" s="963"/>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962"/>
      <c r="D82" s="40"/>
      <c r="E82" s="2399"/>
      <c r="F82" s="2399"/>
      <c r="G82" s="2399"/>
      <c r="H82" s="2399"/>
      <c r="I82" s="2399"/>
      <c r="J82" s="2399"/>
      <c r="K82" s="2399"/>
      <c r="L82" s="2399"/>
      <c r="M82" s="2399"/>
      <c r="N82" s="2399"/>
      <c r="O82" s="2399"/>
      <c r="P82" s="2399"/>
      <c r="Q82" s="2399"/>
      <c r="R82" s="2399"/>
      <c r="S82" s="40"/>
      <c r="T82" s="963"/>
      <c r="U82" s="609"/>
      <c r="V82" s="926"/>
      <c r="W82" s="926"/>
      <c r="X82" s="926"/>
      <c r="Y82" s="926"/>
      <c r="Z82" s="926"/>
      <c r="AA82" s="926"/>
      <c r="AB82" s="926"/>
      <c r="AC82" s="926"/>
      <c r="AD82" s="926"/>
      <c r="AE82" s="926"/>
      <c r="AF82" s="926"/>
      <c r="AG82" s="926"/>
      <c r="AH82" s="926"/>
      <c r="AI82" s="926"/>
      <c r="AJ82" s="926"/>
    </row>
    <row r="83" spans="1:36" ht="15" customHeight="1" x14ac:dyDescent="0.3">
      <c r="A83" s="926"/>
      <c r="B83" s="609"/>
      <c r="C83" s="962"/>
      <c r="D83" s="40"/>
      <c r="E83" s="2399"/>
      <c r="F83" s="2399"/>
      <c r="G83" s="2399"/>
      <c r="H83" s="2399"/>
      <c r="I83" s="2399"/>
      <c r="J83" s="2399"/>
      <c r="K83" s="2399"/>
      <c r="L83" s="2399"/>
      <c r="M83" s="2399"/>
      <c r="N83" s="2399"/>
      <c r="O83" s="2399"/>
      <c r="P83" s="2399"/>
      <c r="Q83" s="2399"/>
      <c r="R83" s="2399"/>
      <c r="S83" s="40"/>
      <c r="T83" s="963"/>
      <c r="U83" s="609"/>
      <c r="V83" s="926"/>
      <c r="W83" s="926"/>
      <c r="X83" s="926"/>
      <c r="Y83" s="926"/>
      <c r="Z83" s="926"/>
      <c r="AA83" s="926"/>
      <c r="AB83" s="926"/>
      <c r="AC83" s="926"/>
      <c r="AD83" s="926"/>
      <c r="AE83" s="926"/>
      <c r="AF83" s="926"/>
      <c r="AG83" s="926"/>
      <c r="AH83" s="926"/>
      <c r="AI83" s="926"/>
      <c r="AJ83" s="926"/>
    </row>
    <row r="84" spans="1:36" ht="15" customHeight="1" x14ac:dyDescent="0.3">
      <c r="A84" s="926"/>
      <c r="B84" s="609"/>
      <c r="C84" s="962"/>
      <c r="D84" s="40"/>
      <c r="E84" s="2399"/>
      <c r="F84" s="2399"/>
      <c r="G84" s="2399"/>
      <c r="H84" s="2399"/>
      <c r="I84" s="2399"/>
      <c r="J84" s="2399"/>
      <c r="K84" s="2399"/>
      <c r="L84" s="2399"/>
      <c r="M84" s="2399"/>
      <c r="N84" s="2399"/>
      <c r="O84" s="2399"/>
      <c r="P84" s="2399"/>
      <c r="Q84" s="2399"/>
      <c r="R84" s="2399"/>
      <c r="S84" s="40"/>
      <c r="T84" s="963"/>
      <c r="U84" s="609"/>
      <c r="V84" s="926"/>
      <c r="W84" s="926"/>
      <c r="X84" s="926"/>
      <c r="Y84" s="926"/>
      <c r="Z84" s="926"/>
      <c r="AA84" s="926"/>
      <c r="AB84" s="926"/>
      <c r="AC84" s="926"/>
      <c r="AD84" s="926"/>
      <c r="AE84" s="926"/>
      <c r="AF84" s="926"/>
      <c r="AG84" s="926"/>
      <c r="AH84" s="926"/>
      <c r="AI84" s="926"/>
      <c r="AJ84" s="926"/>
    </row>
    <row r="85" spans="1:36" ht="15" customHeight="1" x14ac:dyDescent="0.3">
      <c r="A85" s="926"/>
      <c r="B85" s="609"/>
      <c r="C85" s="962"/>
      <c r="D85" s="40"/>
      <c r="E85" s="2397" t="s">
        <v>144</v>
      </c>
      <c r="F85" s="2397"/>
      <c r="G85" s="2397" t="s">
        <v>38</v>
      </c>
      <c r="H85" s="2397"/>
      <c r="I85" s="2397" t="s">
        <v>39</v>
      </c>
      <c r="J85" s="2397"/>
      <c r="K85" s="2397" t="s">
        <v>40</v>
      </c>
      <c r="L85" s="2397"/>
      <c r="M85" s="2397" t="s">
        <v>41</v>
      </c>
      <c r="N85" s="2397"/>
      <c r="O85" s="2397" t="s">
        <v>42</v>
      </c>
      <c r="P85" s="2397"/>
      <c r="Q85" s="2397" t="s">
        <v>43</v>
      </c>
      <c r="R85" s="2397"/>
      <c r="S85" s="40"/>
      <c r="T85" s="963"/>
      <c r="U85" s="609"/>
      <c r="V85" s="926"/>
      <c r="W85" s="926"/>
      <c r="X85" s="926"/>
      <c r="Y85" s="926"/>
      <c r="Z85" s="926"/>
      <c r="AA85" s="926"/>
      <c r="AB85" s="926"/>
      <c r="AC85" s="926"/>
      <c r="AD85" s="926"/>
      <c r="AE85" s="926"/>
      <c r="AF85" s="926"/>
      <c r="AG85" s="926"/>
      <c r="AH85" s="926"/>
      <c r="AI85" s="926"/>
      <c r="AJ85" s="926"/>
    </row>
    <row r="86" spans="1:36" ht="15" customHeight="1" x14ac:dyDescent="0.3">
      <c r="A86" s="926"/>
      <c r="B86" s="609"/>
      <c r="C86" s="962"/>
      <c r="D86" s="40"/>
      <c r="E86" s="2410" t="s">
        <v>44</v>
      </c>
      <c r="F86" s="2410"/>
      <c r="G86" s="2398" t="str">
        <f>BG262</f>
        <v>head</v>
      </c>
      <c r="H86" s="2398"/>
      <c r="I86" s="2407">
        <f>BE262</f>
        <v>500</v>
      </c>
      <c r="J86" s="2407"/>
      <c r="K86" s="2429"/>
      <c r="L86" s="2412"/>
      <c r="M86" s="2407">
        <f>BI262</f>
        <v>0</v>
      </c>
      <c r="N86" s="2407"/>
      <c r="O86" s="2407">
        <f>BJ262</f>
        <v>20000</v>
      </c>
      <c r="P86" s="2407"/>
      <c r="Q86" s="2398" t="str">
        <f>BN262</f>
        <v>Using default</v>
      </c>
      <c r="R86" s="2398"/>
      <c r="S86" s="40"/>
      <c r="T86" s="963"/>
      <c r="U86" s="609"/>
      <c r="V86" s="926"/>
      <c r="W86" s="926"/>
      <c r="X86" s="926"/>
      <c r="Y86" s="926"/>
      <c r="Z86" s="926"/>
      <c r="AA86" s="926"/>
      <c r="AB86" s="926"/>
      <c r="AC86" s="926"/>
      <c r="AD86" s="926"/>
      <c r="AE86" s="926"/>
      <c r="AF86" s="926"/>
      <c r="AG86" s="926"/>
      <c r="AH86" s="926"/>
      <c r="AI86" s="926"/>
      <c r="AJ86" s="926"/>
    </row>
    <row r="87" spans="1:36" ht="15" customHeight="1" x14ac:dyDescent="0.3">
      <c r="A87" s="926"/>
      <c r="B87" s="609"/>
      <c r="C87" s="962"/>
      <c r="D87" s="40"/>
      <c r="E87" s="2410"/>
      <c r="F87" s="2410"/>
      <c r="G87" s="2398"/>
      <c r="H87" s="2398"/>
      <c r="I87" s="2407"/>
      <c r="J87" s="2407"/>
      <c r="K87" s="2430"/>
      <c r="L87" s="2414"/>
      <c r="M87" s="2407"/>
      <c r="N87" s="2407"/>
      <c r="O87" s="2407"/>
      <c r="P87" s="2407"/>
      <c r="Q87" s="2398"/>
      <c r="R87" s="2398"/>
      <c r="S87" s="40"/>
      <c r="T87" s="963"/>
      <c r="U87" s="609"/>
      <c r="V87" s="926"/>
      <c r="W87" s="926"/>
      <c r="X87" s="926"/>
      <c r="Y87" s="926"/>
      <c r="Z87" s="926"/>
      <c r="AA87" s="926"/>
      <c r="AB87" s="926"/>
      <c r="AC87" s="926"/>
      <c r="AD87" s="926"/>
      <c r="AE87" s="926"/>
      <c r="AF87" s="926"/>
      <c r="AG87" s="926"/>
      <c r="AH87" s="926"/>
      <c r="AI87" s="926"/>
      <c r="AJ87" s="926"/>
    </row>
    <row r="88" spans="1:36" ht="15" customHeight="1" x14ac:dyDescent="0.3">
      <c r="A88" s="926"/>
      <c r="B88" s="609"/>
      <c r="C88" s="962"/>
      <c r="D88" s="40"/>
      <c r="E88" s="2410"/>
      <c r="F88" s="2410"/>
      <c r="G88" s="2398"/>
      <c r="H88" s="2398"/>
      <c r="I88" s="2407"/>
      <c r="J88" s="2407"/>
      <c r="K88" s="2431"/>
      <c r="L88" s="2416"/>
      <c r="M88" s="2407"/>
      <c r="N88" s="2407"/>
      <c r="O88" s="2407"/>
      <c r="P88" s="2407"/>
      <c r="Q88" s="2398"/>
      <c r="R88" s="2398"/>
      <c r="S88" s="40"/>
      <c r="T88" s="963"/>
      <c r="U88" s="609"/>
      <c r="V88" s="926"/>
      <c r="W88" s="926"/>
      <c r="X88" s="926"/>
      <c r="Y88" s="926"/>
      <c r="Z88" s="926"/>
      <c r="AA88" s="926"/>
      <c r="AB88" s="926"/>
      <c r="AC88" s="926"/>
      <c r="AD88" s="926"/>
      <c r="AE88" s="926"/>
      <c r="AF88" s="926"/>
      <c r="AG88" s="926"/>
      <c r="AH88" s="926"/>
      <c r="AI88" s="926"/>
      <c r="AJ88" s="926"/>
    </row>
    <row r="89" spans="1:36" ht="15" customHeight="1" x14ac:dyDescent="0.3">
      <c r="A89" s="926"/>
      <c r="B89" s="609"/>
      <c r="C89" s="962"/>
      <c r="D89" s="40"/>
      <c r="E89" s="2410" t="s">
        <v>141</v>
      </c>
      <c r="F89" s="2410"/>
      <c r="G89" s="2398" t="str">
        <f>BG263</f>
        <v>lb/head</v>
      </c>
      <c r="H89" s="2398"/>
      <c r="I89" s="2407">
        <f>BE263</f>
        <v>260</v>
      </c>
      <c r="J89" s="2407"/>
      <c r="K89" s="2429"/>
      <c r="L89" s="2412"/>
      <c r="M89" s="2407">
        <f>BI263</f>
        <v>127</v>
      </c>
      <c r="N89" s="2407"/>
      <c r="O89" s="2407">
        <f>BJ263</f>
        <v>300</v>
      </c>
      <c r="P89" s="2407"/>
      <c r="Q89" s="2398" t="str">
        <f>BN263</f>
        <v>Using default</v>
      </c>
      <c r="R89" s="2398"/>
      <c r="S89" s="40"/>
      <c r="T89" s="963"/>
      <c r="U89" s="609"/>
      <c r="V89" s="926"/>
      <c r="W89" s="926"/>
      <c r="X89" s="926"/>
      <c r="Y89" s="926"/>
      <c r="Z89" s="926"/>
      <c r="AA89" s="926"/>
      <c r="AB89" s="926"/>
      <c r="AC89" s="926"/>
      <c r="AD89" s="926"/>
      <c r="AE89" s="926"/>
      <c r="AF89" s="926"/>
      <c r="AG89" s="926"/>
      <c r="AH89" s="926"/>
      <c r="AI89" s="926"/>
      <c r="AJ89" s="926"/>
    </row>
    <row r="90" spans="1:36" ht="15" customHeight="1" x14ac:dyDescent="0.3">
      <c r="A90" s="926"/>
      <c r="B90" s="609"/>
      <c r="C90" s="962"/>
      <c r="D90" s="40"/>
      <c r="E90" s="2410"/>
      <c r="F90" s="2410"/>
      <c r="G90" s="2398"/>
      <c r="H90" s="2398"/>
      <c r="I90" s="2407"/>
      <c r="J90" s="2407"/>
      <c r="K90" s="2430"/>
      <c r="L90" s="2414"/>
      <c r="M90" s="2407"/>
      <c r="N90" s="2407"/>
      <c r="O90" s="2407"/>
      <c r="P90" s="2407"/>
      <c r="Q90" s="2398"/>
      <c r="R90" s="2398"/>
      <c r="S90" s="40"/>
      <c r="T90" s="963"/>
      <c r="U90" s="609"/>
      <c r="V90" s="926"/>
      <c r="W90" s="926"/>
      <c r="X90" s="926"/>
      <c r="Y90" s="926"/>
      <c r="Z90" s="926"/>
      <c r="AA90" s="926"/>
      <c r="AB90" s="926"/>
      <c r="AC90" s="926"/>
      <c r="AD90" s="926"/>
      <c r="AE90" s="926"/>
      <c r="AF90" s="926"/>
      <c r="AG90" s="926"/>
      <c r="AH90" s="926"/>
      <c r="AI90" s="926"/>
      <c r="AJ90" s="926"/>
    </row>
    <row r="91" spans="1:36" ht="15" customHeight="1" x14ac:dyDescent="0.3">
      <c r="A91" s="926"/>
      <c r="B91" s="609"/>
      <c r="C91" s="962"/>
      <c r="D91" s="40"/>
      <c r="E91" s="2410"/>
      <c r="F91" s="2410"/>
      <c r="G91" s="2398"/>
      <c r="H91" s="2398"/>
      <c r="I91" s="2407"/>
      <c r="J91" s="2407"/>
      <c r="K91" s="2431"/>
      <c r="L91" s="2416"/>
      <c r="M91" s="2407"/>
      <c r="N91" s="2407"/>
      <c r="O91" s="2407"/>
      <c r="P91" s="2407"/>
      <c r="Q91" s="2398"/>
      <c r="R91" s="2398"/>
      <c r="S91" s="40"/>
      <c r="T91" s="963"/>
      <c r="U91" s="609"/>
      <c r="V91" s="926"/>
      <c r="W91" s="926"/>
      <c r="X91" s="926"/>
      <c r="Y91" s="926"/>
      <c r="Z91" s="926"/>
      <c r="AA91" s="926"/>
      <c r="AB91" s="926"/>
      <c r="AC91" s="926"/>
      <c r="AD91" s="926"/>
      <c r="AE91" s="926"/>
      <c r="AF91" s="926"/>
      <c r="AG91" s="926"/>
      <c r="AH91" s="926"/>
      <c r="AI91" s="926"/>
      <c r="AJ91" s="926"/>
    </row>
    <row r="92" spans="1:36" ht="15" customHeight="1" x14ac:dyDescent="0.3">
      <c r="A92" s="926"/>
      <c r="B92" s="609"/>
      <c r="C92" s="962"/>
      <c r="D92" s="40"/>
      <c r="E92" s="994"/>
      <c r="F92" s="994"/>
      <c r="G92" s="994"/>
      <c r="H92" s="994"/>
      <c r="I92" s="994"/>
      <c r="J92" s="994"/>
      <c r="K92" s="40"/>
      <c r="L92" s="1963"/>
      <c r="M92" s="1963"/>
      <c r="N92" s="1963"/>
      <c r="O92" s="1963"/>
      <c r="P92" s="1963"/>
      <c r="Q92" s="1964"/>
      <c r="R92" s="1964"/>
      <c r="S92" s="40"/>
      <c r="T92" s="963"/>
      <c r="U92" s="609"/>
      <c r="V92" s="926"/>
      <c r="W92" s="926"/>
      <c r="X92" s="926"/>
      <c r="Y92" s="926"/>
      <c r="Z92" s="926"/>
      <c r="AA92" s="926"/>
      <c r="AB92" s="926"/>
      <c r="AC92" s="926"/>
      <c r="AD92" s="926"/>
      <c r="AE92" s="926"/>
      <c r="AF92" s="926"/>
      <c r="AG92" s="926"/>
      <c r="AH92" s="926"/>
      <c r="AI92" s="926"/>
      <c r="AJ92" s="926"/>
    </row>
    <row r="93" spans="1:36" ht="15" customHeight="1" x14ac:dyDescent="0.3">
      <c r="A93" s="926"/>
      <c r="B93" s="609"/>
      <c r="C93" s="962"/>
      <c r="D93" s="40"/>
      <c r="E93" s="994"/>
      <c r="F93" s="1032"/>
      <c r="G93" s="994"/>
      <c r="H93" s="994"/>
      <c r="I93" s="994"/>
      <c r="J93" s="994"/>
      <c r="K93" s="40"/>
      <c r="L93" s="1963"/>
      <c r="M93" s="1963"/>
      <c r="N93" s="1963"/>
      <c r="O93" s="1963"/>
      <c r="P93" s="1963"/>
      <c r="Q93" s="1964"/>
      <c r="R93" s="1964"/>
      <c r="S93" s="40"/>
      <c r="T93" s="963"/>
      <c r="U93" s="609"/>
      <c r="V93" s="926"/>
      <c r="W93" s="926"/>
      <c r="X93" s="926"/>
      <c r="Y93" s="926"/>
      <c r="Z93" s="926"/>
      <c r="AA93" s="926"/>
      <c r="AB93" s="926"/>
      <c r="AC93" s="926"/>
      <c r="AD93" s="926"/>
      <c r="AE93" s="926"/>
      <c r="AF93" s="926"/>
      <c r="AG93" s="926"/>
      <c r="AH93" s="926"/>
      <c r="AI93" s="926"/>
      <c r="AJ93" s="926"/>
    </row>
    <row r="94" spans="1:36" ht="15" customHeight="1" thickBot="1" x14ac:dyDescent="0.35">
      <c r="A94" s="926"/>
      <c r="B94" s="609"/>
      <c r="C94" s="962"/>
      <c r="D94" s="40"/>
      <c r="E94" s="40"/>
      <c r="F94" s="40"/>
      <c r="G94" s="40"/>
      <c r="H94" s="40"/>
      <c r="I94" s="40"/>
      <c r="J94" s="40"/>
      <c r="K94" s="40"/>
      <c r="L94" s="40"/>
      <c r="M94" s="40"/>
      <c r="N94" s="40"/>
      <c r="O94" s="40"/>
      <c r="P94" s="40"/>
      <c r="Q94" s="40"/>
      <c r="R94" s="40"/>
      <c r="S94" s="40"/>
      <c r="T94" s="963"/>
      <c r="U94" s="609"/>
      <c r="V94" s="926"/>
      <c r="W94" s="926"/>
      <c r="X94" s="926"/>
      <c r="Y94" s="926"/>
      <c r="Z94" s="926"/>
      <c r="AA94" s="926"/>
      <c r="AB94" s="926"/>
      <c r="AC94" s="926"/>
      <c r="AD94" s="926"/>
      <c r="AE94" s="926"/>
      <c r="AF94" s="926"/>
      <c r="AG94" s="926"/>
      <c r="AH94" s="926"/>
      <c r="AI94" s="926"/>
      <c r="AJ94" s="926"/>
    </row>
    <row r="95" spans="1:36" ht="15" customHeight="1" x14ac:dyDescent="0.3">
      <c r="A95" s="926"/>
      <c r="B95" s="609"/>
      <c r="C95" s="962"/>
      <c r="D95" s="2461" t="s">
        <v>145</v>
      </c>
      <c r="E95" s="2462"/>
      <c r="F95" s="2462"/>
      <c r="G95" s="2462"/>
      <c r="H95" s="2462"/>
      <c r="I95" s="2462"/>
      <c r="J95" s="2462"/>
      <c r="K95" s="2462"/>
      <c r="L95" s="2462"/>
      <c r="M95" s="2462"/>
      <c r="N95" s="2462"/>
      <c r="O95" s="2462"/>
      <c r="P95" s="2462"/>
      <c r="Q95" s="2462"/>
      <c r="R95" s="2462"/>
      <c r="S95" s="2463"/>
      <c r="T95" s="963"/>
      <c r="U95" s="609"/>
      <c r="V95" s="926"/>
      <c r="W95" s="926"/>
      <c r="X95" s="926"/>
      <c r="Y95" s="926"/>
      <c r="Z95" s="926"/>
      <c r="AA95" s="926"/>
      <c r="AB95" s="926"/>
      <c r="AC95" s="926"/>
      <c r="AD95" s="926"/>
      <c r="AE95" s="926"/>
      <c r="AF95" s="926"/>
      <c r="AG95" s="926"/>
      <c r="AH95" s="926"/>
      <c r="AI95" s="926"/>
      <c r="AJ95" s="926"/>
    </row>
    <row r="96" spans="1:36" ht="15" customHeight="1" x14ac:dyDescent="0.3">
      <c r="A96" s="926"/>
      <c r="B96" s="609"/>
      <c r="C96" s="962"/>
      <c r="D96" s="2464"/>
      <c r="E96" s="2465"/>
      <c r="F96" s="2465"/>
      <c r="G96" s="2465"/>
      <c r="H96" s="2465"/>
      <c r="I96" s="2465"/>
      <c r="J96" s="2465"/>
      <c r="K96" s="2465"/>
      <c r="L96" s="2465"/>
      <c r="M96" s="2465"/>
      <c r="N96" s="2465"/>
      <c r="O96" s="2465"/>
      <c r="P96" s="2465"/>
      <c r="Q96" s="2465"/>
      <c r="R96" s="2465"/>
      <c r="S96" s="2466"/>
      <c r="T96" s="963"/>
      <c r="U96" s="609"/>
      <c r="V96" s="926"/>
      <c r="W96" s="926"/>
      <c r="X96" s="926"/>
      <c r="Y96" s="926"/>
      <c r="Z96" s="926"/>
      <c r="AA96" s="926"/>
      <c r="AB96" s="926"/>
      <c r="AC96" s="926"/>
      <c r="AD96" s="926"/>
      <c r="AE96" s="926"/>
      <c r="AF96" s="926"/>
      <c r="AG96" s="926"/>
      <c r="AH96" s="926"/>
      <c r="AI96" s="926"/>
      <c r="AJ96" s="926"/>
    </row>
    <row r="97" spans="1:36" ht="15" customHeight="1" thickBot="1" x14ac:dyDescent="0.35">
      <c r="A97" s="926"/>
      <c r="B97" s="609"/>
      <c r="C97" s="962"/>
      <c r="D97" s="2467"/>
      <c r="E97" s="2468"/>
      <c r="F97" s="2468"/>
      <c r="G97" s="2468"/>
      <c r="H97" s="2468"/>
      <c r="I97" s="2468"/>
      <c r="J97" s="2468"/>
      <c r="K97" s="2468"/>
      <c r="L97" s="2468"/>
      <c r="M97" s="2468"/>
      <c r="N97" s="2468"/>
      <c r="O97" s="2468"/>
      <c r="P97" s="2468"/>
      <c r="Q97" s="2468"/>
      <c r="R97" s="2468"/>
      <c r="S97" s="2469"/>
      <c r="T97" s="963"/>
      <c r="U97" s="609"/>
      <c r="V97" s="926"/>
      <c r="W97" s="926"/>
      <c r="X97" s="926"/>
      <c r="Y97" s="926"/>
      <c r="Z97" s="926"/>
      <c r="AA97" s="926"/>
      <c r="AB97" s="926"/>
      <c r="AC97" s="926"/>
      <c r="AD97" s="926"/>
      <c r="AE97" s="926"/>
      <c r="AF97" s="926"/>
      <c r="AG97" s="926"/>
      <c r="AH97" s="926"/>
      <c r="AI97" s="926"/>
      <c r="AJ97" s="926"/>
    </row>
    <row r="98" spans="1:36" ht="15" customHeight="1" x14ac:dyDescent="0.3">
      <c r="A98" s="926"/>
      <c r="B98" s="609"/>
      <c r="C98" s="962"/>
      <c r="D98" s="40"/>
      <c r="E98" s="40"/>
      <c r="F98" s="40"/>
      <c r="G98" s="40"/>
      <c r="H98" s="40"/>
      <c r="I98" s="40"/>
      <c r="J98" s="40"/>
      <c r="K98" s="40"/>
      <c r="L98" s="40"/>
      <c r="M98" s="40"/>
      <c r="N98" s="40"/>
      <c r="O98" s="40"/>
      <c r="P98" s="40"/>
      <c r="Q98" s="40"/>
      <c r="R98" s="40"/>
      <c r="S98" s="40"/>
      <c r="T98" s="963"/>
      <c r="U98" s="609"/>
      <c r="V98" s="926"/>
      <c r="W98" s="926"/>
      <c r="X98" s="926"/>
      <c r="Y98" s="926"/>
      <c r="Z98" s="926"/>
      <c r="AA98" s="926"/>
      <c r="AB98" s="926"/>
      <c r="AC98" s="926"/>
      <c r="AD98" s="926"/>
      <c r="AE98" s="926"/>
      <c r="AF98" s="926"/>
      <c r="AG98" s="926"/>
      <c r="AH98" s="926"/>
      <c r="AI98" s="926"/>
      <c r="AJ98" s="926"/>
    </row>
    <row r="99" spans="1:36" ht="15" customHeight="1" x14ac:dyDescent="0.3">
      <c r="A99" s="926"/>
      <c r="B99" s="609"/>
      <c r="C99" s="962"/>
      <c r="D99" s="40"/>
      <c r="E99" s="2402" t="s">
        <v>146</v>
      </c>
      <c r="F99" s="2402"/>
      <c r="G99" s="2402"/>
      <c r="H99" s="2402"/>
      <c r="I99" s="2402"/>
      <c r="J99" s="2402"/>
      <c r="K99" s="2402"/>
      <c r="L99" s="2402"/>
      <c r="M99" s="2402"/>
      <c r="N99" s="2402"/>
      <c r="O99" s="2402"/>
      <c r="P99" s="2402"/>
      <c r="Q99" s="2402"/>
      <c r="R99" s="2402"/>
      <c r="S99" s="40"/>
      <c r="T99" s="963"/>
      <c r="U99" s="609"/>
      <c r="V99" s="926"/>
      <c r="W99" s="926"/>
      <c r="X99" s="926"/>
      <c r="Y99" s="926"/>
      <c r="Z99" s="926"/>
      <c r="AA99" s="926"/>
      <c r="AB99" s="926"/>
      <c r="AC99" s="926"/>
      <c r="AD99" s="926"/>
      <c r="AE99" s="926"/>
      <c r="AF99" s="926"/>
      <c r="AG99" s="926"/>
      <c r="AH99" s="926"/>
      <c r="AI99" s="926"/>
      <c r="AJ99" s="926"/>
    </row>
    <row r="100" spans="1:36" ht="15" customHeight="1" x14ac:dyDescent="0.3">
      <c r="A100" s="926"/>
      <c r="B100" s="609"/>
      <c r="C100" s="962"/>
      <c r="D100" s="40"/>
      <c r="E100" s="2402"/>
      <c r="F100" s="2402"/>
      <c r="G100" s="2402"/>
      <c r="H100" s="2402"/>
      <c r="I100" s="2402"/>
      <c r="J100" s="2402"/>
      <c r="K100" s="2402"/>
      <c r="L100" s="2402"/>
      <c r="M100" s="2402"/>
      <c r="N100" s="2402"/>
      <c r="O100" s="2402"/>
      <c r="P100" s="2402"/>
      <c r="Q100" s="2402"/>
      <c r="R100" s="2402"/>
      <c r="S100" s="40"/>
      <c r="T100" s="963"/>
      <c r="U100" s="609"/>
      <c r="V100" s="926"/>
      <c r="W100" s="926"/>
      <c r="X100" s="926"/>
      <c r="Y100" s="926"/>
      <c r="Z100" s="926"/>
      <c r="AA100" s="926"/>
      <c r="AB100" s="926"/>
      <c r="AC100" s="926"/>
      <c r="AD100" s="926"/>
      <c r="AE100" s="926"/>
      <c r="AF100" s="926"/>
      <c r="AG100" s="926"/>
      <c r="AH100" s="926"/>
      <c r="AI100" s="926"/>
      <c r="AJ100" s="926"/>
    </row>
    <row r="101" spans="1:36" ht="15" customHeight="1" x14ac:dyDescent="0.3">
      <c r="A101" s="926"/>
      <c r="B101" s="609"/>
      <c r="C101" s="962"/>
      <c r="D101" s="40"/>
      <c r="E101" s="2402"/>
      <c r="F101" s="2402"/>
      <c r="G101" s="2402"/>
      <c r="H101" s="2402"/>
      <c r="I101" s="2402"/>
      <c r="J101" s="2402"/>
      <c r="K101" s="2402"/>
      <c r="L101" s="2402"/>
      <c r="M101" s="2402"/>
      <c r="N101" s="2402"/>
      <c r="O101" s="2402"/>
      <c r="P101" s="2402"/>
      <c r="Q101" s="2402"/>
      <c r="R101" s="2402"/>
      <c r="S101" s="40"/>
      <c r="T101" s="963"/>
      <c r="U101" s="609"/>
      <c r="V101" s="926"/>
      <c r="W101" s="926"/>
      <c r="X101" s="926"/>
      <c r="Y101" s="926"/>
      <c r="Z101" s="926"/>
      <c r="AA101" s="926"/>
      <c r="AB101" s="926"/>
      <c r="AC101" s="926"/>
      <c r="AD101" s="926"/>
      <c r="AE101" s="926"/>
      <c r="AF101" s="926"/>
      <c r="AG101" s="926"/>
      <c r="AH101" s="926"/>
      <c r="AI101" s="926"/>
      <c r="AJ101" s="926"/>
    </row>
    <row r="102" spans="1:36" ht="15" customHeight="1" x14ac:dyDescent="0.3">
      <c r="A102" s="926"/>
      <c r="B102" s="609"/>
      <c r="C102" s="962"/>
      <c r="D102" s="40"/>
      <c r="E102" s="2402"/>
      <c r="F102" s="2402"/>
      <c r="G102" s="2402"/>
      <c r="H102" s="2402"/>
      <c r="I102" s="2402"/>
      <c r="J102" s="2402"/>
      <c r="K102" s="2402"/>
      <c r="L102" s="2402"/>
      <c r="M102" s="2402"/>
      <c r="N102" s="2402"/>
      <c r="O102" s="2402"/>
      <c r="P102" s="2402"/>
      <c r="Q102" s="2402"/>
      <c r="R102" s="2402"/>
      <c r="S102" s="40"/>
      <c r="T102" s="963"/>
      <c r="U102" s="609"/>
      <c r="V102" s="926"/>
      <c r="W102" s="926"/>
      <c r="X102" s="926"/>
      <c r="Y102" s="926"/>
      <c r="Z102" s="926"/>
      <c r="AA102" s="926"/>
      <c r="AB102" s="926"/>
      <c r="AC102" s="926"/>
      <c r="AD102" s="926"/>
      <c r="AE102" s="926"/>
      <c r="AF102" s="926"/>
      <c r="AG102" s="926"/>
      <c r="AH102" s="926"/>
      <c r="AI102" s="926"/>
      <c r="AJ102" s="926"/>
    </row>
    <row r="103" spans="1:36" ht="15" customHeight="1" x14ac:dyDescent="0.3">
      <c r="A103" s="926"/>
      <c r="B103" s="609"/>
      <c r="C103" s="962"/>
      <c r="D103" s="40"/>
      <c r="E103" s="2403" t="s">
        <v>31</v>
      </c>
      <c r="F103" s="2403"/>
      <c r="G103" s="2403"/>
      <c r="H103" s="2403"/>
      <c r="I103" s="2403"/>
      <c r="J103" s="2403"/>
      <c r="K103" s="2403" t="s">
        <v>32</v>
      </c>
      <c r="L103" s="2403"/>
      <c r="M103" s="2403"/>
      <c r="N103" s="2403"/>
      <c r="O103" s="2403"/>
      <c r="P103" s="2403"/>
      <c r="Q103" s="2403"/>
      <c r="R103" s="2403"/>
      <c r="S103" s="40"/>
      <c r="T103" s="963"/>
      <c r="U103" s="609"/>
      <c r="V103" s="926"/>
      <c r="W103" s="926"/>
      <c r="X103" s="926"/>
      <c r="Y103" s="926"/>
      <c r="Z103" s="926"/>
      <c r="AA103" s="926"/>
      <c r="AB103" s="926"/>
      <c r="AC103" s="926"/>
      <c r="AD103" s="926"/>
      <c r="AE103" s="926"/>
      <c r="AF103" s="926"/>
      <c r="AG103" s="926"/>
      <c r="AH103" s="926"/>
      <c r="AI103" s="926"/>
      <c r="AJ103" s="926"/>
    </row>
    <row r="104" spans="1:36" ht="15" customHeight="1" x14ac:dyDescent="0.3">
      <c r="A104" s="926"/>
      <c r="B104" s="609"/>
      <c r="C104" s="962"/>
      <c r="D104" s="40"/>
      <c r="E104" s="2400" t="s">
        <v>72</v>
      </c>
      <c r="F104" s="2400"/>
      <c r="G104" s="2400"/>
      <c r="H104" s="2400"/>
      <c r="I104" s="2400"/>
      <c r="J104" s="2400"/>
      <c r="K104" s="2429" t="s">
        <v>139</v>
      </c>
      <c r="L104" s="2429"/>
      <c r="M104" s="2429"/>
      <c r="N104" s="2429"/>
      <c r="O104" s="2429"/>
      <c r="P104" s="2429"/>
      <c r="Q104" s="2429"/>
      <c r="R104" s="2412"/>
      <c r="S104" s="40"/>
      <c r="T104" s="963"/>
      <c r="U104" s="609"/>
      <c r="V104" s="926"/>
      <c r="W104" s="926"/>
      <c r="X104" s="926"/>
      <c r="Y104" s="926"/>
      <c r="Z104" s="926"/>
      <c r="AA104" s="926"/>
      <c r="AB104" s="926"/>
      <c r="AC104" s="926"/>
      <c r="AD104" s="926"/>
      <c r="AE104" s="926"/>
      <c r="AF104" s="926"/>
      <c r="AG104" s="926"/>
      <c r="AH104" s="926"/>
      <c r="AI104" s="926"/>
      <c r="AJ104" s="926"/>
    </row>
    <row r="105" spans="1:36" ht="15" customHeight="1" x14ac:dyDescent="0.3">
      <c r="A105" s="926"/>
      <c r="B105" s="609"/>
      <c r="C105" s="962"/>
      <c r="D105" s="40"/>
      <c r="E105" s="2400"/>
      <c r="F105" s="2400"/>
      <c r="G105" s="2400"/>
      <c r="H105" s="2400"/>
      <c r="I105" s="2400"/>
      <c r="J105" s="2400"/>
      <c r="K105" s="2430"/>
      <c r="L105" s="2430"/>
      <c r="M105" s="2430"/>
      <c r="N105" s="2430"/>
      <c r="O105" s="2430"/>
      <c r="P105" s="2430"/>
      <c r="Q105" s="2430"/>
      <c r="R105" s="2414"/>
      <c r="S105" s="40"/>
      <c r="T105" s="963"/>
      <c r="U105" s="609"/>
      <c r="V105" s="926"/>
      <c r="W105" s="926"/>
      <c r="X105" s="926"/>
      <c r="Y105" s="926"/>
      <c r="Z105" s="926"/>
      <c r="AA105" s="926"/>
      <c r="AB105" s="926"/>
      <c r="AC105" s="926"/>
      <c r="AD105" s="926"/>
      <c r="AE105" s="926"/>
      <c r="AF105" s="926"/>
      <c r="AG105" s="926"/>
      <c r="AH105" s="926"/>
      <c r="AI105" s="926"/>
      <c r="AJ105" s="926"/>
    </row>
    <row r="106" spans="1:36" ht="15" customHeight="1" x14ac:dyDescent="0.3">
      <c r="A106" s="926"/>
      <c r="B106" s="609"/>
      <c r="C106" s="962"/>
      <c r="D106" s="40"/>
      <c r="E106" s="2400"/>
      <c r="F106" s="2400"/>
      <c r="G106" s="2400"/>
      <c r="H106" s="2400"/>
      <c r="I106" s="2400"/>
      <c r="J106" s="2400"/>
      <c r="K106" s="2430"/>
      <c r="L106" s="2430"/>
      <c r="M106" s="2430"/>
      <c r="N106" s="2430"/>
      <c r="O106" s="2430"/>
      <c r="P106" s="2430"/>
      <c r="Q106" s="2430"/>
      <c r="R106" s="2414"/>
      <c r="S106" s="40"/>
      <c r="T106" s="963"/>
      <c r="U106" s="609"/>
      <c r="V106" s="926"/>
      <c r="W106" s="926"/>
      <c r="X106" s="926"/>
      <c r="Y106" s="926"/>
      <c r="Z106" s="926"/>
      <c r="AA106" s="926"/>
      <c r="AB106" s="926"/>
      <c r="AC106" s="926"/>
      <c r="AD106" s="926"/>
      <c r="AE106" s="926"/>
      <c r="AF106" s="926"/>
      <c r="AG106" s="926"/>
      <c r="AH106" s="926"/>
      <c r="AI106" s="926"/>
      <c r="AJ106" s="926"/>
    </row>
    <row r="107" spans="1:36" ht="15" customHeight="1" x14ac:dyDescent="0.3">
      <c r="A107" s="926"/>
      <c r="B107" s="609"/>
      <c r="C107" s="962"/>
      <c r="D107" s="40"/>
      <c r="E107" s="2400"/>
      <c r="F107" s="2400"/>
      <c r="G107" s="2400"/>
      <c r="H107" s="2400"/>
      <c r="I107" s="2400"/>
      <c r="J107" s="2400"/>
      <c r="K107" s="2431"/>
      <c r="L107" s="2431"/>
      <c r="M107" s="2431"/>
      <c r="N107" s="2431"/>
      <c r="O107" s="2431"/>
      <c r="P107" s="2431"/>
      <c r="Q107" s="2431"/>
      <c r="R107" s="2416"/>
      <c r="S107" s="40"/>
      <c r="T107" s="963"/>
      <c r="U107" s="609"/>
      <c r="V107" s="926"/>
      <c r="W107" s="926"/>
      <c r="X107" s="926"/>
      <c r="Y107" s="926"/>
      <c r="Z107" s="926"/>
      <c r="AA107" s="926"/>
      <c r="AB107" s="926"/>
      <c r="AC107" s="926"/>
      <c r="AD107" s="926"/>
      <c r="AE107" s="926"/>
      <c r="AF107" s="926"/>
      <c r="AG107" s="926"/>
      <c r="AH107" s="926"/>
      <c r="AI107" s="926"/>
      <c r="AJ107" s="926"/>
    </row>
    <row r="108" spans="1:36" ht="15" customHeight="1" thickBot="1" x14ac:dyDescent="0.35">
      <c r="A108" s="926"/>
      <c r="B108" s="609"/>
      <c r="C108" s="962"/>
      <c r="D108" s="40"/>
      <c r="E108" s="40"/>
      <c r="F108" s="40"/>
      <c r="G108" s="40"/>
      <c r="H108" s="40"/>
      <c r="I108" s="40"/>
      <c r="J108" s="40"/>
      <c r="K108" s="40"/>
      <c r="L108" s="40"/>
      <c r="M108" s="40"/>
      <c r="N108" s="40"/>
      <c r="O108" s="40"/>
      <c r="P108" s="40"/>
      <c r="Q108" s="40"/>
      <c r="R108" s="40"/>
      <c r="S108" s="40"/>
      <c r="T108" s="963"/>
      <c r="U108" s="609"/>
      <c r="V108" s="926"/>
      <c r="W108" s="926"/>
      <c r="X108" s="926"/>
      <c r="Y108" s="926"/>
      <c r="Z108" s="926"/>
      <c r="AA108" s="926"/>
      <c r="AB108" s="926"/>
      <c r="AC108" s="926"/>
      <c r="AD108" s="926"/>
      <c r="AE108" s="926"/>
      <c r="AF108" s="926"/>
      <c r="AG108" s="926"/>
      <c r="AH108" s="926"/>
      <c r="AI108" s="926"/>
      <c r="AJ108" s="926"/>
    </row>
    <row r="109" spans="1:36" ht="15" customHeight="1" x14ac:dyDescent="0.3">
      <c r="A109" s="926"/>
      <c r="B109" s="609"/>
      <c r="C109" s="962"/>
      <c r="D109" s="40"/>
      <c r="E109" s="40"/>
      <c r="F109" s="40"/>
      <c r="G109" s="2470" t="str">
        <f>IF(K104="Yes", "Please answer the below questions about the number and average body weight of this part of your herd.", "You may skip the questions about the number and average body weight.")</f>
        <v>You may skip the questions about the number and average body weight.</v>
      </c>
      <c r="H109" s="2471"/>
      <c r="I109" s="2471"/>
      <c r="J109" s="2471"/>
      <c r="K109" s="2471"/>
      <c r="L109" s="2471"/>
      <c r="M109" s="2471"/>
      <c r="N109" s="2471"/>
      <c r="O109" s="2471"/>
      <c r="P109" s="2472"/>
      <c r="Q109" s="40"/>
      <c r="R109" s="40"/>
      <c r="S109" s="40"/>
      <c r="T109" s="963"/>
      <c r="U109" s="609"/>
      <c r="V109" s="926"/>
      <c r="W109" s="926"/>
      <c r="X109" s="926"/>
      <c r="Y109" s="926"/>
      <c r="Z109" s="926"/>
      <c r="AA109" s="926"/>
      <c r="AB109" s="926"/>
      <c r="AC109" s="926"/>
      <c r="AD109" s="926"/>
      <c r="AE109" s="926"/>
      <c r="AF109" s="926"/>
      <c r="AG109" s="926"/>
      <c r="AH109" s="926"/>
      <c r="AI109" s="926"/>
      <c r="AJ109" s="926"/>
    </row>
    <row r="110" spans="1:36" ht="15" customHeight="1" x14ac:dyDescent="0.3">
      <c r="A110" s="926"/>
      <c r="B110" s="609"/>
      <c r="C110" s="962"/>
      <c r="D110" s="40"/>
      <c r="E110" s="40"/>
      <c r="F110" s="40"/>
      <c r="G110" s="2473"/>
      <c r="H110" s="2474"/>
      <c r="I110" s="2474"/>
      <c r="J110" s="2474"/>
      <c r="K110" s="2474"/>
      <c r="L110" s="2474"/>
      <c r="M110" s="2474"/>
      <c r="N110" s="2474"/>
      <c r="O110" s="2474"/>
      <c r="P110" s="2475"/>
      <c r="Q110" s="40"/>
      <c r="R110" s="40"/>
      <c r="S110" s="40"/>
      <c r="T110" s="963"/>
      <c r="U110" s="609"/>
      <c r="V110" s="926"/>
      <c r="W110" s="926"/>
      <c r="X110" s="926"/>
      <c r="Y110" s="926"/>
      <c r="Z110" s="926"/>
      <c r="AA110" s="926"/>
      <c r="AB110" s="926"/>
      <c r="AC110" s="926"/>
      <c r="AD110" s="926"/>
      <c r="AE110" s="926"/>
      <c r="AF110" s="926"/>
      <c r="AG110" s="926"/>
      <c r="AH110" s="926"/>
      <c r="AI110" s="926"/>
      <c r="AJ110" s="926"/>
    </row>
    <row r="111" spans="1:36" ht="15" customHeight="1" x14ac:dyDescent="0.3">
      <c r="A111" s="926"/>
      <c r="B111" s="609"/>
      <c r="C111" s="962"/>
      <c r="D111" s="40"/>
      <c r="E111" s="40"/>
      <c r="F111" s="40"/>
      <c r="G111" s="2473"/>
      <c r="H111" s="2474"/>
      <c r="I111" s="2474"/>
      <c r="J111" s="2474"/>
      <c r="K111" s="2474"/>
      <c r="L111" s="2474"/>
      <c r="M111" s="2474"/>
      <c r="N111" s="2474"/>
      <c r="O111" s="2474"/>
      <c r="P111" s="2475"/>
      <c r="Q111" s="40"/>
      <c r="R111" s="40"/>
      <c r="S111" s="40"/>
      <c r="T111" s="963"/>
      <c r="U111" s="609"/>
      <c r="V111" s="926"/>
      <c r="W111" s="926"/>
      <c r="X111" s="926"/>
      <c r="Y111" s="926"/>
      <c r="Z111" s="926"/>
      <c r="AA111" s="926"/>
      <c r="AB111" s="926"/>
      <c r="AC111" s="926"/>
      <c r="AD111" s="926"/>
      <c r="AE111" s="926"/>
      <c r="AF111" s="926"/>
      <c r="AG111" s="926"/>
      <c r="AH111" s="926"/>
      <c r="AI111" s="926"/>
      <c r="AJ111" s="926"/>
    </row>
    <row r="112" spans="1:36" ht="15" customHeight="1" x14ac:dyDescent="0.3">
      <c r="A112" s="926"/>
      <c r="B112" s="609"/>
      <c r="C112" s="962"/>
      <c r="D112" s="40"/>
      <c r="E112" s="40"/>
      <c r="F112" s="40"/>
      <c r="G112" s="2473"/>
      <c r="H112" s="2474"/>
      <c r="I112" s="2474"/>
      <c r="J112" s="2474"/>
      <c r="K112" s="2474"/>
      <c r="L112" s="2474"/>
      <c r="M112" s="2474"/>
      <c r="N112" s="2474"/>
      <c r="O112" s="2474"/>
      <c r="P112" s="2475"/>
      <c r="Q112" s="40"/>
      <c r="R112" s="40"/>
      <c r="S112" s="40"/>
      <c r="T112" s="963"/>
      <c r="U112" s="609"/>
      <c r="V112" s="926"/>
      <c r="W112" s="926"/>
      <c r="X112" s="926"/>
      <c r="Y112" s="926"/>
      <c r="Z112" s="926"/>
      <c r="AA112" s="926"/>
      <c r="AB112" s="926"/>
      <c r="AC112" s="926"/>
      <c r="AD112" s="926"/>
      <c r="AE112" s="926"/>
      <c r="AF112" s="926"/>
      <c r="AG112" s="926"/>
      <c r="AH112" s="926"/>
      <c r="AI112" s="926"/>
      <c r="AJ112" s="926"/>
    </row>
    <row r="113" spans="1:36" ht="15" customHeight="1" x14ac:dyDescent="0.3">
      <c r="A113" s="926"/>
      <c r="B113" s="609"/>
      <c r="C113" s="962"/>
      <c r="D113" s="40"/>
      <c r="E113" s="40"/>
      <c r="F113" s="40"/>
      <c r="G113" s="2473"/>
      <c r="H113" s="2474"/>
      <c r="I113" s="2474"/>
      <c r="J113" s="2474"/>
      <c r="K113" s="2474"/>
      <c r="L113" s="2474"/>
      <c r="M113" s="2474"/>
      <c r="N113" s="2474"/>
      <c r="O113" s="2474"/>
      <c r="P113" s="2475"/>
      <c r="Q113" s="40"/>
      <c r="R113" s="40"/>
      <c r="S113" s="40"/>
      <c r="T113" s="963"/>
      <c r="U113" s="609"/>
      <c r="V113" s="926"/>
      <c r="W113" s="926"/>
      <c r="X113" s="926"/>
      <c r="Y113" s="926"/>
      <c r="Z113" s="926"/>
      <c r="AA113" s="926"/>
      <c r="AB113" s="926"/>
      <c r="AC113" s="926"/>
      <c r="AD113" s="926"/>
      <c r="AE113" s="926"/>
      <c r="AF113" s="926"/>
      <c r="AG113" s="926"/>
      <c r="AH113" s="926"/>
      <c r="AI113" s="926"/>
      <c r="AJ113" s="926"/>
    </row>
    <row r="114" spans="1:36" ht="15" customHeight="1" thickBot="1" x14ac:dyDescent="0.35">
      <c r="A114" s="926"/>
      <c r="B114" s="609"/>
      <c r="C114" s="962"/>
      <c r="D114" s="40"/>
      <c r="E114" s="40"/>
      <c r="F114" s="40"/>
      <c r="G114" s="2476"/>
      <c r="H114" s="2477"/>
      <c r="I114" s="2477"/>
      <c r="J114" s="2477"/>
      <c r="K114" s="2477"/>
      <c r="L114" s="2477"/>
      <c r="M114" s="2477"/>
      <c r="N114" s="2477"/>
      <c r="O114" s="2477"/>
      <c r="P114" s="2478"/>
      <c r="Q114" s="40"/>
      <c r="R114" s="40"/>
      <c r="S114" s="40"/>
      <c r="T114" s="963"/>
      <c r="U114" s="609"/>
      <c r="V114" s="926"/>
      <c r="W114" s="926"/>
      <c r="X114" s="926"/>
      <c r="Y114" s="926"/>
      <c r="Z114" s="926"/>
      <c r="AA114" s="926"/>
      <c r="AB114" s="926"/>
      <c r="AC114" s="926"/>
      <c r="AD114" s="926"/>
      <c r="AE114" s="926"/>
      <c r="AF114" s="926"/>
      <c r="AG114" s="926"/>
      <c r="AH114" s="926"/>
      <c r="AI114" s="926"/>
      <c r="AJ114" s="926"/>
    </row>
    <row r="115" spans="1:36" ht="15" customHeight="1" x14ac:dyDescent="0.3">
      <c r="A115" s="926"/>
      <c r="B115" s="609"/>
      <c r="C115" s="962"/>
      <c r="D115" s="40"/>
      <c r="E115" s="40"/>
      <c r="F115" s="40"/>
      <c r="G115" s="40"/>
      <c r="H115" s="40"/>
      <c r="I115" s="40"/>
      <c r="J115" s="40"/>
      <c r="K115" s="40"/>
      <c r="L115" s="40"/>
      <c r="M115" s="40"/>
      <c r="N115" s="40"/>
      <c r="O115" s="40"/>
      <c r="P115" s="40"/>
      <c r="Q115" s="40"/>
      <c r="R115" s="40"/>
      <c r="S115" s="40"/>
      <c r="T115" s="963"/>
      <c r="U115" s="609"/>
      <c r="V115" s="926"/>
      <c r="W115" s="926"/>
      <c r="X115" s="926"/>
      <c r="Y115" s="926"/>
      <c r="Z115" s="926"/>
      <c r="AA115" s="926"/>
      <c r="AB115" s="926"/>
      <c r="AC115" s="926"/>
      <c r="AD115" s="926"/>
      <c r="AE115" s="926"/>
      <c r="AF115" s="926"/>
      <c r="AG115" s="926"/>
      <c r="AH115" s="926"/>
      <c r="AI115" s="926"/>
      <c r="AJ115" s="926"/>
    </row>
    <row r="116" spans="1:36" ht="15" customHeight="1" x14ac:dyDescent="0.3">
      <c r="A116" s="926"/>
      <c r="B116" s="609"/>
      <c r="C116" s="962"/>
      <c r="D116" s="40"/>
      <c r="E116" s="2399" t="str">
        <f>IF(K104="Yes","How many grow to finish swine does your farm have? What is their average body weight?", "Please skip to the next question")</f>
        <v>Please skip to the next question</v>
      </c>
      <c r="F116" s="2399"/>
      <c r="G116" s="2399"/>
      <c r="H116" s="2399"/>
      <c r="I116" s="2399"/>
      <c r="J116" s="2399"/>
      <c r="K116" s="2399"/>
      <c r="L116" s="2399"/>
      <c r="M116" s="2399"/>
      <c r="N116" s="2399"/>
      <c r="O116" s="2399"/>
      <c r="P116" s="2399"/>
      <c r="Q116" s="2399"/>
      <c r="R116" s="2399"/>
      <c r="S116" s="40"/>
      <c r="T116" s="963"/>
      <c r="U116" s="609"/>
      <c r="V116" s="926"/>
      <c r="W116" s="926"/>
      <c r="X116" s="926"/>
      <c r="Y116" s="926"/>
      <c r="Z116" s="926"/>
      <c r="AA116" s="926"/>
      <c r="AB116" s="926"/>
      <c r="AC116" s="926"/>
      <c r="AD116" s="926"/>
      <c r="AE116" s="926"/>
      <c r="AF116" s="926"/>
      <c r="AG116" s="926"/>
      <c r="AH116" s="926"/>
      <c r="AI116" s="926"/>
      <c r="AJ116" s="926"/>
    </row>
    <row r="117" spans="1:36" ht="15" customHeight="1" x14ac:dyDescent="0.3">
      <c r="A117" s="926"/>
      <c r="B117" s="609"/>
      <c r="C117" s="962"/>
      <c r="D117" s="40"/>
      <c r="E117" s="2399"/>
      <c r="F117" s="2399"/>
      <c r="G117" s="2399"/>
      <c r="H117" s="2399"/>
      <c r="I117" s="2399"/>
      <c r="J117" s="2399"/>
      <c r="K117" s="2399"/>
      <c r="L117" s="2399"/>
      <c r="M117" s="2399"/>
      <c r="N117" s="2399"/>
      <c r="O117" s="2399"/>
      <c r="P117" s="2399"/>
      <c r="Q117" s="2399"/>
      <c r="R117" s="2399"/>
      <c r="S117" s="40"/>
      <c r="T117" s="963"/>
      <c r="U117" s="609"/>
      <c r="V117" s="926"/>
      <c r="W117" s="926"/>
      <c r="X117" s="926"/>
      <c r="Y117" s="926"/>
      <c r="Z117" s="926"/>
      <c r="AA117" s="926"/>
      <c r="AB117" s="926"/>
      <c r="AC117" s="926"/>
      <c r="AD117" s="926"/>
      <c r="AE117" s="926"/>
      <c r="AF117" s="926"/>
      <c r="AG117" s="926"/>
      <c r="AH117" s="926"/>
      <c r="AI117" s="926"/>
      <c r="AJ117" s="926"/>
    </row>
    <row r="118" spans="1:36" ht="15" customHeight="1" x14ac:dyDescent="0.3">
      <c r="A118" s="926"/>
      <c r="B118" s="609"/>
      <c r="C118" s="962"/>
      <c r="D118" s="40"/>
      <c r="E118" s="2399"/>
      <c r="F118" s="2399"/>
      <c r="G118" s="2399"/>
      <c r="H118" s="2399"/>
      <c r="I118" s="2399"/>
      <c r="J118" s="2399"/>
      <c r="K118" s="2399"/>
      <c r="L118" s="2399"/>
      <c r="M118" s="2399"/>
      <c r="N118" s="2399"/>
      <c r="O118" s="2399"/>
      <c r="P118" s="2399"/>
      <c r="Q118" s="2399"/>
      <c r="R118" s="2399"/>
      <c r="S118" s="40"/>
      <c r="T118" s="963"/>
      <c r="U118" s="609"/>
      <c r="V118" s="926"/>
      <c r="W118" s="926"/>
      <c r="X118" s="926"/>
      <c r="Y118" s="926"/>
      <c r="Z118" s="926"/>
      <c r="AA118" s="926"/>
      <c r="AB118" s="926"/>
      <c r="AC118" s="926"/>
      <c r="AD118" s="926"/>
      <c r="AE118" s="926"/>
      <c r="AF118" s="926"/>
      <c r="AG118" s="926"/>
      <c r="AH118" s="926"/>
      <c r="AI118" s="926"/>
      <c r="AJ118" s="926"/>
    </row>
    <row r="119" spans="1:36" ht="15" customHeight="1" x14ac:dyDescent="0.3">
      <c r="A119" s="926"/>
      <c r="B119" s="609"/>
      <c r="C119" s="962"/>
      <c r="D119" s="40"/>
      <c r="E119" s="2399"/>
      <c r="F119" s="2399"/>
      <c r="G119" s="2399"/>
      <c r="H119" s="2399"/>
      <c r="I119" s="2399"/>
      <c r="J119" s="2399"/>
      <c r="K119" s="2399"/>
      <c r="L119" s="2399"/>
      <c r="M119" s="2399"/>
      <c r="N119" s="2399"/>
      <c r="O119" s="2399"/>
      <c r="P119" s="2399"/>
      <c r="Q119" s="2399"/>
      <c r="R119" s="2399"/>
      <c r="S119" s="40"/>
      <c r="T119" s="963"/>
      <c r="U119" s="609"/>
      <c r="V119" s="926"/>
      <c r="W119" s="926"/>
      <c r="X119" s="926"/>
      <c r="Y119" s="926"/>
      <c r="Z119" s="926"/>
      <c r="AA119" s="926"/>
      <c r="AB119" s="926"/>
      <c r="AC119" s="926"/>
      <c r="AD119" s="926"/>
      <c r="AE119" s="926"/>
      <c r="AF119" s="926"/>
      <c r="AG119" s="926"/>
      <c r="AH119" s="926"/>
      <c r="AI119" s="926"/>
      <c r="AJ119" s="926"/>
    </row>
    <row r="120" spans="1:36" ht="15" customHeight="1" x14ac:dyDescent="0.3">
      <c r="A120" s="926"/>
      <c r="B120" s="609"/>
      <c r="C120" s="962"/>
      <c r="D120" s="40"/>
      <c r="E120" s="2397" t="s">
        <v>147</v>
      </c>
      <c r="F120" s="2397"/>
      <c r="G120" s="2397" t="s">
        <v>38</v>
      </c>
      <c r="H120" s="2397"/>
      <c r="I120" s="2397" t="s">
        <v>39</v>
      </c>
      <c r="J120" s="2397"/>
      <c r="K120" s="2397" t="s">
        <v>40</v>
      </c>
      <c r="L120" s="2397"/>
      <c r="M120" s="2397" t="s">
        <v>41</v>
      </c>
      <c r="N120" s="2397"/>
      <c r="O120" s="2397" t="s">
        <v>42</v>
      </c>
      <c r="P120" s="2397"/>
      <c r="Q120" s="2397" t="s">
        <v>43</v>
      </c>
      <c r="R120" s="2397"/>
      <c r="S120" s="40"/>
      <c r="T120" s="963"/>
      <c r="U120" s="609"/>
      <c r="V120" s="926"/>
      <c r="W120" s="926"/>
      <c r="X120" s="926"/>
      <c r="Y120" s="926"/>
      <c r="Z120" s="926"/>
      <c r="AA120" s="926"/>
      <c r="AB120" s="926"/>
      <c r="AC120" s="926"/>
      <c r="AD120" s="926"/>
      <c r="AE120" s="926"/>
      <c r="AF120" s="926"/>
      <c r="AG120" s="926"/>
      <c r="AH120" s="926"/>
      <c r="AI120" s="926"/>
      <c r="AJ120" s="926"/>
    </row>
    <row r="121" spans="1:36" ht="15" customHeight="1" x14ac:dyDescent="0.3">
      <c r="A121" s="926"/>
      <c r="B121" s="609"/>
      <c r="C121" s="962"/>
      <c r="D121" s="40"/>
      <c r="E121" s="2410" t="s">
        <v>44</v>
      </c>
      <c r="F121" s="2410"/>
      <c r="G121" s="2398" t="str">
        <f>BG265</f>
        <v>head</v>
      </c>
      <c r="H121" s="2398"/>
      <c r="I121" s="2407">
        <f>BE265</f>
        <v>0</v>
      </c>
      <c r="J121" s="2407"/>
      <c r="K121" s="2429"/>
      <c r="L121" s="2412"/>
      <c r="M121" s="2407">
        <f>BI265</f>
        <v>0</v>
      </c>
      <c r="N121" s="2407"/>
      <c r="O121" s="2407">
        <f>BJ265</f>
        <v>20000</v>
      </c>
      <c r="P121" s="2407"/>
      <c r="Q121" s="2398" t="str">
        <f>BN265</f>
        <v>Using default</v>
      </c>
      <c r="R121" s="2398"/>
      <c r="S121" s="40"/>
      <c r="T121" s="963"/>
      <c r="U121" s="609"/>
      <c r="V121" s="926"/>
      <c r="W121" s="926"/>
      <c r="X121" s="926"/>
      <c r="Y121" s="926"/>
      <c r="Z121" s="926"/>
      <c r="AA121" s="926"/>
      <c r="AB121" s="926"/>
      <c r="AC121" s="926"/>
      <c r="AD121" s="926"/>
      <c r="AE121" s="926"/>
      <c r="AF121" s="926"/>
      <c r="AG121" s="926"/>
      <c r="AH121" s="926"/>
      <c r="AI121" s="926"/>
      <c r="AJ121" s="926"/>
    </row>
    <row r="122" spans="1:36" ht="15" customHeight="1" x14ac:dyDescent="0.3">
      <c r="A122" s="926"/>
      <c r="B122" s="609"/>
      <c r="C122" s="962"/>
      <c r="D122" s="40"/>
      <c r="E122" s="2410"/>
      <c r="F122" s="2410"/>
      <c r="G122" s="2398"/>
      <c r="H122" s="2398"/>
      <c r="I122" s="2407"/>
      <c r="J122" s="2407"/>
      <c r="K122" s="2430"/>
      <c r="L122" s="2414"/>
      <c r="M122" s="2407"/>
      <c r="N122" s="2407"/>
      <c r="O122" s="2407"/>
      <c r="P122" s="2407"/>
      <c r="Q122" s="2398"/>
      <c r="R122" s="2398"/>
      <c r="S122" s="40"/>
      <c r="T122" s="963"/>
      <c r="U122" s="609"/>
      <c r="V122" s="926"/>
      <c r="W122" s="926"/>
      <c r="X122" s="926"/>
      <c r="Y122" s="926"/>
      <c r="Z122" s="926"/>
      <c r="AA122" s="926"/>
      <c r="AB122" s="926"/>
      <c r="AC122" s="926"/>
      <c r="AD122" s="926"/>
      <c r="AE122" s="926"/>
      <c r="AF122" s="926"/>
      <c r="AG122" s="926"/>
      <c r="AH122" s="926"/>
      <c r="AI122" s="926"/>
      <c r="AJ122" s="926"/>
    </row>
    <row r="123" spans="1:36" ht="15" customHeight="1" x14ac:dyDescent="0.3">
      <c r="A123" s="926"/>
      <c r="B123" s="609"/>
      <c r="C123" s="962"/>
      <c r="D123" s="40"/>
      <c r="E123" s="2410"/>
      <c r="F123" s="2410"/>
      <c r="G123" s="2398"/>
      <c r="H123" s="2398"/>
      <c r="I123" s="2407"/>
      <c r="J123" s="2407"/>
      <c r="K123" s="2431"/>
      <c r="L123" s="2416"/>
      <c r="M123" s="2407"/>
      <c r="N123" s="2407"/>
      <c r="O123" s="2407"/>
      <c r="P123" s="2407"/>
      <c r="Q123" s="2398"/>
      <c r="R123" s="2398"/>
      <c r="S123" s="40"/>
      <c r="T123" s="963"/>
      <c r="U123" s="609"/>
      <c r="V123" s="926"/>
      <c r="W123" s="926"/>
      <c r="X123" s="926"/>
      <c r="Y123" s="926"/>
      <c r="Z123" s="926"/>
      <c r="AA123" s="926"/>
      <c r="AB123" s="926"/>
      <c r="AC123" s="926"/>
      <c r="AD123" s="926"/>
      <c r="AE123" s="926"/>
      <c r="AF123" s="926"/>
      <c r="AG123" s="926"/>
      <c r="AH123" s="926"/>
      <c r="AI123" s="926"/>
      <c r="AJ123" s="926"/>
    </row>
    <row r="124" spans="1:36" ht="15" customHeight="1" x14ac:dyDescent="0.3">
      <c r="A124" s="926"/>
      <c r="B124" s="609"/>
      <c r="C124" s="962"/>
      <c r="D124" s="40"/>
      <c r="E124" s="2410" t="s">
        <v>141</v>
      </c>
      <c r="F124" s="2410"/>
      <c r="G124" s="2398" t="str">
        <f>BG266</f>
        <v>lb/head</v>
      </c>
      <c r="H124" s="2398"/>
      <c r="I124" s="2407">
        <f>BE266</f>
        <v>280</v>
      </c>
      <c r="J124" s="2407"/>
      <c r="K124" s="2429"/>
      <c r="L124" s="2412"/>
      <c r="M124" s="2407">
        <f>BI266</f>
        <v>150</v>
      </c>
      <c r="N124" s="2407"/>
      <c r="O124" s="2407">
        <f>BJ266</f>
        <v>300</v>
      </c>
      <c r="P124" s="2407"/>
      <c r="Q124" s="2398" t="str">
        <f>BN266</f>
        <v>Using default</v>
      </c>
      <c r="R124" s="2398"/>
      <c r="S124" s="40"/>
      <c r="T124" s="963"/>
      <c r="U124" s="609"/>
      <c r="V124" s="926"/>
      <c r="W124" s="926"/>
      <c r="X124" s="926"/>
      <c r="Y124" s="926"/>
      <c r="Z124" s="926"/>
      <c r="AA124" s="926"/>
      <c r="AB124" s="926"/>
      <c r="AC124" s="926"/>
      <c r="AD124" s="926"/>
      <c r="AE124" s="926"/>
      <c r="AF124" s="926"/>
      <c r="AG124" s="926"/>
      <c r="AH124" s="926"/>
      <c r="AI124" s="926"/>
      <c r="AJ124" s="926"/>
    </row>
    <row r="125" spans="1:36" ht="15" customHeight="1" x14ac:dyDescent="0.3">
      <c r="A125" s="926"/>
      <c r="B125" s="609"/>
      <c r="C125" s="962"/>
      <c r="D125" s="40"/>
      <c r="E125" s="2410"/>
      <c r="F125" s="2410"/>
      <c r="G125" s="2398"/>
      <c r="H125" s="2398"/>
      <c r="I125" s="2407"/>
      <c r="J125" s="2407"/>
      <c r="K125" s="2430"/>
      <c r="L125" s="2414"/>
      <c r="M125" s="2407"/>
      <c r="N125" s="2407"/>
      <c r="O125" s="2407"/>
      <c r="P125" s="2407"/>
      <c r="Q125" s="2398"/>
      <c r="R125" s="2398"/>
      <c r="S125" s="40"/>
      <c r="T125" s="963"/>
      <c r="U125" s="609"/>
      <c r="V125" s="926"/>
      <c r="W125" s="926"/>
      <c r="X125" s="926"/>
      <c r="Y125" s="926"/>
      <c r="Z125" s="926"/>
      <c r="AA125" s="926"/>
      <c r="AB125" s="926"/>
      <c r="AC125" s="926"/>
      <c r="AD125" s="926"/>
      <c r="AE125" s="926"/>
      <c r="AF125" s="926"/>
      <c r="AG125" s="926"/>
      <c r="AH125" s="926"/>
      <c r="AI125" s="926"/>
      <c r="AJ125" s="926"/>
    </row>
    <row r="126" spans="1:36" ht="15" customHeight="1" x14ac:dyDescent="0.3">
      <c r="A126" s="926"/>
      <c r="B126" s="609"/>
      <c r="C126" s="962"/>
      <c r="D126" s="40"/>
      <c r="E126" s="2410"/>
      <c r="F126" s="2410"/>
      <c r="G126" s="2398"/>
      <c r="H126" s="2398"/>
      <c r="I126" s="2407"/>
      <c r="J126" s="2407"/>
      <c r="K126" s="2431"/>
      <c r="L126" s="2416"/>
      <c r="M126" s="2407"/>
      <c r="N126" s="2407"/>
      <c r="O126" s="2407"/>
      <c r="P126" s="2407"/>
      <c r="Q126" s="2398"/>
      <c r="R126" s="2398"/>
      <c r="S126" s="40"/>
      <c r="T126" s="963"/>
      <c r="U126" s="609"/>
      <c r="V126" s="926"/>
      <c r="W126" s="926"/>
      <c r="X126" s="926"/>
      <c r="Y126" s="926"/>
      <c r="Z126" s="926"/>
      <c r="AA126" s="926"/>
      <c r="AB126" s="926"/>
      <c r="AC126" s="926"/>
      <c r="AD126" s="926"/>
      <c r="AE126" s="926"/>
      <c r="AF126" s="926"/>
      <c r="AG126" s="926"/>
      <c r="AH126" s="926"/>
      <c r="AI126" s="926"/>
      <c r="AJ126" s="926"/>
    </row>
    <row r="127" spans="1:36" ht="15" customHeight="1" x14ac:dyDescent="0.3">
      <c r="A127" s="926"/>
      <c r="B127" s="609"/>
      <c r="C127" s="962"/>
      <c r="D127" s="40"/>
      <c r="E127" s="40"/>
      <c r="F127" s="40"/>
      <c r="G127" s="40"/>
      <c r="H127" s="40"/>
      <c r="I127" s="40"/>
      <c r="J127" s="40"/>
      <c r="K127" s="40"/>
      <c r="L127" s="40"/>
      <c r="M127" s="40"/>
      <c r="N127" s="40"/>
      <c r="O127" s="40"/>
      <c r="P127" s="40"/>
      <c r="Q127" s="40"/>
      <c r="R127" s="40"/>
      <c r="S127" s="40"/>
      <c r="T127" s="963"/>
      <c r="U127" s="609"/>
      <c r="V127" s="926"/>
      <c r="W127" s="926"/>
      <c r="X127" s="926"/>
      <c r="Y127" s="926"/>
      <c r="Z127" s="926"/>
      <c r="AA127" s="926"/>
      <c r="AB127" s="926"/>
      <c r="AC127" s="926"/>
      <c r="AD127" s="926"/>
      <c r="AE127" s="926"/>
      <c r="AF127" s="926"/>
      <c r="AG127" s="926"/>
      <c r="AH127" s="926"/>
      <c r="AI127" s="926"/>
      <c r="AJ127" s="926"/>
    </row>
    <row r="128" spans="1:36" ht="15" customHeight="1" x14ac:dyDescent="0.3">
      <c r="A128" s="926"/>
      <c r="B128" s="609"/>
      <c r="C128" s="962"/>
      <c r="D128" s="40"/>
      <c r="E128" s="40"/>
      <c r="F128" s="1962"/>
      <c r="G128" s="40"/>
      <c r="H128" s="40"/>
      <c r="I128" s="40"/>
      <c r="J128" s="40"/>
      <c r="K128" s="40"/>
      <c r="L128" s="40"/>
      <c r="M128" s="40"/>
      <c r="N128" s="40"/>
      <c r="O128" s="40"/>
      <c r="P128" s="40"/>
      <c r="Q128" s="40"/>
      <c r="R128" s="40"/>
      <c r="S128" s="40"/>
      <c r="T128" s="963"/>
      <c r="U128" s="609"/>
      <c r="V128" s="926"/>
      <c r="W128" s="926"/>
      <c r="X128" s="926"/>
      <c r="Y128" s="926"/>
      <c r="Z128" s="926"/>
      <c r="AA128" s="926"/>
      <c r="AB128" s="926"/>
      <c r="AC128" s="926"/>
      <c r="AD128" s="926"/>
      <c r="AE128" s="926"/>
      <c r="AF128" s="926"/>
      <c r="AG128" s="926"/>
      <c r="AH128" s="926"/>
      <c r="AI128" s="926"/>
      <c r="AJ128" s="926"/>
    </row>
    <row r="129" spans="1:36" ht="15" customHeight="1" thickBot="1" x14ac:dyDescent="0.35">
      <c r="A129" s="926"/>
      <c r="B129" s="609"/>
      <c r="C129" s="962"/>
      <c r="D129" s="40"/>
      <c r="E129" s="40"/>
      <c r="F129" s="40"/>
      <c r="G129" s="40"/>
      <c r="H129" s="40"/>
      <c r="I129" s="40"/>
      <c r="J129" s="40"/>
      <c r="K129" s="40"/>
      <c r="L129" s="40"/>
      <c r="M129" s="40"/>
      <c r="N129" s="40"/>
      <c r="O129" s="40"/>
      <c r="P129" s="40"/>
      <c r="Q129" s="40"/>
      <c r="R129" s="40"/>
      <c r="S129" s="40"/>
      <c r="T129" s="963"/>
      <c r="U129" s="609"/>
      <c r="V129" s="926"/>
      <c r="W129" s="926"/>
      <c r="X129" s="926"/>
      <c r="Y129" s="926"/>
      <c r="Z129" s="926"/>
      <c r="AA129" s="926"/>
      <c r="AB129" s="926"/>
      <c r="AC129" s="926"/>
      <c r="AD129" s="926"/>
      <c r="AE129" s="926"/>
      <c r="AF129" s="926"/>
      <c r="AG129" s="926"/>
      <c r="AH129" s="926"/>
      <c r="AI129" s="926"/>
      <c r="AJ129" s="926"/>
    </row>
    <row r="130" spans="1:36" ht="15" customHeight="1" x14ac:dyDescent="0.3">
      <c r="A130" s="926"/>
      <c r="B130" s="609"/>
      <c r="C130" s="962"/>
      <c r="D130" s="2461" t="s">
        <v>148</v>
      </c>
      <c r="E130" s="2462"/>
      <c r="F130" s="2462"/>
      <c r="G130" s="2462"/>
      <c r="H130" s="2462"/>
      <c r="I130" s="2462"/>
      <c r="J130" s="2462"/>
      <c r="K130" s="2462"/>
      <c r="L130" s="2462"/>
      <c r="M130" s="2462"/>
      <c r="N130" s="2462"/>
      <c r="O130" s="2462"/>
      <c r="P130" s="2462"/>
      <c r="Q130" s="2462"/>
      <c r="R130" s="2462"/>
      <c r="S130" s="2463"/>
      <c r="T130" s="963"/>
      <c r="U130" s="609"/>
      <c r="V130" s="926"/>
      <c r="W130" s="926"/>
      <c r="X130" s="926"/>
      <c r="Y130" s="926"/>
      <c r="Z130" s="926"/>
      <c r="AA130" s="926"/>
      <c r="AB130" s="926"/>
      <c r="AC130" s="926"/>
      <c r="AD130" s="926"/>
      <c r="AE130" s="926"/>
      <c r="AF130" s="926"/>
      <c r="AG130" s="926"/>
      <c r="AH130" s="926"/>
      <c r="AI130" s="926"/>
      <c r="AJ130" s="926"/>
    </row>
    <row r="131" spans="1:36" ht="15" customHeight="1" x14ac:dyDescent="0.3">
      <c r="A131" s="926"/>
      <c r="B131" s="609"/>
      <c r="C131" s="962"/>
      <c r="D131" s="2464"/>
      <c r="E131" s="2465"/>
      <c r="F131" s="2465"/>
      <c r="G131" s="2465"/>
      <c r="H131" s="2465"/>
      <c r="I131" s="2465"/>
      <c r="J131" s="2465"/>
      <c r="K131" s="2465"/>
      <c r="L131" s="2465"/>
      <c r="M131" s="2465"/>
      <c r="N131" s="2465"/>
      <c r="O131" s="2465"/>
      <c r="P131" s="2465"/>
      <c r="Q131" s="2465"/>
      <c r="R131" s="2465"/>
      <c r="S131" s="2466"/>
      <c r="T131" s="963"/>
      <c r="U131" s="609"/>
      <c r="V131" s="926"/>
      <c r="W131" s="926"/>
      <c r="X131" s="926"/>
      <c r="Y131" s="926"/>
      <c r="Z131" s="926"/>
      <c r="AA131" s="926"/>
      <c r="AB131" s="926"/>
      <c r="AC131" s="926"/>
      <c r="AD131" s="926"/>
      <c r="AE131" s="926"/>
      <c r="AF131" s="926"/>
      <c r="AG131" s="926"/>
      <c r="AH131" s="926"/>
      <c r="AI131" s="926"/>
      <c r="AJ131" s="926"/>
    </row>
    <row r="132" spans="1:36" ht="15" customHeight="1" thickBot="1" x14ac:dyDescent="0.35">
      <c r="A132" s="926"/>
      <c r="B132" s="609"/>
      <c r="C132" s="962"/>
      <c r="D132" s="2467"/>
      <c r="E132" s="2468"/>
      <c r="F132" s="2468"/>
      <c r="G132" s="2468"/>
      <c r="H132" s="2468"/>
      <c r="I132" s="2468"/>
      <c r="J132" s="2468"/>
      <c r="K132" s="2468"/>
      <c r="L132" s="2468"/>
      <c r="M132" s="2468"/>
      <c r="N132" s="2468"/>
      <c r="O132" s="2468"/>
      <c r="P132" s="2468"/>
      <c r="Q132" s="2468"/>
      <c r="R132" s="2468"/>
      <c r="S132" s="2469"/>
      <c r="T132" s="963"/>
      <c r="U132" s="609"/>
      <c r="V132" s="926"/>
      <c r="W132" s="926"/>
      <c r="X132" s="926"/>
      <c r="Y132" s="926"/>
      <c r="Z132" s="926"/>
      <c r="AA132" s="926"/>
      <c r="AB132" s="926"/>
      <c r="AC132" s="926"/>
      <c r="AD132" s="926"/>
      <c r="AE132" s="926"/>
      <c r="AF132" s="926"/>
      <c r="AG132" s="926"/>
      <c r="AH132" s="926"/>
      <c r="AI132" s="926"/>
      <c r="AJ132" s="926"/>
    </row>
    <row r="133" spans="1:36" ht="15" customHeight="1" x14ac:dyDescent="0.3">
      <c r="A133" s="926"/>
      <c r="B133" s="609"/>
      <c r="C133" s="962"/>
      <c r="D133" s="40"/>
      <c r="E133" s="40"/>
      <c r="F133" s="40"/>
      <c r="G133" s="40"/>
      <c r="H133" s="40"/>
      <c r="I133" s="40"/>
      <c r="J133" s="40"/>
      <c r="K133" s="40"/>
      <c r="L133" s="40"/>
      <c r="M133" s="40"/>
      <c r="N133" s="40"/>
      <c r="O133" s="40"/>
      <c r="P133" s="40"/>
      <c r="Q133" s="40"/>
      <c r="R133" s="40"/>
      <c r="S133" s="40"/>
      <c r="T133" s="963"/>
      <c r="U133" s="609"/>
      <c r="V133" s="926"/>
      <c r="W133" s="926"/>
      <c r="X133" s="926"/>
      <c r="Y133" s="926"/>
      <c r="Z133" s="926"/>
      <c r="AA133" s="926"/>
      <c r="AB133" s="926"/>
      <c r="AC133" s="926"/>
      <c r="AD133" s="926"/>
      <c r="AE133" s="926"/>
      <c r="AF133" s="926"/>
      <c r="AG133" s="926"/>
      <c r="AH133" s="926"/>
      <c r="AI133" s="926"/>
      <c r="AJ133" s="926"/>
    </row>
    <row r="134" spans="1:36" ht="15" customHeight="1" x14ac:dyDescent="0.3">
      <c r="A134" s="926"/>
      <c r="B134" s="609"/>
      <c r="C134" s="962"/>
      <c r="D134" s="40"/>
      <c r="E134" s="2402" t="s">
        <v>149</v>
      </c>
      <c r="F134" s="2402"/>
      <c r="G134" s="2402"/>
      <c r="H134" s="2402"/>
      <c r="I134" s="2402"/>
      <c r="J134" s="2402"/>
      <c r="K134" s="2402"/>
      <c r="L134" s="2402"/>
      <c r="M134" s="2402"/>
      <c r="N134" s="2402"/>
      <c r="O134" s="2402"/>
      <c r="P134" s="2402"/>
      <c r="Q134" s="2402"/>
      <c r="R134" s="2402"/>
      <c r="S134" s="40"/>
      <c r="T134" s="963"/>
      <c r="U134" s="609"/>
      <c r="V134" s="926"/>
      <c r="W134" s="926"/>
      <c r="X134" s="926"/>
      <c r="Y134" s="926"/>
      <c r="Z134" s="926"/>
      <c r="AA134" s="926"/>
      <c r="AB134" s="926"/>
      <c r="AC134" s="926"/>
      <c r="AD134" s="926"/>
      <c r="AE134" s="926"/>
      <c r="AF134" s="926"/>
      <c r="AG134" s="926"/>
      <c r="AH134" s="926"/>
      <c r="AI134" s="926"/>
      <c r="AJ134" s="926"/>
    </row>
    <row r="135" spans="1:36" ht="15" customHeight="1" x14ac:dyDescent="0.3">
      <c r="A135" s="926"/>
      <c r="B135" s="609"/>
      <c r="C135" s="962"/>
      <c r="D135" s="40"/>
      <c r="E135" s="2402"/>
      <c r="F135" s="2402"/>
      <c r="G135" s="2402"/>
      <c r="H135" s="2402"/>
      <c r="I135" s="2402"/>
      <c r="J135" s="2402"/>
      <c r="K135" s="2402"/>
      <c r="L135" s="2402"/>
      <c r="M135" s="2402"/>
      <c r="N135" s="2402"/>
      <c r="O135" s="2402"/>
      <c r="P135" s="2402"/>
      <c r="Q135" s="2402"/>
      <c r="R135" s="2402"/>
      <c r="S135" s="40"/>
      <c r="T135" s="963"/>
      <c r="U135" s="609"/>
      <c r="V135" s="926"/>
      <c r="W135" s="926"/>
      <c r="X135" s="926"/>
      <c r="Y135" s="926"/>
      <c r="Z135" s="926"/>
      <c r="AA135" s="926"/>
      <c r="AB135" s="926"/>
      <c r="AC135" s="926"/>
      <c r="AD135" s="926"/>
      <c r="AE135" s="926"/>
      <c r="AF135" s="926"/>
      <c r="AG135" s="926"/>
      <c r="AH135" s="926"/>
      <c r="AI135" s="926"/>
      <c r="AJ135" s="926"/>
    </row>
    <row r="136" spans="1:36" ht="15" customHeight="1" x14ac:dyDescent="0.3">
      <c r="A136" s="926"/>
      <c r="B136" s="609"/>
      <c r="C136" s="962"/>
      <c r="D136" s="40"/>
      <c r="E136" s="2402"/>
      <c r="F136" s="2402"/>
      <c r="G136" s="2402"/>
      <c r="H136" s="2402"/>
      <c r="I136" s="2402"/>
      <c r="J136" s="2402"/>
      <c r="K136" s="2402"/>
      <c r="L136" s="2402"/>
      <c r="M136" s="2402"/>
      <c r="N136" s="2402"/>
      <c r="O136" s="2402"/>
      <c r="P136" s="2402"/>
      <c r="Q136" s="2402"/>
      <c r="R136" s="2402"/>
      <c r="S136" s="40"/>
      <c r="T136" s="963"/>
      <c r="U136" s="609"/>
      <c r="V136" s="926"/>
      <c r="W136" s="926"/>
      <c r="X136" s="926"/>
      <c r="Y136" s="926"/>
      <c r="Z136" s="926"/>
      <c r="AA136" s="926"/>
      <c r="AB136" s="926"/>
      <c r="AC136" s="926"/>
      <c r="AD136" s="926"/>
      <c r="AE136" s="926"/>
      <c r="AF136" s="926"/>
      <c r="AG136" s="926"/>
      <c r="AH136" s="926"/>
      <c r="AI136" s="926"/>
      <c r="AJ136" s="926"/>
    </row>
    <row r="137" spans="1:36" ht="15" customHeight="1" x14ac:dyDescent="0.3">
      <c r="A137" s="926"/>
      <c r="B137" s="609"/>
      <c r="C137" s="962"/>
      <c r="D137" s="40"/>
      <c r="E137" s="2402"/>
      <c r="F137" s="2402"/>
      <c r="G137" s="2402"/>
      <c r="H137" s="2402"/>
      <c r="I137" s="2402"/>
      <c r="J137" s="2402"/>
      <c r="K137" s="2402"/>
      <c r="L137" s="2402"/>
      <c r="M137" s="2402"/>
      <c r="N137" s="2402"/>
      <c r="O137" s="2402"/>
      <c r="P137" s="2402"/>
      <c r="Q137" s="2402"/>
      <c r="R137" s="2402"/>
      <c r="S137" s="40"/>
      <c r="T137" s="963"/>
      <c r="U137" s="609"/>
      <c r="V137" s="926"/>
      <c r="W137" s="926"/>
      <c r="X137" s="926"/>
      <c r="Y137" s="926"/>
      <c r="Z137" s="926"/>
      <c r="AA137" s="926"/>
      <c r="AB137" s="926"/>
      <c r="AC137" s="926"/>
      <c r="AD137" s="926"/>
      <c r="AE137" s="926"/>
      <c r="AF137" s="926"/>
      <c r="AG137" s="926"/>
      <c r="AH137" s="926"/>
      <c r="AI137" s="926"/>
      <c r="AJ137" s="926"/>
    </row>
    <row r="138" spans="1:36" ht="15" customHeight="1" x14ac:dyDescent="0.3">
      <c r="A138" s="926"/>
      <c r="B138" s="609"/>
      <c r="C138" s="962"/>
      <c r="D138" s="40"/>
      <c r="E138" s="2403" t="s">
        <v>31</v>
      </c>
      <c r="F138" s="2403"/>
      <c r="G138" s="2403"/>
      <c r="H138" s="2403"/>
      <c r="I138" s="2403"/>
      <c r="J138" s="2403"/>
      <c r="K138" s="2403" t="s">
        <v>32</v>
      </c>
      <c r="L138" s="2403"/>
      <c r="M138" s="2403"/>
      <c r="N138" s="2403"/>
      <c r="O138" s="2403"/>
      <c r="P138" s="2403"/>
      <c r="Q138" s="2403"/>
      <c r="R138" s="2403"/>
      <c r="S138" s="40"/>
      <c r="T138" s="963"/>
      <c r="U138" s="609"/>
      <c r="V138" s="926"/>
      <c r="W138" s="926"/>
      <c r="X138" s="926"/>
      <c r="Y138" s="926"/>
      <c r="Z138" s="926"/>
      <c r="AA138" s="926"/>
      <c r="AB138" s="926"/>
      <c r="AC138" s="926"/>
      <c r="AD138" s="926"/>
      <c r="AE138" s="926"/>
      <c r="AF138" s="926"/>
      <c r="AG138" s="926"/>
      <c r="AH138" s="926"/>
      <c r="AI138" s="926"/>
      <c r="AJ138" s="926"/>
    </row>
    <row r="139" spans="1:36" ht="15" customHeight="1" x14ac:dyDescent="0.3">
      <c r="A139" s="926"/>
      <c r="B139" s="609"/>
      <c r="C139" s="962"/>
      <c r="D139" s="40"/>
      <c r="E139" s="2400" t="s">
        <v>72</v>
      </c>
      <c r="F139" s="2400"/>
      <c r="G139" s="2400"/>
      <c r="H139" s="2400"/>
      <c r="I139" s="2400"/>
      <c r="J139" s="2400"/>
      <c r="K139" s="2429" t="s">
        <v>139</v>
      </c>
      <c r="L139" s="2429"/>
      <c r="M139" s="2429"/>
      <c r="N139" s="2429"/>
      <c r="O139" s="2429"/>
      <c r="P139" s="2429"/>
      <c r="Q139" s="2429"/>
      <c r="R139" s="2412"/>
      <c r="S139" s="40"/>
      <c r="T139" s="963"/>
      <c r="U139" s="609"/>
      <c r="V139" s="926"/>
      <c r="W139" s="926"/>
      <c r="X139" s="926"/>
      <c r="Y139" s="926"/>
      <c r="Z139" s="926"/>
      <c r="AA139" s="926"/>
      <c r="AB139" s="926"/>
      <c r="AC139" s="926"/>
      <c r="AD139" s="926"/>
      <c r="AE139" s="926"/>
      <c r="AF139" s="926"/>
      <c r="AG139" s="926"/>
      <c r="AH139" s="926"/>
      <c r="AI139" s="926"/>
      <c r="AJ139" s="926"/>
    </row>
    <row r="140" spans="1:36" ht="15" customHeight="1" x14ac:dyDescent="0.3">
      <c r="A140" s="926"/>
      <c r="B140" s="609"/>
      <c r="C140" s="962"/>
      <c r="D140" s="40"/>
      <c r="E140" s="2400"/>
      <c r="F140" s="2400"/>
      <c r="G140" s="2400"/>
      <c r="H140" s="2400"/>
      <c r="I140" s="2400"/>
      <c r="J140" s="2400"/>
      <c r="K140" s="2430"/>
      <c r="L140" s="2430"/>
      <c r="M140" s="2430"/>
      <c r="N140" s="2430"/>
      <c r="O140" s="2430"/>
      <c r="P140" s="2430"/>
      <c r="Q140" s="2430"/>
      <c r="R140" s="2414"/>
      <c r="S140" s="40"/>
      <c r="T140" s="963"/>
      <c r="U140" s="609"/>
      <c r="V140" s="926"/>
      <c r="W140" s="926"/>
      <c r="X140" s="926"/>
      <c r="Y140" s="926"/>
      <c r="Z140" s="926"/>
      <c r="AA140" s="926"/>
      <c r="AB140" s="926"/>
      <c r="AC140" s="926"/>
      <c r="AD140" s="926"/>
      <c r="AE140" s="926"/>
      <c r="AF140" s="926"/>
      <c r="AG140" s="926"/>
      <c r="AH140" s="926"/>
      <c r="AI140" s="926"/>
      <c r="AJ140" s="926"/>
    </row>
    <row r="141" spans="1:36" ht="15" customHeight="1" x14ac:dyDescent="0.3">
      <c r="A141" s="926"/>
      <c r="B141" s="609"/>
      <c r="C141" s="962"/>
      <c r="D141" s="40"/>
      <c r="E141" s="2400"/>
      <c r="F141" s="2400"/>
      <c r="G141" s="2400"/>
      <c r="H141" s="2400"/>
      <c r="I141" s="2400"/>
      <c r="J141" s="2400"/>
      <c r="K141" s="2430"/>
      <c r="L141" s="2430"/>
      <c r="M141" s="2430"/>
      <c r="N141" s="2430"/>
      <c r="O141" s="2430"/>
      <c r="P141" s="2430"/>
      <c r="Q141" s="2430"/>
      <c r="R141" s="2414"/>
      <c r="S141" s="40"/>
      <c r="T141" s="963"/>
      <c r="U141" s="609"/>
      <c r="V141" s="926"/>
      <c r="W141" s="926"/>
      <c r="X141" s="926"/>
      <c r="Y141" s="926"/>
      <c r="Z141" s="926"/>
      <c r="AA141" s="926"/>
      <c r="AB141" s="926"/>
      <c r="AC141" s="926"/>
      <c r="AD141" s="926"/>
      <c r="AE141" s="926"/>
      <c r="AF141" s="926"/>
      <c r="AG141" s="926"/>
      <c r="AH141" s="926"/>
      <c r="AI141" s="926"/>
      <c r="AJ141" s="926"/>
    </row>
    <row r="142" spans="1:36" ht="15" customHeight="1" x14ac:dyDescent="0.3">
      <c r="A142" s="926"/>
      <c r="B142" s="609"/>
      <c r="C142" s="962"/>
      <c r="D142" s="40"/>
      <c r="E142" s="2400"/>
      <c r="F142" s="2400"/>
      <c r="G142" s="2400"/>
      <c r="H142" s="2400"/>
      <c r="I142" s="2400"/>
      <c r="J142" s="2400"/>
      <c r="K142" s="2431"/>
      <c r="L142" s="2431"/>
      <c r="M142" s="2431"/>
      <c r="N142" s="2431"/>
      <c r="O142" s="2431"/>
      <c r="P142" s="2431"/>
      <c r="Q142" s="2431"/>
      <c r="R142" s="2416"/>
      <c r="S142" s="40"/>
      <c r="T142" s="963"/>
      <c r="U142" s="609"/>
      <c r="V142" s="926"/>
      <c r="W142" s="926"/>
      <c r="X142" s="926"/>
      <c r="Y142" s="926"/>
      <c r="Z142" s="926"/>
      <c r="AA142" s="926"/>
      <c r="AB142" s="926"/>
      <c r="AC142" s="926"/>
      <c r="AD142" s="926"/>
      <c r="AE142" s="926"/>
      <c r="AF142" s="926"/>
      <c r="AG142" s="926"/>
      <c r="AH142" s="926"/>
      <c r="AI142" s="926"/>
      <c r="AJ142" s="926"/>
    </row>
    <row r="143" spans="1:36" ht="15" customHeight="1" thickBot="1" x14ac:dyDescent="0.35">
      <c r="A143" s="926"/>
      <c r="B143" s="609"/>
      <c r="C143" s="962"/>
      <c r="D143" s="40"/>
      <c r="E143" s="40"/>
      <c r="F143" s="40"/>
      <c r="G143" s="40"/>
      <c r="H143" s="40"/>
      <c r="I143" s="40"/>
      <c r="J143" s="40"/>
      <c r="K143" s="40"/>
      <c r="L143" s="40"/>
      <c r="M143" s="40"/>
      <c r="N143" s="40"/>
      <c r="O143" s="40"/>
      <c r="P143" s="40"/>
      <c r="Q143" s="40"/>
      <c r="R143" s="40"/>
      <c r="S143" s="40"/>
      <c r="T143" s="963"/>
      <c r="U143" s="609"/>
      <c r="V143" s="926"/>
      <c r="W143" s="926"/>
      <c r="X143" s="926"/>
      <c r="Y143" s="926"/>
      <c r="Z143" s="926"/>
      <c r="AA143" s="926"/>
      <c r="AB143" s="926"/>
      <c r="AC143" s="926"/>
      <c r="AD143" s="926"/>
      <c r="AE143" s="926"/>
      <c r="AF143" s="926"/>
      <c r="AG143" s="926"/>
      <c r="AH143" s="926"/>
      <c r="AI143" s="926"/>
      <c r="AJ143" s="926"/>
    </row>
    <row r="144" spans="1:36" ht="15" customHeight="1" x14ac:dyDescent="0.3">
      <c r="A144" s="926"/>
      <c r="B144" s="609"/>
      <c r="C144" s="962"/>
      <c r="D144" s="40"/>
      <c r="E144" s="40"/>
      <c r="F144" s="40"/>
      <c r="G144" s="2470" t="str">
        <f>IF(K139="Yes", "Please answer the below questions about the number and average body weight of this part of your herd.", "You may skip the questions about the number and average body weight.")</f>
        <v>You may skip the questions about the number and average body weight.</v>
      </c>
      <c r="H144" s="2471"/>
      <c r="I144" s="2471"/>
      <c r="J144" s="2471"/>
      <c r="K144" s="2471"/>
      <c r="L144" s="2471"/>
      <c r="M144" s="2471"/>
      <c r="N144" s="2471"/>
      <c r="O144" s="2471"/>
      <c r="P144" s="2472"/>
      <c r="Q144" s="40"/>
      <c r="R144" s="40"/>
      <c r="S144" s="40"/>
      <c r="T144" s="963"/>
      <c r="U144" s="609"/>
      <c r="V144" s="926"/>
      <c r="W144" s="926"/>
      <c r="X144" s="926"/>
      <c r="Y144" s="926"/>
      <c r="Z144" s="926"/>
      <c r="AA144" s="926"/>
      <c r="AB144" s="926"/>
      <c r="AC144" s="926"/>
      <c r="AD144" s="926"/>
      <c r="AE144" s="926"/>
      <c r="AF144" s="926"/>
      <c r="AG144" s="926"/>
      <c r="AH144" s="926"/>
      <c r="AI144" s="926"/>
      <c r="AJ144" s="926"/>
    </row>
    <row r="145" spans="1:36" ht="15" customHeight="1" x14ac:dyDescent="0.3">
      <c r="A145" s="926"/>
      <c r="B145" s="609"/>
      <c r="C145" s="962"/>
      <c r="D145" s="40"/>
      <c r="E145" s="40"/>
      <c r="F145" s="40"/>
      <c r="G145" s="2473"/>
      <c r="H145" s="2474"/>
      <c r="I145" s="2474"/>
      <c r="J145" s="2474"/>
      <c r="K145" s="2474"/>
      <c r="L145" s="2474"/>
      <c r="M145" s="2474"/>
      <c r="N145" s="2474"/>
      <c r="O145" s="2474"/>
      <c r="P145" s="2475"/>
      <c r="Q145" s="40"/>
      <c r="R145" s="40"/>
      <c r="S145" s="40"/>
      <c r="T145" s="963"/>
      <c r="U145" s="609"/>
      <c r="V145" s="926"/>
      <c r="W145" s="926"/>
      <c r="X145" s="926"/>
      <c r="Y145" s="926"/>
      <c r="Z145" s="926"/>
      <c r="AA145" s="926"/>
      <c r="AB145" s="926"/>
      <c r="AC145" s="926"/>
      <c r="AD145" s="926"/>
      <c r="AE145" s="926"/>
      <c r="AF145" s="926"/>
      <c r="AG145" s="926"/>
      <c r="AH145" s="926"/>
      <c r="AI145" s="926"/>
      <c r="AJ145" s="926"/>
    </row>
    <row r="146" spans="1:36" ht="15" customHeight="1" x14ac:dyDescent="0.3">
      <c r="A146" s="926"/>
      <c r="B146" s="609"/>
      <c r="C146" s="962"/>
      <c r="D146" s="40"/>
      <c r="E146" s="40"/>
      <c r="F146" s="40"/>
      <c r="G146" s="2473"/>
      <c r="H146" s="2474"/>
      <c r="I146" s="2474"/>
      <c r="J146" s="2474"/>
      <c r="K146" s="2474"/>
      <c r="L146" s="2474"/>
      <c r="M146" s="2474"/>
      <c r="N146" s="2474"/>
      <c r="O146" s="2474"/>
      <c r="P146" s="2475"/>
      <c r="Q146" s="40"/>
      <c r="R146" s="40"/>
      <c r="S146" s="40"/>
      <c r="T146" s="963"/>
      <c r="U146" s="609"/>
      <c r="V146" s="926"/>
      <c r="W146" s="926"/>
      <c r="X146" s="926"/>
      <c r="Y146" s="926"/>
      <c r="Z146" s="926"/>
      <c r="AA146" s="926"/>
      <c r="AB146" s="926"/>
      <c r="AC146" s="926"/>
      <c r="AD146" s="926"/>
      <c r="AE146" s="926"/>
      <c r="AF146" s="926"/>
      <c r="AG146" s="926"/>
      <c r="AH146" s="926"/>
      <c r="AI146" s="926"/>
      <c r="AJ146" s="926"/>
    </row>
    <row r="147" spans="1:36" ht="15" customHeight="1" x14ac:dyDescent="0.3">
      <c r="A147" s="926"/>
      <c r="B147" s="609"/>
      <c r="C147" s="962"/>
      <c r="D147" s="40"/>
      <c r="E147" s="40"/>
      <c r="F147" s="40"/>
      <c r="G147" s="2473"/>
      <c r="H147" s="2474"/>
      <c r="I147" s="2474"/>
      <c r="J147" s="2474"/>
      <c r="K147" s="2474"/>
      <c r="L147" s="2474"/>
      <c r="M147" s="2474"/>
      <c r="N147" s="2474"/>
      <c r="O147" s="2474"/>
      <c r="P147" s="2475"/>
      <c r="Q147" s="40"/>
      <c r="R147" s="40"/>
      <c r="S147" s="40"/>
      <c r="T147" s="963"/>
      <c r="U147" s="609"/>
      <c r="V147" s="926"/>
      <c r="W147" s="926"/>
      <c r="X147" s="926"/>
      <c r="Y147" s="926"/>
      <c r="Z147" s="926"/>
      <c r="AA147" s="926"/>
      <c r="AB147" s="926"/>
      <c r="AC147" s="926"/>
      <c r="AD147" s="926"/>
      <c r="AE147" s="926"/>
      <c r="AF147" s="926"/>
      <c r="AG147" s="926"/>
      <c r="AH147" s="926"/>
      <c r="AI147" s="926"/>
      <c r="AJ147" s="926"/>
    </row>
    <row r="148" spans="1:36" ht="15" customHeight="1" x14ac:dyDescent="0.3">
      <c r="A148" s="926"/>
      <c r="B148" s="609"/>
      <c r="C148" s="962"/>
      <c r="D148" s="40"/>
      <c r="E148" s="40"/>
      <c r="F148" s="40"/>
      <c r="G148" s="2473"/>
      <c r="H148" s="2474"/>
      <c r="I148" s="2474"/>
      <c r="J148" s="2474"/>
      <c r="K148" s="2474"/>
      <c r="L148" s="2474"/>
      <c r="M148" s="2474"/>
      <c r="N148" s="2474"/>
      <c r="O148" s="2474"/>
      <c r="P148" s="2475"/>
      <c r="Q148" s="40"/>
      <c r="R148" s="40"/>
      <c r="S148" s="40"/>
      <c r="T148" s="963"/>
      <c r="U148" s="609"/>
      <c r="V148" s="926"/>
      <c r="W148" s="926"/>
      <c r="X148" s="926"/>
      <c r="Y148" s="926"/>
      <c r="Z148" s="926"/>
      <c r="AA148" s="926"/>
      <c r="AB148" s="926"/>
      <c r="AC148" s="926"/>
      <c r="AD148" s="926"/>
      <c r="AE148" s="926"/>
      <c r="AF148" s="926"/>
      <c r="AG148" s="926"/>
      <c r="AH148" s="926"/>
      <c r="AI148" s="926"/>
      <c r="AJ148" s="926"/>
    </row>
    <row r="149" spans="1:36" ht="15" customHeight="1" thickBot="1" x14ac:dyDescent="0.35">
      <c r="A149" s="926"/>
      <c r="B149" s="609"/>
      <c r="C149" s="962"/>
      <c r="D149" s="40"/>
      <c r="E149" s="40"/>
      <c r="F149" s="40"/>
      <c r="G149" s="2476"/>
      <c r="H149" s="2477"/>
      <c r="I149" s="2477"/>
      <c r="J149" s="2477"/>
      <c r="K149" s="2477"/>
      <c r="L149" s="2477"/>
      <c r="M149" s="2477"/>
      <c r="N149" s="2477"/>
      <c r="O149" s="2477"/>
      <c r="P149" s="2478"/>
      <c r="Q149" s="40"/>
      <c r="R149" s="40"/>
      <c r="S149" s="40"/>
      <c r="T149" s="963"/>
      <c r="U149" s="609"/>
      <c r="V149" s="926"/>
      <c r="W149" s="926"/>
      <c r="X149" s="926"/>
      <c r="Y149" s="926"/>
      <c r="Z149" s="926"/>
      <c r="AA149" s="926"/>
      <c r="AB149" s="926"/>
      <c r="AC149" s="926"/>
      <c r="AD149" s="926"/>
      <c r="AE149" s="926"/>
      <c r="AF149" s="926"/>
      <c r="AG149" s="926"/>
      <c r="AH149" s="926"/>
      <c r="AI149" s="926"/>
      <c r="AJ149" s="926"/>
    </row>
    <row r="150" spans="1:36" ht="15" customHeight="1" x14ac:dyDescent="0.3">
      <c r="A150" s="926"/>
      <c r="B150" s="609"/>
      <c r="C150" s="962"/>
      <c r="D150" s="40"/>
      <c r="E150" s="40"/>
      <c r="F150" s="40"/>
      <c r="G150" s="40"/>
      <c r="H150" s="40"/>
      <c r="I150" s="40"/>
      <c r="J150" s="40"/>
      <c r="K150" s="40"/>
      <c r="L150" s="40"/>
      <c r="M150" s="40"/>
      <c r="N150" s="40"/>
      <c r="O150" s="40"/>
      <c r="P150" s="40"/>
      <c r="Q150" s="40"/>
      <c r="R150" s="40"/>
      <c r="S150" s="40"/>
      <c r="T150" s="963"/>
      <c r="U150" s="609"/>
      <c r="V150" s="926"/>
      <c r="W150" s="926"/>
      <c r="X150" s="926"/>
      <c r="Y150" s="926"/>
      <c r="Z150" s="926"/>
      <c r="AA150" s="926"/>
      <c r="AB150" s="926"/>
      <c r="AC150" s="926"/>
      <c r="AD150" s="926"/>
      <c r="AE150" s="926"/>
      <c r="AF150" s="926"/>
      <c r="AG150" s="926"/>
      <c r="AH150" s="926"/>
      <c r="AI150" s="926"/>
      <c r="AJ150" s="926"/>
    </row>
    <row r="151" spans="1:36" ht="15" customHeight="1" x14ac:dyDescent="0.3">
      <c r="A151" s="926"/>
      <c r="B151" s="609"/>
      <c r="C151" s="962"/>
      <c r="D151" s="40"/>
      <c r="E151" s="2399" t="str">
        <f>IF(K139="Yes","How many gestating sows does your farm have? What is their average body weight?", "Please skip to the next question")</f>
        <v>Please skip to the next question</v>
      </c>
      <c r="F151" s="2399"/>
      <c r="G151" s="2399"/>
      <c r="H151" s="2399"/>
      <c r="I151" s="2399"/>
      <c r="J151" s="2399"/>
      <c r="K151" s="2399"/>
      <c r="L151" s="2399"/>
      <c r="M151" s="2399"/>
      <c r="N151" s="2399"/>
      <c r="O151" s="2399"/>
      <c r="P151" s="2399"/>
      <c r="Q151" s="2399"/>
      <c r="R151" s="2399"/>
      <c r="S151" s="40"/>
      <c r="T151" s="963"/>
      <c r="U151" s="609"/>
      <c r="V151" s="926"/>
      <c r="W151" s="926"/>
      <c r="X151" s="926"/>
      <c r="Y151" s="926"/>
      <c r="Z151" s="926"/>
      <c r="AA151" s="926"/>
      <c r="AB151" s="926"/>
      <c r="AC151" s="926"/>
      <c r="AD151" s="926"/>
      <c r="AE151" s="926"/>
      <c r="AF151" s="926"/>
      <c r="AG151" s="926"/>
      <c r="AH151" s="926"/>
      <c r="AI151" s="926"/>
      <c r="AJ151" s="926"/>
    </row>
    <row r="152" spans="1:36" ht="15" customHeight="1" x14ac:dyDescent="0.3">
      <c r="A152" s="926"/>
      <c r="B152" s="609"/>
      <c r="C152" s="962"/>
      <c r="D152" s="40"/>
      <c r="E152" s="2399"/>
      <c r="F152" s="2399"/>
      <c r="G152" s="2399"/>
      <c r="H152" s="2399"/>
      <c r="I152" s="2399"/>
      <c r="J152" s="2399"/>
      <c r="K152" s="2399"/>
      <c r="L152" s="2399"/>
      <c r="M152" s="2399"/>
      <c r="N152" s="2399"/>
      <c r="O152" s="2399"/>
      <c r="P152" s="2399"/>
      <c r="Q152" s="2399"/>
      <c r="R152" s="2399"/>
      <c r="S152" s="40"/>
      <c r="T152" s="963"/>
      <c r="U152" s="609"/>
      <c r="V152" s="926"/>
      <c r="W152" s="926"/>
      <c r="X152" s="926"/>
      <c r="Y152" s="926"/>
      <c r="Z152" s="926"/>
      <c r="AA152" s="926"/>
      <c r="AB152" s="926"/>
      <c r="AC152" s="926"/>
      <c r="AD152" s="926"/>
      <c r="AE152" s="926"/>
      <c r="AF152" s="926"/>
      <c r="AG152" s="926"/>
      <c r="AH152" s="926"/>
      <c r="AI152" s="926"/>
      <c r="AJ152" s="926"/>
    </row>
    <row r="153" spans="1:36" ht="15" customHeight="1" x14ac:dyDescent="0.3">
      <c r="A153" s="926"/>
      <c r="B153" s="609"/>
      <c r="C153" s="962"/>
      <c r="D153" s="40"/>
      <c r="E153" s="2399"/>
      <c r="F153" s="2399"/>
      <c r="G153" s="2399"/>
      <c r="H153" s="2399"/>
      <c r="I153" s="2399"/>
      <c r="J153" s="2399"/>
      <c r="K153" s="2399"/>
      <c r="L153" s="2399"/>
      <c r="M153" s="2399"/>
      <c r="N153" s="2399"/>
      <c r="O153" s="2399"/>
      <c r="P153" s="2399"/>
      <c r="Q153" s="2399"/>
      <c r="R153" s="2399"/>
      <c r="S153" s="40"/>
      <c r="T153" s="963"/>
      <c r="U153" s="609"/>
      <c r="V153" s="926"/>
      <c r="W153" s="926"/>
      <c r="X153" s="926"/>
      <c r="Y153" s="926"/>
      <c r="Z153" s="926"/>
      <c r="AA153" s="926"/>
      <c r="AB153" s="926"/>
      <c r="AC153" s="926"/>
      <c r="AD153" s="926"/>
      <c r="AE153" s="926"/>
      <c r="AF153" s="926"/>
      <c r="AG153" s="926"/>
      <c r="AH153" s="926"/>
      <c r="AI153" s="926"/>
      <c r="AJ153" s="926"/>
    </row>
    <row r="154" spans="1:36" ht="15" customHeight="1" x14ac:dyDescent="0.3">
      <c r="A154" s="926"/>
      <c r="B154" s="609"/>
      <c r="C154" s="962"/>
      <c r="D154" s="40"/>
      <c r="E154" s="2399"/>
      <c r="F154" s="2399"/>
      <c r="G154" s="2399"/>
      <c r="H154" s="2399"/>
      <c r="I154" s="2399"/>
      <c r="J154" s="2399"/>
      <c r="K154" s="2399"/>
      <c r="L154" s="2399"/>
      <c r="M154" s="2399"/>
      <c r="N154" s="2399"/>
      <c r="O154" s="2399"/>
      <c r="P154" s="2399"/>
      <c r="Q154" s="2399"/>
      <c r="R154" s="2399"/>
      <c r="S154" s="40"/>
      <c r="T154" s="963"/>
      <c r="U154" s="609"/>
      <c r="V154" s="926"/>
      <c r="W154" s="926"/>
      <c r="X154" s="926"/>
      <c r="Y154" s="926"/>
      <c r="Z154" s="926"/>
      <c r="AA154" s="926"/>
      <c r="AB154" s="926"/>
      <c r="AC154" s="926"/>
      <c r="AD154" s="926"/>
      <c r="AE154" s="926"/>
      <c r="AF154" s="926"/>
      <c r="AG154" s="926"/>
      <c r="AH154" s="926"/>
      <c r="AI154" s="926"/>
      <c r="AJ154" s="926"/>
    </row>
    <row r="155" spans="1:36" ht="15" customHeight="1" x14ac:dyDescent="0.3">
      <c r="A155" s="926"/>
      <c r="B155" s="609"/>
      <c r="C155" s="962"/>
      <c r="D155" s="40"/>
      <c r="E155" s="2397" t="s">
        <v>150</v>
      </c>
      <c r="F155" s="2397"/>
      <c r="G155" s="2397" t="s">
        <v>38</v>
      </c>
      <c r="H155" s="2397"/>
      <c r="I155" s="2397" t="s">
        <v>39</v>
      </c>
      <c r="J155" s="2397"/>
      <c r="K155" s="2397" t="s">
        <v>40</v>
      </c>
      <c r="L155" s="2397"/>
      <c r="M155" s="2397" t="s">
        <v>41</v>
      </c>
      <c r="N155" s="2397"/>
      <c r="O155" s="2397" t="s">
        <v>42</v>
      </c>
      <c r="P155" s="2397"/>
      <c r="Q155" s="2397" t="s">
        <v>43</v>
      </c>
      <c r="R155" s="2397"/>
      <c r="S155" s="40"/>
      <c r="T155" s="963"/>
      <c r="U155" s="609"/>
      <c r="V155" s="926"/>
      <c r="W155" s="926"/>
      <c r="X155" s="926"/>
      <c r="Y155" s="926"/>
      <c r="Z155" s="926"/>
      <c r="AA155" s="926"/>
      <c r="AB155" s="926"/>
      <c r="AC155" s="926"/>
      <c r="AD155" s="926"/>
      <c r="AE155" s="926"/>
      <c r="AF155" s="926"/>
      <c r="AG155" s="926"/>
      <c r="AH155" s="926"/>
      <c r="AI155" s="926"/>
      <c r="AJ155" s="926"/>
    </row>
    <row r="156" spans="1:36" ht="15" customHeight="1" x14ac:dyDescent="0.3">
      <c r="A156" s="926"/>
      <c r="B156" s="609"/>
      <c r="C156" s="962"/>
      <c r="D156" s="40"/>
      <c r="E156" s="2410" t="s">
        <v>44</v>
      </c>
      <c r="F156" s="2410"/>
      <c r="G156" s="2398" t="str">
        <f>BG268</f>
        <v>head</v>
      </c>
      <c r="H156" s="2398"/>
      <c r="I156" s="2407">
        <f>BE268</f>
        <v>0</v>
      </c>
      <c r="J156" s="2407"/>
      <c r="K156" s="2429"/>
      <c r="L156" s="2412"/>
      <c r="M156" s="2407">
        <f>BI268</f>
        <v>0</v>
      </c>
      <c r="N156" s="2407"/>
      <c r="O156" s="2407">
        <f>BJ268</f>
        <v>20000</v>
      </c>
      <c r="P156" s="2407"/>
      <c r="Q156" s="2398" t="str">
        <f>BN268</f>
        <v>Using default</v>
      </c>
      <c r="R156" s="2398"/>
      <c r="S156" s="40"/>
      <c r="T156" s="963"/>
      <c r="U156" s="609"/>
      <c r="V156" s="926"/>
      <c r="W156" s="926"/>
      <c r="X156" s="926"/>
      <c r="Y156" s="926"/>
      <c r="Z156" s="926"/>
      <c r="AA156" s="926"/>
      <c r="AB156" s="926"/>
      <c r="AC156" s="926"/>
      <c r="AD156" s="926"/>
      <c r="AE156" s="926"/>
      <c r="AF156" s="926"/>
      <c r="AG156" s="926"/>
      <c r="AH156" s="926"/>
      <c r="AI156" s="926"/>
      <c r="AJ156" s="926"/>
    </row>
    <row r="157" spans="1:36" ht="15" customHeight="1" x14ac:dyDescent="0.3">
      <c r="A157" s="926"/>
      <c r="B157" s="609"/>
      <c r="C157" s="962"/>
      <c r="D157" s="40"/>
      <c r="E157" s="2410"/>
      <c r="F157" s="2410"/>
      <c r="G157" s="2398"/>
      <c r="H157" s="2398"/>
      <c r="I157" s="2407"/>
      <c r="J157" s="2407"/>
      <c r="K157" s="2430"/>
      <c r="L157" s="2414"/>
      <c r="M157" s="2407"/>
      <c r="N157" s="2407"/>
      <c r="O157" s="2407"/>
      <c r="P157" s="2407"/>
      <c r="Q157" s="2398"/>
      <c r="R157" s="2398"/>
      <c r="S157" s="40"/>
      <c r="T157" s="963"/>
      <c r="U157" s="609"/>
      <c r="V157" s="926"/>
      <c r="W157" s="926"/>
      <c r="X157" s="926"/>
      <c r="Y157" s="926"/>
      <c r="Z157" s="926"/>
      <c r="AA157" s="926"/>
      <c r="AB157" s="926"/>
      <c r="AC157" s="926"/>
      <c r="AD157" s="926"/>
      <c r="AE157" s="926"/>
      <c r="AF157" s="926"/>
      <c r="AG157" s="926"/>
      <c r="AH157" s="926"/>
      <c r="AI157" s="926"/>
      <c r="AJ157" s="926"/>
    </row>
    <row r="158" spans="1:36" ht="15" customHeight="1" x14ac:dyDescent="0.3">
      <c r="A158" s="926"/>
      <c r="B158" s="609"/>
      <c r="C158" s="962"/>
      <c r="D158" s="40"/>
      <c r="E158" s="2410"/>
      <c r="F158" s="2410"/>
      <c r="G158" s="2398"/>
      <c r="H158" s="2398"/>
      <c r="I158" s="2407"/>
      <c r="J158" s="2407"/>
      <c r="K158" s="2431"/>
      <c r="L158" s="2416"/>
      <c r="M158" s="2407"/>
      <c r="N158" s="2407"/>
      <c r="O158" s="2407"/>
      <c r="P158" s="2407"/>
      <c r="Q158" s="2398"/>
      <c r="R158" s="2398"/>
      <c r="S158" s="40"/>
      <c r="T158" s="963"/>
      <c r="U158" s="609"/>
      <c r="V158" s="926"/>
      <c r="W158" s="926"/>
      <c r="X158" s="926"/>
      <c r="Y158" s="926"/>
      <c r="Z158" s="926"/>
      <c r="AA158" s="926"/>
      <c r="AB158" s="926"/>
      <c r="AC158" s="926"/>
      <c r="AD158" s="926"/>
      <c r="AE158" s="926"/>
      <c r="AF158" s="926"/>
      <c r="AG158" s="926"/>
      <c r="AH158" s="926"/>
      <c r="AI158" s="926"/>
      <c r="AJ158" s="926"/>
    </row>
    <row r="159" spans="1:36" ht="15" customHeight="1" x14ac:dyDescent="0.3">
      <c r="A159" s="926"/>
      <c r="B159" s="609"/>
      <c r="C159" s="962"/>
      <c r="D159" s="40"/>
      <c r="E159" s="2410" t="s">
        <v>141</v>
      </c>
      <c r="F159" s="2410"/>
      <c r="G159" s="2398" t="str">
        <f>BG269</f>
        <v>lb/head</v>
      </c>
      <c r="H159" s="2398"/>
      <c r="I159" s="2407">
        <f>BE269</f>
        <v>400</v>
      </c>
      <c r="J159" s="2407"/>
      <c r="K159" s="2429"/>
      <c r="L159" s="2412"/>
      <c r="M159" s="2407">
        <f>BI269</f>
        <v>300</v>
      </c>
      <c r="N159" s="2407"/>
      <c r="O159" s="2407">
        <f>BJ269</f>
        <v>500</v>
      </c>
      <c r="P159" s="2407"/>
      <c r="Q159" s="2398" t="str">
        <f>BN269</f>
        <v>Using default</v>
      </c>
      <c r="R159" s="2398"/>
      <c r="S159" s="40"/>
      <c r="T159" s="963"/>
      <c r="U159" s="609"/>
      <c r="V159" s="926"/>
      <c r="W159" s="926"/>
      <c r="X159" s="926"/>
      <c r="Y159" s="926"/>
      <c r="Z159" s="926"/>
      <c r="AA159" s="926"/>
      <c r="AB159" s="926"/>
      <c r="AC159" s="926"/>
      <c r="AD159" s="926"/>
      <c r="AE159" s="926"/>
      <c r="AF159" s="926"/>
      <c r="AG159" s="926"/>
      <c r="AH159" s="926"/>
      <c r="AI159" s="926"/>
      <c r="AJ159" s="926"/>
    </row>
    <row r="160" spans="1:36" ht="15" customHeight="1" x14ac:dyDescent="0.3">
      <c r="A160" s="926"/>
      <c r="B160" s="609"/>
      <c r="C160" s="962"/>
      <c r="D160" s="40"/>
      <c r="E160" s="2410"/>
      <c r="F160" s="2410"/>
      <c r="G160" s="2398"/>
      <c r="H160" s="2398"/>
      <c r="I160" s="2407"/>
      <c r="J160" s="2407"/>
      <c r="K160" s="2430"/>
      <c r="L160" s="2414"/>
      <c r="M160" s="2407"/>
      <c r="N160" s="2407"/>
      <c r="O160" s="2407"/>
      <c r="P160" s="2407"/>
      <c r="Q160" s="2398"/>
      <c r="R160" s="2398"/>
      <c r="S160" s="40"/>
      <c r="T160" s="963"/>
      <c r="U160" s="609"/>
      <c r="V160" s="926"/>
      <c r="W160" s="926"/>
      <c r="X160" s="926"/>
      <c r="Y160" s="926"/>
      <c r="Z160" s="926"/>
      <c r="AA160" s="926"/>
      <c r="AB160" s="926"/>
      <c r="AC160" s="926"/>
      <c r="AD160" s="926"/>
      <c r="AE160" s="926"/>
      <c r="AF160" s="926"/>
      <c r="AG160" s="926"/>
      <c r="AH160" s="926"/>
      <c r="AI160" s="926"/>
      <c r="AJ160" s="926"/>
    </row>
    <row r="161" spans="1:36" ht="15" customHeight="1" x14ac:dyDescent="0.3">
      <c r="A161" s="926"/>
      <c r="B161" s="609"/>
      <c r="C161" s="962"/>
      <c r="D161" s="40"/>
      <c r="E161" s="2410"/>
      <c r="F161" s="2410"/>
      <c r="G161" s="2398"/>
      <c r="H161" s="2398"/>
      <c r="I161" s="2407"/>
      <c r="J161" s="2407"/>
      <c r="K161" s="2431"/>
      <c r="L161" s="2416"/>
      <c r="M161" s="2407"/>
      <c r="N161" s="2407"/>
      <c r="O161" s="2407"/>
      <c r="P161" s="2407"/>
      <c r="Q161" s="2398"/>
      <c r="R161" s="2398"/>
      <c r="S161" s="40"/>
      <c r="T161" s="963"/>
      <c r="U161" s="609"/>
      <c r="V161" s="926"/>
      <c r="W161" s="926"/>
      <c r="X161" s="926"/>
      <c r="Y161" s="926"/>
      <c r="Z161" s="926"/>
      <c r="AA161" s="926"/>
      <c r="AB161" s="926"/>
      <c r="AC161" s="926"/>
      <c r="AD161" s="926"/>
      <c r="AE161" s="926"/>
      <c r="AF161" s="926"/>
      <c r="AG161" s="926"/>
      <c r="AH161" s="926"/>
      <c r="AI161" s="926"/>
      <c r="AJ161" s="926"/>
    </row>
    <row r="162" spans="1:36" ht="15" customHeight="1" x14ac:dyDescent="0.3">
      <c r="A162" s="926"/>
      <c r="B162" s="609"/>
      <c r="C162" s="962"/>
      <c r="D162" s="40"/>
      <c r="E162" s="40"/>
      <c r="F162" s="40"/>
      <c r="G162" s="40"/>
      <c r="H162" s="40"/>
      <c r="I162" s="40"/>
      <c r="J162" s="40"/>
      <c r="K162" s="40"/>
      <c r="L162" s="40"/>
      <c r="M162" s="40"/>
      <c r="N162" s="40"/>
      <c r="O162" s="40"/>
      <c r="P162" s="40"/>
      <c r="Q162" s="40"/>
      <c r="R162" s="40"/>
      <c r="S162" s="40"/>
      <c r="T162" s="963"/>
      <c r="U162" s="609"/>
      <c r="V162" s="926"/>
      <c r="W162" s="926"/>
      <c r="X162" s="926"/>
      <c r="Y162" s="926"/>
      <c r="Z162" s="926"/>
      <c r="AA162" s="926"/>
      <c r="AB162" s="926"/>
      <c r="AC162" s="926"/>
      <c r="AD162" s="926"/>
      <c r="AE162" s="926"/>
      <c r="AF162" s="926"/>
      <c r="AG162" s="926"/>
      <c r="AH162" s="926"/>
      <c r="AI162" s="926"/>
      <c r="AJ162" s="926"/>
    </row>
    <row r="163" spans="1:36" ht="15" customHeight="1" x14ac:dyDescent="0.3">
      <c r="A163" s="926"/>
      <c r="B163" s="609"/>
      <c r="C163" s="962"/>
      <c r="D163" s="40"/>
      <c r="E163" s="40"/>
      <c r="F163" s="1965"/>
      <c r="G163" s="40"/>
      <c r="H163" s="40"/>
      <c r="I163" s="40"/>
      <c r="J163" s="40"/>
      <c r="K163" s="40"/>
      <c r="L163" s="40"/>
      <c r="M163" s="40"/>
      <c r="N163" s="40"/>
      <c r="O163" s="40"/>
      <c r="P163" s="40"/>
      <c r="Q163" s="40"/>
      <c r="R163" s="40"/>
      <c r="S163" s="40"/>
      <c r="T163" s="963"/>
      <c r="U163" s="609"/>
      <c r="V163" s="926"/>
      <c r="W163" s="926"/>
      <c r="X163" s="926"/>
      <c r="Y163" s="926"/>
      <c r="Z163" s="926"/>
      <c r="AA163" s="926"/>
      <c r="AB163" s="926"/>
      <c r="AC163" s="926"/>
      <c r="AD163" s="926"/>
      <c r="AE163" s="926"/>
      <c r="AF163" s="926"/>
      <c r="AG163" s="926"/>
      <c r="AH163" s="926"/>
      <c r="AI163" s="926"/>
      <c r="AJ163" s="926"/>
    </row>
    <row r="164" spans="1:36" ht="15" customHeight="1" thickBot="1" x14ac:dyDescent="0.35">
      <c r="A164" s="926"/>
      <c r="B164" s="609"/>
      <c r="C164" s="962"/>
      <c r="D164" s="40"/>
      <c r="E164" s="40"/>
      <c r="F164" s="40"/>
      <c r="G164" s="40"/>
      <c r="H164" s="40"/>
      <c r="I164" s="40"/>
      <c r="J164" s="40"/>
      <c r="K164" s="40"/>
      <c r="L164" s="40"/>
      <c r="M164" s="40"/>
      <c r="N164" s="40"/>
      <c r="O164" s="40"/>
      <c r="P164" s="40"/>
      <c r="Q164" s="40"/>
      <c r="R164" s="40"/>
      <c r="S164" s="40"/>
      <c r="T164" s="963"/>
      <c r="U164" s="609"/>
      <c r="V164" s="926"/>
      <c r="W164" s="926"/>
      <c r="X164" s="926"/>
      <c r="Y164" s="926"/>
      <c r="Z164" s="926"/>
      <c r="AA164" s="926"/>
      <c r="AB164" s="926"/>
      <c r="AC164" s="926"/>
      <c r="AD164" s="926"/>
      <c r="AE164" s="926"/>
      <c r="AF164" s="926"/>
      <c r="AG164" s="926"/>
      <c r="AH164" s="926"/>
      <c r="AI164" s="926"/>
      <c r="AJ164" s="926"/>
    </row>
    <row r="165" spans="1:36" ht="15" customHeight="1" x14ac:dyDescent="0.3">
      <c r="A165" s="926"/>
      <c r="B165" s="609"/>
      <c r="C165" s="962"/>
      <c r="D165" s="2461" t="s">
        <v>151</v>
      </c>
      <c r="E165" s="2462"/>
      <c r="F165" s="2462"/>
      <c r="G165" s="2462"/>
      <c r="H165" s="2462"/>
      <c r="I165" s="2462"/>
      <c r="J165" s="2462"/>
      <c r="K165" s="2462"/>
      <c r="L165" s="2462"/>
      <c r="M165" s="2462"/>
      <c r="N165" s="2462"/>
      <c r="O165" s="2462"/>
      <c r="P165" s="2462"/>
      <c r="Q165" s="2462"/>
      <c r="R165" s="2462"/>
      <c r="S165" s="2463"/>
      <c r="T165" s="963"/>
      <c r="U165" s="609"/>
      <c r="V165" s="926"/>
      <c r="W165" s="926"/>
      <c r="X165" s="926"/>
      <c r="Y165" s="926"/>
      <c r="Z165" s="926"/>
      <c r="AA165" s="926"/>
      <c r="AB165" s="926"/>
      <c r="AC165" s="926"/>
      <c r="AD165" s="926"/>
      <c r="AE165" s="926"/>
      <c r="AF165" s="926"/>
      <c r="AG165" s="926"/>
      <c r="AH165" s="926"/>
      <c r="AI165" s="926"/>
      <c r="AJ165" s="926"/>
    </row>
    <row r="166" spans="1:36" ht="15" customHeight="1" x14ac:dyDescent="0.3">
      <c r="A166" s="926"/>
      <c r="B166" s="609"/>
      <c r="C166" s="962"/>
      <c r="D166" s="2464"/>
      <c r="E166" s="2465"/>
      <c r="F166" s="2465"/>
      <c r="G166" s="2465"/>
      <c r="H166" s="2465"/>
      <c r="I166" s="2465"/>
      <c r="J166" s="2465"/>
      <c r="K166" s="2465"/>
      <c r="L166" s="2465"/>
      <c r="M166" s="2465"/>
      <c r="N166" s="2465"/>
      <c r="O166" s="2465"/>
      <c r="P166" s="2465"/>
      <c r="Q166" s="2465"/>
      <c r="R166" s="2465"/>
      <c r="S166" s="2466"/>
      <c r="T166" s="963"/>
      <c r="U166" s="609"/>
      <c r="V166" s="926"/>
      <c r="W166" s="926"/>
      <c r="X166" s="926"/>
      <c r="Y166" s="926"/>
      <c r="Z166" s="926"/>
      <c r="AA166" s="926"/>
      <c r="AB166" s="926"/>
      <c r="AC166" s="926"/>
      <c r="AD166" s="926"/>
      <c r="AE166" s="926"/>
      <c r="AF166" s="926"/>
      <c r="AG166" s="926"/>
      <c r="AH166" s="926"/>
      <c r="AI166" s="926"/>
      <c r="AJ166" s="926"/>
    </row>
    <row r="167" spans="1:36" ht="15" customHeight="1" thickBot="1" x14ac:dyDescent="0.35">
      <c r="A167" s="926"/>
      <c r="B167" s="609"/>
      <c r="C167" s="962"/>
      <c r="D167" s="2467"/>
      <c r="E167" s="2468"/>
      <c r="F167" s="2468"/>
      <c r="G167" s="2468"/>
      <c r="H167" s="2468"/>
      <c r="I167" s="2468"/>
      <c r="J167" s="2468"/>
      <c r="K167" s="2468"/>
      <c r="L167" s="2468"/>
      <c r="M167" s="2468"/>
      <c r="N167" s="2468"/>
      <c r="O167" s="2468"/>
      <c r="P167" s="2468"/>
      <c r="Q167" s="2468"/>
      <c r="R167" s="2468"/>
      <c r="S167" s="2469"/>
      <c r="T167" s="963"/>
      <c r="U167" s="609"/>
      <c r="V167" s="926"/>
      <c r="W167" s="926"/>
      <c r="X167" s="926"/>
      <c r="Y167" s="926"/>
      <c r="Z167" s="926"/>
      <c r="AA167" s="926"/>
      <c r="AB167" s="926"/>
      <c r="AC167" s="926"/>
      <c r="AD167" s="926"/>
      <c r="AE167" s="926"/>
      <c r="AF167" s="926"/>
      <c r="AG167" s="926"/>
      <c r="AH167" s="926"/>
      <c r="AI167" s="926"/>
      <c r="AJ167" s="926"/>
    </row>
    <row r="168" spans="1:36" ht="15" customHeight="1" x14ac:dyDescent="0.3">
      <c r="A168" s="926"/>
      <c r="B168" s="609"/>
      <c r="C168" s="962"/>
      <c r="D168" s="40"/>
      <c r="E168" s="40"/>
      <c r="F168" s="40"/>
      <c r="G168" s="40"/>
      <c r="H168" s="40"/>
      <c r="I168" s="40"/>
      <c r="J168" s="40"/>
      <c r="K168" s="40"/>
      <c r="L168" s="40"/>
      <c r="M168" s="40"/>
      <c r="N168" s="40"/>
      <c r="O168" s="40"/>
      <c r="P168" s="40"/>
      <c r="Q168" s="40"/>
      <c r="R168" s="40"/>
      <c r="S168" s="40"/>
      <c r="T168" s="963"/>
      <c r="U168" s="609"/>
      <c r="V168" s="926"/>
      <c r="W168" s="926"/>
      <c r="X168" s="926"/>
      <c r="Y168" s="926"/>
      <c r="Z168" s="926"/>
      <c r="AA168" s="926"/>
      <c r="AB168" s="926"/>
      <c r="AC168" s="926"/>
      <c r="AD168" s="926"/>
      <c r="AE168" s="926"/>
      <c r="AF168" s="926"/>
      <c r="AG168" s="926"/>
      <c r="AH168" s="926"/>
      <c r="AI168" s="926"/>
      <c r="AJ168" s="926"/>
    </row>
    <row r="169" spans="1:36" ht="15" customHeight="1" x14ac:dyDescent="0.3">
      <c r="A169" s="926"/>
      <c r="B169" s="609"/>
      <c r="C169" s="962"/>
      <c r="D169" s="40"/>
      <c r="E169" s="2402" t="s">
        <v>152</v>
      </c>
      <c r="F169" s="2402"/>
      <c r="G169" s="2402"/>
      <c r="H169" s="2402"/>
      <c r="I169" s="2402"/>
      <c r="J169" s="2402"/>
      <c r="K169" s="2402"/>
      <c r="L169" s="2402"/>
      <c r="M169" s="2402"/>
      <c r="N169" s="2402"/>
      <c r="O169" s="2402"/>
      <c r="P169" s="2402"/>
      <c r="Q169" s="2402"/>
      <c r="R169" s="2402"/>
      <c r="S169" s="40"/>
      <c r="T169" s="963"/>
      <c r="U169" s="609"/>
      <c r="V169" s="926"/>
      <c r="W169" s="926"/>
      <c r="X169" s="926"/>
      <c r="Y169" s="926"/>
      <c r="Z169" s="926"/>
      <c r="AA169" s="926"/>
      <c r="AB169" s="926"/>
      <c r="AC169" s="926"/>
      <c r="AD169" s="926"/>
      <c r="AE169" s="926"/>
      <c r="AF169" s="926"/>
      <c r="AG169" s="926"/>
      <c r="AH169" s="926"/>
      <c r="AI169" s="926"/>
      <c r="AJ169" s="926"/>
    </row>
    <row r="170" spans="1:36" ht="15" customHeight="1" x14ac:dyDescent="0.3">
      <c r="A170" s="926"/>
      <c r="B170" s="609"/>
      <c r="C170" s="962"/>
      <c r="D170" s="40"/>
      <c r="E170" s="2402"/>
      <c r="F170" s="2402"/>
      <c r="G170" s="2402"/>
      <c r="H170" s="2402"/>
      <c r="I170" s="2402"/>
      <c r="J170" s="2402"/>
      <c r="K170" s="2402"/>
      <c r="L170" s="2402"/>
      <c r="M170" s="2402"/>
      <c r="N170" s="2402"/>
      <c r="O170" s="2402"/>
      <c r="P170" s="2402"/>
      <c r="Q170" s="2402"/>
      <c r="R170" s="2402"/>
      <c r="S170" s="40"/>
      <c r="T170" s="963"/>
      <c r="U170" s="609"/>
      <c r="V170" s="926"/>
      <c r="W170" s="926"/>
      <c r="X170" s="926"/>
      <c r="Y170" s="926"/>
      <c r="Z170" s="926"/>
      <c r="AA170" s="926"/>
      <c r="AB170" s="926"/>
      <c r="AC170" s="926"/>
      <c r="AD170" s="926"/>
      <c r="AE170" s="926"/>
      <c r="AF170" s="926"/>
      <c r="AG170" s="926"/>
      <c r="AH170" s="926"/>
      <c r="AI170" s="926"/>
      <c r="AJ170" s="926"/>
    </row>
    <row r="171" spans="1:36" ht="15" customHeight="1" x14ac:dyDescent="0.3">
      <c r="A171" s="926"/>
      <c r="B171" s="609"/>
      <c r="C171" s="962"/>
      <c r="D171" s="40"/>
      <c r="E171" s="2402"/>
      <c r="F171" s="2402"/>
      <c r="G171" s="2402"/>
      <c r="H171" s="2402"/>
      <c r="I171" s="2402"/>
      <c r="J171" s="2402"/>
      <c r="K171" s="2402"/>
      <c r="L171" s="2402"/>
      <c r="M171" s="2402"/>
      <c r="N171" s="2402"/>
      <c r="O171" s="2402"/>
      <c r="P171" s="2402"/>
      <c r="Q171" s="2402"/>
      <c r="R171" s="2402"/>
      <c r="S171" s="40"/>
      <c r="T171" s="963"/>
      <c r="U171" s="609"/>
      <c r="V171" s="926"/>
      <c r="W171" s="926"/>
      <c r="X171" s="926"/>
      <c r="Y171" s="926"/>
      <c r="Z171" s="926"/>
      <c r="AA171" s="926"/>
      <c r="AB171" s="926"/>
      <c r="AC171" s="926"/>
      <c r="AD171" s="926"/>
      <c r="AE171" s="926"/>
      <c r="AF171" s="926"/>
      <c r="AG171" s="926"/>
      <c r="AH171" s="926"/>
      <c r="AI171" s="926"/>
      <c r="AJ171" s="926"/>
    </row>
    <row r="172" spans="1:36" ht="15" customHeight="1" x14ac:dyDescent="0.3">
      <c r="A172" s="926"/>
      <c r="B172" s="609"/>
      <c r="C172" s="962"/>
      <c r="D172" s="40"/>
      <c r="E172" s="2402"/>
      <c r="F172" s="2402"/>
      <c r="G172" s="2402"/>
      <c r="H172" s="2402"/>
      <c r="I172" s="2402"/>
      <c r="J172" s="2402"/>
      <c r="K172" s="2402"/>
      <c r="L172" s="2402"/>
      <c r="M172" s="2402"/>
      <c r="N172" s="2402"/>
      <c r="O172" s="2402"/>
      <c r="P172" s="2402"/>
      <c r="Q172" s="2402"/>
      <c r="R172" s="2402"/>
      <c r="S172" s="40"/>
      <c r="T172" s="963"/>
      <c r="U172" s="609"/>
      <c r="V172" s="926"/>
      <c r="W172" s="926"/>
      <c r="X172" s="926"/>
      <c r="Y172" s="926"/>
      <c r="Z172" s="926"/>
      <c r="AA172" s="926"/>
      <c r="AB172" s="926"/>
      <c r="AC172" s="926"/>
      <c r="AD172" s="926"/>
      <c r="AE172" s="926"/>
      <c r="AF172" s="926"/>
      <c r="AG172" s="926"/>
      <c r="AH172" s="926"/>
      <c r="AI172" s="926"/>
      <c r="AJ172" s="926"/>
    </row>
    <row r="173" spans="1:36" ht="15" customHeight="1" x14ac:dyDescent="0.3">
      <c r="A173" s="926"/>
      <c r="B173" s="609"/>
      <c r="C173" s="962"/>
      <c r="D173" s="40"/>
      <c r="E173" s="2403" t="s">
        <v>31</v>
      </c>
      <c r="F173" s="2403"/>
      <c r="G173" s="2403"/>
      <c r="H173" s="2403"/>
      <c r="I173" s="2403"/>
      <c r="J173" s="2403"/>
      <c r="K173" s="2403" t="s">
        <v>32</v>
      </c>
      <c r="L173" s="2403"/>
      <c r="M173" s="2403"/>
      <c r="N173" s="2403"/>
      <c r="O173" s="2403"/>
      <c r="P173" s="2403"/>
      <c r="Q173" s="2403"/>
      <c r="R173" s="2403"/>
      <c r="S173" s="40"/>
      <c r="T173" s="963"/>
      <c r="U173" s="609"/>
      <c r="V173" s="926"/>
      <c r="W173" s="926"/>
      <c r="X173" s="926"/>
      <c r="Y173" s="926"/>
      <c r="Z173" s="926"/>
      <c r="AA173" s="926"/>
      <c r="AB173" s="926"/>
      <c r="AC173" s="926"/>
      <c r="AD173" s="926"/>
      <c r="AE173" s="926"/>
      <c r="AF173" s="926"/>
      <c r="AG173" s="926"/>
      <c r="AH173" s="926"/>
      <c r="AI173" s="926"/>
      <c r="AJ173" s="926"/>
    </row>
    <row r="174" spans="1:36" ht="15" customHeight="1" x14ac:dyDescent="0.3">
      <c r="A174" s="926"/>
      <c r="B174" s="609"/>
      <c r="C174" s="962"/>
      <c r="D174" s="40"/>
      <c r="E174" s="2400" t="s">
        <v>72</v>
      </c>
      <c r="F174" s="2400"/>
      <c r="G174" s="2400"/>
      <c r="H174" s="2400"/>
      <c r="I174" s="2400"/>
      <c r="J174" s="2400"/>
      <c r="K174" s="2429" t="s">
        <v>139</v>
      </c>
      <c r="L174" s="2429"/>
      <c r="M174" s="2429"/>
      <c r="N174" s="2429"/>
      <c r="O174" s="2429"/>
      <c r="P174" s="2429"/>
      <c r="Q174" s="2429"/>
      <c r="R174" s="2412"/>
      <c r="S174" s="40"/>
      <c r="T174" s="963"/>
      <c r="U174" s="609"/>
      <c r="V174" s="926"/>
      <c r="W174" s="926"/>
      <c r="X174" s="926"/>
      <c r="Y174" s="926"/>
      <c r="Z174" s="926"/>
      <c r="AA174" s="926"/>
      <c r="AB174" s="926"/>
      <c r="AC174" s="926"/>
      <c r="AD174" s="926"/>
      <c r="AE174" s="926"/>
      <c r="AF174" s="926"/>
      <c r="AG174" s="926"/>
      <c r="AH174" s="926"/>
      <c r="AI174" s="926"/>
      <c r="AJ174" s="926"/>
    </row>
    <row r="175" spans="1:36" ht="15" customHeight="1" x14ac:dyDescent="0.3">
      <c r="A175" s="926"/>
      <c r="B175" s="609"/>
      <c r="C175" s="962"/>
      <c r="D175" s="40"/>
      <c r="E175" s="2400"/>
      <c r="F175" s="2400"/>
      <c r="G175" s="2400"/>
      <c r="H175" s="2400"/>
      <c r="I175" s="2400"/>
      <c r="J175" s="2400"/>
      <c r="K175" s="2430"/>
      <c r="L175" s="2430"/>
      <c r="M175" s="2430"/>
      <c r="N175" s="2430"/>
      <c r="O175" s="2430"/>
      <c r="P175" s="2430"/>
      <c r="Q175" s="2430"/>
      <c r="R175" s="2414"/>
      <c r="S175" s="40"/>
      <c r="T175" s="963"/>
      <c r="U175" s="609"/>
      <c r="V175" s="926"/>
      <c r="W175" s="926"/>
      <c r="X175" s="926"/>
      <c r="Y175" s="926"/>
      <c r="Z175" s="926"/>
      <c r="AA175" s="926"/>
      <c r="AB175" s="926"/>
      <c r="AC175" s="926"/>
      <c r="AD175" s="926"/>
      <c r="AE175" s="926"/>
      <c r="AF175" s="926"/>
      <c r="AG175" s="926"/>
      <c r="AH175" s="926"/>
      <c r="AI175" s="926"/>
      <c r="AJ175" s="926"/>
    </row>
    <row r="176" spans="1:36" ht="15" customHeight="1" x14ac:dyDescent="0.3">
      <c r="A176" s="926"/>
      <c r="B176" s="609"/>
      <c r="C176" s="962"/>
      <c r="D176" s="40"/>
      <c r="E176" s="2400"/>
      <c r="F176" s="2400"/>
      <c r="G176" s="2400"/>
      <c r="H176" s="2400"/>
      <c r="I176" s="2400"/>
      <c r="J176" s="2400"/>
      <c r="K176" s="2430"/>
      <c r="L176" s="2430"/>
      <c r="M176" s="2430"/>
      <c r="N176" s="2430"/>
      <c r="O176" s="2430"/>
      <c r="P176" s="2430"/>
      <c r="Q176" s="2430"/>
      <c r="R176" s="2414"/>
      <c r="S176" s="40"/>
      <c r="T176" s="963"/>
      <c r="U176" s="609"/>
      <c r="V176" s="926"/>
      <c r="W176" s="926"/>
      <c r="X176" s="926"/>
      <c r="Y176" s="926"/>
      <c r="Z176" s="926"/>
      <c r="AA176" s="926"/>
      <c r="AB176" s="926"/>
      <c r="AC176" s="926"/>
      <c r="AD176" s="926"/>
      <c r="AE176" s="926"/>
      <c r="AF176" s="926"/>
      <c r="AG176" s="926"/>
      <c r="AH176" s="926"/>
      <c r="AI176" s="926"/>
      <c r="AJ176" s="926"/>
    </row>
    <row r="177" spans="1:36" ht="15" customHeight="1" x14ac:dyDescent="0.3">
      <c r="A177" s="926"/>
      <c r="B177" s="609"/>
      <c r="C177" s="962"/>
      <c r="D177" s="40"/>
      <c r="E177" s="2400"/>
      <c r="F177" s="2400"/>
      <c r="G177" s="2400"/>
      <c r="H177" s="2400"/>
      <c r="I177" s="2400"/>
      <c r="J177" s="2400"/>
      <c r="K177" s="2431"/>
      <c r="L177" s="2431"/>
      <c r="M177" s="2431"/>
      <c r="N177" s="2431"/>
      <c r="O177" s="2431"/>
      <c r="P177" s="2431"/>
      <c r="Q177" s="2431"/>
      <c r="R177" s="2416"/>
      <c r="S177" s="40"/>
      <c r="T177" s="963"/>
      <c r="U177" s="609"/>
      <c r="V177" s="926"/>
      <c r="W177" s="926"/>
      <c r="X177" s="926"/>
      <c r="Y177" s="926"/>
      <c r="Z177" s="926"/>
      <c r="AA177" s="926"/>
      <c r="AB177" s="926"/>
      <c r="AC177" s="926"/>
      <c r="AD177" s="926"/>
      <c r="AE177" s="926"/>
      <c r="AF177" s="926"/>
      <c r="AG177" s="926"/>
      <c r="AH177" s="926"/>
      <c r="AI177" s="926"/>
      <c r="AJ177" s="926"/>
    </row>
    <row r="178" spans="1:36" ht="15" customHeight="1" thickBot="1" x14ac:dyDescent="0.35">
      <c r="A178" s="926"/>
      <c r="B178" s="609"/>
      <c r="C178" s="962"/>
      <c r="D178" s="40"/>
      <c r="E178" s="40"/>
      <c r="F178" s="40"/>
      <c r="G178" s="40"/>
      <c r="H178" s="40"/>
      <c r="I178" s="40"/>
      <c r="J178" s="40"/>
      <c r="K178" s="40"/>
      <c r="L178" s="40"/>
      <c r="M178" s="40"/>
      <c r="N178" s="40"/>
      <c r="O178" s="40"/>
      <c r="P178" s="40"/>
      <c r="Q178" s="40"/>
      <c r="R178" s="40"/>
      <c r="S178" s="40"/>
      <c r="T178" s="963"/>
      <c r="U178" s="609"/>
      <c r="V178" s="926"/>
      <c r="W178" s="926"/>
      <c r="X178" s="926"/>
      <c r="Y178" s="926"/>
      <c r="Z178" s="926"/>
      <c r="AA178" s="926"/>
      <c r="AB178" s="926"/>
      <c r="AC178" s="926"/>
      <c r="AD178" s="926"/>
      <c r="AE178" s="926"/>
      <c r="AF178" s="926"/>
      <c r="AG178" s="926"/>
      <c r="AH178" s="926"/>
      <c r="AI178" s="926"/>
      <c r="AJ178" s="926"/>
    </row>
    <row r="179" spans="1:36" ht="15" customHeight="1" x14ac:dyDescent="0.3">
      <c r="A179" s="926"/>
      <c r="B179" s="609"/>
      <c r="C179" s="962"/>
      <c r="D179" s="40"/>
      <c r="E179" s="40"/>
      <c r="F179" s="40"/>
      <c r="G179" s="2470" t="str">
        <f>IF(K174="Yes", "Please answer the below questions about the number and average body weight of this part of your herd.", "You may skip the questions about the number and average body weight.")</f>
        <v>You may skip the questions about the number and average body weight.</v>
      </c>
      <c r="H179" s="2471"/>
      <c r="I179" s="2471"/>
      <c r="J179" s="2471"/>
      <c r="K179" s="2471"/>
      <c r="L179" s="2471"/>
      <c r="M179" s="2471"/>
      <c r="N179" s="2471"/>
      <c r="O179" s="2471"/>
      <c r="P179" s="2472"/>
      <c r="Q179" s="40"/>
      <c r="R179" s="40"/>
      <c r="S179" s="40"/>
      <c r="T179" s="963"/>
      <c r="U179" s="609"/>
      <c r="V179" s="926"/>
      <c r="W179" s="926"/>
      <c r="X179" s="926"/>
      <c r="Y179" s="926"/>
      <c r="Z179" s="926"/>
      <c r="AA179" s="926"/>
      <c r="AB179" s="926"/>
      <c r="AC179" s="926"/>
      <c r="AD179" s="926"/>
      <c r="AE179" s="926"/>
      <c r="AF179" s="926"/>
      <c r="AG179" s="926"/>
      <c r="AH179" s="926"/>
      <c r="AI179" s="926"/>
      <c r="AJ179" s="926"/>
    </row>
    <row r="180" spans="1:36" ht="15" customHeight="1" x14ac:dyDescent="0.3">
      <c r="A180" s="926"/>
      <c r="B180" s="609"/>
      <c r="C180" s="962"/>
      <c r="D180" s="40"/>
      <c r="E180" s="40"/>
      <c r="F180" s="40"/>
      <c r="G180" s="2473"/>
      <c r="H180" s="2474"/>
      <c r="I180" s="2474"/>
      <c r="J180" s="2474"/>
      <c r="K180" s="2474"/>
      <c r="L180" s="2474"/>
      <c r="M180" s="2474"/>
      <c r="N180" s="2474"/>
      <c r="O180" s="2474"/>
      <c r="P180" s="2475"/>
      <c r="Q180" s="40"/>
      <c r="R180" s="40"/>
      <c r="S180" s="40"/>
      <c r="T180" s="963"/>
      <c r="U180" s="609"/>
      <c r="V180" s="926"/>
      <c r="W180" s="926"/>
      <c r="X180" s="926"/>
      <c r="Y180" s="926"/>
      <c r="Z180" s="926"/>
      <c r="AA180" s="926"/>
      <c r="AB180" s="926"/>
      <c r="AC180" s="926"/>
      <c r="AD180" s="926"/>
      <c r="AE180" s="926"/>
      <c r="AF180" s="926"/>
      <c r="AG180" s="926"/>
      <c r="AH180" s="926"/>
      <c r="AI180" s="926"/>
      <c r="AJ180" s="926"/>
    </row>
    <row r="181" spans="1:36" ht="15" customHeight="1" x14ac:dyDescent="0.3">
      <c r="A181" s="926"/>
      <c r="B181" s="609"/>
      <c r="C181" s="962"/>
      <c r="D181" s="40"/>
      <c r="E181" s="40"/>
      <c r="F181" s="40"/>
      <c r="G181" s="2473"/>
      <c r="H181" s="2474"/>
      <c r="I181" s="2474"/>
      <c r="J181" s="2474"/>
      <c r="K181" s="2474"/>
      <c r="L181" s="2474"/>
      <c r="M181" s="2474"/>
      <c r="N181" s="2474"/>
      <c r="O181" s="2474"/>
      <c r="P181" s="2475"/>
      <c r="Q181" s="40"/>
      <c r="R181" s="40"/>
      <c r="S181" s="40"/>
      <c r="T181" s="963"/>
      <c r="U181" s="609"/>
      <c r="V181" s="926"/>
      <c r="W181" s="926"/>
      <c r="X181" s="926"/>
      <c r="Y181" s="926"/>
      <c r="Z181" s="926"/>
      <c r="AA181" s="926"/>
      <c r="AB181" s="926"/>
      <c r="AC181" s="926"/>
      <c r="AD181" s="926"/>
      <c r="AE181" s="926"/>
      <c r="AF181" s="926"/>
      <c r="AG181" s="926"/>
      <c r="AH181" s="926"/>
      <c r="AI181" s="926"/>
      <c r="AJ181" s="926"/>
    </row>
    <row r="182" spans="1:36" ht="15" customHeight="1" x14ac:dyDescent="0.3">
      <c r="A182" s="926"/>
      <c r="B182" s="609"/>
      <c r="C182" s="962"/>
      <c r="D182" s="40"/>
      <c r="E182" s="40"/>
      <c r="F182" s="40"/>
      <c r="G182" s="2473"/>
      <c r="H182" s="2474"/>
      <c r="I182" s="2474"/>
      <c r="J182" s="2474"/>
      <c r="K182" s="2474"/>
      <c r="L182" s="2474"/>
      <c r="M182" s="2474"/>
      <c r="N182" s="2474"/>
      <c r="O182" s="2474"/>
      <c r="P182" s="2475"/>
      <c r="Q182" s="40"/>
      <c r="R182" s="40"/>
      <c r="S182" s="40"/>
      <c r="T182" s="963"/>
      <c r="U182" s="609"/>
      <c r="V182" s="926"/>
      <c r="W182" s="926"/>
      <c r="X182" s="926"/>
      <c r="Y182" s="926"/>
      <c r="Z182" s="926"/>
      <c r="AA182" s="926"/>
      <c r="AB182" s="926"/>
      <c r="AC182" s="926"/>
      <c r="AD182" s="926"/>
      <c r="AE182" s="926"/>
      <c r="AF182" s="926"/>
      <c r="AG182" s="926"/>
      <c r="AH182" s="926"/>
      <c r="AI182" s="926"/>
      <c r="AJ182" s="926"/>
    </row>
    <row r="183" spans="1:36" ht="15" customHeight="1" x14ac:dyDescent="0.3">
      <c r="A183" s="926"/>
      <c r="B183" s="609"/>
      <c r="C183" s="962"/>
      <c r="D183" s="40"/>
      <c r="E183" s="40"/>
      <c r="F183" s="40"/>
      <c r="G183" s="2473"/>
      <c r="H183" s="2474"/>
      <c r="I183" s="2474"/>
      <c r="J183" s="2474"/>
      <c r="K183" s="2474"/>
      <c r="L183" s="2474"/>
      <c r="M183" s="2474"/>
      <c r="N183" s="2474"/>
      <c r="O183" s="2474"/>
      <c r="P183" s="2475"/>
      <c r="Q183" s="40"/>
      <c r="R183" s="40"/>
      <c r="S183" s="40"/>
      <c r="T183" s="963"/>
      <c r="U183" s="609"/>
      <c r="V183" s="926"/>
      <c r="W183" s="926"/>
      <c r="X183" s="926"/>
      <c r="Y183" s="926"/>
      <c r="Z183" s="926"/>
      <c r="AA183" s="926"/>
      <c r="AB183" s="926"/>
      <c r="AC183" s="926"/>
      <c r="AD183" s="926"/>
      <c r="AE183" s="926"/>
      <c r="AF183" s="926"/>
      <c r="AG183" s="926"/>
      <c r="AH183" s="926"/>
      <c r="AI183" s="926"/>
      <c r="AJ183" s="926"/>
    </row>
    <row r="184" spans="1:36" ht="15" customHeight="1" thickBot="1" x14ac:dyDescent="0.35">
      <c r="A184" s="926"/>
      <c r="B184" s="609"/>
      <c r="C184" s="962"/>
      <c r="D184" s="40"/>
      <c r="E184" s="40"/>
      <c r="F184" s="40"/>
      <c r="G184" s="2476"/>
      <c r="H184" s="2477"/>
      <c r="I184" s="2477"/>
      <c r="J184" s="2477"/>
      <c r="K184" s="2477"/>
      <c r="L184" s="2477"/>
      <c r="M184" s="2477"/>
      <c r="N184" s="2477"/>
      <c r="O184" s="2477"/>
      <c r="P184" s="2478"/>
      <c r="Q184" s="40"/>
      <c r="R184" s="40"/>
      <c r="S184" s="40"/>
      <c r="T184" s="963"/>
      <c r="U184" s="609"/>
      <c r="V184" s="926"/>
      <c r="W184" s="926"/>
      <c r="X184" s="926"/>
      <c r="Y184" s="926"/>
      <c r="Z184" s="926"/>
      <c r="AA184" s="926"/>
      <c r="AB184" s="926"/>
      <c r="AC184" s="926"/>
      <c r="AD184" s="926"/>
      <c r="AE184" s="926"/>
      <c r="AF184" s="926"/>
      <c r="AG184" s="926"/>
      <c r="AH184" s="926"/>
      <c r="AI184" s="926"/>
      <c r="AJ184" s="926"/>
    </row>
    <row r="185" spans="1:36" ht="15" customHeight="1" x14ac:dyDescent="0.3">
      <c r="A185" s="926"/>
      <c r="B185" s="609"/>
      <c r="C185" s="962"/>
      <c r="D185" s="40"/>
      <c r="E185" s="40"/>
      <c r="F185" s="40"/>
      <c r="G185" s="40"/>
      <c r="H185" s="40"/>
      <c r="I185" s="40"/>
      <c r="J185" s="40"/>
      <c r="K185" s="40"/>
      <c r="L185" s="40"/>
      <c r="M185" s="40"/>
      <c r="N185" s="40"/>
      <c r="O185" s="40"/>
      <c r="P185" s="40"/>
      <c r="Q185" s="40"/>
      <c r="R185" s="40"/>
      <c r="S185" s="40"/>
      <c r="T185" s="963"/>
      <c r="U185" s="609"/>
      <c r="V185" s="926"/>
      <c r="W185" s="926"/>
      <c r="X185" s="926"/>
      <c r="Y185" s="926"/>
      <c r="Z185" s="926"/>
      <c r="AA185" s="926"/>
      <c r="AB185" s="926"/>
      <c r="AC185" s="926"/>
      <c r="AD185" s="926"/>
      <c r="AE185" s="926"/>
      <c r="AF185" s="926"/>
      <c r="AG185" s="926"/>
      <c r="AH185" s="926"/>
      <c r="AI185" s="926"/>
      <c r="AJ185" s="926"/>
    </row>
    <row r="186" spans="1:36" ht="15" customHeight="1" x14ac:dyDescent="0.3">
      <c r="A186" s="926"/>
      <c r="B186" s="609"/>
      <c r="C186" s="962"/>
      <c r="D186" s="40"/>
      <c r="E186" s="2399" t="str">
        <f>IF(K174="Yes","How many lactating sows does your farm have? What is their average body weight?", "Please skip to the next question")</f>
        <v>Please skip to the next question</v>
      </c>
      <c r="F186" s="2399"/>
      <c r="G186" s="2399"/>
      <c r="H186" s="2399"/>
      <c r="I186" s="2399"/>
      <c r="J186" s="2399"/>
      <c r="K186" s="2399"/>
      <c r="L186" s="2399"/>
      <c r="M186" s="2399"/>
      <c r="N186" s="2399"/>
      <c r="O186" s="2399"/>
      <c r="P186" s="2399"/>
      <c r="Q186" s="2399"/>
      <c r="R186" s="2399"/>
      <c r="S186" s="40"/>
      <c r="T186" s="963"/>
      <c r="U186" s="609"/>
      <c r="V186" s="926"/>
      <c r="W186" s="926"/>
      <c r="X186" s="926"/>
      <c r="Y186" s="926"/>
      <c r="Z186" s="926"/>
      <c r="AA186" s="926"/>
      <c r="AB186" s="926"/>
      <c r="AC186" s="926"/>
      <c r="AD186" s="926"/>
      <c r="AE186" s="926"/>
      <c r="AF186" s="926"/>
      <c r="AG186" s="926"/>
      <c r="AH186" s="926"/>
      <c r="AI186" s="926"/>
      <c r="AJ186" s="926"/>
    </row>
    <row r="187" spans="1:36" ht="15" customHeight="1" x14ac:dyDescent="0.3">
      <c r="A187" s="926"/>
      <c r="B187" s="609"/>
      <c r="C187" s="962"/>
      <c r="D187" s="40"/>
      <c r="E187" s="2399"/>
      <c r="F187" s="2399"/>
      <c r="G187" s="2399"/>
      <c r="H187" s="2399"/>
      <c r="I187" s="2399"/>
      <c r="J187" s="2399"/>
      <c r="K187" s="2399"/>
      <c r="L187" s="2399"/>
      <c r="M187" s="2399"/>
      <c r="N187" s="2399"/>
      <c r="O187" s="2399"/>
      <c r="P187" s="2399"/>
      <c r="Q187" s="2399"/>
      <c r="R187" s="2399"/>
      <c r="S187" s="40"/>
      <c r="T187" s="963"/>
      <c r="U187" s="609"/>
      <c r="V187" s="926"/>
      <c r="W187" s="926"/>
      <c r="X187" s="926"/>
      <c r="Y187" s="926"/>
      <c r="Z187" s="926"/>
      <c r="AA187" s="926"/>
      <c r="AB187" s="926"/>
      <c r="AC187" s="926"/>
      <c r="AD187" s="926"/>
      <c r="AE187" s="926"/>
      <c r="AF187" s="926"/>
      <c r="AG187" s="926"/>
      <c r="AH187" s="926"/>
      <c r="AI187" s="926"/>
      <c r="AJ187" s="926"/>
    </row>
    <row r="188" spans="1:36" ht="15" customHeight="1" x14ac:dyDescent="0.3">
      <c r="A188" s="926"/>
      <c r="B188" s="609"/>
      <c r="C188" s="962"/>
      <c r="D188" s="40"/>
      <c r="E188" s="2399"/>
      <c r="F188" s="2399"/>
      <c r="G188" s="2399"/>
      <c r="H188" s="2399"/>
      <c r="I188" s="2399"/>
      <c r="J188" s="2399"/>
      <c r="K188" s="2399"/>
      <c r="L188" s="2399"/>
      <c r="M188" s="2399"/>
      <c r="N188" s="2399"/>
      <c r="O188" s="2399"/>
      <c r="P188" s="2399"/>
      <c r="Q188" s="2399"/>
      <c r="R188" s="2399"/>
      <c r="S188" s="40"/>
      <c r="T188" s="963"/>
      <c r="U188" s="609"/>
      <c r="V188" s="926"/>
      <c r="W188" s="926"/>
      <c r="X188" s="926"/>
      <c r="Y188" s="926"/>
      <c r="Z188" s="926"/>
      <c r="AA188" s="926"/>
      <c r="AB188" s="926"/>
      <c r="AC188" s="926"/>
      <c r="AD188" s="926"/>
      <c r="AE188" s="926"/>
      <c r="AF188" s="926"/>
      <c r="AG188" s="926"/>
      <c r="AH188" s="926"/>
      <c r="AI188" s="926"/>
      <c r="AJ188" s="926"/>
    </row>
    <row r="189" spans="1:36" ht="15" customHeight="1" x14ac:dyDescent="0.3">
      <c r="A189" s="926"/>
      <c r="B189" s="609"/>
      <c r="C189" s="962"/>
      <c r="D189" s="40"/>
      <c r="E189" s="2399"/>
      <c r="F189" s="2399"/>
      <c r="G189" s="2399"/>
      <c r="H189" s="2399"/>
      <c r="I189" s="2399"/>
      <c r="J189" s="2399"/>
      <c r="K189" s="2399"/>
      <c r="L189" s="2399"/>
      <c r="M189" s="2399"/>
      <c r="N189" s="2399"/>
      <c r="O189" s="2399"/>
      <c r="P189" s="2399"/>
      <c r="Q189" s="2399"/>
      <c r="R189" s="2399"/>
      <c r="S189" s="40"/>
      <c r="T189" s="963"/>
      <c r="U189" s="609"/>
      <c r="V189" s="926"/>
      <c r="W189" s="926"/>
      <c r="X189" s="926"/>
      <c r="Y189" s="926"/>
      <c r="Z189" s="926"/>
      <c r="AA189" s="926"/>
      <c r="AB189" s="926"/>
      <c r="AC189" s="926"/>
      <c r="AD189" s="926"/>
      <c r="AE189" s="926"/>
      <c r="AF189" s="926"/>
      <c r="AG189" s="926"/>
      <c r="AH189" s="926"/>
      <c r="AI189" s="926"/>
      <c r="AJ189" s="926"/>
    </row>
    <row r="190" spans="1:36" ht="15" customHeight="1" x14ac:dyDescent="0.3">
      <c r="A190" s="926"/>
      <c r="B190" s="609"/>
      <c r="C190" s="962"/>
      <c r="D190" s="40"/>
      <c r="E190" s="2397" t="s">
        <v>153</v>
      </c>
      <c r="F190" s="2397"/>
      <c r="G190" s="2397" t="s">
        <v>38</v>
      </c>
      <c r="H190" s="2397"/>
      <c r="I190" s="2397" t="s">
        <v>39</v>
      </c>
      <c r="J190" s="2397"/>
      <c r="K190" s="2397" t="s">
        <v>40</v>
      </c>
      <c r="L190" s="2397"/>
      <c r="M190" s="2397" t="s">
        <v>41</v>
      </c>
      <c r="N190" s="2397"/>
      <c r="O190" s="2397" t="s">
        <v>42</v>
      </c>
      <c r="P190" s="2397"/>
      <c r="Q190" s="2397" t="s">
        <v>43</v>
      </c>
      <c r="R190" s="2397"/>
      <c r="S190" s="40"/>
      <c r="T190" s="963"/>
      <c r="U190" s="609"/>
      <c r="V190" s="926"/>
      <c r="W190" s="926"/>
      <c r="X190" s="926"/>
      <c r="Y190" s="926"/>
      <c r="Z190" s="926"/>
      <c r="AA190" s="926"/>
      <c r="AB190" s="926"/>
      <c r="AC190" s="926"/>
      <c r="AD190" s="926"/>
      <c r="AE190" s="926"/>
      <c r="AF190" s="926"/>
      <c r="AG190" s="926"/>
      <c r="AH190" s="926"/>
      <c r="AI190" s="926"/>
      <c r="AJ190" s="926"/>
    </row>
    <row r="191" spans="1:36" ht="15" customHeight="1" x14ac:dyDescent="0.3">
      <c r="A191" s="926"/>
      <c r="B191" s="609"/>
      <c r="C191" s="962"/>
      <c r="D191" s="40"/>
      <c r="E191" s="2410" t="s">
        <v>44</v>
      </c>
      <c r="F191" s="2410"/>
      <c r="G191" s="2398" t="str">
        <f>BG271</f>
        <v>head</v>
      </c>
      <c r="H191" s="2398"/>
      <c r="I191" s="2407">
        <f>BE271</f>
        <v>0</v>
      </c>
      <c r="J191" s="2407"/>
      <c r="K191" s="2429"/>
      <c r="L191" s="2412"/>
      <c r="M191" s="2407">
        <f>BI271</f>
        <v>0</v>
      </c>
      <c r="N191" s="2407"/>
      <c r="O191" s="2407">
        <f>BJ271</f>
        <v>20000</v>
      </c>
      <c r="P191" s="2407"/>
      <c r="Q191" s="2398" t="str">
        <f>BN271</f>
        <v>Using default</v>
      </c>
      <c r="R191" s="2398"/>
      <c r="S191" s="40"/>
      <c r="T191" s="963"/>
      <c r="U191" s="609"/>
      <c r="V191" s="926"/>
      <c r="W191" s="926"/>
      <c r="X191" s="926"/>
      <c r="Y191" s="926"/>
      <c r="Z191" s="926"/>
      <c r="AA191" s="926"/>
      <c r="AB191" s="926"/>
      <c r="AC191" s="926"/>
      <c r="AD191" s="926"/>
      <c r="AE191" s="926"/>
      <c r="AF191" s="926"/>
      <c r="AG191" s="926"/>
      <c r="AH191" s="926"/>
      <c r="AI191" s="926"/>
      <c r="AJ191" s="926"/>
    </row>
    <row r="192" spans="1:36" ht="15" customHeight="1" x14ac:dyDescent="0.3">
      <c r="A192" s="926"/>
      <c r="B192" s="609"/>
      <c r="C192" s="962"/>
      <c r="D192" s="40"/>
      <c r="E192" s="2410"/>
      <c r="F192" s="2410"/>
      <c r="G192" s="2398"/>
      <c r="H192" s="2398"/>
      <c r="I192" s="2407"/>
      <c r="J192" s="2407"/>
      <c r="K192" s="2430"/>
      <c r="L192" s="2414"/>
      <c r="M192" s="2407"/>
      <c r="N192" s="2407"/>
      <c r="O192" s="2407"/>
      <c r="P192" s="2407"/>
      <c r="Q192" s="2398"/>
      <c r="R192" s="2398"/>
      <c r="S192" s="40"/>
      <c r="T192" s="963"/>
      <c r="U192" s="609"/>
      <c r="V192" s="926"/>
      <c r="W192" s="926"/>
      <c r="X192" s="926"/>
      <c r="Y192" s="926"/>
      <c r="Z192" s="926"/>
      <c r="AA192" s="926"/>
      <c r="AB192" s="926"/>
      <c r="AC192" s="926"/>
      <c r="AD192" s="926"/>
      <c r="AE192" s="926"/>
      <c r="AF192" s="926"/>
      <c r="AG192" s="926"/>
      <c r="AH192" s="926"/>
      <c r="AI192" s="926"/>
      <c r="AJ192" s="926"/>
    </row>
    <row r="193" spans="1:36" ht="15" customHeight="1" x14ac:dyDescent="0.3">
      <c r="A193" s="926"/>
      <c r="B193" s="609"/>
      <c r="C193" s="962"/>
      <c r="D193" s="40"/>
      <c r="E193" s="2410"/>
      <c r="F193" s="2410"/>
      <c r="G193" s="2398"/>
      <c r="H193" s="2398"/>
      <c r="I193" s="2407"/>
      <c r="J193" s="2407"/>
      <c r="K193" s="2431"/>
      <c r="L193" s="2416"/>
      <c r="M193" s="2407"/>
      <c r="N193" s="2407"/>
      <c r="O193" s="2407"/>
      <c r="P193" s="2407"/>
      <c r="Q193" s="2398"/>
      <c r="R193" s="2398"/>
      <c r="S193" s="40"/>
      <c r="T193" s="963"/>
      <c r="U193" s="609"/>
      <c r="V193" s="926"/>
      <c r="W193" s="926"/>
      <c r="X193" s="926"/>
      <c r="Y193" s="926"/>
      <c r="Z193" s="926"/>
      <c r="AA193" s="926"/>
      <c r="AB193" s="926"/>
      <c r="AC193" s="926"/>
      <c r="AD193" s="926"/>
      <c r="AE193" s="926"/>
      <c r="AF193" s="926"/>
      <c r="AG193" s="926"/>
      <c r="AH193" s="926"/>
      <c r="AI193" s="926"/>
      <c r="AJ193" s="926"/>
    </row>
    <row r="194" spans="1:36" ht="15" customHeight="1" x14ac:dyDescent="0.3">
      <c r="A194" s="926"/>
      <c r="B194" s="609"/>
      <c r="C194" s="962"/>
      <c r="D194" s="40"/>
      <c r="E194" s="2410" t="s">
        <v>141</v>
      </c>
      <c r="F194" s="2410"/>
      <c r="G194" s="2398" t="str">
        <f>BG272</f>
        <v>lb/head</v>
      </c>
      <c r="H194" s="2398"/>
      <c r="I194" s="2407">
        <f>BE272</f>
        <v>423</v>
      </c>
      <c r="J194" s="2407"/>
      <c r="K194" s="2429"/>
      <c r="L194" s="2412"/>
      <c r="M194" s="2407">
        <f>BI272</f>
        <v>375</v>
      </c>
      <c r="N194" s="2407"/>
      <c r="O194" s="2407">
        <f>BJ272</f>
        <v>600</v>
      </c>
      <c r="P194" s="2407"/>
      <c r="Q194" s="2398" t="str">
        <f>BN272</f>
        <v>Using default</v>
      </c>
      <c r="R194" s="2398"/>
      <c r="S194" s="40"/>
      <c r="T194" s="963"/>
      <c r="U194" s="609"/>
      <c r="V194" s="926"/>
      <c r="W194" s="926"/>
      <c r="X194" s="926"/>
      <c r="Y194" s="926"/>
      <c r="Z194" s="926"/>
      <c r="AA194" s="926"/>
      <c r="AB194" s="926"/>
      <c r="AC194" s="926"/>
      <c r="AD194" s="926"/>
      <c r="AE194" s="926"/>
      <c r="AF194" s="926"/>
      <c r="AG194" s="926"/>
      <c r="AH194" s="926"/>
      <c r="AI194" s="926"/>
      <c r="AJ194" s="926"/>
    </row>
    <row r="195" spans="1:36" ht="15" customHeight="1" x14ac:dyDescent="0.3">
      <c r="A195" s="926"/>
      <c r="B195" s="609"/>
      <c r="C195" s="962"/>
      <c r="D195" s="40"/>
      <c r="E195" s="2410"/>
      <c r="F195" s="2410"/>
      <c r="G195" s="2398"/>
      <c r="H195" s="2398"/>
      <c r="I195" s="2407"/>
      <c r="J195" s="2407"/>
      <c r="K195" s="2430"/>
      <c r="L195" s="2414"/>
      <c r="M195" s="2407"/>
      <c r="N195" s="2407"/>
      <c r="O195" s="2407"/>
      <c r="P195" s="2407"/>
      <c r="Q195" s="2398"/>
      <c r="R195" s="2398"/>
      <c r="S195" s="40"/>
      <c r="T195" s="963"/>
      <c r="U195" s="609"/>
      <c r="V195" s="926"/>
      <c r="W195" s="926"/>
      <c r="X195" s="926"/>
      <c r="Y195" s="926"/>
      <c r="Z195" s="926"/>
      <c r="AA195" s="926"/>
      <c r="AB195" s="926"/>
      <c r="AC195" s="926"/>
      <c r="AD195" s="926"/>
      <c r="AE195" s="926"/>
      <c r="AF195" s="926"/>
      <c r="AG195" s="926"/>
      <c r="AH195" s="926"/>
      <c r="AI195" s="926"/>
      <c r="AJ195" s="926"/>
    </row>
    <row r="196" spans="1:36" ht="15" customHeight="1" x14ac:dyDescent="0.3">
      <c r="A196" s="926"/>
      <c r="B196" s="609"/>
      <c r="C196" s="962"/>
      <c r="D196" s="40"/>
      <c r="E196" s="2410"/>
      <c r="F196" s="2410"/>
      <c r="G196" s="2398"/>
      <c r="H196" s="2398"/>
      <c r="I196" s="2407"/>
      <c r="J196" s="2407"/>
      <c r="K196" s="2431"/>
      <c r="L196" s="2416"/>
      <c r="M196" s="2407"/>
      <c r="N196" s="2407"/>
      <c r="O196" s="2407"/>
      <c r="P196" s="2407"/>
      <c r="Q196" s="2398"/>
      <c r="R196" s="2398"/>
      <c r="S196" s="40"/>
      <c r="T196" s="963"/>
      <c r="U196" s="609"/>
      <c r="V196" s="926"/>
      <c r="W196" s="926"/>
      <c r="X196" s="926"/>
      <c r="Y196" s="926"/>
      <c r="Z196" s="926"/>
      <c r="AA196" s="926"/>
      <c r="AB196" s="926"/>
      <c r="AC196" s="926"/>
      <c r="AD196" s="926"/>
      <c r="AE196" s="926"/>
      <c r="AF196" s="926"/>
      <c r="AG196" s="926"/>
      <c r="AH196" s="926"/>
      <c r="AI196" s="926"/>
      <c r="AJ196" s="926"/>
    </row>
    <row r="197" spans="1:36" ht="15" customHeight="1" x14ac:dyDescent="0.3">
      <c r="A197" s="926"/>
      <c r="B197" s="609"/>
      <c r="C197" s="962"/>
      <c r="D197" s="40"/>
      <c r="E197" s="40"/>
      <c r="F197" s="40"/>
      <c r="G197" s="40"/>
      <c r="H197" s="40"/>
      <c r="I197" s="40"/>
      <c r="J197" s="40"/>
      <c r="K197" s="40"/>
      <c r="L197" s="40"/>
      <c r="M197" s="40"/>
      <c r="N197" s="40"/>
      <c r="O197" s="40"/>
      <c r="P197" s="40"/>
      <c r="Q197" s="40"/>
      <c r="R197" s="40"/>
      <c r="S197" s="40"/>
      <c r="T197" s="963"/>
      <c r="U197" s="609"/>
      <c r="V197" s="926"/>
      <c r="W197" s="926"/>
      <c r="X197" s="926"/>
      <c r="Y197" s="926"/>
      <c r="Z197" s="926"/>
      <c r="AA197" s="926"/>
      <c r="AB197" s="926"/>
      <c r="AC197" s="926"/>
      <c r="AD197" s="926"/>
      <c r="AE197" s="926"/>
      <c r="AF197" s="926"/>
      <c r="AG197" s="926"/>
      <c r="AH197" s="926"/>
      <c r="AI197" s="926"/>
      <c r="AJ197" s="926"/>
    </row>
    <row r="198" spans="1:36" ht="15" customHeight="1" thickBot="1" x14ac:dyDescent="0.35">
      <c r="A198" s="926"/>
      <c r="B198" s="609"/>
      <c r="C198" s="962"/>
      <c r="D198" s="40"/>
      <c r="E198" s="40"/>
      <c r="F198" s="40"/>
      <c r="G198" s="1962"/>
      <c r="H198" s="40"/>
      <c r="I198" s="40"/>
      <c r="J198" s="40"/>
      <c r="K198" s="40"/>
      <c r="L198" s="40"/>
      <c r="M198" s="40"/>
      <c r="N198" s="40"/>
      <c r="O198" s="40"/>
      <c r="P198" s="40"/>
      <c r="Q198" s="40"/>
      <c r="R198" s="40"/>
      <c r="S198" s="40"/>
      <c r="T198" s="963"/>
      <c r="U198" s="609"/>
      <c r="V198" s="926"/>
      <c r="W198" s="926"/>
      <c r="X198" s="926"/>
      <c r="Y198" s="926"/>
      <c r="Z198" s="926"/>
      <c r="AA198" s="926"/>
      <c r="AB198" s="926"/>
      <c r="AC198" s="926"/>
      <c r="AD198" s="926"/>
      <c r="AE198" s="926"/>
      <c r="AF198" s="926"/>
      <c r="AG198" s="926"/>
      <c r="AH198" s="926"/>
      <c r="AI198" s="926"/>
      <c r="AJ198" s="926"/>
    </row>
    <row r="199" spans="1:36" ht="15" customHeight="1" thickTop="1" x14ac:dyDescent="0.3">
      <c r="A199" s="926"/>
      <c r="B199" s="609"/>
      <c r="C199" s="962"/>
      <c r="D199" s="40"/>
      <c r="E199" s="40"/>
      <c r="F199" s="40"/>
      <c r="G199" s="2376" t="str">
        <f>BL279</f>
        <v>You have answered all of the questions for this page. Press the "Next Page" button below to move to the next input page, which will ask you about you’re the manure characteristics of your animals.</v>
      </c>
      <c r="H199" s="2377"/>
      <c r="I199" s="2377"/>
      <c r="J199" s="2377"/>
      <c r="K199" s="2377"/>
      <c r="L199" s="2377"/>
      <c r="M199" s="2377"/>
      <c r="N199" s="2377"/>
      <c r="O199" s="2377"/>
      <c r="P199" s="2378"/>
      <c r="Q199" s="40"/>
      <c r="R199" s="40"/>
      <c r="S199" s="40"/>
      <c r="T199" s="963"/>
      <c r="U199" s="609"/>
      <c r="V199" s="926"/>
      <c r="W199" s="926"/>
      <c r="X199" s="926"/>
      <c r="Y199" s="926"/>
      <c r="Z199" s="926"/>
      <c r="AA199" s="926"/>
      <c r="AB199" s="926"/>
      <c r="AC199" s="926"/>
      <c r="AD199" s="926"/>
      <c r="AE199" s="926"/>
      <c r="AF199" s="926"/>
      <c r="AG199" s="926"/>
      <c r="AH199" s="926"/>
      <c r="AI199" s="926"/>
      <c r="AJ199" s="926"/>
    </row>
    <row r="200" spans="1:36" ht="15" customHeight="1" x14ac:dyDescent="0.3">
      <c r="A200" s="926"/>
      <c r="B200" s="609"/>
      <c r="C200" s="962"/>
      <c r="D200" s="40"/>
      <c r="E200" s="40"/>
      <c r="F200" s="40"/>
      <c r="G200" s="2379"/>
      <c r="H200" s="2380"/>
      <c r="I200" s="2380"/>
      <c r="J200" s="2380"/>
      <c r="K200" s="2380"/>
      <c r="L200" s="2380"/>
      <c r="M200" s="2380"/>
      <c r="N200" s="2380"/>
      <c r="O200" s="2380"/>
      <c r="P200" s="2381"/>
      <c r="Q200" s="40"/>
      <c r="R200" s="40"/>
      <c r="S200" s="40"/>
      <c r="T200" s="963"/>
      <c r="U200" s="609"/>
      <c r="V200" s="926"/>
      <c r="W200" s="926"/>
      <c r="X200" s="926"/>
      <c r="Y200" s="926"/>
      <c r="Z200" s="926"/>
      <c r="AA200" s="926"/>
      <c r="AB200" s="926"/>
      <c r="AC200" s="926"/>
      <c r="AD200" s="926"/>
      <c r="AE200" s="926"/>
      <c r="AF200" s="926"/>
      <c r="AG200" s="926"/>
      <c r="AH200" s="926"/>
      <c r="AI200" s="926"/>
      <c r="AJ200" s="926"/>
    </row>
    <row r="201" spans="1:36" ht="15" customHeight="1" x14ac:dyDescent="0.3">
      <c r="A201" s="926"/>
      <c r="B201" s="609"/>
      <c r="C201" s="962"/>
      <c r="D201" s="40"/>
      <c r="E201" s="40"/>
      <c r="F201" s="40"/>
      <c r="G201" s="2379"/>
      <c r="H201" s="2380"/>
      <c r="I201" s="2380"/>
      <c r="J201" s="2380"/>
      <c r="K201" s="2380"/>
      <c r="L201" s="2380"/>
      <c r="M201" s="2380"/>
      <c r="N201" s="2380"/>
      <c r="O201" s="2380"/>
      <c r="P201" s="2381"/>
      <c r="Q201" s="40"/>
      <c r="R201" s="40"/>
      <c r="S201" s="40"/>
      <c r="T201" s="963"/>
      <c r="U201" s="609"/>
      <c r="V201" s="926"/>
      <c r="W201" s="926"/>
      <c r="X201" s="926"/>
      <c r="Y201" s="926"/>
      <c r="Z201" s="926"/>
      <c r="AA201" s="926"/>
      <c r="AB201" s="926"/>
      <c r="AC201" s="926"/>
      <c r="AD201" s="926"/>
      <c r="AE201" s="926"/>
      <c r="AF201" s="926"/>
      <c r="AG201" s="926"/>
      <c r="AH201" s="926"/>
      <c r="AI201" s="926"/>
      <c r="AJ201" s="926"/>
    </row>
    <row r="202" spans="1:36" ht="15" customHeight="1" x14ac:dyDescent="0.3">
      <c r="A202" s="926"/>
      <c r="B202" s="609"/>
      <c r="C202" s="962"/>
      <c r="D202" s="40"/>
      <c r="E202" s="40"/>
      <c r="F202" s="40"/>
      <c r="G202" s="2379"/>
      <c r="H202" s="2380"/>
      <c r="I202" s="2380"/>
      <c r="J202" s="2380"/>
      <c r="K202" s="2380"/>
      <c r="L202" s="2380"/>
      <c r="M202" s="2380"/>
      <c r="N202" s="2380"/>
      <c r="O202" s="2380"/>
      <c r="P202" s="2381"/>
      <c r="Q202" s="40"/>
      <c r="R202" s="40"/>
      <c r="S202" s="40"/>
      <c r="T202" s="963"/>
      <c r="U202" s="609"/>
      <c r="V202" s="926"/>
      <c r="W202" s="926"/>
      <c r="X202" s="926"/>
      <c r="Y202" s="926"/>
      <c r="Z202" s="926"/>
      <c r="AA202" s="926"/>
      <c r="AB202" s="926"/>
      <c r="AC202" s="926"/>
      <c r="AD202" s="926"/>
      <c r="AE202" s="926"/>
      <c r="AF202" s="926"/>
      <c r="AG202" s="926"/>
      <c r="AH202" s="926"/>
      <c r="AI202" s="926"/>
      <c r="AJ202" s="926"/>
    </row>
    <row r="203" spans="1:36" ht="15" customHeight="1" x14ac:dyDescent="0.3">
      <c r="A203" s="926"/>
      <c r="B203" s="609"/>
      <c r="C203" s="962"/>
      <c r="D203" s="40"/>
      <c r="E203" s="40"/>
      <c r="F203" s="40"/>
      <c r="G203" s="2379"/>
      <c r="H203" s="2380"/>
      <c r="I203" s="2380"/>
      <c r="J203" s="2380"/>
      <c r="K203" s="2380"/>
      <c r="L203" s="2380"/>
      <c r="M203" s="2380"/>
      <c r="N203" s="2380"/>
      <c r="O203" s="2380"/>
      <c r="P203" s="2381"/>
      <c r="Q203" s="40"/>
      <c r="R203" s="40"/>
      <c r="S203" s="40"/>
      <c r="T203" s="963"/>
      <c r="U203" s="609"/>
      <c r="V203" s="926"/>
      <c r="W203" s="926"/>
      <c r="X203" s="926"/>
      <c r="Y203" s="926"/>
      <c r="Z203" s="926"/>
      <c r="AA203" s="926"/>
      <c r="AB203" s="926"/>
      <c r="AC203" s="926"/>
      <c r="AD203" s="926"/>
      <c r="AE203" s="926"/>
      <c r="AF203" s="926"/>
      <c r="AG203" s="926"/>
      <c r="AH203" s="926"/>
      <c r="AI203" s="926"/>
      <c r="AJ203" s="926"/>
    </row>
    <row r="204" spans="1:36" ht="15" customHeight="1" thickBot="1" x14ac:dyDescent="0.35">
      <c r="A204" s="926"/>
      <c r="B204" s="609"/>
      <c r="C204" s="962"/>
      <c r="D204" s="40"/>
      <c r="E204" s="40"/>
      <c r="F204" s="40"/>
      <c r="G204" s="2382"/>
      <c r="H204" s="2383"/>
      <c r="I204" s="2383"/>
      <c r="J204" s="2383"/>
      <c r="K204" s="2383"/>
      <c r="L204" s="2383"/>
      <c r="M204" s="2383"/>
      <c r="N204" s="2383"/>
      <c r="O204" s="2383"/>
      <c r="P204" s="2384"/>
      <c r="Q204" s="40"/>
      <c r="R204" s="40"/>
      <c r="S204" s="40"/>
      <c r="T204" s="963"/>
      <c r="U204" s="609"/>
      <c r="V204" s="926"/>
      <c r="W204" s="926"/>
      <c r="X204" s="926"/>
      <c r="Y204" s="926"/>
      <c r="Z204" s="926"/>
      <c r="AA204" s="926"/>
      <c r="AB204" s="926"/>
      <c r="AC204" s="926"/>
      <c r="AD204" s="926"/>
      <c r="AE204" s="926"/>
      <c r="AF204" s="926"/>
      <c r="AG204" s="926"/>
      <c r="AH204" s="926"/>
      <c r="AI204" s="926"/>
      <c r="AJ204" s="926"/>
    </row>
    <row r="205" spans="1:36" ht="15" customHeight="1" thickTop="1" thickBot="1" x14ac:dyDescent="0.35">
      <c r="A205" s="926"/>
      <c r="B205" s="609"/>
      <c r="C205" s="964"/>
      <c r="D205" s="965"/>
      <c r="E205" s="965"/>
      <c r="F205" s="965"/>
      <c r="G205" s="965"/>
      <c r="H205" s="965"/>
      <c r="I205" s="965"/>
      <c r="J205" s="965"/>
      <c r="K205" s="965"/>
      <c r="L205" s="965"/>
      <c r="M205" s="965"/>
      <c r="N205" s="965"/>
      <c r="O205" s="965"/>
      <c r="P205" s="965"/>
      <c r="Q205" s="965"/>
      <c r="R205" s="965"/>
      <c r="S205" s="965"/>
      <c r="T205" s="966"/>
      <c r="U205" s="609"/>
      <c r="V205" s="926"/>
      <c r="W205" s="926"/>
      <c r="X205" s="926"/>
      <c r="Y205" s="926"/>
      <c r="Z205" s="926"/>
      <c r="AA205" s="926"/>
      <c r="AB205" s="926"/>
      <c r="AC205" s="926"/>
      <c r="AD205" s="926"/>
      <c r="AE205" s="926"/>
      <c r="AF205" s="926"/>
      <c r="AG205" s="926"/>
      <c r="AH205" s="926"/>
      <c r="AI205" s="926"/>
      <c r="AJ205" s="926"/>
    </row>
    <row r="206" spans="1:36" ht="15" customHeight="1" x14ac:dyDescent="0.3">
      <c r="A206" s="926"/>
      <c r="B206" s="609"/>
      <c r="C206" s="609"/>
      <c r="D206" s="609"/>
      <c r="E206" s="609"/>
      <c r="F206" s="609"/>
      <c r="G206" s="609"/>
      <c r="H206" s="609"/>
      <c r="I206" s="609"/>
      <c r="J206" s="609"/>
      <c r="K206" s="609"/>
      <c r="L206" s="609"/>
      <c r="M206" s="609"/>
      <c r="N206" s="609"/>
      <c r="O206" s="609"/>
      <c r="P206" s="609"/>
      <c r="Q206" s="609"/>
      <c r="R206" s="609"/>
      <c r="S206" s="609"/>
      <c r="T206" s="609"/>
      <c r="U206" s="609"/>
      <c r="V206" s="926"/>
      <c r="W206" s="926"/>
      <c r="X206" s="926"/>
      <c r="Y206" s="926"/>
      <c r="Z206" s="926"/>
      <c r="AA206" s="926"/>
      <c r="AB206" s="926"/>
      <c r="AC206" s="926"/>
      <c r="AD206" s="926"/>
      <c r="AE206" s="926"/>
      <c r="AF206" s="926"/>
      <c r="AG206" s="926"/>
      <c r="AH206" s="926"/>
      <c r="AI206" s="926"/>
      <c r="AJ206" s="926"/>
    </row>
    <row r="207" spans="1:36" ht="15" customHeight="1" thickBot="1" x14ac:dyDescent="0.35">
      <c r="A207" s="926"/>
      <c r="B207" s="926"/>
      <c r="C207" s="923"/>
      <c r="D207" s="923"/>
      <c r="E207" s="923"/>
      <c r="F207" s="923"/>
      <c r="G207" s="923"/>
      <c r="H207" s="923"/>
      <c r="I207" s="923"/>
      <c r="J207" s="923"/>
      <c r="K207" s="923"/>
      <c r="L207" s="923"/>
      <c r="M207" s="923"/>
      <c r="N207" s="923"/>
      <c r="O207" s="923"/>
      <c r="P207" s="923"/>
      <c r="Q207" s="923"/>
      <c r="R207" s="923"/>
      <c r="S207" s="923"/>
      <c r="T207" s="923"/>
      <c r="U207" s="926"/>
      <c r="V207" s="926"/>
      <c r="W207" s="926"/>
      <c r="X207" s="926"/>
      <c r="Y207" s="926"/>
      <c r="Z207" s="926"/>
      <c r="AA207" s="926"/>
      <c r="AB207" s="926"/>
      <c r="AC207" s="926"/>
      <c r="AD207" s="926"/>
      <c r="AE207" s="926"/>
      <c r="AF207" s="926"/>
      <c r="AG207" s="926"/>
      <c r="AH207" s="926"/>
      <c r="AI207" s="926"/>
      <c r="AJ207" s="926"/>
    </row>
    <row r="208" spans="1:36" ht="15" customHeight="1" thickBot="1" x14ac:dyDescent="0.35">
      <c r="A208" s="926"/>
      <c r="B208" s="926"/>
      <c r="C208" s="923"/>
      <c r="D208" s="923"/>
      <c r="E208" s="923"/>
      <c r="F208" s="2345" t="s">
        <v>0</v>
      </c>
      <c r="G208" s="2346"/>
      <c r="H208" s="2345" t="s">
        <v>1</v>
      </c>
      <c r="I208" s="2346"/>
      <c r="J208" s="2362" t="s">
        <v>2</v>
      </c>
      <c r="K208" s="2363"/>
      <c r="L208" s="2345" t="s">
        <v>3</v>
      </c>
      <c r="M208" s="2346"/>
      <c r="N208" s="2345" t="s">
        <v>4</v>
      </c>
      <c r="O208" s="2346"/>
      <c r="P208" s="2345" t="s">
        <v>5</v>
      </c>
      <c r="Q208" s="2346"/>
      <c r="R208" s="1739"/>
      <c r="S208" s="926"/>
      <c r="T208" s="926"/>
      <c r="U208" s="926"/>
      <c r="V208" s="926"/>
      <c r="W208" s="926"/>
      <c r="X208" s="926"/>
      <c r="Y208" s="926"/>
      <c r="Z208" s="926"/>
      <c r="AA208" s="926"/>
      <c r="AB208" s="926"/>
      <c r="AC208" s="926"/>
      <c r="AD208" s="926"/>
      <c r="AE208" s="926"/>
      <c r="AF208" s="926"/>
      <c r="AG208" s="926"/>
      <c r="AH208" s="926"/>
      <c r="AI208" s="926"/>
      <c r="AJ208" s="926"/>
    </row>
    <row r="209" spans="1:36" ht="15" customHeight="1" thickTop="1" thickBot="1" x14ac:dyDescent="0.35">
      <c r="A209" s="926"/>
      <c r="B209" s="926"/>
      <c r="C209" s="923"/>
      <c r="D209" s="923"/>
      <c r="E209" s="923"/>
      <c r="F209" s="2347"/>
      <c r="G209" s="2348"/>
      <c r="H209" s="2347"/>
      <c r="I209" s="2348"/>
      <c r="J209" s="2364"/>
      <c r="K209" s="2365"/>
      <c r="L209" s="2347"/>
      <c r="M209" s="2348"/>
      <c r="N209" s="2347"/>
      <c r="O209" s="2348"/>
      <c r="P209" s="2347"/>
      <c r="Q209" s="2348"/>
      <c r="R209" s="1739"/>
      <c r="S209" s="926"/>
      <c r="T209" s="926"/>
      <c r="U209" s="926"/>
      <c r="V209" s="926"/>
      <c r="W209" s="926"/>
      <c r="X209" s="926"/>
      <c r="Y209" s="926"/>
      <c r="Z209" s="926"/>
      <c r="AA209" s="926"/>
      <c r="AB209" s="926"/>
      <c r="AC209" s="926"/>
      <c r="AD209" s="926"/>
      <c r="AE209" s="926"/>
      <c r="AF209" s="926"/>
      <c r="AG209" s="926"/>
      <c r="AH209" s="926"/>
      <c r="AI209" s="926"/>
      <c r="AJ209" s="926"/>
    </row>
    <row r="210" spans="1:36" ht="15" customHeight="1" thickTop="1" thickBot="1" x14ac:dyDescent="0.35">
      <c r="A210" s="926"/>
      <c r="B210" s="926"/>
      <c r="C210" s="2345" t="s">
        <v>6</v>
      </c>
      <c r="D210" s="2351"/>
      <c r="E210" s="923"/>
      <c r="F210" s="2349"/>
      <c r="G210" s="2350"/>
      <c r="H210" s="2349"/>
      <c r="I210" s="2350"/>
      <c r="J210" s="2366"/>
      <c r="K210" s="2367"/>
      <c r="L210" s="2349"/>
      <c r="M210" s="2350"/>
      <c r="N210" s="2349"/>
      <c r="O210" s="2350"/>
      <c r="P210" s="2349"/>
      <c r="Q210" s="2350"/>
      <c r="R210" s="926"/>
      <c r="S210" s="2356" t="s">
        <v>7</v>
      </c>
      <c r="T210" s="2479"/>
      <c r="U210" s="926"/>
      <c r="V210" s="926"/>
      <c r="W210" s="926"/>
      <c r="X210" s="926"/>
      <c r="Y210" s="926"/>
      <c r="Z210" s="926"/>
      <c r="AA210" s="926"/>
      <c r="AB210" s="926"/>
      <c r="AC210" s="926"/>
      <c r="AD210" s="926"/>
      <c r="AE210" s="926"/>
      <c r="AF210" s="926"/>
      <c r="AG210" s="926"/>
      <c r="AH210" s="926"/>
      <c r="AI210" s="926"/>
      <c r="AJ210" s="926"/>
    </row>
    <row r="211" spans="1:36" ht="15" customHeight="1" thickTop="1" thickBot="1" x14ac:dyDescent="0.35">
      <c r="A211" s="926"/>
      <c r="B211" s="926"/>
      <c r="C211" s="2352"/>
      <c r="D211" s="2353"/>
      <c r="E211" s="923"/>
      <c r="F211" s="926"/>
      <c r="G211" s="2345" t="s">
        <v>8</v>
      </c>
      <c r="H211" s="2346"/>
      <c r="I211" s="2345" t="s">
        <v>9</v>
      </c>
      <c r="J211" s="2346"/>
      <c r="K211" s="2345" t="s">
        <v>10</v>
      </c>
      <c r="L211" s="2346"/>
      <c r="M211" s="2345" t="s">
        <v>11</v>
      </c>
      <c r="N211" s="2346"/>
      <c r="O211" s="2345" t="s">
        <v>12</v>
      </c>
      <c r="P211" s="2346"/>
      <c r="Q211" s="926"/>
      <c r="R211" s="926"/>
      <c r="S211" s="2358"/>
      <c r="T211" s="2480"/>
      <c r="U211" s="926"/>
      <c r="V211" s="926"/>
      <c r="W211" s="926"/>
      <c r="X211" s="926"/>
      <c r="Y211" s="926"/>
      <c r="Z211" s="926"/>
      <c r="AA211" s="926"/>
      <c r="AB211" s="926"/>
      <c r="AC211" s="926"/>
      <c r="AD211" s="926"/>
      <c r="AE211" s="926"/>
      <c r="AF211" s="926"/>
      <c r="AG211" s="926"/>
      <c r="AH211" s="926"/>
      <c r="AI211" s="926"/>
      <c r="AJ211" s="926"/>
    </row>
    <row r="212" spans="1:36" ht="15" customHeight="1" thickTop="1" thickBot="1" x14ac:dyDescent="0.35">
      <c r="A212" s="926"/>
      <c r="B212" s="926"/>
      <c r="C212" s="2354"/>
      <c r="D212" s="2355"/>
      <c r="E212" s="923"/>
      <c r="F212" s="926"/>
      <c r="G212" s="2347"/>
      <c r="H212" s="2348"/>
      <c r="I212" s="2347"/>
      <c r="J212" s="2348"/>
      <c r="K212" s="2347"/>
      <c r="L212" s="2348"/>
      <c r="M212" s="2347"/>
      <c r="N212" s="2348"/>
      <c r="O212" s="2347"/>
      <c r="P212" s="2348"/>
      <c r="Q212" s="926"/>
      <c r="R212" s="926"/>
      <c r="S212" s="2360"/>
      <c r="T212" s="2481"/>
      <c r="U212" s="926"/>
      <c r="V212" s="926"/>
      <c r="W212" s="926"/>
      <c r="X212" s="926"/>
      <c r="Y212" s="926"/>
      <c r="Z212" s="926"/>
      <c r="AA212" s="926"/>
      <c r="AB212" s="926"/>
      <c r="AC212" s="926"/>
      <c r="AD212" s="926"/>
      <c r="AE212" s="926"/>
      <c r="AF212" s="926"/>
      <c r="AG212" s="926"/>
      <c r="AH212" s="926"/>
      <c r="AI212" s="926"/>
      <c r="AJ212" s="926"/>
    </row>
    <row r="213" spans="1:36" ht="15" customHeight="1" thickTop="1" thickBot="1" x14ac:dyDescent="0.35">
      <c r="A213" s="926"/>
      <c r="B213" s="926"/>
      <c r="C213" s="923"/>
      <c r="D213" s="923"/>
      <c r="E213" s="923"/>
      <c r="F213" s="926"/>
      <c r="G213" s="2349"/>
      <c r="H213" s="2350"/>
      <c r="I213" s="2349"/>
      <c r="J213" s="2350"/>
      <c r="K213" s="2349"/>
      <c r="L213" s="2350"/>
      <c r="M213" s="2349"/>
      <c r="N213" s="2350"/>
      <c r="O213" s="2349"/>
      <c r="P213" s="2350"/>
      <c r="Q213" s="923"/>
      <c r="R213" s="923"/>
      <c r="S213" s="926"/>
      <c r="T213" s="926"/>
      <c r="U213" s="926"/>
      <c r="V213" s="926"/>
      <c r="W213" s="926"/>
      <c r="X213" s="926"/>
      <c r="Y213" s="926"/>
      <c r="Z213" s="926"/>
      <c r="AA213" s="926"/>
      <c r="AB213" s="926"/>
      <c r="AC213" s="926"/>
      <c r="AD213" s="926"/>
      <c r="AE213" s="926"/>
      <c r="AF213" s="926"/>
      <c r="AG213" s="926"/>
      <c r="AH213" s="926"/>
      <c r="AI213" s="926"/>
      <c r="AJ213" s="926"/>
    </row>
    <row r="214" spans="1:36" x14ac:dyDescent="0.3">
      <c r="A214" s="926"/>
      <c r="B214" s="926"/>
      <c r="C214" s="926"/>
      <c r="D214" s="926"/>
      <c r="E214" s="926"/>
      <c r="F214" s="926"/>
      <c r="G214" s="926"/>
      <c r="H214" s="926"/>
      <c r="I214" s="926"/>
      <c r="J214" s="926"/>
      <c r="K214" s="926"/>
      <c r="L214" s="926"/>
      <c r="M214" s="926"/>
      <c r="N214" s="926"/>
      <c r="O214" s="926"/>
      <c r="P214" s="926"/>
      <c r="Q214" s="926"/>
      <c r="R214" s="926"/>
      <c r="S214" s="926"/>
      <c r="T214" s="926"/>
      <c r="U214" s="926"/>
      <c r="V214" s="926"/>
      <c r="W214" s="926"/>
      <c r="X214" s="926"/>
      <c r="Y214" s="926"/>
      <c r="Z214" s="926"/>
      <c r="AA214" s="926"/>
      <c r="AB214" s="926"/>
      <c r="AC214" s="926"/>
      <c r="AD214" s="926"/>
      <c r="AE214" s="926"/>
      <c r="AF214" s="926"/>
      <c r="AG214" s="926"/>
      <c r="AH214" s="926"/>
      <c r="AI214" s="926"/>
      <c r="AJ214" s="926"/>
    </row>
    <row r="215" spans="1:36" x14ac:dyDescent="0.3">
      <c r="A215" s="926"/>
      <c r="B215" s="926"/>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row>
    <row r="216" spans="1:36" x14ac:dyDescent="0.3">
      <c r="A216" s="926"/>
      <c r="B216" s="926"/>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row>
    <row r="217" spans="1:36" x14ac:dyDescent="0.3">
      <c r="A217" s="926"/>
      <c r="B217" s="926"/>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row>
    <row r="218" spans="1:36" x14ac:dyDescent="0.3">
      <c r="A218" s="926"/>
      <c r="B218" s="926"/>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926"/>
      <c r="AD218" s="926"/>
      <c r="AE218" s="926"/>
      <c r="AF218" s="926"/>
      <c r="AG218" s="926"/>
      <c r="AH218" s="926"/>
      <c r="AI218" s="926"/>
      <c r="AJ218" s="926"/>
    </row>
    <row r="219" spans="1:36" x14ac:dyDescent="0.3">
      <c r="A219" s="926"/>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926"/>
      <c r="AD219" s="926"/>
      <c r="AE219" s="926"/>
      <c r="AF219" s="926"/>
      <c r="AG219" s="926"/>
      <c r="AH219" s="926"/>
      <c r="AI219" s="926"/>
      <c r="AJ219" s="926"/>
    </row>
    <row r="220" spans="1:36" x14ac:dyDescent="0.3">
      <c r="A220" s="926"/>
      <c r="B220" s="926"/>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926"/>
      <c r="AD220" s="926"/>
      <c r="AE220" s="926"/>
      <c r="AF220" s="926"/>
      <c r="AG220" s="926"/>
      <c r="AH220" s="926"/>
      <c r="AI220" s="926"/>
      <c r="AJ220" s="926"/>
    </row>
    <row r="221" spans="1:36" x14ac:dyDescent="0.3">
      <c r="A221" s="926"/>
      <c r="B221" s="926"/>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26"/>
    </row>
    <row r="222" spans="1:36" x14ac:dyDescent="0.3">
      <c r="A222" s="926"/>
      <c r="B222" s="926"/>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926"/>
      <c r="AD222" s="926"/>
      <c r="AE222" s="926"/>
      <c r="AF222" s="926"/>
      <c r="AG222" s="926"/>
      <c r="AH222" s="926"/>
      <c r="AI222" s="926"/>
      <c r="AJ222" s="926"/>
    </row>
    <row r="223" spans="1:36" x14ac:dyDescent="0.3">
      <c r="A223" s="926"/>
      <c r="B223" s="926"/>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926"/>
      <c r="AD223" s="926"/>
      <c r="AE223" s="926"/>
      <c r="AF223" s="926"/>
      <c r="AG223" s="926"/>
      <c r="AH223" s="926"/>
      <c r="AI223" s="926"/>
      <c r="AJ223" s="926"/>
    </row>
    <row r="224" spans="1:36" x14ac:dyDescent="0.3">
      <c r="A224" s="926"/>
      <c r="B224" s="926"/>
      <c r="C224" s="926"/>
      <c r="D224" s="926"/>
      <c r="E224" s="926"/>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926"/>
      <c r="AD224" s="926"/>
      <c r="AE224" s="926"/>
      <c r="AF224" s="926"/>
      <c r="AG224" s="926"/>
      <c r="AH224" s="926"/>
      <c r="AI224" s="926"/>
      <c r="AJ224" s="926"/>
    </row>
    <row r="225" spans="1:36" x14ac:dyDescent="0.3">
      <c r="A225" s="926"/>
      <c r="B225" s="926"/>
      <c r="C225" s="926"/>
      <c r="D225" s="926"/>
      <c r="E225" s="926"/>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926"/>
      <c r="AD225" s="926"/>
      <c r="AE225" s="926"/>
      <c r="AF225" s="926"/>
      <c r="AG225" s="926"/>
      <c r="AH225" s="926"/>
      <c r="AI225" s="926"/>
      <c r="AJ225" s="926"/>
    </row>
    <row r="226" spans="1:36" x14ac:dyDescent="0.3">
      <c r="A226" s="926"/>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926"/>
      <c r="AD226" s="926"/>
      <c r="AE226" s="926"/>
      <c r="AF226" s="926"/>
      <c r="AG226" s="926"/>
      <c r="AH226" s="926"/>
      <c r="AI226" s="926"/>
      <c r="AJ226" s="926"/>
    </row>
    <row r="227" spans="1:36" x14ac:dyDescent="0.3">
      <c r="A227" s="926"/>
      <c r="B227" s="926"/>
      <c r="C227" s="926"/>
      <c r="D227" s="926"/>
      <c r="E227" s="926"/>
      <c r="F227" s="926"/>
      <c r="G227" s="926"/>
      <c r="H227" s="926"/>
      <c r="I227" s="926"/>
      <c r="J227" s="926"/>
      <c r="K227" s="926"/>
      <c r="L227" s="926"/>
      <c r="M227" s="926"/>
      <c r="N227" s="926"/>
      <c r="O227" s="926"/>
      <c r="P227" s="926"/>
      <c r="Q227" s="926"/>
      <c r="R227" s="926"/>
      <c r="S227" s="926"/>
      <c r="T227" s="926"/>
      <c r="U227" s="926"/>
      <c r="V227" s="926"/>
      <c r="W227" s="926"/>
      <c r="X227" s="926"/>
      <c r="Y227" s="926"/>
      <c r="Z227" s="926"/>
      <c r="AA227" s="926"/>
      <c r="AB227" s="926"/>
      <c r="AC227" s="926"/>
      <c r="AD227" s="926"/>
      <c r="AE227" s="926"/>
      <c r="AF227" s="926"/>
      <c r="AG227" s="926"/>
      <c r="AH227" s="926"/>
      <c r="AI227" s="926"/>
      <c r="AJ227" s="926"/>
    </row>
    <row r="228" spans="1:36" x14ac:dyDescent="0.3">
      <c r="A228" s="926"/>
      <c r="B228" s="926"/>
      <c r="C228" s="926"/>
      <c r="D228" s="926"/>
      <c r="E228" s="926"/>
      <c r="F228" s="926"/>
      <c r="G228" s="926"/>
      <c r="H228" s="926"/>
      <c r="I228" s="926"/>
      <c r="J228" s="926"/>
      <c r="K228" s="926"/>
      <c r="L228" s="926"/>
      <c r="M228" s="926"/>
      <c r="N228" s="926"/>
      <c r="O228" s="926"/>
      <c r="P228" s="926"/>
      <c r="Q228" s="926"/>
      <c r="R228" s="926"/>
      <c r="S228" s="926"/>
      <c r="T228" s="926"/>
      <c r="U228" s="926"/>
      <c r="V228" s="926"/>
      <c r="W228" s="926"/>
      <c r="X228" s="926"/>
      <c r="Y228" s="926"/>
      <c r="Z228" s="926"/>
      <c r="AA228" s="926"/>
      <c r="AB228" s="926"/>
      <c r="AC228" s="926"/>
      <c r="AD228" s="926"/>
      <c r="AE228" s="926"/>
      <c r="AF228" s="926"/>
      <c r="AG228" s="926"/>
      <c r="AH228" s="926"/>
      <c r="AI228" s="926"/>
      <c r="AJ228" s="926"/>
    </row>
    <row r="229" spans="1:36" x14ac:dyDescent="0.3">
      <c r="A229" s="926"/>
      <c r="B229" s="926"/>
      <c r="C229" s="926"/>
      <c r="D229" s="926"/>
      <c r="E229" s="926"/>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926"/>
      <c r="AD229" s="926"/>
      <c r="AE229" s="926"/>
      <c r="AF229" s="926"/>
      <c r="AG229" s="926"/>
      <c r="AH229" s="926"/>
      <c r="AI229" s="926"/>
      <c r="AJ229" s="926"/>
    </row>
    <row r="230" spans="1:36" x14ac:dyDescent="0.3">
      <c r="A230" s="926"/>
      <c r="B230" s="926"/>
      <c r="C230" s="926"/>
      <c r="D230" s="926"/>
      <c r="E230" s="926"/>
      <c r="F230" s="926"/>
      <c r="G230" s="926"/>
      <c r="H230" s="926"/>
      <c r="I230" s="926"/>
      <c r="J230" s="926"/>
      <c r="K230" s="926"/>
      <c r="L230" s="926"/>
      <c r="M230" s="926"/>
      <c r="N230" s="926"/>
      <c r="O230" s="926"/>
      <c r="P230" s="926"/>
      <c r="Q230" s="926"/>
      <c r="R230" s="926"/>
      <c r="S230" s="926"/>
      <c r="T230" s="926"/>
      <c r="U230" s="926"/>
      <c r="V230" s="926"/>
      <c r="W230" s="926"/>
      <c r="X230" s="926"/>
      <c r="Y230" s="926"/>
      <c r="Z230" s="926"/>
      <c r="AA230" s="926"/>
      <c r="AB230" s="926"/>
      <c r="AC230" s="926"/>
      <c r="AD230" s="926"/>
      <c r="AE230" s="926"/>
      <c r="AF230" s="926"/>
      <c r="AG230" s="926"/>
      <c r="AH230" s="926"/>
      <c r="AI230" s="926"/>
      <c r="AJ230" s="926"/>
    </row>
    <row r="231" spans="1:36" x14ac:dyDescent="0.3">
      <c r="A231" s="926"/>
      <c r="B231" s="926"/>
      <c r="C231" s="926"/>
      <c r="D231" s="926"/>
      <c r="E231" s="926"/>
      <c r="F231" s="926"/>
      <c r="G231" s="926"/>
      <c r="H231" s="926"/>
      <c r="I231" s="926"/>
      <c r="J231" s="926"/>
      <c r="K231" s="926"/>
      <c r="L231" s="926"/>
      <c r="M231" s="926"/>
      <c r="N231" s="926"/>
      <c r="O231" s="926"/>
      <c r="P231" s="926"/>
      <c r="Q231" s="926"/>
      <c r="R231" s="926"/>
      <c r="S231" s="926"/>
      <c r="T231" s="926"/>
      <c r="U231" s="926"/>
      <c r="V231" s="926"/>
      <c r="W231" s="926"/>
      <c r="X231" s="926"/>
      <c r="Y231" s="926"/>
      <c r="Z231" s="926"/>
      <c r="AA231" s="926"/>
      <c r="AB231" s="926"/>
      <c r="AC231" s="926"/>
      <c r="AD231" s="926"/>
      <c r="AE231" s="926"/>
      <c r="AF231" s="926"/>
      <c r="AG231" s="926"/>
      <c r="AH231" s="926"/>
      <c r="AI231" s="926"/>
      <c r="AJ231" s="926"/>
    </row>
    <row r="232" spans="1:36" x14ac:dyDescent="0.3">
      <c r="A232" s="926"/>
      <c r="B232" s="926"/>
      <c r="C232" s="926"/>
      <c r="D232" s="926"/>
      <c r="E232" s="926"/>
      <c r="F232" s="926"/>
      <c r="G232" s="926"/>
      <c r="H232" s="926"/>
      <c r="I232" s="926"/>
      <c r="J232" s="926"/>
      <c r="K232" s="926"/>
      <c r="L232" s="926"/>
      <c r="M232" s="926"/>
      <c r="N232" s="926"/>
      <c r="O232" s="926"/>
      <c r="P232" s="926"/>
      <c r="Q232" s="926"/>
      <c r="R232" s="926"/>
      <c r="S232" s="926"/>
      <c r="T232" s="926"/>
      <c r="U232" s="926"/>
      <c r="V232" s="926"/>
      <c r="W232" s="926"/>
      <c r="X232" s="926"/>
      <c r="Y232" s="926"/>
      <c r="Z232" s="926"/>
      <c r="AA232" s="926"/>
      <c r="AB232" s="926"/>
      <c r="AC232" s="926"/>
      <c r="AD232" s="926"/>
      <c r="AE232" s="926"/>
      <c r="AF232" s="926"/>
      <c r="AG232" s="926"/>
      <c r="AH232" s="926"/>
      <c r="AI232" s="926"/>
      <c r="AJ232" s="926"/>
    </row>
    <row r="233" spans="1:36" x14ac:dyDescent="0.3">
      <c r="A233" s="926"/>
      <c r="B233" s="926"/>
      <c r="C233" s="926"/>
      <c r="D233" s="926"/>
      <c r="E233" s="926"/>
      <c r="F233" s="926"/>
      <c r="G233" s="926"/>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926"/>
      <c r="AD233" s="926"/>
      <c r="AE233" s="926"/>
      <c r="AF233" s="926"/>
      <c r="AG233" s="926"/>
      <c r="AH233" s="926"/>
      <c r="AI233" s="926"/>
      <c r="AJ233" s="926"/>
    </row>
    <row r="234" spans="1:36" x14ac:dyDescent="0.3">
      <c r="A234" s="926"/>
      <c r="B234" s="926"/>
      <c r="C234" s="926"/>
      <c r="D234" s="926"/>
      <c r="E234" s="926"/>
      <c r="F234" s="926"/>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926"/>
      <c r="AD234" s="926"/>
      <c r="AE234" s="926"/>
      <c r="AF234" s="926"/>
      <c r="AG234" s="926"/>
      <c r="AH234" s="926"/>
      <c r="AI234" s="926"/>
      <c r="AJ234" s="926"/>
    </row>
    <row r="253" spans="54:54" x14ac:dyDescent="0.3">
      <c r="BB253" s="608" t="s">
        <v>98</v>
      </c>
    </row>
    <row r="257" spans="54:66" x14ac:dyDescent="0.3">
      <c r="BB257" s="1048" t="s">
        <v>99</v>
      </c>
      <c r="BC257" s="1048" t="s">
        <v>100</v>
      </c>
      <c r="BD257" s="1048" t="s">
        <v>101</v>
      </c>
      <c r="BE257" s="1048" t="s">
        <v>102</v>
      </c>
      <c r="BF257" s="1048" t="s">
        <v>103</v>
      </c>
      <c r="BG257" s="1048" t="s">
        <v>104</v>
      </c>
      <c r="BH257" s="1048" t="s">
        <v>154</v>
      </c>
      <c r="BI257" s="1048" t="s">
        <v>106</v>
      </c>
      <c r="BJ257" s="1048" t="s">
        <v>107</v>
      </c>
      <c r="BK257" s="1049" t="s">
        <v>108</v>
      </c>
      <c r="BL257" s="996" t="s">
        <v>109</v>
      </c>
      <c r="BM257" s="668" t="s">
        <v>110</v>
      </c>
      <c r="BN257" s="668" t="s">
        <v>111</v>
      </c>
    </row>
    <row r="258" spans="54:66" x14ac:dyDescent="0.3">
      <c r="BB258" s="995" t="s">
        <v>155</v>
      </c>
      <c r="BC258" s="995" t="str">
        <f>IF(BK258=1,BD258,BE258)</f>
        <v>No</v>
      </c>
      <c r="BD258" s="995" t="str">
        <f>IF(BF258,"",K34)</f>
        <v>No</v>
      </c>
      <c r="BE258" s="995" t="str">
        <f>INDEX(UDD,MATCH($BB258,UDN,0))</f>
        <v>Yes</v>
      </c>
      <c r="BF258" s="995" t="b">
        <f>ISBLANK(K34)</f>
        <v>0</v>
      </c>
      <c r="BG258" s="995" t="str">
        <f>INDEX(UDUnit,MATCH($BB258,UDN,0))</f>
        <v>Yes or No</v>
      </c>
      <c r="BH258" s="995" t="str">
        <f>INDEX(UDF_Unit,MATCH($BB258,UDN,0))</f>
        <v>1 or 0</v>
      </c>
      <c r="BI258" s="995">
        <f>INDEX(UDMin,MATCH($BB258,UDN,0))</f>
        <v>0</v>
      </c>
      <c r="BJ258" s="995">
        <f>INDEX(UDMax,MATCH($BB258,UDN,0))</f>
        <v>0</v>
      </c>
      <c r="BK258" s="995">
        <f>IF(COUNTIF(DROPS.YES_NO,BD258)&gt;0,1,0)</f>
        <v>1</v>
      </c>
      <c r="BL258" s="49" t="str">
        <f>INDEX(UD_Desc,MATCH($BB258,UDN,0))</f>
        <v>Is manure from nursery swine treated?</v>
      </c>
      <c r="BM258" s="49" t="str">
        <f>IF(BK258=1,"No", "Yes")</f>
        <v>No</v>
      </c>
      <c r="BN258" t="str">
        <f>IF(BF258,"Using default", IF(BK258=1,"Input accepted", "Input invalid, using default"))</f>
        <v>Input accepted</v>
      </c>
    </row>
    <row r="259" spans="54:66" x14ac:dyDescent="0.3">
      <c r="BB259" s="995" t="s">
        <v>156</v>
      </c>
      <c r="BC259" s="995">
        <f t="shared" ref="BC259:BC272" si="0">IF(BK259=1,BD259,BE259)</f>
        <v>0</v>
      </c>
      <c r="BD259" s="995" t="str">
        <f>IF(BF259,"",K51)</f>
        <v/>
      </c>
      <c r="BE259" s="995">
        <f t="shared" ref="BE259:BE272" si="1">INDEX(UDD,MATCH($BB259,UDN,0))</f>
        <v>0</v>
      </c>
      <c r="BF259" s="995" t="b">
        <f>ISBLANK(K51)</f>
        <v>1</v>
      </c>
      <c r="BG259" s="995" t="str">
        <f t="shared" ref="BG259:BG272" si="2">INDEX(UDUnit,MATCH($BB259,UDN,0))</f>
        <v>head</v>
      </c>
      <c r="BH259" s="995" t="str">
        <f t="shared" ref="BH259:BH272" si="3">INDEX(UDF_Unit,MATCH($BB259,UDN,0))</f>
        <v>head</v>
      </c>
      <c r="BI259" s="995">
        <f t="shared" ref="BI259:BI272" si="4">INDEX(UDMin,MATCH($BB259,UDN,0))</f>
        <v>0</v>
      </c>
      <c r="BJ259" s="995">
        <f t="shared" ref="BJ259:BJ272" si="5">INDEX(UDMax,MATCH($BB259,UDN,0))</f>
        <v>20000</v>
      </c>
      <c r="BK259" s="995">
        <f t="shared" ref="BK259:BK272" si="6">IF(OR(BD259&lt;BI259,BD259&gt;BJ259,BD259=""),0,1)</f>
        <v>0</v>
      </c>
      <c r="BL259" s="49" t="str">
        <f t="shared" ref="BL259:BL272" si="7">INDEX(UD_Desc,MATCH($BB259,UDN,0))</f>
        <v>Number of nursery swine</v>
      </c>
      <c r="BM259" s="49" t="str">
        <f>IF(BK259=1,"No", "Yes")</f>
        <v>Yes</v>
      </c>
      <c r="BN259" t="str">
        <f t="shared" ref="BN259:BN272" si="8">IF(BF259,"Using default", IF(BK259=1,"Input accepted", "Input invalid, using default"))</f>
        <v>Using default</v>
      </c>
    </row>
    <row r="260" spans="54:66" x14ac:dyDescent="0.3">
      <c r="BB260" s="995" t="s">
        <v>157</v>
      </c>
      <c r="BC260" s="995">
        <f t="shared" si="0"/>
        <v>40</v>
      </c>
      <c r="BD260" s="995" t="str">
        <f>IF(BF260,"",K54)</f>
        <v/>
      </c>
      <c r="BE260" s="995">
        <f t="shared" si="1"/>
        <v>40</v>
      </c>
      <c r="BF260" s="995" t="b">
        <f>ISBLANK(K54)</f>
        <v>1</v>
      </c>
      <c r="BG260" s="995" t="str">
        <f t="shared" si="2"/>
        <v>lb/head</v>
      </c>
      <c r="BH260" s="995" t="str">
        <f t="shared" si="3"/>
        <v>lb/head</v>
      </c>
      <c r="BI260" s="995">
        <f t="shared" si="4"/>
        <v>25</v>
      </c>
      <c r="BJ260" s="995">
        <f t="shared" si="5"/>
        <v>40</v>
      </c>
      <c r="BK260" s="995">
        <f t="shared" si="6"/>
        <v>0</v>
      </c>
      <c r="BL260" s="49" t="str">
        <f t="shared" si="7"/>
        <v>Average weight of nursery swine</v>
      </c>
      <c r="BM260" s="49" t="str">
        <f t="shared" ref="BM260:BM272" si="9">IF(BK260=1,"No", "Yes")</f>
        <v>Yes</v>
      </c>
      <c r="BN260" t="str">
        <f t="shared" si="8"/>
        <v>Using default</v>
      </c>
    </row>
    <row r="261" spans="54:66" x14ac:dyDescent="0.3">
      <c r="BB261" s="995" t="s">
        <v>158</v>
      </c>
      <c r="BC261" s="995" t="str">
        <f>IF(BK261=1,BD261,BE261)</f>
        <v>Yes</v>
      </c>
      <c r="BD261" s="995" t="str">
        <f>IF(BF261,"",K69)</f>
        <v>Yes</v>
      </c>
      <c r="BE261" s="995" t="str">
        <f>INDEX(UDD,MATCH($BB261,UDN,0))</f>
        <v>Yes</v>
      </c>
      <c r="BF261" s="995" t="b">
        <f>ISBLANK(K69)</f>
        <v>0</v>
      </c>
      <c r="BG261" s="995" t="str">
        <f>INDEX(UDUnit,MATCH($BB261,UDN,0))</f>
        <v>Yes or No</v>
      </c>
      <c r="BH261" s="995" t="str">
        <f>INDEX(UDF_Unit,MATCH($BB261,UDN,0))</f>
        <v>1 or 0</v>
      </c>
      <c r="BI261" s="995">
        <f>INDEX(UDMin,MATCH($BB261,UDN,0))</f>
        <v>0</v>
      </c>
      <c r="BJ261" s="995">
        <f>INDEX(UDMax,MATCH($BB261,UDN,0))</f>
        <v>0</v>
      </c>
      <c r="BK261" s="995">
        <f>IF(COUNTIF(DROPS.YES_NO,BD261)&gt;0,1,0)</f>
        <v>1</v>
      </c>
      <c r="BL261" s="49" t="str">
        <f>INDEX(UD_Desc,MATCH($BB261,UDN,0))</f>
        <v>Is manure from wean to finish swine treated?</v>
      </c>
      <c r="BM261" s="49" t="str">
        <f>IF(BK261=1,"No", "Yes")</f>
        <v>No</v>
      </c>
      <c r="BN261" t="str">
        <f t="shared" si="8"/>
        <v>Input accepted</v>
      </c>
    </row>
    <row r="262" spans="54:66" x14ac:dyDescent="0.3">
      <c r="BB262" s="995" t="s">
        <v>159</v>
      </c>
      <c r="BC262" s="995">
        <f>IF(BK262=1,BD262,BE262)</f>
        <v>500</v>
      </c>
      <c r="BD262" s="995" t="str">
        <f>IF(BF262,"",K86)</f>
        <v/>
      </c>
      <c r="BE262" s="995">
        <f>INDEX(UDD,MATCH($BB262,UDN,0))</f>
        <v>500</v>
      </c>
      <c r="BF262" s="995" t="b">
        <f>ISBLANK(K86)</f>
        <v>1</v>
      </c>
      <c r="BG262" s="995" t="str">
        <f>INDEX(UDUnit,MATCH($BB262,UDN,0))</f>
        <v>head</v>
      </c>
      <c r="BH262" s="995" t="str">
        <f>INDEX(UDF_Unit,MATCH($BB262,UDN,0))</f>
        <v>head</v>
      </c>
      <c r="BI262" s="995">
        <f>INDEX(UDMin,MATCH($BB262,UDN,0))</f>
        <v>0</v>
      </c>
      <c r="BJ262" s="995">
        <f>INDEX(UDMax,MATCH($BB262,UDN,0))</f>
        <v>20000</v>
      </c>
      <c r="BK262" s="995">
        <f>IF(OR(BD262&lt;BI262,BD262&gt;BJ262,BD262=""),0,1)</f>
        <v>0</v>
      </c>
      <c r="BL262" s="49" t="str">
        <f>INDEX(UD_Desc,MATCH($BB262,UDN,0))</f>
        <v>Number of wean to finish swine</v>
      </c>
      <c r="BM262" s="49" t="str">
        <f>IF(BK262=1,"No", "Yes")</f>
        <v>Yes</v>
      </c>
      <c r="BN262" t="str">
        <f t="shared" si="8"/>
        <v>Using default</v>
      </c>
    </row>
    <row r="263" spans="54:66" x14ac:dyDescent="0.3">
      <c r="BB263" s="995" t="s">
        <v>160</v>
      </c>
      <c r="BC263" s="995">
        <f>IF(BK263=1,BD263,BE263)</f>
        <v>260</v>
      </c>
      <c r="BD263" s="995" t="str">
        <f>IF(BF263,"",K89)</f>
        <v/>
      </c>
      <c r="BE263" s="995">
        <f>INDEX(UDD,MATCH($BB263,UDN,0))</f>
        <v>260</v>
      </c>
      <c r="BF263" s="995" t="b">
        <f>ISBLANK(K89)</f>
        <v>1</v>
      </c>
      <c r="BG263" s="995" t="str">
        <f>INDEX(UDUnit,MATCH($BB263,UDN,0))</f>
        <v>lb/head</v>
      </c>
      <c r="BH263" s="995" t="str">
        <f>INDEX(UDF_Unit,MATCH($BB263,UDN,0))</f>
        <v>lb/head</v>
      </c>
      <c r="BI263" s="995">
        <f>INDEX(UDMin,MATCH($BB263,UDN,0))</f>
        <v>127</v>
      </c>
      <c r="BJ263" s="995">
        <f>INDEX(UDMax,MATCH($BB263,UDN,0))</f>
        <v>300</v>
      </c>
      <c r="BK263" s="995">
        <f>IF(OR(BD263&lt;BI263,BD263&gt;BJ263,BD263=""),0,1)</f>
        <v>0</v>
      </c>
      <c r="BL263" s="49" t="str">
        <f>INDEX(UD_Desc,MATCH($BB263,UDN,0))</f>
        <v>Average weight of wean to finish swine</v>
      </c>
      <c r="BM263" s="49" t="str">
        <f>IF(BK263=1,"No", "Yes")</f>
        <v>Yes</v>
      </c>
      <c r="BN263" t="str">
        <f t="shared" si="8"/>
        <v>Using default</v>
      </c>
    </row>
    <row r="264" spans="54:66" x14ac:dyDescent="0.3">
      <c r="BB264" s="995" t="s">
        <v>161</v>
      </c>
      <c r="BC264" s="995" t="str">
        <f>IF(BK264=1,BD264,BE264)</f>
        <v>No</v>
      </c>
      <c r="BD264" s="995" t="str">
        <f>IF(BF264,"",K104)</f>
        <v>No</v>
      </c>
      <c r="BE264" s="995" t="str">
        <f>INDEX(UDD,MATCH($BB264,UDN,0))</f>
        <v>Yes</v>
      </c>
      <c r="BF264" s="995" t="b">
        <f>ISBLANK(K104)</f>
        <v>0</v>
      </c>
      <c r="BG264" s="995" t="str">
        <f>INDEX(UDUnit,MATCH($BB264,UDN,0))</f>
        <v>Yes or No</v>
      </c>
      <c r="BH264" s="995" t="str">
        <f>INDEX(UDF_Unit,MATCH($BB264,UDN,0))</f>
        <v>1 or 0</v>
      </c>
      <c r="BI264" s="995">
        <f>INDEX(UDMin,MATCH($BB264,UDN,0))</f>
        <v>0</v>
      </c>
      <c r="BJ264" s="995">
        <f>INDEX(UDMax,MATCH($BB264,UDN,0))</f>
        <v>0</v>
      </c>
      <c r="BK264" s="995">
        <f>IF(COUNTIF(DROPS.YES_NO,BD264)&gt;0,1,0)</f>
        <v>1</v>
      </c>
      <c r="BL264" s="49" t="str">
        <f>INDEX(UD_Desc,MATCH($BB264,UDN,0))</f>
        <v>Is manure from grow to finish swine treated?</v>
      </c>
      <c r="BM264" s="49" t="str">
        <f>IF(BK264=1,"No", "Yes")</f>
        <v>No</v>
      </c>
      <c r="BN264" t="str">
        <f t="shared" si="8"/>
        <v>Input accepted</v>
      </c>
    </row>
    <row r="265" spans="54:66" x14ac:dyDescent="0.3">
      <c r="BB265" s="995" t="s">
        <v>162</v>
      </c>
      <c r="BC265" s="995">
        <f>IF(BK265=1,BD265,BE265)</f>
        <v>0</v>
      </c>
      <c r="BD265" s="995" t="str">
        <f>IF(BF265,"",K121)</f>
        <v/>
      </c>
      <c r="BE265" s="995">
        <f t="shared" si="1"/>
        <v>0</v>
      </c>
      <c r="BF265" s="995" t="b">
        <f>ISBLANK(K121)</f>
        <v>1</v>
      </c>
      <c r="BG265" s="995" t="str">
        <f t="shared" si="2"/>
        <v>head</v>
      </c>
      <c r="BH265" s="995" t="str">
        <f t="shared" si="3"/>
        <v>head</v>
      </c>
      <c r="BI265" s="995">
        <f t="shared" si="4"/>
        <v>0</v>
      </c>
      <c r="BJ265" s="995">
        <f t="shared" si="5"/>
        <v>20000</v>
      </c>
      <c r="BK265" s="995">
        <f t="shared" si="6"/>
        <v>0</v>
      </c>
      <c r="BL265" s="49" t="str">
        <f t="shared" si="7"/>
        <v>Number of grow to finish swine</v>
      </c>
      <c r="BM265" s="49" t="str">
        <f t="shared" si="9"/>
        <v>Yes</v>
      </c>
      <c r="BN265" t="str">
        <f t="shared" si="8"/>
        <v>Using default</v>
      </c>
    </row>
    <row r="266" spans="54:66" x14ac:dyDescent="0.3">
      <c r="BB266" s="995" t="s">
        <v>163</v>
      </c>
      <c r="BC266" s="995">
        <f t="shared" si="0"/>
        <v>280</v>
      </c>
      <c r="BD266" s="995" t="str">
        <f>IF(BF266,"",K124)</f>
        <v/>
      </c>
      <c r="BE266" s="995">
        <f t="shared" si="1"/>
        <v>280</v>
      </c>
      <c r="BF266" s="995" t="b">
        <f>ISBLANK(K124)</f>
        <v>1</v>
      </c>
      <c r="BG266" s="995" t="str">
        <f t="shared" si="2"/>
        <v>lb/head</v>
      </c>
      <c r="BH266" s="995" t="str">
        <f t="shared" si="3"/>
        <v>lb/head</v>
      </c>
      <c r="BI266" s="995">
        <f t="shared" si="4"/>
        <v>150</v>
      </c>
      <c r="BJ266" s="995">
        <f t="shared" si="5"/>
        <v>300</v>
      </c>
      <c r="BK266" s="995">
        <f t="shared" si="6"/>
        <v>0</v>
      </c>
      <c r="BL266" s="49" t="str">
        <f t="shared" si="7"/>
        <v>Average weight of grow to finish swine</v>
      </c>
      <c r="BM266" s="49" t="str">
        <f t="shared" si="9"/>
        <v>Yes</v>
      </c>
      <c r="BN266" t="str">
        <f t="shared" si="8"/>
        <v>Using default</v>
      </c>
    </row>
    <row r="267" spans="54:66" x14ac:dyDescent="0.3">
      <c r="BB267" s="995" t="s">
        <v>164</v>
      </c>
      <c r="BC267" s="995" t="str">
        <f>IF(BK267=1,BD267,BE267)</f>
        <v>No</v>
      </c>
      <c r="BD267" s="995" t="str">
        <f>IF(BF267,"",K139)</f>
        <v>No</v>
      </c>
      <c r="BE267" s="995" t="str">
        <f>INDEX(UDD,MATCH($BB267,UDN,0))</f>
        <v>Yes</v>
      </c>
      <c r="BF267" s="995" t="b">
        <f>ISBLANK(K139)</f>
        <v>0</v>
      </c>
      <c r="BG267" s="995" t="str">
        <f>INDEX(UDUnit,MATCH($BB267,UDN,0))</f>
        <v>Yes or No</v>
      </c>
      <c r="BH267" s="995" t="str">
        <f>INDEX(UDF_Unit,MATCH($BB267,UDN,0))</f>
        <v>1 or 0</v>
      </c>
      <c r="BI267" s="995">
        <f>INDEX(UDMin,MATCH($BB267,UDN,0))</f>
        <v>0</v>
      </c>
      <c r="BJ267" s="995">
        <f>INDEX(UDMax,MATCH($BB267,UDN,0))</f>
        <v>0</v>
      </c>
      <c r="BK267" s="995">
        <f>IF(COUNTIF(DROPS.YES_NO,BD267)&gt;0,1,0)</f>
        <v>1</v>
      </c>
      <c r="BL267" s="49" t="str">
        <f>INDEX(UD_Desc,MATCH($BB267,UDN,0))</f>
        <v>Is manure from animal gestating sows treated?</v>
      </c>
      <c r="BM267" s="49" t="str">
        <f>IF(BK267=1,"No", "Yes")</f>
        <v>No</v>
      </c>
      <c r="BN267" t="str">
        <f t="shared" si="8"/>
        <v>Input accepted</v>
      </c>
    </row>
    <row r="268" spans="54:66" x14ac:dyDescent="0.3">
      <c r="BB268" s="995" t="s">
        <v>165</v>
      </c>
      <c r="BC268" s="995">
        <f t="shared" si="0"/>
        <v>0</v>
      </c>
      <c r="BD268" s="995" t="str">
        <f>IF(BF268,"",K156)</f>
        <v/>
      </c>
      <c r="BE268" s="995">
        <f t="shared" si="1"/>
        <v>0</v>
      </c>
      <c r="BF268" s="995" t="b">
        <f>ISBLANK(K156)</f>
        <v>1</v>
      </c>
      <c r="BG268" s="995" t="str">
        <f t="shared" si="2"/>
        <v>head</v>
      </c>
      <c r="BH268" s="995" t="str">
        <f t="shared" si="3"/>
        <v>head</v>
      </c>
      <c r="BI268" s="995">
        <f t="shared" si="4"/>
        <v>0</v>
      </c>
      <c r="BJ268" s="995">
        <f t="shared" si="5"/>
        <v>20000</v>
      </c>
      <c r="BK268" s="995">
        <f t="shared" si="6"/>
        <v>0</v>
      </c>
      <c r="BL268" s="49" t="str">
        <f t="shared" si="7"/>
        <v>Number of gestating sows</v>
      </c>
      <c r="BM268" s="49" t="str">
        <f t="shared" si="9"/>
        <v>Yes</v>
      </c>
      <c r="BN268" t="str">
        <f t="shared" si="8"/>
        <v>Using default</v>
      </c>
    </row>
    <row r="269" spans="54:66" x14ac:dyDescent="0.3">
      <c r="BB269" s="995" t="s">
        <v>166</v>
      </c>
      <c r="BC269" s="995">
        <f t="shared" si="0"/>
        <v>400</v>
      </c>
      <c r="BD269" s="995" t="str">
        <f>IF(BF269,"",K159)</f>
        <v/>
      </c>
      <c r="BE269" s="995">
        <f t="shared" si="1"/>
        <v>400</v>
      </c>
      <c r="BF269" s="995" t="b">
        <f>ISBLANK(K159)</f>
        <v>1</v>
      </c>
      <c r="BG269" s="995" t="str">
        <f t="shared" si="2"/>
        <v>lb/head</v>
      </c>
      <c r="BH269" s="995" t="str">
        <f t="shared" si="3"/>
        <v>lb/head</v>
      </c>
      <c r="BI269" s="995">
        <f t="shared" si="4"/>
        <v>300</v>
      </c>
      <c r="BJ269" s="995">
        <f t="shared" si="5"/>
        <v>500</v>
      </c>
      <c r="BK269" s="995">
        <f t="shared" si="6"/>
        <v>0</v>
      </c>
      <c r="BL269" s="49" t="str">
        <f t="shared" si="7"/>
        <v>Average weight of gestating sows</v>
      </c>
      <c r="BM269" s="49" t="str">
        <f t="shared" si="9"/>
        <v>Yes</v>
      </c>
      <c r="BN269" t="str">
        <f t="shared" si="8"/>
        <v>Using default</v>
      </c>
    </row>
    <row r="270" spans="54:66" x14ac:dyDescent="0.3">
      <c r="BB270" s="995" t="s">
        <v>167</v>
      </c>
      <c r="BC270" s="995" t="str">
        <f>IF(BK270=1,BD270,BE270)</f>
        <v>No</v>
      </c>
      <c r="BD270" s="995" t="str">
        <f>IF(BF270,"",K174)</f>
        <v>No</v>
      </c>
      <c r="BE270" s="995" t="str">
        <f>INDEX(UDD,MATCH($BB270,UDN,0))</f>
        <v>Yes</v>
      </c>
      <c r="BF270" s="995" t="b">
        <f>ISBLANK(K174)</f>
        <v>0</v>
      </c>
      <c r="BG270" s="995" t="str">
        <f>INDEX(UDUnit,MATCH($BB270,UDN,0))</f>
        <v>Yes or No</v>
      </c>
      <c r="BH270" s="995" t="str">
        <f>INDEX(UDF_Unit,MATCH($BB270,UDN,0))</f>
        <v>1 or 0</v>
      </c>
      <c r="BI270" s="995">
        <f>INDEX(UDMin,MATCH($BB270,UDN,0))</f>
        <v>0</v>
      </c>
      <c r="BJ270" s="995">
        <f>INDEX(UDMax,MATCH($BB270,UDN,0))</f>
        <v>0</v>
      </c>
      <c r="BK270" s="995">
        <f>IF(COUNTIF(DROPS.YES_NO,BD270)&gt;0,1,0)</f>
        <v>1</v>
      </c>
      <c r="BL270" s="49" t="str">
        <f>INDEX(UD_Desc,MATCH($BB270,UDN,0))</f>
        <v>Is manure from farrowing sows treated?</v>
      </c>
      <c r="BM270" s="49" t="str">
        <f t="shared" ref="BM270" si="10">IF(BK270=1,"No", "Yes")</f>
        <v>No</v>
      </c>
      <c r="BN270" t="str">
        <f t="shared" si="8"/>
        <v>Input accepted</v>
      </c>
    </row>
    <row r="271" spans="54:66" x14ac:dyDescent="0.3">
      <c r="BB271" s="995" t="s">
        <v>168</v>
      </c>
      <c r="BC271" s="995">
        <f t="shared" si="0"/>
        <v>0</v>
      </c>
      <c r="BD271" s="995" t="str">
        <f>IF(BF271,"",K191)</f>
        <v/>
      </c>
      <c r="BE271" s="995">
        <f t="shared" si="1"/>
        <v>0</v>
      </c>
      <c r="BF271" s="995" t="b">
        <f>ISBLANK(K191)</f>
        <v>1</v>
      </c>
      <c r="BG271" s="995" t="str">
        <f t="shared" si="2"/>
        <v>head</v>
      </c>
      <c r="BH271" s="995" t="str">
        <f t="shared" si="3"/>
        <v>head</v>
      </c>
      <c r="BI271" s="995">
        <f t="shared" si="4"/>
        <v>0</v>
      </c>
      <c r="BJ271" s="995">
        <f t="shared" si="5"/>
        <v>20000</v>
      </c>
      <c r="BK271" s="995">
        <f t="shared" si="6"/>
        <v>0</v>
      </c>
      <c r="BL271" s="49" t="str">
        <f t="shared" si="7"/>
        <v>Number of farrowing sows</v>
      </c>
      <c r="BM271" s="49" t="str">
        <f t="shared" si="9"/>
        <v>Yes</v>
      </c>
      <c r="BN271" t="str">
        <f t="shared" si="8"/>
        <v>Using default</v>
      </c>
    </row>
    <row r="272" spans="54:66" x14ac:dyDescent="0.3">
      <c r="BB272" s="995" t="s">
        <v>169</v>
      </c>
      <c r="BC272" s="995">
        <f t="shared" si="0"/>
        <v>423</v>
      </c>
      <c r="BD272" s="995" t="str">
        <f>IF(BF272,"",K194)</f>
        <v/>
      </c>
      <c r="BE272" s="995">
        <f t="shared" si="1"/>
        <v>423</v>
      </c>
      <c r="BF272" s="995" t="b">
        <f>ISBLANK(K194)</f>
        <v>1</v>
      </c>
      <c r="BG272" s="995" t="str">
        <f t="shared" si="2"/>
        <v>lb/head</v>
      </c>
      <c r="BH272" s="995" t="str">
        <f t="shared" si="3"/>
        <v>lb/head</v>
      </c>
      <c r="BI272" s="995">
        <f t="shared" si="4"/>
        <v>375</v>
      </c>
      <c r="BJ272" s="995">
        <f t="shared" si="5"/>
        <v>600</v>
      </c>
      <c r="BK272" s="995">
        <f t="shared" si="6"/>
        <v>0</v>
      </c>
      <c r="BL272" s="49" t="str">
        <f t="shared" si="7"/>
        <v>Average weight of farrowing sows</v>
      </c>
      <c r="BM272" s="49" t="str">
        <f t="shared" si="9"/>
        <v>Yes</v>
      </c>
      <c r="BN272" t="str">
        <f t="shared" si="8"/>
        <v>Using default</v>
      </c>
    </row>
    <row r="275" spans="49:66" x14ac:dyDescent="0.3">
      <c r="BB275" s="608"/>
      <c r="BL275" s="82" t="s">
        <v>127</v>
      </c>
      <c r="BN275">
        <f>COUNTIF(BN258:BN272,"Input invalid, using default")</f>
        <v>0</v>
      </c>
    </row>
    <row r="276" spans="49:66" x14ac:dyDescent="0.3">
      <c r="BB276" s="608"/>
      <c r="BL276" t="s">
        <v>170</v>
      </c>
    </row>
    <row r="277" spans="49:66" x14ac:dyDescent="0.3">
      <c r="BL277" t="s">
        <v>131</v>
      </c>
    </row>
    <row r="278" spans="49:66" x14ac:dyDescent="0.3">
      <c r="AW278" t="s">
        <v>171</v>
      </c>
      <c r="AX278" s="18" t="s">
        <v>172</v>
      </c>
    </row>
    <row r="279" spans="49:66" x14ac:dyDescent="0.3">
      <c r="AW279" t="s">
        <v>173</v>
      </c>
      <c r="AX279" s="18" t="s">
        <v>174</v>
      </c>
      <c r="BK279" t="s">
        <v>175</v>
      </c>
      <c r="BL279" t="str">
        <f>IF(BN275&gt;0,BL277,BL276)</f>
        <v>You have answered all of the questions for this page. Press the "Next Page" button below to move to the next input page, which will ask you about you’re the manure characteristics of your animals.</v>
      </c>
    </row>
    <row r="280" spans="49:66" ht="15" customHeight="1" x14ac:dyDescent="0.3">
      <c r="AW280" t="s">
        <v>176</v>
      </c>
      <c r="AX280" s="18" t="s">
        <v>177</v>
      </c>
    </row>
    <row r="281" spans="49:66" ht="15" customHeight="1" x14ac:dyDescent="0.3">
      <c r="AW281" t="s">
        <v>178</v>
      </c>
      <c r="AX281" s="18" t="s">
        <v>179</v>
      </c>
    </row>
    <row r="282" spans="49:66" ht="15" customHeight="1" x14ac:dyDescent="0.3">
      <c r="AW282" t="s">
        <v>180</v>
      </c>
      <c r="AX282" s="20" t="s">
        <v>181</v>
      </c>
    </row>
  </sheetData>
  <mergeCells count="174">
    <mergeCell ref="N2:O4"/>
    <mergeCell ref="P2:Q4"/>
    <mergeCell ref="C4:D6"/>
    <mergeCell ref="S4:T6"/>
    <mergeCell ref="E124:F126"/>
    <mergeCell ref="E156:F158"/>
    <mergeCell ref="M156:N158"/>
    <mergeCell ref="O156:P158"/>
    <mergeCell ref="K156:L158"/>
    <mergeCell ref="I156:J158"/>
    <mergeCell ref="G156:H158"/>
    <mergeCell ref="Q156:R158"/>
    <mergeCell ref="E120:F120"/>
    <mergeCell ref="M120:N120"/>
    <mergeCell ref="O120:P120"/>
    <mergeCell ref="K120:L120"/>
    <mergeCell ref="I120:J120"/>
    <mergeCell ref="G120:H120"/>
    <mergeCell ref="Q120:R120"/>
    <mergeCell ref="E121:F123"/>
    <mergeCell ref="M121:N123"/>
    <mergeCell ref="O121:P123"/>
    <mergeCell ref="K121:L123"/>
    <mergeCell ref="M124:N126"/>
    <mergeCell ref="O124:P126"/>
    <mergeCell ref="K124:L126"/>
    <mergeCell ref="I124:J126"/>
    <mergeCell ref="G124:H126"/>
    <mergeCell ref="Q124:R126"/>
    <mergeCell ref="D130:S132"/>
    <mergeCell ref="E151:R154"/>
    <mergeCell ref="E155:F155"/>
    <mergeCell ref="M155:N155"/>
    <mergeCell ref="O155:P155"/>
    <mergeCell ref="K155:L155"/>
    <mergeCell ref="I155:J155"/>
    <mergeCell ref="G155:H155"/>
    <mergeCell ref="Q155:R155"/>
    <mergeCell ref="E134:R137"/>
    <mergeCell ref="E138:J138"/>
    <mergeCell ref="K138:R138"/>
    <mergeCell ref="E139:J142"/>
    <mergeCell ref="K139:R142"/>
    <mergeCell ref="G144:P149"/>
    <mergeCell ref="O89:P91"/>
    <mergeCell ref="K89:L91"/>
    <mergeCell ref="I89:J91"/>
    <mergeCell ref="G89:H91"/>
    <mergeCell ref="Q89:R91"/>
    <mergeCell ref="D95:S97"/>
    <mergeCell ref="E116:R119"/>
    <mergeCell ref="E104:J107"/>
    <mergeCell ref="K104:R107"/>
    <mergeCell ref="G109:P114"/>
    <mergeCell ref="F2:G4"/>
    <mergeCell ref="H2:I4"/>
    <mergeCell ref="J2:K4"/>
    <mergeCell ref="M54:N56"/>
    <mergeCell ref="O54:P56"/>
    <mergeCell ref="K54:L56"/>
    <mergeCell ref="I54:J56"/>
    <mergeCell ref="G54:H56"/>
    <mergeCell ref="Q54:R56"/>
    <mergeCell ref="G5:H7"/>
    <mergeCell ref="O5:P7"/>
    <mergeCell ref="D11:S16"/>
    <mergeCell ref="G18:P23"/>
    <mergeCell ref="E51:F53"/>
    <mergeCell ref="M51:N53"/>
    <mergeCell ref="O51:P53"/>
    <mergeCell ref="K51:L53"/>
    <mergeCell ref="I51:J53"/>
    <mergeCell ref="G51:H53"/>
    <mergeCell ref="Q51:R53"/>
    <mergeCell ref="I5:J7"/>
    <mergeCell ref="K5:L7"/>
    <mergeCell ref="M5:N7"/>
    <mergeCell ref="L2:M4"/>
    <mergeCell ref="C210:D212"/>
    <mergeCell ref="S210:T212"/>
    <mergeCell ref="D60:S62"/>
    <mergeCell ref="D25:S27"/>
    <mergeCell ref="E46:R49"/>
    <mergeCell ref="E50:F50"/>
    <mergeCell ref="M50:N50"/>
    <mergeCell ref="O50:P50"/>
    <mergeCell ref="K50:L50"/>
    <mergeCell ref="I50:J50"/>
    <mergeCell ref="G50:H50"/>
    <mergeCell ref="Q50:R50"/>
    <mergeCell ref="E54:F56"/>
    <mergeCell ref="E29:R32"/>
    <mergeCell ref="E33:J33"/>
    <mergeCell ref="K33:R33"/>
    <mergeCell ref="E34:J37"/>
    <mergeCell ref="K34:R37"/>
    <mergeCell ref="G39:P44"/>
    <mergeCell ref="I121:J123"/>
    <mergeCell ref="G121:H123"/>
    <mergeCell ref="Q121:R123"/>
    <mergeCell ref="E89:F91"/>
    <mergeCell ref="M89:N91"/>
    <mergeCell ref="G199:P204"/>
    <mergeCell ref="G211:H213"/>
    <mergeCell ref="I211:J213"/>
    <mergeCell ref="K211:L213"/>
    <mergeCell ref="M211:N213"/>
    <mergeCell ref="O211:P213"/>
    <mergeCell ref="F208:G210"/>
    <mergeCell ref="H208:I210"/>
    <mergeCell ref="J208:K210"/>
    <mergeCell ref="L208:M210"/>
    <mergeCell ref="N208:O210"/>
    <mergeCell ref="P208:Q210"/>
    <mergeCell ref="E186:R189"/>
    <mergeCell ref="E190:F190"/>
    <mergeCell ref="M190:N190"/>
    <mergeCell ref="O190:P190"/>
    <mergeCell ref="K190:L190"/>
    <mergeCell ref="I190:J190"/>
    <mergeCell ref="G190:H190"/>
    <mergeCell ref="Q190:R190"/>
    <mergeCell ref="E174:J177"/>
    <mergeCell ref="K174:R177"/>
    <mergeCell ref="G179:P184"/>
    <mergeCell ref="E191:F193"/>
    <mergeCell ref="M191:N193"/>
    <mergeCell ref="O191:P193"/>
    <mergeCell ref="K191:L193"/>
    <mergeCell ref="I191:J193"/>
    <mergeCell ref="G191:H193"/>
    <mergeCell ref="Q191:R193"/>
    <mergeCell ref="E194:F196"/>
    <mergeCell ref="M194:N196"/>
    <mergeCell ref="O194:P196"/>
    <mergeCell ref="K194:L196"/>
    <mergeCell ref="I194:J196"/>
    <mergeCell ref="G194:H196"/>
    <mergeCell ref="Q194:R196"/>
    <mergeCell ref="E64:R67"/>
    <mergeCell ref="E68:J68"/>
    <mergeCell ref="K68:R68"/>
    <mergeCell ref="E69:J72"/>
    <mergeCell ref="K69:R72"/>
    <mergeCell ref="G74:P79"/>
    <mergeCell ref="E99:R102"/>
    <mergeCell ref="E103:J103"/>
    <mergeCell ref="K103:R103"/>
    <mergeCell ref="E81:R84"/>
    <mergeCell ref="E85:F85"/>
    <mergeCell ref="M85:N85"/>
    <mergeCell ref="O85:P85"/>
    <mergeCell ref="K85:L85"/>
    <mergeCell ref="I85:J85"/>
    <mergeCell ref="G85:H85"/>
    <mergeCell ref="Q85:R85"/>
    <mergeCell ref="E86:F88"/>
    <mergeCell ref="M86:N88"/>
    <mergeCell ref="O86:P88"/>
    <mergeCell ref="K86:L88"/>
    <mergeCell ref="I86:J88"/>
    <mergeCell ref="G86:H88"/>
    <mergeCell ref="Q86:R88"/>
    <mergeCell ref="E169:R172"/>
    <mergeCell ref="E173:J173"/>
    <mergeCell ref="K173:R173"/>
    <mergeCell ref="M159:N161"/>
    <mergeCell ref="O159:P161"/>
    <mergeCell ref="K159:L161"/>
    <mergeCell ref="I159:J161"/>
    <mergeCell ref="G159:H161"/>
    <mergeCell ref="Q159:R161"/>
    <mergeCell ref="D165:S167"/>
    <mergeCell ref="E159:F161"/>
  </mergeCells>
  <conditionalFormatting sqref="E51:J56 M51:R56 E86:J91 M86:R91 E121:J126 M121:R126 E156:J161 M156:R161 E191:J196 M191:R196">
    <cfRule type="expression" dxfId="13" priority="1">
      <formula>$Q51="Input invalid, using default"</formula>
    </cfRule>
  </conditionalFormatting>
  <dataValidations count="1">
    <dataValidation type="list" allowBlank="1" showInputMessage="1" showErrorMessage="1" sqref="K34:R37 K69:R72 K104:R107 K139:R142 K174:R177" xr:uid="{15CA0CD7-2ACE-476B-8E94-9060C7870686}">
      <formula1>DROPS.YES_NO</formula1>
    </dataValidation>
  </dataValidations>
  <hyperlinks>
    <hyperlink ref="F2:G4" location="UI.Welcome!A1" tooltip="Click to go to welcome page" display="Welcome Page" xr:uid="{CE49B9F0-BEA7-4AC1-9552-F3FB1CF17E61}"/>
    <hyperlink ref="H2:I4" location="UI.Farm!A1" tooltip="Click to go to farm inputs page" display="Farm Info" xr:uid="{88161AA7-286D-4D68-8440-5F91BF076052}"/>
    <hyperlink ref="I5:J7" location="UI.OpExpenses!A1" tooltip="Click to go to operational expenses page" display="Operational Expenses" xr:uid="{21ED0781-5E1D-4842-A24A-467ADC45EAD9}"/>
    <hyperlink ref="K5:L7" location="UI.Priorities!A1" tooltip="Click to go to priorities page" display="Priorities" xr:uid="{7EAEC768-1222-4B0E-9631-ECFC6580E93F}"/>
    <hyperlink ref="P2:Q4" location="UI.Tractor!A1" tooltip="Click to go to tractor properties" display="Tractor Properties" xr:uid="{24847453-2FE5-4CDD-8EB7-0B9E85EC7AB8}"/>
    <hyperlink ref="N2:O4" location="UI.Streams!A1" tooltip="Click to go to the excess manure page" display="Excess Manure Streams" xr:uid="{F5966B49-68B9-4C36-935F-38F70FF908D9}"/>
    <hyperlink ref="G5:H7" location="UI.Cap!A1" tooltip="Click to go to capital expenses page" display="Capital Expenses" xr:uid="{6D7ED8FE-4666-483A-962A-A6DB4AC1A87F}"/>
    <hyperlink ref="L2:M4" location="UI.Manure!A1" tooltip="Click to go to the manure characteristics page" display="Manure Characteristics" xr:uid="{DCD7634C-CD5C-44E1-ACC8-1E1FAA4E5980}"/>
    <hyperlink ref="O5:P7" location="UI.Inputs!A1" tooltip="Click to go to input results summary" display="Inputs Summary" xr:uid="{D831591E-E83F-474C-B5E5-384DBA478B92}"/>
    <hyperlink ref="C4:D6" location="Results.Summary!A1" tooltip="Click to go to results summary page" display="Results Summary" xr:uid="{FE29B7A2-7497-4800-8ED8-9250494B1AA6}"/>
    <hyperlink ref="J2:K4" location="UI.Animals!A1" tooltip="Click to go to animals input page" display="Animals" xr:uid="{0574C20E-6CF5-4DB2-B8FB-0EE931D8EF02}"/>
    <hyperlink ref="S4:T6" location="UI.Manure!A1" tooltip="Click to go to the manure characteristics page" display="Manure Characteristics" xr:uid="{4CEB6F32-03A5-4811-A8D3-CAF0E4560FF7}"/>
    <hyperlink ref="M5:N7" location="UI.Choice!A1" tooltip="Click to go to scenario choice page" display="Scenario Choices" xr:uid="{16E79EEE-8B0E-4FA0-90B5-C73F35302170}"/>
    <hyperlink ref="F208:G210" location="UI.Welcome!A1" tooltip="Click to go to welcome page" display="Welcome Page" xr:uid="{B5CA0E07-B064-4E64-9AD3-CCCA627DBEFC}"/>
    <hyperlink ref="H208:I210" location="UI.Farm!A1" tooltip="Click to go to farm inputs page" display="Farm Info" xr:uid="{2B8AF78D-36CC-42AC-8779-4FE4D19838AD}"/>
    <hyperlink ref="I211:J213" location="UI.OpExpenses!A1" tooltip="Click to go to operational expenses page" display="Operational Expenses" xr:uid="{C6572910-13C4-4DA2-82B3-F9CBA13B5945}"/>
    <hyperlink ref="K211:L213" location="UI.Priorities!A1" tooltip="Click to go to priorities page" display="Priorities" xr:uid="{808D2E69-4CD1-4BD5-BD45-7DF077E49646}"/>
    <hyperlink ref="P208:Q210" location="UI.Tractor!A1" tooltip="Click to go to tractor properties" display="Tractor Properties" xr:uid="{5A38CD2A-C361-4E9F-BAEC-BB72E21CEE6F}"/>
    <hyperlink ref="N208:O210" location="UI.Streams!A1" tooltip="Click to go to the excess manure page" display="Excess Manure Streams" xr:uid="{1490AA7D-4C6B-483E-BFAE-8727F6F3E37F}"/>
    <hyperlink ref="G211:H213" location="UI.Cap!A1" tooltip="Click to go to capital expenses page" display="Capital Expenses" xr:uid="{A2961AA9-FEEE-4B85-BEBA-36B622057C6D}"/>
    <hyperlink ref="L208:M210" location="UI.Manure!A1" tooltip="Click to go to the manure characteristics page" display="Manure Characteristics" xr:uid="{EFEF6A8B-8096-4F09-A9CE-51AE5ABF0193}"/>
    <hyperlink ref="O211:P213" location="UI.Inputs!A1" tooltip="Click to go to input results summary" display="Inputs Summary" xr:uid="{F145034C-9757-45ED-8B22-E9CA90A4FBAF}"/>
    <hyperlink ref="C210:D212" location="Results.Summary!A1" tooltip="Click to go to results summary page" display="Results Summary" xr:uid="{8F5A0091-3834-4421-B4FF-EDEA55EB0FC5}"/>
    <hyperlink ref="J208:K210" location="UI.Animals!A1" tooltip="Click to go to animals input page" display="Animals" xr:uid="{C021BD25-9619-457A-B9CB-0B9901B798C6}"/>
    <hyperlink ref="S210:T212" location="UI.Manure!A1" tooltip="Click to go to the manure characteristics page" display="Manure Characteristics" xr:uid="{4D4AD5F2-6000-4775-AD6D-B593164F3E74}"/>
    <hyperlink ref="M211:N213" location="UI.Choice!A1" tooltip="Click to go to scenario choice page" display="Scenario Choices" xr:uid="{3E90A657-5871-45D3-95F8-C46B3AAF1284}"/>
  </hyperlinks>
  <printOptions horizontalCentered="1" verticalCentered="1"/>
  <pageMargins left="0.7" right="0.7" top="0.25" bottom="0.25" header="0.3" footer="0.3"/>
  <pageSetup scale="38" orientation="portrait" r:id="rId1"/>
  <rowBreaks count="1" manualBreakCount="1">
    <brk id="107" max="16383" man="1"/>
  </rowBreaks>
  <colBreaks count="1" manualBreakCount="1">
    <brk id="29" max="281"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8D5D2-9549-4A57-BA13-54BA03599FA1}">
  <sheetPr codeName="Sheet18"/>
  <dimension ref="A1:J38"/>
  <sheetViews>
    <sheetView topLeftCell="D1" workbookViewId="0">
      <selection activeCell="I18" sqref="I18"/>
    </sheetView>
  </sheetViews>
  <sheetFormatPr defaultColWidth="9.109375" defaultRowHeight="14.4" x14ac:dyDescent="0.3"/>
  <cols>
    <col min="1" max="1" width="62" customWidth="1"/>
    <col min="3" max="3" width="17" style="42" bestFit="1" customWidth="1"/>
    <col min="4" max="4" width="12.88671875" style="42" bestFit="1" customWidth="1"/>
    <col min="5" max="5" width="14" style="42" bestFit="1" customWidth="1"/>
    <col min="6" max="6" width="36.44140625" bestFit="1" customWidth="1"/>
    <col min="7" max="7" width="9.6640625" customWidth="1"/>
    <col min="8" max="8" width="8.33203125" customWidth="1"/>
    <col min="9" max="9" width="68.6640625" bestFit="1" customWidth="1"/>
    <col min="10" max="10" width="41.5546875" customWidth="1"/>
    <col min="12" max="12" width="9.44140625" customWidth="1"/>
    <col min="13" max="13" width="6.44140625" customWidth="1"/>
  </cols>
  <sheetData>
    <row r="1" spans="1:10" x14ac:dyDescent="0.3">
      <c r="A1" t="s">
        <v>5453</v>
      </c>
      <c r="B1" t="s">
        <v>459</v>
      </c>
      <c r="C1" s="42" t="s">
        <v>5454</v>
      </c>
      <c r="D1" s="42" t="s">
        <v>5455</v>
      </c>
      <c r="E1" s="42" t="s">
        <v>5456</v>
      </c>
      <c r="F1" t="s">
        <v>5457</v>
      </c>
      <c r="G1" s="42" t="s">
        <v>5458</v>
      </c>
      <c r="H1" t="s">
        <v>5459</v>
      </c>
      <c r="I1" s="83" t="s">
        <v>5460</v>
      </c>
      <c r="J1" t="s">
        <v>5461</v>
      </c>
    </row>
    <row r="2" spans="1:10" x14ac:dyDescent="0.3">
      <c r="A2" t="str" cm="1">
        <f t="array" aca="1" ref="A2" ca="1">INDEX(Output.Rankings!$C$7:$C$33,Output.Rankings!$A34)</f>
        <v>Deep pit, tanker</v>
      </c>
      <c r="B2" s="42">
        <f ca="1">INDEX(Output.Rankings!$AD$84:$AD$110,MATCH(A2,Output.Rankings!$C$84:$C$110,0))</f>
        <v>1</v>
      </c>
      <c r="C2" s="42">
        <v>1001</v>
      </c>
      <c r="D2" s="42" t="str" cm="1">
        <f t="array" aca="1" ref="D2" ca="1">INDEX(Output.Rankings!$E$7:$E$33,Output.Rankings!$A34)</f>
        <v>A</v>
      </c>
      <c r="E2" s="42" t="str" cm="1">
        <f t="array" aca="1" ref="E2" ca="1">INDEX(Output.Rankings!$D$7:$D$33,Output.Rankings!$A34)</f>
        <v>TL</v>
      </c>
      <c r="F2" t="str">
        <f t="shared" ref="F2:F11" ca="1" si="0">INDEX(F$12:F$38,MATCH($A2,$I$12:$I$38,0))</f>
        <v>Deep pit slurry system</v>
      </c>
      <c r="G2" s="42" t="s">
        <v>552</v>
      </c>
      <c r="H2" s="42" t="s">
        <v>552</v>
      </c>
      <c r="I2" s="42" t="str">
        <f t="shared" ref="I2:J11" ca="1" si="1">INDEX(I$12:I$38,MATCH($A2,$I$12:$I$38,0))</f>
        <v>Deep pit, tanker</v>
      </c>
      <c r="J2" s="20" t="str">
        <f t="shared" ca="1" si="1"/>
        <v>The farm uses a deep pit slurry storage system, where the manure and wash water is stored for a period of time before being emptied. The accumulated slurry is agitated and land-applied using tractor-pulled tanker method.</v>
      </c>
    </row>
    <row r="3" spans="1:10" x14ac:dyDescent="0.3">
      <c r="A3" t="str" cm="1">
        <f t="array" aca="1" ref="A3" ca="1">INDEX(Output.Rankings!$C$7:$C$33,Output.Rankings!$A35)</f>
        <v>Deep pit, aeration, tanker</v>
      </c>
      <c r="B3" s="42">
        <f ca="1">INDEX(Output.Rankings!$AD$84:$AD$110,MATCH(A3,Output.Rankings!$C$84:$C$110,0))</f>
        <v>2</v>
      </c>
      <c r="C3" s="42">
        <v>1002</v>
      </c>
      <c r="D3" s="42" t="str" cm="1">
        <f t="array" aca="1" ref="D3" ca="1">INDEX(Output.Rankings!$E$7:$E$33,Output.Rankings!$A35)</f>
        <v>A</v>
      </c>
      <c r="E3" s="42" t="str" cm="1">
        <f t="array" aca="1" ref="E3" ca="1">INDEX(Output.Rankings!$D$7:$D$33,Output.Rankings!$A35)</f>
        <v>TL</v>
      </c>
      <c r="F3" t="str">
        <f t="shared" ca="1" si="0"/>
        <v>Deep pit slurry - Aeration system</v>
      </c>
      <c r="G3" s="42" t="s">
        <v>553</v>
      </c>
      <c r="H3" s="42" t="s">
        <v>553</v>
      </c>
      <c r="I3" s="42" t="str">
        <f t="shared" ca="1" si="1"/>
        <v>Deep pit, aeration, tanker</v>
      </c>
      <c r="J3" s="20" t="str">
        <f t="shared" ca="1" si="1"/>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tractor-pulled tanker method.</v>
      </c>
    </row>
    <row r="4" spans="1:10" x14ac:dyDescent="0.3">
      <c r="A4" t="str" cm="1">
        <f t="array" aca="1" ref="A4" ca="1">INDEX(Output.Rankings!$C$7:$C$33,Output.Rankings!$A36)</f>
        <v>Deep pit, drag hose</v>
      </c>
      <c r="B4" s="42">
        <f ca="1">INDEX(Output.Rankings!$AD$84:$AD$110,MATCH(A4,Output.Rankings!$C$84:$C$110,0))</f>
        <v>3</v>
      </c>
      <c r="C4" s="42">
        <v>1003</v>
      </c>
      <c r="D4" s="42" t="str" cm="1">
        <f t="array" aca="1" ref="D4" ca="1">INDEX(Output.Rankings!$E$7:$E$33,Output.Rankings!$A36)</f>
        <v>B</v>
      </c>
      <c r="E4" s="42" t="str" cm="1">
        <f t="array" aca="1" ref="E4" ca="1">INDEX(Output.Rankings!$D$7:$D$33,Output.Rankings!$A36)</f>
        <v>DHL</v>
      </c>
      <c r="F4" t="str">
        <f t="shared" ca="1" si="0"/>
        <v>Deep pit slurry system</v>
      </c>
      <c r="G4" s="42" t="s">
        <v>554</v>
      </c>
      <c r="H4" s="42" t="s">
        <v>554</v>
      </c>
      <c r="I4" s="42" t="str">
        <f t="shared" ca="1" si="1"/>
        <v>Deep pit, drag hose</v>
      </c>
      <c r="J4" s="20" t="str">
        <f t="shared" ca="1" si="1"/>
        <v>The farm uses a deep pit slurry storage system, where the manure and wash water is stored for a period of time before being emptied. The accumulated slurry is agitated and land-applied using tractor-pulled drag hose method.</v>
      </c>
    </row>
    <row r="5" spans="1:10" x14ac:dyDescent="0.3">
      <c r="A5" t="str" cm="1">
        <f t="array" aca="1" ref="A5" ca="1">INDEX(Output.Rankings!$C$7:$C$33,Output.Rankings!$A37)</f>
        <v>Deep pit, aeration, drag hose</v>
      </c>
      <c r="B5" s="42">
        <f ca="1">INDEX(Output.Rankings!$AD$84:$AD$110,MATCH(A5,Output.Rankings!$C$84:$C$110,0))</f>
        <v>4</v>
      </c>
      <c r="C5" s="42">
        <v>1004</v>
      </c>
      <c r="D5" s="42" t="str" cm="1">
        <f t="array" aca="1" ref="D5" ca="1">INDEX(Output.Rankings!$E$7:$E$33,Output.Rankings!$A37)</f>
        <v>B</v>
      </c>
      <c r="E5" s="42" t="str" cm="1">
        <f t="array" aca="1" ref="E5" ca="1">INDEX(Output.Rankings!$D$7:$D$33,Output.Rankings!$A37)</f>
        <v>DHL</v>
      </c>
      <c r="F5" t="str">
        <f t="shared" ca="1" si="0"/>
        <v>Deep pit slurry - Aeration system</v>
      </c>
      <c r="G5" s="42" t="s">
        <v>555</v>
      </c>
      <c r="H5" s="42" t="s">
        <v>555</v>
      </c>
      <c r="I5" s="42" t="str">
        <f t="shared" ca="1" si="1"/>
        <v>Deep pit, aeration, drag hose</v>
      </c>
      <c r="J5" s="20" t="str">
        <f t="shared" ca="1" si="1"/>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the tractor-pulled drag hose method.</v>
      </c>
    </row>
    <row r="6" spans="1:10" x14ac:dyDescent="0.3">
      <c r="A6" t="str" cm="1">
        <f t="array" aca="1" ref="A6" ca="1">INDEX(Output.Rankings!$C$7:$C$33,Output.Rankings!$A38)</f>
        <v>Shallow pit, scrape auto, lagoon, irrigation + tanker</v>
      </c>
      <c r="B6" s="42">
        <f ca="1">INDEX(Output.Rankings!$AD$84:$AD$110,MATCH(A6,Output.Rankings!$C$84:$C$110,0))</f>
        <v>5</v>
      </c>
      <c r="C6" s="42">
        <v>1005</v>
      </c>
      <c r="D6" s="42" t="str" cm="1">
        <f t="array" aca="1" ref="D6" ca="1">INDEX(Output.Rankings!$E$7:$E$33,Output.Rankings!$A38)</f>
        <v>A</v>
      </c>
      <c r="E6" s="42" t="str" cm="1">
        <f t="array" aca="1" ref="E6" ca="1">INDEX(Output.Rankings!$D$7:$D$33,Output.Rankings!$A38)</f>
        <v>TL</v>
      </c>
      <c r="F6" t="str">
        <f t="shared" ca="1" si="0"/>
        <v>Scrape - Lagoon</v>
      </c>
      <c r="G6" s="42" t="s">
        <v>2191</v>
      </c>
      <c r="H6" s="42" t="s">
        <v>2191</v>
      </c>
      <c r="I6" s="42" t="str">
        <f t="shared" ca="1" si="1"/>
        <v>Shallow pit, scrape auto, lagoon, irrigation + tanker</v>
      </c>
      <c r="J6" s="20" t="str">
        <f t="shared" ca="1" si="1"/>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row>
    <row r="7" spans="1:10" x14ac:dyDescent="0.3">
      <c r="A7" t="str" cm="1">
        <f t="array" aca="1" ref="A7" ca="1">INDEX(Output.Rankings!$C$7:$C$33,Output.Rankings!$A39)</f>
        <v>Shallow pit, flush, lagoon, irrigation + tanker</v>
      </c>
      <c r="B7" s="42">
        <f ca="1">INDEX(Output.Rankings!$AD$84:$AD$110,MATCH(A7,Output.Rankings!$C$84:$C$110,0))</f>
        <v>6</v>
      </c>
      <c r="C7" s="42">
        <v>1006</v>
      </c>
      <c r="D7" s="42" t="str" cm="1">
        <f t="array" aca="1" ref="D7" ca="1">INDEX(Output.Rankings!$E$7:$E$33,Output.Rankings!$A39)</f>
        <v>A</v>
      </c>
      <c r="E7" s="42" t="str" cm="1">
        <f t="array" aca="1" ref="E7" ca="1">INDEX(Output.Rankings!$D$7:$D$33,Output.Rankings!$A39)</f>
        <v>TL</v>
      </c>
      <c r="F7" t="str">
        <f t="shared" ca="1" si="0"/>
        <v xml:space="preserve">Flush - Lagoon </v>
      </c>
      <c r="G7" s="42" t="s">
        <v>4967</v>
      </c>
      <c r="H7" s="42" t="s">
        <v>4967</v>
      </c>
      <c r="I7" s="42" t="str">
        <f t="shared" ca="1" si="1"/>
        <v>Shallow pit, flush, lagoon, irrigation + tanker</v>
      </c>
      <c r="J7" s="20" t="str">
        <f t="shared" ca="1" si="1"/>
        <v>The farm uses a flush water system for barn cleaning. The flushed manure flows to a lagoon and is stored for a period of time before it is emptied. The accumulated sludge is removed after a long storage period. Both the liquids and sludge removal is done with agitation and land applied using the tractor-pulled tanker method.</v>
      </c>
    </row>
    <row r="8" spans="1:10" x14ac:dyDescent="0.3">
      <c r="A8" t="str" cm="1">
        <f t="array" aca="1" ref="A8" ca="1">INDEX(Output.Rankings!$C$7:$C$33,Output.Rankings!$A40)</f>
        <v>Shallow pit, scrape auto, above ground storage tank, tanker</v>
      </c>
      <c r="B8" s="42">
        <f ca="1">INDEX(Output.Rankings!$AD$84:$AD$110,MATCH(A8,Output.Rankings!$C$84:$C$110,0))</f>
        <v>7</v>
      </c>
      <c r="C8" s="42">
        <v>1007</v>
      </c>
      <c r="D8" s="42" t="str" cm="1">
        <f t="array" aca="1" ref="D8" ca="1">INDEX(Output.Rankings!$E$7:$E$33,Output.Rankings!$A40)</f>
        <v>A</v>
      </c>
      <c r="E8" s="42" t="str" cm="1">
        <f t="array" aca="1" ref="E8" ca="1">INDEX(Output.Rankings!$D$7:$D$33,Output.Rankings!$A40)</f>
        <v>TL</v>
      </c>
      <c r="F8" t="str">
        <f t="shared" ca="1" si="0"/>
        <v>Outside SS covered storage</v>
      </c>
      <c r="G8" s="42" t="s">
        <v>4968</v>
      </c>
      <c r="H8" s="42" t="s">
        <v>4968</v>
      </c>
      <c r="I8" s="42" t="str">
        <f t="shared" ca="1" si="1"/>
        <v>Shallow pit, scrape auto, above ground storage tank, tanker</v>
      </c>
      <c r="J8" s="20" t="str">
        <f t="shared" ca="1" si="1"/>
        <v>The farm uses a scrape system for barn cleaning. The scraped manure is collected in a reception pit and pumped to an outside Slurry Storage tank for a period of time before it is emptied. The slurry removal is done with agitation and land applied using the tractor-pulled tanker method.</v>
      </c>
    </row>
    <row r="9" spans="1:10" x14ac:dyDescent="0.3">
      <c r="A9" t="str" cm="1">
        <f t="array" aca="1" ref="A9" ca="1">INDEX(Output.Rankings!$C$7:$C$33,Output.Rankings!$A41)</f>
        <v>Shallow pit, scrape auto, slope screen, lagoon, irrigation + tanker</v>
      </c>
      <c r="B9" s="42">
        <f ca="1">INDEX(Output.Rankings!$AD$84:$AD$110,MATCH(A9,Output.Rankings!$C$84:$C$110,0))</f>
        <v>8</v>
      </c>
      <c r="C9" s="42">
        <v>1008</v>
      </c>
      <c r="D9" s="42" t="str" cm="1">
        <f t="array" aca="1" ref="D9" ca="1">INDEX(Output.Rankings!$E$7:$E$33,Output.Rankings!$A41)</f>
        <v>A</v>
      </c>
      <c r="E9" s="42" t="str" cm="1">
        <f t="array" aca="1" ref="E9" ca="1">INDEX(Output.Rankings!$D$7:$D$33,Output.Rankings!$A41)</f>
        <v>TL</v>
      </c>
      <c r="F9" t="str">
        <f t="shared" ca="1" si="0"/>
        <v>Scrape - Inclined SS - Lagoon</v>
      </c>
      <c r="G9" s="42" t="s">
        <v>4969</v>
      </c>
      <c r="H9" s="42" t="s">
        <v>4969</v>
      </c>
      <c r="I9" s="42" t="str">
        <f t="shared" ca="1" si="1"/>
        <v>Shallow pit, scrape auto, slope screen, lagoon, irrigation + tanker</v>
      </c>
      <c r="J9" s="20" t="str">
        <f t="shared" ca="1" si="1"/>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row>
    <row r="10" spans="1:10" x14ac:dyDescent="0.3">
      <c r="A10" t="str" cm="1">
        <f t="array" aca="1" ref="A10" ca="1">INDEX(Output.Rankings!$C$7:$C$33,Output.Rankings!$A42)</f>
        <v>Shallow pit, flush, covered digestion basin, lagoon, irrigation + tanker</v>
      </c>
      <c r="B10" s="42">
        <f ca="1">INDEX(Output.Rankings!$AD$84:$AD$110,MATCH(A10,Output.Rankings!$C$84:$C$110,0))</f>
        <v>9</v>
      </c>
      <c r="C10" s="42">
        <v>1009</v>
      </c>
      <c r="D10" s="42" t="str" cm="1">
        <f t="array" aca="1" ref="D10" ca="1">INDEX(Output.Rankings!$E$7:$E$33,Output.Rankings!$A42)</f>
        <v>A</v>
      </c>
      <c r="E10" s="42" t="str" cm="1">
        <f t="array" aca="1" ref="E10" ca="1">INDEX(Output.Rankings!$D$7:$D$33,Output.Rankings!$A42)</f>
        <v>TL</v>
      </c>
      <c r="F10" t="str">
        <f t="shared" ca="1" si="0"/>
        <v xml:space="preserve">Flush - Covered Lagoon </v>
      </c>
      <c r="G10" s="42" t="s">
        <v>4970</v>
      </c>
      <c r="H10" s="42" t="s">
        <v>4970</v>
      </c>
      <c r="I10" s="42" t="str">
        <f t="shared" ca="1" si="1"/>
        <v>Shallow pit, flush, covered digestion basin, lagoon, irrigation + tanker</v>
      </c>
      <c r="J10" s="20" t="str">
        <f t="shared" ca="1" si="1"/>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emptied.Liquids are land applied via irrigation while the accumulated sludge is removed after a longer storage period and land applied via agitation and tractor-pulled tanker.</v>
      </c>
    </row>
    <row r="11" spans="1:10" x14ac:dyDescent="0.3">
      <c r="A11" t="str" cm="1">
        <f t="array" aca="1" ref="A11" ca="1">INDEX(Output.Rankings!$C$7:$C$33,Output.Rankings!$A43)</f>
        <v>Shallow pit, pull plug, covered digestion basin, lagoon, irrigation + tanker</v>
      </c>
      <c r="B11" s="42">
        <f ca="1">INDEX(Output.Rankings!$AD$84:$AD$110,MATCH(A11,Output.Rankings!$C$84:$C$110,0))</f>
        <v>10</v>
      </c>
      <c r="C11" s="42">
        <v>1010</v>
      </c>
      <c r="D11" s="42" t="str" cm="1">
        <f t="array" aca="1" ref="D11" ca="1">INDEX(Output.Rankings!$E$7:$E$33,Output.Rankings!$A43)</f>
        <v>A</v>
      </c>
      <c r="E11" s="42" t="str" cm="1">
        <f t="array" aca="1" ref="E11" ca="1">INDEX(Output.Rankings!$D$7:$D$33,Output.Rankings!$A43)</f>
        <v>TL</v>
      </c>
      <c r="F11" t="str">
        <f t="shared" ca="1" si="0"/>
        <v xml:space="preserve">Pull plug - Covered Lagoon </v>
      </c>
      <c r="G11" s="42" t="s">
        <v>4971</v>
      </c>
      <c r="H11" s="42" t="s">
        <v>4971</v>
      </c>
      <c r="I11" s="42" t="str">
        <f t="shared" ca="1" si="1"/>
        <v>Shallow pit, pull plug, covered digestion basin, lagoon, irrigation + tanker</v>
      </c>
      <c r="J11" s="20" t="str">
        <f t="shared" ca="1" si="1"/>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12" spans="1:10" x14ac:dyDescent="0.3">
      <c r="A12" s="124" t="str">
        <f>I12</f>
        <v>Deep pit, tanker</v>
      </c>
      <c r="B12" s="1067">
        <f ca="1">INDEX(Output.Rankings!$AD$84:$AD$110,MATCH(A12,Output.Rankings!$C$84:$C$110,0))</f>
        <v>1</v>
      </c>
      <c r="C12" s="1067">
        <v>1</v>
      </c>
      <c r="D12" s="1067" t="s">
        <v>4913</v>
      </c>
      <c r="E12" s="1067" t="s">
        <v>4912</v>
      </c>
      <c r="F12" s="124" t="s">
        <v>4914</v>
      </c>
      <c r="G12" s="124" t="str">
        <f>_xlfn.CONCAT(F12," - ",E12," (",D12,")")</f>
        <v>Deep pit slurry system - TL (A)</v>
      </c>
      <c r="H12" s="124" t="str">
        <f>I12</f>
        <v>Deep pit, tanker</v>
      </c>
      <c r="I12" s="124" t="s">
        <v>65</v>
      </c>
      <c r="J12" s="124" t="s">
        <v>5462</v>
      </c>
    </row>
    <row r="13" spans="1:10" x14ac:dyDescent="0.3">
      <c r="A13" s="124" t="str">
        <f t="shared" ref="A13:A38" si="2">I13</f>
        <v>Deep pit, drag hose</v>
      </c>
      <c r="B13" s="1067">
        <f ca="1">INDEX(Output.Rankings!$AD$84:$AD$110,MATCH(A13,Output.Rankings!$C$84:$C$110,0))</f>
        <v>3</v>
      </c>
      <c r="C13" s="1067">
        <v>1</v>
      </c>
      <c r="D13" s="1067" t="s">
        <v>2586</v>
      </c>
      <c r="E13" s="1067" t="s">
        <v>4917</v>
      </c>
      <c r="F13" s="124" t="s">
        <v>4914</v>
      </c>
      <c r="G13" s="124" t="str">
        <f t="shared" ref="G13:G38" si="3">_xlfn.CONCAT(F13," - ",E13," (",D13,")")</f>
        <v>Deep pit slurry system - DHL (B)</v>
      </c>
      <c r="H13" s="124" t="str">
        <f t="shared" ref="H13:H38" si="4">I13</f>
        <v>Deep pit, drag hose</v>
      </c>
      <c r="I13" s="124" t="s">
        <v>4669</v>
      </c>
      <c r="J13" s="124" t="s">
        <v>5463</v>
      </c>
    </row>
    <row r="14" spans="1:10" x14ac:dyDescent="0.3">
      <c r="A14" s="124" t="str">
        <f t="shared" si="2"/>
        <v>Deep pit, aeration, tanker</v>
      </c>
      <c r="B14" s="1067">
        <f ca="1">INDEX(Output.Rankings!$AD$84:$AD$110,MATCH(A14,Output.Rankings!$C$84:$C$110,0))</f>
        <v>2</v>
      </c>
      <c r="C14" s="1067">
        <v>2</v>
      </c>
      <c r="D14" s="1067" t="s">
        <v>4913</v>
      </c>
      <c r="E14" s="1067" t="s">
        <v>4912</v>
      </c>
      <c r="F14" s="124" t="s">
        <v>4920</v>
      </c>
      <c r="G14" s="124" t="str">
        <f t="shared" si="3"/>
        <v>Deep pit slurry - Aeration system - TL (A)</v>
      </c>
      <c r="H14" s="124" t="str">
        <f t="shared" si="4"/>
        <v>Deep pit, aeration, tanker</v>
      </c>
      <c r="I14" s="124" t="s">
        <v>4671</v>
      </c>
      <c r="J14" s="124" t="s">
        <v>5464</v>
      </c>
    </row>
    <row r="15" spans="1:10" x14ac:dyDescent="0.3">
      <c r="A15" s="124" t="str">
        <f t="shared" si="2"/>
        <v>Deep pit, aeration, drag hose</v>
      </c>
      <c r="B15" s="1067">
        <f ca="1">INDEX(Output.Rankings!$AD$84:$AD$110,MATCH(A15,Output.Rankings!$C$84:$C$110,0))</f>
        <v>4</v>
      </c>
      <c r="C15" s="1067">
        <v>2</v>
      </c>
      <c r="D15" s="1067" t="s">
        <v>2586</v>
      </c>
      <c r="E15" s="1067" t="s">
        <v>4917</v>
      </c>
      <c r="F15" s="124" t="s">
        <v>4920</v>
      </c>
      <c r="G15" s="124" t="str">
        <f t="shared" si="3"/>
        <v>Deep pit slurry - Aeration system - DHL (B)</v>
      </c>
      <c r="H15" s="124" t="str">
        <f t="shared" si="4"/>
        <v>Deep pit, aeration, drag hose</v>
      </c>
      <c r="I15" s="124" t="s">
        <v>4673</v>
      </c>
      <c r="J15" s="124" t="s">
        <v>5465</v>
      </c>
    </row>
    <row r="16" spans="1:10" x14ac:dyDescent="0.3">
      <c r="A16" s="124" t="str">
        <f t="shared" si="2"/>
        <v>Shallow pit, flush, lagoon, irrigation + tanker</v>
      </c>
      <c r="B16" s="1067">
        <f ca="1">INDEX(Output.Rankings!$AD$84:$AD$110,MATCH(A16,Output.Rankings!$C$84:$C$110,0))</f>
        <v>6</v>
      </c>
      <c r="C16" s="1067">
        <v>3</v>
      </c>
      <c r="D16" s="1067" t="s">
        <v>4913</v>
      </c>
      <c r="E16" s="1067" t="s">
        <v>4912</v>
      </c>
      <c r="F16" s="124" t="s">
        <v>4925</v>
      </c>
      <c r="G16" s="124" t="str">
        <f t="shared" si="3"/>
        <v>Flush - Lagoon  - TL (A)</v>
      </c>
      <c r="H16" s="124" t="str">
        <f t="shared" si="4"/>
        <v>Shallow pit, flush, lagoon, irrigation + tanker</v>
      </c>
      <c r="I16" s="124" t="s">
        <v>7479</v>
      </c>
      <c r="J16" s="1068" t="s">
        <v>5466</v>
      </c>
    </row>
    <row r="17" spans="1:10" x14ac:dyDescent="0.3">
      <c r="A17" s="124" t="str">
        <f t="shared" si="2"/>
        <v>Shallow pit, flush, lagoon, irrigation + drag hose</v>
      </c>
      <c r="B17" s="1067">
        <f ca="1">INDEX(Output.Rankings!$AD$84:$AD$110,MATCH(A17,Output.Rankings!$C$84:$C$110,0))</f>
        <v>16</v>
      </c>
      <c r="C17" s="1067">
        <v>3</v>
      </c>
      <c r="D17" s="1067" t="s">
        <v>2586</v>
      </c>
      <c r="E17" s="1067" t="s">
        <v>4917</v>
      </c>
      <c r="F17" s="124" t="s">
        <v>4925</v>
      </c>
      <c r="G17" s="124" t="str">
        <f t="shared" si="3"/>
        <v>Flush - Lagoon  - DHL (B)</v>
      </c>
      <c r="H17" s="124" t="str">
        <f t="shared" si="4"/>
        <v>Shallow pit, flush, lagoon, irrigation + drag hose</v>
      </c>
      <c r="I17" s="124" t="s">
        <v>7480</v>
      </c>
      <c r="J17" s="1068" t="s">
        <v>7481</v>
      </c>
    </row>
    <row r="18" spans="1:10" x14ac:dyDescent="0.3">
      <c r="A18" s="124" t="str">
        <f t="shared" si="2"/>
        <v>Shallow pit, scrape auto, lagoon, irrigation + tanker</v>
      </c>
      <c r="B18" s="1067">
        <f ca="1">INDEX(Output.Rankings!$AD$84:$AD$110,MATCH(A18,Output.Rankings!$C$84:$C$110,0))</f>
        <v>5</v>
      </c>
      <c r="C18" s="1067">
        <v>4</v>
      </c>
      <c r="D18" s="1067" t="s">
        <v>4913</v>
      </c>
      <c r="E18" s="1067" t="s">
        <v>4912</v>
      </c>
      <c r="F18" s="124" t="s">
        <v>4930</v>
      </c>
      <c r="G18" s="124" t="str">
        <f t="shared" si="3"/>
        <v>Scrape - Lagoon - TL (A)</v>
      </c>
      <c r="H18" s="124" t="str">
        <f t="shared" si="4"/>
        <v>Shallow pit, scrape auto, lagoon, irrigation + tanker</v>
      </c>
      <c r="I18" s="124" t="s">
        <v>7482</v>
      </c>
      <c r="J18" s="1068" t="s">
        <v>7483</v>
      </c>
    </row>
    <row r="19" spans="1:10" x14ac:dyDescent="0.3">
      <c r="A19" s="124" t="str">
        <f t="shared" si="2"/>
        <v>Shallow pit, scrape auto, lagoon, irrigation + drag hose</v>
      </c>
      <c r="B19" s="1067">
        <f ca="1">INDEX(Output.Rankings!$AD$84:$AD$110,MATCH(A19,Output.Rankings!$C$84:$C$110,0))</f>
        <v>14</v>
      </c>
      <c r="C19" s="1067">
        <v>4</v>
      </c>
      <c r="D19" s="1067" t="s">
        <v>2586</v>
      </c>
      <c r="E19" s="1067" t="s">
        <v>4917</v>
      </c>
      <c r="F19" s="124" t="s">
        <v>4930</v>
      </c>
      <c r="G19" s="124" t="str">
        <f t="shared" si="3"/>
        <v>Scrape - Lagoon - DHL (B)</v>
      </c>
      <c r="H19" s="124" t="str">
        <f t="shared" si="4"/>
        <v>Shallow pit, scrape auto, lagoon, irrigation + drag hose</v>
      </c>
      <c r="I19" s="124" t="s">
        <v>7484</v>
      </c>
      <c r="J19" s="124" t="s">
        <v>7483</v>
      </c>
    </row>
    <row r="20" spans="1:10" x14ac:dyDescent="0.3">
      <c r="A20" s="124" t="str">
        <f t="shared" si="2"/>
        <v>Shallow pit, pull plug, lagoon, irrigation + tanker</v>
      </c>
      <c r="B20" s="1067">
        <f ca="1">INDEX(Output.Rankings!$AD$84:$AD$110,MATCH(A20,Output.Rankings!$C$84:$C$110,0))</f>
        <v>11</v>
      </c>
      <c r="C20" s="1067">
        <v>5</v>
      </c>
      <c r="D20" s="1067" t="s">
        <v>4913</v>
      </c>
      <c r="E20" s="1067" t="s">
        <v>4912</v>
      </c>
      <c r="F20" s="124" t="s">
        <v>4935</v>
      </c>
      <c r="G20" s="124" t="str">
        <f t="shared" si="3"/>
        <v>Pull plug - Lagoon - TL (A)</v>
      </c>
      <c r="H20" s="124" t="str">
        <f t="shared" si="4"/>
        <v>Shallow pit, pull plug, lagoon, irrigation + tanker</v>
      </c>
      <c r="I20" s="124" t="s">
        <v>7485</v>
      </c>
      <c r="J20" s="1068" t="s">
        <v>7486</v>
      </c>
    </row>
    <row r="21" spans="1:10" x14ac:dyDescent="0.3">
      <c r="A21" s="124" t="str">
        <f t="shared" si="2"/>
        <v>Shallow pit, pull plug, lagoon, irrigation + drag hose</v>
      </c>
      <c r="B21" s="1067">
        <f ca="1">INDEX(Output.Rankings!$AD$84:$AD$110,MATCH(A21,Output.Rankings!$C$84:$C$110,0))</f>
        <v>20</v>
      </c>
      <c r="C21" s="1067">
        <v>5</v>
      </c>
      <c r="D21" s="1067" t="s">
        <v>2586</v>
      </c>
      <c r="E21" s="1067" t="s">
        <v>4917</v>
      </c>
      <c r="F21" s="124" t="s">
        <v>4935</v>
      </c>
      <c r="G21" s="124" t="str">
        <f t="shared" si="3"/>
        <v>Pull plug - Lagoon - DHL (B)</v>
      </c>
      <c r="H21" s="124" t="str">
        <f t="shared" si="4"/>
        <v>Shallow pit, pull plug, lagoon, irrigation + drag hose</v>
      </c>
      <c r="I21" s="124" t="s">
        <v>7487</v>
      </c>
      <c r="J21" s="1068" t="s">
        <v>7486</v>
      </c>
    </row>
    <row r="22" spans="1:10" x14ac:dyDescent="0.3">
      <c r="A22" s="124" t="str">
        <f t="shared" si="2"/>
        <v>Shallow pit, flush, AD, lagoon, irrigation + tanker</v>
      </c>
      <c r="B22" s="1067">
        <f ca="1">INDEX(Output.Rankings!$AD$84:$AD$110,MATCH(A22,Output.Rankings!$C$84:$C$110,0))</f>
        <v>26</v>
      </c>
      <c r="C22" s="1372">
        <v>6</v>
      </c>
      <c r="D22" s="1067" t="s">
        <v>4913</v>
      </c>
      <c r="E22" s="1067" t="s">
        <v>4912</v>
      </c>
      <c r="F22" s="124" t="s">
        <v>4940</v>
      </c>
      <c r="G22" s="124" t="str">
        <f>_xlfn.CONCAT(F22," - ",E22," (",D22,")")</f>
        <v>Flush - Anaerobic Digestion - TL (A)</v>
      </c>
      <c r="H22" s="124" t="str">
        <f t="shared" si="4"/>
        <v>Shallow pit, flush, AD, lagoon, irrigation + tanker</v>
      </c>
      <c r="I22" s="124" t="s">
        <v>7488</v>
      </c>
      <c r="J22" s="1068" t="s">
        <v>7489</v>
      </c>
    </row>
    <row r="23" spans="1:10" x14ac:dyDescent="0.3">
      <c r="A23" s="124" t="str">
        <f t="shared" si="2"/>
        <v>Shallow pit, flush, AD, lagoon, irrigation + drag hose</v>
      </c>
      <c r="B23" s="1067">
        <f ca="1">INDEX(Output.Rankings!$AD$84:$AD$110,MATCH(A23,Output.Rankings!$C$84:$C$110,0))</f>
        <v>27</v>
      </c>
      <c r="C23" s="1372">
        <v>6</v>
      </c>
      <c r="D23" s="1067" t="s">
        <v>2586</v>
      </c>
      <c r="E23" s="1067" t="s">
        <v>4917</v>
      </c>
      <c r="F23" s="124" t="s">
        <v>4940</v>
      </c>
      <c r="G23" s="124" t="str">
        <f t="shared" si="3"/>
        <v>Flush - Anaerobic Digestion - DHL (B)</v>
      </c>
      <c r="H23" s="124" t="str">
        <f t="shared" si="4"/>
        <v>Shallow pit, flush, AD, lagoon, irrigation + drag hose</v>
      </c>
      <c r="I23" s="124" t="s">
        <v>7490</v>
      </c>
      <c r="J23" s="1068" t="s">
        <v>7489</v>
      </c>
    </row>
    <row r="24" spans="1:10" x14ac:dyDescent="0.3">
      <c r="A24" s="124" t="str">
        <f t="shared" si="2"/>
        <v>Shallow pit, scrape auto, AD, lagoon, irrigation + tanker</v>
      </c>
      <c r="B24" s="1067">
        <f ca="1">INDEX(Output.Rankings!$AD$84:$AD$110,MATCH(A24,Output.Rankings!$C$84:$C$110,0))</f>
        <v>22</v>
      </c>
      <c r="C24" s="1372">
        <v>7</v>
      </c>
      <c r="D24" s="1067" t="s">
        <v>4913</v>
      </c>
      <c r="E24" s="1067" t="s">
        <v>4912</v>
      </c>
      <c r="F24" s="124" t="s">
        <v>4945</v>
      </c>
      <c r="G24" s="124" t="str">
        <f>_xlfn.CONCAT(F24," - ",E24," (",D24,")")</f>
        <v>Scrape - Anaerobic Digestion - TL (A)</v>
      </c>
      <c r="H24" s="124" t="str">
        <f t="shared" si="4"/>
        <v>Shallow pit, scrape auto, AD, lagoon, irrigation + tanker</v>
      </c>
      <c r="I24" s="124" t="s">
        <v>7491</v>
      </c>
      <c r="J24" s="1068" t="s">
        <v>7492</v>
      </c>
    </row>
    <row r="25" spans="1:10" x14ac:dyDescent="0.3">
      <c r="A25" s="124" t="str">
        <f t="shared" si="2"/>
        <v>Shallow pit, scrape auto, AD, lagoon, irrigation + drag hose</v>
      </c>
      <c r="B25" s="1067">
        <f ca="1">INDEX(Output.Rankings!$AD$84:$AD$110,MATCH(A25,Output.Rankings!$C$84:$C$110,0))</f>
        <v>24</v>
      </c>
      <c r="C25" s="1372">
        <v>7</v>
      </c>
      <c r="D25" s="1067" t="s">
        <v>2586</v>
      </c>
      <c r="E25" s="1067" t="s">
        <v>4917</v>
      </c>
      <c r="F25" s="124" t="s">
        <v>4945</v>
      </c>
      <c r="G25" s="124" t="str">
        <f t="shared" si="3"/>
        <v>Scrape - Anaerobic Digestion - DHL (B)</v>
      </c>
      <c r="H25" s="124" t="str">
        <f t="shared" si="4"/>
        <v>Shallow pit, scrape auto, AD, lagoon, irrigation + drag hose</v>
      </c>
      <c r="I25" s="124" t="s">
        <v>7493</v>
      </c>
      <c r="J25" s="1068" t="s">
        <v>7492</v>
      </c>
    </row>
    <row r="26" spans="1:10" x14ac:dyDescent="0.3">
      <c r="A26" s="124" t="str">
        <f t="shared" si="2"/>
        <v>Shallow pit, pull plug, AD, lagoon, irrigation + tanker</v>
      </c>
      <c r="B26" s="1067">
        <f ca="1">INDEX(Output.Rankings!$AD$84:$AD$110,MATCH(A26,Output.Rankings!$C$84:$C$110,0))</f>
        <v>23</v>
      </c>
      <c r="C26" s="1067">
        <v>8</v>
      </c>
      <c r="D26" s="1067" t="s">
        <v>4913</v>
      </c>
      <c r="E26" s="1067" t="s">
        <v>4912</v>
      </c>
      <c r="F26" s="124" t="s">
        <v>4948</v>
      </c>
      <c r="G26" s="124" t="str">
        <f t="shared" si="3"/>
        <v>Pull plug - Anaerobic Digestion - TL (A)</v>
      </c>
      <c r="H26" s="124" t="str">
        <f t="shared" si="4"/>
        <v>Shallow pit, pull plug, AD, lagoon, irrigation + tanker</v>
      </c>
      <c r="I26" s="124" t="s">
        <v>7494</v>
      </c>
      <c r="J26" s="1068" t="s">
        <v>7495</v>
      </c>
    </row>
    <row r="27" spans="1:10" x14ac:dyDescent="0.3">
      <c r="A27" s="124" t="str">
        <f t="shared" si="2"/>
        <v>Shallow pit, pull plug, AD, lagoon, irrigation + drag hose</v>
      </c>
      <c r="B27" s="1067">
        <f ca="1">INDEX(Output.Rankings!$AD$84:$AD$110,MATCH(A27,Output.Rankings!$C$84:$C$110,0))</f>
        <v>25</v>
      </c>
      <c r="C27" s="1067">
        <v>8</v>
      </c>
      <c r="D27" s="1067" t="s">
        <v>2586</v>
      </c>
      <c r="E27" s="1067" t="s">
        <v>4917</v>
      </c>
      <c r="F27" s="124" t="s">
        <v>4948</v>
      </c>
      <c r="G27" s="124" t="str">
        <f t="shared" si="3"/>
        <v>Pull plug - Anaerobic Digestion - DHL (B)</v>
      </c>
      <c r="H27" s="124" t="str">
        <f t="shared" si="4"/>
        <v>Shallow pit, pull plug, AD, lagoon, irrigation + drag hose</v>
      </c>
      <c r="I27" s="124" t="s">
        <v>7496</v>
      </c>
      <c r="J27" s="1068" t="s">
        <v>7495</v>
      </c>
    </row>
    <row r="28" spans="1:10" x14ac:dyDescent="0.3">
      <c r="A28" s="124" t="str">
        <f t="shared" si="2"/>
        <v>Shallow pit, flush, covered digestion basin, lagoon, irrigation + tanker</v>
      </c>
      <c r="B28" s="1067">
        <f ca="1">INDEX(Output.Rankings!$AD$84:$AD$110,MATCH(A28,Output.Rankings!$C$84:$C$110,0))</f>
        <v>9</v>
      </c>
      <c r="C28" s="1067">
        <v>9</v>
      </c>
      <c r="D28" s="1067" t="s">
        <v>4913</v>
      </c>
      <c r="E28" s="1067" t="s">
        <v>4912</v>
      </c>
      <c r="F28" s="124" t="s">
        <v>4951</v>
      </c>
      <c r="G28" s="124" t="str">
        <f t="shared" si="3"/>
        <v>Flush - Covered Lagoon  - TL (A)</v>
      </c>
      <c r="H28" s="124" t="str">
        <f t="shared" si="4"/>
        <v>Shallow pit, flush, covered digestion basin, lagoon, irrigation + tanker</v>
      </c>
      <c r="I28" s="124" t="s">
        <v>7497</v>
      </c>
      <c r="J28" s="1068" t="s">
        <v>7498</v>
      </c>
    </row>
    <row r="29" spans="1:10" x14ac:dyDescent="0.3">
      <c r="A29" s="124" t="str">
        <f t="shared" si="2"/>
        <v>Shallow pit, flush, covered digestion basin, lagoon, irrigation + drag hose</v>
      </c>
      <c r="B29" s="1067">
        <f ca="1">INDEX(Output.Rankings!$AD$84:$AD$110,MATCH(A29,Output.Rankings!$C$84:$C$110,0))</f>
        <v>18</v>
      </c>
      <c r="C29" s="1067">
        <v>9</v>
      </c>
      <c r="D29" s="1067" t="s">
        <v>2586</v>
      </c>
      <c r="E29" s="1067" t="s">
        <v>4917</v>
      </c>
      <c r="F29" s="124" t="s">
        <v>4951</v>
      </c>
      <c r="G29" s="124" t="str">
        <f t="shared" si="3"/>
        <v>Flush - Covered Lagoon  - DHL (B)</v>
      </c>
      <c r="H29" s="124" t="str">
        <f t="shared" si="4"/>
        <v>Shallow pit, flush, covered digestion basin, lagoon, irrigation + drag hose</v>
      </c>
      <c r="I29" s="124" t="s">
        <v>7499</v>
      </c>
      <c r="J29" s="1068" t="s">
        <v>7500</v>
      </c>
    </row>
    <row r="30" spans="1:10" x14ac:dyDescent="0.3">
      <c r="A30" s="124" t="str">
        <f t="shared" si="2"/>
        <v>Shallow pit, scrape auto, covered digestion basin, lagoon, irrigation + tanker</v>
      </c>
      <c r="B30" s="1067">
        <f ca="1">INDEX(Output.Rankings!$AD$84:$AD$110,MATCH(A30,Output.Rankings!$C$84:$C$110,0))</f>
        <v>12</v>
      </c>
      <c r="C30" s="1067">
        <v>10</v>
      </c>
      <c r="D30" s="1067" t="s">
        <v>4913</v>
      </c>
      <c r="E30" s="1067" t="s">
        <v>4912</v>
      </c>
      <c r="F30" s="124" t="s">
        <v>4954</v>
      </c>
      <c r="G30" s="124" t="str">
        <f t="shared" si="3"/>
        <v>Scrape - Covered Lagoon  - TL (A)</v>
      </c>
      <c r="H30" s="124" t="str">
        <f t="shared" si="4"/>
        <v>Shallow pit, scrape auto, covered digestion basin, lagoon, irrigation + tanker</v>
      </c>
      <c r="I30" s="124" t="s">
        <v>7501</v>
      </c>
      <c r="J30" s="1068" t="s">
        <v>7502</v>
      </c>
    </row>
    <row r="31" spans="1:10" x14ac:dyDescent="0.3">
      <c r="A31" s="124" t="str">
        <f t="shared" si="2"/>
        <v>Shallow pit, scrape auto, covered digestion basin, lagoon, irrigation + drag hose</v>
      </c>
      <c r="B31" s="1067">
        <f ca="1">INDEX(Output.Rankings!$AD$84:$AD$110,MATCH(A31,Output.Rankings!$C$84:$C$110,0))</f>
        <v>21</v>
      </c>
      <c r="C31" s="1067">
        <v>10</v>
      </c>
      <c r="D31" s="1067" t="s">
        <v>2586</v>
      </c>
      <c r="E31" s="1067" t="s">
        <v>4917</v>
      </c>
      <c r="F31" s="124" t="s">
        <v>4954</v>
      </c>
      <c r="G31" s="124" t="str">
        <f t="shared" si="3"/>
        <v>Scrape - Covered Lagoon  - DHL (B)</v>
      </c>
      <c r="H31" s="124" t="str">
        <f t="shared" si="4"/>
        <v>Shallow pit, scrape auto, covered digestion basin, lagoon, irrigation + drag hose</v>
      </c>
      <c r="I31" s="124" t="s">
        <v>7503</v>
      </c>
      <c r="J31" s="1068" t="s">
        <v>7502</v>
      </c>
    </row>
    <row r="32" spans="1:10" x14ac:dyDescent="0.3">
      <c r="A32" s="124" t="str">
        <f t="shared" si="2"/>
        <v>Shallow pit, pull plug, covered digestion basin, lagoon, irrigation + tanker</v>
      </c>
      <c r="B32" s="1067">
        <f ca="1">INDEX(Output.Rankings!$AD$84:$AD$110,MATCH(A32,Output.Rankings!$C$84:$C$110,0))</f>
        <v>10</v>
      </c>
      <c r="C32" s="1067">
        <v>11</v>
      </c>
      <c r="D32" s="1067" t="s">
        <v>4913</v>
      </c>
      <c r="E32" s="1067" t="s">
        <v>4912</v>
      </c>
      <c r="F32" s="124" t="s">
        <v>4957</v>
      </c>
      <c r="G32" s="124" t="str">
        <f>_xlfn.CONCAT(F32," - ",E32," (",D32,")")</f>
        <v>Pull plug - Covered Lagoon  - TL (A)</v>
      </c>
      <c r="H32" s="124" t="str">
        <f t="shared" si="4"/>
        <v>Shallow pit, pull plug, covered digestion basin, lagoon, irrigation + tanker</v>
      </c>
      <c r="I32" s="124" t="s">
        <v>7504</v>
      </c>
      <c r="J32" s="1068" t="s">
        <v>7505</v>
      </c>
    </row>
    <row r="33" spans="1:10" x14ac:dyDescent="0.3">
      <c r="A33" s="124" t="str">
        <f t="shared" si="2"/>
        <v>Shallow pit, pull plug, covered digestion basin, lagoon, irrigation + drag hose</v>
      </c>
      <c r="B33" s="1067">
        <f ca="1">INDEX(Output.Rankings!$AD$84:$AD$110,MATCH(A33,Output.Rankings!$C$84:$C$110,0))</f>
        <v>19</v>
      </c>
      <c r="C33" s="1067">
        <v>11</v>
      </c>
      <c r="D33" s="1067" t="s">
        <v>2586</v>
      </c>
      <c r="E33" s="1067" t="s">
        <v>4917</v>
      </c>
      <c r="F33" s="124" t="s">
        <v>4957</v>
      </c>
      <c r="G33" s="124" t="str">
        <f t="shared" si="3"/>
        <v>Pull plug - Covered Lagoon  - DHL (B)</v>
      </c>
      <c r="H33" s="124" t="str">
        <f t="shared" si="4"/>
        <v>Shallow pit, pull plug, covered digestion basin, lagoon, irrigation + drag hose</v>
      </c>
      <c r="I33" s="124" t="s">
        <v>7506</v>
      </c>
      <c r="J33" s="1068" t="s">
        <v>7505</v>
      </c>
    </row>
    <row r="34" spans="1:10" x14ac:dyDescent="0.3">
      <c r="A34" s="124" t="str">
        <f>I34</f>
        <v>Shallow pit, scrape auto, above ground storage tank, tanker</v>
      </c>
      <c r="B34" s="1067">
        <f ca="1">INDEX(Output.Rankings!$AD$84:$AD$110,MATCH(A34,Output.Rankings!$C$84:$C$110,0))</f>
        <v>7</v>
      </c>
      <c r="C34" s="1994">
        <v>12</v>
      </c>
      <c r="D34" s="1994" t="s">
        <v>4913</v>
      </c>
      <c r="E34" s="1994" t="s">
        <v>4912</v>
      </c>
      <c r="F34" s="1995" t="s">
        <v>5467</v>
      </c>
      <c r="G34" s="1995" t="str">
        <f t="shared" si="3"/>
        <v>Outside SS covered storage - TL (A)</v>
      </c>
      <c r="H34" s="1995" t="str">
        <f t="shared" si="4"/>
        <v>Shallow pit, scrape auto, above ground storage tank, tanker</v>
      </c>
      <c r="I34" s="1995" t="s">
        <v>4702</v>
      </c>
      <c r="J34" s="1996" t="s">
        <v>5468</v>
      </c>
    </row>
    <row r="35" spans="1:10" x14ac:dyDescent="0.3">
      <c r="A35" s="124" t="str">
        <f t="shared" si="2"/>
        <v>Shallow pit, scrape auto, above ground storage tank, drag hose</v>
      </c>
      <c r="B35" s="1067">
        <f ca="1">INDEX(Output.Rankings!$AD$84:$AD$110,MATCH(A35,Output.Rankings!$C$84:$C$110,0))</f>
        <v>13</v>
      </c>
      <c r="C35" s="1067">
        <v>12</v>
      </c>
      <c r="D35" s="1067" t="s">
        <v>2586</v>
      </c>
      <c r="E35" s="1067" t="s">
        <v>4917</v>
      </c>
      <c r="F35" s="124" t="s">
        <v>5467</v>
      </c>
      <c r="G35" s="124" t="str">
        <f t="shared" si="3"/>
        <v>Outside SS covered storage - DHL (B)</v>
      </c>
      <c r="H35" s="124" t="str">
        <f t="shared" si="4"/>
        <v>Shallow pit, scrape auto, above ground storage tank, drag hose</v>
      </c>
      <c r="I35" s="124" t="s">
        <v>4703</v>
      </c>
      <c r="J35" s="1068" t="s">
        <v>5469</v>
      </c>
    </row>
    <row r="36" spans="1:10" x14ac:dyDescent="0.3">
      <c r="A36" s="124" t="str">
        <f t="shared" si="2"/>
        <v>Shallow pit, scrape auto, compost, tanker</v>
      </c>
      <c r="B36" s="1067">
        <f ca="1">INDEX(Output.Rankings!$AD$84:$AD$110,MATCH(A36,Output.Rankings!$C$84:$C$110,0))</f>
        <v>15</v>
      </c>
      <c r="C36" s="1067">
        <v>13</v>
      </c>
      <c r="D36" s="1067" t="s">
        <v>4913</v>
      </c>
      <c r="E36" s="1067" t="s">
        <v>4912</v>
      </c>
      <c r="F36" s="124" t="s">
        <v>5470</v>
      </c>
      <c r="G36" s="124" t="str">
        <f t="shared" si="3"/>
        <v>Scrape -  Compost - TL (A)</v>
      </c>
      <c r="H36" s="124" t="str">
        <f t="shared" si="4"/>
        <v>Shallow pit, scrape auto, compost, tanker</v>
      </c>
      <c r="I36" s="1069" t="s">
        <v>4704</v>
      </c>
      <c r="J36" s="1068" t="s">
        <v>5471</v>
      </c>
    </row>
    <row r="37" spans="1:10" x14ac:dyDescent="0.3">
      <c r="A37" s="124" t="str">
        <f t="shared" si="2"/>
        <v>Shallow pit, scrape auto, slope screen, lagoon, irrigation + tanker</v>
      </c>
      <c r="B37" s="1067">
        <f ca="1">INDEX(Output.Rankings!$AD$84:$AD$110,MATCH(A37,Output.Rankings!$C$84:$C$110,0))</f>
        <v>8</v>
      </c>
      <c r="C37" s="1067">
        <v>14</v>
      </c>
      <c r="D37" s="1067" t="s">
        <v>4913</v>
      </c>
      <c r="E37" s="1067" t="s">
        <v>4912</v>
      </c>
      <c r="F37" s="124" t="s">
        <v>5472</v>
      </c>
      <c r="G37" s="124" t="str">
        <f t="shared" si="3"/>
        <v>Scrape - Inclined SS - Lagoon - TL (A)</v>
      </c>
      <c r="H37" s="124" t="str">
        <f t="shared" si="4"/>
        <v>Shallow pit, scrape auto, slope screen, lagoon, irrigation + tanker</v>
      </c>
      <c r="I37" s="124" t="s">
        <v>7507</v>
      </c>
      <c r="J37" s="124" t="s">
        <v>7508</v>
      </c>
    </row>
    <row r="38" spans="1:10" x14ac:dyDescent="0.3">
      <c r="A38" s="124" t="str">
        <f t="shared" si="2"/>
        <v>Shallow pit, scrape auto, slope screen, lagoon, irrigation + drag hose</v>
      </c>
      <c r="B38" s="1067">
        <f ca="1">INDEX(Output.Rankings!$AD$84:$AD$110,MATCH(A38,Output.Rankings!$C$84:$C$110,0))</f>
        <v>17</v>
      </c>
      <c r="C38" s="1067">
        <v>14</v>
      </c>
      <c r="D38" s="1067" t="s">
        <v>2586</v>
      </c>
      <c r="E38" s="1067" t="s">
        <v>4917</v>
      </c>
      <c r="F38" s="124" t="s">
        <v>5472</v>
      </c>
      <c r="G38" s="124" t="str">
        <f t="shared" si="3"/>
        <v>Scrape - Inclined SS - Lagoon - DHL (B)</v>
      </c>
      <c r="H38" s="124" t="str">
        <f t="shared" si="4"/>
        <v>Shallow pit, scrape auto, slope screen, lagoon, irrigation + drag hose</v>
      </c>
      <c r="I38" s="124" t="s">
        <v>7509</v>
      </c>
      <c r="J38" s="124" t="s">
        <v>7508</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CB6C-B47B-4807-AF83-C4FC2B1EDBE8}">
  <dimension ref="A1:D28"/>
  <sheetViews>
    <sheetView workbookViewId="0">
      <selection sqref="A1:C1"/>
    </sheetView>
  </sheetViews>
  <sheetFormatPr defaultRowHeight="14.4" x14ac:dyDescent="0.3"/>
  <cols>
    <col min="1" max="1" width="5.88671875" customWidth="1"/>
    <col min="2" max="2" width="9.88671875" bestFit="1" customWidth="1"/>
    <col min="3" max="3" width="67" customWidth="1"/>
    <col min="4" max="4" width="164.33203125" customWidth="1"/>
  </cols>
  <sheetData>
    <row r="1" spans="1:4" x14ac:dyDescent="0.3">
      <c r="A1" t="s">
        <v>459</v>
      </c>
      <c r="B1" t="s">
        <v>2580</v>
      </c>
      <c r="C1" t="s">
        <v>5453</v>
      </c>
      <c r="D1" t="s">
        <v>109</v>
      </c>
    </row>
    <row r="2" spans="1:4" x14ac:dyDescent="0.3">
      <c r="A2">
        <v>1</v>
      </c>
      <c r="B2">
        <f ca="1">MATCH(A2,TO.AHP.RANKS,0)</f>
        <v>1</v>
      </c>
      <c r="C2" t="str" cm="1">
        <f t="array" aca="1" ref="C2" ca="1">INDEX(Output.Rankings!$C$84:$C$110,B2)</f>
        <v>Deep pit, tanker</v>
      </c>
      <c r="D2" t="str" cm="1">
        <f t="array" aca="1" ref="D2" ca="1">INDEX(Sc.Table!$J$12:$J$38,B2)</f>
        <v>The farm uses a deep pit slurry storage system, where the manure and wash water is stored for a period of time before being emptied. The accumulated slurry is agitated and land-applied using tractor-pulled tanker method.</v>
      </c>
    </row>
    <row r="3" spans="1:4" x14ac:dyDescent="0.3">
      <c r="A3">
        <v>2</v>
      </c>
      <c r="B3">
        <f t="shared" ref="B3:B28" ca="1" si="0">MATCH(A3,TO.AHP.RANKS,0)</f>
        <v>3</v>
      </c>
      <c r="C3" t="str" cm="1">
        <f t="array" aca="1" ref="C3" ca="1">INDEX(Output.Rankings!$C$84:$C$110,B3)</f>
        <v>Deep pit, aeration, tanker</v>
      </c>
      <c r="D3" t="str" cm="1">
        <f t="array" aca="1" ref="D3" ca="1">INDEX(Sc.Table!$J$12:$J$38,B3)</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tractor-pulled tanker method.</v>
      </c>
    </row>
    <row r="4" spans="1:4" x14ac:dyDescent="0.3">
      <c r="A4">
        <v>3</v>
      </c>
      <c r="B4">
        <f t="shared" ca="1" si="0"/>
        <v>2</v>
      </c>
      <c r="C4" t="str" cm="1">
        <f t="array" aca="1" ref="C4" ca="1">INDEX(Output.Rankings!$C$84:$C$110,B4)</f>
        <v>Deep pit, drag hose</v>
      </c>
      <c r="D4" t="str" cm="1">
        <f t="array" aca="1" ref="D4" ca="1">INDEX(Sc.Table!$J$12:$J$38,B4)</f>
        <v>The farm uses a deep pit slurry storage system, where the manure and wash water is stored for a period of time before being emptied. The accumulated slurry is agitated and land-applied using tractor-pulled drag hose method.</v>
      </c>
    </row>
    <row r="5" spans="1:4" x14ac:dyDescent="0.3">
      <c r="A5">
        <v>4</v>
      </c>
      <c r="B5">
        <f t="shared" ca="1" si="0"/>
        <v>4</v>
      </c>
      <c r="C5" t="str" cm="1">
        <f t="array" aca="1" ref="C5" ca="1">INDEX(Output.Rankings!$C$84:$C$110,B5)</f>
        <v>Deep pit, aeration, drag hose</v>
      </c>
      <c r="D5" t="str" cm="1">
        <f t="array" aca="1" ref="D5" ca="1">INDEX(Sc.Table!$J$12:$J$38,B5)</f>
        <v>The farm uses a deep pit slurry storage system with precise aeration, where the manure and wash water is stored for a period of time before being emptied. The aeration system spreads compressed air throughout the pit increasing oxygen levels, ensuring it is constantly in a liquid state. The accumulated slurry is agitated and land-applied using the tractor-pulled drag hose method.</v>
      </c>
    </row>
    <row r="6" spans="1:4" x14ac:dyDescent="0.3">
      <c r="A6">
        <v>5</v>
      </c>
      <c r="B6">
        <f t="shared" ca="1" si="0"/>
        <v>7</v>
      </c>
      <c r="C6" t="str" cm="1">
        <f t="array" aca="1" ref="C6" ca="1">INDEX(Output.Rankings!$C$84:$C$110,B6)</f>
        <v>Shallow pit, scrape auto, lagoon, irrigation + tanker</v>
      </c>
      <c r="D6" t="str" cm="1">
        <f t="array" aca="1" ref="D6" ca="1">INDEX(Sc.Table!$J$12:$J$38,B6)</f>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row>
    <row r="7" spans="1:4" x14ac:dyDescent="0.3">
      <c r="A7">
        <v>6</v>
      </c>
      <c r="B7">
        <f t="shared" ca="1" si="0"/>
        <v>5</v>
      </c>
      <c r="C7" t="str" cm="1">
        <f t="array" aca="1" ref="C7" ca="1">INDEX(Output.Rankings!$C$84:$C$110,B7)</f>
        <v>Shallow pit, flush, lagoon, irrigation + tanker</v>
      </c>
      <c r="D7" t="str" cm="1">
        <f t="array" aca="1" ref="D7" ca="1">INDEX(Sc.Table!$J$12:$J$38,B7)</f>
        <v>The farm uses a flush water system for barn cleaning. The flushed manure flows to a lagoon and is stored for a period of time before it is emptied. The accumulated sludge is removed after a long storage period. Both the liquids and sludge removal is done with agitation and land applied using the tractor-pulled tanker method.</v>
      </c>
    </row>
    <row r="8" spans="1:4" x14ac:dyDescent="0.3">
      <c r="A8">
        <v>7</v>
      </c>
      <c r="B8">
        <f t="shared" ca="1" si="0"/>
        <v>23</v>
      </c>
      <c r="C8" t="str" cm="1">
        <f t="array" aca="1" ref="C8" ca="1">INDEX(Output.Rankings!$C$84:$C$110,B8)</f>
        <v>Shallow pit, scrape auto, above ground storage tank, tanker</v>
      </c>
      <c r="D8" t="str" cm="1">
        <f t="array" aca="1" ref="D8" ca="1">INDEX(Sc.Table!$J$12:$J$38,B8)</f>
        <v>The farm uses a scrape system for barn cleaning. The scraped manure is collected in a reception pit and pumped to an outside Slurry Storage tank for a period of time before it is emptied. The slurry removal is done with agitation and land applied using the tractor-pulled tanker method.</v>
      </c>
    </row>
    <row r="9" spans="1:4" x14ac:dyDescent="0.3">
      <c r="A9">
        <v>8</v>
      </c>
      <c r="B9">
        <f t="shared" ca="1" si="0"/>
        <v>26</v>
      </c>
      <c r="C9" t="str" cm="1">
        <f t="array" aca="1" ref="C9" ca="1">INDEX(Output.Rankings!$C$84:$C$110,B9)</f>
        <v>Shallow pit, scrape auto, slope screen, lagoon, irrigation + tanker</v>
      </c>
      <c r="D9" t="str" cm="1">
        <f t="array" aca="1" ref="D9" ca="1">INDEX(Sc.Table!$J$12:$J$38,B9)</f>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row>
    <row r="10" spans="1:4" x14ac:dyDescent="0.3">
      <c r="A10">
        <v>9</v>
      </c>
      <c r="B10">
        <f t="shared" ca="1" si="0"/>
        <v>17</v>
      </c>
      <c r="C10" t="str" cm="1">
        <f t="array" aca="1" ref="C10" ca="1">INDEX(Output.Rankings!$C$84:$C$110,B10)</f>
        <v>Shallow pit, flush, covered digestion basin, lagoon, irrigation + tanker</v>
      </c>
      <c r="D10" t="str" cm="1">
        <f t="array" aca="1" ref="D10" ca="1">INDEX(Sc.Table!$J$12:$J$38,B10)</f>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emptied.Liquids are land applied via irrigation while the accumulated sludge is removed after a longer storage period and land applied via agitation and tractor-pulled tanker.</v>
      </c>
    </row>
    <row r="11" spans="1:4" x14ac:dyDescent="0.3">
      <c r="A11">
        <v>10</v>
      </c>
      <c r="B11">
        <f t="shared" ca="1" si="0"/>
        <v>21</v>
      </c>
      <c r="C11" t="str" cm="1">
        <f t="array" aca="1" ref="C11" ca="1">INDEX(Output.Rankings!$C$84:$C$110,B11)</f>
        <v>Shallow pit, pull plug, covered digestion basin, lagoon, irrigation + tanker</v>
      </c>
      <c r="D11" t="str" cm="1">
        <f t="array" aca="1" ref="D11" ca="1">INDEX(Sc.Table!$J$12:$J$38,B11)</f>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12" spans="1:4" x14ac:dyDescent="0.3">
      <c r="A12">
        <v>11</v>
      </c>
      <c r="B12">
        <f t="shared" ca="1" si="0"/>
        <v>9</v>
      </c>
      <c r="C12" t="str" cm="1">
        <f t="array" aca="1" ref="C12" ca="1">INDEX(Output.Rankings!$C$84:$C$110,B12)</f>
        <v>Shallow pit, pull plug, lagoon, irrigation + tanker</v>
      </c>
      <c r="D12" t="str" cm="1">
        <f t="array" aca="1" ref="D12" ca="1">INDEX(Sc.Table!$J$12:$J$38,B12)</f>
        <v>The farm uses a pull-plug method for barn cleaning. Then the manure flows to a lagoon and is stored for a period of time before it is emptied. Liquids are land applied via irrigation while the accumulated sludge is removed after a longer storage period and land applied via agitation and tractor-pulled tanker.</v>
      </c>
    </row>
    <row r="13" spans="1:4" x14ac:dyDescent="0.3">
      <c r="A13">
        <v>12</v>
      </c>
      <c r="B13">
        <f t="shared" ca="1" si="0"/>
        <v>19</v>
      </c>
      <c r="C13" t="str" cm="1">
        <f t="array" aca="1" ref="C13" ca="1">INDEX(Output.Rankings!$C$84:$C$110,B13)</f>
        <v>Shallow pit, scrape auto, covered digestion basin, lagoon, irrigation + tanker</v>
      </c>
      <c r="D13" t="str" cm="1">
        <f t="array" aca="1" ref="D13" ca="1">INDEX(Sc.Table!$J$12:$J$38,B13)</f>
        <v>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14" spans="1:4" x14ac:dyDescent="0.3">
      <c r="A14">
        <v>13</v>
      </c>
      <c r="B14">
        <f t="shared" ca="1" si="0"/>
        <v>24</v>
      </c>
      <c r="C14" t="str" cm="1">
        <f t="array" aca="1" ref="C14" ca="1">INDEX(Output.Rankings!$C$84:$C$110,B14)</f>
        <v>Shallow pit, scrape auto, above ground storage tank, drag hose</v>
      </c>
      <c r="D14" t="str" cm="1">
        <f t="array" aca="1" ref="D14" ca="1">INDEX(Sc.Table!$J$12:$J$38,B14)</f>
        <v>The farm uses a scrape system for barn cleaning. The scraped manure is collected in a reception pit and pumped to an outside Slurry Storage tank for a period of time before it is emptied. The slurry removal is done with agitation and land applied using the  tractor-pulled drag hose method.</v>
      </c>
    </row>
    <row r="15" spans="1:4" x14ac:dyDescent="0.3">
      <c r="A15">
        <v>14</v>
      </c>
      <c r="B15">
        <f t="shared" ca="1" si="0"/>
        <v>8</v>
      </c>
      <c r="C15" t="str" cm="1">
        <f t="array" aca="1" ref="C15" ca="1">INDEX(Output.Rankings!$C$84:$C$110,B15)</f>
        <v>Shallow pit, scrape auto, lagoon, irrigation + drag hose</v>
      </c>
      <c r="D15" t="str" cm="1">
        <f t="array" aca="1" ref="D15" ca="1">INDEX(Sc.Table!$J$12:$J$38,B15)</f>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row>
    <row r="16" spans="1:4" x14ac:dyDescent="0.3">
      <c r="A16">
        <v>15</v>
      </c>
      <c r="B16">
        <f t="shared" ca="1" si="0"/>
        <v>25</v>
      </c>
      <c r="C16" t="str" cm="1">
        <f t="array" aca="1" ref="C16" ca="1">INDEX(Output.Rankings!$C$84:$C$110,B16)</f>
        <v>Shallow pit, scrape auto, compost, tanker</v>
      </c>
      <c r="D16" t="str" cm="1">
        <f t="array" aca="1" ref="D16" ca="1">INDEX(Sc.Table!$J$12:$J$38,B16)</f>
        <v>The farm uses a scrape system for barn cleaning. The manure is scraped into a collection pit and pumped to an on-site facility for composting.</v>
      </c>
    </row>
    <row r="17" spans="1:4" x14ac:dyDescent="0.3">
      <c r="A17">
        <v>16</v>
      </c>
      <c r="B17">
        <f t="shared" ca="1" si="0"/>
        <v>6</v>
      </c>
      <c r="C17" t="str" cm="1">
        <f t="array" aca="1" ref="C17" ca="1">INDEX(Output.Rankings!$C$84:$C$110,B17)</f>
        <v>Shallow pit, flush, lagoon, irrigation + drag hose</v>
      </c>
      <c r="D17" t="str" cm="1">
        <f t="array" aca="1" ref="D17" ca="1">INDEX(Sc.Table!$J$12:$J$38,B17)</f>
        <v>The farm uses a flush water system for barn cleaning. The flushed manure flows to a lagoon and is stored for a period of time before it is emptied. Liquids are land applied via irrigation while the accumulated sludge is removed after a longer storage period and land applied via agitation and tractor-pulled tanker.</v>
      </c>
    </row>
    <row r="18" spans="1:4" x14ac:dyDescent="0.3">
      <c r="A18">
        <v>17</v>
      </c>
      <c r="B18">
        <f t="shared" ca="1" si="0"/>
        <v>27</v>
      </c>
      <c r="C18" t="str" cm="1">
        <f t="array" aca="1" ref="C18" ca="1">INDEX(Output.Rankings!$C$84:$C$110,B18)</f>
        <v>Shallow pit, scrape auto, slope screen, lagoon, irrigation + drag hose</v>
      </c>
      <c r="D18" t="str" cm="1">
        <f t="array" aca="1" ref="D18" ca="1">INDEX(Sc.Table!$J$12:$J$38,B18)</f>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row>
    <row r="19" spans="1:4" x14ac:dyDescent="0.3">
      <c r="A19">
        <v>18</v>
      </c>
      <c r="B19">
        <f t="shared" ca="1" si="0"/>
        <v>18</v>
      </c>
      <c r="C19" t="str" cm="1">
        <f t="array" aca="1" ref="C19" ca="1">INDEX(Output.Rankings!$C$84:$C$110,B19)</f>
        <v>Shallow pit, flush, covered digestion basin, lagoon, irrigation + drag hose</v>
      </c>
      <c r="D19" t="str" cm="1">
        <f t="array" aca="1" ref="D19" ca="1">INDEX(Sc.Table!$J$12:$J$38,B19)</f>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0" spans="1:4" x14ac:dyDescent="0.3">
      <c r="A20">
        <v>19</v>
      </c>
      <c r="B20">
        <f t="shared" ca="1" si="0"/>
        <v>22</v>
      </c>
      <c r="C20" t="str" cm="1">
        <f t="array" aca="1" ref="C20" ca="1">INDEX(Output.Rankings!$C$84:$C$110,B20)</f>
        <v>Shallow pit, pull plug, covered digestion basin, lagoon, irrigation + drag hose</v>
      </c>
      <c r="D20" t="str" cm="1">
        <f t="array" aca="1" ref="D20" ca="1">INDEX(Sc.Table!$J$12:$J$38,B20)</f>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1" spans="1:4" x14ac:dyDescent="0.3">
      <c r="A21">
        <v>20</v>
      </c>
      <c r="B21">
        <f t="shared" ca="1" si="0"/>
        <v>10</v>
      </c>
      <c r="C21" t="str" cm="1">
        <f t="array" aca="1" ref="C21" ca="1">INDEX(Output.Rankings!$C$84:$C$110,B21)</f>
        <v>Shallow pit, pull plug, lagoon, irrigation + drag hose</v>
      </c>
      <c r="D21" t="str" cm="1">
        <f t="array" aca="1" ref="D21" ca="1">INDEX(Sc.Table!$J$12:$J$38,B21)</f>
        <v>The farm uses a pull-plug method for barn cleaning. Then the manure flows to a lagoon and is stored for a period of time before it is emptied. Liquids are land applied via irrigation while the accumulated sludge is removed after a longer storage period and land applied via agitation and tractor-pulled tanker.</v>
      </c>
    </row>
    <row r="22" spans="1:4" x14ac:dyDescent="0.3">
      <c r="A22">
        <v>21</v>
      </c>
      <c r="B22">
        <f t="shared" ca="1" si="0"/>
        <v>20</v>
      </c>
      <c r="C22" t="str" cm="1">
        <f t="array" aca="1" ref="C22" ca="1">INDEX(Output.Rankings!$C$84:$C$110,B22)</f>
        <v>Shallow pit, scrape auto, covered digestion basin, lagoon, irrigation + drag hose</v>
      </c>
      <c r="D22" t="str" cm="1">
        <f t="array" aca="1" ref="D22" ca="1">INDEX(Sc.Table!$J$12:$J$38,B22)</f>
        <v>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3" spans="1:4" x14ac:dyDescent="0.3">
      <c r="A23">
        <v>22</v>
      </c>
      <c r="B23">
        <f t="shared" ca="1" si="0"/>
        <v>13</v>
      </c>
      <c r="C23" t="str" cm="1">
        <f t="array" aca="1" ref="C23" ca="1">INDEX(Output.Rankings!$C$84:$C$110,B23)</f>
        <v>Shallow pit, scrape auto, AD, lagoon, irrigation + tanker</v>
      </c>
      <c r="D23" t="str" cm="1">
        <f t="array" aca="1" ref="D23" ca="1">INDEX(Sc.Table!$J$12:$J$38,B23)</f>
        <v>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4" spans="1:4" x14ac:dyDescent="0.3">
      <c r="A24">
        <v>23</v>
      </c>
      <c r="B24">
        <f t="shared" ca="1" si="0"/>
        <v>15</v>
      </c>
      <c r="C24" t="str" cm="1">
        <f t="array" aca="1" ref="C24" ca="1">INDEX(Output.Rankings!$C$84:$C$110,B24)</f>
        <v>Shallow pit, pull plug, AD, lagoon, irrigation + tanker</v>
      </c>
      <c r="D24" t="str" cm="1">
        <f t="array" aca="1" ref="D24" ca="1">INDEX(Sc.Table!$J$12:$J$38,B24)</f>
        <v>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5" spans="1:4" x14ac:dyDescent="0.3">
      <c r="A25">
        <v>24</v>
      </c>
      <c r="B25">
        <f t="shared" ca="1" si="0"/>
        <v>14</v>
      </c>
      <c r="C25" t="str" cm="1">
        <f t="array" aca="1" ref="C25" ca="1">INDEX(Output.Rankings!$C$84:$C$110,B25)</f>
        <v>Shallow pit, scrape auto, AD, lagoon, irrigation + drag hose</v>
      </c>
      <c r="D25" t="str" cm="1">
        <f t="array" aca="1" ref="D25" ca="1">INDEX(Sc.Table!$J$12:$J$38,B25)</f>
        <v>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6" spans="1:4" x14ac:dyDescent="0.3">
      <c r="A26">
        <v>25</v>
      </c>
      <c r="B26">
        <f t="shared" ca="1" si="0"/>
        <v>16</v>
      </c>
      <c r="C26" t="str" cm="1">
        <f t="array" aca="1" ref="C26" ca="1">INDEX(Output.Rankings!$C$84:$C$110,B26)</f>
        <v>Shallow pit, pull plug, AD, lagoon, irrigation + drag hose</v>
      </c>
      <c r="D26" t="str" cm="1">
        <f t="array" aca="1" ref="D26" ca="1">INDEX(Sc.Table!$J$12:$J$38,B26)</f>
        <v>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7" spans="1:4" x14ac:dyDescent="0.3">
      <c r="A27">
        <v>26</v>
      </c>
      <c r="B27">
        <f t="shared" ca="1" si="0"/>
        <v>11</v>
      </c>
      <c r="C27" t="str" cm="1">
        <f t="array" aca="1" ref="C27" ca="1">INDEX(Output.Rankings!$C$84:$C$110,B27)</f>
        <v>Shallow pit, flush, AD, lagoon, irrigation + tanker</v>
      </c>
      <c r="D27" t="str" cm="1">
        <f t="array" aca="1" ref="D27" ca="1">INDEX(Sc.Table!$J$12:$J$38,B27)</f>
        <v>The farm uses a flush water system for barn cleaning. The flushed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row r="28" spans="1:4" x14ac:dyDescent="0.3">
      <c r="A28">
        <v>27</v>
      </c>
      <c r="B28">
        <f t="shared" ca="1" si="0"/>
        <v>12</v>
      </c>
      <c r="C28" t="str" cm="1">
        <f t="array" aca="1" ref="C28" ca="1">INDEX(Output.Rankings!$C$84:$C$110,B28)</f>
        <v>Shallow pit, flush, AD, lagoon, irrigation + drag hose</v>
      </c>
      <c r="D28" t="str" cm="1">
        <f t="array" aca="1" ref="D28" ca="1">INDEX(Sc.Table!$J$12:$J$38,B28)</f>
        <v>The farm uses a flush water system for barn cleaning. The flushed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1E38-B506-4C59-B1EA-1D7C4180DEC4}">
  <sheetPr>
    <tabColor rgb="FF92D050"/>
  </sheetPr>
  <dimension ref="B2:J40"/>
  <sheetViews>
    <sheetView workbookViewId="0">
      <selection sqref="A1:C1"/>
    </sheetView>
  </sheetViews>
  <sheetFormatPr defaultRowHeight="14.4" x14ac:dyDescent="0.3"/>
  <cols>
    <col min="2" max="2" width="66.44140625" bestFit="1" customWidth="1"/>
    <col min="6" max="6" width="8.5546875" bestFit="1" customWidth="1"/>
    <col min="7" max="7" width="14.109375" customWidth="1"/>
    <col min="8" max="8" width="20.33203125" customWidth="1"/>
    <col min="9" max="9" width="12.5546875" bestFit="1" customWidth="1"/>
  </cols>
  <sheetData>
    <row r="2" spans="2:10" x14ac:dyDescent="0.3">
      <c r="B2" s="1342" t="s">
        <v>5473</v>
      </c>
      <c r="C2" s="1342"/>
      <c r="D2" s="1342"/>
      <c r="E2" s="1343"/>
      <c r="F2" s="1588" t="s">
        <v>602</v>
      </c>
      <c r="G2" s="1700" t="s">
        <v>5474</v>
      </c>
      <c r="H2" s="1344"/>
    </row>
    <row r="3" spans="2:10" x14ac:dyDescent="0.3">
      <c r="B3" s="714" t="s">
        <v>5475</v>
      </c>
      <c r="C3" s="49"/>
      <c r="D3" s="52"/>
      <c r="E3" s="52"/>
      <c r="F3" s="48"/>
      <c r="G3" s="1346">
        <f>UDV.animal.total</f>
        <v>500</v>
      </c>
      <c r="H3" s="18" t="s">
        <v>2329</v>
      </c>
    </row>
    <row r="4" spans="2:10" x14ac:dyDescent="0.3">
      <c r="B4" s="714" t="s">
        <v>5476</v>
      </c>
      <c r="C4" s="49"/>
      <c r="D4" s="52"/>
      <c r="E4" s="52"/>
      <c r="F4" s="48"/>
      <c r="G4" s="1354">
        <f>UDV.animal.manure</f>
        <v>2795.0049999999997</v>
      </c>
      <c r="H4" s="18" t="s">
        <v>2409</v>
      </c>
      <c r="I4" s="148">
        <f>G4*365</f>
        <v>1020176.8249999998</v>
      </c>
      <c r="J4" t="s">
        <v>5477</v>
      </c>
    </row>
    <row r="5" spans="2:10" x14ac:dyDescent="0.3">
      <c r="B5" s="602" t="s">
        <v>5478</v>
      </c>
      <c r="C5" s="602"/>
      <c r="D5" s="1352"/>
      <c r="E5" s="1352"/>
      <c r="F5" s="131"/>
      <c r="G5" s="1355">
        <f>UDV.animal.TS</f>
        <v>273.00499999999988</v>
      </c>
      <c r="H5" s="1353" t="s">
        <v>2409</v>
      </c>
    </row>
    <row r="6" spans="2:10" x14ac:dyDescent="0.3">
      <c r="B6" s="602" t="s">
        <v>5479</v>
      </c>
      <c r="C6" s="602"/>
      <c r="D6" s="1352"/>
      <c r="E6" s="1352"/>
      <c r="F6" s="131"/>
      <c r="G6" s="1355">
        <f>UDV.animal.VS</f>
        <v>221.00449999999995</v>
      </c>
      <c r="H6" s="1353" t="s">
        <v>2409</v>
      </c>
    </row>
    <row r="7" spans="2:10" x14ac:dyDescent="0.3">
      <c r="B7" s="602" t="s">
        <v>5480</v>
      </c>
      <c r="C7" s="1347"/>
      <c r="D7" s="1348"/>
      <c r="E7" s="1349"/>
      <c r="F7" s="1350"/>
      <c r="G7" s="1355">
        <f>UDV.animal.N</f>
        <v>26.000450000000001</v>
      </c>
      <c r="H7" s="1351" t="s">
        <v>2409</v>
      </c>
      <c r="I7" s="148">
        <f>G7*365</f>
        <v>9490.1642499999998</v>
      </c>
      <c r="J7" t="s">
        <v>5477</v>
      </c>
    </row>
    <row r="8" spans="2:10" x14ac:dyDescent="0.3">
      <c r="B8" s="602" t="s">
        <v>5481</v>
      </c>
      <c r="C8" s="1347"/>
      <c r="D8" s="1348"/>
      <c r="E8" s="1349"/>
      <c r="F8" s="1350"/>
      <c r="G8" s="1355">
        <f>UDV.animal.P2O5</f>
        <v>9.1001499999999993</v>
      </c>
      <c r="H8" s="1351" t="s">
        <v>2409</v>
      </c>
    </row>
    <row r="9" spans="2:10" x14ac:dyDescent="0.3">
      <c r="B9" s="602" t="s">
        <v>5482</v>
      </c>
      <c r="C9" s="1347"/>
      <c r="D9" s="1348"/>
      <c r="E9" s="1349"/>
      <c r="F9" s="1350"/>
      <c r="G9" s="1355">
        <f>UDV.animal.K2O</f>
        <v>11.700249999999999</v>
      </c>
      <c r="H9" s="1351" t="s">
        <v>2409</v>
      </c>
    </row>
    <row r="10" spans="2:10" x14ac:dyDescent="0.3">
      <c r="B10" s="602" t="s">
        <v>5483</v>
      </c>
      <c r="C10" s="49"/>
      <c r="D10" s="49"/>
      <c r="E10" s="49"/>
      <c r="F10" s="49"/>
      <c r="G10" s="1359">
        <f>UDV.density.manure</f>
        <v>993.99999999999989</v>
      </c>
      <c r="H10" s="1351" t="s">
        <v>2416</v>
      </c>
    </row>
    <row r="11" spans="2:10" x14ac:dyDescent="0.3">
      <c r="B11" s="602" t="s">
        <v>5484</v>
      </c>
      <c r="C11" s="49"/>
      <c r="D11" s="49"/>
      <c r="E11" s="49"/>
      <c r="F11" s="49"/>
      <c r="G11" s="1360">
        <f>G4*UC.m3_to_L/G10</f>
        <v>2811.8762575452715</v>
      </c>
      <c r="H11" s="1351" t="s">
        <v>2519</v>
      </c>
    </row>
    <row r="12" spans="2:10" x14ac:dyDescent="0.3">
      <c r="B12" s="1342" t="s">
        <v>5485</v>
      </c>
      <c r="C12" s="1342"/>
      <c r="D12" s="1342"/>
      <c r="E12" s="1343"/>
      <c r="F12" s="1344"/>
      <c r="G12" s="1345"/>
      <c r="H12" s="1344"/>
    </row>
    <row r="13" spans="2:10" x14ac:dyDescent="0.3">
      <c r="B13" s="602" t="s">
        <v>5486</v>
      </c>
      <c r="C13" s="49"/>
      <c r="D13" s="49"/>
      <c r="E13" s="49"/>
      <c r="F13" s="49"/>
      <c r="G13" s="1361">
        <f>UDV.sprinkler.fresh_water_used</f>
        <v>0.81858194876712342</v>
      </c>
      <c r="H13" s="1351" t="s">
        <v>2499</v>
      </c>
    </row>
    <row r="14" spans="2:10" x14ac:dyDescent="0.3">
      <c r="B14" s="602" t="s">
        <v>5487</v>
      </c>
      <c r="C14" s="49"/>
      <c r="D14" s="49"/>
      <c r="E14" s="49"/>
      <c r="F14" s="49"/>
      <c r="G14" s="1361">
        <f>UDV.sprinkler.adj_water_used</f>
        <v>0.16371638975342462</v>
      </c>
      <c r="H14" s="1351" t="s">
        <v>2499</v>
      </c>
    </row>
    <row r="15" spans="2:10" x14ac:dyDescent="0.3">
      <c r="B15" s="602" t="s">
        <v>5488</v>
      </c>
      <c r="C15" s="49"/>
      <c r="D15" s="49"/>
      <c r="E15" s="49"/>
      <c r="F15" s="49"/>
      <c r="G15" s="1209">
        <f>G3*G13</f>
        <v>409.29097438356172</v>
      </c>
      <c r="H15" s="1351" t="s">
        <v>2519</v>
      </c>
    </row>
    <row r="16" spans="2:10" x14ac:dyDescent="0.3">
      <c r="B16" s="602" t="s">
        <v>5489</v>
      </c>
      <c r="C16" s="49"/>
      <c r="D16" s="49"/>
      <c r="E16" s="49"/>
      <c r="F16" s="49"/>
      <c r="G16" s="1360">
        <f>G3*G14</f>
        <v>81.858194876712304</v>
      </c>
      <c r="H16" s="1351" t="s">
        <v>2519</v>
      </c>
    </row>
    <row r="17" spans="2:8" x14ac:dyDescent="0.3">
      <c r="B17" s="1342" t="s">
        <v>5490</v>
      </c>
      <c r="C17" s="1342"/>
      <c r="D17" s="1342"/>
      <c r="E17" s="1343"/>
      <c r="F17" s="1344"/>
      <c r="G17" s="1345"/>
      <c r="H17" s="1344"/>
    </row>
    <row r="18" spans="2:8" x14ac:dyDescent="0.3">
      <c r="B18" s="602" t="s">
        <v>5491</v>
      </c>
      <c r="C18" s="49"/>
      <c r="D18" s="49"/>
      <c r="E18" s="49"/>
      <c r="F18" s="49"/>
      <c r="G18" s="1360">
        <f>G11+G16</f>
        <v>2893.7344524219839</v>
      </c>
      <c r="H18" s="1351" t="s">
        <v>2519</v>
      </c>
    </row>
    <row r="19" spans="2:8" x14ac:dyDescent="0.3">
      <c r="B19" s="1342" t="s">
        <v>5492</v>
      </c>
      <c r="C19" s="1342"/>
      <c r="D19" s="1342"/>
      <c r="E19" s="1343"/>
      <c r="F19" s="1344"/>
      <c r="G19" s="1345"/>
      <c r="H19" s="1344"/>
    </row>
    <row r="20" spans="2:8" x14ac:dyDescent="0.3">
      <c r="B20" s="605" t="s">
        <v>5493</v>
      </c>
      <c r="C20" s="49"/>
      <c r="D20" s="49"/>
      <c r="E20" s="49"/>
      <c r="F20" s="49"/>
      <c r="G20" s="1393">
        <f>UDV.handling_manure.flow_flush</f>
        <v>28390</v>
      </c>
      <c r="H20" s="18" t="s">
        <v>2519</v>
      </c>
    </row>
    <row r="21" spans="2:8" x14ac:dyDescent="0.3">
      <c r="B21" s="49" t="s">
        <v>5494</v>
      </c>
      <c r="C21" s="49"/>
      <c r="D21" s="49"/>
      <c r="E21" s="49"/>
      <c r="F21" s="49"/>
      <c r="G21" s="1414">
        <f>UDV.rfw.fraction_recycled</f>
        <v>1</v>
      </c>
      <c r="H21" s="18" t="s">
        <v>1694</v>
      </c>
    </row>
    <row r="22" spans="2:8" x14ac:dyDescent="0.3">
      <c r="B22" s="49" t="s">
        <v>5495</v>
      </c>
      <c r="C22" s="49"/>
      <c r="D22" s="49"/>
      <c r="E22" s="49"/>
      <c r="F22" s="49"/>
      <c r="G22" s="49">
        <f>G20*G21</f>
        <v>28390</v>
      </c>
      <c r="H22" s="605" t="s">
        <v>2519</v>
      </c>
    </row>
    <row r="23" spans="2:8" x14ac:dyDescent="0.3">
      <c r="B23" s="1351" t="s">
        <v>5496</v>
      </c>
      <c r="C23" s="49"/>
      <c r="D23" s="49"/>
      <c r="E23" s="49"/>
      <c r="F23" s="49"/>
      <c r="G23" s="1521">
        <f>G20-G22</f>
        <v>0</v>
      </c>
      <c r="H23" s="605" t="s">
        <v>2519</v>
      </c>
    </row>
    <row r="24" spans="2:8" x14ac:dyDescent="0.3">
      <c r="B24" s="49" t="s">
        <v>5497</v>
      </c>
      <c r="C24" s="49"/>
      <c r="D24" s="49"/>
      <c r="E24" s="49"/>
      <c r="F24" s="49"/>
      <c r="G24" s="648">
        <f>G18+G20</f>
        <v>31283.734452421984</v>
      </c>
      <c r="H24" s="49" t="s">
        <v>2519</v>
      </c>
    </row>
    <row r="25" spans="2:8" x14ac:dyDescent="0.3">
      <c r="B25" s="1342" t="s">
        <v>5498</v>
      </c>
      <c r="C25" s="1342"/>
      <c r="D25" s="1342"/>
      <c r="E25" s="1343"/>
      <c r="F25" s="1344"/>
      <c r="G25" s="1345"/>
      <c r="H25" s="1344"/>
    </row>
    <row r="26" spans="2:8" x14ac:dyDescent="0.3">
      <c r="B26" s="49" t="s">
        <v>5499</v>
      </c>
      <c r="C26" s="49"/>
      <c r="D26" s="49"/>
      <c r="E26" s="49"/>
      <c r="F26" s="49"/>
      <c r="G26" s="1359">
        <f>UDV.handling_manure.flow_scrape</f>
        <v>0</v>
      </c>
      <c r="H26" s="49" t="s">
        <v>2519</v>
      </c>
    </row>
    <row r="27" spans="2:8" x14ac:dyDescent="0.3">
      <c r="B27" s="49" t="s">
        <v>5500</v>
      </c>
      <c r="C27" s="49"/>
      <c r="D27" s="49"/>
      <c r="E27" s="49"/>
      <c r="F27" s="49"/>
      <c r="G27" s="1359">
        <v>1</v>
      </c>
      <c r="H27" s="49" t="s">
        <v>5501</v>
      </c>
    </row>
    <row r="28" spans="2:8" x14ac:dyDescent="0.3">
      <c r="B28" s="49" t="s">
        <v>5494</v>
      </c>
      <c r="C28" s="49"/>
      <c r="D28" s="49"/>
      <c r="E28" s="49"/>
      <c r="F28" s="49"/>
      <c r="G28" s="1414">
        <f>IF(G27=0,UDV.rfw.fraction_recycled,0)</f>
        <v>0</v>
      </c>
      <c r="H28" s="18" t="s">
        <v>1694</v>
      </c>
    </row>
    <row r="29" spans="2:8" x14ac:dyDescent="0.3">
      <c r="B29" s="49" t="s">
        <v>5495</v>
      </c>
      <c r="C29" s="49"/>
      <c r="D29" s="49"/>
      <c r="E29" s="49"/>
      <c r="F29" s="49"/>
      <c r="G29" s="49">
        <f>G26*G28</f>
        <v>0</v>
      </c>
      <c r="H29" s="605" t="s">
        <v>2519</v>
      </c>
    </row>
    <row r="30" spans="2:8" x14ac:dyDescent="0.3">
      <c r="B30" s="1351" t="s">
        <v>5496</v>
      </c>
      <c r="C30" s="49"/>
      <c r="D30" s="49"/>
      <c r="E30" s="49"/>
      <c r="F30" s="49"/>
      <c r="G30" s="1521">
        <f>G26-G29</f>
        <v>0</v>
      </c>
      <c r="H30" s="605" t="s">
        <v>2519</v>
      </c>
    </row>
    <row r="31" spans="2:8" x14ac:dyDescent="0.3">
      <c r="B31" s="49" t="s">
        <v>5502</v>
      </c>
      <c r="C31" s="49"/>
      <c r="D31" s="49"/>
      <c r="E31" s="49"/>
      <c r="F31" s="49"/>
      <c r="G31" s="648">
        <f>G18+G26</f>
        <v>2893.7344524219839</v>
      </c>
      <c r="H31" s="49" t="s">
        <v>2519</v>
      </c>
    </row>
    <row r="32" spans="2:8" x14ac:dyDescent="0.3">
      <c r="B32" s="1342" t="s">
        <v>5503</v>
      </c>
      <c r="C32" s="1342"/>
      <c r="D32" s="1342"/>
      <c r="E32" s="1343"/>
      <c r="F32" s="1344"/>
      <c r="G32" s="1345"/>
      <c r="H32" s="1344"/>
    </row>
    <row r="33" spans="2:8" x14ac:dyDescent="0.3">
      <c r="B33" s="49" t="s">
        <v>5504</v>
      </c>
      <c r="C33" s="49"/>
      <c r="D33" s="49"/>
      <c r="E33" s="49"/>
      <c r="F33" s="49"/>
      <c r="G33" s="1359">
        <f>UDV.handling_manure.flow_pullplug</f>
        <v>16199.999999999998</v>
      </c>
      <c r="H33" s="49" t="s">
        <v>2488</v>
      </c>
    </row>
    <row r="34" spans="2:8" x14ac:dyDescent="0.3">
      <c r="B34" s="49" t="s">
        <v>5494</v>
      </c>
      <c r="C34" s="49"/>
      <c r="D34" s="49"/>
      <c r="E34" s="49"/>
      <c r="F34" s="49"/>
      <c r="G34" s="1414">
        <f>UDV.rfw.fraction_recycled</f>
        <v>1</v>
      </c>
      <c r="H34" s="18" t="s">
        <v>1694</v>
      </c>
    </row>
    <row r="35" spans="2:8" x14ac:dyDescent="0.3">
      <c r="B35" s="49" t="s">
        <v>5505</v>
      </c>
      <c r="C35" s="49"/>
      <c r="D35" s="49"/>
      <c r="E35" s="49"/>
      <c r="F35" s="49"/>
      <c r="G35" s="1359">
        <f>UDV.pullplug.time_recharge</f>
        <v>7</v>
      </c>
      <c r="H35" s="49" t="s">
        <v>5506</v>
      </c>
    </row>
    <row r="36" spans="2:8" x14ac:dyDescent="0.3">
      <c r="B36" s="49" t="s">
        <v>5507</v>
      </c>
      <c r="C36" s="49"/>
      <c r="D36" s="49"/>
      <c r="E36" s="49"/>
      <c r="F36" s="49"/>
      <c r="G36" s="1360">
        <f>G33/G35</f>
        <v>2314.2857142857142</v>
      </c>
      <c r="H36" s="49" t="s">
        <v>2519</v>
      </c>
    </row>
    <row r="37" spans="2:8" x14ac:dyDescent="0.3">
      <c r="B37" s="49" t="s">
        <v>5508</v>
      </c>
      <c r="C37" s="49"/>
      <c r="D37" s="49"/>
      <c r="E37" s="49"/>
      <c r="F37" s="49"/>
      <c r="G37" s="1360">
        <f>G34*G36</f>
        <v>2314.2857142857142</v>
      </c>
      <c r="H37" s="49" t="s">
        <v>2519</v>
      </c>
    </row>
    <row r="38" spans="2:8" x14ac:dyDescent="0.3">
      <c r="B38" s="49" t="s">
        <v>5509</v>
      </c>
      <c r="C38" s="49"/>
      <c r="D38" s="49"/>
      <c r="E38" s="49"/>
      <c r="F38" s="49"/>
      <c r="G38" s="1360">
        <f>G36-G37</f>
        <v>0</v>
      </c>
      <c r="H38" s="49" t="s">
        <v>2519</v>
      </c>
    </row>
    <row r="39" spans="2:8" x14ac:dyDescent="0.3">
      <c r="B39" s="49" t="s">
        <v>5510</v>
      </c>
      <c r="C39" s="49"/>
      <c r="D39" s="49"/>
      <c r="E39" s="49"/>
      <c r="F39" s="49"/>
      <c r="G39" s="1360">
        <f>UC.year_to_day/G35</f>
        <v>52.142857142857146</v>
      </c>
      <c r="H39" s="49" t="s">
        <v>2321</v>
      </c>
    </row>
    <row r="40" spans="2:8" x14ac:dyDescent="0.3">
      <c r="B40" s="49" t="s">
        <v>5511</v>
      </c>
      <c r="C40" s="49"/>
      <c r="D40" s="49"/>
      <c r="E40" s="49"/>
      <c r="F40" s="49"/>
      <c r="G40" s="648">
        <f>G18+G36</f>
        <v>5208.0201667076981</v>
      </c>
      <c r="H40" s="49" t="s">
        <v>2519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FB8A-1213-46C8-BA6F-4091AF995446}">
  <sheetPr>
    <tabColor rgb="FF92D050"/>
  </sheetPr>
  <dimension ref="A1:J325"/>
  <sheetViews>
    <sheetView workbookViewId="0">
      <selection sqref="A1:C1"/>
    </sheetView>
  </sheetViews>
  <sheetFormatPr defaultRowHeight="14.4" x14ac:dyDescent="0.3"/>
  <cols>
    <col min="2" max="2" width="98.5546875" bestFit="1" customWidth="1"/>
    <col min="3" max="3" width="29.44140625" bestFit="1" customWidth="1"/>
    <col min="6" max="6" width="8.5546875" bestFit="1" customWidth="1"/>
    <col min="7" max="7" width="20.44140625" customWidth="1"/>
    <col min="8" max="8" width="17.109375" customWidth="1"/>
    <col min="9" max="9" width="28.44140625" customWidth="1"/>
  </cols>
  <sheetData>
    <row r="1" spans="1:8" x14ac:dyDescent="0.3">
      <c r="A1" s="124" t="s">
        <v>5512</v>
      </c>
    </row>
    <row r="2" spans="1:8" x14ac:dyDescent="0.3">
      <c r="A2" s="124" t="s">
        <v>5513</v>
      </c>
    </row>
    <row r="3" spans="1:8" x14ac:dyDescent="0.3">
      <c r="A3" s="124" t="s">
        <v>5514</v>
      </c>
    </row>
    <row r="5" spans="1:8" x14ac:dyDescent="0.3">
      <c r="G5" t="s">
        <v>5515</v>
      </c>
      <c r="H5" t="s">
        <v>5516</v>
      </c>
    </row>
    <row r="6" spans="1:8" x14ac:dyDescent="0.3">
      <c r="B6" s="1342" t="s">
        <v>5473</v>
      </c>
      <c r="C6" s="1344"/>
      <c r="D6" s="1342"/>
      <c r="E6" s="1343"/>
      <c r="F6" s="1588" t="s">
        <v>602</v>
      </c>
      <c r="G6" s="1356">
        <v>1</v>
      </c>
      <c r="H6" s="1356">
        <v>2</v>
      </c>
    </row>
    <row r="7" spans="1:8" x14ac:dyDescent="0.3">
      <c r="B7" s="714" t="s">
        <v>5475</v>
      </c>
      <c r="C7" s="18" t="s">
        <v>2329</v>
      </c>
      <c r="D7" s="52"/>
      <c r="E7" s="52"/>
      <c r="F7" s="48"/>
      <c r="G7" s="1346">
        <f>UDV.animal.total</f>
        <v>500</v>
      </c>
      <c r="H7" s="1346">
        <f>UDV.animal.total</f>
        <v>500</v>
      </c>
    </row>
    <row r="8" spans="1:8" x14ac:dyDescent="0.3">
      <c r="B8" s="714" t="s">
        <v>5476</v>
      </c>
      <c r="C8" s="18" t="s">
        <v>2409</v>
      </c>
      <c r="D8" s="52"/>
      <c r="E8" s="52"/>
      <c r="F8" s="48"/>
      <c r="G8" s="1354">
        <f>UDV.animal.manure</f>
        <v>2795.0049999999997</v>
      </c>
      <c r="H8" s="1354">
        <f>UDV.animal.manure</f>
        <v>2795.0049999999997</v>
      </c>
    </row>
    <row r="9" spans="1:8" x14ac:dyDescent="0.3">
      <c r="B9" s="602" t="s">
        <v>5478</v>
      </c>
      <c r="C9" s="1353" t="s">
        <v>2409</v>
      </c>
      <c r="D9" s="1352"/>
      <c r="E9" s="1352"/>
      <c r="F9" s="131"/>
      <c r="G9" s="1355">
        <f>UDV.animal.TS</f>
        <v>273.00499999999988</v>
      </c>
      <c r="H9" s="1355">
        <f>UDV.animal.TS</f>
        <v>273.00499999999988</v>
      </c>
    </row>
    <row r="10" spans="1:8" x14ac:dyDescent="0.3">
      <c r="B10" s="602" t="s">
        <v>5479</v>
      </c>
      <c r="C10" s="1353" t="s">
        <v>2409</v>
      </c>
      <c r="D10" s="1352"/>
      <c r="E10" s="1352"/>
      <c r="F10" s="131"/>
      <c r="G10" s="1355">
        <f>UDV.animal.VS</f>
        <v>221.00449999999995</v>
      </c>
      <c r="H10" s="1355">
        <f>UDV.animal.VS</f>
        <v>221.00449999999995</v>
      </c>
    </row>
    <row r="11" spans="1:8" x14ac:dyDescent="0.3">
      <c r="B11" s="602" t="s">
        <v>5480</v>
      </c>
      <c r="C11" s="1351" t="s">
        <v>2409</v>
      </c>
      <c r="D11" s="1348"/>
      <c r="E11" s="1349"/>
      <c r="F11" s="1350"/>
      <c r="G11" s="1355">
        <f>UDV.animal.N</f>
        <v>26.000450000000001</v>
      </c>
      <c r="H11" s="1355">
        <f>UDV.animal.N</f>
        <v>26.000450000000001</v>
      </c>
    </row>
    <row r="12" spans="1:8" x14ac:dyDescent="0.3">
      <c r="B12" s="602" t="s">
        <v>5481</v>
      </c>
      <c r="C12" s="1351" t="s">
        <v>2409</v>
      </c>
      <c r="D12" s="1348"/>
      <c r="E12" s="1349"/>
      <c r="F12" s="1350"/>
      <c r="G12" s="1355">
        <f>UDV.animal.P2O5</f>
        <v>9.1001499999999993</v>
      </c>
      <c r="H12" s="1355">
        <f>UDV.animal.P2O5</f>
        <v>9.1001499999999993</v>
      </c>
    </row>
    <row r="13" spans="1:8" x14ac:dyDescent="0.3">
      <c r="B13" s="602" t="s">
        <v>5482</v>
      </c>
      <c r="C13" s="1351" t="s">
        <v>2409</v>
      </c>
      <c r="D13" s="1348"/>
      <c r="E13" s="1349"/>
      <c r="F13" s="1350"/>
      <c r="G13" s="1355">
        <f>UDV.animal.K2O</f>
        <v>11.700249999999999</v>
      </c>
      <c r="H13" s="1355">
        <f>UDV.animal.K2O</f>
        <v>11.700249999999999</v>
      </c>
    </row>
    <row r="14" spans="1:8" x14ac:dyDescent="0.3">
      <c r="B14" s="602" t="s">
        <v>5483</v>
      </c>
      <c r="C14" s="1351" t="s">
        <v>2416</v>
      </c>
      <c r="D14" s="49"/>
      <c r="E14" s="49"/>
      <c r="F14" s="49"/>
      <c r="G14" s="1359">
        <f>UDV.density.manure</f>
        <v>993.99999999999989</v>
      </c>
      <c r="H14" s="1359">
        <f>UDV.density.manure</f>
        <v>993.99999999999989</v>
      </c>
    </row>
    <row r="15" spans="1:8" x14ac:dyDescent="0.3">
      <c r="B15" s="602" t="s">
        <v>5484</v>
      </c>
      <c r="C15" s="1351" t="s">
        <v>2519</v>
      </c>
      <c r="D15" s="49"/>
      <c r="E15" s="49"/>
      <c r="F15" s="49"/>
      <c r="G15" s="1360">
        <f>G8*UC.m3_to_L/G14</f>
        <v>2811.8762575452715</v>
      </c>
      <c r="H15" s="1360">
        <f>H8*UC.m3_to_L/H14</f>
        <v>2811.8762575452715</v>
      </c>
    </row>
    <row r="16" spans="1:8" x14ac:dyDescent="0.3">
      <c r="B16" s="1342" t="s">
        <v>5485</v>
      </c>
      <c r="C16" s="1344"/>
      <c r="D16" s="1342"/>
      <c r="E16" s="1343"/>
      <c r="F16" s="1344"/>
      <c r="G16" s="1345"/>
      <c r="H16" s="1345"/>
    </row>
    <row r="17" spans="2:8" x14ac:dyDescent="0.3">
      <c r="B17" s="602" t="s">
        <v>5486</v>
      </c>
      <c r="C17" s="1351" t="s">
        <v>2499</v>
      </c>
      <c r="D17" s="49"/>
      <c r="E17" s="49"/>
      <c r="F17" s="49"/>
      <c r="G17" s="1361">
        <f>UDV.sprinkler.fresh_water_used</f>
        <v>0.81858194876712342</v>
      </c>
      <c r="H17" s="1361">
        <f>UDV.sprinkler.fresh_water_used</f>
        <v>0.81858194876712342</v>
      </c>
    </row>
    <row r="18" spans="2:8" x14ac:dyDescent="0.3">
      <c r="B18" s="602" t="s">
        <v>5487</v>
      </c>
      <c r="C18" s="1351" t="s">
        <v>2499</v>
      </c>
      <c r="D18" s="49"/>
      <c r="E18" s="49"/>
      <c r="F18" s="49"/>
      <c r="G18" s="1361">
        <f>UDV.sprinkler.adj_water_used</f>
        <v>0.16371638975342462</v>
      </c>
      <c r="H18" s="1361">
        <f>UDV.sprinkler.adj_water_used</f>
        <v>0.16371638975342462</v>
      </c>
    </row>
    <row r="19" spans="2:8" x14ac:dyDescent="0.3">
      <c r="B19" s="602" t="s">
        <v>5488</v>
      </c>
      <c r="C19" s="1351" t="s">
        <v>2519</v>
      </c>
      <c r="D19" s="49"/>
      <c r="E19" s="49"/>
      <c r="F19" s="49"/>
      <c r="G19" s="1209">
        <f>G7*G17</f>
        <v>409.29097438356172</v>
      </c>
      <c r="H19" s="1209">
        <f>H7*H17</f>
        <v>409.29097438356172</v>
      </c>
    </row>
    <row r="20" spans="2:8" x14ac:dyDescent="0.3">
      <c r="B20" s="602" t="s">
        <v>5517</v>
      </c>
      <c r="C20" s="1351" t="s">
        <v>2519</v>
      </c>
      <c r="D20" s="49"/>
      <c r="E20" s="49"/>
      <c r="F20" s="49"/>
      <c r="G20" s="1360">
        <f>G7*G18</f>
        <v>81.858194876712304</v>
      </c>
      <c r="H20" s="1360">
        <f>H7*H18</f>
        <v>81.858194876712304</v>
      </c>
    </row>
    <row r="21" spans="2:8" x14ac:dyDescent="0.3">
      <c r="B21" s="1342" t="s">
        <v>5518</v>
      </c>
      <c r="C21" s="1344"/>
      <c r="D21" s="1342"/>
      <c r="E21" s="1343"/>
      <c r="F21" s="1344"/>
      <c r="G21" s="1345"/>
      <c r="H21" s="1345"/>
    </row>
    <row r="22" spans="2:8" x14ac:dyDescent="0.3">
      <c r="B22" s="602" t="s">
        <v>5491</v>
      </c>
      <c r="C22" s="1351" t="s">
        <v>2519</v>
      </c>
      <c r="D22" s="49"/>
      <c r="E22" s="49"/>
      <c r="F22" s="49"/>
      <c r="G22" s="1360">
        <f>G15+G20</f>
        <v>2893.7344524219839</v>
      </c>
      <c r="H22" s="1360">
        <f>H15+H20</f>
        <v>2893.7344524219839</v>
      </c>
    </row>
    <row r="26" spans="2:8" x14ac:dyDescent="0.3">
      <c r="B26" s="1356" t="s">
        <v>5519</v>
      </c>
      <c r="C26" s="30"/>
      <c r="D26" s="30"/>
      <c r="E26" s="30"/>
      <c r="F26" s="1356" t="s">
        <v>602</v>
      </c>
      <c r="G26" s="1356">
        <f>G6</f>
        <v>1</v>
      </c>
      <c r="H26" s="1356">
        <f>H6</f>
        <v>2</v>
      </c>
    </row>
    <row r="27" spans="2:8" x14ac:dyDescent="0.3">
      <c r="B27" s="49" t="s">
        <v>5520</v>
      </c>
      <c r="C27" s="49" t="s">
        <v>2519</v>
      </c>
      <c r="D27" s="49"/>
      <c r="E27" s="49"/>
      <c r="F27" s="49"/>
      <c r="G27" s="1357">
        <f>G22</f>
        <v>2893.7344524219839</v>
      </c>
      <c r="H27" s="1357">
        <f>H22</f>
        <v>2893.7344524219839</v>
      </c>
    </row>
    <row r="28" spans="2:8" x14ac:dyDescent="0.3">
      <c r="B28" s="49" t="s">
        <v>5521</v>
      </c>
      <c r="C28" s="49" t="s">
        <v>2409</v>
      </c>
      <c r="D28" s="49"/>
      <c r="E28" s="49"/>
      <c r="F28" s="49"/>
      <c r="G28" s="1364">
        <f t="shared" ref="G28:H32" si="0">G9</f>
        <v>273.00499999999988</v>
      </c>
      <c r="H28" s="1364">
        <f t="shared" si="0"/>
        <v>273.00499999999988</v>
      </c>
    </row>
    <row r="29" spans="2:8" x14ac:dyDescent="0.3">
      <c r="B29" s="49" t="s">
        <v>5522</v>
      </c>
      <c r="C29" s="49" t="s">
        <v>2409</v>
      </c>
      <c r="D29" s="49"/>
      <c r="E29" s="49"/>
      <c r="F29" s="49"/>
      <c r="G29" s="1364">
        <f t="shared" si="0"/>
        <v>221.00449999999995</v>
      </c>
      <c r="H29" s="1364">
        <f t="shared" si="0"/>
        <v>221.00449999999995</v>
      </c>
    </row>
    <row r="30" spans="2:8" x14ac:dyDescent="0.3">
      <c r="B30" s="49" t="s">
        <v>5523</v>
      </c>
      <c r="C30" s="49" t="s">
        <v>2409</v>
      </c>
      <c r="D30" s="49"/>
      <c r="E30" s="49"/>
      <c r="F30" s="49"/>
      <c r="G30" s="1364">
        <f t="shared" si="0"/>
        <v>26.000450000000001</v>
      </c>
      <c r="H30" s="1364">
        <f t="shared" si="0"/>
        <v>26.000450000000001</v>
      </c>
    </row>
    <row r="31" spans="2:8" x14ac:dyDescent="0.3">
      <c r="B31" s="49" t="s">
        <v>5524</v>
      </c>
      <c r="C31" s="49" t="s">
        <v>2409</v>
      </c>
      <c r="D31" s="49"/>
      <c r="E31" s="49"/>
      <c r="F31" s="49"/>
      <c r="G31" s="1364">
        <f t="shared" si="0"/>
        <v>9.1001499999999993</v>
      </c>
      <c r="H31" s="1364">
        <f t="shared" si="0"/>
        <v>9.1001499999999993</v>
      </c>
    </row>
    <row r="32" spans="2:8" x14ac:dyDescent="0.3">
      <c r="B32" s="49" t="s">
        <v>5525</v>
      </c>
      <c r="C32" s="49" t="s">
        <v>2409</v>
      </c>
      <c r="D32" s="49"/>
      <c r="E32" s="49"/>
      <c r="F32" s="49"/>
      <c r="G32" s="1364">
        <f t="shared" si="0"/>
        <v>11.700249999999999</v>
      </c>
      <c r="H32" s="1364">
        <f t="shared" si="0"/>
        <v>11.700249999999999</v>
      </c>
    </row>
    <row r="33" spans="2:8" x14ac:dyDescent="0.3">
      <c r="B33" s="49" t="s">
        <v>761</v>
      </c>
      <c r="C33" s="49" t="s">
        <v>5526</v>
      </c>
      <c r="D33" s="49"/>
      <c r="E33" s="49"/>
      <c r="F33" s="49"/>
      <c r="G33" s="1359">
        <f>UDV.dpss.HRT</f>
        <v>365</v>
      </c>
      <c r="H33" s="1359">
        <f>UDV.dpss_aer.HRT</f>
        <v>365</v>
      </c>
    </row>
    <row r="34" spans="2:8" x14ac:dyDescent="0.3">
      <c r="B34" s="49" t="s">
        <v>5527</v>
      </c>
      <c r="C34" s="49" t="s">
        <v>2321</v>
      </c>
      <c r="D34" s="49"/>
      <c r="E34" s="49"/>
      <c r="F34" s="49"/>
      <c r="G34" s="1359">
        <f>UDV.dpss.removal_events</f>
        <v>2</v>
      </c>
      <c r="H34" s="1359">
        <f>UDV.dpss_aer.removal_events</f>
        <v>2</v>
      </c>
    </row>
    <row r="35" spans="2:8" x14ac:dyDescent="0.3">
      <c r="B35" s="49" t="s">
        <v>5528</v>
      </c>
      <c r="C35" s="49" t="s">
        <v>2452</v>
      </c>
      <c r="D35" s="49"/>
      <c r="E35" s="49"/>
      <c r="F35" s="49"/>
      <c r="G35" s="49">
        <f>UC.year_to_day/G34</f>
        <v>182.5</v>
      </c>
      <c r="H35" s="49">
        <f>UC.year_to_day/H34</f>
        <v>182.5</v>
      </c>
    </row>
    <row r="36" spans="2:8" x14ac:dyDescent="0.3">
      <c r="B36" s="49" t="s">
        <v>5529</v>
      </c>
      <c r="C36" s="49" t="s">
        <v>4731</v>
      </c>
      <c r="D36" s="49"/>
      <c r="E36" s="49"/>
      <c r="F36" s="49"/>
      <c r="G36" s="1360">
        <f>G27*G33*UC.L_to_m3</f>
        <v>1056.2130751340239</v>
      </c>
      <c r="H36" s="1360">
        <f>H27*H33*UC.L_to_m3</f>
        <v>1056.2130751340239</v>
      </c>
    </row>
    <row r="37" spans="2:8" x14ac:dyDescent="0.3">
      <c r="B37" s="49" t="s">
        <v>5530</v>
      </c>
      <c r="C37" s="49" t="s">
        <v>5531</v>
      </c>
      <c r="D37" s="49"/>
      <c r="E37" s="49"/>
      <c r="F37" s="49"/>
      <c r="G37" s="1360">
        <f>G28*G33</f>
        <v>99646.824999999953</v>
      </c>
      <c r="H37" s="1360">
        <f>H28*H33</f>
        <v>99646.824999999953</v>
      </c>
    </row>
    <row r="38" spans="2:8" x14ac:dyDescent="0.3">
      <c r="B38" s="49" t="s">
        <v>5532</v>
      </c>
      <c r="C38" s="49" t="s">
        <v>5531</v>
      </c>
      <c r="D38" s="49"/>
      <c r="E38" s="49"/>
      <c r="F38" s="49"/>
      <c r="G38" s="1360">
        <f>G29*G33</f>
        <v>80666.642499999987</v>
      </c>
      <c r="H38" s="1360">
        <f>H29*H33</f>
        <v>80666.642499999987</v>
      </c>
    </row>
    <row r="39" spans="2:8" x14ac:dyDescent="0.3">
      <c r="B39" s="49" t="s">
        <v>5533</v>
      </c>
      <c r="C39" s="49" t="s">
        <v>5531</v>
      </c>
      <c r="D39" s="49"/>
      <c r="E39" s="49"/>
      <c r="F39" s="49"/>
      <c r="G39" s="1360">
        <f>G30*G33</f>
        <v>9490.1642499999998</v>
      </c>
      <c r="H39" s="1360">
        <f>H30*H33</f>
        <v>9490.1642499999998</v>
      </c>
    </row>
    <row r="40" spans="2:8" x14ac:dyDescent="0.3">
      <c r="B40" s="49" t="s">
        <v>5534</v>
      </c>
      <c r="C40" s="49" t="s">
        <v>5531</v>
      </c>
      <c r="D40" s="49"/>
      <c r="E40" s="49"/>
      <c r="F40" s="49"/>
      <c r="G40" s="1360">
        <f>G31*G33</f>
        <v>3321.5547499999998</v>
      </c>
      <c r="H40" s="1360">
        <f>H31*H33</f>
        <v>3321.5547499999998</v>
      </c>
    </row>
    <row r="41" spans="2:8" x14ac:dyDescent="0.3">
      <c r="B41" s="49" t="s">
        <v>5535</v>
      </c>
      <c r="C41" s="49" t="s">
        <v>5531</v>
      </c>
      <c r="D41" s="49"/>
      <c r="E41" s="49"/>
      <c r="F41" s="49"/>
      <c r="G41" s="1360">
        <f>G32*G33</f>
        <v>4270.5912499999995</v>
      </c>
      <c r="H41" s="1360">
        <f>H32*H33</f>
        <v>4270.5912499999995</v>
      </c>
    </row>
    <row r="42" spans="2:8" x14ac:dyDescent="0.3">
      <c r="B42" s="1358" t="s">
        <v>5536</v>
      </c>
      <c r="C42" s="1363"/>
      <c r="D42" s="1362"/>
      <c r="E42" s="1362"/>
      <c r="F42" s="1362"/>
      <c r="G42" s="1345">
        <f>G6</f>
        <v>1</v>
      </c>
      <c r="H42" s="1345">
        <f>H6</f>
        <v>2</v>
      </c>
    </row>
    <row r="43" spans="2:8" x14ac:dyDescent="0.3">
      <c r="B43" s="602"/>
      <c r="C43" s="49"/>
      <c r="D43" s="49"/>
      <c r="E43" s="49"/>
      <c r="F43" s="49"/>
      <c r="G43" s="1360"/>
      <c r="H43" s="1360"/>
    </row>
    <row r="44" spans="2:8" x14ac:dyDescent="0.3">
      <c r="B44" s="602" t="s">
        <v>5537</v>
      </c>
      <c r="C44" s="49" t="s">
        <v>2337</v>
      </c>
      <c r="D44" s="49"/>
      <c r="E44" s="49"/>
      <c r="F44" s="49"/>
      <c r="G44" s="1359">
        <f>UDV.dpss.width</f>
        <v>25.000000000000004</v>
      </c>
      <c r="H44" s="1359">
        <f>UDV.dpss.width</f>
        <v>25.000000000000004</v>
      </c>
    </row>
    <row r="45" spans="2:8" x14ac:dyDescent="0.3">
      <c r="B45" s="602" t="s">
        <v>5538</v>
      </c>
      <c r="C45" s="49" t="s">
        <v>2337</v>
      </c>
      <c r="D45" s="49"/>
      <c r="E45" s="49"/>
      <c r="F45" s="49"/>
      <c r="G45" s="1359">
        <f>UDV.dpss.depth</f>
        <v>3.66</v>
      </c>
      <c r="H45" s="1359">
        <f>UDV.dpss.depth</f>
        <v>3.66</v>
      </c>
    </row>
    <row r="46" spans="2:8" x14ac:dyDescent="0.3">
      <c r="B46" s="602" t="s">
        <v>5539</v>
      </c>
      <c r="C46" s="49" t="s">
        <v>2337</v>
      </c>
      <c r="D46" s="49"/>
      <c r="E46" s="49"/>
      <c r="F46" s="49"/>
      <c r="G46" s="1209">
        <f>G36/G44/G45</f>
        <v>11.543312296546707</v>
      </c>
      <c r="H46" s="1209">
        <f>H36/H44/H45</f>
        <v>11.543312296546707</v>
      </c>
    </row>
    <row r="47" spans="2:8" x14ac:dyDescent="0.3">
      <c r="B47" s="49" t="s">
        <v>5540</v>
      </c>
      <c r="C47" s="49" t="s">
        <v>2268</v>
      </c>
      <c r="D47" s="49"/>
      <c r="E47" s="49"/>
      <c r="F47" s="49"/>
      <c r="G47" s="1209">
        <f>G44*G46</f>
        <v>288.58280741366775</v>
      </c>
      <c r="H47" s="1209">
        <f>H44*H46</f>
        <v>288.58280741366775</v>
      </c>
    </row>
    <row r="48" spans="2:8" x14ac:dyDescent="0.3">
      <c r="B48" s="1392" t="s">
        <v>5541</v>
      </c>
      <c r="C48" s="49" t="s">
        <v>2478</v>
      </c>
      <c r="D48" s="49"/>
      <c r="E48" s="49"/>
      <c r="F48" s="49"/>
      <c r="G48" s="2314">
        <f>G44*G45*G46</f>
        <v>1056.2130751340239</v>
      </c>
      <c r="H48" s="2314">
        <f>H44*H45*H46</f>
        <v>1056.2130751340239</v>
      </c>
    </row>
    <row r="49" spans="2:8" x14ac:dyDescent="0.3">
      <c r="B49" s="1356" t="s">
        <v>5542</v>
      </c>
      <c r="C49" s="30"/>
      <c r="D49" s="30"/>
      <c r="E49" s="30"/>
      <c r="F49" s="1356" t="s">
        <v>602</v>
      </c>
      <c r="G49" s="1356">
        <f>G$6</f>
        <v>1</v>
      </c>
      <c r="H49" s="1356">
        <f>H$6</f>
        <v>2</v>
      </c>
    </row>
    <row r="50" spans="2:8" x14ac:dyDescent="0.3">
      <c r="B50" s="49" t="s">
        <v>5543</v>
      </c>
      <c r="C50" s="49" t="s">
        <v>2280</v>
      </c>
      <c r="D50" s="49"/>
      <c r="E50" s="49"/>
      <c r="F50" s="49"/>
      <c r="G50" s="49"/>
      <c r="H50" s="1359">
        <f>UDV.dpss_aer.drive_per_area</f>
        <v>929.0304000000001</v>
      </c>
    </row>
    <row r="51" spans="2:8" x14ac:dyDescent="0.3">
      <c r="B51" s="49" t="s">
        <v>1213</v>
      </c>
      <c r="C51" s="49" t="s">
        <v>5544</v>
      </c>
      <c r="D51" s="49"/>
      <c r="E51" s="49"/>
      <c r="F51" s="49"/>
      <c r="G51" s="49"/>
      <c r="H51" s="1359">
        <f>UDV.dpss_aer.motor_per_drive</f>
        <v>2</v>
      </c>
    </row>
    <row r="52" spans="2:8" x14ac:dyDescent="0.3">
      <c r="B52" s="49" t="s">
        <v>5545</v>
      </c>
      <c r="C52" s="49" t="s">
        <v>971</v>
      </c>
      <c r="D52" s="49"/>
      <c r="E52" s="49"/>
      <c r="F52" s="49"/>
      <c r="G52" s="49"/>
      <c r="H52" s="1359">
        <f>UDV.dpss_aer.motor_per_drive</f>
        <v>2</v>
      </c>
    </row>
    <row r="53" spans="2:8" x14ac:dyDescent="0.3">
      <c r="B53" s="49" t="s">
        <v>5546</v>
      </c>
      <c r="C53" s="49" t="s">
        <v>2471</v>
      </c>
      <c r="D53" s="49"/>
      <c r="E53" s="49"/>
      <c r="F53" s="49"/>
      <c r="G53" s="49"/>
      <c r="H53" s="1359">
        <f>UDV.dpss_aer.time_aeration</f>
        <v>16</v>
      </c>
    </row>
    <row r="54" spans="2:8" x14ac:dyDescent="0.3">
      <c r="B54" s="49" t="s">
        <v>5547</v>
      </c>
      <c r="C54" s="49" t="s">
        <v>2442</v>
      </c>
      <c r="D54" s="49"/>
      <c r="E54" s="49"/>
      <c r="F54" s="49"/>
      <c r="G54" s="49"/>
      <c r="H54" s="49">
        <f>ROUNDUP(H47/H50,0)</f>
        <v>1</v>
      </c>
    </row>
    <row r="55" spans="2:8" x14ac:dyDescent="0.3">
      <c r="B55" s="49" t="s">
        <v>5548</v>
      </c>
      <c r="C55" s="49" t="s">
        <v>2442</v>
      </c>
      <c r="D55" s="49"/>
      <c r="E55" s="49"/>
      <c r="F55" s="49"/>
      <c r="G55" s="49"/>
      <c r="H55" s="49">
        <f>H51*H54</f>
        <v>2</v>
      </c>
    </row>
    <row r="56" spans="2:8" x14ac:dyDescent="0.3">
      <c r="B56" s="49" t="s">
        <v>5549</v>
      </c>
      <c r="C56" s="49" t="s">
        <v>2548</v>
      </c>
      <c r="D56" s="49"/>
      <c r="E56" s="49"/>
      <c r="F56" s="49"/>
      <c r="G56" s="49"/>
      <c r="H56" s="1360">
        <f>H52*H55*UC.hp_to_kW</f>
        <v>2.9827994800000002</v>
      </c>
    </row>
    <row r="57" spans="2:8" x14ac:dyDescent="0.3">
      <c r="B57" s="1617" t="s">
        <v>5550</v>
      </c>
      <c r="C57" s="49" t="s">
        <v>4888</v>
      </c>
      <c r="D57" s="49"/>
      <c r="E57" s="49"/>
      <c r="F57" s="49"/>
      <c r="G57" s="49"/>
      <c r="H57" s="1360">
        <f>H53*H56*UC.year_to_day</f>
        <v>17419.548963200003</v>
      </c>
    </row>
    <row r="58" spans="2:8" x14ac:dyDescent="0.3">
      <c r="B58" s="1358" t="s">
        <v>5552</v>
      </c>
      <c r="C58" s="1363"/>
      <c r="D58" s="1362"/>
      <c r="E58" s="1362"/>
      <c r="F58" s="1356" t="s">
        <v>602</v>
      </c>
      <c r="G58" s="1356">
        <f>G6</f>
        <v>1</v>
      </c>
      <c r="H58" s="1356">
        <f>H6</f>
        <v>2</v>
      </c>
    </row>
    <row r="59" spans="2:8" x14ac:dyDescent="0.3">
      <c r="B59" s="49" t="s">
        <v>5553</v>
      </c>
      <c r="C59" s="49" t="s">
        <v>1694</v>
      </c>
      <c r="D59" s="49"/>
      <c r="E59" s="49"/>
      <c r="F59" s="49"/>
      <c r="G59" s="1359">
        <f>UDV.dpss.effluent_TS</f>
        <v>0.7</v>
      </c>
      <c r="H59" s="1359">
        <f>UDV.dpss_aer.effluent_TS</f>
        <v>0.6</v>
      </c>
    </row>
    <row r="60" spans="2:8" x14ac:dyDescent="0.3">
      <c r="B60" s="49" t="s">
        <v>5554</v>
      </c>
      <c r="C60" s="49" t="s">
        <v>1694</v>
      </c>
      <c r="D60" s="49"/>
      <c r="E60" s="49"/>
      <c r="F60" s="49"/>
      <c r="G60" s="1359">
        <f>UDV.dpss.effluent_VS</f>
        <v>0.75</v>
      </c>
      <c r="H60" s="1359">
        <f>UDV.dpss_aer.effluent_VS</f>
        <v>0.7</v>
      </c>
    </row>
    <row r="61" spans="2:8" x14ac:dyDescent="0.3">
      <c r="B61" s="49" t="s">
        <v>2141</v>
      </c>
      <c r="C61" s="49" t="s">
        <v>1694</v>
      </c>
      <c r="D61" s="49"/>
      <c r="E61" s="49"/>
      <c r="F61" s="49"/>
      <c r="G61" s="1724">
        <f>UDV.dpss.effluent_N</f>
        <v>0.74936350600000001</v>
      </c>
      <c r="H61" s="1724">
        <f>UDV.dpss_aer.effluent_N</f>
        <v>0.44936350599999997</v>
      </c>
    </row>
    <row r="62" spans="2:8" x14ac:dyDescent="0.3">
      <c r="B62" s="49" t="s">
        <v>5555</v>
      </c>
      <c r="C62" s="49" t="s">
        <v>1694</v>
      </c>
      <c r="D62" s="49"/>
      <c r="E62" s="49"/>
      <c r="F62" s="49"/>
      <c r="G62" s="1359">
        <f>UDV.dpss.effluent_P</f>
        <v>1</v>
      </c>
      <c r="H62" s="1359">
        <f>UDV.dpss_aer.effluent_P</f>
        <v>1</v>
      </c>
    </row>
    <row r="63" spans="2:8" x14ac:dyDescent="0.3">
      <c r="B63" s="49" t="s">
        <v>5556</v>
      </c>
      <c r="C63" s="49" t="s">
        <v>1694</v>
      </c>
      <c r="D63" s="49"/>
      <c r="E63" s="49"/>
      <c r="F63" s="49"/>
      <c r="G63" s="1359">
        <f>UDV.dpss.effluent_K</f>
        <v>1</v>
      </c>
      <c r="H63" s="1359">
        <f>UDV.dpss_aer.effluent_K</f>
        <v>1</v>
      </c>
    </row>
    <row r="64" spans="2:8" x14ac:dyDescent="0.3">
      <c r="B64" s="1358" t="s">
        <v>5557</v>
      </c>
      <c r="C64" s="1363"/>
      <c r="D64" s="1362"/>
      <c r="E64" s="1362"/>
      <c r="F64" s="1356" t="s">
        <v>602</v>
      </c>
      <c r="G64" s="1356">
        <f>G6</f>
        <v>1</v>
      </c>
      <c r="H64" s="1356">
        <f>H6</f>
        <v>2</v>
      </c>
    </row>
    <row r="65" spans="2:8" x14ac:dyDescent="0.3">
      <c r="B65" s="602" t="s">
        <v>5558</v>
      </c>
      <c r="C65" s="49" t="s">
        <v>5531</v>
      </c>
      <c r="D65" s="49"/>
      <c r="E65" s="49"/>
      <c r="F65" s="49"/>
      <c r="G65" s="1360">
        <f t="shared" ref="G65:H69" si="1">G37*G59</f>
        <v>69752.777499999967</v>
      </c>
      <c r="H65" s="1360">
        <f t="shared" si="1"/>
        <v>59788.094999999972</v>
      </c>
    </row>
    <row r="66" spans="2:8" x14ac:dyDescent="0.3">
      <c r="B66" s="602" t="s">
        <v>5559</v>
      </c>
      <c r="C66" s="49" t="s">
        <v>5531</v>
      </c>
      <c r="D66" s="49"/>
      <c r="E66" s="49"/>
      <c r="F66" s="49"/>
      <c r="G66" s="1360">
        <f t="shared" si="1"/>
        <v>60499.98187499999</v>
      </c>
      <c r="H66" s="1360">
        <f t="shared" si="1"/>
        <v>56466.64974999999</v>
      </c>
    </row>
    <row r="67" spans="2:8" x14ac:dyDescent="0.3">
      <c r="B67" s="602" t="s">
        <v>5560</v>
      </c>
      <c r="C67" s="49" t="s">
        <v>5531</v>
      </c>
      <c r="D67" s="49"/>
      <c r="E67" s="49"/>
      <c r="F67" s="49"/>
      <c r="G67" s="1360">
        <f t="shared" si="1"/>
        <v>7111.5827548958605</v>
      </c>
      <c r="H67" s="1360">
        <f t="shared" si="1"/>
        <v>4264.5334798958602</v>
      </c>
    </row>
    <row r="68" spans="2:8" x14ac:dyDescent="0.3">
      <c r="B68" s="602" t="s">
        <v>5561</v>
      </c>
      <c r="C68" s="49" t="s">
        <v>5531</v>
      </c>
      <c r="D68" s="49"/>
      <c r="E68" s="49"/>
      <c r="F68" s="49"/>
      <c r="G68" s="1360">
        <f t="shared" si="1"/>
        <v>3321.5547499999998</v>
      </c>
      <c r="H68" s="1360">
        <f t="shared" si="1"/>
        <v>3321.5547499999998</v>
      </c>
    </row>
    <row r="69" spans="2:8" x14ac:dyDescent="0.3">
      <c r="B69" s="602" t="s">
        <v>5562</v>
      </c>
      <c r="C69" s="49" t="s">
        <v>5531</v>
      </c>
      <c r="D69" s="49"/>
      <c r="E69" s="49"/>
      <c r="F69" s="49"/>
      <c r="G69" s="1360">
        <f t="shared" si="1"/>
        <v>4270.5912499999995</v>
      </c>
      <c r="H69" s="1360">
        <f t="shared" si="1"/>
        <v>4270.5912499999995</v>
      </c>
    </row>
    <row r="70" spans="2:8" x14ac:dyDescent="0.3">
      <c r="B70" s="1392" t="s">
        <v>5563</v>
      </c>
      <c r="C70" s="510" t="s">
        <v>5564</v>
      </c>
      <c r="D70" s="49"/>
      <c r="E70" s="49"/>
      <c r="F70" s="49"/>
      <c r="G70" s="1360">
        <f>G36*UC.year_to_day*UC.m3_to_gal/1000/G33</f>
        <v>279.0219754073853</v>
      </c>
      <c r="H70" s="1360">
        <f>H36*UC.year_to_day*UC.m3_to_gal/1000/H33</f>
        <v>279.0219754073853</v>
      </c>
    </row>
    <row r="71" spans="2:8" x14ac:dyDescent="0.3">
      <c r="B71" s="91"/>
      <c r="C71" s="510"/>
      <c r="D71" s="49"/>
      <c r="E71" s="49"/>
      <c r="F71" s="49"/>
      <c r="G71" s="1360"/>
      <c r="H71" s="1360"/>
    </row>
    <row r="72" spans="2:8" x14ac:dyDescent="0.3">
      <c r="B72" s="1358" t="s">
        <v>5565</v>
      </c>
      <c r="C72" s="1363"/>
      <c r="D72" s="1362"/>
      <c r="E72" s="1362"/>
      <c r="F72" s="1356" t="s">
        <v>602</v>
      </c>
      <c r="G72" s="1356">
        <f>G6</f>
        <v>1</v>
      </c>
      <c r="H72" s="1356">
        <f>H6</f>
        <v>2</v>
      </c>
    </row>
    <row r="73" spans="2:8" x14ac:dyDescent="0.3">
      <c r="B73" s="1392" t="s">
        <v>5566</v>
      </c>
      <c r="C73" s="49" t="s">
        <v>2413</v>
      </c>
      <c r="D73" s="49"/>
      <c r="E73" s="49"/>
      <c r="F73" s="49"/>
      <c r="G73" s="1360">
        <f t="shared" ref="G73:H75" si="2">G67/G$36</f>
        <v>6.7330947914969377</v>
      </c>
      <c r="H73" s="1360">
        <f>H67/H$36</f>
        <v>4.0375692938233412</v>
      </c>
    </row>
    <row r="74" spans="2:8" x14ac:dyDescent="0.3">
      <c r="B74" s="1392" t="s">
        <v>5567</v>
      </c>
      <c r="C74" s="49" t="s">
        <v>2413</v>
      </c>
      <c r="D74" s="49"/>
      <c r="E74" s="49"/>
      <c r="F74" s="49"/>
      <c r="G74" s="1360">
        <f t="shared" si="2"/>
        <v>3.1447771554792809</v>
      </c>
      <c r="H74" s="1360">
        <f t="shared" si="2"/>
        <v>3.1447771554792809</v>
      </c>
    </row>
    <row r="75" spans="2:8" x14ac:dyDescent="0.3">
      <c r="B75" s="1392" t="s">
        <v>5568</v>
      </c>
      <c r="C75" s="49" t="s">
        <v>2413</v>
      </c>
      <c r="D75" s="49"/>
      <c r="E75" s="49"/>
      <c r="F75" s="49"/>
      <c r="G75" s="1360">
        <f t="shared" si="2"/>
        <v>4.0433046612854131</v>
      </c>
      <c r="H75" s="1360">
        <f t="shared" si="2"/>
        <v>4.0433046612854131</v>
      </c>
    </row>
    <row r="76" spans="2:8" x14ac:dyDescent="0.3">
      <c r="B76" s="602" t="s">
        <v>5569</v>
      </c>
      <c r="C76" s="49" t="s">
        <v>2414</v>
      </c>
      <c r="D76" s="49"/>
      <c r="E76" s="49"/>
      <c r="F76" s="49"/>
      <c r="G76" s="1380">
        <f t="shared" ref="G76:H78" si="3">G73*1000*UC.g_to_lb/UC.L_to_gal</f>
        <v>56.190399750413853</v>
      </c>
      <c r="H76" s="1380">
        <f t="shared" si="3"/>
        <v>33.695149060791721</v>
      </c>
    </row>
    <row r="77" spans="2:8" x14ac:dyDescent="0.3">
      <c r="B77" s="602" t="s">
        <v>5570</v>
      </c>
      <c r="C77" s="49" t="s">
        <v>2414</v>
      </c>
      <c r="D77" s="49"/>
      <c r="E77" s="49"/>
      <c r="F77" s="49"/>
      <c r="G77" s="1380">
        <f t="shared" si="3"/>
        <v>26.244437508218098</v>
      </c>
      <c r="H77" s="1380">
        <f t="shared" si="3"/>
        <v>26.244437508218098</v>
      </c>
    </row>
    <row r="78" spans="2:8" x14ac:dyDescent="0.3">
      <c r="B78" s="602" t="s">
        <v>5571</v>
      </c>
      <c r="C78" s="49" t="s">
        <v>2414</v>
      </c>
      <c r="D78" s="49"/>
      <c r="E78" s="49"/>
      <c r="F78" s="49"/>
      <c r="G78" s="1380">
        <f t="shared" si="3"/>
        <v>33.743013022370931</v>
      </c>
      <c r="H78" s="1380">
        <f t="shared" si="3"/>
        <v>33.743013022370931</v>
      </c>
    </row>
    <row r="79" spans="2:8" x14ac:dyDescent="0.3">
      <c r="B79" s="1501" t="s">
        <v>5572</v>
      </c>
      <c r="C79" s="1363"/>
      <c r="D79" s="1502"/>
      <c r="E79" s="1502"/>
      <c r="F79" s="1356" t="s">
        <v>602</v>
      </c>
      <c r="G79" s="1356">
        <f>G6</f>
        <v>1</v>
      </c>
      <c r="H79" s="1356">
        <f>H6</f>
        <v>2</v>
      </c>
    </row>
    <row r="80" spans="2:8" x14ac:dyDescent="0.3">
      <c r="B80" s="1454" t="s">
        <v>5573</v>
      </c>
      <c r="C80" s="510" t="s">
        <v>1694</v>
      </c>
      <c r="D80" s="510"/>
      <c r="E80" s="510"/>
      <c r="F80" s="510"/>
      <c r="G80" s="1450">
        <f>UDV.crops.N_avail</f>
        <v>0.95</v>
      </c>
      <c r="H80" s="1450">
        <f>UDV.crops.N_avail</f>
        <v>0.95</v>
      </c>
    </row>
    <row r="81" spans="2:8" x14ac:dyDescent="0.3">
      <c r="B81" s="1454" t="s">
        <v>5574</v>
      </c>
      <c r="C81" s="510" t="s">
        <v>1694</v>
      </c>
      <c r="D81" s="510"/>
      <c r="E81" s="510"/>
      <c r="F81" s="510"/>
      <c r="G81" s="1450">
        <f>UDV.crops.P_avail</f>
        <v>0.95</v>
      </c>
      <c r="H81" s="1450">
        <f>UDV.crops.P_avail</f>
        <v>0.95</v>
      </c>
    </row>
    <row r="82" spans="2:8" x14ac:dyDescent="0.3">
      <c r="B82" s="1454" t="s">
        <v>5575</v>
      </c>
      <c r="C82" s="510" t="s">
        <v>1694</v>
      </c>
      <c r="D82" s="510"/>
      <c r="E82" s="510" t="str">
        <f>UDV.crops.apply_method</f>
        <v>Injection</v>
      </c>
      <c r="F82" s="510"/>
      <c r="G82" s="1450">
        <f>UDV.crops.K_avail</f>
        <v>1</v>
      </c>
      <c r="H82" s="1450">
        <f>UDV.crops.K_avail</f>
        <v>1</v>
      </c>
    </row>
    <row r="83" spans="2:8" x14ac:dyDescent="0.3">
      <c r="B83" s="1454" t="s">
        <v>5345</v>
      </c>
      <c r="C83" s="510" t="s">
        <v>5576</v>
      </c>
      <c r="D83" s="510"/>
      <c r="E83" s="510"/>
      <c r="F83" s="510"/>
      <c r="G83" s="1450">
        <f>UDV.crops.N_need</f>
        <v>195</v>
      </c>
      <c r="H83" s="1450">
        <f>UDV.crops.N_need</f>
        <v>195</v>
      </c>
    </row>
    <row r="84" spans="2:8" x14ac:dyDescent="0.3">
      <c r="B84" s="1454" t="s">
        <v>5354</v>
      </c>
      <c r="C84" s="510" t="s">
        <v>5576</v>
      </c>
      <c r="D84" s="510"/>
      <c r="E84" s="510"/>
      <c r="F84" s="510"/>
      <c r="G84" s="1450">
        <f>UDV.crops.P_need</f>
        <v>55</v>
      </c>
      <c r="H84" s="1450">
        <f>UDV.crops.P_need</f>
        <v>55</v>
      </c>
    </row>
    <row r="85" spans="2:8" x14ac:dyDescent="0.3">
      <c r="B85" s="1454" t="s">
        <v>5356</v>
      </c>
      <c r="C85" s="510" t="s">
        <v>5576</v>
      </c>
      <c r="D85" s="510"/>
      <c r="E85" s="510"/>
      <c r="F85" s="510"/>
      <c r="G85" s="1450">
        <f>UDV.crops.K_need</f>
        <v>90</v>
      </c>
      <c r="H85" s="1450">
        <f>UDV.crops.K_need</f>
        <v>90</v>
      </c>
    </row>
    <row r="86" spans="2:8" x14ac:dyDescent="0.3">
      <c r="B86" s="1501" t="s">
        <v>5577</v>
      </c>
      <c r="C86" s="1363"/>
      <c r="D86" s="1502"/>
      <c r="E86" s="1502"/>
      <c r="F86" s="1356" t="s">
        <v>602</v>
      </c>
      <c r="G86" s="1356">
        <f>G6</f>
        <v>1</v>
      </c>
      <c r="H86" s="1356">
        <f>H6</f>
        <v>2</v>
      </c>
    </row>
    <row r="87" spans="2:8" x14ac:dyDescent="0.3">
      <c r="B87" s="1454" t="s">
        <v>5344</v>
      </c>
      <c r="C87" s="510" t="s">
        <v>2414</v>
      </c>
      <c r="D87" s="510"/>
      <c r="E87" s="510"/>
      <c r="F87" s="510"/>
      <c r="G87" s="1380">
        <f>G76*G80</f>
        <v>53.380879762893159</v>
      </c>
      <c r="H87" s="1380">
        <f>H76*H80</f>
        <v>32.010391607752133</v>
      </c>
    </row>
    <row r="88" spans="2:8" x14ac:dyDescent="0.3">
      <c r="B88" s="1454" t="s">
        <v>5347</v>
      </c>
      <c r="C88" s="510" t="s">
        <v>2414</v>
      </c>
      <c r="D88" s="510"/>
      <c r="E88" s="510"/>
      <c r="F88" s="510"/>
      <c r="G88" s="1380">
        <f t="shared" ref="G88:H89" si="4">G77*G81</f>
        <v>24.932215632807193</v>
      </c>
      <c r="H88" s="1380">
        <f t="shared" si="4"/>
        <v>24.932215632807193</v>
      </c>
    </row>
    <row r="89" spans="2:8" x14ac:dyDescent="0.3">
      <c r="B89" s="1454" t="s">
        <v>5349</v>
      </c>
      <c r="C89" s="510" t="s">
        <v>2414</v>
      </c>
      <c r="D89" s="510"/>
      <c r="E89" s="510"/>
      <c r="F89" s="510"/>
      <c r="G89" s="1380">
        <f t="shared" si="4"/>
        <v>33.743013022370931</v>
      </c>
      <c r="H89" s="1380">
        <f t="shared" si="4"/>
        <v>33.743013022370931</v>
      </c>
    </row>
    <row r="90" spans="2:8" x14ac:dyDescent="0.3">
      <c r="B90" s="1454" t="s">
        <v>5351</v>
      </c>
      <c r="C90" s="510" t="s">
        <v>5578</v>
      </c>
      <c r="D90" s="510"/>
      <c r="E90" s="510"/>
      <c r="F90" s="510"/>
      <c r="G90" s="1380">
        <f t="shared" ref="G90:H92" si="5">G83/G87</f>
        <v>3.652993372648591</v>
      </c>
      <c r="H90" s="1380">
        <f t="shared" si="5"/>
        <v>6.091771771788502</v>
      </c>
    </row>
    <row r="91" spans="2:8" x14ac:dyDescent="0.3">
      <c r="B91" s="1454" t="s">
        <v>5353</v>
      </c>
      <c r="C91" s="510" t="s">
        <v>5578</v>
      </c>
      <c r="D91" s="510"/>
      <c r="E91" s="510"/>
      <c r="F91" s="510"/>
      <c r="G91" s="1380">
        <f t="shared" si="5"/>
        <v>2.2059812417003144</v>
      </c>
      <c r="H91" s="1380">
        <f t="shared" si="5"/>
        <v>2.2059812417003144</v>
      </c>
    </row>
    <row r="92" spans="2:8" x14ac:dyDescent="0.3">
      <c r="B92" s="1454" t="s">
        <v>5355</v>
      </c>
      <c r="C92" s="510" t="s">
        <v>5578</v>
      </c>
      <c r="D92" s="510"/>
      <c r="E92" s="510"/>
      <c r="F92" s="510"/>
      <c r="G92" s="1380">
        <f t="shared" si="5"/>
        <v>2.6672188384698141</v>
      </c>
      <c r="H92" s="1380">
        <f t="shared" si="5"/>
        <v>2.6672188384698141</v>
      </c>
    </row>
    <row r="93" spans="2:8" x14ac:dyDescent="0.3">
      <c r="B93" s="1454" t="s">
        <v>5343</v>
      </c>
      <c r="C93" s="510" t="s">
        <v>5579</v>
      </c>
      <c r="D93" s="510"/>
      <c r="E93" s="510"/>
      <c r="F93" s="510"/>
      <c r="G93" s="1450" t="str">
        <f>UDV.crops.apply_for</f>
        <v>N</v>
      </c>
      <c r="H93" s="1450" t="str">
        <f>UDV.crops.apply_for</f>
        <v>N</v>
      </c>
    </row>
    <row r="94" spans="2:8" x14ac:dyDescent="0.3">
      <c r="B94" s="1454" t="s">
        <v>5580</v>
      </c>
      <c r="C94" s="18" t="s">
        <v>5578</v>
      </c>
      <c r="D94" s="52"/>
      <c r="E94" s="52"/>
      <c r="F94" s="49"/>
      <c r="G94" s="1378">
        <f>UDV.crops.application_max_liquids</f>
        <v>10</v>
      </c>
      <c r="H94" s="1378">
        <f>UDV.crops.application_max_liquids</f>
        <v>10</v>
      </c>
    </row>
    <row r="95" spans="2:8" x14ac:dyDescent="0.3">
      <c r="B95" s="49" t="s">
        <v>5581</v>
      </c>
      <c r="C95" s="18" t="s">
        <v>2452</v>
      </c>
      <c r="D95" s="52"/>
      <c r="E95" s="52"/>
      <c r="F95" s="49"/>
      <c r="G95" s="1413">
        <f>UDV.crops.application_wait_liquids</f>
        <v>28</v>
      </c>
      <c r="H95" s="1413">
        <f>UDV.crops.application_wait_liquids</f>
        <v>28</v>
      </c>
    </row>
    <row r="96" spans="2:8" x14ac:dyDescent="0.3">
      <c r="B96" s="1454" t="s">
        <v>5582</v>
      </c>
      <c r="C96" s="18" t="s">
        <v>5578</v>
      </c>
      <c r="D96" s="52"/>
      <c r="E96" s="52"/>
      <c r="F96" s="49"/>
      <c r="G96" s="1380">
        <f>IF(UDV.dpss.removal_events&lt;1,G94,IF(G95&gt;UC.year_to_day/UDV.dpss.removal_events,G94*UC.year_to_day/G95,G94*UDV.dpss.removal_events))</f>
        <v>20</v>
      </c>
      <c r="H96" s="1380">
        <f>IF(UDV.dpss.removal_events&lt;1,H94,IF(H95&gt;UC.year_to_day/UDV.dpss.removal_events,H94*UC.year_to_day/H95,H94*UDV.dpss.removal_events))</f>
        <v>20</v>
      </c>
    </row>
    <row r="97" spans="2:8" x14ac:dyDescent="0.3">
      <c r="B97" s="1454" t="s">
        <v>5357</v>
      </c>
      <c r="C97" s="510" t="s">
        <v>5578</v>
      </c>
      <c r="D97" s="510"/>
      <c r="E97" s="510"/>
      <c r="F97" s="510"/>
      <c r="G97" s="1380">
        <f>MIN(IF(G93="N",G90,IF(G93="P",G91,G92)),G96)</f>
        <v>3.652993372648591</v>
      </c>
      <c r="H97" s="1380">
        <f>MIN(IF(H93="N",H90,IF(H93="P",H91,H92)),H96)</f>
        <v>6.091771771788502</v>
      </c>
    </row>
    <row r="98" spans="2:8" x14ac:dyDescent="0.3">
      <c r="B98" s="1454" t="s">
        <v>5360</v>
      </c>
      <c r="C98" s="1503" t="s">
        <v>5361</v>
      </c>
      <c r="D98" s="510"/>
      <c r="E98" s="510"/>
      <c r="F98" s="510"/>
      <c r="G98" s="1395">
        <f>G87*G97</f>
        <v>195</v>
      </c>
      <c r="H98" s="1395">
        <f>H87*H97</f>
        <v>195</v>
      </c>
    </row>
    <row r="99" spans="2:8" x14ac:dyDescent="0.3">
      <c r="B99" s="1454" t="s">
        <v>5363</v>
      </c>
      <c r="C99" s="1503" t="s">
        <v>5361</v>
      </c>
      <c r="D99" s="510"/>
      <c r="E99" s="510"/>
      <c r="F99" s="510"/>
      <c r="G99" s="1395">
        <f>G88*G97</f>
        <v>91.077218472090266</v>
      </c>
      <c r="H99" s="1395">
        <f>H88*H97</f>
        <v>151.88136740007886</v>
      </c>
    </row>
    <row r="100" spans="2:8" x14ac:dyDescent="0.3">
      <c r="B100" s="1454" t="s">
        <v>5365</v>
      </c>
      <c r="C100" s="1503" t="s">
        <v>5361</v>
      </c>
      <c r="D100" s="510"/>
      <c r="E100" s="510"/>
      <c r="F100" s="510"/>
      <c r="G100" s="1395">
        <f>G89*G97</f>
        <v>123.26300294391612</v>
      </c>
      <c r="H100" s="1395">
        <f>H89*H97</f>
        <v>205.55473422477107</v>
      </c>
    </row>
    <row r="101" spans="2:8" x14ac:dyDescent="0.3">
      <c r="B101" s="1454" t="s">
        <v>5366</v>
      </c>
      <c r="C101" s="1503" t="s">
        <v>5361</v>
      </c>
      <c r="D101" s="510"/>
      <c r="E101" s="510"/>
      <c r="F101" s="510"/>
      <c r="G101" s="1395">
        <f t="shared" ref="G101:H103" si="6">IF(G83&lt;G98,G83,G98)</f>
        <v>195</v>
      </c>
      <c r="H101" s="1395">
        <f t="shared" si="6"/>
        <v>195</v>
      </c>
    </row>
    <row r="102" spans="2:8" x14ac:dyDescent="0.3">
      <c r="B102" s="1454" t="s">
        <v>5368</v>
      </c>
      <c r="C102" s="1503" t="s">
        <v>5361</v>
      </c>
      <c r="D102" s="510"/>
      <c r="E102" s="510"/>
      <c r="F102" s="510"/>
      <c r="G102" s="1395">
        <f t="shared" si="6"/>
        <v>55</v>
      </c>
      <c r="H102" s="1395">
        <f t="shared" si="6"/>
        <v>55</v>
      </c>
    </row>
    <row r="103" spans="2:8" x14ac:dyDescent="0.3">
      <c r="B103" s="1454" t="s">
        <v>5370</v>
      </c>
      <c r="C103" s="1503" t="s">
        <v>5361</v>
      </c>
      <c r="D103" s="510"/>
      <c r="E103" s="510"/>
      <c r="F103" s="510"/>
      <c r="G103" s="1380">
        <f t="shared" si="6"/>
        <v>90</v>
      </c>
      <c r="H103" s="1380">
        <f t="shared" si="6"/>
        <v>90</v>
      </c>
    </row>
    <row r="104" spans="2:8" x14ac:dyDescent="0.3">
      <c r="B104" s="1454" t="s">
        <v>5381</v>
      </c>
      <c r="C104" s="1503" t="s">
        <v>5361</v>
      </c>
      <c r="D104" s="510"/>
      <c r="E104" s="510"/>
      <c r="F104" s="510"/>
      <c r="G104" s="1395">
        <f t="shared" ref="G104:H106" si="7">G98-G101</f>
        <v>0</v>
      </c>
      <c r="H104" s="1395">
        <f t="shared" si="7"/>
        <v>0</v>
      </c>
    </row>
    <row r="105" spans="2:8" x14ac:dyDescent="0.3">
      <c r="B105" s="1454" t="s">
        <v>5382</v>
      </c>
      <c r="C105" s="1503" t="s">
        <v>5361</v>
      </c>
      <c r="D105" s="510"/>
      <c r="E105" s="510"/>
      <c r="F105" s="510"/>
      <c r="G105" s="1395">
        <f t="shared" si="7"/>
        <v>36.077218472090266</v>
      </c>
      <c r="H105" s="1395">
        <f t="shared" si="7"/>
        <v>96.881367400078858</v>
      </c>
    </row>
    <row r="106" spans="2:8" x14ac:dyDescent="0.3">
      <c r="B106" s="1454" t="s">
        <v>5383</v>
      </c>
      <c r="C106" s="1503" t="s">
        <v>5361</v>
      </c>
      <c r="D106" s="510"/>
      <c r="E106" s="510"/>
      <c r="F106" s="52"/>
      <c r="G106" s="1395">
        <f t="shared" si="7"/>
        <v>33.263002943916121</v>
      </c>
      <c r="H106" s="1395">
        <f t="shared" si="7"/>
        <v>115.55473422477107</v>
      </c>
    </row>
    <row r="107" spans="2:8" x14ac:dyDescent="0.3">
      <c r="B107" s="1454" t="s">
        <v>5384</v>
      </c>
      <c r="C107" s="1503" t="s">
        <v>5385</v>
      </c>
      <c r="D107" s="52"/>
      <c r="E107" s="510"/>
      <c r="F107" s="19"/>
      <c r="G107" s="1380">
        <f>G70/G97</f>
        <v>76.381736002187523</v>
      </c>
      <c r="H107" s="1380">
        <f>H70/H97</f>
        <v>45.80309076902045</v>
      </c>
    </row>
    <row r="108" spans="2:8" x14ac:dyDescent="0.3">
      <c r="B108" s="1454" t="s">
        <v>5386</v>
      </c>
      <c r="C108" s="1503" t="s">
        <v>5385</v>
      </c>
      <c r="D108" s="510"/>
      <c r="E108" s="510"/>
      <c r="F108" s="510"/>
      <c r="G108" s="1378">
        <f>UDV.crops.acres_available</f>
        <v>100</v>
      </c>
      <c r="H108" s="1378">
        <f>UDV.crops.acres_available</f>
        <v>100</v>
      </c>
    </row>
    <row r="109" spans="2:8" x14ac:dyDescent="0.3">
      <c r="B109" s="1454" t="s">
        <v>5387</v>
      </c>
      <c r="C109" s="1503" t="s">
        <v>5385</v>
      </c>
      <c r="D109" s="510"/>
      <c r="E109" s="1505"/>
      <c r="F109" s="510"/>
      <c r="G109" s="1380">
        <f>IF(G107&lt;G108,G107,G108)</f>
        <v>76.381736002187523</v>
      </c>
      <c r="H109" s="1380">
        <f>IF(H107&lt;H108,H107,H108)</f>
        <v>45.80309076902045</v>
      </c>
    </row>
    <row r="110" spans="2:8" x14ac:dyDescent="0.3">
      <c r="B110" s="1454" t="s">
        <v>5584</v>
      </c>
      <c r="C110" s="1503" t="s">
        <v>5246</v>
      </c>
      <c r="D110" s="510"/>
      <c r="E110" s="510"/>
      <c r="F110" s="510"/>
      <c r="G110" s="1379">
        <f>G97*G109</f>
        <v>279.0219754073853</v>
      </c>
      <c r="H110" s="1379">
        <f>H97*H109</f>
        <v>279.0219754073853</v>
      </c>
    </row>
    <row r="111" spans="2:8" x14ac:dyDescent="0.3">
      <c r="B111" s="1454" t="s">
        <v>5585</v>
      </c>
      <c r="C111" s="1503" t="s">
        <v>5246</v>
      </c>
      <c r="D111" s="510"/>
      <c r="E111" s="510"/>
      <c r="F111" s="510"/>
      <c r="G111" s="1379">
        <f>IF(G70&gt;G110,G110,G70)</f>
        <v>279.0219754073853</v>
      </c>
      <c r="H111" s="1379">
        <f>IF(H70&gt;H110,H110,H70)</f>
        <v>279.0219754073853</v>
      </c>
    </row>
    <row r="112" spans="2:8" x14ac:dyDescent="0.3">
      <c r="B112" s="1506" t="s">
        <v>5586</v>
      </c>
      <c r="C112" s="510" t="s">
        <v>5588</v>
      </c>
      <c r="D112" s="510"/>
      <c r="E112" s="510"/>
      <c r="F112" s="510"/>
      <c r="G112" s="1379">
        <f>IF(G109=0,0,G111/G109*1000)</f>
        <v>3652.993372648591</v>
      </c>
      <c r="H112" s="1379">
        <f>IF(H109=0,0,H111/H109*1000)</f>
        <v>6091.7717717885016</v>
      </c>
    </row>
    <row r="113" spans="2:8" x14ac:dyDescent="0.3">
      <c r="B113" s="1453" t="s">
        <v>5390</v>
      </c>
      <c r="C113" s="1503" t="s">
        <v>5246</v>
      </c>
      <c r="D113" s="510"/>
      <c r="E113" s="510"/>
      <c r="F113" s="510"/>
      <c r="G113" s="1379">
        <f>G70-G111</f>
        <v>0</v>
      </c>
      <c r="H113" s="1379">
        <f>H70-H111</f>
        <v>0</v>
      </c>
    </row>
    <row r="114" spans="2:8" x14ac:dyDescent="0.3">
      <c r="B114" s="510" t="s">
        <v>5589</v>
      </c>
      <c r="C114" s="510" t="s">
        <v>1694</v>
      </c>
      <c r="D114" s="510"/>
      <c r="E114" s="510"/>
      <c r="F114" s="510"/>
      <c r="G114" s="1380">
        <f>G111/G70</f>
        <v>1</v>
      </c>
      <c r="H114" s="1380">
        <f>H111/H70</f>
        <v>1</v>
      </c>
    </row>
    <row r="115" spans="2:8" x14ac:dyDescent="0.3">
      <c r="B115" s="1438" t="s">
        <v>5590</v>
      </c>
      <c r="C115" s="510" t="s">
        <v>5591</v>
      </c>
      <c r="D115" s="510"/>
      <c r="E115" s="510"/>
      <c r="F115" s="510"/>
      <c r="G115" s="1379">
        <f>G70*G114*1000/G34</f>
        <v>139510.98770369266</v>
      </c>
      <c r="H115" s="1379">
        <f>H70*H114*1000/H34</f>
        <v>139510.98770369266</v>
      </c>
    </row>
    <row r="116" spans="2:8" x14ac:dyDescent="0.3">
      <c r="B116" s="91" t="s">
        <v>5592</v>
      </c>
      <c r="C116" s="510" t="s">
        <v>2534</v>
      </c>
      <c r="D116" s="510"/>
      <c r="E116" s="510"/>
      <c r="F116" s="510"/>
      <c r="G116" s="1380">
        <f>G97*1000*UC.gal_to_ft3*UC.ft_to_in/UC.acre_to_ft2</f>
        <v>0.13452732774984913</v>
      </c>
      <c r="H116" s="1380">
        <f>H97*1000*UC.gal_to_ft3*UC.ft_to_in/UC.acre_to_ft2</f>
        <v>0.22433924568729455</v>
      </c>
    </row>
    <row r="117" spans="2:8" x14ac:dyDescent="0.3">
      <c r="B117" s="1405" t="s">
        <v>5593</v>
      </c>
      <c r="C117" s="1374"/>
      <c r="D117" s="1374"/>
      <c r="E117" s="1374"/>
      <c r="F117" s="1356" t="s">
        <v>602</v>
      </c>
      <c r="G117" s="1356">
        <f>G6</f>
        <v>1</v>
      </c>
      <c r="H117" s="1356">
        <f>H6</f>
        <v>2</v>
      </c>
    </row>
    <row r="118" spans="2:8" x14ac:dyDescent="0.3">
      <c r="B118" s="1449" t="s">
        <v>5372</v>
      </c>
      <c r="C118" s="1449" t="s">
        <v>2299</v>
      </c>
      <c r="D118" s="510"/>
      <c r="E118" s="510"/>
      <c r="F118" s="1403"/>
      <c r="G118" s="1462">
        <f>UDV.econ_fertilizer.N</f>
        <v>0.53</v>
      </c>
      <c r="H118" s="1462">
        <f>UDV.econ_fertilizer.N</f>
        <v>0.53</v>
      </c>
    </row>
    <row r="119" spans="2:8" x14ac:dyDescent="0.3">
      <c r="B119" s="1449" t="s">
        <v>5373</v>
      </c>
      <c r="C119" s="1449" t="s">
        <v>2299</v>
      </c>
      <c r="D119" s="510"/>
      <c r="E119" s="510"/>
      <c r="F119" s="1403"/>
      <c r="G119" s="1462">
        <f>UDV.econ_fertilizer.P2O5</f>
        <v>0.53</v>
      </c>
      <c r="H119" s="1462">
        <f>UDV.econ_fertilizer.P2O5</f>
        <v>0.53</v>
      </c>
    </row>
    <row r="120" spans="2:8" x14ac:dyDescent="0.3">
      <c r="B120" s="1449" t="s">
        <v>5374</v>
      </c>
      <c r="C120" s="1449" t="s">
        <v>2299</v>
      </c>
      <c r="D120" s="510"/>
      <c r="E120" s="510"/>
      <c r="F120" s="1403"/>
      <c r="G120" s="1462">
        <f>UDV.econ_fertilizer.K2O</f>
        <v>0.45</v>
      </c>
      <c r="H120" s="1462">
        <f>UDV.econ_fertilizer.K2O</f>
        <v>0.45</v>
      </c>
    </row>
    <row r="121" spans="2:8" x14ac:dyDescent="0.3">
      <c r="B121" s="1449" t="s">
        <v>5375</v>
      </c>
      <c r="C121" s="1449" t="s">
        <v>5376</v>
      </c>
      <c r="D121" s="510"/>
      <c r="E121" s="510"/>
      <c r="F121" s="1380"/>
      <c r="G121" s="1380">
        <f t="shared" ref="G121:H123" si="8">G101*G118</f>
        <v>103.35000000000001</v>
      </c>
      <c r="H121" s="1380">
        <f t="shared" si="8"/>
        <v>103.35000000000001</v>
      </c>
    </row>
    <row r="122" spans="2:8" x14ac:dyDescent="0.3">
      <c r="B122" s="1449" t="s">
        <v>5377</v>
      </c>
      <c r="C122" s="1449" t="s">
        <v>5376</v>
      </c>
      <c r="D122" s="510"/>
      <c r="E122" s="510"/>
      <c r="F122" s="1380"/>
      <c r="G122" s="1380">
        <f t="shared" si="8"/>
        <v>29.150000000000002</v>
      </c>
      <c r="H122" s="1380">
        <f t="shared" si="8"/>
        <v>29.150000000000002</v>
      </c>
    </row>
    <row r="123" spans="2:8" x14ac:dyDescent="0.3">
      <c r="B123" s="1449" t="s">
        <v>5378</v>
      </c>
      <c r="C123" s="1449" t="s">
        <v>5376</v>
      </c>
      <c r="D123" s="510"/>
      <c r="E123" s="510"/>
      <c r="F123" s="1380"/>
      <c r="G123" s="1380">
        <f t="shared" si="8"/>
        <v>40.5</v>
      </c>
      <c r="H123" s="1380">
        <f t="shared" si="8"/>
        <v>40.5</v>
      </c>
    </row>
    <row r="124" spans="2:8" x14ac:dyDescent="0.3">
      <c r="B124" s="1449" t="s">
        <v>5379</v>
      </c>
      <c r="C124" s="1449" t="s">
        <v>5376</v>
      </c>
      <c r="D124" s="510"/>
      <c r="E124" s="510"/>
      <c r="F124" s="1380"/>
      <c r="G124" s="1380">
        <f>SUM(G121:G123)</f>
        <v>173</v>
      </c>
      <c r="H124" s="1380">
        <f>SUM(H121:H123)</f>
        <v>173</v>
      </c>
    </row>
    <row r="125" spans="2:8" x14ac:dyDescent="0.3">
      <c r="B125" s="1449" t="s">
        <v>5380</v>
      </c>
      <c r="C125" s="1449" t="s">
        <v>2314</v>
      </c>
      <c r="D125" s="510"/>
      <c r="E125" s="510"/>
      <c r="F125" s="1380"/>
      <c r="G125" s="1380">
        <f>G124/G97</f>
        <v>47.358421533233418</v>
      </c>
      <c r="H125" s="1380">
        <f>H124/H97</f>
        <v>28.398962810980095</v>
      </c>
    </row>
    <row r="126" spans="2:8" x14ac:dyDescent="0.3">
      <c r="B126" s="1457" t="s">
        <v>5332</v>
      </c>
      <c r="C126" s="1449" t="s">
        <v>5181</v>
      </c>
      <c r="D126" s="510"/>
      <c r="E126" s="510"/>
      <c r="F126" s="1380"/>
      <c r="G126" s="1380">
        <f>G111*G125</f>
        <v>13214.040328378442</v>
      </c>
      <c r="H126" s="1380">
        <f>H111*H125</f>
        <v>7923.9347030405379</v>
      </c>
    </row>
    <row r="127" spans="2:8" x14ac:dyDescent="0.3">
      <c r="B127" s="93"/>
      <c r="G127" s="499"/>
      <c r="H127" s="499"/>
    </row>
    <row r="128" spans="2:8" x14ac:dyDescent="0.3">
      <c r="B128" s="1405" t="s">
        <v>5271</v>
      </c>
      <c r="C128" s="1374"/>
      <c r="D128" s="1374"/>
      <c r="E128" s="1374"/>
      <c r="F128" s="1356"/>
      <c r="G128" s="1356"/>
      <c r="H128" s="1356"/>
    </row>
    <row r="129" spans="2:8" x14ac:dyDescent="0.3">
      <c r="B129" s="49" t="s">
        <v>5594</v>
      </c>
      <c r="C129" s="49" t="s">
        <v>2409</v>
      </c>
      <c r="D129" s="49"/>
      <c r="E129" s="49"/>
      <c r="F129" s="49"/>
      <c r="G129" s="1360">
        <f>G29</f>
        <v>221.00449999999995</v>
      </c>
      <c r="H129" s="1360">
        <f>H29</f>
        <v>221.00449999999995</v>
      </c>
    </row>
    <row r="130" spans="2:8" x14ac:dyDescent="0.3">
      <c r="B130" s="602" t="s">
        <v>5595</v>
      </c>
      <c r="C130" s="49" t="s">
        <v>5596</v>
      </c>
      <c r="D130" s="49"/>
      <c r="E130" s="49"/>
      <c r="F130" s="49"/>
      <c r="G130" s="1727">
        <f>UDV.emit_CH4.BD</f>
        <v>0.47999999999999993</v>
      </c>
      <c r="H130" s="1727">
        <f>UDV.emit_CH4.BD</f>
        <v>0.47999999999999993</v>
      </c>
    </row>
    <row r="131" spans="2:8" x14ac:dyDescent="0.3">
      <c r="B131" s="602" t="s">
        <v>5597</v>
      </c>
      <c r="C131" s="49" t="s">
        <v>2416</v>
      </c>
      <c r="D131" s="49"/>
      <c r="E131" s="49"/>
      <c r="F131" s="49"/>
      <c r="G131" s="1727">
        <f>UDV.emit_CH4.density</f>
        <v>0.66199999999999992</v>
      </c>
      <c r="H131" s="1727">
        <f>UDV.emit_CH4.density</f>
        <v>0.66199999999999992</v>
      </c>
    </row>
    <row r="132" spans="2:8" x14ac:dyDescent="0.3">
      <c r="B132" s="602" t="s">
        <v>5598</v>
      </c>
      <c r="C132" s="49" t="s">
        <v>1694</v>
      </c>
      <c r="D132" s="49"/>
      <c r="E132" s="49"/>
      <c r="F132" s="49"/>
      <c r="G132" s="1414">
        <f>UDV.emit_CH4.MCF_slurry_dpss</f>
        <v>0.31094801</v>
      </c>
      <c r="H132" s="1414">
        <f>UDV.emit_CH4.MCF_slurry_dpss_aerated</f>
        <v>0.155474005</v>
      </c>
    </row>
    <row r="133" spans="2:8" x14ac:dyDescent="0.3">
      <c r="B133" s="602" t="s">
        <v>5599</v>
      </c>
      <c r="C133" s="49" t="s">
        <v>5601</v>
      </c>
      <c r="D133" s="1089" t="s">
        <v>5600</v>
      </c>
      <c r="E133" s="1089"/>
      <c r="F133" s="1089"/>
      <c r="G133" s="1728">
        <f>G129*365*G130*G131*G132/UDV.animal.total</f>
        <v>15.940832022428877</v>
      </c>
      <c r="H133" s="1728">
        <f>H129*365*H130*H131*H132/UDV.animal.total</f>
        <v>7.9704160112144384</v>
      </c>
    </row>
    <row r="134" spans="2:8" x14ac:dyDescent="0.3">
      <c r="B134" s="2283" t="s">
        <v>5602</v>
      </c>
      <c r="C134" s="1411"/>
      <c r="D134" s="1407"/>
      <c r="E134" s="2284"/>
      <c r="F134" s="1409"/>
      <c r="G134" s="1409"/>
      <c r="H134" s="1409"/>
    </row>
    <row r="135" spans="2:8" x14ac:dyDescent="0.3">
      <c r="B135" s="28" t="s">
        <v>5603</v>
      </c>
      <c r="C135" s="28" t="s">
        <v>2409</v>
      </c>
      <c r="D135" s="2285"/>
      <c r="E135" s="1353"/>
      <c r="F135" s="1384"/>
      <c r="G135" s="1532">
        <f>G30</f>
        <v>26.000450000000001</v>
      </c>
      <c r="H135" s="1532">
        <f>H30</f>
        <v>26.000450000000001</v>
      </c>
    </row>
    <row r="136" spans="2:8" x14ac:dyDescent="0.3">
      <c r="B136" s="28" t="s">
        <v>5604</v>
      </c>
      <c r="C136" s="28" t="s">
        <v>5605</v>
      </c>
      <c r="D136" s="1351"/>
      <c r="E136" s="1353"/>
      <c r="F136" s="1384"/>
      <c r="G136" s="1576">
        <f>UDV.emit_N2O_direct.N_to_N2O</f>
        <v>1.5713999999999999</v>
      </c>
      <c r="H136" s="1576">
        <f>UDV.emit_N2O_direct.N_to_N2O</f>
        <v>1.5713999999999999</v>
      </c>
    </row>
    <row r="137" spans="2:8" x14ac:dyDescent="0.3">
      <c r="B137" s="28" t="s">
        <v>5606</v>
      </c>
      <c r="C137" s="28" t="s">
        <v>5607</v>
      </c>
      <c r="D137" s="2285"/>
      <c r="E137" s="1353"/>
      <c r="F137" s="1384"/>
      <c r="G137" s="1521">
        <f>G135*UC.year_to_day/UDV.animal.total</f>
        <v>18.980328499999999</v>
      </c>
      <c r="H137" s="1521">
        <f>H135*UC.year_to_day/UDV.animal.total</f>
        <v>18.980328499999999</v>
      </c>
    </row>
    <row r="138" spans="2:8" x14ac:dyDescent="0.3">
      <c r="B138" s="2283" t="s">
        <v>5608</v>
      </c>
      <c r="C138" s="2289"/>
      <c r="D138" s="1408"/>
      <c r="E138" s="2284"/>
      <c r="F138" s="1409"/>
      <c r="G138" s="2286"/>
      <c r="H138" s="2286"/>
    </row>
    <row r="139" spans="2:8" x14ac:dyDescent="0.3">
      <c r="B139" s="95" t="s">
        <v>5609</v>
      </c>
      <c r="C139" s="95" t="s">
        <v>1694</v>
      </c>
      <c r="D139" s="52"/>
      <c r="E139" s="1353"/>
      <c r="F139" s="1384"/>
      <c r="G139" s="1401">
        <f>UDV.emit_NH3.lossfrac_pit_no_air</f>
        <v>0.25</v>
      </c>
      <c r="H139" s="1401">
        <f>UDV.emit_NH3.lossfrac_pit_aerated</f>
        <v>0.55000000000000004</v>
      </c>
    </row>
    <row r="140" spans="2:8" x14ac:dyDescent="0.3">
      <c r="B140" s="95" t="s">
        <v>5610</v>
      </c>
      <c r="C140" s="28" t="s">
        <v>5611</v>
      </c>
      <c r="D140" s="510"/>
      <c r="E140" s="1353"/>
      <c r="F140" s="1384"/>
      <c r="G140" s="1878">
        <f>G137*G139</f>
        <v>4.7450821249999997</v>
      </c>
      <c r="H140" s="1878">
        <f>H137*H139</f>
        <v>10.439180674999999</v>
      </c>
    </row>
    <row r="141" spans="2:8" x14ac:dyDescent="0.3">
      <c r="B141" s="95" t="s">
        <v>5612</v>
      </c>
      <c r="C141" s="28" t="s">
        <v>5611</v>
      </c>
      <c r="D141" s="52"/>
      <c r="E141" s="1382" t="s">
        <v>5613</v>
      </c>
      <c r="F141" s="1415"/>
      <c r="G141" s="2288">
        <f>G140</f>
        <v>4.7450821249999997</v>
      </c>
      <c r="H141" s="2288">
        <f>H140</f>
        <v>10.439180674999999</v>
      </c>
    </row>
    <row r="142" spans="2:8" x14ac:dyDescent="0.3">
      <c r="B142" s="2283" t="s">
        <v>5614</v>
      </c>
      <c r="C142" s="2289"/>
      <c r="D142" s="1407"/>
      <c r="E142" s="2284"/>
      <c r="F142" s="1409"/>
      <c r="G142" s="2286"/>
      <c r="H142" s="2286"/>
    </row>
    <row r="143" spans="2:8" ht="15.6" x14ac:dyDescent="0.3">
      <c r="B143" s="28" t="s">
        <v>5615</v>
      </c>
      <c r="C143" s="28" t="s">
        <v>5616</v>
      </c>
      <c r="D143" s="2285"/>
      <c r="E143" s="1353"/>
      <c r="F143" s="1384"/>
      <c r="G143" s="2290">
        <f>UDV.emit_N2O_direct.ef3_pit</f>
        <v>2E-3</v>
      </c>
      <c r="H143" s="2290">
        <f>UDV.emit_N2O_direct.ef3_pit_aerated</f>
        <v>3.5000000000000001E-3</v>
      </c>
    </row>
    <row r="144" spans="2:8" x14ac:dyDescent="0.3">
      <c r="B144" s="95" t="s">
        <v>5617</v>
      </c>
      <c r="C144" s="28" t="s">
        <v>5618</v>
      </c>
      <c r="D144" s="2291"/>
      <c r="E144" s="1353"/>
      <c r="F144" s="1384"/>
      <c r="G144" s="1878">
        <f>G136*G137*G143</f>
        <v>5.9651376409799999E-2</v>
      </c>
      <c r="H144" s="1878">
        <f>H136*H137*H143</f>
        <v>0.10438990871715</v>
      </c>
    </row>
    <row r="145" spans="2:8" x14ac:dyDescent="0.3">
      <c r="B145" s="95" t="s">
        <v>5619</v>
      </c>
      <c r="C145" s="28" t="s">
        <v>5618</v>
      </c>
      <c r="D145" s="52"/>
      <c r="E145" s="1382" t="s">
        <v>5620</v>
      </c>
      <c r="F145" s="1415"/>
      <c r="G145" s="2288">
        <f>G144</f>
        <v>5.9651376409799999E-2</v>
      </c>
      <c r="H145" s="2288">
        <f>H144</f>
        <v>0.10438990871715</v>
      </c>
    </row>
    <row r="146" spans="2:8" x14ac:dyDescent="0.3">
      <c r="B146" s="2283" t="s">
        <v>5621</v>
      </c>
      <c r="C146" s="2289"/>
      <c r="D146" s="1408"/>
      <c r="E146" s="2284"/>
      <c r="F146" s="1409"/>
      <c r="G146" s="2286"/>
      <c r="H146" s="2286"/>
    </row>
    <row r="147" spans="2:8" x14ac:dyDescent="0.3">
      <c r="B147" s="28" t="s">
        <v>5622</v>
      </c>
      <c r="C147" s="95" t="s">
        <v>5623</v>
      </c>
      <c r="D147" s="2292"/>
      <c r="E147" s="1353"/>
      <c r="F147" s="1384"/>
      <c r="G147" s="2312">
        <f>UDV.emit_N2O_indirect.ef4</f>
        <v>1.4E-2</v>
      </c>
      <c r="H147" s="1576">
        <f>UDV.emit_N2O_indirect.ef4</f>
        <v>1.4E-2</v>
      </c>
    </row>
    <row r="148" spans="2:8" x14ac:dyDescent="0.3">
      <c r="B148" s="95" t="s">
        <v>5624</v>
      </c>
      <c r="C148" s="28" t="s">
        <v>5618</v>
      </c>
      <c r="D148" s="2293"/>
      <c r="E148" s="1353"/>
      <c r="F148" s="1384"/>
      <c r="G148" s="1878">
        <f>G136*G140*G147</f>
        <v>0.10438990871715</v>
      </c>
      <c r="H148" s="1878">
        <f>H136*H140*H147</f>
        <v>0.22965779917772999</v>
      </c>
    </row>
    <row r="149" spans="2:8" x14ac:dyDescent="0.3">
      <c r="B149" s="95" t="s">
        <v>5625</v>
      </c>
      <c r="C149" s="28" t="s">
        <v>5618</v>
      </c>
      <c r="D149" s="52"/>
      <c r="E149" s="1382" t="s">
        <v>5626</v>
      </c>
      <c r="F149" s="1415"/>
      <c r="G149" s="2288">
        <f>G148</f>
        <v>0.10438990871715</v>
      </c>
      <c r="H149" s="2288">
        <f>H148</f>
        <v>0.22965779917772999</v>
      </c>
    </row>
    <row r="150" spans="2:8" x14ac:dyDescent="0.3">
      <c r="B150" s="93"/>
      <c r="G150" s="499"/>
      <c r="H150" s="499"/>
    </row>
    <row r="151" spans="2:8" x14ac:dyDescent="0.3">
      <c r="B151" s="1507" t="s">
        <v>5627</v>
      </c>
      <c r="C151" s="1408"/>
      <c r="D151" s="1407"/>
      <c r="E151" s="1407"/>
      <c r="F151" s="1356" t="s">
        <v>602</v>
      </c>
      <c r="G151" s="1356">
        <f>G6</f>
        <v>1</v>
      </c>
      <c r="H151" s="1356">
        <f>H6</f>
        <v>2</v>
      </c>
    </row>
    <row r="152" spans="2:8" x14ac:dyDescent="0.3">
      <c r="B152" s="510" t="s">
        <v>5590</v>
      </c>
      <c r="C152" s="510" t="s">
        <v>2489</v>
      </c>
      <c r="D152" s="52"/>
      <c r="E152" s="52"/>
      <c r="F152" s="52"/>
      <c r="G152" s="1377">
        <f>G115</f>
        <v>139510.98770369266</v>
      </c>
      <c r="H152" s="1357">
        <f>H115</f>
        <v>139510.98770369266</v>
      </c>
    </row>
    <row r="153" spans="2:8" x14ac:dyDescent="0.3">
      <c r="B153" s="1454" t="s">
        <v>5357</v>
      </c>
      <c r="C153" s="510" t="s">
        <v>5588</v>
      </c>
      <c r="D153" s="52"/>
      <c r="E153" s="52"/>
      <c r="F153" s="52"/>
      <c r="G153" s="1357">
        <f>G112</f>
        <v>3652.993372648591</v>
      </c>
      <c r="H153" s="1357">
        <f>H112</f>
        <v>6091.7717717885016</v>
      </c>
    </row>
    <row r="154" spans="2:8" x14ac:dyDescent="0.3">
      <c r="B154" s="1454" t="s">
        <v>5628</v>
      </c>
      <c r="C154" s="510" t="s">
        <v>2426</v>
      </c>
      <c r="D154" s="52"/>
      <c r="E154" s="52"/>
      <c r="F154" s="52"/>
      <c r="G154" s="1414">
        <f>UDV.dpss.agitation</f>
        <v>1</v>
      </c>
      <c r="H154" s="1414">
        <f>UDV.dpss_aer.agitation</f>
        <v>0</v>
      </c>
    </row>
    <row r="155" spans="2:8" x14ac:dyDescent="0.3">
      <c r="B155" s="91" t="s">
        <v>5629</v>
      </c>
      <c r="C155" s="510" t="s">
        <v>2469</v>
      </c>
      <c r="D155" s="52"/>
      <c r="E155" s="52"/>
      <c r="F155" s="52"/>
      <c r="G155" s="1378">
        <f>UDV.tractor.application_time_non_sludge</f>
        <v>50</v>
      </c>
      <c r="H155" s="1378">
        <f>UDV.tractor.application_time_non_sludge</f>
        <v>50</v>
      </c>
    </row>
    <row r="156" spans="2:8" x14ac:dyDescent="0.3">
      <c r="B156" s="91" t="s">
        <v>5630</v>
      </c>
      <c r="C156" s="510" t="s">
        <v>2471</v>
      </c>
      <c r="D156" s="52"/>
      <c r="E156" s="52"/>
      <c r="F156" s="52"/>
      <c r="G156" s="1378">
        <f>UDV.tractor.max_usage_daily</f>
        <v>12</v>
      </c>
      <c r="H156" s="1378">
        <f>UDV.tractor.max_usage_daily</f>
        <v>12</v>
      </c>
    </row>
    <row r="157" spans="2:8" x14ac:dyDescent="0.3">
      <c r="B157" s="91" t="s">
        <v>2164</v>
      </c>
      <c r="C157" s="510" t="s">
        <v>2472</v>
      </c>
      <c r="D157" s="52"/>
      <c r="E157" s="52"/>
      <c r="F157" s="52"/>
      <c r="G157" s="1378">
        <f>UDV.tractor.min_usage_yearly</f>
        <v>1000</v>
      </c>
      <c r="H157" s="1378">
        <f>UDV.tractor.min_usage_yearly</f>
        <v>1000</v>
      </c>
    </row>
    <row r="158" spans="2:8" x14ac:dyDescent="0.3">
      <c r="B158" s="49" t="s">
        <v>5631</v>
      </c>
      <c r="C158" s="18" t="s">
        <v>2454</v>
      </c>
      <c r="D158" s="52"/>
      <c r="E158" s="52"/>
      <c r="F158" s="48"/>
      <c r="G158" s="1359">
        <f>1/UDV.dpss.removal_events</f>
        <v>0.5</v>
      </c>
      <c r="H158" s="1359">
        <f>1/UDV.dpss_aer.removal_events</f>
        <v>0.5</v>
      </c>
    </row>
    <row r="159" spans="2:8" x14ac:dyDescent="0.3">
      <c r="B159" s="1509" t="s">
        <v>5632</v>
      </c>
      <c r="C159" s="1448" t="s">
        <v>2342</v>
      </c>
      <c r="D159" s="52"/>
      <c r="E159" s="52"/>
      <c r="F159" s="52"/>
      <c r="G159" s="1378">
        <f>UDV.land_application.avg_distance</f>
        <v>1</v>
      </c>
      <c r="H159" s="1378">
        <f>UDV.land_application.avg_distance</f>
        <v>1</v>
      </c>
    </row>
    <row r="160" spans="2:8" x14ac:dyDescent="0.3">
      <c r="B160" s="1376" t="s">
        <v>5633</v>
      </c>
      <c r="C160" s="510" t="s">
        <v>2342</v>
      </c>
      <c r="D160" s="52"/>
      <c r="E160" s="52"/>
      <c r="F160" s="52"/>
      <c r="G160" s="1378">
        <f>UDV.land_application.max_distance</f>
        <v>2</v>
      </c>
      <c r="H160" s="1378">
        <f>UDV.land_application.max_distance</f>
        <v>2</v>
      </c>
    </row>
    <row r="161" spans="2:8" x14ac:dyDescent="0.3">
      <c r="B161" s="510" t="s">
        <v>5634</v>
      </c>
      <c r="C161" s="1448" t="s">
        <v>5635</v>
      </c>
      <c r="D161" s="52"/>
      <c r="E161" s="52"/>
      <c r="F161" s="52"/>
      <c r="G161" s="1359">
        <f>UDV.dpss.removal_events</f>
        <v>2</v>
      </c>
      <c r="H161" s="1359">
        <f>UDV.dpss_aer.removal_events</f>
        <v>2</v>
      </c>
    </row>
    <row r="162" spans="2:8" x14ac:dyDescent="0.3">
      <c r="B162" s="1510" t="s">
        <v>5636</v>
      </c>
      <c r="C162" s="1514"/>
      <c r="D162" s="1512"/>
      <c r="E162" s="1512"/>
      <c r="F162" s="1511"/>
      <c r="G162" s="1513">
        <f>G6</f>
        <v>1</v>
      </c>
      <c r="H162" s="1513">
        <f>H6</f>
        <v>2</v>
      </c>
    </row>
    <row r="163" spans="2:8" x14ac:dyDescent="0.3">
      <c r="B163" s="1509" t="s">
        <v>5637</v>
      </c>
      <c r="C163" s="1448" t="s">
        <v>2480</v>
      </c>
      <c r="D163" s="52"/>
      <c r="E163" s="52"/>
      <c r="F163" s="52"/>
      <c r="G163" s="1391">
        <f>UDV.land_application.tanker_volume</f>
        <v>6000</v>
      </c>
      <c r="H163" s="1391">
        <f>UDV.land_application.tanker_volume</f>
        <v>6000</v>
      </c>
    </row>
    <row r="164" spans="2:8" x14ac:dyDescent="0.3">
      <c r="B164" s="1509" t="s">
        <v>5638</v>
      </c>
      <c r="C164" s="1448" t="s">
        <v>5639</v>
      </c>
      <c r="D164" s="52"/>
      <c r="E164" s="52"/>
      <c r="F164" s="52"/>
      <c r="G164" s="1378">
        <f>UDV.land_application.tanker_tractor_power</f>
        <v>250</v>
      </c>
      <c r="H164" s="1378">
        <f>UDV.land_application.tanker_tractor_power</f>
        <v>250</v>
      </c>
    </row>
    <row r="165" spans="2:8" x14ac:dyDescent="0.3">
      <c r="B165" s="91" t="s">
        <v>5640</v>
      </c>
      <c r="C165" s="510" t="s">
        <v>5641</v>
      </c>
      <c r="D165" s="52"/>
      <c r="E165" s="52"/>
      <c r="F165" s="52"/>
      <c r="G165" s="1403">
        <f>UDV.land_application.storage_maneuver_time/UC.hour_to_min</f>
        <v>5.8333333333333334E-2</v>
      </c>
      <c r="H165" s="1403">
        <f>UDV.land_application.storage_maneuver_time/UC.hour_to_min</f>
        <v>5.8333333333333334E-2</v>
      </c>
    </row>
    <row r="166" spans="2:8" x14ac:dyDescent="0.3">
      <c r="B166" s="91" t="s">
        <v>5642</v>
      </c>
      <c r="C166" s="510" t="s">
        <v>5641</v>
      </c>
      <c r="D166" s="52"/>
      <c r="E166" s="52"/>
      <c r="F166" s="52"/>
      <c r="G166" s="1403">
        <f>UDV.land_application.field_maneuver_time/UC.hour_to_min</f>
        <v>6.6666666666666666E-2</v>
      </c>
      <c r="H166" s="1403">
        <f>UDV.land_application.field_maneuver_time/UC.hour_to_min</f>
        <v>6.6666666666666666E-2</v>
      </c>
    </row>
    <row r="167" spans="2:8" x14ac:dyDescent="0.3">
      <c r="B167" s="91" t="s">
        <v>5643</v>
      </c>
      <c r="C167" s="510" t="s">
        <v>2516</v>
      </c>
      <c r="D167" s="52"/>
      <c r="E167" s="52"/>
      <c r="F167" s="52"/>
      <c r="G167" s="1378">
        <f>UDV.land_application.storage_to_tanker_load_rate</f>
        <v>2000</v>
      </c>
      <c r="H167" s="1378">
        <f>UDV.land_application.storage_to_tanker_load_rate</f>
        <v>2000</v>
      </c>
    </row>
    <row r="168" spans="2:8" x14ac:dyDescent="0.3">
      <c r="B168" s="91" t="s">
        <v>5644</v>
      </c>
      <c r="C168" s="510" t="s">
        <v>5641</v>
      </c>
      <c r="D168" s="52"/>
      <c r="E168" s="52"/>
      <c r="F168" s="52"/>
      <c r="G168" s="1384">
        <f>G163/G167/UC.hour_to_min</f>
        <v>0.05</v>
      </c>
      <c r="H168" s="1384">
        <f>H163/H167/UC.hour_to_min</f>
        <v>0.05</v>
      </c>
    </row>
    <row r="169" spans="2:8" x14ac:dyDescent="0.3">
      <c r="B169" s="91" t="s">
        <v>5645</v>
      </c>
      <c r="C169" s="510" t="s">
        <v>2516</v>
      </c>
      <c r="D169" s="52"/>
      <c r="E169" s="52"/>
      <c r="F169" s="52"/>
      <c r="G169" s="1378">
        <f>UDV.land_application.tanker_unload_rate</f>
        <v>1300</v>
      </c>
      <c r="H169" s="1378">
        <f>UDV.land_application.tanker_unload_rate</f>
        <v>1300</v>
      </c>
    </row>
    <row r="170" spans="2:8" x14ac:dyDescent="0.3">
      <c r="B170" s="91" t="s">
        <v>5646</v>
      </c>
      <c r="C170" s="510" t="s">
        <v>5641</v>
      </c>
      <c r="D170" s="52"/>
      <c r="E170" s="52"/>
      <c r="F170" s="52"/>
      <c r="G170" s="1404">
        <f>G163/G169/UC.hour_to_min</f>
        <v>7.6923076923076913E-2</v>
      </c>
      <c r="H170" s="1404">
        <f>H163/H169/UC.hour_to_min</f>
        <v>7.6923076923076913E-2</v>
      </c>
    </row>
    <row r="171" spans="2:8" x14ac:dyDescent="0.3">
      <c r="B171" s="91" t="s">
        <v>5647</v>
      </c>
      <c r="C171" s="510" t="s">
        <v>5648</v>
      </c>
      <c r="D171" s="52"/>
      <c r="E171" s="52"/>
      <c r="F171" s="52"/>
      <c r="G171" s="1378">
        <f>UDV.land_application.tanker_loaded_speed</f>
        <v>14</v>
      </c>
      <c r="H171" s="1378">
        <f>UDV.land_application.tanker_loaded_speed</f>
        <v>14</v>
      </c>
    </row>
    <row r="172" spans="2:8" x14ac:dyDescent="0.3">
      <c r="B172" s="91" t="s">
        <v>5649</v>
      </c>
      <c r="C172" s="510" t="s">
        <v>5648</v>
      </c>
      <c r="D172" s="52"/>
      <c r="E172" s="52"/>
      <c r="F172" s="52"/>
      <c r="G172" s="1378">
        <f>UDV.land_application.tanker_unloaded_speed</f>
        <v>17</v>
      </c>
      <c r="H172" s="1378">
        <f>UDV.land_application.tanker_unloaded_speed</f>
        <v>17</v>
      </c>
    </row>
    <row r="173" spans="2:8" x14ac:dyDescent="0.3">
      <c r="B173" s="91" t="s">
        <v>5650</v>
      </c>
      <c r="C173" s="510" t="s">
        <v>5641</v>
      </c>
      <c r="D173" s="52"/>
      <c r="E173" s="52"/>
      <c r="F173" s="52"/>
      <c r="G173" s="1404">
        <f>G159/G171</f>
        <v>7.1428571428571425E-2</v>
      </c>
      <c r="H173" s="1404">
        <f>H159/H171</f>
        <v>7.1428571428571425E-2</v>
      </c>
    </row>
    <row r="174" spans="2:8" x14ac:dyDescent="0.3">
      <c r="B174" s="91" t="s">
        <v>5651</v>
      </c>
      <c r="C174" s="510" t="s">
        <v>5641</v>
      </c>
      <c r="D174" s="52"/>
      <c r="E174" s="52"/>
      <c r="F174" s="52"/>
      <c r="G174" s="1380">
        <f>G159/G172</f>
        <v>5.8823529411764705E-2</v>
      </c>
      <c r="H174" s="1380">
        <f>H159/H172</f>
        <v>5.8823529411764705E-2</v>
      </c>
    </row>
    <row r="175" spans="2:8" x14ac:dyDescent="0.3">
      <c r="B175" s="91" t="s">
        <v>5652</v>
      </c>
      <c r="C175" s="510" t="s">
        <v>5641</v>
      </c>
      <c r="D175" s="52"/>
      <c r="E175" s="52"/>
      <c r="F175" s="52"/>
      <c r="G175" s="1380">
        <f>G165+G166+G168+G170+G173+G174</f>
        <v>0.38217517776341303</v>
      </c>
      <c r="H175" s="1380">
        <f>H165+H166+H168+H170+H173+H174</f>
        <v>0.38217517776341303</v>
      </c>
    </row>
    <row r="176" spans="2:8" x14ac:dyDescent="0.3">
      <c r="B176" s="816" t="s">
        <v>5653</v>
      </c>
      <c r="C176" s="816" t="s">
        <v>2510</v>
      </c>
      <c r="D176" s="52"/>
      <c r="E176" s="52"/>
      <c r="F176" s="52"/>
      <c r="G176" s="1379">
        <f>G163/G175</f>
        <v>15699.606748699734</v>
      </c>
      <c r="H176" s="1379">
        <f>H163/H175</f>
        <v>15699.606748699734</v>
      </c>
    </row>
    <row r="177" spans="2:8" x14ac:dyDescent="0.3">
      <c r="B177" s="717" t="s">
        <v>5654</v>
      </c>
      <c r="C177" s="1444" t="s">
        <v>2462</v>
      </c>
      <c r="D177" s="52"/>
      <c r="E177" s="52"/>
      <c r="F177" s="52"/>
      <c r="G177" s="1379">
        <f>G152/G176</f>
        <v>8.8862727542680116</v>
      </c>
      <c r="H177" s="1379">
        <f>H152/H176</f>
        <v>8.8862727542680116</v>
      </c>
    </row>
    <row r="178" spans="2:8" x14ac:dyDescent="0.3">
      <c r="B178" s="1516" t="s">
        <v>5655</v>
      </c>
      <c r="C178" s="510" t="s">
        <v>2471</v>
      </c>
      <c r="D178" s="52"/>
      <c r="E178" s="52"/>
      <c r="F178" s="52"/>
      <c r="G178" s="1380">
        <f>G161*G177/G155</f>
        <v>0.35545091017072045</v>
      </c>
      <c r="H178" s="1380">
        <f>H161*H177/H155</f>
        <v>0.35545091017072045</v>
      </c>
    </row>
    <row r="179" spans="2:8" x14ac:dyDescent="0.3">
      <c r="B179" s="717" t="s">
        <v>5656</v>
      </c>
      <c r="C179" s="510" t="s">
        <v>2442</v>
      </c>
      <c r="D179" s="52"/>
      <c r="E179" s="52"/>
      <c r="F179" s="52"/>
      <c r="G179" s="1517">
        <f>ROUNDUP(G178/G156,0)</f>
        <v>1</v>
      </c>
      <c r="H179" s="1517">
        <f>ROUNDUP(H178/H156,0)</f>
        <v>1</v>
      </c>
    </row>
    <row r="180" spans="2:8" x14ac:dyDescent="0.3">
      <c r="B180" s="49" t="s">
        <v>5657</v>
      </c>
      <c r="C180" s="18" t="s">
        <v>2469</v>
      </c>
      <c r="D180" s="52"/>
      <c r="E180" s="52"/>
      <c r="F180" s="48"/>
      <c r="G180" s="1398">
        <f>IF(G177=0,0,G161*G177/G179/G156)</f>
        <v>1.4810454590446687</v>
      </c>
      <c r="H180" s="1398">
        <f>IF(H177=0,0,H161*H177/H179/H156)</f>
        <v>1.4810454590446687</v>
      </c>
    </row>
    <row r="181" spans="2:8" x14ac:dyDescent="0.3">
      <c r="B181" s="816" t="s">
        <v>5658</v>
      </c>
      <c r="C181" s="1444" t="s">
        <v>2472</v>
      </c>
      <c r="D181" s="52"/>
      <c r="E181" s="52"/>
      <c r="F181" s="52"/>
      <c r="G181" s="1379">
        <f>G161*G177</f>
        <v>17.772545508536023</v>
      </c>
      <c r="H181" s="1379">
        <f>H161*H177</f>
        <v>17.772545508536023</v>
      </c>
    </row>
    <row r="182" spans="2:8" x14ac:dyDescent="0.3">
      <c r="B182" s="816" t="s">
        <v>5659</v>
      </c>
      <c r="C182" s="816" t="s">
        <v>2510</v>
      </c>
      <c r="D182" s="52"/>
      <c r="E182" s="52"/>
      <c r="F182" s="52"/>
      <c r="G182" s="1384">
        <f>UDV.tractor.fuel_efficiency*G164</f>
        <v>11</v>
      </c>
      <c r="H182" s="1384">
        <f>UDV.tractor.fuel_efficiency*H164</f>
        <v>11</v>
      </c>
    </row>
    <row r="183" spans="2:8" x14ac:dyDescent="0.3">
      <c r="B183" s="717" t="s">
        <v>5660</v>
      </c>
      <c r="C183" s="816" t="s">
        <v>2489</v>
      </c>
      <c r="D183" s="52"/>
      <c r="E183" s="52"/>
      <c r="F183" s="52"/>
      <c r="G183" s="1379">
        <f>G177*G182</f>
        <v>97.749000296948125</v>
      </c>
      <c r="H183" s="1379">
        <f>H177*H182</f>
        <v>97.749000296948125</v>
      </c>
    </row>
    <row r="184" spans="2:8" x14ac:dyDescent="0.3">
      <c r="B184" s="816" t="s">
        <v>5661</v>
      </c>
      <c r="C184" s="510" t="s">
        <v>2517</v>
      </c>
      <c r="D184" s="52"/>
      <c r="E184" s="52"/>
      <c r="F184" s="52"/>
      <c r="G184" s="1379">
        <f>G183*G161</f>
        <v>195.49800059389625</v>
      </c>
      <c r="H184" s="1379">
        <f>H183*H161</f>
        <v>195.49800059389625</v>
      </c>
    </row>
    <row r="185" spans="2:8" x14ac:dyDescent="0.3">
      <c r="B185" s="1510" t="s">
        <v>5662</v>
      </c>
      <c r="C185" s="1514"/>
      <c r="D185" s="1512"/>
      <c r="E185" s="1512"/>
      <c r="F185" s="1511"/>
      <c r="G185" s="1513">
        <f>G6</f>
        <v>1</v>
      </c>
      <c r="H185" s="1513">
        <f>H6</f>
        <v>2</v>
      </c>
    </row>
    <row r="186" spans="2:8" x14ac:dyDescent="0.3">
      <c r="B186" s="717" t="s">
        <v>5663</v>
      </c>
      <c r="C186" s="510" t="s">
        <v>5664</v>
      </c>
      <c r="D186" s="52"/>
      <c r="E186" s="52"/>
      <c r="F186" s="52"/>
      <c r="G186" s="1378">
        <f>UDV.land_application.tanker_pump_power</f>
        <v>180</v>
      </c>
      <c r="H186" s="1378">
        <f>UDV.land_application.tanker_pump_power</f>
        <v>180</v>
      </c>
    </row>
    <row r="187" spans="2:8" x14ac:dyDescent="0.3">
      <c r="B187" s="510" t="s">
        <v>5665</v>
      </c>
      <c r="C187" s="510" t="s">
        <v>2471</v>
      </c>
      <c r="D187" s="52"/>
      <c r="E187" s="52"/>
      <c r="F187" s="52"/>
      <c r="G187" s="1378">
        <f>UDV.land_application.storage_pump_max_time</f>
        <v>12</v>
      </c>
      <c r="H187" s="1378">
        <f>UDV.land_application.storage_pump_max_time</f>
        <v>12</v>
      </c>
    </row>
    <row r="188" spans="2:8" x14ac:dyDescent="0.3">
      <c r="B188" s="816" t="s">
        <v>5666</v>
      </c>
      <c r="C188" s="816" t="s">
        <v>2510</v>
      </c>
      <c r="D188" s="52"/>
      <c r="E188" s="52"/>
      <c r="F188" s="52"/>
      <c r="G188" s="1384">
        <f>UDV.tractor.fuel_efficiency*G186</f>
        <v>7.92</v>
      </c>
      <c r="H188" s="1384">
        <f>UDV.tractor.fuel_efficiency*H186</f>
        <v>7.92</v>
      </c>
    </row>
    <row r="189" spans="2:8" x14ac:dyDescent="0.3">
      <c r="B189" s="717" t="s">
        <v>5667</v>
      </c>
      <c r="C189" s="510" t="s">
        <v>2462</v>
      </c>
      <c r="D189" s="52"/>
      <c r="E189" s="52"/>
      <c r="F189" s="52"/>
      <c r="G189" s="1380">
        <f>G152/G167/UC.hour_to_min</f>
        <v>1.1625915641974387</v>
      </c>
      <c r="H189" s="1380">
        <f>H152/H167/UC.hour_to_min</f>
        <v>1.1625915641974387</v>
      </c>
    </row>
    <row r="190" spans="2:8" x14ac:dyDescent="0.3">
      <c r="B190" s="1516" t="s">
        <v>5668</v>
      </c>
      <c r="C190" s="510" t="s">
        <v>2471</v>
      </c>
      <c r="D190" s="52"/>
      <c r="E190" s="52"/>
      <c r="F190" s="52"/>
      <c r="G190" s="1380">
        <f>G161*G189/G155</f>
        <v>4.650366256789755E-2</v>
      </c>
      <c r="H190" s="1380">
        <f>H161*H189/H155</f>
        <v>4.650366256789755E-2</v>
      </c>
    </row>
    <row r="191" spans="2:8" x14ac:dyDescent="0.3">
      <c r="B191" s="717" t="s">
        <v>5669</v>
      </c>
      <c r="C191" s="510" t="s">
        <v>2442</v>
      </c>
      <c r="D191" s="52"/>
      <c r="E191" s="52"/>
      <c r="F191" s="52"/>
      <c r="G191" s="1517">
        <f>ROUNDUP(G190/G187,0)</f>
        <v>1</v>
      </c>
      <c r="H191" s="1517">
        <f>ROUNDUP(H190/H187,0)</f>
        <v>1</v>
      </c>
    </row>
    <row r="192" spans="2:8" x14ac:dyDescent="0.3">
      <c r="B192" s="510" t="s">
        <v>5670</v>
      </c>
      <c r="C192" s="510" t="s">
        <v>5671</v>
      </c>
      <c r="D192" s="52"/>
      <c r="E192" s="52"/>
      <c r="F192" s="52"/>
      <c r="G192" s="1518">
        <f>G189/UC.day_to_hour</f>
        <v>4.8441315174893279E-2</v>
      </c>
      <c r="H192" s="1518">
        <f>H189/UC.day_to_hour</f>
        <v>4.8441315174893279E-2</v>
      </c>
    </row>
    <row r="193" spans="2:10" x14ac:dyDescent="0.3">
      <c r="B193" s="717" t="s">
        <v>5672</v>
      </c>
      <c r="C193" s="816" t="s">
        <v>2489</v>
      </c>
      <c r="D193" s="52"/>
      <c r="E193" s="52"/>
      <c r="F193" s="52"/>
      <c r="G193" s="1379">
        <f>G189*G188</f>
        <v>9.2077251884437139</v>
      </c>
      <c r="H193" s="1379">
        <f>H189*H188</f>
        <v>9.2077251884437139</v>
      </c>
    </row>
    <row r="194" spans="2:10" x14ac:dyDescent="0.3">
      <c r="B194" s="816" t="s">
        <v>5673</v>
      </c>
      <c r="C194" s="510" t="s">
        <v>2517</v>
      </c>
      <c r="D194" s="52"/>
      <c r="E194" s="52"/>
      <c r="F194" s="52"/>
      <c r="G194" s="1379">
        <f>G161*G193</f>
        <v>18.415450376887428</v>
      </c>
      <c r="H194" s="1379">
        <f>H161*H193</f>
        <v>18.415450376887428</v>
      </c>
    </row>
    <row r="195" spans="2:10" x14ac:dyDescent="0.3">
      <c r="B195" s="1510" t="s">
        <v>5674</v>
      </c>
      <c r="C195" s="1514"/>
      <c r="D195" s="1512"/>
      <c r="E195" s="1512"/>
      <c r="F195" s="1511"/>
      <c r="G195" s="1513">
        <f>G6</f>
        <v>1</v>
      </c>
      <c r="H195" s="1513">
        <f>H6</f>
        <v>2</v>
      </c>
      <c r="J195" t="s">
        <v>5675</v>
      </c>
    </row>
    <row r="196" spans="2:10" x14ac:dyDescent="0.3">
      <c r="B196" s="1376" t="s">
        <v>5676</v>
      </c>
      <c r="C196" s="816" t="s">
        <v>5639</v>
      </c>
      <c r="D196" s="52"/>
      <c r="E196" s="52"/>
      <c r="F196" s="52"/>
      <c r="G196" s="1378">
        <f>UDV.land_application.agitation_tractor_power</f>
        <v>160</v>
      </c>
      <c r="H196" s="1378">
        <f>UDV.land_application.agitation_tractor_power</f>
        <v>160</v>
      </c>
    </row>
    <row r="197" spans="2:10" x14ac:dyDescent="0.3">
      <c r="B197" s="816" t="s">
        <v>5677</v>
      </c>
      <c r="C197" s="816" t="s">
        <v>2471</v>
      </c>
      <c r="D197" s="52"/>
      <c r="E197" s="52"/>
      <c r="F197" s="52"/>
      <c r="G197" s="1378">
        <f>UDV.land_application.storage_agitation_max_time</f>
        <v>3</v>
      </c>
      <c r="H197" s="1378">
        <f>UDV.land_application.storage_agitation_max_time</f>
        <v>3</v>
      </c>
    </row>
    <row r="198" spans="2:10" x14ac:dyDescent="0.3">
      <c r="B198" s="816" t="s">
        <v>5678</v>
      </c>
      <c r="C198" s="816" t="s">
        <v>2510</v>
      </c>
      <c r="D198" s="52"/>
      <c r="E198" s="52"/>
      <c r="F198" s="52"/>
      <c r="G198" s="1384">
        <f>UDV.tractor.fuel_efficiency*G196</f>
        <v>7.0399999999999991</v>
      </c>
      <c r="H198" s="1384">
        <f>UDV.tractor.fuel_efficiency*H196</f>
        <v>7.0399999999999991</v>
      </c>
    </row>
    <row r="199" spans="2:10" x14ac:dyDescent="0.3">
      <c r="B199" s="717" t="s">
        <v>5679</v>
      </c>
      <c r="C199" s="816" t="s">
        <v>2462</v>
      </c>
      <c r="D199" s="52"/>
      <c r="E199" s="52"/>
      <c r="F199" s="52"/>
      <c r="G199" s="1380">
        <f>(G197+G156)*G180*G154/G161</f>
        <v>11.107840942835015</v>
      </c>
      <c r="H199" s="1380">
        <f>(H197+H156)*H180*H154/H161</f>
        <v>0</v>
      </c>
    </row>
    <row r="200" spans="2:10" x14ac:dyDescent="0.3">
      <c r="B200" s="1516" t="s">
        <v>5680</v>
      </c>
      <c r="C200" s="510" t="s">
        <v>2471</v>
      </c>
      <c r="D200" s="52"/>
      <c r="E200" s="52"/>
      <c r="F200" s="52"/>
      <c r="G200" s="1380">
        <f>G161*G199/G155</f>
        <v>0.4443136377134006</v>
      </c>
      <c r="H200" s="1380">
        <f>H161*H199/H155</f>
        <v>0</v>
      </c>
    </row>
    <row r="201" spans="2:10" x14ac:dyDescent="0.3">
      <c r="B201" s="717" t="s">
        <v>5681</v>
      </c>
      <c r="C201" s="510" t="s">
        <v>2442</v>
      </c>
      <c r="D201" s="52"/>
      <c r="E201" s="52"/>
      <c r="F201" s="98"/>
      <c r="G201" s="1517">
        <f>ROUNDUP(G200/(G197+UDV.tractor.max_usage_daily),0)</f>
        <v>1</v>
      </c>
      <c r="H201" s="1517">
        <f>ROUNDUP(H200/(H197+UDV.tractor.max_usage_daily),0)</f>
        <v>0</v>
      </c>
    </row>
    <row r="202" spans="2:10" x14ac:dyDescent="0.3">
      <c r="B202" s="717" t="s">
        <v>5682</v>
      </c>
      <c r="C202" s="816" t="s">
        <v>2489</v>
      </c>
      <c r="D202" s="52"/>
      <c r="E202" s="52"/>
      <c r="F202" s="52"/>
      <c r="G202" s="1379">
        <f>G198*G199</f>
        <v>78.1992002375585</v>
      </c>
      <c r="H202" s="1379">
        <f>H198*H199</f>
        <v>0</v>
      </c>
    </row>
    <row r="203" spans="2:10" x14ac:dyDescent="0.3">
      <c r="B203" s="816" t="s">
        <v>5683</v>
      </c>
      <c r="C203" s="510" t="s">
        <v>2517</v>
      </c>
      <c r="D203" s="52"/>
      <c r="E203" s="52"/>
      <c r="F203" s="52"/>
      <c r="G203" s="1379">
        <f>G161*G202</f>
        <v>156.398400475117</v>
      </c>
      <c r="H203" s="1379">
        <f>H161*H202</f>
        <v>0</v>
      </c>
    </row>
    <row r="204" spans="2:10" x14ac:dyDescent="0.3">
      <c r="B204" s="91" t="s">
        <v>5685</v>
      </c>
      <c r="C204" s="510" t="s">
        <v>2517</v>
      </c>
      <c r="D204" s="91"/>
      <c r="E204" s="91"/>
      <c r="F204" s="98"/>
      <c r="G204" s="1519">
        <f>G184+G194+G203</f>
        <v>370.31185144590069</v>
      </c>
      <c r="H204" s="1519">
        <f>H184+H194+H203</f>
        <v>213.91345097078369</v>
      </c>
    </row>
    <row r="205" spans="2:10" x14ac:dyDescent="0.3">
      <c r="B205" s="1507"/>
      <c r="C205" s="1408"/>
      <c r="D205" s="1407"/>
      <c r="E205" s="1407"/>
      <c r="F205" s="1508"/>
      <c r="G205" s="1410"/>
      <c r="H205" s="1410"/>
    </row>
    <row r="206" spans="2:10" x14ac:dyDescent="0.3">
      <c r="B206" s="1507" t="s">
        <v>5687</v>
      </c>
      <c r="C206" s="1408"/>
      <c r="D206" s="1407"/>
      <c r="E206" s="1407"/>
      <c r="F206" s="1508"/>
      <c r="G206" s="1410">
        <f>G6</f>
        <v>1</v>
      </c>
      <c r="H206" s="1410">
        <f>H6</f>
        <v>2</v>
      </c>
    </row>
    <row r="207" spans="2:10" x14ac:dyDescent="0.3">
      <c r="B207" s="1509" t="s">
        <v>5688</v>
      </c>
      <c r="C207" s="510" t="s">
        <v>5689</v>
      </c>
      <c r="D207" s="52"/>
      <c r="E207" s="52"/>
      <c r="F207" s="52"/>
      <c r="G207" s="1391">
        <f>UDV.dhl.tractor_applicator_hp</f>
        <v>580</v>
      </c>
      <c r="H207" s="1391">
        <f>UDV.dhl.tractor_applicator_hp</f>
        <v>580</v>
      </c>
    </row>
    <row r="208" spans="2:10" x14ac:dyDescent="0.3">
      <c r="B208" s="91" t="s">
        <v>5690</v>
      </c>
      <c r="C208" s="510" t="s">
        <v>5691</v>
      </c>
      <c r="D208" s="52"/>
      <c r="E208" s="52"/>
      <c r="F208" s="52"/>
      <c r="G208" s="1378">
        <f>UDV.dhl.speed_applicator</f>
        <v>5</v>
      </c>
      <c r="H208" s="1378">
        <f>UDV.dhl.speed_applicator</f>
        <v>5</v>
      </c>
    </row>
    <row r="209" spans="2:8" x14ac:dyDescent="0.3">
      <c r="B209" s="91" t="s">
        <v>5692</v>
      </c>
      <c r="C209" s="510" t="s">
        <v>2340</v>
      </c>
      <c r="D209" s="52"/>
      <c r="E209" s="52"/>
      <c r="F209" s="52"/>
      <c r="G209" s="1378">
        <f>UDV.dhl.width_toolbar</f>
        <v>20</v>
      </c>
      <c r="H209" s="1378">
        <f>UDV.dhl.width_toolbar</f>
        <v>20</v>
      </c>
    </row>
    <row r="210" spans="2:8" x14ac:dyDescent="0.3">
      <c r="B210" s="91" t="s">
        <v>5693</v>
      </c>
      <c r="C210" s="510" t="s">
        <v>2516</v>
      </c>
      <c r="D210" s="52"/>
      <c r="E210" s="52"/>
      <c r="F210" s="52"/>
      <c r="G210" s="1379">
        <f>G153*G208*G209/UC.495_rule</f>
        <v>737.97845912092748</v>
      </c>
      <c r="H210" s="1379">
        <f>H153*H208*H209/UC.495_rule</f>
        <v>1230.6609639976771</v>
      </c>
    </row>
    <row r="211" spans="2:8" x14ac:dyDescent="0.3">
      <c r="B211" s="91" t="s">
        <v>5694</v>
      </c>
      <c r="C211" s="1448" t="s">
        <v>2516</v>
      </c>
      <c r="D211" s="52"/>
      <c r="E211" s="52"/>
      <c r="F211" s="52"/>
      <c r="G211" s="1401">
        <f>UDV.dhl.applicator_pump_size</f>
        <v>3000</v>
      </c>
      <c r="H211" s="1401">
        <f>UDV.dhl.applicator_pump_size</f>
        <v>3000</v>
      </c>
    </row>
    <row r="212" spans="2:8" x14ac:dyDescent="0.3">
      <c r="B212" s="91" t="s">
        <v>5695</v>
      </c>
      <c r="C212" s="510" t="s">
        <v>2516</v>
      </c>
      <c r="D212" s="52"/>
      <c r="E212" s="52"/>
      <c r="F212" s="52"/>
      <c r="G212" s="1379">
        <f>IF(G210&gt;G211,G211,IF(G210&lt;=0,1,G210))</f>
        <v>737.97845912092748</v>
      </c>
      <c r="H212" s="1379">
        <f>IF(H210&gt;H211,H211,IF(H210&lt;=0,1,H210))</f>
        <v>1230.6609639976771</v>
      </c>
    </row>
    <row r="213" spans="2:8" x14ac:dyDescent="0.3">
      <c r="B213" s="91" t="s">
        <v>5696</v>
      </c>
      <c r="C213" s="510" t="s">
        <v>5691</v>
      </c>
      <c r="D213" s="52"/>
      <c r="E213" s="52"/>
      <c r="F213" s="52"/>
      <c r="G213" s="1380">
        <f>IF(G153=0,0,G212*UC.495_rule/G153/G209)</f>
        <v>5</v>
      </c>
      <c r="H213" s="1380">
        <f>IF(H153=0,0,H212*UC.495_rule/H153/H209)</f>
        <v>5</v>
      </c>
    </row>
    <row r="214" spans="2:8" x14ac:dyDescent="0.3">
      <c r="B214" s="816" t="s">
        <v>5697</v>
      </c>
      <c r="C214" s="816" t="s">
        <v>2462</v>
      </c>
      <c r="D214" s="52"/>
      <c r="E214" s="52"/>
      <c r="F214" s="52"/>
      <c r="G214" s="1380">
        <f>G152/G212/UC.hour_to_min</f>
        <v>3.1507466100902355</v>
      </c>
      <c r="H214" s="1380">
        <f>H152/H212/UC.hour_to_min</f>
        <v>1.8893774942220938</v>
      </c>
    </row>
    <row r="215" spans="2:8" x14ac:dyDescent="0.3">
      <c r="B215" s="91" t="s">
        <v>5698</v>
      </c>
      <c r="C215" s="510" t="s">
        <v>2462</v>
      </c>
      <c r="D215" s="52"/>
      <c r="E215" s="52"/>
      <c r="F215" s="52"/>
      <c r="G215" s="1380">
        <f>UDV.dhl.application_maneuver_factor*G214</f>
        <v>3.6233586016037704</v>
      </c>
      <c r="H215" s="1380">
        <f>UDV.dhl.application_maneuver_factor*H214</f>
        <v>2.1727841183554077</v>
      </c>
    </row>
    <row r="216" spans="2:8" x14ac:dyDescent="0.3">
      <c r="B216" s="1516" t="s">
        <v>5699</v>
      </c>
      <c r="C216" s="510" t="s">
        <v>2471</v>
      </c>
      <c r="D216" s="52"/>
      <c r="E216" s="52"/>
      <c r="F216" s="52"/>
      <c r="G216" s="1395">
        <f>G161*G215/G155</f>
        <v>0.14493434406415082</v>
      </c>
      <c r="H216" s="1395">
        <f>H161*H215/H155</f>
        <v>8.6911364734216304E-2</v>
      </c>
    </row>
    <row r="217" spans="2:8" x14ac:dyDescent="0.3">
      <c r="B217" s="1376" t="s">
        <v>5700</v>
      </c>
      <c r="C217" s="510" t="s">
        <v>2442</v>
      </c>
      <c r="D217" s="52"/>
      <c r="E217" s="52"/>
      <c r="F217" s="52"/>
      <c r="G217" s="1379">
        <f>ROUNDUP(G216/G156,0)</f>
        <v>1</v>
      </c>
      <c r="H217" s="1379">
        <f>ROUNDUP(H216/H156,0)</f>
        <v>1</v>
      </c>
    </row>
    <row r="218" spans="2:8" x14ac:dyDescent="0.3">
      <c r="B218" s="1509" t="s">
        <v>5701</v>
      </c>
      <c r="C218" s="1353" t="s">
        <v>5689</v>
      </c>
      <c r="D218" s="52"/>
      <c r="E218" s="52"/>
      <c r="F218" s="52"/>
      <c r="G218" s="1391">
        <f>UDV.dhl.tractor_pulley_hp</f>
        <v>340</v>
      </c>
      <c r="H218" s="1391">
        <f>UDV.dhl.tractor_pulley_hp</f>
        <v>340</v>
      </c>
    </row>
    <row r="219" spans="2:8" x14ac:dyDescent="0.3">
      <c r="B219" s="1376" t="s">
        <v>5702</v>
      </c>
      <c r="C219" s="510" t="s">
        <v>2442</v>
      </c>
      <c r="D219" s="52"/>
      <c r="E219" s="52"/>
      <c r="F219" s="52"/>
      <c r="G219" s="1379">
        <f>G217</f>
        <v>1</v>
      </c>
      <c r="H219" s="1379">
        <f>H217</f>
        <v>1</v>
      </c>
    </row>
    <row r="220" spans="2:8" x14ac:dyDescent="0.3">
      <c r="B220" s="1376" t="s">
        <v>5703</v>
      </c>
      <c r="C220" s="816" t="s">
        <v>2510</v>
      </c>
      <c r="D220" s="52"/>
      <c r="E220" s="52"/>
      <c r="F220" s="52"/>
      <c r="G220" s="1384">
        <f>UDV.tractor.fuel_efficiency*G207</f>
        <v>25.52</v>
      </c>
      <c r="H220" s="1384">
        <f>UDV.tractor.fuel_efficiency*H207</f>
        <v>25.52</v>
      </c>
    </row>
    <row r="221" spans="2:8" x14ac:dyDescent="0.3">
      <c r="B221" s="1376" t="s">
        <v>5704</v>
      </c>
      <c r="C221" s="816" t="s">
        <v>2510</v>
      </c>
      <c r="D221" s="52"/>
      <c r="E221" s="52"/>
      <c r="F221" s="52"/>
      <c r="G221" s="1384">
        <f>UDV.tractor.fuel_efficiency*G218</f>
        <v>14.959999999999999</v>
      </c>
      <c r="H221" s="1384">
        <f>UDV.tractor.fuel_efficiency*H218</f>
        <v>14.959999999999999</v>
      </c>
    </row>
    <row r="222" spans="2:8" x14ac:dyDescent="0.3">
      <c r="B222" s="510" t="s">
        <v>5705</v>
      </c>
      <c r="C222" s="816" t="s">
        <v>2489</v>
      </c>
      <c r="D222" s="52"/>
      <c r="E222" s="52"/>
      <c r="F222" s="52"/>
      <c r="G222" s="1379">
        <f>G215*(G220+G221)</f>
        <v>146.67355619292061</v>
      </c>
      <c r="H222" s="1379">
        <f>H215*(H220+H221)</f>
        <v>87.954301111026894</v>
      </c>
    </row>
    <row r="223" spans="2:8" x14ac:dyDescent="0.3">
      <c r="B223" s="816" t="s">
        <v>5706</v>
      </c>
      <c r="C223" s="1444" t="s">
        <v>2517</v>
      </c>
      <c r="D223" s="52"/>
      <c r="E223" s="52"/>
      <c r="F223" s="52"/>
      <c r="G223" s="1379">
        <f>G222*G161</f>
        <v>293.34711238584123</v>
      </c>
      <c r="H223" s="1379">
        <f>H222*H161</f>
        <v>175.90860222205379</v>
      </c>
    </row>
    <row r="224" spans="2:8" x14ac:dyDescent="0.3">
      <c r="B224" s="1510" t="s">
        <v>5707</v>
      </c>
      <c r="C224" s="1514"/>
      <c r="D224" s="1512"/>
      <c r="E224" s="1512"/>
      <c r="F224" s="1511"/>
      <c r="G224" s="1513">
        <f>G6</f>
        <v>1</v>
      </c>
      <c r="H224" s="1513">
        <f>H6</f>
        <v>2</v>
      </c>
    </row>
    <row r="225" spans="2:8" x14ac:dyDescent="0.3">
      <c r="B225" s="510" t="s">
        <v>5708</v>
      </c>
      <c r="C225" s="510" t="s">
        <v>2516</v>
      </c>
      <c r="D225" s="52"/>
      <c r="E225" s="52"/>
      <c r="F225" s="52"/>
      <c r="G225" s="1378">
        <f>UDV.dhl.applicator_pump_size</f>
        <v>3000</v>
      </c>
      <c r="H225" s="1378">
        <f>UDV.dhl.applicator_pump_size</f>
        <v>3000</v>
      </c>
    </row>
    <row r="226" spans="2:8" x14ac:dyDescent="0.3">
      <c r="B226" s="510" t="s">
        <v>1162</v>
      </c>
      <c r="C226" s="510" t="s">
        <v>5711</v>
      </c>
      <c r="D226" s="52"/>
      <c r="E226" s="52"/>
      <c r="F226" s="1520"/>
      <c r="G226" s="1378">
        <f>UDV.dhl.distance_booster</f>
        <v>2</v>
      </c>
      <c r="H226" s="1378">
        <f>UDV.dhl.distance_booster</f>
        <v>2</v>
      </c>
    </row>
    <row r="227" spans="2:8" x14ac:dyDescent="0.3">
      <c r="B227" s="717" t="s">
        <v>5709</v>
      </c>
      <c r="C227" s="510" t="s">
        <v>2442</v>
      </c>
      <c r="D227" s="52"/>
      <c r="E227" s="52"/>
      <c r="F227" s="52"/>
      <c r="G227" s="1379">
        <f>G217</f>
        <v>1</v>
      </c>
      <c r="H227" s="1379">
        <f>H217</f>
        <v>1</v>
      </c>
    </row>
    <row r="228" spans="2:8" x14ac:dyDescent="0.3">
      <c r="B228" s="1376" t="s">
        <v>5712</v>
      </c>
      <c r="C228" s="510" t="s">
        <v>2442</v>
      </c>
      <c r="D228" s="52"/>
      <c r="E228" s="52"/>
      <c r="F228" s="52"/>
      <c r="G228" s="1521">
        <f>ROUNDDOWN(G160*G227/G226,0)</f>
        <v>1</v>
      </c>
      <c r="H228" s="1521">
        <f>ROUNDDOWN(H160*H227/H226,0)</f>
        <v>1</v>
      </c>
    </row>
    <row r="229" spans="2:8" x14ac:dyDescent="0.3">
      <c r="B229" s="1376" t="s">
        <v>5710</v>
      </c>
      <c r="C229" s="510" t="s">
        <v>2442</v>
      </c>
      <c r="D229" s="52"/>
      <c r="E229" s="52"/>
      <c r="F229" s="52"/>
      <c r="G229" s="1379">
        <f>ROUNDUP(G217*G154,0)</f>
        <v>1</v>
      </c>
      <c r="H229" s="1379">
        <f>ROUNDUP(H217*H154,0)</f>
        <v>0</v>
      </c>
    </row>
    <row r="230" spans="2:8" x14ac:dyDescent="0.3">
      <c r="B230" s="61" t="s">
        <v>7472</v>
      </c>
      <c r="C230" s="510" t="s">
        <v>2442</v>
      </c>
      <c r="D230" s="52"/>
      <c r="E230" s="52"/>
      <c r="F230" s="52"/>
      <c r="G230" s="2332">
        <f>IF(G227&lt;1,0,1)</f>
        <v>1</v>
      </c>
      <c r="H230" s="2332">
        <f>IF(H227&lt;1,0,1)</f>
        <v>1</v>
      </c>
    </row>
    <row r="231" spans="2:8" x14ac:dyDescent="0.3">
      <c r="B231" s="49" t="s">
        <v>7473</v>
      </c>
      <c r="C231" s="510" t="s">
        <v>2510</v>
      </c>
      <c r="D231" s="52"/>
      <c r="E231" s="52"/>
      <c r="F231" s="52"/>
      <c r="G231" s="2333">
        <f>UDV.dhl.lead_utilization*UDV.dhl.lead_pump_fuel*G227</f>
        <v>18</v>
      </c>
      <c r="H231" s="2333">
        <f>UDV.dhl.lead_utilization*UDV.dhl.lead_pump_fuel*H227</f>
        <v>18</v>
      </c>
    </row>
    <row r="232" spans="2:8" x14ac:dyDescent="0.3">
      <c r="B232" s="49" t="s">
        <v>7474</v>
      </c>
      <c r="C232" s="510" t="s">
        <v>2510</v>
      </c>
      <c r="D232" s="52"/>
      <c r="E232" s="52"/>
      <c r="F232" s="52"/>
      <c r="G232" s="2333">
        <f>UDV.dhl.booster_utilization*UDV.dhl.booster_pump_fuel*G228</f>
        <v>7.5</v>
      </c>
      <c r="H232" s="2333">
        <f>UDV.dhl.booster_utilization*UDV.dhl.booster_pump_fuel*H228</f>
        <v>7.5</v>
      </c>
    </row>
    <row r="233" spans="2:8" x14ac:dyDescent="0.3">
      <c r="B233" s="49" t="s">
        <v>7475</v>
      </c>
      <c r="C233" s="510" t="s">
        <v>2510</v>
      </c>
      <c r="D233" s="52"/>
      <c r="E233" s="52"/>
      <c r="F233" s="52"/>
      <c r="G233" s="2333">
        <f>UDV.dhl.agitation_utilization*UDV.dhl.agitation_trailer_fuel*G229</f>
        <v>6</v>
      </c>
      <c r="H233" s="2333">
        <f>UDV.dhl.agitation_utilization*UDV.dhl.agitation_trailer_fuel*H229</f>
        <v>0</v>
      </c>
    </row>
    <row r="234" spans="2:8" x14ac:dyDescent="0.3">
      <c r="B234" s="49" t="s">
        <v>7476</v>
      </c>
      <c r="C234" s="510" t="s">
        <v>2510</v>
      </c>
      <c r="D234" s="52"/>
      <c r="E234" s="52"/>
      <c r="F234" s="52"/>
      <c r="G234" s="2333">
        <f>UDV.dhl.pickup_utilization*UDV.dhl.pick_up_fuel*G230</f>
        <v>0.89999999999999991</v>
      </c>
      <c r="H234" s="2333">
        <f>UDV.dhl.pickup_utilization*UDV.dhl.pick_up_fuel*H230</f>
        <v>0.89999999999999991</v>
      </c>
    </row>
    <row r="235" spans="2:8" x14ac:dyDescent="0.3">
      <c r="B235" s="717" t="s">
        <v>5713</v>
      </c>
      <c r="C235" s="510" t="s">
        <v>2462</v>
      </c>
      <c r="D235" s="52"/>
      <c r="E235" s="52"/>
      <c r="F235" s="52"/>
      <c r="G235" s="1380">
        <f>G214</f>
        <v>3.1507466100902355</v>
      </c>
      <c r="H235" s="1380">
        <f>H214</f>
        <v>1.8893774942220938</v>
      </c>
    </row>
    <row r="236" spans="2:8" x14ac:dyDescent="0.3">
      <c r="B236" s="1376" t="s">
        <v>5714</v>
      </c>
      <c r="C236" s="816" t="s">
        <v>2489</v>
      </c>
      <c r="D236" s="52"/>
      <c r="E236" s="98"/>
      <c r="F236" s="52"/>
      <c r="G236" s="1379">
        <f>G231*G235</f>
        <v>56.713438981624236</v>
      </c>
      <c r="H236" s="1379">
        <f>H231*H235</f>
        <v>34.008794895997688</v>
      </c>
    </row>
    <row r="237" spans="2:8" x14ac:dyDescent="0.3">
      <c r="B237" s="717" t="s">
        <v>5715</v>
      </c>
      <c r="C237" s="816" t="s">
        <v>2489</v>
      </c>
      <c r="D237" s="52"/>
      <c r="E237" s="98"/>
      <c r="F237" s="52"/>
      <c r="G237" s="1379">
        <f>G232*G235</f>
        <v>23.630599575676765</v>
      </c>
      <c r="H237" s="1379">
        <f>H232*H235</f>
        <v>14.170331206665704</v>
      </c>
    </row>
    <row r="238" spans="2:8" x14ac:dyDescent="0.3">
      <c r="B238" s="1376" t="s">
        <v>5716</v>
      </c>
      <c r="C238" s="816" t="s">
        <v>2489</v>
      </c>
      <c r="D238" s="52"/>
      <c r="E238" s="98"/>
      <c r="F238" s="52"/>
      <c r="G238" s="1379">
        <f>G233*G235</f>
        <v>18.904479660541412</v>
      </c>
      <c r="H238" s="1379">
        <f>H233*H235</f>
        <v>0</v>
      </c>
    </row>
    <row r="239" spans="2:8" x14ac:dyDescent="0.3">
      <c r="B239" s="1376" t="s">
        <v>5717</v>
      </c>
      <c r="C239" s="816" t="s">
        <v>2489</v>
      </c>
      <c r="D239" s="98"/>
      <c r="E239" s="52"/>
      <c r="F239" s="52"/>
      <c r="G239" s="1379">
        <f>G234*G235</f>
        <v>2.8356719490812115</v>
      </c>
      <c r="H239" s="1379">
        <f>H234*H235</f>
        <v>1.7004397447998842</v>
      </c>
    </row>
    <row r="240" spans="2:8" x14ac:dyDescent="0.3">
      <c r="B240" s="510" t="s">
        <v>5718</v>
      </c>
      <c r="C240" s="816" t="s">
        <v>2489</v>
      </c>
      <c r="D240" s="52"/>
      <c r="E240" s="52"/>
      <c r="F240" s="52"/>
      <c r="G240" s="1379">
        <f>G236+G237+G238+G239</f>
        <v>102.08419016692363</v>
      </c>
      <c r="H240" s="1379">
        <f>H236+H237+H238+H239</f>
        <v>49.879565847463276</v>
      </c>
    </row>
    <row r="241" spans="1:9" x14ac:dyDescent="0.3">
      <c r="B241" s="816" t="s">
        <v>5719</v>
      </c>
      <c r="C241" s="510" t="s">
        <v>2517</v>
      </c>
      <c r="D241" s="52"/>
      <c r="E241" s="52"/>
      <c r="F241" s="52"/>
      <c r="G241" s="1379">
        <f>G161*G240</f>
        <v>204.16838033384727</v>
      </c>
      <c r="H241" s="1379">
        <f>H161*H240</f>
        <v>99.759131694926552</v>
      </c>
    </row>
    <row r="242" spans="1:9" x14ac:dyDescent="0.3">
      <c r="B242" s="91" t="s">
        <v>5720</v>
      </c>
      <c r="C242" s="510" t="s">
        <v>2517</v>
      </c>
      <c r="D242" s="510"/>
      <c r="E242" s="510"/>
      <c r="F242" s="98"/>
      <c r="G242" s="1519">
        <f>G223+G241</f>
        <v>497.5154927196885</v>
      </c>
      <c r="H242" s="1519">
        <f>H223+H241</f>
        <v>275.66773391698035</v>
      </c>
    </row>
    <row r="243" spans="1:9" x14ac:dyDescent="0.3">
      <c r="B243" s="93"/>
      <c r="G243" s="499"/>
      <c r="H243" s="499"/>
    </row>
    <row r="244" spans="1:9" x14ac:dyDescent="0.3">
      <c r="A244" s="1693" t="s">
        <v>5721</v>
      </c>
      <c r="B244" s="1693"/>
      <c r="C244" s="1693"/>
      <c r="D244" s="1693"/>
      <c r="E244" s="1693"/>
      <c r="F244" s="1693"/>
      <c r="G244" s="1693"/>
      <c r="H244" s="1693"/>
      <c r="I244" s="1693"/>
    </row>
    <row r="245" spans="1:9" x14ac:dyDescent="0.3">
      <c r="A245" s="1693"/>
      <c r="B245" s="1693"/>
      <c r="C245" s="1693"/>
      <c r="D245" s="1693"/>
      <c r="E245" s="1693"/>
      <c r="F245" s="1693"/>
      <c r="G245" s="1693"/>
      <c r="H245" s="1693"/>
      <c r="I245" s="1693"/>
    </row>
    <row r="246" spans="1:9" x14ac:dyDescent="0.3">
      <c r="A246" s="1693"/>
      <c r="B246" s="1667" t="s">
        <v>5722</v>
      </c>
      <c r="C246" s="1704" t="s">
        <v>38</v>
      </c>
      <c r="D246" s="1705"/>
      <c r="E246" s="1705"/>
      <c r="F246" s="1665" t="s">
        <v>602</v>
      </c>
      <c r="G246" s="1666">
        <f>G6</f>
        <v>1</v>
      </c>
      <c r="H246" s="1666">
        <f>H6</f>
        <v>2</v>
      </c>
      <c r="I246" s="1706"/>
    </row>
    <row r="247" spans="1:9" x14ac:dyDescent="0.3">
      <c r="B247" s="1624" t="s">
        <v>5723</v>
      </c>
      <c r="C247" s="1625"/>
      <c r="D247" s="1625"/>
      <c r="E247" s="1625"/>
      <c r="F247" s="1625"/>
      <c r="G247" s="1626"/>
      <c r="H247" s="1626"/>
      <c r="I247" s="1611"/>
    </row>
    <row r="248" spans="1:9" x14ac:dyDescent="0.3">
      <c r="B248" s="510" t="s">
        <v>5724</v>
      </c>
      <c r="C248" s="49" t="s">
        <v>2478</v>
      </c>
      <c r="D248" s="49"/>
      <c r="E248" s="49"/>
      <c r="F248" s="49"/>
      <c r="G248" s="1364">
        <f>G36</f>
        <v>1056.2130751340239</v>
      </c>
      <c r="H248" s="1364">
        <f>H36</f>
        <v>1056.2130751340239</v>
      </c>
      <c r="I248" s="1611"/>
    </row>
    <row r="249" spans="1:9" x14ac:dyDescent="0.3">
      <c r="B249" s="49" t="s">
        <v>5540</v>
      </c>
      <c r="C249" s="49" t="s">
        <v>2268</v>
      </c>
      <c r="D249" s="49"/>
      <c r="E249" s="49"/>
      <c r="F249" s="49"/>
      <c r="G249" s="1364">
        <f>G47</f>
        <v>288.58280741366775</v>
      </c>
      <c r="H249" s="1364">
        <f>H47</f>
        <v>288.58280741366775</v>
      </c>
      <c r="I249" s="1611"/>
    </row>
    <row r="250" spans="1:9" x14ac:dyDescent="0.3">
      <c r="B250" s="49" t="s">
        <v>5528</v>
      </c>
      <c r="C250" s="49" t="s">
        <v>2452</v>
      </c>
      <c r="D250" s="49"/>
      <c r="E250" s="49"/>
      <c r="F250" s="49"/>
      <c r="G250" s="1371">
        <f>G35</f>
        <v>182.5</v>
      </c>
      <c r="H250" s="1371">
        <f>H35</f>
        <v>182.5</v>
      </c>
    </row>
    <row r="251" spans="1:9" x14ac:dyDescent="0.3">
      <c r="B251" s="49" t="s">
        <v>2139</v>
      </c>
      <c r="C251" s="49" t="s">
        <v>5725</v>
      </c>
      <c r="D251" s="49"/>
      <c r="E251" s="49"/>
      <c r="F251" s="49"/>
      <c r="G251" s="1371">
        <f>G34</f>
        <v>2</v>
      </c>
      <c r="H251" s="1371">
        <f>H34</f>
        <v>2</v>
      </c>
    </row>
    <row r="252" spans="1:9" x14ac:dyDescent="0.3">
      <c r="B252" s="510" t="s">
        <v>5726</v>
      </c>
      <c r="C252" s="49" t="s">
        <v>5727</v>
      </c>
      <c r="D252" s="49"/>
      <c r="E252" s="49"/>
      <c r="F252" s="49"/>
      <c r="G252" s="1364">
        <f>G70*1000*UC.gal_to_m3</f>
        <v>1056.2125759268704</v>
      </c>
      <c r="H252" s="1364">
        <f>H70*1000*UC.gal_to_m3</f>
        <v>1056.2125759268704</v>
      </c>
    </row>
    <row r="253" spans="1:9" x14ac:dyDescent="0.3">
      <c r="B253" s="510" t="s">
        <v>5728</v>
      </c>
      <c r="C253" s="18" t="s">
        <v>2413</v>
      </c>
      <c r="D253" s="49"/>
      <c r="E253" s="49"/>
      <c r="F253" s="49"/>
      <c r="G253" s="1536">
        <f t="shared" ref="G253:H255" si="9">G73</f>
        <v>6.7330947914969377</v>
      </c>
      <c r="H253" s="1536">
        <f t="shared" si="9"/>
        <v>4.0375692938233412</v>
      </c>
    </row>
    <row r="254" spans="1:9" x14ac:dyDescent="0.3">
      <c r="B254" s="510" t="s">
        <v>5729</v>
      </c>
      <c r="C254" s="18" t="s">
        <v>2413</v>
      </c>
      <c r="D254" s="49"/>
      <c r="E254" s="49"/>
      <c r="F254" s="49"/>
      <c r="G254" s="1536">
        <f t="shared" si="9"/>
        <v>3.1447771554792809</v>
      </c>
      <c r="H254" s="1536">
        <f t="shared" si="9"/>
        <v>3.1447771554792809</v>
      </c>
    </row>
    <row r="255" spans="1:9" x14ac:dyDescent="0.3">
      <c r="B255" s="510" t="s">
        <v>5730</v>
      </c>
      <c r="C255" s="18" t="s">
        <v>2413</v>
      </c>
      <c r="D255" s="49"/>
      <c r="E255" s="49"/>
      <c r="F255" s="49"/>
      <c r="G255" s="1536">
        <f t="shared" si="9"/>
        <v>4.0433046612854131</v>
      </c>
      <c r="H255" s="1536">
        <f t="shared" si="9"/>
        <v>4.0433046612854131</v>
      </c>
    </row>
    <row r="256" spans="1:9" x14ac:dyDescent="0.3">
      <c r="B256" s="1624" t="s">
        <v>5731</v>
      </c>
      <c r="C256" s="1628"/>
      <c r="D256" s="1627"/>
      <c r="E256" s="1627"/>
      <c r="F256" s="49"/>
      <c r="G256" s="1629"/>
      <c r="H256" s="1629"/>
    </row>
    <row r="257" spans="2:8" x14ac:dyDescent="0.3">
      <c r="B257" s="1353" t="s">
        <v>5637</v>
      </c>
      <c r="C257" s="1353" t="s">
        <v>2480</v>
      </c>
      <c r="D257" s="49"/>
      <c r="E257" s="49"/>
      <c r="F257" s="49"/>
      <c r="G257" s="1532">
        <f>G163</f>
        <v>6000</v>
      </c>
      <c r="H257" s="1532">
        <f>H163</f>
        <v>6000</v>
      </c>
    </row>
    <row r="258" spans="2:8" x14ac:dyDescent="0.3">
      <c r="B258" s="1353" t="s">
        <v>5638</v>
      </c>
      <c r="C258" s="1353" t="s">
        <v>5664</v>
      </c>
      <c r="D258" s="49"/>
      <c r="E258" s="49"/>
      <c r="F258" s="49"/>
      <c r="G258" s="1533">
        <f>G164</f>
        <v>250</v>
      </c>
      <c r="H258" s="1533">
        <f>H164</f>
        <v>250</v>
      </c>
    </row>
    <row r="259" spans="2:8" x14ac:dyDescent="0.3">
      <c r="B259" s="510" t="s">
        <v>5732</v>
      </c>
      <c r="C259" s="510" t="s">
        <v>2008</v>
      </c>
      <c r="D259" s="49"/>
      <c r="E259" s="49"/>
      <c r="F259" s="49"/>
      <c r="G259" s="1391" t="str">
        <f>UDV.crops.apply_method</f>
        <v>Injection</v>
      </c>
      <c r="H259" s="1391" t="str">
        <f>UDV.crops.apply_method</f>
        <v>Injection</v>
      </c>
    </row>
    <row r="260" spans="2:8" x14ac:dyDescent="0.3">
      <c r="B260" s="510" t="s">
        <v>5654</v>
      </c>
      <c r="C260" s="1465" t="s">
        <v>5733</v>
      </c>
      <c r="D260" s="49"/>
      <c r="E260" s="49"/>
      <c r="F260" s="49"/>
      <c r="G260" s="1377">
        <f>G177</f>
        <v>8.8862727542680116</v>
      </c>
      <c r="H260" s="1377">
        <f>H177</f>
        <v>8.8862727542680116</v>
      </c>
    </row>
    <row r="261" spans="2:8" x14ac:dyDescent="0.3">
      <c r="B261" s="510" t="s">
        <v>5660</v>
      </c>
      <c r="C261" s="510" t="s">
        <v>2489</v>
      </c>
      <c r="D261" s="49"/>
      <c r="E261" s="49"/>
      <c r="F261" s="49"/>
      <c r="G261" s="1377">
        <f>G183</f>
        <v>97.749000296948125</v>
      </c>
      <c r="H261" s="1377">
        <f>H183</f>
        <v>97.749000296948125</v>
      </c>
    </row>
    <row r="262" spans="2:8" x14ac:dyDescent="0.3">
      <c r="B262" s="91" t="s">
        <v>5734</v>
      </c>
      <c r="C262" s="1353" t="s">
        <v>2442</v>
      </c>
      <c r="D262" s="49"/>
      <c r="E262" s="49"/>
      <c r="F262" s="49"/>
      <c r="G262" s="1532">
        <f>G179</f>
        <v>1</v>
      </c>
      <c r="H262" s="1532">
        <f>H179</f>
        <v>1</v>
      </c>
    </row>
    <row r="263" spans="2:8" x14ac:dyDescent="0.3">
      <c r="B263" s="91" t="s">
        <v>5676</v>
      </c>
      <c r="C263" s="510" t="s">
        <v>5664</v>
      </c>
      <c r="D263" s="49"/>
      <c r="E263" s="49"/>
      <c r="F263" s="49"/>
      <c r="G263" s="1533">
        <f>G196</f>
        <v>160</v>
      </c>
      <c r="H263" s="1533">
        <f>H196</f>
        <v>160</v>
      </c>
    </row>
    <row r="264" spans="2:8" x14ac:dyDescent="0.3">
      <c r="B264" s="510" t="s">
        <v>5735</v>
      </c>
      <c r="C264" s="510" t="s">
        <v>2442</v>
      </c>
      <c r="D264" s="49"/>
      <c r="E264" s="49"/>
      <c r="F264" s="49"/>
      <c r="G264" s="1533">
        <f>G201</f>
        <v>1</v>
      </c>
      <c r="H264" s="1533">
        <f>H201</f>
        <v>0</v>
      </c>
    </row>
    <row r="265" spans="2:8" x14ac:dyDescent="0.3">
      <c r="B265" s="510" t="s">
        <v>5679</v>
      </c>
      <c r="C265" s="510" t="s">
        <v>2462</v>
      </c>
      <c r="D265" s="49"/>
      <c r="E265" s="49"/>
      <c r="F265" s="49"/>
      <c r="G265" s="1534">
        <f>G199</f>
        <v>11.107840942835015</v>
      </c>
      <c r="H265" s="1534">
        <f>H199</f>
        <v>0</v>
      </c>
    </row>
    <row r="266" spans="2:8" x14ac:dyDescent="0.3">
      <c r="B266" s="510" t="s">
        <v>5682</v>
      </c>
      <c r="C266" s="510" t="s">
        <v>2489</v>
      </c>
      <c r="D266" s="49"/>
      <c r="E266" s="49"/>
      <c r="F266" s="49"/>
      <c r="G266" s="1534">
        <f>G202</f>
        <v>78.1992002375585</v>
      </c>
      <c r="H266" s="1534">
        <f>H202</f>
        <v>0</v>
      </c>
    </row>
    <row r="267" spans="2:8" x14ac:dyDescent="0.3">
      <c r="B267" s="510" t="s">
        <v>5736</v>
      </c>
      <c r="C267" s="510" t="s">
        <v>2442</v>
      </c>
      <c r="D267" s="49"/>
      <c r="E267" s="49"/>
      <c r="F267" s="49"/>
      <c r="G267" s="1533">
        <f>G191</f>
        <v>1</v>
      </c>
      <c r="H267" s="1533">
        <f>H191</f>
        <v>1</v>
      </c>
    </row>
    <row r="268" spans="2:8" x14ac:dyDescent="0.3">
      <c r="B268" s="91" t="s">
        <v>5663</v>
      </c>
      <c r="C268" s="510" t="s">
        <v>5664</v>
      </c>
      <c r="D268" s="49"/>
      <c r="E268" s="49"/>
      <c r="F268" s="49"/>
      <c r="G268" s="1533">
        <f>G186</f>
        <v>180</v>
      </c>
      <c r="H268" s="1533">
        <f>H186</f>
        <v>180</v>
      </c>
    </row>
    <row r="269" spans="2:8" x14ac:dyDescent="0.3">
      <c r="B269" s="510" t="s">
        <v>5667</v>
      </c>
      <c r="C269" s="510" t="s">
        <v>2462</v>
      </c>
      <c r="D269" s="49"/>
      <c r="E269" s="49"/>
      <c r="F269" s="49"/>
      <c r="G269" s="1534">
        <f>G189</f>
        <v>1.1625915641974387</v>
      </c>
      <c r="H269" s="1534">
        <f>H189</f>
        <v>1.1625915641974387</v>
      </c>
    </row>
    <row r="270" spans="2:8" x14ac:dyDescent="0.3">
      <c r="B270" s="510" t="s">
        <v>5672</v>
      </c>
      <c r="C270" s="510" t="s">
        <v>2489</v>
      </c>
      <c r="D270" s="49"/>
      <c r="E270" s="49"/>
      <c r="F270" s="49"/>
      <c r="G270" s="1534">
        <f>G193</f>
        <v>9.2077251884437139</v>
      </c>
      <c r="H270" s="1534">
        <f>H193</f>
        <v>9.2077251884437139</v>
      </c>
    </row>
    <row r="271" spans="2:8" x14ac:dyDescent="0.3">
      <c r="B271" s="1624" t="s">
        <v>5737</v>
      </c>
      <c r="C271" s="1600"/>
      <c r="D271" s="1627"/>
      <c r="E271" s="1627"/>
      <c r="F271" s="49"/>
      <c r="G271" s="1630"/>
      <c r="H271" s="1630"/>
    </row>
    <row r="272" spans="2:8" ht="15.6" x14ac:dyDescent="0.3">
      <c r="B272" s="91" t="s">
        <v>5688</v>
      </c>
      <c r="C272" s="1531" t="s">
        <v>5664</v>
      </c>
      <c r="D272" s="49"/>
      <c r="E272" s="49"/>
      <c r="F272" s="49"/>
      <c r="G272" s="1532">
        <f>G207</f>
        <v>580</v>
      </c>
      <c r="H272" s="1532">
        <f>H207</f>
        <v>580</v>
      </c>
    </row>
    <row r="273" spans="2:8" x14ac:dyDescent="0.3">
      <c r="B273" s="510" t="s">
        <v>5738</v>
      </c>
      <c r="C273" s="1353" t="s">
        <v>2442</v>
      </c>
      <c r="D273" s="49"/>
      <c r="E273" s="49"/>
      <c r="F273" s="49"/>
      <c r="G273" s="1532">
        <f>G217</f>
        <v>1</v>
      </c>
      <c r="H273" s="1532">
        <f>H217</f>
        <v>1</v>
      </c>
    </row>
    <row r="274" spans="2:8" x14ac:dyDescent="0.3">
      <c r="B274" s="510" t="s">
        <v>5702</v>
      </c>
      <c r="C274" s="18" t="s">
        <v>2442</v>
      </c>
      <c r="D274" s="49"/>
      <c r="E274" s="49"/>
      <c r="F274" s="49"/>
      <c r="G274" s="1423">
        <f>G219</f>
        <v>1</v>
      </c>
      <c r="H274" s="1423">
        <f>H219</f>
        <v>1</v>
      </c>
    </row>
    <row r="275" spans="2:8" x14ac:dyDescent="0.3">
      <c r="B275" s="91" t="s">
        <v>5701</v>
      </c>
      <c r="C275" s="1353" t="s">
        <v>5664</v>
      </c>
      <c r="D275" s="49"/>
      <c r="E275" s="49"/>
      <c r="F275" s="49"/>
      <c r="G275" s="1532">
        <f>G218</f>
        <v>340</v>
      </c>
      <c r="H275" s="1532">
        <f>H218</f>
        <v>340</v>
      </c>
    </row>
    <row r="276" spans="2:8" x14ac:dyDescent="0.3">
      <c r="B276" s="1353" t="s">
        <v>5739</v>
      </c>
      <c r="C276" s="1353" t="s">
        <v>2342</v>
      </c>
      <c r="D276" s="49"/>
      <c r="E276" s="49"/>
      <c r="F276" s="49"/>
      <c r="G276" s="1532">
        <f>G160</f>
        <v>2</v>
      </c>
      <c r="H276" s="1532">
        <f>H160</f>
        <v>2</v>
      </c>
    </row>
    <row r="277" spans="2:8" x14ac:dyDescent="0.3">
      <c r="B277" s="91" t="s">
        <v>5740</v>
      </c>
      <c r="C277" s="510" t="s">
        <v>2510</v>
      </c>
      <c r="D277" s="49"/>
      <c r="E277" s="49"/>
      <c r="F277" s="49"/>
      <c r="G277" s="1533">
        <f>G220</f>
        <v>25.52</v>
      </c>
      <c r="H277" s="1533">
        <f>H220</f>
        <v>25.52</v>
      </c>
    </row>
    <row r="278" spans="2:8" x14ac:dyDescent="0.3">
      <c r="B278" s="91" t="s">
        <v>5741</v>
      </c>
      <c r="C278" s="510" t="s">
        <v>2510</v>
      </c>
      <c r="D278" s="49"/>
      <c r="E278" s="49"/>
      <c r="F278" s="49"/>
      <c r="G278" s="1533">
        <f>G221</f>
        <v>14.959999999999999</v>
      </c>
      <c r="H278" s="1533">
        <f>H221</f>
        <v>14.959999999999999</v>
      </c>
    </row>
    <row r="279" spans="2:8" x14ac:dyDescent="0.3">
      <c r="B279" s="510" t="s">
        <v>5708</v>
      </c>
      <c r="C279" s="510" t="s">
        <v>2516</v>
      </c>
      <c r="D279" s="49"/>
      <c r="E279" s="49"/>
      <c r="F279" s="49"/>
      <c r="G279" s="1533">
        <f>G225</f>
        <v>3000</v>
      </c>
      <c r="H279" s="1533">
        <f>H225</f>
        <v>3000</v>
      </c>
    </row>
    <row r="280" spans="2:8" x14ac:dyDescent="0.3">
      <c r="B280" s="510" t="s">
        <v>5709</v>
      </c>
      <c r="C280" s="510" t="s">
        <v>2442</v>
      </c>
      <c r="D280" s="49"/>
      <c r="E280" s="49"/>
      <c r="F280" s="49"/>
      <c r="G280" s="1377">
        <f>G227</f>
        <v>1</v>
      </c>
      <c r="H280" s="1377">
        <f>H227</f>
        <v>1</v>
      </c>
    </row>
    <row r="281" spans="2:8" x14ac:dyDescent="0.3">
      <c r="B281" s="91" t="s">
        <v>5710</v>
      </c>
      <c r="C281" s="510" t="s">
        <v>2442</v>
      </c>
      <c r="D281" s="49"/>
      <c r="E281" s="49"/>
      <c r="F281" s="49"/>
      <c r="G281" s="1377">
        <f>G229</f>
        <v>1</v>
      </c>
      <c r="H281" s="1377">
        <f>H229</f>
        <v>0</v>
      </c>
    </row>
    <row r="282" spans="2:8" x14ac:dyDescent="0.3">
      <c r="B282" s="91" t="s">
        <v>5712</v>
      </c>
      <c r="C282" s="1353" t="s">
        <v>2442</v>
      </c>
      <c r="D282" s="49"/>
      <c r="E282" s="49"/>
      <c r="F282" s="49"/>
      <c r="G282" s="1532">
        <f>G228</f>
        <v>1</v>
      </c>
      <c r="H282" s="1532">
        <f>H228</f>
        <v>1</v>
      </c>
    </row>
    <row r="283" spans="2:8" x14ac:dyDescent="0.3">
      <c r="B283" s="91" t="s">
        <v>5713</v>
      </c>
      <c r="C283" s="510" t="s">
        <v>5641</v>
      </c>
      <c r="D283" s="49"/>
      <c r="E283" s="49"/>
      <c r="F283" s="49"/>
      <c r="G283" s="1532">
        <f t="shared" ref="G283:H287" si="10">G235</f>
        <v>3.1507466100902355</v>
      </c>
      <c r="H283" s="1532">
        <f t="shared" si="10"/>
        <v>1.8893774942220938</v>
      </c>
    </row>
    <row r="284" spans="2:8" x14ac:dyDescent="0.3">
      <c r="B284" s="510" t="s">
        <v>5714</v>
      </c>
      <c r="C284" s="510" t="s">
        <v>2489</v>
      </c>
      <c r="D284" s="49"/>
      <c r="E284" s="49"/>
      <c r="F284" s="49"/>
      <c r="G284" s="1532">
        <f t="shared" si="10"/>
        <v>56.713438981624236</v>
      </c>
      <c r="H284" s="1532">
        <f t="shared" si="10"/>
        <v>34.008794895997688</v>
      </c>
    </row>
    <row r="285" spans="2:8" x14ac:dyDescent="0.3">
      <c r="B285" s="91" t="s">
        <v>5715</v>
      </c>
      <c r="C285" s="510" t="s">
        <v>2489</v>
      </c>
      <c r="D285" s="49"/>
      <c r="E285" s="49"/>
      <c r="F285" s="49"/>
      <c r="G285" s="1532">
        <f t="shared" si="10"/>
        <v>23.630599575676765</v>
      </c>
      <c r="H285" s="1532">
        <f t="shared" si="10"/>
        <v>14.170331206665704</v>
      </c>
    </row>
    <row r="286" spans="2:8" x14ac:dyDescent="0.3">
      <c r="B286" s="91" t="s">
        <v>5716</v>
      </c>
      <c r="C286" s="510" t="s">
        <v>2489</v>
      </c>
      <c r="D286" s="49"/>
      <c r="E286" s="49"/>
      <c r="F286" s="49"/>
      <c r="G286" s="1532">
        <f t="shared" si="10"/>
        <v>18.904479660541412</v>
      </c>
      <c r="H286" s="1532">
        <f t="shared" si="10"/>
        <v>0</v>
      </c>
    </row>
    <row r="287" spans="2:8" x14ac:dyDescent="0.3">
      <c r="B287" s="91" t="s">
        <v>5717</v>
      </c>
      <c r="C287" s="510" t="s">
        <v>2489</v>
      </c>
      <c r="D287" s="49"/>
      <c r="E287" s="49"/>
      <c r="F287" s="49"/>
      <c r="G287" s="1532">
        <f t="shared" si="10"/>
        <v>2.8356719490812115</v>
      </c>
      <c r="H287" s="1532">
        <f t="shared" si="10"/>
        <v>1.7004397447998842</v>
      </c>
    </row>
    <row r="288" spans="2:8" x14ac:dyDescent="0.3">
      <c r="B288" s="1529" t="s">
        <v>5742</v>
      </c>
      <c r="C288" s="1600"/>
      <c r="D288" s="1627"/>
      <c r="E288" s="1627"/>
      <c r="F288" s="49"/>
      <c r="G288" s="1626"/>
      <c r="H288" s="1626"/>
    </row>
    <row r="289" spans="1:8" x14ac:dyDescent="0.3">
      <c r="B289" s="49" t="s">
        <v>5428</v>
      </c>
      <c r="C289" s="18" t="s">
        <v>5743</v>
      </c>
      <c r="D289" s="49"/>
      <c r="E289" s="49"/>
      <c r="F289" s="49"/>
      <c r="G289" s="1536">
        <f>G110</f>
        <v>279.0219754073853</v>
      </c>
      <c r="H289" s="1536">
        <f>H110</f>
        <v>279.0219754073853</v>
      </c>
    </row>
    <row r="290" spans="1:8" x14ac:dyDescent="0.3">
      <c r="B290" s="49" t="s">
        <v>5744</v>
      </c>
      <c r="C290" s="18" t="s">
        <v>5745</v>
      </c>
      <c r="D290" s="49"/>
      <c r="E290" s="49"/>
      <c r="F290" s="49"/>
      <c r="G290" s="1536">
        <f>G126</f>
        <v>13214.040328378442</v>
      </c>
      <c r="H290" s="1536">
        <f>H126</f>
        <v>7923.9347030405379</v>
      </c>
    </row>
    <row r="291" spans="1:8" x14ac:dyDescent="0.3">
      <c r="B291" s="1529" t="s">
        <v>5746</v>
      </c>
      <c r="C291" s="1628"/>
      <c r="D291" s="1627"/>
      <c r="E291" s="1627"/>
      <c r="F291" s="49"/>
      <c r="G291" s="1629"/>
      <c r="H291" s="1629"/>
    </row>
    <row r="292" spans="1:8" x14ac:dyDescent="0.3">
      <c r="B292" s="49" t="s">
        <v>5547</v>
      </c>
      <c r="C292" s="18" t="s">
        <v>2442</v>
      </c>
      <c r="D292" s="49"/>
      <c r="E292" s="49"/>
      <c r="F292" s="49"/>
      <c r="G292" s="49"/>
      <c r="H292" s="1536">
        <f>H54</f>
        <v>1</v>
      </c>
    </row>
    <row r="293" spans="1:8" x14ac:dyDescent="0.3">
      <c r="B293" s="49" t="s">
        <v>5548</v>
      </c>
      <c r="C293" s="18" t="s">
        <v>2442</v>
      </c>
      <c r="D293" s="49"/>
      <c r="E293" s="49"/>
      <c r="F293" s="49"/>
      <c r="G293" s="49"/>
      <c r="H293" s="1536">
        <f>H55</f>
        <v>2</v>
      </c>
    </row>
    <row r="294" spans="1:8" x14ac:dyDescent="0.3">
      <c r="B294" s="49" t="s">
        <v>5545</v>
      </c>
      <c r="C294" s="18" t="s">
        <v>971</v>
      </c>
      <c r="D294" s="49"/>
      <c r="E294" s="49"/>
      <c r="F294" s="49"/>
      <c r="G294" s="49"/>
      <c r="H294" s="1536">
        <f>H52</f>
        <v>2</v>
      </c>
    </row>
    <row r="295" spans="1:8" x14ac:dyDescent="0.3">
      <c r="B295" s="49" t="s">
        <v>5546</v>
      </c>
      <c r="C295" s="18" t="s">
        <v>2471</v>
      </c>
      <c r="D295" s="49"/>
      <c r="E295" s="49"/>
      <c r="F295" s="49"/>
      <c r="G295" s="49"/>
      <c r="H295" s="1536">
        <f>H53</f>
        <v>16</v>
      </c>
    </row>
    <row r="296" spans="1:8" x14ac:dyDescent="0.3">
      <c r="B296" s="49" t="s">
        <v>5550</v>
      </c>
      <c r="C296" s="18" t="s">
        <v>4888</v>
      </c>
      <c r="D296" s="49"/>
      <c r="E296" s="49"/>
      <c r="F296" s="49"/>
      <c r="G296" s="49"/>
      <c r="H296" s="1536">
        <f>H57</f>
        <v>17419.548963200003</v>
      </c>
    </row>
    <row r="297" spans="1:8" x14ac:dyDescent="0.3">
      <c r="F297" s="20"/>
      <c r="G297" s="1051"/>
      <c r="H297" s="1051"/>
    </row>
    <row r="299" spans="1:8" x14ac:dyDescent="0.3">
      <c r="A299" s="1660" t="s">
        <v>1901</v>
      </c>
      <c r="B299" s="1703"/>
      <c r="C299" s="1703"/>
      <c r="D299" s="1703"/>
      <c r="E299" s="1703"/>
      <c r="F299" s="1703"/>
      <c r="G299" s="1703"/>
      <c r="H299" s="1703"/>
    </row>
    <row r="301" spans="1:8" x14ac:dyDescent="0.3">
      <c r="B301" s="1702" t="s">
        <v>5747</v>
      </c>
      <c r="C301" s="1702" t="s">
        <v>38</v>
      </c>
      <c r="D301" s="1702"/>
      <c r="E301" s="1702"/>
      <c r="F301" s="1702" t="s">
        <v>602</v>
      </c>
      <c r="G301" s="1707">
        <f>G6</f>
        <v>1</v>
      </c>
      <c r="H301" s="1707">
        <f>H6</f>
        <v>2</v>
      </c>
    </row>
    <row r="302" spans="1:8" x14ac:dyDescent="0.3">
      <c r="B302" s="1668" t="s">
        <v>447</v>
      </c>
      <c r="C302" s="1669"/>
      <c r="D302" s="1670"/>
      <c r="E302" s="1670"/>
      <c r="F302" s="1670"/>
      <c r="G302" s="1671"/>
      <c r="H302" s="1617"/>
    </row>
    <row r="303" spans="1:8" x14ac:dyDescent="0.3">
      <c r="B303" s="49" t="s">
        <v>5748</v>
      </c>
      <c r="C303" s="1353" t="s">
        <v>2268</v>
      </c>
      <c r="D303" s="49"/>
      <c r="E303" s="49"/>
      <c r="F303" s="49"/>
      <c r="G303" s="648">
        <f>G47</f>
        <v>288.58280741366775</v>
      </c>
      <c r="H303" s="648">
        <f>H47</f>
        <v>288.58280741366775</v>
      </c>
    </row>
    <row r="304" spans="1:8" x14ac:dyDescent="0.3">
      <c r="B304" s="1449" t="s">
        <v>5749</v>
      </c>
      <c r="C304" s="1353" t="s">
        <v>2268</v>
      </c>
      <c r="D304" s="49"/>
      <c r="E304" s="49"/>
      <c r="F304" s="49"/>
      <c r="G304" s="648">
        <f>G109*UC.acre_to_m2</f>
        <v>309105.91871119774</v>
      </c>
      <c r="H304" s="648">
        <f>H109*UC.acre_to_m2</f>
        <v>185358.53193445315</v>
      </c>
    </row>
    <row r="305" spans="2:8" x14ac:dyDescent="0.3">
      <c r="B305" s="76" t="s">
        <v>5750</v>
      </c>
      <c r="C305" s="1353" t="s">
        <v>2268</v>
      </c>
      <c r="D305" s="49"/>
      <c r="E305" s="49"/>
      <c r="F305" s="49"/>
      <c r="G305" s="648">
        <f>G303</f>
        <v>288.58280741366775</v>
      </c>
      <c r="H305" s="648">
        <f>H303</f>
        <v>288.58280741366775</v>
      </c>
    </row>
    <row r="306" spans="2:8" x14ac:dyDescent="0.3">
      <c r="B306" s="76" t="s">
        <v>5751</v>
      </c>
      <c r="C306" s="1353" t="s">
        <v>2268</v>
      </c>
      <c r="D306" s="49"/>
      <c r="E306" s="49"/>
      <c r="F306" s="49"/>
      <c r="G306" s="648">
        <f>G304</f>
        <v>309105.91871119774</v>
      </c>
      <c r="H306" s="648">
        <f>H304</f>
        <v>185358.53193445315</v>
      </c>
    </row>
    <row r="307" spans="2:8" x14ac:dyDescent="0.3">
      <c r="B307" s="76" t="s">
        <v>5752</v>
      </c>
      <c r="C307" s="1353" t="s">
        <v>2270</v>
      </c>
      <c r="D307" s="49"/>
      <c r="E307" s="49"/>
      <c r="F307" s="49"/>
      <c r="G307" s="648">
        <f>SUM(G305:G306)/UDV.animal.total</f>
        <v>618.78900303722276</v>
      </c>
      <c r="H307" s="648">
        <f>SUM(H305:H306)/UDV.animal.total</f>
        <v>371.29422948373366</v>
      </c>
    </row>
    <row r="308" spans="2:8" x14ac:dyDescent="0.3">
      <c r="B308" s="1668" t="s">
        <v>5753</v>
      </c>
      <c r="C308" s="1669"/>
      <c r="D308" s="1670"/>
      <c r="E308" s="1670"/>
      <c r="F308" s="1670"/>
      <c r="G308" s="1671"/>
      <c r="H308" s="1617"/>
    </row>
    <row r="309" spans="2:8" x14ac:dyDescent="0.3">
      <c r="B309" s="49" t="s">
        <v>5754</v>
      </c>
      <c r="C309" s="49" t="s">
        <v>2497</v>
      </c>
      <c r="D309" s="49"/>
      <c r="E309" s="49"/>
      <c r="F309" s="49"/>
      <c r="G309" s="1209">
        <f>G204/UDV.animal.total</f>
        <v>0.74062370289180135</v>
      </c>
      <c r="H309" s="1209">
        <f>H204/UDV.animal.total</f>
        <v>0.42782690194156736</v>
      </c>
    </row>
    <row r="310" spans="2:8" x14ac:dyDescent="0.3">
      <c r="B310" s="49" t="s">
        <v>5755</v>
      </c>
      <c r="C310" s="49" t="s">
        <v>2497</v>
      </c>
      <c r="D310" s="49"/>
      <c r="E310" s="49"/>
      <c r="F310" s="49"/>
      <c r="G310" s="1209">
        <f>G242/UDV.animal.total</f>
        <v>0.99503098543937696</v>
      </c>
      <c r="H310" s="1209">
        <f>H242/UDV.animal.total</f>
        <v>0.5513354678339607</v>
      </c>
    </row>
    <row r="311" spans="2:8" x14ac:dyDescent="0.3">
      <c r="B311" s="1668" t="s">
        <v>5756</v>
      </c>
      <c r="C311" s="1669"/>
      <c r="D311" s="1670"/>
      <c r="E311" s="1670"/>
      <c r="F311" s="1680"/>
      <c r="G311" s="1671"/>
      <c r="H311" s="1617"/>
    </row>
    <row r="312" spans="2:8" x14ac:dyDescent="0.3">
      <c r="B312" s="49" t="s">
        <v>5757</v>
      </c>
      <c r="C312" s="1353" t="s">
        <v>2385</v>
      </c>
      <c r="D312" s="49"/>
      <c r="E312" s="49"/>
      <c r="F312" s="49"/>
      <c r="G312" s="1360">
        <f t="shared" ref="G312:H314" si="11">G67*UC.year_to_day/G$33/UDV.animal.total</f>
        <v>14.223165509791722</v>
      </c>
      <c r="H312" s="1360">
        <f t="shared" si="11"/>
        <v>8.5290669597917201</v>
      </c>
    </row>
    <row r="313" spans="2:8" x14ac:dyDescent="0.3">
      <c r="B313" s="49" t="s">
        <v>5758</v>
      </c>
      <c r="C313" s="1353" t="s">
        <v>2385</v>
      </c>
      <c r="D313" s="49"/>
      <c r="E313" s="49"/>
      <c r="F313" s="49"/>
      <c r="G313" s="1360">
        <f t="shared" si="11"/>
        <v>6.6431094999999996</v>
      </c>
      <c r="H313" s="1360">
        <f t="shared" si="11"/>
        <v>6.6431094999999996</v>
      </c>
    </row>
    <row r="314" spans="2:8" x14ac:dyDescent="0.3">
      <c r="B314" s="49" t="s">
        <v>5759</v>
      </c>
      <c r="C314" s="1353" t="s">
        <v>2385</v>
      </c>
      <c r="D314" s="49"/>
      <c r="E314" s="49"/>
      <c r="F314" s="49"/>
      <c r="G314" s="1360">
        <f t="shared" si="11"/>
        <v>8.5411824999999997</v>
      </c>
      <c r="H314" s="1360">
        <f t="shared" si="11"/>
        <v>8.5411824999999997</v>
      </c>
    </row>
    <row r="315" spans="2:8" x14ac:dyDescent="0.3">
      <c r="B315" s="1668" t="s">
        <v>5760</v>
      </c>
      <c r="C315" s="1669"/>
      <c r="D315" s="1670"/>
      <c r="E315" s="1670"/>
      <c r="F315" s="1680"/>
      <c r="G315" s="1671"/>
      <c r="H315" s="1617"/>
    </row>
    <row r="316" spans="2:8" x14ac:dyDescent="0.3">
      <c r="B316" s="1449" t="s">
        <v>5761</v>
      </c>
      <c r="C316" s="1353" t="s">
        <v>2385</v>
      </c>
      <c r="D316" s="49"/>
      <c r="E316" s="49"/>
      <c r="F316" s="49"/>
      <c r="G316" s="1209">
        <f>MAX(G104,0)*G109*UC.lb_to_kg/UDV.animal.total</f>
        <v>0</v>
      </c>
      <c r="H316" s="1209">
        <f>MAX(H104,0)*H109*UC.lb_to_kg/UDV.animal.total</f>
        <v>0</v>
      </c>
    </row>
    <row r="317" spans="2:8" x14ac:dyDescent="0.3">
      <c r="B317" s="1449" t="s">
        <v>5762</v>
      </c>
      <c r="C317" s="1353" t="s">
        <v>2385</v>
      </c>
      <c r="D317" s="49"/>
      <c r="E317" s="49"/>
      <c r="F317" s="49"/>
      <c r="G317" s="1209">
        <f>MAX(G105,0)*G109*UC.lb_to_kg/UDV.animal.total</f>
        <v>2.4998750825013691</v>
      </c>
      <c r="H317" s="1209">
        <f>MAX(H105,0)*H109*UC.lb_to_kg/UDV.animal.total</f>
        <v>4.025601501677988</v>
      </c>
    </row>
    <row r="318" spans="2:8" x14ac:dyDescent="0.3">
      <c r="B318" s="1449" t="s">
        <v>5763</v>
      </c>
      <c r="C318" s="1353" t="s">
        <v>2385</v>
      </c>
      <c r="D318" s="49"/>
      <c r="E318" s="49"/>
      <c r="F318" s="49"/>
      <c r="G318" s="1209">
        <f>MAX(G106,0)*G109*UC.lb_to_kg/UDV.animal.total</f>
        <v>2.3048714881662491</v>
      </c>
      <c r="H318" s="1209">
        <f>MAX(H106,0)*H109*UC.lb_to_kg/UDV.animal.total</f>
        <v>4.801514719546172</v>
      </c>
    </row>
    <row r="319" spans="2:8" x14ac:dyDescent="0.3">
      <c r="B319" s="1668" t="s">
        <v>5271</v>
      </c>
      <c r="C319" s="1669"/>
      <c r="D319" s="1670"/>
      <c r="E319" s="1670"/>
      <c r="F319" s="1670"/>
      <c r="G319" s="1671"/>
      <c r="H319" s="1617"/>
    </row>
    <row r="320" spans="2:8" x14ac:dyDescent="0.3">
      <c r="B320" s="1449" t="s">
        <v>5764</v>
      </c>
      <c r="C320" s="1353" t="s">
        <v>2385</v>
      </c>
      <c r="D320" s="49"/>
      <c r="E320" s="49"/>
      <c r="F320" s="49"/>
      <c r="G320" s="1209">
        <f>G133</f>
        <v>15.940832022428877</v>
      </c>
      <c r="H320" s="1209">
        <f>H133</f>
        <v>7.9704160112144384</v>
      </c>
    </row>
    <row r="321" spans="2:8" x14ac:dyDescent="0.3">
      <c r="B321" s="1449" t="s">
        <v>5765</v>
      </c>
      <c r="C321" s="1353" t="s">
        <v>2385</v>
      </c>
      <c r="D321" s="49"/>
      <c r="E321" s="49"/>
      <c r="F321" s="49"/>
      <c r="G321" s="1209">
        <f>G141</f>
        <v>4.7450821249999997</v>
      </c>
      <c r="H321" s="1209">
        <f>H141</f>
        <v>10.439180674999999</v>
      </c>
    </row>
    <row r="322" spans="2:8" x14ac:dyDescent="0.3">
      <c r="B322" s="1449" t="s">
        <v>5766</v>
      </c>
      <c r="C322" s="1353" t="s">
        <v>2385</v>
      </c>
      <c r="D322" s="49"/>
      <c r="E322" s="49"/>
      <c r="F322" s="49"/>
      <c r="G322" s="1209">
        <f>G145</f>
        <v>5.9651376409799999E-2</v>
      </c>
      <c r="H322" s="1209">
        <f>H145</f>
        <v>0.10438990871715</v>
      </c>
    </row>
    <row r="323" spans="2:8" x14ac:dyDescent="0.3">
      <c r="B323" s="1449" t="s">
        <v>5767</v>
      </c>
      <c r="C323" s="1353" t="s">
        <v>2385</v>
      </c>
      <c r="D323" s="49"/>
      <c r="E323" s="49"/>
      <c r="F323" s="49"/>
      <c r="G323" s="1209">
        <f>G149</f>
        <v>0.10438990871715</v>
      </c>
      <c r="H323" s="1209">
        <f>H149</f>
        <v>0.22965779917772999</v>
      </c>
    </row>
    <row r="324" spans="2:8" x14ac:dyDescent="0.3">
      <c r="B324" s="1668" t="s">
        <v>409</v>
      </c>
      <c r="C324" s="1669"/>
      <c r="D324" s="1670"/>
      <c r="E324" s="1670"/>
      <c r="F324" s="1670"/>
      <c r="G324" s="1671"/>
      <c r="H324" s="1617"/>
    </row>
    <row r="325" spans="2:8" x14ac:dyDescent="0.3">
      <c r="B325" s="1449" t="s">
        <v>5768</v>
      </c>
      <c r="C325" s="1353" t="s">
        <v>5769</v>
      </c>
      <c r="D325" s="49"/>
      <c r="E325" s="49"/>
      <c r="F325" s="49"/>
      <c r="G325" s="1209">
        <v>0</v>
      </c>
      <c r="H325" s="1209">
        <f>H57/UDV.animal.total</f>
        <v>34.839097926400008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FBCC-D36A-419A-995B-85B372B67D9B}">
  <sheetPr>
    <tabColor rgb="FF92D050"/>
  </sheetPr>
  <dimension ref="A2:I113"/>
  <sheetViews>
    <sheetView workbookViewId="0">
      <selection sqref="A1:C1"/>
    </sheetView>
  </sheetViews>
  <sheetFormatPr defaultRowHeight="14.4" x14ac:dyDescent="0.3"/>
  <cols>
    <col min="2" max="2" width="73.44140625" customWidth="1"/>
    <col min="3" max="3" width="36.109375" bestFit="1" customWidth="1"/>
    <col min="7" max="7" width="13.6640625" customWidth="1"/>
    <col min="8" max="8" width="30" customWidth="1"/>
    <col min="9" max="9" width="15.109375" customWidth="1"/>
    <col min="10" max="10" width="25.5546875" customWidth="1"/>
  </cols>
  <sheetData>
    <row r="2" spans="2:8" x14ac:dyDescent="0.3">
      <c r="B2" s="1356" t="s">
        <v>5770</v>
      </c>
      <c r="C2" s="30"/>
      <c r="D2" s="30"/>
      <c r="E2" s="30"/>
      <c r="F2" s="1356" t="s">
        <v>602</v>
      </c>
      <c r="G2" s="1356" t="s">
        <v>5474</v>
      </c>
      <c r="H2" s="1356"/>
    </row>
    <row r="3" spans="2:8" x14ac:dyDescent="0.3">
      <c r="B3" s="49" t="s">
        <v>5771</v>
      </c>
      <c r="C3" s="49"/>
      <c r="D3" s="49"/>
      <c r="E3" s="49"/>
      <c r="F3" s="49"/>
      <c r="G3" s="1364">
        <f>PT.waste_generation!G18</f>
        <v>2893.7344524219839</v>
      </c>
      <c r="H3" s="49" t="s">
        <v>2519</v>
      </c>
    </row>
    <row r="4" spans="2:8" x14ac:dyDescent="0.3">
      <c r="B4" s="49" t="s">
        <v>5772</v>
      </c>
      <c r="C4" s="49"/>
      <c r="D4" s="49"/>
      <c r="E4" s="49"/>
      <c r="F4" s="49"/>
      <c r="G4" s="1364">
        <f>PT.waste_generation!G20</f>
        <v>28390</v>
      </c>
      <c r="H4" s="49" t="s">
        <v>2519</v>
      </c>
    </row>
    <row r="5" spans="2:8" x14ac:dyDescent="0.3">
      <c r="B5" s="49" t="s">
        <v>5495</v>
      </c>
      <c r="C5" s="49"/>
      <c r="D5" s="49"/>
      <c r="E5" s="49"/>
      <c r="F5" s="49"/>
      <c r="G5" s="1364">
        <f>PT.waste_generation!G22</f>
        <v>28390</v>
      </c>
      <c r="H5" s="49" t="s">
        <v>2519</v>
      </c>
    </row>
    <row r="6" spans="2:8" x14ac:dyDescent="0.3">
      <c r="B6" s="1351" t="s">
        <v>5496</v>
      </c>
      <c r="C6" s="49"/>
      <c r="D6" s="49"/>
      <c r="E6" s="49"/>
      <c r="F6" s="49"/>
      <c r="G6" s="1364">
        <f>PT.waste_generation!G23</f>
        <v>0</v>
      </c>
      <c r="H6" s="49" t="s">
        <v>2519</v>
      </c>
    </row>
    <row r="7" spans="2:8" x14ac:dyDescent="0.3">
      <c r="B7" s="1351" t="s">
        <v>5773</v>
      </c>
      <c r="C7" s="49"/>
      <c r="D7" s="49"/>
      <c r="E7" s="49"/>
      <c r="F7" s="49"/>
      <c r="G7" s="1364">
        <f>PT.waste_generation!G6</f>
        <v>221.00449999999995</v>
      </c>
      <c r="H7" s="49" t="s">
        <v>2409</v>
      </c>
    </row>
    <row r="8" spans="2:8" x14ac:dyDescent="0.3">
      <c r="B8" s="1351" t="s">
        <v>5774</v>
      </c>
      <c r="C8" s="49"/>
      <c r="D8" s="49"/>
      <c r="E8" s="49"/>
      <c r="F8" s="49"/>
      <c r="G8" s="1364">
        <f>PT.waste_generation!G7</f>
        <v>26.000450000000001</v>
      </c>
      <c r="H8" s="49" t="s">
        <v>2409</v>
      </c>
    </row>
    <row r="9" spans="2:8" x14ac:dyDescent="0.3">
      <c r="B9" s="1356" t="s">
        <v>5775</v>
      </c>
      <c r="C9" s="30"/>
      <c r="D9" s="30"/>
      <c r="E9" s="30"/>
      <c r="F9" s="1356"/>
      <c r="G9" s="1356"/>
      <c r="H9" s="1356"/>
    </row>
    <row r="10" spans="2:8" x14ac:dyDescent="0.3">
      <c r="B10" s="49" t="s">
        <v>5776</v>
      </c>
      <c r="C10" s="49"/>
      <c r="D10" s="49"/>
      <c r="E10" s="49"/>
      <c r="F10" s="49"/>
      <c r="G10" s="1359">
        <f>UDV.shallow_pit.flush_waste_storage</f>
        <v>7</v>
      </c>
      <c r="H10" s="49" t="s">
        <v>2452</v>
      </c>
    </row>
    <row r="11" spans="2:8" x14ac:dyDescent="0.3">
      <c r="B11" s="49" t="s">
        <v>5777</v>
      </c>
      <c r="C11" s="49"/>
      <c r="D11" s="49"/>
      <c r="E11" s="49"/>
      <c r="F11" s="49"/>
      <c r="G11" s="1359">
        <f>UDV.shallow_pit.flush_liquids_storage</f>
        <v>1</v>
      </c>
      <c r="H11" s="49" t="s">
        <v>2452</v>
      </c>
    </row>
    <row r="12" spans="2:8" x14ac:dyDescent="0.3">
      <c r="B12" s="49" t="s">
        <v>5778</v>
      </c>
      <c r="C12" s="49"/>
      <c r="D12" s="49"/>
      <c r="E12" s="49"/>
      <c r="F12" s="49"/>
      <c r="G12" s="1424">
        <f>UDV.shallow_pit.length</f>
        <v>50.240000000000009</v>
      </c>
      <c r="H12" s="49" t="s">
        <v>2337</v>
      </c>
    </row>
    <row r="13" spans="2:8" x14ac:dyDescent="0.3">
      <c r="B13" s="49" t="s">
        <v>5779</v>
      </c>
      <c r="C13" s="49"/>
      <c r="D13" s="49"/>
      <c r="E13" s="49"/>
      <c r="F13" s="49"/>
      <c r="G13" s="1346">
        <f>UDV.shallow_pit.depth</f>
        <v>1.8200000000000003</v>
      </c>
      <c r="H13" s="49" t="s">
        <v>2337</v>
      </c>
    </row>
    <row r="14" spans="2:8" x14ac:dyDescent="0.3">
      <c r="B14" s="49" t="s">
        <v>5780</v>
      </c>
      <c r="C14" s="49"/>
      <c r="D14" s="49"/>
      <c r="E14" s="49"/>
      <c r="F14" s="49"/>
      <c r="G14" s="648">
        <f>G3*G10*UC.L_to_m3</f>
        <v>20.256141166953888</v>
      </c>
      <c r="H14" s="49" t="s">
        <v>2478</v>
      </c>
    </row>
    <row r="15" spans="2:8" x14ac:dyDescent="0.3">
      <c r="B15" s="49" t="s">
        <v>5781</v>
      </c>
      <c r="C15" s="49"/>
      <c r="D15" s="49"/>
      <c r="E15" s="49"/>
      <c r="F15" s="49"/>
      <c r="G15" s="648">
        <f>G4*G11*UC.L_to_m3</f>
        <v>28.39</v>
      </c>
      <c r="H15" s="49" t="s">
        <v>2478</v>
      </c>
    </row>
    <row r="16" spans="2:8" x14ac:dyDescent="0.3">
      <c r="B16" s="61" t="s">
        <v>5782</v>
      </c>
      <c r="C16" s="49"/>
      <c r="D16" s="49"/>
      <c r="E16" s="49"/>
      <c r="F16" s="49"/>
      <c r="G16" s="648">
        <f>G14+G15</f>
        <v>48.646141166953889</v>
      </c>
      <c r="H16" s="49" t="s">
        <v>2478</v>
      </c>
    </row>
    <row r="17" spans="2:8" x14ac:dyDescent="0.3">
      <c r="B17" s="49" t="s">
        <v>5783</v>
      </c>
      <c r="C17" s="49"/>
      <c r="D17" s="49"/>
      <c r="E17" s="49"/>
      <c r="F17" s="49"/>
      <c r="G17" s="1360">
        <f>G16/G12/G13</f>
        <v>0.53201928727770298</v>
      </c>
      <c r="H17" s="49" t="s">
        <v>2337</v>
      </c>
    </row>
    <row r="18" spans="2:8" x14ac:dyDescent="0.3">
      <c r="B18" s="49" t="s">
        <v>5784</v>
      </c>
      <c r="C18" s="1089" t="s">
        <v>5785</v>
      </c>
      <c r="D18" s="1089"/>
      <c r="E18" s="1089"/>
      <c r="F18" s="49"/>
      <c r="G18" s="1360">
        <f>G12*G17</f>
        <v>26.728648992831804</v>
      </c>
      <c r="H18" s="49" t="s">
        <v>2268</v>
      </c>
    </row>
    <row r="19" spans="2:8" x14ac:dyDescent="0.3">
      <c r="B19" s="1405" t="s">
        <v>5786</v>
      </c>
      <c r="C19" s="1406"/>
      <c r="D19" s="1407"/>
      <c r="E19" s="1408"/>
      <c r="F19" s="1409"/>
      <c r="G19" s="1410"/>
      <c r="H19" s="1411"/>
    </row>
    <row r="20" spans="2:8" x14ac:dyDescent="0.3">
      <c r="B20" s="1412" t="s">
        <v>5493</v>
      </c>
      <c r="C20" s="18" t="s">
        <v>5787</v>
      </c>
      <c r="D20" s="52"/>
      <c r="E20" s="510"/>
      <c r="F20" s="1384"/>
      <c r="G20" s="1377">
        <f>G4*UC.L_to_m3</f>
        <v>28.39</v>
      </c>
      <c r="H20" s="18" t="s">
        <v>2521</v>
      </c>
    </row>
    <row r="21" spans="2:8" x14ac:dyDescent="0.3">
      <c r="B21" s="1412" t="s">
        <v>5788</v>
      </c>
      <c r="C21" s="18"/>
      <c r="D21" s="52"/>
      <c r="E21" s="510"/>
      <c r="F21" s="1384"/>
      <c r="G21" s="1377">
        <f>G5*UC.L_to_m3</f>
        <v>28.39</v>
      </c>
      <c r="H21" s="18" t="s">
        <v>2521</v>
      </c>
    </row>
    <row r="22" spans="2:8" x14ac:dyDescent="0.3">
      <c r="B22" s="1412" t="s">
        <v>5141</v>
      </c>
      <c r="C22" s="18"/>
      <c r="D22" s="52"/>
      <c r="E22" s="510"/>
      <c r="F22" s="1384"/>
      <c r="G22" s="1377">
        <f>G6*UC.L_to_m3</f>
        <v>0</v>
      </c>
      <c r="H22" s="18" t="s">
        <v>2521</v>
      </c>
    </row>
    <row r="23" spans="2:8" x14ac:dyDescent="0.3">
      <c r="B23" s="1412" t="s">
        <v>5789</v>
      </c>
      <c r="C23" s="48"/>
      <c r="D23" s="52"/>
      <c r="E23" s="18"/>
      <c r="F23" s="1384"/>
      <c r="G23" s="1378">
        <f>UDV.flush_waste.tank_flushes</f>
        <v>3</v>
      </c>
      <c r="H23" s="18" t="s">
        <v>5790</v>
      </c>
    </row>
    <row r="24" spans="2:8" x14ac:dyDescent="0.3">
      <c r="B24" s="666" t="s">
        <v>5791</v>
      </c>
      <c r="C24" s="49"/>
      <c r="D24" s="52"/>
      <c r="E24" s="510"/>
      <c r="F24" s="1384"/>
      <c r="G24" s="1395">
        <f>G20/G23</f>
        <v>9.4633333333333329</v>
      </c>
      <c r="H24" s="18" t="s">
        <v>5792</v>
      </c>
    </row>
    <row r="25" spans="2:8" x14ac:dyDescent="0.3">
      <c r="B25" s="1405" t="s">
        <v>5793</v>
      </c>
      <c r="C25" s="1406"/>
      <c r="D25" s="1407"/>
      <c r="E25" s="1408"/>
      <c r="F25" s="1409"/>
      <c r="G25" s="1410"/>
      <c r="H25" s="1411"/>
    </row>
    <row r="26" spans="2:8" x14ac:dyDescent="0.3">
      <c r="B26" s="18" t="s">
        <v>5794</v>
      </c>
      <c r="C26" s="49"/>
      <c r="D26" s="52"/>
      <c r="E26" s="510"/>
      <c r="F26" s="1384"/>
      <c r="G26" s="1413">
        <f>UDV.shallow_pit.flush_N_remaining</f>
        <v>0.69936350599999997</v>
      </c>
      <c r="H26" s="18" t="s">
        <v>1694</v>
      </c>
    </row>
    <row r="27" spans="2:8" x14ac:dyDescent="0.3">
      <c r="B27" s="18" t="s">
        <v>5795</v>
      </c>
      <c r="C27" s="49"/>
      <c r="D27" s="52"/>
      <c r="E27" s="510"/>
      <c r="F27" s="1384"/>
      <c r="G27" s="1395">
        <f>G8*G26</f>
        <v>18.183765869577698</v>
      </c>
      <c r="H27" s="49" t="s">
        <v>2409</v>
      </c>
    </row>
    <row r="28" spans="2:8" x14ac:dyDescent="0.3">
      <c r="B28" s="1405" t="s">
        <v>5796</v>
      </c>
      <c r="C28" s="1406"/>
      <c r="D28" s="1407"/>
      <c r="E28" s="1408"/>
      <c r="F28" s="1409"/>
      <c r="G28" s="1410"/>
      <c r="H28" s="1411"/>
    </row>
    <row r="29" spans="2:8" x14ac:dyDescent="0.3">
      <c r="B29" s="666" t="s">
        <v>5797</v>
      </c>
      <c r="C29" s="49"/>
      <c r="D29" s="52"/>
      <c r="E29" s="510"/>
      <c r="F29" s="1384"/>
      <c r="G29" s="1414">
        <f>(UDV.storage_pond.recycle_pump_flowrate*UDV.storage_pond.recycle_pump_headloss)/(UC.pump_US*UDV.storage_pond.pump_and_motor_efficiency)</f>
        <v>4.9783549783549788</v>
      </c>
      <c r="H29" s="18" t="s">
        <v>5798</v>
      </c>
    </row>
    <row r="30" spans="2:8" x14ac:dyDescent="0.3">
      <c r="B30" s="18" t="s">
        <v>5799</v>
      </c>
      <c r="C30" s="49"/>
      <c r="D30" s="52"/>
      <c r="E30" s="510"/>
      <c r="F30" s="1384"/>
      <c r="G30" s="1393">
        <f>UDV.flush_waste.max_pump_time</f>
        <v>12</v>
      </c>
      <c r="H30" s="18" t="s">
        <v>2471</v>
      </c>
    </row>
    <row r="31" spans="2:8" x14ac:dyDescent="0.3">
      <c r="B31" s="18" t="s">
        <v>5800</v>
      </c>
      <c r="C31" s="49"/>
      <c r="D31" s="52"/>
      <c r="E31" s="510"/>
      <c r="F31" s="1384"/>
      <c r="G31" s="1414">
        <f>UDV.storage_pond.recycle_pump_flowrate*UC.hour_to_min/UC.m3_to_gal</f>
        <v>34.06870610218828</v>
      </c>
      <c r="H31" s="18" t="s">
        <v>5801</v>
      </c>
    </row>
    <row r="32" spans="2:8" x14ac:dyDescent="0.3">
      <c r="B32" s="1412" t="s">
        <v>5802</v>
      </c>
      <c r="C32" s="49"/>
      <c r="D32" s="52"/>
      <c r="E32" s="510"/>
      <c r="F32" s="1384"/>
      <c r="G32" s="1379">
        <f>ROUNDUP(G21/G30/G31,0.1)</f>
        <v>1</v>
      </c>
      <c r="H32" s="18" t="s">
        <v>5803</v>
      </c>
    </row>
    <row r="33" spans="2:9" x14ac:dyDescent="0.3">
      <c r="B33" s="1412" t="s">
        <v>5804</v>
      </c>
      <c r="C33" s="49"/>
      <c r="D33" s="52"/>
      <c r="E33" s="510"/>
      <c r="F33" s="1384"/>
      <c r="G33" s="1380">
        <f>G20/G31/G32</f>
        <v>0.83331606180888895</v>
      </c>
      <c r="H33" s="18" t="s">
        <v>5805</v>
      </c>
    </row>
    <row r="34" spans="2:9" x14ac:dyDescent="0.3">
      <c r="B34" s="510" t="s">
        <v>5806</v>
      </c>
      <c r="C34" s="49"/>
      <c r="D34" s="52"/>
      <c r="E34" s="510"/>
      <c r="F34" s="1415" t="s">
        <v>5807</v>
      </c>
      <c r="G34" s="1380">
        <f>G29*G32*UC.hp_to_kW</f>
        <v>3.7123586601731606</v>
      </c>
      <c r="H34" s="18" t="s">
        <v>2548</v>
      </c>
    </row>
    <row r="35" spans="2:9" x14ac:dyDescent="0.3">
      <c r="B35" s="666" t="s">
        <v>5808</v>
      </c>
      <c r="C35" s="49"/>
      <c r="D35" s="52"/>
      <c r="E35" s="1385" t="s">
        <v>5551</v>
      </c>
      <c r="F35" s="1416">
        <f>G35*UC.year_to_day/UDV.animal.total</f>
        <v>2.2583047120638637</v>
      </c>
      <c r="G35" s="1380">
        <f>G33*G34</f>
        <v>3.0935680987176215</v>
      </c>
      <c r="H35" s="18" t="s">
        <v>5809</v>
      </c>
    </row>
    <row r="37" spans="2:9" x14ac:dyDescent="0.3">
      <c r="B37" s="1622" t="s">
        <v>1974</v>
      </c>
      <c r="C37" s="1017"/>
      <c r="D37" s="1623"/>
      <c r="E37" s="1645"/>
      <c r="F37" s="1619"/>
      <c r="G37" s="1620"/>
      <c r="H37" s="1076"/>
      <c r="I37" s="78"/>
    </row>
    <row r="38" spans="2:9" x14ac:dyDescent="0.3">
      <c r="B38" s="1017" t="s">
        <v>5810</v>
      </c>
      <c r="C38" s="1017"/>
      <c r="D38" s="1623"/>
      <c r="E38" s="1645"/>
      <c r="F38" s="1619"/>
      <c r="G38" s="1619">
        <f>UDV.manure_transfer_channel.length_per_animal</f>
        <v>0.1066</v>
      </c>
      <c r="H38" s="1076" t="s">
        <v>2352</v>
      </c>
      <c r="I38" s="205"/>
    </row>
    <row r="39" spans="2:9" x14ac:dyDescent="0.3">
      <c r="B39" s="1622" t="s">
        <v>5811</v>
      </c>
      <c r="C39" s="1017"/>
      <c r="D39" s="1623"/>
      <c r="E39" s="1645"/>
      <c r="F39" s="1619"/>
      <c r="G39" s="1646">
        <f>G38*UDV.animal.total</f>
        <v>53.3</v>
      </c>
      <c r="H39" s="1076" t="s">
        <v>2337</v>
      </c>
      <c r="I39" s="1634"/>
    </row>
    <row r="40" spans="2:9" x14ac:dyDescent="0.3">
      <c r="B40" s="93"/>
      <c r="G40" s="205"/>
      <c r="H40" s="205"/>
      <c r="I40" s="205"/>
    </row>
    <row r="41" spans="2:9" x14ac:dyDescent="0.3">
      <c r="B41" s="1405" t="s">
        <v>5812</v>
      </c>
      <c r="C41" s="1406"/>
      <c r="D41" s="1407"/>
      <c r="E41" s="1408"/>
      <c r="F41" s="1409"/>
      <c r="G41" s="1410"/>
      <c r="H41" s="1411"/>
      <c r="I41" s="205"/>
    </row>
    <row r="42" spans="2:9" x14ac:dyDescent="0.3">
      <c r="B42" s="18" t="s">
        <v>5813</v>
      </c>
      <c r="C42" s="49"/>
      <c r="D42" s="52"/>
      <c r="E42" s="510"/>
      <c r="F42" s="1384"/>
      <c r="G42" s="1393">
        <f>UDV.handling_manure.head_per_barn</f>
        <v>2400</v>
      </c>
      <c r="H42" s="18" t="s">
        <v>5814</v>
      </c>
      <c r="I42" s="205"/>
    </row>
    <row r="43" spans="2:9" x14ac:dyDescent="0.3">
      <c r="B43" s="18" t="s">
        <v>5815</v>
      </c>
      <c r="C43" s="49"/>
      <c r="D43" s="52"/>
      <c r="E43" s="510"/>
      <c r="F43" s="1384"/>
      <c r="G43" s="1393">
        <f>UDV.animal.total</f>
        <v>500</v>
      </c>
      <c r="H43" s="18" t="s">
        <v>2329</v>
      </c>
      <c r="I43" s="205"/>
    </row>
    <row r="44" spans="2:9" x14ac:dyDescent="0.3">
      <c r="B44" s="18" t="s">
        <v>5816</v>
      </c>
      <c r="C44" s="49"/>
      <c r="D44" s="52"/>
      <c r="E44" s="510"/>
      <c r="F44" s="1384"/>
      <c r="G44" s="1393">
        <f>UDV.handling_manure.distance_pump_to_split</f>
        <v>600</v>
      </c>
      <c r="H44" s="18" t="s">
        <v>2340</v>
      </c>
      <c r="I44" s="205"/>
    </row>
    <row r="45" spans="2:9" x14ac:dyDescent="0.3">
      <c r="B45" s="18" t="s">
        <v>5817</v>
      </c>
      <c r="C45" s="49"/>
      <c r="D45" s="52"/>
      <c r="E45" s="510"/>
      <c r="F45" s="1384"/>
      <c r="G45" s="1393">
        <f>UDV.handling_manure.distance_split_to_barn</f>
        <v>200</v>
      </c>
      <c r="H45" s="18" t="s">
        <v>2340</v>
      </c>
      <c r="I45" s="205"/>
    </row>
    <row r="46" spans="2:9" x14ac:dyDescent="0.3">
      <c r="B46" s="85" t="s">
        <v>5818</v>
      </c>
      <c r="C46" s="49"/>
      <c r="D46" s="52"/>
      <c r="E46" s="510"/>
      <c r="F46" s="1384"/>
      <c r="G46" s="1379">
        <f>ROUNDUP(G43/G42,0)</f>
        <v>1</v>
      </c>
      <c r="H46" s="18" t="s">
        <v>2442</v>
      </c>
      <c r="I46" s="205"/>
    </row>
    <row r="47" spans="2:9" x14ac:dyDescent="0.3">
      <c r="B47" s="85" t="s">
        <v>5819</v>
      </c>
      <c r="C47" s="49"/>
      <c r="D47" s="52"/>
      <c r="E47" s="510"/>
      <c r="F47" s="1384"/>
      <c r="G47" s="1380">
        <f>G32*G44</f>
        <v>600</v>
      </c>
      <c r="H47" s="18" t="s">
        <v>2340</v>
      </c>
      <c r="I47" s="205"/>
    </row>
    <row r="48" spans="2:9" x14ac:dyDescent="0.3">
      <c r="B48" s="510" t="s">
        <v>5820</v>
      </c>
      <c r="C48" s="49"/>
      <c r="D48" s="52"/>
      <c r="E48" s="510"/>
      <c r="F48" s="1384"/>
      <c r="G48" s="1380">
        <f>G45*G46</f>
        <v>200</v>
      </c>
      <c r="H48" s="18" t="s">
        <v>2340</v>
      </c>
      <c r="I48" s="205"/>
    </row>
    <row r="49" spans="2:8" x14ac:dyDescent="0.3">
      <c r="B49" s="18"/>
      <c r="C49" s="49"/>
      <c r="D49" s="52"/>
      <c r="E49" s="91"/>
      <c r="F49" s="1395"/>
      <c r="G49" s="1380"/>
      <c r="H49" s="18"/>
    </row>
    <row r="50" spans="2:8" x14ac:dyDescent="0.3">
      <c r="B50" s="20"/>
      <c r="D50" s="66"/>
      <c r="E50" s="90"/>
      <c r="F50" s="382"/>
      <c r="G50" s="499"/>
      <c r="H50" s="20"/>
    </row>
    <row r="51" spans="2:8" x14ac:dyDescent="0.3">
      <c r="B51" s="1405" t="s">
        <v>5271</v>
      </c>
      <c r="C51" s="1374"/>
      <c r="D51" s="1374"/>
      <c r="E51" s="1356"/>
      <c r="F51" s="1356"/>
      <c r="G51" s="1356"/>
      <c r="H51" s="1374"/>
    </row>
    <row r="52" spans="2:8" x14ac:dyDescent="0.3">
      <c r="B52" s="49" t="s">
        <v>5594</v>
      </c>
      <c r="C52" s="49"/>
      <c r="D52" s="49"/>
      <c r="E52" s="49"/>
      <c r="F52" s="1360"/>
      <c r="G52" s="1360">
        <f>G7</f>
        <v>221.00449999999995</v>
      </c>
      <c r="H52" s="49" t="s">
        <v>2409</v>
      </c>
    </row>
    <row r="53" spans="2:8" x14ac:dyDescent="0.3">
      <c r="B53" s="602" t="s">
        <v>5595</v>
      </c>
      <c r="C53" s="49"/>
      <c r="D53" s="49"/>
      <c r="E53" s="49"/>
      <c r="F53" s="1905"/>
      <c r="G53" s="1727">
        <f>UDV.emit_CH4.BD</f>
        <v>0.47999999999999993</v>
      </c>
      <c r="H53" s="49" t="s">
        <v>5596</v>
      </c>
    </row>
    <row r="54" spans="2:8" x14ac:dyDescent="0.3">
      <c r="B54" s="602" t="s">
        <v>5597</v>
      </c>
      <c r="C54" s="49"/>
      <c r="D54" s="49"/>
      <c r="E54" s="49"/>
      <c r="F54" s="1905"/>
      <c r="G54" s="1727">
        <f>UDV.emit_CH4.density</f>
        <v>0.66199999999999992</v>
      </c>
      <c r="H54" s="49" t="s">
        <v>2416</v>
      </c>
    </row>
    <row r="55" spans="2:8" x14ac:dyDescent="0.3">
      <c r="B55" s="602" t="s">
        <v>5598</v>
      </c>
      <c r="C55" s="49"/>
      <c r="D55" s="49"/>
      <c r="E55" s="49"/>
      <c r="F55" s="1380"/>
      <c r="G55" s="1414">
        <f>UDV.emit_CH4.MCF_shallow_flush</f>
        <v>2.9721110000000002E-2</v>
      </c>
      <c r="H55" s="49" t="s">
        <v>1694</v>
      </c>
    </row>
    <row r="56" spans="2:8" x14ac:dyDescent="0.3">
      <c r="B56" s="602" t="s">
        <v>5599</v>
      </c>
      <c r="C56" s="1089" t="s">
        <v>5600</v>
      </c>
      <c r="D56" s="1089"/>
      <c r="E56" s="1089"/>
      <c r="F56" s="1728"/>
      <c r="G56" s="1728">
        <f>G52*365*G53*G54*G55/UDV.animal.total</f>
        <v>1.5236605695921037</v>
      </c>
      <c r="H56" s="49" t="s">
        <v>5601</v>
      </c>
    </row>
    <row r="57" spans="2:8" x14ac:dyDescent="0.3">
      <c r="B57" s="2283" t="s">
        <v>5602</v>
      </c>
      <c r="C57" s="1406"/>
      <c r="D57" s="1407"/>
      <c r="E57" s="2284"/>
      <c r="F57" s="1409"/>
      <c r="G57" s="1409"/>
      <c r="H57" s="1411"/>
    </row>
    <row r="58" spans="2:8" x14ac:dyDescent="0.3">
      <c r="B58" s="28" t="s">
        <v>5821</v>
      </c>
      <c r="C58" s="510"/>
      <c r="D58" s="2285"/>
      <c r="E58" s="1353"/>
      <c r="F58" s="1384"/>
      <c r="G58" s="1532">
        <f>G8</f>
        <v>26.000450000000001</v>
      </c>
      <c r="H58" s="28" t="s">
        <v>2409</v>
      </c>
    </row>
    <row r="59" spans="2:8" x14ac:dyDescent="0.3">
      <c r="B59" s="28" t="s">
        <v>5604</v>
      </c>
      <c r="C59" s="510"/>
      <c r="D59" s="1351"/>
      <c r="E59" s="1353"/>
      <c r="F59" s="1384"/>
      <c r="G59" s="1576">
        <f>UDV.emit_N2O_direct.N_to_N2O</f>
        <v>1.5713999999999999</v>
      </c>
      <c r="H59" s="28" t="s">
        <v>5605</v>
      </c>
    </row>
    <row r="60" spans="2:8" x14ac:dyDescent="0.3">
      <c r="B60" s="28" t="s">
        <v>5822</v>
      </c>
      <c r="C60" s="510"/>
      <c r="D60" s="2285"/>
      <c r="E60" s="1353"/>
      <c r="F60" s="1384"/>
      <c r="G60" s="1521">
        <f>G58*UC.year_to_day/UDV.animal.total</f>
        <v>18.980328499999999</v>
      </c>
      <c r="H60" s="28" t="s">
        <v>5607</v>
      </c>
    </row>
    <row r="61" spans="2:8" x14ac:dyDescent="0.3">
      <c r="B61" s="2283" t="s">
        <v>5608</v>
      </c>
      <c r="C61" s="1408"/>
      <c r="D61" s="1408"/>
      <c r="E61" s="2284"/>
      <c r="F61" s="1409"/>
      <c r="G61" s="2286"/>
      <c r="H61" s="2289"/>
    </row>
    <row r="62" spans="2:8" x14ac:dyDescent="0.3">
      <c r="B62" s="95" t="s">
        <v>5823</v>
      </c>
      <c r="C62" s="49"/>
      <c r="D62" s="52"/>
      <c r="E62" s="1353"/>
      <c r="F62" s="1384"/>
      <c r="G62" s="1401">
        <f>UDV.emit_NH3.lossfrac_shallow_flush</f>
        <v>0.3</v>
      </c>
      <c r="H62" s="95" t="s">
        <v>1694</v>
      </c>
    </row>
    <row r="63" spans="2:8" x14ac:dyDescent="0.3">
      <c r="B63" s="95" t="s">
        <v>5824</v>
      </c>
      <c r="C63" s="510"/>
      <c r="D63" s="510"/>
      <c r="E63" s="1353"/>
      <c r="F63" s="1384"/>
      <c r="G63" s="1878">
        <f>G60*G62</f>
        <v>5.6940985499999996</v>
      </c>
      <c r="H63" s="28" t="s">
        <v>5611</v>
      </c>
    </row>
    <row r="64" spans="2:8" x14ac:dyDescent="0.3">
      <c r="B64" s="95" t="s">
        <v>5612</v>
      </c>
      <c r="C64" s="49"/>
      <c r="D64" s="52"/>
      <c r="E64" s="1382" t="s">
        <v>5613</v>
      </c>
      <c r="F64" s="1415"/>
      <c r="G64" s="2288">
        <f>G63</f>
        <v>5.6940985499999996</v>
      </c>
      <c r="H64" s="28" t="s">
        <v>5611</v>
      </c>
    </row>
    <row r="65" spans="1:9" x14ac:dyDescent="0.3">
      <c r="B65" s="2283" t="s">
        <v>5614</v>
      </c>
      <c r="C65" s="1406"/>
      <c r="D65" s="1407"/>
      <c r="E65" s="2284"/>
      <c r="F65" s="1409"/>
      <c r="G65" s="2286"/>
      <c r="H65" s="2289"/>
    </row>
    <row r="66" spans="1:9" ht="15.6" x14ac:dyDescent="0.3">
      <c r="B66" s="28" t="s">
        <v>5825</v>
      </c>
      <c r="C66" s="510"/>
      <c r="D66" s="2285"/>
      <c r="E66" s="1353"/>
      <c r="F66" s="1384"/>
      <c r="G66" s="2290">
        <f>UDV.emit_N2O_direct.ef3_shallow_flush</f>
        <v>2E-3</v>
      </c>
      <c r="H66" s="28" t="s">
        <v>5616</v>
      </c>
    </row>
    <row r="67" spans="1:9" x14ac:dyDescent="0.3">
      <c r="B67" s="95" t="s">
        <v>5826</v>
      </c>
      <c r="C67" s="510"/>
      <c r="D67" s="2291"/>
      <c r="E67" s="1353"/>
      <c r="F67" s="1384"/>
      <c r="G67" s="1878">
        <f>G59*G60*G66</f>
        <v>5.9651376409799999E-2</v>
      </c>
      <c r="H67" s="28" t="s">
        <v>5618</v>
      </c>
    </row>
    <row r="68" spans="1:9" x14ac:dyDescent="0.3">
      <c r="B68" s="95" t="s">
        <v>5619</v>
      </c>
      <c r="C68" s="49"/>
      <c r="D68" s="52"/>
      <c r="E68" s="1382" t="s">
        <v>5620</v>
      </c>
      <c r="F68" s="1415"/>
      <c r="G68" s="2288">
        <f>G67</f>
        <v>5.9651376409799999E-2</v>
      </c>
      <c r="H68" s="28" t="s">
        <v>5618</v>
      </c>
    </row>
    <row r="69" spans="1:9" x14ac:dyDescent="0.3">
      <c r="B69" s="2283" t="s">
        <v>5621</v>
      </c>
      <c r="C69" s="1408"/>
      <c r="D69" s="1408"/>
      <c r="E69" s="2284"/>
      <c r="F69" s="1409"/>
      <c r="G69" s="2286"/>
      <c r="H69" s="2289"/>
    </row>
    <row r="70" spans="1:9" x14ac:dyDescent="0.3">
      <c r="B70" s="28" t="s">
        <v>5622</v>
      </c>
      <c r="C70" s="510"/>
      <c r="D70" s="2292"/>
      <c r="E70" s="1353"/>
      <c r="F70" s="1384"/>
      <c r="G70" s="1576">
        <f>UDV.emit_N2O_indirect.ef4</f>
        <v>1.4E-2</v>
      </c>
      <c r="H70" s="95" t="s">
        <v>5623</v>
      </c>
    </row>
    <row r="71" spans="1:9" x14ac:dyDescent="0.3">
      <c r="B71" s="95" t="s">
        <v>5827</v>
      </c>
      <c r="C71" s="816"/>
      <c r="D71" s="2293"/>
      <c r="E71" s="1353"/>
      <c r="F71" s="1384"/>
      <c r="G71" s="1878">
        <f>G59*G63*G70</f>
        <v>0.12526789046057998</v>
      </c>
      <c r="H71" s="28" t="s">
        <v>5618</v>
      </c>
    </row>
    <row r="72" spans="1:9" x14ac:dyDescent="0.3">
      <c r="B72" s="95" t="s">
        <v>5625</v>
      </c>
      <c r="C72" s="49"/>
      <c r="D72" s="52"/>
      <c r="E72" s="1382" t="s">
        <v>5626</v>
      </c>
      <c r="F72" s="1415"/>
      <c r="G72" s="2288">
        <f>G71</f>
        <v>0.12526789046057998</v>
      </c>
      <c r="H72" s="28" t="s">
        <v>5618</v>
      </c>
    </row>
    <row r="73" spans="1:9" x14ac:dyDescent="0.3">
      <c r="B73" s="93"/>
      <c r="F73" s="499"/>
      <c r="G73" s="499"/>
    </row>
    <row r="74" spans="1:9" x14ac:dyDescent="0.3">
      <c r="B74" s="93"/>
      <c r="F74" s="499"/>
      <c r="G74" s="499"/>
    </row>
    <row r="75" spans="1:9" x14ac:dyDescent="0.3">
      <c r="B75" s="93"/>
      <c r="F75" s="499"/>
      <c r="G75" s="499"/>
    </row>
    <row r="76" spans="1:9" x14ac:dyDescent="0.3">
      <c r="B76" s="93"/>
      <c r="F76" s="499"/>
      <c r="G76" s="499"/>
    </row>
    <row r="77" spans="1:9" x14ac:dyDescent="0.3">
      <c r="B77" s="20"/>
      <c r="D77" s="66"/>
      <c r="E77" s="90"/>
      <c r="F77" s="382"/>
      <c r="G77" s="499"/>
      <c r="H77" s="20"/>
    </row>
    <row r="79" spans="1:9" x14ac:dyDescent="0.3">
      <c r="A79" s="1693" t="s">
        <v>5721</v>
      </c>
      <c r="B79" s="1693"/>
      <c r="C79" s="1693"/>
      <c r="D79" s="1693"/>
      <c r="E79" s="1693"/>
      <c r="F79" s="1693"/>
      <c r="G79" s="1693"/>
      <c r="H79" s="1693"/>
      <c r="I79" s="1693"/>
    </row>
    <row r="81" spans="2:8" x14ac:dyDescent="0.3">
      <c r="B81" s="1356" t="s">
        <v>5828</v>
      </c>
      <c r="C81" s="1356"/>
      <c r="D81" s="1356"/>
      <c r="E81" s="1374"/>
      <c r="F81" s="1409" t="s">
        <v>602</v>
      </c>
      <c r="G81" s="1410" t="s">
        <v>5474</v>
      </c>
      <c r="H81" s="1374"/>
    </row>
    <row r="82" spans="2:8" x14ac:dyDescent="0.3">
      <c r="B82" s="49" t="s">
        <v>5829</v>
      </c>
      <c r="C82" s="1293" t="s">
        <v>5830</v>
      </c>
      <c r="D82" s="714" t="s">
        <v>2521</v>
      </c>
      <c r="E82" s="1490"/>
      <c r="F82" s="1384"/>
      <c r="G82" s="1379">
        <f>G21</f>
        <v>28.39</v>
      </c>
      <c r="H82" s="49"/>
    </row>
    <row r="83" spans="2:8" x14ac:dyDescent="0.3">
      <c r="B83" s="49" t="s">
        <v>5831</v>
      </c>
      <c r="C83" s="1614"/>
      <c r="D83" s="648" t="s">
        <v>5790</v>
      </c>
      <c r="E83" s="1490"/>
      <c r="F83" s="1384"/>
      <c r="G83" s="1379">
        <f>G23</f>
        <v>3</v>
      </c>
      <c r="H83" s="49"/>
    </row>
    <row r="84" spans="2:8" x14ac:dyDescent="0.3">
      <c r="B84" s="49" t="s">
        <v>5832</v>
      </c>
      <c r="C84" s="1614"/>
      <c r="D84" s="648" t="s">
        <v>5792</v>
      </c>
      <c r="E84" s="1490"/>
      <c r="F84" s="1384"/>
      <c r="G84" s="1379">
        <f>G24</f>
        <v>9.4633333333333329</v>
      </c>
      <c r="H84" s="49"/>
    </row>
    <row r="85" spans="2:8" x14ac:dyDescent="0.3">
      <c r="B85" s="648" t="s">
        <v>5833</v>
      </c>
      <c r="C85" s="1614"/>
      <c r="D85" s="714" t="s">
        <v>2521</v>
      </c>
      <c r="E85" s="1490"/>
      <c r="F85" s="1384"/>
      <c r="G85" s="1379">
        <f>G20</f>
        <v>28.39</v>
      </c>
      <c r="H85" s="49"/>
    </row>
    <row r="86" spans="2:8" x14ac:dyDescent="0.3">
      <c r="B86" s="49" t="s">
        <v>5834</v>
      </c>
      <c r="C86" s="49"/>
      <c r="D86" s="648" t="s">
        <v>2521</v>
      </c>
      <c r="E86" s="49"/>
      <c r="F86" s="49"/>
      <c r="G86" s="648">
        <f>G21</f>
        <v>28.39</v>
      </c>
      <c r="H86" s="49"/>
    </row>
    <row r="87" spans="2:8" x14ac:dyDescent="0.3">
      <c r="B87" s="1615" t="str">
        <f>B24</f>
        <v>Volume of water per flush</v>
      </c>
      <c r="C87" s="1615"/>
      <c r="D87" s="1616" t="str">
        <f>H24</f>
        <v>m3/flush</v>
      </c>
      <c r="E87" s="1615"/>
      <c r="F87" s="1615"/>
      <c r="G87" s="1616">
        <f>G24</f>
        <v>9.4633333333333329</v>
      </c>
      <c r="H87" s="49"/>
    </row>
    <row r="88" spans="2:8" x14ac:dyDescent="0.3">
      <c r="B88" s="49" t="str">
        <f>B29</f>
        <v>Size of motor(s) needed for pump(s)</v>
      </c>
      <c r="C88" s="49"/>
      <c r="D88" s="1209" t="str">
        <f>H29</f>
        <v>hp/pump</v>
      </c>
      <c r="E88" s="49"/>
      <c r="F88" s="49"/>
      <c r="G88" s="1209">
        <f>G29</f>
        <v>4.9783549783549788</v>
      </c>
      <c r="H88" s="49" t="s">
        <v>5835</v>
      </c>
    </row>
    <row r="89" spans="2:8" x14ac:dyDescent="0.3">
      <c r="B89" s="49" t="str">
        <f>B32</f>
        <v>Number of pumps needed from pond/lagoon</v>
      </c>
      <c r="C89" s="49"/>
      <c r="D89" s="648" t="str">
        <f>H32</f>
        <v>pumps</v>
      </c>
      <c r="E89" s="49"/>
      <c r="F89" s="49"/>
      <c r="G89" s="648">
        <f>G32</f>
        <v>1</v>
      </c>
      <c r="H89" s="49"/>
    </row>
    <row r="90" spans="2:8" x14ac:dyDescent="0.3">
      <c r="B90" s="49" t="str">
        <f>B33</f>
        <v>Operational time for pump/motor</v>
      </c>
      <c r="C90" s="49"/>
      <c r="D90" s="648" t="str">
        <f>H33</f>
        <v>hr/day/pump</v>
      </c>
      <c r="E90" s="49"/>
      <c r="F90" s="49"/>
      <c r="G90" s="648">
        <f>G33</f>
        <v>0.83331606180888895</v>
      </c>
      <c r="H90" s="49"/>
    </row>
    <row r="91" spans="2:8" x14ac:dyDescent="0.3">
      <c r="B91" s="49" t="str">
        <f>B35</f>
        <v>Energy needed for motor(s) for pump(s)</v>
      </c>
      <c r="C91" s="49"/>
      <c r="D91" s="1209" t="str">
        <f>H35</f>
        <v>kWh/day</v>
      </c>
      <c r="E91" s="49"/>
      <c r="F91" s="49"/>
      <c r="G91" s="1209">
        <f>G35</f>
        <v>3.0935680987176215</v>
      </c>
      <c r="H91" s="49"/>
    </row>
    <row r="92" spans="2:8" x14ac:dyDescent="0.3">
      <c r="B92" s="85" t="s">
        <v>5819</v>
      </c>
      <c r="C92" s="49"/>
      <c r="D92" s="49" t="s">
        <v>2340</v>
      </c>
      <c r="E92" s="49"/>
      <c r="F92" s="49"/>
      <c r="G92" s="1209">
        <f>G47</f>
        <v>600</v>
      </c>
      <c r="H92" s="49"/>
    </row>
    <row r="93" spans="2:8" x14ac:dyDescent="0.3">
      <c r="B93" s="510" t="s">
        <v>5820</v>
      </c>
      <c r="C93" s="49"/>
      <c r="D93" s="49" t="s">
        <v>2340</v>
      </c>
      <c r="E93" s="49"/>
      <c r="F93" s="49"/>
      <c r="G93" s="1209">
        <f>G48</f>
        <v>200</v>
      </c>
      <c r="H93" s="49"/>
    </row>
    <row r="94" spans="2:8" x14ac:dyDescent="0.3">
      <c r="B94" s="49" t="str">
        <f>B39</f>
        <v>Transfer channel total length</v>
      </c>
      <c r="C94" s="49"/>
      <c r="D94" s="1360" t="str">
        <f>H39</f>
        <v>m</v>
      </c>
      <c r="E94" s="49"/>
      <c r="F94" s="49"/>
      <c r="G94" s="1360">
        <f>G39</f>
        <v>53.3</v>
      </c>
    </row>
    <row r="97" spans="1:9" x14ac:dyDescent="0.3">
      <c r="G97" s="205"/>
      <c r="H97" s="205"/>
      <c r="I97" s="205"/>
    </row>
    <row r="98" spans="1:9" x14ac:dyDescent="0.3">
      <c r="G98" s="205"/>
      <c r="H98" s="205"/>
      <c r="I98" s="205"/>
    </row>
    <row r="99" spans="1:9" x14ac:dyDescent="0.3">
      <c r="A99" s="1660" t="s">
        <v>1901</v>
      </c>
      <c r="B99" s="1703"/>
      <c r="C99" s="1703"/>
      <c r="D99" s="1703"/>
      <c r="E99" s="1703"/>
      <c r="F99" s="1703"/>
      <c r="G99" s="1703"/>
      <c r="H99" s="1703"/>
    </row>
    <row r="100" spans="1:9" x14ac:dyDescent="0.3">
      <c r="A100" s="1660"/>
      <c r="B100" s="1703"/>
      <c r="C100" s="1703"/>
      <c r="D100" s="1703"/>
      <c r="E100" s="1703"/>
      <c r="F100" s="1703"/>
      <c r="G100" s="1703"/>
      <c r="H100" s="1703"/>
    </row>
    <row r="101" spans="1:9" x14ac:dyDescent="0.3">
      <c r="A101" s="1660"/>
      <c r="B101" s="1702" t="s">
        <v>5747</v>
      </c>
      <c r="C101" s="1702" t="s">
        <v>38</v>
      </c>
      <c r="D101" s="1702"/>
      <c r="E101" s="1702"/>
      <c r="F101" s="1702" t="s">
        <v>602</v>
      </c>
      <c r="G101" s="1702" t="s">
        <v>5474</v>
      </c>
      <c r="H101" s="1702"/>
    </row>
    <row r="102" spans="1:9" x14ac:dyDescent="0.3">
      <c r="B102" s="49"/>
      <c r="C102" s="49"/>
      <c r="D102" s="49"/>
      <c r="E102" s="49"/>
      <c r="F102" s="49"/>
      <c r="G102" s="49"/>
      <c r="H102" s="49"/>
      <c r="I102" s="1631"/>
    </row>
    <row r="103" spans="1:9" x14ac:dyDescent="0.3">
      <c r="B103" s="1668" t="s">
        <v>409</v>
      </c>
      <c r="C103" s="1669"/>
      <c r="D103" s="1670"/>
      <c r="E103" s="1670"/>
      <c r="F103" s="1680"/>
      <c r="G103" s="1671"/>
      <c r="H103" s="1617"/>
      <c r="I103" s="1631"/>
    </row>
    <row r="104" spans="1:9" x14ac:dyDescent="0.3">
      <c r="B104" s="49" t="s">
        <v>5836</v>
      </c>
      <c r="C104" s="510" t="s">
        <v>5769</v>
      </c>
      <c r="D104" s="49"/>
      <c r="E104" s="49"/>
      <c r="F104" s="49"/>
      <c r="G104" s="1209">
        <f>G35*UC.year_to_day/UDV.animal.total</f>
        <v>2.2583047120638637</v>
      </c>
      <c r="H104" s="510"/>
      <c r="I104" s="1631"/>
    </row>
    <row r="105" spans="1:9" x14ac:dyDescent="0.3">
      <c r="B105" s="1668" t="s">
        <v>447</v>
      </c>
      <c r="C105" s="1617"/>
      <c r="D105" s="1670"/>
      <c r="E105" s="1670"/>
      <c r="F105" s="1670"/>
      <c r="G105" s="1671"/>
      <c r="H105" s="1617"/>
      <c r="I105" s="1631"/>
    </row>
    <row r="106" spans="1:9" x14ac:dyDescent="0.3">
      <c r="B106" s="49" t="s">
        <v>5784</v>
      </c>
      <c r="C106" s="49" t="s">
        <v>2268</v>
      </c>
      <c r="D106" s="49"/>
      <c r="E106" s="49"/>
      <c r="F106" s="49"/>
      <c r="G106" s="1360">
        <f>G18</f>
        <v>26.728648992831804</v>
      </c>
      <c r="H106" s="49"/>
    </row>
    <row r="107" spans="1:9" x14ac:dyDescent="0.3">
      <c r="B107" s="1668" t="s">
        <v>415</v>
      </c>
      <c r="C107" s="1617"/>
      <c r="D107" s="1670"/>
      <c r="E107" s="1670"/>
      <c r="F107" s="1680"/>
      <c r="G107" s="1671"/>
      <c r="H107" s="1617"/>
    </row>
    <row r="108" spans="1:9" x14ac:dyDescent="0.3">
      <c r="B108" s="49" t="s">
        <v>5837</v>
      </c>
      <c r="C108" s="18" t="s">
        <v>5838</v>
      </c>
      <c r="D108" s="49"/>
      <c r="E108" s="49"/>
      <c r="F108" s="49"/>
      <c r="G108" s="648">
        <f>G22*UC.year_to_day/UDV.animal.total</f>
        <v>0</v>
      </c>
      <c r="H108" s="18"/>
    </row>
    <row r="109" spans="1:9" x14ac:dyDescent="0.3">
      <c r="B109" s="1668" t="s">
        <v>5271</v>
      </c>
      <c r="C109" s="1617"/>
      <c r="D109" s="1670"/>
      <c r="E109" s="1670"/>
      <c r="F109" s="1680"/>
      <c r="G109" s="1671"/>
      <c r="H109" s="1617"/>
    </row>
    <row r="110" spans="1:9" x14ac:dyDescent="0.3">
      <c r="B110" s="49" t="s">
        <v>5839</v>
      </c>
      <c r="C110" s="49" t="s">
        <v>2385</v>
      </c>
      <c r="D110" s="49"/>
      <c r="E110" s="49"/>
      <c r="F110" s="49"/>
      <c r="G110" s="1209">
        <f>G56</f>
        <v>1.5236605695921037</v>
      </c>
      <c r="H110" s="49"/>
    </row>
    <row r="111" spans="1:9" x14ac:dyDescent="0.3">
      <c r="B111" s="49" t="s">
        <v>5840</v>
      </c>
      <c r="C111" s="49" t="s">
        <v>2385</v>
      </c>
      <c r="D111" s="49"/>
      <c r="E111" s="49"/>
      <c r="F111" s="49"/>
      <c r="G111" s="1209">
        <f>G64</f>
        <v>5.6940985499999996</v>
      </c>
      <c r="H111" s="49"/>
    </row>
    <row r="112" spans="1:9" x14ac:dyDescent="0.3">
      <c r="B112" s="91" t="s">
        <v>5841</v>
      </c>
      <c r="C112" s="49" t="s">
        <v>2385</v>
      </c>
      <c r="D112" s="49"/>
      <c r="E112" s="49"/>
      <c r="F112" s="49"/>
      <c r="G112" s="1209">
        <f>G68</f>
        <v>5.9651376409799999E-2</v>
      </c>
      <c r="H112" s="49"/>
    </row>
    <row r="113" spans="2:8" x14ac:dyDescent="0.3">
      <c r="B113" s="49" t="s">
        <v>5842</v>
      </c>
      <c r="C113" s="49" t="s">
        <v>2385</v>
      </c>
      <c r="D113" s="49"/>
      <c r="E113" s="49"/>
      <c r="F113" s="49"/>
      <c r="G113" s="1209">
        <f>G72</f>
        <v>0.12526789046057998</v>
      </c>
      <c r="H113" s="49"/>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D136-5F67-4F03-AC37-9FC15D185FF1}">
  <sheetPr>
    <tabColor rgb="FF92D050"/>
  </sheetPr>
  <dimension ref="A2:K126"/>
  <sheetViews>
    <sheetView workbookViewId="0">
      <selection sqref="A1:C1"/>
    </sheetView>
  </sheetViews>
  <sheetFormatPr defaultRowHeight="14.4" x14ac:dyDescent="0.3"/>
  <cols>
    <col min="2" max="2" width="73.44140625" customWidth="1"/>
    <col min="7" max="8" width="13.6640625" customWidth="1"/>
    <col min="9" max="10" width="15.109375" customWidth="1"/>
    <col min="11" max="11" width="25.5546875" customWidth="1"/>
  </cols>
  <sheetData>
    <row r="2" spans="2:9" x14ac:dyDescent="0.3">
      <c r="B2" s="1356" t="s">
        <v>5843</v>
      </c>
      <c r="C2" s="30"/>
      <c r="D2" s="30"/>
      <c r="E2" s="30"/>
      <c r="F2" s="1356" t="s">
        <v>602</v>
      </c>
      <c r="G2" s="1356" t="s">
        <v>5844</v>
      </c>
      <c r="H2" s="1356">
        <v>13</v>
      </c>
      <c r="I2" s="1356"/>
    </row>
    <row r="3" spans="2:9" x14ac:dyDescent="0.3">
      <c r="B3" s="49" t="s">
        <v>5771</v>
      </c>
      <c r="C3" s="49"/>
      <c r="D3" s="49"/>
      <c r="E3" s="49"/>
      <c r="F3" s="49"/>
      <c r="G3" s="1364">
        <f>PT.waste_generation!G18</f>
        <v>2893.7344524219839</v>
      </c>
      <c r="H3" s="1364">
        <f>PT.waste_generation!G18</f>
        <v>2893.7344524219839</v>
      </c>
      <c r="I3" s="49" t="s">
        <v>2519</v>
      </c>
    </row>
    <row r="4" spans="2:9" x14ac:dyDescent="0.3">
      <c r="B4" s="49" t="s">
        <v>5845</v>
      </c>
      <c r="C4" s="49"/>
      <c r="D4" s="49"/>
      <c r="E4" s="49"/>
      <c r="F4" s="49"/>
      <c r="G4" s="1428">
        <f>PT.waste_generation!G26</f>
        <v>0</v>
      </c>
      <c r="H4" s="1428">
        <f>PT.waste_generation!G26</f>
        <v>0</v>
      </c>
      <c r="I4" s="49" t="s">
        <v>2519</v>
      </c>
    </row>
    <row r="5" spans="2:9" x14ac:dyDescent="0.3">
      <c r="B5" s="49" t="s">
        <v>5846</v>
      </c>
      <c r="C5" s="49"/>
      <c r="D5" s="49"/>
      <c r="E5" s="49"/>
      <c r="F5" s="49"/>
      <c r="G5" s="1371">
        <f>PT.waste_generation!G29</f>
        <v>0</v>
      </c>
      <c r="H5" s="1371">
        <f>PT.waste_generation!G29</f>
        <v>0</v>
      </c>
      <c r="I5" s="49" t="s">
        <v>2519</v>
      </c>
    </row>
    <row r="6" spans="2:9" x14ac:dyDescent="0.3">
      <c r="B6" s="1351" t="s">
        <v>5847</v>
      </c>
      <c r="C6" s="49"/>
      <c r="D6" s="49"/>
      <c r="E6" s="49"/>
      <c r="F6" s="49"/>
      <c r="G6" s="1428">
        <f>PT.waste_generation!G30</f>
        <v>0</v>
      </c>
      <c r="H6" s="1428">
        <f>PT.waste_generation!G30</f>
        <v>0</v>
      </c>
      <c r="I6" s="49" t="s">
        <v>2519</v>
      </c>
    </row>
    <row r="7" spans="2:9" x14ac:dyDescent="0.3">
      <c r="B7" s="1351" t="s">
        <v>5848</v>
      </c>
      <c r="C7" s="49"/>
      <c r="D7" s="49"/>
      <c r="E7" s="49"/>
      <c r="F7" s="49"/>
      <c r="G7" s="1428">
        <f>PT.waste_generation!G6</f>
        <v>221.00449999999995</v>
      </c>
      <c r="H7" s="1428">
        <f>PT.waste_generation!G6</f>
        <v>221.00449999999995</v>
      </c>
      <c r="I7" s="49" t="s">
        <v>2409</v>
      </c>
    </row>
    <row r="8" spans="2:9" x14ac:dyDescent="0.3">
      <c r="B8" s="1351" t="s">
        <v>5774</v>
      </c>
      <c r="C8" s="49"/>
      <c r="D8" s="49"/>
      <c r="E8" s="49"/>
      <c r="F8" s="49"/>
      <c r="G8" s="1364">
        <f>PT.waste_generation!G7</f>
        <v>26.000450000000001</v>
      </c>
      <c r="H8" s="1428">
        <f>PT.waste_generation!G7</f>
        <v>26.000450000000001</v>
      </c>
      <c r="I8" s="49" t="s">
        <v>2409</v>
      </c>
    </row>
    <row r="9" spans="2:9" x14ac:dyDescent="0.3">
      <c r="B9" s="1356" t="s">
        <v>5775</v>
      </c>
      <c r="C9" s="30"/>
      <c r="D9" s="30"/>
      <c r="E9" s="30"/>
      <c r="F9" s="1356"/>
      <c r="G9" s="1356"/>
      <c r="H9" s="1356"/>
      <c r="I9" s="1356"/>
    </row>
    <row r="10" spans="2:9" x14ac:dyDescent="0.3">
      <c r="B10" s="49" t="s">
        <v>5776</v>
      </c>
      <c r="C10" s="49"/>
      <c r="D10" s="49"/>
      <c r="E10" s="49"/>
      <c r="F10" s="49"/>
      <c r="G10" s="1359">
        <f>UDV.shallow_pit.scrape_waste_storage</f>
        <v>7</v>
      </c>
      <c r="H10" s="1359">
        <f>UDV.shallow_pit.scrape_compost_storage</f>
        <v>21</v>
      </c>
      <c r="I10" s="49" t="s">
        <v>2452</v>
      </c>
    </row>
    <row r="11" spans="2:9" x14ac:dyDescent="0.3">
      <c r="B11" s="49" t="s">
        <v>5849</v>
      </c>
      <c r="C11" s="49"/>
      <c r="D11" s="49"/>
      <c r="E11" s="49"/>
      <c r="F11" s="49"/>
      <c r="G11" s="1359">
        <f>UDV.shallow_pit.scrape_liquids_storage</f>
        <v>7</v>
      </c>
      <c r="H11" s="1359">
        <f>UDV.shallow_pit.scrape_liquids_storage</f>
        <v>7</v>
      </c>
      <c r="I11" s="49" t="s">
        <v>2452</v>
      </c>
    </row>
    <row r="12" spans="2:9" x14ac:dyDescent="0.3">
      <c r="B12" s="49" t="s">
        <v>5778</v>
      </c>
      <c r="C12" s="49"/>
      <c r="D12" s="49"/>
      <c r="E12" s="49"/>
      <c r="F12" s="49"/>
      <c r="G12" s="1424">
        <f>UDV.shallow_pit.length</f>
        <v>50.240000000000009</v>
      </c>
      <c r="H12" s="1424">
        <f>UDV.shallow_pit.length</f>
        <v>50.240000000000009</v>
      </c>
      <c r="I12" s="49" t="s">
        <v>2337</v>
      </c>
    </row>
    <row r="13" spans="2:9" x14ac:dyDescent="0.3">
      <c r="B13" s="49" t="s">
        <v>5779</v>
      </c>
      <c r="C13" s="49"/>
      <c r="D13" s="49"/>
      <c r="E13" s="49"/>
      <c r="F13" s="49"/>
      <c r="G13" s="1346">
        <f>UDV.shallow_pit.depth</f>
        <v>1.8200000000000003</v>
      </c>
      <c r="H13" s="1346">
        <f>UDV.shallow_pit.depth</f>
        <v>1.8200000000000003</v>
      </c>
      <c r="I13" s="49" t="s">
        <v>2337</v>
      </c>
    </row>
    <row r="14" spans="2:9" x14ac:dyDescent="0.3">
      <c r="B14" s="49" t="s">
        <v>5780</v>
      </c>
      <c r="C14" s="49"/>
      <c r="D14" s="49"/>
      <c r="E14" s="49"/>
      <c r="F14" s="49"/>
      <c r="G14" s="648">
        <f>G3*G10*UC.L_to_m3</f>
        <v>20.256141166953888</v>
      </c>
      <c r="H14" s="648">
        <f>H3*H10*UC.L_to_m3</f>
        <v>60.768423500861658</v>
      </c>
      <c r="I14" s="49" t="s">
        <v>2478</v>
      </c>
    </row>
    <row r="15" spans="2:9" x14ac:dyDescent="0.3">
      <c r="B15" s="49" t="s">
        <v>5781</v>
      </c>
      <c r="C15" s="49"/>
      <c r="D15" s="49"/>
      <c r="E15" s="49"/>
      <c r="F15" s="49"/>
      <c r="G15" s="648">
        <f>G4*G11*UC.L_to_m3</f>
        <v>0</v>
      </c>
      <c r="H15" s="648">
        <f>H4*H11*UC.L_to_m3</f>
        <v>0</v>
      </c>
      <c r="I15" s="49" t="s">
        <v>2478</v>
      </c>
    </row>
    <row r="16" spans="2:9" x14ac:dyDescent="0.3">
      <c r="B16" s="61" t="s">
        <v>5782</v>
      </c>
      <c r="C16" s="49"/>
      <c r="D16" s="49"/>
      <c r="E16" s="49"/>
      <c r="F16" s="49"/>
      <c r="G16" s="648">
        <f>G14+G15</f>
        <v>20.256141166953888</v>
      </c>
      <c r="H16" s="648">
        <f>H14+H15</f>
        <v>60.768423500861658</v>
      </c>
      <c r="I16" s="49" t="s">
        <v>2478</v>
      </c>
    </row>
    <row r="17" spans="2:11" x14ac:dyDescent="0.3">
      <c r="B17" s="49" t="s">
        <v>5783</v>
      </c>
      <c r="C17" s="49"/>
      <c r="D17" s="49"/>
      <c r="E17" s="49"/>
      <c r="F17" s="49"/>
      <c r="G17" s="1360">
        <f>G16/G12/G13</f>
        <v>0.22153160616900286</v>
      </c>
      <c r="H17" s="1360">
        <f>H16/H12/H13</f>
        <v>0.66459481850700852</v>
      </c>
      <c r="I17" s="49" t="s">
        <v>2337</v>
      </c>
    </row>
    <row r="18" spans="2:11" x14ac:dyDescent="0.3">
      <c r="B18" s="49" t="s">
        <v>5784</v>
      </c>
      <c r="C18" s="1089" t="s">
        <v>5785</v>
      </c>
      <c r="D18" s="1089"/>
      <c r="E18" s="1089"/>
      <c r="F18" s="49"/>
      <c r="G18" s="1360">
        <f>G12*G17</f>
        <v>11.129747893930706</v>
      </c>
      <c r="H18" s="1360">
        <f>H12*H17</f>
        <v>33.389243681792117</v>
      </c>
      <c r="I18" s="49" t="s">
        <v>2268</v>
      </c>
    </row>
    <row r="19" spans="2:11" x14ac:dyDescent="0.3">
      <c r="B19" s="1405" t="s">
        <v>5850</v>
      </c>
      <c r="C19" s="1406"/>
      <c r="D19" s="1407"/>
      <c r="E19" s="1408"/>
      <c r="F19" s="1409"/>
      <c r="G19" s="1410"/>
      <c r="H19" s="1410"/>
      <c r="I19" s="1411"/>
      <c r="J19" s="1031"/>
      <c r="K19" t="s">
        <v>5851</v>
      </c>
    </row>
    <row r="20" spans="2:11" x14ac:dyDescent="0.3">
      <c r="B20" s="1412" t="s">
        <v>5788</v>
      </c>
      <c r="C20" s="18"/>
      <c r="D20" s="52"/>
      <c r="E20" s="510"/>
      <c r="F20" s="1384"/>
      <c r="G20" s="1379">
        <f>G5*UC.L_to_m3</f>
        <v>0</v>
      </c>
      <c r="H20" s="1379"/>
      <c r="I20" s="18" t="s">
        <v>2521</v>
      </c>
      <c r="J20" s="1031"/>
    </row>
    <row r="21" spans="2:11" x14ac:dyDescent="0.3">
      <c r="B21" s="1412" t="s">
        <v>5141</v>
      </c>
      <c r="C21" s="18"/>
      <c r="D21" s="52"/>
      <c r="E21" s="510"/>
      <c r="F21" s="1384"/>
      <c r="G21" s="1379">
        <f>G6*UC.L_to_m3</f>
        <v>0</v>
      </c>
      <c r="H21" s="1379"/>
      <c r="I21" s="18" t="s">
        <v>2521</v>
      </c>
      <c r="J21" s="1031"/>
    </row>
    <row r="22" spans="2:11" x14ac:dyDescent="0.3">
      <c r="B22" s="1412" t="s">
        <v>5499</v>
      </c>
      <c r="C22" s="18"/>
      <c r="D22" s="52"/>
      <c r="E22" s="510"/>
      <c r="F22" s="1384"/>
      <c r="G22" s="1379">
        <f>G4*UC.L_to_m3</f>
        <v>0</v>
      </c>
      <c r="H22" s="1379"/>
      <c r="I22" s="18" t="s">
        <v>2521</v>
      </c>
      <c r="J22" s="1031"/>
    </row>
    <row r="23" spans="2:11" x14ac:dyDescent="0.3">
      <c r="B23" s="1412" t="s">
        <v>5852</v>
      </c>
      <c r="C23" s="48"/>
      <c r="D23" s="52"/>
      <c r="E23" s="18"/>
      <c r="F23" s="1384"/>
      <c r="G23" s="1378">
        <f>UDV.flush_waste.tank_flushes</f>
        <v>3</v>
      </c>
      <c r="H23" s="1378"/>
      <c r="I23" s="18" t="s">
        <v>5790</v>
      </c>
      <c r="J23" s="1635"/>
      <c r="K23" s="1632"/>
    </row>
    <row r="24" spans="2:11" x14ac:dyDescent="0.3">
      <c r="B24" s="666" t="s">
        <v>5853</v>
      </c>
      <c r="C24" s="49"/>
      <c r="D24" s="52"/>
      <c r="E24" s="510"/>
      <c r="F24" s="1384"/>
      <c r="G24" s="1395">
        <f>G22/G23</f>
        <v>0</v>
      </c>
      <c r="H24" s="1395"/>
      <c r="I24" s="18" t="s">
        <v>5792</v>
      </c>
      <c r="J24" s="1636"/>
      <c r="K24" s="20"/>
    </row>
    <row r="25" spans="2:11" x14ac:dyDescent="0.3">
      <c r="B25" s="85" t="s">
        <v>5854</v>
      </c>
      <c r="C25" s="49"/>
      <c r="D25" s="52"/>
      <c r="E25" s="510"/>
      <c r="F25" s="1384"/>
      <c r="G25" s="1413">
        <f>UDV.flush_waste.tank_volume/UC.m3_to_gal</f>
        <v>75.708235782640628</v>
      </c>
      <c r="H25" s="1413"/>
      <c r="I25" s="18" t="s">
        <v>2478</v>
      </c>
      <c r="J25" s="1637"/>
      <c r="K25" s="20"/>
    </row>
    <row r="26" spans="2:11" x14ac:dyDescent="0.3">
      <c r="B26" s="85" t="s">
        <v>5855</v>
      </c>
      <c r="C26" s="49"/>
      <c r="D26" s="52"/>
      <c r="E26" s="510"/>
      <c r="F26" s="1384"/>
      <c r="G26" s="1380">
        <f>ROUNDUP(G24/G25,0.1)</f>
        <v>0</v>
      </c>
      <c r="H26" s="1380"/>
      <c r="I26" s="18" t="s">
        <v>5856</v>
      </c>
      <c r="J26" s="1638"/>
      <c r="K26" s="1611"/>
    </row>
    <row r="27" spans="2:11" x14ac:dyDescent="0.3">
      <c r="B27" s="1405" t="s">
        <v>5796</v>
      </c>
      <c r="C27" s="1406"/>
      <c r="D27" s="1407"/>
      <c r="E27" s="1408"/>
      <c r="F27" s="1409"/>
      <c r="G27" s="1410"/>
      <c r="H27" s="1410"/>
      <c r="I27" s="1411"/>
      <c r="J27" s="1638"/>
      <c r="K27" s="1611"/>
    </row>
    <row r="28" spans="2:11" x14ac:dyDescent="0.3">
      <c r="B28" s="666" t="s">
        <v>5797</v>
      </c>
      <c r="C28" s="49"/>
      <c r="D28" s="52"/>
      <c r="E28" s="510"/>
      <c r="F28" s="1384"/>
      <c r="G28" s="1414">
        <f>(UDV.storage_pond.recycle_pump_flowrate*UDV.storage_pond.recycle_pump_headloss)/(UC.pump_US*UDV.storage_pond.pump_and_motor_efficiency)</f>
        <v>4.9783549783549788</v>
      </c>
      <c r="H28" s="1414"/>
      <c r="I28" s="18" t="s">
        <v>5798</v>
      </c>
      <c r="J28" s="1638"/>
      <c r="K28" s="1633"/>
    </row>
    <row r="29" spans="2:11" x14ac:dyDescent="0.3">
      <c r="B29" s="18" t="s">
        <v>5799</v>
      </c>
      <c r="C29" s="49"/>
      <c r="D29" s="52"/>
      <c r="E29" s="510"/>
      <c r="F29" s="1384"/>
      <c r="G29" s="1393">
        <f>UDV.flush_waste.max_pump_time</f>
        <v>12</v>
      </c>
      <c r="H29" s="1393"/>
      <c r="I29" s="18" t="s">
        <v>2471</v>
      </c>
      <c r="J29" s="1638"/>
      <c r="K29" s="1633"/>
    </row>
    <row r="30" spans="2:11" x14ac:dyDescent="0.3">
      <c r="B30" s="18" t="s">
        <v>5800</v>
      </c>
      <c r="C30" s="49"/>
      <c r="D30" s="52"/>
      <c r="E30" s="510"/>
      <c r="F30" s="1384"/>
      <c r="G30" s="1414">
        <f>UDV.storage_pond.recycle_pump_flowrate*UC.hour_to_min/UC.m3_to_gal</f>
        <v>34.06870610218828</v>
      </c>
      <c r="H30" s="1414"/>
      <c r="I30" s="18" t="s">
        <v>5801</v>
      </c>
      <c r="J30" s="1638"/>
      <c r="K30" s="1633"/>
    </row>
    <row r="31" spans="2:11" x14ac:dyDescent="0.3">
      <c r="B31" s="49" t="s">
        <v>5857</v>
      </c>
      <c r="C31" s="49"/>
      <c r="D31" s="49"/>
      <c r="E31" s="49"/>
      <c r="F31" s="49"/>
      <c r="G31" s="1346">
        <f>UDV.handling_manure.distance_pump_to_barn</f>
        <v>800</v>
      </c>
      <c r="H31" s="1346"/>
      <c r="I31" s="49" t="s">
        <v>2340</v>
      </c>
      <c r="J31" s="1638"/>
      <c r="K31" s="1633"/>
    </row>
    <row r="32" spans="2:11" x14ac:dyDescent="0.3">
      <c r="B32" s="1412" t="s">
        <v>5802</v>
      </c>
      <c r="C32" s="49"/>
      <c r="D32" s="52"/>
      <c r="E32" s="510"/>
      <c r="F32" s="1384"/>
      <c r="G32" s="1379">
        <f>ROUNDUP(G22/G29/G30,0.1)</f>
        <v>0</v>
      </c>
      <c r="H32" s="1379"/>
      <c r="I32" s="18" t="s">
        <v>5803</v>
      </c>
      <c r="J32" s="1031"/>
      <c r="K32" s="1633"/>
    </row>
    <row r="33" spans="2:11" x14ac:dyDescent="0.3">
      <c r="B33" s="1412" t="s">
        <v>5804</v>
      </c>
      <c r="C33" s="49"/>
      <c r="D33" s="52"/>
      <c r="E33" s="510"/>
      <c r="F33" s="1384"/>
      <c r="G33" s="1380">
        <f>IF(G32=0,0,G22/G30/G32)</f>
        <v>0</v>
      </c>
      <c r="H33" s="1380"/>
      <c r="I33" s="18" t="s">
        <v>5805</v>
      </c>
      <c r="J33" s="1639"/>
      <c r="K33" s="1633"/>
    </row>
    <row r="34" spans="2:11" x14ac:dyDescent="0.3">
      <c r="B34" s="510" t="s">
        <v>5806</v>
      </c>
      <c r="C34" s="49"/>
      <c r="D34" s="52"/>
      <c r="E34" s="510"/>
      <c r="F34" s="1384"/>
      <c r="G34" s="1380">
        <f>G28*G32*UC.hp_to_kW</f>
        <v>0</v>
      </c>
      <c r="H34" s="1380"/>
      <c r="I34" s="18" t="s">
        <v>2548</v>
      </c>
      <c r="J34" s="1640"/>
      <c r="K34" s="1632"/>
    </row>
    <row r="35" spans="2:11" x14ac:dyDescent="0.3">
      <c r="B35" s="666" t="s">
        <v>5808</v>
      </c>
      <c r="C35" s="1385" t="s">
        <v>5551</v>
      </c>
      <c r="D35" s="1416"/>
      <c r="E35" s="49"/>
      <c r="F35" s="49"/>
      <c r="G35" s="1380">
        <f>G33*G34</f>
        <v>0</v>
      </c>
      <c r="H35" s="1380"/>
      <c r="I35" s="18" t="s">
        <v>5809</v>
      </c>
    </row>
    <row r="36" spans="2:11" x14ac:dyDescent="0.3">
      <c r="B36" s="1405" t="s">
        <v>5793</v>
      </c>
      <c r="C36" s="1406"/>
      <c r="D36" s="1407"/>
      <c r="E36" s="1408"/>
      <c r="F36" s="1409"/>
      <c r="G36" s="1410"/>
      <c r="H36" s="1411"/>
      <c r="I36" s="1411"/>
    </row>
    <row r="37" spans="2:11" x14ac:dyDescent="0.3">
      <c r="B37" s="18" t="s">
        <v>5794</v>
      </c>
      <c r="C37" s="49"/>
      <c r="D37" s="52"/>
      <c r="E37" s="510"/>
      <c r="F37" s="1384"/>
      <c r="G37" s="1413">
        <f>UDV.shallow_pit.scrape_N_remaining</f>
        <v>0.79936350600000006</v>
      </c>
      <c r="H37" s="1413">
        <f>UDV.shallow_pit.scrape_N_remaining</f>
        <v>0.79936350600000006</v>
      </c>
      <c r="I37" s="18" t="s">
        <v>1694</v>
      </c>
    </row>
    <row r="38" spans="2:11" x14ac:dyDescent="0.3">
      <c r="B38" s="18" t="s">
        <v>5795</v>
      </c>
      <c r="C38" s="49"/>
      <c r="D38" s="52"/>
      <c r="E38" s="510"/>
      <c r="F38" s="1384"/>
      <c r="G38" s="1395">
        <f>G8*G37</f>
        <v>20.783810869577703</v>
      </c>
      <c r="H38" s="1395">
        <f>H8*H37</f>
        <v>20.783810869577703</v>
      </c>
      <c r="I38" s="49" t="s">
        <v>2409</v>
      </c>
    </row>
    <row r="39" spans="2:11" x14ac:dyDescent="0.3">
      <c r="B39" s="1387" t="s">
        <v>5858</v>
      </c>
      <c r="C39" s="353"/>
      <c r="D39" s="353"/>
      <c r="E39" s="353"/>
      <c r="F39" s="1777" t="s">
        <v>602</v>
      </c>
      <c r="G39" s="1447" t="str">
        <f>G2</f>
        <v>All except 13</v>
      </c>
      <c r="H39" s="1447">
        <f>H2</f>
        <v>13</v>
      </c>
      <c r="I39" s="1389"/>
    </row>
    <row r="40" spans="2:11" x14ac:dyDescent="0.3">
      <c r="B40" s="49" t="s">
        <v>5859</v>
      </c>
      <c r="C40" s="49"/>
      <c r="D40" s="49"/>
      <c r="E40" s="49"/>
      <c r="F40" s="1384"/>
      <c r="G40" s="1378">
        <f>UDV.animal.total</f>
        <v>500</v>
      </c>
      <c r="H40" s="1378">
        <f>UDV.animal.total</f>
        <v>500</v>
      </c>
      <c r="I40" s="510" t="s">
        <v>2329</v>
      </c>
    </row>
    <row r="41" spans="2:11" x14ac:dyDescent="0.3">
      <c r="B41" s="1392" t="s">
        <v>5860</v>
      </c>
      <c r="C41" s="1350"/>
      <c r="D41" s="342"/>
      <c r="E41" s="342"/>
      <c r="F41" s="1390"/>
      <c r="G41" s="1391">
        <f>UDV.scrape_auto.scrape_per_day</f>
        <v>12</v>
      </c>
      <c r="H41" s="1391">
        <f>UDV.scrape_auto.scrape_per_day</f>
        <v>12</v>
      </c>
      <c r="I41" s="1351" t="s">
        <v>5861</v>
      </c>
    </row>
    <row r="42" spans="2:11" x14ac:dyDescent="0.3">
      <c r="B42" s="602" t="s">
        <v>5862</v>
      </c>
      <c r="C42" s="1350"/>
      <c r="D42" s="342"/>
      <c r="E42" s="342"/>
      <c r="F42" s="1390"/>
      <c r="G42" s="1355">
        <f>UDV.scrape_auto.size_motor</f>
        <v>1.5</v>
      </c>
      <c r="H42" s="1355">
        <f>UDV.scrape_auto.size_motor</f>
        <v>1.5</v>
      </c>
      <c r="I42" s="510" t="s">
        <v>971</v>
      </c>
    </row>
    <row r="43" spans="2:11" x14ac:dyDescent="0.3">
      <c r="B43" s="602" t="s">
        <v>2036</v>
      </c>
      <c r="C43" s="1350"/>
      <c r="D43" s="342"/>
      <c r="E43" s="342"/>
      <c r="F43" s="1390"/>
      <c r="G43" s="1355">
        <f>UDV.scrape_auto.speed</f>
        <v>2.1</v>
      </c>
      <c r="H43" s="1355">
        <f>UDV.scrape_auto.speed</f>
        <v>2.1</v>
      </c>
      <c r="I43" s="1351" t="s">
        <v>2348</v>
      </c>
    </row>
    <row r="44" spans="2:11" x14ac:dyDescent="0.3">
      <c r="B44" s="49" t="s">
        <v>5863</v>
      </c>
      <c r="C44" s="76"/>
      <c r="D44" s="76"/>
      <c r="E44" s="76"/>
      <c r="F44" s="1384"/>
      <c r="G44" s="1378">
        <f>UDV.scrape_auto.length_per_head</f>
        <v>0.23</v>
      </c>
      <c r="H44" s="1378">
        <f>UDV.scrape_auto.length_per_head</f>
        <v>0.23</v>
      </c>
      <c r="I44" s="510" t="s">
        <v>2352</v>
      </c>
    </row>
    <row r="45" spans="2:11" x14ac:dyDescent="0.3">
      <c r="B45" s="49" t="s">
        <v>5864</v>
      </c>
      <c r="C45" s="49"/>
      <c r="D45" s="49"/>
      <c r="E45" s="49"/>
      <c r="F45" s="49"/>
      <c r="G45" s="1359">
        <f>UDV.scrape_auto.length_per_driver</f>
        <v>65</v>
      </c>
      <c r="H45" s="1359">
        <f>UDV.scrape_auto.length_per_driver</f>
        <v>65</v>
      </c>
      <c r="I45" s="49" t="s">
        <v>5865</v>
      </c>
    </row>
    <row r="46" spans="2:11" x14ac:dyDescent="0.3">
      <c r="B46" s="49" t="s">
        <v>5866</v>
      </c>
      <c r="C46" s="49"/>
      <c r="D46" s="49"/>
      <c r="E46" s="49"/>
      <c r="F46" s="49"/>
      <c r="G46" s="1359">
        <f>UDV.scrape_auto.scrapers_per_driver</f>
        <v>1</v>
      </c>
      <c r="H46" s="1359">
        <f>UDV.scrape_auto.scrapers_per_driver</f>
        <v>1</v>
      </c>
      <c r="I46" s="49" t="s">
        <v>2442</v>
      </c>
    </row>
    <row r="47" spans="2:11" x14ac:dyDescent="0.3">
      <c r="B47" s="61" t="s">
        <v>5867</v>
      </c>
      <c r="C47" s="76"/>
      <c r="D47" s="76"/>
      <c r="E47" s="76"/>
      <c r="F47" s="1384"/>
      <c r="G47" s="1384">
        <f>G40*G44</f>
        <v>115</v>
      </c>
      <c r="H47" s="1384">
        <f>H40*H44</f>
        <v>115</v>
      </c>
      <c r="I47" s="510" t="s">
        <v>2337</v>
      </c>
    </row>
    <row r="48" spans="2:11" x14ac:dyDescent="0.3">
      <c r="B48" s="61" t="s">
        <v>5868</v>
      </c>
      <c r="C48" s="49"/>
      <c r="D48" s="49"/>
      <c r="E48" s="49"/>
      <c r="F48" s="49"/>
      <c r="G48" s="49">
        <f>ROUNDUP(G47/G45,0)</f>
        <v>2</v>
      </c>
      <c r="H48" s="49">
        <f>ROUNDUP(H47/H45,0)</f>
        <v>2</v>
      </c>
      <c r="I48" s="49" t="s">
        <v>2442</v>
      </c>
    </row>
    <row r="49" spans="2:9" x14ac:dyDescent="0.3">
      <c r="B49" s="666" t="s">
        <v>5869</v>
      </c>
      <c r="C49" s="49"/>
      <c r="D49" s="52"/>
      <c r="E49" s="52"/>
      <c r="F49" s="1384"/>
      <c r="G49" s="1379">
        <f>G46*G48</f>
        <v>2</v>
      </c>
      <c r="H49" s="1379">
        <f>H46*H48</f>
        <v>2</v>
      </c>
      <c r="I49" s="510" t="s">
        <v>2442</v>
      </c>
    </row>
    <row r="50" spans="2:9" x14ac:dyDescent="0.3">
      <c r="B50" s="602" t="s">
        <v>5870</v>
      </c>
      <c r="C50" s="1347"/>
      <c r="D50" s="1348"/>
      <c r="E50" s="1349"/>
      <c r="F50" s="1390"/>
      <c r="G50" s="1394">
        <f>G42*UC.hp_to_kW</f>
        <v>1.118549805</v>
      </c>
      <c r="H50" s="1394">
        <f>H42*UC.hp_to_kW</f>
        <v>1.118549805</v>
      </c>
      <c r="I50" s="1353" t="s">
        <v>2548</v>
      </c>
    </row>
    <row r="51" spans="2:9" x14ac:dyDescent="0.3">
      <c r="B51" s="602" t="s">
        <v>5871</v>
      </c>
      <c r="C51" s="49"/>
      <c r="D51" s="52"/>
      <c r="E51" s="52"/>
      <c r="F51" s="1384"/>
      <c r="G51" s="1380">
        <f>G47*UC.min_to_hour/G43</f>
        <v>0.91269841269841268</v>
      </c>
      <c r="H51" s="1380">
        <f>H47*UC.min_to_hour/H43</f>
        <v>0.91269841269841268</v>
      </c>
      <c r="I51" s="510" t="s">
        <v>2462</v>
      </c>
    </row>
    <row r="52" spans="2:9" x14ac:dyDescent="0.3">
      <c r="B52" s="1392" t="s">
        <v>5872</v>
      </c>
      <c r="C52" s="49"/>
      <c r="D52" s="52"/>
      <c r="E52" s="52"/>
      <c r="F52" s="1384"/>
      <c r="G52" s="1395">
        <f>G41*G51</f>
        <v>10.952380952380953</v>
      </c>
      <c r="H52" s="1395">
        <f>H41*H51</f>
        <v>10.952380952380953</v>
      </c>
      <c r="I52" s="510" t="s">
        <v>2471</v>
      </c>
    </row>
    <row r="53" spans="2:9" x14ac:dyDescent="0.3">
      <c r="B53" s="1392" t="s">
        <v>5873</v>
      </c>
      <c r="C53" s="1089" t="s">
        <v>5874</v>
      </c>
      <c r="D53" s="1381"/>
      <c r="E53" s="1396"/>
      <c r="F53" s="1384"/>
      <c r="G53" s="1395">
        <f>G50*G52</f>
        <v>12.250783578571429</v>
      </c>
      <c r="H53" s="1395">
        <f>H50*H52</f>
        <v>12.250783578571429</v>
      </c>
      <c r="I53" s="510" t="s">
        <v>5809</v>
      </c>
    </row>
    <row r="54" spans="2:9" x14ac:dyDescent="0.3">
      <c r="B54" s="1387" t="s">
        <v>5875</v>
      </c>
      <c r="C54" s="353"/>
      <c r="D54" s="353"/>
      <c r="E54" s="353"/>
      <c r="F54" s="1388"/>
      <c r="G54" s="1388"/>
      <c r="H54" s="1388"/>
      <c r="I54" s="1389"/>
    </row>
    <row r="55" spans="2:9" x14ac:dyDescent="0.3">
      <c r="B55" s="49" t="s">
        <v>5876</v>
      </c>
      <c r="C55" s="49"/>
      <c r="D55" s="52"/>
      <c r="E55" s="52"/>
      <c r="F55" s="48"/>
      <c r="G55" s="1346">
        <f>UDV.scrape_auto.tc_length_per_motor</f>
        <v>200.00000000000003</v>
      </c>
      <c r="H55" s="1346">
        <f>UDV.scrape_auto.tc_length_per_motor</f>
        <v>200.00000000000003</v>
      </c>
      <c r="I55" s="18" t="s">
        <v>5877</v>
      </c>
    </row>
    <row r="56" spans="2:9" x14ac:dyDescent="0.3">
      <c r="B56" s="602" t="s">
        <v>5878</v>
      </c>
      <c r="C56" s="49"/>
      <c r="D56" s="52"/>
      <c r="E56" s="52"/>
      <c r="F56" s="1397"/>
      <c r="G56" s="1354">
        <f>UDV.scrape_auto.tc_length_per_driver</f>
        <v>10.700000000000001</v>
      </c>
      <c r="H56" s="1354">
        <f>UDV.scrape_auto.tc_length_per_driver</f>
        <v>10.700000000000001</v>
      </c>
      <c r="I56" s="18" t="s">
        <v>5879</v>
      </c>
    </row>
    <row r="57" spans="2:9" x14ac:dyDescent="0.3">
      <c r="B57" s="602" t="s">
        <v>2047</v>
      </c>
      <c r="C57" s="49"/>
      <c r="D57" s="52"/>
      <c r="E57" s="52"/>
      <c r="F57" s="1397"/>
      <c r="G57" s="1644">
        <f>UDV.scrape_auto.tc_scrape_per_day</f>
        <v>3</v>
      </c>
      <c r="H57" s="1644">
        <f>UDV.scrape_auto.tc_scrape_per_day</f>
        <v>3</v>
      </c>
      <c r="I57" s="18" t="s">
        <v>5880</v>
      </c>
    </row>
    <row r="58" spans="2:9" x14ac:dyDescent="0.3">
      <c r="B58" s="1376" t="s">
        <v>5811</v>
      </c>
      <c r="C58" s="49"/>
      <c r="D58" s="52"/>
      <c r="E58" s="52"/>
      <c r="F58" s="1397"/>
      <c r="G58" s="1398">
        <f>G48*G56</f>
        <v>21.400000000000002</v>
      </c>
      <c r="H58" s="1398">
        <f>H48*H56</f>
        <v>21.400000000000002</v>
      </c>
      <c r="I58" s="18" t="s">
        <v>2337</v>
      </c>
    </row>
    <row r="59" spans="2:9" x14ac:dyDescent="0.3">
      <c r="B59" s="1376" t="s">
        <v>5881</v>
      </c>
      <c r="C59" s="49"/>
      <c r="D59" s="52"/>
      <c r="E59" s="52"/>
      <c r="F59" s="1397"/>
      <c r="G59" s="1085">
        <f>ROUNDUP(G58/G55,0)</f>
        <v>1</v>
      </c>
      <c r="H59" s="1085">
        <f>ROUNDUP(H58/H55,0)</f>
        <v>1</v>
      </c>
      <c r="I59" s="18" t="s">
        <v>2442</v>
      </c>
    </row>
    <row r="60" spans="2:9" x14ac:dyDescent="0.3">
      <c r="B60" s="1376" t="s">
        <v>5882</v>
      </c>
      <c r="C60" s="49"/>
      <c r="D60" s="52"/>
      <c r="E60" s="52"/>
      <c r="F60" s="1397"/>
      <c r="G60" s="1399">
        <f>G57*G58/G43*UC.min_to_hour</f>
        <v>0.50952380952380949</v>
      </c>
      <c r="H60" s="1399">
        <f>H57*H58/H43*UC.min_to_hour</f>
        <v>0.50952380952380949</v>
      </c>
      <c r="I60" s="18" t="s">
        <v>2471</v>
      </c>
    </row>
    <row r="61" spans="2:9" x14ac:dyDescent="0.3">
      <c r="B61" s="1376" t="s">
        <v>5883</v>
      </c>
      <c r="C61" s="1089" t="s">
        <v>5884</v>
      </c>
      <c r="D61" s="1381"/>
      <c r="E61" s="1396"/>
      <c r="F61" s="1397"/>
      <c r="G61" s="1399">
        <f>G50*G59*G60</f>
        <v>0.56992775778571425</v>
      </c>
      <c r="H61" s="1399">
        <f>H50*H59*H60</f>
        <v>0.56992775778571425</v>
      </c>
      <c r="I61" s="18" t="s">
        <v>5809</v>
      </c>
    </row>
    <row r="62" spans="2:9" x14ac:dyDescent="0.3">
      <c r="B62" s="76"/>
      <c r="C62" s="76"/>
      <c r="D62" s="76"/>
      <c r="E62" s="76"/>
      <c r="F62" s="1384"/>
      <c r="G62" s="1384"/>
      <c r="H62" s="1384"/>
      <c r="I62" s="510"/>
    </row>
    <row r="63" spans="2:9" x14ac:dyDescent="0.3">
      <c r="B63" s="82"/>
      <c r="C63" s="82"/>
      <c r="D63" s="82"/>
      <c r="E63" s="82"/>
      <c r="F63" s="1848"/>
      <c r="G63" s="1848"/>
      <c r="H63" s="1848"/>
      <c r="I63" s="279"/>
    </row>
    <row r="64" spans="2:9" x14ac:dyDescent="0.3">
      <c r="B64" s="1405" t="s">
        <v>5271</v>
      </c>
      <c r="C64" s="1374"/>
      <c r="D64" s="1374"/>
      <c r="E64" s="1374"/>
      <c r="F64" s="1356"/>
      <c r="G64" s="1356"/>
      <c r="H64" s="1356"/>
      <c r="I64" s="1374"/>
    </row>
    <row r="65" spans="2:9" x14ac:dyDescent="0.3">
      <c r="B65" s="49" t="s">
        <v>5594</v>
      </c>
      <c r="C65" s="49"/>
      <c r="D65" s="49"/>
      <c r="E65" s="49"/>
      <c r="F65" s="49"/>
      <c r="G65" s="1360">
        <f>G7</f>
        <v>221.00449999999995</v>
      </c>
      <c r="H65" s="1360">
        <f>H7</f>
        <v>221.00449999999995</v>
      </c>
      <c r="I65" s="49" t="s">
        <v>2409</v>
      </c>
    </row>
    <row r="66" spans="2:9" x14ac:dyDescent="0.3">
      <c r="B66" s="602" t="s">
        <v>5595</v>
      </c>
      <c r="C66" s="49"/>
      <c r="D66" s="49"/>
      <c r="E66" s="49"/>
      <c r="F66" s="49"/>
      <c r="G66" s="1727">
        <f>UDV.emit_CH4.BD</f>
        <v>0.47999999999999993</v>
      </c>
      <c r="H66" s="1727">
        <f>UDV.emit_CH4.BD</f>
        <v>0.47999999999999993</v>
      </c>
      <c r="I66" s="49" t="s">
        <v>5596</v>
      </c>
    </row>
    <row r="67" spans="2:9" x14ac:dyDescent="0.3">
      <c r="B67" s="602" t="s">
        <v>5597</v>
      </c>
      <c r="C67" s="49"/>
      <c r="D67" s="49"/>
      <c r="E67" s="49"/>
      <c r="F67" s="49"/>
      <c r="G67" s="1727">
        <f>UDV.emit_CH4.density</f>
        <v>0.66199999999999992</v>
      </c>
      <c r="H67" s="1727">
        <f>UDV.emit_CH4.density</f>
        <v>0.66199999999999992</v>
      </c>
      <c r="I67" s="49" t="s">
        <v>2416</v>
      </c>
    </row>
    <row r="68" spans="2:9" x14ac:dyDescent="0.3">
      <c r="B68" s="602" t="s">
        <v>5598</v>
      </c>
      <c r="C68" s="49"/>
      <c r="D68" s="49"/>
      <c r="E68" s="49"/>
      <c r="F68" s="49"/>
      <c r="G68" s="1414">
        <f>UDV.emit_CH4.MCF_shallow_scrape</f>
        <v>2.9721110000000002E-2</v>
      </c>
      <c r="H68" s="1414">
        <f>UDV.emit_CH4.MCF_shallow_scrape_compost</f>
        <v>4.6738810000000006E-2</v>
      </c>
      <c r="I68" s="49" t="s">
        <v>1694</v>
      </c>
    </row>
    <row r="69" spans="2:9" x14ac:dyDescent="0.3">
      <c r="B69" s="602" t="s">
        <v>5599</v>
      </c>
      <c r="C69" s="49"/>
      <c r="D69" s="1089" t="s">
        <v>5600</v>
      </c>
      <c r="E69" s="1089"/>
      <c r="F69" s="1089"/>
      <c r="G69" s="1728">
        <f>G65*365*G66*G67*G68/UDV.animal.total</f>
        <v>1.5236605695921037</v>
      </c>
      <c r="H69" s="1728">
        <f>H65*365*H66*H67*H68/UDV.animal.total</f>
        <v>2.3960774636834601</v>
      </c>
      <c r="I69" s="49" t="s">
        <v>5601</v>
      </c>
    </row>
    <row r="70" spans="2:9" x14ac:dyDescent="0.3">
      <c r="B70" s="2283" t="s">
        <v>5602</v>
      </c>
      <c r="C70" s="1406"/>
      <c r="D70" s="1407"/>
      <c r="E70" s="2284"/>
      <c r="F70" s="1409"/>
      <c r="G70" s="1409"/>
      <c r="H70" s="1406"/>
      <c r="I70" s="1411"/>
    </row>
    <row r="71" spans="2:9" x14ac:dyDescent="0.3">
      <c r="B71" s="28" t="s">
        <v>5885</v>
      </c>
      <c r="C71" s="510"/>
      <c r="D71" s="2285"/>
      <c r="E71" s="1353"/>
      <c r="F71" s="1384"/>
      <c r="G71" s="1532">
        <f>G8</f>
        <v>26.000450000000001</v>
      </c>
      <c r="H71" s="1532">
        <f>H8</f>
        <v>26.000450000000001</v>
      </c>
      <c r="I71" s="28" t="s">
        <v>2409</v>
      </c>
    </row>
    <row r="72" spans="2:9" x14ac:dyDescent="0.3">
      <c r="B72" s="28" t="s">
        <v>5604</v>
      </c>
      <c r="C72" s="510"/>
      <c r="D72" s="1351"/>
      <c r="E72" s="1353"/>
      <c r="F72" s="1384"/>
      <c r="G72" s="1576">
        <f>UDV.emit_N2O_direct.N_to_N2O</f>
        <v>1.5713999999999999</v>
      </c>
      <c r="H72" s="1576">
        <f>UDV.emit_N2O_direct.N_to_N2O</f>
        <v>1.5713999999999999</v>
      </c>
      <c r="I72" s="28" t="s">
        <v>5605</v>
      </c>
    </row>
    <row r="73" spans="2:9" x14ac:dyDescent="0.3">
      <c r="B73" s="28" t="s">
        <v>5886</v>
      </c>
      <c r="C73" s="510"/>
      <c r="D73" s="2285"/>
      <c r="E73" s="1353"/>
      <c r="F73" s="1384"/>
      <c r="G73" s="1521">
        <f>G71*UC.year_to_day/UDV.animal.total</f>
        <v>18.980328499999999</v>
      </c>
      <c r="H73" s="1521">
        <f>H71*UC.year_to_day/UDV.animal.total</f>
        <v>18.980328499999999</v>
      </c>
      <c r="I73" s="28" t="s">
        <v>5607</v>
      </c>
    </row>
    <row r="74" spans="2:9" x14ac:dyDescent="0.3">
      <c r="B74" s="2283" t="s">
        <v>5608</v>
      </c>
      <c r="C74" s="1408"/>
      <c r="D74" s="1408"/>
      <c r="E74" s="2284"/>
      <c r="F74" s="1409"/>
      <c r="G74" s="2286"/>
      <c r="H74" s="2286"/>
      <c r="I74" s="2289"/>
    </row>
    <row r="75" spans="2:9" x14ac:dyDescent="0.3">
      <c r="B75" s="95" t="s">
        <v>5887</v>
      </c>
      <c r="C75" s="49"/>
      <c r="D75" s="52"/>
      <c r="E75" s="1353"/>
      <c r="F75" s="1384"/>
      <c r="G75" s="1401">
        <f>UDV.emit_NH3.lossfrac_shallow_scrape</f>
        <v>0.2</v>
      </c>
      <c r="H75" s="1401">
        <f>UDV.emit_NH3.lossfrac_shallow_scrape</f>
        <v>0.2</v>
      </c>
      <c r="I75" s="95" t="s">
        <v>1694</v>
      </c>
    </row>
    <row r="76" spans="2:9" x14ac:dyDescent="0.3">
      <c r="B76" s="95" t="s">
        <v>5888</v>
      </c>
      <c r="C76" s="510"/>
      <c r="D76" s="510"/>
      <c r="E76" s="1353"/>
      <c r="F76" s="1384"/>
      <c r="G76" s="1878">
        <f>G73*G75</f>
        <v>3.7960656999999998</v>
      </c>
      <c r="H76" s="1878">
        <f>H73*H75</f>
        <v>3.7960656999999998</v>
      </c>
      <c r="I76" s="28" t="s">
        <v>5611</v>
      </c>
    </row>
    <row r="77" spans="2:9" x14ac:dyDescent="0.3">
      <c r="B77" s="95" t="s">
        <v>5612</v>
      </c>
      <c r="C77" s="49"/>
      <c r="D77" s="52"/>
      <c r="E77" s="1382" t="s">
        <v>5613</v>
      </c>
      <c r="F77" s="1415"/>
      <c r="G77" s="2288">
        <f>G76</f>
        <v>3.7960656999999998</v>
      </c>
      <c r="H77" s="2288">
        <f>H76</f>
        <v>3.7960656999999998</v>
      </c>
      <c r="I77" s="28" t="s">
        <v>5611</v>
      </c>
    </row>
    <row r="78" spans="2:9" x14ac:dyDescent="0.3">
      <c r="B78" s="2283" t="s">
        <v>5614</v>
      </c>
      <c r="C78" s="1406"/>
      <c r="D78" s="1407"/>
      <c r="E78" s="2284"/>
      <c r="F78" s="1409"/>
      <c r="G78" s="2286"/>
      <c r="H78" s="2286"/>
      <c r="I78" s="2289"/>
    </row>
    <row r="79" spans="2:9" ht="15.6" x14ac:dyDescent="0.3">
      <c r="B79" s="28" t="s">
        <v>5889</v>
      </c>
      <c r="C79" s="510"/>
      <c r="D79" s="2285"/>
      <c r="E79" s="1353"/>
      <c r="F79" s="1384"/>
      <c r="G79" s="2290">
        <f>UDV.emit_N2O_direct.ef3_shallow_scrape</f>
        <v>2E-3</v>
      </c>
      <c r="H79" s="2290">
        <f>UDV.emit_N2O_direct.ef3_shallow_scrape</f>
        <v>2E-3</v>
      </c>
      <c r="I79" s="28" t="s">
        <v>5616</v>
      </c>
    </row>
    <row r="80" spans="2:9" x14ac:dyDescent="0.3">
      <c r="B80" s="95" t="s">
        <v>5890</v>
      </c>
      <c r="C80" s="510"/>
      <c r="D80" s="2291"/>
      <c r="E80" s="1353"/>
      <c r="F80" s="1384"/>
      <c r="G80" s="1878">
        <f>G72*G73*G79</f>
        <v>5.9651376409799999E-2</v>
      </c>
      <c r="H80" s="1878">
        <f>H72*H73*H79</f>
        <v>5.9651376409799999E-2</v>
      </c>
      <c r="I80" s="28" t="s">
        <v>5618</v>
      </c>
    </row>
    <row r="81" spans="1:9" x14ac:dyDescent="0.3">
      <c r="B81" s="95" t="s">
        <v>5619</v>
      </c>
      <c r="C81" s="49"/>
      <c r="D81" s="52"/>
      <c r="E81" s="1382" t="s">
        <v>5620</v>
      </c>
      <c r="F81" s="1415"/>
      <c r="G81" s="2288">
        <f>G80</f>
        <v>5.9651376409799999E-2</v>
      </c>
      <c r="H81" s="2288">
        <f>H80</f>
        <v>5.9651376409799999E-2</v>
      </c>
      <c r="I81" s="28" t="s">
        <v>5618</v>
      </c>
    </row>
    <row r="82" spans="1:9" x14ac:dyDescent="0.3">
      <c r="B82" s="2283" t="s">
        <v>5621</v>
      </c>
      <c r="C82" s="1408"/>
      <c r="D82" s="1408"/>
      <c r="E82" s="2284"/>
      <c r="F82" s="1409"/>
      <c r="G82" s="2286"/>
      <c r="H82" s="2286"/>
      <c r="I82" s="2289"/>
    </row>
    <row r="83" spans="1:9" x14ac:dyDescent="0.3">
      <c r="B83" s="28" t="s">
        <v>5622</v>
      </c>
      <c r="C83" s="510"/>
      <c r="D83" s="2292"/>
      <c r="E83" s="1353"/>
      <c r="F83" s="1384"/>
      <c r="G83" s="1576">
        <f>UDV.emit_N2O_indirect.ef4</f>
        <v>1.4E-2</v>
      </c>
      <c r="H83" s="1576">
        <f>UDV.emit_N2O_indirect.ef4</f>
        <v>1.4E-2</v>
      </c>
      <c r="I83" s="95" t="s">
        <v>5623</v>
      </c>
    </row>
    <row r="84" spans="1:9" x14ac:dyDescent="0.3">
      <c r="B84" s="95" t="s">
        <v>5891</v>
      </c>
      <c r="C84" s="816"/>
      <c r="D84" s="2293"/>
      <c r="E84" s="1353"/>
      <c r="F84" s="1384"/>
      <c r="G84" s="1878">
        <f>G72*G76*G83</f>
        <v>8.3511926973719994E-2</v>
      </c>
      <c r="H84" s="1878">
        <f>H72*H76*H83</f>
        <v>8.3511926973719994E-2</v>
      </c>
      <c r="I84" s="28" t="s">
        <v>5618</v>
      </c>
    </row>
    <row r="85" spans="1:9" x14ac:dyDescent="0.3">
      <c r="B85" s="95" t="s">
        <v>5625</v>
      </c>
      <c r="C85" s="49"/>
      <c r="D85" s="52"/>
      <c r="E85" s="1382" t="s">
        <v>5626</v>
      </c>
      <c r="F85" s="1415"/>
      <c r="G85" s="2288">
        <f>G84</f>
        <v>8.3511926973719994E-2</v>
      </c>
      <c r="H85" s="2288">
        <f>H84</f>
        <v>8.3511926973719994E-2</v>
      </c>
      <c r="I85" s="28" t="s">
        <v>5618</v>
      </c>
    </row>
    <row r="86" spans="1:9" x14ac:dyDescent="0.3">
      <c r="B86" s="82"/>
      <c r="C86" s="82"/>
      <c r="D86" s="82"/>
      <c r="E86" s="82"/>
      <c r="F86" s="1848"/>
      <c r="G86" s="1848"/>
      <c r="H86" s="1848"/>
      <c r="I86" s="279"/>
    </row>
    <row r="88" spans="1:9" x14ac:dyDescent="0.3">
      <c r="A88" s="1693" t="s">
        <v>5721</v>
      </c>
      <c r="B88" s="1693"/>
      <c r="C88" s="1693"/>
      <c r="D88" s="1693"/>
      <c r="E88" s="1693"/>
      <c r="F88" s="1693"/>
      <c r="G88" s="1693"/>
      <c r="H88" s="1693"/>
      <c r="I88" s="1693"/>
    </row>
    <row r="89" spans="1:9" x14ac:dyDescent="0.3">
      <c r="B89" s="1356" t="s">
        <v>5828</v>
      </c>
      <c r="C89" s="1356"/>
      <c r="D89" s="1356"/>
      <c r="E89" s="1374"/>
      <c r="F89" s="1409" t="s">
        <v>602</v>
      </c>
      <c r="G89" s="1410" t="str">
        <f>G2</f>
        <v>All except 13</v>
      </c>
      <c r="H89" s="1410">
        <f>H2</f>
        <v>13</v>
      </c>
      <c r="I89" s="1374"/>
    </row>
    <row r="90" spans="1:9" x14ac:dyDescent="0.3">
      <c r="A90" s="1999" t="s">
        <v>5830</v>
      </c>
      <c r="B90" s="1614"/>
      <c r="C90" s="1614"/>
      <c r="D90" s="1614"/>
      <c r="E90" s="1490"/>
      <c r="F90" s="1384"/>
      <c r="G90" s="1379"/>
      <c r="H90" s="1379"/>
      <c r="I90" s="1490"/>
    </row>
    <row r="91" spans="1:9" x14ac:dyDescent="0.3">
      <c r="A91" s="341"/>
      <c r="B91" s="49" t="s">
        <v>5829</v>
      </c>
      <c r="C91" s="714" t="s">
        <v>5727</v>
      </c>
      <c r="D91" s="49"/>
      <c r="E91" s="1490"/>
      <c r="F91" s="1384"/>
      <c r="G91" s="1379">
        <f>G5*UC.L_to_m3*UC.year_to_day</f>
        <v>0</v>
      </c>
      <c r="H91" s="1379">
        <f>H5*UC.L_to_m3*UC.year_to_day</f>
        <v>0</v>
      </c>
      <c r="I91" s="49"/>
    </row>
    <row r="92" spans="1:9" x14ac:dyDescent="0.3">
      <c r="B92" s="1017" t="s">
        <v>5831</v>
      </c>
      <c r="C92" s="1586" t="s">
        <v>5790</v>
      </c>
      <c r="D92" s="49"/>
      <c r="E92" s="1618"/>
      <c r="F92" s="1619"/>
      <c r="G92" s="1620">
        <f>G23</f>
        <v>3</v>
      </c>
      <c r="H92" s="1620">
        <f>H23</f>
        <v>0</v>
      </c>
      <c r="I92" s="49"/>
    </row>
    <row r="93" spans="1:9" x14ac:dyDescent="0.3">
      <c r="B93" s="1017" t="s">
        <v>5832</v>
      </c>
      <c r="C93" s="1586" t="s">
        <v>5792</v>
      </c>
      <c r="D93" s="49"/>
      <c r="E93" s="1618"/>
      <c r="F93" s="1619"/>
      <c r="G93" s="1620">
        <f>G24</f>
        <v>0</v>
      </c>
      <c r="H93" s="1620">
        <f>H24</f>
        <v>0</v>
      </c>
      <c r="I93" s="49"/>
    </row>
    <row r="94" spans="1:9" x14ac:dyDescent="0.3">
      <c r="B94" s="648" t="s">
        <v>5833</v>
      </c>
      <c r="C94" s="648" t="s">
        <v>2521</v>
      </c>
      <c r="D94" s="1490"/>
      <c r="E94" s="1490"/>
      <c r="F94" s="1384"/>
      <c r="G94" s="1379">
        <f>G22</f>
        <v>0</v>
      </c>
      <c r="H94" s="1379">
        <f>H22</f>
        <v>0</v>
      </c>
      <c r="I94" s="49"/>
    </row>
    <row r="95" spans="1:9" x14ac:dyDescent="0.3">
      <c r="B95" s="49" t="s">
        <v>5834</v>
      </c>
      <c r="C95" s="648" t="s">
        <v>2521</v>
      </c>
      <c r="D95" s="648"/>
      <c r="E95" s="49"/>
      <c r="F95" s="49"/>
      <c r="G95" s="648">
        <f>G20</f>
        <v>0</v>
      </c>
      <c r="H95" s="648">
        <f>H20</f>
        <v>0</v>
      </c>
      <c r="I95" s="49"/>
    </row>
    <row r="96" spans="1:9" x14ac:dyDescent="0.3">
      <c r="B96" s="1615" t="str">
        <f>B24</f>
        <v>Volume of water per cleaning</v>
      </c>
      <c r="C96" s="1616" t="str">
        <f>I24</f>
        <v>m3/flush</v>
      </c>
      <c r="D96" s="49"/>
      <c r="E96" s="1615"/>
      <c r="F96" s="1615"/>
      <c r="G96" s="1616">
        <f>G24</f>
        <v>0</v>
      </c>
      <c r="H96" s="1616">
        <f>H24</f>
        <v>0</v>
      </c>
      <c r="I96" s="49" t="s">
        <v>5835</v>
      </c>
    </row>
    <row r="97" spans="1:9" x14ac:dyDescent="0.3">
      <c r="B97" s="49" t="str">
        <f>B28</f>
        <v>Size of motor(s) needed for pump(s)</v>
      </c>
      <c r="C97" s="1209" t="str">
        <f>I28</f>
        <v>hp/pump</v>
      </c>
      <c r="D97" s="49"/>
      <c r="E97" s="49"/>
      <c r="F97" s="49"/>
      <c r="G97" s="1209">
        <f>G28</f>
        <v>4.9783549783549788</v>
      </c>
      <c r="H97" s="1209">
        <f>H28</f>
        <v>0</v>
      </c>
      <c r="I97" s="49"/>
    </row>
    <row r="98" spans="1:9" x14ac:dyDescent="0.3">
      <c r="B98" s="49" t="str">
        <f>B32</f>
        <v>Number of pumps needed from pond/lagoon</v>
      </c>
      <c r="C98" s="648" t="str">
        <f>I32</f>
        <v>pumps</v>
      </c>
      <c r="D98" s="49"/>
      <c r="E98" s="49"/>
      <c r="F98" s="49"/>
      <c r="G98" s="648">
        <f>G32</f>
        <v>0</v>
      </c>
      <c r="H98" s="648">
        <f>H32</f>
        <v>0</v>
      </c>
      <c r="I98" s="49"/>
    </row>
    <row r="99" spans="1:9" x14ac:dyDescent="0.3">
      <c r="B99" s="49" t="str">
        <f>B33</f>
        <v>Operational time for pump/motor</v>
      </c>
      <c r="C99" s="648" t="str">
        <f>I33</f>
        <v>hr/day/pump</v>
      </c>
      <c r="D99" s="49"/>
      <c r="E99" s="49"/>
      <c r="F99" s="49"/>
      <c r="G99" s="648">
        <f>G33</f>
        <v>0</v>
      </c>
      <c r="H99" s="648">
        <f>H33</f>
        <v>0</v>
      </c>
      <c r="I99" s="49"/>
    </row>
    <row r="100" spans="1:9" x14ac:dyDescent="0.3">
      <c r="B100" s="49" t="str">
        <f>B35</f>
        <v>Energy needed for motor(s) for pump(s)</v>
      </c>
      <c r="C100" s="1209" t="str">
        <f>I35</f>
        <v>kWh/day</v>
      </c>
      <c r="D100" s="49"/>
      <c r="E100" s="49"/>
      <c r="F100" s="49"/>
      <c r="G100" s="1209">
        <f>G35</f>
        <v>0</v>
      </c>
      <c r="H100" s="1209">
        <f>H35</f>
        <v>0</v>
      </c>
      <c r="I100" s="49"/>
    </row>
    <row r="101" spans="1:9" x14ac:dyDescent="0.3">
      <c r="B101" s="49" t="s">
        <v>5892</v>
      </c>
      <c r="C101" s="49" t="s">
        <v>2340</v>
      </c>
      <c r="D101" s="49"/>
      <c r="E101" s="49"/>
      <c r="F101" s="49"/>
      <c r="G101" s="1360">
        <f>G31</f>
        <v>800</v>
      </c>
      <c r="H101" s="1360">
        <f>H31</f>
        <v>0</v>
      </c>
      <c r="I101" s="49"/>
    </row>
    <row r="102" spans="1:9" x14ac:dyDescent="0.3">
      <c r="B102" s="49" t="s">
        <v>5893</v>
      </c>
      <c r="C102" s="18" t="s">
        <v>2444</v>
      </c>
      <c r="D102" s="49"/>
      <c r="E102" s="49"/>
      <c r="F102" s="49"/>
      <c r="G102" s="648">
        <f>G41</f>
        <v>12</v>
      </c>
      <c r="H102" s="648">
        <f>H41</f>
        <v>12</v>
      </c>
      <c r="I102" s="49"/>
    </row>
    <row r="103" spans="1:9" x14ac:dyDescent="0.3">
      <c r="B103" s="49" t="s">
        <v>5894</v>
      </c>
      <c r="C103" s="18" t="s">
        <v>2337</v>
      </c>
      <c r="D103" s="49"/>
      <c r="E103" s="49"/>
      <c r="F103" s="49"/>
      <c r="G103" s="49">
        <f>G47</f>
        <v>115</v>
      </c>
      <c r="H103" s="49">
        <f t="shared" ref="G103:H105" si="0">H47</f>
        <v>115</v>
      </c>
      <c r="I103" s="49"/>
    </row>
    <row r="104" spans="1:9" x14ac:dyDescent="0.3">
      <c r="B104" s="49" t="s">
        <v>5895</v>
      </c>
      <c r="C104" s="18" t="s">
        <v>2442</v>
      </c>
      <c r="D104" s="49"/>
      <c r="E104" s="49"/>
      <c r="F104" s="49"/>
      <c r="G104" s="49">
        <f t="shared" si="0"/>
        <v>2</v>
      </c>
      <c r="H104" s="49">
        <f t="shared" si="0"/>
        <v>2</v>
      </c>
      <c r="I104" s="1360"/>
    </row>
    <row r="105" spans="1:9" x14ac:dyDescent="0.3">
      <c r="A105" s="1999"/>
      <c r="B105" s="91" t="s">
        <v>5896</v>
      </c>
      <c r="C105" s="18" t="s">
        <v>2442</v>
      </c>
      <c r="D105" s="49"/>
      <c r="E105" s="49"/>
      <c r="F105" s="49"/>
      <c r="G105" s="648">
        <f t="shared" si="0"/>
        <v>2</v>
      </c>
      <c r="H105" s="648">
        <f t="shared" si="0"/>
        <v>2</v>
      </c>
      <c r="I105" s="1360"/>
    </row>
    <row r="106" spans="1:9" x14ac:dyDescent="0.3">
      <c r="B106" s="91" t="s">
        <v>5897</v>
      </c>
      <c r="C106" s="18" t="s">
        <v>2471</v>
      </c>
      <c r="D106" s="49"/>
      <c r="E106" s="49"/>
      <c r="F106" s="49"/>
      <c r="G106" s="1209">
        <f>G52</f>
        <v>10.952380952380953</v>
      </c>
      <c r="H106" s="1209">
        <f>H52</f>
        <v>10.952380952380953</v>
      </c>
      <c r="I106" s="1360"/>
    </row>
    <row r="107" spans="1:9" x14ac:dyDescent="0.3">
      <c r="B107" s="49" t="s">
        <v>5898</v>
      </c>
      <c r="C107" s="18" t="s">
        <v>5809</v>
      </c>
      <c r="D107" s="49"/>
      <c r="E107" s="49"/>
      <c r="F107" s="49"/>
      <c r="G107" s="1209">
        <f>G53</f>
        <v>12.250783578571429</v>
      </c>
      <c r="H107" s="1209">
        <f>H53</f>
        <v>12.250783578571429</v>
      </c>
      <c r="I107" s="1360"/>
    </row>
    <row r="111" spans="1:9" x14ac:dyDescent="0.3">
      <c r="A111" s="1660" t="s">
        <v>1901</v>
      </c>
      <c r="B111" s="1703"/>
      <c r="C111" s="1703"/>
      <c r="D111" s="1703"/>
      <c r="E111" s="1703"/>
      <c r="F111" s="1703"/>
      <c r="G111" s="1703"/>
      <c r="H111" s="1703"/>
    </row>
    <row r="112" spans="1:9" x14ac:dyDescent="0.3">
      <c r="A112" s="1660"/>
      <c r="B112" s="1703"/>
      <c r="C112" s="1703"/>
      <c r="D112" s="1703"/>
      <c r="E112" s="1703"/>
      <c r="F112" s="1703"/>
      <c r="G112" s="1703"/>
      <c r="H112" s="1703"/>
    </row>
    <row r="113" spans="1:8" x14ac:dyDescent="0.3">
      <c r="A113" s="1660"/>
      <c r="B113" s="1702" t="s">
        <v>5747</v>
      </c>
      <c r="C113" s="1702" t="s">
        <v>38</v>
      </c>
      <c r="D113" s="1702"/>
      <c r="E113" s="1702"/>
      <c r="F113" s="1702" t="s">
        <v>602</v>
      </c>
      <c r="G113" s="1707" t="str">
        <f>G2</f>
        <v>All except 13</v>
      </c>
      <c r="H113" s="1707">
        <f>H2</f>
        <v>13</v>
      </c>
    </row>
    <row r="114" spans="1:8" x14ac:dyDescent="0.3">
      <c r="B114" s="1668" t="s">
        <v>447</v>
      </c>
      <c r="C114" s="1669"/>
      <c r="D114" s="1670"/>
      <c r="E114" s="1670"/>
      <c r="F114" s="1670"/>
      <c r="G114" s="1671"/>
      <c r="H114" s="1671"/>
    </row>
    <row r="115" spans="1:8" x14ac:dyDescent="0.3">
      <c r="B115" s="49" t="s">
        <v>5784</v>
      </c>
      <c r="C115" s="49" t="s">
        <v>2268</v>
      </c>
      <c r="D115" s="49"/>
      <c r="E115" s="49"/>
      <c r="F115" s="49"/>
      <c r="G115" s="1360">
        <f>G18</f>
        <v>11.129747893930706</v>
      </c>
      <c r="H115" s="1360">
        <f>H18</f>
        <v>33.389243681792117</v>
      </c>
    </row>
    <row r="116" spans="1:8" x14ac:dyDescent="0.3">
      <c r="B116" s="1668" t="s">
        <v>409</v>
      </c>
      <c r="C116" s="1669"/>
      <c r="D116" s="1670"/>
      <c r="E116" s="1670"/>
      <c r="F116" s="1680"/>
      <c r="G116" s="1671"/>
      <c r="H116" s="1671"/>
    </row>
    <row r="117" spans="1:8" x14ac:dyDescent="0.3">
      <c r="B117" s="49" t="s">
        <v>5899</v>
      </c>
      <c r="C117" s="510" t="s">
        <v>5769</v>
      </c>
      <c r="D117" s="49"/>
      <c r="E117" s="49"/>
      <c r="F117" s="49"/>
      <c r="G117" s="1209">
        <f>G35*UC.year_to_day/UDV.animal.total</f>
        <v>0</v>
      </c>
      <c r="H117" s="1209">
        <f>H35*UC.year_to_day/UDV.animal.total</f>
        <v>0</v>
      </c>
    </row>
    <row r="118" spans="1:8" x14ac:dyDescent="0.3">
      <c r="B118" s="49" t="s">
        <v>5900</v>
      </c>
      <c r="C118" s="510" t="s">
        <v>5769</v>
      </c>
      <c r="D118" s="49"/>
      <c r="E118" s="49"/>
      <c r="F118" s="49"/>
      <c r="G118" s="1209">
        <f>G53*UC.year_to_day/UDV.animal.total</f>
        <v>8.9430720123571419</v>
      </c>
      <c r="H118" s="1209">
        <f>H53*UC.year_to_day/UDV.animal.total</f>
        <v>8.9430720123571419</v>
      </c>
    </row>
    <row r="119" spans="1:8" x14ac:dyDescent="0.3">
      <c r="B119" s="49" t="s">
        <v>5901</v>
      </c>
      <c r="C119" s="510" t="s">
        <v>5769</v>
      </c>
      <c r="D119" s="49"/>
      <c r="E119" s="49"/>
      <c r="F119" s="49"/>
      <c r="G119" s="1209">
        <f>G61*UC.year_to_day/UDV.animal.total</f>
        <v>0.41604726318357144</v>
      </c>
      <c r="H119" s="1209">
        <f>H61*UC.year_to_day/UDV.animal.total</f>
        <v>0.41604726318357144</v>
      </c>
    </row>
    <row r="120" spans="1:8" x14ac:dyDescent="0.3">
      <c r="B120" s="1668" t="s">
        <v>415</v>
      </c>
      <c r="C120" s="1669"/>
      <c r="D120" s="1670"/>
      <c r="E120" s="1670"/>
      <c r="F120" s="1680"/>
      <c r="G120" s="1671"/>
      <c r="H120" s="1671"/>
    </row>
    <row r="121" spans="1:8" x14ac:dyDescent="0.3">
      <c r="B121" s="49" t="s">
        <v>5902</v>
      </c>
      <c r="C121" s="49" t="s">
        <v>5838</v>
      </c>
      <c r="D121" s="49"/>
      <c r="E121" s="49"/>
      <c r="F121" s="49"/>
      <c r="G121" s="648">
        <f>G21*UC.year_to_day/UDV.animal.total</f>
        <v>0</v>
      </c>
      <c r="H121" s="648">
        <f>H21*UC.year_to_day/UDV.animal.total</f>
        <v>0</v>
      </c>
    </row>
    <row r="122" spans="1:8" x14ac:dyDescent="0.3">
      <c r="B122" s="1668" t="s">
        <v>5271</v>
      </c>
      <c r="C122" s="1669"/>
      <c r="D122" s="1670"/>
      <c r="E122" s="1670"/>
      <c r="F122" s="1680"/>
      <c r="G122" s="1671"/>
      <c r="H122" s="1671"/>
    </row>
    <row r="123" spans="1:8" x14ac:dyDescent="0.3">
      <c r="B123" s="49" t="s">
        <v>5903</v>
      </c>
      <c r="C123" s="49" t="s">
        <v>2385</v>
      </c>
      <c r="D123" s="49"/>
      <c r="E123" s="49"/>
      <c r="F123" s="49"/>
      <c r="G123" s="1209">
        <f>G69</f>
        <v>1.5236605695921037</v>
      </c>
      <c r="H123" s="1209">
        <f>H69</f>
        <v>2.3960774636834601</v>
      </c>
    </row>
    <row r="124" spans="1:8" x14ac:dyDescent="0.3">
      <c r="B124" s="49" t="s">
        <v>5904</v>
      </c>
      <c r="C124" s="49" t="s">
        <v>2385</v>
      </c>
      <c r="D124" s="49"/>
      <c r="E124" s="49"/>
      <c r="F124" s="49"/>
      <c r="G124" s="1209">
        <f>G77</f>
        <v>3.7960656999999998</v>
      </c>
      <c r="H124" s="1209">
        <f>H77</f>
        <v>3.7960656999999998</v>
      </c>
    </row>
    <row r="125" spans="1:8" x14ac:dyDescent="0.3">
      <c r="B125" s="91" t="s">
        <v>5905</v>
      </c>
      <c r="C125" s="49" t="s">
        <v>2385</v>
      </c>
      <c r="D125" s="49"/>
      <c r="E125" s="49"/>
      <c r="F125" s="49"/>
      <c r="G125" s="1209">
        <f>G81</f>
        <v>5.9651376409799999E-2</v>
      </c>
      <c r="H125" s="1209">
        <f>H81</f>
        <v>5.9651376409799999E-2</v>
      </c>
    </row>
    <row r="126" spans="1:8" x14ac:dyDescent="0.3">
      <c r="B126" s="49" t="s">
        <v>5906</v>
      </c>
      <c r="C126" s="49" t="s">
        <v>2385</v>
      </c>
      <c r="D126" s="49"/>
      <c r="E126" s="49"/>
      <c r="F126" s="49"/>
      <c r="G126" s="1209">
        <f>G85</f>
        <v>8.3511926973719994E-2</v>
      </c>
      <c r="H126" s="1209">
        <f>H85</f>
        <v>8.3511926973719994E-2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0F85A-4B19-427F-899A-A02465887DF8}">
  <sheetPr>
    <tabColor rgb="FF92D050"/>
  </sheetPr>
  <dimension ref="A2:H94"/>
  <sheetViews>
    <sheetView workbookViewId="0">
      <selection sqref="A1:C1"/>
    </sheetView>
  </sheetViews>
  <sheetFormatPr defaultRowHeight="14.4" x14ac:dyDescent="0.3"/>
  <cols>
    <col min="2" max="2" width="55.44140625" customWidth="1"/>
    <col min="3" max="3" width="17.5546875" bestFit="1" customWidth="1"/>
    <col min="8" max="8" width="23.44140625" customWidth="1"/>
  </cols>
  <sheetData>
    <row r="2" spans="2:8" x14ac:dyDescent="0.3">
      <c r="B2" s="1356" t="s">
        <v>5907</v>
      </c>
      <c r="C2" s="30"/>
      <c r="D2" s="30"/>
      <c r="E2" s="30"/>
      <c r="F2" s="1356" t="s">
        <v>602</v>
      </c>
      <c r="G2" s="1356" t="s">
        <v>5474</v>
      </c>
      <c r="H2" s="1356"/>
    </row>
    <row r="3" spans="2:8" x14ac:dyDescent="0.3">
      <c r="B3" s="49" t="s">
        <v>5505</v>
      </c>
      <c r="C3" s="49"/>
      <c r="D3" s="49"/>
      <c r="E3" s="49"/>
      <c r="F3" s="49"/>
      <c r="G3" s="1364">
        <f>PT.waste_generation!G35</f>
        <v>7</v>
      </c>
      <c r="H3" s="49" t="s">
        <v>5506</v>
      </c>
    </row>
    <row r="4" spans="2:8" x14ac:dyDescent="0.3">
      <c r="B4" s="49" t="s">
        <v>5507</v>
      </c>
      <c r="C4" s="49"/>
      <c r="D4" s="49"/>
      <c r="E4" s="49"/>
      <c r="F4" s="49"/>
      <c r="G4" s="1364">
        <f>PT.waste_generation!G36*UC.L_to_m3</f>
        <v>2.3142857142857141</v>
      </c>
      <c r="H4" s="49" t="s">
        <v>2521</v>
      </c>
    </row>
    <row r="5" spans="2:8" x14ac:dyDescent="0.3">
      <c r="B5" s="49" t="s">
        <v>5508</v>
      </c>
      <c r="C5" s="49"/>
      <c r="D5" s="49"/>
      <c r="E5" s="49"/>
      <c r="F5" s="49"/>
      <c r="G5" s="1364">
        <f>PT.waste_generation!G37*UC.L_to_m3</f>
        <v>2.3142857142857141</v>
      </c>
      <c r="H5" s="49" t="s">
        <v>2521</v>
      </c>
    </row>
    <row r="6" spans="2:8" x14ac:dyDescent="0.3">
      <c r="B6" s="49" t="s">
        <v>5509</v>
      </c>
      <c r="C6" s="49"/>
      <c r="D6" s="49"/>
      <c r="E6" s="49"/>
      <c r="F6" s="49"/>
      <c r="G6" s="1364">
        <f>PT.waste_generation!G38*UC.L_to_m3</f>
        <v>0</v>
      </c>
      <c r="H6" s="49" t="s">
        <v>2521</v>
      </c>
    </row>
    <row r="7" spans="2:8" x14ac:dyDescent="0.3">
      <c r="B7" s="1351" t="s">
        <v>5908</v>
      </c>
      <c r="C7" s="49"/>
      <c r="D7" s="49"/>
      <c r="E7" s="49"/>
      <c r="F7" s="49"/>
      <c r="G7" s="1364">
        <f>PT.waste_generation!G39</f>
        <v>52.142857142857146</v>
      </c>
      <c r="H7" s="49" t="s">
        <v>2321</v>
      </c>
    </row>
    <row r="8" spans="2:8" x14ac:dyDescent="0.3">
      <c r="B8" s="602" t="s">
        <v>5491</v>
      </c>
      <c r="C8" s="49"/>
      <c r="D8" s="49"/>
      <c r="E8" s="49"/>
      <c r="F8" s="49"/>
      <c r="G8" s="1364">
        <f>PT.waste_generation!G18*UC.L_to_m3</f>
        <v>2.8937344524219841</v>
      </c>
      <c r="H8" s="49" t="s">
        <v>2521</v>
      </c>
    </row>
    <row r="9" spans="2:8" x14ac:dyDescent="0.3">
      <c r="B9" s="1351" t="s">
        <v>5909</v>
      </c>
      <c r="C9" s="49"/>
      <c r="D9" s="49"/>
      <c r="E9" s="49"/>
      <c r="F9" s="49"/>
      <c r="G9" s="1364">
        <f>G3*G5</f>
        <v>16.2</v>
      </c>
      <c r="H9" s="49" t="s">
        <v>5910</v>
      </c>
    </row>
    <row r="10" spans="2:8" x14ac:dyDescent="0.3">
      <c r="B10" s="1351" t="s">
        <v>5911</v>
      </c>
      <c r="C10" s="49"/>
      <c r="D10" s="49"/>
      <c r="E10" s="49"/>
      <c r="F10" s="49"/>
      <c r="G10" s="1364">
        <f>PT.waste_generation!G6</f>
        <v>221.00449999999995</v>
      </c>
      <c r="H10" s="49" t="s">
        <v>2409</v>
      </c>
    </row>
    <row r="11" spans="2:8" x14ac:dyDescent="0.3">
      <c r="B11" s="1351" t="s">
        <v>5774</v>
      </c>
      <c r="C11" s="49"/>
      <c r="D11" s="49"/>
      <c r="E11" s="49"/>
      <c r="F11" s="49"/>
      <c r="G11" s="1364">
        <f>PT.waste_generation!G7</f>
        <v>26.000450000000001</v>
      </c>
      <c r="H11" s="49" t="s">
        <v>2409</v>
      </c>
    </row>
    <row r="12" spans="2:8" x14ac:dyDescent="0.3">
      <c r="B12" s="1356" t="s">
        <v>5775</v>
      </c>
      <c r="C12" s="30"/>
      <c r="D12" s="30"/>
      <c r="E12" s="30"/>
      <c r="F12" s="1356"/>
      <c r="G12" s="1356"/>
      <c r="H12" s="1356"/>
    </row>
    <row r="13" spans="2:8" x14ac:dyDescent="0.3">
      <c r="B13" s="49" t="s">
        <v>5776</v>
      </c>
      <c r="C13" s="49"/>
      <c r="D13" s="49"/>
      <c r="E13" s="49"/>
      <c r="F13" s="49"/>
      <c r="G13" s="1359">
        <f>UDV.shallow_pit.plug_waste_storage</f>
        <v>14</v>
      </c>
      <c r="H13" s="49" t="s">
        <v>2452</v>
      </c>
    </row>
    <row r="14" spans="2:8" x14ac:dyDescent="0.3">
      <c r="B14" s="49" t="s">
        <v>5912</v>
      </c>
      <c r="C14" s="49"/>
      <c r="D14" s="49"/>
      <c r="E14" s="49"/>
      <c r="F14" s="49"/>
      <c r="G14" s="1359">
        <f>UDV.shallow_pit.plug_liquids_storage</f>
        <v>14</v>
      </c>
      <c r="H14" s="49" t="s">
        <v>2452</v>
      </c>
    </row>
    <row r="15" spans="2:8" x14ac:dyDescent="0.3">
      <c r="B15" s="49" t="s">
        <v>5778</v>
      </c>
      <c r="C15" s="49"/>
      <c r="D15" s="49"/>
      <c r="E15" s="49"/>
      <c r="F15" s="49"/>
      <c r="G15" s="1424">
        <f>UDV.shallow_pit.length</f>
        <v>50.240000000000009</v>
      </c>
      <c r="H15" s="49" t="s">
        <v>2337</v>
      </c>
    </row>
    <row r="16" spans="2:8" x14ac:dyDescent="0.3">
      <c r="B16" s="49" t="s">
        <v>5779</v>
      </c>
      <c r="C16" s="49"/>
      <c r="D16" s="49"/>
      <c r="E16" s="49"/>
      <c r="F16" s="49"/>
      <c r="G16" s="1346">
        <f>UDV.shallow_pit.depth</f>
        <v>1.8200000000000003</v>
      </c>
      <c r="H16" s="49" t="s">
        <v>2337</v>
      </c>
    </row>
    <row r="17" spans="2:8" x14ac:dyDescent="0.3">
      <c r="B17" s="49" t="s">
        <v>5780</v>
      </c>
      <c r="C17" s="49"/>
      <c r="D17" s="49"/>
      <c r="E17" s="49"/>
      <c r="F17" s="49"/>
      <c r="G17" s="1360">
        <f>G8*G13</f>
        <v>40.512282333907777</v>
      </c>
      <c r="H17" s="49" t="s">
        <v>2478</v>
      </c>
    </row>
    <row r="18" spans="2:8" x14ac:dyDescent="0.3">
      <c r="B18" s="49" t="s">
        <v>5913</v>
      </c>
      <c r="C18" s="49"/>
      <c r="D18" s="49"/>
      <c r="E18" s="49"/>
      <c r="F18" s="49"/>
      <c r="G18" s="1360">
        <f>G4*G14</f>
        <v>32.4</v>
      </c>
      <c r="H18" s="49" t="s">
        <v>2478</v>
      </c>
    </row>
    <row r="19" spans="2:8" x14ac:dyDescent="0.3">
      <c r="B19" s="61" t="s">
        <v>5782</v>
      </c>
      <c r="C19" s="49"/>
      <c r="D19" s="49"/>
      <c r="E19" s="49"/>
      <c r="F19" s="49"/>
      <c r="G19" s="648">
        <f>G17+G18</f>
        <v>72.912282333907768</v>
      </c>
      <c r="H19" s="49" t="s">
        <v>2478</v>
      </c>
    </row>
    <row r="20" spans="2:8" x14ac:dyDescent="0.3">
      <c r="B20" s="49" t="s">
        <v>5783</v>
      </c>
      <c r="C20" s="49"/>
      <c r="D20" s="49"/>
      <c r="E20" s="49"/>
      <c r="F20" s="49"/>
      <c r="G20" s="1360">
        <f>G19/G15/G16</f>
        <v>0.7974063214581848</v>
      </c>
      <c r="H20" s="49" t="s">
        <v>2337</v>
      </c>
    </row>
    <row r="21" spans="2:8" x14ac:dyDescent="0.3">
      <c r="B21" s="49" t="s">
        <v>5784</v>
      </c>
      <c r="C21" s="1089" t="s">
        <v>5785</v>
      </c>
      <c r="D21" s="1089"/>
      <c r="E21" s="1089"/>
      <c r="F21" s="49"/>
      <c r="G21" s="1360">
        <f>G15*G20</f>
        <v>40.061693590059214</v>
      </c>
      <c r="H21" s="49" t="s">
        <v>2268</v>
      </c>
    </row>
    <row r="22" spans="2:8" x14ac:dyDescent="0.3">
      <c r="B22" s="1356" t="s">
        <v>5914</v>
      </c>
      <c r="C22" s="30"/>
      <c r="D22" s="30"/>
      <c r="E22" s="30"/>
      <c r="F22" s="1356"/>
      <c r="G22" s="1356"/>
      <c r="H22" s="1356"/>
    </row>
    <row r="23" spans="2:8" x14ac:dyDescent="0.3">
      <c r="B23" s="18" t="s">
        <v>5800</v>
      </c>
      <c r="C23" s="49"/>
      <c r="D23" s="52"/>
      <c r="E23" s="510"/>
      <c r="F23" s="1384"/>
      <c r="G23" s="1414">
        <f>UDV.storage_pond.recycle_pump_flowrate*UC.hour_to_min/UC.m3_to_gal</f>
        <v>34.06870610218828</v>
      </c>
      <c r="H23" s="18" t="s">
        <v>5801</v>
      </c>
    </row>
    <row r="24" spans="2:8" x14ac:dyDescent="0.3">
      <c r="B24" s="666" t="s">
        <v>5797</v>
      </c>
      <c r="C24" s="49"/>
      <c r="D24" s="52"/>
      <c r="E24" s="510"/>
      <c r="F24" s="1384"/>
      <c r="G24" s="1414">
        <f>(UDV.storage_pond.recycle_pump_flowrate*UDV.storage_pond.recycle_pump_headloss)/(UC.pump_US*UDV.storage_pond.pump_and_motor_efficiency)</f>
        <v>4.9783549783549788</v>
      </c>
      <c r="H24" s="18" t="s">
        <v>5798</v>
      </c>
    </row>
    <row r="25" spans="2:8" x14ac:dyDescent="0.3">
      <c r="B25" s="18" t="s">
        <v>5799</v>
      </c>
      <c r="C25" s="49"/>
      <c r="D25" s="52"/>
      <c r="E25" s="510"/>
      <c r="F25" s="1384"/>
      <c r="G25" s="1393">
        <f>UDV.flush_waste.max_pump_time</f>
        <v>12</v>
      </c>
      <c r="H25" s="18" t="s">
        <v>2471</v>
      </c>
    </row>
    <row r="26" spans="2:8" x14ac:dyDescent="0.3">
      <c r="B26" s="49" t="s">
        <v>5857</v>
      </c>
      <c r="C26" s="49"/>
      <c r="D26" s="49"/>
      <c r="E26" s="49"/>
      <c r="F26" s="49"/>
      <c r="G26" s="1346">
        <f>UDV.handling_manure.distance_pump_to_barn</f>
        <v>800</v>
      </c>
      <c r="H26" s="49" t="s">
        <v>2340</v>
      </c>
    </row>
    <row r="27" spans="2:8" x14ac:dyDescent="0.3">
      <c r="B27" s="1412" t="s">
        <v>5915</v>
      </c>
      <c r="C27" s="49"/>
      <c r="D27" s="49"/>
      <c r="E27" s="49"/>
      <c r="F27" s="49"/>
      <c r="G27" s="648">
        <f>ROUNDUP(G5/G23/G25,0)</f>
        <v>1</v>
      </c>
      <c r="H27" s="49" t="s">
        <v>2442</v>
      </c>
    </row>
    <row r="28" spans="2:8" x14ac:dyDescent="0.3">
      <c r="B28" s="1412" t="s">
        <v>5804</v>
      </c>
      <c r="C28" s="49"/>
      <c r="D28" s="49"/>
      <c r="E28" s="49"/>
      <c r="F28" s="49"/>
      <c r="G28" s="1209">
        <f>G5/G23/G27</f>
        <v>6.7929956228571425E-2</v>
      </c>
      <c r="H28" s="49" t="s">
        <v>2471</v>
      </c>
    </row>
    <row r="29" spans="2:8" x14ac:dyDescent="0.3">
      <c r="B29" s="49" t="s">
        <v>5806</v>
      </c>
      <c r="C29" s="49"/>
      <c r="D29" s="49"/>
      <c r="E29" s="49"/>
      <c r="F29" s="49"/>
      <c r="G29" s="1209">
        <f>G24*G27*UC.hp_to_kW</f>
        <v>3.7123586601731606</v>
      </c>
      <c r="H29" s="49" t="s">
        <v>2548</v>
      </c>
    </row>
    <row r="30" spans="2:8" x14ac:dyDescent="0.3">
      <c r="B30" s="49" t="s">
        <v>5808</v>
      </c>
      <c r="C30" s="1385" t="s">
        <v>5551</v>
      </c>
      <c r="D30" s="49"/>
      <c r="E30" s="1385"/>
      <c r="F30" s="1416">
        <f>G30*UC.year_to_day/UDV.animal.total</f>
        <v>0.18409166374193422</v>
      </c>
      <c r="G30" s="1209">
        <f>G28*G29</f>
        <v>0.25218036129032084</v>
      </c>
      <c r="H30" s="49" t="s">
        <v>5809</v>
      </c>
    </row>
    <row r="31" spans="2:8" x14ac:dyDescent="0.3">
      <c r="B31" s="1405" t="s">
        <v>5793</v>
      </c>
      <c r="C31" s="1406"/>
      <c r="D31" s="1407"/>
      <c r="E31" s="1408"/>
      <c r="F31" s="1409"/>
      <c r="G31" s="1410"/>
      <c r="H31" s="1411"/>
    </row>
    <row r="32" spans="2:8" x14ac:dyDescent="0.3">
      <c r="B32" s="18" t="s">
        <v>5794</v>
      </c>
      <c r="C32" s="49"/>
      <c r="D32" s="52"/>
      <c r="E32" s="510"/>
      <c r="F32" s="1384"/>
      <c r="G32" s="1413">
        <f>UDV.shallow_pit.plug_N_remaining</f>
        <v>0.74936350600000001</v>
      </c>
      <c r="H32" s="18" t="s">
        <v>1694</v>
      </c>
    </row>
    <row r="33" spans="2:8" x14ac:dyDescent="0.3">
      <c r="B33" s="18" t="s">
        <v>5795</v>
      </c>
      <c r="C33" s="49"/>
      <c r="D33" s="52"/>
      <c r="E33" s="510"/>
      <c r="F33" s="1384"/>
      <c r="G33" s="1395">
        <f>G11*G32</f>
        <v>19.483788369577702</v>
      </c>
      <c r="H33" s="49" t="s">
        <v>2409</v>
      </c>
    </row>
    <row r="34" spans="2:8" x14ac:dyDescent="0.3">
      <c r="B34" s="1405" t="s">
        <v>5812</v>
      </c>
      <c r="C34" s="1406"/>
      <c r="D34" s="1407"/>
      <c r="E34" s="1408"/>
      <c r="F34" s="1409"/>
      <c r="G34" s="1410"/>
      <c r="H34" s="1411"/>
    </row>
    <row r="35" spans="2:8" x14ac:dyDescent="0.3">
      <c r="B35" s="18" t="s">
        <v>5813</v>
      </c>
      <c r="C35" s="49"/>
      <c r="D35" s="52"/>
      <c r="E35" s="510"/>
      <c r="F35" s="1384"/>
      <c r="G35" s="1393">
        <f>UDV.handling_manure.head_per_barn</f>
        <v>2400</v>
      </c>
      <c r="H35" s="18" t="s">
        <v>5814</v>
      </c>
    </row>
    <row r="36" spans="2:8" x14ac:dyDescent="0.3">
      <c r="B36" s="18" t="s">
        <v>5815</v>
      </c>
      <c r="C36" s="49"/>
      <c r="D36" s="52"/>
      <c r="E36" s="510"/>
      <c r="F36" s="1384"/>
      <c r="G36" s="1393">
        <f>UDV.animal.total</f>
        <v>500</v>
      </c>
      <c r="H36" s="18" t="s">
        <v>2329</v>
      </c>
    </row>
    <row r="37" spans="2:8" x14ac:dyDescent="0.3">
      <c r="B37" s="18" t="s">
        <v>5816</v>
      </c>
      <c r="C37" s="49"/>
      <c r="D37" s="52"/>
      <c r="E37" s="510"/>
      <c r="F37" s="1384"/>
      <c r="G37" s="1393">
        <f>UDV.handling_manure.distance_pump_to_split</f>
        <v>600</v>
      </c>
      <c r="H37" s="18" t="s">
        <v>2340</v>
      </c>
    </row>
    <row r="38" spans="2:8" x14ac:dyDescent="0.3">
      <c r="B38" s="18" t="s">
        <v>5817</v>
      </c>
      <c r="C38" s="49"/>
      <c r="D38" s="52"/>
      <c r="E38" s="510"/>
      <c r="F38" s="1384"/>
      <c r="G38" s="1393">
        <f>UDV.handling_manure.distance_split_to_barn</f>
        <v>200</v>
      </c>
      <c r="H38" s="18" t="s">
        <v>2340</v>
      </c>
    </row>
    <row r="39" spans="2:8" x14ac:dyDescent="0.3">
      <c r="B39" s="85" t="s">
        <v>5818</v>
      </c>
      <c r="C39" s="49"/>
      <c r="D39" s="52"/>
      <c r="E39" s="510"/>
      <c r="F39" s="1384"/>
      <c r="G39" s="1379">
        <f>ROUNDUP(G36/G35,0)</f>
        <v>1</v>
      </c>
      <c r="H39" s="18" t="s">
        <v>2442</v>
      </c>
    </row>
    <row r="40" spans="2:8" x14ac:dyDescent="0.3">
      <c r="B40" s="85" t="s">
        <v>5819</v>
      </c>
      <c r="C40" s="49"/>
      <c r="D40" s="52"/>
      <c r="E40" s="510"/>
      <c r="F40" s="1384"/>
      <c r="G40" s="1380">
        <f>G27*G37</f>
        <v>600</v>
      </c>
      <c r="H40" s="18" t="s">
        <v>2340</v>
      </c>
    </row>
    <row r="41" spans="2:8" x14ac:dyDescent="0.3">
      <c r="B41" s="510" t="s">
        <v>5820</v>
      </c>
      <c r="C41" s="49"/>
      <c r="D41" s="52"/>
      <c r="E41" s="510"/>
      <c r="F41" s="1415"/>
      <c r="G41" s="1380">
        <f>G38*G39</f>
        <v>200</v>
      </c>
      <c r="H41" s="18" t="s">
        <v>2340</v>
      </c>
    </row>
    <row r="43" spans="2:8" x14ac:dyDescent="0.3">
      <c r="B43" s="1405" t="s">
        <v>5271</v>
      </c>
      <c r="C43" s="1374"/>
      <c r="D43" s="1374"/>
      <c r="E43" s="1374"/>
      <c r="F43" s="1356"/>
      <c r="G43" s="1356"/>
      <c r="H43" s="1374"/>
    </row>
    <row r="44" spans="2:8" x14ac:dyDescent="0.3">
      <c r="B44" s="49" t="s">
        <v>5594</v>
      </c>
      <c r="C44" s="49"/>
      <c r="D44" s="49"/>
      <c r="E44" s="49"/>
      <c r="F44" s="49"/>
      <c r="G44" s="1360">
        <f>G10</f>
        <v>221.00449999999995</v>
      </c>
      <c r="H44" s="49" t="s">
        <v>2409</v>
      </c>
    </row>
    <row r="45" spans="2:8" x14ac:dyDescent="0.3">
      <c r="B45" s="602" t="s">
        <v>5595</v>
      </c>
      <c r="C45" s="49"/>
      <c r="D45" s="49"/>
      <c r="E45" s="49"/>
      <c r="F45" s="49"/>
      <c r="G45" s="1727">
        <f>UDV.emit_CH4.BD</f>
        <v>0.47999999999999993</v>
      </c>
      <c r="H45" s="49" t="s">
        <v>5596</v>
      </c>
    </row>
    <row r="46" spans="2:8" x14ac:dyDescent="0.3">
      <c r="B46" s="602" t="s">
        <v>5597</v>
      </c>
      <c r="C46" s="49"/>
      <c r="D46" s="49"/>
      <c r="E46" s="49"/>
      <c r="F46" s="49"/>
      <c r="G46" s="1727">
        <f>UDV.emit_CH4.density</f>
        <v>0.66199999999999992</v>
      </c>
      <c r="H46" s="49" t="s">
        <v>2416</v>
      </c>
    </row>
    <row r="47" spans="2:8" x14ac:dyDescent="0.3">
      <c r="B47" s="602" t="s">
        <v>5598</v>
      </c>
      <c r="C47" s="49"/>
      <c r="D47" s="49"/>
      <c r="E47" s="49"/>
      <c r="F47" s="49"/>
      <c r="G47" s="1414">
        <f>UDV.emit_CH4.MCF_shallow_plug</f>
        <v>3.8291210000000006E-2</v>
      </c>
      <c r="H47" s="49" t="s">
        <v>1694</v>
      </c>
    </row>
    <row r="48" spans="2:8" x14ac:dyDescent="0.3">
      <c r="B48" s="602" t="s">
        <v>5599</v>
      </c>
      <c r="C48" s="49"/>
      <c r="D48" s="1089" t="s">
        <v>5600</v>
      </c>
      <c r="E48" s="1089"/>
      <c r="F48" s="1089"/>
      <c r="G48" s="1728">
        <f>G44*365*G45*G46*G47/UDV.animal.total</f>
        <v>1.9630090140970797</v>
      </c>
      <c r="H48" s="49" t="s">
        <v>5601</v>
      </c>
    </row>
    <row r="49" spans="2:8" x14ac:dyDescent="0.3">
      <c r="B49" s="2283" t="s">
        <v>5602</v>
      </c>
      <c r="C49" s="1406"/>
      <c r="D49" s="1407"/>
      <c r="E49" s="2284"/>
      <c r="F49" s="1409"/>
      <c r="G49" s="1409"/>
      <c r="H49" s="1411"/>
    </row>
    <row r="50" spans="2:8" x14ac:dyDescent="0.3">
      <c r="B50" s="28" t="s">
        <v>5916</v>
      </c>
      <c r="C50" s="510"/>
      <c r="D50" s="2285"/>
      <c r="E50" s="1353"/>
      <c r="F50" s="1384"/>
      <c r="G50" s="1532">
        <f>G11</f>
        <v>26.000450000000001</v>
      </c>
      <c r="H50" s="28" t="s">
        <v>2409</v>
      </c>
    </row>
    <row r="51" spans="2:8" x14ac:dyDescent="0.3">
      <c r="B51" s="28" t="s">
        <v>5604</v>
      </c>
      <c r="C51" s="510"/>
      <c r="D51" s="1351"/>
      <c r="E51" s="1353"/>
      <c r="F51" s="1384"/>
      <c r="G51" s="1576">
        <f>UDV.emit_N2O_direct.N_to_N2O</f>
        <v>1.5713999999999999</v>
      </c>
      <c r="H51" s="28" t="s">
        <v>5605</v>
      </c>
    </row>
    <row r="52" spans="2:8" x14ac:dyDescent="0.3">
      <c r="B52" s="28" t="s">
        <v>5917</v>
      </c>
      <c r="C52" s="510"/>
      <c r="D52" s="2285"/>
      <c r="E52" s="1353"/>
      <c r="F52" s="1384"/>
      <c r="G52" s="1521">
        <f>G50*UC.year_to_day/UDV.animal.total</f>
        <v>18.980328499999999</v>
      </c>
      <c r="H52" s="28" t="s">
        <v>5607</v>
      </c>
    </row>
    <row r="53" spans="2:8" x14ac:dyDescent="0.3">
      <c r="B53" s="2283" t="s">
        <v>5608</v>
      </c>
      <c r="C53" s="1408"/>
      <c r="D53" s="1408"/>
      <c r="E53" s="2284"/>
      <c r="F53" s="1409"/>
      <c r="G53" s="2286"/>
      <c r="H53" s="2289"/>
    </row>
    <row r="54" spans="2:8" x14ac:dyDescent="0.3">
      <c r="B54" s="95" t="s">
        <v>5918</v>
      </c>
      <c r="C54" s="49"/>
      <c r="D54" s="52"/>
      <c r="E54" s="1353"/>
      <c r="F54" s="1384"/>
      <c r="G54" s="1401">
        <f>UDV.emit_NH3.lossfrac_shallow_plug</f>
        <v>0.25</v>
      </c>
      <c r="H54" s="95" t="s">
        <v>1694</v>
      </c>
    </row>
    <row r="55" spans="2:8" x14ac:dyDescent="0.3">
      <c r="B55" s="95" t="s">
        <v>5919</v>
      </c>
      <c r="C55" s="510"/>
      <c r="D55" s="510"/>
      <c r="E55" s="1353"/>
      <c r="F55" s="1384"/>
      <c r="G55" s="1878">
        <f>G52*G54</f>
        <v>4.7450821249999997</v>
      </c>
      <c r="H55" s="28" t="s">
        <v>5611</v>
      </c>
    </row>
    <row r="56" spans="2:8" x14ac:dyDescent="0.3">
      <c r="B56" s="95" t="s">
        <v>5612</v>
      </c>
      <c r="C56" s="49"/>
      <c r="D56" s="52"/>
      <c r="E56" s="1382" t="s">
        <v>5613</v>
      </c>
      <c r="F56" s="1415"/>
      <c r="G56" s="2288">
        <f>G55</f>
        <v>4.7450821249999997</v>
      </c>
      <c r="H56" s="28" t="s">
        <v>5611</v>
      </c>
    </row>
    <row r="57" spans="2:8" x14ac:dyDescent="0.3">
      <c r="B57" s="2283" t="s">
        <v>5614</v>
      </c>
      <c r="C57" s="1406"/>
      <c r="D57" s="1407"/>
      <c r="E57" s="2284"/>
      <c r="F57" s="1409"/>
      <c r="G57" s="2286"/>
      <c r="H57" s="2289"/>
    </row>
    <row r="58" spans="2:8" ht="15.6" x14ac:dyDescent="0.3">
      <c r="B58" s="28" t="s">
        <v>5920</v>
      </c>
      <c r="C58" s="510"/>
      <c r="D58" s="2285"/>
      <c r="E58" s="1353"/>
      <c r="F58" s="1384"/>
      <c r="G58" s="2290">
        <f>UDV.emit_N2O_direct.ef3_shallow_plug</f>
        <v>2E-3</v>
      </c>
      <c r="H58" s="28" t="s">
        <v>5616</v>
      </c>
    </row>
    <row r="59" spans="2:8" x14ac:dyDescent="0.3">
      <c r="B59" s="95" t="s">
        <v>5921</v>
      </c>
      <c r="C59" s="510"/>
      <c r="D59" s="2291"/>
      <c r="E59" s="1353"/>
      <c r="F59" s="1384"/>
      <c r="G59" s="1878">
        <f>G51*G52*G58</f>
        <v>5.9651376409799999E-2</v>
      </c>
      <c r="H59" s="28" t="s">
        <v>5618</v>
      </c>
    </row>
    <row r="60" spans="2:8" x14ac:dyDescent="0.3">
      <c r="B60" s="95" t="s">
        <v>5619</v>
      </c>
      <c r="C60" s="49"/>
      <c r="D60" s="52"/>
      <c r="E60" s="1382" t="s">
        <v>5620</v>
      </c>
      <c r="F60" s="1415"/>
      <c r="G60" s="2288">
        <f>G59</f>
        <v>5.9651376409799999E-2</v>
      </c>
      <c r="H60" s="28" t="s">
        <v>5618</v>
      </c>
    </row>
    <row r="61" spans="2:8" x14ac:dyDescent="0.3">
      <c r="B61" s="2283" t="s">
        <v>5621</v>
      </c>
      <c r="C61" s="1408"/>
      <c r="D61" s="1408"/>
      <c r="E61" s="2284"/>
      <c r="F61" s="1409"/>
      <c r="G61" s="2286"/>
      <c r="H61" s="2289"/>
    </row>
    <row r="62" spans="2:8" x14ac:dyDescent="0.3">
      <c r="B62" s="28" t="s">
        <v>5622</v>
      </c>
      <c r="C62" s="510"/>
      <c r="D62" s="2292"/>
      <c r="E62" s="1353"/>
      <c r="F62" s="1384"/>
      <c r="G62" s="1576">
        <f>UDV.emit_N2O_indirect.ef4</f>
        <v>1.4E-2</v>
      </c>
      <c r="H62" s="95" t="s">
        <v>5623</v>
      </c>
    </row>
    <row r="63" spans="2:8" x14ac:dyDescent="0.3">
      <c r="B63" s="95" t="s">
        <v>5922</v>
      </c>
      <c r="C63" s="816"/>
      <c r="D63" s="2293"/>
      <c r="E63" s="1353"/>
      <c r="F63" s="1384"/>
      <c r="G63" s="1878">
        <f>G51*G55*G62</f>
        <v>0.10438990871715</v>
      </c>
      <c r="H63" s="28" t="s">
        <v>5618</v>
      </c>
    </row>
    <row r="64" spans="2:8" x14ac:dyDescent="0.3">
      <c r="B64" s="95" t="s">
        <v>5625</v>
      </c>
      <c r="C64" s="49"/>
      <c r="D64" s="52"/>
      <c r="E64" s="1382" t="s">
        <v>5626</v>
      </c>
      <c r="F64" s="1415"/>
      <c r="G64" s="2288">
        <f>G63</f>
        <v>0.10438990871715</v>
      </c>
      <c r="H64" s="28" t="s">
        <v>5618</v>
      </c>
    </row>
    <row r="67" spans="2:8" s="1690" customFormat="1" x14ac:dyDescent="0.3"/>
    <row r="68" spans="2:8" s="1690" customFormat="1" x14ac:dyDescent="0.3"/>
    <row r="69" spans="2:8" s="1690" customFormat="1" x14ac:dyDescent="0.3">
      <c r="B69" s="1664" t="s">
        <v>5828</v>
      </c>
      <c r="C69" s="1665"/>
      <c r="D69" s="1665"/>
      <c r="E69" s="1665"/>
      <c r="F69" s="1666"/>
      <c r="G69" s="1666"/>
      <c r="H69" s="1667"/>
    </row>
    <row r="70" spans="2:8" s="1690" customFormat="1" x14ac:dyDescent="0.3">
      <c r="B70" s="1624" t="s">
        <v>5923</v>
      </c>
      <c r="C70" s="1625"/>
      <c r="D70" s="1625"/>
      <c r="E70" s="1625"/>
      <c r="F70" s="1625"/>
      <c r="G70" s="1626"/>
      <c r="H70" s="1626"/>
    </row>
    <row r="71" spans="2:8" x14ac:dyDescent="0.3">
      <c r="B71" s="49" t="s">
        <v>5510</v>
      </c>
      <c r="C71" s="49" t="s">
        <v>2321</v>
      </c>
      <c r="D71" s="49"/>
      <c r="E71" s="49"/>
      <c r="F71" s="49"/>
      <c r="G71" s="1360">
        <f>G7</f>
        <v>52.142857142857146</v>
      </c>
      <c r="H71" s="49"/>
    </row>
    <row r="72" spans="2:8" x14ac:dyDescent="0.3">
      <c r="B72" s="49" t="s">
        <v>5829</v>
      </c>
      <c r="C72" s="49" t="s">
        <v>5910</v>
      </c>
      <c r="D72" s="49"/>
      <c r="E72" s="49"/>
      <c r="F72" s="49"/>
      <c r="G72" s="1360">
        <f>G9</f>
        <v>16.2</v>
      </c>
      <c r="H72" s="49"/>
    </row>
    <row r="73" spans="2:8" x14ac:dyDescent="0.3">
      <c r="B73" s="49" t="s">
        <v>5802</v>
      </c>
      <c r="C73" s="49" t="s">
        <v>2442</v>
      </c>
      <c r="D73" s="49"/>
      <c r="E73" s="49"/>
      <c r="F73" s="49"/>
      <c r="G73" s="648">
        <f>G27</f>
        <v>1</v>
      </c>
      <c r="H73" s="49"/>
    </row>
    <row r="74" spans="2:8" x14ac:dyDescent="0.3">
      <c r="B74" s="49" t="s">
        <v>5797</v>
      </c>
      <c r="C74" s="49" t="s">
        <v>971</v>
      </c>
      <c r="D74" s="49"/>
      <c r="E74" s="49"/>
      <c r="F74" s="49"/>
      <c r="G74" s="1209">
        <f>G24</f>
        <v>4.9783549783549788</v>
      </c>
      <c r="H74" s="49"/>
    </row>
    <row r="75" spans="2:8" x14ac:dyDescent="0.3">
      <c r="B75" s="49" t="s">
        <v>5804</v>
      </c>
      <c r="C75" s="49" t="s">
        <v>2471</v>
      </c>
      <c r="D75" s="49"/>
      <c r="E75" s="49"/>
      <c r="F75" s="49"/>
      <c r="G75" s="1209">
        <f>G28</f>
        <v>6.7929956228571425E-2</v>
      </c>
      <c r="H75" s="49"/>
    </row>
    <row r="76" spans="2:8" x14ac:dyDescent="0.3">
      <c r="B76" s="49" t="s">
        <v>5808</v>
      </c>
      <c r="C76" s="49" t="s">
        <v>5809</v>
      </c>
      <c r="D76" s="49"/>
      <c r="E76" s="49"/>
      <c r="F76" s="49"/>
      <c r="G76" s="1209">
        <f>G30</f>
        <v>0.25218036129032084</v>
      </c>
    </row>
    <row r="77" spans="2:8" x14ac:dyDescent="0.3">
      <c r="B77" s="85" t="s">
        <v>5819</v>
      </c>
      <c r="C77" s="49" t="s">
        <v>2340</v>
      </c>
      <c r="D77" s="49"/>
      <c r="E77" s="49"/>
      <c r="F77" s="49"/>
      <c r="G77" s="1209">
        <f>G40</f>
        <v>600</v>
      </c>
    </row>
    <row r="78" spans="2:8" x14ac:dyDescent="0.3">
      <c r="B78" s="510" t="s">
        <v>5820</v>
      </c>
      <c r="C78" s="49" t="s">
        <v>2340</v>
      </c>
      <c r="D78" s="49"/>
      <c r="E78" s="49"/>
      <c r="F78" s="49"/>
      <c r="G78" s="1209">
        <f>G41</f>
        <v>200</v>
      </c>
    </row>
    <row r="81" spans="1:7" s="1661" customFormat="1" x14ac:dyDescent="0.3">
      <c r="A81" s="1660" t="s">
        <v>1901</v>
      </c>
      <c r="B81" s="1703"/>
      <c r="C81" s="1703"/>
      <c r="D81" s="1703"/>
      <c r="E81" s="1703"/>
      <c r="F81" s="1703"/>
      <c r="G81" s="1703"/>
    </row>
    <row r="82" spans="1:7" s="1661" customFormat="1" x14ac:dyDescent="0.3">
      <c r="A82" s="1660"/>
      <c r="B82" s="1703"/>
      <c r="C82" s="1703"/>
      <c r="D82" s="1703"/>
      <c r="E82" s="1703"/>
      <c r="F82" s="1703"/>
      <c r="G82" s="1703"/>
    </row>
    <row r="83" spans="1:7" s="1661" customFormat="1" x14ac:dyDescent="0.3">
      <c r="A83" s="1660"/>
      <c r="B83" s="1702" t="s">
        <v>5747</v>
      </c>
      <c r="C83" s="1702" t="s">
        <v>38</v>
      </c>
      <c r="D83" s="1702"/>
      <c r="E83" s="1702"/>
      <c r="F83" s="1702" t="s">
        <v>602</v>
      </c>
      <c r="G83" s="1702" t="s">
        <v>5474</v>
      </c>
    </row>
    <row r="84" spans="1:7" x14ac:dyDescent="0.3">
      <c r="B84" s="1668" t="s">
        <v>409</v>
      </c>
      <c r="C84" s="1669"/>
      <c r="D84" s="1670"/>
      <c r="E84" s="1670"/>
      <c r="F84" s="1680"/>
      <c r="G84" s="1671"/>
    </row>
    <row r="85" spans="1:7" x14ac:dyDescent="0.3">
      <c r="B85" s="49" t="s">
        <v>5924</v>
      </c>
      <c r="C85" s="49" t="s">
        <v>5769</v>
      </c>
      <c r="D85" s="49"/>
      <c r="E85" s="49"/>
      <c r="F85" s="49"/>
      <c r="G85" s="1360">
        <f>F30</f>
        <v>0.18409166374193422</v>
      </c>
    </row>
    <row r="86" spans="1:7" x14ac:dyDescent="0.3">
      <c r="B86" s="1668" t="s">
        <v>447</v>
      </c>
      <c r="C86" s="1669"/>
      <c r="D86" s="1670"/>
      <c r="E86" s="1670"/>
      <c r="F86" s="1670"/>
      <c r="G86" s="1671"/>
    </row>
    <row r="87" spans="1:7" x14ac:dyDescent="0.3">
      <c r="B87" s="49" t="s">
        <v>5925</v>
      </c>
      <c r="C87" s="49" t="s">
        <v>2268</v>
      </c>
      <c r="D87" s="49"/>
      <c r="E87" s="49"/>
      <c r="F87" s="49"/>
      <c r="G87" s="1360">
        <f>G21</f>
        <v>40.061693590059214</v>
      </c>
    </row>
    <row r="88" spans="1:7" x14ac:dyDescent="0.3">
      <c r="B88" s="1816" t="s">
        <v>415</v>
      </c>
      <c r="C88" s="1669"/>
      <c r="D88" s="1670"/>
      <c r="E88" s="1670"/>
      <c r="F88" s="1670"/>
      <c r="G88" s="1671"/>
    </row>
    <row r="89" spans="1:7" x14ac:dyDescent="0.3">
      <c r="B89" s="49" t="s">
        <v>5926</v>
      </c>
      <c r="C89" s="49" t="s">
        <v>5838</v>
      </c>
      <c r="D89" s="49"/>
      <c r="E89" s="49"/>
      <c r="F89" s="49"/>
      <c r="G89" s="1360">
        <f>G6*UC.year_to_day/UDV.animal.total</f>
        <v>0</v>
      </c>
    </row>
    <row r="90" spans="1:7" x14ac:dyDescent="0.3">
      <c r="B90" s="1816" t="s">
        <v>5271</v>
      </c>
      <c r="C90" s="1669"/>
      <c r="D90" s="1670"/>
      <c r="E90" s="1670"/>
      <c r="F90" s="1670"/>
      <c r="G90" s="1671"/>
    </row>
    <row r="91" spans="1:7" x14ac:dyDescent="0.3">
      <c r="B91" s="49" t="s">
        <v>5927</v>
      </c>
      <c r="C91" s="49" t="s">
        <v>2385</v>
      </c>
      <c r="D91" s="49"/>
      <c r="E91" s="49"/>
      <c r="F91" s="49"/>
      <c r="G91" s="1209">
        <f>G48</f>
        <v>1.9630090140970797</v>
      </c>
    </row>
    <row r="92" spans="1:7" x14ac:dyDescent="0.3">
      <c r="B92" s="49" t="s">
        <v>5928</v>
      </c>
      <c r="C92" s="49" t="s">
        <v>2385</v>
      </c>
      <c r="D92" s="49"/>
      <c r="E92" s="49"/>
      <c r="F92" s="49"/>
      <c r="G92" s="1209">
        <f>G56</f>
        <v>4.7450821249999997</v>
      </c>
    </row>
    <row r="93" spans="1:7" x14ac:dyDescent="0.3">
      <c r="B93" s="91" t="s">
        <v>5929</v>
      </c>
      <c r="C93" s="49" t="s">
        <v>2385</v>
      </c>
      <c r="D93" s="49"/>
      <c r="E93" s="49"/>
      <c r="F93" s="49"/>
      <c r="G93" s="1209">
        <f>G60</f>
        <v>5.9651376409799999E-2</v>
      </c>
    </row>
    <row r="94" spans="1:7" x14ac:dyDescent="0.3">
      <c r="B94" s="49" t="s">
        <v>5930</v>
      </c>
      <c r="C94" s="49" t="s">
        <v>2385</v>
      </c>
      <c r="D94" s="49"/>
      <c r="E94" s="49"/>
      <c r="F94" s="49"/>
      <c r="G94" s="1209">
        <f>G64</f>
        <v>0.10438990871715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E858-84B9-4BC6-9C5F-B3FF53C544DD}">
  <sheetPr>
    <tabColor rgb="FF92D050"/>
  </sheetPr>
  <dimension ref="A2:P39"/>
  <sheetViews>
    <sheetView workbookViewId="0">
      <selection sqref="A1:C1"/>
    </sheetView>
  </sheetViews>
  <sheetFormatPr defaultRowHeight="14.4" x14ac:dyDescent="0.3"/>
  <cols>
    <col min="2" max="2" width="49.6640625" bestFit="1" customWidth="1"/>
    <col min="3" max="3" width="14.33203125" bestFit="1" customWidth="1"/>
    <col min="4" max="4" width="2.109375" customWidth="1"/>
    <col min="5" max="5" width="20.44140625" bestFit="1" customWidth="1"/>
    <col min="6" max="6" width="14.33203125" bestFit="1" customWidth="1"/>
    <col min="7" max="15" width="11.5546875" customWidth="1"/>
    <col min="16" max="16" width="14.33203125" bestFit="1" customWidth="1"/>
  </cols>
  <sheetData>
    <row r="2" spans="2:16" x14ac:dyDescent="0.3">
      <c r="B2" s="1356" t="s">
        <v>5931</v>
      </c>
      <c r="C2" s="1356"/>
      <c r="D2" s="1356"/>
      <c r="E2" s="1374"/>
      <c r="F2" s="1375" t="s">
        <v>602</v>
      </c>
      <c r="G2" s="1735">
        <v>6</v>
      </c>
      <c r="H2" s="1735">
        <v>7</v>
      </c>
      <c r="I2" s="1735">
        <v>8</v>
      </c>
      <c r="J2" s="1735">
        <v>9</v>
      </c>
      <c r="K2" s="1735">
        <v>10</v>
      </c>
      <c r="L2" s="1735">
        <v>11</v>
      </c>
      <c r="M2" s="1735">
        <v>12</v>
      </c>
      <c r="N2" s="1735">
        <v>13</v>
      </c>
      <c r="O2" s="1735">
        <v>14</v>
      </c>
      <c r="P2" s="1375"/>
    </row>
    <row r="3" spans="2:16" x14ac:dyDescent="0.3">
      <c r="B3" s="1376" t="s">
        <v>5932</v>
      </c>
      <c r="C3" s="91"/>
      <c r="D3" s="52"/>
      <c r="E3" s="52"/>
      <c r="F3" s="52"/>
      <c r="G3" s="1377">
        <f>PT.waste_generation!$G24</f>
        <v>31283.734452421984</v>
      </c>
      <c r="H3" s="1377">
        <f>PT.waste_generation!$G31</f>
        <v>2893.7344524219839</v>
      </c>
      <c r="I3" s="1377">
        <f>PT.waste_generation!$G40</f>
        <v>5208.0201667076981</v>
      </c>
      <c r="J3" s="1377">
        <f>PT.waste_generation!$G24</f>
        <v>31283.734452421984</v>
      </c>
      <c r="K3" s="1377">
        <f>PT.waste_generation!$G31</f>
        <v>2893.7344524219839</v>
      </c>
      <c r="L3" s="1377">
        <f>PT.waste_generation!$G40</f>
        <v>5208.0201667076981</v>
      </c>
      <c r="M3" s="1377">
        <f>PT.waste_generation!$G31</f>
        <v>2893.7344524219839</v>
      </c>
      <c r="N3" s="1377">
        <f>PT.waste_generation!$G31</f>
        <v>2893.7344524219839</v>
      </c>
      <c r="O3" s="1377">
        <f>PT.waste_generation!$G31</f>
        <v>2893.7344524219839</v>
      </c>
      <c r="P3" s="510" t="s">
        <v>2519</v>
      </c>
    </row>
    <row r="4" spans="2:16" x14ac:dyDescent="0.3">
      <c r="B4" s="49" t="s">
        <v>5933</v>
      </c>
      <c r="C4" s="49"/>
      <c r="D4" s="52"/>
      <c r="E4" s="52"/>
      <c r="F4" s="48"/>
      <c r="G4" s="1378">
        <f t="shared" ref="G4:O4" si="0">UDV.reception_pit.removal_time</f>
        <v>1</v>
      </c>
      <c r="H4" s="1378">
        <f t="shared" si="0"/>
        <v>1</v>
      </c>
      <c r="I4" s="1378">
        <f t="shared" si="0"/>
        <v>1</v>
      </c>
      <c r="J4" s="1378">
        <f t="shared" si="0"/>
        <v>1</v>
      </c>
      <c r="K4" s="1378">
        <f t="shared" si="0"/>
        <v>1</v>
      </c>
      <c r="L4" s="1378">
        <f t="shared" si="0"/>
        <v>1</v>
      </c>
      <c r="M4" s="1378">
        <f t="shared" si="0"/>
        <v>1</v>
      </c>
      <c r="N4" s="1378">
        <f t="shared" si="0"/>
        <v>1</v>
      </c>
      <c r="O4" s="1378">
        <f t="shared" si="0"/>
        <v>1</v>
      </c>
      <c r="P4" s="510" t="s">
        <v>2452</v>
      </c>
    </row>
    <row r="5" spans="2:16" x14ac:dyDescent="0.3">
      <c r="B5" s="49" t="s">
        <v>5934</v>
      </c>
      <c r="C5" s="49"/>
      <c r="D5" s="52"/>
      <c r="E5" s="52"/>
      <c r="F5" s="48"/>
      <c r="G5" s="1378">
        <f t="shared" ref="G5:O5" si="1">UDV.reception_pit.concrete_thickness</f>
        <v>0.15240000000000001</v>
      </c>
      <c r="H5" s="1378">
        <f t="shared" si="1"/>
        <v>0.15240000000000001</v>
      </c>
      <c r="I5" s="1378">
        <f t="shared" si="1"/>
        <v>0.15240000000000001</v>
      </c>
      <c r="J5" s="1378">
        <f t="shared" si="1"/>
        <v>0.15240000000000001</v>
      </c>
      <c r="K5" s="1378">
        <f t="shared" si="1"/>
        <v>0.15240000000000001</v>
      </c>
      <c r="L5" s="1378">
        <f t="shared" si="1"/>
        <v>0.15240000000000001</v>
      </c>
      <c r="M5" s="1378">
        <f t="shared" si="1"/>
        <v>0.15240000000000001</v>
      </c>
      <c r="N5" s="1378">
        <f t="shared" si="1"/>
        <v>0.15240000000000001</v>
      </c>
      <c r="O5" s="1378">
        <f t="shared" si="1"/>
        <v>0.15240000000000001</v>
      </c>
      <c r="P5" s="510" t="s">
        <v>2337</v>
      </c>
    </row>
    <row r="6" spans="2:16" x14ac:dyDescent="0.3">
      <c r="B6" s="49" t="s">
        <v>5935</v>
      </c>
      <c r="C6" s="49"/>
      <c r="D6" s="52"/>
      <c r="E6" s="52"/>
      <c r="F6" s="48"/>
      <c r="G6" s="1378">
        <f t="shared" ref="G6:O6" si="2">UDV.reception_pit.width</f>
        <v>20</v>
      </c>
      <c r="H6" s="1378">
        <f t="shared" si="2"/>
        <v>20</v>
      </c>
      <c r="I6" s="1378">
        <f t="shared" si="2"/>
        <v>20</v>
      </c>
      <c r="J6" s="1378">
        <f t="shared" si="2"/>
        <v>20</v>
      </c>
      <c r="K6" s="1378">
        <f t="shared" si="2"/>
        <v>20</v>
      </c>
      <c r="L6" s="1378">
        <f t="shared" si="2"/>
        <v>20</v>
      </c>
      <c r="M6" s="1378">
        <f t="shared" si="2"/>
        <v>20</v>
      </c>
      <c r="N6" s="1378">
        <f t="shared" si="2"/>
        <v>20</v>
      </c>
      <c r="O6" s="1378">
        <f t="shared" si="2"/>
        <v>20</v>
      </c>
      <c r="P6" s="510" t="s">
        <v>2337</v>
      </c>
    </row>
    <row r="7" spans="2:16" x14ac:dyDescent="0.3">
      <c r="B7" s="49" t="s">
        <v>5936</v>
      </c>
      <c r="C7" s="49"/>
      <c r="D7" s="52"/>
      <c r="E7" s="52"/>
      <c r="F7" s="48"/>
      <c r="G7" s="1378">
        <f t="shared" ref="G7:O7" si="3">UDV.reception_pit.depth</f>
        <v>3.6570000000000005</v>
      </c>
      <c r="H7" s="1378">
        <f t="shared" si="3"/>
        <v>3.6570000000000005</v>
      </c>
      <c r="I7" s="1378">
        <f t="shared" si="3"/>
        <v>3.6570000000000005</v>
      </c>
      <c r="J7" s="1378">
        <f t="shared" si="3"/>
        <v>3.6570000000000005</v>
      </c>
      <c r="K7" s="1378">
        <f t="shared" si="3"/>
        <v>3.6570000000000005</v>
      </c>
      <c r="L7" s="1378">
        <f t="shared" si="3"/>
        <v>3.6570000000000005</v>
      </c>
      <c r="M7" s="1378">
        <f t="shared" si="3"/>
        <v>3.6570000000000005</v>
      </c>
      <c r="N7" s="1378">
        <f t="shared" si="3"/>
        <v>3.6570000000000005</v>
      </c>
      <c r="O7" s="1378">
        <f t="shared" si="3"/>
        <v>3.6570000000000005</v>
      </c>
      <c r="P7" s="510" t="s">
        <v>2337</v>
      </c>
    </row>
    <row r="8" spans="2:16" x14ac:dyDescent="0.3">
      <c r="B8" s="1376" t="s">
        <v>5937</v>
      </c>
      <c r="C8" s="49"/>
      <c r="D8" s="52"/>
      <c r="E8" s="52"/>
      <c r="F8" s="48"/>
      <c r="G8" s="1379">
        <f t="shared" ref="G8:O8" si="4">G3*G4*UC.L_to_m3</f>
        <v>31.283734452421985</v>
      </c>
      <c r="H8" s="1379">
        <f t="shared" si="4"/>
        <v>2.8937344524219841</v>
      </c>
      <c r="I8" s="1379">
        <f t="shared" si="4"/>
        <v>5.2080201667076986</v>
      </c>
      <c r="J8" s="1379">
        <f t="shared" si="4"/>
        <v>31.283734452421985</v>
      </c>
      <c r="K8" s="1379">
        <f t="shared" si="4"/>
        <v>2.8937344524219841</v>
      </c>
      <c r="L8" s="1379">
        <f t="shared" si="4"/>
        <v>5.2080201667076986</v>
      </c>
      <c r="M8" s="1379">
        <f t="shared" si="4"/>
        <v>2.8937344524219841</v>
      </c>
      <c r="N8" s="1379">
        <f t="shared" si="4"/>
        <v>2.8937344524219841</v>
      </c>
      <c r="O8" s="1379">
        <f t="shared" si="4"/>
        <v>2.8937344524219841</v>
      </c>
      <c r="P8" s="510" t="s">
        <v>2478</v>
      </c>
    </row>
    <row r="9" spans="2:16" x14ac:dyDescent="0.3">
      <c r="B9" s="49" t="s">
        <v>5938</v>
      </c>
      <c r="C9" s="49"/>
      <c r="D9" s="52"/>
      <c r="E9" s="52"/>
      <c r="F9" s="48"/>
      <c r="G9" s="1380">
        <f>G8/(G6*G7)</f>
        <v>0.42772401493604018</v>
      </c>
      <c r="H9" s="1380">
        <f t="shared" ref="H9:O9" si="5">H8/(H6*H7)</f>
        <v>3.9564321198003606E-2</v>
      </c>
      <c r="I9" s="1380">
        <f t="shared" si="5"/>
        <v>7.1206182208199312E-2</v>
      </c>
      <c r="J9" s="1380">
        <f t="shared" si="5"/>
        <v>0.42772401493604018</v>
      </c>
      <c r="K9" s="1380">
        <f t="shared" si="5"/>
        <v>3.9564321198003606E-2</v>
      </c>
      <c r="L9" s="1380">
        <f t="shared" si="5"/>
        <v>7.1206182208199312E-2</v>
      </c>
      <c r="M9" s="1380">
        <f t="shared" si="5"/>
        <v>3.9564321198003606E-2</v>
      </c>
      <c r="N9" s="1380">
        <f t="shared" si="5"/>
        <v>3.9564321198003606E-2</v>
      </c>
      <c r="O9" s="1380">
        <f t="shared" si="5"/>
        <v>3.9564321198003606E-2</v>
      </c>
      <c r="P9" s="510" t="s">
        <v>2337</v>
      </c>
    </row>
    <row r="10" spans="2:16" x14ac:dyDescent="0.3">
      <c r="B10" s="49" t="s">
        <v>5939</v>
      </c>
      <c r="C10" s="49"/>
      <c r="D10" s="52"/>
      <c r="E10" s="1381" t="s">
        <v>5785</v>
      </c>
      <c r="F10" s="48"/>
      <c r="G10" s="1379">
        <f>G6*G9</f>
        <v>8.5544802987208044</v>
      </c>
      <c r="H10" s="1379">
        <f t="shared" ref="H10:O10" si="6">H6*H9</f>
        <v>0.79128642396007209</v>
      </c>
      <c r="I10" s="1379">
        <f t="shared" si="6"/>
        <v>1.4241236441639862</v>
      </c>
      <c r="J10" s="1379">
        <f t="shared" si="6"/>
        <v>8.5544802987208044</v>
      </c>
      <c r="K10" s="1379">
        <f t="shared" si="6"/>
        <v>0.79128642396007209</v>
      </c>
      <c r="L10" s="1379">
        <f t="shared" si="6"/>
        <v>1.4241236441639862</v>
      </c>
      <c r="M10" s="1379">
        <f t="shared" si="6"/>
        <v>0.79128642396007209</v>
      </c>
      <c r="N10" s="1379">
        <f t="shared" si="6"/>
        <v>0.79128642396007209</v>
      </c>
      <c r="O10" s="1379">
        <f t="shared" si="6"/>
        <v>0.79128642396007209</v>
      </c>
      <c r="P10" s="510" t="s">
        <v>2268</v>
      </c>
    </row>
    <row r="11" spans="2:16" x14ac:dyDescent="0.3">
      <c r="B11" s="49" t="s">
        <v>5940</v>
      </c>
      <c r="C11" s="49"/>
      <c r="D11" s="52"/>
      <c r="E11" s="52"/>
      <c r="F11" s="48"/>
      <c r="G11" s="1379">
        <f>2*(G6*G7+G7*G9)+G6*G9</f>
        <v>157.96285374396302</v>
      </c>
      <c r="H11" s="1379">
        <f t="shared" ref="H11:O11" si="7">2*(H6*H7+H7*H9)+H6*H9</f>
        <v>147.36065986920229</v>
      </c>
      <c r="I11" s="1379">
        <f t="shared" si="7"/>
        <v>148.22492566083477</v>
      </c>
      <c r="J11" s="1379">
        <f t="shared" si="7"/>
        <v>157.96285374396302</v>
      </c>
      <c r="K11" s="1379">
        <f t="shared" si="7"/>
        <v>147.36065986920229</v>
      </c>
      <c r="L11" s="1379">
        <f t="shared" si="7"/>
        <v>148.22492566083477</v>
      </c>
      <c r="M11" s="1379">
        <f t="shared" si="7"/>
        <v>147.36065986920229</v>
      </c>
      <c r="N11" s="1379">
        <f t="shared" si="7"/>
        <v>147.36065986920229</v>
      </c>
      <c r="O11" s="1379">
        <f t="shared" si="7"/>
        <v>147.36065986920229</v>
      </c>
      <c r="P11" s="510" t="s">
        <v>2268</v>
      </c>
    </row>
    <row r="12" spans="2:16" x14ac:dyDescent="0.3">
      <c r="B12" s="49" t="s">
        <v>5941</v>
      </c>
      <c r="C12" s="49"/>
      <c r="D12" s="52"/>
      <c r="E12" s="1382" t="s">
        <v>5942</v>
      </c>
      <c r="F12" s="48"/>
      <c r="G12" s="1379">
        <f>G5*G11</f>
        <v>24.073538910579966</v>
      </c>
      <c r="H12" s="1379">
        <f t="shared" ref="H12:O12" si="8">H5*H11</f>
        <v>22.45776456406643</v>
      </c>
      <c r="I12" s="1379">
        <f t="shared" si="8"/>
        <v>22.58947867071122</v>
      </c>
      <c r="J12" s="1379">
        <f t="shared" si="8"/>
        <v>24.073538910579966</v>
      </c>
      <c r="K12" s="1379">
        <f t="shared" si="8"/>
        <v>22.45776456406643</v>
      </c>
      <c r="L12" s="1379">
        <f t="shared" si="8"/>
        <v>22.58947867071122</v>
      </c>
      <c r="M12" s="1379">
        <f t="shared" si="8"/>
        <v>22.45776456406643</v>
      </c>
      <c r="N12" s="1379">
        <f t="shared" si="8"/>
        <v>22.45776456406643</v>
      </c>
      <c r="O12" s="1379">
        <f t="shared" si="8"/>
        <v>22.45776456406643</v>
      </c>
      <c r="P12" s="510" t="s">
        <v>2478</v>
      </c>
    </row>
    <row r="13" spans="2:16" x14ac:dyDescent="0.3">
      <c r="B13" s="1356" t="s">
        <v>5943</v>
      </c>
      <c r="C13" s="1356"/>
      <c r="D13" s="1356"/>
      <c r="E13" s="1374"/>
      <c r="F13" s="1375"/>
      <c r="G13" s="1383"/>
      <c r="H13" s="1383"/>
      <c r="I13" s="1383"/>
      <c r="J13" s="1383"/>
      <c r="K13" s="1383"/>
      <c r="L13" s="1383"/>
      <c r="M13" s="1383"/>
      <c r="N13" s="1383"/>
      <c r="O13" s="1383"/>
      <c r="P13" s="1375"/>
    </row>
    <row r="14" spans="2:16" x14ac:dyDescent="0.3">
      <c r="B14" s="1376" t="s">
        <v>5944</v>
      </c>
      <c r="C14" s="91"/>
      <c r="D14" s="52"/>
      <c r="E14" s="52"/>
      <c r="F14" s="52"/>
      <c r="G14" s="1378">
        <f t="shared" ref="G14:O14" si="9">UDV.reception_pit.agitation_motor_hp</f>
        <v>15</v>
      </c>
      <c r="H14" s="1378">
        <f t="shared" si="9"/>
        <v>15</v>
      </c>
      <c r="I14" s="1378">
        <f t="shared" si="9"/>
        <v>15</v>
      </c>
      <c r="J14" s="1378">
        <f t="shared" si="9"/>
        <v>15</v>
      </c>
      <c r="K14" s="1378">
        <f t="shared" si="9"/>
        <v>15</v>
      </c>
      <c r="L14" s="1378">
        <f t="shared" si="9"/>
        <v>15</v>
      </c>
      <c r="M14" s="1378">
        <f t="shared" si="9"/>
        <v>15</v>
      </c>
      <c r="N14" s="1378">
        <f t="shared" si="9"/>
        <v>15</v>
      </c>
      <c r="O14" s="1378">
        <f t="shared" si="9"/>
        <v>15</v>
      </c>
      <c r="P14" s="510" t="s">
        <v>971</v>
      </c>
    </row>
    <row r="15" spans="2:16" x14ac:dyDescent="0.3">
      <c r="B15" s="91" t="s">
        <v>5945</v>
      </c>
      <c r="C15" s="91"/>
      <c r="D15" s="52"/>
      <c r="E15" s="52"/>
      <c r="F15" s="52"/>
      <c r="G15" s="1379">
        <f t="shared" ref="G15:O15" si="10">UDV.reception_pit.pump_flowrate*UC.hour_to_min*UC.gal_to_m3</f>
        <v>85.171724999999995</v>
      </c>
      <c r="H15" s="1379">
        <f t="shared" si="10"/>
        <v>85.171724999999995</v>
      </c>
      <c r="I15" s="1379">
        <f t="shared" si="10"/>
        <v>85.171724999999995</v>
      </c>
      <c r="J15" s="1379">
        <f t="shared" si="10"/>
        <v>85.171724999999995</v>
      </c>
      <c r="K15" s="1379">
        <f t="shared" si="10"/>
        <v>85.171724999999995</v>
      </c>
      <c r="L15" s="1379">
        <f t="shared" si="10"/>
        <v>85.171724999999995</v>
      </c>
      <c r="M15" s="1379">
        <f t="shared" si="10"/>
        <v>85.171724999999995</v>
      </c>
      <c r="N15" s="1379">
        <f t="shared" si="10"/>
        <v>85.171724999999995</v>
      </c>
      <c r="O15" s="1379">
        <f t="shared" si="10"/>
        <v>85.171724999999995</v>
      </c>
      <c r="P15" s="510" t="s">
        <v>2523</v>
      </c>
    </row>
    <row r="16" spans="2:16" x14ac:dyDescent="0.3">
      <c r="B16" s="91" t="s">
        <v>5946</v>
      </c>
      <c r="C16" s="91"/>
      <c r="D16" s="52"/>
      <c r="E16" s="52"/>
      <c r="F16" s="52"/>
      <c r="G16" s="1378">
        <f t="shared" ref="G16:O16" si="11">UDV.reception_pit.pump_hours</f>
        <v>12</v>
      </c>
      <c r="H16" s="1378">
        <f t="shared" si="11"/>
        <v>12</v>
      </c>
      <c r="I16" s="1378">
        <f t="shared" si="11"/>
        <v>12</v>
      </c>
      <c r="J16" s="1378">
        <f t="shared" si="11"/>
        <v>12</v>
      </c>
      <c r="K16" s="1378">
        <f t="shared" si="11"/>
        <v>12</v>
      </c>
      <c r="L16" s="1378">
        <f t="shared" si="11"/>
        <v>12</v>
      </c>
      <c r="M16" s="1378">
        <f t="shared" si="11"/>
        <v>12</v>
      </c>
      <c r="N16" s="1378">
        <f t="shared" si="11"/>
        <v>12</v>
      </c>
      <c r="O16" s="1378">
        <f t="shared" si="11"/>
        <v>12</v>
      </c>
      <c r="P16" s="510" t="s">
        <v>5947</v>
      </c>
    </row>
    <row r="17" spans="1:16" x14ac:dyDescent="0.3">
      <c r="B17" s="1376" t="s">
        <v>5948</v>
      </c>
      <c r="C17" s="91"/>
      <c r="D17" s="52"/>
      <c r="E17" s="52"/>
      <c r="F17" s="52"/>
      <c r="G17" s="1384">
        <f>ROUNDUP(G8/G15/G16,0)</f>
        <v>1</v>
      </c>
      <c r="H17" s="1384">
        <f t="shared" ref="H17:O17" si="12">ROUNDUP(H8/H15/H16,0)</f>
        <v>1</v>
      </c>
      <c r="I17" s="1384">
        <f t="shared" si="12"/>
        <v>1</v>
      </c>
      <c r="J17" s="1384">
        <f t="shared" si="12"/>
        <v>1</v>
      </c>
      <c r="K17" s="1384">
        <f t="shared" si="12"/>
        <v>1</v>
      </c>
      <c r="L17" s="1384">
        <f t="shared" si="12"/>
        <v>1</v>
      </c>
      <c r="M17" s="1384">
        <f t="shared" si="12"/>
        <v>1</v>
      </c>
      <c r="N17" s="1384">
        <f t="shared" si="12"/>
        <v>1</v>
      </c>
      <c r="O17" s="1384">
        <f t="shared" si="12"/>
        <v>1</v>
      </c>
      <c r="P17" s="510" t="s">
        <v>5803</v>
      </c>
    </row>
    <row r="18" spans="1:16" x14ac:dyDescent="0.3">
      <c r="B18" s="91" t="s">
        <v>5949</v>
      </c>
      <c r="C18" s="91"/>
      <c r="D18" s="52"/>
      <c r="E18" s="52"/>
      <c r="F18" s="52"/>
      <c r="G18" s="1380">
        <f>G8/(G15*G17)</f>
        <v>0.36730187691304816</v>
      </c>
      <c r="H18" s="1380">
        <f t="shared" ref="H18:O18" si="13">H8/(H15*H17)</f>
        <v>3.3975294646456725E-2</v>
      </c>
      <c r="I18" s="1380">
        <f t="shared" si="13"/>
        <v>6.1147289980421307E-2</v>
      </c>
      <c r="J18" s="1380">
        <f t="shared" si="13"/>
        <v>0.36730187691304816</v>
      </c>
      <c r="K18" s="1380">
        <f t="shared" si="13"/>
        <v>3.3975294646456725E-2</v>
      </c>
      <c r="L18" s="1380">
        <f t="shared" si="13"/>
        <v>6.1147289980421307E-2</v>
      </c>
      <c r="M18" s="1380">
        <f t="shared" si="13"/>
        <v>3.3975294646456725E-2</v>
      </c>
      <c r="N18" s="1380">
        <f t="shared" si="13"/>
        <v>3.3975294646456725E-2</v>
      </c>
      <c r="O18" s="1380">
        <f t="shared" si="13"/>
        <v>3.3975294646456725E-2</v>
      </c>
      <c r="P18" s="510" t="s">
        <v>5950</v>
      </c>
    </row>
    <row r="19" spans="1:16" x14ac:dyDescent="0.3">
      <c r="B19" s="510" t="s">
        <v>5806</v>
      </c>
      <c r="C19" s="91"/>
      <c r="D19" s="52"/>
      <c r="E19" s="510"/>
      <c r="F19" s="52"/>
      <c r="G19" s="1380">
        <f t="shared" ref="G19:O19" si="14">G14*G17*UC.hp_to_kW</f>
        <v>11.185498050000001</v>
      </c>
      <c r="H19" s="1380">
        <f t="shared" si="14"/>
        <v>11.185498050000001</v>
      </c>
      <c r="I19" s="1380">
        <f t="shared" si="14"/>
        <v>11.185498050000001</v>
      </c>
      <c r="J19" s="1380">
        <f t="shared" si="14"/>
        <v>11.185498050000001</v>
      </c>
      <c r="K19" s="1380">
        <f t="shared" si="14"/>
        <v>11.185498050000001</v>
      </c>
      <c r="L19" s="1380">
        <f t="shared" si="14"/>
        <v>11.185498050000001</v>
      </c>
      <c r="M19" s="1380">
        <f t="shared" si="14"/>
        <v>11.185498050000001</v>
      </c>
      <c r="N19" s="1380">
        <f t="shared" si="14"/>
        <v>11.185498050000001</v>
      </c>
      <c r="O19" s="1380">
        <f t="shared" si="14"/>
        <v>11.185498050000001</v>
      </c>
      <c r="P19" s="510" t="s">
        <v>2548</v>
      </c>
    </row>
    <row r="20" spans="1:16" x14ac:dyDescent="0.3">
      <c r="B20" s="717" t="s">
        <v>5808</v>
      </c>
      <c r="C20" s="91"/>
      <c r="D20" s="52"/>
      <c r="E20" s="1385" t="s">
        <v>5551</v>
      </c>
      <c r="F20" s="496"/>
      <c r="G20" s="1380">
        <f>G19*G18</f>
        <v>4.1084544279722408</v>
      </c>
      <c r="H20" s="1380">
        <f t="shared" ref="H20:O20" si="15">H19*H18</f>
        <v>0.38003059201611716</v>
      </c>
      <c r="I20" s="1380">
        <f t="shared" si="15"/>
        <v>0.6839628928387872</v>
      </c>
      <c r="J20" s="1380">
        <f t="shared" si="15"/>
        <v>4.1084544279722408</v>
      </c>
      <c r="K20" s="1380">
        <f t="shared" si="15"/>
        <v>0.38003059201611716</v>
      </c>
      <c r="L20" s="1380">
        <f t="shared" si="15"/>
        <v>0.6839628928387872</v>
      </c>
      <c r="M20" s="1380">
        <f t="shared" si="15"/>
        <v>0.38003059201611716</v>
      </c>
      <c r="N20" s="1380">
        <f t="shared" si="15"/>
        <v>0.38003059201611716</v>
      </c>
      <c r="O20" s="1380">
        <f t="shared" si="15"/>
        <v>0.38003059201611716</v>
      </c>
      <c r="P20" s="510" t="s">
        <v>5809</v>
      </c>
    </row>
    <row r="23" spans="1:16" x14ac:dyDescent="0.3">
      <c r="A23" s="1693" t="s">
        <v>5721</v>
      </c>
      <c r="B23" s="1693"/>
      <c r="C23" s="1693"/>
      <c r="D23" s="1693"/>
      <c r="E23" s="1693"/>
      <c r="F23" s="1693"/>
      <c r="G23" s="1693"/>
      <c r="H23" s="1693"/>
      <c r="I23" s="1693"/>
      <c r="J23" s="1693"/>
      <c r="K23" s="1690"/>
      <c r="L23" s="1690"/>
      <c r="M23" s="1690"/>
      <c r="N23" s="1690"/>
      <c r="O23" s="1690"/>
      <c r="P23" s="1690"/>
    </row>
    <row r="24" spans="1:16" x14ac:dyDescent="0.3">
      <c r="A24" s="1693"/>
      <c r="B24" s="1693"/>
      <c r="C24" s="1693"/>
      <c r="D24" s="1693"/>
      <c r="E24" s="1693"/>
      <c r="F24" s="1693"/>
      <c r="G24" s="1693"/>
      <c r="H24" s="1693"/>
      <c r="I24" s="1693"/>
      <c r="J24" s="1693"/>
      <c r="K24" s="1690"/>
      <c r="L24" s="1690"/>
      <c r="M24" s="1690"/>
      <c r="N24" s="1690"/>
      <c r="O24" s="1690"/>
      <c r="P24" s="1690"/>
    </row>
    <row r="25" spans="1:16" x14ac:dyDescent="0.3">
      <c r="A25" s="1693"/>
      <c r="B25" s="1667" t="s">
        <v>5722</v>
      </c>
      <c r="C25" s="1704" t="s">
        <v>38</v>
      </c>
      <c r="D25" s="1705"/>
      <c r="E25" s="1705"/>
      <c r="F25" s="1665" t="s">
        <v>602</v>
      </c>
      <c r="G25" s="1733">
        <f>G2</f>
        <v>6</v>
      </c>
      <c r="H25" s="1733">
        <f t="shared" ref="H25:O25" si="16">H2</f>
        <v>7</v>
      </c>
      <c r="I25" s="1733">
        <f t="shared" si="16"/>
        <v>8</v>
      </c>
      <c r="J25" s="1733">
        <f t="shared" si="16"/>
        <v>9</v>
      </c>
      <c r="K25" s="1733">
        <f t="shared" si="16"/>
        <v>10</v>
      </c>
      <c r="L25" s="1733">
        <f t="shared" si="16"/>
        <v>11</v>
      </c>
      <c r="M25" s="1733">
        <f t="shared" si="16"/>
        <v>12</v>
      </c>
      <c r="N25" s="1733">
        <f t="shared" si="16"/>
        <v>13</v>
      </c>
      <c r="O25" s="1733">
        <f t="shared" si="16"/>
        <v>14</v>
      </c>
      <c r="P25" s="1686"/>
    </row>
    <row r="26" spans="1:16" x14ac:dyDescent="0.3">
      <c r="B26" s="49" t="s">
        <v>5951</v>
      </c>
      <c r="C26" s="648" t="s">
        <v>2481</v>
      </c>
      <c r="D26" s="49"/>
      <c r="E26" s="49"/>
      <c r="F26" s="49"/>
      <c r="G26" s="648">
        <f t="shared" ref="G26:O26" si="17">G8*UC.m3_to_L</f>
        <v>31283.734452421984</v>
      </c>
      <c r="H26" s="648">
        <f t="shared" si="17"/>
        <v>2893.7344524219843</v>
      </c>
      <c r="I26" s="648">
        <f t="shared" si="17"/>
        <v>5208.020166707699</v>
      </c>
      <c r="J26" s="648">
        <f t="shared" si="17"/>
        <v>31283.734452421984</v>
      </c>
      <c r="K26" s="648">
        <f t="shared" si="17"/>
        <v>2893.7344524219843</v>
      </c>
      <c r="L26" s="648">
        <f t="shared" si="17"/>
        <v>5208.020166707699</v>
      </c>
      <c r="M26" s="648">
        <f t="shared" si="17"/>
        <v>2893.7344524219843</v>
      </c>
      <c r="N26" s="648">
        <f t="shared" si="17"/>
        <v>2893.7344524219843</v>
      </c>
      <c r="O26" s="648">
        <f t="shared" si="17"/>
        <v>2893.7344524219843</v>
      </c>
      <c r="P26" s="648" t="s">
        <v>2481</v>
      </c>
    </row>
    <row r="27" spans="1:16" x14ac:dyDescent="0.3">
      <c r="B27" s="49" t="s">
        <v>5952</v>
      </c>
      <c r="C27" s="49" t="s">
        <v>971</v>
      </c>
      <c r="D27" s="49"/>
      <c r="E27" s="49"/>
      <c r="F27" s="49"/>
      <c r="G27" s="49">
        <f>G14</f>
        <v>15</v>
      </c>
      <c r="H27" s="49">
        <f t="shared" ref="H27:O27" si="18">H14</f>
        <v>15</v>
      </c>
      <c r="I27" s="49">
        <f t="shared" si="18"/>
        <v>15</v>
      </c>
      <c r="J27" s="49">
        <f t="shared" si="18"/>
        <v>15</v>
      </c>
      <c r="K27" s="49">
        <f t="shared" si="18"/>
        <v>15</v>
      </c>
      <c r="L27" s="49">
        <f t="shared" si="18"/>
        <v>15</v>
      </c>
      <c r="M27" s="49">
        <f t="shared" si="18"/>
        <v>15</v>
      </c>
      <c r="N27" s="49">
        <f t="shared" si="18"/>
        <v>15</v>
      </c>
      <c r="O27" s="49">
        <f t="shared" si="18"/>
        <v>15</v>
      </c>
      <c r="P27" s="49" t="str">
        <f>P14</f>
        <v>hp</v>
      </c>
    </row>
    <row r="28" spans="1:16" x14ac:dyDescent="0.3">
      <c r="B28" s="49" t="s">
        <v>5953</v>
      </c>
      <c r="C28" s="49" t="s">
        <v>5803</v>
      </c>
      <c r="D28" s="49"/>
      <c r="E28" s="49"/>
      <c r="F28" s="49"/>
      <c r="G28" s="49">
        <f>G17</f>
        <v>1</v>
      </c>
      <c r="H28" s="49">
        <f t="shared" ref="H28:O28" si="19">H17</f>
        <v>1</v>
      </c>
      <c r="I28" s="49">
        <f t="shared" si="19"/>
        <v>1</v>
      </c>
      <c r="J28" s="49">
        <f t="shared" si="19"/>
        <v>1</v>
      </c>
      <c r="K28" s="49">
        <f t="shared" si="19"/>
        <v>1</v>
      </c>
      <c r="L28" s="49">
        <f t="shared" si="19"/>
        <v>1</v>
      </c>
      <c r="M28" s="49">
        <f t="shared" si="19"/>
        <v>1</v>
      </c>
      <c r="N28" s="49">
        <f t="shared" si="19"/>
        <v>1</v>
      </c>
      <c r="O28" s="49">
        <f t="shared" si="19"/>
        <v>1</v>
      </c>
      <c r="P28" s="49" t="str">
        <f>P17</f>
        <v>pumps</v>
      </c>
    </row>
    <row r="29" spans="1:16" x14ac:dyDescent="0.3">
      <c r="B29" s="49" t="s">
        <v>5954</v>
      </c>
      <c r="C29" s="1209" t="s">
        <v>5809</v>
      </c>
      <c r="D29" s="49"/>
      <c r="E29" s="49"/>
      <c r="F29" s="49"/>
      <c r="G29" s="1209">
        <f>G20</f>
        <v>4.1084544279722408</v>
      </c>
      <c r="H29" s="1209">
        <f t="shared" ref="H29:O29" si="20">H20</f>
        <v>0.38003059201611716</v>
      </c>
      <c r="I29" s="1209">
        <f t="shared" si="20"/>
        <v>0.6839628928387872</v>
      </c>
      <c r="J29" s="1209">
        <f t="shared" si="20"/>
        <v>4.1084544279722408</v>
      </c>
      <c r="K29" s="1209">
        <f t="shared" si="20"/>
        <v>0.38003059201611716</v>
      </c>
      <c r="L29" s="1209">
        <f t="shared" si="20"/>
        <v>0.6839628928387872</v>
      </c>
      <c r="M29" s="1209">
        <f t="shared" si="20"/>
        <v>0.38003059201611716</v>
      </c>
      <c r="N29" s="1209">
        <f t="shared" si="20"/>
        <v>0.38003059201611716</v>
      </c>
      <c r="O29" s="1209">
        <f t="shared" si="20"/>
        <v>0.38003059201611716</v>
      </c>
      <c r="P29" s="1209" t="str">
        <f>P20</f>
        <v>kWh/day</v>
      </c>
    </row>
    <row r="32" spans="1:16" x14ac:dyDescent="0.3">
      <c r="A32" s="1660" t="s">
        <v>1901</v>
      </c>
      <c r="B32" s="1703"/>
      <c r="C32" s="1703"/>
      <c r="D32" s="1703"/>
      <c r="E32" s="1703"/>
      <c r="F32" s="1703"/>
      <c r="G32" s="1703"/>
      <c r="H32" s="1703"/>
    </row>
    <row r="34" spans="2:16" x14ac:dyDescent="0.3">
      <c r="B34" s="1702" t="s">
        <v>5747</v>
      </c>
      <c r="C34" s="1702" t="s">
        <v>38</v>
      </c>
      <c r="D34" s="1702"/>
      <c r="E34" s="1702"/>
      <c r="F34" s="1702" t="s">
        <v>602</v>
      </c>
      <c r="G34" s="1734">
        <f>G2</f>
        <v>6</v>
      </c>
      <c r="H34" s="1734">
        <f t="shared" ref="H34:O34" si="21">H2</f>
        <v>7</v>
      </c>
      <c r="I34" s="1734">
        <f t="shared" si="21"/>
        <v>8</v>
      </c>
      <c r="J34" s="1734">
        <f t="shared" si="21"/>
        <v>9</v>
      </c>
      <c r="K34" s="1734">
        <f t="shared" si="21"/>
        <v>10</v>
      </c>
      <c r="L34" s="1734">
        <f t="shared" si="21"/>
        <v>11</v>
      </c>
      <c r="M34" s="1734">
        <f t="shared" si="21"/>
        <v>12</v>
      </c>
      <c r="N34" s="1734">
        <f t="shared" si="21"/>
        <v>13</v>
      </c>
      <c r="O34" s="1734">
        <f t="shared" si="21"/>
        <v>14</v>
      </c>
      <c r="P34" s="1707"/>
    </row>
    <row r="35" spans="2:16" x14ac:dyDescent="0.3">
      <c r="B35" s="1672" t="s">
        <v>5955</v>
      </c>
      <c r="C35" s="1673"/>
      <c r="D35" s="1674"/>
      <c r="E35" s="1674"/>
      <c r="F35" s="1675"/>
      <c r="G35" s="1676"/>
      <c r="H35" s="1681"/>
      <c r="I35" s="1683"/>
      <c r="J35" s="1683"/>
      <c r="K35" s="1683"/>
      <c r="L35" s="1683"/>
      <c r="M35" s="1683"/>
      <c r="N35" s="1683"/>
      <c r="O35" s="1683"/>
      <c r="P35" s="1617"/>
    </row>
    <row r="36" spans="2:16" x14ac:dyDescent="0.3">
      <c r="B36" s="49" t="s">
        <v>5956</v>
      </c>
      <c r="C36" s="52" t="s">
        <v>5769</v>
      </c>
      <c r="D36" s="49"/>
      <c r="E36" s="49"/>
      <c r="F36" s="49"/>
      <c r="G36" s="49">
        <f t="shared" ref="G36:O36" si="22">G20*UC.year_to_day/UDV.animal.total</f>
        <v>2.9991717324197356</v>
      </c>
      <c r="H36" s="49">
        <f t="shared" si="22"/>
        <v>0.27742233217176548</v>
      </c>
      <c r="I36" s="49">
        <f t="shared" si="22"/>
        <v>0.49929291177231466</v>
      </c>
      <c r="J36" s="49">
        <f t="shared" si="22"/>
        <v>2.9991717324197356</v>
      </c>
      <c r="K36" s="49">
        <f t="shared" si="22"/>
        <v>0.27742233217176548</v>
      </c>
      <c r="L36" s="49">
        <f t="shared" si="22"/>
        <v>0.49929291177231466</v>
      </c>
      <c r="M36" s="49">
        <f t="shared" si="22"/>
        <v>0.27742233217176548</v>
      </c>
      <c r="N36" s="49">
        <f t="shared" si="22"/>
        <v>0.27742233217176548</v>
      </c>
      <c r="O36" s="49">
        <f t="shared" si="22"/>
        <v>0.27742233217176548</v>
      </c>
      <c r="P36" s="52" t="s">
        <v>5807</v>
      </c>
    </row>
    <row r="37" spans="2:16" x14ac:dyDescent="0.3">
      <c r="B37" s="1668" t="s">
        <v>447</v>
      </c>
      <c r="C37" s="1685"/>
      <c r="D37" s="1670"/>
      <c r="E37" s="1670"/>
      <c r="F37" s="1670"/>
      <c r="G37" s="1671"/>
      <c r="H37" s="1617"/>
      <c r="I37" s="1684"/>
      <c r="J37" s="1684"/>
      <c r="K37" s="1684"/>
      <c r="L37" s="1684"/>
      <c r="M37" s="1684"/>
      <c r="N37" s="1684"/>
      <c r="O37" s="1684"/>
      <c r="P37" s="1685"/>
    </row>
    <row r="38" spans="2:16" x14ac:dyDescent="0.3">
      <c r="B38" s="49" t="s">
        <v>5957</v>
      </c>
      <c r="C38" s="49" t="s">
        <v>2268</v>
      </c>
      <c r="D38" s="49"/>
      <c r="E38" s="49"/>
      <c r="F38" s="49"/>
      <c r="G38" s="648">
        <f>G10</f>
        <v>8.5544802987208044</v>
      </c>
      <c r="H38" s="648">
        <f t="shared" ref="H38:O38" si="23">H10</f>
        <v>0.79128642396007209</v>
      </c>
      <c r="I38" s="648">
        <f t="shared" si="23"/>
        <v>1.4241236441639862</v>
      </c>
      <c r="J38" s="648">
        <f t="shared" si="23"/>
        <v>8.5544802987208044</v>
      </c>
      <c r="K38" s="648">
        <f t="shared" si="23"/>
        <v>0.79128642396007209</v>
      </c>
      <c r="L38" s="648">
        <f t="shared" si="23"/>
        <v>1.4241236441639862</v>
      </c>
      <c r="M38" s="648">
        <f t="shared" si="23"/>
        <v>0.79128642396007209</v>
      </c>
      <c r="N38" s="648">
        <f t="shared" si="23"/>
        <v>0.79128642396007209</v>
      </c>
      <c r="O38" s="648">
        <f t="shared" si="23"/>
        <v>0.79128642396007209</v>
      </c>
      <c r="P38" s="49" t="s">
        <v>2268</v>
      </c>
    </row>
    <row r="39" spans="2:16" x14ac:dyDescent="0.3">
      <c r="B39" s="1668"/>
      <c r="C39" s="1685"/>
      <c r="D39" s="1670"/>
      <c r="E39" s="1670"/>
      <c r="F39" s="1670"/>
      <c r="G39" s="1671"/>
      <c r="H39" s="1617"/>
      <c r="I39" s="1684"/>
      <c r="J39" s="1684"/>
      <c r="K39" s="1684"/>
      <c r="L39" s="1684"/>
      <c r="M39" s="1684"/>
      <c r="N39" s="1684"/>
      <c r="O39" s="1684"/>
      <c r="P39" s="1685"/>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3F82-FCC2-43EB-9100-1322CB0A3FC2}">
  <sheetPr>
    <tabColor rgb="FF92D050"/>
  </sheetPr>
  <dimension ref="A2:K259"/>
  <sheetViews>
    <sheetView workbookViewId="0">
      <selection sqref="A1:C1"/>
    </sheetView>
  </sheetViews>
  <sheetFormatPr defaultRowHeight="14.4" x14ac:dyDescent="0.3"/>
  <cols>
    <col min="2" max="2" width="85.88671875" bestFit="1" customWidth="1"/>
    <col min="3" max="3" width="34.44140625" bestFit="1" customWidth="1"/>
    <col min="7" max="7" width="24.6640625" customWidth="1"/>
    <col min="8" max="8" width="29.44140625" customWidth="1"/>
  </cols>
  <sheetData>
    <row r="2" spans="2:8" x14ac:dyDescent="0.3">
      <c r="B2" s="1387" t="s">
        <v>5958</v>
      </c>
      <c r="C2" s="353"/>
      <c r="D2" s="353"/>
      <c r="E2" s="353"/>
      <c r="F2" s="1538" t="s">
        <v>602</v>
      </c>
      <c r="G2" s="1538">
        <v>14</v>
      </c>
      <c r="H2" s="352"/>
    </row>
    <row r="3" spans="2:8" x14ac:dyDescent="0.3">
      <c r="B3" s="602" t="s">
        <v>5959</v>
      </c>
      <c r="C3" s="1539"/>
      <c r="D3" s="1539"/>
      <c r="E3" s="1539"/>
      <c r="F3" s="1540"/>
      <c r="G3" s="1535">
        <f>PT.waste_generation!G31</f>
        <v>2893.7344524219839</v>
      </c>
      <c r="H3" s="18" t="s">
        <v>2519</v>
      </c>
    </row>
    <row r="4" spans="2:8" x14ac:dyDescent="0.3">
      <c r="B4" s="18" t="s">
        <v>5960</v>
      </c>
      <c r="C4" s="49"/>
      <c r="D4" s="52"/>
      <c r="E4" s="52"/>
      <c r="F4" s="1397"/>
      <c r="G4" s="1423">
        <f>PT.waste_generation!G29</f>
        <v>0</v>
      </c>
      <c r="H4" s="18" t="s">
        <v>2519</v>
      </c>
    </row>
    <row r="5" spans="2:8" x14ac:dyDescent="0.3">
      <c r="B5" s="602" t="s">
        <v>5961</v>
      </c>
      <c r="C5" s="1539"/>
      <c r="D5" s="1539"/>
      <c r="E5" s="1539"/>
      <c r="F5" s="1540"/>
      <c r="G5" s="1535">
        <f>PT.waste_generation!$G5</f>
        <v>273.00499999999988</v>
      </c>
      <c r="H5" s="95" t="s">
        <v>2409</v>
      </c>
    </row>
    <row r="6" spans="2:8" x14ac:dyDescent="0.3">
      <c r="B6" s="602" t="s">
        <v>5962</v>
      </c>
      <c r="C6" s="1539"/>
      <c r="D6" s="1539"/>
      <c r="E6" s="1539"/>
      <c r="F6" s="1540"/>
      <c r="G6" s="1535">
        <f>PT.waste_generation!$G6</f>
        <v>221.00449999999995</v>
      </c>
      <c r="H6" s="95" t="s">
        <v>2409</v>
      </c>
    </row>
    <row r="7" spans="2:8" x14ac:dyDescent="0.3">
      <c r="B7" s="602" t="s">
        <v>5963</v>
      </c>
      <c r="C7" s="1541"/>
      <c r="D7" s="1542"/>
      <c r="E7" s="1543"/>
      <c r="F7" s="1540"/>
      <c r="G7" s="1535">
        <f>PT.shallow_scrape!G38</f>
        <v>20.783810869577703</v>
      </c>
      <c r="H7" s="95" t="s">
        <v>2409</v>
      </c>
    </row>
    <row r="8" spans="2:8" x14ac:dyDescent="0.3">
      <c r="B8" s="602" t="s">
        <v>5964</v>
      </c>
      <c r="C8" s="1541"/>
      <c r="D8" s="1542"/>
      <c r="E8" s="1543"/>
      <c r="F8" s="1540"/>
      <c r="G8" s="1535">
        <f>PT.waste_generation!$G8</f>
        <v>9.1001499999999993</v>
      </c>
      <c r="H8" s="95" t="s">
        <v>2409</v>
      </c>
    </row>
    <row r="9" spans="2:8" x14ac:dyDescent="0.3">
      <c r="B9" s="602" t="s">
        <v>5965</v>
      </c>
      <c r="C9" s="1541"/>
      <c r="D9" s="1542"/>
      <c r="E9" s="1543"/>
      <c r="F9" s="1540"/>
      <c r="G9" s="1535">
        <f>PT.waste_generation!$G9</f>
        <v>11.700249999999999</v>
      </c>
      <c r="H9" s="95" t="s">
        <v>2409</v>
      </c>
    </row>
    <row r="10" spans="2:8" x14ac:dyDescent="0.3">
      <c r="B10" s="1387" t="s">
        <v>5966</v>
      </c>
      <c r="C10" s="353"/>
      <c r="D10" s="353"/>
      <c r="E10" s="353"/>
      <c r="F10" s="1538"/>
      <c r="G10" s="1538"/>
      <c r="H10" s="352"/>
    </row>
    <row r="11" spans="2:8" x14ac:dyDescent="0.3">
      <c r="B11" s="1392" t="s">
        <v>5967</v>
      </c>
      <c r="C11" s="49"/>
      <c r="D11" s="49"/>
      <c r="E11" s="49"/>
      <c r="F11" s="1085"/>
      <c r="G11" s="1533">
        <f>Solid_Sep_Design!L12</f>
        <v>1</v>
      </c>
      <c r="H11" s="510" t="s">
        <v>5968</v>
      </c>
    </row>
    <row r="12" spans="2:8" x14ac:dyDescent="0.3">
      <c r="B12" s="602" t="s">
        <v>5969</v>
      </c>
      <c r="C12" s="602"/>
      <c r="D12" s="602"/>
      <c r="E12" s="602"/>
      <c r="F12" s="1544"/>
      <c r="G12" s="1533">
        <f>Solid_Sep_Design!L13</f>
        <v>1</v>
      </c>
      <c r="H12" s="510" t="s">
        <v>5970</v>
      </c>
    </row>
    <row r="13" spans="2:8" x14ac:dyDescent="0.3">
      <c r="B13" s="1392" t="s">
        <v>4736</v>
      </c>
      <c r="C13" s="602"/>
      <c r="D13" s="602"/>
      <c r="E13" s="602"/>
      <c r="F13" s="1544"/>
      <c r="G13" s="1533">
        <f>Solid_Sep_Design!L14</f>
        <v>32</v>
      </c>
      <c r="H13" s="510" t="s">
        <v>2267</v>
      </c>
    </row>
    <row r="14" spans="2:8" x14ac:dyDescent="0.3">
      <c r="B14" s="1392" t="s">
        <v>5971</v>
      </c>
      <c r="C14" s="602"/>
      <c r="D14" s="602"/>
      <c r="E14" s="602"/>
      <c r="F14" s="1544"/>
      <c r="G14" s="1533">
        <f>Solid_Sep_Design!L15</f>
        <v>1</v>
      </c>
      <c r="H14" s="510" t="s">
        <v>2442</v>
      </c>
    </row>
    <row r="15" spans="2:8" x14ac:dyDescent="0.3">
      <c r="B15" s="602" t="s">
        <v>5972</v>
      </c>
      <c r="C15" s="49"/>
      <c r="D15" s="49"/>
      <c r="E15" s="49"/>
      <c r="F15" s="1085"/>
      <c r="G15" s="1533">
        <f>Solid_Sep_Design!L16</f>
        <v>0.03</v>
      </c>
      <c r="H15" s="510" t="s">
        <v>5973</v>
      </c>
    </row>
    <row r="16" spans="2:8" x14ac:dyDescent="0.3">
      <c r="B16" s="1546" t="s">
        <v>5974</v>
      </c>
      <c r="C16" s="49"/>
      <c r="D16" s="49"/>
      <c r="E16" s="49"/>
      <c r="F16" s="1085"/>
      <c r="G16" s="1533">
        <f>Solid_Sep_Design!L17</f>
        <v>0.746</v>
      </c>
      <c r="H16" s="510" t="s">
        <v>2548</v>
      </c>
    </row>
    <row r="17" spans="2:8" x14ac:dyDescent="0.3">
      <c r="B17" s="49" t="s">
        <v>5975</v>
      </c>
      <c r="C17" s="49"/>
      <c r="D17" s="49"/>
      <c r="E17" s="49"/>
      <c r="F17" s="1085"/>
      <c r="G17" s="1533">
        <f>Solid_Sep_Design!L18</f>
        <v>12.5</v>
      </c>
      <c r="H17" s="510" t="s">
        <v>5976</v>
      </c>
    </row>
    <row r="18" spans="2:8" x14ac:dyDescent="0.3">
      <c r="B18" s="602" t="s">
        <v>5977</v>
      </c>
      <c r="C18" s="49"/>
      <c r="D18" s="49"/>
      <c r="E18" s="49"/>
      <c r="F18" s="1085"/>
      <c r="G18" s="1533">
        <f>Solid_Sep_Design!L19</f>
        <v>400</v>
      </c>
      <c r="H18" s="510" t="s">
        <v>5978</v>
      </c>
    </row>
    <row r="19" spans="2:8" x14ac:dyDescent="0.3">
      <c r="B19" s="602" t="s">
        <v>5979</v>
      </c>
      <c r="C19" s="49"/>
      <c r="D19" s="49"/>
      <c r="E19" s="49"/>
      <c r="F19" s="1085"/>
      <c r="G19" s="1533">
        <f>Solid_Sep_Design!L20</f>
        <v>288000</v>
      </c>
      <c r="H19" s="510" t="s">
        <v>5980</v>
      </c>
    </row>
    <row r="20" spans="2:8" x14ac:dyDescent="0.3">
      <c r="B20" s="1547" t="s">
        <v>5981</v>
      </c>
      <c r="C20" s="49"/>
      <c r="D20" s="52"/>
      <c r="E20" s="52"/>
      <c r="F20" s="1397"/>
      <c r="G20" s="1533">
        <f>Solid_Sep_Design!L21</f>
        <v>2</v>
      </c>
      <c r="H20" s="510" t="s">
        <v>971</v>
      </c>
    </row>
    <row r="21" spans="2:8" x14ac:dyDescent="0.3">
      <c r="B21" s="1392" t="s">
        <v>5982</v>
      </c>
      <c r="C21" s="49"/>
      <c r="D21" s="9"/>
      <c r="E21" s="9"/>
      <c r="F21" s="1085"/>
      <c r="G21" s="1533">
        <f>Solid_Sep_Design!L22</f>
        <v>3.1851823435497625E-2</v>
      </c>
      <c r="H21" s="510" t="s">
        <v>2471</v>
      </c>
    </row>
    <row r="22" spans="2:8" x14ac:dyDescent="0.3">
      <c r="B22" s="1392" t="s">
        <v>5983</v>
      </c>
      <c r="C22" s="49"/>
      <c r="D22" s="1089" t="s">
        <v>5551</v>
      </c>
      <c r="E22" s="1089"/>
      <c r="F22" s="1563"/>
      <c r="G22" s="1533">
        <f>Solid_Sep_Design!L23</f>
        <v>2.3761460282881227E-2</v>
      </c>
      <c r="H22" s="510" t="s">
        <v>5809</v>
      </c>
    </row>
    <row r="23" spans="2:8" x14ac:dyDescent="0.3">
      <c r="B23" s="49" t="s">
        <v>5984</v>
      </c>
      <c r="C23" s="49"/>
      <c r="D23" s="52"/>
      <c r="E23" s="52"/>
      <c r="F23" s="1397"/>
      <c r="G23" s="1378">
        <f>UDV.separated_solids.concrete_thickness</f>
        <v>0.15240000000000001</v>
      </c>
      <c r="H23" s="510" t="s">
        <v>2337</v>
      </c>
    </row>
    <row r="24" spans="2:8" x14ac:dyDescent="0.3">
      <c r="B24" s="1387" t="s">
        <v>5985</v>
      </c>
      <c r="C24" s="353"/>
      <c r="D24" s="353"/>
      <c r="E24" s="353"/>
      <c r="F24" s="1538"/>
      <c r="G24" s="1538"/>
      <c r="H24" s="352"/>
    </row>
    <row r="25" spans="2:8" x14ac:dyDescent="0.3">
      <c r="B25" s="49" t="s">
        <v>5986</v>
      </c>
      <c r="C25" s="49"/>
      <c r="D25" s="49"/>
      <c r="E25" s="49"/>
      <c r="F25" s="1085"/>
      <c r="G25" s="1346">
        <v>0</v>
      </c>
      <c r="H25" s="18" t="s">
        <v>5987</v>
      </c>
    </row>
    <row r="26" spans="2:8" x14ac:dyDescent="0.3">
      <c r="B26" s="49" t="s">
        <v>5988</v>
      </c>
      <c r="C26" s="49"/>
      <c r="D26" s="49"/>
      <c r="E26" s="49"/>
      <c r="F26" s="1085"/>
      <c r="G26" s="1424">
        <f>IF(G25=0,1,UDV.bed_organic.digestion_multiplier)</f>
        <v>1</v>
      </c>
      <c r="H26" s="18" t="s">
        <v>2426</v>
      </c>
    </row>
    <row r="27" spans="2:8" x14ac:dyDescent="0.3">
      <c r="B27" s="602" t="s">
        <v>5989</v>
      </c>
      <c r="C27" s="49"/>
      <c r="D27" s="9"/>
      <c r="E27" s="9"/>
      <c r="F27" s="1378">
        <f>UDV.incline_removal.TS</f>
        <v>0.2</v>
      </c>
      <c r="G27" s="1085">
        <f>G26*F27</f>
        <v>0.2</v>
      </c>
      <c r="H27" s="510" t="s">
        <v>1694</v>
      </c>
    </row>
    <row r="28" spans="2:8" x14ac:dyDescent="0.3">
      <c r="B28" s="602" t="s">
        <v>5990</v>
      </c>
      <c r="C28" s="49"/>
      <c r="D28" s="9"/>
      <c r="E28" s="9"/>
      <c r="F28" s="1378">
        <f>UDV.incline_removal.VS</f>
        <v>0.85</v>
      </c>
      <c r="G28" s="1085">
        <f>G26*F28</f>
        <v>0.85</v>
      </c>
      <c r="H28" s="510" t="s">
        <v>1694</v>
      </c>
    </row>
    <row r="29" spans="2:8" x14ac:dyDescent="0.3">
      <c r="B29" s="602" t="s">
        <v>5991</v>
      </c>
      <c r="C29" s="49"/>
      <c r="D29" s="9"/>
      <c r="E29" s="9"/>
      <c r="F29" s="1378">
        <f>UDV.incline_removal.TKN</f>
        <v>0.2</v>
      </c>
      <c r="G29" s="1085">
        <f>G26*F29</f>
        <v>0.2</v>
      </c>
      <c r="H29" s="510" t="s">
        <v>1694</v>
      </c>
    </row>
    <row r="30" spans="2:8" x14ac:dyDescent="0.3">
      <c r="B30" s="602" t="s">
        <v>5992</v>
      </c>
      <c r="C30" s="49"/>
      <c r="D30" s="9"/>
      <c r="E30" s="9"/>
      <c r="F30" s="1378">
        <f>UDV.incline_removal.P</f>
        <v>0.35</v>
      </c>
      <c r="G30" s="1085">
        <f>G26*F30</f>
        <v>0.35</v>
      </c>
      <c r="H30" s="510" t="s">
        <v>1694</v>
      </c>
    </row>
    <row r="31" spans="2:8" x14ac:dyDescent="0.3">
      <c r="B31" s="602" t="s">
        <v>5993</v>
      </c>
      <c r="C31" s="49"/>
      <c r="D31" s="9"/>
      <c r="E31" s="9"/>
      <c r="F31" s="1378">
        <f>UDV.incline_removal.K</f>
        <v>0.3</v>
      </c>
      <c r="G31" s="1085">
        <f>G26*F31</f>
        <v>0.3</v>
      </c>
      <c r="H31" s="510" t="s">
        <v>1694</v>
      </c>
    </row>
    <row r="32" spans="2:8" x14ac:dyDescent="0.3">
      <c r="B32" s="1387" t="s">
        <v>5994</v>
      </c>
      <c r="C32" s="353"/>
      <c r="D32" s="353"/>
      <c r="E32" s="353"/>
      <c r="F32" s="1538"/>
      <c r="G32" s="1538"/>
      <c r="H32" s="352"/>
    </row>
    <row r="33" spans="2:8" x14ac:dyDescent="0.3">
      <c r="B33" s="602" t="s">
        <v>5995</v>
      </c>
      <c r="C33" s="9"/>
      <c r="D33" s="9"/>
      <c r="E33" s="9"/>
      <c r="F33" s="1085"/>
      <c r="G33" s="1379">
        <f>G5*G27</f>
        <v>54.600999999999978</v>
      </c>
      <c r="H33" s="1353" t="s">
        <v>2409</v>
      </c>
    </row>
    <row r="34" spans="2:8" x14ac:dyDescent="0.3">
      <c r="B34" s="602" t="s">
        <v>5996</v>
      </c>
      <c r="C34" s="9"/>
      <c r="D34" s="9"/>
      <c r="E34" s="9"/>
      <c r="F34" s="1085"/>
      <c r="G34" s="1379">
        <f>G28*G33</f>
        <v>46.410849999999982</v>
      </c>
      <c r="H34" s="1353" t="s">
        <v>2409</v>
      </c>
    </row>
    <row r="35" spans="2:8" x14ac:dyDescent="0.3">
      <c r="B35" s="602" t="s">
        <v>5997</v>
      </c>
      <c r="C35" s="9"/>
      <c r="D35" s="9"/>
      <c r="E35" s="9"/>
      <c r="F35" s="1085"/>
      <c r="G35" s="1425">
        <f>G7*G29</f>
        <v>4.1567621739155411</v>
      </c>
      <c r="H35" s="95" t="s">
        <v>2409</v>
      </c>
    </row>
    <row r="36" spans="2:8" x14ac:dyDescent="0.3">
      <c r="B36" s="602" t="s">
        <v>5998</v>
      </c>
      <c r="C36" s="9"/>
      <c r="D36" s="9"/>
      <c r="E36" s="9"/>
      <c r="F36" s="1085"/>
      <c r="G36" s="1424">
        <f>UDV.separated_solids.N_retained</f>
        <v>0.54681753</v>
      </c>
      <c r="H36" s="95" t="s">
        <v>1694</v>
      </c>
    </row>
    <row r="37" spans="2:8" x14ac:dyDescent="0.3">
      <c r="B37" s="602" t="s">
        <v>5997</v>
      </c>
      <c r="C37" s="9"/>
      <c r="D37" s="9"/>
      <c r="E37" s="37"/>
      <c r="F37" s="1085"/>
      <c r="G37" s="1379">
        <f>G35*G36</f>
        <v>2.2729904247379267</v>
      </c>
      <c r="H37" s="1353" t="s">
        <v>2409</v>
      </c>
    </row>
    <row r="38" spans="2:8" x14ac:dyDescent="0.3">
      <c r="B38" s="602" t="s">
        <v>5999</v>
      </c>
      <c r="C38" s="49"/>
      <c r="D38" s="9"/>
      <c r="E38" s="37"/>
      <c r="F38" s="1085"/>
      <c r="G38" s="1379">
        <f>G8*G30</f>
        <v>3.1850524999999994</v>
      </c>
      <c r="H38" s="1353" t="s">
        <v>2409</v>
      </c>
    </row>
    <row r="39" spans="2:8" x14ac:dyDescent="0.3">
      <c r="B39" s="602" t="s">
        <v>6000</v>
      </c>
      <c r="C39" s="49"/>
      <c r="D39" s="9"/>
      <c r="E39" s="37"/>
      <c r="F39" s="1085"/>
      <c r="G39" s="1379">
        <f>G9*G31</f>
        <v>3.5100749999999996</v>
      </c>
      <c r="H39" s="1353" t="s">
        <v>2409</v>
      </c>
    </row>
    <row r="40" spans="2:8" x14ac:dyDescent="0.3">
      <c r="B40" s="713" t="s">
        <v>6001</v>
      </c>
      <c r="C40" s="9"/>
      <c r="D40" s="9"/>
      <c r="E40" s="9"/>
      <c r="F40" s="1085"/>
      <c r="G40" s="1414">
        <f>UDV.incline_removal.wet_solids</f>
        <v>0.2</v>
      </c>
      <c r="H40" s="510" t="s">
        <v>1694</v>
      </c>
    </row>
    <row r="41" spans="2:8" x14ac:dyDescent="0.3">
      <c r="B41" s="49" t="s">
        <v>6002</v>
      </c>
      <c r="C41" s="9"/>
      <c r="D41" s="9"/>
      <c r="E41" s="9"/>
      <c r="F41" s="1425"/>
      <c r="G41" s="1379">
        <f>G33/G40</f>
        <v>273.00499999999988</v>
      </c>
      <c r="H41" s="510" t="s">
        <v>2409</v>
      </c>
    </row>
    <row r="42" spans="2:8" x14ac:dyDescent="0.3">
      <c r="B42" s="602" t="s">
        <v>6003</v>
      </c>
      <c r="C42" s="49"/>
      <c r="D42" s="52"/>
      <c r="E42" s="52"/>
      <c r="F42" s="48"/>
      <c r="G42" s="1085">
        <f>(G41-G33)/1000*UC.m3_to_L</f>
        <v>218.40399999999991</v>
      </c>
      <c r="H42" s="18" t="s">
        <v>2481</v>
      </c>
    </row>
    <row r="43" spans="2:8" x14ac:dyDescent="0.3">
      <c r="B43" s="1405" t="s">
        <v>6004</v>
      </c>
      <c r="C43" s="1406"/>
      <c r="D43" s="1548"/>
      <c r="E43" s="1548"/>
      <c r="F43" s="1549"/>
      <c r="G43" s="1549"/>
      <c r="H43" s="1411"/>
    </row>
    <row r="44" spans="2:8" x14ac:dyDescent="0.3">
      <c r="B44" s="49" t="s">
        <v>6005</v>
      </c>
      <c r="C44" s="49"/>
      <c r="D44" s="9"/>
      <c r="E44" s="9"/>
      <c r="F44" s="1085"/>
      <c r="G44" s="1378">
        <f>UDV.incline_removal.density_wet</f>
        <v>349.99999999999994</v>
      </c>
      <c r="H44" s="510" t="s">
        <v>2416</v>
      </c>
    </row>
    <row r="45" spans="2:8" x14ac:dyDescent="0.3">
      <c r="B45" s="61" t="s">
        <v>6006</v>
      </c>
      <c r="C45" s="49"/>
      <c r="D45" s="9"/>
      <c r="E45" s="9"/>
      <c r="F45" s="1085"/>
      <c r="G45" s="1378">
        <f>UDV.separated_solids.storage_days</f>
        <v>14</v>
      </c>
      <c r="H45" s="510" t="s">
        <v>2452</v>
      </c>
    </row>
    <row r="46" spans="2:8" x14ac:dyDescent="0.3">
      <c r="B46" s="49" t="s">
        <v>6007</v>
      </c>
      <c r="C46" s="49"/>
      <c r="D46" s="9"/>
      <c r="E46" s="9"/>
      <c r="F46" s="1085"/>
      <c r="G46" s="1378">
        <f>UDV.separated_solids.storage_safety_factor</f>
        <v>1.1000000000000001</v>
      </c>
      <c r="H46" s="510" t="s">
        <v>2426</v>
      </c>
    </row>
    <row r="47" spans="2:8" x14ac:dyDescent="0.3">
      <c r="B47" s="49" t="s">
        <v>6008</v>
      </c>
      <c r="C47" s="49"/>
      <c r="D47" s="1459" t="s">
        <v>6009</v>
      </c>
      <c r="E47" s="9"/>
      <c r="F47" s="1399"/>
      <c r="G47" s="1380">
        <f>G41/G44</f>
        <v>0.78001428571428555</v>
      </c>
      <c r="H47" s="510" t="s">
        <v>2521</v>
      </c>
    </row>
    <row r="48" spans="2:8" x14ac:dyDescent="0.3">
      <c r="B48" s="49" t="s">
        <v>6010</v>
      </c>
      <c r="C48" s="49"/>
      <c r="D48" s="9"/>
      <c r="E48" s="9"/>
      <c r="F48" s="1085"/>
      <c r="G48" s="1380">
        <f>POWER(G47*3/PI(), 1/3)</f>
        <v>0.90647948454548855</v>
      </c>
      <c r="H48" s="510" t="s">
        <v>2337</v>
      </c>
    </row>
    <row r="49" spans="2:11" x14ac:dyDescent="0.3">
      <c r="B49" s="49" t="s">
        <v>6011</v>
      </c>
      <c r="C49" s="49"/>
      <c r="D49" s="9"/>
      <c r="E49" s="18"/>
      <c r="F49" s="1398"/>
      <c r="G49" s="1380">
        <f>PI()*POWER(G48,2)*G46</f>
        <v>2.839608823742743</v>
      </c>
      <c r="H49" s="510" t="s">
        <v>6012</v>
      </c>
    </row>
    <row r="50" spans="2:11" x14ac:dyDescent="0.3">
      <c r="B50" s="61" t="s">
        <v>6013</v>
      </c>
      <c r="C50" s="9"/>
      <c r="D50" s="9"/>
      <c r="E50" s="1551" t="s">
        <v>6014</v>
      </c>
      <c r="F50" s="1552"/>
      <c r="G50" s="1380">
        <f>G49*G45*G46</f>
        <v>43.729975885638247</v>
      </c>
      <c r="H50" s="510" t="s">
        <v>2268</v>
      </c>
    </row>
    <row r="51" spans="2:11" x14ac:dyDescent="0.3">
      <c r="B51" s="49" t="s">
        <v>6015</v>
      </c>
      <c r="C51" s="49"/>
      <c r="D51" s="52"/>
      <c r="E51" s="1456" t="s">
        <v>5942</v>
      </c>
      <c r="F51" s="1554"/>
      <c r="G51" s="1380">
        <f>G23*G50</f>
        <v>6.6644483249712687</v>
      </c>
      <c r="H51" s="510" t="s">
        <v>2478</v>
      </c>
    </row>
    <row r="52" spans="2:11" x14ac:dyDescent="0.3">
      <c r="B52" s="1405" t="s">
        <v>6016</v>
      </c>
      <c r="C52" s="1406"/>
      <c r="D52" s="1548"/>
      <c r="E52" s="1548"/>
      <c r="F52" s="1549"/>
      <c r="G52" s="1549"/>
      <c r="H52" s="1411"/>
    </row>
    <row r="53" spans="2:11" x14ac:dyDescent="0.3">
      <c r="B53" s="49" t="s">
        <v>6017</v>
      </c>
      <c r="C53" s="49"/>
      <c r="D53" s="9"/>
      <c r="E53" s="9"/>
      <c r="F53" s="1085"/>
      <c r="G53" s="1536">
        <v>0</v>
      </c>
      <c r="H53" s="18" t="s">
        <v>2409</v>
      </c>
      <c r="K53" s="1051"/>
    </row>
    <row r="54" spans="2:11" x14ac:dyDescent="0.3">
      <c r="B54" s="49" t="s">
        <v>6018</v>
      </c>
      <c r="C54" s="49"/>
      <c r="D54" s="52"/>
      <c r="E54" s="52"/>
      <c r="F54" s="1397"/>
      <c r="G54" s="1346">
        <f>UDV.bed_organic.fraction_recycled</f>
        <v>1</v>
      </c>
      <c r="H54" s="18" t="s">
        <v>1694</v>
      </c>
    </row>
    <row r="55" spans="2:11" x14ac:dyDescent="0.3">
      <c r="B55" s="602" t="s">
        <v>6019</v>
      </c>
      <c r="C55" s="100"/>
      <c r="D55" s="9"/>
      <c r="E55" s="9"/>
      <c r="F55" s="1085"/>
      <c r="G55" s="1555">
        <f>UDV.incline_removal.fraction_solar_dry</f>
        <v>0.9</v>
      </c>
      <c r="H55" s="18" t="s">
        <v>1694</v>
      </c>
    </row>
    <row r="56" spans="2:11" x14ac:dyDescent="0.3">
      <c r="B56" s="49" t="s">
        <v>6020</v>
      </c>
      <c r="C56" s="49"/>
      <c r="D56" s="9"/>
      <c r="E56" s="9"/>
      <c r="F56" s="1085"/>
      <c r="G56" s="1346">
        <f>UDV.incline_removal.density_dry</f>
        <v>209.99999999999997</v>
      </c>
      <c r="H56" s="18" t="s">
        <v>2416</v>
      </c>
    </row>
    <row r="57" spans="2:11" x14ac:dyDescent="0.3">
      <c r="B57" s="666" t="s">
        <v>6021</v>
      </c>
      <c r="C57" s="76"/>
      <c r="D57" s="76"/>
      <c r="E57" s="76"/>
      <c r="F57" s="1085"/>
      <c r="G57" s="1398">
        <f>G33/G55</f>
        <v>60.667777777777751</v>
      </c>
      <c r="H57" s="18" t="s">
        <v>2409</v>
      </c>
    </row>
    <row r="58" spans="2:11" x14ac:dyDescent="0.3">
      <c r="B58" s="666" t="s">
        <v>6022</v>
      </c>
      <c r="C58" s="49"/>
      <c r="D58" s="18"/>
      <c r="E58" s="9"/>
      <c r="F58" s="1085"/>
      <c r="G58" s="1425">
        <f>IF(G57-G53*G54&lt;0,0,G57-G53*G54)</f>
        <v>60.667777777777751</v>
      </c>
      <c r="H58" s="18" t="s">
        <v>2409</v>
      </c>
    </row>
    <row r="59" spans="2:11" x14ac:dyDescent="0.3">
      <c r="B59" s="18" t="s">
        <v>6023</v>
      </c>
      <c r="C59" s="49"/>
      <c r="D59" s="77"/>
      <c r="E59" s="52"/>
      <c r="F59" s="1402"/>
      <c r="G59" s="1398">
        <f>G58/G56</f>
        <v>0.28889417989417981</v>
      </c>
      <c r="H59" s="18" t="s">
        <v>2521</v>
      </c>
    </row>
    <row r="60" spans="2:11" x14ac:dyDescent="0.3">
      <c r="B60" s="18" t="s">
        <v>6024</v>
      </c>
      <c r="C60" s="49"/>
      <c r="D60" s="1438" t="s">
        <v>6025</v>
      </c>
      <c r="E60" s="1556"/>
      <c r="F60" s="1557"/>
      <c r="G60" s="1425">
        <f>G58*UC.year_to_day/UC.ton_to_kg</f>
        <v>24.409293822909042</v>
      </c>
      <c r="H60" s="18" t="s">
        <v>6026</v>
      </c>
    </row>
    <row r="61" spans="2:11" x14ac:dyDescent="0.3">
      <c r="B61" s="18" t="s">
        <v>6027</v>
      </c>
      <c r="C61" s="49"/>
      <c r="D61" s="52"/>
      <c r="E61" s="52"/>
      <c r="F61" s="1397"/>
      <c r="G61" s="1558">
        <f>G58/G57</f>
        <v>1</v>
      </c>
      <c r="H61" s="18" t="s">
        <v>1694</v>
      </c>
    </row>
    <row r="62" spans="2:11" x14ac:dyDescent="0.3">
      <c r="B62" s="1405" t="s">
        <v>6028</v>
      </c>
      <c r="C62" s="1406"/>
      <c r="D62" s="1548"/>
      <c r="E62" s="1548"/>
      <c r="F62" s="1549"/>
      <c r="G62" s="1549"/>
      <c r="H62" s="1411"/>
    </row>
    <row r="63" spans="2:11" x14ac:dyDescent="0.3">
      <c r="B63" s="18" t="s">
        <v>6029</v>
      </c>
      <c r="C63" s="49"/>
      <c r="D63" s="52"/>
      <c r="E63" s="52"/>
      <c r="F63" s="1397"/>
      <c r="G63" s="1425">
        <f>G57</f>
        <v>60.667777777777751</v>
      </c>
      <c r="H63" s="18" t="s">
        <v>2409</v>
      </c>
    </row>
    <row r="64" spans="2:11" x14ac:dyDescent="0.3">
      <c r="B64" s="666" t="s">
        <v>6030</v>
      </c>
      <c r="C64" s="49"/>
      <c r="D64" s="1438" t="s">
        <v>6025</v>
      </c>
      <c r="E64" s="1556"/>
      <c r="F64" s="1557"/>
      <c r="G64" s="1398">
        <f>G37/G63*1000</f>
        <v>37.466188939106154</v>
      </c>
      <c r="H64" s="18" t="s">
        <v>6031</v>
      </c>
    </row>
    <row r="65" spans="2:8" x14ac:dyDescent="0.3">
      <c r="B65" s="666" t="s">
        <v>6032</v>
      </c>
      <c r="C65" s="49"/>
      <c r="D65" s="1438" t="s">
        <v>6025</v>
      </c>
      <c r="E65" s="1556"/>
      <c r="F65" s="1557"/>
      <c r="G65" s="1398">
        <f>G38/G63*1000</f>
        <v>52.499903847914887</v>
      </c>
      <c r="H65" s="18" t="s">
        <v>6031</v>
      </c>
    </row>
    <row r="66" spans="2:8" x14ac:dyDescent="0.3">
      <c r="B66" s="666" t="s">
        <v>6033</v>
      </c>
      <c r="C66" s="49"/>
      <c r="D66" s="1438" t="s">
        <v>6025</v>
      </c>
      <c r="E66" s="1556"/>
      <c r="F66" s="1557"/>
      <c r="G66" s="1398">
        <f>G39/G63*1000</f>
        <v>57.857319463013518</v>
      </c>
      <c r="H66" s="18" t="s">
        <v>6031</v>
      </c>
    </row>
    <row r="67" spans="2:8" x14ac:dyDescent="0.3">
      <c r="B67" s="666" t="s">
        <v>6034</v>
      </c>
      <c r="C67" s="49"/>
      <c r="D67" s="52"/>
      <c r="E67" s="52"/>
      <c r="F67" s="1397"/>
      <c r="G67" s="1559">
        <f>G33*G61</f>
        <v>54.600999999999978</v>
      </c>
      <c r="H67" s="18" t="s">
        <v>2409</v>
      </c>
    </row>
    <row r="68" spans="2:8" x14ac:dyDescent="0.3">
      <c r="B68" s="666" t="s">
        <v>6035</v>
      </c>
      <c r="C68" s="49"/>
      <c r="D68" s="52"/>
      <c r="E68" s="52"/>
      <c r="F68" s="1397"/>
      <c r="G68" s="1559">
        <f>G34*G61</f>
        <v>46.410849999999982</v>
      </c>
      <c r="H68" s="18" t="s">
        <v>2409</v>
      </c>
    </row>
    <row r="69" spans="2:8" x14ac:dyDescent="0.3">
      <c r="B69" s="666" t="s">
        <v>6036</v>
      </c>
      <c r="C69" s="49"/>
      <c r="D69" s="52"/>
      <c r="E69" s="52"/>
      <c r="F69" s="1397"/>
      <c r="G69" s="1559">
        <f>G37*G61</f>
        <v>2.2729904247379267</v>
      </c>
      <c r="H69" s="18" t="s">
        <v>2409</v>
      </c>
    </row>
    <row r="70" spans="2:8" x14ac:dyDescent="0.3">
      <c r="B70" s="666" t="s">
        <v>6037</v>
      </c>
      <c r="C70" s="49"/>
      <c r="D70" s="52"/>
      <c r="E70" s="52"/>
      <c r="F70" s="1397"/>
      <c r="G70" s="1559">
        <f>G38*G61</f>
        <v>3.1850524999999994</v>
      </c>
      <c r="H70" s="18" t="s">
        <v>2409</v>
      </c>
    </row>
    <row r="71" spans="2:8" x14ac:dyDescent="0.3">
      <c r="B71" s="666" t="s">
        <v>6038</v>
      </c>
      <c r="C71" s="49"/>
      <c r="D71" s="52"/>
      <c r="E71" s="52"/>
      <c r="F71" s="1397"/>
      <c r="G71" s="1559">
        <f>G39*G61</f>
        <v>3.5100749999999996</v>
      </c>
      <c r="H71" s="18" t="s">
        <v>2409</v>
      </c>
    </row>
    <row r="72" spans="2:8" x14ac:dyDescent="0.3">
      <c r="B72" s="1387" t="s">
        <v>6039</v>
      </c>
      <c r="C72" s="353"/>
      <c r="D72" s="353"/>
      <c r="E72" s="353"/>
      <c r="F72" s="1538"/>
      <c r="G72" s="1538"/>
      <c r="H72" s="352"/>
    </row>
    <row r="73" spans="2:8" x14ac:dyDescent="0.3">
      <c r="B73" s="714" t="s">
        <v>6040</v>
      </c>
      <c r="C73" s="9"/>
      <c r="D73" s="1560" t="s">
        <v>6041</v>
      </c>
      <c r="E73" s="9"/>
      <c r="F73" s="1397"/>
      <c r="G73" s="1379">
        <f>G3-G47*UC.m3_to_L</f>
        <v>2113.7201667076984</v>
      </c>
      <c r="H73" s="18" t="s">
        <v>2519</v>
      </c>
    </row>
    <row r="74" spans="2:8" x14ac:dyDescent="0.3">
      <c r="B74" s="666" t="s">
        <v>6042</v>
      </c>
      <c r="C74" s="49"/>
      <c r="D74" s="1560" t="s">
        <v>6041</v>
      </c>
      <c r="E74" s="1556"/>
      <c r="F74" s="1397"/>
      <c r="G74" s="1425">
        <f>G73-G4</f>
        <v>2113.7201667076984</v>
      </c>
      <c r="H74" s="18" t="s">
        <v>2519</v>
      </c>
    </row>
    <row r="75" spans="2:8" x14ac:dyDescent="0.3">
      <c r="B75" s="602" t="s">
        <v>6043</v>
      </c>
      <c r="C75" s="9"/>
      <c r="D75" s="1560" t="s">
        <v>6041</v>
      </c>
      <c r="E75" s="1561"/>
      <c r="F75" s="1397"/>
      <c r="G75" s="1562">
        <f>G5-G33</f>
        <v>218.40399999999991</v>
      </c>
      <c r="H75" s="95" t="s">
        <v>2409</v>
      </c>
    </row>
    <row r="76" spans="2:8" x14ac:dyDescent="0.3">
      <c r="B76" s="602" t="s">
        <v>6044</v>
      </c>
      <c r="C76" s="9"/>
      <c r="D76" s="1560" t="s">
        <v>6041</v>
      </c>
      <c r="E76" s="1550"/>
      <c r="F76" s="1397"/>
      <c r="G76" s="1562">
        <f>G6-G34</f>
        <v>174.59364999999997</v>
      </c>
      <c r="H76" s="95" t="s">
        <v>2409</v>
      </c>
    </row>
    <row r="77" spans="2:8" x14ac:dyDescent="0.3">
      <c r="B77" s="602" t="s">
        <v>6045</v>
      </c>
      <c r="C77" s="59"/>
      <c r="D77" s="1560" t="s">
        <v>6041</v>
      </c>
      <c r="E77" s="37"/>
      <c r="F77" s="1085"/>
      <c r="G77" s="1562">
        <f>G7-G35</f>
        <v>16.627048695662161</v>
      </c>
      <c r="H77" s="95" t="s">
        <v>2409</v>
      </c>
    </row>
    <row r="78" spans="2:8" x14ac:dyDescent="0.3">
      <c r="B78" s="602" t="s">
        <v>6046</v>
      </c>
      <c r="C78" s="59"/>
      <c r="D78" s="1560" t="s">
        <v>6041</v>
      </c>
      <c r="E78" s="37"/>
      <c r="F78" s="1085"/>
      <c r="G78" s="1562">
        <f>G8-G38</f>
        <v>5.9150974999999999</v>
      </c>
      <c r="H78" s="95" t="s">
        <v>2409</v>
      </c>
    </row>
    <row r="79" spans="2:8" x14ac:dyDescent="0.3">
      <c r="B79" s="602" t="s">
        <v>6047</v>
      </c>
      <c r="C79" s="59"/>
      <c r="D79" s="1560" t="s">
        <v>6041</v>
      </c>
      <c r="E79" s="37"/>
      <c r="F79" s="1085"/>
      <c r="G79" s="1562">
        <f>G9-G39</f>
        <v>8.190175</v>
      </c>
      <c r="H79" s="95" t="s">
        <v>2409</v>
      </c>
    </row>
    <row r="80" spans="2:8" x14ac:dyDescent="0.3">
      <c r="B80" s="1405" t="s">
        <v>6048</v>
      </c>
      <c r="C80" s="1406"/>
      <c r="D80" s="1548"/>
      <c r="E80" s="1548"/>
      <c r="F80" s="1549"/>
      <c r="G80" s="1549"/>
      <c r="H80" s="1411"/>
    </row>
    <row r="81" spans="2:8" x14ac:dyDescent="0.3">
      <c r="B81" s="49" t="s">
        <v>6010</v>
      </c>
      <c r="C81" s="49"/>
      <c r="D81" s="9"/>
      <c r="E81" s="9"/>
      <c r="F81" s="1085"/>
      <c r="G81" s="1424">
        <f>UDV.separated_solids.excess_pile_height</f>
        <v>3.65</v>
      </c>
      <c r="H81" s="18" t="s">
        <v>2337</v>
      </c>
    </row>
    <row r="82" spans="2:8" x14ac:dyDescent="0.3">
      <c r="B82" s="49" t="s">
        <v>6049</v>
      </c>
      <c r="C82" s="49"/>
      <c r="D82" s="9"/>
      <c r="E82" s="9"/>
      <c r="F82" s="1085"/>
      <c r="G82" s="1346">
        <f>UDV.separated_solids.interval_land_application</f>
        <v>90</v>
      </c>
      <c r="H82" s="18" t="s">
        <v>5506</v>
      </c>
    </row>
    <row r="83" spans="2:8" x14ac:dyDescent="0.3">
      <c r="B83" s="49" t="s">
        <v>6007</v>
      </c>
      <c r="C83" s="49"/>
      <c r="D83" s="9"/>
      <c r="E83" s="9"/>
      <c r="F83" s="1085"/>
      <c r="G83" s="1346">
        <f>UDV.separated_solids.storage_safety_factor</f>
        <v>1.1000000000000001</v>
      </c>
      <c r="H83" s="18" t="s">
        <v>2426</v>
      </c>
    </row>
    <row r="84" spans="2:8" x14ac:dyDescent="0.3">
      <c r="B84" s="49" t="s">
        <v>6050</v>
      </c>
      <c r="C84" s="49"/>
      <c r="D84" s="9"/>
      <c r="E84" s="9"/>
      <c r="F84" s="1085"/>
      <c r="G84" s="1399">
        <f>PI()*POWER(G81,2)</f>
        <v>41.853868127450021</v>
      </c>
      <c r="H84" s="18" t="s">
        <v>6051</v>
      </c>
    </row>
    <row r="85" spans="2:8" x14ac:dyDescent="0.3">
      <c r="B85" s="49" t="s">
        <v>6052</v>
      </c>
      <c r="C85" s="49"/>
      <c r="D85" s="9"/>
      <c r="E85" s="9"/>
      <c r="F85" s="1085"/>
      <c r="G85" s="1398">
        <f>PI()*POWER(G81,3)/3</f>
        <v>50.922206221730853</v>
      </c>
      <c r="H85" s="18" t="s">
        <v>6053</v>
      </c>
    </row>
    <row r="86" spans="2:8" x14ac:dyDescent="0.3">
      <c r="B86" s="510" t="s">
        <v>6054</v>
      </c>
      <c r="C86" s="49"/>
      <c r="D86" s="52"/>
      <c r="E86" s="52"/>
      <c r="F86" s="1397"/>
      <c r="G86" s="1398">
        <f>UC.year_to_day/G82</f>
        <v>4.0555555555555554</v>
      </c>
      <c r="H86" s="18" t="s">
        <v>2321</v>
      </c>
    </row>
    <row r="87" spans="2:8" x14ac:dyDescent="0.3">
      <c r="B87" s="49" t="s">
        <v>6055</v>
      </c>
      <c r="C87" s="49"/>
      <c r="D87" s="52"/>
      <c r="E87" s="52"/>
      <c r="F87" s="1397"/>
      <c r="G87" s="1425">
        <f>G58*G82</f>
        <v>5460.0999999999976</v>
      </c>
      <c r="H87" s="18" t="s">
        <v>6056</v>
      </c>
    </row>
    <row r="88" spans="2:8" x14ac:dyDescent="0.3">
      <c r="B88" s="49" t="s">
        <v>6057</v>
      </c>
      <c r="C88" s="1371" t="s">
        <v>6058</v>
      </c>
      <c r="D88" s="1550"/>
      <c r="E88" s="1550"/>
      <c r="F88" s="1545"/>
      <c r="G88" s="1398">
        <f>G59*G82</f>
        <v>26.000476190476185</v>
      </c>
      <c r="H88" s="18" t="s">
        <v>5910</v>
      </c>
    </row>
    <row r="89" spans="2:8" x14ac:dyDescent="0.3">
      <c r="B89" s="49" t="s">
        <v>6059</v>
      </c>
      <c r="C89" s="49"/>
      <c r="D89" s="9"/>
      <c r="E89" s="9"/>
      <c r="F89" s="1085"/>
      <c r="G89" s="1398">
        <f>G88/G85</f>
        <v>0.51059209958936502</v>
      </c>
      <c r="H89" s="18" t="s">
        <v>6060</v>
      </c>
    </row>
    <row r="90" spans="2:8" x14ac:dyDescent="0.3">
      <c r="B90" s="61" t="s">
        <v>6061</v>
      </c>
      <c r="C90" s="49"/>
      <c r="D90" s="9"/>
      <c r="E90" s="1551" t="s">
        <v>6014</v>
      </c>
      <c r="F90" s="1563"/>
      <c r="G90" s="1552">
        <f>G89*G84*G83</f>
        <v>23.507279843444223</v>
      </c>
      <c r="H90" s="1551" t="s">
        <v>6062</v>
      </c>
    </row>
    <row r="91" spans="2:8" x14ac:dyDescent="0.3">
      <c r="B91" s="49" t="s">
        <v>6063</v>
      </c>
      <c r="C91" s="49"/>
      <c r="D91" s="52"/>
      <c r="E91" s="1456" t="s">
        <v>5942</v>
      </c>
      <c r="F91" s="1554"/>
      <c r="G91" s="1553">
        <f>G23*G90</f>
        <v>3.5825094481408999</v>
      </c>
      <c r="H91" s="1551" t="s">
        <v>2478</v>
      </c>
    </row>
    <row r="92" spans="2:8" x14ac:dyDescent="0.3">
      <c r="B92" s="1405" t="s">
        <v>6064</v>
      </c>
      <c r="C92" s="1406"/>
      <c r="D92" s="1548"/>
      <c r="E92" s="1411"/>
      <c r="F92" s="1549"/>
      <c r="G92" s="1564"/>
      <c r="H92" s="1411"/>
    </row>
    <row r="93" spans="2:8" x14ac:dyDescent="0.3">
      <c r="B93" s="61" t="s">
        <v>6065</v>
      </c>
      <c r="C93" s="49"/>
      <c r="D93" s="9"/>
      <c r="E93" s="9"/>
      <c r="F93" s="1085"/>
      <c r="G93" s="1346">
        <f>UDV.front_end_loader.hp</f>
        <v>94</v>
      </c>
      <c r="H93" s="18" t="s">
        <v>5689</v>
      </c>
    </row>
    <row r="94" spans="2:8" x14ac:dyDescent="0.3">
      <c r="B94" s="49" t="s">
        <v>6066</v>
      </c>
      <c r="C94" s="49"/>
      <c r="D94" s="9"/>
      <c r="E94" s="9"/>
      <c r="F94" s="1085"/>
      <c r="G94" s="1424">
        <f>UDV.front_end_loader.bucket_capacity</f>
        <v>0.95569357499999996</v>
      </c>
      <c r="H94" s="95" t="s">
        <v>6067</v>
      </c>
    </row>
    <row r="95" spans="2:8" x14ac:dyDescent="0.3">
      <c r="B95" s="49" t="s">
        <v>6068</v>
      </c>
      <c r="C95" s="49"/>
      <c r="D95" s="9"/>
      <c r="E95" s="9"/>
      <c r="F95" s="1085"/>
      <c r="G95" s="1565">
        <f>UDV.front_end_loader.bucket_fill_rate</f>
        <v>0.9</v>
      </c>
      <c r="H95" s="95" t="s">
        <v>1694</v>
      </c>
    </row>
    <row r="96" spans="2:8" x14ac:dyDescent="0.3">
      <c r="B96" s="49" t="s">
        <v>6069</v>
      </c>
      <c r="C96" s="49"/>
      <c r="D96" s="9"/>
      <c r="E96" s="18"/>
      <c r="F96" s="1085"/>
      <c r="G96" s="1566">
        <f>UDV.tractor.fuel_efficiency</f>
        <v>4.3999999999999997E-2</v>
      </c>
      <c r="H96" s="95" t="s">
        <v>6070</v>
      </c>
    </row>
    <row r="97" spans="2:8" x14ac:dyDescent="0.3">
      <c r="B97" s="49" t="s">
        <v>6071</v>
      </c>
      <c r="C97" s="49"/>
      <c r="D97" s="9"/>
      <c r="E97" s="18"/>
      <c r="F97" s="1085"/>
      <c r="G97" s="1402">
        <f>G94*G95</f>
        <v>0.86012421750000001</v>
      </c>
      <c r="H97" s="18" t="s">
        <v>6067</v>
      </c>
    </row>
    <row r="98" spans="2:8" x14ac:dyDescent="0.3">
      <c r="B98" s="49" t="s">
        <v>6072</v>
      </c>
      <c r="C98" s="49"/>
      <c r="D98" s="9"/>
      <c r="E98" s="9"/>
      <c r="F98" s="1085"/>
      <c r="G98" s="1399">
        <f>G47/G97</f>
        <v>0.90686236923015773</v>
      </c>
      <c r="H98" s="95" t="s">
        <v>6073</v>
      </c>
    </row>
    <row r="99" spans="2:8" x14ac:dyDescent="0.3">
      <c r="B99" s="49" t="s">
        <v>2069</v>
      </c>
      <c r="C99" s="49"/>
      <c r="D99" s="9"/>
      <c r="E99" s="9"/>
      <c r="F99" s="1085"/>
      <c r="G99" s="1346">
        <f>UDV.separated_solids.time_separator_to_storage</f>
        <v>2</v>
      </c>
      <c r="H99" s="95" t="s">
        <v>2453</v>
      </c>
    </row>
    <row r="100" spans="2:8" x14ac:dyDescent="0.3">
      <c r="B100" s="49" t="s">
        <v>6074</v>
      </c>
      <c r="C100" s="49"/>
      <c r="D100" s="9"/>
      <c r="E100" s="9"/>
      <c r="F100" s="1085"/>
      <c r="G100" s="1399">
        <f>G98*G99</f>
        <v>1.8137247384603155</v>
      </c>
      <c r="H100" s="95" t="s">
        <v>2453</v>
      </c>
    </row>
    <row r="101" spans="2:8" x14ac:dyDescent="0.3">
      <c r="B101" s="61" t="s">
        <v>6075</v>
      </c>
      <c r="C101" s="49"/>
      <c r="D101" s="9"/>
      <c r="E101" s="1381" t="s">
        <v>5684</v>
      </c>
      <c r="F101" s="1085"/>
      <c r="G101" s="1399">
        <f>G100/UC.hour_to_min</f>
        <v>3.0228745641005257E-2</v>
      </c>
      <c r="H101" s="95" t="s">
        <v>6076</v>
      </c>
    </row>
    <row r="102" spans="2:8" x14ac:dyDescent="0.3">
      <c r="B102" s="61" t="s">
        <v>6077</v>
      </c>
      <c r="C102" s="49"/>
      <c r="D102" s="1385" t="s">
        <v>6078</v>
      </c>
      <c r="E102" s="1075">
        <f>G102*UC.year_to_day/UDV.animal.total</f>
        <v>9.1269047138974338E-2</v>
      </c>
      <c r="F102" s="1085"/>
      <c r="G102" s="1399">
        <f>G93*G101*G96</f>
        <v>0.12502609197119774</v>
      </c>
      <c r="H102" s="18" t="s">
        <v>6079</v>
      </c>
    </row>
    <row r="103" spans="2:8" x14ac:dyDescent="0.3">
      <c r="B103" s="61" t="s">
        <v>2062</v>
      </c>
      <c r="C103" s="49"/>
      <c r="D103" s="9"/>
      <c r="E103" s="9"/>
      <c r="F103" s="1085"/>
      <c r="G103" s="1346">
        <f>UDV.separated_solids.interval_solids_moving</f>
        <v>1</v>
      </c>
      <c r="H103" s="18" t="s">
        <v>2450</v>
      </c>
    </row>
    <row r="104" spans="2:8" x14ac:dyDescent="0.3">
      <c r="B104" s="1405" t="s">
        <v>6080</v>
      </c>
      <c r="C104" s="1406"/>
      <c r="D104" s="1548"/>
      <c r="E104" s="1411"/>
      <c r="F104" s="1549"/>
      <c r="G104" s="1564"/>
      <c r="H104" s="1411"/>
    </row>
    <row r="105" spans="2:8" x14ac:dyDescent="0.3">
      <c r="B105" s="18" t="s">
        <v>6081</v>
      </c>
      <c r="C105" s="49"/>
      <c r="D105" s="9"/>
      <c r="E105" s="9"/>
      <c r="F105" s="1085"/>
      <c r="G105" s="1399">
        <f>G88/G97</f>
        <v>30.228745641005258</v>
      </c>
      <c r="H105" s="95" t="s">
        <v>6082</v>
      </c>
    </row>
    <row r="106" spans="2:8" x14ac:dyDescent="0.3">
      <c r="B106" s="49" t="s">
        <v>2071</v>
      </c>
      <c r="C106" s="49"/>
      <c r="D106" s="9"/>
      <c r="E106" s="9"/>
      <c r="F106" s="1085"/>
      <c r="G106" s="1346">
        <f>UDV.separated_solids.time_storage_to_spreader</f>
        <v>0.5</v>
      </c>
      <c r="H106" s="95" t="s">
        <v>6083</v>
      </c>
    </row>
    <row r="107" spans="2:8" x14ac:dyDescent="0.3">
      <c r="B107" s="61" t="s">
        <v>6084</v>
      </c>
      <c r="C107" s="49"/>
      <c r="D107" s="9"/>
      <c r="E107" s="1381" t="s">
        <v>5684</v>
      </c>
      <c r="F107" s="1085"/>
      <c r="G107" s="1399">
        <f>G105*G106/UC.hour_to_min</f>
        <v>0.25190621367504379</v>
      </c>
      <c r="H107" s="95" t="s">
        <v>6085</v>
      </c>
    </row>
    <row r="108" spans="2:8" x14ac:dyDescent="0.3">
      <c r="B108" s="61" t="s">
        <v>6086</v>
      </c>
      <c r="C108" s="49"/>
      <c r="D108" s="1385" t="s">
        <v>6078</v>
      </c>
      <c r="E108" s="1075">
        <f>G108*G86/UDV.animal.total</f>
        <v>8.4508376980531805E-3</v>
      </c>
      <c r="F108" s="1085"/>
      <c r="G108" s="1399">
        <f>G93*G96*G107</f>
        <v>1.0418840997599812</v>
      </c>
      <c r="H108" s="18" t="s">
        <v>6087</v>
      </c>
    </row>
    <row r="110" spans="2:8" x14ac:dyDescent="0.3">
      <c r="B110" s="1507" t="s">
        <v>6088</v>
      </c>
      <c r="C110" s="1408"/>
      <c r="D110" s="1408"/>
      <c r="E110" s="1408"/>
      <c r="F110" s="1409"/>
      <c r="G110" s="1410"/>
      <c r="H110" s="1408"/>
    </row>
    <row r="111" spans="2:8" x14ac:dyDescent="0.3">
      <c r="B111" s="91" t="s">
        <v>6089</v>
      </c>
      <c r="C111" s="91"/>
      <c r="D111" s="52"/>
      <c r="E111" s="52"/>
      <c r="F111" s="1384"/>
      <c r="G111" s="1377">
        <f>G60</f>
        <v>24.409293822909042</v>
      </c>
      <c r="H111" s="510" t="s">
        <v>6026</v>
      </c>
    </row>
    <row r="112" spans="2:8" x14ac:dyDescent="0.3">
      <c r="B112" s="49" t="s">
        <v>6090</v>
      </c>
      <c r="C112" s="49"/>
      <c r="D112" s="52"/>
      <c r="E112" s="52"/>
      <c r="F112" s="48"/>
      <c r="G112" s="1346">
        <f>UDV.anaer_lagoon.sludge_time</f>
        <v>10</v>
      </c>
      <c r="H112" s="18" t="s">
        <v>2454</v>
      </c>
    </row>
    <row r="113" spans="2:8" x14ac:dyDescent="0.3">
      <c r="B113" s="49" t="s">
        <v>6049</v>
      </c>
      <c r="C113" s="49"/>
      <c r="D113" s="9"/>
      <c r="E113" s="9"/>
      <c r="F113" s="1085"/>
      <c r="G113" s="1378">
        <f>UDV.separated_solids.interval_land_application</f>
        <v>90</v>
      </c>
      <c r="H113" s="510" t="s">
        <v>5506</v>
      </c>
    </row>
    <row r="114" spans="2:8" x14ac:dyDescent="0.3">
      <c r="B114" s="1454" t="s">
        <v>5333</v>
      </c>
      <c r="C114" s="510"/>
      <c r="D114" s="510"/>
      <c r="E114" s="510"/>
      <c r="F114" s="1384"/>
      <c r="G114" s="1450">
        <f>UDV.crops.N_avail</f>
        <v>0.95</v>
      </c>
      <c r="H114" s="510" t="s">
        <v>1694</v>
      </c>
    </row>
    <row r="115" spans="2:8" x14ac:dyDescent="0.3">
      <c r="B115" s="1454" t="s">
        <v>5337</v>
      </c>
      <c r="C115" s="91"/>
      <c r="D115" s="52"/>
      <c r="E115" s="510"/>
      <c r="F115" s="1384"/>
      <c r="G115" s="1450">
        <f>UDV.crops.P_avail</f>
        <v>0.95</v>
      </c>
      <c r="H115" s="510" t="s">
        <v>1694</v>
      </c>
    </row>
    <row r="116" spans="2:8" x14ac:dyDescent="0.3">
      <c r="B116" s="1454" t="s">
        <v>5339</v>
      </c>
      <c r="C116" s="510"/>
      <c r="D116" s="510"/>
      <c r="E116" s="510"/>
      <c r="F116" s="1384"/>
      <c r="G116" s="1450">
        <f>UDV.crops.K_avail</f>
        <v>1</v>
      </c>
      <c r="H116" s="510" t="s">
        <v>1694</v>
      </c>
    </row>
    <row r="117" spans="2:8" x14ac:dyDescent="0.3">
      <c r="B117" s="1454" t="s">
        <v>5345</v>
      </c>
      <c r="C117" s="510"/>
      <c r="D117" s="510"/>
      <c r="E117" s="510"/>
      <c r="F117" s="1384"/>
      <c r="G117" s="1450">
        <f>UDV.crops.N_need</f>
        <v>195</v>
      </c>
      <c r="H117" s="510" t="s">
        <v>5576</v>
      </c>
    </row>
    <row r="118" spans="2:8" x14ac:dyDescent="0.3">
      <c r="B118" s="1454" t="s">
        <v>5354</v>
      </c>
      <c r="C118" s="510"/>
      <c r="D118" s="510"/>
      <c r="E118" s="510"/>
      <c r="F118" s="1384"/>
      <c r="G118" s="1450">
        <f>UDV.crops.P_need</f>
        <v>55</v>
      </c>
      <c r="H118" s="510" t="s">
        <v>5576</v>
      </c>
    </row>
    <row r="119" spans="2:8" x14ac:dyDescent="0.3">
      <c r="B119" s="1454" t="s">
        <v>5356</v>
      </c>
      <c r="C119" s="1456" t="s">
        <v>6091</v>
      </c>
      <c r="D119" s="510"/>
      <c r="E119" s="510"/>
      <c r="F119" s="1384"/>
      <c r="G119" s="1450">
        <f>UDV.crops.K_need</f>
        <v>90</v>
      </c>
      <c r="H119" s="510" t="s">
        <v>5576</v>
      </c>
    </row>
    <row r="120" spans="2:8" x14ac:dyDescent="0.3">
      <c r="B120" s="1454" t="s">
        <v>6092</v>
      </c>
      <c r="C120" s="1396">
        <f>G111*G120*UC.lb_to_kg/UDV.animal.total</f>
        <v>1.659283011450146</v>
      </c>
      <c r="D120" s="52"/>
      <c r="E120" s="52"/>
      <c r="F120" s="1384"/>
      <c r="G120" s="1463">
        <f>G64*UC.g_to_lb*UC.ton_to_kg</f>
        <v>74.932377941049907</v>
      </c>
      <c r="H120" s="510" t="s">
        <v>4892</v>
      </c>
    </row>
    <row r="121" spans="2:8" x14ac:dyDescent="0.3">
      <c r="B121" s="1454" t="s">
        <v>6093</v>
      </c>
      <c r="C121" s="1396">
        <f>G111*G121*UC.lb_to_kg/UDV.animal.total</f>
        <v>2.3250883269497966</v>
      </c>
      <c r="D121" s="52"/>
      <c r="E121" s="52"/>
      <c r="F121" s="1384"/>
      <c r="G121" s="1463">
        <f>G65*UC.g_to_lb*UC.ton_to_kg</f>
        <v>104.99980778388164</v>
      </c>
      <c r="H121" s="510" t="s">
        <v>4892</v>
      </c>
    </row>
    <row r="122" spans="2:8" x14ac:dyDescent="0.3">
      <c r="B122" s="1454" t="s">
        <v>6094</v>
      </c>
      <c r="C122" s="1396">
        <f>G111*G122*UC.lb_to_kg/UDV.animal.total</f>
        <v>2.5623547521487668</v>
      </c>
      <c r="D122" s="52"/>
      <c r="E122" s="52"/>
      <c r="F122" s="1384"/>
      <c r="G122" s="1463">
        <f>G66*UC.g_to_lb*UC.ton_to_kg</f>
        <v>115.71463902306427</v>
      </c>
      <c r="H122" s="510" t="s">
        <v>4892</v>
      </c>
    </row>
    <row r="123" spans="2:8" x14ac:dyDescent="0.3">
      <c r="B123" s="1454" t="s">
        <v>5344</v>
      </c>
      <c r="C123" s="91"/>
      <c r="D123" s="52"/>
      <c r="E123" s="52"/>
      <c r="F123" s="1384"/>
      <c r="G123" s="1395">
        <f>G114*G120</f>
        <v>71.185759043997408</v>
      </c>
      <c r="H123" s="510" t="s">
        <v>4892</v>
      </c>
    </row>
    <row r="124" spans="2:8" x14ac:dyDescent="0.3">
      <c r="B124" s="1454" t="s">
        <v>5347</v>
      </c>
      <c r="C124" s="91"/>
      <c r="D124" s="52"/>
      <c r="E124" s="52"/>
      <c r="F124" s="1384"/>
      <c r="G124" s="1395">
        <f>G115*G121</f>
        <v>99.749817394687554</v>
      </c>
      <c r="H124" s="510" t="s">
        <v>4892</v>
      </c>
    </row>
    <row r="125" spans="2:8" x14ac:dyDescent="0.3">
      <c r="B125" s="1454" t="s">
        <v>5349</v>
      </c>
      <c r="C125" s="91"/>
      <c r="D125" s="52"/>
      <c r="E125" s="52"/>
      <c r="F125" s="1384"/>
      <c r="G125" s="1395">
        <f>G116*G122</f>
        <v>115.71463902306427</v>
      </c>
      <c r="H125" s="510" t="s">
        <v>4892</v>
      </c>
    </row>
    <row r="126" spans="2:8" x14ac:dyDescent="0.3">
      <c r="B126" s="1454" t="s">
        <v>5351</v>
      </c>
      <c r="C126" s="91"/>
      <c r="D126" s="52"/>
      <c r="E126" s="52"/>
      <c r="F126" s="1384"/>
      <c r="G126" s="1395">
        <f>G117/G123</f>
        <v>2.7393119441133917</v>
      </c>
      <c r="H126" s="510" t="s">
        <v>6095</v>
      </c>
    </row>
    <row r="127" spans="2:8" x14ac:dyDescent="0.3">
      <c r="B127" s="1454" t="s">
        <v>5353</v>
      </c>
      <c r="C127" s="91"/>
      <c r="D127" s="52"/>
      <c r="E127" s="52"/>
      <c r="F127" s="1384"/>
      <c r="G127" s="1395">
        <f>G118/G124</f>
        <v>0.55137945548689471</v>
      </c>
      <c r="H127" s="510" t="s">
        <v>6095</v>
      </c>
    </row>
    <row r="128" spans="2:8" x14ac:dyDescent="0.3">
      <c r="B128" s="1454" t="s">
        <v>5355</v>
      </c>
      <c r="C128" s="91"/>
      <c r="D128" s="52"/>
      <c r="E128" s="52"/>
      <c r="F128" s="1384"/>
      <c r="G128" s="1395">
        <f>G119/G125</f>
        <v>0.77777540300723047</v>
      </c>
      <c r="H128" s="510" t="s">
        <v>6095</v>
      </c>
    </row>
    <row r="129" spans="2:8" x14ac:dyDescent="0.3">
      <c r="B129" s="1454" t="s">
        <v>5343</v>
      </c>
      <c r="C129" s="91"/>
      <c r="D129" s="52"/>
      <c r="E129" s="52"/>
      <c r="F129" s="1384"/>
      <c r="G129" s="1450" t="str">
        <f>UDV.crops.apply_for</f>
        <v>N</v>
      </c>
      <c r="H129" s="510" t="s">
        <v>5579</v>
      </c>
    </row>
    <row r="130" spans="2:8" x14ac:dyDescent="0.3">
      <c r="B130" s="1454" t="s">
        <v>5357</v>
      </c>
      <c r="C130" s="91"/>
      <c r="D130" s="52"/>
      <c r="E130" s="52"/>
      <c r="F130" s="1384"/>
      <c r="G130" s="1380">
        <f>IF(G129="N",G126,IF(G129="P",G127,G128))</f>
        <v>2.7393119441133917</v>
      </c>
      <c r="H130" s="510" t="s">
        <v>6095</v>
      </c>
    </row>
    <row r="131" spans="2:8" x14ac:dyDescent="0.3">
      <c r="B131" s="1454" t="s">
        <v>5360</v>
      </c>
      <c r="C131" s="91"/>
      <c r="D131" s="52"/>
      <c r="E131" s="52"/>
      <c r="F131" s="1384"/>
      <c r="G131" s="1395">
        <f>G123*G130</f>
        <v>195</v>
      </c>
      <c r="H131" s="510" t="s">
        <v>6096</v>
      </c>
    </row>
    <row r="132" spans="2:8" x14ac:dyDescent="0.3">
      <c r="B132" s="1454" t="s">
        <v>5363</v>
      </c>
      <c r="C132" s="91"/>
      <c r="D132" s="52"/>
      <c r="E132" s="52"/>
      <c r="F132" s="1384"/>
      <c r="G132" s="1395">
        <f>G124*G130</f>
        <v>273.2458662123974</v>
      </c>
      <c r="H132" s="510" t="s">
        <v>6096</v>
      </c>
    </row>
    <row r="133" spans="2:8" x14ac:dyDescent="0.3">
      <c r="B133" s="1454" t="s">
        <v>5365</v>
      </c>
      <c r="C133" s="1456" t="s">
        <v>6097</v>
      </c>
      <c r="D133" s="1381"/>
      <c r="E133" s="1381"/>
      <c r="F133" s="1384"/>
      <c r="G133" s="1395">
        <f>G125*G130</f>
        <v>316.97849278464952</v>
      </c>
      <c r="H133" s="510" t="s">
        <v>6096</v>
      </c>
    </row>
    <row r="134" spans="2:8" x14ac:dyDescent="0.3">
      <c r="B134" s="1650" t="s">
        <v>5381</v>
      </c>
      <c r="C134" s="496">
        <f>MAX(G134,0)*F142*(UDV.anaer_lagoon.sludge_time-1)*UC.lb_to_kg/UDV.animal.total</f>
        <v>0</v>
      </c>
      <c r="D134" s="52">
        <f>MAX(G134,0)*G142*UC.lb_to_kg/UDV.animal.total</f>
        <v>0</v>
      </c>
      <c r="E134" s="1386">
        <f>(C134+D134)/UDV.anaer_lagoon.sludge_time</f>
        <v>0</v>
      </c>
      <c r="F134" s="1384"/>
      <c r="G134" s="1395">
        <f>G131-G117</f>
        <v>0</v>
      </c>
      <c r="H134" s="1503" t="s">
        <v>5361</v>
      </c>
    </row>
    <row r="135" spans="2:8" x14ac:dyDescent="0.3">
      <c r="B135" s="1650" t="s">
        <v>5382</v>
      </c>
      <c r="C135" s="496">
        <f>MAX(G135,0)*F142*(UDV.anaer_lagoon.sludge_time-1)*UC.lb_to_kg/UDV.animal.total</f>
        <v>15.878080394731372</v>
      </c>
      <c r="D135" s="52">
        <f>MAX(G135,0)*G142*UC.lb_to_kg/UDV.animal.total</f>
        <v>1.2930356295537657</v>
      </c>
      <c r="E135" s="1386">
        <f>(C135+D135)/UDV.anaer_lagoon.sludge_time</f>
        <v>1.7171116024285138</v>
      </c>
      <c r="F135" s="1384"/>
      <c r="G135" s="1395">
        <f>G132-G118</f>
        <v>218.2458662123974</v>
      </c>
      <c r="H135" s="1503" t="s">
        <v>5361</v>
      </c>
    </row>
    <row r="136" spans="2:8" x14ac:dyDescent="0.3">
      <c r="B136" s="1650" t="s">
        <v>5383</v>
      </c>
      <c r="C136" s="496">
        <f>MAX(G136,0)*F142*(UDV.anaer_lagoon.sludge_time-1)*UC.lb_to_kg/UDV.animal.total</f>
        <v>16.513406731847169</v>
      </c>
      <c r="D136" s="52">
        <f>MAX(G136,0)*G142*UC.lb_to_kg/UDV.animal.total</f>
        <v>1.3447735959742659</v>
      </c>
      <c r="E136" s="1386">
        <f>(C136+D136)/UDV.anaer_lagoon.sludge_time</f>
        <v>1.7858180327821436</v>
      </c>
      <c r="F136" s="1384"/>
      <c r="G136" s="1395">
        <f>G133-G119</f>
        <v>226.97849278464952</v>
      </c>
      <c r="H136" s="1503" t="s">
        <v>5361</v>
      </c>
    </row>
    <row r="137" spans="2:8" x14ac:dyDescent="0.3">
      <c r="B137" s="1454" t="s">
        <v>6098</v>
      </c>
      <c r="C137" s="91"/>
      <c r="D137" s="52"/>
      <c r="E137" s="52"/>
      <c r="F137" s="1384"/>
      <c r="G137" s="1380">
        <f>G111/G130</f>
        <v>8.9107390180089094</v>
      </c>
      <c r="H137" s="510" t="s">
        <v>4874</v>
      </c>
    </row>
    <row r="138" spans="2:8" x14ac:dyDescent="0.3">
      <c r="B138" s="1454" t="s">
        <v>6099</v>
      </c>
      <c r="C138" s="91"/>
      <c r="D138" s="52"/>
      <c r="E138" s="52"/>
      <c r="F138" s="1384"/>
      <c r="G138" s="1378">
        <f>UDV.crops.acres_available</f>
        <v>100</v>
      </c>
      <c r="H138" s="510" t="s">
        <v>4874</v>
      </c>
    </row>
    <row r="139" spans="2:8" x14ac:dyDescent="0.3">
      <c r="B139" s="1507" t="s">
        <v>6100</v>
      </c>
      <c r="C139" s="1502"/>
      <c r="D139" s="1502"/>
      <c r="E139" s="1502"/>
      <c r="F139" s="1383" t="s">
        <v>6101</v>
      </c>
      <c r="G139" s="1383" t="s">
        <v>6102</v>
      </c>
      <c r="H139" s="1375"/>
    </row>
    <row r="140" spans="2:8" x14ac:dyDescent="0.3">
      <c r="B140" s="1454" t="s">
        <v>6103</v>
      </c>
      <c r="C140" s="91"/>
      <c r="D140" s="1651" t="s">
        <v>6104</v>
      </c>
      <c r="E140" s="1651" t="s">
        <v>6105</v>
      </c>
      <c r="F140" s="1532">
        <f>PT.anaer_lagoon!AP113+PT.anaer_lagoon!AQ113</f>
        <v>28.286623239207238</v>
      </c>
      <c r="G140" s="1532">
        <f>PT.anaer_lagoon!AR113</f>
        <v>65.182541499505589</v>
      </c>
      <c r="H140" s="510" t="s">
        <v>4874</v>
      </c>
    </row>
    <row r="141" spans="2:8" x14ac:dyDescent="0.3">
      <c r="B141" s="1454" t="s">
        <v>6106</v>
      </c>
      <c r="C141" s="1456" t="s">
        <v>5583</v>
      </c>
      <c r="D141" s="1456"/>
      <c r="E141" s="52"/>
      <c r="F141" s="1379">
        <f>G138-F140</f>
        <v>71.713376760792755</v>
      </c>
      <c r="G141" s="1379">
        <f>G138-F140-G140</f>
        <v>6.5308352612871658</v>
      </c>
      <c r="H141" s="510" t="s">
        <v>4874</v>
      </c>
    </row>
    <row r="142" spans="2:8" x14ac:dyDescent="0.3">
      <c r="B142" s="1454" t="s">
        <v>6107</v>
      </c>
      <c r="C142" s="1652">
        <f>F142*UC.acre_to_m2</f>
        <v>36060.481401973848</v>
      </c>
      <c r="D142" s="1652">
        <f>G142*UC.acre_to_m2/G112</f>
        <v>2642.9352605102345</v>
      </c>
      <c r="E142" s="52"/>
      <c r="F142" s="1395">
        <f>MIN(G137,F141)</f>
        <v>8.9107390180089094</v>
      </c>
      <c r="G142" s="1395">
        <f>MIN(G137,G141)</f>
        <v>6.5308352612871658</v>
      </c>
      <c r="H142" s="510" t="s">
        <v>4874</v>
      </c>
    </row>
    <row r="143" spans="2:8" x14ac:dyDescent="0.3">
      <c r="B143" s="1454" t="s">
        <v>6108</v>
      </c>
      <c r="C143" s="1385" t="s">
        <v>6109</v>
      </c>
      <c r="D143" s="1519">
        <f>C142+D142</f>
        <v>38703.41666248408</v>
      </c>
      <c r="E143" s="52"/>
      <c r="F143" s="1653">
        <f>IF(G137=0,0,F142/G137)</f>
        <v>1</v>
      </c>
      <c r="G143" s="1653">
        <f>IF(G137=0,0,G142/G137)</f>
        <v>0.73291735377819101</v>
      </c>
      <c r="H143" s="510" t="s">
        <v>6110</v>
      </c>
    </row>
    <row r="144" spans="2:8" x14ac:dyDescent="0.3">
      <c r="B144" s="1454" t="s">
        <v>6111</v>
      </c>
      <c r="C144" s="91"/>
      <c r="D144" s="52"/>
      <c r="E144" s="52"/>
      <c r="F144" s="1654">
        <f>1-F143</f>
        <v>0</v>
      </c>
      <c r="G144" s="1654">
        <f>1-G143</f>
        <v>0.26708264622180899</v>
      </c>
      <c r="H144" s="510" t="s">
        <v>6110</v>
      </c>
    </row>
    <row r="145" spans="2:8" x14ac:dyDescent="0.3">
      <c r="B145" s="1453" t="s">
        <v>6112</v>
      </c>
      <c r="C145" s="91"/>
      <c r="D145" s="52"/>
      <c r="E145" s="52"/>
      <c r="F145" s="1395">
        <f>F144*G111</f>
        <v>0</v>
      </c>
      <c r="G145" s="1395">
        <f>G144*G111</f>
        <v>6.5192987866282035</v>
      </c>
      <c r="H145" s="510" t="s">
        <v>6026</v>
      </c>
    </row>
    <row r="146" spans="2:8" x14ac:dyDescent="0.3">
      <c r="B146" s="1507" t="s">
        <v>6113</v>
      </c>
      <c r="C146" s="1508"/>
      <c r="D146" s="1407"/>
      <c r="E146" s="1408"/>
      <c r="F146" s="1409"/>
      <c r="G146" s="1410"/>
      <c r="H146" s="1408"/>
    </row>
    <row r="147" spans="2:8" x14ac:dyDescent="0.3">
      <c r="B147" s="91" t="s">
        <v>6114</v>
      </c>
      <c r="C147" s="91"/>
      <c r="D147" s="52"/>
      <c r="E147" s="52"/>
      <c r="F147" s="1384"/>
      <c r="G147" s="1357">
        <f>G88</f>
        <v>26.000476190476185</v>
      </c>
      <c r="H147" s="510" t="s">
        <v>5910</v>
      </c>
    </row>
    <row r="148" spans="2:8" x14ac:dyDescent="0.3">
      <c r="B148" s="510" t="s">
        <v>6115</v>
      </c>
      <c r="C148" s="91"/>
      <c r="D148" s="91"/>
      <c r="E148" s="52"/>
      <c r="F148" s="1384"/>
      <c r="G148" s="1378">
        <f>UDV.box_spreader.hp</f>
        <v>85</v>
      </c>
      <c r="H148" s="510" t="s">
        <v>5689</v>
      </c>
    </row>
    <row r="149" spans="2:8" x14ac:dyDescent="0.3">
      <c r="B149" s="510" t="s">
        <v>6116</v>
      </c>
      <c r="C149" s="91"/>
      <c r="D149" s="91"/>
      <c r="E149" s="52"/>
      <c r="F149" s="1384"/>
      <c r="G149" s="1414">
        <f>UDV.box_spreader.capacity/UC.m3_to_bushel</f>
        <v>13.038455942632739</v>
      </c>
      <c r="H149" s="510" t="s">
        <v>2478</v>
      </c>
    </row>
    <row r="150" spans="2:8" x14ac:dyDescent="0.3">
      <c r="B150" s="510" t="s">
        <v>977</v>
      </c>
      <c r="C150" s="91"/>
      <c r="D150" s="91"/>
      <c r="E150" s="52"/>
      <c r="F150" s="1384"/>
      <c r="G150" s="1378">
        <f>UDV.box_spreader.time_spreader_to_field</f>
        <v>10</v>
      </c>
      <c r="H150" s="1353" t="s">
        <v>6117</v>
      </c>
    </row>
    <row r="151" spans="2:8" x14ac:dyDescent="0.3">
      <c r="B151" s="91" t="s">
        <v>6069</v>
      </c>
      <c r="C151" s="91"/>
      <c r="D151" s="52"/>
      <c r="E151" s="52"/>
      <c r="F151" s="1384"/>
      <c r="G151" s="1378">
        <f>UDV.tractor.fuel_efficiency</f>
        <v>4.3999999999999997E-2</v>
      </c>
      <c r="H151" s="510" t="s">
        <v>6070</v>
      </c>
    </row>
    <row r="152" spans="2:8" x14ac:dyDescent="0.3">
      <c r="B152" s="510" t="s">
        <v>6054</v>
      </c>
      <c r="C152" s="49"/>
      <c r="D152" s="52"/>
      <c r="E152" s="52"/>
      <c r="F152" s="1402">
        <f>UC.year_to_day/G113</f>
        <v>4.0555555555555554</v>
      </c>
      <c r="G152" s="1655">
        <f>UC.year_to_day/G113</f>
        <v>4.0555555555555554</v>
      </c>
      <c r="H152" s="18" t="s">
        <v>2321</v>
      </c>
    </row>
    <row r="153" spans="2:8" x14ac:dyDescent="0.3">
      <c r="B153" s="1454" t="s">
        <v>6118</v>
      </c>
      <c r="C153" s="91"/>
      <c r="D153" s="52"/>
      <c r="E153" s="52"/>
      <c r="F153" s="1395">
        <f>F143*G147</f>
        <v>26.000476190476185</v>
      </c>
      <c r="G153" s="1395">
        <f>G143*G147</f>
        <v>19.056200206496666</v>
      </c>
      <c r="H153" s="510" t="s">
        <v>5910</v>
      </c>
    </row>
    <row r="154" spans="2:8" x14ac:dyDescent="0.3">
      <c r="B154" s="510" t="s">
        <v>6119</v>
      </c>
      <c r="C154" s="91"/>
      <c r="D154" s="91"/>
      <c r="E154" s="52"/>
      <c r="F154" s="1395">
        <f>F153/G149</f>
        <v>1.9941376728099096</v>
      </c>
      <c r="G154" s="1395">
        <f>G153/G149</f>
        <v>1.4615381062252388</v>
      </c>
      <c r="H154" s="510" t="s">
        <v>6120</v>
      </c>
    </row>
    <row r="155" spans="2:8" x14ac:dyDescent="0.3">
      <c r="B155" s="91" t="s">
        <v>6121</v>
      </c>
      <c r="C155" s="1385" t="s">
        <v>6122</v>
      </c>
      <c r="D155" s="1385"/>
      <c r="E155" s="1381" t="s">
        <v>4846</v>
      </c>
      <c r="F155" s="1380">
        <f>F154*G150/60</f>
        <v>0.33235627880165164</v>
      </c>
      <c r="G155" s="1380">
        <f>G154*G150/60</f>
        <v>0.24358968437087317</v>
      </c>
      <c r="H155" s="1353" t="s">
        <v>2462</v>
      </c>
    </row>
    <row r="156" spans="2:8" x14ac:dyDescent="0.3">
      <c r="B156" s="91" t="s">
        <v>6123</v>
      </c>
      <c r="C156" s="1656">
        <f>F152*F156/UDV.animal.total</f>
        <v>1.0082212359825213E-2</v>
      </c>
      <c r="D156" s="1656">
        <f>G156*G152/UDV.animal.total/G112</f>
        <v>7.3894284029928645E-4</v>
      </c>
      <c r="E156" s="1657">
        <f>C156+D156</f>
        <v>1.0821155200124499E-2</v>
      </c>
      <c r="F156" s="1380">
        <f>G148*F155*UDV.tractor.fuel_efficiency</f>
        <v>1.243012482718177</v>
      </c>
      <c r="G156" s="1380">
        <f>G148*G155*UDV.tractor.fuel_efficiency</f>
        <v>0.91102541954706551</v>
      </c>
      <c r="H156" s="510" t="s">
        <v>6087</v>
      </c>
    </row>
    <row r="157" spans="2:8" x14ac:dyDescent="0.3">
      <c r="B157" s="1376" t="s">
        <v>6124</v>
      </c>
      <c r="C157" s="1658"/>
      <c r="D157" s="1658"/>
      <c r="E157" s="654"/>
      <c r="F157" s="1380"/>
      <c r="G157" s="1380">
        <f>(((UDV.anaer_lagoon.sludge_time-1)*F155)+G155)/UDV.anaer_lagoon.sludge_time</f>
        <v>0.32347961935857383</v>
      </c>
      <c r="H157" s="510" t="s">
        <v>2462</v>
      </c>
    </row>
    <row r="158" spans="2:8" x14ac:dyDescent="0.3">
      <c r="B158" s="1376" t="s">
        <v>6125</v>
      </c>
      <c r="C158" s="1658"/>
      <c r="D158" s="1658"/>
      <c r="E158" s="654"/>
      <c r="F158" s="1380"/>
      <c r="G158" s="1380">
        <f>(((UDV.anaer_lagoon.sludge_time-1)*F156)+G156)/UDV.anaer_lagoon.sludge_time</f>
        <v>1.2098137764010659</v>
      </c>
      <c r="H158" s="510" t="s">
        <v>6087</v>
      </c>
    </row>
    <row r="159" spans="2:8" x14ac:dyDescent="0.3">
      <c r="B159" s="1507" t="s">
        <v>5593</v>
      </c>
      <c r="C159" s="1502"/>
      <c r="D159" s="1502"/>
      <c r="E159" s="1502"/>
      <c r="F159" s="1383" t="s">
        <v>6101</v>
      </c>
      <c r="G159" s="1383" t="s">
        <v>6102</v>
      </c>
      <c r="H159" s="1501"/>
    </row>
    <row r="160" spans="2:8" x14ac:dyDescent="0.3">
      <c r="B160" s="1449" t="s">
        <v>5372</v>
      </c>
      <c r="C160" s="18"/>
      <c r="D160" s="510"/>
      <c r="E160" s="510"/>
      <c r="F160" s="1403"/>
      <c r="G160" s="1462">
        <f>UDV.econ_fertilizer.N</f>
        <v>0.53</v>
      </c>
      <c r="H160" s="1449" t="s">
        <v>2299</v>
      </c>
    </row>
    <row r="161" spans="2:8" x14ac:dyDescent="0.3">
      <c r="B161" s="1449" t="s">
        <v>5373</v>
      </c>
      <c r="C161" s="18"/>
      <c r="D161" s="510"/>
      <c r="E161" s="510"/>
      <c r="F161" s="1403"/>
      <c r="G161" s="1462">
        <f>UDV.econ_fertilizer.P2O5</f>
        <v>0.53</v>
      </c>
      <c r="H161" s="1449" t="s">
        <v>2299</v>
      </c>
    </row>
    <row r="162" spans="2:8" x14ac:dyDescent="0.3">
      <c r="B162" s="1449" t="s">
        <v>5374</v>
      </c>
      <c r="C162" s="18"/>
      <c r="D162" s="510"/>
      <c r="E162" s="510"/>
      <c r="F162" s="1403"/>
      <c r="G162" s="1462">
        <f>UDV.econ_fertilizer.K2O</f>
        <v>0.45</v>
      </c>
      <c r="H162" s="1449" t="s">
        <v>2299</v>
      </c>
    </row>
    <row r="163" spans="2:8" x14ac:dyDescent="0.3">
      <c r="B163" s="1454" t="s">
        <v>5366</v>
      </c>
      <c r="C163" s="510"/>
      <c r="D163" s="510"/>
      <c r="E163" s="510"/>
      <c r="F163" s="48"/>
      <c r="G163" s="1395">
        <f>IF(G117&lt;G131,G117,G131)</f>
        <v>195</v>
      </c>
      <c r="H163" s="1455" t="s">
        <v>5361</v>
      </c>
    </row>
    <row r="164" spans="2:8" x14ac:dyDescent="0.3">
      <c r="B164" s="1454" t="s">
        <v>5368</v>
      </c>
      <c r="C164" s="510"/>
      <c r="D164" s="510"/>
      <c r="E164" s="510"/>
      <c r="F164" s="48"/>
      <c r="G164" s="1395">
        <f>IF(G118&lt;G132,G118,G132)</f>
        <v>55</v>
      </c>
      <c r="H164" s="1455" t="s">
        <v>5361</v>
      </c>
    </row>
    <row r="165" spans="2:8" x14ac:dyDescent="0.3">
      <c r="B165" s="1454" t="s">
        <v>5370</v>
      </c>
      <c r="C165" s="510"/>
      <c r="D165" s="510"/>
      <c r="E165" s="510"/>
      <c r="F165" s="48"/>
      <c r="G165" s="1395">
        <f>IF(G119&lt;G133,G119,G133)</f>
        <v>90</v>
      </c>
      <c r="H165" s="1455" t="s">
        <v>5361</v>
      </c>
    </row>
    <row r="166" spans="2:8" x14ac:dyDescent="0.3">
      <c r="B166" s="1449" t="s">
        <v>5375</v>
      </c>
      <c r="C166" s="1658"/>
      <c r="D166" s="1658"/>
      <c r="E166" s="654"/>
      <c r="F166" s="1380"/>
      <c r="G166" s="1380">
        <f>G160*G163</f>
        <v>103.35000000000001</v>
      </c>
      <c r="H166" s="1449" t="s">
        <v>5376</v>
      </c>
    </row>
    <row r="167" spans="2:8" x14ac:dyDescent="0.3">
      <c r="B167" s="1449" t="s">
        <v>5377</v>
      </c>
      <c r="C167" s="1658"/>
      <c r="D167" s="1658"/>
      <c r="E167" s="654"/>
      <c r="F167" s="1380"/>
      <c r="G167" s="1380">
        <f>G161*G164</f>
        <v>29.150000000000002</v>
      </c>
      <c r="H167" s="1449" t="s">
        <v>5376</v>
      </c>
    </row>
    <row r="168" spans="2:8" x14ac:dyDescent="0.3">
      <c r="B168" s="1449" t="s">
        <v>5378</v>
      </c>
      <c r="C168" s="1658"/>
      <c r="D168" s="1658"/>
      <c r="E168" s="654"/>
      <c r="F168" s="1380"/>
      <c r="G168" s="1380">
        <f>G162*G165</f>
        <v>40.5</v>
      </c>
      <c r="H168" s="1449" t="s">
        <v>5376</v>
      </c>
    </row>
    <row r="169" spans="2:8" x14ac:dyDescent="0.3">
      <c r="B169" s="1449" t="s">
        <v>5379</v>
      </c>
      <c r="C169" s="1658"/>
      <c r="D169" s="1658"/>
      <c r="E169" s="654"/>
      <c r="F169" s="1380"/>
      <c r="G169" s="1380">
        <f>SUM(G166:G168)</f>
        <v>173</v>
      </c>
      <c r="H169" s="1449" t="s">
        <v>5376</v>
      </c>
    </row>
    <row r="170" spans="2:8" x14ac:dyDescent="0.3">
      <c r="B170" s="1449" t="s">
        <v>6126</v>
      </c>
      <c r="C170" s="1658"/>
      <c r="D170" s="1658"/>
      <c r="E170" s="654"/>
      <c r="F170" s="1380"/>
      <c r="G170" s="1380">
        <f>G169/G130</f>
        <v>63.154545203136159</v>
      </c>
      <c r="H170" s="1449" t="s">
        <v>6127</v>
      </c>
    </row>
    <row r="171" spans="2:8" x14ac:dyDescent="0.3">
      <c r="B171" s="1449" t="s">
        <v>6128</v>
      </c>
      <c r="C171" s="1658"/>
      <c r="D171" s="1658"/>
      <c r="E171" s="654"/>
      <c r="F171" s="1380">
        <f>G130*F141</f>
        <v>196.44530951354332</v>
      </c>
      <c r="G171" s="1380">
        <f>G130*G141</f>
        <v>17.889995036280837</v>
      </c>
      <c r="H171" s="1449" t="s">
        <v>6026</v>
      </c>
    </row>
    <row r="172" spans="2:8" x14ac:dyDescent="0.3">
      <c r="B172" s="1449" t="s">
        <v>6129</v>
      </c>
      <c r="C172" s="49"/>
      <c r="D172" s="52"/>
      <c r="E172" s="52"/>
      <c r="F172" s="1380">
        <f>G130*F142</f>
        <v>24.409293822909042</v>
      </c>
      <c r="G172" s="1399">
        <f>G130*G142</f>
        <v>17.889995036280837</v>
      </c>
      <c r="H172" s="18" t="s">
        <v>6026</v>
      </c>
    </row>
    <row r="173" spans="2:8" x14ac:dyDescent="0.3">
      <c r="B173" s="1457" t="s">
        <v>5332</v>
      </c>
      <c r="C173" s="1658"/>
      <c r="D173" s="1658"/>
      <c r="E173" s="654"/>
      <c r="F173" s="1380">
        <f>G170*F172</f>
        <v>1541.5578501155414</v>
      </c>
      <c r="G173" s="1380">
        <f>G170*G172</f>
        <v>1129.8345002026797</v>
      </c>
      <c r="H173" s="510" t="s">
        <v>5181</v>
      </c>
    </row>
    <row r="175" spans="2:8" x14ac:dyDescent="0.3">
      <c r="B175" s="1405" t="s">
        <v>5271</v>
      </c>
      <c r="C175" s="1374"/>
      <c r="D175" s="1374"/>
      <c r="E175" s="1374"/>
      <c r="F175" s="1356"/>
      <c r="G175" s="1356"/>
      <c r="H175" s="1374"/>
    </row>
    <row r="176" spans="2:8" x14ac:dyDescent="0.3">
      <c r="B176" s="49" t="s">
        <v>5594</v>
      </c>
      <c r="C176" s="49"/>
      <c r="D176" s="49"/>
      <c r="E176" s="49"/>
      <c r="F176" s="49"/>
      <c r="G176" s="1360">
        <f>G34</f>
        <v>46.410849999999982</v>
      </c>
      <c r="H176" s="49" t="s">
        <v>2409</v>
      </c>
    </row>
    <row r="177" spans="2:8" x14ac:dyDescent="0.3">
      <c r="B177" s="602" t="s">
        <v>5595</v>
      </c>
      <c r="C177" s="49"/>
      <c r="D177" s="49"/>
      <c r="E177" s="49"/>
      <c r="F177" s="49"/>
      <c r="G177" s="1727">
        <f>UDV.emit_CH4.BD</f>
        <v>0.47999999999999993</v>
      </c>
      <c r="H177" s="49" t="s">
        <v>5596</v>
      </c>
    </row>
    <row r="178" spans="2:8" x14ac:dyDescent="0.3">
      <c r="B178" s="602" t="s">
        <v>5597</v>
      </c>
      <c r="C178" s="49"/>
      <c r="D178" s="49"/>
      <c r="E178" s="49"/>
      <c r="F178" s="49"/>
      <c r="G178" s="1727">
        <f>UDV.emit_CH4.density</f>
        <v>0.66199999999999992</v>
      </c>
      <c r="H178" s="49" t="s">
        <v>2416</v>
      </c>
    </row>
    <row r="179" spans="2:8" x14ac:dyDescent="0.3">
      <c r="B179" s="602" t="s">
        <v>5598</v>
      </c>
      <c r="C179" s="49"/>
      <c r="D179" s="49"/>
      <c r="E179" s="49"/>
      <c r="F179" s="49"/>
      <c r="G179" s="1414">
        <f>UDV.emit_CH4.MCF_solids</f>
        <v>0.02</v>
      </c>
      <c r="H179" s="49" t="s">
        <v>1694</v>
      </c>
    </row>
    <row r="180" spans="2:8" x14ac:dyDescent="0.3">
      <c r="B180" s="602" t="s">
        <v>5599</v>
      </c>
      <c r="C180" s="49"/>
      <c r="D180" s="1089" t="s">
        <v>5600</v>
      </c>
      <c r="E180" s="1089"/>
      <c r="F180" s="1089"/>
      <c r="G180" s="1728">
        <f>G176*365*G177*G178*G179/UDV.animal.total</f>
        <v>0.21531367076159988</v>
      </c>
      <c r="H180" s="49" t="s">
        <v>5601</v>
      </c>
    </row>
    <row r="181" spans="2:8" x14ac:dyDescent="0.3">
      <c r="B181" s="2283" t="s">
        <v>5602</v>
      </c>
      <c r="C181" s="1406"/>
      <c r="D181" s="1407"/>
      <c r="E181" s="2284"/>
      <c r="F181" s="1409"/>
      <c r="G181" s="1409"/>
      <c r="H181" s="1411"/>
    </row>
    <row r="182" spans="2:8" x14ac:dyDescent="0.3">
      <c r="B182" s="28" t="s">
        <v>6130</v>
      </c>
      <c r="C182" s="510"/>
      <c r="D182" s="2285"/>
      <c r="E182" s="1353"/>
      <c r="F182" s="1384"/>
      <c r="G182" s="1532">
        <f>G35</f>
        <v>4.1567621739155411</v>
      </c>
      <c r="H182" s="28" t="s">
        <v>2409</v>
      </c>
    </row>
    <row r="183" spans="2:8" x14ac:dyDescent="0.3">
      <c r="B183" s="28" t="s">
        <v>5604</v>
      </c>
      <c r="C183" s="510"/>
      <c r="D183" s="1351"/>
      <c r="E183" s="1353"/>
      <c r="F183" s="1384"/>
      <c r="G183" s="1576">
        <f>UDV.emit_N2O_direct.N_to_N2O</f>
        <v>1.5713999999999999</v>
      </c>
      <c r="H183" s="28" t="s">
        <v>5605</v>
      </c>
    </row>
    <row r="184" spans="2:8" x14ac:dyDescent="0.3">
      <c r="B184" s="28" t="s">
        <v>6131</v>
      </c>
      <c r="C184" s="510"/>
      <c r="D184" s="2285"/>
      <c r="E184" s="1353"/>
      <c r="F184" s="1384"/>
      <c r="G184" s="1521">
        <f>G182*UC.year_to_day/UDV.animal.total</f>
        <v>3.0344363869583448</v>
      </c>
      <c r="H184" s="28" t="s">
        <v>5607</v>
      </c>
    </row>
    <row r="185" spans="2:8" x14ac:dyDescent="0.3">
      <c r="B185" s="2283" t="s">
        <v>5608</v>
      </c>
      <c r="C185" s="1408"/>
      <c r="D185" s="1408"/>
      <c r="E185" s="2284"/>
      <c r="F185" s="1409"/>
      <c r="G185" s="2286"/>
      <c r="H185" s="2287"/>
    </row>
    <row r="186" spans="2:8" x14ac:dyDescent="0.3">
      <c r="B186" s="95" t="s">
        <v>6132</v>
      </c>
      <c r="C186" s="49"/>
      <c r="D186" s="52"/>
      <c r="E186" s="1353"/>
      <c r="F186" s="1384"/>
      <c r="G186" s="1401">
        <f>UDV.emit_NH3.lossfrac_solids</f>
        <v>0.45</v>
      </c>
      <c r="H186" s="95" t="s">
        <v>1694</v>
      </c>
    </row>
    <row r="187" spans="2:8" x14ac:dyDescent="0.3">
      <c r="B187" s="95" t="s">
        <v>6133</v>
      </c>
      <c r="C187" s="510"/>
      <c r="D187" s="510"/>
      <c r="E187" s="1353"/>
      <c r="F187" s="1384"/>
      <c r="G187" s="1878">
        <f>G184*G186</f>
        <v>1.3654963741312551</v>
      </c>
      <c r="H187" s="28" t="s">
        <v>5611</v>
      </c>
    </row>
    <row r="188" spans="2:8" x14ac:dyDescent="0.3">
      <c r="B188" s="95" t="s">
        <v>5612</v>
      </c>
      <c r="C188" s="49"/>
      <c r="D188" s="52"/>
      <c r="E188" s="1382" t="s">
        <v>5613</v>
      </c>
      <c r="F188" s="1415"/>
      <c r="G188" s="2288">
        <f>G187</f>
        <v>1.3654963741312551</v>
      </c>
      <c r="H188" s="28" t="s">
        <v>5611</v>
      </c>
    </row>
    <row r="189" spans="2:8" x14ac:dyDescent="0.3">
      <c r="B189" s="2283" t="s">
        <v>5614</v>
      </c>
      <c r="C189" s="1406"/>
      <c r="D189" s="1407"/>
      <c r="E189" s="2284"/>
      <c r="F189" s="1409"/>
      <c r="G189" s="2286"/>
      <c r="H189" s="2289"/>
    </row>
    <row r="190" spans="2:8" ht="15.6" x14ac:dyDescent="0.3">
      <c r="B190" s="28" t="s">
        <v>6134</v>
      </c>
      <c r="C190" s="510"/>
      <c r="D190" s="2285"/>
      <c r="E190" s="1353"/>
      <c r="F190" s="1384"/>
      <c r="G190" s="2290">
        <f>UDV.emit_N2O_direct.ef3_solids</f>
        <v>0.01</v>
      </c>
      <c r="H190" s="28" t="s">
        <v>5616</v>
      </c>
    </row>
    <row r="191" spans="2:8" x14ac:dyDescent="0.3">
      <c r="B191" s="95" t="s">
        <v>6135</v>
      </c>
      <c r="C191" s="510"/>
      <c r="D191" s="2291"/>
      <c r="E191" s="1353"/>
      <c r="F191" s="1384"/>
      <c r="G191" s="1878">
        <f>G183*G184*G190</f>
        <v>4.7683133384663429E-2</v>
      </c>
      <c r="H191" s="28" t="s">
        <v>5618</v>
      </c>
    </row>
    <row r="192" spans="2:8" x14ac:dyDescent="0.3">
      <c r="B192" s="95" t="s">
        <v>5619</v>
      </c>
      <c r="C192" s="49"/>
      <c r="D192" s="52"/>
      <c r="E192" s="1382" t="s">
        <v>5620</v>
      </c>
      <c r="F192" s="1415"/>
      <c r="G192" s="2288">
        <f>G191</f>
        <v>4.7683133384663429E-2</v>
      </c>
      <c r="H192" s="28" t="s">
        <v>5618</v>
      </c>
    </row>
    <row r="193" spans="1:8" x14ac:dyDescent="0.3">
      <c r="B193" s="2283" t="s">
        <v>5621</v>
      </c>
      <c r="C193" s="1408"/>
      <c r="D193" s="1408"/>
      <c r="E193" s="2284"/>
      <c r="F193" s="1409"/>
      <c r="G193" s="2286"/>
      <c r="H193" s="2287"/>
    </row>
    <row r="194" spans="1:8" x14ac:dyDescent="0.3">
      <c r="B194" s="28" t="s">
        <v>5622</v>
      </c>
      <c r="C194" s="510"/>
      <c r="D194" s="2292"/>
      <c r="E194" s="1353"/>
      <c r="F194" s="1384"/>
      <c r="G194" s="1576">
        <f>UDV.emit_N2O_indirect.ef4</f>
        <v>1.4E-2</v>
      </c>
      <c r="H194" s="95" t="s">
        <v>5623</v>
      </c>
    </row>
    <row r="195" spans="1:8" x14ac:dyDescent="0.3">
      <c r="B195" s="95" t="s">
        <v>6136</v>
      </c>
      <c r="C195" s="816"/>
      <c r="D195" s="2293"/>
      <c r="E195" s="1353"/>
      <c r="F195" s="1384"/>
      <c r="G195" s="1878">
        <f>G183*G187*G194</f>
        <v>3.004037403233796E-2</v>
      </c>
      <c r="H195" s="28" t="s">
        <v>5618</v>
      </c>
    </row>
    <row r="196" spans="1:8" x14ac:dyDescent="0.3">
      <c r="B196" s="95" t="s">
        <v>5625</v>
      </c>
      <c r="C196" s="49"/>
      <c r="D196" s="52"/>
      <c r="E196" s="1382" t="s">
        <v>5626</v>
      </c>
      <c r="F196" s="1415"/>
      <c r="G196" s="2288">
        <f>G195</f>
        <v>3.004037403233796E-2</v>
      </c>
      <c r="H196" s="28" t="s">
        <v>5618</v>
      </c>
    </row>
    <row r="197" spans="1:8" x14ac:dyDescent="0.3">
      <c r="B197" s="93"/>
      <c r="G197" s="499"/>
    </row>
    <row r="200" spans="1:8" x14ac:dyDescent="0.3">
      <c r="A200" s="1693" t="s">
        <v>5721</v>
      </c>
      <c r="B200" s="1693"/>
      <c r="C200" s="1693"/>
      <c r="D200" s="1693"/>
      <c r="E200" s="1693"/>
      <c r="F200" s="1693"/>
      <c r="G200" s="1693"/>
      <c r="H200" s="1693"/>
    </row>
    <row r="201" spans="1:8" x14ac:dyDescent="0.3">
      <c r="A201" s="1693"/>
      <c r="B201" s="1693"/>
      <c r="C201" s="1693"/>
      <c r="D201" s="1693"/>
      <c r="E201" s="1693"/>
      <c r="F201" s="1693"/>
      <c r="G201" s="1693"/>
      <c r="H201" s="1693"/>
    </row>
    <row r="202" spans="1:8" x14ac:dyDescent="0.3">
      <c r="A202" s="1693"/>
      <c r="B202" s="1667" t="s">
        <v>5722</v>
      </c>
      <c r="C202" s="1704" t="s">
        <v>38</v>
      </c>
      <c r="D202" s="1705"/>
      <c r="E202" s="1705"/>
      <c r="F202" s="1665" t="s">
        <v>602</v>
      </c>
      <c r="G202" s="1706">
        <f>G2</f>
        <v>14</v>
      </c>
      <c r="H202" s="1706"/>
    </row>
    <row r="203" spans="1:8" x14ac:dyDescent="0.3">
      <c r="B203" s="49" t="s">
        <v>6137</v>
      </c>
      <c r="C203" s="49" t="s">
        <v>5745</v>
      </c>
      <c r="D203" s="49"/>
      <c r="E203" s="49"/>
      <c r="F203" s="49"/>
      <c r="G203" s="1209">
        <f>F173</f>
        <v>1541.5578501155414</v>
      </c>
      <c r="H203" s="49"/>
    </row>
    <row r="204" spans="1:8" x14ac:dyDescent="0.3">
      <c r="B204" s="49" t="s">
        <v>6138</v>
      </c>
      <c r="C204" s="49" t="s">
        <v>5745</v>
      </c>
      <c r="D204" s="49"/>
      <c r="E204" s="49"/>
      <c r="F204" s="49"/>
      <c r="G204" s="1209">
        <f>G173</f>
        <v>1129.8345002026797</v>
      </c>
    </row>
    <row r="205" spans="1:8" x14ac:dyDescent="0.3">
      <c r="B205" s="1621" t="s">
        <v>6139</v>
      </c>
      <c r="C205" s="49" t="s">
        <v>2442</v>
      </c>
      <c r="D205" s="49"/>
      <c r="E205" s="49"/>
      <c r="F205" s="49"/>
      <c r="G205" s="49">
        <f>G11</f>
        <v>1</v>
      </c>
    </row>
    <row r="206" spans="1:8" x14ac:dyDescent="0.3">
      <c r="B206" s="1621" t="s">
        <v>6140</v>
      </c>
      <c r="C206" s="49" t="s">
        <v>2267</v>
      </c>
      <c r="D206" s="49"/>
      <c r="E206" s="49"/>
      <c r="F206" s="49"/>
      <c r="G206" s="49">
        <f>G13</f>
        <v>32</v>
      </c>
    </row>
    <row r="207" spans="1:8" x14ac:dyDescent="0.3">
      <c r="B207" s="1621" t="s">
        <v>6141</v>
      </c>
      <c r="C207" s="49" t="s">
        <v>2442</v>
      </c>
      <c r="D207" s="49"/>
      <c r="E207" s="49"/>
      <c r="F207" s="49"/>
      <c r="G207" s="49">
        <f>G14</f>
        <v>1</v>
      </c>
    </row>
    <row r="208" spans="1:8" x14ac:dyDescent="0.3">
      <c r="B208" s="1621" t="s">
        <v>6142</v>
      </c>
      <c r="C208" s="49" t="s">
        <v>971</v>
      </c>
      <c r="D208" s="49"/>
      <c r="E208" s="49"/>
      <c r="F208" s="49"/>
      <c r="G208" s="49">
        <f>G20</f>
        <v>2</v>
      </c>
    </row>
    <row r="209" spans="2:7" x14ac:dyDescent="0.3">
      <c r="B209" s="1621" t="s">
        <v>6143</v>
      </c>
      <c r="C209" s="49" t="s">
        <v>2471</v>
      </c>
      <c r="D209" s="49"/>
      <c r="E209" s="49"/>
      <c r="F209" s="49"/>
      <c r="G209" s="49">
        <f>G21</f>
        <v>3.1851823435497625E-2</v>
      </c>
    </row>
    <row r="210" spans="2:7" x14ac:dyDescent="0.3">
      <c r="B210" s="1621" t="s">
        <v>6144</v>
      </c>
      <c r="C210" s="49" t="s">
        <v>5809</v>
      </c>
      <c r="D210" s="49"/>
      <c r="E210" s="49"/>
      <c r="F210" s="49"/>
      <c r="G210" s="49">
        <f>G22</f>
        <v>2.3761460282881227E-2</v>
      </c>
    </row>
    <row r="211" spans="2:7" x14ac:dyDescent="0.3">
      <c r="B211" s="1621" t="s">
        <v>6145</v>
      </c>
      <c r="C211" s="49" t="s">
        <v>2268</v>
      </c>
      <c r="D211" s="49"/>
      <c r="E211" s="49"/>
      <c r="F211" s="49"/>
      <c r="G211" s="1209">
        <f>G50</f>
        <v>43.729975885638247</v>
      </c>
    </row>
    <row r="212" spans="2:7" x14ac:dyDescent="0.3">
      <c r="B212" s="1621" t="s">
        <v>6146</v>
      </c>
      <c r="C212" s="49" t="s">
        <v>2409</v>
      </c>
      <c r="D212" s="49"/>
      <c r="E212" s="49"/>
      <c r="F212" s="49"/>
      <c r="G212" s="1360">
        <f>G57</f>
        <v>60.667777777777751</v>
      </c>
    </row>
    <row r="213" spans="2:7" x14ac:dyDescent="0.3">
      <c r="B213" s="1621" t="s">
        <v>6147</v>
      </c>
      <c r="C213" s="49" t="s">
        <v>2409</v>
      </c>
      <c r="D213" s="49"/>
      <c r="E213" s="49"/>
      <c r="F213" s="49"/>
      <c r="G213" s="1209">
        <f>G53</f>
        <v>0</v>
      </c>
    </row>
    <row r="214" spans="2:7" x14ac:dyDescent="0.3">
      <c r="B214" s="91" t="s">
        <v>6148</v>
      </c>
      <c r="C214" s="49" t="s">
        <v>2450</v>
      </c>
      <c r="D214" s="49"/>
      <c r="E214" s="49"/>
      <c r="F214" s="49"/>
      <c r="G214" s="49">
        <f>G45</f>
        <v>14</v>
      </c>
    </row>
    <row r="215" spans="2:7" x14ac:dyDescent="0.3">
      <c r="B215" s="91" t="s">
        <v>6149</v>
      </c>
      <c r="C215" s="49" t="s">
        <v>5689</v>
      </c>
      <c r="D215" s="49"/>
      <c r="E215" s="49"/>
      <c r="F215" s="49"/>
      <c r="G215" s="49">
        <f>G93</f>
        <v>94</v>
      </c>
    </row>
    <row r="216" spans="2:7" x14ac:dyDescent="0.3">
      <c r="B216" s="91" t="s">
        <v>6077</v>
      </c>
      <c r="C216" s="49" t="s">
        <v>6087</v>
      </c>
      <c r="D216" s="49"/>
      <c r="E216" s="49"/>
      <c r="F216" s="49"/>
      <c r="G216" s="1209">
        <f>G102</f>
        <v>0.12502609197119774</v>
      </c>
    </row>
    <row r="217" spans="2:7" x14ac:dyDescent="0.3">
      <c r="B217" s="91" t="s">
        <v>6075</v>
      </c>
      <c r="C217" s="49" t="s">
        <v>2462</v>
      </c>
      <c r="D217" s="49"/>
      <c r="E217" s="49"/>
      <c r="F217" s="49"/>
      <c r="G217" s="1209">
        <f>G101</f>
        <v>3.0228745641005257E-2</v>
      </c>
    </row>
    <row r="218" spans="2:7" x14ac:dyDescent="0.3">
      <c r="B218" s="85" t="s">
        <v>6150</v>
      </c>
      <c r="C218" s="49" t="s">
        <v>2450</v>
      </c>
      <c r="D218" s="49"/>
      <c r="E218" s="49"/>
      <c r="F218" s="49"/>
      <c r="G218" s="1606">
        <f>UDV.separated_solids.interval_land_application</f>
        <v>90</v>
      </c>
    </row>
    <row r="219" spans="2:7" x14ac:dyDescent="0.3">
      <c r="B219" s="85" t="s">
        <v>6086</v>
      </c>
      <c r="C219" s="49" t="s">
        <v>6087</v>
      </c>
      <c r="D219" s="49"/>
      <c r="E219" s="49"/>
      <c r="F219" s="49"/>
      <c r="G219" s="1209">
        <f>G108</f>
        <v>1.0418840997599812</v>
      </c>
    </row>
    <row r="220" spans="2:7" x14ac:dyDescent="0.3">
      <c r="B220" s="85" t="s">
        <v>6084</v>
      </c>
      <c r="C220" s="49" t="s">
        <v>2462</v>
      </c>
      <c r="D220" s="49"/>
      <c r="E220" s="49"/>
      <c r="F220" s="49"/>
      <c r="G220" s="1209">
        <f>G107</f>
        <v>0.25190621367504379</v>
      </c>
    </row>
    <row r="221" spans="2:7" x14ac:dyDescent="0.3">
      <c r="B221" s="85" t="s">
        <v>6151</v>
      </c>
      <c r="C221" s="510" t="s">
        <v>5689</v>
      </c>
      <c r="D221" s="49"/>
      <c r="E221" s="49"/>
      <c r="F221" s="49"/>
      <c r="G221" s="1515">
        <f>UDV.box_spreader.hp</f>
        <v>85</v>
      </c>
    </row>
    <row r="222" spans="2:7" x14ac:dyDescent="0.3">
      <c r="B222" s="85" t="s">
        <v>6123</v>
      </c>
      <c r="C222" s="49" t="s">
        <v>6152</v>
      </c>
      <c r="D222" s="49"/>
      <c r="E222" s="49"/>
      <c r="F222" s="49"/>
      <c r="G222" s="1659">
        <f>G158</f>
        <v>1.2098137764010659</v>
      </c>
    </row>
    <row r="223" spans="2:7" x14ac:dyDescent="0.3">
      <c r="B223" s="85" t="s">
        <v>6121</v>
      </c>
      <c r="C223" s="49" t="s">
        <v>6153</v>
      </c>
      <c r="D223" s="49"/>
      <c r="E223" s="49"/>
      <c r="F223" s="49"/>
      <c r="G223" s="1659">
        <f>G157</f>
        <v>0.32347961935857383</v>
      </c>
    </row>
    <row r="224" spans="2:7" x14ac:dyDescent="0.3">
      <c r="B224" s="85" t="s">
        <v>6154</v>
      </c>
      <c r="C224" s="49" t="s">
        <v>2409</v>
      </c>
      <c r="D224" s="49"/>
      <c r="E224" s="49"/>
      <c r="F224" s="49"/>
      <c r="G224" s="648">
        <f>G58</f>
        <v>60.667777777777751</v>
      </c>
    </row>
    <row r="225" spans="1:7" x14ac:dyDescent="0.3">
      <c r="B225" s="91" t="s">
        <v>6155</v>
      </c>
      <c r="C225" s="49" t="s">
        <v>6031</v>
      </c>
      <c r="D225" s="49"/>
      <c r="E225" s="49"/>
      <c r="F225" s="49"/>
      <c r="G225" s="1360">
        <f>G64</f>
        <v>37.466188939106154</v>
      </c>
    </row>
    <row r="226" spans="1:7" x14ac:dyDescent="0.3">
      <c r="B226" s="91" t="s">
        <v>6156</v>
      </c>
      <c r="C226" s="49" t="s">
        <v>6031</v>
      </c>
      <c r="D226" s="49"/>
      <c r="E226" s="49"/>
      <c r="F226" s="49"/>
      <c r="G226" s="1360">
        <f t="shared" ref="G226:G227" si="0">G65</f>
        <v>52.499903847914887</v>
      </c>
    </row>
    <row r="227" spans="1:7" x14ac:dyDescent="0.3">
      <c r="B227" s="91" t="s">
        <v>6157</v>
      </c>
      <c r="C227" s="49" t="s">
        <v>6031</v>
      </c>
      <c r="D227" s="49"/>
      <c r="E227" s="49"/>
      <c r="F227" s="49"/>
      <c r="G227" s="1360">
        <f t="shared" si="0"/>
        <v>57.857319463013518</v>
      </c>
    </row>
    <row r="228" spans="1:7" x14ac:dyDescent="0.3">
      <c r="B228" s="49" t="s">
        <v>5431</v>
      </c>
      <c r="C228" s="49" t="s">
        <v>6026</v>
      </c>
      <c r="D228" s="49"/>
      <c r="E228" s="49"/>
      <c r="F228" s="49"/>
      <c r="G228" s="1360">
        <f>F145</f>
        <v>0</v>
      </c>
    </row>
    <row r="229" spans="1:7" x14ac:dyDescent="0.3">
      <c r="B229" s="49" t="s">
        <v>5432</v>
      </c>
      <c r="C229" s="49" t="s">
        <v>5252</v>
      </c>
      <c r="D229" s="49"/>
      <c r="E229" s="49"/>
      <c r="F229" s="49"/>
      <c r="G229" s="1360">
        <f>G145</f>
        <v>6.5192987866282035</v>
      </c>
    </row>
    <row r="231" spans="1:7" x14ac:dyDescent="0.3">
      <c r="A231" s="1660" t="s">
        <v>1901</v>
      </c>
      <c r="B231" s="1703"/>
      <c r="C231" s="1703"/>
      <c r="D231" s="1703"/>
      <c r="E231" s="1703"/>
      <c r="F231" s="1703"/>
      <c r="G231" s="1703"/>
    </row>
    <row r="232" spans="1:7" x14ac:dyDescent="0.3">
      <c r="A232" s="1660"/>
      <c r="B232" s="1703"/>
      <c r="C232" s="1703"/>
      <c r="D232" s="1703"/>
      <c r="E232" s="1703"/>
      <c r="F232" s="1703"/>
      <c r="G232" s="1703"/>
    </row>
    <row r="233" spans="1:7" x14ac:dyDescent="0.3">
      <c r="A233" s="1660"/>
      <c r="B233" s="1702" t="s">
        <v>5747</v>
      </c>
      <c r="C233" s="1702" t="s">
        <v>38</v>
      </c>
      <c r="D233" s="1702"/>
      <c r="E233" s="1702"/>
      <c r="F233" s="1702" t="s">
        <v>602</v>
      </c>
      <c r="G233" s="1707">
        <f>G202</f>
        <v>14</v>
      </c>
    </row>
    <row r="234" spans="1:7" x14ac:dyDescent="0.3">
      <c r="B234" s="1672" t="s">
        <v>409</v>
      </c>
      <c r="C234" s="1673"/>
      <c r="D234" s="1674"/>
      <c r="E234" s="1674"/>
      <c r="F234" s="1675"/>
      <c r="G234" s="1676"/>
    </row>
    <row r="235" spans="1:7" x14ac:dyDescent="0.3">
      <c r="B235" s="49" t="s">
        <v>6158</v>
      </c>
      <c r="C235" s="49" t="s">
        <v>5769</v>
      </c>
      <c r="D235" s="49"/>
      <c r="E235" s="49"/>
      <c r="F235" s="49"/>
      <c r="G235" s="1682">
        <f>G22*UC.year_to_day/UDV.animal.total</f>
        <v>1.7345866006503296E-2</v>
      </c>
    </row>
    <row r="237" spans="1:7" x14ac:dyDescent="0.3">
      <c r="B237" s="1668" t="s">
        <v>447</v>
      </c>
      <c r="C237" s="1669"/>
      <c r="D237" s="1670"/>
      <c r="E237" s="1670"/>
      <c r="F237" s="1670"/>
      <c r="G237" s="1671"/>
    </row>
    <row r="238" spans="1:7" x14ac:dyDescent="0.3">
      <c r="B238" s="49" t="s">
        <v>6159</v>
      </c>
      <c r="C238" s="49" t="s">
        <v>2268</v>
      </c>
      <c r="D238" s="49"/>
      <c r="E238" s="49"/>
      <c r="F238" s="49"/>
      <c r="G238" s="1209">
        <f>G50</f>
        <v>43.729975885638247</v>
      </c>
    </row>
    <row r="239" spans="1:7" x14ac:dyDescent="0.3">
      <c r="B239" s="49" t="s">
        <v>6160</v>
      </c>
      <c r="C239" s="49" t="s">
        <v>2268</v>
      </c>
      <c r="D239" s="49"/>
      <c r="E239" s="49"/>
      <c r="F239" s="49"/>
      <c r="G239" s="1360">
        <f>G90</f>
        <v>23.507279843444223</v>
      </c>
    </row>
    <row r="240" spans="1:7" x14ac:dyDescent="0.3">
      <c r="B240" s="18" t="s">
        <v>6161</v>
      </c>
      <c r="C240" s="49" t="s">
        <v>2268</v>
      </c>
      <c r="D240" s="49"/>
      <c r="E240" s="49"/>
      <c r="F240" s="49"/>
      <c r="G240" s="648">
        <f>D143</f>
        <v>38703.41666248408</v>
      </c>
    </row>
    <row r="241" spans="2:7" x14ac:dyDescent="0.3">
      <c r="B241" s="49"/>
      <c r="C241" s="49"/>
      <c r="D241" s="49"/>
      <c r="E241" s="49"/>
      <c r="F241" s="49"/>
      <c r="G241" s="49"/>
    </row>
    <row r="242" spans="2:7" x14ac:dyDescent="0.3">
      <c r="B242" s="1677" t="s">
        <v>5753</v>
      </c>
      <c r="C242" s="1678"/>
      <c r="D242" s="1679"/>
      <c r="E242" s="1679"/>
      <c r="F242" s="1680"/>
      <c r="G242" s="1671"/>
    </row>
    <row r="243" spans="2:7" x14ac:dyDescent="0.3">
      <c r="B243" s="49" t="s">
        <v>6077</v>
      </c>
      <c r="C243" s="49" t="s">
        <v>2497</v>
      </c>
      <c r="D243" s="49"/>
      <c r="E243" s="49"/>
      <c r="F243" s="49"/>
      <c r="G243" s="1682">
        <f>G102*UC.year_to_day/UDV.animal.total</f>
        <v>9.1269047138974338E-2</v>
      </c>
    </row>
    <row r="244" spans="2:7" x14ac:dyDescent="0.3">
      <c r="B244" s="49" t="s">
        <v>6086</v>
      </c>
      <c r="C244" s="49" t="s">
        <v>2497</v>
      </c>
      <c r="D244" s="49"/>
      <c r="E244" s="49"/>
      <c r="F244" s="49"/>
      <c r="G244" s="1682">
        <f>G108*UC.year_to_day/UDV.animal.total</f>
        <v>0.76057539282478626</v>
      </c>
    </row>
    <row r="245" spans="2:7" x14ac:dyDescent="0.3">
      <c r="B245" s="91" t="s">
        <v>6123</v>
      </c>
      <c r="C245" s="49" t="s">
        <v>2497</v>
      </c>
      <c r="D245" s="49"/>
      <c r="E245" s="49"/>
      <c r="F245" s="49"/>
      <c r="G245" s="1500">
        <f>E156</f>
        <v>1.0821155200124499E-2</v>
      </c>
    </row>
    <row r="246" spans="2:7" x14ac:dyDescent="0.3">
      <c r="B246" s="49"/>
      <c r="C246" s="49"/>
      <c r="D246" s="49"/>
      <c r="E246" s="49"/>
      <c r="F246" s="49"/>
      <c r="G246" s="49"/>
    </row>
    <row r="247" spans="2:7" x14ac:dyDescent="0.3">
      <c r="B247" s="1668" t="s">
        <v>6162</v>
      </c>
      <c r="C247" s="1669"/>
      <c r="D247" s="1670"/>
      <c r="E247" s="1670"/>
      <c r="F247" s="1680"/>
      <c r="G247" s="1671"/>
    </row>
    <row r="248" spans="2:7" x14ac:dyDescent="0.3">
      <c r="B248" s="1577" t="s">
        <v>6163</v>
      </c>
      <c r="C248" s="49" t="s">
        <v>2385</v>
      </c>
      <c r="D248" s="49"/>
      <c r="E248" s="49"/>
      <c r="F248" s="49"/>
      <c r="G248" s="1682">
        <f>G111*G120*UC.lb_to_kg/UDV.animal.total</f>
        <v>1.659283011450146</v>
      </c>
    </row>
    <row r="249" spans="2:7" x14ac:dyDescent="0.3">
      <c r="B249" s="1577" t="s">
        <v>6164</v>
      </c>
      <c r="C249" s="49" t="s">
        <v>2385</v>
      </c>
      <c r="D249" s="49"/>
      <c r="E249" s="49"/>
      <c r="F249" s="49"/>
      <c r="G249" s="1682">
        <f>G111*G121*UC.lb_to_kg/UDV.animal.total</f>
        <v>2.3250883269497966</v>
      </c>
    </row>
    <row r="250" spans="2:7" x14ac:dyDescent="0.3">
      <c r="B250" s="1577" t="s">
        <v>6165</v>
      </c>
      <c r="C250" s="49" t="s">
        <v>2385</v>
      </c>
      <c r="D250" s="49"/>
      <c r="E250" s="49"/>
      <c r="F250" s="49"/>
      <c r="G250" s="1682">
        <f>G111*G122*UC.lb_to_kg/UDV.animal.total</f>
        <v>2.5623547521487668</v>
      </c>
    </row>
    <row r="251" spans="2:7" x14ac:dyDescent="0.3">
      <c r="B251" s="1668" t="s">
        <v>6166</v>
      </c>
      <c r="C251" s="1669"/>
      <c r="D251" s="1670"/>
      <c r="E251" s="1670"/>
      <c r="F251" s="1680"/>
      <c r="G251" s="1671"/>
    </row>
    <row r="252" spans="2:7" x14ac:dyDescent="0.3">
      <c r="B252" s="49" t="s">
        <v>6167</v>
      </c>
      <c r="C252" s="49" t="s">
        <v>2385</v>
      </c>
      <c r="D252" s="49"/>
      <c r="E252" s="49"/>
      <c r="F252" s="49"/>
      <c r="G252" s="1360">
        <f>E134</f>
        <v>0</v>
      </c>
    </row>
    <row r="253" spans="2:7" x14ac:dyDescent="0.3">
      <c r="B253" s="49" t="s">
        <v>6168</v>
      </c>
      <c r="C253" s="49" t="s">
        <v>2385</v>
      </c>
      <c r="D253" s="49"/>
      <c r="E253" s="49"/>
      <c r="F253" s="49"/>
      <c r="G253" s="1360">
        <f t="shared" ref="G253:G254" si="1">E135</f>
        <v>1.7171116024285138</v>
      </c>
    </row>
    <row r="254" spans="2:7" x14ac:dyDescent="0.3">
      <c r="B254" s="49" t="s">
        <v>6169</v>
      </c>
      <c r="C254" s="49" t="s">
        <v>2385</v>
      </c>
      <c r="D254" s="49"/>
      <c r="E254" s="49"/>
      <c r="F254" s="49"/>
      <c r="G254" s="1360">
        <f t="shared" si="1"/>
        <v>1.7858180327821436</v>
      </c>
    </row>
    <row r="255" spans="2:7" x14ac:dyDescent="0.3">
      <c r="B255" s="1668" t="s">
        <v>5271</v>
      </c>
      <c r="C255" s="1669"/>
      <c r="D255" s="1670"/>
      <c r="E255" s="1670"/>
      <c r="F255" s="1680"/>
      <c r="G255" s="1671"/>
    </row>
    <row r="256" spans="2:7" x14ac:dyDescent="0.3">
      <c r="B256" s="49" t="s">
        <v>6170</v>
      </c>
      <c r="C256" s="49" t="s">
        <v>2385</v>
      </c>
      <c r="D256" s="49"/>
      <c r="E256" s="49"/>
      <c r="F256" s="49"/>
      <c r="G256" s="1209">
        <f>G180</f>
        <v>0.21531367076159988</v>
      </c>
    </row>
    <row r="257" spans="2:7" x14ac:dyDescent="0.3">
      <c r="B257" s="49" t="s">
        <v>6171</v>
      </c>
      <c r="C257" s="1353" t="s">
        <v>2385</v>
      </c>
      <c r="D257" s="49"/>
      <c r="E257" s="49"/>
      <c r="F257" s="49"/>
      <c r="G257" s="1209">
        <f>G188</f>
        <v>1.3654963741312551</v>
      </c>
    </row>
    <row r="258" spans="2:7" x14ac:dyDescent="0.3">
      <c r="B258" s="49" t="s">
        <v>6172</v>
      </c>
      <c r="C258" s="1353" t="s">
        <v>2385</v>
      </c>
      <c r="D258" s="49"/>
      <c r="E258" s="49"/>
      <c r="F258" s="49"/>
      <c r="G258" s="1209">
        <f>G192</f>
        <v>4.7683133384663429E-2</v>
      </c>
    </row>
    <row r="259" spans="2:7" x14ac:dyDescent="0.3">
      <c r="B259" s="49" t="s">
        <v>6173</v>
      </c>
      <c r="C259" s="1353" t="s">
        <v>2385</v>
      </c>
      <c r="D259" s="49"/>
      <c r="E259" s="49"/>
      <c r="F259" s="49"/>
      <c r="G259" s="1209">
        <f>G196</f>
        <v>3.004037403233796E-2</v>
      </c>
    </row>
  </sheetData>
  <phoneticPr fontId="5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A096-183F-4F03-B331-3E426A47665C}">
  <sheetPr>
    <tabColor rgb="FF92D050"/>
  </sheetPr>
  <dimension ref="A2:J98"/>
  <sheetViews>
    <sheetView workbookViewId="0">
      <selection sqref="A1:C1"/>
    </sheetView>
  </sheetViews>
  <sheetFormatPr defaultRowHeight="14.4" x14ac:dyDescent="0.3"/>
  <cols>
    <col min="1" max="1" width="2.44140625" customWidth="1"/>
    <col min="2" max="2" width="92.5546875" bestFit="1" customWidth="1"/>
    <col min="3" max="3" width="23.88671875" bestFit="1" customWidth="1"/>
    <col min="7" max="9" width="18.33203125" customWidth="1"/>
    <col min="10" max="10" width="25.33203125" bestFit="1" customWidth="1"/>
  </cols>
  <sheetData>
    <row r="2" spans="1:10" x14ac:dyDescent="0.3">
      <c r="A2" t="s">
        <v>6174</v>
      </c>
      <c r="B2" s="1343" t="s">
        <v>6175</v>
      </c>
      <c r="C2" s="1571"/>
      <c r="D2" s="1571"/>
      <c r="E2" s="1571"/>
      <c r="F2" s="1699" t="s">
        <v>602</v>
      </c>
      <c r="G2" s="1700">
        <v>6</v>
      </c>
      <c r="H2" s="1700">
        <v>7</v>
      </c>
      <c r="I2" s="1700">
        <v>8</v>
      </c>
      <c r="J2" s="1343"/>
    </row>
    <row r="3" spans="1:10" x14ac:dyDescent="0.3">
      <c r="B3" s="28" t="s">
        <v>6176</v>
      </c>
      <c r="C3" s="28"/>
      <c r="D3" s="1448"/>
      <c r="E3" s="1353"/>
      <c r="F3" s="1448"/>
      <c r="G3" s="1574">
        <f>PT.waste_generation!$G24*UC.L_to_m3</f>
        <v>31.283734452421985</v>
      </c>
      <c r="H3" s="1574">
        <f>PT.waste_generation!$G31*UC.L_to_m3</f>
        <v>2.8937344524219841</v>
      </c>
      <c r="I3" s="1574">
        <f>PT.waste_generation!$G40*UC.L_to_m3</f>
        <v>5.2080201667076986</v>
      </c>
      <c r="J3" s="28" t="s">
        <v>2521</v>
      </c>
    </row>
    <row r="4" spans="1:10" x14ac:dyDescent="0.3">
      <c r="B4" s="49" t="s">
        <v>6177</v>
      </c>
      <c r="C4" s="49"/>
      <c r="D4" s="49"/>
      <c r="E4" s="49"/>
      <c r="F4" s="131"/>
      <c r="G4" s="1428">
        <f>PT.waste_generation!$G5</f>
        <v>273.00499999999988</v>
      </c>
      <c r="H4" s="1428">
        <f>PT.waste_generation!$G5</f>
        <v>273.00499999999988</v>
      </c>
      <c r="I4" s="1428">
        <f>PT.waste_generation!$G5</f>
        <v>273.00499999999988</v>
      </c>
      <c r="J4" s="49" t="s">
        <v>6178</v>
      </c>
    </row>
    <row r="5" spans="1:10" x14ac:dyDescent="0.3">
      <c r="B5" s="602" t="s">
        <v>6179</v>
      </c>
      <c r="C5" s="602"/>
      <c r="D5" s="1352"/>
      <c r="E5" s="1352"/>
      <c r="F5" s="131"/>
      <c r="G5" s="1428">
        <f>PT.waste_generation!$G6</f>
        <v>221.00449999999995</v>
      </c>
      <c r="H5" s="1428">
        <f>PT.waste_generation!$G6</f>
        <v>221.00449999999995</v>
      </c>
      <c r="I5" s="1428">
        <f>PT.waste_generation!$G6</f>
        <v>221.00449999999995</v>
      </c>
      <c r="J5" s="602" t="s">
        <v>6180</v>
      </c>
    </row>
    <row r="6" spans="1:10" x14ac:dyDescent="0.3">
      <c r="B6" s="602" t="s">
        <v>5963</v>
      </c>
      <c r="C6" s="49"/>
      <c r="D6" s="49"/>
      <c r="E6" s="49"/>
      <c r="F6" s="131"/>
      <c r="G6" s="1428">
        <f>PT.shallow_flush!G27</f>
        <v>18.183765869577698</v>
      </c>
      <c r="H6" s="1428">
        <f>PT.shallow_scrape!G38</f>
        <v>20.783810869577703</v>
      </c>
      <c r="I6" s="1428">
        <f>PT.shallow_plug!G33</f>
        <v>19.483788369577702</v>
      </c>
      <c r="J6" s="49" t="s">
        <v>2409</v>
      </c>
    </row>
    <row r="7" spans="1:10" x14ac:dyDescent="0.3">
      <c r="B7" s="602" t="s">
        <v>5964</v>
      </c>
      <c r="C7" s="49"/>
      <c r="D7" s="49"/>
      <c r="E7" s="49"/>
      <c r="F7" s="131"/>
      <c r="G7" s="1428">
        <f>PT.waste_generation!$G8</f>
        <v>9.1001499999999993</v>
      </c>
      <c r="H7" s="1428">
        <f>PT.waste_generation!$G8</f>
        <v>9.1001499999999993</v>
      </c>
      <c r="I7" s="1428">
        <f>PT.waste_generation!$G8</f>
        <v>9.1001499999999993</v>
      </c>
      <c r="J7" s="49" t="s">
        <v>2409</v>
      </c>
    </row>
    <row r="8" spans="1:10" x14ac:dyDescent="0.3">
      <c r="B8" s="602" t="s">
        <v>5965</v>
      </c>
      <c r="C8" s="49"/>
      <c r="D8" s="49"/>
      <c r="E8" s="49"/>
      <c r="F8" s="131"/>
      <c r="G8" s="1428">
        <f>PT.waste_generation!$G9</f>
        <v>11.700249999999999</v>
      </c>
      <c r="H8" s="1428">
        <f>PT.waste_generation!$G9</f>
        <v>11.700249999999999</v>
      </c>
      <c r="I8" s="1428">
        <f>PT.waste_generation!$G9</f>
        <v>11.700249999999999</v>
      </c>
      <c r="J8" s="49" t="s">
        <v>2409</v>
      </c>
    </row>
    <row r="9" spans="1:10" x14ac:dyDescent="0.3">
      <c r="B9" s="602" t="s">
        <v>6181</v>
      </c>
      <c r="C9" s="602"/>
      <c r="D9" s="1352"/>
      <c r="E9" s="1352"/>
      <c r="F9" s="1390"/>
      <c r="G9" s="1530">
        <f>UDV.anaer_digest.HRT</f>
        <v>25</v>
      </c>
      <c r="H9" s="1530">
        <f>UDV.anaer_digest.HRT</f>
        <v>25</v>
      </c>
      <c r="I9" s="1530">
        <f>UDV.anaer_digest.HRT</f>
        <v>25</v>
      </c>
      <c r="J9" s="602" t="s">
        <v>2452</v>
      </c>
    </row>
    <row r="10" spans="1:10" x14ac:dyDescent="0.3">
      <c r="B10" s="49" t="s">
        <v>6182</v>
      </c>
      <c r="C10" s="49"/>
      <c r="D10" s="49"/>
      <c r="E10" s="49"/>
      <c r="F10" s="49"/>
      <c r="G10" s="1359">
        <f>UDV.anaer_digest.storage_safety_factor</f>
        <v>1</v>
      </c>
      <c r="H10" s="1359">
        <f>UDV.anaer_digest.storage_safety_factor</f>
        <v>1</v>
      </c>
      <c r="I10" s="1359">
        <f>UDV.anaer_digest.storage_safety_factor</f>
        <v>1</v>
      </c>
      <c r="J10" s="49" t="s">
        <v>2426</v>
      </c>
    </row>
    <row r="11" spans="1:10" x14ac:dyDescent="0.3">
      <c r="B11" s="602" t="s">
        <v>6183</v>
      </c>
      <c r="C11" s="49"/>
      <c r="D11" s="49"/>
      <c r="E11" s="49"/>
      <c r="F11" s="49"/>
      <c r="G11" s="648">
        <f>G3*G9*G10</f>
        <v>782.09336131054965</v>
      </c>
      <c r="H11" s="648">
        <f t="shared" ref="H11:I11" si="0">H3*H9*H10</f>
        <v>72.343361310549597</v>
      </c>
      <c r="I11" s="648">
        <f t="shared" si="0"/>
        <v>130.20050416769246</v>
      </c>
      <c r="J11" s="49" t="s">
        <v>2478</v>
      </c>
    </row>
    <row r="12" spans="1:10" x14ac:dyDescent="0.3">
      <c r="A12" t="s">
        <v>6184</v>
      </c>
      <c r="B12" s="1343" t="s">
        <v>6185</v>
      </c>
      <c r="C12" s="1571"/>
      <c r="D12" s="1571"/>
      <c r="E12" s="1571"/>
      <c r="F12" s="1572"/>
      <c r="G12" s="1573"/>
      <c r="H12" s="1573"/>
      <c r="I12" s="1573"/>
      <c r="J12" s="1343"/>
    </row>
    <row r="13" spans="1:10" x14ac:dyDescent="0.3">
      <c r="B13" s="602" t="s">
        <v>6186</v>
      </c>
      <c r="C13" s="602"/>
      <c r="D13" s="1352"/>
      <c r="E13" s="1352"/>
      <c r="F13" s="1390"/>
      <c r="G13" s="1575">
        <f>UDV.anaer_digest.vs_reduced</f>
        <v>0.5</v>
      </c>
      <c r="H13" s="1575">
        <f>UDV.anaer_digest.vs_reduced</f>
        <v>0.5</v>
      </c>
      <c r="I13" s="1575">
        <f>UDV.anaer_digest.vs_reduced</f>
        <v>0.5</v>
      </c>
      <c r="J13" s="602" t="s">
        <v>1694</v>
      </c>
    </row>
    <row r="14" spans="1:10" x14ac:dyDescent="0.3">
      <c r="B14" s="602" t="s">
        <v>6187</v>
      </c>
      <c r="C14" s="602"/>
      <c r="D14" s="1352"/>
      <c r="E14" s="1352"/>
      <c r="F14" s="1390"/>
      <c r="G14" s="1575">
        <f>UDV.anaer_digest.gas_gen</f>
        <v>0.38</v>
      </c>
      <c r="H14" s="1575">
        <f>UDV.anaer_digest.gas_gen</f>
        <v>0.38</v>
      </c>
      <c r="I14" s="1575">
        <f>UDV.anaer_digest.gas_gen</f>
        <v>0.38</v>
      </c>
      <c r="J14" s="602" t="s">
        <v>6188</v>
      </c>
    </row>
    <row r="15" spans="1:10" x14ac:dyDescent="0.3">
      <c r="B15" s="95" t="s">
        <v>6189</v>
      </c>
      <c r="C15" s="49"/>
      <c r="D15" s="49"/>
      <c r="E15" s="49"/>
      <c r="F15" s="49"/>
      <c r="G15" s="1576">
        <f>UDV.anaer_digest.CH4_fraction</f>
        <v>0.65</v>
      </c>
      <c r="H15" s="1576">
        <f>UDV.anaer_digest.CH4_fraction</f>
        <v>0.65</v>
      </c>
      <c r="I15" s="1576">
        <f>UDV.anaer_digest.CH4_fraction</f>
        <v>0.65</v>
      </c>
      <c r="J15" s="1353" t="s">
        <v>1694</v>
      </c>
    </row>
    <row r="16" spans="1:10" x14ac:dyDescent="0.3">
      <c r="B16" s="95" t="s">
        <v>1723</v>
      </c>
      <c r="C16" s="49"/>
      <c r="D16" s="49"/>
      <c r="E16" s="49"/>
      <c r="F16" s="49"/>
      <c r="G16" s="1576">
        <f>UDV.energy.CH4_MJ</f>
        <v>37.000000000000007</v>
      </c>
      <c r="H16" s="1576">
        <f>UDV.energy.CH4_MJ</f>
        <v>37.000000000000007</v>
      </c>
      <c r="I16" s="1576">
        <f>UDV.energy.CH4_MJ</f>
        <v>37.000000000000007</v>
      </c>
      <c r="J16" s="1353" t="s">
        <v>2438</v>
      </c>
    </row>
    <row r="17" spans="1:10" x14ac:dyDescent="0.3">
      <c r="B17" s="95" t="s">
        <v>6190</v>
      </c>
      <c r="C17" s="49"/>
      <c r="D17" s="49"/>
      <c r="E17" s="49"/>
      <c r="F17" s="49"/>
      <c r="G17" s="1576">
        <f>UDV.energy.CH4_to_energy</f>
        <v>1</v>
      </c>
      <c r="H17" s="1576">
        <f>UDV.energy.CH4_to_energy</f>
        <v>1</v>
      </c>
      <c r="I17" s="1576">
        <f>UDV.energy.CH4_to_energy</f>
        <v>1</v>
      </c>
      <c r="J17" s="1353" t="s">
        <v>1694</v>
      </c>
    </row>
    <row r="18" spans="1:10" x14ac:dyDescent="0.3">
      <c r="B18" s="95" t="s">
        <v>6191</v>
      </c>
      <c r="C18" s="49"/>
      <c r="D18" s="49"/>
      <c r="E18" s="49"/>
      <c r="F18" s="49"/>
      <c r="G18" s="1576">
        <f>UDV.emit_CH4.density</f>
        <v>0.66199999999999992</v>
      </c>
      <c r="H18" s="1576">
        <f>UDV.emit_CH4.density</f>
        <v>0.66199999999999992</v>
      </c>
      <c r="I18" s="1576">
        <f>UDV.emit_CH4.density</f>
        <v>0.66199999999999992</v>
      </c>
      <c r="J18" s="1353" t="s">
        <v>2416</v>
      </c>
    </row>
    <row r="19" spans="1:10" x14ac:dyDescent="0.3">
      <c r="B19" s="95" t="s">
        <v>6192</v>
      </c>
      <c r="C19" s="49"/>
      <c r="D19" s="49"/>
      <c r="E19" s="49"/>
      <c r="F19" s="49"/>
      <c r="G19" s="1576">
        <f>UDV.emit_CH4.combustion_ratio</f>
        <v>2.75</v>
      </c>
      <c r="H19" s="1576">
        <f>UDV.emit_CH4.combustion_ratio</f>
        <v>2.75</v>
      </c>
      <c r="I19" s="1576">
        <f>UDV.emit_CH4.combustion_ratio</f>
        <v>2.75</v>
      </c>
      <c r="J19" s="1353" t="s">
        <v>2392</v>
      </c>
    </row>
    <row r="20" spans="1:10" x14ac:dyDescent="0.3">
      <c r="B20" s="602" t="s">
        <v>6193</v>
      </c>
      <c r="C20" s="49"/>
      <c r="D20" s="49"/>
      <c r="E20" s="49"/>
      <c r="F20" s="49"/>
      <c r="G20" s="1209">
        <f>G5*G13</f>
        <v>110.50224999999998</v>
      </c>
      <c r="H20" s="1209">
        <f t="shared" ref="H20:I20" si="1">H5*H13</f>
        <v>110.50224999999998</v>
      </c>
      <c r="I20" s="1209">
        <f t="shared" si="1"/>
        <v>110.50224999999998</v>
      </c>
      <c r="J20" s="602" t="s">
        <v>6180</v>
      </c>
    </row>
    <row r="21" spans="1:10" x14ac:dyDescent="0.3">
      <c r="B21" s="602" t="s">
        <v>6194</v>
      </c>
      <c r="C21" s="49"/>
      <c r="D21" s="49"/>
      <c r="E21" s="49"/>
      <c r="F21" s="49"/>
      <c r="G21" s="1360">
        <f>G14*G20</f>
        <v>41.990854999999989</v>
      </c>
      <c r="H21" s="1360">
        <f t="shared" ref="H21:I21" si="2">H14*H20</f>
        <v>41.990854999999989</v>
      </c>
      <c r="I21" s="1360">
        <f t="shared" si="2"/>
        <v>41.990854999999989</v>
      </c>
      <c r="J21" s="602" t="s">
        <v>2521</v>
      </c>
    </row>
    <row r="22" spans="1:10" x14ac:dyDescent="0.3">
      <c r="B22" s="95" t="s">
        <v>6195</v>
      </c>
      <c r="C22" s="49"/>
      <c r="D22" s="49"/>
      <c r="E22" s="49"/>
      <c r="F22" s="49"/>
      <c r="G22" s="1360">
        <f>G15*G21</f>
        <v>27.294055749999995</v>
      </c>
      <c r="H22" s="1360">
        <f t="shared" ref="H22:I22" si="3">H15*H21</f>
        <v>27.294055749999995</v>
      </c>
      <c r="I22" s="1360">
        <f t="shared" si="3"/>
        <v>27.294055749999995</v>
      </c>
      <c r="J22" s="1353" t="s">
        <v>2521</v>
      </c>
    </row>
    <row r="23" spans="1:10" x14ac:dyDescent="0.3">
      <c r="B23" s="95" t="s">
        <v>6196</v>
      </c>
      <c r="C23" s="49"/>
      <c r="D23" s="49"/>
      <c r="E23" s="49"/>
      <c r="F23" s="49"/>
      <c r="G23" s="1360">
        <f>G18*G22</f>
        <v>18.068664906499993</v>
      </c>
      <c r="H23" s="1360">
        <f t="shared" ref="H23:I23" si="4">H18*H22</f>
        <v>18.068664906499993</v>
      </c>
      <c r="I23" s="1360">
        <f t="shared" si="4"/>
        <v>18.068664906499993</v>
      </c>
      <c r="J23" s="1353" t="s">
        <v>2409</v>
      </c>
    </row>
    <row r="24" spans="1:10" x14ac:dyDescent="0.3">
      <c r="B24" s="95" t="s">
        <v>6197</v>
      </c>
      <c r="C24" s="49"/>
      <c r="D24" s="49"/>
      <c r="E24" s="49"/>
      <c r="F24" s="49"/>
      <c r="G24" s="1360">
        <f>G16*G22</f>
        <v>1009.88006275</v>
      </c>
      <c r="H24" s="1360">
        <f t="shared" ref="H24:I24" si="5">H16*H22</f>
        <v>1009.88006275</v>
      </c>
      <c r="I24" s="1360">
        <f t="shared" si="5"/>
        <v>1009.88006275</v>
      </c>
      <c r="J24" s="1577" t="s">
        <v>6198</v>
      </c>
    </row>
    <row r="25" spans="1:10" x14ac:dyDescent="0.3">
      <c r="B25" s="95" t="s">
        <v>6199</v>
      </c>
      <c r="C25" s="49"/>
      <c r="D25" s="49"/>
      <c r="E25" s="49"/>
      <c r="F25" s="49"/>
      <c r="G25" s="1360">
        <f>G17*G24</f>
        <v>1009.88006275</v>
      </c>
      <c r="H25" s="1360">
        <f t="shared" ref="H25:I25" si="6">H17*H24</f>
        <v>1009.88006275</v>
      </c>
      <c r="I25" s="1360">
        <f t="shared" si="6"/>
        <v>1009.88006275</v>
      </c>
      <c r="J25" s="1353" t="s">
        <v>6198</v>
      </c>
    </row>
    <row r="26" spans="1:10" x14ac:dyDescent="0.3">
      <c r="B26" s="95" t="s">
        <v>6200</v>
      </c>
      <c r="C26" s="49"/>
      <c r="D26" s="1089" t="s">
        <v>6201</v>
      </c>
      <c r="E26" s="1089"/>
      <c r="F26" s="1089"/>
      <c r="G26" s="1360">
        <f>(1-G17)*G23</f>
        <v>0</v>
      </c>
      <c r="H26" s="1360">
        <f t="shared" ref="H26:I26" si="7">(1-H17)*H23</f>
        <v>0</v>
      </c>
      <c r="I26" s="1360">
        <f t="shared" si="7"/>
        <v>0</v>
      </c>
      <c r="J26" s="1353" t="s">
        <v>2409</v>
      </c>
    </row>
    <row r="27" spans="1:10" x14ac:dyDescent="0.3">
      <c r="B27" s="95" t="s">
        <v>6202</v>
      </c>
      <c r="C27" s="49"/>
      <c r="D27" s="1089" t="s">
        <v>6201</v>
      </c>
      <c r="E27" s="1089"/>
      <c r="F27" s="1089"/>
      <c r="G27" s="1360">
        <f>G17*G19*G23</f>
        <v>49.688828492874983</v>
      </c>
      <c r="H27" s="1360">
        <f t="shared" ref="H27:I27" si="8">H17*H19*H23</f>
        <v>49.688828492874983</v>
      </c>
      <c r="I27" s="1360">
        <f t="shared" si="8"/>
        <v>49.688828492874983</v>
      </c>
      <c r="J27" s="1353" t="s">
        <v>2409</v>
      </c>
    </row>
    <row r="28" spans="1:10" x14ac:dyDescent="0.3">
      <c r="A28" t="s">
        <v>6203</v>
      </c>
      <c r="B28" s="1343" t="s">
        <v>6204</v>
      </c>
      <c r="C28" s="1571"/>
      <c r="D28" s="1571"/>
      <c r="E28" s="1571"/>
      <c r="F28" s="1572"/>
      <c r="G28" s="1573"/>
      <c r="H28" s="1573"/>
      <c r="I28" s="1573"/>
      <c r="J28" s="1343"/>
    </row>
    <row r="29" spans="1:10" x14ac:dyDescent="0.3">
      <c r="B29" s="602" t="s">
        <v>6205</v>
      </c>
      <c r="C29" s="49"/>
      <c r="D29" s="49"/>
      <c r="E29" s="49"/>
      <c r="F29" s="49"/>
      <c r="G29" s="1359">
        <f>UDV.animal.total</f>
        <v>500</v>
      </c>
      <c r="H29" s="1359">
        <f>UDV.animal.total</f>
        <v>500</v>
      </c>
      <c r="I29" s="1359">
        <f>UDV.animal.total</f>
        <v>500</v>
      </c>
      <c r="J29" s="49" t="s">
        <v>2329</v>
      </c>
    </row>
    <row r="30" spans="1:10" x14ac:dyDescent="0.3">
      <c r="B30" s="602" t="s">
        <v>6206</v>
      </c>
      <c r="C30" s="602"/>
      <c r="D30" s="1352"/>
      <c r="E30" s="1352"/>
      <c r="F30" s="1390"/>
      <c r="G30" s="1578">
        <f>UDV.anaer_digest.max_height</f>
        <v>36</v>
      </c>
      <c r="H30" s="1578">
        <f>UDV.anaer_digest.max_height</f>
        <v>36</v>
      </c>
      <c r="I30" s="1578">
        <f>UDV.anaer_digest.max_height</f>
        <v>36</v>
      </c>
      <c r="J30" s="602" t="s">
        <v>2337</v>
      </c>
    </row>
    <row r="31" spans="1:10" x14ac:dyDescent="0.3">
      <c r="B31" s="602" t="s">
        <v>6207</v>
      </c>
      <c r="C31" s="602"/>
      <c r="D31" s="1352"/>
      <c r="E31" s="1352"/>
      <c r="F31" s="1390"/>
      <c r="G31" s="1530">
        <f>UDV.anaer_digest.min_count</f>
        <v>1</v>
      </c>
      <c r="H31" s="1530">
        <f>UDV.anaer_digest.min_count</f>
        <v>1</v>
      </c>
      <c r="I31" s="1530">
        <f>UDV.anaer_digest.min_count</f>
        <v>1</v>
      </c>
      <c r="J31" s="602" t="s">
        <v>6208</v>
      </c>
    </row>
    <row r="32" spans="1:10" x14ac:dyDescent="0.3">
      <c r="B32" s="602" t="s">
        <v>6209</v>
      </c>
      <c r="C32" s="602"/>
      <c r="D32" s="1352"/>
      <c r="E32" s="1352"/>
      <c r="F32" s="1390"/>
      <c r="G32" s="1579">
        <f>UDV.anaer_digest.gas_fraction</f>
        <v>0.25</v>
      </c>
      <c r="H32" s="1579">
        <f>UDV.anaer_digest.gas_fraction</f>
        <v>0.25</v>
      </c>
      <c r="I32" s="1579">
        <f>UDV.anaer_digest.gas_fraction</f>
        <v>0.25</v>
      </c>
      <c r="J32" s="602" t="s">
        <v>1694</v>
      </c>
    </row>
    <row r="33" spans="1:10" x14ac:dyDescent="0.3">
      <c r="B33" s="602" t="s">
        <v>6210</v>
      </c>
      <c r="C33" s="49"/>
      <c r="D33" s="52"/>
      <c r="E33" s="52"/>
      <c r="F33" s="48"/>
      <c r="G33" s="1346">
        <f>UDV.anaer_digest.ratio_h_r</f>
        <v>0.75</v>
      </c>
      <c r="H33" s="1346">
        <f>UDV.anaer_digest.ratio_h_r</f>
        <v>0.75</v>
      </c>
      <c r="I33" s="1346">
        <f>UDV.anaer_digest.ratio_h_r</f>
        <v>0.75</v>
      </c>
      <c r="J33" s="18" t="s">
        <v>6211</v>
      </c>
    </row>
    <row r="34" spans="1:10" x14ac:dyDescent="0.3">
      <c r="B34" s="602" t="s">
        <v>6212</v>
      </c>
      <c r="C34" s="49"/>
      <c r="D34" s="49"/>
      <c r="E34" s="49"/>
      <c r="F34" s="49"/>
      <c r="G34" s="1360">
        <f>G30/G33</f>
        <v>48</v>
      </c>
      <c r="H34" s="1360">
        <f>H30/H33</f>
        <v>48</v>
      </c>
      <c r="I34" s="1360">
        <f>I30/I33</f>
        <v>48</v>
      </c>
      <c r="J34" s="602" t="s">
        <v>2337</v>
      </c>
    </row>
    <row r="35" spans="1:10" x14ac:dyDescent="0.3">
      <c r="B35" s="602" t="s">
        <v>6213</v>
      </c>
      <c r="C35" s="49"/>
      <c r="D35" s="49"/>
      <c r="E35" s="49"/>
      <c r="F35" s="49"/>
      <c r="G35" s="648">
        <f>PI()*G34^2*G34*G33</f>
        <v>260576.26105935179</v>
      </c>
      <c r="H35" s="648">
        <f t="shared" ref="H35:I35" si="9">PI()*H34^2*H34*H33</f>
        <v>260576.26105935179</v>
      </c>
      <c r="I35" s="648">
        <f t="shared" si="9"/>
        <v>260576.26105935179</v>
      </c>
      <c r="J35" s="602" t="s">
        <v>2478</v>
      </c>
    </row>
    <row r="36" spans="1:10" x14ac:dyDescent="0.3">
      <c r="B36" s="602" t="s">
        <v>6214</v>
      </c>
      <c r="C36" s="49"/>
      <c r="D36" s="49"/>
      <c r="E36" s="49"/>
      <c r="F36" s="49"/>
      <c r="G36" s="49">
        <f>ROUNDUP(G11/G35,0)</f>
        <v>1</v>
      </c>
      <c r="H36" s="49">
        <f>ROUNDUP(H11/H35,0)</f>
        <v>1</v>
      </c>
      <c r="I36" s="49">
        <f>ROUNDUP(I11/I35,0)</f>
        <v>1</v>
      </c>
      <c r="J36" s="602" t="s">
        <v>6215</v>
      </c>
    </row>
    <row r="37" spans="1:10" x14ac:dyDescent="0.3">
      <c r="B37" s="1392" t="s">
        <v>6216</v>
      </c>
      <c r="C37" s="49"/>
      <c r="D37" s="49"/>
      <c r="E37" s="49"/>
      <c r="F37" s="49"/>
      <c r="G37" s="648">
        <f>MAX(G31,G36)</f>
        <v>1</v>
      </c>
      <c r="H37" s="648">
        <f>MAX(H31,H36)</f>
        <v>1</v>
      </c>
      <c r="I37" s="648">
        <f>MAX(I31,I36)</f>
        <v>1</v>
      </c>
      <c r="J37" s="602" t="s">
        <v>6215</v>
      </c>
    </row>
    <row r="38" spans="1:10" x14ac:dyDescent="0.3">
      <c r="B38" s="1392" t="s">
        <v>6217</v>
      </c>
      <c r="C38" s="49"/>
      <c r="D38" s="49"/>
      <c r="E38" s="49"/>
      <c r="F38" s="49"/>
      <c r="G38" s="1360">
        <f>G11/G37</f>
        <v>782.09336131054965</v>
      </c>
      <c r="H38" s="1360">
        <f>H11/H37</f>
        <v>72.343361310549597</v>
      </c>
      <c r="I38" s="1360">
        <f>I11/I37</f>
        <v>130.20050416769246</v>
      </c>
      <c r="J38" s="602" t="s">
        <v>6218</v>
      </c>
    </row>
    <row r="39" spans="1:10" x14ac:dyDescent="0.3">
      <c r="B39" s="602" t="s">
        <v>6219</v>
      </c>
      <c r="C39" s="49"/>
      <c r="D39" s="49"/>
      <c r="E39" s="49"/>
      <c r="F39" s="49"/>
      <c r="G39" s="1209">
        <f>(G38/PI()/2)^(1/3)</f>
        <v>4.9929771326441825</v>
      </c>
      <c r="H39" s="1209">
        <f t="shared" ref="H39:I39" si="10">(H38/PI()/2)^(1/3)</f>
        <v>2.2580814605514643</v>
      </c>
      <c r="I39" s="1209">
        <f t="shared" si="10"/>
        <v>2.7466981343572536</v>
      </c>
      <c r="J39" s="602" t="s">
        <v>2337</v>
      </c>
    </row>
    <row r="40" spans="1:10" x14ac:dyDescent="0.3">
      <c r="B40" s="602" t="s">
        <v>6220</v>
      </c>
      <c r="C40" s="49"/>
      <c r="D40" s="49"/>
      <c r="E40" s="49"/>
      <c r="F40" s="49"/>
      <c r="G40" s="1209">
        <f>G33*G39</f>
        <v>3.7447328494831371</v>
      </c>
      <c r="H40" s="1209">
        <f t="shared" ref="H40:I40" si="11">H33*H39</f>
        <v>1.6935610954135982</v>
      </c>
      <c r="I40" s="1209">
        <f t="shared" si="11"/>
        <v>2.0600236007679404</v>
      </c>
      <c r="J40" s="602" t="s">
        <v>2337</v>
      </c>
    </row>
    <row r="41" spans="1:10" x14ac:dyDescent="0.3">
      <c r="B41" s="602" t="s">
        <v>6221</v>
      </c>
      <c r="C41" s="49"/>
      <c r="D41" s="1089" t="s">
        <v>6222</v>
      </c>
      <c r="E41" s="1089"/>
      <c r="F41" s="1089"/>
      <c r="G41" s="1580">
        <f>G37*PI()*G39^2</f>
        <v>78.319341400264761</v>
      </c>
      <c r="H41" s="1580">
        <f t="shared" ref="H41:I41" si="12">H37*PI()*H39^2</f>
        <v>16.018766943173528</v>
      </c>
      <c r="I41" s="1580">
        <f t="shared" si="12"/>
        <v>23.701276550755775</v>
      </c>
      <c r="J41" s="602" t="s">
        <v>2268</v>
      </c>
    </row>
    <row r="42" spans="1:10" x14ac:dyDescent="0.3">
      <c r="B42" s="1581" t="s">
        <v>6223</v>
      </c>
      <c r="C42" s="49"/>
      <c r="D42" s="49"/>
      <c r="E42" s="49"/>
      <c r="F42" s="49"/>
      <c r="G42" s="1360">
        <f>G32*G38</f>
        <v>195.52334032763741</v>
      </c>
      <c r="H42" s="1360">
        <f t="shared" ref="H42:I42" si="13">H32*H38</f>
        <v>18.085840327637399</v>
      </c>
      <c r="I42" s="1360">
        <f t="shared" si="13"/>
        <v>32.550126041923114</v>
      </c>
      <c r="J42" s="49" t="s">
        <v>2478</v>
      </c>
    </row>
    <row r="43" spans="1:10" x14ac:dyDescent="0.3">
      <c r="A43" t="s">
        <v>6224</v>
      </c>
      <c r="B43" s="1343" t="s">
        <v>6225</v>
      </c>
      <c r="C43" s="1571"/>
      <c r="D43" s="1571"/>
      <c r="E43" s="1571"/>
      <c r="F43" s="1572"/>
      <c r="G43" s="1573">
        <f>G2</f>
        <v>6</v>
      </c>
      <c r="H43" s="1573">
        <f t="shared" ref="H43:I43" si="14">H2</f>
        <v>7</v>
      </c>
      <c r="I43" s="1573">
        <f t="shared" si="14"/>
        <v>8</v>
      </c>
      <c r="J43" s="1343"/>
    </row>
    <row r="44" spans="1:10" x14ac:dyDescent="0.3">
      <c r="B44" s="18" t="s">
        <v>5794</v>
      </c>
      <c r="C44" s="2295"/>
      <c r="D44" s="2295"/>
      <c r="E44" s="2295"/>
      <c r="F44" s="2296"/>
      <c r="G44" s="2297">
        <f>UDV.anaer_digest.N_retained</f>
        <v>0.92480905180000006</v>
      </c>
      <c r="H44" s="2297">
        <f>UDV.anaer_digest.N_retained</f>
        <v>0.92480905180000006</v>
      </c>
      <c r="I44" s="2297">
        <f>UDV.anaer_digest.N_retained</f>
        <v>0.92480905180000006</v>
      </c>
      <c r="J44" s="1818" t="s">
        <v>1694</v>
      </c>
    </row>
    <row r="45" spans="1:10" x14ac:dyDescent="0.3">
      <c r="B45" s="602" t="s">
        <v>6226</v>
      </c>
      <c r="C45" s="49"/>
      <c r="D45" s="1371" t="s">
        <v>6041</v>
      </c>
      <c r="E45" s="1371"/>
      <c r="F45" s="1371"/>
      <c r="G45" s="1360">
        <f>G3*UC.m3_to_L</f>
        <v>31283.734452421984</v>
      </c>
      <c r="H45" s="1360">
        <f>H3*UC.m3_to_L</f>
        <v>2893.7344524219843</v>
      </c>
      <c r="I45" s="1360">
        <f>I3*UC.m3_to_L</f>
        <v>5208.020166707699</v>
      </c>
      <c r="J45" s="49" t="s">
        <v>2519</v>
      </c>
    </row>
    <row r="46" spans="1:10" x14ac:dyDescent="0.3">
      <c r="B46" s="49" t="s">
        <v>6227</v>
      </c>
      <c r="C46" s="49"/>
      <c r="D46" s="1371" t="s">
        <v>6041</v>
      </c>
      <c r="E46" s="1371"/>
      <c r="F46" s="1371"/>
      <c r="G46" s="648">
        <f>G4-G20</f>
        <v>162.50274999999991</v>
      </c>
      <c r="H46" s="648">
        <f>H4-H20</f>
        <v>162.50274999999991</v>
      </c>
      <c r="I46" s="648">
        <f>I4-I20</f>
        <v>162.50274999999991</v>
      </c>
      <c r="J46" s="49" t="s">
        <v>6178</v>
      </c>
    </row>
    <row r="47" spans="1:10" x14ac:dyDescent="0.3">
      <c r="B47" s="602" t="s">
        <v>6228</v>
      </c>
      <c r="C47" s="49"/>
      <c r="D47" s="1371" t="s">
        <v>6041</v>
      </c>
      <c r="E47" s="1371"/>
      <c r="F47" s="1371"/>
      <c r="G47" s="648">
        <f>G5-G20</f>
        <v>110.50224999999998</v>
      </c>
      <c r="H47" s="648">
        <f>H5-H20</f>
        <v>110.50224999999998</v>
      </c>
      <c r="I47" s="648">
        <f>I5-I20</f>
        <v>110.50224999999998</v>
      </c>
      <c r="J47" s="49" t="s">
        <v>6180</v>
      </c>
    </row>
    <row r="48" spans="1:10" x14ac:dyDescent="0.3">
      <c r="B48" s="602" t="s">
        <v>6229</v>
      </c>
      <c r="C48" s="49"/>
      <c r="D48" s="1371" t="s">
        <v>6041</v>
      </c>
      <c r="E48" s="1371"/>
      <c r="F48" s="1371"/>
      <c r="G48" s="1360">
        <f>G6*G44</f>
        <v>16.816511271997353</v>
      </c>
      <c r="H48" s="1360">
        <f t="shared" ref="H48:I48" si="15">H6*H44</f>
        <v>19.22105642308469</v>
      </c>
      <c r="I48" s="1360">
        <f t="shared" si="15"/>
        <v>18.018783847541023</v>
      </c>
      <c r="J48" s="49" t="s">
        <v>2409</v>
      </c>
    </row>
    <row r="49" spans="2:10" x14ac:dyDescent="0.3">
      <c r="B49" s="602" t="s">
        <v>6230</v>
      </c>
      <c r="C49" s="49"/>
      <c r="D49" s="1371" t="s">
        <v>6041</v>
      </c>
      <c r="E49" s="1371"/>
      <c r="F49" s="1371"/>
      <c r="G49" s="1360">
        <f t="shared" ref="G49:I50" si="16">G7</f>
        <v>9.1001499999999993</v>
      </c>
      <c r="H49" s="1360">
        <f t="shared" si="16"/>
        <v>9.1001499999999993</v>
      </c>
      <c r="I49" s="1360">
        <f t="shared" si="16"/>
        <v>9.1001499999999993</v>
      </c>
      <c r="J49" s="49" t="s">
        <v>2409</v>
      </c>
    </row>
    <row r="50" spans="2:10" x14ac:dyDescent="0.3">
      <c r="B50" s="602" t="s">
        <v>6231</v>
      </c>
      <c r="C50" s="49"/>
      <c r="D50" s="1371" t="s">
        <v>6041</v>
      </c>
      <c r="E50" s="1371"/>
      <c r="F50" s="1371"/>
      <c r="G50" s="1360">
        <f t="shared" si="16"/>
        <v>11.700249999999999</v>
      </c>
      <c r="H50" s="1360">
        <f t="shared" si="16"/>
        <v>11.700249999999999</v>
      </c>
      <c r="I50" s="1360">
        <f t="shared" si="16"/>
        <v>11.700249999999999</v>
      </c>
      <c r="J50" s="49" t="s">
        <v>2409</v>
      </c>
    </row>
    <row r="52" spans="2:10" x14ac:dyDescent="0.3">
      <c r="B52" s="1405" t="s">
        <v>5271</v>
      </c>
      <c r="C52" s="1374"/>
      <c r="D52" s="1374"/>
      <c r="E52" s="1374"/>
      <c r="F52" s="1356"/>
      <c r="G52" s="1356"/>
      <c r="H52" s="1356"/>
      <c r="I52" s="1374"/>
      <c r="J52" s="1374"/>
    </row>
    <row r="53" spans="2:10" x14ac:dyDescent="0.3">
      <c r="B53" s="49" t="s">
        <v>5594</v>
      </c>
      <c r="C53" s="49"/>
      <c r="D53" s="49"/>
      <c r="E53" s="49"/>
      <c r="F53" s="49"/>
      <c r="G53" s="1360">
        <f>G5</f>
        <v>221.00449999999995</v>
      </c>
      <c r="H53" s="1360">
        <f>H5</f>
        <v>221.00449999999995</v>
      </c>
      <c r="I53" s="1360">
        <f>I5</f>
        <v>221.00449999999995</v>
      </c>
      <c r="J53" s="49" t="s">
        <v>2409</v>
      </c>
    </row>
    <row r="54" spans="2:10" x14ac:dyDescent="0.3">
      <c r="B54" s="602" t="s">
        <v>5595</v>
      </c>
      <c r="C54" s="49"/>
      <c r="D54" s="49"/>
      <c r="E54" s="49"/>
      <c r="F54" s="49"/>
      <c r="G54" s="1727">
        <f>UDV.emit_CH4.BD</f>
        <v>0.47999999999999993</v>
      </c>
      <c r="H54" s="1727">
        <f>UDV.emit_CH4.BD</f>
        <v>0.47999999999999993</v>
      </c>
      <c r="I54" s="1727">
        <f>UDV.emit_CH4.BD</f>
        <v>0.47999999999999993</v>
      </c>
      <c r="J54" s="49" t="s">
        <v>5596</v>
      </c>
    </row>
    <row r="55" spans="2:10" x14ac:dyDescent="0.3">
      <c r="B55" s="602" t="s">
        <v>5597</v>
      </c>
      <c r="C55" s="49"/>
      <c r="D55" s="49"/>
      <c r="E55" s="49"/>
      <c r="F55" s="49"/>
      <c r="G55" s="1727">
        <f>UDV.emit_CH4.density</f>
        <v>0.66199999999999992</v>
      </c>
      <c r="H55" s="1727">
        <f>UDV.emit_CH4.density</f>
        <v>0.66199999999999992</v>
      </c>
      <c r="I55" s="1727">
        <f>UDV.emit_CH4.density</f>
        <v>0.66199999999999992</v>
      </c>
      <c r="J55" s="49" t="s">
        <v>2416</v>
      </c>
    </row>
    <row r="56" spans="2:10" x14ac:dyDescent="0.3">
      <c r="B56" s="602" t="s">
        <v>5598</v>
      </c>
      <c r="C56" s="49"/>
      <c r="D56" s="49"/>
      <c r="E56" s="49"/>
      <c r="F56" s="49"/>
      <c r="G56" s="1414">
        <f>UDV.emit_CH4.MCF_anaer_digest</f>
        <v>1.41E-2</v>
      </c>
      <c r="H56" s="1414">
        <f>UDV.emit_CH4.MCF_anaer_digest</f>
        <v>1.41E-2</v>
      </c>
      <c r="I56" s="1414">
        <f>UDV.emit_CH4.MCF_anaer_digest</f>
        <v>1.41E-2</v>
      </c>
      <c r="J56" s="49" t="s">
        <v>1694</v>
      </c>
    </row>
    <row r="57" spans="2:10" x14ac:dyDescent="0.3">
      <c r="B57" s="602" t="s">
        <v>5599</v>
      </c>
      <c r="C57" s="49"/>
      <c r="D57" s="1089" t="s">
        <v>5600</v>
      </c>
      <c r="E57" s="1089"/>
      <c r="F57" s="1089"/>
      <c r="G57" s="1728">
        <f>G53*365*G54*G55*G56/UDV.animal.total</f>
        <v>0.72284023144655962</v>
      </c>
      <c r="H57" s="1728">
        <f>H53*365*H54*H55*H56/UDV.animal.total</f>
        <v>0.72284023144655962</v>
      </c>
      <c r="I57" s="1728">
        <f>I53*365*I54*I55*I56/UDV.animal.total</f>
        <v>0.72284023144655962</v>
      </c>
      <c r="J57" s="49" t="s">
        <v>5601</v>
      </c>
    </row>
    <row r="58" spans="2:10" x14ac:dyDescent="0.3">
      <c r="B58" s="2283" t="s">
        <v>5602</v>
      </c>
      <c r="C58" s="1406"/>
      <c r="D58" s="1407"/>
      <c r="E58" s="2284"/>
      <c r="F58" s="1409"/>
      <c r="G58" s="1409"/>
      <c r="H58" s="1409"/>
      <c r="I58" s="1409"/>
      <c r="J58" s="1411"/>
    </row>
    <row r="59" spans="2:10" x14ac:dyDescent="0.3">
      <c r="B59" s="28" t="s">
        <v>6232</v>
      </c>
      <c r="C59" s="510"/>
      <c r="D59" s="2285"/>
      <c r="E59" s="1353"/>
      <c r="F59" s="1384"/>
      <c r="G59" s="1532">
        <f>G6</f>
        <v>18.183765869577698</v>
      </c>
      <c r="H59" s="1532">
        <f t="shared" ref="H59:I59" si="17">H6</f>
        <v>20.783810869577703</v>
      </c>
      <c r="I59" s="1532">
        <f t="shared" si="17"/>
        <v>19.483788369577702</v>
      </c>
      <c r="J59" s="28" t="s">
        <v>2409</v>
      </c>
    </row>
    <row r="60" spans="2:10" x14ac:dyDescent="0.3">
      <c r="B60" s="28" t="s">
        <v>5604</v>
      </c>
      <c r="C60" s="510"/>
      <c r="D60" s="1351"/>
      <c r="E60" s="1353"/>
      <c r="F60" s="1384"/>
      <c r="G60" s="1576">
        <f>UDV.emit_N2O_direct.N_to_N2O</f>
        <v>1.5713999999999999</v>
      </c>
      <c r="H60" s="1576">
        <f>UDV.emit_N2O_direct.N_to_N2O</f>
        <v>1.5713999999999999</v>
      </c>
      <c r="I60" s="1576">
        <f>UDV.emit_N2O_direct.N_to_N2O</f>
        <v>1.5713999999999999</v>
      </c>
      <c r="J60" s="28" t="s">
        <v>5605</v>
      </c>
    </row>
    <row r="61" spans="2:10" x14ac:dyDescent="0.3">
      <c r="B61" s="28" t="s">
        <v>6233</v>
      </c>
      <c r="C61" s="510"/>
      <c r="D61" s="2285"/>
      <c r="E61" s="1353"/>
      <c r="F61" s="1384"/>
      <c r="G61" s="1521">
        <f>G59*UC.year_to_day/UDV.animal.total</f>
        <v>13.27414908479172</v>
      </c>
      <c r="H61" s="1521">
        <f>H59*UC.year_to_day/UDV.animal.total</f>
        <v>15.172181934791723</v>
      </c>
      <c r="I61" s="1521">
        <f>I59*UC.year_to_day/UDV.animal.total</f>
        <v>14.223165509791723</v>
      </c>
      <c r="J61" s="28" t="s">
        <v>5607</v>
      </c>
    </row>
    <row r="62" spans="2:10" x14ac:dyDescent="0.3">
      <c r="B62" s="2283" t="s">
        <v>5608</v>
      </c>
      <c r="C62" s="1408"/>
      <c r="D62" s="1408"/>
      <c r="E62" s="2284"/>
      <c r="F62" s="1409"/>
      <c r="G62" s="2286"/>
      <c r="H62" s="2286"/>
      <c r="I62" s="2286"/>
      <c r="J62" s="2289"/>
    </row>
    <row r="63" spans="2:10" x14ac:dyDescent="0.3">
      <c r="B63" s="95" t="s">
        <v>6234</v>
      </c>
      <c r="C63" s="49"/>
      <c r="D63" s="52"/>
      <c r="E63" s="1353"/>
      <c r="F63" s="1384"/>
      <c r="G63" s="1401">
        <f>UDV.emit_NH3.lossfrac_anaer_digest</f>
        <v>7.4999999999999997E-2</v>
      </c>
      <c r="H63" s="1401">
        <f>UDV.emit_NH3.lossfrac_anaer_digest</f>
        <v>7.4999999999999997E-2</v>
      </c>
      <c r="I63" s="1401">
        <f>UDV.emit_NH3.lossfrac_anaer_digest</f>
        <v>7.4999999999999997E-2</v>
      </c>
      <c r="J63" s="95" t="s">
        <v>1694</v>
      </c>
    </row>
    <row r="64" spans="2:10" x14ac:dyDescent="0.3">
      <c r="B64" s="95" t="s">
        <v>6235</v>
      </c>
      <c r="C64" s="510"/>
      <c r="D64" s="510"/>
      <c r="E64" s="1353"/>
      <c r="F64" s="1384"/>
      <c r="G64" s="1878">
        <f>G61*G63</f>
        <v>0.99556118135937899</v>
      </c>
      <c r="H64" s="1878">
        <f t="shared" ref="H64:I64" si="18">H61*H63</f>
        <v>1.1379136451093792</v>
      </c>
      <c r="I64" s="1878">
        <f t="shared" si="18"/>
        <v>1.0667374132343792</v>
      </c>
      <c r="J64" s="28" t="s">
        <v>5611</v>
      </c>
    </row>
    <row r="65" spans="1:10" x14ac:dyDescent="0.3">
      <c r="B65" s="95" t="s">
        <v>5612</v>
      </c>
      <c r="C65" s="49"/>
      <c r="D65" s="52"/>
      <c r="E65" s="1382" t="s">
        <v>5613</v>
      </c>
      <c r="F65" s="1415"/>
      <c r="G65" s="2288">
        <f>G64</f>
        <v>0.99556118135937899</v>
      </c>
      <c r="H65" s="2288">
        <f t="shared" ref="H65:I65" si="19">H64</f>
        <v>1.1379136451093792</v>
      </c>
      <c r="I65" s="2288">
        <f t="shared" si="19"/>
        <v>1.0667374132343792</v>
      </c>
      <c r="J65" s="28" t="s">
        <v>5611</v>
      </c>
    </row>
    <row r="66" spans="1:10" x14ac:dyDescent="0.3">
      <c r="B66" s="2283" t="s">
        <v>5614</v>
      </c>
      <c r="C66" s="1406"/>
      <c r="D66" s="1407"/>
      <c r="E66" s="2284"/>
      <c r="F66" s="1409"/>
      <c r="G66" s="2286"/>
      <c r="H66" s="2286"/>
      <c r="I66" s="2286"/>
      <c r="J66" s="2289"/>
    </row>
    <row r="67" spans="1:10" ht="15.6" x14ac:dyDescent="0.3">
      <c r="B67" s="28" t="s">
        <v>6236</v>
      </c>
      <c r="C67" s="510"/>
      <c r="D67" s="2285"/>
      <c r="E67" s="1353"/>
      <c r="F67" s="1384"/>
      <c r="G67" s="2290">
        <f>UDV.emit_N2O_direct.ef3_anaer_digest</f>
        <v>5.9999999999999995E-4</v>
      </c>
      <c r="H67" s="2290">
        <f>UDV.emit_N2O_direct.ef3_anaer_digest</f>
        <v>5.9999999999999995E-4</v>
      </c>
      <c r="I67" s="2290">
        <f>UDV.emit_N2O_direct.ef3_anaer_digest</f>
        <v>5.9999999999999995E-4</v>
      </c>
      <c r="J67" s="28" t="s">
        <v>5616</v>
      </c>
    </row>
    <row r="68" spans="1:10" x14ac:dyDescent="0.3">
      <c r="B68" s="95" t="s">
        <v>6237</v>
      </c>
      <c r="C68" s="510"/>
      <c r="D68" s="2291"/>
      <c r="E68" s="1353"/>
      <c r="F68" s="1384"/>
      <c r="G68" s="1878">
        <f>G60*G61*G67</f>
        <v>1.2515398723105024E-2</v>
      </c>
      <c r="H68" s="1878">
        <f t="shared" ref="H68:I68" si="20">H60*H61*H67</f>
        <v>1.4304940015399028E-2</v>
      </c>
      <c r="I68" s="1878">
        <f t="shared" si="20"/>
        <v>1.3410169369252026E-2</v>
      </c>
      <c r="J68" s="28" t="s">
        <v>5618</v>
      </c>
    </row>
    <row r="69" spans="1:10" x14ac:dyDescent="0.3">
      <c r="B69" s="95" t="s">
        <v>5619</v>
      </c>
      <c r="C69" s="49"/>
      <c r="D69" s="52"/>
      <c r="E69" s="1382" t="s">
        <v>5620</v>
      </c>
      <c r="F69" s="1415"/>
      <c r="G69" s="2288">
        <f>G68</f>
        <v>1.2515398723105024E-2</v>
      </c>
      <c r="H69" s="2288">
        <f t="shared" ref="H69:I69" si="21">H68</f>
        <v>1.4304940015399028E-2</v>
      </c>
      <c r="I69" s="2288">
        <f t="shared" si="21"/>
        <v>1.3410169369252026E-2</v>
      </c>
      <c r="J69" s="28" t="s">
        <v>5618</v>
      </c>
    </row>
    <row r="70" spans="1:10" x14ac:dyDescent="0.3">
      <c r="B70" s="2283" t="s">
        <v>5621</v>
      </c>
      <c r="C70" s="1408"/>
      <c r="D70" s="1408"/>
      <c r="E70" s="2284"/>
      <c r="F70" s="1409"/>
      <c r="G70" s="2286"/>
      <c r="H70" s="2286"/>
      <c r="I70" s="2286"/>
      <c r="J70" s="2289"/>
    </row>
    <row r="71" spans="1:10" x14ac:dyDescent="0.3">
      <c r="B71" s="28" t="s">
        <v>5622</v>
      </c>
      <c r="C71" s="510"/>
      <c r="D71" s="2292"/>
      <c r="E71" s="1353"/>
      <c r="F71" s="1384"/>
      <c r="G71" s="1576">
        <f>UDV.emit_N2O_indirect.ef4</f>
        <v>1.4E-2</v>
      </c>
      <c r="H71" s="1576">
        <f>UDV.emit_N2O_indirect.ef4</f>
        <v>1.4E-2</v>
      </c>
      <c r="I71" s="1576">
        <f>UDV.emit_N2O_indirect.ef4</f>
        <v>1.4E-2</v>
      </c>
      <c r="J71" s="95" t="s">
        <v>5623</v>
      </c>
    </row>
    <row r="72" spans="1:10" x14ac:dyDescent="0.3">
      <c r="B72" s="95" t="s">
        <v>6238</v>
      </c>
      <c r="C72" s="816"/>
      <c r="D72" s="2293"/>
      <c r="E72" s="1353"/>
      <c r="F72" s="1384"/>
      <c r="G72" s="1878">
        <f>G60*G64*G71</f>
        <v>2.1901947765433794E-2</v>
      </c>
      <c r="H72" s="1878">
        <f t="shared" ref="H72:I72" si="22">H60*H64*H71</f>
        <v>2.5033645026948298E-2</v>
      </c>
      <c r="I72" s="1878">
        <f t="shared" si="22"/>
        <v>2.3467796396191048E-2</v>
      </c>
      <c r="J72" s="28" t="s">
        <v>5618</v>
      </c>
    </row>
    <row r="73" spans="1:10" x14ac:dyDescent="0.3">
      <c r="B73" s="95" t="s">
        <v>5625</v>
      </c>
      <c r="C73" s="49"/>
      <c r="D73" s="52"/>
      <c r="E73" s="1382" t="s">
        <v>5626</v>
      </c>
      <c r="F73" s="1415"/>
      <c r="G73" s="2288">
        <f>G72</f>
        <v>2.1901947765433794E-2</v>
      </c>
      <c r="H73" s="2288">
        <f t="shared" ref="H73:I73" si="23">H72</f>
        <v>2.5033645026948298E-2</v>
      </c>
      <c r="I73" s="2288">
        <f t="shared" si="23"/>
        <v>2.3467796396191048E-2</v>
      </c>
      <c r="J73" s="28" t="s">
        <v>5618</v>
      </c>
    </row>
    <row r="78" spans="1:10" x14ac:dyDescent="0.3">
      <c r="A78" s="1693" t="s">
        <v>5721</v>
      </c>
      <c r="B78" s="1693"/>
      <c r="C78" s="1693"/>
      <c r="D78" s="1693"/>
      <c r="E78" s="1693"/>
      <c r="F78" s="1693"/>
      <c r="G78" s="1693"/>
      <c r="H78" s="1693"/>
      <c r="I78" s="1693"/>
      <c r="J78" s="1693"/>
    </row>
    <row r="79" spans="1:10" x14ac:dyDescent="0.3">
      <c r="A79" s="1693"/>
      <c r="B79" s="1693"/>
      <c r="C79" s="1693"/>
      <c r="D79" s="1693"/>
      <c r="E79" s="1693"/>
      <c r="F79" s="1693"/>
      <c r="G79" s="1693"/>
      <c r="H79" s="1693"/>
      <c r="I79" s="1693"/>
      <c r="J79" s="1693"/>
    </row>
    <row r="80" spans="1:10" x14ac:dyDescent="0.3">
      <c r="A80" s="1693"/>
      <c r="B80" s="1667" t="s">
        <v>5722</v>
      </c>
      <c r="C80" s="1691" t="s">
        <v>38</v>
      </c>
      <c r="D80" s="1692"/>
      <c r="E80" s="1692"/>
      <c r="F80" s="1665" t="s">
        <v>602</v>
      </c>
      <c r="G80" s="1666">
        <f t="shared" ref="G80:I81" si="24">G2</f>
        <v>6</v>
      </c>
      <c r="H80" s="1666">
        <f t="shared" si="24"/>
        <v>7</v>
      </c>
      <c r="I80" s="1666">
        <f t="shared" si="24"/>
        <v>8</v>
      </c>
      <c r="J80" s="1666"/>
    </row>
    <row r="81" spans="1:10" x14ac:dyDescent="0.3">
      <c r="B81" s="49" t="s">
        <v>6239</v>
      </c>
      <c r="C81" s="18" t="s">
        <v>2521</v>
      </c>
      <c r="D81" s="49"/>
      <c r="E81" s="49"/>
      <c r="F81" s="49"/>
      <c r="G81" s="1360">
        <f t="shared" si="24"/>
        <v>31.283734452421985</v>
      </c>
      <c r="H81" s="1360">
        <f t="shared" si="24"/>
        <v>2.8937344524219841</v>
      </c>
      <c r="I81" s="1360">
        <f t="shared" si="24"/>
        <v>5.2080201667076986</v>
      </c>
      <c r="J81" s="49"/>
    </row>
    <row r="82" spans="1:10" x14ac:dyDescent="0.3">
      <c r="B82" s="49" t="s">
        <v>6240</v>
      </c>
      <c r="C82" s="18" t="s">
        <v>2442</v>
      </c>
      <c r="D82" s="49"/>
      <c r="E82" s="49"/>
      <c r="F82" s="49"/>
      <c r="G82" s="648">
        <f>G37</f>
        <v>1</v>
      </c>
      <c r="H82" s="648">
        <f t="shared" ref="H82:I82" si="25">H37</f>
        <v>1</v>
      </c>
      <c r="I82" s="648">
        <f t="shared" si="25"/>
        <v>1</v>
      </c>
      <c r="J82" s="49"/>
    </row>
    <row r="83" spans="1:10" x14ac:dyDescent="0.3">
      <c r="B83" s="49" t="s">
        <v>6241</v>
      </c>
      <c r="C83" s="18" t="s">
        <v>6218</v>
      </c>
      <c r="D83" s="49"/>
      <c r="E83" s="49"/>
      <c r="F83" s="49"/>
      <c r="G83" s="1360">
        <f>G38</f>
        <v>782.09336131054965</v>
      </c>
      <c r="H83" s="1360">
        <f t="shared" ref="H83:I83" si="26">H38</f>
        <v>72.343361310549597</v>
      </c>
      <c r="I83" s="1360">
        <f t="shared" si="26"/>
        <v>130.20050416769246</v>
      </c>
      <c r="J83" s="49"/>
    </row>
    <row r="84" spans="1:10" x14ac:dyDescent="0.3">
      <c r="B84" s="49" t="s">
        <v>6242</v>
      </c>
      <c r="C84" s="18" t="s">
        <v>5727</v>
      </c>
      <c r="D84" s="49"/>
      <c r="E84" s="49"/>
      <c r="F84" s="49"/>
      <c r="G84" s="1360">
        <f>G22*UC.year_to_day</f>
        <v>9962.3303487499979</v>
      </c>
      <c r="H84" s="1360">
        <f>H22*UC.year_to_day</f>
        <v>9962.3303487499979</v>
      </c>
      <c r="I84" s="1360">
        <f>I22*UC.year_to_day</f>
        <v>9962.3303487499979</v>
      </c>
      <c r="J84" s="49"/>
    </row>
    <row r="85" spans="1:10" x14ac:dyDescent="0.3">
      <c r="A85" t="s">
        <v>5721</v>
      </c>
      <c r="G85" s="148"/>
      <c r="H85" s="148"/>
      <c r="I85" s="148"/>
    </row>
    <row r="87" spans="1:10" s="1661" customFormat="1" x14ac:dyDescent="0.3">
      <c r="A87" s="1660" t="s">
        <v>1901</v>
      </c>
      <c r="B87" s="1660"/>
      <c r="C87" s="1660"/>
      <c r="D87" s="1660"/>
      <c r="E87" s="1660"/>
      <c r="F87" s="1660"/>
      <c r="G87" s="1660"/>
      <c r="H87" s="1660"/>
      <c r="I87" s="1660"/>
      <c r="J87" s="1660"/>
    </row>
    <row r="88" spans="1:10" s="1661" customFormat="1" x14ac:dyDescent="0.3">
      <c r="A88" s="1660"/>
      <c r="B88" s="1660"/>
      <c r="C88" s="1660"/>
      <c r="D88" s="1660"/>
      <c r="E88" s="1660"/>
      <c r="F88" s="1660"/>
      <c r="G88" s="1660"/>
      <c r="H88" s="1660"/>
      <c r="I88" s="1660"/>
      <c r="J88" s="1660"/>
    </row>
    <row r="89" spans="1:10" s="1661" customFormat="1" x14ac:dyDescent="0.3">
      <c r="A89" s="1660"/>
      <c r="B89" s="1662" t="s">
        <v>5747</v>
      </c>
      <c r="C89" s="1687"/>
      <c r="D89" s="1687"/>
      <c r="E89" s="1662"/>
      <c r="F89" s="1662"/>
      <c r="G89" s="1687"/>
      <c r="H89" s="1687"/>
      <c r="I89" s="1662"/>
      <c r="J89" s="1662"/>
    </row>
    <row r="91" spans="1:10" x14ac:dyDescent="0.3">
      <c r="B91" s="1668" t="s">
        <v>447</v>
      </c>
      <c r="C91" s="1669"/>
      <c r="D91" s="1670"/>
      <c r="E91" s="1670"/>
      <c r="F91" s="1670"/>
      <c r="G91" s="1669"/>
      <c r="H91" s="1670"/>
      <c r="I91" s="1670"/>
    </row>
    <row r="92" spans="1:10" x14ac:dyDescent="0.3">
      <c r="B92" s="49" t="s">
        <v>6244</v>
      </c>
      <c r="C92" s="49" t="s">
        <v>2268</v>
      </c>
      <c r="D92" s="49"/>
      <c r="E92" s="49"/>
      <c r="F92" s="49"/>
      <c r="G92" s="1360">
        <f>G41</f>
        <v>78.319341400264761</v>
      </c>
      <c r="H92" s="1360">
        <f t="shared" ref="H92:I92" si="27">H41</f>
        <v>16.018766943173528</v>
      </c>
      <c r="I92" s="1360">
        <f t="shared" si="27"/>
        <v>23.701276550755775</v>
      </c>
    </row>
    <row r="93" spans="1:10" x14ac:dyDescent="0.3">
      <c r="B93" s="1668" t="s">
        <v>6245</v>
      </c>
      <c r="C93" s="1669"/>
      <c r="D93" s="1670"/>
      <c r="E93" s="1670"/>
      <c r="F93" s="1680"/>
      <c r="G93" s="1669"/>
      <c r="H93" s="1670"/>
      <c r="I93" s="1670"/>
    </row>
    <row r="94" spans="1:10" x14ac:dyDescent="0.3">
      <c r="B94" s="1577" t="s">
        <v>7465</v>
      </c>
      <c r="C94" s="49" t="s">
        <v>2385</v>
      </c>
      <c r="D94" s="49"/>
      <c r="E94" s="49"/>
      <c r="F94" s="49"/>
      <c r="G94" s="1360">
        <f>G57</f>
        <v>0.72284023144655962</v>
      </c>
      <c r="H94" s="1360">
        <f t="shared" ref="H94:I94" si="28">H57</f>
        <v>0.72284023144655962</v>
      </c>
      <c r="I94" s="1360">
        <f t="shared" si="28"/>
        <v>0.72284023144655962</v>
      </c>
    </row>
    <row r="95" spans="1:10" x14ac:dyDescent="0.3">
      <c r="A95" t="s">
        <v>1901</v>
      </c>
      <c r="B95" s="49" t="s">
        <v>6246</v>
      </c>
      <c r="C95" s="49" t="s">
        <v>2385</v>
      </c>
      <c r="D95" s="49"/>
      <c r="E95" s="49"/>
      <c r="F95" s="49"/>
      <c r="G95" s="1209">
        <f>G65</f>
        <v>0.99556118135937899</v>
      </c>
      <c r="H95" s="1209">
        <f t="shared" ref="H95:I95" si="29">H65</f>
        <v>1.1379136451093792</v>
      </c>
      <c r="I95" s="1209">
        <f t="shared" si="29"/>
        <v>1.0667374132343792</v>
      </c>
    </row>
    <row r="96" spans="1:10" x14ac:dyDescent="0.3">
      <c r="B96" s="91" t="s">
        <v>6247</v>
      </c>
      <c r="C96" s="49" t="s">
        <v>2385</v>
      </c>
      <c r="D96" s="49"/>
      <c r="E96" s="49"/>
      <c r="F96" s="49"/>
      <c r="G96" s="1209">
        <f>G69</f>
        <v>1.2515398723105024E-2</v>
      </c>
      <c r="H96" s="1209">
        <f t="shared" ref="H96:I96" si="30">H69</f>
        <v>1.4304940015399028E-2</v>
      </c>
      <c r="I96" s="1209">
        <f t="shared" si="30"/>
        <v>1.3410169369252026E-2</v>
      </c>
    </row>
    <row r="97" spans="2:9" x14ac:dyDescent="0.3">
      <c r="B97" s="49" t="s">
        <v>6248</v>
      </c>
      <c r="C97" s="49" t="s">
        <v>2385</v>
      </c>
      <c r="D97" s="49"/>
      <c r="E97" s="49"/>
      <c r="F97" s="49"/>
      <c r="G97" s="1209">
        <f>G73</f>
        <v>2.1901947765433794E-2</v>
      </c>
      <c r="H97" s="1209">
        <f t="shared" ref="H97:I97" si="31">H73</f>
        <v>2.5033645026948298E-2</v>
      </c>
      <c r="I97" s="1209">
        <f t="shared" si="31"/>
        <v>2.3467796396191048E-2</v>
      </c>
    </row>
    <row r="98" spans="2:9" x14ac:dyDescent="0.3">
      <c r="B98" s="49" t="s">
        <v>7464</v>
      </c>
      <c r="C98" s="49" t="s">
        <v>2385</v>
      </c>
      <c r="D98" s="49"/>
      <c r="E98" s="49"/>
      <c r="F98" s="49"/>
      <c r="G98" s="1360">
        <f>G27*UC.year_to_day/UDV.animal.total</f>
        <v>36.27284479979874</v>
      </c>
      <c r="H98" s="1360">
        <f>H27*UC.year_to_day/UDV.animal.total</f>
        <v>36.27284479979874</v>
      </c>
      <c r="I98" s="1360">
        <f>I27*UC.year_to_day/UDV.animal.total</f>
        <v>36.27284479979874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FB9A-96A1-4015-9F8A-E783439EE537}">
  <sheetPr codeName="Sheet39">
    <tabColor rgb="FF00B0F0"/>
  </sheetPr>
  <dimension ref="A1:BO279"/>
  <sheetViews>
    <sheetView workbookViewId="0">
      <selection activeCell="N2" sqref="N2:O4"/>
    </sheetView>
  </sheetViews>
  <sheetFormatPr defaultColWidth="9.44140625" defaultRowHeight="14.4" x14ac:dyDescent="0.3"/>
  <cols>
    <col min="2" max="2" width="2.5546875" customWidth="1"/>
    <col min="21" max="21" width="2.5546875" customWidth="1"/>
    <col min="54" max="54" width="27.44140625" bestFit="1" customWidth="1"/>
    <col min="55" max="55" width="18.33203125" customWidth="1"/>
    <col min="56" max="56" width="12.5546875" bestFit="1" customWidth="1"/>
    <col min="57" max="57" width="12.5546875" customWidth="1"/>
    <col min="58" max="58" width="12.33203125" bestFit="1" customWidth="1"/>
    <col min="59" max="59" width="12.33203125" customWidth="1"/>
    <col min="60" max="60" width="12" bestFit="1" customWidth="1"/>
    <col min="61" max="61" width="14" bestFit="1" customWidth="1"/>
    <col min="62" max="62" width="17" bestFit="1" customWidth="1"/>
    <col min="63" max="63" width="18.5546875" customWidth="1"/>
    <col min="65" max="65" width="24" customWidth="1"/>
    <col min="66" max="66" width="21.44140625" customWidth="1"/>
    <col min="67" max="67" width="12" bestFit="1" customWidth="1"/>
    <col min="72" max="72" width="15.5546875" customWidth="1"/>
    <col min="73" max="73" width="14.4414062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62" t="s">
        <v>3</v>
      </c>
      <c r="M2" s="2363"/>
      <c r="N2" s="2345" t="s">
        <v>4</v>
      </c>
      <c r="O2" s="2346"/>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64"/>
      <c r="M3" s="2365"/>
      <c r="N3" s="2347"/>
      <c r="O3" s="2348"/>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66"/>
      <c r="M4" s="2367"/>
      <c r="N4" s="2349"/>
      <c r="O4" s="2350"/>
      <c r="P4" s="2349"/>
      <c r="Q4" s="2350"/>
      <c r="R4" s="926"/>
      <c r="S4" s="2356" t="s">
        <v>7</v>
      </c>
      <c r="T4" s="2357"/>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x14ac:dyDescent="0.3">
      <c r="A10" s="926"/>
      <c r="B10" s="609"/>
      <c r="C10" s="209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495" t="s">
        <v>3</v>
      </c>
      <c r="E11" s="2495"/>
      <c r="F11" s="2495"/>
      <c r="G11" s="2495"/>
      <c r="H11" s="2495"/>
      <c r="I11" s="2495"/>
      <c r="J11" s="2495"/>
      <c r="K11" s="2495"/>
      <c r="L11" s="2495"/>
      <c r="M11" s="2495"/>
      <c r="N11" s="2495"/>
      <c r="O11" s="2495"/>
      <c r="P11" s="2495"/>
      <c r="Q11" s="2495"/>
      <c r="R11" s="2495"/>
      <c r="S11" s="2495"/>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495"/>
      <c r="E12" s="2495"/>
      <c r="F12" s="2495"/>
      <c r="G12" s="2495"/>
      <c r="H12" s="2495"/>
      <c r="I12" s="2495"/>
      <c r="J12" s="2495"/>
      <c r="K12" s="2495"/>
      <c r="L12" s="2495"/>
      <c r="M12" s="2495"/>
      <c r="N12" s="2495"/>
      <c r="O12" s="2495"/>
      <c r="P12" s="2495"/>
      <c r="Q12" s="2495"/>
      <c r="R12" s="2495"/>
      <c r="S12" s="2495"/>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495"/>
      <c r="E13" s="2495"/>
      <c r="F13" s="2495"/>
      <c r="G13" s="2495"/>
      <c r="H13" s="2495"/>
      <c r="I13" s="2495"/>
      <c r="J13" s="2495"/>
      <c r="K13" s="2495"/>
      <c r="L13" s="2495"/>
      <c r="M13" s="2495"/>
      <c r="N13" s="2495"/>
      <c r="O13" s="2495"/>
      <c r="P13" s="2495"/>
      <c r="Q13" s="2495"/>
      <c r="R13" s="2495"/>
      <c r="S13" s="2495"/>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495"/>
      <c r="E14" s="2495"/>
      <c r="F14" s="2495"/>
      <c r="G14" s="2495"/>
      <c r="H14" s="2495"/>
      <c r="I14" s="2495"/>
      <c r="J14" s="2495"/>
      <c r="K14" s="2495"/>
      <c r="L14" s="2495"/>
      <c r="M14" s="2495"/>
      <c r="N14" s="2495"/>
      <c r="O14" s="2495"/>
      <c r="P14" s="2495"/>
      <c r="Q14" s="2495"/>
      <c r="R14" s="2495"/>
      <c r="S14" s="2495"/>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495"/>
      <c r="E15" s="2495"/>
      <c r="F15" s="2495"/>
      <c r="G15" s="2495"/>
      <c r="H15" s="2495"/>
      <c r="I15" s="2495"/>
      <c r="J15" s="2495"/>
      <c r="K15" s="2495"/>
      <c r="L15" s="2495"/>
      <c r="M15" s="2495"/>
      <c r="N15" s="2495"/>
      <c r="O15" s="2495"/>
      <c r="P15" s="2495"/>
      <c r="Q15" s="2495"/>
      <c r="R15" s="2495"/>
      <c r="S15" s="2495"/>
      <c r="T15" s="963"/>
      <c r="U15" s="609"/>
      <c r="V15" s="926"/>
      <c r="W15" s="926"/>
      <c r="X15" s="926"/>
      <c r="Y15" s="926"/>
      <c r="Z15" s="926"/>
      <c r="AA15" s="926"/>
      <c r="AB15" s="926"/>
      <c r="AC15" s="926"/>
      <c r="AD15" s="926"/>
      <c r="AE15" s="926"/>
      <c r="AF15" s="926"/>
      <c r="AG15" s="926"/>
      <c r="AH15" s="926"/>
      <c r="AI15" s="926"/>
      <c r="AJ15" s="926"/>
    </row>
    <row r="16" spans="1:36" ht="15" customHeight="1" x14ac:dyDescent="0.3">
      <c r="A16" s="926"/>
      <c r="B16" s="609"/>
      <c r="C16" s="962"/>
      <c r="D16" s="2495"/>
      <c r="E16" s="2495"/>
      <c r="F16" s="2495"/>
      <c r="G16" s="2495"/>
      <c r="H16" s="2495"/>
      <c r="I16" s="2495"/>
      <c r="J16" s="2495"/>
      <c r="K16" s="2495"/>
      <c r="L16" s="2495"/>
      <c r="M16" s="2495"/>
      <c r="N16" s="2495"/>
      <c r="O16" s="2495"/>
      <c r="P16" s="2495"/>
      <c r="Q16" s="2495"/>
      <c r="R16" s="2495"/>
      <c r="S16" s="2495"/>
      <c r="T16" s="963"/>
      <c r="U16" s="609"/>
      <c r="V16" s="926"/>
      <c r="W16" s="926"/>
      <c r="X16" s="926"/>
      <c r="Y16" s="926"/>
      <c r="Z16" s="926"/>
      <c r="AA16" s="926"/>
      <c r="AB16" s="926"/>
      <c r="AC16" s="926"/>
      <c r="AD16" s="926"/>
      <c r="AE16" s="926"/>
      <c r="AF16" s="926"/>
      <c r="AG16" s="926"/>
      <c r="AH16" s="926"/>
      <c r="AI16" s="926"/>
      <c r="AJ16" s="926"/>
    </row>
    <row r="17" spans="1:36" ht="15" customHeight="1" x14ac:dyDescent="0.3">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40"/>
      <c r="E18" s="2399" t="s">
        <v>182</v>
      </c>
      <c r="F18" s="2399"/>
      <c r="G18" s="2399"/>
      <c r="H18" s="2399"/>
      <c r="I18" s="2399"/>
      <c r="J18" s="2399"/>
      <c r="K18" s="2399"/>
      <c r="L18" s="2399"/>
      <c r="M18" s="2399"/>
      <c r="N18" s="2399"/>
      <c r="O18" s="2399"/>
      <c r="P18" s="2399"/>
      <c r="Q18" s="2399"/>
      <c r="R18" s="2399"/>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2399"/>
      <c r="F19" s="2399"/>
      <c r="G19" s="2399"/>
      <c r="H19" s="2399"/>
      <c r="I19" s="2399"/>
      <c r="J19" s="2399"/>
      <c r="K19" s="2399"/>
      <c r="L19" s="2399"/>
      <c r="M19" s="2399"/>
      <c r="N19" s="2399"/>
      <c r="O19" s="2399"/>
      <c r="P19" s="2399"/>
      <c r="Q19" s="2399"/>
      <c r="R19" s="2399"/>
      <c r="S19" s="4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40"/>
      <c r="E20" s="2399"/>
      <c r="F20" s="2399"/>
      <c r="G20" s="2399"/>
      <c r="H20" s="2399"/>
      <c r="I20" s="2399"/>
      <c r="J20" s="2399"/>
      <c r="K20" s="2399"/>
      <c r="L20" s="2399"/>
      <c r="M20" s="2399"/>
      <c r="N20" s="2399"/>
      <c r="O20" s="2399"/>
      <c r="P20" s="2399"/>
      <c r="Q20" s="2399"/>
      <c r="R20" s="2399"/>
      <c r="S20" s="4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40"/>
      <c r="E21" s="2399"/>
      <c r="F21" s="2399"/>
      <c r="G21" s="2399"/>
      <c r="H21" s="2399"/>
      <c r="I21" s="2399"/>
      <c r="J21" s="2399"/>
      <c r="K21" s="2399"/>
      <c r="L21" s="2399"/>
      <c r="M21" s="2399"/>
      <c r="N21" s="2399"/>
      <c r="O21" s="2399"/>
      <c r="P21" s="2399"/>
      <c r="Q21" s="2399"/>
      <c r="R21" s="2399"/>
      <c r="S21" s="4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40"/>
      <c r="E22" s="2397" t="s">
        <v>183</v>
      </c>
      <c r="F22" s="2397"/>
      <c r="G22" s="2397" t="s">
        <v>38</v>
      </c>
      <c r="H22" s="2397"/>
      <c r="I22" s="2397" t="s">
        <v>39</v>
      </c>
      <c r="J22" s="2397"/>
      <c r="K22" s="2397" t="s">
        <v>40</v>
      </c>
      <c r="L22" s="2397"/>
      <c r="M22" s="2397" t="s">
        <v>41</v>
      </c>
      <c r="N22" s="2397"/>
      <c r="O22" s="2397" t="s">
        <v>42</v>
      </c>
      <c r="P22" s="2397"/>
      <c r="Q22" s="2397" t="s">
        <v>43</v>
      </c>
      <c r="R22" s="2397"/>
      <c r="S22" s="40"/>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40"/>
      <c r="E23" s="2410" t="s">
        <v>184</v>
      </c>
      <c r="F23" s="2410"/>
      <c r="G23" s="2398" t="str">
        <f>BH236</f>
        <v>ft</v>
      </c>
      <c r="H23" s="2398"/>
      <c r="I23" s="2542">
        <f>BF236</f>
        <v>25</v>
      </c>
      <c r="J23" s="2542"/>
      <c r="K23" s="2543"/>
      <c r="L23" s="2544"/>
      <c r="M23" s="2542">
        <f>BJ236</f>
        <v>6</v>
      </c>
      <c r="N23" s="2542"/>
      <c r="O23" s="2542">
        <f>BK236</f>
        <v>50</v>
      </c>
      <c r="P23" s="2542"/>
      <c r="Q23" s="2398" t="str">
        <f>BO236</f>
        <v>Using default</v>
      </c>
      <c r="R23" s="2398"/>
      <c r="S23" s="40"/>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40"/>
      <c r="E24" s="2410"/>
      <c r="F24" s="2410"/>
      <c r="G24" s="2398"/>
      <c r="H24" s="2398"/>
      <c r="I24" s="2542"/>
      <c r="J24" s="2542"/>
      <c r="K24" s="2545"/>
      <c r="L24" s="2546"/>
      <c r="M24" s="2542"/>
      <c r="N24" s="2542"/>
      <c r="O24" s="2542"/>
      <c r="P24" s="2542"/>
      <c r="Q24" s="2398"/>
      <c r="R24" s="2398"/>
      <c r="S24" s="40"/>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40"/>
      <c r="E25" s="2410"/>
      <c r="F25" s="2410"/>
      <c r="G25" s="2398"/>
      <c r="H25" s="2398"/>
      <c r="I25" s="2542"/>
      <c r="J25" s="2542"/>
      <c r="K25" s="2547"/>
      <c r="L25" s="2548"/>
      <c r="M25" s="2542"/>
      <c r="N25" s="2542"/>
      <c r="O25" s="2542"/>
      <c r="P25" s="2542"/>
      <c r="Q25" s="2398"/>
      <c r="R25" s="2398"/>
      <c r="S25" s="40"/>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40"/>
      <c r="E26" s="40"/>
      <c r="F26" s="40"/>
      <c r="G26" s="40"/>
      <c r="H26" s="40"/>
      <c r="I26" s="40"/>
      <c r="J26" s="40"/>
      <c r="K26" s="40"/>
      <c r="L26" s="40"/>
      <c r="M26" s="40"/>
      <c r="N26" s="40"/>
      <c r="O26" s="40"/>
      <c r="P26" s="40"/>
      <c r="Q26" s="40"/>
      <c r="R26" s="40"/>
      <c r="S26" s="40"/>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40"/>
      <c r="E27" s="40"/>
      <c r="F27" s="40"/>
      <c r="G27" s="40"/>
      <c r="H27" s="40"/>
      <c r="I27" s="40"/>
      <c r="J27" s="40"/>
      <c r="K27" s="40"/>
      <c r="L27" s="40"/>
      <c r="M27" s="40"/>
      <c r="N27" s="40"/>
      <c r="O27" s="40"/>
      <c r="P27" s="40"/>
      <c r="Q27" s="40"/>
      <c r="R27" s="40"/>
      <c r="S27" s="40"/>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40"/>
      <c r="E28" s="2399" t="s">
        <v>185</v>
      </c>
      <c r="F28" s="2399"/>
      <c r="G28" s="2399"/>
      <c r="H28" s="2399"/>
      <c r="I28" s="2399"/>
      <c r="J28" s="2399"/>
      <c r="K28" s="2399"/>
      <c r="L28" s="2399"/>
      <c r="M28" s="2399"/>
      <c r="N28" s="2399"/>
      <c r="O28" s="2399"/>
      <c r="P28" s="2399"/>
      <c r="Q28" s="2399"/>
      <c r="R28" s="2399"/>
      <c r="S28" s="40"/>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40"/>
      <c r="E29" s="2399"/>
      <c r="F29" s="2399"/>
      <c r="G29" s="2399"/>
      <c r="H29" s="2399"/>
      <c r="I29" s="2399"/>
      <c r="J29" s="2399"/>
      <c r="K29" s="2399"/>
      <c r="L29" s="2399"/>
      <c r="M29" s="2399"/>
      <c r="N29" s="2399"/>
      <c r="O29" s="2399"/>
      <c r="P29" s="2399"/>
      <c r="Q29" s="2399"/>
      <c r="R29" s="2399"/>
      <c r="S29" s="4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40"/>
      <c r="E30" s="2399"/>
      <c r="F30" s="2399"/>
      <c r="G30" s="2399"/>
      <c r="H30" s="2399"/>
      <c r="I30" s="2399"/>
      <c r="J30" s="2399"/>
      <c r="K30" s="2399"/>
      <c r="L30" s="2399"/>
      <c r="M30" s="2399"/>
      <c r="N30" s="2399"/>
      <c r="O30" s="2399"/>
      <c r="P30" s="2399"/>
      <c r="Q30" s="2399"/>
      <c r="R30" s="2399"/>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2399"/>
      <c r="F31" s="2399"/>
      <c r="G31" s="2399"/>
      <c r="H31" s="2399"/>
      <c r="I31" s="2399"/>
      <c r="J31" s="2399"/>
      <c r="K31" s="2399"/>
      <c r="L31" s="2399"/>
      <c r="M31" s="2399"/>
      <c r="N31" s="2399"/>
      <c r="O31" s="2399"/>
      <c r="P31" s="2399"/>
      <c r="Q31" s="2399"/>
      <c r="R31" s="2399"/>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2397" t="s">
        <v>186</v>
      </c>
      <c r="F32" s="2397"/>
      <c r="G32" s="2397" t="s">
        <v>38</v>
      </c>
      <c r="H32" s="2397"/>
      <c r="I32" s="2397" t="s">
        <v>39</v>
      </c>
      <c r="J32" s="2397"/>
      <c r="K32" s="2397" t="s">
        <v>40</v>
      </c>
      <c r="L32" s="2397"/>
      <c r="M32" s="2397" t="s">
        <v>41</v>
      </c>
      <c r="N32" s="2397"/>
      <c r="O32" s="2397" t="s">
        <v>42</v>
      </c>
      <c r="P32" s="2397"/>
      <c r="Q32" s="2397" t="s">
        <v>43</v>
      </c>
      <c r="R32" s="2397"/>
      <c r="S32" s="4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40"/>
      <c r="E33" s="2410" t="s">
        <v>187</v>
      </c>
      <c r="F33" s="2410"/>
      <c r="G33" s="2398" t="s">
        <v>188</v>
      </c>
      <c r="H33" s="2398"/>
      <c r="I33" s="2535">
        <f>BF237</f>
        <v>1</v>
      </c>
      <c r="J33" s="2535"/>
      <c r="K33" s="2536"/>
      <c r="L33" s="2537"/>
      <c r="M33" s="2535">
        <f>BJ237</f>
        <v>0</v>
      </c>
      <c r="N33" s="2535"/>
      <c r="O33" s="2535">
        <f>BK237</f>
        <v>1</v>
      </c>
      <c r="P33" s="2535"/>
      <c r="Q33" s="2409" t="str">
        <f>BO237</f>
        <v>Using default</v>
      </c>
      <c r="R33" s="2409"/>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2410"/>
      <c r="F34" s="2410"/>
      <c r="G34" s="2398"/>
      <c r="H34" s="2398"/>
      <c r="I34" s="2535"/>
      <c r="J34" s="2535"/>
      <c r="K34" s="2538"/>
      <c r="L34" s="2539"/>
      <c r="M34" s="2535"/>
      <c r="N34" s="2535"/>
      <c r="O34" s="2535"/>
      <c r="P34" s="2535"/>
      <c r="Q34" s="2409"/>
      <c r="R34" s="2409"/>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2410"/>
      <c r="F35" s="2410"/>
      <c r="G35" s="2398"/>
      <c r="H35" s="2398"/>
      <c r="I35" s="2535"/>
      <c r="J35" s="2535"/>
      <c r="K35" s="2540"/>
      <c r="L35" s="2541"/>
      <c r="M35" s="2535"/>
      <c r="N35" s="2535"/>
      <c r="O35" s="2535"/>
      <c r="P35" s="2535"/>
      <c r="Q35" s="2409"/>
      <c r="R35" s="2409"/>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40"/>
      <c r="F36" s="40"/>
      <c r="G36" s="40"/>
      <c r="H36" s="40"/>
      <c r="I36" s="40"/>
      <c r="J36" s="40"/>
      <c r="K36" s="40"/>
      <c r="L36" s="40"/>
      <c r="M36" s="40"/>
      <c r="N36" s="40"/>
      <c r="O36" s="40"/>
      <c r="P36" s="40"/>
      <c r="Q36" s="40"/>
      <c r="R36" s="40"/>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40"/>
      <c r="F37" s="40"/>
      <c r="G37" s="40"/>
      <c r="H37" s="40"/>
      <c r="I37" s="40"/>
      <c r="J37" s="40"/>
      <c r="K37" s="40"/>
      <c r="L37" s="40"/>
      <c r="M37" s="40"/>
      <c r="N37" s="40"/>
      <c r="O37" s="40"/>
      <c r="P37" s="40"/>
      <c r="Q37" s="40"/>
      <c r="R37" s="40"/>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2399" t="s">
        <v>189</v>
      </c>
      <c r="F38" s="2399"/>
      <c r="G38" s="2399"/>
      <c r="H38" s="2399"/>
      <c r="I38" s="2399"/>
      <c r="J38" s="2399"/>
      <c r="K38" s="2399"/>
      <c r="L38" s="2399"/>
      <c r="M38" s="2399"/>
      <c r="N38" s="2399"/>
      <c r="O38" s="2399"/>
      <c r="P38" s="2399"/>
      <c r="Q38" s="2399"/>
      <c r="R38" s="2399"/>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2399"/>
      <c r="F39" s="2399"/>
      <c r="G39" s="2399"/>
      <c r="H39" s="2399"/>
      <c r="I39" s="2399"/>
      <c r="J39" s="2399"/>
      <c r="K39" s="2399"/>
      <c r="L39" s="2399"/>
      <c r="M39" s="2399"/>
      <c r="N39" s="2399"/>
      <c r="O39" s="2399"/>
      <c r="P39" s="2399"/>
      <c r="Q39" s="2399"/>
      <c r="R39" s="2399"/>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2399"/>
      <c r="F40" s="2399"/>
      <c r="G40" s="2399"/>
      <c r="H40" s="2399"/>
      <c r="I40" s="2399"/>
      <c r="J40" s="2399"/>
      <c r="K40" s="2399"/>
      <c r="L40" s="2399"/>
      <c r="M40" s="2399"/>
      <c r="N40" s="2399"/>
      <c r="O40" s="2399"/>
      <c r="P40" s="2399"/>
      <c r="Q40" s="2399"/>
      <c r="R40" s="2399"/>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2399"/>
      <c r="F41" s="2399"/>
      <c r="G41" s="2399"/>
      <c r="H41" s="2399"/>
      <c r="I41" s="2399"/>
      <c r="J41" s="2399"/>
      <c r="K41" s="2399"/>
      <c r="L41" s="2399"/>
      <c r="M41" s="2399"/>
      <c r="N41" s="2399"/>
      <c r="O41" s="2399"/>
      <c r="P41" s="2399"/>
      <c r="Q41" s="2399"/>
      <c r="R41" s="2399"/>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2397" t="s">
        <v>186</v>
      </c>
      <c r="F42" s="2397"/>
      <c r="G42" s="2397" t="s">
        <v>38</v>
      </c>
      <c r="H42" s="2397"/>
      <c r="I42" s="2397" t="s">
        <v>39</v>
      </c>
      <c r="J42" s="2397"/>
      <c r="K42" s="2397" t="s">
        <v>40</v>
      </c>
      <c r="L42" s="2397"/>
      <c r="M42" s="2397" t="s">
        <v>41</v>
      </c>
      <c r="N42" s="2397"/>
      <c r="O42" s="2397" t="s">
        <v>42</v>
      </c>
      <c r="P42" s="2397"/>
      <c r="Q42" s="2397" t="s">
        <v>43</v>
      </c>
      <c r="R42" s="2397"/>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2410" t="s">
        <v>190</v>
      </c>
      <c r="F43" s="2410"/>
      <c r="G43" s="2398" t="str">
        <f>BH238</f>
        <v>gal/day</v>
      </c>
      <c r="H43" s="2398"/>
      <c r="I43" s="2533">
        <f>BF238</f>
        <v>7499.8444995</v>
      </c>
      <c r="J43" s="2533"/>
      <c r="K43" s="2534"/>
      <c r="L43" s="2534"/>
      <c r="M43" s="2533">
        <f>BJ238</f>
        <v>1981.29</v>
      </c>
      <c r="N43" s="2533"/>
      <c r="O43" s="2533">
        <f>BK238</f>
        <v>7528.9040000000005</v>
      </c>
      <c r="P43" s="2533"/>
      <c r="Q43" s="2409" t="str">
        <f>BO238</f>
        <v>Using default</v>
      </c>
      <c r="R43" s="2409"/>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2410"/>
      <c r="F44" s="2410"/>
      <c r="G44" s="2398"/>
      <c r="H44" s="2398"/>
      <c r="I44" s="2533"/>
      <c r="J44" s="2533"/>
      <c r="K44" s="2534"/>
      <c r="L44" s="2534"/>
      <c r="M44" s="2533"/>
      <c r="N44" s="2533"/>
      <c r="O44" s="2533"/>
      <c r="P44" s="2533"/>
      <c r="Q44" s="2409"/>
      <c r="R44" s="2409"/>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2410"/>
      <c r="F45" s="2410"/>
      <c r="G45" s="2398"/>
      <c r="H45" s="2398"/>
      <c r="I45" s="2533"/>
      <c r="J45" s="2533"/>
      <c r="K45" s="2534"/>
      <c r="L45" s="2534"/>
      <c r="M45" s="2533"/>
      <c r="N45" s="2533"/>
      <c r="O45" s="2533"/>
      <c r="P45" s="2533"/>
      <c r="Q45" s="2409"/>
      <c r="R45" s="2409"/>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2410" t="s">
        <v>191</v>
      </c>
      <c r="F46" s="2410"/>
      <c r="G46" s="2398" t="str">
        <f>BH239</f>
        <v>gal/day</v>
      </c>
      <c r="H46" s="2398"/>
      <c r="I46" s="2533">
        <f>BF239</f>
        <v>0</v>
      </c>
      <c r="J46" s="2533"/>
      <c r="K46" s="2534"/>
      <c r="L46" s="2534"/>
      <c r="M46" s="2533">
        <f>BJ239</f>
        <v>0</v>
      </c>
      <c r="N46" s="2533"/>
      <c r="O46" s="2533">
        <f>BK239</f>
        <v>499.286</v>
      </c>
      <c r="P46" s="2533"/>
      <c r="Q46" s="2409" t="str">
        <f>BO239</f>
        <v>Using default</v>
      </c>
      <c r="R46" s="2409"/>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2410"/>
      <c r="F47" s="2410"/>
      <c r="G47" s="2398"/>
      <c r="H47" s="2398"/>
      <c r="I47" s="2533"/>
      <c r="J47" s="2533"/>
      <c r="K47" s="2534"/>
      <c r="L47" s="2534"/>
      <c r="M47" s="2533"/>
      <c r="N47" s="2533"/>
      <c r="O47" s="2533"/>
      <c r="P47" s="2533"/>
      <c r="Q47" s="2409"/>
      <c r="R47" s="2409"/>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2410"/>
      <c r="F48" s="2410"/>
      <c r="G48" s="2398"/>
      <c r="H48" s="2398"/>
      <c r="I48" s="2533"/>
      <c r="J48" s="2533"/>
      <c r="K48" s="2534"/>
      <c r="L48" s="2534"/>
      <c r="M48" s="2533"/>
      <c r="N48" s="2533"/>
      <c r="O48" s="2533"/>
      <c r="P48" s="2533"/>
      <c r="Q48" s="2409"/>
      <c r="R48" s="2409"/>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2410" t="s">
        <v>192</v>
      </c>
      <c r="F49" s="2410"/>
      <c r="G49" s="2398" t="str">
        <f>BH240</f>
        <v>gal/event</v>
      </c>
      <c r="H49" s="2398"/>
      <c r="I49" s="2533">
        <f>BF240</f>
        <v>4279.5872099999997</v>
      </c>
      <c r="J49" s="2533"/>
      <c r="K49" s="2534"/>
      <c r="L49" s="2534"/>
      <c r="M49" s="2533">
        <f>BJ240</f>
        <v>0</v>
      </c>
      <c r="N49" s="2533"/>
      <c r="O49" s="2533">
        <f>BK240</f>
        <v>5283.4409999999998</v>
      </c>
      <c r="P49" s="2533"/>
      <c r="Q49" s="2409" t="str">
        <f>BO240</f>
        <v>Using default</v>
      </c>
      <c r="R49" s="2409"/>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2410"/>
      <c r="F50" s="2410"/>
      <c r="G50" s="2398"/>
      <c r="H50" s="2398"/>
      <c r="I50" s="2533"/>
      <c r="J50" s="2533"/>
      <c r="K50" s="2534"/>
      <c r="L50" s="2534"/>
      <c r="M50" s="2533"/>
      <c r="N50" s="2533"/>
      <c r="O50" s="2533"/>
      <c r="P50" s="2533"/>
      <c r="Q50" s="2409"/>
      <c r="R50" s="2409"/>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2410"/>
      <c r="F51" s="2410"/>
      <c r="G51" s="2398"/>
      <c r="H51" s="2398"/>
      <c r="I51" s="2533"/>
      <c r="J51" s="2533"/>
      <c r="K51" s="2534"/>
      <c r="L51" s="2534"/>
      <c r="M51" s="2533"/>
      <c r="N51" s="2533"/>
      <c r="O51" s="2533"/>
      <c r="P51" s="2533"/>
      <c r="Q51" s="2409"/>
      <c r="R51" s="2409"/>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2410" t="s">
        <v>193</v>
      </c>
      <c r="F52" s="2410"/>
      <c r="G52" s="2398" t="str">
        <f>BH241</f>
        <v>gal/day</v>
      </c>
      <c r="H52" s="2398"/>
      <c r="I52" s="2533">
        <f>BF241</f>
        <v>0</v>
      </c>
      <c r="J52" s="2533"/>
      <c r="K52" s="2534"/>
      <c r="L52" s="2534"/>
      <c r="M52" s="2533">
        <f>BJ241</f>
        <v>0</v>
      </c>
      <c r="N52" s="2533"/>
      <c r="O52" s="2533">
        <f>BK241</f>
        <v>499.286</v>
      </c>
      <c r="P52" s="2533"/>
      <c r="Q52" s="2409" t="str">
        <f>BO241</f>
        <v>Using default</v>
      </c>
      <c r="R52" s="2409"/>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2410"/>
      <c r="F53" s="2410"/>
      <c r="G53" s="2398"/>
      <c r="H53" s="2398"/>
      <c r="I53" s="2533"/>
      <c r="J53" s="2533"/>
      <c r="K53" s="2534"/>
      <c r="L53" s="2534"/>
      <c r="M53" s="2533"/>
      <c r="N53" s="2533"/>
      <c r="O53" s="2533"/>
      <c r="P53" s="2533"/>
      <c r="Q53" s="2409"/>
      <c r="R53" s="2409"/>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2410"/>
      <c r="F54" s="2410"/>
      <c r="G54" s="2398"/>
      <c r="H54" s="2398"/>
      <c r="I54" s="2533"/>
      <c r="J54" s="2533"/>
      <c r="K54" s="2534"/>
      <c r="L54" s="2534"/>
      <c r="M54" s="2533"/>
      <c r="N54" s="2533"/>
      <c r="O54" s="2533"/>
      <c r="P54" s="2533"/>
      <c r="Q54" s="2409"/>
      <c r="R54" s="2409"/>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40"/>
      <c r="H55" s="40"/>
      <c r="I55" s="40"/>
      <c r="J55" s="40"/>
      <c r="K55" s="40"/>
      <c r="L55" s="40"/>
      <c r="M55" s="40"/>
      <c r="N55" s="40"/>
      <c r="O55" s="40"/>
      <c r="P55" s="40"/>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thickBot="1" x14ac:dyDescent="0.35">
      <c r="A56" s="926"/>
      <c r="B56" s="609"/>
      <c r="C56" s="962"/>
      <c r="D56" s="40"/>
      <c r="E56" s="40"/>
      <c r="F56" s="40"/>
      <c r="G56" s="40"/>
      <c r="H56" s="40"/>
      <c r="I56" s="40"/>
      <c r="J56" s="40"/>
      <c r="K56" s="40"/>
      <c r="L56" s="40"/>
      <c r="M56" s="40"/>
      <c r="N56" s="40"/>
      <c r="O56" s="40"/>
      <c r="P56" s="40"/>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2461" t="s">
        <v>3</v>
      </c>
      <c r="E57" s="2462"/>
      <c r="F57" s="2462"/>
      <c r="G57" s="2462"/>
      <c r="H57" s="2462"/>
      <c r="I57" s="2462"/>
      <c r="J57" s="2462"/>
      <c r="K57" s="2462"/>
      <c r="L57" s="2462"/>
      <c r="M57" s="2462"/>
      <c r="N57" s="2462"/>
      <c r="O57" s="2462"/>
      <c r="P57" s="2462"/>
      <c r="Q57" s="2462"/>
      <c r="R57" s="2462"/>
      <c r="S57" s="2463"/>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2464"/>
      <c r="E58" s="2465"/>
      <c r="F58" s="2465"/>
      <c r="G58" s="2465"/>
      <c r="H58" s="2465"/>
      <c r="I58" s="2465"/>
      <c r="J58" s="2465"/>
      <c r="K58" s="2465"/>
      <c r="L58" s="2465"/>
      <c r="M58" s="2465"/>
      <c r="N58" s="2465"/>
      <c r="O58" s="2465"/>
      <c r="P58" s="2465"/>
      <c r="Q58" s="2465"/>
      <c r="R58" s="2465"/>
      <c r="S58" s="2466"/>
      <c r="T58" s="963"/>
      <c r="U58" s="609"/>
      <c r="V58" s="926"/>
      <c r="W58" s="926"/>
      <c r="X58" s="926"/>
      <c r="Y58" s="926"/>
      <c r="Z58" s="926"/>
      <c r="AA58" s="926"/>
      <c r="AB58" s="926"/>
      <c r="AC58" s="926"/>
      <c r="AD58" s="926"/>
      <c r="AE58" s="926"/>
      <c r="AF58" s="926"/>
      <c r="AG58" s="926"/>
      <c r="AH58" s="926"/>
      <c r="AI58" s="926"/>
      <c r="AJ58" s="926"/>
    </row>
    <row r="59" spans="1:36" ht="15" customHeight="1" thickBot="1" x14ac:dyDescent="0.35">
      <c r="A59" s="926"/>
      <c r="B59" s="609"/>
      <c r="C59" s="962"/>
      <c r="D59" s="2467"/>
      <c r="E59" s="2468"/>
      <c r="F59" s="2468"/>
      <c r="G59" s="2468"/>
      <c r="H59" s="2468"/>
      <c r="I59" s="2468"/>
      <c r="J59" s="2468"/>
      <c r="K59" s="2468"/>
      <c r="L59" s="2468"/>
      <c r="M59" s="2468"/>
      <c r="N59" s="2468"/>
      <c r="O59" s="2468"/>
      <c r="P59" s="2468"/>
      <c r="Q59" s="2468"/>
      <c r="R59" s="2468"/>
      <c r="S59" s="2469"/>
      <c r="T59" s="963"/>
      <c r="U59" s="609"/>
      <c r="V59" s="926"/>
      <c r="W59" s="926"/>
      <c r="X59" s="926"/>
      <c r="Y59" s="926"/>
      <c r="Z59" s="926"/>
      <c r="AA59" s="926"/>
      <c r="AB59" s="926"/>
      <c r="AC59" s="926"/>
      <c r="AD59" s="926"/>
      <c r="AE59" s="926"/>
      <c r="AF59" s="926"/>
      <c r="AG59" s="926"/>
      <c r="AH59" s="926"/>
      <c r="AI59" s="926"/>
      <c r="AJ59" s="926"/>
    </row>
    <row r="60" spans="1:36" ht="15" customHeight="1" thickBot="1" x14ac:dyDescent="0.35">
      <c r="A60" s="926"/>
      <c r="B60" s="609"/>
      <c r="C60" s="962"/>
      <c r="D60" s="40"/>
      <c r="E60" s="40"/>
      <c r="F60" s="40"/>
      <c r="G60" s="40"/>
      <c r="H60" s="40"/>
      <c r="I60" s="40"/>
      <c r="J60" s="40"/>
      <c r="K60" s="40"/>
      <c r="L60" s="40"/>
      <c r="M60" s="40"/>
      <c r="N60" s="40"/>
      <c r="O60" s="40"/>
      <c r="P60" s="40"/>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thickTop="1" x14ac:dyDescent="0.3">
      <c r="A61" s="926"/>
      <c r="B61" s="609"/>
      <c r="C61" s="962"/>
      <c r="D61" s="40"/>
      <c r="E61" s="40"/>
      <c r="F61" s="40"/>
      <c r="G61" s="2376" t="s">
        <v>194</v>
      </c>
      <c r="H61" s="2377"/>
      <c r="I61" s="2377"/>
      <c r="J61" s="2377"/>
      <c r="K61" s="2377"/>
      <c r="L61" s="2377"/>
      <c r="M61" s="2377"/>
      <c r="N61" s="2377"/>
      <c r="O61" s="2377"/>
      <c r="P61" s="2378"/>
      <c r="Q61" s="40"/>
      <c r="R61" s="40"/>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40"/>
      <c r="E62" s="40"/>
      <c r="F62" s="40"/>
      <c r="G62" s="2379"/>
      <c r="H62" s="2380"/>
      <c r="I62" s="2380"/>
      <c r="J62" s="2380"/>
      <c r="K62" s="2380"/>
      <c r="L62" s="2380"/>
      <c r="M62" s="2380"/>
      <c r="N62" s="2380"/>
      <c r="O62" s="2380"/>
      <c r="P62" s="2381"/>
      <c r="Q62" s="40"/>
      <c r="R62" s="40"/>
      <c r="S62" s="4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40"/>
      <c r="E63" s="40"/>
      <c r="F63" s="40"/>
      <c r="G63" s="2379"/>
      <c r="H63" s="2380"/>
      <c r="I63" s="2380"/>
      <c r="J63" s="2380"/>
      <c r="K63" s="2380"/>
      <c r="L63" s="2380"/>
      <c r="M63" s="2380"/>
      <c r="N63" s="2380"/>
      <c r="O63" s="2380"/>
      <c r="P63" s="2381"/>
      <c r="Q63" s="40"/>
      <c r="R63" s="40"/>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40"/>
      <c r="E64" s="40"/>
      <c r="F64" s="40"/>
      <c r="G64" s="2379"/>
      <c r="H64" s="2380"/>
      <c r="I64" s="2380"/>
      <c r="J64" s="2380"/>
      <c r="K64" s="2380"/>
      <c r="L64" s="2380"/>
      <c r="M64" s="2380"/>
      <c r="N64" s="2380"/>
      <c r="O64" s="2380"/>
      <c r="P64" s="2381"/>
      <c r="Q64" s="40"/>
      <c r="R64" s="40"/>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40"/>
      <c r="E65" s="40"/>
      <c r="F65" s="40"/>
      <c r="G65" s="2379"/>
      <c r="H65" s="2380"/>
      <c r="I65" s="2380"/>
      <c r="J65" s="2380"/>
      <c r="K65" s="2380"/>
      <c r="L65" s="2380"/>
      <c r="M65" s="2380"/>
      <c r="N65" s="2380"/>
      <c r="O65" s="2380"/>
      <c r="P65" s="2381"/>
      <c r="Q65" s="40"/>
      <c r="R65" s="40"/>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40"/>
      <c r="E66" s="40"/>
      <c r="F66" s="40"/>
      <c r="G66" s="2379"/>
      <c r="H66" s="2380"/>
      <c r="I66" s="2380"/>
      <c r="J66" s="2380"/>
      <c r="K66" s="2380"/>
      <c r="L66" s="2380"/>
      <c r="M66" s="2380"/>
      <c r="N66" s="2380"/>
      <c r="O66" s="2380"/>
      <c r="P66" s="2381"/>
      <c r="Q66" s="40"/>
      <c r="R66" s="40"/>
      <c r="S66" s="40"/>
      <c r="T66" s="963"/>
      <c r="U66" s="609"/>
      <c r="V66" s="926"/>
      <c r="W66" s="926"/>
      <c r="X66" s="926"/>
      <c r="Y66" s="926"/>
      <c r="Z66" s="926"/>
      <c r="AA66" s="926"/>
      <c r="AB66" s="926"/>
      <c r="AC66" s="926"/>
      <c r="AD66" s="926"/>
      <c r="AE66" s="926"/>
      <c r="AF66" s="926"/>
      <c r="AG66" s="926"/>
      <c r="AH66" s="926"/>
      <c r="AI66" s="926"/>
      <c r="AJ66" s="926"/>
    </row>
    <row r="67" spans="1:36" ht="15" customHeight="1" thickBot="1" x14ac:dyDescent="0.35">
      <c r="A67" s="926"/>
      <c r="B67" s="609"/>
      <c r="C67" s="962"/>
      <c r="D67" s="40"/>
      <c r="E67" s="40"/>
      <c r="F67" s="40"/>
      <c r="G67" s="2382"/>
      <c r="H67" s="2383"/>
      <c r="I67" s="2383"/>
      <c r="J67" s="2383"/>
      <c r="K67" s="2383"/>
      <c r="L67" s="2383"/>
      <c r="M67" s="2383"/>
      <c r="N67" s="2383"/>
      <c r="O67" s="2383"/>
      <c r="P67" s="2384"/>
      <c r="Q67" s="40"/>
      <c r="R67" s="40"/>
      <c r="S67" s="40"/>
      <c r="T67" s="963"/>
      <c r="U67" s="609"/>
      <c r="V67" s="926"/>
      <c r="W67" s="926"/>
      <c r="X67" s="926"/>
      <c r="Y67" s="926"/>
      <c r="Z67" s="926"/>
      <c r="AA67" s="926"/>
      <c r="AB67" s="926"/>
      <c r="AC67" s="926"/>
      <c r="AD67" s="926"/>
      <c r="AE67" s="926"/>
      <c r="AF67" s="926"/>
      <c r="AG67" s="926"/>
      <c r="AH67" s="926"/>
      <c r="AI67" s="926"/>
      <c r="AJ67" s="926"/>
    </row>
    <row r="68" spans="1:36" ht="15" customHeight="1" thickTop="1" thickBot="1" x14ac:dyDescent="0.35">
      <c r="A68" s="926"/>
      <c r="B68" s="609"/>
      <c r="C68" s="962"/>
      <c r="D68" s="40"/>
      <c r="E68" s="40"/>
      <c r="F68" s="40"/>
      <c r="G68" s="40"/>
      <c r="H68" s="40"/>
      <c r="I68" s="40"/>
      <c r="J68" s="40"/>
      <c r="K68" s="40"/>
      <c r="L68" s="40"/>
      <c r="M68" s="40"/>
      <c r="N68" s="40"/>
      <c r="O68" s="40"/>
      <c r="P68" s="40"/>
      <c r="Q68" s="40"/>
      <c r="R68" s="40"/>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40"/>
      <c r="E69" s="2520" t="s">
        <v>195</v>
      </c>
      <c r="F69" s="2521"/>
      <c r="G69" s="2521"/>
      <c r="H69" s="2521"/>
      <c r="I69" s="2521"/>
      <c r="J69" s="2521"/>
      <c r="K69" s="2521"/>
      <c r="L69" s="2521"/>
      <c r="M69" s="2521"/>
      <c r="N69" s="2521"/>
      <c r="O69" s="2521"/>
      <c r="P69" s="2521"/>
      <c r="Q69" s="2521"/>
      <c r="R69" s="2522"/>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962"/>
      <c r="D70" s="40"/>
      <c r="E70" s="2523"/>
      <c r="F70" s="2524"/>
      <c r="G70" s="2524"/>
      <c r="H70" s="2524"/>
      <c r="I70" s="2524"/>
      <c r="J70" s="2524"/>
      <c r="K70" s="2524"/>
      <c r="L70" s="2524"/>
      <c r="M70" s="2524"/>
      <c r="N70" s="2524"/>
      <c r="O70" s="2524"/>
      <c r="P70" s="2524"/>
      <c r="Q70" s="2524"/>
      <c r="R70" s="2525"/>
      <c r="S70" s="4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962"/>
      <c r="D71" s="40"/>
      <c r="E71" s="2523"/>
      <c r="F71" s="2524"/>
      <c r="G71" s="2524"/>
      <c r="H71" s="2524"/>
      <c r="I71" s="2524"/>
      <c r="J71" s="2524"/>
      <c r="K71" s="2524"/>
      <c r="L71" s="2524"/>
      <c r="M71" s="2524"/>
      <c r="N71" s="2524"/>
      <c r="O71" s="2524"/>
      <c r="P71" s="2524"/>
      <c r="Q71" s="2524"/>
      <c r="R71" s="2525"/>
      <c r="S71" s="40"/>
      <c r="T71" s="963"/>
      <c r="U71" s="609"/>
      <c r="V71" s="926"/>
      <c r="W71" s="926"/>
      <c r="X71" s="926"/>
      <c r="Y71" s="926"/>
      <c r="Z71" s="926"/>
      <c r="AA71" s="926"/>
      <c r="AB71" s="926"/>
      <c r="AC71" s="926"/>
      <c r="AD71" s="926"/>
      <c r="AE71" s="926"/>
      <c r="AF71" s="926"/>
      <c r="AG71" s="926"/>
      <c r="AH71" s="926"/>
      <c r="AI71" s="926"/>
      <c r="AJ71" s="926"/>
    </row>
    <row r="72" spans="1:36" ht="15" customHeight="1" thickBot="1" x14ac:dyDescent="0.35">
      <c r="A72" s="926"/>
      <c r="B72" s="609"/>
      <c r="C72" s="962"/>
      <c r="D72" s="40"/>
      <c r="E72" s="2526"/>
      <c r="F72" s="2527"/>
      <c r="G72" s="2527"/>
      <c r="H72" s="2527"/>
      <c r="I72" s="2527"/>
      <c r="J72" s="2527"/>
      <c r="K72" s="2527"/>
      <c r="L72" s="2527"/>
      <c r="M72" s="2527"/>
      <c r="N72" s="2527"/>
      <c r="O72" s="2527"/>
      <c r="P72" s="2527"/>
      <c r="Q72" s="2527"/>
      <c r="R72" s="2528"/>
      <c r="S72" s="40"/>
      <c r="T72" s="963"/>
      <c r="U72" s="609"/>
      <c r="V72" s="926"/>
      <c r="W72" s="926"/>
      <c r="X72" s="926"/>
      <c r="Y72" s="926"/>
      <c r="Z72" s="926"/>
      <c r="AA72" s="926"/>
      <c r="AB72" s="926"/>
      <c r="AC72" s="926"/>
      <c r="AD72" s="926"/>
      <c r="AE72" s="926"/>
      <c r="AF72" s="926"/>
      <c r="AG72" s="926"/>
      <c r="AH72" s="926"/>
      <c r="AI72" s="926"/>
      <c r="AJ72" s="926"/>
    </row>
    <row r="73" spans="1:36" ht="15" customHeight="1" thickBot="1" x14ac:dyDescent="0.35">
      <c r="A73" s="926"/>
      <c r="B73" s="609"/>
      <c r="C73" s="962"/>
      <c r="D73" s="40"/>
      <c r="E73" s="2529" t="s">
        <v>196</v>
      </c>
      <c r="F73" s="2530"/>
      <c r="G73" s="2531" t="s">
        <v>38</v>
      </c>
      <c r="H73" s="2531"/>
      <c r="I73" s="2531" t="s">
        <v>39</v>
      </c>
      <c r="J73" s="2531"/>
      <c r="K73" s="2531" t="s">
        <v>197</v>
      </c>
      <c r="L73" s="2531"/>
      <c r="M73" s="2531" t="s">
        <v>41</v>
      </c>
      <c r="N73" s="2531"/>
      <c r="O73" s="2531" t="s">
        <v>42</v>
      </c>
      <c r="P73" s="2531"/>
      <c r="Q73" s="2531" t="s">
        <v>43</v>
      </c>
      <c r="R73" s="2532"/>
      <c r="S73" s="4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40"/>
      <c r="E74" s="2517" t="s">
        <v>198</v>
      </c>
      <c r="F74" s="2518"/>
      <c r="G74" s="2515" t="str">
        <f>$BH$242</f>
        <v>lb/head/day</v>
      </c>
      <c r="H74" s="2515"/>
      <c r="I74" s="2514">
        <f>BF242</f>
        <v>3.0031369329639999</v>
      </c>
      <c r="J74" s="2514"/>
      <c r="K74" s="2519"/>
      <c r="L74" s="2519"/>
      <c r="M74" s="2514">
        <f>BJ242</f>
        <v>2.101</v>
      </c>
      <c r="N74" s="2514"/>
      <c r="O74" s="2514">
        <f>BK242</f>
        <v>3.9049999999999998</v>
      </c>
      <c r="P74" s="2514"/>
      <c r="Q74" s="2515" t="str">
        <f>BO242</f>
        <v>Using default</v>
      </c>
      <c r="R74" s="2516"/>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962"/>
      <c r="D75" s="40"/>
      <c r="E75" s="2500"/>
      <c r="F75" s="2410"/>
      <c r="G75" s="2398"/>
      <c r="H75" s="2398"/>
      <c r="I75" s="2503"/>
      <c r="J75" s="2503"/>
      <c r="K75" s="2506"/>
      <c r="L75" s="2506"/>
      <c r="M75" s="2503"/>
      <c r="N75" s="2503"/>
      <c r="O75" s="2503"/>
      <c r="P75" s="2503"/>
      <c r="Q75" s="2398"/>
      <c r="R75" s="2511"/>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40"/>
      <c r="E76" s="2500"/>
      <c r="F76" s="2410"/>
      <c r="G76" s="2398"/>
      <c r="H76" s="2398"/>
      <c r="I76" s="2503"/>
      <c r="J76" s="2503"/>
      <c r="K76" s="2506"/>
      <c r="L76" s="2506"/>
      <c r="M76" s="2503"/>
      <c r="N76" s="2503"/>
      <c r="O76" s="2503"/>
      <c r="P76" s="2503"/>
      <c r="Q76" s="2398"/>
      <c r="R76" s="2511"/>
      <c r="S76" s="40"/>
      <c r="T76" s="963"/>
      <c r="U76" s="609"/>
      <c r="V76" s="926"/>
      <c r="W76" s="926"/>
      <c r="X76" s="926"/>
      <c r="Y76" s="926"/>
      <c r="Z76" s="926"/>
      <c r="AA76" s="926"/>
      <c r="AB76" s="926"/>
      <c r="AC76" s="926"/>
      <c r="AD76" s="926"/>
      <c r="AE76" s="926"/>
      <c r="AF76" s="926"/>
      <c r="AG76" s="926"/>
      <c r="AH76" s="926"/>
      <c r="AI76" s="926"/>
      <c r="AJ76" s="926"/>
    </row>
    <row r="77" spans="1:36" ht="14.4" customHeight="1" x14ac:dyDescent="0.3">
      <c r="A77" s="926"/>
      <c r="B77" s="609"/>
      <c r="C77" s="962"/>
      <c r="D77" s="40"/>
      <c r="E77" s="2500" t="s">
        <v>199</v>
      </c>
      <c r="F77" s="2410"/>
      <c r="G77" s="2398" t="str">
        <f t="shared" ref="G77" si="0">$BH$242</f>
        <v>lb/head/day</v>
      </c>
      <c r="H77" s="2398"/>
      <c r="I77" s="2503">
        <f>BF243</f>
        <v>0.32738645906999997</v>
      </c>
      <c r="J77" s="2503"/>
      <c r="K77" s="2506"/>
      <c r="L77" s="2506"/>
      <c r="M77" s="2503">
        <f>BJ243</f>
        <v>0.22700000000000001</v>
      </c>
      <c r="N77" s="2503"/>
      <c r="O77" s="2503">
        <f>BK243</f>
        <v>0.42799999999999999</v>
      </c>
      <c r="P77" s="2503"/>
      <c r="Q77" s="2398" t="str">
        <f>BO243</f>
        <v>Using default</v>
      </c>
      <c r="R77" s="2511"/>
      <c r="S77" s="40"/>
      <c r="T77" s="963"/>
      <c r="U77" s="609"/>
      <c r="V77" s="926"/>
      <c r="W77" s="926"/>
      <c r="X77" s="926"/>
      <c r="Y77" s="926"/>
      <c r="Z77" s="926"/>
      <c r="AA77" s="926"/>
      <c r="AB77" s="926"/>
      <c r="AC77" s="926"/>
      <c r="AD77" s="926"/>
      <c r="AE77" s="926"/>
      <c r="AF77" s="926"/>
      <c r="AG77" s="926"/>
      <c r="AH77" s="926"/>
      <c r="AI77" s="926"/>
      <c r="AJ77" s="926"/>
    </row>
    <row r="78" spans="1:36" ht="14.4" customHeight="1" x14ac:dyDescent="0.3">
      <c r="A78" s="926"/>
      <c r="B78" s="609"/>
      <c r="C78" s="962"/>
      <c r="D78" s="40"/>
      <c r="E78" s="2500"/>
      <c r="F78" s="2410"/>
      <c r="G78" s="2398"/>
      <c r="H78" s="2398"/>
      <c r="I78" s="2503"/>
      <c r="J78" s="2503"/>
      <c r="K78" s="2506"/>
      <c r="L78" s="2506"/>
      <c r="M78" s="2503"/>
      <c r="N78" s="2503"/>
      <c r="O78" s="2503"/>
      <c r="P78" s="2503"/>
      <c r="Q78" s="2398"/>
      <c r="R78" s="2511"/>
      <c r="S78" s="40"/>
      <c r="T78" s="963"/>
      <c r="U78" s="609"/>
      <c r="V78" s="926"/>
      <c r="W78" s="926"/>
      <c r="X78" s="926"/>
      <c r="Y78" s="926"/>
      <c r="Z78" s="926"/>
      <c r="AA78" s="926"/>
      <c r="AB78" s="926"/>
      <c r="AC78" s="926"/>
      <c r="AD78" s="926"/>
      <c r="AE78" s="926"/>
      <c r="AF78" s="926"/>
      <c r="AG78" s="926"/>
      <c r="AH78" s="926"/>
      <c r="AI78" s="926"/>
      <c r="AJ78" s="926"/>
    </row>
    <row r="79" spans="1:36" ht="15" customHeight="1" x14ac:dyDescent="0.3">
      <c r="A79" s="926"/>
      <c r="B79" s="609"/>
      <c r="C79" s="962"/>
      <c r="D79" s="40"/>
      <c r="E79" s="2500"/>
      <c r="F79" s="2410"/>
      <c r="G79" s="2398"/>
      <c r="H79" s="2398"/>
      <c r="I79" s="2503"/>
      <c r="J79" s="2503"/>
      <c r="K79" s="2506"/>
      <c r="L79" s="2506"/>
      <c r="M79" s="2503"/>
      <c r="N79" s="2503"/>
      <c r="O79" s="2503"/>
      <c r="P79" s="2503"/>
      <c r="Q79" s="2398"/>
      <c r="R79" s="2511"/>
      <c r="S79" s="40"/>
      <c r="T79" s="963"/>
      <c r="U79" s="609"/>
      <c r="V79" s="926"/>
      <c r="W79" s="926"/>
      <c r="X79" s="926"/>
      <c r="Y79" s="926"/>
      <c r="Z79" s="926"/>
      <c r="AA79" s="926"/>
      <c r="AB79" s="926"/>
      <c r="AC79" s="926"/>
      <c r="AD79" s="926"/>
      <c r="AE79" s="926"/>
      <c r="AF79" s="926"/>
      <c r="AG79" s="926"/>
      <c r="AH79" s="926"/>
      <c r="AI79" s="926"/>
      <c r="AJ79" s="926"/>
    </row>
    <row r="80" spans="1:36" ht="14.4" customHeight="1" x14ac:dyDescent="0.3">
      <c r="A80" s="926"/>
      <c r="B80" s="609"/>
      <c r="C80" s="962"/>
      <c r="D80" s="40"/>
      <c r="E80" s="2500" t="s">
        <v>200</v>
      </c>
      <c r="F80" s="2410"/>
      <c r="G80" s="2398" t="str">
        <f t="shared" ref="G80" si="1">$BH$242</f>
        <v>lb/head/day</v>
      </c>
      <c r="H80" s="2398"/>
      <c r="I80" s="2503">
        <f>BF244</f>
        <v>0.26786164832999998</v>
      </c>
      <c r="J80" s="2503"/>
      <c r="K80" s="2506"/>
      <c r="L80" s="2506"/>
      <c r="M80" s="2503">
        <f>BJ244</f>
        <v>0.187</v>
      </c>
      <c r="N80" s="2503"/>
      <c r="O80" s="2503">
        <f>BK244</f>
        <v>0.34899999999999998</v>
      </c>
      <c r="P80" s="2503"/>
      <c r="Q80" s="2398" t="str">
        <f>BO244</f>
        <v>Using default</v>
      </c>
      <c r="R80" s="2511"/>
      <c r="S80" s="40"/>
      <c r="T80" s="963"/>
      <c r="U80" s="609"/>
      <c r="V80" s="926"/>
      <c r="W80" s="926"/>
      <c r="X80" s="926"/>
      <c r="Y80" s="926"/>
      <c r="Z80" s="926"/>
      <c r="AA80" s="926"/>
      <c r="AB80" s="926"/>
      <c r="AC80" s="926"/>
      <c r="AD80" s="926"/>
      <c r="AE80" s="926"/>
      <c r="AF80" s="926"/>
      <c r="AG80" s="926"/>
      <c r="AH80" s="926"/>
      <c r="AI80" s="926"/>
      <c r="AJ80" s="926"/>
    </row>
    <row r="81" spans="1:36" ht="14.4" customHeight="1" x14ac:dyDescent="0.3">
      <c r="A81" s="926"/>
      <c r="B81" s="609"/>
      <c r="C81" s="962"/>
      <c r="D81" s="40"/>
      <c r="E81" s="2500"/>
      <c r="F81" s="2410"/>
      <c r="G81" s="2398"/>
      <c r="H81" s="2398"/>
      <c r="I81" s="2503"/>
      <c r="J81" s="2503"/>
      <c r="K81" s="2506"/>
      <c r="L81" s="2506"/>
      <c r="M81" s="2503"/>
      <c r="N81" s="2503"/>
      <c r="O81" s="2503"/>
      <c r="P81" s="2503"/>
      <c r="Q81" s="2398"/>
      <c r="R81" s="2511"/>
      <c r="S81" s="40"/>
      <c r="T81" s="963"/>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962"/>
      <c r="D82" s="40"/>
      <c r="E82" s="2500"/>
      <c r="F82" s="2410"/>
      <c r="G82" s="2398"/>
      <c r="H82" s="2398"/>
      <c r="I82" s="2503"/>
      <c r="J82" s="2503"/>
      <c r="K82" s="2506"/>
      <c r="L82" s="2506"/>
      <c r="M82" s="2503"/>
      <c r="N82" s="2503"/>
      <c r="O82" s="2503"/>
      <c r="P82" s="2503"/>
      <c r="Q82" s="2398"/>
      <c r="R82" s="2511"/>
      <c r="S82" s="40"/>
      <c r="T82" s="963"/>
      <c r="U82" s="609"/>
      <c r="V82" s="926"/>
      <c r="W82" s="926"/>
      <c r="X82" s="926"/>
      <c r="Y82" s="926"/>
      <c r="Z82" s="926"/>
      <c r="AA82" s="926"/>
      <c r="AB82" s="926"/>
      <c r="AC82" s="926"/>
      <c r="AD82" s="926"/>
      <c r="AE82" s="926"/>
      <c r="AF82" s="926"/>
      <c r="AG82" s="926"/>
      <c r="AH82" s="926"/>
      <c r="AI82" s="926"/>
      <c r="AJ82" s="926"/>
    </row>
    <row r="83" spans="1:36" ht="14.4" customHeight="1" x14ac:dyDescent="0.3">
      <c r="A83" s="926"/>
      <c r="B83" s="609"/>
      <c r="C83" s="962"/>
      <c r="D83" s="40"/>
      <c r="E83" s="2500" t="s">
        <v>201</v>
      </c>
      <c r="F83" s="2410"/>
      <c r="G83" s="2398" t="str">
        <f t="shared" ref="G83" si="2">$BH$242</f>
        <v>lb/head/day</v>
      </c>
      <c r="H83" s="2398"/>
      <c r="I83" s="2503">
        <f>BF245</f>
        <v>0.30291514798800001</v>
      </c>
      <c r="J83" s="2503"/>
      <c r="K83" s="2506"/>
      <c r="L83" s="2506"/>
      <c r="M83" s="2503">
        <f>BJ245</f>
        <v>0.21099999999999999</v>
      </c>
      <c r="N83" s="2503"/>
      <c r="O83" s="2503">
        <f>BK245</f>
        <v>0.39500000000000002</v>
      </c>
      <c r="P83" s="2503"/>
      <c r="Q83" s="2398" t="str">
        <f>BO245</f>
        <v>Using default</v>
      </c>
      <c r="R83" s="2511"/>
      <c r="S83" s="40"/>
      <c r="T83" s="963"/>
      <c r="U83" s="609"/>
      <c r="V83" s="926"/>
      <c r="W83" s="926"/>
      <c r="X83" s="926"/>
      <c r="Y83" s="926"/>
      <c r="Z83" s="926"/>
      <c r="AA83" s="926"/>
      <c r="AB83" s="926"/>
      <c r="AC83" s="926"/>
      <c r="AD83" s="926"/>
      <c r="AE83" s="926"/>
      <c r="AF83" s="926"/>
      <c r="AG83" s="926"/>
      <c r="AH83" s="926"/>
      <c r="AI83" s="926"/>
      <c r="AJ83" s="926"/>
    </row>
    <row r="84" spans="1:36" ht="14.4" customHeight="1" x14ac:dyDescent="0.3">
      <c r="A84" s="926"/>
      <c r="B84" s="609"/>
      <c r="C84" s="962"/>
      <c r="D84" s="40"/>
      <c r="E84" s="2500"/>
      <c r="F84" s="2410"/>
      <c r="G84" s="2398"/>
      <c r="H84" s="2398"/>
      <c r="I84" s="2503"/>
      <c r="J84" s="2503"/>
      <c r="K84" s="2506"/>
      <c r="L84" s="2506"/>
      <c r="M84" s="2503"/>
      <c r="N84" s="2503"/>
      <c r="O84" s="2503"/>
      <c r="P84" s="2503"/>
      <c r="Q84" s="2398"/>
      <c r="R84" s="2511"/>
      <c r="S84" s="40"/>
      <c r="T84" s="963"/>
      <c r="U84" s="609"/>
      <c r="V84" s="926"/>
      <c r="W84" s="926"/>
      <c r="X84" s="926"/>
      <c r="Y84" s="926"/>
      <c r="Z84" s="926"/>
      <c r="AA84" s="926"/>
      <c r="AB84" s="926"/>
      <c r="AC84" s="926"/>
      <c r="AD84" s="926"/>
      <c r="AE84" s="926"/>
      <c r="AF84" s="926"/>
      <c r="AG84" s="926"/>
      <c r="AH84" s="926"/>
      <c r="AI84" s="926"/>
      <c r="AJ84" s="926"/>
    </row>
    <row r="85" spans="1:36" ht="15" customHeight="1" x14ac:dyDescent="0.3">
      <c r="A85" s="926"/>
      <c r="B85" s="609"/>
      <c r="C85" s="962"/>
      <c r="D85" s="40"/>
      <c r="E85" s="2500"/>
      <c r="F85" s="2410"/>
      <c r="G85" s="2398"/>
      <c r="H85" s="2398"/>
      <c r="I85" s="2503"/>
      <c r="J85" s="2503"/>
      <c r="K85" s="2506"/>
      <c r="L85" s="2506"/>
      <c r="M85" s="2503"/>
      <c r="N85" s="2503"/>
      <c r="O85" s="2503"/>
      <c r="P85" s="2503"/>
      <c r="Q85" s="2398"/>
      <c r="R85" s="2511"/>
      <c r="S85" s="40"/>
      <c r="T85" s="963"/>
      <c r="U85" s="609"/>
      <c r="V85" s="926"/>
      <c r="W85" s="926"/>
      <c r="X85" s="926"/>
      <c r="Y85" s="926"/>
      <c r="Z85" s="926"/>
      <c r="AA85" s="926"/>
      <c r="AB85" s="926"/>
      <c r="AC85" s="926"/>
      <c r="AD85" s="926"/>
      <c r="AE85" s="926"/>
      <c r="AF85" s="926"/>
      <c r="AG85" s="926"/>
      <c r="AH85" s="926"/>
      <c r="AI85" s="926"/>
      <c r="AJ85" s="926"/>
    </row>
    <row r="86" spans="1:36" ht="14.4" customHeight="1" x14ac:dyDescent="0.3">
      <c r="A86" s="926"/>
      <c r="B86" s="609"/>
      <c r="C86" s="962"/>
      <c r="D86" s="40"/>
      <c r="E86" s="2500" t="s">
        <v>202</v>
      </c>
      <c r="F86" s="2410"/>
      <c r="G86" s="2398" t="str">
        <f t="shared" ref="G86" si="3">$BH$242</f>
        <v>lb/head/day</v>
      </c>
      <c r="H86" s="2398"/>
      <c r="I86" s="2503">
        <f>BF246</f>
        <v>9.9208017899999543E-3</v>
      </c>
      <c r="J86" s="2503"/>
      <c r="K86" s="2506"/>
      <c r="L86" s="2506"/>
      <c r="M86" s="2503">
        <f>BJ246</f>
        <v>6.0000000000000001E-3</v>
      </c>
      <c r="N86" s="2503"/>
      <c r="O86" s="2503">
        <f>BK246</f>
        <v>1.3999999999999999E-2</v>
      </c>
      <c r="P86" s="2503"/>
      <c r="Q86" s="2398" t="str">
        <f>BO246</f>
        <v>Using default</v>
      </c>
      <c r="R86" s="2511"/>
      <c r="S86" s="40"/>
      <c r="T86" s="963"/>
      <c r="U86" s="609"/>
      <c r="V86" s="926"/>
      <c r="W86" s="926"/>
      <c r="X86" s="926"/>
      <c r="Y86" s="926"/>
      <c r="Z86" s="926"/>
      <c r="AA86" s="926"/>
      <c r="AB86" s="926"/>
      <c r="AC86" s="926"/>
      <c r="AD86" s="926"/>
      <c r="AE86" s="926"/>
      <c r="AF86" s="926"/>
      <c r="AG86" s="926"/>
      <c r="AH86" s="926"/>
      <c r="AI86" s="926"/>
      <c r="AJ86" s="926"/>
    </row>
    <row r="87" spans="1:36" ht="14.4" customHeight="1" x14ac:dyDescent="0.3">
      <c r="A87" s="926"/>
      <c r="B87" s="609"/>
      <c r="C87" s="962"/>
      <c r="D87" s="40"/>
      <c r="E87" s="2500"/>
      <c r="F87" s="2410"/>
      <c r="G87" s="2398"/>
      <c r="H87" s="2398"/>
      <c r="I87" s="2503"/>
      <c r="J87" s="2503"/>
      <c r="K87" s="2506"/>
      <c r="L87" s="2506"/>
      <c r="M87" s="2503"/>
      <c r="N87" s="2503"/>
      <c r="O87" s="2503"/>
      <c r="P87" s="2503"/>
      <c r="Q87" s="2398"/>
      <c r="R87" s="2511"/>
      <c r="S87" s="40"/>
      <c r="T87" s="963"/>
      <c r="U87" s="609"/>
      <c r="V87" s="926"/>
      <c r="W87" s="926"/>
      <c r="X87" s="926"/>
      <c r="Y87" s="926"/>
      <c r="Z87" s="926"/>
      <c r="AA87" s="926"/>
      <c r="AB87" s="926"/>
      <c r="AC87" s="926"/>
      <c r="AD87" s="926"/>
      <c r="AE87" s="926"/>
      <c r="AF87" s="926"/>
      <c r="AG87" s="926"/>
      <c r="AH87" s="926"/>
      <c r="AI87" s="926"/>
      <c r="AJ87" s="926"/>
    </row>
    <row r="88" spans="1:36" ht="15" customHeight="1" x14ac:dyDescent="0.3">
      <c r="A88" s="926"/>
      <c r="B88" s="609"/>
      <c r="C88" s="962"/>
      <c r="D88" s="40"/>
      <c r="E88" s="2500"/>
      <c r="F88" s="2410"/>
      <c r="G88" s="2398"/>
      <c r="H88" s="2398"/>
      <c r="I88" s="2503"/>
      <c r="J88" s="2503"/>
      <c r="K88" s="2506"/>
      <c r="L88" s="2506"/>
      <c r="M88" s="2503"/>
      <c r="N88" s="2503"/>
      <c r="O88" s="2503"/>
      <c r="P88" s="2503"/>
      <c r="Q88" s="2398"/>
      <c r="R88" s="2511"/>
      <c r="S88" s="40"/>
      <c r="T88" s="963"/>
      <c r="U88" s="609"/>
      <c r="V88" s="926"/>
      <c r="W88" s="926"/>
      <c r="X88" s="926"/>
      <c r="Y88" s="926"/>
      <c r="Z88" s="926"/>
      <c r="AA88" s="926"/>
      <c r="AB88" s="926"/>
      <c r="AC88" s="926"/>
      <c r="AD88" s="926"/>
      <c r="AE88" s="926"/>
      <c r="AF88" s="926"/>
      <c r="AG88" s="926"/>
      <c r="AH88" s="926"/>
      <c r="AI88" s="926"/>
      <c r="AJ88" s="926"/>
    </row>
    <row r="89" spans="1:36" ht="14.4" customHeight="1" x14ac:dyDescent="0.3">
      <c r="A89" s="926"/>
      <c r="B89" s="609"/>
      <c r="C89" s="962"/>
      <c r="D89" s="40"/>
      <c r="E89" s="2500" t="s">
        <v>203</v>
      </c>
      <c r="F89" s="2410"/>
      <c r="G89" s="2398" t="str">
        <f t="shared" ref="G89" si="4">$BH$242</f>
        <v>lb/head/day</v>
      </c>
      <c r="H89" s="2398"/>
      <c r="I89" s="2503">
        <f>BF247</f>
        <v>1.9841603579999992E-2</v>
      </c>
      <c r="J89" s="2503"/>
      <c r="K89" s="2506"/>
      <c r="L89" s="2506"/>
      <c r="M89" s="2503">
        <f>BJ247</f>
        <v>1.2999999999999999E-2</v>
      </c>
      <c r="N89" s="2503"/>
      <c r="O89" s="2503">
        <f>BK247</f>
        <v>2.7E-2</v>
      </c>
      <c r="P89" s="2503"/>
      <c r="Q89" s="2398" t="str">
        <f>BO247</f>
        <v>Using default</v>
      </c>
      <c r="R89" s="2511"/>
      <c r="S89" s="40"/>
      <c r="T89" s="963"/>
      <c r="U89" s="609"/>
      <c r="V89" s="926"/>
      <c r="W89" s="926"/>
      <c r="X89" s="926"/>
      <c r="Y89" s="926"/>
      <c r="Z89" s="926"/>
      <c r="AA89" s="926"/>
      <c r="AB89" s="926"/>
      <c r="AC89" s="926"/>
      <c r="AD89" s="926"/>
      <c r="AE89" s="926"/>
      <c r="AF89" s="926"/>
      <c r="AG89" s="926"/>
      <c r="AH89" s="926"/>
      <c r="AI89" s="926"/>
      <c r="AJ89" s="926"/>
    </row>
    <row r="90" spans="1:36" ht="14.4" customHeight="1" x14ac:dyDescent="0.3">
      <c r="A90" s="926"/>
      <c r="B90" s="609"/>
      <c r="C90" s="962"/>
      <c r="D90" s="40"/>
      <c r="E90" s="2500"/>
      <c r="F90" s="2410"/>
      <c r="G90" s="2398"/>
      <c r="H90" s="2398"/>
      <c r="I90" s="2503"/>
      <c r="J90" s="2503"/>
      <c r="K90" s="2506"/>
      <c r="L90" s="2506"/>
      <c r="M90" s="2503"/>
      <c r="N90" s="2503"/>
      <c r="O90" s="2503"/>
      <c r="P90" s="2503"/>
      <c r="Q90" s="2398"/>
      <c r="R90" s="2511"/>
      <c r="S90" s="40"/>
      <c r="T90" s="963"/>
      <c r="U90" s="609"/>
      <c r="V90" s="926"/>
      <c r="W90" s="926"/>
      <c r="X90" s="926"/>
      <c r="Y90" s="926"/>
      <c r="Z90" s="926"/>
      <c r="AA90" s="926"/>
      <c r="AB90" s="926"/>
      <c r="AC90" s="926"/>
      <c r="AD90" s="926"/>
      <c r="AE90" s="926"/>
      <c r="AF90" s="926"/>
      <c r="AG90" s="926"/>
      <c r="AH90" s="926"/>
      <c r="AI90" s="926"/>
      <c r="AJ90" s="926"/>
    </row>
    <row r="91" spans="1:36" ht="15" customHeight="1" thickBot="1" x14ac:dyDescent="0.35">
      <c r="A91" s="926"/>
      <c r="B91" s="609"/>
      <c r="C91" s="962"/>
      <c r="D91" s="40"/>
      <c r="E91" s="2501"/>
      <c r="F91" s="2502"/>
      <c r="G91" s="2510"/>
      <c r="H91" s="2510"/>
      <c r="I91" s="2505"/>
      <c r="J91" s="2505"/>
      <c r="K91" s="2508"/>
      <c r="L91" s="2508"/>
      <c r="M91" s="2505"/>
      <c r="N91" s="2505"/>
      <c r="O91" s="2505"/>
      <c r="P91" s="2505"/>
      <c r="Q91" s="2510"/>
      <c r="R91" s="2513"/>
      <c r="S91" s="40"/>
      <c r="T91" s="963"/>
      <c r="U91" s="609"/>
      <c r="V91" s="926"/>
      <c r="W91" s="926"/>
      <c r="X91" s="926"/>
      <c r="Y91" s="926"/>
      <c r="Z91" s="926"/>
      <c r="AA91" s="926"/>
      <c r="AB91" s="926"/>
      <c r="AC91" s="926"/>
      <c r="AD91" s="926"/>
      <c r="AE91" s="926"/>
      <c r="AF91" s="926"/>
      <c r="AG91" s="926"/>
      <c r="AH91" s="926"/>
      <c r="AI91" s="926"/>
      <c r="AJ91" s="926"/>
    </row>
    <row r="92" spans="1:36" ht="15" customHeight="1" thickBot="1" x14ac:dyDescent="0.35">
      <c r="A92" s="926"/>
      <c r="B92" s="609"/>
      <c r="C92" s="962"/>
      <c r="D92" s="40"/>
      <c r="E92" s="40"/>
      <c r="F92" s="40"/>
      <c r="G92" s="40"/>
      <c r="H92" s="40"/>
      <c r="I92" s="40"/>
      <c r="J92" s="40"/>
      <c r="K92" s="40"/>
      <c r="L92" s="40"/>
      <c r="M92" s="40"/>
      <c r="N92" s="40"/>
      <c r="O92" s="40"/>
      <c r="P92" s="40"/>
      <c r="Q92" s="40"/>
      <c r="R92" s="40"/>
      <c r="S92" s="40"/>
      <c r="T92" s="963"/>
      <c r="U92" s="609"/>
      <c r="V92" s="926"/>
      <c r="W92" s="926"/>
      <c r="X92" s="926"/>
      <c r="Y92" s="926"/>
      <c r="Z92" s="926"/>
      <c r="AA92" s="926"/>
      <c r="AB92" s="926"/>
      <c r="AC92" s="926"/>
      <c r="AD92" s="926"/>
      <c r="AE92" s="926"/>
      <c r="AF92" s="926"/>
      <c r="AG92" s="926"/>
      <c r="AH92" s="926"/>
      <c r="AI92" s="926"/>
      <c r="AJ92" s="926"/>
    </row>
    <row r="93" spans="1:36" ht="15" customHeight="1" x14ac:dyDescent="0.3">
      <c r="A93" s="926"/>
      <c r="B93" s="609"/>
      <c r="C93" s="962"/>
      <c r="D93" s="40"/>
      <c r="E93" s="2520" t="s">
        <v>204</v>
      </c>
      <c r="F93" s="2521"/>
      <c r="G93" s="2521"/>
      <c r="H93" s="2521"/>
      <c r="I93" s="2521"/>
      <c r="J93" s="2521"/>
      <c r="K93" s="2521"/>
      <c r="L93" s="2521"/>
      <c r="M93" s="2521"/>
      <c r="N93" s="2521"/>
      <c r="O93" s="2521"/>
      <c r="P93" s="2521"/>
      <c r="Q93" s="2521"/>
      <c r="R93" s="2522"/>
      <c r="S93" s="40"/>
      <c r="T93" s="963"/>
      <c r="U93" s="609"/>
      <c r="V93" s="926"/>
      <c r="W93" s="926"/>
      <c r="X93" s="926"/>
      <c r="Y93" s="926"/>
      <c r="Z93" s="926"/>
      <c r="AA93" s="926"/>
      <c r="AB93" s="926"/>
      <c r="AC93" s="926"/>
      <c r="AD93" s="926"/>
      <c r="AE93" s="926"/>
      <c r="AF93" s="926"/>
      <c r="AG93" s="926"/>
      <c r="AH93" s="926"/>
      <c r="AI93" s="926"/>
      <c r="AJ93" s="926"/>
    </row>
    <row r="94" spans="1:36" ht="15" customHeight="1" x14ac:dyDescent="0.3">
      <c r="A94" s="926"/>
      <c r="B94" s="609"/>
      <c r="C94" s="962"/>
      <c r="D94" s="40"/>
      <c r="E94" s="2523"/>
      <c r="F94" s="2524"/>
      <c r="G94" s="2524"/>
      <c r="H94" s="2524"/>
      <c r="I94" s="2524"/>
      <c r="J94" s="2524"/>
      <c r="K94" s="2524"/>
      <c r="L94" s="2524"/>
      <c r="M94" s="2524"/>
      <c r="N94" s="2524"/>
      <c r="O94" s="2524"/>
      <c r="P94" s="2524"/>
      <c r="Q94" s="2524"/>
      <c r="R94" s="2525"/>
      <c r="S94" s="40"/>
      <c r="T94" s="963"/>
      <c r="U94" s="609"/>
      <c r="V94" s="926"/>
      <c r="W94" s="926"/>
      <c r="X94" s="926"/>
      <c r="Y94" s="926"/>
      <c r="Z94" s="926"/>
      <c r="AA94" s="926"/>
      <c r="AB94" s="926"/>
      <c r="AC94" s="926"/>
      <c r="AD94" s="926"/>
      <c r="AE94" s="926"/>
      <c r="AF94" s="926"/>
      <c r="AG94" s="926"/>
      <c r="AH94" s="926"/>
      <c r="AI94" s="926"/>
      <c r="AJ94" s="926"/>
    </row>
    <row r="95" spans="1:36" ht="15" customHeight="1" x14ac:dyDescent="0.3">
      <c r="A95" s="926"/>
      <c r="B95" s="609"/>
      <c r="C95" s="962"/>
      <c r="D95" s="40"/>
      <c r="E95" s="2523"/>
      <c r="F95" s="2524"/>
      <c r="G95" s="2524"/>
      <c r="H95" s="2524"/>
      <c r="I95" s="2524"/>
      <c r="J95" s="2524"/>
      <c r="K95" s="2524"/>
      <c r="L95" s="2524"/>
      <c r="M95" s="2524"/>
      <c r="N95" s="2524"/>
      <c r="O95" s="2524"/>
      <c r="P95" s="2524"/>
      <c r="Q95" s="2524"/>
      <c r="R95" s="2525"/>
      <c r="S95" s="40"/>
      <c r="T95" s="963"/>
      <c r="U95" s="609"/>
      <c r="V95" s="926"/>
      <c r="W95" s="926"/>
      <c r="X95" s="926"/>
      <c r="Y95" s="926"/>
      <c r="Z95" s="926"/>
      <c r="AA95" s="926"/>
      <c r="AB95" s="926"/>
      <c r="AC95" s="926"/>
      <c r="AD95" s="926"/>
      <c r="AE95" s="926"/>
      <c r="AF95" s="926"/>
      <c r="AG95" s="926"/>
      <c r="AH95" s="926"/>
      <c r="AI95" s="926"/>
      <c r="AJ95" s="926"/>
    </row>
    <row r="96" spans="1:36" ht="15" customHeight="1" thickBot="1" x14ac:dyDescent="0.35">
      <c r="A96" s="926"/>
      <c r="B96" s="609"/>
      <c r="C96" s="962"/>
      <c r="D96" s="40"/>
      <c r="E96" s="2526"/>
      <c r="F96" s="2527"/>
      <c r="G96" s="2527"/>
      <c r="H96" s="2527"/>
      <c r="I96" s="2527"/>
      <c r="J96" s="2527"/>
      <c r="K96" s="2527"/>
      <c r="L96" s="2527"/>
      <c r="M96" s="2527"/>
      <c r="N96" s="2527"/>
      <c r="O96" s="2527"/>
      <c r="P96" s="2527"/>
      <c r="Q96" s="2527"/>
      <c r="R96" s="2528"/>
      <c r="S96" s="40"/>
      <c r="T96" s="963"/>
      <c r="U96" s="609"/>
      <c r="V96" s="926"/>
      <c r="W96" s="926"/>
      <c r="X96" s="926"/>
      <c r="Y96" s="926"/>
      <c r="Z96" s="926"/>
      <c r="AA96" s="926"/>
      <c r="AB96" s="926"/>
      <c r="AC96" s="926"/>
      <c r="AD96" s="926"/>
      <c r="AE96" s="926"/>
      <c r="AF96" s="926"/>
      <c r="AG96" s="926"/>
      <c r="AH96" s="926"/>
      <c r="AI96" s="926"/>
      <c r="AJ96" s="926"/>
    </row>
    <row r="97" spans="1:36" ht="15" customHeight="1" thickBot="1" x14ac:dyDescent="0.35">
      <c r="A97" s="926"/>
      <c r="B97" s="609"/>
      <c r="C97" s="962"/>
      <c r="D97" s="40"/>
      <c r="E97" s="2529" t="s">
        <v>196</v>
      </c>
      <c r="F97" s="2530"/>
      <c r="G97" s="2531" t="s">
        <v>38</v>
      </c>
      <c r="H97" s="2531"/>
      <c r="I97" s="2531" t="s">
        <v>39</v>
      </c>
      <c r="J97" s="2531"/>
      <c r="K97" s="2531" t="s">
        <v>197</v>
      </c>
      <c r="L97" s="2531"/>
      <c r="M97" s="2531" t="s">
        <v>41</v>
      </c>
      <c r="N97" s="2531"/>
      <c r="O97" s="2531" t="s">
        <v>42</v>
      </c>
      <c r="P97" s="2531"/>
      <c r="Q97" s="2531" t="s">
        <v>43</v>
      </c>
      <c r="R97" s="2532"/>
      <c r="S97" s="40"/>
      <c r="T97" s="963"/>
      <c r="U97" s="609"/>
      <c r="V97" s="926"/>
      <c r="W97" s="926"/>
      <c r="X97" s="926"/>
      <c r="Y97" s="926"/>
      <c r="Z97" s="926"/>
      <c r="AA97" s="926"/>
      <c r="AB97" s="926"/>
      <c r="AC97" s="926"/>
      <c r="AD97" s="926"/>
      <c r="AE97" s="926"/>
      <c r="AF97" s="926"/>
      <c r="AG97" s="926"/>
      <c r="AH97" s="926"/>
      <c r="AI97" s="926"/>
      <c r="AJ97" s="926"/>
    </row>
    <row r="98" spans="1:36" ht="15" customHeight="1" x14ac:dyDescent="0.3">
      <c r="A98" s="926"/>
      <c r="B98" s="609"/>
      <c r="C98" s="962"/>
      <c r="D98" s="40"/>
      <c r="E98" s="2517" t="s">
        <v>198</v>
      </c>
      <c r="F98" s="2518"/>
      <c r="G98" s="2515" t="str">
        <f>BH248</f>
        <v>lb/head/day</v>
      </c>
      <c r="H98" s="2515"/>
      <c r="I98" s="2514">
        <f>BF248</f>
        <v>12.323862492026198</v>
      </c>
      <c r="J98" s="2514"/>
      <c r="K98" s="2519"/>
      <c r="L98" s="2519"/>
      <c r="M98" s="2514">
        <f>BJ248</f>
        <v>8.6259999999999994</v>
      </c>
      <c r="N98" s="2514"/>
      <c r="O98" s="2514">
        <f>BK248</f>
        <v>16.024000000000001</v>
      </c>
      <c r="P98" s="2514"/>
      <c r="Q98" s="2515" t="str">
        <f>BO248</f>
        <v>Using default</v>
      </c>
      <c r="R98" s="2516"/>
      <c r="S98" s="40"/>
      <c r="T98" s="963"/>
      <c r="U98" s="609"/>
      <c r="V98" s="926"/>
      <c r="W98" s="926"/>
      <c r="X98" s="926"/>
      <c r="Y98" s="926"/>
      <c r="Z98" s="926"/>
      <c r="AA98" s="926"/>
      <c r="AB98" s="926"/>
      <c r="AC98" s="926"/>
      <c r="AD98" s="926"/>
      <c r="AE98" s="926"/>
      <c r="AF98" s="926"/>
      <c r="AG98" s="926"/>
      <c r="AH98" s="926"/>
      <c r="AI98" s="926"/>
      <c r="AJ98" s="926"/>
    </row>
    <row r="99" spans="1:36" ht="15" customHeight="1" x14ac:dyDescent="0.3">
      <c r="A99" s="926"/>
      <c r="B99" s="609"/>
      <c r="C99" s="962"/>
      <c r="D99" s="40"/>
      <c r="E99" s="2500"/>
      <c r="F99" s="2410"/>
      <c r="G99" s="2398"/>
      <c r="H99" s="2398"/>
      <c r="I99" s="2503"/>
      <c r="J99" s="2503"/>
      <c r="K99" s="2506"/>
      <c r="L99" s="2506"/>
      <c r="M99" s="2503"/>
      <c r="N99" s="2503"/>
      <c r="O99" s="2503"/>
      <c r="P99" s="2503"/>
      <c r="Q99" s="2398"/>
      <c r="R99" s="2511"/>
      <c r="S99" s="40"/>
      <c r="T99" s="963"/>
      <c r="U99" s="609"/>
      <c r="V99" s="926"/>
      <c r="W99" s="926"/>
      <c r="X99" s="926"/>
      <c r="Y99" s="926"/>
      <c r="Z99" s="926"/>
      <c r="AA99" s="926"/>
      <c r="AB99" s="926"/>
      <c r="AC99" s="926"/>
      <c r="AD99" s="926"/>
      <c r="AE99" s="926"/>
      <c r="AF99" s="926"/>
      <c r="AG99" s="926"/>
      <c r="AH99" s="926"/>
      <c r="AI99" s="926"/>
      <c r="AJ99" s="926"/>
    </row>
    <row r="100" spans="1:36" ht="15" customHeight="1" x14ac:dyDescent="0.3">
      <c r="A100" s="926"/>
      <c r="B100" s="609"/>
      <c r="C100" s="962"/>
      <c r="D100" s="40"/>
      <c r="E100" s="2500"/>
      <c r="F100" s="2410"/>
      <c r="G100" s="2398"/>
      <c r="H100" s="2398"/>
      <c r="I100" s="2503"/>
      <c r="J100" s="2503"/>
      <c r="K100" s="2506"/>
      <c r="L100" s="2506"/>
      <c r="M100" s="2503"/>
      <c r="N100" s="2503"/>
      <c r="O100" s="2503"/>
      <c r="P100" s="2503"/>
      <c r="Q100" s="2398"/>
      <c r="R100" s="2511"/>
      <c r="S100" s="40"/>
      <c r="T100" s="963"/>
      <c r="U100" s="609"/>
      <c r="V100" s="926"/>
      <c r="W100" s="926"/>
      <c r="X100" s="926"/>
      <c r="Y100" s="926"/>
      <c r="Z100" s="926"/>
      <c r="AA100" s="926"/>
      <c r="AB100" s="926"/>
      <c r="AC100" s="926"/>
      <c r="AD100" s="926"/>
      <c r="AE100" s="926"/>
      <c r="AF100" s="926"/>
      <c r="AG100" s="926"/>
      <c r="AH100" s="926"/>
      <c r="AI100" s="926"/>
      <c r="AJ100" s="926"/>
    </row>
    <row r="101" spans="1:36" ht="15" customHeight="1" x14ac:dyDescent="0.3">
      <c r="A101" s="926"/>
      <c r="B101" s="609"/>
      <c r="C101" s="962"/>
      <c r="D101" s="40"/>
      <c r="E101" s="2500" t="s">
        <v>199</v>
      </c>
      <c r="F101" s="2410"/>
      <c r="G101" s="2398" t="str">
        <f>BH249</f>
        <v>lb/head/day</v>
      </c>
      <c r="H101" s="2398"/>
      <c r="I101" s="2503">
        <f>BF249</f>
        <v>1.2037459967461996</v>
      </c>
      <c r="J101" s="2503"/>
      <c r="K101" s="2506"/>
      <c r="L101" s="2506"/>
      <c r="M101" s="2503">
        <f>BJ249</f>
        <v>0.84199999999999997</v>
      </c>
      <c r="N101" s="2503"/>
      <c r="O101" s="2503">
        <f>BK249</f>
        <v>1.5659999999999998</v>
      </c>
      <c r="P101" s="2503"/>
      <c r="Q101" s="2398" t="str">
        <f>BO249</f>
        <v>Using default</v>
      </c>
      <c r="R101" s="2511"/>
      <c r="S101" s="40"/>
      <c r="T101" s="963"/>
      <c r="U101" s="609"/>
      <c r="V101" s="926"/>
      <c r="W101" s="926"/>
      <c r="X101" s="926"/>
      <c r="Y101" s="926"/>
      <c r="Z101" s="926"/>
      <c r="AA101" s="926"/>
      <c r="AB101" s="926"/>
      <c r="AC101" s="926"/>
      <c r="AD101" s="926"/>
      <c r="AE101" s="926"/>
      <c r="AF101" s="926"/>
      <c r="AG101" s="926"/>
      <c r="AH101" s="926"/>
      <c r="AI101" s="926"/>
      <c r="AJ101" s="926"/>
    </row>
    <row r="102" spans="1:36" ht="15" customHeight="1" x14ac:dyDescent="0.3">
      <c r="A102" s="926"/>
      <c r="B102" s="609"/>
      <c r="C102" s="962"/>
      <c r="D102" s="40"/>
      <c r="E102" s="2500"/>
      <c r="F102" s="2410"/>
      <c r="G102" s="2398"/>
      <c r="H102" s="2398"/>
      <c r="I102" s="2503"/>
      <c r="J102" s="2503"/>
      <c r="K102" s="2506"/>
      <c r="L102" s="2506"/>
      <c r="M102" s="2503"/>
      <c r="N102" s="2503"/>
      <c r="O102" s="2503"/>
      <c r="P102" s="2503"/>
      <c r="Q102" s="2398"/>
      <c r="R102" s="2511"/>
      <c r="S102" s="40"/>
      <c r="T102" s="963"/>
      <c r="U102" s="609"/>
      <c r="V102" s="926"/>
      <c r="W102" s="926"/>
      <c r="X102" s="926"/>
      <c r="Y102" s="926"/>
      <c r="Z102" s="926"/>
      <c r="AA102" s="926"/>
      <c r="AB102" s="926"/>
      <c r="AC102" s="926"/>
      <c r="AD102" s="926"/>
      <c r="AE102" s="926"/>
      <c r="AF102" s="926"/>
      <c r="AG102" s="926"/>
      <c r="AH102" s="926"/>
      <c r="AI102" s="926"/>
      <c r="AJ102" s="926"/>
    </row>
    <row r="103" spans="1:36" ht="15" customHeight="1" x14ac:dyDescent="0.3">
      <c r="A103" s="926"/>
      <c r="B103" s="609"/>
      <c r="C103" s="962"/>
      <c r="D103" s="40"/>
      <c r="E103" s="2500"/>
      <c r="F103" s="2410"/>
      <c r="G103" s="2398"/>
      <c r="H103" s="2398"/>
      <c r="I103" s="2503"/>
      <c r="J103" s="2503"/>
      <c r="K103" s="2506"/>
      <c r="L103" s="2506"/>
      <c r="M103" s="2503"/>
      <c r="N103" s="2503"/>
      <c r="O103" s="2503"/>
      <c r="P103" s="2503"/>
      <c r="Q103" s="2398"/>
      <c r="R103" s="2511"/>
      <c r="S103" s="40"/>
      <c r="T103" s="963"/>
      <c r="U103" s="609"/>
      <c r="V103" s="926"/>
      <c r="W103" s="926"/>
      <c r="X103" s="926"/>
      <c r="Y103" s="926"/>
      <c r="Z103" s="926"/>
      <c r="AA103" s="926"/>
      <c r="AB103" s="926"/>
      <c r="AC103" s="926"/>
      <c r="AD103" s="926"/>
      <c r="AE103" s="926"/>
      <c r="AF103" s="926"/>
      <c r="AG103" s="926"/>
      <c r="AH103" s="926"/>
      <c r="AI103" s="926"/>
      <c r="AJ103" s="926"/>
    </row>
    <row r="104" spans="1:36" ht="15" customHeight="1" x14ac:dyDescent="0.3">
      <c r="A104" s="926"/>
      <c r="B104" s="609"/>
      <c r="C104" s="962"/>
      <c r="D104" s="40"/>
      <c r="E104" s="2500" t="s">
        <v>200</v>
      </c>
      <c r="F104" s="2410"/>
      <c r="G104" s="2398" t="str">
        <f>BH250</f>
        <v>lb/head/day</v>
      </c>
      <c r="H104" s="2398"/>
      <c r="I104" s="2503">
        <f>BF250</f>
        <v>0.97446303964357983</v>
      </c>
      <c r="J104" s="2503"/>
      <c r="K104" s="2506"/>
      <c r="L104" s="2506"/>
      <c r="M104" s="2503">
        <f>BJ250</f>
        <v>0.68100000000000005</v>
      </c>
      <c r="N104" s="2503"/>
      <c r="O104" s="2503">
        <f>BK250</f>
        <v>1.2679999999999998</v>
      </c>
      <c r="P104" s="2503"/>
      <c r="Q104" s="2398" t="str">
        <f>BO250</f>
        <v>Using default</v>
      </c>
      <c r="R104" s="2511"/>
      <c r="S104" s="40"/>
      <c r="T104" s="963"/>
      <c r="U104" s="609"/>
      <c r="V104" s="926"/>
      <c r="W104" s="926"/>
      <c r="X104" s="926"/>
      <c r="Y104" s="926"/>
      <c r="Z104" s="926"/>
      <c r="AA104" s="926"/>
      <c r="AB104" s="926"/>
      <c r="AC104" s="926"/>
      <c r="AD104" s="926"/>
      <c r="AE104" s="926"/>
      <c r="AF104" s="926"/>
      <c r="AG104" s="926"/>
      <c r="AH104" s="926"/>
      <c r="AI104" s="926"/>
      <c r="AJ104" s="926"/>
    </row>
    <row r="105" spans="1:36" ht="15" customHeight="1" x14ac:dyDescent="0.3">
      <c r="A105" s="926"/>
      <c r="B105" s="609"/>
      <c r="C105" s="962"/>
      <c r="D105" s="40"/>
      <c r="E105" s="2500"/>
      <c r="F105" s="2410"/>
      <c r="G105" s="2398"/>
      <c r="H105" s="2398"/>
      <c r="I105" s="2503"/>
      <c r="J105" s="2503"/>
      <c r="K105" s="2506"/>
      <c r="L105" s="2506"/>
      <c r="M105" s="2503"/>
      <c r="N105" s="2503"/>
      <c r="O105" s="2503"/>
      <c r="P105" s="2503"/>
      <c r="Q105" s="2398"/>
      <c r="R105" s="2511"/>
      <c r="S105" s="40"/>
      <c r="T105" s="963"/>
      <c r="U105" s="609"/>
      <c r="V105" s="926"/>
      <c r="W105" s="926"/>
      <c r="X105" s="926"/>
      <c r="Y105" s="926"/>
      <c r="Z105" s="926"/>
      <c r="AA105" s="926"/>
      <c r="AB105" s="926"/>
      <c r="AC105" s="926"/>
      <c r="AD105" s="926"/>
      <c r="AE105" s="926"/>
      <c r="AF105" s="926"/>
      <c r="AG105" s="926"/>
      <c r="AH105" s="926"/>
      <c r="AI105" s="926"/>
      <c r="AJ105" s="926"/>
    </row>
    <row r="106" spans="1:36" ht="15" customHeight="1" x14ac:dyDescent="0.3">
      <c r="A106" s="926"/>
      <c r="B106" s="609"/>
      <c r="C106" s="962"/>
      <c r="D106" s="40"/>
      <c r="E106" s="2500"/>
      <c r="F106" s="2410"/>
      <c r="G106" s="2398"/>
      <c r="H106" s="2398"/>
      <c r="I106" s="2503"/>
      <c r="J106" s="2503"/>
      <c r="K106" s="2506"/>
      <c r="L106" s="2506"/>
      <c r="M106" s="2503"/>
      <c r="N106" s="2503"/>
      <c r="O106" s="2503"/>
      <c r="P106" s="2503"/>
      <c r="Q106" s="2398"/>
      <c r="R106" s="2511"/>
      <c r="S106" s="40"/>
      <c r="T106" s="963"/>
      <c r="U106" s="609"/>
      <c r="V106" s="926"/>
      <c r="W106" s="926"/>
      <c r="X106" s="926"/>
      <c r="Y106" s="926"/>
      <c r="Z106" s="926"/>
      <c r="AA106" s="926"/>
      <c r="AB106" s="926"/>
      <c r="AC106" s="926"/>
      <c r="AD106" s="926"/>
      <c r="AE106" s="926"/>
      <c r="AF106" s="926"/>
      <c r="AG106" s="926"/>
      <c r="AH106" s="926"/>
      <c r="AI106" s="926"/>
      <c r="AJ106" s="926"/>
    </row>
    <row r="107" spans="1:36" ht="15" customHeight="1" x14ac:dyDescent="0.3">
      <c r="A107" s="926"/>
      <c r="B107" s="609"/>
      <c r="C107" s="962"/>
      <c r="D107" s="40"/>
      <c r="E107" s="2500" t="s">
        <v>201</v>
      </c>
      <c r="F107" s="2410"/>
      <c r="G107" s="2398" t="str">
        <f>BH251</f>
        <v>lb/head/day</v>
      </c>
      <c r="H107" s="2398"/>
      <c r="I107" s="2503">
        <f>BF251</f>
        <v>0.114642360400358</v>
      </c>
      <c r="J107" s="2503"/>
      <c r="K107" s="2506"/>
      <c r="L107" s="2506"/>
      <c r="M107" s="2503">
        <f>BJ251</f>
        <v>7.9000000000000001E-2</v>
      </c>
      <c r="N107" s="2503"/>
      <c r="O107" s="2503">
        <f>BK251</f>
        <v>0.15</v>
      </c>
      <c r="P107" s="2503"/>
      <c r="Q107" s="2398" t="str">
        <f>BO251</f>
        <v>Using default</v>
      </c>
      <c r="R107" s="2511"/>
      <c r="S107" s="40"/>
      <c r="T107" s="963"/>
      <c r="U107" s="609"/>
      <c r="V107" s="926"/>
      <c r="W107" s="926"/>
      <c r="X107" s="926"/>
      <c r="Y107" s="926"/>
      <c r="Z107" s="926"/>
      <c r="AA107" s="926"/>
      <c r="AB107" s="926"/>
      <c r="AC107" s="926"/>
      <c r="AD107" s="926"/>
      <c r="AE107" s="926"/>
      <c r="AF107" s="926"/>
      <c r="AG107" s="926"/>
      <c r="AH107" s="926"/>
      <c r="AI107" s="926"/>
      <c r="AJ107" s="926"/>
    </row>
    <row r="108" spans="1:36" ht="15" customHeight="1" x14ac:dyDescent="0.3">
      <c r="A108" s="926"/>
      <c r="B108" s="609"/>
      <c r="C108" s="962"/>
      <c r="D108" s="40"/>
      <c r="E108" s="2500"/>
      <c r="F108" s="2410"/>
      <c r="G108" s="2398"/>
      <c r="H108" s="2398"/>
      <c r="I108" s="2503"/>
      <c r="J108" s="2503"/>
      <c r="K108" s="2506"/>
      <c r="L108" s="2506"/>
      <c r="M108" s="2503"/>
      <c r="N108" s="2503"/>
      <c r="O108" s="2503"/>
      <c r="P108" s="2503"/>
      <c r="Q108" s="2398"/>
      <c r="R108" s="2511"/>
      <c r="S108" s="40"/>
      <c r="T108" s="963"/>
      <c r="U108" s="609"/>
      <c r="V108" s="926"/>
      <c r="W108" s="926"/>
      <c r="X108" s="926"/>
      <c r="Y108" s="926"/>
      <c r="Z108" s="926"/>
      <c r="AA108" s="926"/>
      <c r="AB108" s="926"/>
      <c r="AC108" s="926"/>
      <c r="AD108" s="926"/>
      <c r="AE108" s="926"/>
      <c r="AF108" s="926"/>
      <c r="AG108" s="926"/>
      <c r="AH108" s="926"/>
      <c r="AI108" s="926"/>
      <c r="AJ108" s="926"/>
    </row>
    <row r="109" spans="1:36" ht="15" customHeight="1" x14ac:dyDescent="0.3">
      <c r="A109" s="926"/>
      <c r="B109" s="609"/>
      <c r="C109" s="962"/>
      <c r="D109" s="40"/>
      <c r="E109" s="2500"/>
      <c r="F109" s="2410"/>
      <c r="G109" s="2398"/>
      <c r="H109" s="2398"/>
      <c r="I109" s="2503"/>
      <c r="J109" s="2503"/>
      <c r="K109" s="2506"/>
      <c r="L109" s="2506"/>
      <c r="M109" s="2503"/>
      <c r="N109" s="2503"/>
      <c r="O109" s="2503"/>
      <c r="P109" s="2503"/>
      <c r="Q109" s="2398"/>
      <c r="R109" s="2511"/>
      <c r="S109" s="40"/>
      <c r="T109" s="963"/>
      <c r="U109" s="609"/>
      <c r="V109" s="926"/>
      <c r="W109" s="926"/>
      <c r="X109" s="926"/>
      <c r="Y109" s="926"/>
      <c r="Z109" s="926"/>
      <c r="AA109" s="926"/>
      <c r="AB109" s="926"/>
      <c r="AC109" s="926"/>
      <c r="AD109" s="926"/>
      <c r="AE109" s="926"/>
      <c r="AF109" s="926"/>
      <c r="AG109" s="926"/>
      <c r="AH109" s="926"/>
      <c r="AI109" s="926"/>
      <c r="AJ109" s="926"/>
    </row>
    <row r="110" spans="1:36" ht="15" customHeight="1" x14ac:dyDescent="0.3">
      <c r="A110" s="926"/>
      <c r="B110" s="609"/>
      <c r="C110" s="962"/>
      <c r="D110" s="40"/>
      <c r="E110" s="2500" t="s">
        <v>202</v>
      </c>
      <c r="F110" s="2410"/>
      <c r="G110" s="2398" t="str">
        <f>BH252</f>
        <v>lb/head/day</v>
      </c>
      <c r="H110" s="2398"/>
      <c r="I110" s="2503">
        <f>BF252</f>
        <v>4.0124793070785994E-2</v>
      </c>
      <c r="J110" s="2503"/>
      <c r="K110" s="2506"/>
      <c r="L110" s="2506"/>
      <c r="M110" s="2503">
        <f>BJ252</f>
        <v>2.5999999999999999E-2</v>
      </c>
      <c r="N110" s="2503"/>
      <c r="O110" s="2503">
        <f>BK252</f>
        <v>5.2999999999999999E-2</v>
      </c>
      <c r="P110" s="2503"/>
      <c r="Q110" s="2398" t="str">
        <f>BO252</f>
        <v>Using default</v>
      </c>
      <c r="R110" s="2511"/>
      <c r="S110" s="40"/>
      <c r="T110" s="963"/>
      <c r="U110" s="609"/>
      <c r="V110" s="926"/>
      <c r="W110" s="926"/>
      <c r="X110" s="926"/>
      <c r="Y110" s="926"/>
      <c r="Z110" s="926"/>
      <c r="AA110" s="926"/>
      <c r="AB110" s="926"/>
      <c r="AC110" s="926"/>
      <c r="AD110" s="926"/>
      <c r="AE110" s="926"/>
      <c r="AF110" s="926"/>
      <c r="AG110" s="926"/>
      <c r="AH110" s="926"/>
      <c r="AI110" s="926"/>
      <c r="AJ110" s="926"/>
    </row>
    <row r="111" spans="1:36" ht="15" customHeight="1" x14ac:dyDescent="0.3">
      <c r="A111" s="926"/>
      <c r="B111" s="609"/>
      <c r="C111" s="962"/>
      <c r="D111" s="40"/>
      <c r="E111" s="2500"/>
      <c r="F111" s="2410"/>
      <c r="G111" s="2398"/>
      <c r="H111" s="2398"/>
      <c r="I111" s="2503"/>
      <c r="J111" s="2503"/>
      <c r="K111" s="2506"/>
      <c r="L111" s="2506"/>
      <c r="M111" s="2503"/>
      <c r="N111" s="2503"/>
      <c r="O111" s="2503"/>
      <c r="P111" s="2503"/>
      <c r="Q111" s="2398"/>
      <c r="R111" s="2511"/>
      <c r="S111" s="40"/>
      <c r="T111" s="963"/>
      <c r="U111" s="609"/>
      <c r="V111" s="926"/>
      <c r="W111" s="926"/>
      <c r="X111" s="926"/>
      <c r="Y111" s="926"/>
      <c r="Z111" s="926"/>
      <c r="AA111" s="926"/>
      <c r="AB111" s="926"/>
      <c r="AC111" s="926"/>
      <c r="AD111" s="926"/>
      <c r="AE111" s="926"/>
      <c r="AF111" s="926"/>
      <c r="AG111" s="926"/>
      <c r="AH111" s="926"/>
      <c r="AI111" s="926"/>
      <c r="AJ111" s="926"/>
    </row>
    <row r="112" spans="1:36" ht="15" customHeight="1" x14ac:dyDescent="0.3">
      <c r="A112" s="926"/>
      <c r="B112" s="609"/>
      <c r="C112" s="962"/>
      <c r="D112" s="40"/>
      <c r="E112" s="2500"/>
      <c r="F112" s="2410"/>
      <c r="G112" s="2398"/>
      <c r="H112" s="2398"/>
      <c r="I112" s="2503"/>
      <c r="J112" s="2503"/>
      <c r="K112" s="2506"/>
      <c r="L112" s="2506"/>
      <c r="M112" s="2503"/>
      <c r="N112" s="2503"/>
      <c r="O112" s="2503"/>
      <c r="P112" s="2503"/>
      <c r="Q112" s="2398"/>
      <c r="R112" s="2511"/>
      <c r="S112" s="40"/>
      <c r="T112" s="963"/>
      <c r="U112" s="609"/>
      <c r="V112" s="926"/>
      <c r="W112" s="926"/>
      <c r="X112" s="926"/>
      <c r="Y112" s="926"/>
      <c r="Z112" s="926"/>
      <c r="AA112" s="926"/>
      <c r="AB112" s="926"/>
      <c r="AC112" s="926"/>
      <c r="AD112" s="926"/>
      <c r="AE112" s="926"/>
      <c r="AF112" s="926"/>
      <c r="AG112" s="926"/>
      <c r="AH112" s="926"/>
      <c r="AI112" s="926"/>
      <c r="AJ112" s="926"/>
    </row>
    <row r="113" spans="1:36" ht="15" customHeight="1" x14ac:dyDescent="0.3">
      <c r="A113" s="926"/>
      <c r="B113" s="609"/>
      <c r="C113" s="962"/>
      <c r="D113" s="40"/>
      <c r="E113" s="2500" t="s">
        <v>203</v>
      </c>
      <c r="F113" s="2410"/>
      <c r="G113" s="2398" t="str">
        <f>BH253</f>
        <v>lb/head/day</v>
      </c>
      <c r="H113" s="2398"/>
      <c r="I113" s="2503">
        <f>BF253</f>
        <v>5.1589271619309998E-2</v>
      </c>
      <c r="J113" s="2503"/>
      <c r="K113" s="2506"/>
      <c r="L113" s="2506"/>
      <c r="M113" s="2503">
        <f>BJ253</f>
        <v>3.5000000000000003E-2</v>
      </c>
      <c r="N113" s="2503"/>
      <c r="O113" s="2503">
        <f>BK253</f>
        <v>6.9000000000000006E-2</v>
      </c>
      <c r="P113" s="2503"/>
      <c r="Q113" s="2398" t="str">
        <f>BO253</f>
        <v>Using default</v>
      </c>
      <c r="R113" s="2511"/>
      <c r="S113" s="40"/>
      <c r="T113" s="963"/>
      <c r="U113" s="609"/>
      <c r="V113" s="926"/>
      <c r="W113" s="926"/>
      <c r="X113" s="926"/>
      <c r="Y113" s="926"/>
      <c r="Z113" s="926"/>
      <c r="AA113" s="926"/>
      <c r="AB113" s="926"/>
      <c r="AC113" s="926"/>
      <c r="AD113" s="926"/>
      <c r="AE113" s="926"/>
      <c r="AF113" s="926"/>
      <c r="AG113" s="926"/>
      <c r="AH113" s="926"/>
      <c r="AI113" s="926"/>
      <c r="AJ113" s="926"/>
    </row>
    <row r="114" spans="1:36" ht="15" customHeight="1" x14ac:dyDescent="0.3">
      <c r="A114" s="926"/>
      <c r="B114" s="609"/>
      <c r="C114" s="962"/>
      <c r="D114" s="40"/>
      <c r="E114" s="2500"/>
      <c r="F114" s="2410"/>
      <c r="G114" s="2509"/>
      <c r="H114" s="2509"/>
      <c r="I114" s="2504"/>
      <c r="J114" s="2504"/>
      <c r="K114" s="2507"/>
      <c r="L114" s="2507"/>
      <c r="M114" s="2504"/>
      <c r="N114" s="2504"/>
      <c r="O114" s="2504"/>
      <c r="P114" s="2504"/>
      <c r="Q114" s="2509"/>
      <c r="R114" s="2512"/>
      <c r="S114" s="1004"/>
      <c r="T114" s="963"/>
      <c r="U114" s="609"/>
      <c r="V114" s="926"/>
      <c r="W114" s="926"/>
      <c r="X114" s="926"/>
      <c r="Y114" s="926"/>
      <c r="Z114" s="926"/>
      <c r="AA114" s="926"/>
      <c r="AB114" s="926"/>
      <c r="AC114" s="926"/>
      <c r="AD114" s="926"/>
      <c r="AE114" s="926"/>
      <c r="AF114" s="926"/>
      <c r="AG114" s="926"/>
      <c r="AH114" s="926"/>
      <c r="AI114" s="926"/>
      <c r="AJ114" s="926"/>
    </row>
    <row r="115" spans="1:36" ht="15" customHeight="1" thickBot="1" x14ac:dyDescent="0.35">
      <c r="A115" s="926"/>
      <c r="B115" s="609"/>
      <c r="C115" s="962"/>
      <c r="D115" s="40"/>
      <c r="E115" s="2501"/>
      <c r="F115" s="2502"/>
      <c r="G115" s="2510"/>
      <c r="H115" s="2510"/>
      <c r="I115" s="2505"/>
      <c r="J115" s="2505"/>
      <c r="K115" s="2508"/>
      <c r="L115" s="2508"/>
      <c r="M115" s="2505"/>
      <c r="N115" s="2505"/>
      <c r="O115" s="2505"/>
      <c r="P115" s="2505"/>
      <c r="Q115" s="2510"/>
      <c r="R115" s="2513"/>
      <c r="S115" s="40"/>
      <c r="T115" s="963"/>
      <c r="U115" s="609"/>
      <c r="V115" s="926"/>
      <c r="W115" s="926"/>
      <c r="X115" s="926"/>
      <c r="Y115" s="926"/>
      <c r="Z115" s="926"/>
      <c r="AA115" s="926"/>
      <c r="AB115" s="926"/>
      <c r="AC115" s="926"/>
      <c r="AD115" s="926"/>
      <c r="AE115" s="926"/>
      <c r="AF115" s="926"/>
      <c r="AG115" s="926"/>
      <c r="AH115" s="926"/>
      <c r="AI115" s="926"/>
      <c r="AJ115" s="926"/>
    </row>
    <row r="116" spans="1:36" ht="15" customHeight="1" thickBot="1" x14ac:dyDescent="0.35">
      <c r="A116" s="926"/>
      <c r="B116" s="609"/>
      <c r="C116" s="962"/>
      <c r="D116" s="40"/>
      <c r="E116" s="40"/>
      <c r="F116" s="40"/>
      <c r="G116" s="40"/>
      <c r="H116" s="40"/>
      <c r="I116" s="40"/>
      <c r="J116" s="40"/>
      <c r="K116" s="40"/>
      <c r="L116" s="40"/>
      <c r="M116" s="40"/>
      <c r="N116" s="40"/>
      <c r="O116" s="40"/>
      <c r="P116" s="40"/>
      <c r="Q116" s="40"/>
      <c r="R116" s="40"/>
      <c r="S116" s="40"/>
      <c r="T116" s="963"/>
      <c r="U116" s="609"/>
      <c r="V116" s="926"/>
      <c r="W116" s="926"/>
      <c r="X116" s="926"/>
      <c r="Y116" s="926"/>
      <c r="Z116" s="926"/>
      <c r="AA116" s="926"/>
      <c r="AB116" s="926"/>
      <c r="AC116" s="926"/>
      <c r="AD116" s="926"/>
      <c r="AE116" s="926"/>
      <c r="AF116" s="926"/>
      <c r="AG116" s="926"/>
      <c r="AH116" s="926"/>
      <c r="AI116" s="926"/>
      <c r="AJ116" s="926"/>
    </row>
    <row r="117" spans="1:36" ht="15" customHeight="1" x14ac:dyDescent="0.3">
      <c r="A117" s="926"/>
      <c r="B117" s="609"/>
      <c r="C117" s="962"/>
      <c r="D117" s="40"/>
      <c r="E117" s="2520" t="s">
        <v>205</v>
      </c>
      <c r="F117" s="2521"/>
      <c r="G117" s="2521"/>
      <c r="H117" s="2521"/>
      <c r="I117" s="2521"/>
      <c r="J117" s="2521"/>
      <c r="K117" s="2521"/>
      <c r="L117" s="2521"/>
      <c r="M117" s="2521"/>
      <c r="N117" s="2521"/>
      <c r="O117" s="2521"/>
      <c r="P117" s="2521"/>
      <c r="Q117" s="2521"/>
      <c r="R117" s="2522"/>
      <c r="S117" s="40"/>
      <c r="T117" s="963"/>
      <c r="U117" s="609"/>
      <c r="V117" s="926"/>
      <c r="W117" s="926"/>
      <c r="X117" s="926"/>
      <c r="Y117" s="926"/>
      <c r="Z117" s="926"/>
      <c r="AA117" s="926"/>
      <c r="AB117" s="926"/>
      <c r="AC117" s="926"/>
      <c r="AD117" s="926"/>
      <c r="AE117" s="926"/>
      <c r="AF117" s="926"/>
      <c r="AG117" s="926"/>
      <c r="AH117" s="926"/>
      <c r="AI117" s="926"/>
      <c r="AJ117" s="926"/>
    </row>
    <row r="118" spans="1:36" ht="15" customHeight="1" x14ac:dyDescent="0.3">
      <c r="A118" s="926"/>
      <c r="B118" s="609"/>
      <c r="C118" s="962"/>
      <c r="D118" s="40"/>
      <c r="E118" s="2523"/>
      <c r="F118" s="2524"/>
      <c r="G118" s="2524"/>
      <c r="H118" s="2524"/>
      <c r="I118" s="2524"/>
      <c r="J118" s="2524"/>
      <c r="K118" s="2524"/>
      <c r="L118" s="2524"/>
      <c r="M118" s="2524"/>
      <c r="N118" s="2524"/>
      <c r="O118" s="2524"/>
      <c r="P118" s="2524"/>
      <c r="Q118" s="2524"/>
      <c r="R118" s="2525"/>
      <c r="S118" s="40"/>
      <c r="T118" s="963"/>
      <c r="U118" s="609"/>
      <c r="V118" s="926"/>
      <c r="W118" s="926"/>
      <c r="X118" s="926"/>
      <c r="Y118" s="926"/>
      <c r="Z118" s="926"/>
      <c r="AA118" s="926"/>
      <c r="AB118" s="926"/>
      <c r="AC118" s="926"/>
      <c r="AD118" s="926"/>
      <c r="AE118" s="926"/>
      <c r="AF118" s="926"/>
      <c r="AG118" s="926"/>
      <c r="AH118" s="926"/>
      <c r="AI118" s="926"/>
      <c r="AJ118" s="926"/>
    </row>
    <row r="119" spans="1:36" ht="15" customHeight="1" x14ac:dyDescent="0.3">
      <c r="A119" s="926"/>
      <c r="B119" s="609"/>
      <c r="C119" s="962"/>
      <c r="D119" s="40"/>
      <c r="E119" s="2523"/>
      <c r="F119" s="2524"/>
      <c r="G119" s="2524"/>
      <c r="H119" s="2524"/>
      <c r="I119" s="2524"/>
      <c r="J119" s="2524"/>
      <c r="K119" s="2524"/>
      <c r="L119" s="2524"/>
      <c r="M119" s="2524"/>
      <c r="N119" s="2524"/>
      <c r="O119" s="2524"/>
      <c r="P119" s="2524"/>
      <c r="Q119" s="2524"/>
      <c r="R119" s="2525"/>
      <c r="S119" s="40"/>
      <c r="T119" s="963"/>
      <c r="U119" s="609"/>
      <c r="V119" s="926"/>
      <c r="W119" s="926"/>
      <c r="X119" s="926"/>
      <c r="Y119" s="926"/>
      <c r="Z119" s="926"/>
      <c r="AA119" s="926"/>
      <c r="AB119" s="926"/>
      <c r="AC119" s="926"/>
      <c r="AD119" s="926"/>
      <c r="AE119" s="926"/>
      <c r="AF119" s="926"/>
      <c r="AG119" s="926"/>
      <c r="AH119" s="926"/>
      <c r="AI119" s="926"/>
      <c r="AJ119" s="926"/>
    </row>
    <row r="120" spans="1:36" ht="15" customHeight="1" thickBot="1" x14ac:dyDescent="0.35">
      <c r="A120" s="926"/>
      <c r="B120" s="609"/>
      <c r="C120" s="962"/>
      <c r="D120" s="40"/>
      <c r="E120" s="2526"/>
      <c r="F120" s="2527"/>
      <c r="G120" s="2527"/>
      <c r="H120" s="2527"/>
      <c r="I120" s="2527"/>
      <c r="J120" s="2527"/>
      <c r="K120" s="2527"/>
      <c r="L120" s="2527"/>
      <c r="M120" s="2527"/>
      <c r="N120" s="2527"/>
      <c r="O120" s="2527"/>
      <c r="P120" s="2527"/>
      <c r="Q120" s="2527"/>
      <c r="R120" s="2528"/>
      <c r="S120" s="40"/>
      <c r="T120" s="963"/>
      <c r="U120" s="609"/>
      <c r="V120" s="926"/>
      <c r="W120" s="926"/>
      <c r="X120" s="926"/>
      <c r="Y120" s="926"/>
      <c r="Z120" s="926"/>
      <c r="AA120" s="926"/>
      <c r="AB120" s="926"/>
      <c r="AC120" s="926"/>
      <c r="AD120" s="926"/>
      <c r="AE120" s="926"/>
      <c r="AF120" s="926"/>
      <c r="AG120" s="926"/>
      <c r="AH120" s="926"/>
      <c r="AI120" s="926"/>
      <c r="AJ120" s="926"/>
    </row>
    <row r="121" spans="1:36" ht="15" customHeight="1" thickBot="1" x14ac:dyDescent="0.35">
      <c r="A121" s="926"/>
      <c r="B121" s="609"/>
      <c r="C121" s="962"/>
      <c r="D121" s="40"/>
      <c r="E121" s="2529" t="s">
        <v>196</v>
      </c>
      <c r="F121" s="2530"/>
      <c r="G121" s="2531" t="s">
        <v>38</v>
      </c>
      <c r="H121" s="2531"/>
      <c r="I121" s="2531" t="s">
        <v>39</v>
      </c>
      <c r="J121" s="2531"/>
      <c r="K121" s="2531" t="s">
        <v>197</v>
      </c>
      <c r="L121" s="2531"/>
      <c r="M121" s="2531" t="s">
        <v>41</v>
      </c>
      <c r="N121" s="2531"/>
      <c r="O121" s="2531" t="s">
        <v>42</v>
      </c>
      <c r="P121" s="2531"/>
      <c r="Q121" s="2531" t="s">
        <v>43</v>
      </c>
      <c r="R121" s="2532"/>
      <c r="S121" s="40"/>
      <c r="T121" s="963"/>
      <c r="U121" s="609"/>
      <c r="V121" s="926"/>
      <c r="W121" s="926"/>
      <c r="X121" s="926"/>
      <c r="Y121" s="926"/>
      <c r="Z121" s="926"/>
      <c r="AA121" s="926"/>
      <c r="AB121" s="926"/>
      <c r="AC121" s="926"/>
      <c r="AD121" s="926"/>
      <c r="AE121" s="926"/>
      <c r="AF121" s="926"/>
      <c r="AG121" s="926"/>
      <c r="AH121" s="926"/>
      <c r="AI121" s="926"/>
      <c r="AJ121" s="926"/>
    </row>
    <row r="122" spans="1:36" ht="15" customHeight="1" x14ac:dyDescent="0.3">
      <c r="A122" s="926"/>
      <c r="B122" s="609"/>
      <c r="C122" s="962"/>
      <c r="D122" s="40"/>
      <c r="E122" s="2517" t="s">
        <v>198</v>
      </c>
      <c r="F122" s="2518"/>
      <c r="G122" s="2515" t="str">
        <f>G74</f>
        <v>lb/head/day</v>
      </c>
      <c r="H122" s="2515"/>
      <c r="I122" s="2514">
        <f>BF254</f>
        <v>13.803583148343998</v>
      </c>
      <c r="J122" s="2514"/>
      <c r="K122" s="2519"/>
      <c r="L122" s="2519"/>
      <c r="M122" s="2514">
        <f>BJ254</f>
        <v>9.66</v>
      </c>
      <c r="N122" s="2514"/>
      <c r="O122" s="2514">
        <f>BK254</f>
        <v>17.946000000000002</v>
      </c>
      <c r="P122" s="2514"/>
      <c r="Q122" s="2515" t="str">
        <f>BO254</f>
        <v>Using default</v>
      </c>
      <c r="R122" s="2516"/>
      <c r="S122" s="40"/>
      <c r="T122" s="963"/>
      <c r="U122" s="609"/>
      <c r="V122" s="926"/>
      <c r="W122" s="926"/>
      <c r="X122" s="926"/>
      <c r="Y122" s="926"/>
      <c r="Z122" s="926"/>
      <c r="AA122" s="926"/>
      <c r="AB122" s="926"/>
      <c r="AC122" s="926"/>
      <c r="AD122" s="926"/>
      <c r="AE122" s="926"/>
      <c r="AF122" s="926"/>
      <c r="AG122" s="926"/>
      <c r="AH122" s="926"/>
      <c r="AI122" s="926"/>
      <c r="AJ122" s="926"/>
    </row>
    <row r="123" spans="1:36" ht="15" customHeight="1" x14ac:dyDescent="0.3">
      <c r="A123" s="926"/>
      <c r="B123" s="609"/>
      <c r="C123" s="962"/>
      <c r="D123" s="40"/>
      <c r="E123" s="2500"/>
      <c r="F123" s="2410"/>
      <c r="G123" s="2398"/>
      <c r="H123" s="2398"/>
      <c r="I123" s="2503"/>
      <c r="J123" s="2503"/>
      <c r="K123" s="2506"/>
      <c r="L123" s="2506"/>
      <c r="M123" s="2503"/>
      <c r="N123" s="2503"/>
      <c r="O123" s="2503"/>
      <c r="P123" s="2503"/>
      <c r="Q123" s="2398"/>
      <c r="R123" s="2511"/>
      <c r="S123" s="40"/>
      <c r="T123" s="963"/>
      <c r="U123" s="609"/>
      <c r="V123" s="926"/>
      <c r="W123" s="926"/>
      <c r="X123" s="926"/>
      <c r="Y123" s="926"/>
      <c r="Z123" s="926"/>
      <c r="AA123" s="926"/>
      <c r="AB123" s="926"/>
      <c r="AC123" s="926"/>
      <c r="AD123" s="926"/>
      <c r="AE123" s="926"/>
      <c r="AF123" s="926"/>
      <c r="AG123" s="926"/>
      <c r="AH123" s="926"/>
      <c r="AI123" s="926"/>
      <c r="AJ123" s="926"/>
    </row>
    <row r="124" spans="1:36" ht="15" customHeight="1" x14ac:dyDescent="0.3">
      <c r="A124" s="926"/>
      <c r="B124" s="609"/>
      <c r="C124" s="962"/>
      <c r="D124" s="40"/>
      <c r="E124" s="2500"/>
      <c r="F124" s="2410"/>
      <c r="G124" s="2398"/>
      <c r="H124" s="2398"/>
      <c r="I124" s="2503"/>
      <c r="J124" s="2503"/>
      <c r="K124" s="2506"/>
      <c r="L124" s="2506"/>
      <c r="M124" s="2503"/>
      <c r="N124" s="2503"/>
      <c r="O124" s="2503"/>
      <c r="P124" s="2503"/>
      <c r="Q124" s="2398"/>
      <c r="R124" s="2511"/>
      <c r="S124" s="40"/>
      <c r="T124" s="963"/>
      <c r="U124" s="609"/>
      <c r="V124" s="926"/>
      <c r="W124" s="926"/>
      <c r="X124" s="926"/>
      <c r="Y124" s="926"/>
      <c r="Z124" s="926"/>
      <c r="AA124" s="926"/>
      <c r="AB124" s="926"/>
      <c r="AC124" s="926"/>
      <c r="AD124" s="926"/>
      <c r="AE124" s="926"/>
      <c r="AF124" s="926"/>
      <c r="AG124" s="926"/>
      <c r="AH124" s="926"/>
      <c r="AI124" s="926"/>
      <c r="AJ124" s="926"/>
    </row>
    <row r="125" spans="1:36" ht="15" customHeight="1" x14ac:dyDescent="0.3">
      <c r="A125" s="926"/>
      <c r="B125" s="609"/>
      <c r="C125" s="962"/>
      <c r="D125" s="40"/>
      <c r="E125" s="2500" t="s">
        <v>199</v>
      </c>
      <c r="F125" s="2410"/>
      <c r="G125" s="2398" t="str">
        <f>G77</f>
        <v>lb/head/day</v>
      </c>
      <c r="H125" s="2398"/>
      <c r="I125" s="2503">
        <f>BF255</f>
        <v>1.4918681269539997</v>
      </c>
      <c r="J125" s="2503"/>
      <c r="K125" s="2506"/>
      <c r="L125" s="2506"/>
      <c r="M125" s="2503">
        <f>BJ255</f>
        <v>1.042</v>
      </c>
      <c r="N125" s="2503"/>
      <c r="O125" s="2503">
        <f>BK255</f>
        <v>1.9409999999999998</v>
      </c>
      <c r="P125" s="2503"/>
      <c r="Q125" s="2398" t="str">
        <f>BO255</f>
        <v>Using default</v>
      </c>
      <c r="R125" s="2511"/>
      <c r="S125" s="40"/>
      <c r="T125" s="963"/>
      <c r="U125" s="609"/>
      <c r="V125" s="926"/>
      <c r="W125" s="926"/>
      <c r="X125" s="926"/>
      <c r="Y125" s="926"/>
      <c r="Z125" s="926"/>
      <c r="AA125" s="926"/>
      <c r="AB125" s="926"/>
      <c r="AC125" s="926"/>
      <c r="AD125" s="926"/>
      <c r="AE125" s="926"/>
      <c r="AF125" s="926"/>
      <c r="AG125" s="926"/>
      <c r="AH125" s="926"/>
      <c r="AI125" s="926"/>
      <c r="AJ125" s="926"/>
    </row>
    <row r="126" spans="1:36" ht="15" customHeight="1" x14ac:dyDescent="0.3">
      <c r="A126" s="926"/>
      <c r="B126" s="609"/>
      <c r="C126" s="962"/>
      <c r="D126" s="40"/>
      <c r="E126" s="2500"/>
      <c r="F126" s="2410"/>
      <c r="G126" s="2398"/>
      <c r="H126" s="2398"/>
      <c r="I126" s="2503"/>
      <c r="J126" s="2503"/>
      <c r="K126" s="2506"/>
      <c r="L126" s="2506"/>
      <c r="M126" s="2503"/>
      <c r="N126" s="2503"/>
      <c r="O126" s="2503"/>
      <c r="P126" s="2503"/>
      <c r="Q126" s="2398"/>
      <c r="R126" s="2511"/>
      <c r="S126" s="40"/>
      <c r="T126" s="963"/>
      <c r="U126" s="609"/>
      <c r="V126" s="926"/>
      <c r="W126" s="926"/>
      <c r="X126" s="926"/>
      <c r="Y126" s="926"/>
      <c r="Z126" s="926"/>
      <c r="AA126" s="926"/>
      <c r="AB126" s="926"/>
      <c r="AC126" s="926"/>
      <c r="AD126" s="926"/>
      <c r="AE126" s="926"/>
      <c r="AF126" s="926"/>
      <c r="AG126" s="926"/>
      <c r="AH126" s="926"/>
      <c r="AI126" s="926"/>
      <c r="AJ126" s="926"/>
    </row>
    <row r="127" spans="1:36" ht="15" customHeight="1" x14ac:dyDescent="0.3">
      <c r="A127" s="926"/>
      <c r="B127" s="609"/>
      <c r="C127" s="962"/>
      <c r="D127" s="40"/>
      <c r="E127" s="2500"/>
      <c r="F127" s="2410"/>
      <c r="G127" s="2398"/>
      <c r="H127" s="2398"/>
      <c r="I127" s="2503"/>
      <c r="J127" s="2503"/>
      <c r="K127" s="2506"/>
      <c r="L127" s="2506"/>
      <c r="M127" s="2503"/>
      <c r="N127" s="2503"/>
      <c r="O127" s="2503"/>
      <c r="P127" s="2503"/>
      <c r="Q127" s="2398"/>
      <c r="R127" s="2511"/>
      <c r="S127" s="40"/>
      <c r="T127" s="963"/>
      <c r="U127" s="609"/>
      <c r="V127" s="926"/>
      <c r="W127" s="926"/>
      <c r="X127" s="926"/>
      <c r="Y127" s="926"/>
      <c r="Z127" s="926"/>
      <c r="AA127" s="926"/>
      <c r="AB127" s="926"/>
      <c r="AC127" s="926"/>
      <c r="AD127" s="926"/>
      <c r="AE127" s="926"/>
      <c r="AF127" s="926"/>
      <c r="AG127" s="926"/>
      <c r="AH127" s="926"/>
      <c r="AI127" s="926"/>
      <c r="AJ127" s="926"/>
    </row>
    <row r="128" spans="1:36" ht="15" customHeight="1" x14ac:dyDescent="0.3">
      <c r="A128" s="926"/>
      <c r="B128" s="609"/>
      <c r="C128" s="962"/>
      <c r="D128" s="40"/>
      <c r="E128" s="2500" t="s">
        <v>200</v>
      </c>
      <c r="F128" s="2410"/>
      <c r="G128" s="2398" t="str">
        <f>G80</f>
        <v>lb/head/day</v>
      </c>
      <c r="H128" s="2398"/>
      <c r="I128" s="2503">
        <f>BF256</f>
        <v>1.2348091294620001</v>
      </c>
      <c r="J128" s="2503"/>
      <c r="K128" s="2506"/>
      <c r="L128" s="2506"/>
      <c r="M128" s="2503">
        <f>BJ256</f>
        <v>0.86399999999999999</v>
      </c>
      <c r="N128" s="2503"/>
      <c r="O128" s="2503">
        <f>BK256</f>
        <v>1.6079999999999999</v>
      </c>
      <c r="P128" s="2503"/>
      <c r="Q128" s="2398" t="str">
        <f>BO256</f>
        <v>Using default</v>
      </c>
      <c r="R128" s="2511"/>
      <c r="S128" s="40"/>
      <c r="T128" s="963"/>
      <c r="U128" s="609"/>
      <c r="V128" s="926"/>
      <c r="W128" s="926"/>
      <c r="X128" s="926"/>
      <c r="Y128" s="926"/>
      <c r="Z128" s="926"/>
      <c r="AA128" s="926"/>
      <c r="AB128" s="926"/>
      <c r="AC128" s="926"/>
      <c r="AD128" s="926"/>
      <c r="AE128" s="926"/>
      <c r="AF128" s="926"/>
      <c r="AG128" s="926"/>
      <c r="AH128" s="926"/>
      <c r="AI128" s="926"/>
      <c r="AJ128" s="926"/>
    </row>
    <row r="129" spans="1:36" ht="15" customHeight="1" x14ac:dyDescent="0.3">
      <c r="A129" s="926"/>
      <c r="B129" s="609"/>
      <c r="C129" s="962"/>
      <c r="D129" s="40"/>
      <c r="E129" s="2500"/>
      <c r="F129" s="2410"/>
      <c r="G129" s="2398"/>
      <c r="H129" s="2398"/>
      <c r="I129" s="2503"/>
      <c r="J129" s="2503"/>
      <c r="K129" s="2506"/>
      <c r="L129" s="2506"/>
      <c r="M129" s="2503"/>
      <c r="N129" s="2503"/>
      <c r="O129" s="2503"/>
      <c r="P129" s="2503"/>
      <c r="Q129" s="2398"/>
      <c r="R129" s="2511"/>
      <c r="S129" s="40"/>
      <c r="T129" s="963"/>
      <c r="U129" s="609"/>
      <c r="V129" s="926"/>
      <c r="W129" s="926"/>
      <c r="X129" s="926"/>
      <c r="Y129" s="926"/>
      <c r="Z129" s="926"/>
      <c r="AA129" s="926"/>
      <c r="AB129" s="926"/>
      <c r="AC129" s="926"/>
      <c r="AD129" s="926"/>
      <c r="AE129" s="926"/>
      <c r="AF129" s="926"/>
      <c r="AG129" s="926"/>
      <c r="AH129" s="926"/>
      <c r="AI129" s="926"/>
      <c r="AJ129" s="926"/>
    </row>
    <row r="130" spans="1:36" ht="15" customHeight="1" x14ac:dyDescent="0.3">
      <c r="A130" s="926"/>
      <c r="B130" s="609"/>
      <c r="C130" s="962"/>
      <c r="D130" s="40"/>
      <c r="E130" s="2500"/>
      <c r="F130" s="2410"/>
      <c r="G130" s="2398"/>
      <c r="H130" s="2398"/>
      <c r="I130" s="2503"/>
      <c r="J130" s="2503"/>
      <c r="K130" s="2506"/>
      <c r="L130" s="2506"/>
      <c r="M130" s="2503"/>
      <c r="N130" s="2503"/>
      <c r="O130" s="2503"/>
      <c r="P130" s="2503"/>
      <c r="Q130" s="2398"/>
      <c r="R130" s="2511"/>
      <c r="S130" s="40"/>
      <c r="T130" s="963"/>
      <c r="U130" s="609"/>
      <c r="V130" s="926"/>
      <c r="W130" s="926"/>
      <c r="X130" s="926"/>
      <c r="Y130" s="926"/>
      <c r="Z130" s="926"/>
      <c r="AA130" s="926"/>
      <c r="AB130" s="926"/>
      <c r="AC130" s="926"/>
      <c r="AD130" s="926"/>
      <c r="AE130" s="926"/>
      <c r="AF130" s="926"/>
      <c r="AG130" s="926"/>
      <c r="AH130" s="926"/>
      <c r="AI130" s="926"/>
      <c r="AJ130" s="926"/>
    </row>
    <row r="131" spans="1:36" ht="15" customHeight="1" x14ac:dyDescent="0.3">
      <c r="A131" s="926"/>
      <c r="B131" s="609"/>
      <c r="C131" s="962"/>
      <c r="D131" s="40"/>
      <c r="E131" s="2500" t="s">
        <v>201</v>
      </c>
      <c r="F131" s="2410"/>
      <c r="G131" s="2398" t="str">
        <f>G83</f>
        <v>lb/head/day</v>
      </c>
      <c r="H131" s="2398"/>
      <c r="I131" s="2503">
        <f>BF257</f>
        <v>0.19025893210599995</v>
      </c>
      <c r="J131" s="2503"/>
      <c r="K131" s="2506"/>
      <c r="L131" s="2506"/>
      <c r="M131" s="2503">
        <f>BJ257</f>
        <v>0.13200000000000001</v>
      </c>
      <c r="N131" s="2503"/>
      <c r="O131" s="2503">
        <f>BK257</f>
        <v>0.25</v>
      </c>
      <c r="P131" s="2503"/>
      <c r="Q131" s="2398" t="str">
        <f>BO257</f>
        <v>Using default</v>
      </c>
      <c r="R131" s="2511"/>
      <c r="S131" s="40"/>
      <c r="T131" s="963"/>
      <c r="U131" s="609"/>
      <c r="V131" s="926"/>
      <c r="W131" s="926"/>
      <c r="X131" s="926"/>
      <c r="Y131" s="926"/>
      <c r="Z131" s="926"/>
      <c r="AA131" s="926"/>
      <c r="AB131" s="926"/>
      <c r="AC131" s="926"/>
      <c r="AD131" s="926"/>
      <c r="AE131" s="926"/>
      <c r="AF131" s="926"/>
      <c r="AG131" s="926"/>
      <c r="AH131" s="926"/>
      <c r="AI131" s="926"/>
      <c r="AJ131" s="926"/>
    </row>
    <row r="132" spans="1:36" ht="15" customHeight="1" x14ac:dyDescent="0.3">
      <c r="A132" s="926"/>
      <c r="B132" s="609"/>
      <c r="C132" s="962"/>
      <c r="D132" s="40"/>
      <c r="E132" s="2500"/>
      <c r="F132" s="2410"/>
      <c r="G132" s="2398"/>
      <c r="H132" s="2398"/>
      <c r="I132" s="2503"/>
      <c r="J132" s="2503"/>
      <c r="K132" s="2506"/>
      <c r="L132" s="2506"/>
      <c r="M132" s="2503"/>
      <c r="N132" s="2503"/>
      <c r="O132" s="2503"/>
      <c r="P132" s="2503"/>
      <c r="Q132" s="2398"/>
      <c r="R132" s="2511"/>
      <c r="S132" s="40"/>
      <c r="T132" s="963"/>
      <c r="U132" s="609"/>
      <c r="V132" s="926"/>
      <c r="W132" s="926"/>
      <c r="X132" s="926"/>
      <c r="Y132" s="926"/>
      <c r="Z132" s="926"/>
      <c r="AA132" s="926"/>
      <c r="AB132" s="926"/>
      <c r="AC132" s="926"/>
      <c r="AD132" s="926"/>
      <c r="AE132" s="926"/>
      <c r="AF132" s="926"/>
      <c r="AG132" s="926"/>
      <c r="AH132" s="926"/>
      <c r="AI132" s="926"/>
      <c r="AJ132" s="926"/>
    </row>
    <row r="133" spans="1:36" ht="15" customHeight="1" x14ac:dyDescent="0.3">
      <c r="A133" s="926"/>
      <c r="B133" s="609"/>
      <c r="C133" s="962"/>
      <c r="D133" s="40"/>
      <c r="E133" s="2500"/>
      <c r="F133" s="2410"/>
      <c r="G133" s="2398"/>
      <c r="H133" s="2398"/>
      <c r="I133" s="2503"/>
      <c r="J133" s="2503"/>
      <c r="K133" s="2506"/>
      <c r="L133" s="2506"/>
      <c r="M133" s="2503"/>
      <c r="N133" s="2503"/>
      <c r="O133" s="2503"/>
      <c r="P133" s="2503"/>
      <c r="Q133" s="2398"/>
      <c r="R133" s="2511"/>
      <c r="S133" s="40"/>
      <c r="T133" s="963"/>
      <c r="U133" s="609"/>
      <c r="V133" s="926"/>
      <c r="W133" s="926"/>
      <c r="X133" s="926"/>
      <c r="Y133" s="926"/>
      <c r="Z133" s="926"/>
      <c r="AA133" s="926"/>
      <c r="AB133" s="926"/>
      <c r="AC133" s="926"/>
      <c r="AD133" s="926"/>
      <c r="AE133" s="926"/>
      <c r="AF133" s="926"/>
      <c r="AG133" s="926"/>
      <c r="AH133" s="926"/>
      <c r="AI133" s="926"/>
      <c r="AJ133" s="926"/>
    </row>
    <row r="134" spans="1:36" ht="15" customHeight="1" x14ac:dyDescent="0.3">
      <c r="A134" s="926"/>
      <c r="B134" s="609"/>
      <c r="C134" s="962"/>
      <c r="D134" s="40"/>
      <c r="E134" s="2500" t="s">
        <v>202</v>
      </c>
      <c r="F134" s="2410"/>
      <c r="G134" s="2398" t="str">
        <f>G86</f>
        <v>lb/head/day</v>
      </c>
      <c r="H134" s="2398"/>
      <c r="I134" s="2503">
        <f>BF258</f>
        <v>5.4895103238000002E-2</v>
      </c>
      <c r="J134" s="2503"/>
      <c r="K134" s="2506"/>
      <c r="L134" s="2506"/>
      <c r="M134" s="2503">
        <f>BJ258</f>
        <v>3.6999999999999998E-2</v>
      </c>
      <c r="N134" s="2503"/>
      <c r="O134" s="2503">
        <f>BK258</f>
        <v>7.2999999999999995E-2</v>
      </c>
      <c r="P134" s="2503"/>
      <c r="Q134" s="2398" t="str">
        <f>BO258</f>
        <v>Using default</v>
      </c>
      <c r="R134" s="2511"/>
      <c r="S134" s="40"/>
      <c r="T134" s="963"/>
      <c r="U134" s="609"/>
      <c r="V134" s="926"/>
      <c r="W134" s="926"/>
      <c r="X134" s="926"/>
      <c r="Y134" s="926"/>
      <c r="Z134" s="926"/>
      <c r="AA134" s="926"/>
      <c r="AB134" s="926"/>
      <c r="AC134" s="926"/>
      <c r="AD134" s="926"/>
      <c r="AE134" s="926"/>
      <c r="AF134" s="926"/>
      <c r="AG134" s="926"/>
      <c r="AH134" s="926"/>
      <c r="AI134" s="926"/>
      <c r="AJ134" s="926"/>
    </row>
    <row r="135" spans="1:36" ht="15" customHeight="1" x14ac:dyDescent="0.3">
      <c r="A135" s="926"/>
      <c r="B135" s="609"/>
      <c r="C135" s="962"/>
      <c r="D135" s="40"/>
      <c r="E135" s="2500"/>
      <c r="F135" s="2410"/>
      <c r="G135" s="2398"/>
      <c r="H135" s="2398"/>
      <c r="I135" s="2503"/>
      <c r="J135" s="2503"/>
      <c r="K135" s="2506"/>
      <c r="L135" s="2506"/>
      <c r="M135" s="2503"/>
      <c r="N135" s="2503"/>
      <c r="O135" s="2503"/>
      <c r="P135" s="2503"/>
      <c r="Q135" s="2398"/>
      <c r="R135" s="2511"/>
      <c r="S135" s="40"/>
      <c r="T135" s="963"/>
      <c r="U135" s="609"/>
      <c r="V135" s="926"/>
      <c r="W135" s="926"/>
      <c r="X135" s="926"/>
      <c r="Y135" s="926"/>
      <c r="Z135" s="926"/>
      <c r="AA135" s="926"/>
      <c r="AB135" s="926"/>
      <c r="AC135" s="926"/>
      <c r="AD135" s="926"/>
      <c r="AE135" s="926"/>
      <c r="AF135" s="926"/>
      <c r="AG135" s="926"/>
      <c r="AH135" s="926"/>
      <c r="AI135" s="926"/>
      <c r="AJ135" s="926"/>
    </row>
    <row r="136" spans="1:36" ht="15" customHeight="1" x14ac:dyDescent="0.3">
      <c r="A136" s="926"/>
      <c r="B136" s="609"/>
      <c r="C136" s="962"/>
      <c r="D136" s="40"/>
      <c r="E136" s="2500"/>
      <c r="F136" s="2410"/>
      <c r="G136" s="2398"/>
      <c r="H136" s="2398"/>
      <c r="I136" s="2503"/>
      <c r="J136" s="2503"/>
      <c r="K136" s="2506"/>
      <c r="L136" s="2506"/>
      <c r="M136" s="2503"/>
      <c r="N136" s="2503"/>
      <c r="O136" s="2503"/>
      <c r="P136" s="2503"/>
      <c r="Q136" s="2398"/>
      <c r="R136" s="2511"/>
      <c r="S136" s="40"/>
      <c r="T136" s="963"/>
      <c r="U136" s="609"/>
      <c r="V136" s="926"/>
      <c r="W136" s="926"/>
      <c r="X136" s="926"/>
      <c r="Y136" s="926"/>
      <c r="Z136" s="926"/>
      <c r="AA136" s="926"/>
      <c r="AB136" s="926"/>
      <c r="AC136" s="926"/>
      <c r="AD136" s="926"/>
      <c r="AE136" s="926"/>
      <c r="AF136" s="926"/>
      <c r="AG136" s="926"/>
      <c r="AH136" s="926"/>
      <c r="AI136" s="926"/>
      <c r="AJ136" s="926"/>
    </row>
    <row r="137" spans="1:36" ht="15" customHeight="1" x14ac:dyDescent="0.3">
      <c r="A137" s="926"/>
      <c r="B137" s="609"/>
      <c r="C137" s="962"/>
      <c r="D137" s="40"/>
      <c r="E137" s="2500" t="s">
        <v>203</v>
      </c>
      <c r="F137" s="2410"/>
      <c r="G137" s="2398" t="str">
        <f>G89</f>
        <v>lb/head/day</v>
      </c>
      <c r="H137" s="2398"/>
      <c r="I137" s="2503">
        <f>BF259</f>
        <v>0.11133344231</v>
      </c>
      <c r="J137" s="2503"/>
      <c r="K137" s="2506"/>
      <c r="L137" s="2506"/>
      <c r="M137" s="2503">
        <f>BJ259</f>
        <v>7.6999999999999999E-2</v>
      </c>
      <c r="N137" s="2503"/>
      <c r="O137" s="2503">
        <f>BK259</f>
        <v>0.14599999999999999</v>
      </c>
      <c r="P137" s="2503"/>
      <c r="Q137" s="2398" t="str">
        <f>BO259</f>
        <v>Using default</v>
      </c>
      <c r="R137" s="2511"/>
      <c r="S137" s="40"/>
      <c r="T137" s="963"/>
      <c r="U137" s="609"/>
      <c r="V137" s="926"/>
      <c r="W137" s="926"/>
      <c r="X137" s="926"/>
      <c r="Y137" s="926"/>
      <c r="Z137" s="926"/>
      <c r="AA137" s="926"/>
      <c r="AB137" s="926"/>
      <c r="AC137" s="926"/>
      <c r="AD137" s="926"/>
      <c r="AE137" s="926"/>
      <c r="AF137" s="926"/>
      <c r="AG137" s="926"/>
      <c r="AH137" s="926"/>
      <c r="AI137" s="926"/>
      <c r="AJ137" s="926"/>
    </row>
    <row r="138" spans="1:36" ht="15" customHeight="1" x14ac:dyDescent="0.3">
      <c r="A138" s="926"/>
      <c r="B138" s="609"/>
      <c r="C138" s="962"/>
      <c r="D138" s="40"/>
      <c r="E138" s="2500"/>
      <c r="F138" s="2410"/>
      <c r="G138" s="2509"/>
      <c r="H138" s="2509"/>
      <c r="I138" s="2504"/>
      <c r="J138" s="2504"/>
      <c r="K138" s="2507"/>
      <c r="L138" s="2507"/>
      <c r="M138" s="2504"/>
      <c r="N138" s="2504"/>
      <c r="O138" s="2504"/>
      <c r="P138" s="2504"/>
      <c r="Q138" s="2509"/>
      <c r="R138" s="2512"/>
      <c r="S138" s="40"/>
      <c r="T138" s="963"/>
      <c r="U138" s="609"/>
      <c r="V138" s="926"/>
      <c r="W138" s="926"/>
      <c r="X138" s="926"/>
      <c r="Y138" s="926"/>
      <c r="Z138" s="926"/>
      <c r="AA138" s="926"/>
      <c r="AB138" s="926"/>
      <c r="AC138" s="926"/>
      <c r="AD138" s="926"/>
      <c r="AE138" s="926"/>
      <c r="AF138" s="926"/>
      <c r="AG138" s="926"/>
      <c r="AH138" s="926"/>
      <c r="AI138" s="926"/>
      <c r="AJ138" s="926"/>
    </row>
    <row r="139" spans="1:36" ht="15" customHeight="1" thickBot="1" x14ac:dyDescent="0.35">
      <c r="A139" s="926"/>
      <c r="B139" s="609"/>
      <c r="C139" s="962"/>
      <c r="D139" s="40"/>
      <c r="E139" s="2501"/>
      <c r="F139" s="2502"/>
      <c r="G139" s="2510"/>
      <c r="H139" s="2510"/>
      <c r="I139" s="2505"/>
      <c r="J139" s="2505"/>
      <c r="K139" s="2508"/>
      <c r="L139" s="2508"/>
      <c r="M139" s="2505"/>
      <c r="N139" s="2505"/>
      <c r="O139" s="2505"/>
      <c r="P139" s="2505"/>
      <c r="Q139" s="2510"/>
      <c r="R139" s="2513"/>
      <c r="S139" s="40"/>
      <c r="T139" s="963"/>
      <c r="U139" s="609"/>
      <c r="V139" s="926"/>
      <c r="W139" s="926"/>
      <c r="X139" s="926"/>
      <c r="Y139" s="926"/>
      <c r="Z139" s="926"/>
      <c r="AA139" s="926"/>
      <c r="AB139" s="926"/>
      <c r="AC139" s="926"/>
      <c r="AD139" s="926"/>
      <c r="AE139" s="926"/>
      <c r="AF139" s="926"/>
      <c r="AG139" s="926"/>
      <c r="AH139" s="926"/>
      <c r="AI139" s="926"/>
      <c r="AJ139" s="926"/>
    </row>
    <row r="140" spans="1:36" ht="15" customHeight="1" thickBot="1" x14ac:dyDescent="0.35">
      <c r="A140" s="926"/>
      <c r="B140" s="609"/>
      <c r="C140" s="962"/>
      <c r="D140" s="40"/>
      <c r="E140" s="40"/>
      <c r="F140" s="40"/>
      <c r="G140" s="40"/>
      <c r="H140" s="40"/>
      <c r="I140" s="40"/>
      <c r="J140" s="40"/>
      <c r="K140" s="40"/>
      <c r="L140" s="40"/>
      <c r="M140" s="40"/>
      <c r="N140" s="40"/>
      <c r="O140" s="40"/>
      <c r="P140" s="40"/>
      <c r="Q140" s="40"/>
      <c r="R140" s="40"/>
      <c r="S140" s="40"/>
      <c r="T140" s="963"/>
      <c r="U140" s="609"/>
      <c r="V140" s="926"/>
      <c r="W140" s="926"/>
      <c r="X140" s="926"/>
      <c r="Y140" s="926"/>
      <c r="Z140" s="926"/>
      <c r="AA140" s="926"/>
      <c r="AB140" s="926"/>
      <c r="AC140" s="926"/>
      <c r="AD140" s="926"/>
      <c r="AE140" s="926"/>
      <c r="AF140" s="926"/>
      <c r="AG140" s="926"/>
      <c r="AH140" s="926"/>
      <c r="AI140" s="926"/>
      <c r="AJ140" s="926"/>
    </row>
    <row r="141" spans="1:36" ht="15" customHeight="1" x14ac:dyDescent="0.3">
      <c r="A141" s="926"/>
      <c r="B141" s="609"/>
      <c r="C141" s="962"/>
      <c r="D141" s="40"/>
      <c r="E141" s="2520" t="s">
        <v>206</v>
      </c>
      <c r="F141" s="2521"/>
      <c r="G141" s="2521"/>
      <c r="H141" s="2521"/>
      <c r="I141" s="2521"/>
      <c r="J141" s="2521"/>
      <c r="K141" s="2521"/>
      <c r="L141" s="2521"/>
      <c r="M141" s="2521"/>
      <c r="N141" s="2521"/>
      <c r="O141" s="2521"/>
      <c r="P141" s="2521"/>
      <c r="Q141" s="2521"/>
      <c r="R141" s="2522"/>
      <c r="S141" s="40"/>
      <c r="T141" s="963"/>
      <c r="U141" s="609"/>
      <c r="V141" s="926"/>
      <c r="W141" s="926"/>
      <c r="X141" s="926"/>
      <c r="Y141" s="926"/>
      <c r="Z141" s="926"/>
      <c r="AA141" s="926"/>
      <c r="AB141" s="926"/>
      <c r="AC141" s="926"/>
      <c r="AD141" s="926"/>
      <c r="AE141" s="926"/>
      <c r="AF141" s="926"/>
      <c r="AG141" s="926"/>
      <c r="AH141" s="926"/>
      <c r="AI141" s="926"/>
      <c r="AJ141" s="926"/>
    </row>
    <row r="142" spans="1:36" ht="15" customHeight="1" x14ac:dyDescent="0.3">
      <c r="A142" s="926"/>
      <c r="B142" s="609"/>
      <c r="C142" s="962"/>
      <c r="D142" s="40"/>
      <c r="E142" s="2523"/>
      <c r="F142" s="2524"/>
      <c r="G142" s="2524"/>
      <c r="H142" s="2524"/>
      <c r="I142" s="2524"/>
      <c r="J142" s="2524"/>
      <c r="K142" s="2524"/>
      <c r="L142" s="2524"/>
      <c r="M142" s="2524"/>
      <c r="N142" s="2524"/>
      <c r="O142" s="2524"/>
      <c r="P142" s="2524"/>
      <c r="Q142" s="2524"/>
      <c r="R142" s="2525"/>
      <c r="S142" s="40"/>
      <c r="T142" s="963"/>
      <c r="U142" s="609"/>
      <c r="V142" s="926"/>
      <c r="W142" s="926"/>
      <c r="X142" s="926"/>
      <c r="Y142" s="926"/>
      <c r="Z142" s="926"/>
      <c r="AA142" s="926"/>
      <c r="AB142" s="926"/>
      <c r="AC142" s="926"/>
      <c r="AD142" s="926"/>
      <c r="AE142" s="926"/>
      <c r="AF142" s="926"/>
      <c r="AG142" s="926"/>
      <c r="AH142" s="926"/>
      <c r="AI142" s="926"/>
      <c r="AJ142" s="926"/>
    </row>
    <row r="143" spans="1:36" ht="15" customHeight="1" x14ac:dyDescent="0.3">
      <c r="A143" s="926"/>
      <c r="B143" s="609"/>
      <c r="C143" s="962"/>
      <c r="D143" s="40"/>
      <c r="E143" s="2523"/>
      <c r="F143" s="2524"/>
      <c r="G143" s="2524"/>
      <c r="H143" s="2524"/>
      <c r="I143" s="2524"/>
      <c r="J143" s="2524"/>
      <c r="K143" s="2524"/>
      <c r="L143" s="2524"/>
      <c r="M143" s="2524"/>
      <c r="N143" s="2524"/>
      <c r="O143" s="2524"/>
      <c r="P143" s="2524"/>
      <c r="Q143" s="2524"/>
      <c r="R143" s="2525"/>
      <c r="S143" s="40"/>
      <c r="T143" s="963"/>
      <c r="U143" s="609"/>
      <c r="V143" s="926"/>
      <c r="W143" s="926"/>
      <c r="X143" s="926"/>
      <c r="Y143" s="926"/>
      <c r="Z143" s="926"/>
      <c r="AA143" s="926"/>
      <c r="AB143" s="926"/>
      <c r="AC143" s="926"/>
      <c r="AD143" s="926"/>
      <c r="AE143" s="926"/>
      <c r="AF143" s="926"/>
      <c r="AG143" s="926"/>
      <c r="AH143" s="926"/>
      <c r="AI143" s="926"/>
      <c r="AJ143" s="926"/>
    </row>
    <row r="144" spans="1:36" ht="15" customHeight="1" thickBot="1" x14ac:dyDescent="0.35">
      <c r="A144" s="926"/>
      <c r="B144" s="609"/>
      <c r="C144" s="962"/>
      <c r="D144" s="40"/>
      <c r="E144" s="2526"/>
      <c r="F144" s="2527"/>
      <c r="G144" s="2527"/>
      <c r="H144" s="2527"/>
      <c r="I144" s="2527"/>
      <c r="J144" s="2527"/>
      <c r="K144" s="2527"/>
      <c r="L144" s="2527"/>
      <c r="M144" s="2527"/>
      <c r="N144" s="2527"/>
      <c r="O144" s="2527"/>
      <c r="P144" s="2527"/>
      <c r="Q144" s="2527"/>
      <c r="R144" s="2528"/>
      <c r="S144" s="40"/>
      <c r="T144" s="963"/>
      <c r="U144" s="609"/>
      <c r="V144" s="926"/>
      <c r="W144" s="926"/>
      <c r="X144" s="926"/>
      <c r="Y144" s="926"/>
      <c r="Z144" s="926"/>
      <c r="AA144" s="926"/>
      <c r="AB144" s="926"/>
      <c r="AC144" s="926"/>
      <c r="AD144" s="926"/>
      <c r="AE144" s="926"/>
      <c r="AF144" s="926"/>
      <c r="AG144" s="926"/>
      <c r="AH144" s="926"/>
      <c r="AI144" s="926"/>
      <c r="AJ144" s="926"/>
    </row>
    <row r="145" spans="1:36" ht="15" customHeight="1" thickBot="1" x14ac:dyDescent="0.35">
      <c r="A145" s="926"/>
      <c r="B145" s="609"/>
      <c r="C145" s="962"/>
      <c r="D145" s="40"/>
      <c r="E145" s="2529" t="s">
        <v>196</v>
      </c>
      <c r="F145" s="2530"/>
      <c r="G145" s="2531" t="s">
        <v>38</v>
      </c>
      <c r="H145" s="2531"/>
      <c r="I145" s="2531" t="s">
        <v>39</v>
      </c>
      <c r="J145" s="2531"/>
      <c r="K145" s="2531" t="s">
        <v>197</v>
      </c>
      <c r="L145" s="2531"/>
      <c r="M145" s="2531" t="s">
        <v>41</v>
      </c>
      <c r="N145" s="2531"/>
      <c r="O145" s="2531" t="s">
        <v>42</v>
      </c>
      <c r="P145" s="2531"/>
      <c r="Q145" s="2531" t="s">
        <v>43</v>
      </c>
      <c r="R145" s="2532"/>
      <c r="S145" s="40"/>
      <c r="T145" s="963"/>
      <c r="U145" s="609"/>
      <c r="V145" s="926"/>
      <c r="W145" s="926"/>
      <c r="X145" s="926"/>
      <c r="Y145" s="926"/>
      <c r="Z145" s="926"/>
      <c r="AA145" s="926"/>
      <c r="AB145" s="926"/>
      <c r="AC145" s="926"/>
      <c r="AD145" s="926"/>
      <c r="AE145" s="926"/>
      <c r="AF145" s="926"/>
      <c r="AG145" s="926"/>
      <c r="AH145" s="926"/>
      <c r="AI145" s="926"/>
      <c r="AJ145" s="926"/>
    </row>
    <row r="146" spans="1:36" ht="15" customHeight="1" x14ac:dyDescent="0.3">
      <c r="A146" s="926"/>
      <c r="B146" s="609"/>
      <c r="C146" s="962"/>
      <c r="D146" s="40"/>
      <c r="E146" s="2517" t="s">
        <v>198</v>
      </c>
      <c r="F146" s="2518"/>
      <c r="G146" s="2515" t="str">
        <f>G74</f>
        <v>lb/head/day</v>
      </c>
      <c r="H146" s="2515"/>
      <c r="I146" s="2514">
        <f>BF260</f>
        <v>9.0711402322520005</v>
      </c>
      <c r="J146" s="2514"/>
      <c r="K146" s="2519"/>
      <c r="L146" s="2519"/>
      <c r="M146" s="2514">
        <f>BJ260</f>
        <v>6.3490000000000002</v>
      </c>
      <c r="N146" s="2514"/>
      <c r="O146" s="2514">
        <f>BK260</f>
        <v>11.792999999999999</v>
      </c>
      <c r="P146" s="2514"/>
      <c r="Q146" s="2515" t="str">
        <f>BO260</f>
        <v>Using default</v>
      </c>
      <c r="R146" s="2516"/>
      <c r="S146" s="40"/>
      <c r="T146" s="963"/>
      <c r="U146" s="609"/>
      <c r="V146" s="926"/>
      <c r="W146" s="926"/>
      <c r="X146" s="926"/>
      <c r="Y146" s="926"/>
      <c r="Z146" s="926"/>
      <c r="AA146" s="926"/>
      <c r="AB146" s="926"/>
      <c r="AC146" s="926"/>
      <c r="AD146" s="926"/>
      <c r="AE146" s="926"/>
      <c r="AF146" s="926"/>
      <c r="AG146" s="926"/>
      <c r="AH146" s="926"/>
      <c r="AI146" s="926"/>
      <c r="AJ146" s="926"/>
    </row>
    <row r="147" spans="1:36" ht="15" customHeight="1" x14ac:dyDescent="0.3">
      <c r="A147" s="926"/>
      <c r="B147" s="609"/>
      <c r="C147" s="962"/>
      <c r="D147" s="40"/>
      <c r="E147" s="2500"/>
      <c r="F147" s="2410"/>
      <c r="G147" s="2398"/>
      <c r="H147" s="2398"/>
      <c r="I147" s="2503"/>
      <c r="J147" s="2503"/>
      <c r="K147" s="2506"/>
      <c r="L147" s="2506"/>
      <c r="M147" s="2503"/>
      <c r="N147" s="2503"/>
      <c r="O147" s="2503"/>
      <c r="P147" s="2503"/>
      <c r="Q147" s="2398"/>
      <c r="R147" s="2511"/>
      <c r="S147" s="40"/>
      <c r="T147" s="963"/>
      <c r="U147" s="609"/>
      <c r="V147" s="926"/>
      <c r="W147" s="926"/>
      <c r="X147" s="926"/>
      <c r="Y147" s="926"/>
      <c r="Z147" s="926"/>
      <c r="AA147" s="926"/>
      <c r="AB147" s="926"/>
      <c r="AC147" s="926"/>
      <c r="AD147" s="926"/>
      <c r="AE147" s="926"/>
      <c r="AF147" s="926"/>
      <c r="AG147" s="926"/>
      <c r="AH147" s="926"/>
      <c r="AI147" s="926"/>
      <c r="AJ147" s="926"/>
    </row>
    <row r="148" spans="1:36" ht="15" customHeight="1" x14ac:dyDescent="0.3">
      <c r="A148" s="926"/>
      <c r="B148" s="609"/>
      <c r="C148" s="962"/>
      <c r="D148" s="40"/>
      <c r="E148" s="2500"/>
      <c r="F148" s="2410"/>
      <c r="G148" s="2398"/>
      <c r="H148" s="2398"/>
      <c r="I148" s="2503"/>
      <c r="J148" s="2503"/>
      <c r="K148" s="2506"/>
      <c r="L148" s="2506"/>
      <c r="M148" s="2503"/>
      <c r="N148" s="2503"/>
      <c r="O148" s="2503"/>
      <c r="P148" s="2503"/>
      <c r="Q148" s="2398"/>
      <c r="R148" s="2511"/>
      <c r="S148" s="40"/>
      <c r="T148" s="963"/>
      <c r="U148" s="609"/>
      <c r="V148" s="926"/>
      <c r="W148" s="926"/>
      <c r="X148" s="926"/>
      <c r="Y148" s="926"/>
      <c r="Z148" s="926"/>
      <c r="AA148" s="926"/>
      <c r="AB148" s="926"/>
      <c r="AC148" s="926"/>
      <c r="AD148" s="926"/>
      <c r="AE148" s="926"/>
      <c r="AF148" s="926"/>
      <c r="AG148" s="926"/>
      <c r="AH148" s="926"/>
      <c r="AI148" s="926"/>
      <c r="AJ148" s="926"/>
    </row>
    <row r="149" spans="1:36" ht="15" customHeight="1" x14ac:dyDescent="0.3">
      <c r="A149" s="926"/>
      <c r="B149" s="609"/>
      <c r="C149" s="962"/>
      <c r="D149" s="40"/>
      <c r="E149" s="2500" t="s">
        <v>199</v>
      </c>
      <c r="F149" s="2410"/>
      <c r="G149" s="2398" t="str">
        <f>G77</f>
        <v>lb/head/day</v>
      </c>
      <c r="H149" s="2398"/>
      <c r="I149" s="2503">
        <f>BF261</f>
        <v>0.79035720926999997</v>
      </c>
      <c r="J149" s="2503"/>
      <c r="K149" s="2506"/>
      <c r="L149" s="2506"/>
      <c r="M149" s="2503">
        <f>BJ261</f>
        <v>0.55100000000000005</v>
      </c>
      <c r="N149" s="2503"/>
      <c r="O149" s="2503">
        <f>BK261</f>
        <v>1.0299999999999998</v>
      </c>
      <c r="P149" s="2503"/>
      <c r="Q149" s="2398" t="str">
        <f>BO261</f>
        <v>Using default</v>
      </c>
      <c r="R149" s="2511"/>
      <c r="S149" s="40"/>
      <c r="T149" s="963"/>
      <c r="U149" s="609"/>
      <c r="V149" s="926"/>
      <c r="W149" s="926"/>
      <c r="X149" s="926"/>
      <c r="Y149" s="926"/>
      <c r="Z149" s="926"/>
      <c r="AA149" s="926"/>
      <c r="AB149" s="926"/>
      <c r="AC149" s="926"/>
      <c r="AD149" s="926"/>
      <c r="AE149" s="926"/>
      <c r="AF149" s="926"/>
      <c r="AG149" s="926"/>
      <c r="AH149" s="926"/>
      <c r="AI149" s="926"/>
      <c r="AJ149" s="926"/>
    </row>
    <row r="150" spans="1:36" ht="15" customHeight="1" x14ac:dyDescent="0.3">
      <c r="A150" s="926"/>
      <c r="B150" s="609"/>
      <c r="C150" s="962"/>
      <c r="D150" s="40"/>
      <c r="E150" s="2500"/>
      <c r="F150" s="2410"/>
      <c r="G150" s="2398"/>
      <c r="H150" s="2398"/>
      <c r="I150" s="2503"/>
      <c r="J150" s="2503"/>
      <c r="K150" s="2506"/>
      <c r="L150" s="2506"/>
      <c r="M150" s="2503"/>
      <c r="N150" s="2503"/>
      <c r="O150" s="2503"/>
      <c r="P150" s="2503"/>
      <c r="Q150" s="2398"/>
      <c r="R150" s="2511"/>
      <c r="S150" s="40"/>
      <c r="T150" s="963"/>
      <c r="U150" s="609"/>
      <c r="V150" s="926"/>
      <c r="W150" s="926"/>
      <c r="X150" s="926"/>
      <c r="Y150" s="926"/>
      <c r="Z150" s="926"/>
      <c r="AA150" s="926"/>
      <c r="AB150" s="926"/>
      <c r="AC150" s="926"/>
      <c r="AD150" s="926"/>
      <c r="AE150" s="926"/>
      <c r="AF150" s="926"/>
      <c r="AG150" s="926"/>
      <c r="AH150" s="926"/>
      <c r="AI150" s="926"/>
      <c r="AJ150" s="926"/>
    </row>
    <row r="151" spans="1:36" ht="15" customHeight="1" x14ac:dyDescent="0.3">
      <c r="A151" s="926"/>
      <c r="B151" s="609"/>
      <c r="C151" s="962"/>
      <c r="D151" s="40"/>
      <c r="E151" s="2500"/>
      <c r="F151" s="2410"/>
      <c r="G151" s="2398"/>
      <c r="H151" s="2398"/>
      <c r="I151" s="2503"/>
      <c r="J151" s="2503"/>
      <c r="K151" s="2506"/>
      <c r="L151" s="2506"/>
      <c r="M151" s="2503"/>
      <c r="N151" s="2503"/>
      <c r="O151" s="2503"/>
      <c r="P151" s="2503"/>
      <c r="Q151" s="2398"/>
      <c r="R151" s="2511"/>
      <c r="S151" s="40"/>
      <c r="T151" s="963"/>
      <c r="U151" s="609"/>
      <c r="V151" s="926"/>
      <c r="W151" s="926"/>
      <c r="X151" s="926"/>
      <c r="Y151" s="926"/>
      <c r="Z151" s="926"/>
      <c r="AA151" s="926"/>
      <c r="AB151" s="926"/>
      <c r="AC151" s="926"/>
      <c r="AD151" s="926"/>
      <c r="AE151" s="926"/>
      <c r="AF151" s="926"/>
      <c r="AG151" s="926"/>
      <c r="AH151" s="926"/>
      <c r="AI151" s="926"/>
      <c r="AJ151" s="926"/>
    </row>
    <row r="152" spans="1:36" ht="15" customHeight="1" x14ac:dyDescent="0.3">
      <c r="A152" s="926"/>
      <c r="B152" s="609"/>
      <c r="C152" s="962"/>
      <c r="D152" s="40"/>
      <c r="E152" s="2500" t="s">
        <v>200</v>
      </c>
      <c r="F152" s="2410"/>
      <c r="G152" s="2398" t="str">
        <f>G80</f>
        <v>lb/head/day</v>
      </c>
      <c r="H152" s="2398"/>
      <c r="I152" s="2503">
        <f>BF262</f>
        <v>0.70217230447000001</v>
      </c>
      <c r="J152" s="2503"/>
      <c r="K152" s="2506"/>
      <c r="L152" s="2506"/>
      <c r="M152" s="2503">
        <f>BJ262</f>
        <v>0.48899999999999999</v>
      </c>
      <c r="N152" s="2503"/>
      <c r="O152" s="2503">
        <f>BK262</f>
        <v>0.91500000000000004</v>
      </c>
      <c r="P152" s="2503"/>
      <c r="Q152" s="2398" t="str">
        <f>BO262</f>
        <v>Using default</v>
      </c>
      <c r="R152" s="2511"/>
      <c r="S152" s="40"/>
      <c r="T152" s="963"/>
      <c r="U152" s="609"/>
      <c r="V152" s="926"/>
      <c r="W152" s="926"/>
      <c r="X152" s="926"/>
      <c r="Y152" s="926"/>
      <c r="Z152" s="926"/>
      <c r="AA152" s="926"/>
      <c r="AB152" s="926"/>
      <c r="AC152" s="926"/>
      <c r="AD152" s="926"/>
      <c r="AE152" s="926"/>
      <c r="AF152" s="926"/>
      <c r="AG152" s="926"/>
      <c r="AH152" s="926"/>
      <c r="AI152" s="926"/>
      <c r="AJ152" s="926"/>
    </row>
    <row r="153" spans="1:36" ht="15" customHeight="1" x14ac:dyDescent="0.3">
      <c r="A153" s="926"/>
      <c r="B153" s="609"/>
      <c r="C153" s="962"/>
      <c r="D153" s="40"/>
      <c r="E153" s="2500"/>
      <c r="F153" s="2410"/>
      <c r="G153" s="2398"/>
      <c r="H153" s="2398"/>
      <c r="I153" s="2503"/>
      <c r="J153" s="2503"/>
      <c r="K153" s="2506"/>
      <c r="L153" s="2506"/>
      <c r="M153" s="2503"/>
      <c r="N153" s="2503"/>
      <c r="O153" s="2503"/>
      <c r="P153" s="2503"/>
      <c r="Q153" s="2398"/>
      <c r="R153" s="2511"/>
      <c r="S153" s="40"/>
      <c r="T153" s="963"/>
      <c r="U153" s="609"/>
      <c r="V153" s="926"/>
      <c r="W153" s="926"/>
      <c r="X153" s="926"/>
      <c r="Y153" s="926"/>
      <c r="Z153" s="926"/>
      <c r="AA153" s="926"/>
      <c r="AB153" s="926"/>
      <c r="AC153" s="926"/>
      <c r="AD153" s="926"/>
      <c r="AE153" s="926"/>
      <c r="AF153" s="926"/>
      <c r="AG153" s="926"/>
      <c r="AH153" s="926"/>
      <c r="AI153" s="926"/>
      <c r="AJ153" s="926"/>
    </row>
    <row r="154" spans="1:36" ht="15" customHeight="1" x14ac:dyDescent="0.3">
      <c r="A154" s="926"/>
      <c r="B154" s="609"/>
      <c r="C154" s="962"/>
      <c r="D154" s="40"/>
      <c r="E154" s="2500"/>
      <c r="F154" s="2410"/>
      <c r="G154" s="2398"/>
      <c r="H154" s="2398"/>
      <c r="I154" s="2503"/>
      <c r="J154" s="2503"/>
      <c r="K154" s="2506"/>
      <c r="L154" s="2506"/>
      <c r="M154" s="2503"/>
      <c r="N154" s="2503"/>
      <c r="O154" s="2503"/>
      <c r="P154" s="2503"/>
      <c r="Q154" s="2398"/>
      <c r="R154" s="2511"/>
      <c r="S154" s="40"/>
      <c r="T154" s="963"/>
      <c r="U154" s="609"/>
      <c r="V154" s="926"/>
      <c r="W154" s="926"/>
      <c r="X154" s="926"/>
      <c r="Y154" s="926"/>
      <c r="Z154" s="926"/>
      <c r="AA154" s="926"/>
      <c r="AB154" s="926"/>
      <c r="AC154" s="926"/>
      <c r="AD154" s="926"/>
      <c r="AE154" s="926"/>
      <c r="AF154" s="926"/>
      <c r="AG154" s="926"/>
      <c r="AH154" s="926"/>
      <c r="AI154" s="926"/>
      <c r="AJ154" s="926"/>
    </row>
    <row r="155" spans="1:36" ht="15" customHeight="1" x14ac:dyDescent="0.3">
      <c r="A155" s="926"/>
      <c r="B155" s="609"/>
      <c r="C155" s="962"/>
      <c r="D155" s="40"/>
      <c r="E155" s="2500" t="s">
        <v>201</v>
      </c>
      <c r="F155" s="2410"/>
      <c r="G155" s="2398" t="str">
        <f>G83</f>
        <v>lb/head/day</v>
      </c>
      <c r="H155" s="2398"/>
      <c r="I155" s="2503">
        <f>BF263</f>
        <v>6.5036367289999994E-2</v>
      </c>
      <c r="J155" s="2503"/>
      <c r="K155" s="2506"/>
      <c r="L155" s="2506"/>
      <c r="M155" s="2503">
        <f>BJ263</f>
        <v>4.3999999999999997E-2</v>
      </c>
      <c r="N155" s="2503"/>
      <c r="O155" s="2503">
        <f>BK263</f>
        <v>8.6000000000000007E-2</v>
      </c>
      <c r="P155" s="2503"/>
      <c r="Q155" s="2398" t="str">
        <f>BO263</f>
        <v>Using default</v>
      </c>
      <c r="R155" s="2511"/>
      <c r="S155" s="40"/>
      <c r="T155" s="963"/>
      <c r="U155" s="609"/>
      <c r="V155" s="926"/>
      <c r="W155" s="926"/>
      <c r="X155" s="926"/>
      <c r="Y155" s="926"/>
      <c r="Z155" s="926"/>
      <c r="AA155" s="926"/>
      <c r="AB155" s="926"/>
      <c r="AC155" s="926"/>
      <c r="AD155" s="926"/>
      <c r="AE155" s="926"/>
      <c r="AF155" s="926"/>
      <c r="AG155" s="926"/>
      <c r="AH155" s="926"/>
      <c r="AI155" s="926"/>
      <c r="AJ155" s="926"/>
    </row>
    <row r="156" spans="1:36" ht="15" customHeight="1" x14ac:dyDescent="0.3">
      <c r="A156" s="926"/>
      <c r="B156" s="609"/>
      <c r="C156" s="962"/>
      <c r="D156" s="40"/>
      <c r="E156" s="2500"/>
      <c r="F156" s="2410"/>
      <c r="G156" s="2398"/>
      <c r="H156" s="2398"/>
      <c r="I156" s="2503"/>
      <c r="J156" s="2503"/>
      <c r="K156" s="2506"/>
      <c r="L156" s="2506"/>
      <c r="M156" s="2503"/>
      <c r="N156" s="2503"/>
      <c r="O156" s="2503"/>
      <c r="P156" s="2503"/>
      <c r="Q156" s="2398"/>
      <c r="R156" s="2511"/>
      <c r="S156" s="40"/>
      <c r="T156" s="963"/>
      <c r="U156" s="609"/>
      <c r="V156" s="926"/>
      <c r="W156" s="926"/>
      <c r="X156" s="926"/>
      <c r="Y156" s="926"/>
      <c r="Z156" s="926"/>
      <c r="AA156" s="926"/>
      <c r="AB156" s="926"/>
      <c r="AC156" s="926"/>
      <c r="AD156" s="926"/>
      <c r="AE156" s="926"/>
      <c r="AF156" s="926"/>
      <c r="AG156" s="926"/>
      <c r="AH156" s="926"/>
      <c r="AI156" s="926"/>
      <c r="AJ156" s="926"/>
    </row>
    <row r="157" spans="1:36" ht="15" customHeight="1" x14ac:dyDescent="0.3">
      <c r="A157" s="926"/>
      <c r="B157" s="609"/>
      <c r="C157" s="962"/>
      <c r="D157" s="40"/>
      <c r="E157" s="2500"/>
      <c r="F157" s="2410"/>
      <c r="G157" s="2398"/>
      <c r="H157" s="2398"/>
      <c r="I157" s="2503"/>
      <c r="J157" s="2503"/>
      <c r="K157" s="2506"/>
      <c r="L157" s="2506"/>
      <c r="M157" s="2503"/>
      <c r="N157" s="2503"/>
      <c r="O157" s="2503"/>
      <c r="P157" s="2503"/>
      <c r="Q157" s="2398"/>
      <c r="R157" s="2511"/>
      <c r="S157" s="40"/>
      <c r="T157" s="963"/>
      <c r="U157" s="609"/>
      <c r="V157" s="926"/>
      <c r="W157" s="926"/>
      <c r="X157" s="926"/>
      <c r="Y157" s="926"/>
      <c r="Z157" s="926"/>
      <c r="AA157" s="926"/>
      <c r="AB157" s="926"/>
      <c r="AC157" s="926"/>
      <c r="AD157" s="926"/>
      <c r="AE157" s="926"/>
      <c r="AF157" s="926"/>
      <c r="AG157" s="926"/>
      <c r="AH157" s="926"/>
      <c r="AI157" s="926"/>
      <c r="AJ157" s="926"/>
    </row>
    <row r="158" spans="1:36" ht="15" customHeight="1" x14ac:dyDescent="0.3">
      <c r="A158" s="926"/>
      <c r="B158" s="609"/>
      <c r="C158" s="962"/>
      <c r="D158" s="40"/>
      <c r="E158" s="2500" t="s">
        <v>202</v>
      </c>
      <c r="F158" s="2410"/>
      <c r="G158" s="2398" t="str">
        <f>G86</f>
        <v>lb/head/day</v>
      </c>
      <c r="H158" s="2398"/>
      <c r="I158" s="2503">
        <f>BF264</f>
        <v>4.4092452399999996E-2</v>
      </c>
      <c r="J158" s="2503"/>
      <c r="K158" s="2506"/>
      <c r="L158" s="2506"/>
      <c r="M158" s="2503">
        <f>BJ264</f>
        <v>0.03</v>
      </c>
      <c r="N158" s="2503"/>
      <c r="O158" s="2503">
        <f>BK264</f>
        <v>5.8000000000000003E-2</v>
      </c>
      <c r="P158" s="2503"/>
      <c r="Q158" s="2398" t="str">
        <f>BO264</f>
        <v>Using default</v>
      </c>
      <c r="R158" s="2511"/>
      <c r="S158" s="40"/>
      <c r="T158" s="963"/>
      <c r="U158" s="609"/>
      <c r="V158" s="926"/>
      <c r="W158" s="926"/>
      <c r="X158" s="926"/>
      <c r="Y158" s="926"/>
      <c r="Z158" s="926"/>
      <c r="AA158" s="926"/>
      <c r="AB158" s="926"/>
      <c r="AC158" s="926"/>
      <c r="AD158" s="926"/>
      <c r="AE158" s="926"/>
      <c r="AF158" s="926"/>
      <c r="AG158" s="926"/>
      <c r="AH158" s="926"/>
      <c r="AI158" s="926"/>
      <c r="AJ158" s="926"/>
    </row>
    <row r="159" spans="1:36" ht="15" customHeight="1" x14ac:dyDescent="0.3">
      <c r="A159" s="926"/>
      <c r="B159" s="609"/>
      <c r="C159" s="962"/>
      <c r="D159" s="40"/>
      <c r="E159" s="2500"/>
      <c r="F159" s="2410"/>
      <c r="G159" s="2398"/>
      <c r="H159" s="2398"/>
      <c r="I159" s="2503"/>
      <c r="J159" s="2503"/>
      <c r="K159" s="2506"/>
      <c r="L159" s="2506"/>
      <c r="M159" s="2503"/>
      <c r="N159" s="2503"/>
      <c r="O159" s="2503"/>
      <c r="P159" s="2503"/>
      <c r="Q159" s="2398"/>
      <c r="R159" s="2511"/>
      <c r="S159" s="40"/>
      <c r="T159" s="963"/>
      <c r="U159" s="609"/>
      <c r="V159" s="926"/>
      <c r="W159" s="926"/>
      <c r="X159" s="926"/>
      <c r="Y159" s="926"/>
      <c r="Z159" s="926"/>
      <c r="AA159" s="926"/>
      <c r="AB159" s="926"/>
      <c r="AC159" s="926"/>
      <c r="AD159" s="926"/>
      <c r="AE159" s="926"/>
      <c r="AF159" s="926"/>
      <c r="AG159" s="926"/>
      <c r="AH159" s="926"/>
      <c r="AI159" s="926"/>
      <c r="AJ159" s="926"/>
    </row>
    <row r="160" spans="1:36" ht="15" customHeight="1" x14ac:dyDescent="0.3">
      <c r="A160" s="926"/>
      <c r="B160" s="609"/>
      <c r="C160" s="962"/>
      <c r="D160" s="40"/>
      <c r="E160" s="2500"/>
      <c r="F160" s="2410"/>
      <c r="G160" s="2398"/>
      <c r="H160" s="2398"/>
      <c r="I160" s="2503"/>
      <c r="J160" s="2503"/>
      <c r="K160" s="2506"/>
      <c r="L160" s="2506"/>
      <c r="M160" s="2503"/>
      <c r="N160" s="2503"/>
      <c r="O160" s="2503"/>
      <c r="P160" s="2503"/>
      <c r="Q160" s="2398"/>
      <c r="R160" s="2511"/>
      <c r="S160" s="40"/>
      <c r="T160" s="963"/>
      <c r="U160" s="609"/>
      <c r="V160" s="926"/>
      <c r="W160" s="926"/>
      <c r="X160" s="926"/>
      <c r="Y160" s="926"/>
      <c r="Z160" s="926"/>
      <c r="AA160" s="926"/>
      <c r="AB160" s="926"/>
      <c r="AC160" s="926"/>
      <c r="AD160" s="926"/>
      <c r="AE160" s="926"/>
      <c r="AF160" s="926"/>
      <c r="AG160" s="926"/>
      <c r="AH160" s="926"/>
      <c r="AI160" s="926"/>
      <c r="AJ160" s="926"/>
    </row>
    <row r="161" spans="1:36" ht="15" customHeight="1" x14ac:dyDescent="0.3">
      <c r="A161" s="926"/>
      <c r="B161" s="609"/>
      <c r="C161" s="962"/>
      <c r="D161" s="40"/>
      <c r="E161" s="2500" t="s">
        <v>203</v>
      </c>
      <c r="F161" s="2410"/>
      <c r="G161" s="2398" t="str">
        <f>G89</f>
        <v>lb/head/day</v>
      </c>
      <c r="H161" s="2398"/>
      <c r="I161" s="2503">
        <f>BF265</f>
        <v>5.4013254189999999E-2</v>
      </c>
      <c r="J161" s="2503"/>
      <c r="K161" s="2506"/>
      <c r="L161" s="2506"/>
      <c r="M161" s="2503">
        <f>BJ265</f>
        <v>3.6999999999999998E-2</v>
      </c>
      <c r="N161" s="2503"/>
      <c r="O161" s="2503">
        <f>BK265</f>
        <v>7.1000000000000008E-2</v>
      </c>
      <c r="P161" s="2503"/>
      <c r="Q161" s="2398" t="str">
        <f>BO265</f>
        <v>Using default</v>
      </c>
      <c r="R161" s="2511"/>
      <c r="S161" s="40"/>
      <c r="T161" s="963"/>
      <c r="U161" s="609"/>
      <c r="V161" s="926"/>
      <c r="W161" s="926"/>
      <c r="X161" s="926"/>
      <c r="Y161" s="926"/>
      <c r="Z161" s="926"/>
      <c r="AA161" s="926"/>
      <c r="AB161" s="926"/>
      <c r="AC161" s="926"/>
      <c r="AD161" s="926"/>
      <c r="AE161" s="926"/>
      <c r="AF161" s="926"/>
      <c r="AG161" s="926"/>
      <c r="AH161" s="926"/>
      <c r="AI161" s="926"/>
      <c r="AJ161" s="926"/>
    </row>
    <row r="162" spans="1:36" ht="15" customHeight="1" x14ac:dyDescent="0.3">
      <c r="A162" s="926"/>
      <c r="B162" s="609"/>
      <c r="C162" s="962"/>
      <c r="D162" s="40"/>
      <c r="E162" s="2500"/>
      <c r="F162" s="2410"/>
      <c r="G162" s="2509"/>
      <c r="H162" s="2509"/>
      <c r="I162" s="2504"/>
      <c r="J162" s="2504"/>
      <c r="K162" s="2507"/>
      <c r="L162" s="2507"/>
      <c r="M162" s="2504"/>
      <c r="N162" s="2504"/>
      <c r="O162" s="2504"/>
      <c r="P162" s="2504"/>
      <c r="Q162" s="2509"/>
      <c r="R162" s="2512"/>
      <c r="S162" s="40"/>
      <c r="T162" s="963"/>
      <c r="U162" s="609"/>
      <c r="V162" s="926"/>
      <c r="W162" s="926"/>
      <c r="X162" s="926"/>
      <c r="Y162" s="926"/>
      <c r="Z162" s="926"/>
      <c r="AA162" s="926"/>
      <c r="AB162" s="926"/>
      <c r="AC162" s="926"/>
      <c r="AD162" s="926"/>
      <c r="AE162" s="926"/>
      <c r="AF162" s="926"/>
      <c r="AG162" s="926"/>
      <c r="AH162" s="926"/>
      <c r="AI162" s="926"/>
      <c r="AJ162" s="926"/>
    </row>
    <row r="163" spans="1:36" ht="15" customHeight="1" thickBot="1" x14ac:dyDescent="0.35">
      <c r="A163" s="926"/>
      <c r="B163" s="609"/>
      <c r="C163" s="962"/>
      <c r="D163" s="40"/>
      <c r="E163" s="2501"/>
      <c r="F163" s="2502"/>
      <c r="G163" s="2510"/>
      <c r="H163" s="2510"/>
      <c r="I163" s="2505"/>
      <c r="J163" s="2505"/>
      <c r="K163" s="2508"/>
      <c r="L163" s="2508"/>
      <c r="M163" s="2505"/>
      <c r="N163" s="2505"/>
      <c r="O163" s="2505"/>
      <c r="P163" s="2505"/>
      <c r="Q163" s="2510"/>
      <c r="R163" s="2513"/>
      <c r="S163" s="40"/>
      <c r="T163" s="963"/>
      <c r="U163" s="609"/>
      <c r="V163" s="926"/>
      <c r="W163" s="926"/>
      <c r="X163" s="926"/>
      <c r="Y163" s="926"/>
      <c r="Z163" s="926"/>
      <c r="AA163" s="926"/>
      <c r="AB163" s="926"/>
      <c r="AC163" s="926"/>
      <c r="AD163" s="926"/>
      <c r="AE163" s="926"/>
      <c r="AF163" s="926"/>
      <c r="AG163" s="926"/>
      <c r="AH163" s="926"/>
      <c r="AI163" s="926"/>
      <c r="AJ163" s="926"/>
    </row>
    <row r="164" spans="1:36" ht="15" customHeight="1" thickBot="1" x14ac:dyDescent="0.35">
      <c r="A164" s="926"/>
      <c r="B164" s="609"/>
      <c r="C164" s="962"/>
      <c r="D164" s="40"/>
      <c r="E164" s="40"/>
      <c r="F164" s="40"/>
      <c r="G164" s="40"/>
      <c r="H164" s="40"/>
      <c r="I164" s="40"/>
      <c r="J164" s="40"/>
      <c r="K164" s="40"/>
      <c r="L164" s="40"/>
      <c r="M164" s="40"/>
      <c r="N164" s="40"/>
      <c r="O164" s="40"/>
      <c r="P164" s="40"/>
      <c r="Q164" s="40"/>
      <c r="R164" s="40"/>
      <c r="S164" s="40"/>
      <c r="T164" s="963"/>
      <c r="U164" s="609"/>
      <c r="V164" s="926"/>
      <c r="W164" s="926"/>
      <c r="X164" s="926"/>
      <c r="Y164" s="926"/>
      <c r="Z164" s="926"/>
      <c r="AA164" s="926"/>
      <c r="AB164" s="926"/>
      <c r="AC164" s="926"/>
      <c r="AD164" s="926"/>
      <c r="AE164" s="926"/>
      <c r="AF164" s="926"/>
      <c r="AG164" s="926"/>
      <c r="AH164" s="926"/>
      <c r="AI164" s="926"/>
      <c r="AJ164" s="926"/>
    </row>
    <row r="165" spans="1:36" ht="15" customHeight="1" x14ac:dyDescent="0.3">
      <c r="A165" s="926"/>
      <c r="B165" s="609"/>
      <c r="C165" s="962"/>
      <c r="D165" s="40"/>
      <c r="E165" s="2520" t="s">
        <v>207</v>
      </c>
      <c r="F165" s="2521"/>
      <c r="G165" s="2521"/>
      <c r="H165" s="2521"/>
      <c r="I165" s="2521"/>
      <c r="J165" s="2521"/>
      <c r="K165" s="2521"/>
      <c r="L165" s="2521"/>
      <c r="M165" s="2521"/>
      <c r="N165" s="2521"/>
      <c r="O165" s="2521"/>
      <c r="P165" s="2521"/>
      <c r="Q165" s="2521"/>
      <c r="R165" s="2522"/>
      <c r="S165" s="40"/>
      <c r="T165" s="963"/>
      <c r="U165" s="609"/>
      <c r="V165" s="926"/>
      <c r="W165" s="926"/>
      <c r="X165" s="926"/>
      <c r="Y165" s="926"/>
      <c r="Z165" s="926"/>
      <c r="AA165" s="926"/>
      <c r="AB165" s="926"/>
      <c r="AC165" s="926"/>
      <c r="AD165" s="926"/>
      <c r="AE165" s="926"/>
      <c r="AF165" s="926"/>
      <c r="AG165" s="926"/>
      <c r="AH165" s="926"/>
      <c r="AI165" s="926"/>
      <c r="AJ165" s="926"/>
    </row>
    <row r="166" spans="1:36" ht="15" customHeight="1" x14ac:dyDescent="0.3">
      <c r="A166" s="926"/>
      <c r="B166" s="609"/>
      <c r="C166" s="962"/>
      <c r="D166" s="40"/>
      <c r="E166" s="2523"/>
      <c r="F166" s="2524"/>
      <c r="G166" s="2524"/>
      <c r="H166" s="2524"/>
      <c r="I166" s="2524"/>
      <c r="J166" s="2524"/>
      <c r="K166" s="2524"/>
      <c r="L166" s="2524"/>
      <c r="M166" s="2524"/>
      <c r="N166" s="2524"/>
      <c r="O166" s="2524"/>
      <c r="P166" s="2524"/>
      <c r="Q166" s="2524"/>
      <c r="R166" s="2525"/>
      <c r="S166" s="40"/>
      <c r="T166" s="963"/>
      <c r="U166" s="609"/>
      <c r="V166" s="926"/>
      <c r="W166" s="926"/>
      <c r="X166" s="926"/>
      <c r="Y166" s="926"/>
      <c r="Z166" s="926"/>
      <c r="AA166" s="926"/>
      <c r="AB166" s="926"/>
      <c r="AC166" s="926"/>
      <c r="AD166" s="926"/>
      <c r="AE166" s="926"/>
      <c r="AF166" s="926"/>
      <c r="AG166" s="926"/>
      <c r="AH166" s="926"/>
      <c r="AI166" s="926"/>
      <c r="AJ166" s="926"/>
    </row>
    <row r="167" spans="1:36" ht="15" customHeight="1" x14ac:dyDescent="0.3">
      <c r="A167" s="926"/>
      <c r="B167" s="609"/>
      <c r="C167" s="962"/>
      <c r="D167" s="40"/>
      <c r="E167" s="2523"/>
      <c r="F167" s="2524"/>
      <c r="G167" s="2524"/>
      <c r="H167" s="2524"/>
      <c r="I167" s="2524"/>
      <c r="J167" s="2524"/>
      <c r="K167" s="2524"/>
      <c r="L167" s="2524"/>
      <c r="M167" s="2524"/>
      <c r="N167" s="2524"/>
      <c r="O167" s="2524"/>
      <c r="P167" s="2524"/>
      <c r="Q167" s="2524"/>
      <c r="R167" s="2525"/>
      <c r="S167" s="40"/>
      <c r="T167" s="963"/>
      <c r="U167" s="609"/>
      <c r="V167" s="926"/>
      <c r="W167" s="926"/>
      <c r="X167" s="926"/>
      <c r="Y167" s="926"/>
      <c r="Z167" s="926"/>
      <c r="AA167" s="926"/>
      <c r="AB167" s="926"/>
      <c r="AC167" s="926"/>
      <c r="AD167" s="926"/>
      <c r="AE167" s="926"/>
      <c r="AF167" s="926"/>
      <c r="AG167" s="926"/>
      <c r="AH167" s="926"/>
      <c r="AI167" s="926"/>
      <c r="AJ167" s="926"/>
    </row>
    <row r="168" spans="1:36" ht="15" customHeight="1" thickBot="1" x14ac:dyDescent="0.35">
      <c r="A168" s="926"/>
      <c r="B168" s="609"/>
      <c r="C168" s="962"/>
      <c r="D168" s="40"/>
      <c r="E168" s="2526"/>
      <c r="F168" s="2527"/>
      <c r="G168" s="2527"/>
      <c r="H168" s="2527"/>
      <c r="I168" s="2527"/>
      <c r="J168" s="2527"/>
      <c r="K168" s="2527"/>
      <c r="L168" s="2527"/>
      <c r="M168" s="2527"/>
      <c r="N168" s="2527"/>
      <c r="O168" s="2527"/>
      <c r="P168" s="2527"/>
      <c r="Q168" s="2527"/>
      <c r="R168" s="2528"/>
      <c r="S168" s="40"/>
      <c r="T168" s="963"/>
      <c r="U168" s="609"/>
      <c r="V168" s="926"/>
      <c r="W168" s="926"/>
      <c r="X168" s="926"/>
      <c r="Y168" s="926"/>
      <c r="Z168" s="926"/>
      <c r="AA168" s="926"/>
      <c r="AB168" s="926"/>
      <c r="AC168" s="926"/>
      <c r="AD168" s="926"/>
      <c r="AE168" s="926"/>
      <c r="AF168" s="926"/>
      <c r="AG168" s="926"/>
      <c r="AH168" s="926"/>
      <c r="AI168" s="926"/>
      <c r="AJ168" s="926"/>
    </row>
    <row r="169" spans="1:36" ht="15" customHeight="1" thickBot="1" x14ac:dyDescent="0.35">
      <c r="A169" s="926"/>
      <c r="B169" s="609"/>
      <c r="C169" s="962"/>
      <c r="D169" s="40"/>
      <c r="E169" s="2529" t="s">
        <v>196</v>
      </c>
      <c r="F169" s="2530"/>
      <c r="G169" s="2531" t="s">
        <v>38</v>
      </c>
      <c r="H169" s="2531"/>
      <c r="I169" s="2531" t="s">
        <v>39</v>
      </c>
      <c r="J169" s="2531"/>
      <c r="K169" s="2531" t="s">
        <v>197</v>
      </c>
      <c r="L169" s="2531"/>
      <c r="M169" s="2531" t="s">
        <v>41</v>
      </c>
      <c r="N169" s="2531"/>
      <c r="O169" s="2531" t="s">
        <v>42</v>
      </c>
      <c r="P169" s="2531"/>
      <c r="Q169" s="2531" t="s">
        <v>43</v>
      </c>
      <c r="R169" s="2532"/>
      <c r="S169" s="40"/>
      <c r="T169" s="963"/>
      <c r="U169" s="609"/>
      <c r="V169" s="926"/>
      <c r="W169" s="926"/>
      <c r="X169" s="926"/>
      <c r="Y169" s="926"/>
      <c r="Z169" s="926"/>
      <c r="AA169" s="926"/>
      <c r="AB169" s="926"/>
      <c r="AC169" s="926"/>
      <c r="AD169" s="926"/>
      <c r="AE169" s="926"/>
      <c r="AF169" s="926"/>
      <c r="AG169" s="926"/>
      <c r="AH169" s="926"/>
      <c r="AI169" s="926"/>
      <c r="AJ169" s="926"/>
    </row>
    <row r="170" spans="1:36" ht="15" customHeight="1" x14ac:dyDescent="0.3">
      <c r="A170" s="926"/>
      <c r="B170" s="609"/>
      <c r="C170" s="962"/>
      <c r="D170" s="40"/>
      <c r="E170" s="2517" t="s">
        <v>198</v>
      </c>
      <c r="F170" s="2518"/>
      <c r="G170" s="2515" t="str">
        <f>BH266</f>
        <v>lb/head/day</v>
      </c>
      <c r="H170" s="2515"/>
      <c r="I170" s="2514">
        <f>BF266</f>
        <v>19.791999571049995</v>
      </c>
      <c r="J170" s="2514"/>
      <c r="K170" s="2519"/>
      <c r="L170" s="2519"/>
      <c r="M170" s="2514">
        <f>BJ266</f>
        <v>13.853</v>
      </c>
      <c r="N170" s="2514"/>
      <c r="O170" s="2514">
        <f>BK266</f>
        <v>25.731000000000002</v>
      </c>
      <c r="P170" s="2514"/>
      <c r="Q170" s="2515" t="str">
        <f>BO266</f>
        <v>Using default</v>
      </c>
      <c r="R170" s="2516"/>
      <c r="S170" s="40"/>
      <c r="T170" s="963"/>
      <c r="U170" s="609"/>
      <c r="V170" s="926"/>
      <c r="W170" s="926"/>
      <c r="X170" s="926"/>
      <c r="Y170" s="926"/>
      <c r="Z170" s="926"/>
      <c r="AA170" s="926"/>
      <c r="AB170" s="926"/>
      <c r="AC170" s="926"/>
      <c r="AD170" s="926"/>
      <c r="AE170" s="926"/>
      <c r="AF170" s="926"/>
      <c r="AG170" s="926"/>
      <c r="AH170" s="926"/>
      <c r="AI170" s="926"/>
      <c r="AJ170" s="926"/>
    </row>
    <row r="171" spans="1:36" ht="15" customHeight="1" x14ac:dyDescent="0.3">
      <c r="A171" s="926"/>
      <c r="B171" s="609"/>
      <c r="C171" s="962"/>
      <c r="D171" s="40"/>
      <c r="E171" s="2500"/>
      <c r="F171" s="2410"/>
      <c r="G171" s="2398"/>
      <c r="H171" s="2398"/>
      <c r="I171" s="2503"/>
      <c r="J171" s="2503"/>
      <c r="K171" s="2506"/>
      <c r="L171" s="2506"/>
      <c r="M171" s="2503"/>
      <c r="N171" s="2503"/>
      <c r="O171" s="2503"/>
      <c r="P171" s="2503"/>
      <c r="Q171" s="2398"/>
      <c r="R171" s="2511"/>
      <c r="S171" s="40"/>
      <c r="T171" s="963"/>
      <c r="U171" s="609"/>
      <c r="V171" s="926"/>
      <c r="W171" s="926"/>
      <c r="X171" s="926"/>
      <c r="Y171" s="926"/>
      <c r="Z171" s="926"/>
      <c r="AA171" s="926"/>
      <c r="AB171" s="926"/>
      <c r="AC171" s="926"/>
      <c r="AD171" s="926"/>
      <c r="AE171" s="926"/>
      <c r="AF171" s="926"/>
      <c r="AG171" s="926"/>
      <c r="AH171" s="926"/>
      <c r="AI171" s="926"/>
      <c r="AJ171" s="926"/>
    </row>
    <row r="172" spans="1:36" ht="15" customHeight="1" x14ac:dyDescent="0.3">
      <c r="A172" s="926"/>
      <c r="B172" s="609"/>
      <c r="C172" s="962"/>
      <c r="D172" s="40"/>
      <c r="E172" s="2500"/>
      <c r="F172" s="2410"/>
      <c r="G172" s="2398"/>
      <c r="H172" s="2398"/>
      <c r="I172" s="2503"/>
      <c r="J172" s="2503"/>
      <c r="K172" s="2506"/>
      <c r="L172" s="2506"/>
      <c r="M172" s="2503"/>
      <c r="N172" s="2503"/>
      <c r="O172" s="2503"/>
      <c r="P172" s="2503"/>
      <c r="Q172" s="2398"/>
      <c r="R172" s="2511"/>
      <c r="S172" s="40"/>
      <c r="T172" s="963"/>
      <c r="U172" s="609"/>
      <c r="V172" s="926"/>
      <c r="W172" s="926"/>
      <c r="X172" s="926"/>
      <c r="Y172" s="926"/>
      <c r="Z172" s="926"/>
      <c r="AA172" s="926"/>
      <c r="AB172" s="926"/>
      <c r="AC172" s="926"/>
      <c r="AD172" s="926"/>
      <c r="AE172" s="926"/>
      <c r="AF172" s="926"/>
      <c r="AG172" s="926"/>
      <c r="AH172" s="926"/>
      <c r="AI172" s="926"/>
      <c r="AJ172" s="926"/>
    </row>
    <row r="173" spans="1:36" ht="15" customHeight="1" x14ac:dyDescent="0.3">
      <c r="A173" s="926"/>
      <c r="B173" s="609"/>
      <c r="C173" s="962"/>
      <c r="D173" s="40"/>
      <c r="E173" s="2500" t="s">
        <v>199</v>
      </c>
      <c r="F173" s="2410"/>
      <c r="G173" s="2398" t="str">
        <f>BH267</f>
        <v>lb/head/day</v>
      </c>
      <c r="H173" s="2398"/>
      <c r="I173" s="2503">
        <f>BF267</f>
        <v>1.9418316036959999</v>
      </c>
      <c r="J173" s="2503"/>
      <c r="K173" s="2506"/>
      <c r="L173" s="2506"/>
      <c r="M173" s="2503">
        <f>BJ267</f>
        <v>1.3580000000000001</v>
      </c>
      <c r="N173" s="2503"/>
      <c r="O173" s="2503">
        <f>BK267</f>
        <v>2.5269999999999997</v>
      </c>
      <c r="P173" s="2503"/>
      <c r="Q173" s="2398" t="str">
        <f>BO267</f>
        <v>Using default</v>
      </c>
      <c r="R173" s="2511"/>
      <c r="S173" s="40"/>
      <c r="T173" s="963"/>
      <c r="U173" s="609"/>
      <c r="V173" s="926"/>
      <c r="W173" s="926"/>
      <c r="X173" s="926"/>
      <c r="Y173" s="926"/>
      <c r="Z173" s="926"/>
      <c r="AA173" s="926"/>
      <c r="AB173" s="926"/>
      <c r="AC173" s="926"/>
      <c r="AD173" s="926"/>
      <c r="AE173" s="926"/>
      <c r="AF173" s="926"/>
      <c r="AG173" s="926"/>
      <c r="AH173" s="926"/>
      <c r="AI173" s="926"/>
      <c r="AJ173" s="926"/>
    </row>
    <row r="174" spans="1:36" ht="15" customHeight="1" x14ac:dyDescent="0.3">
      <c r="A174" s="926"/>
      <c r="B174" s="609"/>
      <c r="C174" s="962"/>
      <c r="D174" s="40"/>
      <c r="E174" s="2500"/>
      <c r="F174" s="2410"/>
      <c r="G174" s="2398"/>
      <c r="H174" s="2398"/>
      <c r="I174" s="2503"/>
      <c r="J174" s="2503"/>
      <c r="K174" s="2506"/>
      <c r="L174" s="2506"/>
      <c r="M174" s="2503"/>
      <c r="N174" s="2503"/>
      <c r="O174" s="2503"/>
      <c r="P174" s="2503"/>
      <c r="Q174" s="2398"/>
      <c r="R174" s="2511"/>
      <c r="S174" s="40"/>
      <c r="T174" s="963"/>
      <c r="U174" s="609"/>
      <c r="V174" s="926"/>
      <c r="W174" s="926"/>
      <c r="X174" s="926"/>
      <c r="Y174" s="926"/>
      <c r="Z174" s="926"/>
      <c r="AA174" s="926"/>
      <c r="AB174" s="926"/>
      <c r="AC174" s="926"/>
      <c r="AD174" s="926"/>
      <c r="AE174" s="926"/>
      <c r="AF174" s="926"/>
      <c r="AG174" s="926"/>
      <c r="AH174" s="926"/>
      <c r="AI174" s="926"/>
      <c r="AJ174" s="926"/>
    </row>
    <row r="175" spans="1:36" ht="15" customHeight="1" x14ac:dyDescent="0.3">
      <c r="A175" s="926"/>
      <c r="B175" s="609"/>
      <c r="C175" s="962"/>
      <c r="D175" s="40"/>
      <c r="E175" s="2500"/>
      <c r="F175" s="2410"/>
      <c r="G175" s="2398"/>
      <c r="H175" s="2398"/>
      <c r="I175" s="2503"/>
      <c r="J175" s="2503"/>
      <c r="K175" s="2506"/>
      <c r="L175" s="2506"/>
      <c r="M175" s="2503"/>
      <c r="N175" s="2503"/>
      <c r="O175" s="2503"/>
      <c r="P175" s="2503"/>
      <c r="Q175" s="2398"/>
      <c r="R175" s="2511"/>
      <c r="S175" s="40"/>
      <c r="T175" s="963"/>
      <c r="U175" s="609"/>
      <c r="V175" s="926"/>
      <c r="W175" s="926"/>
      <c r="X175" s="926"/>
      <c r="Y175" s="926"/>
      <c r="Z175" s="926"/>
      <c r="AA175" s="926"/>
      <c r="AB175" s="926"/>
      <c r="AC175" s="926"/>
      <c r="AD175" s="926"/>
      <c r="AE175" s="926"/>
      <c r="AF175" s="926"/>
      <c r="AG175" s="926"/>
      <c r="AH175" s="926"/>
      <c r="AI175" s="926"/>
      <c r="AJ175" s="926"/>
    </row>
    <row r="176" spans="1:36" ht="15" customHeight="1" x14ac:dyDescent="0.3">
      <c r="A176" s="926"/>
      <c r="B176" s="609"/>
      <c r="C176" s="962"/>
      <c r="D176" s="40"/>
      <c r="E176" s="2500" t="s">
        <v>200</v>
      </c>
      <c r="F176" s="2410"/>
      <c r="G176" s="2398" t="str">
        <f>BH268</f>
        <v>lb/head/day</v>
      </c>
      <c r="H176" s="2398"/>
      <c r="I176" s="2503">
        <f>BF268</f>
        <v>1.7689891902879999</v>
      </c>
      <c r="J176" s="2503"/>
      <c r="K176" s="2506"/>
      <c r="L176" s="2506"/>
      <c r="M176" s="2503">
        <f>BJ268</f>
        <v>1.236</v>
      </c>
      <c r="N176" s="2503"/>
      <c r="O176" s="2503">
        <f>BK268</f>
        <v>2.302</v>
      </c>
      <c r="P176" s="2503"/>
      <c r="Q176" s="2398" t="str">
        <f>BO268</f>
        <v>Using default</v>
      </c>
      <c r="R176" s="2511"/>
      <c r="S176" s="40"/>
      <c r="T176" s="963"/>
      <c r="U176" s="609"/>
      <c r="V176" s="926"/>
      <c r="W176" s="926"/>
      <c r="X176" s="926"/>
      <c r="Y176" s="926"/>
      <c r="Z176" s="926"/>
      <c r="AA176" s="926"/>
      <c r="AB176" s="926"/>
      <c r="AC176" s="926"/>
      <c r="AD176" s="926"/>
      <c r="AE176" s="926"/>
      <c r="AF176" s="926"/>
      <c r="AG176" s="926"/>
      <c r="AH176" s="926"/>
      <c r="AI176" s="926"/>
      <c r="AJ176" s="926"/>
    </row>
    <row r="177" spans="1:36" ht="15" customHeight="1" x14ac:dyDescent="0.3">
      <c r="A177" s="926"/>
      <c r="B177" s="609"/>
      <c r="C177" s="962"/>
      <c r="D177" s="40"/>
      <c r="E177" s="2500"/>
      <c r="F177" s="2410"/>
      <c r="G177" s="2398"/>
      <c r="H177" s="2398"/>
      <c r="I177" s="2503"/>
      <c r="J177" s="2503"/>
      <c r="K177" s="2506"/>
      <c r="L177" s="2506"/>
      <c r="M177" s="2503"/>
      <c r="N177" s="2503"/>
      <c r="O177" s="2503"/>
      <c r="P177" s="2503"/>
      <c r="Q177" s="2398"/>
      <c r="R177" s="2511"/>
      <c r="S177" s="40"/>
      <c r="T177" s="963"/>
      <c r="U177" s="609"/>
      <c r="V177" s="926"/>
      <c r="W177" s="926"/>
      <c r="X177" s="926"/>
      <c r="Y177" s="926"/>
      <c r="Z177" s="926"/>
      <c r="AA177" s="926"/>
      <c r="AB177" s="926"/>
      <c r="AC177" s="926"/>
      <c r="AD177" s="926"/>
      <c r="AE177" s="926"/>
      <c r="AF177" s="926"/>
      <c r="AG177" s="926"/>
      <c r="AH177" s="926"/>
      <c r="AI177" s="926"/>
      <c r="AJ177" s="926"/>
    </row>
    <row r="178" spans="1:36" ht="15" customHeight="1" x14ac:dyDescent="0.3">
      <c r="A178" s="926"/>
      <c r="B178" s="609"/>
      <c r="C178" s="962"/>
      <c r="D178" s="40"/>
      <c r="E178" s="2500"/>
      <c r="F178" s="2410"/>
      <c r="G178" s="2398"/>
      <c r="H178" s="2398"/>
      <c r="I178" s="2503"/>
      <c r="J178" s="2503"/>
      <c r="K178" s="2506"/>
      <c r="L178" s="2506"/>
      <c r="M178" s="2503"/>
      <c r="N178" s="2503"/>
      <c r="O178" s="2503"/>
      <c r="P178" s="2503"/>
      <c r="Q178" s="2398"/>
      <c r="R178" s="2511"/>
      <c r="S178" s="40"/>
      <c r="T178" s="963"/>
      <c r="U178" s="609"/>
      <c r="V178" s="926"/>
      <c r="W178" s="926"/>
      <c r="X178" s="926"/>
      <c r="Y178" s="926"/>
      <c r="Z178" s="926"/>
      <c r="AA178" s="926"/>
      <c r="AB178" s="926"/>
      <c r="AC178" s="926"/>
      <c r="AD178" s="926"/>
      <c r="AE178" s="926"/>
      <c r="AF178" s="926"/>
      <c r="AG178" s="926"/>
      <c r="AH178" s="926"/>
      <c r="AI178" s="926"/>
      <c r="AJ178" s="926"/>
    </row>
    <row r="179" spans="1:36" ht="15" customHeight="1" x14ac:dyDescent="0.3">
      <c r="A179" s="926"/>
      <c r="B179" s="609"/>
      <c r="C179" s="962"/>
      <c r="D179" s="40"/>
      <c r="E179" s="2500" t="s">
        <v>201</v>
      </c>
      <c r="F179" s="2410"/>
      <c r="G179" s="2398" t="str">
        <f>BH269</f>
        <v>lb/head/day</v>
      </c>
      <c r="H179" s="2398"/>
      <c r="I179" s="2503">
        <f>BF269</f>
        <v>0.188936158534</v>
      </c>
      <c r="J179" s="2503"/>
      <c r="K179" s="2506"/>
      <c r="L179" s="2506"/>
      <c r="M179" s="2503">
        <f>BJ269</f>
        <v>0.13</v>
      </c>
      <c r="N179" s="2503"/>
      <c r="O179" s="2503">
        <f>BK269</f>
        <v>0.247</v>
      </c>
      <c r="P179" s="2503"/>
      <c r="Q179" s="2398" t="str">
        <f>BO269</f>
        <v>Using default</v>
      </c>
      <c r="R179" s="2511"/>
      <c r="S179" s="40"/>
      <c r="T179" s="963"/>
      <c r="U179" s="609"/>
      <c r="V179" s="926"/>
      <c r="W179" s="926"/>
      <c r="X179" s="926"/>
      <c r="Y179" s="926"/>
      <c r="Z179" s="926"/>
      <c r="AA179" s="926"/>
      <c r="AB179" s="926"/>
      <c r="AC179" s="926"/>
      <c r="AD179" s="926"/>
      <c r="AE179" s="926"/>
      <c r="AF179" s="926"/>
      <c r="AG179" s="926"/>
      <c r="AH179" s="926"/>
      <c r="AI179" s="926"/>
      <c r="AJ179" s="926"/>
    </row>
    <row r="180" spans="1:36" ht="15" customHeight="1" x14ac:dyDescent="0.3">
      <c r="A180" s="926"/>
      <c r="B180" s="609"/>
      <c r="C180" s="962"/>
      <c r="D180" s="40"/>
      <c r="E180" s="2500"/>
      <c r="F180" s="2410"/>
      <c r="G180" s="2398"/>
      <c r="H180" s="2398"/>
      <c r="I180" s="2503"/>
      <c r="J180" s="2503"/>
      <c r="K180" s="2506"/>
      <c r="L180" s="2506"/>
      <c r="M180" s="2503"/>
      <c r="N180" s="2503"/>
      <c r="O180" s="2503"/>
      <c r="P180" s="2503"/>
      <c r="Q180" s="2398"/>
      <c r="R180" s="2511"/>
      <c r="S180" s="40"/>
      <c r="T180" s="963"/>
      <c r="U180" s="609"/>
      <c r="V180" s="926"/>
      <c r="W180" s="926"/>
      <c r="X180" s="926"/>
      <c r="Y180" s="926"/>
      <c r="Z180" s="926"/>
      <c r="AA180" s="926"/>
      <c r="AB180" s="926"/>
      <c r="AC180" s="926"/>
      <c r="AD180" s="926"/>
      <c r="AE180" s="926"/>
      <c r="AF180" s="926"/>
      <c r="AG180" s="926"/>
      <c r="AH180" s="926"/>
      <c r="AI180" s="926"/>
      <c r="AJ180" s="926"/>
    </row>
    <row r="181" spans="1:36" ht="15" customHeight="1" x14ac:dyDescent="0.3">
      <c r="A181" s="926"/>
      <c r="B181" s="609"/>
      <c r="C181" s="962"/>
      <c r="D181" s="40"/>
      <c r="E181" s="2500"/>
      <c r="F181" s="2410"/>
      <c r="G181" s="2398"/>
      <c r="H181" s="2398"/>
      <c r="I181" s="2503"/>
      <c r="J181" s="2503"/>
      <c r="K181" s="2506"/>
      <c r="L181" s="2506"/>
      <c r="M181" s="2503"/>
      <c r="N181" s="2503"/>
      <c r="O181" s="2503"/>
      <c r="P181" s="2503"/>
      <c r="Q181" s="2398"/>
      <c r="R181" s="2511"/>
      <c r="S181" s="40"/>
      <c r="T181" s="963"/>
      <c r="U181" s="609"/>
      <c r="V181" s="926"/>
      <c r="W181" s="926"/>
      <c r="X181" s="926"/>
      <c r="Y181" s="926"/>
      <c r="Z181" s="926"/>
      <c r="AA181" s="926"/>
      <c r="AB181" s="926"/>
      <c r="AC181" s="926"/>
      <c r="AD181" s="926"/>
      <c r="AE181" s="926"/>
      <c r="AF181" s="926"/>
      <c r="AG181" s="926"/>
      <c r="AH181" s="926"/>
      <c r="AI181" s="926"/>
      <c r="AJ181" s="926"/>
    </row>
    <row r="182" spans="1:36" ht="15" customHeight="1" x14ac:dyDescent="0.3">
      <c r="A182" s="926"/>
      <c r="B182" s="609"/>
      <c r="C182" s="962"/>
      <c r="D182" s="40"/>
      <c r="E182" s="2500" t="s">
        <v>202</v>
      </c>
      <c r="F182" s="2410"/>
      <c r="G182" s="2398" t="str">
        <f>BH270</f>
        <v>lb/head/day</v>
      </c>
      <c r="H182" s="2398"/>
      <c r="I182" s="2503">
        <f>BF270</f>
        <v>8.6862131228000003E-2</v>
      </c>
      <c r="J182" s="2503"/>
      <c r="K182" s="2506"/>
      <c r="L182" s="2506"/>
      <c r="M182" s="2503">
        <f>BJ270</f>
        <v>5.8999999999999997E-2</v>
      </c>
      <c r="N182" s="2503"/>
      <c r="O182" s="2503">
        <f>BK270</f>
        <v>0.115</v>
      </c>
      <c r="P182" s="2503"/>
      <c r="Q182" s="2398" t="str">
        <f>BO270</f>
        <v>Using default</v>
      </c>
      <c r="R182" s="2511"/>
      <c r="S182" s="40"/>
      <c r="T182" s="963"/>
      <c r="U182" s="609"/>
      <c r="V182" s="926"/>
      <c r="W182" s="926"/>
      <c r="X182" s="926"/>
      <c r="Y182" s="926"/>
      <c r="Z182" s="926"/>
      <c r="AA182" s="926"/>
      <c r="AB182" s="926"/>
      <c r="AC182" s="926"/>
      <c r="AD182" s="926"/>
      <c r="AE182" s="926"/>
      <c r="AF182" s="926"/>
      <c r="AG182" s="926"/>
      <c r="AH182" s="926"/>
      <c r="AI182" s="926"/>
      <c r="AJ182" s="926"/>
    </row>
    <row r="183" spans="1:36" ht="15" customHeight="1" x14ac:dyDescent="0.3">
      <c r="A183" s="926"/>
      <c r="B183" s="609"/>
      <c r="C183" s="962"/>
      <c r="D183" s="40"/>
      <c r="E183" s="2500"/>
      <c r="F183" s="2410"/>
      <c r="G183" s="2398"/>
      <c r="H183" s="2398"/>
      <c r="I183" s="2503"/>
      <c r="J183" s="2503"/>
      <c r="K183" s="2506"/>
      <c r="L183" s="2506"/>
      <c r="M183" s="2503"/>
      <c r="N183" s="2503"/>
      <c r="O183" s="2503"/>
      <c r="P183" s="2503"/>
      <c r="Q183" s="2398"/>
      <c r="R183" s="2511"/>
      <c r="S183" s="40"/>
      <c r="T183" s="963"/>
      <c r="U183" s="609"/>
      <c r="V183" s="926"/>
      <c r="W183" s="926"/>
      <c r="X183" s="926"/>
      <c r="Y183" s="926"/>
      <c r="Z183" s="926"/>
      <c r="AA183" s="926"/>
      <c r="AB183" s="926"/>
      <c r="AC183" s="926"/>
      <c r="AD183" s="926"/>
      <c r="AE183" s="926"/>
      <c r="AF183" s="926"/>
      <c r="AG183" s="926"/>
      <c r="AH183" s="926"/>
      <c r="AI183" s="926"/>
      <c r="AJ183" s="926"/>
    </row>
    <row r="184" spans="1:36" ht="15" customHeight="1" x14ac:dyDescent="0.3">
      <c r="A184" s="926"/>
      <c r="B184" s="609"/>
      <c r="C184" s="962"/>
      <c r="D184" s="40"/>
      <c r="E184" s="2500"/>
      <c r="F184" s="2410"/>
      <c r="G184" s="2398"/>
      <c r="H184" s="2398"/>
      <c r="I184" s="2503"/>
      <c r="J184" s="2503"/>
      <c r="K184" s="2506"/>
      <c r="L184" s="2506"/>
      <c r="M184" s="2503"/>
      <c r="N184" s="2503"/>
      <c r="O184" s="2503"/>
      <c r="P184" s="2503"/>
      <c r="Q184" s="2398"/>
      <c r="R184" s="2511"/>
      <c r="S184" s="40"/>
      <c r="T184" s="963"/>
      <c r="U184" s="609"/>
      <c r="V184" s="926"/>
      <c r="W184" s="926"/>
      <c r="X184" s="926"/>
      <c r="Y184" s="926"/>
      <c r="Z184" s="926"/>
      <c r="AA184" s="926"/>
      <c r="AB184" s="926"/>
      <c r="AC184" s="926"/>
      <c r="AD184" s="926"/>
      <c r="AE184" s="926"/>
      <c r="AF184" s="926"/>
      <c r="AG184" s="926"/>
      <c r="AH184" s="926"/>
      <c r="AI184" s="926"/>
      <c r="AJ184" s="926"/>
    </row>
    <row r="185" spans="1:36" ht="15" customHeight="1" x14ac:dyDescent="0.3">
      <c r="A185" s="926"/>
      <c r="B185" s="609"/>
      <c r="C185" s="962"/>
      <c r="D185" s="40"/>
      <c r="E185" s="2500" t="s">
        <v>203</v>
      </c>
      <c r="F185" s="2410"/>
      <c r="G185" s="2398" t="str">
        <f>BH271</f>
        <v>lb/head/day</v>
      </c>
      <c r="H185" s="2398"/>
      <c r="I185" s="2503">
        <f>BF271</f>
        <v>0.18408598876999999</v>
      </c>
      <c r="J185" s="2503"/>
      <c r="K185" s="2506"/>
      <c r="L185" s="2506"/>
      <c r="M185" s="2503">
        <f>BJ271</f>
        <v>0.127</v>
      </c>
      <c r="N185" s="2503"/>
      <c r="O185" s="2503">
        <f>BK271</f>
        <v>0.24099999999999999</v>
      </c>
      <c r="P185" s="2503"/>
      <c r="Q185" s="2398" t="str">
        <f>BO271</f>
        <v>Using default</v>
      </c>
      <c r="R185" s="2511"/>
      <c r="S185" s="40"/>
      <c r="T185" s="963"/>
      <c r="U185" s="609"/>
      <c r="V185" s="926"/>
      <c r="W185" s="926"/>
      <c r="X185" s="926"/>
      <c r="Y185" s="926"/>
      <c r="Z185" s="926"/>
      <c r="AA185" s="926"/>
      <c r="AB185" s="926"/>
      <c r="AC185" s="926"/>
      <c r="AD185" s="926"/>
      <c r="AE185" s="926"/>
      <c r="AF185" s="926"/>
      <c r="AG185" s="926"/>
      <c r="AH185" s="926"/>
      <c r="AI185" s="926"/>
      <c r="AJ185" s="926"/>
    </row>
    <row r="186" spans="1:36" ht="15" customHeight="1" x14ac:dyDescent="0.3">
      <c r="A186" s="926"/>
      <c r="B186" s="609"/>
      <c r="C186" s="962"/>
      <c r="D186" s="40"/>
      <c r="E186" s="2500"/>
      <c r="F186" s="2410"/>
      <c r="G186" s="2509"/>
      <c r="H186" s="2509"/>
      <c r="I186" s="2504"/>
      <c r="J186" s="2504"/>
      <c r="K186" s="2507"/>
      <c r="L186" s="2507"/>
      <c r="M186" s="2504"/>
      <c r="N186" s="2504"/>
      <c r="O186" s="2504"/>
      <c r="P186" s="2504"/>
      <c r="Q186" s="2509"/>
      <c r="R186" s="2512"/>
      <c r="S186" s="40"/>
      <c r="T186" s="963"/>
      <c r="U186" s="609"/>
      <c r="V186" s="926"/>
      <c r="W186" s="926"/>
      <c r="X186" s="926"/>
      <c r="Y186" s="926"/>
      <c r="Z186" s="926"/>
      <c r="AA186" s="926"/>
      <c r="AB186" s="926"/>
      <c r="AC186" s="926"/>
      <c r="AD186" s="926"/>
      <c r="AE186" s="926"/>
      <c r="AF186" s="926"/>
      <c r="AG186" s="926"/>
      <c r="AH186" s="926"/>
      <c r="AI186" s="926"/>
      <c r="AJ186" s="926"/>
    </row>
    <row r="187" spans="1:36" ht="15" customHeight="1" thickBot="1" x14ac:dyDescent="0.35">
      <c r="A187" s="926"/>
      <c r="B187" s="609"/>
      <c r="C187" s="962"/>
      <c r="D187" s="40"/>
      <c r="E187" s="2501"/>
      <c r="F187" s="2502"/>
      <c r="G187" s="2510"/>
      <c r="H187" s="2510"/>
      <c r="I187" s="2505"/>
      <c r="J187" s="2505"/>
      <c r="K187" s="2508"/>
      <c r="L187" s="2508"/>
      <c r="M187" s="2505"/>
      <c r="N187" s="2505"/>
      <c r="O187" s="2505"/>
      <c r="P187" s="2505"/>
      <c r="Q187" s="2510"/>
      <c r="R187" s="2513"/>
      <c r="S187" s="40"/>
      <c r="T187" s="963"/>
      <c r="U187" s="609"/>
      <c r="V187" s="926"/>
      <c r="W187" s="926"/>
      <c r="X187" s="926"/>
      <c r="Y187" s="926"/>
      <c r="Z187" s="926"/>
      <c r="AA187" s="926"/>
      <c r="AB187" s="926"/>
      <c r="AC187" s="926"/>
      <c r="AD187" s="926"/>
      <c r="AE187" s="926"/>
      <c r="AF187" s="926"/>
      <c r="AG187" s="926"/>
      <c r="AH187" s="926"/>
      <c r="AI187" s="926"/>
      <c r="AJ187" s="926"/>
    </row>
    <row r="188" spans="1:36" ht="15" customHeight="1" x14ac:dyDescent="0.3">
      <c r="A188" s="926"/>
      <c r="B188" s="609"/>
      <c r="C188" s="962"/>
      <c r="D188" s="40"/>
      <c r="E188" s="40"/>
      <c r="F188" s="40"/>
      <c r="G188" s="40"/>
      <c r="H188" s="40"/>
      <c r="I188" s="40"/>
      <c r="J188" s="40"/>
      <c r="K188" s="40"/>
      <c r="L188" s="40"/>
      <c r="M188" s="40"/>
      <c r="N188" s="40"/>
      <c r="O188" s="40"/>
      <c r="P188" s="40"/>
      <c r="Q188" s="40"/>
      <c r="R188" s="40"/>
      <c r="S188" s="40"/>
      <c r="T188" s="963"/>
      <c r="U188" s="609"/>
      <c r="V188" s="926"/>
      <c r="W188" s="926"/>
      <c r="X188" s="926"/>
      <c r="Y188" s="926"/>
      <c r="Z188" s="926"/>
      <c r="AA188" s="926"/>
      <c r="AB188" s="926"/>
      <c r="AC188" s="926"/>
      <c r="AD188" s="926"/>
      <c r="AE188" s="926"/>
      <c r="AF188" s="926"/>
      <c r="AG188" s="926"/>
      <c r="AH188" s="926"/>
      <c r="AI188" s="926"/>
      <c r="AJ188" s="926"/>
    </row>
    <row r="189" spans="1:36" ht="15" customHeight="1" thickBot="1" x14ac:dyDescent="0.35">
      <c r="A189" s="926"/>
      <c r="B189" s="609"/>
      <c r="C189" s="962"/>
      <c r="D189" s="40"/>
      <c r="E189" s="40"/>
      <c r="F189" s="40"/>
      <c r="G189" s="40"/>
      <c r="H189" s="40"/>
      <c r="I189" s="40"/>
      <c r="J189" s="40"/>
      <c r="K189" s="40"/>
      <c r="L189" s="40"/>
      <c r="M189" s="40"/>
      <c r="N189" s="40"/>
      <c r="O189" s="40"/>
      <c r="P189" s="40"/>
      <c r="Q189" s="40"/>
      <c r="R189" s="40"/>
      <c r="S189" s="40"/>
      <c r="T189" s="963"/>
      <c r="U189" s="609"/>
      <c r="V189" s="926"/>
      <c r="W189" s="926"/>
      <c r="X189" s="926"/>
      <c r="Y189" s="926"/>
      <c r="Z189" s="926"/>
      <c r="AA189" s="926"/>
      <c r="AB189" s="926"/>
      <c r="AC189" s="926"/>
      <c r="AD189" s="926"/>
      <c r="AE189" s="926"/>
      <c r="AF189" s="926"/>
      <c r="AG189" s="926"/>
      <c r="AH189" s="926"/>
      <c r="AI189" s="926"/>
      <c r="AJ189" s="926"/>
    </row>
    <row r="190" spans="1:36" ht="15" customHeight="1" thickTop="1" x14ac:dyDescent="0.3">
      <c r="A190" s="926"/>
      <c r="B190" s="609"/>
      <c r="C190" s="962"/>
      <c r="D190" s="40"/>
      <c r="E190" s="40"/>
      <c r="F190" s="40"/>
      <c r="G190" s="2376" t="str">
        <f>BM279</f>
        <v>You have answered all of the questions for this page. Press the next page button to move to the excess manure page.</v>
      </c>
      <c r="H190" s="2377"/>
      <c r="I190" s="2377"/>
      <c r="J190" s="2377"/>
      <c r="K190" s="2377"/>
      <c r="L190" s="2377"/>
      <c r="M190" s="2377"/>
      <c r="N190" s="2377"/>
      <c r="O190" s="2377"/>
      <c r="P190" s="2378"/>
      <c r="Q190" s="40"/>
      <c r="R190" s="40"/>
      <c r="S190" s="40"/>
      <c r="T190" s="963"/>
      <c r="U190" s="609"/>
      <c r="V190" s="926"/>
      <c r="W190" s="926"/>
      <c r="X190" s="926"/>
      <c r="Y190" s="926"/>
      <c r="Z190" s="926"/>
      <c r="AA190" s="926"/>
      <c r="AB190" s="926"/>
      <c r="AC190" s="926"/>
      <c r="AD190" s="926"/>
      <c r="AE190" s="926"/>
      <c r="AF190" s="926"/>
      <c r="AG190" s="926"/>
      <c r="AH190" s="926"/>
      <c r="AI190" s="926"/>
      <c r="AJ190" s="926"/>
    </row>
    <row r="191" spans="1:36" ht="15" customHeight="1" x14ac:dyDescent="0.3">
      <c r="A191" s="926"/>
      <c r="B191" s="609"/>
      <c r="C191" s="962"/>
      <c r="D191" s="40"/>
      <c r="E191" s="40"/>
      <c r="F191" s="40"/>
      <c r="G191" s="2379"/>
      <c r="H191" s="2380"/>
      <c r="I191" s="2380"/>
      <c r="J191" s="2380"/>
      <c r="K191" s="2380"/>
      <c r="L191" s="2380"/>
      <c r="M191" s="2380"/>
      <c r="N191" s="2380"/>
      <c r="O191" s="2380"/>
      <c r="P191" s="2381"/>
      <c r="Q191" s="40"/>
      <c r="R191" s="40"/>
      <c r="S191" s="40"/>
      <c r="T191" s="963"/>
      <c r="U191" s="609"/>
      <c r="V191" s="926"/>
      <c r="W191" s="926"/>
      <c r="X191" s="926"/>
      <c r="Y191" s="926"/>
      <c r="Z191" s="926"/>
      <c r="AA191" s="926"/>
      <c r="AB191" s="926"/>
      <c r="AC191" s="926"/>
      <c r="AD191" s="926"/>
      <c r="AE191" s="926"/>
      <c r="AF191" s="926"/>
      <c r="AG191" s="926"/>
      <c r="AH191" s="926"/>
      <c r="AI191" s="926"/>
      <c r="AJ191" s="926"/>
    </row>
    <row r="192" spans="1:36" ht="15" customHeight="1" x14ac:dyDescent="0.3">
      <c r="A192" s="926"/>
      <c r="B192" s="609"/>
      <c r="C192" s="962"/>
      <c r="D192" s="40"/>
      <c r="E192" s="40"/>
      <c r="F192" s="40"/>
      <c r="G192" s="2379"/>
      <c r="H192" s="2380"/>
      <c r="I192" s="2380"/>
      <c r="J192" s="2380"/>
      <c r="K192" s="2380"/>
      <c r="L192" s="2380"/>
      <c r="M192" s="2380"/>
      <c r="N192" s="2380"/>
      <c r="O192" s="2380"/>
      <c r="P192" s="2381"/>
      <c r="Q192" s="40"/>
      <c r="R192" s="40"/>
      <c r="S192" s="40"/>
      <c r="T192" s="963"/>
      <c r="U192" s="609"/>
      <c r="V192" s="926"/>
      <c r="W192" s="926"/>
      <c r="X192" s="926"/>
      <c r="Y192" s="926"/>
      <c r="Z192" s="926"/>
      <c r="AA192" s="926"/>
      <c r="AB192" s="926"/>
      <c r="AC192" s="926"/>
      <c r="AD192" s="926"/>
      <c r="AE192" s="926"/>
      <c r="AF192" s="926"/>
      <c r="AG192" s="926"/>
      <c r="AH192" s="926"/>
      <c r="AI192" s="926"/>
      <c r="AJ192" s="926"/>
    </row>
    <row r="193" spans="1:36" ht="15" customHeight="1" x14ac:dyDescent="0.3">
      <c r="A193" s="926"/>
      <c r="B193" s="609"/>
      <c r="C193" s="962"/>
      <c r="D193" s="40"/>
      <c r="E193" s="40"/>
      <c r="F193" s="40"/>
      <c r="G193" s="2379"/>
      <c r="H193" s="2380"/>
      <c r="I193" s="2380"/>
      <c r="J193" s="2380"/>
      <c r="K193" s="2380"/>
      <c r="L193" s="2380"/>
      <c r="M193" s="2380"/>
      <c r="N193" s="2380"/>
      <c r="O193" s="2380"/>
      <c r="P193" s="2381"/>
      <c r="Q193" s="40"/>
      <c r="R193" s="40"/>
      <c r="S193" s="40"/>
      <c r="T193" s="963"/>
      <c r="U193" s="609"/>
      <c r="V193" s="926"/>
      <c r="W193" s="926"/>
      <c r="X193" s="926"/>
      <c r="Y193" s="926"/>
      <c r="Z193" s="926"/>
      <c r="AA193" s="926"/>
      <c r="AB193" s="926"/>
      <c r="AC193" s="926"/>
      <c r="AD193" s="926"/>
      <c r="AE193" s="926"/>
      <c r="AF193" s="926"/>
      <c r="AG193" s="926"/>
      <c r="AH193" s="926"/>
      <c r="AI193" s="926"/>
      <c r="AJ193" s="926"/>
    </row>
    <row r="194" spans="1:36" ht="15" customHeight="1" thickBot="1" x14ac:dyDescent="0.35">
      <c r="A194" s="926"/>
      <c r="B194" s="609"/>
      <c r="C194" s="962"/>
      <c r="D194" s="40"/>
      <c r="E194" s="40"/>
      <c r="F194" s="40"/>
      <c r="G194" s="2382"/>
      <c r="H194" s="2383"/>
      <c r="I194" s="2383"/>
      <c r="J194" s="2383"/>
      <c r="K194" s="2383"/>
      <c r="L194" s="2383"/>
      <c r="M194" s="2383"/>
      <c r="N194" s="2383"/>
      <c r="O194" s="2383"/>
      <c r="P194" s="2384"/>
      <c r="Q194" s="40"/>
      <c r="R194" s="40"/>
      <c r="S194" s="40"/>
      <c r="T194" s="963"/>
      <c r="U194" s="609"/>
      <c r="V194" s="926"/>
      <c r="W194" s="926"/>
      <c r="X194" s="926"/>
      <c r="Y194" s="926"/>
      <c r="Z194" s="926"/>
      <c r="AA194" s="926"/>
      <c r="AB194" s="926"/>
      <c r="AC194" s="926"/>
      <c r="AD194" s="926"/>
      <c r="AE194" s="926"/>
      <c r="AF194" s="926"/>
      <c r="AG194" s="926"/>
      <c r="AH194" s="926"/>
      <c r="AI194" s="926"/>
      <c r="AJ194" s="926"/>
    </row>
    <row r="195" spans="1:36" ht="15" customHeight="1" thickTop="1" x14ac:dyDescent="0.3">
      <c r="A195" s="926"/>
      <c r="B195" s="609"/>
      <c r="C195" s="962"/>
      <c r="D195" s="40"/>
      <c r="E195" s="40"/>
      <c r="F195" s="40"/>
      <c r="G195" s="40"/>
      <c r="H195" s="40"/>
      <c r="I195" s="40"/>
      <c r="J195" s="40"/>
      <c r="K195" s="40"/>
      <c r="L195" s="40"/>
      <c r="M195" s="40"/>
      <c r="N195" s="40"/>
      <c r="O195" s="40"/>
      <c r="P195" s="40"/>
      <c r="Q195" s="40"/>
      <c r="R195" s="40"/>
      <c r="S195" s="40"/>
      <c r="T195" s="963"/>
      <c r="U195" s="609"/>
      <c r="V195" s="926"/>
      <c r="W195" s="926"/>
      <c r="X195" s="926"/>
      <c r="Y195" s="926"/>
      <c r="Z195" s="926"/>
      <c r="AA195" s="926"/>
      <c r="AB195" s="926"/>
      <c r="AC195" s="926"/>
      <c r="AD195" s="926"/>
      <c r="AE195" s="926"/>
      <c r="AF195" s="926"/>
      <c r="AG195" s="926"/>
      <c r="AH195" s="926"/>
      <c r="AI195" s="926"/>
      <c r="AJ195" s="926"/>
    </row>
    <row r="196" spans="1:36" ht="15" customHeight="1" thickBot="1" x14ac:dyDescent="0.35">
      <c r="A196" s="926"/>
      <c r="B196" s="609"/>
      <c r="C196" s="964"/>
      <c r="D196" s="965"/>
      <c r="E196" s="965"/>
      <c r="F196" s="965"/>
      <c r="G196" s="965"/>
      <c r="H196" s="965"/>
      <c r="I196" s="965"/>
      <c r="J196" s="965"/>
      <c r="K196" s="965"/>
      <c r="L196" s="965"/>
      <c r="M196" s="965"/>
      <c r="N196" s="965"/>
      <c r="O196" s="965"/>
      <c r="P196" s="965"/>
      <c r="Q196" s="965"/>
      <c r="R196" s="965"/>
      <c r="S196" s="965"/>
      <c r="T196" s="966"/>
      <c r="U196" s="609"/>
      <c r="V196" s="926"/>
      <c r="W196" s="926"/>
      <c r="X196" s="926"/>
      <c r="Y196" s="926"/>
      <c r="Z196" s="926"/>
      <c r="AA196" s="926"/>
      <c r="AB196" s="926"/>
      <c r="AC196" s="926"/>
      <c r="AD196" s="926"/>
      <c r="AE196" s="926"/>
      <c r="AF196" s="926"/>
      <c r="AG196" s="926"/>
      <c r="AH196" s="926"/>
      <c r="AI196" s="926"/>
      <c r="AJ196" s="926"/>
    </row>
    <row r="197" spans="1:36" ht="15" customHeight="1" x14ac:dyDescent="0.3">
      <c r="A197" s="926"/>
      <c r="B197" s="609"/>
      <c r="C197" s="609"/>
      <c r="D197" s="609"/>
      <c r="E197" s="609"/>
      <c r="F197" s="609"/>
      <c r="G197" s="609"/>
      <c r="H197" s="609"/>
      <c r="I197" s="609"/>
      <c r="J197" s="609"/>
      <c r="K197" s="609"/>
      <c r="L197" s="609"/>
      <c r="M197" s="609"/>
      <c r="N197" s="609"/>
      <c r="O197" s="609"/>
      <c r="P197" s="609"/>
      <c r="Q197" s="609"/>
      <c r="R197" s="609"/>
      <c r="S197" s="609"/>
      <c r="T197" s="609"/>
      <c r="U197" s="609"/>
      <c r="V197" s="926"/>
      <c r="W197" s="926"/>
      <c r="X197" s="926"/>
      <c r="Y197" s="926"/>
      <c r="Z197" s="926"/>
      <c r="AA197" s="926"/>
      <c r="AB197" s="926"/>
      <c r="AC197" s="926"/>
      <c r="AD197" s="926"/>
      <c r="AE197" s="926"/>
      <c r="AF197" s="926"/>
      <c r="AG197" s="926"/>
      <c r="AH197" s="926"/>
      <c r="AI197" s="926"/>
      <c r="AJ197" s="926"/>
    </row>
    <row r="198" spans="1:36" ht="15.75" customHeight="1" thickBot="1" x14ac:dyDescent="0.35">
      <c r="A198" s="926"/>
      <c r="B198" s="926"/>
      <c r="C198" s="923"/>
      <c r="D198" s="923"/>
      <c r="E198" s="923"/>
      <c r="F198" s="923"/>
      <c r="G198" s="923"/>
      <c r="H198" s="923"/>
      <c r="I198" s="923"/>
      <c r="J198" s="923"/>
      <c r="K198" s="923"/>
      <c r="L198" s="923"/>
      <c r="M198" s="923"/>
      <c r="N198" s="923"/>
      <c r="O198" s="923"/>
      <c r="P198" s="923"/>
      <c r="Q198" s="923"/>
      <c r="R198" s="923"/>
      <c r="S198" s="923"/>
      <c r="T198" s="923"/>
      <c r="U198" s="926"/>
      <c r="V198" s="926"/>
      <c r="W198" s="926"/>
      <c r="X198" s="926"/>
      <c r="Y198" s="926"/>
      <c r="Z198" s="926"/>
      <c r="AA198" s="926"/>
      <c r="AB198" s="926"/>
      <c r="AC198" s="926"/>
      <c r="AD198" s="926"/>
      <c r="AE198" s="926"/>
      <c r="AF198" s="926"/>
      <c r="AG198" s="926"/>
      <c r="AH198" s="926"/>
      <c r="AI198" s="926"/>
      <c r="AJ198" s="926"/>
    </row>
    <row r="199" spans="1:36" ht="15.75" customHeight="1" thickBot="1" x14ac:dyDescent="0.35">
      <c r="A199" s="926"/>
      <c r="B199" s="926"/>
      <c r="C199" s="923"/>
      <c r="D199" s="923"/>
      <c r="E199" s="923"/>
      <c r="F199" s="2345" t="s">
        <v>0</v>
      </c>
      <c r="G199" s="2346"/>
      <c r="H199" s="2345" t="s">
        <v>1</v>
      </c>
      <c r="I199" s="2346"/>
      <c r="J199" s="2345" t="s">
        <v>2</v>
      </c>
      <c r="K199" s="2346"/>
      <c r="L199" s="2362" t="s">
        <v>3</v>
      </c>
      <c r="M199" s="2363"/>
      <c r="N199" s="2345" t="s">
        <v>4</v>
      </c>
      <c r="O199" s="2346"/>
      <c r="P199" s="2345" t="s">
        <v>5</v>
      </c>
      <c r="Q199" s="2346"/>
      <c r="R199" s="1739"/>
      <c r="S199" s="926"/>
      <c r="T199" s="926"/>
      <c r="U199" s="926"/>
      <c r="V199" s="926"/>
      <c r="W199" s="926"/>
      <c r="X199" s="926"/>
      <c r="Y199" s="926"/>
      <c r="Z199" s="926"/>
      <c r="AA199" s="926"/>
      <c r="AB199" s="926"/>
      <c r="AC199" s="926"/>
      <c r="AD199" s="926"/>
      <c r="AE199" s="926"/>
      <c r="AF199" s="926"/>
      <c r="AG199" s="926"/>
      <c r="AH199" s="926"/>
      <c r="AI199" s="926"/>
      <c r="AJ199" s="926"/>
    </row>
    <row r="200" spans="1:36" ht="16.8" thickTop="1" thickBot="1" x14ac:dyDescent="0.35">
      <c r="A200" s="926"/>
      <c r="B200" s="926"/>
      <c r="C200" s="923"/>
      <c r="D200" s="923"/>
      <c r="E200" s="923"/>
      <c r="F200" s="2347"/>
      <c r="G200" s="2348"/>
      <c r="H200" s="2347"/>
      <c r="I200" s="2348"/>
      <c r="J200" s="2347"/>
      <c r="K200" s="2348"/>
      <c r="L200" s="2364"/>
      <c r="M200" s="2365"/>
      <c r="N200" s="2347"/>
      <c r="O200" s="2348"/>
      <c r="P200" s="2347"/>
      <c r="Q200" s="2348"/>
      <c r="R200" s="1739"/>
      <c r="S200" s="926"/>
      <c r="T200" s="926"/>
      <c r="U200" s="926"/>
      <c r="V200" s="926"/>
      <c r="W200" s="926"/>
      <c r="X200" s="926"/>
      <c r="Y200" s="926"/>
      <c r="Z200" s="926"/>
      <c r="AA200" s="926"/>
      <c r="AB200" s="926"/>
      <c r="AC200" s="926"/>
      <c r="AD200" s="926"/>
      <c r="AE200" s="926"/>
      <c r="AF200" s="926"/>
      <c r="AG200" s="926"/>
      <c r="AH200" s="926"/>
      <c r="AI200" s="926"/>
      <c r="AJ200" s="926"/>
    </row>
    <row r="201" spans="1:36" ht="17.25" customHeight="1" thickTop="1" thickBot="1" x14ac:dyDescent="0.35">
      <c r="A201" s="926"/>
      <c r="B201" s="926"/>
      <c r="C201" s="2345" t="s">
        <v>6</v>
      </c>
      <c r="D201" s="2351"/>
      <c r="E201" s="923"/>
      <c r="F201" s="2349"/>
      <c r="G201" s="2350"/>
      <c r="H201" s="2349"/>
      <c r="I201" s="2350"/>
      <c r="J201" s="2349"/>
      <c r="K201" s="2350"/>
      <c r="L201" s="2366"/>
      <c r="M201" s="2367"/>
      <c r="N201" s="2349"/>
      <c r="O201" s="2350"/>
      <c r="P201" s="2349"/>
      <c r="Q201" s="2350"/>
      <c r="R201" s="926"/>
      <c r="S201" s="2356" t="s">
        <v>7</v>
      </c>
      <c r="T201" s="2357"/>
      <c r="U201" s="926"/>
      <c r="V201" s="926"/>
      <c r="W201" s="926"/>
      <c r="X201" s="926"/>
      <c r="Y201" s="926"/>
      <c r="Z201" s="926"/>
      <c r="AA201" s="926"/>
      <c r="AB201" s="926"/>
      <c r="AC201" s="926"/>
      <c r="AD201" s="926"/>
      <c r="AE201" s="926"/>
      <c r="AF201" s="926"/>
      <c r="AG201" s="926"/>
      <c r="AH201" s="926"/>
      <c r="AI201" s="926"/>
      <c r="AJ201" s="926"/>
    </row>
    <row r="202" spans="1:36" ht="15.75" customHeight="1" thickTop="1" thickBot="1" x14ac:dyDescent="0.35">
      <c r="A202" s="926"/>
      <c r="B202" s="926"/>
      <c r="C202" s="2352"/>
      <c r="D202" s="2353"/>
      <c r="E202" s="923"/>
      <c r="F202" s="926"/>
      <c r="G202" s="2345" t="s">
        <v>8</v>
      </c>
      <c r="H202" s="2346"/>
      <c r="I202" s="2345" t="s">
        <v>9</v>
      </c>
      <c r="J202" s="2346"/>
      <c r="K202" s="2345" t="s">
        <v>10</v>
      </c>
      <c r="L202" s="2346"/>
      <c r="M202" s="2345" t="s">
        <v>11</v>
      </c>
      <c r="N202" s="2346"/>
      <c r="O202" s="2345" t="s">
        <v>12</v>
      </c>
      <c r="P202" s="2346"/>
      <c r="Q202" s="926"/>
      <c r="R202" s="926"/>
      <c r="S202" s="2358"/>
      <c r="T202" s="2359"/>
      <c r="U202" s="926"/>
      <c r="V202" s="926"/>
      <c r="W202" s="926"/>
      <c r="X202" s="926"/>
      <c r="Y202" s="926"/>
      <c r="Z202" s="926"/>
      <c r="AA202" s="926"/>
      <c r="AB202" s="926"/>
      <c r="AC202" s="926"/>
      <c r="AD202" s="926"/>
      <c r="AE202" s="926"/>
      <c r="AF202" s="926"/>
      <c r="AG202" s="926"/>
      <c r="AH202" s="926"/>
      <c r="AI202" s="926"/>
      <c r="AJ202" s="926"/>
    </row>
    <row r="203" spans="1:36" ht="16.8" thickTop="1" thickBot="1" x14ac:dyDescent="0.35">
      <c r="A203" s="926"/>
      <c r="B203" s="926"/>
      <c r="C203" s="2354"/>
      <c r="D203" s="2355"/>
      <c r="E203" s="923"/>
      <c r="F203" s="926"/>
      <c r="G203" s="2347"/>
      <c r="H203" s="2348"/>
      <c r="I203" s="2347"/>
      <c r="J203" s="2348"/>
      <c r="K203" s="2347"/>
      <c r="L203" s="2348"/>
      <c r="M203" s="2347"/>
      <c r="N203" s="2348"/>
      <c r="O203" s="2347"/>
      <c r="P203" s="2348"/>
      <c r="Q203" s="926"/>
      <c r="R203" s="926"/>
      <c r="S203" s="2360"/>
      <c r="T203" s="2361"/>
      <c r="U203" s="926"/>
      <c r="V203" s="926"/>
      <c r="W203" s="926"/>
      <c r="X203" s="926"/>
      <c r="Y203" s="926"/>
      <c r="Z203" s="926"/>
      <c r="AA203" s="926"/>
      <c r="AB203" s="926"/>
      <c r="AC203" s="926"/>
      <c r="AD203" s="926"/>
      <c r="AE203" s="926"/>
      <c r="AF203" s="926"/>
      <c r="AG203" s="926"/>
      <c r="AH203" s="926"/>
      <c r="AI203" s="926"/>
      <c r="AJ203" s="926"/>
    </row>
    <row r="204" spans="1:36" ht="16.8" thickTop="1" thickBot="1" x14ac:dyDescent="0.35">
      <c r="A204" s="926"/>
      <c r="B204" s="926"/>
      <c r="C204" s="923"/>
      <c r="D204" s="923"/>
      <c r="E204" s="923"/>
      <c r="F204" s="926"/>
      <c r="G204" s="2349"/>
      <c r="H204" s="2350"/>
      <c r="I204" s="2349"/>
      <c r="J204" s="2350"/>
      <c r="K204" s="2349"/>
      <c r="L204" s="2350"/>
      <c r="M204" s="2349"/>
      <c r="N204" s="2350"/>
      <c r="O204" s="2349"/>
      <c r="P204" s="2350"/>
      <c r="Q204" s="923"/>
      <c r="R204" s="923"/>
      <c r="S204" s="926"/>
      <c r="T204" s="926"/>
      <c r="U204" s="926"/>
      <c r="V204" s="926"/>
      <c r="W204" s="926"/>
      <c r="X204" s="926"/>
      <c r="Y204" s="926"/>
      <c r="Z204" s="926"/>
      <c r="AA204" s="926"/>
      <c r="AB204" s="926"/>
      <c r="AC204" s="926"/>
      <c r="AD204" s="926"/>
      <c r="AE204" s="926"/>
      <c r="AF204" s="926"/>
      <c r="AG204" s="926"/>
      <c r="AH204" s="926"/>
      <c r="AI204" s="926"/>
      <c r="AJ204" s="926"/>
    </row>
    <row r="205" spans="1:36" x14ac:dyDescent="0.3">
      <c r="A205" s="926"/>
      <c r="B205" s="926"/>
      <c r="C205" s="926"/>
      <c r="D205" s="926"/>
      <c r="E205" s="926"/>
      <c r="F205" s="926"/>
      <c r="G205" s="926"/>
      <c r="H205" s="926"/>
      <c r="I205" s="926"/>
      <c r="J205" s="926"/>
      <c r="K205" s="926"/>
      <c r="L205" s="926"/>
      <c r="M205" s="926"/>
      <c r="N205" s="926"/>
      <c r="O205" s="926"/>
      <c r="P205" s="926"/>
      <c r="Q205" s="926"/>
      <c r="R205" s="926"/>
      <c r="S205" s="926"/>
      <c r="T205" s="926"/>
      <c r="U205" s="926"/>
      <c r="V205" s="926"/>
      <c r="W205" s="926"/>
      <c r="X205" s="926"/>
      <c r="Y205" s="926"/>
      <c r="Z205" s="926"/>
      <c r="AA205" s="926"/>
      <c r="AB205" s="926"/>
      <c r="AC205" s="926"/>
      <c r="AD205" s="926"/>
      <c r="AE205" s="926"/>
      <c r="AF205" s="926"/>
      <c r="AG205" s="926"/>
      <c r="AH205" s="926"/>
      <c r="AI205" s="926"/>
      <c r="AJ205" s="926"/>
    </row>
    <row r="206" spans="1:36" x14ac:dyDescent="0.3">
      <c r="A206" s="926"/>
      <c r="B206" s="926"/>
      <c r="C206" s="926"/>
      <c r="D206" s="926"/>
      <c r="E206" s="926"/>
      <c r="F206" s="926"/>
      <c r="G206" s="926"/>
      <c r="H206" s="926"/>
      <c r="I206" s="926"/>
      <c r="J206" s="926"/>
      <c r="K206" s="926"/>
      <c r="L206" s="926"/>
      <c r="M206" s="926"/>
      <c r="N206" s="926"/>
      <c r="O206" s="926"/>
      <c r="P206" s="926"/>
      <c r="Q206" s="926"/>
      <c r="R206" s="926"/>
      <c r="S206" s="926"/>
      <c r="T206" s="926"/>
      <c r="U206" s="926"/>
      <c r="V206" s="926"/>
      <c r="W206" s="926"/>
      <c r="X206" s="926"/>
      <c r="Y206" s="926"/>
      <c r="Z206" s="926"/>
      <c r="AA206" s="926"/>
      <c r="AB206" s="926"/>
      <c r="AC206" s="926"/>
      <c r="AD206" s="926"/>
      <c r="AE206" s="926"/>
      <c r="AF206" s="926"/>
      <c r="AG206" s="926"/>
      <c r="AH206" s="926"/>
      <c r="AI206" s="926"/>
      <c r="AJ206" s="926"/>
    </row>
    <row r="207" spans="1:36" x14ac:dyDescent="0.3">
      <c r="A207" s="926"/>
      <c r="B207" s="926"/>
      <c r="C207" s="926"/>
      <c r="D207" s="926"/>
      <c r="E207" s="926"/>
      <c r="F207" s="926"/>
      <c r="G207" s="926"/>
      <c r="H207" s="926"/>
      <c r="I207" s="926"/>
      <c r="J207" s="926"/>
      <c r="K207" s="926"/>
      <c r="L207" s="926"/>
      <c r="M207" s="926"/>
      <c r="N207" s="926"/>
      <c r="O207" s="926"/>
      <c r="P207" s="926"/>
      <c r="Q207" s="926"/>
      <c r="R207" s="926"/>
      <c r="S207" s="926"/>
      <c r="T207" s="926"/>
      <c r="U207" s="926"/>
      <c r="V207" s="926"/>
      <c r="W207" s="926"/>
      <c r="X207" s="926"/>
      <c r="Y207" s="926"/>
      <c r="Z207" s="926"/>
      <c r="AA207" s="926"/>
      <c r="AB207" s="926"/>
      <c r="AC207" s="926"/>
      <c r="AD207" s="926"/>
      <c r="AE207" s="926"/>
      <c r="AF207" s="926"/>
      <c r="AG207" s="926"/>
      <c r="AH207" s="926"/>
      <c r="AI207" s="926"/>
      <c r="AJ207" s="926"/>
    </row>
    <row r="208" spans="1:36" x14ac:dyDescent="0.3">
      <c r="A208" s="926"/>
      <c r="B208" s="926"/>
      <c r="C208" s="926"/>
      <c r="D208" s="926"/>
      <c r="E208" s="926"/>
      <c r="F208" s="926"/>
      <c r="G208" s="926"/>
      <c r="H208" s="926"/>
      <c r="I208" s="926"/>
      <c r="J208" s="926"/>
      <c r="K208" s="926"/>
      <c r="L208" s="926"/>
      <c r="M208" s="926"/>
      <c r="N208" s="926"/>
      <c r="O208" s="926"/>
      <c r="P208" s="926"/>
      <c r="Q208" s="926"/>
      <c r="R208" s="926"/>
      <c r="S208" s="926"/>
      <c r="T208" s="926"/>
      <c r="U208" s="926"/>
      <c r="V208" s="926"/>
      <c r="W208" s="926"/>
      <c r="X208" s="926"/>
      <c r="Y208" s="926"/>
      <c r="Z208" s="926"/>
      <c r="AA208" s="926"/>
      <c r="AB208" s="926"/>
      <c r="AC208" s="926"/>
      <c r="AD208" s="926"/>
      <c r="AE208" s="926"/>
      <c r="AF208" s="926"/>
      <c r="AG208" s="926"/>
      <c r="AH208" s="926"/>
      <c r="AI208" s="926"/>
      <c r="AJ208" s="926"/>
    </row>
    <row r="209" spans="1:36" x14ac:dyDescent="0.3">
      <c r="A209" s="926"/>
      <c r="B209" s="926"/>
      <c r="C209" s="926"/>
      <c r="D209" s="926"/>
      <c r="E209" s="926"/>
      <c r="F209" s="926"/>
      <c r="G209" s="926"/>
      <c r="H209" s="926"/>
      <c r="I209" s="926"/>
      <c r="J209" s="926"/>
      <c r="K209" s="926"/>
      <c r="L209" s="926"/>
      <c r="M209" s="926"/>
      <c r="N209" s="926"/>
      <c r="O209" s="926"/>
      <c r="P209" s="926"/>
      <c r="Q209" s="926"/>
      <c r="R209" s="926"/>
      <c r="S209" s="926"/>
      <c r="T209" s="926"/>
      <c r="U209" s="926"/>
      <c r="V209" s="926"/>
      <c r="W209" s="926"/>
      <c r="X209" s="926"/>
      <c r="Y209" s="926"/>
      <c r="Z209" s="926"/>
      <c r="AA209" s="926"/>
      <c r="AB209" s="926"/>
      <c r="AC209" s="926"/>
      <c r="AD209" s="926"/>
      <c r="AE209" s="926"/>
      <c r="AF209" s="926"/>
      <c r="AG209" s="926"/>
      <c r="AH209" s="926"/>
      <c r="AI209" s="926"/>
      <c r="AJ209" s="926"/>
    </row>
    <row r="210" spans="1:36" x14ac:dyDescent="0.3">
      <c r="A210" s="926"/>
      <c r="B210" s="926"/>
      <c r="C210" s="926"/>
      <c r="D210" s="926"/>
      <c r="E210" s="926"/>
      <c r="F210" s="926"/>
      <c r="G210" s="926"/>
      <c r="H210" s="926"/>
      <c r="I210" s="926"/>
      <c r="J210" s="926"/>
      <c r="K210" s="926"/>
      <c r="L210" s="926"/>
      <c r="M210" s="926"/>
      <c r="N210" s="926"/>
      <c r="O210" s="926"/>
      <c r="P210" s="926"/>
      <c r="Q210" s="926"/>
      <c r="R210" s="926"/>
      <c r="S210" s="926"/>
      <c r="T210" s="926"/>
      <c r="U210" s="926"/>
      <c r="V210" s="926"/>
      <c r="W210" s="926"/>
      <c r="X210" s="926"/>
      <c r="Y210" s="926"/>
      <c r="Z210" s="926"/>
      <c r="AA210" s="926"/>
      <c r="AB210" s="926"/>
      <c r="AC210" s="926"/>
      <c r="AD210" s="926"/>
      <c r="AE210" s="926"/>
      <c r="AF210" s="926"/>
      <c r="AG210" s="926"/>
      <c r="AH210" s="926"/>
      <c r="AI210" s="926"/>
      <c r="AJ210" s="926"/>
    </row>
    <row r="211" spans="1:36" x14ac:dyDescent="0.3">
      <c r="A211" s="926"/>
      <c r="B211" s="926"/>
      <c r="C211" s="926"/>
      <c r="D211" s="926"/>
      <c r="E211" s="926"/>
      <c r="F211" s="926"/>
      <c r="G211" s="926"/>
      <c r="H211" s="926"/>
      <c r="I211" s="926"/>
      <c r="J211" s="926"/>
      <c r="K211" s="926"/>
      <c r="L211" s="926"/>
      <c r="M211" s="926"/>
      <c r="N211" s="926"/>
      <c r="O211" s="926"/>
      <c r="P211" s="926"/>
      <c r="Q211" s="926"/>
      <c r="R211" s="926"/>
      <c r="S211" s="926"/>
      <c r="T211" s="926"/>
      <c r="U211" s="926"/>
      <c r="V211" s="926"/>
      <c r="W211" s="926"/>
      <c r="X211" s="926"/>
      <c r="Y211" s="926"/>
      <c r="Z211" s="926"/>
      <c r="AA211" s="926"/>
      <c r="AB211" s="926"/>
      <c r="AC211" s="926"/>
      <c r="AD211" s="926"/>
      <c r="AE211" s="926"/>
      <c r="AF211" s="926"/>
      <c r="AG211" s="926"/>
      <c r="AH211" s="926"/>
      <c r="AI211" s="926"/>
      <c r="AJ211" s="926"/>
    </row>
    <row r="212" spans="1:36" x14ac:dyDescent="0.3">
      <c r="A212" s="926"/>
      <c r="B212" s="926"/>
      <c r="C212" s="926"/>
      <c r="D212" s="926"/>
      <c r="E212" s="926"/>
      <c r="F212" s="926"/>
      <c r="G212" s="926"/>
      <c r="H212" s="926"/>
      <c r="I212" s="926"/>
      <c r="J212" s="926"/>
      <c r="K212" s="926"/>
      <c r="L212" s="926"/>
      <c r="M212" s="926"/>
      <c r="N212" s="926"/>
      <c r="O212" s="926"/>
      <c r="P212" s="926"/>
      <c r="Q212" s="926"/>
      <c r="R212" s="926"/>
      <c r="S212" s="926"/>
      <c r="T212" s="926"/>
      <c r="U212" s="926"/>
      <c r="V212" s="926"/>
      <c r="W212" s="926"/>
      <c r="X212" s="926"/>
      <c r="Y212" s="926"/>
      <c r="Z212" s="926"/>
      <c r="AA212" s="926"/>
      <c r="AB212" s="926"/>
      <c r="AC212" s="926"/>
      <c r="AD212" s="926"/>
      <c r="AE212" s="926"/>
      <c r="AF212" s="926"/>
      <c r="AG212" s="926"/>
      <c r="AH212" s="926"/>
      <c r="AI212" s="926"/>
      <c r="AJ212" s="926"/>
    </row>
    <row r="213" spans="1:36" x14ac:dyDescent="0.3">
      <c r="A213" s="926"/>
      <c r="B213" s="926"/>
      <c r="C213" s="926"/>
      <c r="D213" s="926"/>
      <c r="E213" s="926"/>
      <c r="F213" s="926"/>
      <c r="G213" s="926"/>
      <c r="H213" s="926"/>
      <c r="I213" s="926"/>
      <c r="J213" s="926"/>
      <c r="K213" s="926"/>
      <c r="L213" s="926"/>
      <c r="M213" s="926"/>
      <c r="N213" s="926"/>
      <c r="O213" s="926"/>
      <c r="P213" s="926"/>
      <c r="Q213" s="926"/>
      <c r="R213" s="926"/>
      <c r="S213" s="926"/>
      <c r="T213" s="926"/>
      <c r="U213" s="926"/>
      <c r="V213" s="926"/>
      <c r="W213" s="926"/>
      <c r="X213" s="926"/>
      <c r="Y213" s="926"/>
      <c r="Z213" s="926"/>
      <c r="AA213" s="926"/>
      <c r="AB213" s="926"/>
      <c r="AC213" s="926"/>
      <c r="AD213" s="926"/>
      <c r="AE213" s="926"/>
      <c r="AF213" s="926"/>
      <c r="AG213" s="926"/>
      <c r="AH213" s="926"/>
      <c r="AI213" s="926"/>
      <c r="AJ213" s="926"/>
    </row>
    <row r="214" spans="1:36" x14ac:dyDescent="0.3">
      <c r="A214" s="926"/>
      <c r="B214" s="926"/>
      <c r="C214" s="926"/>
      <c r="D214" s="926"/>
      <c r="E214" s="926"/>
      <c r="F214" s="926"/>
      <c r="G214" s="926"/>
      <c r="H214" s="926"/>
      <c r="I214" s="926"/>
      <c r="J214" s="926"/>
      <c r="K214" s="926"/>
      <c r="L214" s="926"/>
      <c r="M214" s="926"/>
      <c r="N214" s="926"/>
      <c r="O214" s="926"/>
      <c r="P214" s="926"/>
      <c r="Q214" s="926"/>
      <c r="R214" s="926"/>
      <c r="S214" s="926"/>
      <c r="T214" s="926"/>
      <c r="U214" s="926"/>
      <c r="V214" s="926"/>
      <c r="W214" s="926"/>
      <c r="X214" s="926"/>
      <c r="Y214" s="926"/>
      <c r="Z214" s="926"/>
      <c r="AA214" s="926"/>
      <c r="AB214" s="926"/>
      <c r="AC214" s="926"/>
      <c r="AD214" s="926"/>
      <c r="AE214" s="926"/>
      <c r="AF214" s="926"/>
      <c r="AG214" s="926"/>
      <c r="AH214" s="926"/>
      <c r="AI214" s="926"/>
      <c r="AJ214" s="926"/>
    </row>
    <row r="215" spans="1:36" x14ac:dyDescent="0.3">
      <c r="A215" s="926"/>
      <c r="B215" s="926"/>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row>
    <row r="216" spans="1:36" x14ac:dyDescent="0.3">
      <c r="A216" s="926"/>
      <c r="B216" s="926"/>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row>
    <row r="217" spans="1:36" x14ac:dyDescent="0.3">
      <c r="A217" s="926"/>
      <c r="B217" s="926"/>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row>
    <row r="218" spans="1:36" x14ac:dyDescent="0.3">
      <c r="A218" s="926"/>
      <c r="B218" s="926"/>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926"/>
      <c r="AD218" s="926"/>
      <c r="AE218" s="926"/>
      <c r="AF218" s="926"/>
      <c r="AG218" s="926"/>
      <c r="AH218" s="926"/>
      <c r="AI218" s="926"/>
      <c r="AJ218" s="926"/>
    </row>
    <row r="219" spans="1:36" x14ac:dyDescent="0.3">
      <c r="A219" s="926"/>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926"/>
      <c r="AD219" s="926"/>
      <c r="AE219" s="926"/>
      <c r="AF219" s="926"/>
      <c r="AG219" s="926"/>
      <c r="AH219" s="926"/>
      <c r="AI219" s="926"/>
      <c r="AJ219" s="926"/>
    </row>
    <row r="220" spans="1:36" x14ac:dyDescent="0.3">
      <c r="A220" s="926"/>
      <c r="B220" s="926"/>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926"/>
      <c r="AD220" s="926"/>
      <c r="AE220" s="926"/>
      <c r="AF220" s="926"/>
      <c r="AG220" s="926"/>
      <c r="AH220" s="926"/>
      <c r="AI220" s="926"/>
      <c r="AJ220" s="926"/>
    </row>
    <row r="221" spans="1:36" x14ac:dyDescent="0.3">
      <c r="A221" s="926"/>
      <c r="B221" s="926"/>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26"/>
    </row>
    <row r="222" spans="1:36" x14ac:dyDescent="0.3">
      <c r="A222" s="926"/>
      <c r="B222" s="926"/>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926"/>
      <c r="AD222" s="926"/>
      <c r="AE222" s="926"/>
      <c r="AF222" s="926"/>
      <c r="AG222" s="926"/>
      <c r="AH222" s="926"/>
      <c r="AI222" s="926"/>
      <c r="AJ222" s="926"/>
    </row>
    <row r="223" spans="1:36" x14ac:dyDescent="0.3">
      <c r="A223" s="926"/>
      <c r="B223" s="926"/>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926"/>
      <c r="AD223" s="926"/>
      <c r="AE223" s="926"/>
      <c r="AF223" s="926"/>
      <c r="AG223" s="926"/>
      <c r="AH223" s="926"/>
      <c r="AI223" s="926"/>
      <c r="AJ223" s="926"/>
    </row>
    <row r="224" spans="1:36" x14ac:dyDescent="0.3">
      <c r="A224" s="926"/>
      <c r="B224" s="926"/>
      <c r="C224" s="926"/>
      <c r="D224" s="926"/>
      <c r="E224" s="926"/>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926"/>
      <c r="AD224" s="926"/>
      <c r="AE224" s="926"/>
      <c r="AF224" s="926"/>
      <c r="AG224" s="926"/>
      <c r="AH224" s="926"/>
      <c r="AI224" s="926"/>
      <c r="AJ224" s="926"/>
    </row>
    <row r="225" spans="1:67" x14ac:dyDescent="0.3">
      <c r="A225" s="926"/>
      <c r="B225" s="926"/>
      <c r="C225" s="926"/>
      <c r="D225" s="926"/>
      <c r="E225" s="926"/>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926"/>
      <c r="AD225" s="926"/>
      <c r="AE225" s="926"/>
      <c r="AF225" s="926"/>
      <c r="AG225" s="926"/>
      <c r="AH225" s="926"/>
      <c r="AI225" s="926"/>
      <c r="AJ225" s="926"/>
    </row>
    <row r="226" spans="1:67" x14ac:dyDescent="0.3">
      <c r="A226" s="926"/>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926"/>
      <c r="AD226" s="926"/>
      <c r="AE226" s="926"/>
      <c r="AF226" s="926"/>
      <c r="AG226" s="926"/>
      <c r="AH226" s="926"/>
      <c r="AI226" s="926"/>
      <c r="AJ226" s="926"/>
    </row>
    <row r="235" spans="1:67" x14ac:dyDescent="0.3">
      <c r="BA235" s="82"/>
      <c r="BB235" s="82" t="s">
        <v>99</v>
      </c>
      <c r="BC235" s="82" t="s">
        <v>100</v>
      </c>
      <c r="BD235" s="82" t="s">
        <v>208</v>
      </c>
      <c r="BE235" s="82" t="s">
        <v>209</v>
      </c>
      <c r="BF235" s="82" t="s">
        <v>39</v>
      </c>
      <c r="BG235" s="82" t="s">
        <v>103</v>
      </c>
      <c r="BH235" s="82" t="s">
        <v>104</v>
      </c>
      <c r="BI235" s="82" t="s">
        <v>105</v>
      </c>
      <c r="BJ235" s="82" t="s">
        <v>41</v>
      </c>
      <c r="BK235" s="82" t="s">
        <v>42</v>
      </c>
      <c r="BL235" s="82" t="s">
        <v>108</v>
      </c>
      <c r="BM235" s="82" t="s">
        <v>109</v>
      </c>
      <c r="BN235" s="82" t="s">
        <v>210</v>
      </c>
      <c r="BO235" s="82" t="s">
        <v>111</v>
      </c>
    </row>
    <row r="236" spans="1:67" x14ac:dyDescent="0.3">
      <c r="BA236" s="82"/>
      <c r="BB236" s="82" t="s">
        <v>211</v>
      </c>
      <c r="BC236">
        <f>IF(BL236=1, BD236, BF236)</f>
        <v>25</v>
      </c>
      <c r="BD236" t="str">
        <f>IF(BG236,"",BE236)</f>
        <v/>
      </c>
      <c r="BE236" s="78">
        <f>K23</f>
        <v>0</v>
      </c>
      <c r="BF236">
        <f>INDEX(UDD,MATCH(BB236,UDN,0))</f>
        <v>25</v>
      </c>
      <c r="BG236" t="b">
        <f>ISBLANK(K23)</f>
        <v>1</v>
      </c>
      <c r="BH236" t="str">
        <f>INDEX(UDUnit,MATCH(BB236,UDN,0))</f>
        <v>ft</v>
      </c>
      <c r="BI236" t="str">
        <f>INDEX(UDF_Unit,MATCH(BB236,UDN,0))</f>
        <v>ft</v>
      </c>
      <c r="BJ236">
        <f>INDEX(UDMin,MATCH(BB236,UDN,0))</f>
        <v>6</v>
      </c>
      <c r="BK236">
        <f>INDEX(UDMax,MATCH(BB236,UDN,0))</f>
        <v>50</v>
      </c>
      <c r="BL236" s="608">
        <f>IF(AND(ISNUMBER(BD236),BJ236&lt;=BD236,BD236&lt;=BK236),1,0)</f>
        <v>0</v>
      </c>
      <c r="BM236" t="str">
        <f>INDEX(UD_Desc,MATCH(BB236,UDN,0))</f>
        <v>Maximum depth of a dug in storage facility, such as a pond or lagoon or reception pit, that can be built when considering local geography and equipment limitations.</v>
      </c>
      <c r="BN236" t="str">
        <f>IF(BL236=0,"Yes","No")</f>
        <v>Yes</v>
      </c>
      <c r="BO236" t="str">
        <f>IF(BG236,"Using default", IF(BL236=1,"Input accepted", "Input invalid, using default"))</f>
        <v>Using default</v>
      </c>
    </row>
    <row r="237" spans="1:67" x14ac:dyDescent="0.3">
      <c r="BA237" s="82"/>
      <c r="BB237" s="82" t="s">
        <v>212</v>
      </c>
      <c r="BC237" s="995">
        <f>IF(BL237=1,BD237,BF237)</f>
        <v>1</v>
      </c>
      <c r="BD237" t="str">
        <f t="shared" ref="BD237:BD271" si="5">IF(BG237,"",BE237)</f>
        <v/>
      </c>
      <c r="BE237" s="1782">
        <f>K33</f>
        <v>0</v>
      </c>
      <c r="BF237" s="995">
        <f>INDEX(UDD,MATCH($BB237,UDN,0))</f>
        <v>1</v>
      </c>
      <c r="BG237" s="608" t="b">
        <f>ISBLANK(K33)</f>
        <v>1</v>
      </c>
      <c r="BH237" s="995" t="str">
        <f>INDEX(UDUnit,MATCH($BB237,UDN,0))</f>
        <v>fraction</v>
      </c>
      <c r="BI237" s="995" t="str">
        <f>INDEX(UDF_Unit,MATCH($BB237,UDN,0))</f>
        <v>fraction</v>
      </c>
      <c r="BJ237" s="995">
        <f>INDEX(UDMin,MATCH($BB237,UDN,0))</f>
        <v>0</v>
      </c>
      <c r="BK237" s="995">
        <f>INDEX(UDMax,MATCH($BB237,UDN,0))</f>
        <v>1</v>
      </c>
      <c r="BL237" s="995">
        <f>IF(AND(ISNUMBER(BD237),BJ237&lt;=BD237,BD237&lt;=BK237),1,0)</f>
        <v>0</v>
      </c>
      <c r="BM237" t="str">
        <f>INDEX(UD_Desc,MATCH($BB237,UDN,0))</f>
        <v>Fraction of flush water recycled (RFW)</v>
      </c>
      <c r="BN237" t="str">
        <f>IF(BL237=1,"No", "Yes")</f>
        <v>Yes</v>
      </c>
      <c r="BO237" t="str">
        <f t="shared" ref="BO237:BO271" si="6">IF(BG237,"Using default", IF(BL237=1,"Input accepted", "Input invalid, using default"))</f>
        <v>Using default</v>
      </c>
    </row>
    <row r="238" spans="1:67" x14ac:dyDescent="0.3">
      <c r="BA238" s="82"/>
      <c r="BB238" s="995" t="s">
        <v>213</v>
      </c>
      <c r="BC238" s="995">
        <f>IF(BL238=1,BD238,BF238)</f>
        <v>7499.8444995</v>
      </c>
      <c r="BD238" t="str">
        <f t="shared" si="5"/>
        <v/>
      </c>
      <c r="BE238" s="1781">
        <f>K43</f>
        <v>0</v>
      </c>
      <c r="BF238" s="995">
        <f t="shared" ref="BF238:BF271" si="7">INDEX(UDD,MATCH($BB238,UDN,0))</f>
        <v>7499.8444995</v>
      </c>
      <c r="BG238" s="608" t="b">
        <f>ISBLANK(K43)</f>
        <v>1</v>
      </c>
      <c r="BH238" s="995" t="str">
        <f t="shared" ref="BH238:BH241" si="8">INDEX(UDUnit,MATCH($BB238,UDN,0))</f>
        <v>gal/day</v>
      </c>
      <c r="BI238" s="995" t="str">
        <f t="shared" ref="BI238:BI241" si="9">INDEX(UDF_Unit,MATCH($BB238,UDN,0))</f>
        <v>L/day</v>
      </c>
      <c r="BJ238" s="995">
        <f t="shared" ref="BJ238:BJ271" si="10">INDEX(UDMin,MATCH($BB238,UDN,0))</f>
        <v>1981.29</v>
      </c>
      <c r="BK238" s="995">
        <f t="shared" ref="BK238:BK271" si="11">INDEX(UDMax,MATCH($BB238,UDN,0))</f>
        <v>7528.9040000000005</v>
      </c>
      <c r="BL238" s="995">
        <f>IF(AND(ISNUMBER(BD238),BJ238&lt;=BD238,BD238&lt;=BK238),1,0)</f>
        <v>0</v>
      </c>
      <c r="BM238" t="str">
        <f t="shared" ref="BM238:BM241" si="12">INDEX(UD_Desc,MATCH($BB238,UDN,0))</f>
        <v>Total flush system water usage for treated animals</v>
      </c>
      <c r="BN238" t="str">
        <f>IF(BL238=1,"No", "Yes")</f>
        <v>Yes</v>
      </c>
      <c r="BO238" t="str">
        <f t="shared" si="6"/>
        <v>Using default</v>
      </c>
    </row>
    <row r="239" spans="1:67" x14ac:dyDescent="0.3">
      <c r="BA239" s="82"/>
      <c r="BB239" s="995" t="s">
        <v>214</v>
      </c>
      <c r="BC239" s="995">
        <f t="shared" ref="BC239:BC241" si="13">IF(BL239=1,BD239,BF239)</f>
        <v>0</v>
      </c>
      <c r="BD239" t="str">
        <f t="shared" si="5"/>
        <v/>
      </c>
      <c r="BE239" s="1781">
        <f>K46</f>
        <v>0</v>
      </c>
      <c r="BF239" s="995">
        <f t="shared" si="7"/>
        <v>0</v>
      </c>
      <c r="BG239" s="608" t="b">
        <f>ISBLANK(K46)</f>
        <v>1</v>
      </c>
      <c r="BH239" s="995" t="str">
        <f t="shared" si="8"/>
        <v>gal/day</v>
      </c>
      <c r="BI239" s="995" t="str">
        <f t="shared" si="9"/>
        <v>L/day</v>
      </c>
      <c r="BJ239" s="995">
        <f t="shared" si="10"/>
        <v>0</v>
      </c>
      <c r="BK239" s="995">
        <f t="shared" si="11"/>
        <v>499.286</v>
      </c>
      <c r="BL239" s="995">
        <f t="shared" ref="BL239:BL241" si="14">IF(AND(ISNUMBER(BD239),BJ239&lt;=BD239,BD239&lt;=BK239),1,0)</f>
        <v>0</v>
      </c>
      <c r="BM239" t="str">
        <f t="shared" si="12"/>
        <v>Total scraping system water usage for treated animals</v>
      </c>
      <c r="BN239" t="str">
        <f t="shared" ref="BN239:BN271" si="15">IF(BL239=1,"No", "Yes")</f>
        <v>Yes</v>
      </c>
      <c r="BO239" t="str">
        <f t="shared" si="6"/>
        <v>Using default</v>
      </c>
    </row>
    <row r="240" spans="1:67" x14ac:dyDescent="0.3">
      <c r="BA240" s="82"/>
      <c r="BB240" s="995" t="s">
        <v>215</v>
      </c>
      <c r="BC240" s="995">
        <f t="shared" si="13"/>
        <v>4279.5872099999997</v>
      </c>
      <c r="BD240" t="str">
        <f t="shared" si="5"/>
        <v/>
      </c>
      <c r="BE240" s="1781">
        <f>K49</f>
        <v>0</v>
      </c>
      <c r="BF240" s="995">
        <f>INDEX(UDD,MATCH($BB240,UDN,0))</f>
        <v>4279.5872099999997</v>
      </c>
      <c r="BG240" s="608" t="b">
        <f>ISBLANK(K49)</f>
        <v>1</v>
      </c>
      <c r="BH240" s="995" t="str">
        <f t="shared" si="8"/>
        <v>gal/event</v>
      </c>
      <c r="BI240" s="995" t="str">
        <f t="shared" si="9"/>
        <v>L/event</v>
      </c>
      <c r="BJ240" s="995">
        <f t="shared" si="10"/>
        <v>0</v>
      </c>
      <c r="BK240" s="995">
        <f t="shared" si="11"/>
        <v>5283.4409999999998</v>
      </c>
      <c r="BL240" s="995">
        <f t="shared" si="14"/>
        <v>0</v>
      </c>
      <c r="BM240" t="str">
        <f t="shared" si="12"/>
        <v>Total pullplug water usage for all treated animal types</v>
      </c>
      <c r="BN240" t="str">
        <f t="shared" si="15"/>
        <v>Yes</v>
      </c>
      <c r="BO240" t="str">
        <f t="shared" si="6"/>
        <v>Using default</v>
      </c>
    </row>
    <row r="241" spans="53:67" x14ac:dyDescent="0.3">
      <c r="BA241" s="82"/>
      <c r="BB241" s="995" t="s">
        <v>216</v>
      </c>
      <c r="BC241" s="995">
        <f t="shared" si="13"/>
        <v>0</v>
      </c>
      <c r="BD241" t="str">
        <f t="shared" si="5"/>
        <v/>
      </c>
      <c r="BE241" s="1781">
        <f>K52</f>
        <v>0</v>
      </c>
      <c r="BF241" s="995">
        <f t="shared" si="7"/>
        <v>0</v>
      </c>
      <c r="BG241" s="608" t="b">
        <f>ISBLANK(K52)</f>
        <v>1</v>
      </c>
      <c r="BH241" s="995" t="str">
        <f t="shared" si="8"/>
        <v>gal/day</v>
      </c>
      <c r="BI241" s="995" t="str">
        <f t="shared" si="9"/>
        <v>L/day</v>
      </c>
      <c r="BJ241" s="995">
        <f t="shared" si="10"/>
        <v>0</v>
      </c>
      <c r="BK241" s="995">
        <f t="shared" si="11"/>
        <v>499.286</v>
      </c>
      <c r="BL241" s="995">
        <f t="shared" si="14"/>
        <v>0</v>
      </c>
      <c r="BM241" t="str">
        <f t="shared" si="12"/>
        <v>Total deep pit water usage for all treated animal types</v>
      </c>
      <c r="BN241" t="str">
        <f t="shared" si="15"/>
        <v>Yes</v>
      </c>
      <c r="BO241" t="str">
        <f t="shared" si="6"/>
        <v>Using default</v>
      </c>
    </row>
    <row r="242" spans="53:67" x14ac:dyDescent="0.3">
      <c r="BA242" t="s">
        <v>217</v>
      </c>
      <c r="BB242" t="s">
        <v>218</v>
      </c>
      <c r="BC242">
        <f>IF(BL242=1, BD242, BF242)</f>
        <v>3.0031369329639999</v>
      </c>
      <c r="BD242" t="str">
        <f t="shared" si="5"/>
        <v/>
      </c>
      <c r="BE242">
        <f>K74</f>
        <v>0</v>
      </c>
      <c r="BF242" s="995">
        <f>INDEX(UDD,MATCH($BB242,UDN,0))</f>
        <v>3.0031369329639999</v>
      </c>
      <c r="BG242" t="b">
        <f>ISBLANK(K74)</f>
        <v>1</v>
      </c>
      <c r="BH242" t="str">
        <f t="shared" ref="BH242:BH271" si="16">INDEX(UDUnit,MATCH(BB242,UDN,0))</f>
        <v>lb/head/day</v>
      </c>
      <c r="BI242" t="str">
        <f t="shared" ref="BI242:BI271" si="17">INDEX(UDF_Unit,MATCH(BB242,UDN,0))</f>
        <v>kg/head/day</v>
      </c>
      <c r="BJ242" s="995">
        <f t="shared" si="10"/>
        <v>2.101</v>
      </c>
      <c r="BK242" s="995">
        <f t="shared" si="11"/>
        <v>3.9049999999999998</v>
      </c>
      <c r="BL242" s="608">
        <f>IF(AND(ISNUMBER(BD242),BJ242&lt;=BD242,BD242&lt;=BK242),1,0)</f>
        <v>0</v>
      </c>
      <c r="BM242" t="str">
        <f t="shared" ref="BM242:BM271" si="18">INDEX(UD_Desc,MATCH(BB242,UDN,0))</f>
        <v>Total manure produced by nursery swine</v>
      </c>
      <c r="BN242" t="str">
        <f t="shared" si="15"/>
        <v>Yes</v>
      </c>
      <c r="BO242" t="str">
        <f t="shared" si="6"/>
        <v>Using default</v>
      </c>
    </row>
    <row r="243" spans="53:67" x14ac:dyDescent="0.3">
      <c r="BB243" t="s">
        <v>219</v>
      </c>
      <c r="BC243">
        <f t="shared" ref="BC243:BC271" si="19">IF(BL243=1, BD243, BF243)</f>
        <v>0.32738645906999997</v>
      </c>
      <c r="BD243" t="str">
        <f t="shared" si="5"/>
        <v/>
      </c>
      <c r="BE243">
        <f>K77</f>
        <v>0</v>
      </c>
      <c r="BF243" s="995">
        <f t="shared" si="7"/>
        <v>0.32738645906999997</v>
      </c>
      <c r="BG243" t="b">
        <f>ISBLANK(K77)</f>
        <v>1</v>
      </c>
      <c r="BH243" t="str">
        <f t="shared" si="16"/>
        <v>lb/head/day</v>
      </c>
      <c r="BI243" t="str">
        <f t="shared" si="17"/>
        <v>kg/head/day</v>
      </c>
      <c r="BJ243" s="995">
        <f t="shared" si="10"/>
        <v>0.22700000000000001</v>
      </c>
      <c r="BK243" s="995">
        <f t="shared" si="11"/>
        <v>0.42799999999999999</v>
      </c>
      <c r="BL243" s="608">
        <f t="shared" ref="BL243:BL271" si="20">IF(AND(ISNUMBER(BD243),BJ243&lt;=BD243,BD243&lt;=BK243),1,0)</f>
        <v>0</v>
      </c>
      <c r="BM243" t="str">
        <f t="shared" si="18"/>
        <v>TS in nursery manure</v>
      </c>
      <c r="BN243" t="str">
        <f t="shared" si="15"/>
        <v>Yes</v>
      </c>
      <c r="BO243" t="str">
        <f t="shared" si="6"/>
        <v>Using default</v>
      </c>
    </row>
    <row r="244" spans="53:67" x14ac:dyDescent="0.3">
      <c r="BB244" t="s">
        <v>220</v>
      </c>
      <c r="BC244">
        <f t="shared" si="19"/>
        <v>0.26786164832999998</v>
      </c>
      <c r="BD244" t="str">
        <f t="shared" si="5"/>
        <v/>
      </c>
      <c r="BE244">
        <f>K80</f>
        <v>0</v>
      </c>
      <c r="BF244" s="995">
        <f t="shared" si="7"/>
        <v>0.26786164832999998</v>
      </c>
      <c r="BG244" t="b">
        <f>ISBLANK(K80)</f>
        <v>1</v>
      </c>
      <c r="BH244" t="str">
        <f t="shared" si="16"/>
        <v>lb/head/day</v>
      </c>
      <c r="BI244" t="str">
        <f t="shared" si="17"/>
        <v>kg/head/day</v>
      </c>
      <c r="BJ244" s="995">
        <f t="shared" si="10"/>
        <v>0.187</v>
      </c>
      <c r="BK244" s="995">
        <f t="shared" si="11"/>
        <v>0.34899999999999998</v>
      </c>
      <c r="BL244" s="608">
        <f t="shared" si="20"/>
        <v>0</v>
      </c>
      <c r="BM244" t="str">
        <f t="shared" si="18"/>
        <v>VS in nursery manure</v>
      </c>
      <c r="BN244" t="str">
        <f t="shared" si="15"/>
        <v>Yes</v>
      </c>
      <c r="BO244" t="str">
        <f t="shared" si="6"/>
        <v>Using default</v>
      </c>
    </row>
    <row r="245" spans="53:67" x14ac:dyDescent="0.3">
      <c r="BB245" t="s">
        <v>221</v>
      </c>
      <c r="BC245">
        <f t="shared" si="19"/>
        <v>0.30291514798800001</v>
      </c>
      <c r="BD245" t="str">
        <f t="shared" si="5"/>
        <v/>
      </c>
      <c r="BE245">
        <f>K83</f>
        <v>0</v>
      </c>
      <c r="BF245" s="995">
        <f t="shared" si="7"/>
        <v>0.30291514798800001</v>
      </c>
      <c r="BG245" t="b">
        <f>ISBLANK(K83)</f>
        <v>1</v>
      </c>
      <c r="BH245" t="str">
        <f t="shared" si="16"/>
        <v>lb/head/day</v>
      </c>
      <c r="BI245" t="str">
        <f t="shared" si="17"/>
        <v>kg/head/day</v>
      </c>
      <c r="BJ245" s="995">
        <f t="shared" si="10"/>
        <v>0.21099999999999999</v>
      </c>
      <c r="BK245" s="995">
        <f t="shared" si="11"/>
        <v>0.39500000000000002</v>
      </c>
      <c r="BL245" s="608">
        <f t="shared" si="20"/>
        <v>0</v>
      </c>
      <c r="BM245" t="str">
        <f t="shared" si="18"/>
        <v>Nitrogen in nursery manure</v>
      </c>
      <c r="BN245" t="str">
        <f t="shared" si="15"/>
        <v>Yes</v>
      </c>
      <c r="BO245" t="str">
        <f t="shared" si="6"/>
        <v>Using default</v>
      </c>
    </row>
    <row r="246" spans="53:67" x14ac:dyDescent="0.3">
      <c r="BB246" t="s">
        <v>222</v>
      </c>
      <c r="BC246">
        <f t="shared" si="19"/>
        <v>9.9208017899999543E-3</v>
      </c>
      <c r="BD246" t="str">
        <f t="shared" si="5"/>
        <v/>
      </c>
      <c r="BE246">
        <f>K86</f>
        <v>0</v>
      </c>
      <c r="BF246" s="995">
        <f t="shared" si="7"/>
        <v>9.9208017899999543E-3</v>
      </c>
      <c r="BG246" t="b">
        <f>ISBLANK(K86)</f>
        <v>1</v>
      </c>
      <c r="BH246" t="str">
        <f t="shared" si="16"/>
        <v>lb/head/day</v>
      </c>
      <c r="BI246" t="str">
        <f t="shared" si="17"/>
        <v>kg/head/day</v>
      </c>
      <c r="BJ246" s="995">
        <f t="shared" si="10"/>
        <v>6.0000000000000001E-3</v>
      </c>
      <c r="BK246" s="995">
        <f t="shared" si="11"/>
        <v>1.3999999999999999E-2</v>
      </c>
      <c r="BL246" s="608">
        <f t="shared" si="20"/>
        <v>0</v>
      </c>
      <c r="BM246" t="str">
        <f t="shared" si="18"/>
        <v>P2O5 in nursery manure</v>
      </c>
      <c r="BN246" t="str">
        <f t="shared" si="15"/>
        <v>Yes</v>
      </c>
      <c r="BO246" t="str">
        <f t="shared" si="6"/>
        <v>Using default</v>
      </c>
    </row>
    <row r="247" spans="53:67" x14ac:dyDescent="0.3">
      <c r="BB247" t="s">
        <v>223</v>
      </c>
      <c r="BC247">
        <f t="shared" si="19"/>
        <v>1.9841603579999992E-2</v>
      </c>
      <c r="BD247" t="str">
        <f t="shared" si="5"/>
        <v/>
      </c>
      <c r="BE247">
        <f>K89</f>
        <v>0</v>
      </c>
      <c r="BF247" s="995">
        <f t="shared" si="7"/>
        <v>1.9841603579999992E-2</v>
      </c>
      <c r="BG247" t="b">
        <f>ISBLANK(K89)</f>
        <v>1</v>
      </c>
      <c r="BH247" t="str">
        <f t="shared" si="16"/>
        <v>lb/head/day</v>
      </c>
      <c r="BI247" t="str">
        <f t="shared" si="17"/>
        <v>kg/head/day</v>
      </c>
      <c r="BJ247" s="995">
        <f t="shared" si="10"/>
        <v>1.2999999999999999E-2</v>
      </c>
      <c r="BK247" s="995">
        <f t="shared" si="11"/>
        <v>2.7E-2</v>
      </c>
      <c r="BL247" s="608">
        <f t="shared" si="20"/>
        <v>0</v>
      </c>
      <c r="BM247" t="str">
        <f t="shared" si="18"/>
        <v>K2O in nursery manure</v>
      </c>
      <c r="BN247" t="str">
        <f t="shared" si="15"/>
        <v>Yes</v>
      </c>
      <c r="BO247" t="str">
        <f t="shared" si="6"/>
        <v>Using default</v>
      </c>
    </row>
    <row r="248" spans="53:67" x14ac:dyDescent="0.3">
      <c r="BA248" t="s">
        <v>224</v>
      </c>
      <c r="BB248" t="s">
        <v>225</v>
      </c>
      <c r="BC248">
        <f t="shared" ref="BC248:BC253" si="21">IF(BL248=1, BD248, BF248)</f>
        <v>12.323862492026198</v>
      </c>
      <c r="BD248" t="str">
        <f t="shared" si="5"/>
        <v/>
      </c>
      <c r="BE248">
        <f>K98</f>
        <v>0</v>
      </c>
      <c r="BF248" s="995">
        <f t="shared" ref="BF248:BF253" si="22">INDEX(UDD,MATCH($BB248,UDN,0))</f>
        <v>12.323862492026198</v>
      </c>
      <c r="BG248" t="b">
        <f>ISBLANK(K98)</f>
        <v>1</v>
      </c>
      <c r="BH248" t="str">
        <f t="shared" ref="BH248:BH253" si="23">INDEX(UDUnit,MATCH(BB248,UDN,0))</f>
        <v>lb/head/day</v>
      </c>
      <c r="BI248" t="str">
        <f t="shared" ref="BI248:BI253" si="24">INDEX(UDF_Unit,MATCH(BB248,UDN,0))</f>
        <v>kg/head/day</v>
      </c>
      <c r="BJ248" s="995">
        <f t="shared" ref="BJ248:BJ253" si="25">INDEX(UDMin,MATCH($BB248,UDN,0))</f>
        <v>8.6259999999999994</v>
      </c>
      <c r="BK248" s="995">
        <f t="shared" ref="BK248:BK253" si="26">INDEX(UDMax,MATCH($BB248,UDN,0))</f>
        <v>16.024000000000001</v>
      </c>
      <c r="BL248" s="608">
        <f t="shared" ref="BL248:BL253" si="27">IF(AND(ISNUMBER(BD248),BJ248&lt;=BD248,BD248&lt;=BK248),1,0)</f>
        <v>0</v>
      </c>
      <c r="BM248" t="str">
        <f t="shared" ref="BM248:BM253" si="28">INDEX(UD_Desc,MATCH(BB248,UDN,0))</f>
        <v>Total manure produced by wean to finish swine</v>
      </c>
      <c r="BN248" t="str">
        <f t="shared" si="15"/>
        <v>Yes</v>
      </c>
      <c r="BO248" t="str">
        <f t="shared" si="6"/>
        <v>Using default</v>
      </c>
    </row>
    <row r="249" spans="53:67" x14ac:dyDescent="0.3">
      <c r="BB249" t="s">
        <v>226</v>
      </c>
      <c r="BC249">
        <f t="shared" si="21"/>
        <v>1.2037459967461996</v>
      </c>
      <c r="BD249" t="str">
        <f t="shared" si="5"/>
        <v/>
      </c>
      <c r="BE249">
        <f>K101</f>
        <v>0</v>
      </c>
      <c r="BF249" s="995">
        <f t="shared" si="22"/>
        <v>1.2037459967461996</v>
      </c>
      <c r="BG249" t="b">
        <f>ISBLANK(K101)</f>
        <v>1</v>
      </c>
      <c r="BH249" t="str">
        <f t="shared" si="23"/>
        <v>lb/head/day</v>
      </c>
      <c r="BI249" t="str">
        <f t="shared" si="24"/>
        <v>kg/head/day</v>
      </c>
      <c r="BJ249" s="995">
        <f t="shared" si="25"/>
        <v>0.84199999999999997</v>
      </c>
      <c r="BK249" s="995">
        <f t="shared" si="26"/>
        <v>1.5659999999999998</v>
      </c>
      <c r="BL249" s="608">
        <f t="shared" si="27"/>
        <v>0</v>
      </c>
      <c r="BM249" t="str">
        <f t="shared" si="28"/>
        <v>TS in wean to finish manure</v>
      </c>
      <c r="BN249" t="str">
        <f t="shared" si="15"/>
        <v>Yes</v>
      </c>
      <c r="BO249" t="str">
        <f t="shared" si="6"/>
        <v>Using default</v>
      </c>
    </row>
    <row r="250" spans="53:67" x14ac:dyDescent="0.3">
      <c r="BB250" t="s">
        <v>227</v>
      </c>
      <c r="BC250">
        <f t="shared" si="21"/>
        <v>0.97446303964357983</v>
      </c>
      <c r="BD250" t="str">
        <f t="shared" si="5"/>
        <v/>
      </c>
      <c r="BE250">
        <f>K104</f>
        <v>0</v>
      </c>
      <c r="BF250" s="995">
        <f t="shared" si="22"/>
        <v>0.97446303964357983</v>
      </c>
      <c r="BG250" t="b">
        <f>ISBLANK(K104)</f>
        <v>1</v>
      </c>
      <c r="BH250" t="str">
        <f t="shared" si="23"/>
        <v>lb/head/day</v>
      </c>
      <c r="BI250" t="str">
        <f t="shared" si="24"/>
        <v>kg/head/day</v>
      </c>
      <c r="BJ250" s="995">
        <f t="shared" si="25"/>
        <v>0.68100000000000005</v>
      </c>
      <c r="BK250" s="995">
        <f t="shared" si="26"/>
        <v>1.2679999999999998</v>
      </c>
      <c r="BL250" s="608">
        <f t="shared" si="27"/>
        <v>0</v>
      </c>
      <c r="BM250" t="str">
        <f t="shared" si="28"/>
        <v>VS in wean to finish manure</v>
      </c>
      <c r="BN250" t="str">
        <f t="shared" si="15"/>
        <v>Yes</v>
      </c>
      <c r="BO250" t="str">
        <f t="shared" si="6"/>
        <v>Using default</v>
      </c>
    </row>
    <row r="251" spans="53:67" x14ac:dyDescent="0.3">
      <c r="BB251" t="s">
        <v>228</v>
      </c>
      <c r="BC251">
        <f t="shared" si="21"/>
        <v>0.114642360400358</v>
      </c>
      <c r="BD251" t="str">
        <f t="shared" si="5"/>
        <v/>
      </c>
      <c r="BE251">
        <f>K107</f>
        <v>0</v>
      </c>
      <c r="BF251" s="995">
        <f t="shared" si="22"/>
        <v>0.114642360400358</v>
      </c>
      <c r="BG251" t="b">
        <f>ISBLANK(K107)</f>
        <v>1</v>
      </c>
      <c r="BH251" t="str">
        <f t="shared" si="23"/>
        <v>lb/head/day</v>
      </c>
      <c r="BI251" t="str">
        <f t="shared" si="24"/>
        <v>kg/head/day</v>
      </c>
      <c r="BJ251" s="995">
        <f t="shared" si="25"/>
        <v>7.9000000000000001E-2</v>
      </c>
      <c r="BK251" s="995">
        <f t="shared" si="26"/>
        <v>0.15</v>
      </c>
      <c r="BL251" s="608">
        <f t="shared" si="27"/>
        <v>0</v>
      </c>
      <c r="BM251" t="str">
        <f t="shared" si="28"/>
        <v>Nitrogen in wean to finish manure</v>
      </c>
      <c r="BN251" t="str">
        <f t="shared" si="15"/>
        <v>Yes</v>
      </c>
      <c r="BO251" t="str">
        <f t="shared" si="6"/>
        <v>Using default</v>
      </c>
    </row>
    <row r="252" spans="53:67" x14ac:dyDescent="0.3">
      <c r="BB252" t="s">
        <v>229</v>
      </c>
      <c r="BC252">
        <f t="shared" si="21"/>
        <v>4.0124793070785994E-2</v>
      </c>
      <c r="BD252" t="str">
        <f t="shared" si="5"/>
        <v/>
      </c>
      <c r="BE252">
        <f>K110</f>
        <v>0</v>
      </c>
      <c r="BF252" s="995">
        <f t="shared" si="22"/>
        <v>4.0124793070785994E-2</v>
      </c>
      <c r="BG252" t="b">
        <f>ISBLANK(K110)</f>
        <v>1</v>
      </c>
      <c r="BH252" t="str">
        <f t="shared" si="23"/>
        <v>lb/head/day</v>
      </c>
      <c r="BI252" t="str">
        <f t="shared" si="24"/>
        <v>kg/head/day</v>
      </c>
      <c r="BJ252" s="995">
        <f t="shared" si="25"/>
        <v>2.5999999999999999E-2</v>
      </c>
      <c r="BK252" s="995">
        <f t="shared" si="26"/>
        <v>5.2999999999999999E-2</v>
      </c>
      <c r="BL252" s="608">
        <f t="shared" si="27"/>
        <v>0</v>
      </c>
      <c r="BM252" t="str">
        <f t="shared" si="28"/>
        <v>P2O5 in wean to finish manure</v>
      </c>
      <c r="BN252" t="str">
        <f t="shared" si="15"/>
        <v>Yes</v>
      </c>
      <c r="BO252" t="str">
        <f t="shared" si="6"/>
        <v>Using default</v>
      </c>
    </row>
    <row r="253" spans="53:67" x14ac:dyDescent="0.3">
      <c r="BB253" t="s">
        <v>230</v>
      </c>
      <c r="BC253">
        <f t="shared" si="21"/>
        <v>5.1589271619309998E-2</v>
      </c>
      <c r="BD253" t="str">
        <f t="shared" si="5"/>
        <v/>
      </c>
      <c r="BE253">
        <f>K113</f>
        <v>0</v>
      </c>
      <c r="BF253" s="995">
        <f t="shared" si="22"/>
        <v>5.1589271619309998E-2</v>
      </c>
      <c r="BG253" t="b">
        <f>ISBLANK(K113)</f>
        <v>1</v>
      </c>
      <c r="BH253" t="str">
        <f t="shared" si="23"/>
        <v>lb/head/day</v>
      </c>
      <c r="BI253" t="str">
        <f t="shared" si="24"/>
        <v>kg/head/day</v>
      </c>
      <c r="BJ253" s="995">
        <f t="shared" si="25"/>
        <v>3.5000000000000003E-2</v>
      </c>
      <c r="BK253" s="995">
        <f t="shared" si="26"/>
        <v>6.9000000000000006E-2</v>
      </c>
      <c r="BL253" s="608">
        <f t="shared" si="27"/>
        <v>0</v>
      </c>
      <c r="BM253" t="str">
        <f t="shared" si="28"/>
        <v>K2O in wean to finish manure</v>
      </c>
      <c r="BN253" t="str">
        <f t="shared" si="15"/>
        <v>Yes</v>
      </c>
      <c r="BO253" t="str">
        <f t="shared" si="6"/>
        <v>Using default</v>
      </c>
    </row>
    <row r="254" spans="53:67" x14ac:dyDescent="0.3">
      <c r="BA254" t="s">
        <v>231</v>
      </c>
      <c r="BB254" s="976" t="s">
        <v>232</v>
      </c>
      <c r="BC254">
        <f t="shared" si="19"/>
        <v>13.803583148343998</v>
      </c>
      <c r="BD254" t="str">
        <f t="shared" si="5"/>
        <v/>
      </c>
      <c r="BE254">
        <f>K122</f>
        <v>0</v>
      </c>
      <c r="BF254" s="995">
        <f t="shared" si="7"/>
        <v>13.803583148343998</v>
      </c>
      <c r="BG254" t="b">
        <f>ISBLANK(K122)</f>
        <v>1</v>
      </c>
      <c r="BH254" t="str">
        <f t="shared" si="16"/>
        <v>lb/head/day</v>
      </c>
      <c r="BI254" t="str">
        <f t="shared" si="17"/>
        <v>kg/head/day</v>
      </c>
      <c r="BJ254" s="995">
        <f t="shared" si="10"/>
        <v>9.66</v>
      </c>
      <c r="BK254" s="995">
        <f t="shared" si="11"/>
        <v>17.946000000000002</v>
      </c>
      <c r="BL254" s="608">
        <f t="shared" si="20"/>
        <v>0</v>
      </c>
      <c r="BM254" t="str">
        <f t="shared" si="18"/>
        <v>Total manure produced by grow to finish swine</v>
      </c>
      <c r="BN254" t="str">
        <f t="shared" si="15"/>
        <v>Yes</v>
      </c>
      <c r="BO254" t="str">
        <f t="shared" si="6"/>
        <v>Using default</v>
      </c>
    </row>
    <row r="255" spans="53:67" x14ac:dyDescent="0.3">
      <c r="BB255" s="976" t="s">
        <v>233</v>
      </c>
      <c r="BC255">
        <f t="shared" si="19"/>
        <v>1.4918681269539997</v>
      </c>
      <c r="BD255" t="str">
        <f t="shared" si="5"/>
        <v/>
      </c>
      <c r="BE255">
        <f>K125</f>
        <v>0</v>
      </c>
      <c r="BF255" s="995">
        <f t="shared" si="7"/>
        <v>1.4918681269539997</v>
      </c>
      <c r="BG255" t="b">
        <f>ISBLANK(K125)</f>
        <v>1</v>
      </c>
      <c r="BH255" t="str">
        <f t="shared" si="16"/>
        <v>lb/head/day</v>
      </c>
      <c r="BI255" t="str">
        <f t="shared" si="17"/>
        <v>kg/head/day</v>
      </c>
      <c r="BJ255" s="995">
        <f t="shared" si="10"/>
        <v>1.042</v>
      </c>
      <c r="BK255" s="995">
        <f t="shared" si="11"/>
        <v>1.9409999999999998</v>
      </c>
      <c r="BL255" s="608">
        <f t="shared" si="20"/>
        <v>0</v>
      </c>
      <c r="BM255" t="str">
        <f t="shared" si="18"/>
        <v>TS in grow to finish manure</v>
      </c>
      <c r="BN255" t="str">
        <f t="shared" si="15"/>
        <v>Yes</v>
      </c>
      <c r="BO255" t="str">
        <f t="shared" si="6"/>
        <v>Using default</v>
      </c>
    </row>
    <row r="256" spans="53:67" x14ac:dyDescent="0.3">
      <c r="BB256" s="976" t="s">
        <v>234</v>
      </c>
      <c r="BC256">
        <f t="shared" si="19"/>
        <v>1.2348091294620001</v>
      </c>
      <c r="BD256" t="str">
        <f t="shared" si="5"/>
        <v/>
      </c>
      <c r="BE256">
        <f>K128</f>
        <v>0</v>
      </c>
      <c r="BF256" s="995">
        <f t="shared" si="7"/>
        <v>1.2348091294620001</v>
      </c>
      <c r="BG256" t="b">
        <f>ISBLANK(K128)</f>
        <v>1</v>
      </c>
      <c r="BH256" t="str">
        <f t="shared" si="16"/>
        <v>lb/head/day</v>
      </c>
      <c r="BI256" t="str">
        <f t="shared" si="17"/>
        <v>kg/head/day</v>
      </c>
      <c r="BJ256" s="995">
        <f t="shared" si="10"/>
        <v>0.86399999999999999</v>
      </c>
      <c r="BK256" s="995">
        <f t="shared" si="11"/>
        <v>1.6079999999999999</v>
      </c>
      <c r="BL256" s="608">
        <f t="shared" si="20"/>
        <v>0</v>
      </c>
      <c r="BM256" t="str">
        <f t="shared" si="18"/>
        <v>VS in grow to finish manure</v>
      </c>
      <c r="BN256" t="str">
        <f t="shared" si="15"/>
        <v>Yes</v>
      </c>
      <c r="BO256" t="str">
        <f t="shared" si="6"/>
        <v>Using default</v>
      </c>
    </row>
    <row r="257" spans="53:67" x14ac:dyDescent="0.3">
      <c r="BB257" s="976" t="s">
        <v>235</v>
      </c>
      <c r="BC257">
        <f t="shared" si="19"/>
        <v>0.19025893210599995</v>
      </c>
      <c r="BD257" t="str">
        <f t="shared" si="5"/>
        <v/>
      </c>
      <c r="BE257">
        <f>K131</f>
        <v>0</v>
      </c>
      <c r="BF257" s="995">
        <f t="shared" si="7"/>
        <v>0.19025893210599995</v>
      </c>
      <c r="BG257" t="b">
        <f>ISBLANK(K131)</f>
        <v>1</v>
      </c>
      <c r="BH257" t="str">
        <f t="shared" si="16"/>
        <v>lb/head/day</v>
      </c>
      <c r="BI257" t="str">
        <f t="shared" si="17"/>
        <v>kg/head/day</v>
      </c>
      <c r="BJ257" s="995">
        <f t="shared" si="10"/>
        <v>0.13200000000000001</v>
      </c>
      <c r="BK257" s="995">
        <f t="shared" si="11"/>
        <v>0.25</v>
      </c>
      <c r="BL257" s="608">
        <f t="shared" si="20"/>
        <v>0</v>
      </c>
      <c r="BM257" t="str">
        <f t="shared" si="18"/>
        <v>Nitrogen in grow to finish manure</v>
      </c>
      <c r="BN257" t="str">
        <f t="shared" si="15"/>
        <v>Yes</v>
      </c>
      <c r="BO257" t="str">
        <f t="shared" si="6"/>
        <v>Using default</v>
      </c>
    </row>
    <row r="258" spans="53:67" x14ac:dyDescent="0.3">
      <c r="BB258" s="976" t="s">
        <v>236</v>
      </c>
      <c r="BC258">
        <f t="shared" si="19"/>
        <v>5.4895103238000002E-2</v>
      </c>
      <c r="BD258" t="str">
        <f t="shared" si="5"/>
        <v/>
      </c>
      <c r="BE258">
        <f>K134</f>
        <v>0</v>
      </c>
      <c r="BF258" s="995">
        <f t="shared" si="7"/>
        <v>5.4895103238000002E-2</v>
      </c>
      <c r="BG258" t="b">
        <f>ISBLANK(K134)</f>
        <v>1</v>
      </c>
      <c r="BH258" t="str">
        <f t="shared" si="16"/>
        <v>lb/head/day</v>
      </c>
      <c r="BI258" t="str">
        <f t="shared" si="17"/>
        <v>kg/head/day</v>
      </c>
      <c r="BJ258" s="995">
        <f t="shared" si="10"/>
        <v>3.6999999999999998E-2</v>
      </c>
      <c r="BK258" s="995">
        <f t="shared" si="11"/>
        <v>7.2999999999999995E-2</v>
      </c>
      <c r="BL258" s="608">
        <f t="shared" si="20"/>
        <v>0</v>
      </c>
      <c r="BM258" t="str">
        <f t="shared" si="18"/>
        <v>P2O5 in grow to finish manure</v>
      </c>
      <c r="BN258" t="str">
        <f t="shared" si="15"/>
        <v>Yes</v>
      </c>
      <c r="BO258" t="str">
        <f t="shared" si="6"/>
        <v>Using default</v>
      </c>
    </row>
    <row r="259" spans="53:67" x14ac:dyDescent="0.3">
      <c r="BB259" s="976" t="s">
        <v>237</v>
      </c>
      <c r="BC259">
        <f t="shared" si="19"/>
        <v>0.11133344231</v>
      </c>
      <c r="BD259" t="str">
        <f t="shared" si="5"/>
        <v/>
      </c>
      <c r="BE259">
        <f>K137</f>
        <v>0</v>
      </c>
      <c r="BF259" s="995">
        <f t="shared" si="7"/>
        <v>0.11133344231</v>
      </c>
      <c r="BG259" t="b">
        <f>ISBLANK(K137)</f>
        <v>1</v>
      </c>
      <c r="BH259" t="str">
        <f t="shared" si="16"/>
        <v>lb/head/day</v>
      </c>
      <c r="BI259" t="str">
        <f t="shared" si="17"/>
        <v>kg/head/day</v>
      </c>
      <c r="BJ259" s="995">
        <f t="shared" si="10"/>
        <v>7.6999999999999999E-2</v>
      </c>
      <c r="BK259" s="995">
        <f t="shared" si="11"/>
        <v>0.14599999999999999</v>
      </c>
      <c r="BL259" s="608">
        <f t="shared" si="20"/>
        <v>0</v>
      </c>
      <c r="BM259" t="str">
        <f t="shared" si="18"/>
        <v>K2O in grow to finish manure</v>
      </c>
      <c r="BN259" t="str">
        <f t="shared" si="15"/>
        <v>Yes</v>
      </c>
      <c r="BO259" t="str">
        <f t="shared" si="6"/>
        <v>Using default</v>
      </c>
    </row>
    <row r="260" spans="53:67" x14ac:dyDescent="0.3">
      <c r="BA260" t="s">
        <v>238</v>
      </c>
      <c r="BB260" t="s">
        <v>239</v>
      </c>
      <c r="BC260">
        <f t="shared" si="19"/>
        <v>9.0711402322520005</v>
      </c>
      <c r="BD260" t="str">
        <f t="shared" si="5"/>
        <v/>
      </c>
      <c r="BE260">
        <f>K146</f>
        <v>0</v>
      </c>
      <c r="BF260" s="995">
        <f t="shared" si="7"/>
        <v>9.0711402322520005</v>
      </c>
      <c r="BG260" t="b">
        <f>ISBLANK(K146)</f>
        <v>1</v>
      </c>
      <c r="BH260" t="str">
        <f t="shared" si="16"/>
        <v>lb/head/day</v>
      </c>
      <c r="BI260" t="str">
        <f t="shared" si="17"/>
        <v>kg/head/day</v>
      </c>
      <c r="BJ260" s="995">
        <f t="shared" si="10"/>
        <v>6.3490000000000002</v>
      </c>
      <c r="BK260" s="995">
        <f t="shared" si="11"/>
        <v>11.792999999999999</v>
      </c>
      <c r="BL260" s="608">
        <f t="shared" si="20"/>
        <v>0</v>
      </c>
      <c r="BM260" t="str">
        <f t="shared" si="18"/>
        <v>Total manure produced by gestating sows</v>
      </c>
      <c r="BN260" t="str">
        <f t="shared" si="15"/>
        <v>Yes</v>
      </c>
      <c r="BO260" t="str">
        <f t="shared" si="6"/>
        <v>Using default</v>
      </c>
    </row>
    <row r="261" spans="53:67" x14ac:dyDescent="0.3">
      <c r="BB261" t="s">
        <v>240</v>
      </c>
      <c r="BC261">
        <f t="shared" si="19"/>
        <v>0.79035720926999997</v>
      </c>
      <c r="BD261" t="str">
        <f t="shared" si="5"/>
        <v/>
      </c>
      <c r="BE261">
        <f>K149</f>
        <v>0</v>
      </c>
      <c r="BF261" s="995">
        <f t="shared" si="7"/>
        <v>0.79035720926999997</v>
      </c>
      <c r="BG261" t="b">
        <f>ISBLANK(K149)</f>
        <v>1</v>
      </c>
      <c r="BH261" t="str">
        <f t="shared" si="16"/>
        <v>lb/head/day</v>
      </c>
      <c r="BI261" t="str">
        <f t="shared" si="17"/>
        <v>kg/head/day</v>
      </c>
      <c r="BJ261" s="995">
        <f t="shared" si="10"/>
        <v>0.55100000000000005</v>
      </c>
      <c r="BK261" s="995">
        <f t="shared" si="11"/>
        <v>1.0299999999999998</v>
      </c>
      <c r="BL261" s="608">
        <f t="shared" si="20"/>
        <v>0</v>
      </c>
      <c r="BM261" t="str">
        <f t="shared" si="18"/>
        <v>TS in gestating manure</v>
      </c>
      <c r="BN261" t="str">
        <f t="shared" si="15"/>
        <v>Yes</v>
      </c>
      <c r="BO261" t="str">
        <f t="shared" si="6"/>
        <v>Using default</v>
      </c>
    </row>
    <row r="262" spans="53:67" x14ac:dyDescent="0.3">
      <c r="BB262" t="s">
        <v>241</v>
      </c>
      <c r="BC262">
        <f t="shared" si="19"/>
        <v>0.70217230447000001</v>
      </c>
      <c r="BD262" t="str">
        <f t="shared" si="5"/>
        <v/>
      </c>
      <c r="BE262">
        <f>K152</f>
        <v>0</v>
      </c>
      <c r="BF262" s="995">
        <f t="shared" si="7"/>
        <v>0.70217230447000001</v>
      </c>
      <c r="BG262" t="b">
        <f>ISBLANK(K152)</f>
        <v>1</v>
      </c>
      <c r="BH262" t="str">
        <f t="shared" si="16"/>
        <v>lb/head/day</v>
      </c>
      <c r="BI262" t="str">
        <f t="shared" si="17"/>
        <v>kg/head/day</v>
      </c>
      <c r="BJ262" s="995">
        <f t="shared" si="10"/>
        <v>0.48899999999999999</v>
      </c>
      <c r="BK262" s="995">
        <f t="shared" si="11"/>
        <v>0.91500000000000004</v>
      </c>
      <c r="BL262" s="608">
        <f t="shared" si="20"/>
        <v>0</v>
      </c>
      <c r="BM262" t="str">
        <f t="shared" si="18"/>
        <v>VS in gestating manure</v>
      </c>
      <c r="BN262" t="str">
        <f t="shared" si="15"/>
        <v>Yes</v>
      </c>
      <c r="BO262" t="str">
        <f t="shared" si="6"/>
        <v>Using default</v>
      </c>
    </row>
    <row r="263" spans="53:67" x14ac:dyDescent="0.3">
      <c r="BB263" t="s">
        <v>242</v>
      </c>
      <c r="BC263">
        <f t="shared" si="19"/>
        <v>6.5036367289999994E-2</v>
      </c>
      <c r="BD263" t="str">
        <f t="shared" si="5"/>
        <v/>
      </c>
      <c r="BE263">
        <f>K155</f>
        <v>0</v>
      </c>
      <c r="BF263" s="995">
        <f t="shared" si="7"/>
        <v>6.5036367289999994E-2</v>
      </c>
      <c r="BG263" t="b">
        <f>ISBLANK(K155)</f>
        <v>1</v>
      </c>
      <c r="BH263" t="str">
        <f t="shared" si="16"/>
        <v>lb/head/day</v>
      </c>
      <c r="BI263" t="str">
        <f t="shared" si="17"/>
        <v>kg/head/day</v>
      </c>
      <c r="BJ263" s="995">
        <f t="shared" si="10"/>
        <v>4.3999999999999997E-2</v>
      </c>
      <c r="BK263" s="995">
        <f t="shared" si="11"/>
        <v>8.6000000000000007E-2</v>
      </c>
      <c r="BL263" s="608">
        <f t="shared" si="20"/>
        <v>0</v>
      </c>
      <c r="BM263" t="str">
        <f t="shared" si="18"/>
        <v>Nitrogen in gestating manure</v>
      </c>
      <c r="BN263" t="str">
        <f t="shared" si="15"/>
        <v>Yes</v>
      </c>
      <c r="BO263" t="str">
        <f t="shared" si="6"/>
        <v>Using default</v>
      </c>
    </row>
    <row r="264" spans="53:67" x14ac:dyDescent="0.3">
      <c r="BB264" t="s">
        <v>243</v>
      </c>
      <c r="BC264">
        <f t="shared" si="19"/>
        <v>4.4092452399999996E-2</v>
      </c>
      <c r="BD264" t="str">
        <f t="shared" si="5"/>
        <v/>
      </c>
      <c r="BE264">
        <f>K158</f>
        <v>0</v>
      </c>
      <c r="BF264" s="995">
        <f t="shared" si="7"/>
        <v>4.4092452399999996E-2</v>
      </c>
      <c r="BG264" t="b">
        <f>ISBLANK(K158)</f>
        <v>1</v>
      </c>
      <c r="BH264" t="str">
        <f t="shared" si="16"/>
        <v>lb/head/day</v>
      </c>
      <c r="BI264" t="str">
        <f t="shared" si="17"/>
        <v>kg/head/day</v>
      </c>
      <c r="BJ264" s="995">
        <f t="shared" si="10"/>
        <v>0.03</v>
      </c>
      <c r="BK264" s="995">
        <f t="shared" si="11"/>
        <v>5.8000000000000003E-2</v>
      </c>
      <c r="BL264" s="608">
        <f t="shared" si="20"/>
        <v>0</v>
      </c>
      <c r="BM264" t="str">
        <f t="shared" si="18"/>
        <v>P2O5 in gestating manure</v>
      </c>
      <c r="BN264" t="str">
        <f t="shared" si="15"/>
        <v>Yes</v>
      </c>
      <c r="BO264" t="str">
        <f t="shared" si="6"/>
        <v>Using default</v>
      </c>
    </row>
    <row r="265" spans="53:67" x14ac:dyDescent="0.3">
      <c r="BB265" t="s">
        <v>244</v>
      </c>
      <c r="BC265">
        <f t="shared" si="19"/>
        <v>5.4013254189999999E-2</v>
      </c>
      <c r="BD265" t="str">
        <f t="shared" si="5"/>
        <v/>
      </c>
      <c r="BE265">
        <f>K161</f>
        <v>0</v>
      </c>
      <c r="BF265" s="995">
        <f t="shared" si="7"/>
        <v>5.4013254189999999E-2</v>
      </c>
      <c r="BG265" t="b">
        <f>ISBLANK(K161)</f>
        <v>1</v>
      </c>
      <c r="BH265" t="str">
        <f t="shared" si="16"/>
        <v>lb/head/day</v>
      </c>
      <c r="BI265" t="str">
        <f t="shared" si="17"/>
        <v>kg/head/day</v>
      </c>
      <c r="BJ265" s="995">
        <f t="shared" si="10"/>
        <v>3.6999999999999998E-2</v>
      </c>
      <c r="BK265" s="995">
        <f t="shared" si="11"/>
        <v>7.1000000000000008E-2</v>
      </c>
      <c r="BL265" s="608">
        <f t="shared" si="20"/>
        <v>0</v>
      </c>
      <c r="BM265" t="str">
        <f t="shared" si="18"/>
        <v>K2O in gestating manure</v>
      </c>
      <c r="BN265" t="str">
        <f t="shared" si="15"/>
        <v>Yes</v>
      </c>
      <c r="BO265" t="str">
        <f t="shared" si="6"/>
        <v>Using default</v>
      </c>
    </row>
    <row r="266" spans="53:67" x14ac:dyDescent="0.3">
      <c r="BB266" t="s">
        <v>245</v>
      </c>
      <c r="BC266">
        <f t="shared" si="19"/>
        <v>19.791999571049995</v>
      </c>
      <c r="BD266" t="str">
        <f t="shared" si="5"/>
        <v/>
      </c>
      <c r="BE266">
        <f>K170</f>
        <v>0</v>
      </c>
      <c r="BF266" s="995">
        <f t="shared" si="7"/>
        <v>19.791999571049995</v>
      </c>
      <c r="BG266" t="b">
        <f>ISBLANK(K170)</f>
        <v>1</v>
      </c>
      <c r="BH266" t="str">
        <f t="shared" si="16"/>
        <v>lb/head/day</v>
      </c>
      <c r="BI266" t="str">
        <f t="shared" si="17"/>
        <v>kg/head/day</v>
      </c>
      <c r="BJ266" s="995">
        <f t="shared" si="10"/>
        <v>13.853</v>
      </c>
      <c r="BK266" s="995">
        <f t="shared" si="11"/>
        <v>25.731000000000002</v>
      </c>
      <c r="BL266" s="608">
        <f t="shared" si="20"/>
        <v>0</v>
      </c>
      <c r="BM266" t="str">
        <f t="shared" si="18"/>
        <v>Total manure produced by farrowing sows</v>
      </c>
      <c r="BN266" t="str">
        <f t="shared" si="15"/>
        <v>Yes</v>
      </c>
      <c r="BO266" t="str">
        <f t="shared" si="6"/>
        <v>Using default</v>
      </c>
    </row>
    <row r="267" spans="53:67" x14ac:dyDescent="0.3">
      <c r="BA267" t="s">
        <v>246</v>
      </c>
      <c r="BB267" t="s">
        <v>247</v>
      </c>
      <c r="BC267">
        <f t="shared" si="19"/>
        <v>1.9418316036959999</v>
      </c>
      <c r="BD267" t="str">
        <f t="shared" si="5"/>
        <v/>
      </c>
      <c r="BE267">
        <f>K173</f>
        <v>0</v>
      </c>
      <c r="BF267" s="995">
        <f t="shared" si="7"/>
        <v>1.9418316036959999</v>
      </c>
      <c r="BG267" t="b">
        <f>ISBLANK(K173)</f>
        <v>1</v>
      </c>
      <c r="BH267" t="str">
        <f t="shared" si="16"/>
        <v>lb/head/day</v>
      </c>
      <c r="BI267" t="str">
        <f t="shared" si="17"/>
        <v>kg/head/day</v>
      </c>
      <c r="BJ267" s="995">
        <f t="shared" si="10"/>
        <v>1.3580000000000001</v>
      </c>
      <c r="BK267" s="995">
        <f t="shared" si="11"/>
        <v>2.5269999999999997</v>
      </c>
      <c r="BL267" s="608">
        <f t="shared" si="20"/>
        <v>0</v>
      </c>
      <c r="BM267" t="str">
        <f t="shared" si="18"/>
        <v>TS in farrowing manure</v>
      </c>
      <c r="BN267" t="str">
        <f t="shared" si="15"/>
        <v>Yes</v>
      </c>
      <c r="BO267" t="str">
        <f t="shared" si="6"/>
        <v>Using default</v>
      </c>
    </row>
    <row r="268" spans="53:67" x14ac:dyDescent="0.3">
      <c r="BB268" t="s">
        <v>248</v>
      </c>
      <c r="BC268">
        <f t="shared" si="19"/>
        <v>1.7689891902879999</v>
      </c>
      <c r="BD268" t="str">
        <f t="shared" si="5"/>
        <v/>
      </c>
      <c r="BE268">
        <f>K176</f>
        <v>0</v>
      </c>
      <c r="BF268" s="995">
        <f t="shared" si="7"/>
        <v>1.7689891902879999</v>
      </c>
      <c r="BG268" t="b">
        <f>ISBLANK(K176)</f>
        <v>1</v>
      </c>
      <c r="BH268" t="str">
        <f t="shared" si="16"/>
        <v>lb/head/day</v>
      </c>
      <c r="BI268" t="str">
        <f t="shared" si="17"/>
        <v>kg/head/day</v>
      </c>
      <c r="BJ268" s="995">
        <f t="shared" si="10"/>
        <v>1.236</v>
      </c>
      <c r="BK268" s="995">
        <f t="shared" si="11"/>
        <v>2.302</v>
      </c>
      <c r="BL268" s="608">
        <f t="shared" si="20"/>
        <v>0</v>
      </c>
      <c r="BM268" t="str">
        <f t="shared" si="18"/>
        <v>VS in farrowing manure</v>
      </c>
      <c r="BN268" t="str">
        <f t="shared" si="15"/>
        <v>Yes</v>
      </c>
      <c r="BO268" t="str">
        <f t="shared" si="6"/>
        <v>Using default</v>
      </c>
    </row>
    <row r="269" spans="53:67" x14ac:dyDescent="0.3">
      <c r="BB269" t="s">
        <v>249</v>
      </c>
      <c r="BC269">
        <f t="shared" si="19"/>
        <v>0.188936158534</v>
      </c>
      <c r="BD269" t="str">
        <f t="shared" si="5"/>
        <v/>
      </c>
      <c r="BE269">
        <f>K179</f>
        <v>0</v>
      </c>
      <c r="BF269" s="995">
        <f t="shared" si="7"/>
        <v>0.188936158534</v>
      </c>
      <c r="BG269" t="b">
        <f>ISBLANK(K179)</f>
        <v>1</v>
      </c>
      <c r="BH269" t="str">
        <f t="shared" si="16"/>
        <v>lb/head/day</v>
      </c>
      <c r="BI269" t="str">
        <f t="shared" si="17"/>
        <v>kg/head/day</v>
      </c>
      <c r="BJ269" s="995">
        <f t="shared" si="10"/>
        <v>0.13</v>
      </c>
      <c r="BK269" s="995">
        <f t="shared" si="11"/>
        <v>0.247</v>
      </c>
      <c r="BL269" s="608">
        <f t="shared" si="20"/>
        <v>0</v>
      </c>
      <c r="BM269" t="str">
        <f t="shared" si="18"/>
        <v>Nitrogen in farrowing manure</v>
      </c>
      <c r="BN269" t="str">
        <f t="shared" si="15"/>
        <v>Yes</v>
      </c>
      <c r="BO269" t="str">
        <f t="shared" si="6"/>
        <v>Using default</v>
      </c>
    </row>
    <row r="270" spans="53:67" x14ac:dyDescent="0.3">
      <c r="BB270" t="s">
        <v>250</v>
      </c>
      <c r="BC270">
        <f t="shared" si="19"/>
        <v>8.6862131228000003E-2</v>
      </c>
      <c r="BD270" t="str">
        <f t="shared" si="5"/>
        <v/>
      </c>
      <c r="BE270">
        <f>K182</f>
        <v>0</v>
      </c>
      <c r="BF270" s="995">
        <f t="shared" si="7"/>
        <v>8.6862131228000003E-2</v>
      </c>
      <c r="BG270" t="b">
        <f>ISBLANK(K182)</f>
        <v>1</v>
      </c>
      <c r="BH270" t="str">
        <f t="shared" si="16"/>
        <v>lb/head/day</v>
      </c>
      <c r="BI270" t="str">
        <f t="shared" si="17"/>
        <v>kg/head/day</v>
      </c>
      <c r="BJ270" s="995">
        <f t="shared" si="10"/>
        <v>5.8999999999999997E-2</v>
      </c>
      <c r="BK270" s="995">
        <f t="shared" si="11"/>
        <v>0.115</v>
      </c>
      <c r="BL270" s="608">
        <f t="shared" si="20"/>
        <v>0</v>
      </c>
      <c r="BM270" t="str">
        <f t="shared" si="18"/>
        <v>P2O5 in farrowing manure</v>
      </c>
      <c r="BN270" t="str">
        <f t="shared" si="15"/>
        <v>Yes</v>
      </c>
      <c r="BO270" t="str">
        <f t="shared" si="6"/>
        <v>Using default</v>
      </c>
    </row>
    <row r="271" spans="53:67" x14ac:dyDescent="0.3">
      <c r="BB271" t="s">
        <v>251</v>
      </c>
      <c r="BC271">
        <f t="shared" si="19"/>
        <v>0.18408598876999999</v>
      </c>
      <c r="BD271" t="str">
        <f t="shared" si="5"/>
        <v/>
      </c>
      <c r="BE271">
        <f>K185</f>
        <v>0</v>
      </c>
      <c r="BF271" s="995">
        <f t="shared" si="7"/>
        <v>0.18408598876999999</v>
      </c>
      <c r="BG271" t="b">
        <f>ISBLANK(K185)</f>
        <v>1</v>
      </c>
      <c r="BH271" t="str">
        <f t="shared" si="16"/>
        <v>lb/head/day</v>
      </c>
      <c r="BI271" t="str">
        <f t="shared" si="17"/>
        <v>kg/head/day</v>
      </c>
      <c r="BJ271" s="995">
        <f t="shared" si="10"/>
        <v>0.127</v>
      </c>
      <c r="BK271" s="995">
        <f t="shared" si="11"/>
        <v>0.24099999999999999</v>
      </c>
      <c r="BL271" s="608">
        <f t="shared" si="20"/>
        <v>0</v>
      </c>
      <c r="BM271" t="str">
        <f t="shared" si="18"/>
        <v>K2O in farrowing manure</v>
      </c>
      <c r="BN271" t="str">
        <f t="shared" si="15"/>
        <v>Yes</v>
      </c>
      <c r="BO271" t="str">
        <f t="shared" si="6"/>
        <v>Using default</v>
      </c>
    </row>
    <row r="272" spans="53:67" x14ac:dyDescent="0.3">
      <c r="BB272" s="82" t="s">
        <v>99</v>
      </c>
      <c r="BC272" s="82" t="s">
        <v>100</v>
      </c>
      <c r="BD272" s="82" t="s">
        <v>208</v>
      </c>
      <c r="BE272" s="82" t="s">
        <v>209</v>
      </c>
      <c r="BF272" s="82" t="s">
        <v>39</v>
      </c>
      <c r="BG272" s="82" t="s">
        <v>103</v>
      </c>
      <c r="BH272" s="82" t="s">
        <v>104</v>
      </c>
      <c r="BI272" s="82" t="s">
        <v>105</v>
      </c>
      <c r="BJ272" s="82" t="s">
        <v>41</v>
      </c>
      <c r="BK272" s="82" t="s">
        <v>42</v>
      </c>
      <c r="BL272" s="82" t="s">
        <v>108</v>
      </c>
      <c r="BM272" s="82" t="s">
        <v>109</v>
      </c>
      <c r="BN272" s="82" t="s">
        <v>210</v>
      </c>
      <c r="BO272" s="82" t="s">
        <v>111</v>
      </c>
    </row>
    <row r="275" spans="65:67" x14ac:dyDescent="0.3">
      <c r="BM275" s="82" t="s">
        <v>127</v>
      </c>
      <c r="BO275">
        <f>COUNTIF(BO236:BO271,"Input invalid, using default")</f>
        <v>0</v>
      </c>
    </row>
    <row r="276" spans="65:67" x14ac:dyDescent="0.3">
      <c r="BM276" t="s">
        <v>252</v>
      </c>
    </row>
    <row r="277" spans="65:67" x14ac:dyDescent="0.3">
      <c r="BM277" t="s">
        <v>131</v>
      </c>
    </row>
    <row r="279" spans="65:67" x14ac:dyDescent="0.3">
      <c r="BM279" t="str">
        <f>IF(BO275&gt;0,BM277,BM276)</f>
        <v>You have answered all of the questions for this page. Press the next page button to move to the excess manure page.</v>
      </c>
    </row>
  </sheetData>
  <mergeCells count="346">
    <mergeCell ref="M23:N25"/>
    <mergeCell ref="O23:P25"/>
    <mergeCell ref="Q23:R25"/>
    <mergeCell ref="E28:R31"/>
    <mergeCell ref="E32:F32"/>
    <mergeCell ref="M32:N32"/>
    <mergeCell ref="O32:P32"/>
    <mergeCell ref="K32:L32"/>
    <mergeCell ref="I32:J32"/>
    <mergeCell ref="G32:H32"/>
    <mergeCell ref="Q32:R32"/>
    <mergeCell ref="E33:F35"/>
    <mergeCell ref="M33:N35"/>
    <mergeCell ref="O33:P35"/>
    <mergeCell ref="K33:L35"/>
    <mergeCell ref="I33:J35"/>
    <mergeCell ref="G33:H35"/>
    <mergeCell ref="Q33:R35"/>
    <mergeCell ref="G5:H7"/>
    <mergeCell ref="I5:J7"/>
    <mergeCell ref="K5:L7"/>
    <mergeCell ref="M5:N7"/>
    <mergeCell ref="O5:P7"/>
    <mergeCell ref="E18:R21"/>
    <mergeCell ref="E22:F22"/>
    <mergeCell ref="G22:H22"/>
    <mergeCell ref="I22:J22"/>
    <mergeCell ref="K22:L22"/>
    <mergeCell ref="M22:N22"/>
    <mergeCell ref="O22:P22"/>
    <mergeCell ref="Q22:R22"/>
    <mergeCell ref="E23:F25"/>
    <mergeCell ref="G23:H25"/>
    <mergeCell ref="I23:J25"/>
    <mergeCell ref="K23:L25"/>
    <mergeCell ref="F2:G4"/>
    <mergeCell ref="H2:I4"/>
    <mergeCell ref="J2:K4"/>
    <mergeCell ref="L2:M4"/>
    <mergeCell ref="N2:O4"/>
    <mergeCell ref="P2:Q4"/>
    <mergeCell ref="C4:D6"/>
    <mergeCell ref="S4:T6"/>
    <mergeCell ref="D11:S16"/>
    <mergeCell ref="G61:P67"/>
    <mergeCell ref="E69:R72"/>
    <mergeCell ref="E73:F73"/>
    <mergeCell ref="M73:N73"/>
    <mergeCell ref="O73:P73"/>
    <mergeCell ref="K73:L73"/>
    <mergeCell ref="I73:J73"/>
    <mergeCell ref="G73:H73"/>
    <mergeCell ref="Q73:R73"/>
    <mergeCell ref="E38:R41"/>
    <mergeCell ref="E42:F42"/>
    <mergeCell ref="M42:N42"/>
    <mergeCell ref="O42:P42"/>
    <mergeCell ref="K42:L42"/>
    <mergeCell ref="I42:J42"/>
    <mergeCell ref="G42:H42"/>
    <mergeCell ref="Q42:R42"/>
    <mergeCell ref="E43:F45"/>
    <mergeCell ref="M43:N45"/>
    <mergeCell ref="O43:P45"/>
    <mergeCell ref="K43:L45"/>
    <mergeCell ref="G43:H45"/>
    <mergeCell ref="Q74:R76"/>
    <mergeCell ref="E77:F79"/>
    <mergeCell ref="M77:N79"/>
    <mergeCell ref="O77:P79"/>
    <mergeCell ref="K77:L79"/>
    <mergeCell ref="I77:J79"/>
    <mergeCell ref="G77:H79"/>
    <mergeCell ref="Q77:R79"/>
    <mergeCell ref="E74:F76"/>
    <mergeCell ref="M74:N76"/>
    <mergeCell ref="O74:P76"/>
    <mergeCell ref="K74:L76"/>
    <mergeCell ref="I74:J76"/>
    <mergeCell ref="G74:H76"/>
    <mergeCell ref="E52:F54"/>
    <mergeCell ref="M52:N54"/>
    <mergeCell ref="O52:P54"/>
    <mergeCell ref="K52:L54"/>
    <mergeCell ref="I52:J54"/>
    <mergeCell ref="G52:H54"/>
    <mergeCell ref="Q52:R54"/>
    <mergeCell ref="D57:S59"/>
    <mergeCell ref="Q43:R45"/>
    <mergeCell ref="E46:F48"/>
    <mergeCell ref="M46:N48"/>
    <mergeCell ref="O46:P48"/>
    <mergeCell ref="K46:L48"/>
    <mergeCell ref="I46:J48"/>
    <mergeCell ref="G46:H48"/>
    <mergeCell ref="Q46:R48"/>
    <mergeCell ref="E49:F51"/>
    <mergeCell ref="M49:N51"/>
    <mergeCell ref="O49:P51"/>
    <mergeCell ref="K49:L51"/>
    <mergeCell ref="I49:J51"/>
    <mergeCell ref="G49:H51"/>
    <mergeCell ref="Q49:R51"/>
    <mergeCell ref="I43:J45"/>
    <mergeCell ref="Q80:R82"/>
    <mergeCell ref="E83:F85"/>
    <mergeCell ref="M83:N85"/>
    <mergeCell ref="O83:P85"/>
    <mergeCell ref="K83:L85"/>
    <mergeCell ref="I83:J85"/>
    <mergeCell ref="G83:H85"/>
    <mergeCell ref="Q83:R85"/>
    <mergeCell ref="E80:F82"/>
    <mergeCell ref="M80:N82"/>
    <mergeCell ref="O80:P82"/>
    <mergeCell ref="K80:L82"/>
    <mergeCell ref="I80:J82"/>
    <mergeCell ref="G80:H82"/>
    <mergeCell ref="E86:F88"/>
    <mergeCell ref="M86:N88"/>
    <mergeCell ref="O86:P88"/>
    <mergeCell ref="K86:L88"/>
    <mergeCell ref="I86:J88"/>
    <mergeCell ref="G86:H88"/>
    <mergeCell ref="Q86:R88"/>
    <mergeCell ref="Q89:R91"/>
    <mergeCell ref="E117:R120"/>
    <mergeCell ref="K98:L100"/>
    <mergeCell ref="I98:J100"/>
    <mergeCell ref="G98:H100"/>
    <mergeCell ref="Q98:R100"/>
    <mergeCell ref="E101:F103"/>
    <mergeCell ref="M101:N103"/>
    <mergeCell ref="O101:P103"/>
    <mergeCell ref="K101:L103"/>
    <mergeCell ref="I101:J103"/>
    <mergeCell ref="G101:H103"/>
    <mergeCell ref="Q101:R103"/>
    <mergeCell ref="E104:F106"/>
    <mergeCell ref="M104:N106"/>
    <mergeCell ref="O104:P106"/>
    <mergeCell ref="K104:L106"/>
    <mergeCell ref="E121:F121"/>
    <mergeCell ref="M121:N121"/>
    <mergeCell ref="O121:P121"/>
    <mergeCell ref="K121:L121"/>
    <mergeCell ref="I121:J121"/>
    <mergeCell ref="G121:H121"/>
    <mergeCell ref="Q121:R121"/>
    <mergeCell ref="E89:F91"/>
    <mergeCell ref="M89:N91"/>
    <mergeCell ref="O89:P91"/>
    <mergeCell ref="K89:L91"/>
    <mergeCell ref="I89:J91"/>
    <mergeCell ref="G89:H91"/>
    <mergeCell ref="E93:R96"/>
    <mergeCell ref="E97:F97"/>
    <mergeCell ref="M97:N97"/>
    <mergeCell ref="O97:P97"/>
    <mergeCell ref="K97:L97"/>
    <mergeCell ref="I97:J97"/>
    <mergeCell ref="G97:H97"/>
    <mergeCell ref="Q97:R97"/>
    <mergeCell ref="E98:F100"/>
    <mergeCell ref="M98:N100"/>
    <mergeCell ref="O98:P100"/>
    <mergeCell ref="Q122:R124"/>
    <mergeCell ref="E125:F127"/>
    <mergeCell ref="M125:N127"/>
    <mergeCell ref="O125:P127"/>
    <mergeCell ref="K125:L127"/>
    <mergeCell ref="I125:J127"/>
    <mergeCell ref="G125:H127"/>
    <mergeCell ref="Q125:R127"/>
    <mergeCell ref="E122:F124"/>
    <mergeCell ref="M122:N124"/>
    <mergeCell ref="O122:P124"/>
    <mergeCell ref="K122:L124"/>
    <mergeCell ref="I122:J124"/>
    <mergeCell ref="G122:H124"/>
    <mergeCell ref="Q128:R130"/>
    <mergeCell ref="E131:F133"/>
    <mergeCell ref="M131:N133"/>
    <mergeCell ref="O131:P133"/>
    <mergeCell ref="K131:L133"/>
    <mergeCell ref="I131:J133"/>
    <mergeCell ref="G131:H133"/>
    <mergeCell ref="Q131:R133"/>
    <mergeCell ref="E128:F130"/>
    <mergeCell ref="M128:N130"/>
    <mergeCell ref="O128:P130"/>
    <mergeCell ref="K128:L130"/>
    <mergeCell ref="I128:J130"/>
    <mergeCell ref="G128:H130"/>
    <mergeCell ref="E134:F136"/>
    <mergeCell ref="M134:N136"/>
    <mergeCell ref="O134:P136"/>
    <mergeCell ref="K134:L136"/>
    <mergeCell ref="I134:J136"/>
    <mergeCell ref="G134:H136"/>
    <mergeCell ref="Q134:R136"/>
    <mergeCell ref="Q137:R139"/>
    <mergeCell ref="E141:R144"/>
    <mergeCell ref="E145:F145"/>
    <mergeCell ref="M145:N145"/>
    <mergeCell ref="O145:P145"/>
    <mergeCell ref="K145:L145"/>
    <mergeCell ref="I145:J145"/>
    <mergeCell ref="G145:H145"/>
    <mergeCell ref="Q145:R145"/>
    <mergeCell ref="E137:F139"/>
    <mergeCell ref="M137:N139"/>
    <mergeCell ref="O137:P139"/>
    <mergeCell ref="K137:L139"/>
    <mergeCell ref="I137:J139"/>
    <mergeCell ref="G137:H139"/>
    <mergeCell ref="Q146:R148"/>
    <mergeCell ref="E149:F151"/>
    <mergeCell ref="M149:N151"/>
    <mergeCell ref="O149:P151"/>
    <mergeCell ref="K149:L151"/>
    <mergeCell ref="I149:J151"/>
    <mergeCell ref="G149:H151"/>
    <mergeCell ref="Q149:R151"/>
    <mergeCell ref="E146:F148"/>
    <mergeCell ref="M146:N148"/>
    <mergeCell ref="O146:P148"/>
    <mergeCell ref="K146:L148"/>
    <mergeCell ref="I146:J148"/>
    <mergeCell ref="G146:H148"/>
    <mergeCell ref="Q152:R154"/>
    <mergeCell ref="E155:F157"/>
    <mergeCell ref="M155:N157"/>
    <mergeCell ref="O155:P157"/>
    <mergeCell ref="K155:L157"/>
    <mergeCell ref="I155:J157"/>
    <mergeCell ref="G155:H157"/>
    <mergeCell ref="Q155:R157"/>
    <mergeCell ref="E152:F154"/>
    <mergeCell ref="M152:N154"/>
    <mergeCell ref="O152:P154"/>
    <mergeCell ref="K152:L154"/>
    <mergeCell ref="I152:J154"/>
    <mergeCell ref="G152:H154"/>
    <mergeCell ref="I104:J106"/>
    <mergeCell ref="G104:H106"/>
    <mergeCell ref="Q104:R106"/>
    <mergeCell ref="E107:F109"/>
    <mergeCell ref="M107:N109"/>
    <mergeCell ref="O107:P109"/>
    <mergeCell ref="K107:L109"/>
    <mergeCell ref="I107:J109"/>
    <mergeCell ref="G107:H109"/>
    <mergeCell ref="Q107:R109"/>
    <mergeCell ref="E110:F112"/>
    <mergeCell ref="M110:N112"/>
    <mergeCell ref="O110:P112"/>
    <mergeCell ref="K110:L112"/>
    <mergeCell ref="I110:J112"/>
    <mergeCell ref="G110:H112"/>
    <mergeCell ref="Q110:R112"/>
    <mergeCell ref="E113:F115"/>
    <mergeCell ref="M113:N115"/>
    <mergeCell ref="O113:P115"/>
    <mergeCell ref="K113:L115"/>
    <mergeCell ref="I113:J115"/>
    <mergeCell ref="G113:H115"/>
    <mergeCell ref="Q113:R115"/>
    <mergeCell ref="E165:R168"/>
    <mergeCell ref="E169:F169"/>
    <mergeCell ref="M169:N169"/>
    <mergeCell ref="O169:P169"/>
    <mergeCell ref="K169:L169"/>
    <mergeCell ref="I169:J169"/>
    <mergeCell ref="G169:H169"/>
    <mergeCell ref="Q169:R169"/>
    <mergeCell ref="E158:F160"/>
    <mergeCell ref="M158:N160"/>
    <mergeCell ref="O158:P160"/>
    <mergeCell ref="K158:L160"/>
    <mergeCell ref="I158:J160"/>
    <mergeCell ref="G158:H160"/>
    <mergeCell ref="Q158:R160"/>
    <mergeCell ref="Q161:R163"/>
    <mergeCell ref="E161:F163"/>
    <mergeCell ref="M161:N163"/>
    <mergeCell ref="O161:P163"/>
    <mergeCell ref="K161:L163"/>
    <mergeCell ref="I161:J163"/>
    <mergeCell ref="G161:H163"/>
    <mergeCell ref="I170:J172"/>
    <mergeCell ref="G170:H172"/>
    <mergeCell ref="Q170:R172"/>
    <mergeCell ref="E173:F175"/>
    <mergeCell ref="M173:N175"/>
    <mergeCell ref="O173:P175"/>
    <mergeCell ref="K173:L175"/>
    <mergeCell ref="I173:J175"/>
    <mergeCell ref="G173:H175"/>
    <mergeCell ref="Q173:R175"/>
    <mergeCell ref="E170:F172"/>
    <mergeCell ref="M170:N172"/>
    <mergeCell ref="O170:P172"/>
    <mergeCell ref="K170:L172"/>
    <mergeCell ref="E182:F184"/>
    <mergeCell ref="M182:N184"/>
    <mergeCell ref="O182:P184"/>
    <mergeCell ref="K182:L184"/>
    <mergeCell ref="I182:J184"/>
    <mergeCell ref="G182:H184"/>
    <mergeCell ref="Q182:R184"/>
    <mergeCell ref="E176:F178"/>
    <mergeCell ref="M176:N178"/>
    <mergeCell ref="O176:P178"/>
    <mergeCell ref="K176:L178"/>
    <mergeCell ref="I176:J178"/>
    <mergeCell ref="G176:H178"/>
    <mergeCell ref="Q176:R178"/>
    <mergeCell ref="E179:F181"/>
    <mergeCell ref="M179:N181"/>
    <mergeCell ref="O179:P181"/>
    <mergeCell ref="K179:L181"/>
    <mergeCell ref="I179:J181"/>
    <mergeCell ref="G179:H181"/>
    <mergeCell ref="Q179:R181"/>
    <mergeCell ref="F199:G201"/>
    <mergeCell ref="H199:I201"/>
    <mergeCell ref="J199:K201"/>
    <mergeCell ref="L199:M201"/>
    <mergeCell ref="N199:O201"/>
    <mergeCell ref="P199:Q201"/>
    <mergeCell ref="C201:D203"/>
    <mergeCell ref="S201:T203"/>
    <mergeCell ref="E185:F187"/>
    <mergeCell ref="M185:N187"/>
    <mergeCell ref="O185:P187"/>
    <mergeCell ref="K185:L187"/>
    <mergeCell ref="I185:J187"/>
    <mergeCell ref="G185:H187"/>
    <mergeCell ref="Q185:R187"/>
    <mergeCell ref="G202:H204"/>
    <mergeCell ref="I202:J204"/>
    <mergeCell ref="K202:L204"/>
    <mergeCell ref="M202:N204"/>
    <mergeCell ref="O202:P204"/>
    <mergeCell ref="G190:P194"/>
  </mergeCells>
  <conditionalFormatting sqref="E86:L91">
    <cfRule type="expression" dxfId="12" priority="7">
      <formula>$Q86="Input invalid, using default"</formula>
    </cfRule>
  </conditionalFormatting>
  <conditionalFormatting sqref="E110:L115">
    <cfRule type="expression" dxfId="11" priority="8">
      <formula>$Q110="Input invalid, using default"</formula>
    </cfRule>
  </conditionalFormatting>
  <conditionalFormatting sqref="E134:L139">
    <cfRule type="expression" dxfId="10" priority="9">
      <formula>$Q134="Input invalid, using default"</formula>
    </cfRule>
  </conditionalFormatting>
  <conditionalFormatting sqref="E158:L163">
    <cfRule type="expression" dxfId="9" priority="3">
      <formula>$Q158="Input invalid, using default"</formula>
    </cfRule>
  </conditionalFormatting>
  <conditionalFormatting sqref="E182:L187">
    <cfRule type="expression" dxfId="8" priority="2">
      <formula>$Q182="Input invalid, using default"</formula>
    </cfRule>
  </conditionalFormatting>
  <conditionalFormatting sqref="Q23 E23:J25 M23:R25 E33:J35 M33:R35 E43:J54 M43:R54 E74:J91 M74:R91 E98:J115 M98:R115 E122:J139 M122:R139 E146:J163 M146:R163 E170:J187 M170:R187">
    <cfRule type="expression" dxfId="7" priority="1">
      <formula>$Q23="Input invalid, using default"</formula>
    </cfRule>
  </conditionalFormatting>
  <hyperlinks>
    <hyperlink ref="F2:G4" location="UI.Welcome!A1" tooltip="Click to go to welcome page" display="Welcome Page" xr:uid="{992D9922-E754-439E-A07D-2416734CC7D6}"/>
    <hyperlink ref="H2:I4" location="UI.Farm!A1" tooltip="Click to go to farm inputs page" display="Farm Info" xr:uid="{555955E3-54D0-4162-9A77-5E51D51E4EA6}"/>
    <hyperlink ref="I5:J7" location="UI.OpExpenses!A1" tooltip="Click to go to operational expenses page" display="Operational Expenses" xr:uid="{68D5E118-48A3-499F-B24B-DB61759E1A13}"/>
    <hyperlink ref="K5:L7" location="UI.Priorities!A1" tooltip="Click to go to priorities page" display="Priorities" xr:uid="{DD41C3C6-4364-4EE5-BA12-78F9E715335A}"/>
    <hyperlink ref="J2:K4" location="UI.Animals!A1" tooltip="Click to go to animals input page" display="Animals" xr:uid="{0581F9D8-63CE-40D4-A6B3-385A362B092B}"/>
    <hyperlink ref="P2:Q4" location="UI.Tractor!A1" tooltip="Click to go to tractor properties" display="Tractor Properties" xr:uid="{FE5FB340-3236-4C5F-8E2E-082541FD52A3}"/>
    <hyperlink ref="N2:O4" location="UI.Streams!A1" tooltip="Click to go to the excess manure page" display="Excess Manure Streams" xr:uid="{B3E22493-D999-4FB2-9241-EF1F99A1F222}"/>
    <hyperlink ref="G5:H7" location="UI.Cap!A1" tooltip="Click to go to capital expenses page" display="Capital Expenses" xr:uid="{36FE9E16-E9F0-4AEE-995C-AF3A93E075A2}"/>
    <hyperlink ref="O5:P7" location="UI.Inputs!A1" tooltip="Click to go to input results summary" display="Inputs Summary" xr:uid="{100075C9-11D4-4F53-AB61-756E09AE17E2}"/>
    <hyperlink ref="C4:D6" location="Results.Summary!A1" tooltip="Click to go to results summary page" display="Results Summary" xr:uid="{F5DB253D-DFAF-4970-BFF9-00042DA9D06F}"/>
    <hyperlink ref="L2:M4" location="UI.Manure!A1" tooltip="Click to go to the manure characteristics page" display="Manure Characteristics" xr:uid="{8A634FE6-0FE9-4C93-8D5B-4FDDE0E57BDA}"/>
    <hyperlink ref="S4:T6" location="UI.Streams!A1" tooltip="Click to go to the excess manure page" display="Excess Manure Streams" xr:uid="{87641536-A344-42BE-9FBC-D24194B0F13C}"/>
    <hyperlink ref="M5:N7" location="UI.Choice!A1" tooltip="Click to go to scenario choice page" display="Scenario Choices" xr:uid="{E4140E2D-E9B7-486C-8E9B-3D06485C8EB8}"/>
    <hyperlink ref="F199:G201" location="UI.Welcome!A1" tooltip="Click to go to welcome page" display="Welcome Page" xr:uid="{72E00D2E-1AEE-4EAD-A345-F081F1F832B8}"/>
    <hyperlink ref="H199:I201" location="UI.Farm!A1" tooltip="Click to go to farm inputs page" display="Farm Info" xr:uid="{96C6DF87-046A-4E26-BF24-2AD7385D08AC}"/>
    <hyperlink ref="I202:J204" location="UI.OpExpenses!A1" tooltip="Click to go to operational expenses page" display="Operational Expenses" xr:uid="{41315E4C-716A-46E9-8A8C-067E6D81DA17}"/>
    <hyperlink ref="K202:L204" location="UI.Priorities!A1" tooltip="Click to go to priorities page" display="Priorities" xr:uid="{5933954A-5214-450C-9538-F7E43D3B4485}"/>
    <hyperlink ref="J199:K201" location="UI.Animals!A1" tooltip="Click to go to animals input page" display="Animals" xr:uid="{23BDBD2F-9E86-4788-96BE-1908F18B62A5}"/>
    <hyperlink ref="P199:Q201" location="UI.Tractor!A1" tooltip="Click to go to tractor properties" display="Tractor Properties" xr:uid="{0C017E2D-7626-491B-9323-33F21A1A9C28}"/>
    <hyperlink ref="N199:O201" location="UI.Streams!A1" tooltip="Click to go to the excess manure page" display="Excess Manure Streams" xr:uid="{4AD3DF98-B7B2-4A9A-A34D-377283707045}"/>
    <hyperlink ref="G202:H204" location="UI.Cap!A1" tooltip="Click to go to capital expenses page" display="Capital Expenses" xr:uid="{0F3E2F98-3728-4183-8427-555468A41E0C}"/>
    <hyperlink ref="O202:P204" location="UI.Inputs!A1" tooltip="Click to go to input results summary" display="Inputs Summary" xr:uid="{0215EA2F-08E1-4BC4-AA2A-4A328B9CDBB8}"/>
    <hyperlink ref="C201:D203" location="Results.Summary!A1" tooltip="Click to go to results summary page" display="Results Summary" xr:uid="{EAE9B303-ED14-4DCE-9E5F-63225D225CCD}"/>
    <hyperlink ref="L199:M201" location="UI.Manure!A1" tooltip="Click to go to the manure characteristics page" display="Manure Characteristics" xr:uid="{310FE6E3-BD58-4FCF-AE8B-41FEB1DE7A09}"/>
    <hyperlink ref="S201:T203" location="UI.Streams!A1" tooltip="Click to go to the excess manure page" display="Excess Manure Streams" xr:uid="{D0A11EAD-CBA3-4F6C-AA1E-0545820FE7FD}"/>
    <hyperlink ref="M202:N204" location="UI.Choice!A1" tooltip="Click to go to scenario choice page" display="Scenario Choices" xr:uid="{8F5CD030-87DA-4BCC-B8C6-528B9BEAD3DC}"/>
  </hyperlinks>
  <pageMargins left="0.7" right="0.7" top="0.75" bottom="0.75" header="0.3" footer="0.3"/>
  <pageSetup scale="43" orientation="portrait" r:id="rId1"/>
  <rowBreaks count="1" manualBreakCount="1">
    <brk id="92" min="2" max="1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BD02C-5542-4046-9263-584A75ED53B6}">
  <sheetPr>
    <tabColor rgb="FF92D050"/>
  </sheetPr>
  <dimension ref="A2:J104"/>
  <sheetViews>
    <sheetView workbookViewId="0">
      <selection sqref="A1:C1"/>
    </sheetView>
  </sheetViews>
  <sheetFormatPr defaultRowHeight="14.4" x14ac:dyDescent="0.3"/>
  <cols>
    <col min="2" max="2" width="92.5546875" bestFit="1" customWidth="1"/>
    <col min="7" max="9" width="18.33203125" customWidth="1"/>
    <col min="10" max="10" width="25.33203125" bestFit="1" customWidth="1"/>
  </cols>
  <sheetData>
    <row r="2" spans="2:10" x14ac:dyDescent="0.3">
      <c r="B2" s="1343" t="s">
        <v>6249</v>
      </c>
      <c r="C2" s="1571"/>
      <c r="D2" s="1571"/>
      <c r="E2" s="1571"/>
      <c r="F2" s="1699" t="s">
        <v>602</v>
      </c>
      <c r="G2" s="1700">
        <v>9</v>
      </c>
      <c r="H2" s="1700">
        <v>10</v>
      </c>
      <c r="I2" s="1700">
        <v>11</v>
      </c>
      <c r="J2" s="1343"/>
    </row>
    <row r="3" spans="2:10" x14ac:dyDescent="0.3">
      <c r="B3" s="28" t="s">
        <v>6176</v>
      </c>
      <c r="C3" s="28"/>
      <c r="D3" s="1448"/>
      <c r="E3" s="1353"/>
      <c r="F3" s="1448"/>
      <c r="G3" s="1574">
        <f>PT.waste_generation!G24*UC.L_to_m3</f>
        <v>31.283734452421985</v>
      </c>
      <c r="H3" s="1574">
        <f>PT.waste_generation!G31*UC.L_to_m3</f>
        <v>2.8937344524219841</v>
      </c>
      <c r="I3" s="1574">
        <f>PT.waste_generation!G40*UC.L_to_m3</f>
        <v>5.2080201667076986</v>
      </c>
      <c r="J3" s="28" t="s">
        <v>2521</v>
      </c>
    </row>
    <row r="4" spans="2:10" x14ac:dyDescent="0.3">
      <c r="B4" s="49" t="s">
        <v>6177</v>
      </c>
      <c r="C4" s="49"/>
      <c r="D4" s="49"/>
      <c r="E4" s="49"/>
      <c r="F4" s="131"/>
      <c r="G4" s="1595">
        <f>PT.waste_generation!$G5</f>
        <v>273.00499999999988</v>
      </c>
      <c r="H4" s="1595">
        <f>PT.waste_generation!$G5</f>
        <v>273.00499999999988</v>
      </c>
      <c r="I4" s="1595">
        <f>PT.waste_generation!$G5</f>
        <v>273.00499999999988</v>
      </c>
      <c r="J4" s="49" t="s">
        <v>6178</v>
      </c>
    </row>
    <row r="5" spans="2:10" x14ac:dyDescent="0.3">
      <c r="B5" s="602" t="s">
        <v>6179</v>
      </c>
      <c r="C5" s="602"/>
      <c r="D5" s="1352"/>
      <c r="E5" s="1352"/>
      <c r="F5" s="131"/>
      <c r="G5" s="1595">
        <f>PT.waste_generation!$G6</f>
        <v>221.00449999999995</v>
      </c>
      <c r="H5" s="1595">
        <f>PT.waste_generation!$G6</f>
        <v>221.00449999999995</v>
      </c>
      <c r="I5" s="1595">
        <f>PT.waste_generation!$G6</f>
        <v>221.00449999999995</v>
      </c>
      <c r="J5" s="602" t="s">
        <v>6180</v>
      </c>
    </row>
    <row r="6" spans="2:10" x14ac:dyDescent="0.3">
      <c r="B6" s="602" t="s">
        <v>5963</v>
      </c>
      <c r="C6" s="49"/>
      <c r="D6" s="49"/>
      <c r="E6" s="49"/>
      <c r="F6" s="131"/>
      <c r="G6" s="1595">
        <f>PT.shallow_flush!G27</f>
        <v>18.183765869577698</v>
      </c>
      <c r="H6" s="1595">
        <f>PT.shallow_scrape!G38</f>
        <v>20.783810869577703</v>
      </c>
      <c r="I6" s="1595">
        <f>PT.shallow_plug!G33</f>
        <v>19.483788369577702</v>
      </c>
      <c r="J6" s="49" t="s">
        <v>2409</v>
      </c>
    </row>
    <row r="7" spans="2:10" x14ac:dyDescent="0.3">
      <c r="B7" s="602" t="s">
        <v>5964</v>
      </c>
      <c r="C7" s="49"/>
      <c r="D7" s="49"/>
      <c r="E7" s="49"/>
      <c r="F7" s="131"/>
      <c r="G7" s="1595">
        <f>PT.waste_generation!$G8</f>
        <v>9.1001499999999993</v>
      </c>
      <c r="H7" s="1595">
        <f>PT.waste_generation!$G8</f>
        <v>9.1001499999999993</v>
      </c>
      <c r="I7" s="1595">
        <f>PT.waste_generation!$G8</f>
        <v>9.1001499999999993</v>
      </c>
      <c r="J7" s="49" t="s">
        <v>2409</v>
      </c>
    </row>
    <row r="8" spans="2:10" x14ac:dyDescent="0.3">
      <c r="B8" s="602" t="s">
        <v>5965</v>
      </c>
      <c r="C8" s="49"/>
      <c r="D8" s="49"/>
      <c r="E8" s="49"/>
      <c r="F8" s="131"/>
      <c r="G8" s="1595">
        <f>PT.waste_generation!$G9</f>
        <v>11.700249999999999</v>
      </c>
      <c r="H8" s="1595">
        <f>PT.waste_generation!$G9</f>
        <v>11.700249999999999</v>
      </c>
      <c r="I8" s="1595">
        <f>PT.waste_generation!$G9</f>
        <v>11.700249999999999</v>
      </c>
      <c r="J8" s="49" t="s">
        <v>2409</v>
      </c>
    </row>
    <row r="9" spans="2:10" x14ac:dyDescent="0.3">
      <c r="B9" s="1585" t="s">
        <v>6250</v>
      </c>
      <c r="C9" s="1017"/>
      <c r="D9" s="1017"/>
      <c r="E9" s="1017"/>
      <c r="F9" s="1499"/>
      <c r="G9" s="1586"/>
      <c r="H9" s="1586"/>
      <c r="I9" s="1586"/>
      <c r="J9" s="1017"/>
    </row>
    <row r="10" spans="2:10" x14ac:dyDescent="0.3">
      <c r="B10" s="28" t="s">
        <v>6251</v>
      </c>
      <c r="C10" s="602"/>
      <c r="D10" s="1352"/>
      <c r="E10" s="1352"/>
      <c r="F10" s="602"/>
      <c r="G10" s="1583">
        <v>0</v>
      </c>
      <c r="H10" s="1583">
        <v>0</v>
      </c>
      <c r="I10" s="1583">
        <v>0</v>
      </c>
      <c r="J10" s="49" t="s">
        <v>2426</v>
      </c>
    </row>
    <row r="11" spans="2:10" x14ac:dyDescent="0.3">
      <c r="B11" s="602" t="s">
        <v>6252</v>
      </c>
      <c r="C11" s="602"/>
      <c r="D11" s="1352"/>
      <c r="E11" s="1352"/>
      <c r="F11" s="1390"/>
      <c r="G11" s="1530">
        <f>UDV.cover_digest.HRT</f>
        <v>52.5</v>
      </c>
      <c r="H11" s="1530">
        <f>UDV.cover_digest.HRT</f>
        <v>52.5</v>
      </c>
      <c r="I11" s="1530">
        <f>UDV.cover_digest.HRT</f>
        <v>52.5</v>
      </c>
      <c r="J11" s="602" t="s">
        <v>2452</v>
      </c>
    </row>
    <row r="12" spans="2:10" x14ac:dyDescent="0.3">
      <c r="B12" s="49" t="s">
        <v>6253</v>
      </c>
      <c r="C12" s="49"/>
      <c r="D12" s="49"/>
      <c r="E12" s="49"/>
      <c r="F12" s="49"/>
      <c r="G12" s="1359">
        <f>UDV.cover_digest.storage_safety_factor</f>
        <v>1</v>
      </c>
      <c r="H12" s="1359">
        <f>UDV.cover_digest.storage_safety_factor</f>
        <v>1</v>
      </c>
      <c r="I12" s="1359">
        <f>UDV.cover_digest.storage_safety_factor</f>
        <v>1</v>
      </c>
      <c r="J12" s="49" t="s">
        <v>2426</v>
      </c>
    </row>
    <row r="13" spans="2:10" x14ac:dyDescent="0.3">
      <c r="B13" s="95" t="s">
        <v>6254</v>
      </c>
      <c r="C13" s="602"/>
      <c r="D13" s="1352"/>
      <c r="E13" s="1352"/>
      <c r="F13" s="1584"/>
      <c r="G13" s="1578">
        <f>UDV.cover_digest.VS_loading_rate</f>
        <v>88.101548577053066</v>
      </c>
      <c r="H13" s="1578">
        <f>UDV.cover_digest.VS_loading_rate</f>
        <v>88.101548577053066</v>
      </c>
      <c r="I13" s="1578">
        <f>UDV.cover_digest.VS_loading_rate</f>
        <v>88.101548577053066</v>
      </c>
      <c r="J13" s="95" t="s">
        <v>2423</v>
      </c>
    </row>
    <row r="14" spans="2:10" x14ac:dyDescent="0.3">
      <c r="B14" s="95" t="s">
        <v>6255</v>
      </c>
      <c r="C14" s="602"/>
      <c r="D14" s="1352"/>
      <c r="E14" s="1352"/>
      <c r="F14" s="1584"/>
      <c r="G14" s="1582" cm="1">
        <f t="array" ref="G14">UDV.cover_digest.VSLR_odor_multiplier</f>
        <v>1</v>
      </c>
      <c r="H14" s="1582" cm="1">
        <f t="array" ref="H14">UDV.cover_digest.VSLR_odor_multiplier</f>
        <v>1</v>
      </c>
      <c r="I14" s="1582" cm="1">
        <f t="array" ref="I14">UDV.cover_digest.VSLR_odor_multiplier</f>
        <v>1</v>
      </c>
      <c r="J14" s="95" t="s">
        <v>2426</v>
      </c>
    </row>
    <row r="15" spans="2:10" x14ac:dyDescent="0.3">
      <c r="B15" s="95" t="s">
        <v>6256</v>
      </c>
      <c r="C15" s="602"/>
      <c r="D15" s="1352"/>
      <c r="E15" s="1352"/>
      <c r="F15" s="1584"/>
      <c r="G15" s="1582">
        <f>IF(G10=1,UDV.cover_digest.VSLR_solids_multiplier,1)</f>
        <v>1</v>
      </c>
      <c r="H15" s="1582">
        <f>IF(H10=1,UDV.cover_digest.VSLR_solids_multiplier,1)</f>
        <v>1</v>
      </c>
      <c r="I15" s="1582">
        <f>IF(I10=1,UDV.cover_digest.VSLR_solids_multiplier,1)</f>
        <v>1</v>
      </c>
      <c r="J15" s="95" t="s">
        <v>2426</v>
      </c>
    </row>
    <row r="16" spans="2:10" x14ac:dyDescent="0.3">
      <c r="B16" s="95" t="s">
        <v>6257</v>
      </c>
      <c r="C16" s="602"/>
      <c r="D16" s="1352"/>
      <c r="E16" s="1352"/>
      <c r="F16" s="1584"/>
      <c r="G16" s="1394">
        <f>G13*G14*G15</f>
        <v>88.101548577053066</v>
      </c>
      <c r="H16" s="1394">
        <f t="shared" ref="H16:I16" si="0">H13*H14*H15</f>
        <v>88.101548577053066</v>
      </c>
      <c r="I16" s="1394">
        <f t="shared" si="0"/>
        <v>88.101548577053066</v>
      </c>
      <c r="J16" s="95" t="s">
        <v>2423</v>
      </c>
    </row>
    <row r="17" spans="2:10" x14ac:dyDescent="0.3">
      <c r="B17" s="95" t="s">
        <v>4787</v>
      </c>
      <c r="C17" s="602"/>
      <c r="D17" s="1352"/>
      <c r="E17" s="1352"/>
      <c r="F17" s="1584"/>
      <c r="G17" s="1426">
        <f>G5*1000/G16</f>
        <v>2508.5200381774307</v>
      </c>
      <c r="H17" s="1426">
        <f>H5*1000/H16</f>
        <v>2508.5200381774307</v>
      </c>
      <c r="I17" s="1426">
        <f>I5*1000/I16</f>
        <v>2508.5200381774307</v>
      </c>
      <c r="J17" s="1353" t="s">
        <v>2478</v>
      </c>
    </row>
    <row r="18" spans="2:10" x14ac:dyDescent="0.3">
      <c r="B18" s="602" t="s">
        <v>6258</v>
      </c>
      <c r="C18" s="49"/>
      <c r="D18" s="49"/>
      <c r="E18" s="49"/>
      <c r="F18" s="49"/>
      <c r="G18" s="648">
        <f>G3*G11*G12</f>
        <v>1642.3960587521542</v>
      </c>
      <c r="H18" s="648">
        <f>H3*H11*H12</f>
        <v>151.92105875215415</v>
      </c>
      <c r="I18" s="648">
        <f>I3*I11*I12</f>
        <v>273.42105875215418</v>
      </c>
      <c r="J18" s="49" t="s">
        <v>2478</v>
      </c>
    </row>
    <row r="19" spans="2:10" x14ac:dyDescent="0.3">
      <c r="B19" s="602" t="s">
        <v>6259</v>
      </c>
      <c r="C19" s="49"/>
      <c r="D19" s="49"/>
      <c r="E19" s="49"/>
      <c r="F19" s="49"/>
      <c r="G19" s="648">
        <f>MAX(G17:G18)</f>
        <v>2508.5200381774307</v>
      </c>
      <c r="H19" s="648">
        <f t="shared" ref="H19:I19" si="1">MAX(H17:H18)</f>
        <v>2508.5200381774307</v>
      </c>
      <c r="I19" s="648">
        <f t="shared" si="1"/>
        <v>2508.5200381774307</v>
      </c>
      <c r="J19" s="49"/>
    </row>
    <row r="20" spans="2:10" x14ac:dyDescent="0.3">
      <c r="B20" s="1343" t="s">
        <v>6260</v>
      </c>
      <c r="C20" s="1571"/>
      <c r="D20" s="1571"/>
      <c r="E20" s="1571"/>
      <c r="F20" s="1572"/>
      <c r="G20" s="1573"/>
      <c r="H20" s="1573"/>
      <c r="I20" s="1573"/>
      <c r="J20" s="1343"/>
    </row>
    <row r="21" spans="2:10" x14ac:dyDescent="0.3">
      <c r="B21" s="602" t="s">
        <v>6186</v>
      </c>
      <c r="C21" s="602"/>
      <c r="D21" s="1352"/>
      <c r="E21" s="1352"/>
      <c r="F21" s="1390"/>
      <c r="G21" s="1575">
        <f>UDV.cover_digest.vs_reduced</f>
        <v>0.6</v>
      </c>
      <c r="H21" s="1575">
        <f>UDV.cover_digest.vs_reduced</f>
        <v>0.6</v>
      </c>
      <c r="I21" s="1575">
        <f>UDV.cover_digest.vs_reduced</f>
        <v>0.6</v>
      </c>
      <c r="J21" s="602" t="s">
        <v>1694</v>
      </c>
    </row>
    <row r="22" spans="2:10" x14ac:dyDescent="0.3">
      <c r="B22" s="602" t="s">
        <v>6187</v>
      </c>
      <c r="C22" s="602"/>
      <c r="D22" s="1352"/>
      <c r="E22" s="1352"/>
      <c r="F22" s="1390"/>
      <c r="G22" s="1575">
        <f>UDV.cover_digest.gas_gen</f>
        <v>0.35</v>
      </c>
      <c r="H22" s="1575">
        <f>UDV.cover_digest.gas_gen</f>
        <v>0.35</v>
      </c>
      <c r="I22" s="1575">
        <f>UDV.cover_digest.gas_gen</f>
        <v>0.35</v>
      </c>
      <c r="J22" s="602" t="s">
        <v>6188</v>
      </c>
    </row>
    <row r="23" spans="2:10" x14ac:dyDescent="0.3">
      <c r="B23" s="95" t="s">
        <v>6189</v>
      </c>
      <c r="C23" s="49"/>
      <c r="D23" s="49"/>
      <c r="E23" s="49"/>
      <c r="F23" s="49"/>
      <c r="G23" s="1576">
        <f>UDV.cover_digest.CH4_fraction</f>
        <v>0.6</v>
      </c>
      <c r="H23" s="1576">
        <f>UDV.cover_digest.CH4_fraction</f>
        <v>0.6</v>
      </c>
      <c r="I23" s="1576">
        <f>UDV.cover_digest.CH4_fraction</f>
        <v>0.6</v>
      </c>
      <c r="J23" s="1353" t="s">
        <v>1694</v>
      </c>
    </row>
    <row r="24" spans="2:10" x14ac:dyDescent="0.3">
      <c r="B24" s="95" t="s">
        <v>1723</v>
      </c>
      <c r="C24" s="49"/>
      <c r="D24" s="49"/>
      <c r="E24" s="49"/>
      <c r="F24" s="49"/>
      <c r="G24" s="1576">
        <f>UDV.energy.CH4_MJ</f>
        <v>37.000000000000007</v>
      </c>
      <c r="H24" s="1576">
        <f>UDV.energy.CH4_MJ</f>
        <v>37.000000000000007</v>
      </c>
      <c r="I24" s="1576">
        <f>UDV.energy.CH4_MJ</f>
        <v>37.000000000000007</v>
      </c>
      <c r="J24" s="1353" t="s">
        <v>2438</v>
      </c>
    </row>
    <row r="25" spans="2:10" x14ac:dyDescent="0.3">
      <c r="B25" s="95" t="s">
        <v>6190</v>
      </c>
      <c r="C25" s="49"/>
      <c r="D25" s="49"/>
      <c r="E25" s="49"/>
      <c r="F25" s="49"/>
      <c r="G25" s="1576">
        <f>UDV.energy.CH4_to_energy</f>
        <v>1</v>
      </c>
      <c r="H25" s="1576">
        <f>UDV.energy.CH4_to_energy</f>
        <v>1</v>
      </c>
      <c r="I25" s="1576">
        <f>UDV.energy.CH4_to_energy</f>
        <v>1</v>
      </c>
      <c r="J25" s="1353" t="s">
        <v>1694</v>
      </c>
    </row>
    <row r="26" spans="2:10" x14ac:dyDescent="0.3">
      <c r="B26" s="95" t="s">
        <v>6191</v>
      </c>
      <c r="C26" s="49"/>
      <c r="D26" s="49"/>
      <c r="E26" s="49"/>
      <c r="F26" s="49"/>
      <c r="G26" s="1576">
        <f>UDV.emit_CH4.density</f>
        <v>0.66199999999999992</v>
      </c>
      <c r="H26" s="1576">
        <f>UDV.emit_CH4.density</f>
        <v>0.66199999999999992</v>
      </c>
      <c r="I26" s="1576">
        <f>UDV.emit_CH4.density</f>
        <v>0.66199999999999992</v>
      </c>
      <c r="J26" s="1353" t="s">
        <v>2416</v>
      </c>
    </row>
    <row r="27" spans="2:10" x14ac:dyDescent="0.3">
      <c r="B27" s="95" t="s">
        <v>6192</v>
      </c>
      <c r="C27" s="49"/>
      <c r="D27" s="49"/>
      <c r="E27" s="49"/>
      <c r="F27" s="49"/>
      <c r="G27" s="1576">
        <f>UDV.emit_CH4.combustion_ratio</f>
        <v>2.75</v>
      </c>
      <c r="H27" s="1576">
        <f>UDV.emit_CH4.combustion_ratio</f>
        <v>2.75</v>
      </c>
      <c r="I27" s="1576">
        <f>UDV.emit_CH4.combustion_ratio</f>
        <v>2.75</v>
      </c>
      <c r="J27" s="1353" t="s">
        <v>2392</v>
      </c>
    </row>
    <row r="28" spans="2:10" x14ac:dyDescent="0.3">
      <c r="B28" s="602" t="s">
        <v>6193</v>
      </c>
      <c r="C28" s="49"/>
      <c r="D28" s="49"/>
      <c r="E28" s="49"/>
      <c r="F28" s="49"/>
      <c r="G28" s="1360">
        <f>G5*G21</f>
        <v>132.60269999999997</v>
      </c>
      <c r="H28" s="1360">
        <f>H5*H21</f>
        <v>132.60269999999997</v>
      </c>
      <c r="I28" s="1360">
        <f>I5*I21</f>
        <v>132.60269999999997</v>
      </c>
      <c r="J28" s="602" t="s">
        <v>6180</v>
      </c>
    </row>
    <row r="29" spans="2:10" x14ac:dyDescent="0.3">
      <c r="B29" s="602" t="s">
        <v>6194</v>
      </c>
      <c r="C29" s="49"/>
      <c r="D29" s="49"/>
      <c r="E29" s="49"/>
      <c r="F29" s="49"/>
      <c r="G29" s="1360">
        <f t="shared" ref="G29:I30" si="2">G22*G28</f>
        <v>46.410944999999984</v>
      </c>
      <c r="H29" s="1360">
        <f t="shared" si="2"/>
        <v>46.410944999999984</v>
      </c>
      <c r="I29" s="1360">
        <f t="shared" si="2"/>
        <v>46.410944999999984</v>
      </c>
      <c r="J29" s="602" t="s">
        <v>2521</v>
      </c>
    </row>
    <row r="30" spans="2:10" x14ac:dyDescent="0.3">
      <c r="B30" s="95" t="s">
        <v>6195</v>
      </c>
      <c r="C30" s="49"/>
      <c r="D30" s="49"/>
      <c r="E30" s="49"/>
      <c r="F30" s="49"/>
      <c r="G30" s="1360">
        <f t="shared" si="2"/>
        <v>27.84656699999999</v>
      </c>
      <c r="H30" s="1360">
        <f t="shared" si="2"/>
        <v>27.84656699999999</v>
      </c>
      <c r="I30" s="1360">
        <f t="shared" si="2"/>
        <v>27.84656699999999</v>
      </c>
      <c r="J30" s="1353" t="s">
        <v>2521</v>
      </c>
    </row>
    <row r="31" spans="2:10" x14ac:dyDescent="0.3">
      <c r="B31" s="95" t="s">
        <v>6196</v>
      </c>
      <c r="C31" s="49"/>
      <c r="D31" s="49"/>
      <c r="E31" s="49"/>
      <c r="F31" s="49"/>
      <c r="G31" s="1360">
        <f>G26*G30</f>
        <v>18.43442735399999</v>
      </c>
      <c r="H31" s="1360">
        <f>H26*H30</f>
        <v>18.43442735399999</v>
      </c>
      <c r="I31" s="1360">
        <f>I26*I30</f>
        <v>18.43442735399999</v>
      </c>
      <c r="J31" s="1353" t="s">
        <v>2409</v>
      </c>
    </row>
    <row r="32" spans="2:10" x14ac:dyDescent="0.3">
      <c r="B32" s="95" t="s">
        <v>6261</v>
      </c>
      <c r="C32" s="49"/>
      <c r="D32" s="49"/>
      <c r="E32" s="49"/>
      <c r="F32" s="49"/>
      <c r="G32" s="1360">
        <f>G24*G30</f>
        <v>1030.3229789999998</v>
      </c>
      <c r="H32" s="1360">
        <f>H24*H30</f>
        <v>1030.3229789999998</v>
      </c>
      <c r="I32" s="1360">
        <f>I24*I30</f>
        <v>1030.3229789999998</v>
      </c>
      <c r="J32" s="1577" t="s">
        <v>6198</v>
      </c>
    </row>
    <row r="33" spans="2:10" x14ac:dyDescent="0.3">
      <c r="B33" s="95" t="s">
        <v>6199</v>
      </c>
      <c r="C33" s="49"/>
      <c r="D33" s="49"/>
      <c r="E33" s="49"/>
      <c r="F33" s="49"/>
      <c r="G33" s="1360">
        <f>G25*G32</f>
        <v>1030.3229789999998</v>
      </c>
      <c r="H33" s="1360">
        <f>H25*H32</f>
        <v>1030.3229789999998</v>
      </c>
      <c r="I33" s="1360">
        <f>I25*I32</f>
        <v>1030.3229789999998</v>
      </c>
      <c r="J33" s="1353" t="s">
        <v>6198</v>
      </c>
    </row>
    <row r="34" spans="2:10" x14ac:dyDescent="0.3">
      <c r="B34" s="1587" t="s">
        <v>6200</v>
      </c>
      <c r="C34" s="1089" t="s">
        <v>6201</v>
      </c>
      <c r="D34" s="1089"/>
      <c r="E34" s="1089"/>
      <c r="F34" s="1089"/>
      <c r="G34" s="1360">
        <f>(1-G25)*G31</f>
        <v>0</v>
      </c>
      <c r="H34" s="1360">
        <f>(1-H25)*H31</f>
        <v>0</v>
      </c>
      <c r="I34" s="1360">
        <f>(1-I25)*I31</f>
        <v>0</v>
      </c>
      <c r="J34" s="1353" t="s">
        <v>2409</v>
      </c>
    </row>
    <row r="35" spans="2:10" x14ac:dyDescent="0.3">
      <c r="B35" s="1587" t="s">
        <v>6202</v>
      </c>
      <c r="C35" s="1089" t="s">
        <v>6201</v>
      </c>
      <c r="D35" s="1089"/>
      <c r="E35" s="1089"/>
      <c r="F35" s="1089"/>
      <c r="G35" s="1360">
        <f>G25*G27*G31</f>
        <v>50.694675223499971</v>
      </c>
      <c r="H35" s="1360">
        <f>H25*H27*H31</f>
        <v>50.694675223499971</v>
      </c>
      <c r="I35" s="1360">
        <f>I25*I27*I31</f>
        <v>50.694675223499971</v>
      </c>
      <c r="J35" s="1353" t="s">
        <v>2409</v>
      </c>
    </row>
    <row r="36" spans="2:10" x14ac:dyDescent="0.3">
      <c r="B36" s="1343" t="s">
        <v>6262</v>
      </c>
      <c r="C36" s="1571"/>
      <c r="D36" s="1571"/>
      <c r="E36" s="1571"/>
      <c r="F36" s="1572"/>
      <c r="G36" s="1573"/>
      <c r="H36" s="1573"/>
      <c r="I36" s="1573"/>
      <c r="J36" s="1343"/>
    </row>
    <row r="37" spans="2:10" x14ac:dyDescent="0.3">
      <c r="B37" s="95" t="s">
        <v>6263</v>
      </c>
      <c r="C37" s="602"/>
      <c r="D37" s="1352"/>
      <c r="E37" s="1352"/>
      <c r="F37" s="131"/>
      <c r="G37" s="1576">
        <f>UDV.cover_digest.gas_fraction</f>
        <v>0.2</v>
      </c>
      <c r="H37" s="1576">
        <f>UDV.cover_digest.gas_fraction</f>
        <v>0.2</v>
      </c>
      <c r="I37" s="1576">
        <f>UDV.cover_digest.gas_fraction</f>
        <v>0.2</v>
      </c>
      <c r="J37" s="1353" t="s">
        <v>1694</v>
      </c>
    </row>
    <row r="38" spans="2:10" x14ac:dyDescent="0.3">
      <c r="B38" s="602" t="s">
        <v>6264</v>
      </c>
      <c r="C38" s="602"/>
      <c r="D38" s="1352"/>
      <c r="E38" s="1352"/>
      <c r="F38" s="1390"/>
      <c r="G38" s="1359">
        <f>UDV.cover_digest.depth</f>
        <v>4.5720000000000001</v>
      </c>
      <c r="H38" s="1359">
        <f>UDV.cover_digest.depth</f>
        <v>4.5720000000000001</v>
      </c>
      <c r="I38" s="1359">
        <f>UDV.cover_digest.depth</f>
        <v>4.5720000000000001</v>
      </c>
      <c r="J38" s="602" t="s">
        <v>2337</v>
      </c>
    </row>
    <row r="39" spans="2:10" x14ac:dyDescent="0.3">
      <c r="B39" s="602" t="s">
        <v>6265</v>
      </c>
      <c r="C39" s="49"/>
      <c r="D39" s="49"/>
      <c r="E39" s="49"/>
      <c r="F39" s="49"/>
      <c r="G39" s="1359" cm="1">
        <f t="array" ref="G39">UDV.cover_digest.slope</f>
        <v>3</v>
      </c>
      <c r="H39" s="1359" cm="1">
        <f t="array" ref="H39">UDV.cover_digest.slope</f>
        <v>3</v>
      </c>
      <c r="I39" s="1359" cm="1">
        <f t="array" ref="I39">UDV.cover_digest.slope</f>
        <v>3</v>
      </c>
      <c r="J39" s="602" t="s">
        <v>2446</v>
      </c>
    </row>
    <row r="40" spans="2:10" x14ac:dyDescent="0.3">
      <c r="B40" s="602" t="s">
        <v>6266</v>
      </c>
      <c r="C40" s="602"/>
      <c r="D40" s="1352"/>
      <c r="E40" s="1352"/>
      <c r="F40" s="1390"/>
      <c r="G40" s="1579">
        <f>UDV.cover_digest.berm_width</f>
        <v>2.5</v>
      </c>
      <c r="H40" s="1579">
        <f>UDV.cover_digest.berm_width</f>
        <v>2.5</v>
      </c>
      <c r="I40" s="1579">
        <f>UDV.cover_digest.berm_width</f>
        <v>2.5</v>
      </c>
      <c r="J40" s="602" t="s">
        <v>2337</v>
      </c>
    </row>
    <row r="41" spans="2:10" x14ac:dyDescent="0.3">
      <c r="B41" s="602" t="s">
        <v>6267</v>
      </c>
      <c r="C41" s="49"/>
      <c r="D41" s="52"/>
      <c r="E41" s="52"/>
      <c r="F41" s="48"/>
      <c r="G41" s="1359">
        <f>UDV.cover_digest.freeboard</f>
        <v>0.30480000000000002</v>
      </c>
      <c r="H41" s="1359">
        <f>UDV.cover_digest.freeboard</f>
        <v>0.30480000000000002</v>
      </c>
      <c r="I41" s="1359">
        <f>UDV.cover_digest.freeboard</f>
        <v>0.30480000000000002</v>
      </c>
      <c r="J41" s="18" t="s">
        <v>2337</v>
      </c>
    </row>
    <row r="42" spans="2:10" x14ac:dyDescent="0.3">
      <c r="B42" s="602" t="s">
        <v>4714</v>
      </c>
      <c r="C42" s="49"/>
      <c r="D42" s="49"/>
      <c r="E42" s="49"/>
      <c r="F42" s="49"/>
      <c r="G42" s="49">
        <f>G38*G39*2</f>
        <v>27.432000000000002</v>
      </c>
      <c r="H42" s="49">
        <f>H38*H39*2</f>
        <v>27.432000000000002</v>
      </c>
      <c r="I42" s="49">
        <f>I38*I39*2</f>
        <v>27.432000000000002</v>
      </c>
      <c r="J42" s="602" t="s">
        <v>2337</v>
      </c>
    </row>
    <row r="43" spans="2:10" x14ac:dyDescent="0.3">
      <c r="B43" s="602" t="s">
        <v>6268</v>
      </c>
      <c r="C43" s="49"/>
      <c r="D43" s="49"/>
      <c r="E43" s="49"/>
      <c r="F43" s="49"/>
      <c r="G43" s="648">
        <f>G40*2+G42</f>
        <v>32.432000000000002</v>
      </c>
      <c r="H43" s="648">
        <f>H40*2+H42</f>
        <v>32.432000000000002</v>
      </c>
      <c r="I43" s="648">
        <f>I40*2+I42</f>
        <v>32.432000000000002</v>
      </c>
      <c r="J43" s="602" t="s">
        <v>2337</v>
      </c>
    </row>
    <row r="44" spans="2:10" x14ac:dyDescent="0.3">
      <c r="B44" s="602" t="s">
        <v>6269</v>
      </c>
      <c r="C44" s="49"/>
      <c r="D44" s="49"/>
      <c r="E44" s="49"/>
      <c r="F44" s="49"/>
      <c r="G44" s="1360">
        <f>1/3*G38*(G43^2)</f>
        <v>1602.9959669760001</v>
      </c>
      <c r="H44" s="1360">
        <f>1/3*H38*(H43^2)</f>
        <v>1602.9959669760001</v>
      </c>
      <c r="I44" s="1360">
        <f>1/3*I38*(I43^2)</f>
        <v>1602.9959669760001</v>
      </c>
      <c r="J44" s="602" t="s">
        <v>2478</v>
      </c>
    </row>
    <row r="45" spans="2:10" x14ac:dyDescent="0.3">
      <c r="B45" s="602" t="s">
        <v>6270</v>
      </c>
      <c r="C45" s="49"/>
      <c r="D45" s="49"/>
      <c r="E45" s="49"/>
      <c r="F45" s="49"/>
      <c r="G45" s="1209">
        <f>1/3*G41*(G43^2 + (G43-G42)^2 + G43*(G43-G42))</f>
        <v>125.88185379840002</v>
      </c>
      <c r="H45" s="1209">
        <f>1/3*H41*(H43^2 + (H43-H42)^2 + H43*(H43-H42))</f>
        <v>125.88185379840002</v>
      </c>
      <c r="I45" s="1209">
        <f>1/3*I41*(I43^2 + (I43-I42)^2 + I43*(I43-I42))</f>
        <v>125.88185379840002</v>
      </c>
      <c r="J45" s="602" t="s">
        <v>2478</v>
      </c>
    </row>
    <row r="46" spans="2:10" x14ac:dyDescent="0.3">
      <c r="B46" s="602" t="s">
        <v>6271</v>
      </c>
      <c r="C46" s="49"/>
      <c r="D46" s="49"/>
      <c r="E46" s="49"/>
      <c r="F46" s="49"/>
      <c r="G46" s="1209">
        <f>G44+G45</f>
        <v>1728.8778207744001</v>
      </c>
      <c r="H46" s="1209">
        <f>H44+H45</f>
        <v>1728.8778207744001</v>
      </c>
      <c r="I46" s="1209">
        <f>I44+I45</f>
        <v>1728.8778207744001</v>
      </c>
      <c r="J46" s="602" t="s">
        <v>2478</v>
      </c>
    </row>
    <row r="47" spans="2:10" x14ac:dyDescent="0.3">
      <c r="B47" s="602" t="s">
        <v>6272</v>
      </c>
      <c r="C47" s="49"/>
      <c r="D47" s="49"/>
      <c r="E47" s="49"/>
      <c r="F47" s="49"/>
      <c r="G47" s="1360">
        <f>MAX(G19,G46)</f>
        <v>2508.5200381774307</v>
      </c>
      <c r="H47" s="1360">
        <f>MAX(H19,H46)</f>
        <v>2508.5200381774307</v>
      </c>
      <c r="I47" s="1360">
        <f>MAX(I19,I46)</f>
        <v>2508.5200381774307</v>
      </c>
      <c r="J47" s="602" t="s">
        <v>2478</v>
      </c>
    </row>
    <row r="48" spans="2:10" x14ac:dyDescent="0.3">
      <c r="B48" s="1581" t="s">
        <v>6273</v>
      </c>
      <c r="C48" s="1371" t="s">
        <v>6274</v>
      </c>
      <c r="D48" s="1371"/>
      <c r="E48" s="1371"/>
      <c r="F48" s="49"/>
      <c r="G48" s="1364">
        <f>Cover_Size!G18</f>
        <v>1661.3902142063973</v>
      </c>
      <c r="H48" s="1364">
        <f>Cover_Size!H18</f>
        <v>1661.3902142063973</v>
      </c>
      <c r="I48" s="1364">
        <f>Cover_Size!I18</f>
        <v>1661.3902142063973</v>
      </c>
      <c r="J48" s="49" t="s">
        <v>2268</v>
      </c>
    </row>
    <row r="49" spans="2:10" x14ac:dyDescent="0.3">
      <c r="B49" s="1581" t="s">
        <v>6275</v>
      </c>
      <c r="C49" s="1371" t="s">
        <v>6274</v>
      </c>
      <c r="D49" s="1371"/>
      <c r="E49" s="1371"/>
      <c r="F49" s="49"/>
      <c r="G49" s="1364">
        <f>Cover_Size!G19</f>
        <v>2700.4909100593827</v>
      </c>
      <c r="H49" s="1364">
        <f>Cover_Size!H19</f>
        <v>2700.4909100593827</v>
      </c>
      <c r="I49" s="1364">
        <f>Cover_Size!I19</f>
        <v>2700.4909100593827</v>
      </c>
      <c r="J49" s="49" t="s">
        <v>2478</v>
      </c>
    </row>
    <row r="50" spans="2:10" x14ac:dyDescent="0.3">
      <c r="B50" s="1581" t="s">
        <v>6276</v>
      </c>
      <c r="C50" s="49"/>
      <c r="D50" s="49"/>
      <c r="E50" s="49"/>
      <c r="F50" s="49"/>
      <c r="G50" s="1360">
        <f>G37*G49</f>
        <v>540.09818201187659</v>
      </c>
      <c r="H50" s="1360">
        <f t="shared" ref="H50:I50" si="3">H37*H49</f>
        <v>540.09818201187659</v>
      </c>
      <c r="I50" s="1360">
        <f t="shared" si="3"/>
        <v>540.09818201187659</v>
      </c>
      <c r="J50" s="49" t="s">
        <v>2478</v>
      </c>
    </row>
    <row r="51" spans="2:10" x14ac:dyDescent="0.3">
      <c r="B51" s="1343" t="s">
        <v>6277</v>
      </c>
      <c r="C51" s="1571"/>
      <c r="D51" s="1571"/>
      <c r="E51" s="1571"/>
      <c r="F51" s="1572"/>
      <c r="G51" s="1573"/>
      <c r="H51" s="1573"/>
      <c r="I51" s="1573"/>
      <c r="J51" s="1343"/>
    </row>
    <row r="52" spans="2:10" x14ac:dyDescent="0.3">
      <c r="B52" s="18" t="s">
        <v>5794</v>
      </c>
      <c r="C52" s="2295"/>
      <c r="D52" s="2295"/>
      <c r="E52" s="2295"/>
      <c r="F52" s="2296"/>
      <c r="G52" s="2297" cm="1">
        <f t="array" ref="G52">UDV.cover_digest.N_retained</f>
        <v>0.898408765</v>
      </c>
      <c r="H52" s="2297" cm="1">
        <f t="array" ref="H52">UDV.cover_digest.N_retained</f>
        <v>0.898408765</v>
      </c>
      <c r="I52" s="2297" cm="1">
        <f t="array" ref="I52">UDV.cover_digest.N_retained</f>
        <v>0.898408765</v>
      </c>
      <c r="J52" s="1818" t="s">
        <v>1694</v>
      </c>
    </row>
    <row r="53" spans="2:10" x14ac:dyDescent="0.3">
      <c r="B53" s="602" t="s">
        <v>6226</v>
      </c>
      <c r="C53" s="49"/>
      <c r="D53" s="1371" t="s">
        <v>6041</v>
      </c>
      <c r="E53" s="1371"/>
      <c r="F53" s="1371"/>
      <c r="G53" s="1360">
        <f>G3</f>
        <v>31.283734452421985</v>
      </c>
      <c r="H53" s="1360">
        <f>H3</f>
        <v>2.8937344524219841</v>
      </c>
      <c r="I53" s="1360">
        <f>I3</f>
        <v>5.2080201667076986</v>
      </c>
      <c r="J53" s="49" t="s">
        <v>2521</v>
      </c>
    </row>
    <row r="54" spans="2:10" x14ac:dyDescent="0.3">
      <c r="B54" s="49" t="s">
        <v>6227</v>
      </c>
      <c r="C54" s="49"/>
      <c r="D54" s="1371" t="s">
        <v>6041</v>
      </c>
      <c r="E54" s="1371"/>
      <c r="F54" s="1371"/>
      <c r="G54" s="1360">
        <f>G4-G28</f>
        <v>140.40229999999991</v>
      </c>
      <c r="H54" s="1360">
        <f>H4-H28</f>
        <v>140.40229999999991</v>
      </c>
      <c r="I54" s="1360">
        <f>I4-I28</f>
        <v>140.40229999999991</v>
      </c>
      <c r="J54" s="49" t="s">
        <v>6178</v>
      </c>
    </row>
    <row r="55" spans="2:10" x14ac:dyDescent="0.3">
      <c r="B55" s="602" t="s">
        <v>6228</v>
      </c>
      <c r="C55" s="49"/>
      <c r="D55" s="1371" t="s">
        <v>6041</v>
      </c>
      <c r="E55" s="1371"/>
      <c r="F55" s="1371"/>
      <c r="G55" s="1360">
        <f>G5-G28</f>
        <v>88.40179999999998</v>
      </c>
      <c r="H55" s="1360">
        <f>H5-H28</f>
        <v>88.40179999999998</v>
      </c>
      <c r="I55" s="1360">
        <f>I5-I28</f>
        <v>88.40179999999998</v>
      </c>
      <c r="J55" s="49" t="s">
        <v>6180</v>
      </c>
    </row>
    <row r="56" spans="2:10" x14ac:dyDescent="0.3">
      <c r="B56" s="602" t="s">
        <v>6229</v>
      </c>
      <c r="C56" s="49"/>
      <c r="D56" s="1371" t="s">
        <v>6041</v>
      </c>
      <c r="E56" s="1371"/>
      <c r="F56" s="1371"/>
      <c r="G56" s="1360">
        <f>G6*G52</f>
        <v>16.336454637936452</v>
      </c>
      <c r="H56" s="1360">
        <f t="shared" ref="H56:I56" si="4">H6*H52</f>
        <v>18.67235785533088</v>
      </c>
      <c r="I56" s="1360">
        <f t="shared" si="4"/>
        <v>17.504406246633668</v>
      </c>
      <c r="J56" s="49" t="s">
        <v>2409</v>
      </c>
    </row>
    <row r="57" spans="2:10" x14ac:dyDescent="0.3">
      <c r="B57" s="602" t="s">
        <v>6230</v>
      </c>
      <c r="C57" s="49"/>
      <c r="D57" s="1371" t="s">
        <v>6041</v>
      </c>
      <c r="E57" s="1371"/>
      <c r="F57" s="1371"/>
      <c r="G57" s="1360">
        <f t="shared" ref="G57:I58" si="5">G7</f>
        <v>9.1001499999999993</v>
      </c>
      <c r="H57" s="1360">
        <f t="shared" si="5"/>
        <v>9.1001499999999993</v>
      </c>
      <c r="I57" s="1360">
        <f t="shared" si="5"/>
        <v>9.1001499999999993</v>
      </c>
      <c r="J57" s="49" t="s">
        <v>2409</v>
      </c>
    </row>
    <row r="58" spans="2:10" x14ac:dyDescent="0.3">
      <c r="B58" s="602" t="s">
        <v>6231</v>
      </c>
      <c r="C58" s="49"/>
      <c r="D58" s="1371" t="s">
        <v>6041</v>
      </c>
      <c r="E58" s="1371"/>
      <c r="F58" s="1371"/>
      <c r="G58" s="1360">
        <f t="shared" si="5"/>
        <v>11.700249999999999</v>
      </c>
      <c r="H58" s="1360">
        <f t="shared" si="5"/>
        <v>11.700249999999999</v>
      </c>
      <c r="I58" s="1360">
        <f t="shared" si="5"/>
        <v>11.700249999999999</v>
      </c>
      <c r="J58" s="49" t="s">
        <v>2409</v>
      </c>
    </row>
    <row r="59" spans="2:10" x14ac:dyDescent="0.3">
      <c r="G59" s="148"/>
      <c r="H59" s="148"/>
      <c r="I59" s="148"/>
    </row>
    <row r="60" spans="2:10" x14ac:dyDescent="0.3">
      <c r="B60" s="1405" t="s">
        <v>5271</v>
      </c>
      <c r="C60" s="1374"/>
      <c r="D60" s="1374"/>
      <c r="E60" s="1374"/>
      <c r="F60" s="1356"/>
      <c r="G60" s="1356"/>
      <c r="H60" s="1356"/>
      <c r="I60" s="1356"/>
      <c r="J60" s="1374"/>
    </row>
    <row r="61" spans="2:10" x14ac:dyDescent="0.3">
      <c r="B61" s="49" t="s">
        <v>5594</v>
      </c>
      <c r="C61" s="49"/>
      <c r="D61" s="49"/>
      <c r="E61" s="49"/>
      <c r="F61" s="49"/>
      <c r="G61" s="1360">
        <f>G5</f>
        <v>221.00449999999995</v>
      </c>
      <c r="H61" s="1360">
        <f>H5</f>
        <v>221.00449999999995</v>
      </c>
      <c r="I61" s="1360">
        <f>I5</f>
        <v>221.00449999999995</v>
      </c>
      <c r="J61" s="49" t="s">
        <v>2409</v>
      </c>
    </row>
    <row r="62" spans="2:10" x14ac:dyDescent="0.3">
      <c r="B62" s="602" t="s">
        <v>5595</v>
      </c>
      <c r="C62" s="49"/>
      <c r="D62" s="49"/>
      <c r="E62" s="49"/>
      <c r="F62" s="49"/>
      <c r="G62" s="1727">
        <f>UDV.emit_CH4.BD</f>
        <v>0.47999999999999993</v>
      </c>
      <c r="H62" s="1727">
        <f>UDV.emit_CH4.BD</f>
        <v>0.47999999999999993</v>
      </c>
      <c r="I62" s="1727">
        <f>UDV.emit_CH4.BD</f>
        <v>0.47999999999999993</v>
      </c>
      <c r="J62" s="49" t="s">
        <v>5596</v>
      </c>
    </row>
    <row r="63" spans="2:10" x14ac:dyDescent="0.3">
      <c r="B63" s="602" t="s">
        <v>5597</v>
      </c>
      <c r="C63" s="49"/>
      <c r="D63" s="49"/>
      <c r="E63" s="49"/>
      <c r="F63" s="49"/>
      <c r="G63" s="1727">
        <f>UDV.emit_CH4.density</f>
        <v>0.66199999999999992</v>
      </c>
      <c r="H63" s="1727">
        <f>UDV.emit_CH4.density</f>
        <v>0.66199999999999992</v>
      </c>
      <c r="I63" s="1727">
        <f>UDV.emit_CH4.density</f>
        <v>0.66199999999999992</v>
      </c>
      <c r="J63" s="49" t="s">
        <v>2416</v>
      </c>
    </row>
    <row r="64" spans="2:10" x14ac:dyDescent="0.3">
      <c r="B64" s="602" t="s">
        <v>5598</v>
      </c>
      <c r="C64" s="49"/>
      <c r="D64" s="49"/>
      <c r="E64" s="49"/>
      <c r="F64" s="49"/>
      <c r="G64" s="1414">
        <f>UDV.emit_CH4.MCF_cover_digest</f>
        <v>0.1</v>
      </c>
      <c r="H64" s="1414">
        <f>UDV.emit_CH4.MCF_cover_digest</f>
        <v>0.1</v>
      </c>
      <c r="I64" s="1414">
        <f>UDV.emit_CH4.MCF_cover_digest</f>
        <v>0.1</v>
      </c>
      <c r="J64" s="49" t="s">
        <v>1694</v>
      </c>
    </row>
    <row r="65" spans="2:10" x14ac:dyDescent="0.3">
      <c r="B65" s="602" t="s">
        <v>5599</v>
      </c>
      <c r="C65" s="49"/>
      <c r="D65" s="1089" t="s">
        <v>5600</v>
      </c>
      <c r="E65" s="1089"/>
      <c r="F65" s="1089"/>
      <c r="G65" s="1728">
        <f>G61*365*G62*G63*G64/UDV.animal.total</f>
        <v>5.1265264641599977</v>
      </c>
      <c r="H65" s="1728">
        <f>H61*365*H62*H63*H64/UDV.animal.total</f>
        <v>5.1265264641599977</v>
      </c>
      <c r="I65" s="1728">
        <f>I61*365*I62*I63*I64/UDV.animal.total</f>
        <v>5.1265264641599977</v>
      </c>
      <c r="J65" s="49" t="s">
        <v>5601</v>
      </c>
    </row>
    <row r="66" spans="2:10" x14ac:dyDescent="0.3">
      <c r="B66" s="2283" t="s">
        <v>5602</v>
      </c>
      <c r="C66" s="1406"/>
      <c r="D66" s="1407"/>
      <c r="E66" s="2284"/>
      <c r="F66" s="1409"/>
      <c r="G66" s="1409"/>
      <c r="H66" s="1409"/>
      <c r="I66" s="1409"/>
      <c r="J66" s="1411"/>
    </row>
    <row r="67" spans="2:10" x14ac:dyDescent="0.3">
      <c r="B67" s="28" t="s">
        <v>6232</v>
      </c>
      <c r="C67" s="510"/>
      <c r="D67" s="2285"/>
      <c r="E67" s="1353"/>
      <c r="F67" s="1384"/>
      <c r="G67" s="1532">
        <f>G6</f>
        <v>18.183765869577698</v>
      </c>
      <c r="H67" s="1532">
        <f t="shared" ref="H67:I67" si="6">H6</f>
        <v>20.783810869577703</v>
      </c>
      <c r="I67" s="1532">
        <f t="shared" si="6"/>
        <v>19.483788369577702</v>
      </c>
      <c r="J67" s="28" t="s">
        <v>2409</v>
      </c>
    </row>
    <row r="68" spans="2:10" x14ac:dyDescent="0.3">
      <c r="B68" s="28" t="s">
        <v>5604</v>
      </c>
      <c r="C68" s="510"/>
      <c r="D68" s="1351"/>
      <c r="E68" s="1353"/>
      <c r="F68" s="1384"/>
      <c r="G68" s="1576">
        <f>UDV.emit_N2O_direct.N_to_N2O</f>
        <v>1.5713999999999999</v>
      </c>
      <c r="H68" s="1576">
        <f>UDV.emit_N2O_direct.N_to_N2O</f>
        <v>1.5713999999999999</v>
      </c>
      <c r="I68" s="1576">
        <f>UDV.emit_N2O_direct.N_to_N2O</f>
        <v>1.5713999999999999</v>
      </c>
      <c r="J68" s="28" t="s">
        <v>5605</v>
      </c>
    </row>
    <row r="69" spans="2:10" x14ac:dyDescent="0.3">
      <c r="B69" s="28" t="s">
        <v>6233</v>
      </c>
      <c r="C69" s="510"/>
      <c r="D69" s="2285"/>
      <c r="E69" s="1353"/>
      <c r="F69" s="1384"/>
      <c r="G69" s="1521">
        <f>G67*UC.year_to_day/UDV.animal.total</f>
        <v>13.27414908479172</v>
      </c>
      <c r="H69" s="1521">
        <f>H67*UC.year_to_day/UDV.animal.total</f>
        <v>15.172181934791723</v>
      </c>
      <c r="I69" s="1521">
        <f>I67*UC.year_to_day/UDV.animal.total</f>
        <v>14.223165509791723</v>
      </c>
      <c r="J69" s="28" t="s">
        <v>5607</v>
      </c>
    </row>
    <row r="70" spans="2:10" x14ac:dyDescent="0.3">
      <c r="B70" s="2283" t="s">
        <v>5608</v>
      </c>
      <c r="C70" s="1408"/>
      <c r="D70" s="1408"/>
      <c r="E70" s="2284"/>
      <c r="F70" s="1409"/>
      <c r="G70" s="2286"/>
      <c r="H70" s="2286"/>
      <c r="I70" s="2286"/>
      <c r="J70" s="2289"/>
    </row>
    <row r="71" spans="2:10" x14ac:dyDescent="0.3">
      <c r="B71" s="95" t="s">
        <v>6234</v>
      </c>
      <c r="C71" s="49"/>
      <c r="D71" s="52"/>
      <c r="E71" s="1353"/>
      <c r="F71" s="1384"/>
      <c r="G71" s="1401">
        <f>UDV.emit_NH3.lossfrac_cover_digest</f>
        <v>0.1</v>
      </c>
      <c r="H71" s="1401">
        <f>UDV.emit_NH3.lossfrac_cover_digest</f>
        <v>0.1</v>
      </c>
      <c r="I71" s="1401">
        <f>UDV.emit_NH3.lossfrac_cover_digest</f>
        <v>0.1</v>
      </c>
      <c r="J71" s="95" t="s">
        <v>1694</v>
      </c>
    </row>
    <row r="72" spans="2:10" x14ac:dyDescent="0.3">
      <c r="B72" s="95" t="s">
        <v>6235</v>
      </c>
      <c r="C72" s="510"/>
      <c r="D72" s="510"/>
      <c r="E72" s="1353"/>
      <c r="F72" s="1384"/>
      <c r="G72" s="1878">
        <f>G69*G71</f>
        <v>1.327414908479172</v>
      </c>
      <c r="H72" s="1878">
        <f t="shared" ref="H72:I72" si="7">H69*H71</f>
        <v>1.5172181934791724</v>
      </c>
      <c r="I72" s="1878">
        <f t="shared" si="7"/>
        <v>1.4223165509791724</v>
      </c>
      <c r="J72" s="28" t="s">
        <v>5611</v>
      </c>
    </row>
    <row r="73" spans="2:10" x14ac:dyDescent="0.3">
      <c r="B73" s="95" t="s">
        <v>5612</v>
      </c>
      <c r="C73" s="49"/>
      <c r="D73" s="52"/>
      <c r="E73" s="1382" t="s">
        <v>5613</v>
      </c>
      <c r="F73" s="1415"/>
      <c r="G73" s="2288">
        <f>G72</f>
        <v>1.327414908479172</v>
      </c>
      <c r="H73" s="2288">
        <f t="shared" ref="H73:I73" si="8">H72</f>
        <v>1.5172181934791724</v>
      </c>
      <c r="I73" s="2288">
        <f t="shared" si="8"/>
        <v>1.4223165509791724</v>
      </c>
      <c r="J73" s="28" t="s">
        <v>5611</v>
      </c>
    </row>
    <row r="74" spans="2:10" x14ac:dyDescent="0.3">
      <c r="B74" s="2283" t="s">
        <v>5614</v>
      </c>
      <c r="C74" s="1406"/>
      <c r="D74" s="1407"/>
      <c r="E74" s="2284"/>
      <c r="F74" s="1409"/>
      <c r="G74" s="2286"/>
      <c r="H74" s="2286"/>
      <c r="I74" s="2286"/>
      <c r="J74" s="2289"/>
    </row>
    <row r="75" spans="2:10" ht="15.6" x14ac:dyDescent="0.3">
      <c r="B75" s="28" t="s">
        <v>6236</v>
      </c>
      <c r="C75" s="510"/>
      <c r="D75" s="2285"/>
      <c r="E75" s="1353"/>
      <c r="F75" s="1384"/>
      <c r="G75" s="2290">
        <f>UDV.emit_N2O_direct.ef3_cover_digest</f>
        <v>5.0000000000000001E-3</v>
      </c>
      <c r="H75" s="2290">
        <f>UDV.emit_N2O_direct.ef3_cover_digest</f>
        <v>5.0000000000000001E-3</v>
      </c>
      <c r="I75" s="2290">
        <f>UDV.emit_N2O_direct.ef3_cover_digest</f>
        <v>5.0000000000000001E-3</v>
      </c>
      <c r="J75" s="28" t="s">
        <v>5616</v>
      </c>
    </row>
    <row r="76" spans="2:10" x14ac:dyDescent="0.3">
      <c r="B76" s="95" t="s">
        <v>6237</v>
      </c>
      <c r="C76" s="510"/>
      <c r="D76" s="2291"/>
      <c r="E76" s="1353"/>
      <c r="F76" s="1384"/>
      <c r="G76" s="1878">
        <f>G68*G69*G75</f>
        <v>0.10429498935920854</v>
      </c>
      <c r="H76" s="1878">
        <f t="shared" ref="H76:I76" si="9">H68*H69*H75</f>
        <v>0.11920783346165857</v>
      </c>
      <c r="I76" s="1878">
        <f t="shared" si="9"/>
        <v>0.11175141141043357</v>
      </c>
      <c r="J76" s="28" t="s">
        <v>5618</v>
      </c>
    </row>
    <row r="77" spans="2:10" x14ac:dyDescent="0.3">
      <c r="B77" s="95" t="s">
        <v>5619</v>
      </c>
      <c r="C77" s="49"/>
      <c r="D77" s="52"/>
      <c r="E77" s="1382" t="s">
        <v>5620</v>
      </c>
      <c r="F77" s="1415"/>
      <c r="G77" s="2288">
        <f>G76</f>
        <v>0.10429498935920854</v>
      </c>
      <c r="H77" s="2288">
        <f t="shared" ref="H77:I77" si="10">H76</f>
        <v>0.11920783346165857</v>
      </c>
      <c r="I77" s="2288">
        <f t="shared" si="10"/>
        <v>0.11175141141043357</v>
      </c>
      <c r="J77" s="28" t="s">
        <v>5618</v>
      </c>
    </row>
    <row r="78" spans="2:10" x14ac:dyDescent="0.3">
      <c r="B78" s="2283" t="s">
        <v>5621</v>
      </c>
      <c r="C78" s="1408"/>
      <c r="D78" s="1408"/>
      <c r="E78" s="2284"/>
      <c r="F78" s="1409"/>
      <c r="G78" s="2286"/>
      <c r="H78" s="2286"/>
      <c r="I78" s="2286"/>
      <c r="J78" s="2289"/>
    </row>
    <row r="79" spans="2:10" x14ac:dyDescent="0.3">
      <c r="B79" s="28" t="s">
        <v>5622</v>
      </c>
      <c r="C79" s="510"/>
      <c r="D79" s="2292"/>
      <c r="E79" s="1353"/>
      <c r="F79" s="1384"/>
      <c r="G79" s="1576">
        <f>UDV.emit_N2O_indirect.ef4</f>
        <v>1.4E-2</v>
      </c>
      <c r="H79" s="1576">
        <f>UDV.emit_N2O_indirect.ef4</f>
        <v>1.4E-2</v>
      </c>
      <c r="I79" s="1576">
        <f>UDV.emit_N2O_indirect.ef4</f>
        <v>1.4E-2</v>
      </c>
      <c r="J79" s="95" t="s">
        <v>5623</v>
      </c>
    </row>
    <row r="80" spans="2:10" x14ac:dyDescent="0.3">
      <c r="B80" s="95" t="s">
        <v>6238</v>
      </c>
      <c r="C80" s="816"/>
      <c r="D80" s="2293"/>
      <c r="E80" s="1353"/>
      <c r="F80" s="1384"/>
      <c r="G80" s="1878">
        <f>G68*G72*G79</f>
        <v>2.920259702057839E-2</v>
      </c>
      <c r="H80" s="1878">
        <f t="shared" ref="H80:I80" si="11">H68*H72*H79</f>
        <v>3.3378193369264404E-2</v>
      </c>
      <c r="I80" s="1878">
        <f t="shared" si="11"/>
        <v>3.1290395194921397E-2</v>
      </c>
      <c r="J80" s="28" t="s">
        <v>5618</v>
      </c>
    </row>
    <row r="81" spans="1:10" x14ac:dyDescent="0.3">
      <c r="B81" s="95" t="s">
        <v>5625</v>
      </c>
      <c r="C81" s="49"/>
      <c r="D81" s="52"/>
      <c r="E81" s="1382" t="s">
        <v>5626</v>
      </c>
      <c r="F81" s="1415"/>
      <c r="G81" s="2288">
        <f>G80</f>
        <v>2.920259702057839E-2</v>
      </c>
      <c r="H81" s="2288">
        <f t="shared" ref="H81:I81" si="12">H80</f>
        <v>3.3378193369264404E-2</v>
      </c>
      <c r="I81" s="2288">
        <f t="shared" si="12"/>
        <v>3.1290395194921397E-2</v>
      </c>
      <c r="J81" s="28" t="s">
        <v>5618</v>
      </c>
    </row>
    <row r="82" spans="1:10" x14ac:dyDescent="0.3">
      <c r="B82" s="93"/>
      <c r="G82" s="499"/>
      <c r="H82" s="499"/>
      <c r="I82" s="499"/>
    </row>
    <row r="85" spans="1:10" x14ac:dyDescent="0.3">
      <c r="A85" s="1690" t="s">
        <v>5721</v>
      </c>
      <c r="B85" s="1694"/>
      <c r="C85" s="1694"/>
      <c r="D85" s="1694"/>
      <c r="E85" s="1694"/>
      <c r="F85" s="1694"/>
      <c r="G85" s="1694"/>
      <c r="H85" s="1694"/>
      <c r="I85" s="1694"/>
      <c r="J85" s="1694"/>
    </row>
    <row r="86" spans="1:10" x14ac:dyDescent="0.3">
      <c r="A86" s="1690"/>
      <c r="B86" s="1694"/>
      <c r="C86" s="1694"/>
      <c r="D86" s="1694"/>
      <c r="E86" s="1694"/>
      <c r="F86" s="1694"/>
      <c r="G86" s="1694"/>
      <c r="H86" s="1694"/>
      <c r="I86" s="1694"/>
      <c r="J86" s="1694"/>
    </row>
    <row r="87" spans="1:10" x14ac:dyDescent="0.3">
      <c r="A87" s="1693"/>
      <c r="B87" s="1667" t="s">
        <v>5722</v>
      </c>
      <c r="C87" s="1691" t="s">
        <v>38</v>
      </c>
      <c r="D87" s="1692"/>
      <c r="E87" s="1692"/>
      <c r="F87" s="1665" t="s">
        <v>602</v>
      </c>
      <c r="G87" s="1666">
        <f>G2</f>
        <v>9</v>
      </c>
      <c r="H87" s="1666">
        <f t="shared" ref="H87:I87" si="13">H2</f>
        <v>10</v>
      </c>
      <c r="I87" s="1666">
        <f t="shared" si="13"/>
        <v>11</v>
      </c>
      <c r="J87" s="1666"/>
    </row>
    <row r="88" spans="1:10" x14ac:dyDescent="0.3">
      <c r="B88" s="49" t="s">
        <v>6278</v>
      </c>
      <c r="C88" s="49" t="s">
        <v>2268</v>
      </c>
      <c r="D88" s="49"/>
      <c r="E88" s="49"/>
      <c r="F88" s="49"/>
      <c r="G88" s="1360">
        <f>G48</f>
        <v>1661.3902142063973</v>
      </c>
      <c r="H88" s="1360">
        <f t="shared" ref="H88:I88" si="14">H48</f>
        <v>1661.3902142063973</v>
      </c>
      <c r="I88" s="1360">
        <f t="shared" si="14"/>
        <v>1661.3902142063973</v>
      </c>
      <c r="J88" s="49"/>
    </row>
    <row r="89" spans="1:10" x14ac:dyDescent="0.3">
      <c r="B89" s="49" t="s">
        <v>5439</v>
      </c>
      <c r="C89" s="49" t="s">
        <v>2478</v>
      </c>
      <c r="D89" s="49"/>
      <c r="E89" s="49"/>
      <c r="F89" s="49"/>
      <c r="G89" s="1360">
        <f>G49</f>
        <v>2700.4909100593827</v>
      </c>
      <c r="H89" s="1360">
        <f t="shared" ref="H89:I89" si="15">H49</f>
        <v>2700.4909100593827</v>
      </c>
      <c r="I89" s="1360">
        <f t="shared" si="15"/>
        <v>2700.4909100593827</v>
      </c>
    </row>
    <row r="90" spans="1:10" x14ac:dyDescent="0.3">
      <c r="B90" s="49" t="s">
        <v>6242</v>
      </c>
      <c r="C90" s="49" t="s">
        <v>5727</v>
      </c>
      <c r="D90" s="49"/>
      <c r="E90" s="49"/>
      <c r="F90" s="49"/>
      <c r="G90" s="1360">
        <f>G30*UC.year_to_day</f>
        <v>10163.996954999997</v>
      </c>
      <c r="H90" s="1360">
        <f>H30*UC.year_to_day</f>
        <v>10163.996954999997</v>
      </c>
      <c r="I90" s="1360">
        <f>I30*UC.year_to_day</f>
        <v>10163.996954999997</v>
      </c>
    </row>
    <row r="93" spans="1:10" x14ac:dyDescent="0.3">
      <c r="A93" s="1660" t="s">
        <v>1901</v>
      </c>
      <c r="B93" s="1660"/>
      <c r="C93" s="1660"/>
      <c r="D93" s="1660"/>
      <c r="E93" s="1660"/>
      <c r="F93" s="1660"/>
      <c r="G93" s="1660"/>
      <c r="H93" s="1660"/>
      <c r="I93" s="1660"/>
    </row>
    <row r="94" spans="1:10" x14ac:dyDescent="0.3">
      <c r="A94" s="1660"/>
      <c r="B94" s="1660"/>
      <c r="C94" s="1660"/>
      <c r="D94" s="1660"/>
      <c r="E94" s="1660"/>
      <c r="F94" s="1660"/>
      <c r="G94" s="1660"/>
      <c r="H94" s="1660"/>
      <c r="I94" s="1660"/>
    </row>
    <row r="95" spans="1:10" x14ac:dyDescent="0.3">
      <c r="A95" s="1660"/>
      <c r="B95" s="1662" t="s">
        <v>5747</v>
      </c>
      <c r="C95" s="1687"/>
      <c r="D95" s="1687"/>
      <c r="E95" s="1662"/>
      <c r="F95" s="1662" t="s">
        <v>602</v>
      </c>
      <c r="G95" s="1701">
        <f>G87</f>
        <v>9</v>
      </c>
      <c r="H95" s="1701">
        <f t="shared" ref="H95:I95" si="16">H87</f>
        <v>10</v>
      </c>
      <c r="I95" s="1701">
        <f t="shared" si="16"/>
        <v>11</v>
      </c>
    </row>
    <row r="96" spans="1:10" x14ac:dyDescent="0.3">
      <c r="B96" s="49"/>
      <c r="C96" s="49"/>
      <c r="D96" s="49"/>
      <c r="E96" s="49"/>
      <c r="F96" s="49"/>
      <c r="G96" s="49"/>
      <c r="H96" s="49"/>
      <c r="I96" s="49"/>
    </row>
    <row r="97" spans="2:9" x14ac:dyDescent="0.3">
      <c r="B97" s="1668" t="s">
        <v>447</v>
      </c>
      <c r="C97" s="1669"/>
      <c r="D97" s="1670"/>
      <c r="E97" s="1670"/>
      <c r="F97" s="1670"/>
      <c r="G97" s="1669"/>
      <c r="H97" s="1670"/>
      <c r="I97" s="1670"/>
    </row>
    <row r="98" spans="2:9" x14ac:dyDescent="0.3">
      <c r="B98" s="49" t="s">
        <v>6279</v>
      </c>
      <c r="C98" s="49" t="s">
        <v>2268</v>
      </c>
      <c r="D98" s="49"/>
      <c r="E98" s="49"/>
      <c r="F98" s="49"/>
      <c r="G98" s="1360">
        <f>G48</f>
        <v>1661.3902142063973</v>
      </c>
      <c r="H98" s="1360">
        <f t="shared" ref="H98:I98" si="17">H48</f>
        <v>1661.3902142063973</v>
      </c>
      <c r="I98" s="1360">
        <f t="shared" si="17"/>
        <v>1661.3902142063973</v>
      </c>
    </row>
    <row r="99" spans="2:9" x14ac:dyDescent="0.3">
      <c r="B99" s="1668" t="s">
        <v>6280</v>
      </c>
      <c r="C99" s="1669"/>
      <c r="D99" s="1670"/>
      <c r="E99" s="1670"/>
      <c r="F99" s="1670"/>
      <c r="G99" s="1669"/>
      <c r="H99" s="1670"/>
      <c r="I99" s="1670"/>
    </row>
    <row r="100" spans="2:9" ht="15.6" x14ac:dyDescent="0.3">
      <c r="B100" s="1577" t="s">
        <v>6281</v>
      </c>
      <c r="C100" s="49" t="s">
        <v>2385</v>
      </c>
      <c r="D100" s="49"/>
      <c r="E100" s="49"/>
      <c r="F100" s="49"/>
      <c r="G100" s="1360">
        <f>G65</f>
        <v>5.1265264641599977</v>
      </c>
      <c r="H100" s="1360">
        <f t="shared" ref="H100:I100" si="18">H65</f>
        <v>5.1265264641599977</v>
      </c>
      <c r="I100" s="1360">
        <f t="shared" si="18"/>
        <v>5.1265264641599977</v>
      </c>
    </row>
    <row r="101" spans="2:9" x14ac:dyDescent="0.3">
      <c r="B101" s="49" t="s">
        <v>6282</v>
      </c>
      <c r="C101" s="49" t="s">
        <v>2385</v>
      </c>
      <c r="D101" s="49"/>
      <c r="E101" s="49"/>
      <c r="F101" s="49"/>
      <c r="G101" s="1209">
        <f>G73</f>
        <v>1.327414908479172</v>
      </c>
      <c r="H101" s="1209">
        <f t="shared" ref="H101:I101" si="19">H73</f>
        <v>1.5172181934791724</v>
      </c>
      <c r="I101" s="1209">
        <f t="shared" si="19"/>
        <v>1.4223165509791724</v>
      </c>
    </row>
    <row r="102" spans="2:9" x14ac:dyDescent="0.3">
      <c r="B102" s="91" t="s">
        <v>6283</v>
      </c>
      <c r="C102" s="49" t="s">
        <v>2385</v>
      </c>
      <c r="D102" s="49"/>
      <c r="E102" s="49"/>
      <c r="F102" s="49"/>
      <c r="G102" s="1209">
        <f>G77</f>
        <v>0.10429498935920854</v>
      </c>
      <c r="H102" s="1209">
        <f t="shared" ref="H102:I102" si="20">H77</f>
        <v>0.11920783346165857</v>
      </c>
      <c r="I102" s="1209">
        <f t="shared" si="20"/>
        <v>0.11175141141043357</v>
      </c>
    </row>
    <row r="103" spans="2:9" x14ac:dyDescent="0.3">
      <c r="B103" s="49" t="s">
        <v>6284</v>
      </c>
      <c r="C103" s="49" t="s">
        <v>2385</v>
      </c>
      <c r="D103" s="49"/>
      <c r="E103" s="49"/>
      <c r="F103" s="49"/>
      <c r="G103" s="1209">
        <f>G81</f>
        <v>2.920259702057839E-2</v>
      </c>
      <c r="H103" s="1209">
        <f t="shared" ref="H103:I103" si="21">H81</f>
        <v>3.3378193369264404E-2</v>
      </c>
      <c r="I103" s="1209">
        <f t="shared" si="21"/>
        <v>3.1290395194921397E-2</v>
      </c>
    </row>
    <row r="104" spans="2:9" x14ac:dyDescent="0.3">
      <c r="B104" s="49" t="s">
        <v>7467</v>
      </c>
      <c r="C104" s="49" t="s">
        <v>2385</v>
      </c>
      <c r="D104" s="49"/>
      <c r="E104" s="49"/>
      <c r="F104" s="49"/>
      <c r="G104" s="1209">
        <f>G35*UC.year_to_day/UDV.animal.total</f>
        <v>37.007112913154977</v>
      </c>
      <c r="H104" s="1209">
        <f>H35*UC.year_to_day/UDV.animal.total</f>
        <v>37.007112913154977</v>
      </c>
      <c r="I104" s="1209">
        <f>I35*UC.year_to_day/UDV.animal.total</f>
        <v>37.007112913154977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CCC-0DFF-42D5-8FDA-A483560AFD6B}">
  <sheetPr>
    <tabColor rgb="FF92D050"/>
  </sheetPr>
  <dimension ref="A1:AS383"/>
  <sheetViews>
    <sheetView workbookViewId="0">
      <selection sqref="A1:C1"/>
    </sheetView>
  </sheetViews>
  <sheetFormatPr defaultRowHeight="14.4" x14ac:dyDescent="0.3"/>
  <cols>
    <col min="1" max="1" width="10.88671875" customWidth="1"/>
    <col min="2" max="2" width="52.109375" customWidth="1"/>
    <col min="3" max="4" width="2.5546875" customWidth="1"/>
    <col min="5" max="5" width="7" customWidth="1"/>
    <col min="6" max="6" width="9.44140625" customWidth="1"/>
    <col min="7" max="7" width="12" bestFit="1" customWidth="1"/>
    <col min="8" max="8" width="35.5546875" style="1488" bestFit="1" customWidth="1"/>
    <col min="9" max="9" width="2.5546875" customWidth="1"/>
    <col min="10" max="10" width="9.6640625" customWidth="1"/>
    <col min="11" max="11" width="8.6640625" customWidth="1"/>
    <col min="12" max="12" width="2.5546875" style="1488" customWidth="1"/>
    <col min="13" max="13" width="2.6640625" customWidth="1"/>
    <col min="14" max="14" width="8" customWidth="1"/>
    <col min="15" max="15" width="10.44140625" customWidth="1"/>
    <col min="16" max="16" width="2.6640625" customWidth="1"/>
    <col min="17" max="17" width="2.5546875" customWidth="1"/>
    <col min="18" max="18" width="7.6640625" customWidth="1"/>
    <col min="19" max="19" width="11.33203125" customWidth="1"/>
    <col min="20" max="20" width="2.5546875" customWidth="1"/>
    <col min="21" max="21" width="3.33203125" customWidth="1"/>
    <col min="22" max="22" width="10" customWidth="1"/>
    <col min="23" max="23" width="7" customWidth="1"/>
    <col min="24" max="24" width="3.33203125" customWidth="1"/>
    <col min="25" max="25" width="3.6640625" customWidth="1"/>
    <col min="26" max="26" width="8.88671875" customWidth="1"/>
    <col min="27" max="27" width="7.88671875" customWidth="1"/>
    <col min="28" max="28" width="3.6640625" customWidth="1"/>
    <col min="29" max="29" width="3.44140625" customWidth="1"/>
    <col min="30" max="30" width="8.109375" customWidth="1"/>
    <col min="31" max="32" width="9.44140625" customWidth="1"/>
    <col min="33" max="33" width="3.44140625" customWidth="1"/>
    <col min="34" max="34" width="4.33203125" customWidth="1"/>
    <col min="35" max="35" width="9" customWidth="1"/>
    <col min="36" max="36" width="7.88671875" customWidth="1"/>
    <col min="37" max="37" width="4.44140625" customWidth="1"/>
    <col min="38" max="38" width="2.33203125" customWidth="1"/>
    <col min="39" max="39" width="7.44140625" customWidth="1"/>
    <col min="40" max="40" width="12" bestFit="1" customWidth="1"/>
    <col min="41" max="41" width="2.33203125" customWidth="1"/>
    <col min="42" max="45" width="11.6640625" customWidth="1"/>
  </cols>
  <sheetData>
    <row r="1" spans="1:45" x14ac:dyDescent="0.3">
      <c r="A1" t="s">
        <v>6285</v>
      </c>
    </row>
    <row r="2" spans="1:45" x14ac:dyDescent="0.3">
      <c r="A2" t="s">
        <v>6286</v>
      </c>
      <c r="B2" s="1405" t="s">
        <v>6287</v>
      </c>
      <c r="C2" s="1406"/>
      <c r="D2" s="1407"/>
      <c r="E2" s="1778" t="s">
        <v>6288</v>
      </c>
      <c r="F2" s="1780" t="s">
        <v>602</v>
      </c>
      <c r="G2" s="1779">
        <v>3</v>
      </c>
      <c r="H2" s="1523"/>
      <c r="I2" s="2194"/>
      <c r="J2" s="2194" t="s">
        <v>6289</v>
      </c>
      <c r="K2" s="2194">
        <v>4</v>
      </c>
      <c r="L2" s="2194"/>
      <c r="M2" s="2194"/>
      <c r="N2" s="2194" t="s">
        <v>6290</v>
      </c>
      <c r="O2" s="2194">
        <v>5</v>
      </c>
      <c r="P2" s="2194"/>
      <c r="Q2" s="2194"/>
      <c r="R2" s="2194" t="s">
        <v>6291</v>
      </c>
      <c r="S2" s="2194">
        <v>6</v>
      </c>
      <c r="T2" s="2194"/>
      <c r="U2" s="2194"/>
      <c r="V2" s="2194" t="s">
        <v>6292</v>
      </c>
      <c r="W2" s="2194">
        <v>7</v>
      </c>
      <c r="X2" s="2194"/>
      <c r="Y2" s="2194"/>
      <c r="Z2" s="2194" t="s">
        <v>6293</v>
      </c>
      <c r="AA2" s="2194">
        <v>8</v>
      </c>
      <c r="AB2" s="2194"/>
      <c r="AC2" s="2194"/>
      <c r="AD2" s="2194" t="s">
        <v>6294</v>
      </c>
      <c r="AE2" s="2194">
        <v>9</v>
      </c>
      <c r="AF2" s="1408"/>
      <c r="AG2" s="2194"/>
      <c r="AH2" s="2194"/>
      <c r="AI2" s="2194" t="s">
        <v>6295</v>
      </c>
      <c r="AJ2" s="2194">
        <v>10</v>
      </c>
      <c r="AK2" s="2194"/>
      <c r="AL2" s="2194"/>
      <c r="AM2" s="2194" t="s">
        <v>6296</v>
      </c>
      <c r="AN2" s="2194">
        <v>11</v>
      </c>
      <c r="AO2" s="2194"/>
      <c r="AP2" s="2194"/>
      <c r="AQ2" s="2194" t="s">
        <v>6297</v>
      </c>
      <c r="AR2" s="2194">
        <v>14</v>
      </c>
      <c r="AS2" s="1408"/>
    </row>
    <row r="3" spans="1:45" x14ac:dyDescent="0.3">
      <c r="B3" s="49" t="s">
        <v>6298</v>
      </c>
      <c r="C3" s="49"/>
      <c r="D3" s="52"/>
      <c r="E3" s="52"/>
      <c r="F3" s="48"/>
      <c r="G3" s="1423">
        <f>PT.waste_generation!$G24</f>
        <v>31283.734452421984</v>
      </c>
      <c r="H3" s="1729" t="str">
        <f>AS3</f>
        <v>L/day</v>
      </c>
      <c r="I3" s="52"/>
      <c r="J3" s="48"/>
      <c r="K3" s="1423">
        <f>PT.waste_generation!$G31</f>
        <v>2893.7344524219839</v>
      </c>
      <c r="L3" s="1466"/>
      <c r="M3" s="52"/>
      <c r="N3" s="48"/>
      <c r="O3" s="1423">
        <f>PT.waste_generation!$G40</f>
        <v>5208.0201667076981</v>
      </c>
      <c r="P3" s="1466"/>
      <c r="Q3" s="52"/>
      <c r="R3" s="48"/>
      <c r="S3" s="1423">
        <f>PT.anaer_digest!G45</f>
        <v>31283.734452421984</v>
      </c>
      <c r="T3" s="1466"/>
      <c r="U3" s="52"/>
      <c r="V3" s="48"/>
      <c r="W3" s="1423">
        <f>PT.anaer_digest!H45</f>
        <v>2893.7344524219843</v>
      </c>
      <c r="X3" s="1466"/>
      <c r="Y3" s="52"/>
      <c r="Z3" s="48"/>
      <c r="AA3" s="1423">
        <f>PT.anaer_digest!I45</f>
        <v>5208.020166707699</v>
      </c>
      <c r="AB3" s="1466"/>
      <c r="AC3" s="52"/>
      <c r="AD3" s="48"/>
      <c r="AE3" s="1423">
        <f>PT.cover_digest!$G53*UC.m3_to_L</f>
        <v>31283.734452421984</v>
      </c>
      <c r="AF3" s="18" t="s">
        <v>2519</v>
      </c>
      <c r="AG3" s="1466"/>
      <c r="AH3" s="52"/>
      <c r="AI3" s="48"/>
      <c r="AJ3" s="1423">
        <f>PT.cover_digest!$H53*UC.m3_to_L</f>
        <v>2893.7344524219843</v>
      </c>
      <c r="AK3" s="1466"/>
      <c r="AL3" s="52"/>
      <c r="AM3" s="48"/>
      <c r="AN3" s="1423">
        <f>PT.cover_digest!$I53*UC.m3_to_L</f>
        <v>5208.020166707699</v>
      </c>
      <c r="AO3" s="1466"/>
      <c r="AP3" s="52"/>
      <c r="AQ3" s="48"/>
      <c r="AR3" s="1423">
        <f>PT.slope_screen!G73</f>
        <v>2113.7201667076984</v>
      </c>
      <c r="AS3" s="18" t="s">
        <v>2519</v>
      </c>
    </row>
    <row r="4" spans="1:45" x14ac:dyDescent="0.3">
      <c r="B4" s="49" t="s">
        <v>6299</v>
      </c>
      <c r="C4" s="49"/>
      <c r="D4" s="52"/>
      <c r="E4" s="52"/>
      <c r="F4" s="48"/>
      <c r="G4" s="1423">
        <f>PT.waste_generation!$G22</f>
        <v>28390</v>
      </c>
      <c r="H4" s="1729" t="str">
        <f t="shared" ref="H4:H67" si="0">AS4</f>
        <v>L/day</v>
      </c>
      <c r="I4" s="52"/>
      <c r="J4" s="48"/>
      <c r="K4" s="1423">
        <f>PT.waste_generation!$G29</f>
        <v>0</v>
      </c>
      <c r="L4" s="1466"/>
      <c r="M4" s="52"/>
      <c r="N4" s="48"/>
      <c r="O4" s="1423">
        <f>PT.waste_generation!$G37</f>
        <v>2314.2857142857142</v>
      </c>
      <c r="P4" s="1466"/>
      <c r="Q4" s="52"/>
      <c r="R4" s="48"/>
      <c r="S4" s="1423">
        <f>PT.waste_generation!$G22</f>
        <v>28390</v>
      </c>
      <c r="T4" s="1466"/>
      <c r="U4" s="52"/>
      <c r="V4" s="48"/>
      <c r="W4" s="1423">
        <f>PT.waste_generation!$G29</f>
        <v>0</v>
      </c>
      <c r="X4" s="1466"/>
      <c r="Y4" s="52"/>
      <c r="Z4" s="48"/>
      <c r="AA4" s="1423">
        <f>PT.waste_generation!$G37</f>
        <v>2314.2857142857142</v>
      </c>
      <c r="AB4" s="1466"/>
      <c r="AC4" s="52"/>
      <c r="AD4" s="48"/>
      <c r="AE4" s="1423">
        <f>PT.waste_generation!$G22</f>
        <v>28390</v>
      </c>
      <c r="AF4" s="18" t="s">
        <v>2519</v>
      </c>
      <c r="AG4" s="1466"/>
      <c r="AH4" s="52"/>
      <c r="AI4" s="48"/>
      <c r="AJ4" s="1423">
        <f>PT.waste_generation!$G29</f>
        <v>0</v>
      </c>
      <c r="AK4" s="1466"/>
      <c r="AL4" s="52"/>
      <c r="AM4" s="48"/>
      <c r="AN4" s="1423">
        <f>PT.waste_generation!$G37</f>
        <v>2314.2857142857142</v>
      </c>
      <c r="AO4" s="1466"/>
      <c r="AP4" s="52"/>
      <c r="AQ4" s="48"/>
      <c r="AR4" s="1423">
        <f>PT.waste_generation!G29</f>
        <v>0</v>
      </c>
      <c r="AS4" s="18" t="s">
        <v>2519</v>
      </c>
    </row>
    <row r="5" spans="1:45" x14ac:dyDescent="0.3">
      <c r="B5" s="49" t="s">
        <v>6300</v>
      </c>
      <c r="C5" s="49"/>
      <c r="D5" s="52"/>
      <c r="E5" s="52"/>
      <c r="F5" s="48"/>
      <c r="G5" s="1423">
        <f>PT.waste_generation!$G5</f>
        <v>273.00499999999988</v>
      </c>
      <c r="H5" s="1729" t="str">
        <f t="shared" si="0"/>
        <v>kg/day</v>
      </c>
      <c r="I5" s="52"/>
      <c r="J5" s="48"/>
      <c r="K5" s="1423">
        <f>PT.waste_generation!$G5</f>
        <v>273.00499999999988</v>
      </c>
      <c r="L5" s="1466"/>
      <c r="M5" s="52"/>
      <c r="N5" s="48"/>
      <c r="O5" s="1423">
        <f>PT.waste_generation!$G5</f>
        <v>273.00499999999988</v>
      </c>
      <c r="P5" s="1466"/>
      <c r="Q5" s="52"/>
      <c r="R5" s="48"/>
      <c r="S5" s="1423">
        <f>PT.anaer_digest!G46</f>
        <v>162.50274999999991</v>
      </c>
      <c r="T5" s="1466"/>
      <c r="U5" s="52"/>
      <c r="V5" s="48"/>
      <c r="W5" s="1423">
        <f>PT.anaer_digest!H46</f>
        <v>162.50274999999991</v>
      </c>
      <c r="X5" s="1466"/>
      <c r="Y5" s="52"/>
      <c r="Z5" s="48"/>
      <c r="AA5" s="1423">
        <f>PT.anaer_digest!I46</f>
        <v>162.50274999999991</v>
      </c>
      <c r="AB5" s="1466"/>
      <c r="AC5" s="52"/>
      <c r="AD5" s="48"/>
      <c r="AE5" s="1423">
        <f>PT.cover_digest!$G54</f>
        <v>140.40229999999991</v>
      </c>
      <c r="AF5" s="18" t="s">
        <v>2409</v>
      </c>
      <c r="AG5" s="1466"/>
      <c r="AH5" s="52"/>
      <c r="AI5" s="48"/>
      <c r="AJ5" s="1423">
        <f>PT.cover_digest!$H54</f>
        <v>140.40229999999991</v>
      </c>
      <c r="AK5" s="1466"/>
      <c r="AL5" s="52"/>
      <c r="AM5" s="48"/>
      <c r="AN5" s="1423">
        <f>PT.cover_digest!$I54</f>
        <v>140.40229999999991</v>
      </c>
      <c r="AO5" s="1466"/>
      <c r="AP5" s="52"/>
      <c r="AQ5" s="48"/>
      <c r="AR5" s="1423">
        <f>PT.slope_screen!$G75</f>
        <v>218.40399999999991</v>
      </c>
      <c r="AS5" s="18" t="s">
        <v>2409</v>
      </c>
    </row>
    <row r="6" spans="1:45" x14ac:dyDescent="0.3">
      <c r="B6" s="49" t="s">
        <v>6301</v>
      </c>
      <c r="C6" s="49"/>
      <c r="D6" s="52"/>
      <c r="E6" s="52"/>
      <c r="F6" s="48"/>
      <c r="G6" s="1423">
        <f>PT.waste_generation!$G6</f>
        <v>221.00449999999995</v>
      </c>
      <c r="H6" s="1729" t="str">
        <f t="shared" si="0"/>
        <v>kg/day</v>
      </c>
      <c r="I6" s="52"/>
      <c r="J6" s="48"/>
      <c r="K6" s="1423">
        <f>PT.waste_generation!$G6</f>
        <v>221.00449999999995</v>
      </c>
      <c r="L6" s="1466"/>
      <c r="M6" s="52"/>
      <c r="N6" s="48"/>
      <c r="O6" s="1423">
        <f>PT.waste_generation!$G6</f>
        <v>221.00449999999995</v>
      </c>
      <c r="P6" s="1466"/>
      <c r="Q6" s="52"/>
      <c r="R6" s="48"/>
      <c r="S6" s="1423">
        <f>PT.anaer_digest!G47</f>
        <v>110.50224999999998</v>
      </c>
      <c r="T6" s="1466"/>
      <c r="U6" s="52"/>
      <c r="V6" s="48"/>
      <c r="W6" s="1423">
        <f>PT.anaer_digest!H47</f>
        <v>110.50224999999998</v>
      </c>
      <c r="X6" s="1466"/>
      <c r="Y6" s="52"/>
      <c r="Z6" s="48"/>
      <c r="AA6" s="1423">
        <f>PT.anaer_digest!I47</f>
        <v>110.50224999999998</v>
      </c>
      <c r="AB6" s="1466"/>
      <c r="AC6" s="52"/>
      <c r="AD6" s="48"/>
      <c r="AE6" s="1423">
        <f>PT.cover_digest!$G55</f>
        <v>88.40179999999998</v>
      </c>
      <c r="AF6" s="18" t="s">
        <v>2409</v>
      </c>
      <c r="AG6" s="1466"/>
      <c r="AH6" s="52"/>
      <c r="AI6" s="48"/>
      <c r="AJ6" s="1423">
        <f>PT.cover_digest!$H55</f>
        <v>88.40179999999998</v>
      </c>
      <c r="AK6" s="1466"/>
      <c r="AL6" s="52"/>
      <c r="AM6" s="48"/>
      <c r="AN6" s="1423">
        <f>PT.cover_digest!$I55</f>
        <v>88.40179999999998</v>
      </c>
      <c r="AO6" s="1466"/>
      <c r="AP6" s="52"/>
      <c r="AQ6" s="48"/>
      <c r="AR6" s="1423">
        <f>PT.slope_screen!$G76</f>
        <v>174.59364999999997</v>
      </c>
      <c r="AS6" s="18" t="s">
        <v>2409</v>
      </c>
    </row>
    <row r="7" spans="1:45" x14ac:dyDescent="0.3">
      <c r="B7" s="63" t="s">
        <v>6302</v>
      </c>
      <c r="C7" s="49"/>
      <c r="D7" s="52"/>
      <c r="E7" s="52"/>
      <c r="F7" s="48"/>
      <c r="G7" s="1423">
        <f>PT.shallow_flush!G27</f>
        <v>18.183765869577698</v>
      </c>
      <c r="H7" s="1729" t="str">
        <f t="shared" si="0"/>
        <v>kg/day</v>
      </c>
      <c r="I7" s="52"/>
      <c r="J7" s="48"/>
      <c r="K7" s="1423">
        <f>PT.shallow_scrape!G38</f>
        <v>20.783810869577703</v>
      </c>
      <c r="L7" s="1466"/>
      <c r="M7" s="52"/>
      <c r="N7" s="48"/>
      <c r="O7" s="1423">
        <f>PT.shallow_plug!G33</f>
        <v>19.483788369577702</v>
      </c>
      <c r="P7" s="1466"/>
      <c r="Q7" s="52"/>
      <c r="R7" s="48"/>
      <c r="S7" s="1423">
        <f>PT.anaer_digest!G48</f>
        <v>16.816511271997353</v>
      </c>
      <c r="T7" s="1466"/>
      <c r="U7" s="52"/>
      <c r="V7" s="48"/>
      <c r="W7" s="1423">
        <f>PT.anaer_digest!H48</f>
        <v>19.22105642308469</v>
      </c>
      <c r="X7" s="1466"/>
      <c r="Y7" s="52"/>
      <c r="Z7" s="48"/>
      <c r="AA7" s="1423">
        <f>PT.anaer_digest!I48</f>
        <v>18.018783847541023</v>
      </c>
      <c r="AB7" s="1466"/>
      <c r="AC7" s="52"/>
      <c r="AD7" s="48"/>
      <c r="AE7" s="1423">
        <f>PT.cover_digest!$G56</f>
        <v>16.336454637936452</v>
      </c>
      <c r="AF7" s="18"/>
      <c r="AG7" s="1466"/>
      <c r="AH7" s="52"/>
      <c r="AI7" s="48"/>
      <c r="AJ7" s="1423">
        <f>PT.cover_digest!$H56</f>
        <v>18.67235785533088</v>
      </c>
      <c r="AK7" s="1466"/>
      <c r="AL7" s="52"/>
      <c r="AM7" s="48"/>
      <c r="AN7" s="1423">
        <f>PT.cover_digest!$I56</f>
        <v>17.504406246633668</v>
      </c>
      <c r="AO7" s="1466"/>
      <c r="AP7" s="52"/>
      <c r="AQ7" s="48"/>
      <c r="AR7" s="1423">
        <f>PT.slope_screen!$G77</f>
        <v>16.627048695662161</v>
      </c>
      <c r="AS7" s="18" t="s">
        <v>2409</v>
      </c>
    </row>
    <row r="8" spans="1:45" x14ac:dyDescent="0.3">
      <c r="B8" s="63" t="s">
        <v>6303</v>
      </c>
      <c r="C8" s="49"/>
      <c r="D8" s="52"/>
      <c r="E8" s="52"/>
      <c r="F8" s="48"/>
      <c r="G8" s="1423">
        <f>PT.waste_generation!$G8</f>
        <v>9.1001499999999993</v>
      </c>
      <c r="H8" s="1729" t="str">
        <f t="shared" si="0"/>
        <v>kg/day</v>
      </c>
      <c r="I8" s="52"/>
      <c r="J8" s="48"/>
      <c r="K8" s="1423">
        <f>PT.waste_generation!$G8</f>
        <v>9.1001499999999993</v>
      </c>
      <c r="L8" s="1466"/>
      <c r="M8" s="52"/>
      <c r="N8" s="48"/>
      <c r="O8" s="1423">
        <f>PT.waste_generation!$G8</f>
        <v>9.1001499999999993</v>
      </c>
      <c r="P8" s="1466"/>
      <c r="Q8" s="52"/>
      <c r="R8" s="48"/>
      <c r="S8" s="1423">
        <f>PT.anaer_digest!G49</f>
        <v>9.1001499999999993</v>
      </c>
      <c r="T8" s="1466"/>
      <c r="U8" s="52"/>
      <c r="V8" s="48"/>
      <c r="W8" s="1423">
        <f>PT.anaer_digest!H49</f>
        <v>9.1001499999999993</v>
      </c>
      <c r="X8" s="1466"/>
      <c r="Y8" s="52"/>
      <c r="Z8" s="48"/>
      <c r="AA8" s="1423">
        <f>PT.anaer_digest!I49</f>
        <v>9.1001499999999993</v>
      </c>
      <c r="AB8" s="1466"/>
      <c r="AC8" s="52"/>
      <c r="AD8" s="48"/>
      <c r="AE8" s="1423">
        <f>PT.cover_digest!$G57</f>
        <v>9.1001499999999993</v>
      </c>
      <c r="AF8" s="18"/>
      <c r="AG8" s="1466"/>
      <c r="AH8" s="52"/>
      <c r="AI8" s="48"/>
      <c r="AJ8" s="1423">
        <f>PT.cover_digest!$H57</f>
        <v>9.1001499999999993</v>
      </c>
      <c r="AK8" s="1466"/>
      <c r="AL8" s="52"/>
      <c r="AM8" s="48"/>
      <c r="AN8" s="1423">
        <f>PT.cover_digest!$I57</f>
        <v>9.1001499999999993</v>
      </c>
      <c r="AO8" s="1466"/>
      <c r="AP8" s="52"/>
      <c r="AQ8" s="48"/>
      <c r="AR8" s="1423">
        <f>PT.slope_screen!$G78</f>
        <v>5.9150974999999999</v>
      </c>
      <c r="AS8" s="18" t="s">
        <v>2409</v>
      </c>
    </row>
    <row r="9" spans="1:45" x14ac:dyDescent="0.3">
      <c r="B9" s="63" t="s">
        <v>6304</v>
      </c>
      <c r="C9" s="49"/>
      <c r="D9" s="52"/>
      <c r="E9" s="52"/>
      <c r="F9" s="48"/>
      <c r="G9" s="1423">
        <f>PT.waste_generation!$G9</f>
        <v>11.700249999999999</v>
      </c>
      <c r="H9" s="1729" t="str">
        <f t="shared" si="0"/>
        <v>kg/day</v>
      </c>
      <c r="I9" s="52"/>
      <c r="J9" s="48"/>
      <c r="K9" s="1423">
        <f>PT.waste_generation!$G9</f>
        <v>11.700249999999999</v>
      </c>
      <c r="L9" s="1466"/>
      <c r="M9" s="52"/>
      <c r="N9" s="48"/>
      <c r="O9" s="1423">
        <f>PT.waste_generation!$G9</f>
        <v>11.700249999999999</v>
      </c>
      <c r="P9" s="1466"/>
      <c r="Q9" s="52"/>
      <c r="R9" s="48"/>
      <c r="S9" s="1423">
        <f>PT.anaer_digest!G50</f>
        <v>11.700249999999999</v>
      </c>
      <c r="T9" s="1466"/>
      <c r="U9" s="52"/>
      <c r="V9" s="48"/>
      <c r="W9" s="1423">
        <f>PT.anaer_digest!H50</f>
        <v>11.700249999999999</v>
      </c>
      <c r="X9" s="1466"/>
      <c r="Y9" s="52"/>
      <c r="Z9" s="48"/>
      <c r="AA9" s="1423">
        <f>PT.anaer_digest!I50</f>
        <v>11.700249999999999</v>
      </c>
      <c r="AB9" s="1466"/>
      <c r="AC9" s="52"/>
      <c r="AD9" s="48"/>
      <c r="AE9" s="1423">
        <f>PT.cover_digest!$G58</f>
        <v>11.700249999999999</v>
      </c>
      <c r="AF9" s="18"/>
      <c r="AG9" s="1466"/>
      <c r="AH9" s="52"/>
      <c r="AI9" s="48"/>
      <c r="AJ9" s="1423">
        <f>PT.cover_digest!$H58</f>
        <v>11.700249999999999</v>
      </c>
      <c r="AK9" s="1466"/>
      <c r="AL9" s="52"/>
      <c r="AM9" s="48"/>
      <c r="AN9" s="1423">
        <f>PT.cover_digest!$I58</f>
        <v>11.700249999999999</v>
      </c>
      <c r="AO9" s="1466"/>
      <c r="AP9" s="52"/>
      <c r="AQ9" s="48"/>
      <c r="AR9" s="1423">
        <f>PT.slope_screen!$G79</f>
        <v>8.190175</v>
      </c>
      <c r="AS9" s="18" t="s">
        <v>2409</v>
      </c>
    </row>
    <row r="10" spans="1:45" x14ac:dyDescent="0.3">
      <c r="B10" s="49" t="s">
        <v>6305</v>
      </c>
      <c r="C10" s="49"/>
      <c r="D10" s="52"/>
      <c r="E10" s="52"/>
      <c r="F10" s="48"/>
      <c r="G10" s="1346">
        <f>UDV.density.manure</f>
        <v>993.99999999999989</v>
      </c>
      <c r="H10" s="1729" t="str">
        <f t="shared" si="0"/>
        <v>kg/m3</v>
      </c>
      <c r="I10" s="52"/>
      <c r="J10" s="48"/>
      <c r="K10" s="1346">
        <f>UDV.density.manure</f>
        <v>993.99999999999989</v>
      </c>
      <c r="L10" s="1467"/>
      <c r="M10" s="52"/>
      <c r="N10" s="48"/>
      <c r="O10" s="1346">
        <f>UDV.density.manure</f>
        <v>993.99999999999989</v>
      </c>
      <c r="P10" s="1467"/>
      <c r="Q10" s="52"/>
      <c r="R10" s="48"/>
      <c r="S10" s="1346">
        <f>UDV.density.manure</f>
        <v>993.99999999999989</v>
      </c>
      <c r="T10" s="1467"/>
      <c r="U10" s="52"/>
      <c r="V10" s="48"/>
      <c r="W10" s="1346">
        <f>UDV.density.manure</f>
        <v>993.99999999999989</v>
      </c>
      <c r="X10" s="1467"/>
      <c r="Y10" s="52"/>
      <c r="Z10" s="48"/>
      <c r="AA10" s="1346">
        <f>UDV.density.manure</f>
        <v>993.99999999999989</v>
      </c>
      <c r="AB10" s="1467"/>
      <c r="AC10" s="52"/>
      <c r="AD10" s="48"/>
      <c r="AE10" s="1346">
        <f>UDV.density.manure</f>
        <v>993.99999999999989</v>
      </c>
      <c r="AF10" s="18" t="s">
        <v>2416</v>
      </c>
      <c r="AG10" s="1467"/>
      <c r="AH10" s="52"/>
      <c r="AI10" s="48"/>
      <c r="AJ10" s="1346">
        <f>UDV.density.manure</f>
        <v>993.99999999999989</v>
      </c>
      <c r="AK10" s="1467"/>
      <c r="AL10" s="52"/>
      <c r="AM10" s="48"/>
      <c r="AN10" s="1346">
        <f>UDV.density.manure</f>
        <v>993.99999999999989</v>
      </c>
      <c r="AO10" s="1467"/>
      <c r="AP10" s="52"/>
      <c r="AQ10" s="48"/>
      <c r="AR10" s="1346">
        <f>UDV.density.manure</f>
        <v>993.99999999999989</v>
      </c>
      <c r="AS10" s="18" t="s">
        <v>2416</v>
      </c>
    </row>
    <row r="11" spans="1:45" x14ac:dyDescent="0.3">
      <c r="B11" s="63" t="s">
        <v>804</v>
      </c>
      <c r="C11" s="49"/>
      <c r="D11" s="52"/>
      <c r="E11" s="52"/>
      <c r="F11" s="48"/>
      <c r="G11" s="1424">
        <f>UDV.anaer_lagoon.effluent_TS_lost</f>
        <v>0</v>
      </c>
      <c r="H11" s="1729" t="str">
        <f t="shared" si="0"/>
        <v>fraction</v>
      </c>
      <c r="I11" s="52"/>
      <c r="J11" s="48"/>
      <c r="K11" s="1424">
        <f>UDV.anaer_lagoon.effluent_TS_lost</f>
        <v>0</v>
      </c>
      <c r="L11" s="1468"/>
      <c r="M11" s="52"/>
      <c r="N11" s="48"/>
      <c r="O11" s="1424">
        <f>UDV.anaer_lagoon.effluent_TS_lost</f>
        <v>0</v>
      </c>
      <c r="P11" s="1468"/>
      <c r="Q11" s="52"/>
      <c r="R11" s="48"/>
      <c r="S11" s="1424">
        <f>UDV.anaer_lagoon.effluent_TS_lost</f>
        <v>0</v>
      </c>
      <c r="T11" s="1468"/>
      <c r="U11" s="52"/>
      <c r="V11" s="48"/>
      <c r="W11" s="1424">
        <f>UDV.anaer_lagoon.effluent_TS_lost</f>
        <v>0</v>
      </c>
      <c r="X11" s="1468"/>
      <c r="Y11" s="52"/>
      <c r="Z11" s="48"/>
      <c r="AA11" s="1424">
        <f>UDV.anaer_lagoon.effluent_TS_lost</f>
        <v>0</v>
      </c>
      <c r="AB11" s="1468"/>
      <c r="AC11" s="52"/>
      <c r="AD11" s="48"/>
      <c r="AE11" s="1424">
        <f>UDV.anaer_lagoon.effluent_TS_lost</f>
        <v>0</v>
      </c>
      <c r="AF11" s="18" t="s">
        <v>1694</v>
      </c>
      <c r="AG11" s="1468"/>
      <c r="AH11" s="52"/>
      <c r="AI11" s="48"/>
      <c r="AJ11" s="1424">
        <f>UDV.anaer_lagoon.effluent_TS_lost</f>
        <v>0</v>
      </c>
      <c r="AK11" s="1468"/>
      <c r="AL11" s="52"/>
      <c r="AM11" s="48"/>
      <c r="AN11" s="1424">
        <f>UDV.anaer_lagoon.effluent_TS_lost</f>
        <v>0</v>
      </c>
      <c r="AO11" s="1468"/>
      <c r="AP11" s="52"/>
      <c r="AQ11" s="48"/>
      <c r="AR11" s="1424">
        <f>UDV.anaer_lagoon.effluent_TS_lost</f>
        <v>0</v>
      </c>
      <c r="AS11" s="18" t="s">
        <v>1694</v>
      </c>
    </row>
    <row r="12" spans="1:45" x14ac:dyDescent="0.3">
      <c r="B12" s="49" t="s">
        <v>6306</v>
      </c>
      <c r="C12" s="49"/>
      <c r="D12" s="52"/>
      <c r="E12" s="52"/>
      <c r="F12" s="48"/>
      <c r="G12" s="1346">
        <f>UDV.anaer_lagoon.effluent_TS_target</f>
        <v>0.03</v>
      </c>
      <c r="H12" s="1729" t="str">
        <f t="shared" si="0"/>
        <v>fraction</v>
      </c>
      <c r="I12" s="52"/>
      <c r="J12" s="48"/>
      <c r="K12" s="1346">
        <f>UDV.anaer_lagoon.effluent_TS_target</f>
        <v>0.03</v>
      </c>
      <c r="L12" s="1467"/>
      <c r="M12" s="52"/>
      <c r="N12" s="48"/>
      <c r="O12" s="1346">
        <f>UDV.anaer_lagoon.effluent_TS_target</f>
        <v>0.03</v>
      </c>
      <c r="P12" s="1467"/>
      <c r="Q12" s="52"/>
      <c r="R12" s="48"/>
      <c r="S12" s="1346">
        <f>UDV.anaer_lagoon.effluent_TS_target</f>
        <v>0.03</v>
      </c>
      <c r="T12" s="1467"/>
      <c r="U12" s="52"/>
      <c r="V12" s="48"/>
      <c r="W12" s="1346">
        <f>UDV.anaer_lagoon.effluent_TS_target</f>
        <v>0.03</v>
      </c>
      <c r="X12" s="1467"/>
      <c r="Y12" s="52"/>
      <c r="Z12" s="48"/>
      <c r="AA12" s="1346">
        <f>UDV.anaer_lagoon.effluent_TS_target</f>
        <v>0.03</v>
      </c>
      <c r="AB12" s="1467"/>
      <c r="AC12" s="52"/>
      <c r="AD12" s="48"/>
      <c r="AE12" s="1346">
        <f>UDV.anaer_lagoon.effluent_TS_target</f>
        <v>0.03</v>
      </c>
      <c r="AF12" s="18" t="s">
        <v>1694</v>
      </c>
      <c r="AG12" s="1467"/>
      <c r="AH12" s="52"/>
      <c r="AI12" s="48"/>
      <c r="AJ12" s="1346">
        <f>UDV.anaer_lagoon.effluent_TS_target</f>
        <v>0.03</v>
      </c>
      <c r="AK12" s="1467"/>
      <c r="AL12" s="52"/>
      <c r="AM12" s="48"/>
      <c r="AN12" s="1346">
        <f>UDV.anaer_lagoon.effluent_TS_target</f>
        <v>0.03</v>
      </c>
      <c r="AO12" s="1467"/>
      <c r="AP12" s="52"/>
      <c r="AQ12" s="48"/>
      <c r="AR12" s="1346">
        <f>UDV.anaer_lagoon.effluent_TS_target</f>
        <v>0.03</v>
      </c>
      <c r="AS12" s="18" t="s">
        <v>1694</v>
      </c>
    </row>
    <row r="13" spans="1:45" x14ac:dyDescent="0.3">
      <c r="B13" s="49" t="s">
        <v>6307</v>
      </c>
      <c r="C13" s="49"/>
      <c r="D13" s="52"/>
      <c r="E13" s="52"/>
      <c r="F13" s="48"/>
      <c r="G13" s="1425">
        <f>G5*UC.m3_to_L/G10</f>
        <v>274.65291750503008</v>
      </c>
      <c r="H13" s="1729" t="str">
        <f t="shared" si="0"/>
        <v>L/day</v>
      </c>
      <c r="I13" s="52"/>
      <c r="J13" s="48"/>
      <c r="K13" s="1425">
        <f>K5*UC.m3_to_L/K10</f>
        <v>274.65291750503008</v>
      </c>
      <c r="L13" s="1466"/>
      <c r="M13" s="52"/>
      <c r="N13" s="48"/>
      <c r="O13" s="1425">
        <f>O5*UC.m3_to_L/O10</f>
        <v>274.65291750503008</v>
      </c>
      <c r="P13" s="1466"/>
      <c r="Q13" s="52"/>
      <c r="R13" s="48"/>
      <c r="S13" s="1425">
        <f>S5*UC.m3_to_L/S10</f>
        <v>163.48365191146874</v>
      </c>
      <c r="T13" s="1466"/>
      <c r="U13" s="52"/>
      <c r="V13" s="48"/>
      <c r="W13" s="1425">
        <f>W5*UC.m3_to_L/W10</f>
        <v>163.48365191146874</v>
      </c>
      <c r="X13" s="1466"/>
      <c r="Y13" s="52"/>
      <c r="Z13" s="48"/>
      <c r="AA13" s="1425">
        <f>AA5*UC.m3_to_L/AA10</f>
        <v>163.48365191146874</v>
      </c>
      <c r="AB13" s="1466"/>
      <c r="AC13" s="52"/>
      <c r="AD13" s="48"/>
      <c r="AE13" s="1425">
        <f>AE5*UC.m3_to_L/AE10</f>
        <v>141.24979879275645</v>
      </c>
      <c r="AF13" s="18" t="s">
        <v>2519</v>
      </c>
      <c r="AG13" s="1466"/>
      <c r="AH13" s="52"/>
      <c r="AI13" s="48"/>
      <c r="AJ13" s="1425">
        <f>AJ5*UC.m3_to_L/AJ10</f>
        <v>141.24979879275645</v>
      </c>
      <c r="AK13" s="1466"/>
      <c r="AL13" s="52"/>
      <c r="AM13" s="48"/>
      <c r="AN13" s="1425">
        <f>AN5*UC.m3_to_L/AN10</f>
        <v>141.24979879275645</v>
      </c>
      <c r="AO13" s="1466"/>
      <c r="AP13" s="52"/>
      <c r="AQ13" s="48"/>
      <c r="AR13" s="1425">
        <f>AR5*UC.m3_to_L/AR10</f>
        <v>219.72233400402408</v>
      </c>
      <c r="AS13" s="18" t="s">
        <v>2519</v>
      </c>
    </row>
    <row r="14" spans="1:45" x14ac:dyDescent="0.3">
      <c r="B14" s="49" t="s">
        <v>6308</v>
      </c>
      <c r="C14" s="49"/>
      <c r="D14" s="52"/>
      <c r="E14" s="52"/>
      <c r="F14" s="48"/>
      <c r="G14" s="1425">
        <f>G6*UC.m3_to_L/G10</f>
        <v>222.3385311871227</v>
      </c>
      <c r="H14" s="1729" t="str">
        <f t="shared" si="0"/>
        <v>L/day</v>
      </c>
      <c r="I14" s="52"/>
      <c r="J14" s="48"/>
      <c r="K14" s="1425">
        <f>K6*UC.m3_to_L/K10</f>
        <v>222.3385311871227</v>
      </c>
      <c r="L14" s="1466"/>
      <c r="M14" s="52"/>
      <c r="N14" s="48"/>
      <c r="O14" s="1425">
        <f>O6*UC.m3_to_L/O10</f>
        <v>222.3385311871227</v>
      </c>
      <c r="P14" s="1466"/>
      <c r="Q14" s="52"/>
      <c r="R14" s="48"/>
      <c r="S14" s="1425">
        <f>S6*UC.m3_to_L/S10</f>
        <v>111.16926559356135</v>
      </c>
      <c r="T14" s="1466"/>
      <c r="U14" s="52"/>
      <c r="V14" s="48"/>
      <c r="W14" s="1425">
        <f>W6*UC.m3_to_L/W10</f>
        <v>111.16926559356135</v>
      </c>
      <c r="X14" s="1466"/>
      <c r="Y14" s="52"/>
      <c r="Z14" s="48"/>
      <c r="AA14" s="1425">
        <f>AA6*UC.m3_to_L/AA10</f>
        <v>111.16926559356135</v>
      </c>
      <c r="AB14" s="1466"/>
      <c r="AC14" s="52"/>
      <c r="AD14" s="48"/>
      <c r="AE14" s="1425">
        <f>AE6*UC.m3_to_L/AE10</f>
        <v>88.935412474849073</v>
      </c>
      <c r="AF14" s="18" t="s">
        <v>2519</v>
      </c>
      <c r="AG14" s="1466"/>
      <c r="AH14" s="52"/>
      <c r="AI14" s="48"/>
      <c r="AJ14" s="1425">
        <f>AJ6*UC.m3_to_L/AJ10</f>
        <v>88.935412474849073</v>
      </c>
      <c r="AK14" s="1466"/>
      <c r="AL14" s="52"/>
      <c r="AM14" s="48"/>
      <c r="AN14" s="1425">
        <f>AN6*UC.m3_to_L/AN10</f>
        <v>88.935412474849073</v>
      </c>
      <c r="AO14" s="1466"/>
      <c r="AP14" s="52"/>
      <c r="AQ14" s="48"/>
      <c r="AR14" s="1425">
        <f>AR6*UC.m3_to_L/AR10</f>
        <v>175.64753521126758</v>
      </c>
      <c r="AS14" s="18" t="s">
        <v>2519</v>
      </c>
    </row>
    <row r="15" spans="1:45" x14ac:dyDescent="0.3">
      <c r="B15" s="49" t="s">
        <v>6309</v>
      </c>
      <c r="C15" s="49"/>
      <c r="D15" s="52"/>
      <c r="E15" s="52"/>
      <c r="F15" s="48"/>
      <c r="G15" s="1085">
        <f>G13*G11</f>
        <v>0</v>
      </c>
      <c r="H15" s="1729" t="str">
        <f t="shared" si="0"/>
        <v>L/day</v>
      </c>
      <c r="I15" s="52"/>
      <c r="J15" s="48"/>
      <c r="K15" s="1085">
        <f>K13*K11</f>
        <v>0</v>
      </c>
      <c r="L15" s="1467"/>
      <c r="M15" s="52"/>
      <c r="N15" s="48"/>
      <c r="O15" s="1085">
        <f>O13*O11</f>
        <v>0</v>
      </c>
      <c r="P15" s="1467"/>
      <c r="Q15" s="52"/>
      <c r="R15" s="48"/>
      <c r="S15" s="1085">
        <f>S13*S11</f>
        <v>0</v>
      </c>
      <c r="T15" s="1467"/>
      <c r="U15" s="52"/>
      <c r="V15" s="48"/>
      <c r="W15" s="1085">
        <f>W13*W11</f>
        <v>0</v>
      </c>
      <c r="X15" s="1467"/>
      <c r="Y15" s="52"/>
      <c r="Z15" s="48"/>
      <c r="AA15" s="1085">
        <f>AA13*AA11</f>
        <v>0</v>
      </c>
      <c r="AB15" s="1467"/>
      <c r="AC15" s="52"/>
      <c r="AD15" s="48"/>
      <c r="AE15" s="1085">
        <f>AE13*AE11</f>
        <v>0</v>
      </c>
      <c r="AF15" s="18" t="s">
        <v>2519</v>
      </c>
      <c r="AG15" s="1467"/>
      <c r="AH15" s="52"/>
      <c r="AI15" s="48"/>
      <c r="AJ15" s="1085">
        <f>AJ13*AJ11</f>
        <v>0</v>
      </c>
      <c r="AK15" s="1467"/>
      <c r="AL15" s="52"/>
      <c r="AM15" s="48"/>
      <c r="AN15" s="1085">
        <f>AN13*AN11</f>
        <v>0</v>
      </c>
      <c r="AO15" s="1467"/>
      <c r="AP15" s="52"/>
      <c r="AQ15" s="48"/>
      <c r="AR15" s="1085">
        <f>AR13*AR11</f>
        <v>0</v>
      </c>
      <c r="AS15" s="18" t="s">
        <v>2519</v>
      </c>
    </row>
    <row r="16" spans="1:45" x14ac:dyDescent="0.3">
      <c r="B16" s="49" t="s">
        <v>6310</v>
      </c>
      <c r="C16" s="49"/>
      <c r="D16" s="52"/>
      <c r="E16" s="52"/>
      <c r="F16" s="48"/>
      <c r="G16" s="1425">
        <f>G13-G15</f>
        <v>274.65291750503008</v>
      </c>
      <c r="H16" s="1729" t="str">
        <f t="shared" si="0"/>
        <v>L/day</v>
      </c>
      <c r="I16" s="52"/>
      <c r="J16" s="48"/>
      <c r="K16" s="1425">
        <f>K13-K15</f>
        <v>274.65291750503008</v>
      </c>
      <c r="L16" s="1466"/>
      <c r="M16" s="52"/>
      <c r="N16" s="48"/>
      <c r="O16" s="1425">
        <f>O13-O15</f>
        <v>274.65291750503008</v>
      </c>
      <c r="P16" s="1466"/>
      <c r="Q16" s="52"/>
      <c r="R16" s="48"/>
      <c r="S16" s="1425">
        <f>S13-S15</f>
        <v>163.48365191146874</v>
      </c>
      <c r="T16" s="1466"/>
      <c r="U16" s="52"/>
      <c r="V16" s="48"/>
      <c r="W16" s="1425">
        <f>W13-W15</f>
        <v>163.48365191146874</v>
      </c>
      <c r="X16" s="1466"/>
      <c r="Y16" s="52"/>
      <c r="Z16" s="48"/>
      <c r="AA16" s="1425">
        <f>AA13-AA15</f>
        <v>163.48365191146874</v>
      </c>
      <c r="AB16" s="1466"/>
      <c r="AC16" s="52"/>
      <c r="AD16" s="48"/>
      <c r="AE16" s="1425">
        <f>AE13-AE15</f>
        <v>141.24979879275645</v>
      </c>
      <c r="AF16" s="18" t="s">
        <v>2519</v>
      </c>
      <c r="AG16" s="1466"/>
      <c r="AH16" s="52"/>
      <c r="AI16" s="48"/>
      <c r="AJ16" s="1425">
        <f>AJ13-AJ15</f>
        <v>141.24979879275645</v>
      </c>
      <c r="AK16" s="1466"/>
      <c r="AL16" s="52"/>
      <c r="AM16" s="48"/>
      <c r="AN16" s="1425">
        <f>AN13-AN15</f>
        <v>141.24979879275645</v>
      </c>
      <c r="AO16" s="1466"/>
      <c r="AP16" s="52"/>
      <c r="AQ16" s="48"/>
      <c r="AR16" s="1425">
        <f>AR13-AR15</f>
        <v>219.72233400402408</v>
      </c>
      <c r="AS16" s="18" t="s">
        <v>2519</v>
      </c>
    </row>
    <row r="17" spans="1:45" x14ac:dyDescent="0.3">
      <c r="B17" s="49" t="s">
        <v>6311</v>
      </c>
      <c r="C17" s="49"/>
      <c r="D17" s="52"/>
      <c r="E17" s="52"/>
      <c r="F17" s="48"/>
      <c r="G17" s="1425">
        <f>G14-G15</f>
        <v>222.3385311871227</v>
      </c>
      <c r="H17" s="1729" t="str">
        <f t="shared" si="0"/>
        <v>L/day</v>
      </c>
      <c r="I17" s="52"/>
      <c r="J17" s="48"/>
      <c r="K17" s="1425">
        <f>K14-K15</f>
        <v>222.3385311871227</v>
      </c>
      <c r="L17" s="1466"/>
      <c r="M17" s="52"/>
      <c r="N17" s="48"/>
      <c r="O17" s="1425">
        <f>O14-O15</f>
        <v>222.3385311871227</v>
      </c>
      <c r="P17" s="1466"/>
      <c r="Q17" s="52"/>
      <c r="R17" s="48"/>
      <c r="S17" s="1425">
        <f>S14-S15</f>
        <v>111.16926559356135</v>
      </c>
      <c r="T17" s="1466"/>
      <c r="U17" s="52"/>
      <c r="V17" s="48"/>
      <c r="W17" s="1425">
        <f>W14-W15</f>
        <v>111.16926559356135</v>
      </c>
      <c r="X17" s="1466"/>
      <c r="Y17" s="52"/>
      <c r="Z17" s="48"/>
      <c r="AA17" s="1425">
        <f>AA14-AA15</f>
        <v>111.16926559356135</v>
      </c>
      <c r="AB17" s="1466"/>
      <c r="AC17" s="52"/>
      <c r="AD17" s="48"/>
      <c r="AE17" s="1425">
        <f>AE14-AE15</f>
        <v>88.935412474849073</v>
      </c>
      <c r="AF17" s="18" t="s">
        <v>2519</v>
      </c>
      <c r="AG17" s="1466"/>
      <c r="AH17" s="52"/>
      <c r="AI17" s="48"/>
      <c r="AJ17" s="1425">
        <f>AJ14-AJ15</f>
        <v>88.935412474849073</v>
      </c>
      <c r="AK17" s="1466"/>
      <c r="AL17" s="52"/>
      <c r="AM17" s="48"/>
      <c r="AN17" s="1425">
        <f>AN14-AN15</f>
        <v>88.935412474849073</v>
      </c>
      <c r="AO17" s="1466"/>
      <c r="AP17" s="52"/>
      <c r="AQ17" s="48"/>
      <c r="AR17" s="1425">
        <f>AR14-AR15</f>
        <v>175.64753521126758</v>
      </c>
      <c r="AS17" s="18" t="s">
        <v>2519</v>
      </c>
    </row>
    <row r="18" spans="1:45" x14ac:dyDescent="0.3">
      <c r="B18" s="49" t="s">
        <v>6312</v>
      </c>
      <c r="C18" s="1371" t="s">
        <v>6313</v>
      </c>
      <c r="D18" s="52"/>
      <c r="E18" s="52"/>
      <c r="F18" s="48"/>
      <c r="G18" s="1425">
        <f>G16/G12</f>
        <v>9155.0972501676697</v>
      </c>
      <c r="H18" s="1729" t="str">
        <f t="shared" si="0"/>
        <v>L/day</v>
      </c>
      <c r="I18" s="52"/>
      <c r="J18" s="48"/>
      <c r="K18" s="1425">
        <f>K16/K12</f>
        <v>9155.0972501676697</v>
      </c>
      <c r="L18" s="1466"/>
      <c r="M18" s="52"/>
      <c r="N18" s="48"/>
      <c r="O18" s="1425">
        <f>O16/O12</f>
        <v>9155.0972501676697</v>
      </c>
      <c r="P18" s="1466"/>
      <c r="Q18" s="52"/>
      <c r="R18" s="48"/>
      <c r="S18" s="1425">
        <f>S16/S12</f>
        <v>5449.4550637156253</v>
      </c>
      <c r="T18" s="1466"/>
      <c r="U18" s="52"/>
      <c r="V18" s="48"/>
      <c r="W18" s="1425">
        <f>W16/W12</f>
        <v>5449.4550637156253</v>
      </c>
      <c r="X18" s="1466"/>
      <c r="Y18" s="52"/>
      <c r="Z18" s="48"/>
      <c r="AA18" s="1425">
        <f>AA16/AA12</f>
        <v>5449.4550637156253</v>
      </c>
      <c r="AB18" s="1466"/>
      <c r="AC18" s="52"/>
      <c r="AD18" s="48"/>
      <c r="AE18" s="1425">
        <f>AE16/AE12</f>
        <v>4708.3266264252152</v>
      </c>
      <c r="AF18" s="18" t="s">
        <v>2519</v>
      </c>
      <c r="AG18" s="1466"/>
      <c r="AH18" s="52"/>
      <c r="AI18" s="48"/>
      <c r="AJ18" s="1425">
        <f>AJ16/AJ12</f>
        <v>4708.3266264252152</v>
      </c>
      <c r="AK18" s="1466"/>
      <c r="AL18" s="52"/>
      <c r="AM18" s="48"/>
      <c r="AN18" s="1425">
        <f>AN16/AN12</f>
        <v>4708.3266264252152</v>
      </c>
      <c r="AO18" s="1466"/>
      <c r="AP18" s="52"/>
      <c r="AQ18" s="48"/>
      <c r="AR18" s="1425">
        <f>AR16/AR12</f>
        <v>7324.0778001341359</v>
      </c>
      <c r="AS18" s="18" t="s">
        <v>2519</v>
      </c>
    </row>
    <row r="19" spans="1:45" x14ac:dyDescent="0.3">
      <c r="B19" s="49" t="s">
        <v>6314</v>
      </c>
      <c r="C19" s="49"/>
      <c r="D19" s="52"/>
      <c r="E19" s="52"/>
      <c r="F19" s="48"/>
      <c r="G19" s="1425">
        <f>G3-G4-G16</f>
        <v>2619.0815349169543</v>
      </c>
      <c r="H19" s="1729" t="str">
        <f t="shared" si="0"/>
        <v>L/day</v>
      </c>
      <c r="I19" s="52"/>
      <c r="J19" s="48"/>
      <c r="K19" s="1425">
        <f>K3-K4-K16</f>
        <v>2619.0815349169538</v>
      </c>
      <c r="L19" s="1466"/>
      <c r="M19" s="52"/>
      <c r="N19" s="48"/>
      <c r="O19" s="1425">
        <f>O3-O4-O16</f>
        <v>2619.0815349169538</v>
      </c>
      <c r="P19" s="1466"/>
      <c r="Q19" s="52"/>
      <c r="R19" s="48"/>
      <c r="S19" s="1425">
        <f>S3-S4-S16</f>
        <v>2730.2508005105155</v>
      </c>
      <c r="T19" s="1466"/>
      <c r="U19" s="52"/>
      <c r="V19" s="48"/>
      <c r="W19" s="1425">
        <f>W3-W4-W16</f>
        <v>2730.2508005105155</v>
      </c>
      <c r="X19" s="1466"/>
      <c r="Y19" s="52"/>
      <c r="Z19" s="48"/>
      <c r="AA19" s="1425">
        <f>AA3-AA4-AA16</f>
        <v>2730.250800510516</v>
      </c>
      <c r="AB19" s="1466"/>
      <c r="AC19" s="52"/>
      <c r="AD19" s="48"/>
      <c r="AE19" s="1425">
        <f>AE3-AE4-AE16</f>
        <v>2752.484653629228</v>
      </c>
      <c r="AF19" s="18" t="s">
        <v>2519</v>
      </c>
      <c r="AG19" s="1466"/>
      <c r="AH19" s="52"/>
      <c r="AI19" s="48"/>
      <c r="AJ19" s="1425">
        <f>AJ3-AJ4-AJ16</f>
        <v>2752.484653629228</v>
      </c>
      <c r="AK19" s="1466"/>
      <c r="AL19" s="52"/>
      <c r="AM19" s="48"/>
      <c r="AN19" s="1425">
        <f>AN3-AN4-AN16</f>
        <v>2752.4846536292284</v>
      </c>
      <c r="AO19" s="1466"/>
      <c r="AP19" s="52"/>
      <c r="AQ19" s="48"/>
      <c r="AR19" s="1425">
        <f>AR3-AR4-AR16</f>
        <v>1893.9978327036742</v>
      </c>
      <c r="AS19" s="18" t="s">
        <v>2519</v>
      </c>
    </row>
    <row r="20" spans="1:45" x14ac:dyDescent="0.3">
      <c r="B20" s="61" t="s">
        <v>6315</v>
      </c>
      <c r="C20" s="49"/>
      <c r="D20" s="52"/>
      <c r="E20" s="52"/>
      <c r="F20" s="52"/>
      <c r="G20" s="1085">
        <f>IF(G19&lt;0,ABS(G19),0)</f>
        <v>0</v>
      </c>
      <c r="H20" s="1729" t="str">
        <f t="shared" si="0"/>
        <v>L/day</v>
      </c>
      <c r="I20" s="52"/>
      <c r="J20" s="52"/>
      <c r="K20" s="1085">
        <f>IF(K19&lt;0,ABS(K19),0)</f>
        <v>0</v>
      </c>
      <c r="L20" s="1467"/>
      <c r="M20" s="52"/>
      <c r="N20" s="52"/>
      <c r="O20" s="1085">
        <f>IF(O19&lt;0,ABS(O19),0)</f>
        <v>0</v>
      </c>
      <c r="P20" s="1467"/>
      <c r="Q20" s="52"/>
      <c r="R20" s="52"/>
      <c r="S20" s="1085">
        <f>IF(S19&lt;0,ABS(S19),0)</f>
        <v>0</v>
      </c>
      <c r="T20" s="1467"/>
      <c r="U20" s="52"/>
      <c r="V20" s="52"/>
      <c r="W20" s="1085">
        <f>IF(W19&lt;0,ABS(W19),0)</f>
        <v>0</v>
      </c>
      <c r="X20" s="1467"/>
      <c r="Y20" s="52"/>
      <c r="Z20" s="52"/>
      <c r="AA20" s="1085">
        <f>IF(AA19&lt;0,ABS(AA19),0)</f>
        <v>0</v>
      </c>
      <c r="AB20" s="1467"/>
      <c r="AC20" s="52"/>
      <c r="AD20" s="52"/>
      <c r="AE20" s="1085">
        <f>IF(AE19&lt;0,ABS(AE19),0)</f>
        <v>0</v>
      </c>
      <c r="AF20" s="18" t="s">
        <v>2519</v>
      </c>
      <c r="AG20" s="1467"/>
      <c r="AH20" s="52"/>
      <c r="AI20" s="52"/>
      <c r="AJ20" s="1085">
        <f>IF(AJ19&lt;0,ABS(AJ19),0)</f>
        <v>0</v>
      </c>
      <c r="AK20" s="1467"/>
      <c r="AL20" s="52"/>
      <c r="AM20" s="52"/>
      <c r="AN20" s="1085">
        <f>IF(AN19&lt;0,ABS(AN19),0)</f>
        <v>0</v>
      </c>
      <c r="AO20" s="1467"/>
      <c r="AP20" s="52"/>
      <c r="AQ20" s="52"/>
      <c r="AR20" s="1085">
        <f>IF(AR19&lt;0,ABS(AR19),0)</f>
        <v>0</v>
      </c>
      <c r="AS20" s="18" t="s">
        <v>2519</v>
      </c>
    </row>
    <row r="21" spans="1:45" x14ac:dyDescent="0.3">
      <c r="B21" s="61" t="s">
        <v>6316</v>
      </c>
      <c r="C21" s="49"/>
      <c r="D21" s="52"/>
      <c r="E21" s="52"/>
      <c r="F21" s="48"/>
      <c r="G21" s="1425">
        <f>G4-G20</f>
        <v>28390</v>
      </c>
      <c r="H21" s="1729" t="str">
        <f t="shared" si="0"/>
        <v>L/day</v>
      </c>
      <c r="I21" s="52"/>
      <c r="J21" s="48"/>
      <c r="K21" s="1425">
        <f>K4-K20</f>
        <v>0</v>
      </c>
      <c r="L21" s="1466"/>
      <c r="M21" s="52"/>
      <c r="N21" s="48"/>
      <c r="O21" s="1425">
        <f>O4-O20</f>
        <v>2314.2857142857142</v>
      </c>
      <c r="P21" s="1466"/>
      <c r="Q21" s="52"/>
      <c r="R21" s="48"/>
      <c r="S21" s="1425">
        <f>S4-S20</f>
        <v>28390</v>
      </c>
      <c r="T21" s="1466"/>
      <c r="U21" s="52"/>
      <c r="V21" s="48"/>
      <c r="W21" s="1425">
        <f>W4-W20</f>
        <v>0</v>
      </c>
      <c r="X21" s="1466"/>
      <c r="Y21" s="52"/>
      <c r="Z21" s="48"/>
      <c r="AA21" s="1425">
        <f>AA4-AA20</f>
        <v>2314.2857142857142</v>
      </c>
      <c r="AB21" s="1466"/>
      <c r="AC21" s="52"/>
      <c r="AD21" s="48"/>
      <c r="AE21" s="1425">
        <f>AE4-AE20</f>
        <v>28390</v>
      </c>
      <c r="AF21" s="18" t="s">
        <v>2519</v>
      </c>
      <c r="AG21" s="1466"/>
      <c r="AH21" s="52"/>
      <c r="AI21" s="48"/>
      <c r="AJ21" s="1425">
        <f>AJ4-AJ20</f>
        <v>0</v>
      </c>
      <c r="AK21" s="1466"/>
      <c r="AL21" s="52"/>
      <c r="AM21" s="48"/>
      <c r="AN21" s="1425">
        <f>AN4-AN20</f>
        <v>2314.2857142857142</v>
      </c>
      <c r="AO21" s="1466"/>
      <c r="AP21" s="52"/>
      <c r="AQ21" s="48"/>
      <c r="AR21" s="1425">
        <f>AR4-AR20</f>
        <v>0</v>
      </c>
      <c r="AS21" s="18" t="s">
        <v>2519</v>
      </c>
    </row>
    <row r="22" spans="1:45" x14ac:dyDescent="0.3">
      <c r="B22" s="49" t="s">
        <v>6317</v>
      </c>
      <c r="C22" s="1371" t="s">
        <v>6313</v>
      </c>
      <c r="D22" s="52"/>
      <c r="E22" s="52"/>
      <c r="F22" s="48"/>
      <c r="G22" s="1425">
        <f>G16+G19+G20</f>
        <v>2893.7344524219843</v>
      </c>
      <c r="H22" s="1729" t="str">
        <f t="shared" si="0"/>
        <v>L/day</v>
      </c>
      <c r="I22" s="52"/>
      <c r="J22" s="48"/>
      <c r="K22" s="1425">
        <f>K16+K19+K20</f>
        <v>2893.7344524219839</v>
      </c>
      <c r="L22" s="1466"/>
      <c r="M22" s="52"/>
      <c r="N22" s="48"/>
      <c r="O22" s="1425">
        <f>O16+O19+O20</f>
        <v>2893.7344524219839</v>
      </c>
      <c r="P22" s="1466"/>
      <c r="Q22" s="52"/>
      <c r="R22" s="48"/>
      <c r="S22" s="1425">
        <f>S16+S19+S20</f>
        <v>2893.7344524219843</v>
      </c>
      <c r="T22" s="1466"/>
      <c r="U22" s="52"/>
      <c r="V22" s="48"/>
      <c r="W22" s="1425">
        <f>W16+W19+W20</f>
        <v>2893.7344524219843</v>
      </c>
      <c r="X22" s="1466"/>
      <c r="Y22" s="52"/>
      <c r="Z22" s="48"/>
      <c r="AA22" s="1425">
        <f>AA16+AA19+AA20</f>
        <v>2893.7344524219848</v>
      </c>
      <c r="AB22" s="1466"/>
      <c r="AC22" s="52"/>
      <c r="AD22" s="48"/>
      <c r="AE22" s="1425">
        <f>AE16+AE19+AE20</f>
        <v>2893.7344524219843</v>
      </c>
      <c r="AF22" s="18" t="s">
        <v>2519</v>
      </c>
      <c r="AG22" s="1466"/>
      <c r="AH22" s="52"/>
      <c r="AI22" s="48"/>
      <c r="AJ22" s="1425">
        <f>AJ16+AJ19+AJ20</f>
        <v>2893.7344524219843</v>
      </c>
      <c r="AK22" s="1466"/>
      <c r="AL22" s="52"/>
      <c r="AM22" s="48"/>
      <c r="AN22" s="1425">
        <f>AN16+AN19+AN20</f>
        <v>2893.7344524219848</v>
      </c>
      <c r="AO22" s="1466"/>
      <c r="AP22" s="52"/>
      <c r="AQ22" s="48"/>
      <c r="AR22" s="1425">
        <f>AR16+AR19+AR20</f>
        <v>2113.7201667076984</v>
      </c>
      <c r="AS22" s="18" t="s">
        <v>2519</v>
      </c>
    </row>
    <row r="23" spans="1:45" x14ac:dyDescent="0.3">
      <c r="B23" s="63" t="s">
        <v>6177</v>
      </c>
      <c r="C23" s="1371" t="s">
        <v>6313</v>
      </c>
      <c r="D23" s="52"/>
      <c r="E23" s="52"/>
      <c r="F23" s="48"/>
      <c r="G23" s="1426">
        <f>G10*G16*UC.L_to_m3</f>
        <v>273.00499999999988</v>
      </c>
      <c r="H23" s="1729" t="str">
        <f t="shared" si="0"/>
        <v>kg TS/day</v>
      </c>
      <c r="I23" s="52"/>
      <c r="J23" s="48"/>
      <c r="K23" s="1426">
        <f>K10*K16*UC.L_to_m3</f>
        <v>273.00499999999988</v>
      </c>
      <c r="L23" s="1469"/>
      <c r="M23" s="52"/>
      <c r="N23" s="48"/>
      <c r="O23" s="1426">
        <f>O10*O16*UC.L_to_m3</f>
        <v>273.00499999999988</v>
      </c>
      <c r="P23" s="1469"/>
      <c r="Q23" s="52"/>
      <c r="R23" s="48"/>
      <c r="S23" s="1426">
        <f>S10*S16*UC.L_to_m3</f>
        <v>162.50274999999991</v>
      </c>
      <c r="T23" s="1469"/>
      <c r="U23" s="52"/>
      <c r="V23" s="48"/>
      <c r="W23" s="1426">
        <f>W10*W16*UC.L_to_m3</f>
        <v>162.50274999999991</v>
      </c>
      <c r="X23" s="1469"/>
      <c r="Y23" s="52"/>
      <c r="Z23" s="48"/>
      <c r="AA23" s="1426">
        <f>AA10*AA16*UC.L_to_m3</f>
        <v>162.50274999999991</v>
      </c>
      <c r="AB23" s="1469"/>
      <c r="AC23" s="52"/>
      <c r="AD23" s="48"/>
      <c r="AE23" s="1426">
        <f>AE10*AE16*UC.L_to_m3</f>
        <v>140.40229999999991</v>
      </c>
      <c r="AF23" s="63" t="s">
        <v>6178</v>
      </c>
      <c r="AG23" s="1469"/>
      <c r="AH23" s="52"/>
      <c r="AI23" s="48"/>
      <c r="AJ23" s="1426">
        <f>AJ10*AJ16*UC.L_to_m3</f>
        <v>140.40229999999991</v>
      </c>
      <c r="AK23" s="1469"/>
      <c r="AL23" s="52"/>
      <c r="AM23" s="48"/>
      <c r="AN23" s="1426">
        <f>AN10*AN16*UC.L_to_m3</f>
        <v>140.40229999999991</v>
      </c>
      <c r="AO23" s="1469"/>
      <c r="AP23" s="52"/>
      <c r="AQ23" s="48"/>
      <c r="AR23" s="1426">
        <f>AR10*AR16*UC.L_to_m3</f>
        <v>218.40399999999991</v>
      </c>
      <c r="AS23" s="63" t="s">
        <v>6178</v>
      </c>
    </row>
    <row r="24" spans="1:45" x14ac:dyDescent="0.3">
      <c r="B24" s="63" t="s">
        <v>6318</v>
      </c>
      <c r="C24" s="1371" t="s">
        <v>6313</v>
      </c>
      <c r="D24" s="52"/>
      <c r="E24" s="52"/>
      <c r="F24" s="48"/>
      <c r="G24" s="1426">
        <f>G10*G17*UC.L_to_m3</f>
        <v>221.00449999999995</v>
      </c>
      <c r="H24" s="1729" t="str">
        <f t="shared" si="0"/>
        <v>kg VS/day</v>
      </c>
      <c r="I24" s="52"/>
      <c r="J24" s="48"/>
      <c r="K24" s="1426">
        <f>K10*K17*UC.L_to_m3</f>
        <v>221.00449999999995</v>
      </c>
      <c r="L24" s="1469"/>
      <c r="M24" s="52"/>
      <c r="N24" s="48"/>
      <c r="O24" s="1426">
        <f>O10*O17*UC.L_to_m3</f>
        <v>221.00449999999995</v>
      </c>
      <c r="P24" s="1469"/>
      <c r="Q24" s="52"/>
      <c r="R24" s="48"/>
      <c r="S24" s="1426">
        <f>S10*S17*UC.L_to_m3</f>
        <v>110.50224999999998</v>
      </c>
      <c r="T24" s="1469"/>
      <c r="U24" s="52"/>
      <c r="V24" s="48"/>
      <c r="W24" s="1426">
        <f>W10*W17*UC.L_to_m3</f>
        <v>110.50224999999998</v>
      </c>
      <c r="X24" s="1469"/>
      <c r="Y24" s="52"/>
      <c r="Z24" s="48"/>
      <c r="AA24" s="1426">
        <f>AA10*AA17*UC.L_to_m3</f>
        <v>110.50224999999998</v>
      </c>
      <c r="AB24" s="1469"/>
      <c r="AC24" s="52"/>
      <c r="AD24" s="48"/>
      <c r="AE24" s="1426">
        <f>AE10*AE17*UC.L_to_m3</f>
        <v>88.40179999999998</v>
      </c>
      <c r="AF24" s="63" t="s">
        <v>6180</v>
      </c>
      <c r="AG24" s="1469"/>
      <c r="AH24" s="52"/>
      <c r="AI24" s="48"/>
      <c r="AJ24" s="1426">
        <f>AJ10*AJ17*UC.L_to_m3</f>
        <v>88.40179999999998</v>
      </c>
      <c r="AK24" s="1469"/>
      <c r="AL24" s="52"/>
      <c r="AM24" s="48"/>
      <c r="AN24" s="1426">
        <f>AN10*AN17*UC.L_to_m3</f>
        <v>88.40179999999998</v>
      </c>
      <c r="AO24" s="1469"/>
      <c r="AP24" s="52"/>
      <c r="AQ24" s="48"/>
      <c r="AR24" s="1426">
        <f>AR10*AR17*UC.L_to_m3</f>
        <v>174.59364999999997</v>
      </c>
      <c r="AS24" s="63" t="s">
        <v>6180</v>
      </c>
    </row>
    <row r="25" spans="1:45" x14ac:dyDescent="0.3">
      <c r="B25" s="49"/>
      <c r="C25" s="49"/>
      <c r="D25" s="52"/>
      <c r="E25" s="52"/>
      <c r="F25" s="48"/>
      <c r="G25" s="9"/>
      <c r="H25" s="1729">
        <f t="shared" si="0"/>
        <v>0</v>
      </c>
      <c r="I25" s="52"/>
      <c r="J25" s="48"/>
      <c r="K25" s="9"/>
      <c r="L25" s="1647"/>
      <c r="M25" s="52"/>
      <c r="N25" s="48"/>
      <c r="O25" s="9"/>
      <c r="P25" s="1647"/>
      <c r="Q25" s="52"/>
      <c r="R25" s="48"/>
      <c r="S25" s="9"/>
      <c r="T25" s="1647"/>
      <c r="U25" s="52"/>
      <c r="V25" s="48"/>
      <c r="W25" s="9"/>
      <c r="X25" s="1647"/>
      <c r="Y25" s="52"/>
      <c r="Z25" s="48"/>
      <c r="AA25" s="9"/>
      <c r="AB25" s="1647"/>
      <c r="AC25" s="52"/>
      <c r="AD25" s="48"/>
      <c r="AE25" s="9"/>
      <c r="AF25" s="51"/>
      <c r="AG25" s="1647"/>
      <c r="AH25" s="52"/>
      <c r="AI25" s="48"/>
      <c r="AJ25" s="9"/>
      <c r="AK25" s="1647"/>
      <c r="AL25" s="52"/>
      <c r="AM25" s="48"/>
      <c r="AN25" s="9"/>
      <c r="AO25" s="1647"/>
      <c r="AP25" s="52"/>
      <c r="AQ25" s="48"/>
      <c r="AR25" s="9"/>
      <c r="AS25" s="51"/>
    </row>
    <row r="26" spans="1:45" x14ac:dyDescent="0.3">
      <c r="A26" t="s">
        <v>6319</v>
      </c>
      <c r="B26" s="1356" t="s">
        <v>4690</v>
      </c>
      <c r="C26" s="30"/>
      <c r="D26" s="30"/>
      <c r="E26" s="30"/>
      <c r="F26" s="1406" t="s">
        <v>602</v>
      </c>
      <c r="G26" s="1422">
        <f>G2</f>
        <v>3</v>
      </c>
      <c r="H26" s="1410"/>
      <c r="I26" s="2193"/>
      <c r="J26" s="1406"/>
      <c r="K26" s="1422">
        <f>K2</f>
        <v>4</v>
      </c>
      <c r="L26" s="1422"/>
      <c r="M26" s="2193"/>
      <c r="N26" s="1406"/>
      <c r="O26" s="1422">
        <f>O2</f>
        <v>5</v>
      </c>
      <c r="P26" s="1422"/>
      <c r="Q26" s="2193"/>
      <c r="R26" s="1406"/>
      <c r="S26" s="1422">
        <f>S2</f>
        <v>6</v>
      </c>
      <c r="T26" s="1422"/>
      <c r="U26" s="2193"/>
      <c r="V26" s="1406"/>
      <c r="W26" s="1422">
        <f>W2</f>
        <v>7</v>
      </c>
      <c r="X26" s="1422"/>
      <c r="Y26" s="2193"/>
      <c r="Z26" s="1406"/>
      <c r="AA26" s="1422">
        <f>AA2</f>
        <v>8</v>
      </c>
      <c r="AB26" s="1422"/>
      <c r="AC26" s="2193"/>
      <c r="AD26" s="1406"/>
      <c r="AE26" s="1422">
        <f>AE2</f>
        <v>9</v>
      </c>
      <c r="AF26" s="2189"/>
      <c r="AG26" s="1422"/>
      <c r="AH26" s="2193"/>
      <c r="AI26" s="1406"/>
      <c r="AJ26" s="1422">
        <f>AJ2</f>
        <v>10</v>
      </c>
      <c r="AK26" s="1422"/>
      <c r="AL26" s="2193"/>
      <c r="AM26" s="1406"/>
      <c r="AN26" s="1422">
        <f>AN2</f>
        <v>11</v>
      </c>
      <c r="AO26" s="1422"/>
      <c r="AP26" s="2193"/>
      <c r="AQ26" s="1406"/>
      <c r="AR26" s="1422">
        <f>AR2</f>
        <v>14</v>
      </c>
      <c r="AS26" s="2189"/>
    </row>
    <row r="27" spans="1:45" x14ac:dyDescent="0.3">
      <c r="B27" s="63" t="s">
        <v>6320</v>
      </c>
      <c r="C27" s="29"/>
      <c r="D27" s="816"/>
      <c r="E27" s="510"/>
      <c r="F27" s="816"/>
      <c r="G27" s="1427">
        <f>G22*UC.L_to_m3</f>
        <v>2.8937344524219846</v>
      </c>
      <c r="H27" s="1729" t="str">
        <f t="shared" si="0"/>
        <v>m3/day</v>
      </c>
      <c r="I27" s="510"/>
      <c r="J27" s="816"/>
      <c r="K27" s="1427">
        <f>K22*UC.L_to_m3</f>
        <v>2.8937344524219841</v>
      </c>
      <c r="L27" s="1470"/>
      <c r="M27" s="510"/>
      <c r="N27" s="816"/>
      <c r="O27" s="1427">
        <f>O22*UC.L_to_m3</f>
        <v>2.8937344524219841</v>
      </c>
      <c r="P27" s="1470"/>
      <c r="Q27" s="510"/>
      <c r="R27" s="816"/>
      <c r="S27" s="1427">
        <f>S22*UC.L_to_m3</f>
        <v>2.8937344524219846</v>
      </c>
      <c r="T27" s="1470"/>
      <c r="U27" s="510"/>
      <c r="V27" s="816"/>
      <c r="W27" s="1427">
        <f>W22*UC.L_to_m3</f>
        <v>2.8937344524219846</v>
      </c>
      <c r="X27" s="1470"/>
      <c r="Y27" s="510"/>
      <c r="Z27" s="816"/>
      <c r="AA27" s="1427">
        <f>AA22*UC.L_to_m3</f>
        <v>2.893734452421985</v>
      </c>
      <c r="AB27" s="1470"/>
      <c r="AC27" s="510"/>
      <c r="AD27" s="816"/>
      <c r="AE27" s="1427">
        <f>AE22*UC.L_to_m3</f>
        <v>2.8937344524219846</v>
      </c>
      <c r="AF27" s="63" t="s">
        <v>2521</v>
      </c>
      <c r="AG27" s="1470"/>
      <c r="AH27" s="510"/>
      <c r="AI27" s="816"/>
      <c r="AJ27" s="1427">
        <f>AJ22*UC.L_to_m3</f>
        <v>2.8937344524219846</v>
      </c>
      <c r="AK27" s="1470"/>
      <c r="AL27" s="510"/>
      <c r="AM27" s="816"/>
      <c r="AN27" s="1427">
        <f>AN22*UC.L_to_m3</f>
        <v>2.893734452421985</v>
      </c>
      <c r="AO27" s="1470"/>
      <c r="AP27" s="510"/>
      <c r="AQ27" s="816"/>
      <c r="AR27" s="1427">
        <f>AR22*UC.L_to_m3</f>
        <v>2.1137201667076986</v>
      </c>
      <c r="AS27" s="63" t="s">
        <v>2521</v>
      </c>
    </row>
    <row r="28" spans="1:45" x14ac:dyDescent="0.3">
      <c r="B28" s="49" t="s">
        <v>6321</v>
      </c>
      <c r="C28" s="49"/>
      <c r="D28" s="52"/>
      <c r="E28" s="52"/>
      <c r="F28" s="49"/>
      <c r="G28" s="1428">
        <f>G18*UC.L_to_m3</f>
        <v>9.1550972501676693</v>
      </c>
      <c r="H28" s="1729" t="str">
        <f t="shared" si="0"/>
        <v>m3/day</v>
      </c>
      <c r="I28" s="52"/>
      <c r="J28" s="49"/>
      <c r="K28" s="1428">
        <f>K18*UC.L_to_m3</f>
        <v>9.1550972501676693</v>
      </c>
      <c r="L28" s="1471"/>
      <c r="M28" s="52"/>
      <c r="N28" s="49"/>
      <c r="O28" s="1428">
        <f>O18*UC.L_to_m3</f>
        <v>9.1550972501676693</v>
      </c>
      <c r="P28" s="1471"/>
      <c r="Q28" s="52"/>
      <c r="R28" s="49"/>
      <c r="S28" s="1428">
        <f>S18*UC.L_to_m3</f>
        <v>5.4494550637156252</v>
      </c>
      <c r="T28" s="1471"/>
      <c r="U28" s="52"/>
      <c r="V28" s="49"/>
      <c r="W28" s="1428">
        <f>W18*UC.L_to_m3</f>
        <v>5.4494550637156252</v>
      </c>
      <c r="X28" s="1471"/>
      <c r="Y28" s="52"/>
      <c r="Z28" s="49"/>
      <c r="AA28" s="1428">
        <f>AA18*UC.L_to_m3</f>
        <v>5.4494550637156252</v>
      </c>
      <c r="AB28" s="1471"/>
      <c r="AC28" s="52"/>
      <c r="AD28" s="49"/>
      <c r="AE28" s="1428">
        <f>AE18*UC.L_to_m3</f>
        <v>4.7083266264252153</v>
      </c>
      <c r="AF28" s="49" t="s">
        <v>2521</v>
      </c>
      <c r="AG28" s="1471"/>
      <c r="AH28" s="52"/>
      <c r="AI28" s="49"/>
      <c r="AJ28" s="1428">
        <f>AJ18*UC.L_to_m3</f>
        <v>4.7083266264252153</v>
      </c>
      <c r="AK28" s="1471"/>
      <c r="AL28" s="52"/>
      <c r="AM28" s="49"/>
      <c r="AN28" s="1428">
        <f>AN18*UC.L_to_m3</f>
        <v>4.7083266264252153</v>
      </c>
      <c r="AO28" s="1471"/>
      <c r="AP28" s="52"/>
      <c r="AQ28" s="49"/>
      <c r="AR28" s="1428">
        <f>AR18*UC.L_to_m3</f>
        <v>7.3240778001341358</v>
      </c>
      <c r="AS28" s="49" t="s">
        <v>2521</v>
      </c>
    </row>
    <row r="29" spans="1:45" x14ac:dyDescent="0.3">
      <c r="B29" s="63" t="s">
        <v>6177</v>
      </c>
      <c r="C29" s="18"/>
      <c r="D29" s="510"/>
      <c r="E29" s="1429"/>
      <c r="F29" s="510"/>
      <c r="G29" s="1430">
        <f>G23</f>
        <v>273.00499999999988</v>
      </c>
      <c r="H29" s="1729" t="str">
        <f t="shared" si="0"/>
        <v>kg TS/day</v>
      </c>
      <c r="I29" s="1429"/>
      <c r="J29" s="510"/>
      <c r="K29" s="1430">
        <f>K23</f>
        <v>273.00499999999988</v>
      </c>
      <c r="L29" s="1472"/>
      <c r="M29" s="1429"/>
      <c r="N29" s="510"/>
      <c r="O29" s="1430">
        <f>O23</f>
        <v>273.00499999999988</v>
      </c>
      <c r="P29" s="1472"/>
      <c r="Q29" s="1429"/>
      <c r="R29" s="510"/>
      <c r="S29" s="1430">
        <f>S23</f>
        <v>162.50274999999991</v>
      </c>
      <c r="T29" s="1472"/>
      <c r="U29" s="1429"/>
      <c r="V29" s="510"/>
      <c r="W29" s="1430">
        <f>W23</f>
        <v>162.50274999999991</v>
      </c>
      <c r="X29" s="1472"/>
      <c r="Y29" s="1429"/>
      <c r="Z29" s="510"/>
      <c r="AA29" s="1430">
        <f>AA23</f>
        <v>162.50274999999991</v>
      </c>
      <c r="AB29" s="1472"/>
      <c r="AC29" s="1429"/>
      <c r="AD29" s="510"/>
      <c r="AE29" s="1430">
        <f>AE23</f>
        <v>140.40229999999991</v>
      </c>
      <c r="AF29" s="63" t="s">
        <v>6178</v>
      </c>
      <c r="AG29" s="1472"/>
      <c r="AH29" s="1429"/>
      <c r="AI29" s="510"/>
      <c r="AJ29" s="1430">
        <f>AJ23</f>
        <v>140.40229999999991</v>
      </c>
      <c r="AK29" s="1472"/>
      <c r="AL29" s="1429"/>
      <c r="AM29" s="510"/>
      <c r="AN29" s="1430">
        <f>AN23</f>
        <v>140.40229999999991</v>
      </c>
      <c r="AO29" s="1472"/>
      <c r="AP29" s="1429"/>
      <c r="AQ29" s="510"/>
      <c r="AR29" s="1430">
        <f>AR23</f>
        <v>218.40399999999991</v>
      </c>
      <c r="AS29" s="63" t="s">
        <v>6178</v>
      </c>
    </row>
    <row r="30" spans="1:45" x14ac:dyDescent="0.3">
      <c r="B30" s="63" t="s">
        <v>6318</v>
      </c>
      <c r="C30" s="18"/>
      <c r="D30" s="510"/>
      <c r="E30" s="1429"/>
      <c r="F30" s="510"/>
      <c r="G30" s="1430">
        <f>G24</f>
        <v>221.00449999999995</v>
      </c>
      <c r="H30" s="1729" t="str">
        <f t="shared" si="0"/>
        <v>kg VS/day</v>
      </c>
      <c r="I30" s="1429"/>
      <c r="J30" s="510"/>
      <c r="K30" s="1430">
        <f>K24</f>
        <v>221.00449999999995</v>
      </c>
      <c r="L30" s="1472"/>
      <c r="M30" s="1429"/>
      <c r="N30" s="510"/>
      <c r="O30" s="1430">
        <f>O24</f>
        <v>221.00449999999995</v>
      </c>
      <c r="P30" s="1472"/>
      <c r="Q30" s="1429"/>
      <c r="R30" s="510"/>
      <c r="S30" s="1430">
        <f>S24</f>
        <v>110.50224999999998</v>
      </c>
      <c r="T30" s="1472"/>
      <c r="U30" s="1429"/>
      <c r="V30" s="510"/>
      <c r="W30" s="1430">
        <f>W24</f>
        <v>110.50224999999998</v>
      </c>
      <c r="X30" s="1472"/>
      <c r="Y30" s="1429"/>
      <c r="Z30" s="510"/>
      <c r="AA30" s="1430">
        <f>AA24</f>
        <v>110.50224999999998</v>
      </c>
      <c r="AB30" s="1472"/>
      <c r="AC30" s="1429"/>
      <c r="AD30" s="510"/>
      <c r="AE30" s="1430">
        <f>AE24</f>
        <v>88.40179999999998</v>
      </c>
      <c r="AF30" s="63" t="s">
        <v>6180</v>
      </c>
      <c r="AG30" s="1472"/>
      <c r="AH30" s="1429"/>
      <c r="AI30" s="510"/>
      <c r="AJ30" s="1430">
        <f>AJ24</f>
        <v>88.40179999999998</v>
      </c>
      <c r="AK30" s="1472"/>
      <c r="AL30" s="1429"/>
      <c r="AM30" s="510"/>
      <c r="AN30" s="1430">
        <f>AN24</f>
        <v>88.40179999999998</v>
      </c>
      <c r="AO30" s="1472"/>
      <c r="AP30" s="1429"/>
      <c r="AQ30" s="510"/>
      <c r="AR30" s="1430">
        <f>AR24</f>
        <v>174.59364999999997</v>
      </c>
      <c r="AS30" s="63" t="s">
        <v>6180</v>
      </c>
    </row>
    <row r="31" spans="1:45" x14ac:dyDescent="0.3">
      <c r="B31" s="63" t="s">
        <v>6302</v>
      </c>
      <c r="C31" s="49"/>
      <c r="D31" s="52"/>
      <c r="E31" s="52"/>
      <c r="F31" s="48"/>
      <c r="G31" s="1364">
        <f>G7</f>
        <v>18.183765869577698</v>
      </c>
      <c r="H31" s="1729" t="str">
        <f t="shared" si="0"/>
        <v>kg/day</v>
      </c>
      <c r="I31" s="52"/>
      <c r="J31" s="48"/>
      <c r="K31" s="1364">
        <f>K7</f>
        <v>20.783810869577703</v>
      </c>
      <c r="L31" s="1473"/>
      <c r="M31" s="52"/>
      <c r="N31" s="48"/>
      <c r="O31" s="1364">
        <f>O7</f>
        <v>19.483788369577702</v>
      </c>
      <c r="P31" s="1473"/>
      <c r="Q31" s="52"/>
      <c r="R31" s="48"/>
      <c r="S31" s="1364">
        <f>S7</f>
        <v>16.816511271997353</v>
      </c>
      <c r="T31" s="1473"/>
      <c r="U31" s="52"/>
      <c r="V31" s="48"/>
      <c r="W31" s="1364">
        <f>W7</f>
        <v>19.22105642308469</v>
      </c>
      <c r="X31" s="1473"/>
      <c r="Y31" s="52"/>
      <c r="Z31" s="48"/>
      <c r="AA31" s="1364">
        <f>AA7</f>
        <v>18.018783847541023</v>
      </c>
      <c r="AB31" s="1473"/>
      <c r="AC31" s="52"/>
      <c r="AD31" s="48"/>
      <c r="AE31" s="1364">
        <f>AE7</f>
        <v>16.336454637936452</v>
      </c>
      <c r="AF31" s="49" t="s">
        <v>2409</v>
      </c>
      <c r="AG31" s="1473"/>
      <c r="AH31" s="52"/>
      <c r="AI31" s="48"/>
      <c r="AJ31" s="1364">
        <f>AJ7</f>
        <v>18.67235785533088</v>
      </c>
      <c r="AK31" s="1473"/>
      <c r="AL31" s="52"/>
      <c r="AM31" s="48"/>
      <c r="AN31" s="1364">
        <f>AN7</f>
        <v>17.504406246633668</v>
      </c>
      <c r="AO31" s="1473"/>
      <c r="AP31" s="52"/>
      <c r="AQ31" s="48"/>
      <c r="AR31" s="1364">
        <f>AR7</f>
        <v>16.627048695662161</v>
      </c>
      <c r="AS31" s="49" t="s">
        <v>2409</v>
      </c>
    </row>
    <row r="32" spans="1:45" x14ac:dyDescent="0.3">
      <c r="B32" s="63" t="s">
        <v>6303</v>
      </c>
      <c r="C32" s="49"/>
      <c r="D32" s="52"/>
      <c r="E32" s="52"/>
      <c r="F32" s="48"/>
      <c r="G32" s="1364">
        <f t="shared" ref="G32:G33" si="1">G8</f>
        <v>9.1001499999999993</v>
      </c>
      <c r="H32" s="1729" t="str">
        <f t="shared" si="0"/>
        <v>kg/day</v>
      </c>
      <c r="I32" s="52"/>
      <c r="J32" s="48"/>
      <c r="K32" s="1364">
        <f t="shared" ref="K32:K33" si="2">K8</f>
        <v>9.1001499999999993</v>
      </c>
      <c r="L32" s="1473"/>
      <c r="M32" s="52"/>
      <c r="N32" s="48"/>
      <c r="O32" s="1364">
        <f t="shared" ref="O32:O33" si="3">O8</f>
        <v>9.1001499999999993</v>
      </c>
      <c r="P32" s="1473"/>
      <c r="Q32" s="52"/>
      <c r="R32" s="48"/>
      <c r="S32" s="1364">
        <f t="shared" ref="S32:S33" si="4">S8</f>
        <v>9.1001499999999993</v>
      </c>
      <c r="T32" s="1473"/>
      <c r="U32" s="52"/>
      <c r="V32" s="48"/>
      <c r="W32" s="1364">
        <f t="shared" ref="W32:W33" si="5">W8</f>
        <v>9.1001499999999993</v>
      </c>
      <c r="X32" s="1473"/>
      <c r="Y32" s="52"/>
      <c r="Z32" s="48"/>
      <c r="AA32" s="1364">
        <f t="shared" ref="AA32:AA33" si="6">AA8</f>
        <v>9.1001499999999993</v>
      </c>
      <c r="AB32" s="1473"/>
      <c r="AC32" s="52"/>
      <c r="AD32" s="48"/>
      <c r="AE32" s="1364">
        <f t="shared" ref="AE32:AE33" si="7">AE8</f>
        <v>9.1001499999999993</v>
      </c>
      <c r="AF32" s="49" t="s">
        <v>2409</v>
      </c>
      <c r="AG32" s="1473"/>
      <c r="AH32" s="52"/>
      <c r="AI32" s="48"/>
      <c r="AJ32" s="1364">
        <f t="shared" ref="AJ32:AJ33" si="8">AJ8</f>
        <v>9.1001499999999993</v>
      </c>
      <c r="AK32" s="1473"/>
      <c r="AL32" s="52"/>
      <c r="AM32" s="48"/>
      <c r="AN32" s="1364">
        <f t="shared" ref="AN32:AN33" si="9">AN8</f>
        <v>9.1001499999999993</v>
      </c>
      <c r="AO32" s="1473"/>
      <c r="AP32" s="52"/>
      <c r="AQ32" s="48"/>
      <c r="AR32" s="1364">
        <f t="shared" ref="AR32:AR33" si="10">AR8</f>
        <v>5.9150974999999999</v>
      </c>
      <c r="AS32" s="49" t="s">
        <v>2409</v>
      </c>
    </row>
    <row r="33" spans="2:45" x14ac:dyDescent="0.3">
      <c r="B33" s="63" t="s">
        <v>6304</v>
      </c>
      <c r="C33" s="49"/>
      <c r="D33" s="52"/>
      <c r="E33" s="52"/>
      <c r="F33" s="48"/>
      <c r="G33" s="1364">
        <f t="shared" si="1"/>
        <v>11.700249999999999</v>
      </c>
      <c r="H33" s="1729" t="str">
        <f t="shared" si="0"/>
        <v>kg/day</v>
      </c>
      <c r="I33" s="52"/>
      <c r="J33" s="48"/>
      <c r="K33" s="1364">
        <f t="shared" si="2"/>
        <v>11.700249999999999</v>
      </c>
      <c r="L33" s="1473"/>
      <c r="M33" s="52"/>
      <c r="N33" s="48"/>
      <c r="O33" s="1364">
        <f t="shared" si="3"/>
        <v>11.700249999999999</v>
      </c>
      <c r="P33" s="1473"/>
      <c r="Q33" s="52"/>
      <c r="R33" s="48"/>
      <c r="S33" s="1364">
        <f t="shared" si="4"/>
        <v>11.700249999999999</v>
      </c>
      <c r="T33" s="1473"/>
      <c r="U33" s="52"/>
      <c r="V33" s="48"/>
      <c r="W33" s="1364">
        <f t="shared" si="5"/>
        <v>11.700249999999999</v>
      </c>
      <c r="X33" s="1473"/>
      <c r="Y33" s="52"/>
      <c r="Z33" s="48"/>
      <c r="AA33" s="1364">
        <f t="shared" si="6"/>
        <v>11.700249999999999</v>
      </c>
      <c r="AB33" s="1473"/>
      <c r="AC33" s="52"/>
      <c r="AD33" s="48"/>
      <c r="AE33" s="1364">
        <f t="shared" si="7"/>
        <v>11.700249999999999</v>
      </c>
      <c r="AF33" s="49" t="s">
        <v>2409</v>
      </c>
      <c r="AG33" s="1473"/>
      <c r="AH33" s="52"/>
      <c r="AI33" s="48"/>
      <c r="AJ33" s="1364">
        <f t="shared" si="8"/>
        <v>11.700249999999999</v>
      </c>
      <c r="AK33" s="1473"/>
      <c r="AL33" s="52"/>
      <c r="AM33" s="48"/>
      <c r="AN33" s="1364">
        <f t="shared" si="9"/>
        <v>11.700249999999999</v>
      </c>
      <c r="AO33" s="1473"/>
      <c r="AP33" s="52"/>
      <c r="AQ33" s="48"/>
      <c r="AR33" s="1364">
        <f t="shared" si="10"/>
        <v>8.190175</v>
      </c>
      <c r="AS33" s="49" t="s">
        <v>2409</v>
      </c>
    </row>
    <row r="34" spans="2:45" x14ac:dyDescent="0.3">
      <c r="B34" s="63" t="s">
        <v>6251</v>
      </c>
      <c r="C34" s="49"/>
      <c r="D34" s="52"/>
      <c r="E34" s="52"/>
      <c r="F34" s="49"/>
      <c r="G34" s="1371">
        <v>0</v>
      </c>
      <c r="H34" s="1729" t="str">
        <f t="shared" si="0"/>
        <v>multiplier</v>
      </c>
      <c r="I34" s="52"/>
      <c r="J34" s="49"/>
      <c r="K34" s="1371">
        <v>0</v>
      </c>
      <c r="L34" s="1474"/>
      <c r="M34" s="52"/>
      <c r="N34" s="49"/>
      <c r="O34" s="1371">
        <v>0</v>
      </c>
      <c r="P34" s="1474"/>
      <c r="Q34" s="52"/>
      <c r="R34" s="49"/>
      <c r="S34" s="1371">
        <v>0</v>
      </c>
      <c r="T34" s="1474"/>
      <c r="U34" s="52"/>
      <c r="V34" s="49"/>
      <c r="W34" s="1371">
        <v>0</v>
      </c>
      <c r="X34" s="1474"/>
      <c r="Y34" s="52"/>
      <c r="Z34" s="49"/>
      <c r="AA34" s="1371">
        <v>0</v>
      </c>
      <c r="AB34" s="1474"/>
      <c r="AC34" s="52"/>
      <c r="AD34" s="49"/>
      <c r="AE34" s="1371">
        <v>0</v>
      </c>
      <c r="AF34" s="49" t="s">
        <v>2426</v>
      </c>
      <c r="AG34" s="1474"/>
      <c r="AH34" s="52"/>
      <c r="AI34" s="49"/>
      <c r="AJ34" s="1371">
        <v>0</v>
      </c>
      <c r="AK34" s="1474"/>
      <c r="AL34" s="52"/>
      <c r="AM34" s="49"/>
      <c r="AN34" s="1371">
        <v>0</v>
      </c>
      <c r="AO34" s="1474"/>
      <c r="AP34" s="52"/>
      <c r="AQ34" s="49"/>
      <c r="AR34" s="1371">
        <v>1</v>
      </c>
      <c r="AS34" s="49" t="s">
        <v>2426</v>
      </c>
    </row>
    <row r="35" spans="2:45" x14ac:dyDescent="0.3">
      <c r="B35" s="63" t="s">
        <v>6322</v>
      </c>
      <c r="C35" s="49"/>
      <c r="D35" s="52"/>
      <c r="E35" s="52"/>
      <c r="F35" s="48"/>
      <c r="G35" s="1359">
        <f>UDV.anaer_lagoon.sludge_toggle</f>
        <v>1</v>
      </c>
      <c r="H35" s="1729" t="str">
        <f t="shared" si="0"/>
        <v>toggle</v>
      </c>
      <c r="I35" s="52"/>
      <c r="J35" s="48"/>
      <c r="K35" s="1359">
        <f>UDV.anaer_lagoon.sludge_toggle</f>
        <v>1</v>
      </c>
      <c r="L35" s="1474"/>
      <c r="M35" s="52"/>
      <c r="N35" s="48"/>
      <c r="O35" s="1359">
        <f>UDV.anaer_lagoon.sludge_toggle</f>
        <v>1</v>
      </c>
      <c r="P35" s="1474"/>
      <c r="Q35" s="52"/>
      <c r="R35" s="48"/>
      <c r="S35" s="1359">
        <f>UDV.anaer_lagoon.sludge_toggle</f>
        <v>1</v>
      </c>
      <c r="T35" s="1474"/>
      <c r="U35" s="52"/>
      <c r="V35" s="48"/>
      <c r="W35" s="1359">
        <f>UDV.anaer_lagoon.sludge_toggle</f>
        <v>1</v>
      </c>
      <c r="X35" s="1474"/>
      <c r="Y35" s="52"/>
      <c r="Z35" s="48"/>
      <c r="AA35" s="1359">
        <f>UDV.anaer_lagoon.sludge_toggle</f>
        <v>1</v>
      </c>
      <c r="AB35" s="1474"/>
      <c r="AC35" s="52"/>
      <c r="AD35" s="48"/>
      <c r="AE35" s="1359">
        <f>UDV.anaer_lagoon.sludge_toggle</f>
        <v>1</v>
      </c>
      <c r="AF35" s="49" t="s">
        <v>5501</v>
      </c>
      <c r="AG35" s="1474"/>
      <c r="AH35" s="52"/>
      <c r="AI35" s="48"/>
      <c r="AJ35" s="1359">
        <f>UDV.anaer_lagoon.sludge_toggle</f>
        <v>1</v>
      </c>
      <c r="AK35" s="1474"/>
      <c r="AL35" s="52"/>
      <c r="AM35" s="48"/>
      <c r="AN35" s="1359">
        <f>UDV.anaer_lagoon.sludge_toggle</f>
        <v>1</v>
      </c>
      <c r="AO35" s="1474"/>
      <c r="AP35" s="52"/>
      <c r="AQ35" s="48"/>
      <c r="AR35" s="1359">
        <f>UDV.anaer_lagoon.sludge_toggle</f>
        <v>1</v>
      </c>
      <c r="AS35" s="49" t="s">
        <v>5501</v>
      </c>
    </row>
    <row r="36" spans="2:45" x14ac:dyDescent="0.3">
      <c r="B36" s="63" t="s">
        <v>6323</v>
      </c>
      <c r="C36" s="49"/>
      <c r="D36" s="52"/>
      <c r="E36" s="52"/>
      <c r="F36" s="48"/>
      <c r="G36" s="1359">
        <f>UDV.anaer_lagoon.treatment_toggle</f>
        <v>0</v>
      </c>
      <c r="H36" s="1729" t="str">
        <f t="shared" si="0"/>
        <v>toggle</v>
      </c>
      <c r="I36" s="52"/>
      <c r="J36" s="48"/>
      <c r="K36" s="1359">
        <f>UDV.anaer_lagoon.treatment_toggle</f>
        <v>0</v>
      </c>
      <c r="L36" s="1474"/>
      <c r="M36" s="52"/>
      <c r="N36" s="48"/>
      <c r="O36" s="1359">
        <f>UDV.anaer_lagoon.treatment_toggle</f>
        <v>0</v>
      </c>
      <c r="P36" s="1474"/>
      <c r="Q36" s="52"/>
      <c r="R36" s="48"/>
      <c r="S36" s="1359">
        <f>UDV.anaer_lagoon.treatment_toggle</f>
        <v>0</v>
      </c>
      <c r="T36" s="1474"/>
      <c r="U36" s="52"/>
      <c r="V36" s="48"/>
      <c r="W36" s="1359">
        <f>UDV.anaer_lagoon.treatment_toggle</f>
        <v>0</v>
      </c>
      <c r="X36" s="1474"/>
      <c r="Y36" s="52"/>
      <c r="Z36" s="48"/>
      <c r="AA36" s="1359">
        <f>UDV.anaer_lagoon.treatment_toggle</f>
        <v>0</v>
      </c>
      <c r="AB36" s="1474"/>
      <c r="AC36" s="52"/>
      <c r="AD36" s="48"/>
      <c r="AE36" s="1359">
        <f>UDV.anaer_lagoon.treatment_toggle</f>
        <v>0</v>
      </c>
      <c r="AF36" s="49" t="s">
        <v>5501</v>
      </c>
      <c r="AG36" s="1474"/>
      <c r="AH36" s="52"/>
      <c r="AI36" s="48"/>
      <c r="AJ36" s="1359">
        <f>UDV.anaer_lagoon.treatment_toggle</f>
        <v>0</v>
      </c>
      <c r="AK36" s="1474"/>
      <c r="AL36" s="52"/>
      <c r="AM36" s="48"/>
      <c r="AN36" s="1359">
        <f>UDV.anaer_lagoon.treatment_toggle</f>
        <v>0</v>
      </c>
      <c r="AO36" s="1474"/>
      <c r="AP36" s="52"/>
      <c r="AQ36" s="48"/>
      <c r="AR36" s="1359">
        <f>UDV.anaer_lagoon.treatment_toggle</f>
        <v>0</v>
      </c>
      <c r="AS36" s="49" t="s">
        <v>5501</v>
      </c>
    </row>
    <row r="37" spans="2:45" x14ac:dyDescent="0.3">
      <c r="B37" s="63" t="s">
        <v>6305</v>
      </c>
      <c r="C37" s="49"/>
      <c r="D37" s="52"/>
      <c r="E37" s="52"/>
      <c r="F37" s="48"/>
      <c r="G37" s="1346">
        <f>UDV.density.manure</f>
        <v>993.99999999999989</v>
      </c>
      <c r="H37" s="1729" t="str">
        <f t="shared" si="0"/>
        <v>kg/m3</v>
      </c>
      <c r="I37" s="52"/>
      <c r="J37" s="48"/>
      <c r="K37" s="1346">
        <f>UDV.density.manure</f>
        <v>993.99999999999989</v>
      </c>
      <c r="L37" s="1467"/>
      <c r="M37" s="52"/>
      <c r="N37" s="48"/>
      <c r="O37" s="1346">
        <f>UDV.density.manure</f>
        <v>993.99999999999989</v>
      </c>
      <c r="P37" s="1467"/>
      <c r="Q37" s="52"/>
      <c r="R37" s="48"/>
      <c r="S37" s="1346">
        <f>UDV.density.manure</f>
        <v>993.99999999999989</v>
      </c>
      <c r="T37" s="1467"/>
      <c r="U37" s="52"/>
      <c r="V37" s="48"/>
      <c r="W37" s="1346">
        <f>UDV.density.manure</f>
        <v>993.99999999999989</v>
      </c>
      <c r="X37" s="1467"/>
      <c r="Y37" s="52"/>
      <c r="Z37" s="48"/>
      <c r="AA37" s="1346">
        <f>UDV.density.manure</f>
        <v>993.99999999999989</v>
      </c>
      <c r="AB37" s="1467"/>
      <c r="AC37" s="52"/>
      <c r="AD37" s="48"/>
      <c r="AE37" s="1346">
        <f>UDV.density.manure</f>
        <v>993.99999999999989</v>
      </c>
      <c r="AF37" s="18" t="s">
        <v>2416</v>
      </c>
      <c r="AG37" s="1467"/>
      <c r="AH37" s="52"/>
      <c r="AI37" s="48"/>
      <c r="AJ37" s="1346">
        <f>UDV.density.manure</f>
        <v>993.99999999999989</v>
      </c>
      <c r="AK37" s="1467"/>
      <c r="AL37" s="52"/>
      <c r="AM37" s="48"/>
      <c r="AN37" s="1346">
        <f>UDV.density.manure</f>
        <v>993.99999999999989</v>
      </c>
      <c r="AO37" s="1467"/>
      <c r="AP37" s="52"/>
      <c r="AQ37" s="48"/>
      <c r="AR37" s="1346">
        <f>UDV.density.manure</f>
        <v>993.99999999999989</v>
      </c>
      <c r="AS37" s="18" t="s">
        <v>2416</v>
      </c>
    </row>
    <row r="38" spans="2:45" x14ac:dyDescent="0.3">
      <c r="B38" s="49" t="s">
        <v>774</v>
      </c>
      <c r="C38" s="18"/>
      <c r="D38" s="510"/>
      <c r="E38" s="510"/>
      <c r="F38" s="48"/>
      <c r="G38" s="1431">
        <f>IF(G34=1,UDV.anaer_lagoon.sludge_accumulation_ratio_sol_sep, UDV.anaer_lagoon.sludge_accumulation_ratio_base)*UDV.anaer_lagoon.sludge_accumulation_ratio_storage_modifier</f>
        <v>4.5416346747024442E-3</v>
      </c>
      <c r="H38" s="1729" t="str">
        <f t="shared" si="0"/>
        <v>m3/kg TS</v>
      </c>
      <c r="I38" s="510"/>
      <c r="J38" s="48"/>
      <c r="K38" s="1431">
        <f>IF(K34=1,UDV.anaer_lagoon.sludge_accumulation_ratio_sol_sep, UDV.anaer_lagoon.sludge_accumulation_ratio_base)*UDV.anaer_lagoon.sludge_accumulation_ratio_storage_modifier</f>
        <v>4.5416346747024442E-3</v>
      </c>
      <c r="L38" s="1475"/>
      <c r="M38" s="510"/>
      <c r="N38" s="48"/>
      <c r="O38" s="1431">
        <f>IF(O34=1,UDV.anaer_lagoon.sludge_accumulation_ratio_sol_sep, UDV.anaer_lagoon.sludge_accumulation_ratio_base)*UDV.anaer_lagoon.sludge_accumulation_ratio_storage_modifier</f>
        <v>4.5416346747024442E-3</v>
      </c>
      <c r="P38" s="1475"/>
      <c r="Q38" s="510"/>
      <c r="R38" s="48"/>
      <c r="S38" s="1431">
        <f>IF(S34=1,UDV.anaer_lagoon.sludge_accumulation_ratio_sol_sep, UDV.anaer_lagoon.sludge_accumulation_ratio_base)*UDV.anaer_lagoon.sludge_accumulation_ratio_storage_modifier</f>
        <v>4.5416346747024442E-3</v>
      </c>
      <c r="T38" s="1475"/>
      <c r="U38" s="510"/>
      <c r="V38" s="48"/>
      <c r="W38" s="1431">
        <f>IF(W34=1,UDV.anaer_lagoon.sludge_accumulation_ratio_sol_sep, UDV.anaer_lagoon.sludge_accumulation_ratio_base)*UDV.anaer_lagoon.sludge_accumulation_ratio_storage_modifier</f>
        <v>4.5416346747024442E-3</v>
      </c>
      <c r="X38" s="1475"/>
      <c r="Y38" s="510"/>
      <c r="Z38" s="48"/>
      <c r="AA38" s="1431">
        <f>IF(AA34=1,UDV.anaer_lagoon.sludge_accumulation_ratio_sol_sep, UDV.anaer_lagoon.sludge_accumulation_ratio_base)*UDV.anaer_lagoon.sludge_accumulation_ratio_storage_modifier</f>
        <v>4.5416346747024442E-3</v>
      </c>
      <c r="AB38" s="1475"/>
      <c r="AC38" s="510"/>
      <c r="AD38" s="48"/>
      <c r="AE38" s="1431">
        <f>IF(AE34=1,UDV.anaer_lagoon.sludge_accumulation_ratio_sol_sep, UDV.anaer_lagoon.sludge_accumulation_ratio_base)*UDV.anaer_lagoon.sludge_accumulation_ratio_storage_modifier</f>
        <v>4.5416346747024442E-3</v>
      </c>
      <c r="AF38" s="49" t="s">
        <v>2506</v>
      </c>
      <c r="AG38" s="1475"/>
      <c r="AH38" s="510"/>
      <c r="AI38" s="48"/>
      <c r="AJ38" s="1431">
        <f>IF(AJ34=1,UDV.anaer_lagoon.sludge_accumulation_ratio_sol_sep, UDV.anaer_lagoon.sludge_accumulation_ratio_base)*UDV.anaer_lagoon.sludge_accumulation_ratio_storage_modifier</f>
        <v>4.5416346747024442E-3</v>
      </c>
      <c r="AK38" s="1475"/>
      <c r="AL38" s="510"/>
      <c r="AM38" s="48"/>
      <c r="AN38" s="1431">
        <f>IF(AN34=1,UDV.anaer_lagoon.sludge_accumulation_ratio_sol_sep, UDV.anaer_lagoon.sludge_accumulation_ratio_base)*UDV.anaer_lagoon.sludge_accumulation_ratio_storage_modifier</f>
        <v>4.5416346747024442E-3</v>
      </c>
      <c r="AO38" s="1475"/>
      <c r="AP38" s="510"/>
      <c r="AQ38" s="48"/>
      <c r="AR38" s="1431">
        <f>IF(AR34=1,UDV.anaer_lagoon.sludge_accumulation_ratio_sol_sep, UDV.anaer_lagoon.sludge_accumulation_ratio_base)*UDV.anaer_lagoon.sludge_accumulation_ratio_storage_modifier</f>
        <v>1.5396141547241288E-3</v>
      </c>
      <c r="AS38" s="49" t="s">
        <v>2506</v>
      </c>
    </row>
    <row r="39" spans="2:45" x14ac:dyDescent="0.3">
      <c r="B39" s="49" t="s">
        <v>695</v>
      </c>
      <c r="C39" s="18"/>
      <c r="D39" s="510"/>
      <c r="E39" s="510"/>
      <c r="F39" s="510"/>
      <c r="G39" s="1432">
        <f>UDV.anaer_lagoon.sludge_time</f>
        <v>10</v>
      </c>
      <c r="H39" s="1729" t="str">
        <f t="shared" si="0"/>
        <v>yr/sludge period</v>
      </c>
      <c r="I39" s="510"/>
      <c r="J39" s="510"/>
      <c r="K39" s="1432">
        <f>UDV.anaer_lagoon.sludge_time</f>
        <v>10</v>
      </c>
      <c r="L39" s="1476"/>
      <c r="M39" s="510"/>
      <c r="N39" s="510"/>
      <c r="O39" s="1432">
        <f>UDV.anaer_lagoon.sludge_time</f>
        <v>10</v>
      </c>
      <c r="P39" s="1476"/>
      <c r="Q39" s="510"/>
      <c r="R39" s="510"/>
      <c r="S39" s="1432">
        <f>UDV.anaer_lagoon.sludge_time</f>
        <v>10</v>
      </c>
      <c r="T39" s="1476"/>
      <c r="U39" s="510"/>
      <c r="V39" s="510"/>
      <c r="W39" s="1432">
        <f>UDV.anaer_lagoon.sludge_time</f>
        <v>10</v>
      </c>
      <c r="X39" s="1476"/>
      <c r="Y39" s="510"/>
      <c r="Z39" s="510"/>
      <c r="AA39" s="1432">
        <f>UDV.anaer_lagoon.sludge_time</f>
        <v>10</v>
      </c>
      <c r="AB39" s="1476"/>
      <c r="AC39" s="510"/>
      <c r="AD39" s="510"/>
      <c r="AE39" s="1432">
        <f>UDV.anaer_lagoon.sludge_time</f>
        <v>10</v>
      </c>
      <c r="AF39" s="49" t="s">
        <v>6324</v>
      </c>
      <c r="AG39" s="1476"/>
      <c r="AH39" s="510"/>
      <c r="AI39" s="510"/>
      <c r="AJ39" s="1432">
        <f>UDV.anaer_lagoon.sludge_time</f>
        <v>10</v>
      </c>
      <c r="AK39" s="1476"/>
      <c r="AL39" s="510"/>
      <c r="AM39" s="510"/>
      <c r="AN39" s="1432">
        <f>UDV.anaer_lagoon.sludge_time</f>
        <v>10</v>
      </c>
      <c r="AO39" s="1476"/>
      <c r="AP39" s="510"/>
      <c r="AQ39" s="510"/>
      <c r="AR39" s="1432">
        <f>UDV.anaer_lagoon.sludge_time</f>
        <v>10</v>
      </c>
      <c r="AS39" s="49" t="s">
        <v>6324</v>
      </c>
    </row>
    <row r="40" spans="2:45" x14ac:dyDescent="0.3">
      <c r="B40" s="49" t="s">
        <v>6325</v>
      </c>
      <c r="C40" s="18"/>
      <c r="D40" s="510"/>
      <c r="E40" s="510"/>
      <c r="F40" s="510"/>
      <c r="G40" s="1432">
        <f>UDV.anaer_lagoon.HRT</f>
        <v>365</v>
      </c>
      <c r="H40" s="1729" t="str">
        <f t="shared" si="0"/>
        <v>days/HRT</v>
      </c>
      <c r="I40" s="510"/>
      <c r="J40" s="510"/>
      <c r="K40" s="1432">
        <f>UDV.anaer_lagoon.HRT</f>
        <v>365</v>
      </c>
      <c r="L40" s="1476"/>
      <c r="M40" s="510"/>
      <c r="N40" s="510"/>
      <c r="O40" s="1432">
        <f>UDV.anaer_lagoon.HRT</f>
        <v>365</v>
      </c>
      <c r="P40" s="1476"/>
      <c r="Q40" s="510"/>
      <c r="R40" s="510"/>
      <c r="S40" s="1432">
        <f>UDV.anaer_lagoon.HRT</f>
        <v>365</v>
      </c>
      <c r="T40" s="1476"/>
      <c r="U40" s="510"/>
      <c r="V40" s="510"/>
      <c r="W40" s="1432">
        <f>UDV.anaer_lagoon.HRT</f>
        <v>365</v>
      </c>
      <c r="X40" s="1476"/>
      <c r="Y40" s="510"/>
      <c r="Z40" s="510"/>
      <c r="AA40" s="1432">
        <f>UDV.anaer_lagoon.HRT</f>
        <v>365</v>
      </c>
      <c r="AB40" s="1476"/>
      <c r="AC40" s="510"/>
      <c r="AD40" s="510"/>
      <c r="AE40" s="1432">
        <f>UDV.anaer_lagoon.HRT</f>
        <v>365</v>
      </c>
      <c r="AF40" s="49" t="s">
        <v>4756</v>
      </c>
      <c r="AG40" s="1476"/>
      <c r="AH40" s="510"/>
      <c r="AI40" s="510"/>
      <c r="AJ40" s="1432">
        <f>UDV.anaer_lagoon.HRT</f>
        <v>365</v>
      </c>
      <c r="AK40" s="1476"/>
      <c r="AL40" s="510"/>
      <c r="AM40" s="510"/>
      <c r="AN40" s="1432">
        <f>UDV.anaer_lagoon.HRT</f>
        <v>365</v>
      </c>
      <c r="AO40" s="1476"/>
      <c r="AP40" s="510"/>
      <c r="AQ40" s="510"/>
      <c r="AR40" s="1432">
        <f>UDV.anaer_lagoon.HRT</f>
        <v>365</v>
      </c>
      <c r="AS40" s="49" t="s">
        <v>4756</v>
      </c>
    </row>
    <row r="41" spans="2:45" x14ac:dyDescent="0.3">
      <c r="B41" s="49" t="s">
        <v>6326</v>
      </c>
      <c r="C41" s="49"/>
      <c r="D41" s="52"/>
      <c r="E41" s="52"/>
      <c r="F41" s="52"/>
      <c r="G41" s="1432">
        <f>UDV.anaer_lagoon.effluent_time</f>
        <v>182.5</v>
      </c>
      <c r="H41" s="1729" t="str">
        <f t="shared" si="0"/>
        <v>days/treatment period</v>
      </c>
      <c r="I41" s="52"/>
      <c r="J41" s="52"/>
      <c r="K41" s="1432">
        <f>UDV.anaer_lagoon.effluent_time</f>
        <v>182.5</v>
      </c>
      <c r="L41" s="1476"/>
      <c r="M41" s="52"/>
      <c r="N41" s="52"/>
      <c r="O41" s="1432">
        <f>UDV.anaer_lagoon.effluent_time</f>
        <v>182.5</v>
      </c>
      <c r="P41" s="1476"/>
      <c r="Q41" s="52"/>
      <c r="R41" s="52"/>
      <c r="S41" s="1432">
        <f>UDV.anaer_lagoon.effluent_time</f>
        <v>182.5</v>
      </c>
      <c r="T41" s="1476"/>
      <c r="U41" s="52"/>
      <c r="V41" s="52"/>
      <c r="W41" s="1432">
        <f>UDV.anaer_lagoon.effluent_time</f>
        <v>182.5</v>
      </c>
      <c r="X41" s="1476"/>
      <c r="Y41" s="52"/>
      <c r="Z41" s="52"/>
      <c r="AA41" s="1432">
        <f>UDV.anaer_lagoon.effluent_time</f>
        <v>182.5</v>
      </c>
      <c r="AB41" s="1476"/>
      <c r="AC41" s="52"/>
      <c r="AD41" s="52"/>
      <c r="AE41" s="1432">
        <f>UDV.anaer_lagoon.effluent_time</f>
        <v>182.5</v>
      </c>
      <c r="AF41" s="49" t="s">
        <v>6327</v>
      </c>
      <c r="AG41" s="1476"/>
      <c r="AH41" s="52"/>
      <c r="AI41" s="52"/>
      <c r="AJ41" s="1432">
        <f>UDV.anaer_lagoon.effluent_time</f>
        <v>182.5</v>
      </c>
      <c r="AK41" s="1476"/>
      <c r="AL41" s="52"/>
      <c r="AM41" s="52"/>
      <c r="AN41" s="1432">
        <f>UDV.anaer_lagoon.effluent_time</f>
        <v>182.5</v>
      </c>
      <c r="AO41" s="1476"/>
      <c r="AP41" s="52"/>
      <c r="AQ41" s="52"/>
      <c r="AR41" s="1432">
        <f>UDV.anaer_lagoon.effluent_time</f>
        <v>182.5</v>
      </c>
      <c r="AS41" s="49" t="s">
        <v>6327</v>
      </c>
    </row>
    <row r="42" spans="2:45" x14ac:dyDescent="0.3">
      <c r="B42" s="49" t="s">
        <v>6254</v>
      </c>
      <c r="C42" s="49"/>
      <c r="D42" s="52"/>
      <c r="E42" s="52"/>
      <c r="F42" s="81"/>
      <c r="G42" s="1433">
        <f>UDV.anaer_lagoon.VS_loading_rate</f>
        <v>60.06923766617254</v>
      </c>
      <c r="H42" s="1729" t="str">
        <f t="shared" si="0"/>
        <v>kg VS/1000 m3/day</v>
      </c>
      <c r="I42" s="52"/>
      <c r="J42" s="81"/>
      <c r="K42" s="1433">
        <f>UDV.anaer_lagoon.VS_loading_rate</f>
        <v>60.06923766617254</v>
      </c>
      <c r="L42" s="1473"/>
      <c r="M42" s="52"/>
      <c r="N42" s="81"/>
      <c r="O42" s="1433">
        <f>UDV.anaer_lagoon.VS_loading_rate</f>
        <v>60.06923766617254</v>
      </c>
      <c r="P42" s="1473"/>
      <c r="Q42" s="52"/>
      <c r="R42" s="81"/>
      <c r="S42" s="1433">
        <f>UDV.anaer_lagoon.VS_loading_rate</f>
        <v>60.06923766617254</v>
      </c>
      <c r="T42" s="1473"/>
      <c r="U42" s="52"/>
      <c r="V42" s="81"/>
      <c r="W42" s="1433">
        <f>UDV.anaer_lagoon.VS_loading_rate</f>
        <v>60.06923766617254</v>
      </c>
      <c r="X42" s="1473"/>
      <c r="Y42" s="52"/>
      <c r="Z42" s="81"/>
      <c r="AA42" s="1433">
        <f>UDV.anaer_lagoon.VS_loading_rate</f>
        <v>60.06923766617254</v>
      </c>
      <c r="AB42" s="1473"/>
      <c r="AC42" s="52"/>
      <c r="AD42" s="81"/>
      <c r="AE42" s="1433">
        <f>UDV.anaer_lagoon.VS_loading_rate</f>
        <v>60.06923766617254</v>
      </c>
      <c r="AF42" s="49" t="s">
        <v>2423</v>
      </c>
      <c r="AG42" s="1473"/>
      <c r="AH42" s="52"/>
      <c r="AI42" s="81"/>
      <c r="AJ42" s="1433">
        <f>UDV.anaer_lagoon.VS_loading_rate</f>
        <v>60.06923766617254</v>
      </c>
      <c r="AK42" s="1473"/>
      <c r="AL42" s="52"/>
      <c r="AM42" s="81"/>
      <c r="AN42" s="1433">
        <f>UDV.anaer_lagoon.VS_loading_rate</f>
        <v>60.06923766617254</v>
      </c>
      <c r="AO42" s="1473"/>
      <c r="AP42" s="52"/>
      <c r="AQ42" s="81"/>
      <c r="AR42" s="1433">
        <f>UDV.anaer_lagoon.VS_loading_rate</f>
        <v>60.06923766617254</v>
      </c>
      <c r="AS42" s="49" t="s">
        <v>2423</v>
      </c>
    </row>
    <row r="43" spans="2:45" x14ac:dyDescent="0.3">
      <c r="B43" s="49" t="s">
        <v>6255</v>
      </c>
      <c r="C43" s="49"/>
      <c r="D43" s="52"/>
      <c r="E43" s="52"/>
      <c r="F43" s="81"/>
      <c r="G43" s="1359">
        <f>UDV.anaer_lagoon.VSLR_odor_multiplier</f>
        <v>1</v>
      </c>
      <c r="H43" s="1729" t="str">
        <f t="shared" si="0"/>
        <v>multiplier</v>
      </c>
      <c r="I43" s="52"/>
      <c r="J43" s="81"/>
      <c r="K43" s="1359">
        <f>UDV.anaer_lagoon.VSLR_odor_multiplier</f>
        <v>1</v>
      </c>
      <c r="L43" s="1474"/>
      <c r="M43" s="52"/>
      <c r="N43" s="81"/>
      <c r="O43" s="1359">
        <f>UDV.anaer_lagoon.VSLR_odor_multiplier</f>
        <v>1</v>
      </c>
      <c r="P43" s="1474"/>
      <c r="Q43" s="52"/>
      <c r="R43" s="81"/>
      <c r="S43" s="1359">
        <f>UDV.anaer_lagoon.VSLR_odor_multiplier</f>
        <v>1</v>
      </c>
      <c r="T43" s="1474"/>
      <c r="U43" s="52"/>
      <c r="V43" s="81"/>
      <c r="W43" s="1359">
        <f>UDV.anaer_lagoon.VSLR_odor_multiplier</f>
        <v>1</v>
      </c>
      <c r="X43" s="1474"/>
      <c r="Y43" s="52"/>
      <c r="Z43" s="81"/>
      <c r="AA43" s="1359">
        <f>UDV.anaer_lagoon.VSLR_odor_multiplier</f>
        <v>1</v>
      </c>
      <c r="AB43" s="1474"/>
      <c r="AC43" s="52"/>
      <c r="AD43" s="81"/>
      <c r="AE43" s="1359">
        <f>UDV.anaer_lagoon.VSLR_odor_multiplier</f>
        <v>1</v>
      </c>
      <c r="AF43" s="49" t="s">
        <v>2426</v>
      </c>
      <c r="AG43" s="1474"/>
      <c r="AH43" s="52"/>
      <c r="AI43" s="81"/>
      <c r="AJ43" s="1359">
        <f>UDV.anaer_lagoon.VSLR_odor_multiplier</f>
        <v>1</v>
      </c>
      <c r="AK43" s="1474"/>
      <c r="AL43" s="52"/>
      <c r="AM43" s="81"/>
      <c r="AN43" s="1359">
        <f>UDV.anaer_lagoon.VSLR_odor_multiplier</f>
        <v>1</v>
      </c>
      <c r="AO43" s="1474"/>
      <c r="AP43" s="52"/>
      <c r="AQ43" s="81"/>
      <c r="AR43" s="1359">
        <f>UDV.anaer_lagoon.VSLR_odor_multiplier</f>
        <v>1</v>
      </c>
      <c r="AS43" s="49" t="s">
        <v>2426</v>
      </c>
    </row>
    <row r="44" spans="2:45" x14ac:dyDescent="0.3">
      <c r="B44" s="49" t="s">
        <v>6256</v>
      </c>
      <c r="C44" s="49"/>
      <c r="D44" s="52"/>
      <c r="E44" s="52"/>
      <c r="F44" s="81"/>
      <c r="G44" s="1359">
        <f>IF(G34=1,UDV.anaer_lagoon.VSLR_solids_multiplier,1)</f>
        <v>1</v>
      </c>
      <c r="H44" s="1729" t="str">
        <f t="shared" si="0"/>
        <v>multiplier</v>
      </c>
      <c r="I44" s="52"/>
      <c r="J44" s="81"/>
      <c r="K44" s="1359">
        <f>IF(K34=1,UDV.anaer_lagoon.VSLR_solids_multiplier,1)</f>
        <v>1</v>
      </c>
      <c r="L44" s="1474"/>
      <c r="M44" s="52"/>
      <c r="N44" s="81"/>
      <c r="O44" s="1359">
        <f>IF(O34=1,UDV.anaer_lagoon.VSLR_solids_multiplier,1)</f>
        <v>1</v>
      </c>
      <c r="P44" s="1474"/>
      <c r="Q44" s="52"/>
      <c r="R44" s="81"/>
      <c r="S44" s="1359">
        <f>IF(S34=1,UDV.anaer_lagoon.VSLR_solids_multiplier,1)</f>
        <v>1</v>
      </c>
      <c r="T44" s="1474"/>
      <c r="U44" s="52"/>
      <c r="V44" s="81"/>
      <c r="W44" s="1359">
        <f>IF(W34=1,UDV.anaer_lagoon.VSLR_solids_multiplier,1)</f>
        <v>1</v>
      </c>
      <c r="X44" s="1474"/>
      <c r="Y44" s="52"/>
      <c r="Z44" s="81"/>
      <c r="AA44" s="1359">
        <f>IF(AA34=1,UDV.anaer_lagoon.VSLR_solids_multiplier,1)</f>
        <v>1</v>
      </c>
      <c r="AB44" s="1474"/>
      <c r="AC44" s="52"/>
      <c r="AD44" s="81"/>
      <c r="AE44" s="1359">
        <f>IF(AE34=1,UDV.anaer_lagoon.VSLR_solids_multiplier,1)</f>
        <v>1</v>
      </c>
      <c r="AF44" s="49" t="s">
        <v>2426</v>
      </c>
      <c r="AG44" s="1474"/>
      <c r="AH44" s="52"/>
      <c r="AI44" s="81"/>
      <c r="AJ44" s="1359">
        <f>IF(AJ34=1,UDV.anaer_lagoon.VSLR_solids_multiplier,1)</f>
        <v>1</v>
      </c>
      <c r="AK44" s="1474"/>
      <c r="AL44" s="52"/>
      <c r="AM44" s="81"/>
      <c r="AN44" s="1359">
        <f>IF(AN34=1,UDV.anaer_lagoon.VSLR_solids_multiplier,1)</f>
        <v>1</v>
      </c>
      <c r="AO44" s="1474"/>
      <c r="AP44" s="52"/>
      <c r="AQ44" s="81"/>
      <c r="AR44" s="1359">
        <f>IF(AR34=1,UDV.anaer_lagoon.VSLR_solids_multiplier,1)</f>
        <v>1.5</v>
      </c>
      <c r="AS44" s="49" t="s">
        <v>2426</v>
      </c>
    </row>
    <row r="45" spans="2:45" x14ac:dyDescent="0.3">
      <c r="B45" s="49" t="s">
        <v>6257</v>
      </c>
      <c r="C45" s="18"/>
      <c r="D45" s="510"/>
      <c r="E45" s="510"/>
      <c r="F45" s="510"/>
      <c r="G45" s="1434">
        <f>G42*G43*G44</f>
        <v>60.06923766617254</v>
      </c>
      <c r="H45" s="1729" t="str">
        <f t="shared" si="0"/>
        <v>kg/1000 m3/day</v>
      </c>
      <c r="I45" s="510"/>
      <c r="J45" s="510"/>
      <c r="K45" s="1434">
        <f>K42*K43*K44</f>
        <v>60.06923766617254</v>
      </c>
      <c r="L45" s="1477"/>
      <c r="M45" s="510"/>
      <c r="N45" s="510"/>
      <c r="O45" s="1434">
        <f>O42*O43*O44</f>
        <v>60.06923766617254</v>
      </c>
      <c r="P45" s="1477"/>
      <c r="Q45" s="510"/>
      <c r="R45" s="510"/>
      <c r="S45" s="1434">
        <f>S42*S43*S44</f>
        <v>60.06923766617254</v>
      </c>
      <c r="T45" s="1477"/>
      <c r="U45" s="510"/>
      <c r="V45" s="510"/>
      <c r="W45" s="1434">
        <f>W42*W43*W44</f>
        <v>60.06923766617254</v>
      </c>
      <c r="X45" s="1477"/>
      <c r="Y45" s="510"/>
      <c r="Z45" s="510"/>
      <c r="AA45" s="1434">
        <f>AA42*AA43*AA44</f>
        <v>60.06923766617254</v>
      </c>
      <c r="AB45" s="1477"/>
      <c r="AC45" s="510"/>
      <c r="AD45" s="510"/>
      <c r="AE45" s="1434">
        <f>AE42*AE43*AE44</f>
        <v>60.06923766617254</v>
      </c>
      <c r="AF45" s="49" t="s">
        <v>6328</v>
      </c>
      <c r="AG45" s="1477"/>
      <c r="AH45" s="510"/>
      <c r="AI45" s="510"/>
      <c r="AJ45" s="1434">
        <f>AJ42*AJ43*AJ44</f>
        <v>60.06923766617254</v>
      </c>
      <c r="AK45" s="1477"/>
      <c r="AL45" s="510"/>
      <c r="AM45" s="510"/>
      <c r="AN45" s="1434">
        <f>AN42*AN43*AN44</f>
        <v>60.06923766617254</v>
      </c>
      <c r="AO45" s="1477"/>
      <c r="AP45" s="510"/>
      <c r="AQ45" s="510"/>
      <c r="AR45" s="1434">
        <f>AR42*AR43*AR44</f>
        <v>90.103856499258811</v>
      </c>
      <c r="AS45" s="49" t="s">
        <v>6328</v>
      </c>
    </row>
    <row r="46" spans="2:45" x14ac:dyDescent="0.3">
      <c r="B46" s="49" t="s">
        <v>6329</v>
      </c>
      <c r="C46" s="49"/>
      <c r="D46" s="52"/>
      <c r="E46" s="52"/>
      <c r="F46" s="510"/>
      <c r="G46" s="91">
        <f>G40/G41</f>
        <v>2</v>
      </c>
      <c r="H46" s="1729" t="str">
        <f t="shared" si="0"/>
        <v>treatments/HRT</v>
      </c>
      <c r="I46" s="52"/>
      <c r="J46" s="510"/>
      <c r="K46" s="91">
        <f>K40/K41</f>
        <v>2</v>
      </c>
      <c r="L46" s="1476"/>
      <c r="M46" s="52"/>
      <c r="N46" s="510"/>
      <c r="O46" s="91">
        <f>O40/O41</f>
        <v>2</v>
      </c>
      <c r="P46" s="1476"/>
      <c r="Q46" s="52"/>
      <c r="R46" s="510"/>
      <c r="S46" s="91">
        <f>S40/S41</f>
        <v>2</v>
      </c>
      <c r="T46" s="1476"/>
      <c r="U46" s="52"/>
      <c r="V46" s="510"/>
      <c r="W46" s="91">
        <f>W40/W41</f>
        <v>2</v>
      </c>
      <c r="X46" s="1476"/>
      <c r="Y46" s="52"/>
      <c r="Z46" s="510"/>
      <c r="AA46" s="91">
        <f>AA40/AA41</f>
        <v>2</v>
      </c>
      <c r="AB46" s="1476"/>
      <c r="AC46" s="52"/>
      <c r="AD46" s="510"/>
      <c r="AE46" s="91">
        <f>AE40/AE41</f>
        <v>2</v>
      </c>
      <c r="AF46" s="49" t="s">
        <v>6330</v>
      </c>
      <c r="AG46" s="1476"/>
      <c r="AH46" s="52"/>
      <c r="AI46" s="510"/>
      <c r="AJ46" s="91">
        <f>AJ40/AJ41</f>
        <v>2</v>
      </c>
      <c r="AK46" s="1476"/>
      <c r="AL46" s="52"/>
      <c r="AM46" s="510"/>
      <c r="AN46" s="91">
        <f>AN40/AN41</f>
        <v>2</v>
      </c>
      <c r="AO46" s="1476"/>
      <c r="AP46" s="52"/>
      <c r="AQ46" s="510"/>
      <c r="AR46" s="91">
        <f>AR40/AR41</f>
        <v>2</v>
      </c>
      <c r="AS46" s="49" t="s">
        <v>6330</v>
      </c>
    </row>
    <row r="47" spans="2:45" x14ac:dyDescent="0.3">
      <c r="B47" s="49" t="s">
        <v>6331</v>
      </c>
      <c r="C47" s="49"/>
      <c r="D47" s="52"/>
      <c r="E47" s="52"/>
      <c r="F47" s="48"/>
      <c r="G47" s="1435">
        <f>IF(AND(G35=0,G36=0),0,G29*G38)</f>
        <v>1.2398889743671402</v>
      </c>
      <c r="H47" s="1729" t="str">
        <f t="shared" si="0"/>
        <v>m3 sludge/day</v>
      </c>
      <c r="I47" s="52"/>
      <c r="J47" s="48"/>
      <c r="K47" s="1435">
        <f>IF(AND(K35=0,K36=0),0,K29*K38)</f>
        <v>1.2398889743671402</v>
      </c>
      <c r="L47" s="1478"/>
      <c r="M47" s="52"/>
      <c r="N47" s="48"/>
      <c r="O47" s="1435">
        <f>IF(AND(O35=0,O36=0),0,O29*O38)</f>
        <v>1.2398889743671402</v>
      </c>
      <c r="P47" s="1478"/>
      <c r="Q47" s="52"/>
      <c r="R47" s="48"/>
      <c r="S47" s="1435">
        <f>IF(AND(S35=0,S36=0),0,S29*S38)</f>
        <v>0.73802812413450214</v>
      </c>
      <c r="T47" s="1478"/>
      <c r="U47" s="52"/>
      <c r="V47" s="48"/>
      <c r="W47" s="1435">
        <f>IF(AND(W35=0,W36=0),0,W29*W38)</f>
        <v>0.73802812413450214</v>
      </c>
      <c r="X47" s="1478"/>
      <c r="Y47" s="52"/>
      <c r="Z47" s="48"/>
      <c r="AA47" s="1435">
        <f>IF(AND(AA35=0,AA36=0),0,AA29*AA38)</f>
        <v>0.73802812413450214</v>
      </c>
      <c r="AB47" s="1478"/>
      <c r="AC47" s="52"/>
      <c r="AD47" s="48"/>
      <c r="AE47" s="1435">
        <f>IF(AND(AE35=0,AE36=0),0,AE29*AE38)</f>
        <v>0.6376559540879746</v>
      </c>
      <c r="AF47" s="49" t="s">
        <v>6332</v>
      </c>
      <c r="AG47" s="1478"/>
      <c r="AH47" s="52"/>
      <c r="AI47" s="48"/>
      <c r="AJ47" s="1435">
        <f>IF(AND(AJ35=0,AJ36=0),0,AJ29*AJ38)</f>
        <v>0.6376559540879746</v>
      </c>
      <c r="AK47" s="1478"/>
      <c r="AL47" s="52"/>
      <c r="AM47" s="48"/>
      <c r="AN47" s="1435">
        <f>IF(AND(AN35=0,AN36=0),0,AN29*AN38)</f>
        <v>0.6376559540879746</v>
      </c>
      <c r="AO47" s="1478"/>
      <c r="AP47" s="52"/>
      <c r="AQ47" s="48"/>
      <c r="AR47" s="1435">
        <f>IF(AND(AR35=0,AR36=0),0,AR29*AR38)</f>
        <v>0.33625788984836852</v>
      </c>
      <c r="AS47" s="49" t="s">
        <v>6332</v>
      </c>
    </row>
    <row r="48" spans="2:45" x14ac:dyDescent="0.3">
      <c r="B48" s="49" t="s">
        <v>6333</v>
      </c>
      <c r="C48" s="49"/>
      <c r="D48" s="52"/>
      <c r="E48" s="52"/>
      <c r="F48" s="81"/>
      <c r="G48" s="648">
        <f>G41*G47</f>
        <v>226.27973782200309</v>
      </c>
      <c r="H48" s="1729" t="str">
        <f t="shared" si="0"/>
        <v>m3 sludge/treatment period</v>
      </c>
      <c r="I48" s="52"/>
      <c r="J48" s="81"/>
      <c r="K48" s="648">
        <f>K41*K47</f>
        <v>226.27973782200309</v>
      </c>
      <c r="L48" s="1471"/>
      <c r="M48" s="52"/>
      <c r="N48" s="81"/>
      <c r="O48" s="648">
        <f>O41*O47</f>
        <v>226.27973782200309</v>
      </c>
      <c r="P48" s="1471"/>
      <c r="Q48" s="52"/>
      <c r="R48" s="81"/>
      <c r="S48" s="648">
        <f>S41*S47</f>
        <v>134.69013265454663</v>
      </c>
      <c r="T48" s="1471"/>
      <c r="U48" s="52"/>
      <c r="V48" s="81"/>
      <c r="W48" s="648">
        <f>W41*W47</f>
        <v>134.69013265454663</v>
      </c>
      <c r="X48" s="1471"/>
      <c r="Y48" s="52"/>
      <c r="Z48" s="81"/>
      <c r="AA48" s="648">
        <f>AA41*AA47</f>
        <v>134.69013265454663</v>
      </c>
      <c r="AB48" s="1471"/>
      <c r="AC48" s="52"/>
      <c r="AD48" s="81"/>
      <c r="AE48" s="648">
        <f>AE41*AE47</f>
        <v>116.37221162105537</v>
      </c>
      <c r="AF48" s="49" t="s">
        <v>6334</v>
      </c>
      <c r="AG48" s="1471"/>
      <c r="AH48" s="52"/>
      <c r="AI48" s="81"/>
      <c r="AJ48" s="648">
        <f>AJ41*AJ47</f>
        <v>116.37221162105537</v>
      </c>
      <c r="AK48" s="1471"/>
      <c r="AL48" s="52"/>
      <c r="AM48" s="81"/>
      <c r="AN48" s="648">
        <f>AN41*AN47</f>
        <v>116.37221162105537</v>
      </c>
      <c r="AO48" s="1471"/>
      <c r="AP48" s="52"/>
      <c r="AQ48" s="81"/>
      <c r="AR48" s="648">
        <f>AR41*AR47</f>
        <v>61.367064897327253</v>
      </c>
      <c r="AS48" s="49" t="s">
        <v>6334</v>
      </c>
    </row>
    <row r="49" spans="1:45" x14ac:dyDescent="0.3">
      <c r="B49" s="49" t="s">
        <v>6335</v>
      </c>
      <c r="C49" s="49"/>
      <c r="D49" s="52"/>
      <c r="E49" s="52"/>
      <c r="F49" s="510"/>
      <c r="G49" s="1436">
        <f>G46*G48</f>
        <v>452.55947564400617</v>
      </c>
      <c r="H49" s="1729" t="str">
        <f t="shared" si="0"/>
        <v>m3/HRT</v>
      </c>
      <c r="I49" s="52"/>
      <c r="J49" s="510"/>
      <c r="K49" s="1436">
        <f>K46*K48</f>
        <v>452.55947564400617</v>
      </c>
      <c r="L49" s="1479"/>
      <c r="M49" s="52"/>
      <c r="N49" s="510"/>
      <c r="O49" s="1436">
        <f>O46*O48</f>
        <v>452.55947564400617</v>
      </c>
      <c r="P49" s="1479"/>
      <c r="Q49" s="52"/>
      <c r="R49" s="510"/>
      <c r="S49" s="1436">
        <f>S46*S48</f>
        <v>269.38026530909326</v>
      </c>
      <c r="T49" s="1479"/>
      <c r="U49" s="52"/>
      <c r="V49" s="510"/>
      <c r="W49" s="1436">
        <f>W46*W48</f>
        <v>269.38026530909326</v>
      </c>
      <c r="X49" s="1479"/>
      <c r="Y49" s="52"/>
      <c r="Z49" s="510"/>
      <c r="AA49" s="1436">
        <f>AA46*AA48</f>
        <v>269.38026530909326</v>
      </c>
      <c r="AB49" s="1479"/>
      <c r="AC49" s="52"/>
      <c r="AD49" s="510"/>
      <c r="AE49" s="1436">
        <f>AE46*AE48</f>
        <v>232.74442324211074</v>
      </c>
      <c r="AF49" s="49" t="s">
        <v>4731</v>
      </c>
      <c r="AG49" s="1479"/>
      <c r="AH49" s="52"/>
      <c r="AI49" s="510"/>
      <c r="AJ49" s="1436">
        <f>AJ46*AJ48</f>
        <v>232.74442324211074</v>
      </c>
      <c r="AK49" s="1479"/>
      <c r="AL49" s="52"/>
      <c r="AM49" s="510"/>
      <c r="AN49" s="1436">
        <f>AN46*AN48</f>
        <v>232.74442324211074</v>
      </c>
      <c r="AO49" s="1479"/>
      <c r="AP49" s="52"/>
      <c r="AQ49" s="510"/>
      <c r="AR49" s="1436">
        <f>AR46*AR48</f>
        <v>122.73412979465451</v>
      </c>
      <c r="AS49" s="49" t="s">
        <v>4731</v>
      </c>
    </row>
    <row r="50" spans="1:45" x14ac:dyDescent="0.3">
      <c r="B50" s="49" t="s">
        <v>6336</v>
      </c>
      <c r="C50" s="1437"/>
      <c r="D50" s="1438" t="s">
        <v>6337</v>
      </c>
      <c r="E50" s="52"/>
      <c r="F50" s="48"/>
      <c r="G50" s="1436">
        <f>G35*G39*G47*UC.year_to_day</f>
        <v>4525.5947564400622</v>
      </c>
      <c r="H50" s="1729" t="str">
        <f t="shared" si="0"/>
        <v>m3 sludge/sludge period</v>
      </c>
      <c r="I50" s="52"/>
      <c r="J50" s="48"/>
      <c r="K50" s="1436">
        <f>K35*K39*K47*UC.year_to_day</f>
        <v>4525.5947564400622</v>
      </c>
      <c r="L50" s="1479"/>
      <c r="M50" s="52"/>
      <c r="N50" s="48"/>
      <c r="O50" s="1436">
        <f>O35*O39*O47*UC.year_to_day</f>
        <v>4525.5947564400622</v>
      </c>
      <c r="P50" s="1479"/>
      <c r="Q50" s="52"/>
      <c r="R50" s="48"/>
      <c r="S50" s="1436">
        <f>S35*S39*S47*UC.year_to_day</f>
        <v>2693.8026530909328</v>
      </c>
      <c r="T50" s="1479"/>
      <c r="U50" s="52"/>
      <c r="V50" s="48"/>
      <c r="W50" s="1436">
        <f>W35*W39*W47*UC.year_to_day</f>
        <v>2693.8026530909328</v>
      </c>
      <c r="X50" s="1479"/>
      <c r="Y50" s="52"/>
      <c r="Z50" s="48"/>
      <c r="AA50" s="1436">
        <f>AA35*AA39*AA47*UC.year_to_day</f>
        <v>2693.8026530909328</v>
      </c>
      <c r="AB50" s="1479"/>
      <c r="AC50" s="52"/>
      <c r="AD50" s="48"/>
      <c r="AE50" s="1436">
        <f>AE35*AE39*AE47*UC.year_to_day</f>
        <v>2327.4442324211072</v>
      </c>
      <c r="AF50" s="63" t="s">
        <v>6338</v>
      </c>
      <c r="AG50" s="1479"/>
      <c r="AH50" s="52"/>
      <c r="AI50" s="48"/>
      <c r="AJ50" s="1436">
        <f>AJ35*AJ39*AJ47*UC.year_to_day</f>
        <v>2327.4442324211072</v>
      </c>
      <c r="AK50" s="1479"/>
      <c r="AL50" s="52"/>
      <c r="AM50" s="48"/>
      <c r="AN50" s="1436">
        <f>AN35*AN39*AN47*UC.year_to_day</f>
        <v>2327.4442324211072</v>
      </c>
      <c r="AO50" s="1479"/>
      <c r="AP50" s="52"/>
      <c r="AQ50" s="48"/>
      <c r="AR50" s="1436">
        <f>AR35*AR39*AR47*UC.year_to_day</f>
        <v>1227.3412979465452</v>
      </c>
      <c r="AS50" s="63" t="s">
        <v>6338</v>
      </c>
    </row>
    <row r="51" spans="1:45" x14ac:dyDescent="0.3">
      <c r="B51" s="49" t="s">
        <v>4787</v>
      </c>
      <c r="C51" s="18"/>
      <c r="D51" s="1438" t="s">
        <v>6337</v>
      </c>
      <c r="E51" s="510"/>
      <c r="F51" s="48"/>
      <c r="G51" s="1439">
        <f>G30*1000*G36/G45</f>
        <v>0</v>
      </c>
      <c r="H51" s="1729" t="str">
        <f t="shared" si="0"/>
        <v>m3</v>
      </c>
      <c r="I51" s="510"/>
      <c r="J51" s="48"/>
      <c r="K51" s="1439">
        <f>K30*1000*K36/K45</f>
        <v>0</v>
      </c>
      <c r="L51" s="1479"/>
      <c r="M51" s="510"/>
      <c r="N51" s="48"/>
      <c r="O51" s="1439">
        <f>O30*1000*O36/O45</f>
        <v>0</v>
      </c>
      <c r="P51" s="1479"/>
      <c r="Q51" s="510"/>
      <c r="R51" s="48"/>
      <c r="S51" s="1439">
        <f>S30*1000*S36/S45</f>
        <v>0</v>
      </c>
      <c r="T51" s="1479"/>
      <c r="U51" s="510"/>
      <c r="V51" s="48"/>
      <c r="W51" s="1439">
        <f>W30*1000*W36/W45</f>
        <v>0</v>
      </c>
      <c r="X51" s="1479"/>
      <c r="Y51" s="510"/>
      <c r="Z51" s="48"/>
      <c r="AA51" s="1439">
        <f>AA30*1000*AA36/AA45</f>
        <v>0</v>
      </c>
      <c r="AB51" s="1479"/>
      <c r="AC51" s="510"/>
      <c r="AD51" s="48"/>
      <c r="AE51" s="1439">
        <f>AE30*1000*AE36/AE45</f>
        <v>0</v>
      </c>
      <c r="AF51" s="49" t="s">
        <v>2478</v>
      </c>
      <c r="AG51" s="1479"/>
      <c r="AH51" s="510"/>
      <c r="AI51" s="48"/>
      <c r="AJ51" s="1439">
        <f>AJ30*1000*AJ36/AJ45</f>
        <v>0</v>
      </c>
      <c r="AK51" s="1479"/>
      <c r="AL51" s="510"/>
      <c r="AM51" s="48"/>
      <c r="AN51" s="1439">
        <f>AN30*1000*AN36/AN45</f>
        <v>0</v>
      </c>
      <c r="AO51" s="1479"/>
      <c r="AP51" s="510"/>
      <c r="AQ51" s="48"/>
      <c r="AR51" s="1439">
        <f>AR30*1000*AR36/AR45</f>
        <v>0</v>
      </c>
      <c r="AS51" s="49" t="s">
        <v>2478</v>
      </c>
    </row>
    <row r="52" spans="1:45" x14ac:dyDescent="0.3">
      <c r="B52" s="49" t="s">
        <v>6339</v>
      </c>
      <c r="C52" s="18"/>
      <c r="D52" s="1438" t="s">
        <v>6337</v>
      </c>
      <c r="E52" s="52"/>
      <c r="F52" s="510"/>
      <c r="G52" s="1439">
        <f>G27*G40</f>
        <v>1056.2130751340244</v>
      </c>
      <c r="H52" s="1729" t="str">
        <f t="shared" si="0"/>
        <v>m3/HRT</v>
      </c>
      <c r="I52" s="52"/>
      <c r="J52" s="510"/>
      <c r="K52" s="1439">
        <f>K27*K40</f>
        <v>1056.2130751340242</v>
      </c>
      <c r="L52" s="1479"/>
      <c r="M52" s="52"/>
      <c r="N52" s="510"/>
      <c r="O52" s="1439">
        <f>O27*O40</f>
        <v>1056.2130751340242</v>
      </c>
      <c r="P52" s="1479"/>
      <c r="Q52" s="52"/>
      <c r="R52" s="510"/>
      <c r="S52" s="1439">
        <f>S27*S40</f>
        <v>1056.2130751340244</v>
      </c>
      <c r="T52" s="1479"/>
      <c r="U52" s="52"/>
      <c r="V52" s="510"/>
      <c r="W52" s="1439">
        <f>W27*W40</f>
        <v>1056.2130751340244</v>
      </c>
      <c r="X52" s="1479"/>
      <c r="Y52" s="52"/>
      <c r="Z52" s="510"/>
      <c r="AA52" s="1439">
        <f>AA27*AA40</f>
        <v>1056.2130751340246</v>
      </c>
      <c r="AB52" s="1479"/>
      <c r="AC52" s="52"/>
      <c r="AD52" s="510"/>
      <c r="AE52" s="1439">
        <f>AE27*AE40</f>
        <v>1056.2130751340244</v>
      </c>
      <c r="AF52" s="49" t="s">
        <v>4731</v>
      </c>
      <c r="AG52" s="1479"/>
      <c r="AH52" s="52"/>
      <c r="AI52" s="510"/>
      <c r="AJ52" s="1439">
        <f>AJ27*AJ40</f>
        <v>1056.2130751340244</v>
      </c>
      <c r="AK52" s="1479"/>
      <c r="AL52" s="52"/>
      <c r="AM52" s="510"/>
      <c r="AN52" s="1439">
        <f>AN27*AN40</f>
        <v>1056.2130751340246</v>
      </c>
      <c r="AO52" s="1479"/>
      <c r="AP52" s="52"/>
      <c r="AQ52" s="510"/>
      <c r="AR52" s="1439">
        <f>AR27*AR40</f>
        <v>771.50786084830997</v>
      </c>
      <c r="AS52" s="49" t="s">
        <v>4731</v>
      </c>
    </row>
    <row r="53" spans="1:45" x14ac:dyDescent="0.3">
      <c r="B53" s="63" t="s">
        <v>6340</v>
      </c>
      <c r="C53" s="49"/>
      <c r="D53" s="1438" t="s">
        <v>6337</v>
      </c>
      <c r="E53" s="52"/>
      <c r="F53" s="18"/>
      <c r="G53" s="648">
        <f>G28*G40</f>
        <v>3341.6104963111993</v>
      </c>
      <c r="H53" s="1729" t="str">
        <f t="shared" si="0"/>
        <v>m3/HRT</v>
      </c>
      <c r="I53" s="52"/>
      <c r="J53" s="18"/>
      <c r="K53" s="648">
        <f>K28*K40</f>
        <v>3341.6104963111993</v>
      </c>
      <c r="L53" s="1471"/>
      <c r="M53" s="52"/>
      <c r="N53" s="18"/>
      <c r="O53" s="648">
        <f>O28*O40</f>
        <v>3341.6104963111993</v>
      </c>
      <c r="P53" s="1471"/>
      <c r="Q53" s="52"/>
      <c r="R53" s="18"/>
      <c r="S53" s="648">
        <f>S28*S40</f>
        <v>1989.0510982562032</v>
      </c>
      <c r="T53" s="1471"/>
      <c r="U53" s="52"/>
      <c r="V53" s="18"/>
      <c r="W53" s="648">
        <f>W28*W40</f>
        <v>1989.0510982562032</v>
      </c>
      <c r="X53" s="1471"/>
      <c r="Y53" s="52"/>
      <c r="Z53" s="18"/>
      <c r="AA53" s="648">
        <f>AA28*AA40</f>
        <v>1989.0510982562032</v>
      </c>
      <c r="AB53" s="1471"/>
      <c r="AC53" s="52"/>
      <c r="AD53" s="18"/>
      <c r="AE53" s="648">
        <f>AE28*AE40</f>
        <v>1718.5392186452036</v>
      </c>
      <c r="AF53" s="49" t="s">
        <v>4731</v>
      </c>
      <c r="AG53" s="1471"/>
      <c r="AH53" s="52"/>
      <c r="AI53" s="18"/>
      <c r="AJ53" s="648">
        <f>AJ28*AJ40</f>
        <v>1718.5392186452036</v>
      </c>
      <c r="AK53" s="1471"/>
      <c r="AL53" s="52"/>
      <c r="AM53" s="18"/>
      <c r="AN53" s="648">
        <f>AN28*AN40</f>
        <v>1718.5392186452036</v>
      </c>
      <c r="AO53" s="1471"/>
      <c r="AP53" s="52"/>
      <c r="AQ53" s="18"/>
      <c r="AR53" s="648">
        <f>AR28*AR40</f>
        <v>2673.2883970489597</v>
      </c>
      <c r="AS53" s="49" t="s">
        <v>4731</v>
      </c>
    </row>
    <row r="54" spans="1:45" x14ac:dyDescent="0.3">
      <c r="B54" s="63" t="s">
        <v>4790</v>
      </c>
      <c r="C54" s="49"/>
      <c r="D54" s="1438" t="s">
        <v>6337</v>
      </c>
      <c r="E54" s="52"/>
      <c r="F54" s="49"/>
      <c r="G54" s="1425">
        <f>G29*G40/G37</f>
        <v>100.24831488933599</v>
      </c>
      <c r="H54" s="1729" t="str">
        <f t="shared" si="0"/>
        <v>m3 TS/HRT</v>
      </c>
      <c r="I54" s="52"/>
      <c r="J54" s="49"/>
      <c r="K54" s="1425">
        <f>K29*K40/K37</f>
        <v>100.24831488933599</v>
      </c>
      <c r="L54" s="1466"/>
      <c r="M54" s="52"/>
      <c r="N54" s="49"/>
      <c r="O54" s="1425">
        <f>O29*O40/O37</f>
        <v>100.24831488933599</v>
      </c>
      <c r="P54" s="1466"/>
      <c r="Q54" s="52"/>
      <c r="R54" s="49"/>
      <c r="S54" s="1425">
        <f>S29*S40/S37</f>
        <v>59.671532947686089</v>
      </c>
      <c r="T54" s="1466"/>
      <c r="U54" s="52"/>
      <c r="V54" s="49"/>
      <c r="W54" s="1425">
        <f>W29*W40/W37</f>
        <v>59.671532947686089</v>
      </c>
      <c r="X54" s="1466"/>
      <c r="Y54" s="52"/>
      <c r="Z54" s="49"/>
      <c r="AA54" s="1425">
        <f>AA29*AA40/AA37</f>
        <v>59.671532947686089</v>
      </c>
      <c r="AB54" s="1466"/>
      <c r="AC54" s="52"/>
      <c r="AD54" s="49"/>
      <c r="AE54" s="1425">
        <f>AE29*AE40/AE37</f>
        <v>51.556176559356111</v>
      </c>
      <c r="AF54" s="18" t="s">
        <v>4791</v>
      </c>
      <c r="AG54" s="1466"/>
      <c r="AH54" s="52"/>
      <c r="AI54" s="49"/>
      <c r="AJ54" s="1425">
        <f>AJ29*AJ40/AJ37</f>
        <v>51.556176559356111</v>
      </c>
      <c r="AK54" s="1466"/>
      <c r="AL54" s="52"/>
      <c r="AM54" s="49"/>
      <c r="AN54" s="1425">
        <f>AN29*AN40/AN37</f>
        <v>51.556176559356111</v>
      </c>
      <c r="AO54" s="1466"/>
      <c r="AP54" s="52"/>
      <c r="AQ54" s="49"/>
      <c r="AR54" s="1425">
        <f>AR29*AR40/AR37</f>
        <v>80.198651911468787</v>
      </c>
      <c r="AS54" s="18" t="s">
        <v>4791</v>
      </c>
    </row>
    <row r="55" spans="1:45" x14ac:dyDescent="0.3">
      <c r="B55" s="49" t="s">
        <v>4792</v>
      </c>
      <c r="C55" s="29"/>
      <c r="D55" s="1438" t="s">
        <v>6337</v>
      </c>
      <c r="E55" s="510"/>
      <c r="F55" s="816"/>
      <c r="G55" s="1440">
        <f>G51+G52+G50</f>
        <v>5581.8078315740868</v>
      </c>
      <c r="H55" s="1729" t="str">
        <f t="shared" si="0"/>
        <v>m3</v>
      </c>
      <c r="I55" s="510"/>
      <c r="J55" s="816"/>
      <c r="K55" s="1440">
        <f>K51+K52+K50</f>
        <v>5581.8078315740859</v>
      </c>
      <c r="L55" s="1480"/>
      <c r="M55" s="510"/>
      <c r="N55" s="816"/>
      <c r="O55" s="1440">
        <f>O51+O52+O50</f>
        <v>5581.8078315740859</v>
      </c>
      <c r="P55" s="1480"/>
      <c r="Q55" s="510"/>
      <c r="R55" s="816"/>
      <c r="S55" s="1440">
        <f>S51+S52+S50</f>
        <v>3750.0157282249575</v>
      </c>
      <c r="T55" s="1480"/>
      <c r="U55" s="510"/>
      <c r="V55" s="816"/>
      <c r="W55" s="1440">
        <f>W51+W52+W50</f>
        <v>3750.0157282249575</v>
      </c>
      <c r="X55" s="1480"/>
      <c r="Y55" s="510"/>
      <c r="Z55" s="816"/>
      <c r="AA55" s="1440">
        <f>AA51+AA52+AA50</f>
        <v>3750.0157282249575</v>
      </c>
      <c r="AB55" s="1480"/>
      <c r="AC55" s="510"/>
      <c r="AD55" s="816"/>
      <c r="AE55" s="1440">
        <f>AE51+AE52+AE50</f>
        <v>3383.6573075551314</v>
      </c>
      <c r="AF55" s="18" t="s">
        <v>2478</v>
      </c>
      <c r="AG55" s="1480"/>
      <c r="AH55" s="510"/>
      <c r="AI55" s="816"/>
      <c r="AJ55" s="1440">
        <f>AJ51+AJ52+AJ50</f>
        <v>3383.6573075551314</v>
      </c>
      <c r="AK55" s="1480"/>
      <c r="AL55" s="510"/>
      <c r="AM55" s="816"/>
      <c r="AN55" s="1440">
        <f>AN51+AN52+AN50</f>
        <v>3383.6573075551319</v>
      </c>
      <c r="AO55" s="1480"/>
      <c r="AP55" s="510"/>
      <c r="AQ55" s="816"/>
      <c r="AR55" s="1440">
        <f>AR51+AR52+AR50</f>
        <v>1998.8491587948552</v>
      </c>
      <c r="AS55" s="18" t="s">
        <v>2478</v>
      </c>
    </row>
    <row r="56" spans="1:45" x14ac:dyDescent="0.3">
      <c r="A56" t="s">
        <v>6341</v>
      </c>
      <c r="B56" s="1387" t="s">
        <v>6342</v>
      </c>
      <c r="C56" s="1441"/>
      <c r="D56" s="1442"/>
      <c r="E56" s="1442"/>
      <c r="F56" s="1406" t="s">
        <v>602</v>
      </c>
      <c r="G56" s="1422">
        <f>G2</f>
        <v>3</v>
      </c>
      <c r="H56" s="1410"/>
      <c r="I56" s="1408"/>
      <c r="J56" s="1406"/>
      <c r="K56" s="1422">
        <f>K2</f>
        <v>4</v>
      </c>
      <c r="L56" s="1422"/>
      <c r="M56" s="1408"/>
      <c r="N56" s="1406"/>
      <c r="O56" s="1422">
        <f>O2</f>
        <v>5</v>
      </c>
      <c r="P56" s="1422"/>
      <c r="Q56" s="1408"/>
      <c r="R56" s="1406"/>
      <c r="S56" s="1422">
        <f>S2</f>
        <v>6</v>
      </c>
      <c r="T56" s="1422"/>
      <c r="U56" s="1408"/>
      <c r="V56" s="1406"/>
      <c r="W56" s="1422">
        <f>W2</f>
        <v>7</v>
      </c>
      <c r="X56" s="1422"/>
      <c r="Y56" s="1408"/>
      <c r="Z56" s="1406"/>
      <c r="AA56" s="1422">
        <f>AA2</f>
        <v>8</v>
      </c>
      <c r="AB56" s="1422"/>
      <c r="AC56" s="1408"/>
      <c r="AD56" s="1406"/>
      <c r="AE56" s="1422">
        <f>AE2</f>
        <v>9</v>
      </c>
      <c r="AF56" s="1411"/>
      <c r="AG56" s="1422"/>
      <c r="AH56" s="1408"/>
      <c r="AI56" s="1406"/>
      <c r="AJ56" s="1422">
        <f>AJ2</f>
        <v>10</v>
      </c>
      <c r="AK56" s="1422"/>
      <c r="AL56" s="1408"/>
      <c r="AM56" s="1406"/>
      <c r="AN56" s="1422">
        <f>AN2</f>
        <v>11</v>
      </c>
      <c r="AO56" s="1422"/>
      <c r="AP56" s="1408"/>
      <c r="AQ56" s="1406"/>
      <c r="AR56" s="1422">
        <f>AR2</f>
        <v>14</v>
      </c>
      <c r="AS56" s="1411"/>
    </row>
    <row r="57" spans="1:45" x14ac:dyDescent="0.3">
      <c r="B57" s="666" t="s">
        <v>6343</v>
      </c>
      <c r="C57" s="18"/>
      <c r="D57" s="510"/>
      <c r="E57" s="1465"/>
      <c r="F57" s="1465"/>
      <c r="G57" s="1377">
        <f>Lagoon_Design!O16</f>
        <v>3368.7334385768968</v>
      </c>
      <c r="H57" s="1729" t="str">
        <f t="shared" si="0"/>
        <v>m2</v>
      </c>
      <c r="I57" s="1465"/>
      <c r="J57" s="1465"/>
      <c r="K57" s="1377">
        <f>Lagoon_Design!P16</f>
        <v>3368.7334385768968</v>
      </c>
      <c r="L57" s="1480"/>
      <c r="M57" s="1465"/>
      <c r="N57" s="1465"/>
      <c r="O57" s="1377">
        <f>Lagoon_Design!Q16</f>
        <v>3348.7402420606995</v>
      </c>
      <c r="P57" s="1480"/>
      <c r="Q57" s="1465"/>
      <c r="R57" s="1465"/>
      <c r="S57" s="1377">
        <f>Lagoon_Design!R16</f>
        <v>2664.5817743943217</v>
      </c>
      <c r="T57" s="1480"/>
      <c r="U57" s="1465"/>
      <c r="V57" s="1465"/>
      <c r="W57" s="1377">
        <f>Lagoon_Design!S16</f>
        <v>2664.5817743943217</v>
      </c>
      <c r="X57" s="1480"/>
      <c r="Y57" s="1465"/>
      <c r="Z57" s="1465"/>
      <c r="AA57" s="1377">
        <f>Lagoon_Design!T16</f>
        <v>2664.5817743943217</v>
      </c>
      <c r="AB57" s="1480"/>
      <c r="AC57" s="1465"/>
      <c r="AD57" s="1465"/>
      <c r="AE57" s="1377">
        <f>Lagoon_Design!U16</f>
        <v>2520.2986018694792</v>
      </c>
      <c r="AF57" s="18" t="s">
        <v>2268</v>
      </c>
      <c r="AG57" s="1480"/>
      <c r="AH57" s="1465"/>
      <c r="AI57" s="1465"/>
      <c r="AJ57" s="1377">
        <f>Lagoon_Design!V16</f>
        <v>2520.2986018694792</v>
      </c>
      <c r="AK57" s="1480"/>
      <c r="AL57" s="1465"/>
      <c r="AM57" s="1465"/>
      <c r="AN57" s="1377">
        <f>Lagoon_Design!W16</f>
        <v>2520.2986018694792</v>
      </c>
      <c r="AO57" s="1480"/>
      <c r="AP57" s="1465"/>
      <c r="AQ57" s="1465"/>
      <c r="AR57" s="1377">
        <f>Lagoon_Design!X16</f>
        <v>1937.2131954110769</v>
      </c>
      <c r="AS57" s="18" t="s">
        <v>2268</v>
      </c>
    </row>
    <row r="58" spans="1:45" x14ac:dyDescent="0.3">
      <c r="B58" s="61" t="s">
        <v>6344</v>
      </c>
      <c r="C58" s="29"/>
      <c r="D58" s="1443"/>
      <c r="E58" s="1444"/>
      <c r="F58" s="1444"/>
      <c r="G58" s="1377">
        <f>Lagoon_Design!O17</f>
        <v>7731.3161327004527</v>
      </c>
      <c r="H58" s="1729" t="str">
        <f t="shared" si="0"/>
        <v>m3/HRT</v>
      </c>
      <c r="I58" s="1465"/>
      <c r="J58" s="1465"/>
      <c r="K58" s="1377">
        <f>Lagoon_Design!P17</f>
        <v>7731.3161327004527</v>
      </c>
      <c r="L58" s="1480"/>
      <c r="M58" s="1465"/>
      <c r="N58" s="1465"/>
      <c r="O58" s="1377">
        <f>Lagoon_Design!Q17</f>
        <v>7667.3081434083915</v>
      </c>
      <c r="P58" s="1480"/>
      <c r="Q58" s="1465"/>
      <c r="R58" s="1465"/>
      <c r="S58" s="1377">
        <f>Lagoon_Design!R17</f>
        <v>5536.05004954981</v>
      </c>
      <c r="T58" s="1480"/>
      <c r="U58" s="1465"/>
      <c r="V58" s="1465"/>
      <c r="W58" s="1377">
        <f>Lagoon_Design!S17</f>
        <v>5536.05004954981</v>
      </c>
      <c r="X58" s="1480"/>
      <c r="Y58" s="1465"/>
      <c r="Z58" s="1465"/>
      <c r="AA58" s="1377">
        <f>Lagoon_Design!T17</f>
        <v>5536.05004954981</v>
      </c>
      <c r="AB58" s="1480"/>
      <c r="AC58" s="1465"/>
      <c r="AD58" s="1465"/>
      <c r="AE58" s="1377">
        <f>Lagoon_Design!U17</f>
        <v>5103.5144459118055</v>
      </c>
      <c r="AF58" s="29" t="s">
        <v>4731</v>
      </c>
      <c r="AG58" s="1480"/>
      <c r="AH58" s="1465"/>
      <c r="AI58" s="1465"/>
      <c r="AJ58" s="1377">
        <f>Lagoon_Design!V17</f>
        <v>5103.5144459118055</v>
      </c>
      <c r="AK58" s="1480"/>
      <c r="AL58" s="1465"/>
      <c r="AM58" s="1465"/>
      <c r="AN58" s="1377">
        <f>Lagoon_Design!W17</f>
        <v>5103.5144459118055</v>
      </c>
      <c r="AO58" s="1480"/>
      <c r="AP58" s="1465"/>
      <c r="AQ58" s="1465"/>
      <c r="AR58" s="1377">
        <f>Lagoon_Design!X17</f>
        <v>3434.4068159132703</v>
      </c>
      <c r="AS58" s="29" t="s">
        <v>4731</v>
      </c>
    </row>
    <row r="59" spans="1:45" x14ac:dyDescent="0.3">
      <c r="B59" s="49" t="s">
        <v>6345</v>
      </c>
      <c r="C59" s="49"/>
      <c r="D59" s="52"/>
      <c r="E59" s="52"/>
      <c r="F59" s="52"/>
      <c r="G59" s="1377">
        <f>Lagoon_Design!O18</f>
        <v>2402.2740940229114</v>
      </c>
      <c r="H59" s="1729" t="str">
        <f t="shared" si="0"/>
        <v>m3/HRT</v>
      </c>
      <c r="I59" s="52"/>
      <c r="J59" s="52"/>
      <c r="K59" s="1377">
        <f>Lagoon_Design!P18</f>
        <v>2402.2740940229114</v>
      </c>
      <c r="L59" s="1480"/>
      <c r="M59" s="52"/>
      <c r="N59" s="52"/>
      <c r="O59" s="1377">
        <f>Lagoon_Design!Q18</f>
        <v>2386.6634861558505</v>
      </c>
      <c r="P59" s="1480"/>
      <c r="Q59" s="52"/>
      <c r="R59" s="52"/>
      <c r="S59" s="1377">
        <f>Lagoon_Design!R18</f>
        <v>2372.2847784715968</v>
      </c>
      <c r="T59" s="1480"/>
      <c r="U59" s="52"/>
      <c r="V59" s="52"/>
      <c r="W59" s="1377">
        <f>Lagoon_Design!S18</f>
        <v>2372.2847784715968</v>
      </c>
      <c r="X59" s="1480"/>
      <c r="Y59" s="52"/>
      <c r="Z59" s="52"/>
      <c r="AA59" s="1377">
        <f>Lagoon_Design!T18</f>
        <v>2372.2847784715968</v>
      </c>
      <c r="AB59" s="1480"/>
      <c r="AC59" s="52"/>
      <c r="AD59" s="52"/>
      <c r="AE59" s="1377">
        <f>Lagoon_Design!U18</f>
        <v>2363.5909519440456</v>
      </c>
      <c r="AF59" s="18" t="s">
        <v>4731</v>
      </c>
      <c r="AG59" s="1480"/>
      <c r="AH59" s="52"/>
      <c r="AI59" s="52"/>
      <c r="AJ59" s="1377">
        <f>Lagoon_Design!V18</f>
        <v>2363.5909519440456</v>
      </c>
      <c r="AK59" s="1480"/>
      <c r="AL59" s="52"/>
      <c r="AM59" s="52"/>
      <c r="AN59" s="1377">
        <f>Lagoon_Design!W18</f>
        <v>2363.5909519440461</v>
      </c>
      <c r="AO59" s="1480"/>
      <c r="AP59" s="52"/>
      <c r="AQ59" s="52"/>
      <c r="AR59" s="1377">
        <f>Lagoon_Design!X18</f>
        <v>3649.8246221634427</v>
      </c>
      <c r="AS59" s="18" t="s">
        <v>4731</v>
      </c>
    </row>
    <row r="60" spans="1:45" x14ac:dyDescent="0.3">
      <c r="B60" s="61" t="s">
        <v>4804</v>
      </c>
      <c r="C60" s="49"/>
      <c r="D60" s="52"/>
      <c r="E60" s="1352"/>
      <c r="F60" s="298"/>
      <c r="G60" s="1377">
        <f>Lagoon_Design!O19</f>
        <v>56.51613864993692</v>
      </c>
      <c r="H60" s="1729" t="str">
        <f t="shared" si="0"/>
        <v>m3/HRT</v>
      </c>
      <c r="I60" s="1352"/>
      <c r="J60" s="298"/>
      <c r="K60" s="1377">
        <f>Lagoon_Design!P19</f>
        <v>56.51613864993692</v>
      </c>
      <c r="L60" s="1480"/>
      <c r="M60" s="1352"/>
      <c r="N60" s="298"/>
      <c r="O60" s="1377">
        <f>Lagoon_Design!Q19</f>
        <v>100.73851037621102</v>
      </c>
      <c r="P60" s="1480"/>
      <c r="Q60" s="1352"/>
      <c r="R60" s="298"/>
      <c r="S60" s="1377">
        <f>Lagoon_Design!R19</f>
        <v>213.74304541124559</v>
      </c>
      <c r="T60" s="1480"/>
      <c r="U60" s="1352"/>
      <c r="V60" s="298"/>
      <c r="W60" s="1377">
        <f>Lagoon_Design!S19</f>
        <v>213.74304541124559</v>
      </c>
      <c r="X60" s="1480"/>
      <c r="Y60" s="1352"/>
      <c r="Z60" s="298"/>
      <c r="AA60" s="1377">
        <f>Lagoon_Design!T19</f>
        <v>213.74304541124559</v>
      </c>
      <c r="AB60" s="1480"/>
      <c r="AC60" s="1352"/>
      <c r="AD60" s="298"/>
      <c r="AE60" s="1377">
        <f>Lagoon_Design!U19</f>
        <v>235.26854303252424</v>
      </c>
      <c r="AF60" s="18" t="s">
        <v>4731</v>
      </c>
      <c r="AG60" s="1480"/>
      <c r="AH60" s="1352"/>
      <c r="AI60" s="298"/>
      <c r="AJ60" s="1377">
        <f>Lagoon_Design!V19</f>
        <v>235.26854303252424</v>
      </c>
      <c r="AK60" s="1480"/>
      <c r="AL60" s="1352"/>
      <c r="AM60" s="298"/>
      <c r="AN60" s="1377">
        <f>Lagoon_Design!W19</f>
        <v>235.26854303252424</v>
      </c>
      <c r="AO60" s="1480"/>
      <c r="AP60" s="1352"/>
      <c r="AQ60" s="298"/>
      <c r="AR60" s="1377">
        <f>Lagoon_Design!X19</f>
        <v>1943.9657637925852</v>
      </c>
      <c r="AS60" s="18" t="s">
        <v>4731</v>
      </c>
    </row>
    <row r="61" spans="1:45" x14ac:dyDescent="0.3">
      <c r="B61" s="49" t="s">
        <v>6346</v>
      </c>
      <c r="C61" s="49"/>
      <c r="D61" s="52"/>
      <c r="E61" s="52"/>
      <c r="F61" s="1181" t="s">
        <v>6347</v>
      </c>
      <c r="G61" s="1379">
        <f>G39*G47*UC.year_to_day</f>
        <v>4525.5947564400622</v>
      </c>
      <c r="H61" s="1729" t="str">
        <f t="shared" si="0"/>
        <v>m3/sludge period</v>
      </c>
      <c r="I61" s="52"/>
      <c r="J61" s="48"/>
      <c r="K61" s="1379">
        <f>K39*K47*UC.year_to_day</f>
        <v>4525.5947564400622</v>
      </c>
      <c r="L61" s="1480"/>
      <c r="M61" s="52"/>
      <c r="N61" s="48"/>
      <c r="O61" s="1379">
        <f>O39*O47*UC.year_to_day</f>
        <v>4525.5947564400622</v>
      </c>
      <c r="P61" s="1480"/>
      <c r="Q61" s="52"/>
      <c r="R61" s="48"/>
      <c r="S61" s="1379">
        <f>S39*S47*UC.year_to_day</f>
        <v>2693.8026530909328</v>
      </c>
      <c r="T61" s="1480"/>
      <c r="U61" s="52"/>
      <c r="V61" s="48"/>
      <c r="W61" s="1379">
        <f>W39*W47*UC.year_to_day</f>
        <v>2693.8026530909328</v>
      </c>
      <c r="X61" s="1480"/>
      <c r="Y61" s="52"/>
      <c r="Z61" s="48"/>
      <c r="AA61" s="1379">
        <f>AA39*AA47*UC.year_to_day</f>
        <v>2693.8026530909328</v>
      </c>
      <c r="AB61" s="1480"/>
      <c r="AC61" s="52"/>
      <c r="AD61" s="48"/>
      <c r="AE61" s="1379">
        <f>AE39*AE47*UC.year_to_day</f>
        <v>2327.4442324211072</v>
      </c>
      <c r="AF61" s="18" t="s">
        <v>4786</v>
      </c>
      <c r="AG61" s="1480"/>
      <c r="AH61" s="52"/>
      <c r="AI61" s="48"/>
      <c r="AJ61" s="1379">
        <f>AJ39*AJ47*UC.year_to_day</f>
        <v>2327.4442324211072</v>
      </c>
      <c r="AK61" s="1480"/>
      <c r="AL61" s="52"/>
      <c r="AM61" s="48"/>
      <c r="AN61" s="1379">
        <f>AN39*AN47*UC.year_to_day</f>
        <v>2327.4442324211072</v>
      </c>
      <c r="AO61" s="1480"/>
      <c r="AP61" s="52"/>
      <c r="AQ61" s="48"/>
      <c r="AR61" s="1379">
        <f>AR39*AR47*UC.year_to_day</f>
        <v>1227.3412979465452</v>
      </c>
      <c r="AS61" s="18" t="s">
        <v>4786</v>
      </c>
    </row>
    <row r="62" spans="1:45" x14ac:dyDescent="0.3">
      <c r="A62" t="s">
        <v>2621</v>
      </c>
      <c r="B62" s="1356" t="s">
        <v>6348</v>
      </c>
      <c r="C62" s="1406" t="s">
        <v>602</v>
      </c>
      <c r="D62" s="1422" t="s">
        <v>6349</v>
      </c>
      <c r="E62" s="1446" t="s">
        <v>6350</v>
      </c>
      <c r="F62" s="1447" t="s">
        <v>6351</v>
      </c>
      <c r="G62" s="1447" t="s">
        <v>263</v>
      </c>
      <c r="H62" s="1410"/>
      <c r="I62" s="2191" t="s">
        <v>6350</v>
      </c>
      <c r="J62" s="2192" t="s">
        <v>6351</v>
      </c>
      <c r="K62" s="2192" t="s">
        <v>263</v>
      </c>
      <c r="L62" s="2192"/>
      <c r="M62" s="2191" t="s">
        <v>6350</v>
      </c>
      <c r="N62" s="2192" t="s">
        <v>6351</v>
      </c>
      <c r="O62" s="2192" t="s">
        <v>263</v>
      </c>
      <c r="P62" s="2192"/>
      <c r="Q62" s="2191" t="s">
        <v>6350</v>
      </c>
      <c r="R62" s="2192" t="s">
        <v>6351</v>
      </c>
      <c r="S62" s="2192" t="s">
        <v>263</v>
      </c>
      <c r="T62" s="2192"/>
      <c r="U62" s="2191" t="s">
        <v>6350</v>
      </c>
      <c r="V62" s="2192" t="s">
        <v>6351</v>
      </c>
      <c r="W62" s="2192" t="s">
        <v>263</v>
      </c>
      <c r="X62" s="2192"/>
      <c r="Y62" s="2191" t="s">
        <v>6350</v>
      </c>
      <c r="Z62" s="2192" t="s">
        <v>6351</v>
      </c>
      <c r="AA62" s="2192" t="s">
        <v>263</v>
      </c>
      <c r="AB62" s="2192"/>
      <c r="AC62" s="2191" t="s">
        <v>6350</v>
      </c>
      <c r="AD62" s="2192" t="s">
        <v>6351</v>
      </c>
      <c r="AE62" s="2192" t="s">
        <v>263</v>
      </c>
      <c r="AF62" s="2189"/>
      <c r="AG62" s="2192"/>
      <c r="AH62" s="2191" t="s">
        <v>6350</v>
      </c>
      <c r="AI62" s="2192" t="s">
        <v>6351</v>
      </c>
      <c r="AJ62" s="2192" t="s">
        <v>263</v>
      </c>
      <c r="AK62" s="2192"/>
      <c r="AL62" s="2191" t="s">
        <v>6350</v>
      </c>
      <c r="AM62" s="2192" t="s">
        <v>6351</v>
      </c>
      <c r="AN62" s="2192" t="s">
        <v>263</v>
      </c>
      <c r="AO62" s="2192"/>
      <c r="AP62" s="2191" t="s">
        <v>6350</v>
      </c>
      <c r="AQ62" s="2192" t="s">
        <v>6351</v>
      </c>
      <c r="AR62" s="2192" t="s">
        <v>263</v>
      </c>
      <c r="AS62" s="2189"/>
    </row>
    <row r="63" spans="1:45" x14ac:dyDescent="0.3">
      <c r="B63" s="49" t="s">
        <v>6352</v>
      </c>
      <c r="C63" s="49"/>
      <c r="D63" s="52"/>
      <c r="E63" s="1378">
        <f>UDV.anaer_lagoon.irrigation_events</f>
        <v>365</v>
      </c>
      <c r="F63" s="1378">
        <f>UDV.anaer_lagoon.liquid_events</f>
        <v>2</v>
      </c>
      <c r="G63" s="1346">
        <f>UDV.anaer_lagoon.sludge_events</f>
        <v>0.1</v>
      </c>
      <c r="H63" s="1729" t="str">
        <f t="shared" si="0"/>
        <v>treatments/year</v>
      </c>
      <c r="I63" s="1378">
        <f>UDV.anaer_lagoon.irrigation_events</f>
        <v>365</v>
      </c>
      <c r="J63" s="1378">
        <f>UDV.anaer_lagoon.liquid_events</f>
        <v>2</v>
      </c>
      <c r="K63" s="1346">
        <f>UDV.anaer_lagoon.sludge_events</f>
        <v>0.1</v>
      </c>
      <c r="L63" s="1467"/>
      <c r="M63" s="1378">
        <f>UDV.anaer_lagoon.irrigation_events</f>
        <v>365</v>
      </c>
      <c r="N63" s="1378">
        <f>UDV.anaer_lagoon.liquid_events</f>
        <v>2</v>
      </c>
      <c r="O63" s="1346">
        <f>UDV.anaer_lagoon.sludge_events</f>
        <v>0.1</v>
      </c>
      <c r="P63" s="1467"/>
      <c r="Q63" s="1378">
        <f>UDV.anaer_lagoon.irrigation_events</f>
        <v>365</v>
      </c>
      <c r="R63" s="1378">
        <f>UDV.anaer_lagoon.liquid_events</f>
        <v>2</v>
      </c>
      <c r="S63" s="1346">
        <f>UDV.anaer_lagoon.sludge_events</f>
        <v>0.1</v>
      </c>
      <c r="T63" s="1467"/>
      <c r="U63" s="1378">
        <f>UDV.anaer_lagoon.irrigation_events</f>
        <v>365</v>
      </c>
      <c r="V63" s="1378">
        <f>UDV.anaer_lagoon.liquid_events</f>
        <v>2</v>
      </c>
      <c r="W63" s="1346">
        <f>UDV.anaer_lagoon.sludge_events</f>
        <v>0.1</v>
      </c>
      <c r="X63" s="1467"/>
      <c r="Y63" s="1378">
        <f>UDV.anaer_lagoon.irrigation_events</f>
        <v>365</v>
      </c>
      <c r="Z63" s="1378">
        <f>UDV.anaer_lagoon.liquid_events</f>
        <v>2</v>
      </c>
      <c r="AA63" s="1346">
        <f>UDV.anaer_lagoon.sludge_events</f>
        <v>0.1</v>
      </c>
      <c r="AB63" s="1467"/>
      <c r="AC63" s="1378">
        <f>UDV.anaer_lagoon.irrigation_events</f>
        <v>365</v>
      </c>
      <c r="AD63" s="1378">
        <f>UDV.anaer_lagoon.liquid_events</f>
        <v>2</v>
      </c>
      <c r="AE63" s="1346">
        <f>UDV.anaer_lagoon.sludge_events</f>
        <v>0.1</v>
      </c>
      <c r="AF63" s="18" t="s">
        <v>6353</v>
      </c>
      <c r="AG63" s="1467"/>
      <c r="AH63" s="1378">
        <f>UDV.anaer_lagoon.irrigation_events</f>
        <v>365</v>
      </c>
      <c r="AI63" s="1378">
        <f>UDV.anaer_lagoon.liquid_events</f>
        <v>2</v>
      </c>
      <c r="AJ63" s="1346">
        <f>UDV.anaer_lagoon.sludge_events</f>
        <v>0.1</v>
      </c>
      <c r="AK63" s="1467"/>
      <c r="AL63" s="1378">
        <f>UDV.anaer_lagoon.irrigation_events</f>
        <v>365</v>
      </c>
      <c r="AM63" s="1378">
        <f>UDV.anaer_lagoon.liquid_events</f>
        <v>2</v>
      </c>
      <c r="AN63" s="1346">
        <f>UDV.anaer_lagoon.sludge_events</f>
        <v>0.1</v>
      </c>
      <c r="AO63" s="1467"/>
      <c r="AP63" s="1378">
        <f>UDV.anaer_lagoon.irrigation_events</f>
        <v>365</v>
      </c>
      <c r="AQ63" s="1378">
        <f>UDV.anaer_lagoon.liquid_events</f>
        <v>2</v>
      </c>
      <c r="AR63" s="1346">
        <f>UDV.anaer_lagoon.sludge_events</f>
        <v>0.1</v>
      </c>
      <c r="AS63" s="18" t="s">
        <v>6353</v>
      </c>
    </row>
    <row r="64" spans="1:45" x14ac:dyDescent="0.3">
      <c r="B64" s="49" t="s">
        <v>6354</v>
      </c>
      <c r="C64" s="510"/>
      <c r="D64" s="510"/>
      <c r="E64" s="510"/>
      <c r="F64" s="1378">
        <f>UDV.anaer_lagoon.N_retained</f>
        <v>0.5</v>
      </c>
      <c r="G64" s="1378">
        <f>UDV.anaer_lagoon.N_retained</f>
        <v>0.5</v>
      </c>
      <c r="H64" s="1729" t="str">
        <f t="shared" si="0"/>
        <v>fraction</v>
      </c>
      <c r="I64" s="510"/>
      <c r="J64" s="1378">
        <f>UDV.anaer_lagoon.N_retained</f>
        <v>0.5</v>
      </c>
      <c r="K64" s="1378">
        <f>UDV.anaer_lagoon.N_retained</f>
        <v>0.5</v>
      </c>
      <c r="L64" s="1481"/>
      <c r="M64" s="510"/>
      <c r="N64" s="1378">
        <f>UDV.anaer_lagoon.N_retained</f>
        <v>0.5</v>
      </c>
      <c r="O64" s="1378">
        <f>UDV.anaer_lagoon.N_retained</f>
        <v>0.5</v>
      </c>
      <c r="P64" s="1481"/>
      <c r="Q64" s="510"/>
      <c r="R64" s="1378">
        <f>UDV.anaer_lagoon.N_retained</f>
        <v>0.5</v>
      </c>
      <c r="S64" s="1378">
        <f>UDV.anaer_lagoon.N_retained</f>
        <v>0.5</v>
      </c>
      <c r="T64" s="1481"/>
      <c r="U64" s="510"/>
      <c r="V64" s="1378">
        <f>UDV.anaer_lagoon.N_retained</f>
        <v>0.5</v>
      </c>
      <c r="W64" s="1378">
        <f>UDV.anaer_lagoon.N_retained</f>
        <v>0.5</v>
      </c>
      <c r="X64" s="1481"/>
      <c r="Y64" s="510"/>
      <c r="Z64" s="1378">
        <f>UDV.anaer_lagoon.N_retained</f>
        <v>0.5</v>
      </c>
      <c r="AA64" s="1378">
        <f>UDV.anaer_lagoon.N_retained</f>
        <v>0.5</v>
      </c>
      <c r="AB64" s="1481"/>
      <c r="AC64" s="510"/>
      <c r="AD64" s="1378">
        <f>UDV.anaer_lagoon.N_retained</f>
        <v>0.5</v>
      </c>
      <c r="AE64" s="1378">
        <f>UDV.anaer_lagoon.N_retained</f>
        <v>0.5</v>
      </c>
      <c r="AF64" s="510" t="s">
        <v>1694</v>
      </c>
      <c r="AG64" s="1481"/>
      <c r="AH64" s="510"/>
      <c r="AI64" s="1378">
        <f>UDV.anaer_lagoon.N_retained</f>
        <v>0.5</v>
      </c>
      <c r="AJ64" s="1378">
        <f>UDV.anaer_lagoon.N_retained</f>
        <v>0.5</v>
      </c>
      <c r="AK64" s="1481"/>
      <c r="AL64" s="510"/>
      <c r="AM64" s="1378">
        <f>UDV.anaer_lagoon.N_retained</f>
        <v>0.5</v>
      </c>
      <c r="AN64" s="1378">
        <f>UDV.anaer_lagoon.N_retained</f>
        <v>0.5</v>
      </c>
      <c r="AO64" s="1481"/>
      <c r="AP64" s="510"/>
      <c r="AQ64" s="1378">
        <f>UDV.anaer_lagoon.N_retained</f>
        <v>0.5</v>
      </c>
      <c r="AR64" s="1378">
        <f>UDV.anaer_lagoon.N_retained</f>
        <v>0.5</v>
      </c>
      <c r="AS64" s="510" t="s">
        <v>1694</v>
      </c>
    </row>
    <row r="65" spans="1:45" x14ac:dyDescent="0.3">
      <c r="B65" s="49" t="s">
        <v>6355</v>
      </c>
      <c r="C65" s="510"/>
      <c r="D65" s="510"/>
      <c r="E65" s="510"/>
      <c r="F65" s="1414">
        <f>IF(G61=0,1,UDV.anaer_lagoon.effluent_N)</f>
        <v>0.8</v>
      </c>
      <c r="G65" s="1380">
        <f>1-F65</f>
        <v>0.19999999999999996</v>
      </c>
      <c r="H65" s="1729" t="str">
        <f t="shared" si="0"/>
        <v>fraction</v>
      </c>
      <c r="I65" s="510"/>
      <c r="J65" s="1414">
        <f>IF(K61=0,1,UDV.anaer_lagoon.effluent_N)</f>
        <v>0.8</v>
      </c>
      <c r="K65" s="1380">
        <f>1-J65</f>
        <v>0.19999999999999996</v>
      </c>
      <c r="L65" s="1482"/>
      <c r="M65" s="510"/>
      <c r="N65" s="1414">
        <f>IF(O61=0,1,UDV.anaer_lagoon.effluent_N)</f>
        <v>0.8</v>
      </c>
      <c r="O65" s="1380">
        <f>1-N65</f>
        <v>0.19999999999999996</v>
      </c>
      <c r="P65" s="1482"/>
      <c r="Q65" s="510"/>
      <c r="R65" s="1414">
        <f>IF(S61=0,1,UDV.anaer_lagoon.effluent_N)</f>
        <v>0.8</v>
      </c>
      <c r="S65" s="1380">
        <f>1-R65</f>
        <v>0.19999999999999996</v>
      </c>
      <c r="T65" s="1482"/>
      <c r="U65" s="510"/>
      <c r="V65" s="1414">
        <f>IF(W61=0,1,UDV.anaer_lagoon.effluent_N)</f>
        <v>0.8</v>
      </c>
      <c r="W65" s="1380">
        <f>1-V65</f>
        <v>0.19999999999999996</v>
      </c>
      <c r="X65" s="1482"/>
      <c r="Y65" s="510"/>
      <c r="Z65" s="1414">
        <f>IF(AA61=0,1,UDV.anaer_lagoon.effluent_N)</f>
        <v>0.8</v>
      </c>
      <c r="AA65" s="1380">
        <f>1-Z65</f>
        <v>0.19999999999999996</v>
      </c>
      <c r="AB65" s="1482"/>
      <c r="AC65" s="510"/>
      <c r="AD65" s="1414">
        <f>IF(AE61=0,1,UDV.anaer_lagoon.effluent_N)</f>
        <v>0.8</v>
      </c>
      <c r="AE65" s="1380">
        <f>1-AD65</f>
        <v>0.19999999999999996</v>
      </c>
      <c r="AF65" s="510" t="s">
        <v>1694</v>
      </c>
      <c r="AG65" s="1482"/>
      <c r="AH65" s="510"/>
      <c r="AI65" s="1414">
        <f>IF(AJ61=0,1,UDV.anaer_lagoon.effluent_N)</f>
        <v>0.8</v>
      </c>
      <c r="AJ65" s="1380">
        <f>1-AI65</f>
        <v>0.19999999999999996</v>
      </c>
      <c r="AK65" s="1482"/>
      <c r="AL65" s="510"/>
      <c r="AM65" s="1414">
        <f>IF(AN61=0,1,UDV.anaer_lagoon.effluent_N)</f>
        <v>0.8</v>
      </c>
      <c r="AN65" s="1380">
        <f>1-AM65</f>
        <v>0.19999999999999996</v>
      </c>
      <c r="AO65" s="1482"/>
      <c r="AP65" s="510"/>
      <c r="AQ65" s="1414">
        <f>IF(AR61=0,1,UDV.anaer_lagoon.effluent_N)</f>
        <v>0.8</v>
      </c>
      <c r="AR65" s="1380">
        <f>1-AQ65</f>
        <v>0.19999999999999996</v>
      </c>
      <c r="AS65" s="510" t="s">
        <v>1694</v>
      </c>
    </row>
    <row r="66" spans="1:45" x14ac:dyDescent="0.3">
      <c r="B66" s="49" t="s">
        <v>6356</v>
      </c>
      <c r="C66" s="1352"/>
      <c r="D66" s="1352"/>
      <c r="E66" s="510"/>
      <c r="F66" s="1414">
        <f>IF(G61=0,1,UDV.anaer_lagoon.effluent_P)</f>
        <v>0.55000000000000004</v>
      </c>
      <c r="G66" s="1380">
        <f t="shared" ref="G66:G67" si="11">1-F66</f>
        <v>0.44999999999999996</v>
      </c>
      <c r="H66" s="1729" t="str">
        <f t="shared" si="0"/>
        <v>fraction</v>
      </c>
      <c r="I66" s="510"/>
      <c r="J66" s="1414">
        <f>IF(K61=0,1,UDV.anaer_lagoon.effluent_P)</f>
        <v>0.55000000000000004</v>
      </c>
      <c r="K66" s="1380">
        <f t="shared" ref="K66:K67" si="12">1-J66</f>
        <v>0.44999999999999996</v>
      </c>
      <c r="L66" s="1482"/>
      <c r="M66" s="510"/>
      <c r="N66" s="1414">
        <f>IF(O61=0,1,UDV.anaer_lagoon.effluent_P)</f>
        <v>0.55000000000000004</v>
      </c>
      <c r="O66" s="1380">
        <f t="shared" ref="O66:O67" si="13">1-N66</f>
        <v>0.44999999999999996</v>
      </c>
      <c r="P66" s="1482"/>
      <c r="Q66" s="510"/>
      <c r="R66" s="1414">
        <f>IF(S61=0,1,UDV.anaer_lagoon.effluent_P)</f>
        <v>0.55000000000000004</v>
      </c>
      <c r="S66" s="1380">
        <f t="shared" ref="S66:S67" si="14">1-R66</f>
        <v>0.44999999999999996</v>
      </c>
      <c r="T66" s="1482"/>
      <c r="U66" s="510"/>
      <c r="V66" s="1414">
        <f>IF(W61=0,1,UDV.anaer_lagoon.effluent_P)</f>
        <v>0.55000000000000004</v>
      </c>
      <c r="W66" s="1380">
        <f t="shared" ref="W66:W67" si="15">1-V66</f>
        <v>0.44999999999999996</v>
      </c>
      <c r="X66" s="1482"/>
      <c r="Y66" s="510"/>
      <c r="Z66" s="1414">
        <f>IF(AA61=0,1,UDV.anaer_lagoon.effluent_P)</f>
        <v>0.55000000000000004</v>
      </c>
      <c r="AA66" s="1380">
        <f t="shared" ref="AA66:AA67" si="16">1-Z66</f>
        <v>0.44999999999999996</v>
      </c>
      <c r="AB66" s="1482"/>
      <c r="AC66" s="510"/>
      <c r="AD66" s="1414">
        <f>IF(AE61=0,1,UDV.anaer_lagoon.effluent_P)</f>
        <v>0.55000000000000004</v>
      </c>
      <c r="AE66" s="1380">
        <f t="shared" ref="AE66:AE67" si="17">1-AD66</f>
        <v>0.44999999999999996</v>
      </c>
      <c r="AF66" s="510" t="s">
        <v>1694</v>
      </c>
      <c r="AG66" s="1482"/>
      <c r="AH66" s="510"/>
      <c r="AI66" s="1414">
        <f>IF(AJ61=0,1,UDV.anaer_lagoon.effluent_P)</f>
        <v>0.55000000000000004</v>
      </c>
      <c r="AJ66" s="1380">
        <f t="shared" ref="AJ66:AJ67" si="18">1-AI66</f>
        <v>0.44999999999999996</v>
      </c>
      <c r="AK66" s="1482"/>
      <c r="AL66" s="510"/>
      <c r="AM66" s="1414">
        <f>IF(AN61=0,1,UDV.anaer_lagoon.effluent_P)</f>
        <v>0.55000000000000004</v>
      </c>
      <c r="AN66" s="1380">
        <f t="shared" ref="AN66:AN67" si="19">1-AM66</f>
        <v>0.44999999999999996</v>
      </c>
      <c r="AO66" s="1482"/>
      <c r="AP66" s="510"/>
      <c r="AQ66" s="1414">
        <f>IF(AR61=0,1,UDV.anaer_lagoon.effluent_P)</f>
        <v>0.55000000000000004</v>
      </c>
      <c r="AR66" s="1380">
        <f t="shared" ref="AR66:AR67" si="20">1-AQ66</f>
        <v>0.44999999999999996</v>
      </c>
      <c r="AS66" s="510" t="s">
        <v>1694</v>
      </c>
    </row>
    <row r="67" spans="1:45" x14ac:dyDescent="0.3">
      <c r="B67" s="49" t="s">
        <v>6357</v>
      </c>
      <c r="C67" s="1352"/>
      <c r="D67" s="1352"/>
      <c r="E67" s="510"/>
      <c r="F67" s="1414">
        <f>IF(G61=0,1,UDV.anaer_lagoon.effluent_K)</f>
        <v>0.65</v>
      </c>
      <c r="G67" s="1380">
        <f t="shared" si="11"/>
        <v>0.35</v>
      </c>
      <c r="H67" s="1729" t="str">
        <f t="shared" si="0"/>
        <v>fraction</v>
      </c>
      <c r="I67" s="510"/>
      <c r="J67" s="1414">
        <f>IF(K61=0,1,UDV.anaer_lagoon.effluent_K)</f>
        <v>0.65</v>
      </c>
      <c r="K67" s="1380">
        <f t="shared" si="12"/>
        <v>0.35</v>
      </c>
      <c r="L67" s="1482"/>
      <c r="M67" s="510"/>
      <c r="N67" s="1414">
        <f>IF(O61=0,1,UDV.anaer_lagoon.effluent_K)</f>
        <v>0.65</v>
      </c>
      <c r="O67" s="1380">
        <f t="shared" si="13"/>
        <v>0.35</v>
      </c>
      <c r="P67" s="1482"/>
      <c r="Q67" s="510"/>
      <c r="R67" s="1414">
        <f>IF(S61=0,1,UDV.anaer_lagoon.effluent_K)</f>
        <v>0.65</v>
      </c>
      <c r="S67" s="1380">
        <f t="shared" si="14"/>
        <v>0.35</v>
      </c>
      <c r="T67" s="1482"/>
      <c r="U67" s="510"/>
      <c r="V67" s="1414">
        <f>IF(W61=0,1,UDV.anaer_lagoon.effluent_K)</f>
        <v>0.65</v>
      </c>
      <c r="W67" s="1380">
        <f t="shared" si="15"/>
        <v>0.35</v>
      </c>
      <c r="X67" s="1482"/>
      <c r="Y67" s="510"/>
      <c r="Z67" s="1414">
        <f>IF(AA61=0,1,UDV.anaer_lagoon.effluent_K)</f>
        <v>0.65</v>
      </c>
      <c r="AA67" s="1380">
        <f t="shared" si="16"/>
        <v>0.35</v>
      </c>
      <c r="AB67" s="1482"/>
      <c r="AC67" s="510"/>
      <c r="AD67" s="1414">
        <f>IF(AE61=0,1,UDV.anaer_lagoon.effluent_K)</f>
        <v>0.65</v>
      </c>
      <c r="AE67" s="1380">
        <f t="shared" si="17"/>
        <v>0.35</v>
      </c>
      <c r="AF67" s="510" t="s">
        <v>1694</v>
      </c>
      <c r="AG67" s="1482"/>
      <c r="AH67" s="510"/>
      <c r="AI67" s="1414">
        <f>IF(AJ61=0,1,UDV.anaer_lagoon.effluent_K)</f>
        <v>0.65</v>
      </c>
      <c r="AJ67" s="1380">
        <f t="shared" si="18"/>
        <v>0.35</v>
      </c>
      <c r="AK67" s="1482"/>
      <c r="AL67" s="510"/>
      <c r="AM67" s="1414">
        <f>IF(AN61=0,1,UDV.anaer_lagoon.effluent_K)</f>
        <v>0.65</v>
      </c>
      <c r="AN67" s="1380">
        <f t="shared" si="19"/>
        <v>0.35</v>
      </c>
      <c r="AO67" s="1482"/>
      <c r="AP67" s="510"/>
      <c r="AQ67" s="1414">
        <f>IF(AR61=0,1,UDV.anaer_lagoon.effluent_K)</f>
        <v>0.65</v>
      </c>
      <c r="AR67" s="1380">
        <f t="shared" si="20"/>
        <v>0.35</v>
      </c>
      <c r="AS67" s="510" t="s">
        <v>1694</v>
      </c>
    </row>
    <row r="68" spans="1:45" x14ac:dyDescent="0.3">
      <c r="B68" s="49" t="s">
        <v>6358</v>
      </c>
      <c r="C68" s="1528"/>
      <c r="D68" s="1528"/>
      <c r="E68" s="510"/>
      <c r="F68" s="1379">
        <f>G31*G41*F64*F65</f>
        <v>1327.414908479172</v>
      </c>
      <c r="G68" s="1379">
        <f>G31*G39*G64*G65*UC.year_to_day</f>
        <v>6637.0745423958588</v>
      </c>
      <c r="H68" s="1729" t="str">
        <f t="shared" ref="H68:H131" si="21">AS68</f>
        <v>kg/period</v>
      </c>
      <c r="I68" s="510"/>
      <c r="J68" s="1379">
        <f>K31*K41*J64*J65</f>
        <v>1517.2181934791724</v>
      </c>
      <c r="K68" s="1379">
        <f>K31*K39*K64*K65*UC.year_to_day</f>
        <v>7586.0909673958604</v>
      </c>
      <c r="L68" s="1480"/>
      <c r="M68" s="510"/>
      <c r="N68" s="1379">
        <f>O31*O41*N64*N65</f>
        <v>1422.3165509791725</v>
      </c>
      <c r="O68" s="1379">
        <f>O31*O39*O64*O65*UC.year_to_day</f>
        <v>7111.5827548958587</v>
      </c>
      <c r="P68" s="1480"/>
      <c r="Q68" s="510"/>
      <c r="R68" s="1379">
        <f>S31*S41*R64*R65</f>
        <v>1227.6053228558069</v>
      </c>
      <c r="S68" s="1379">
        <f>S31*S39*S64*S65*UC.year_to_day</f>
        <v>6138.0266142790324</v>
      </c>
      <c r="T68" s="1480"/>
      <c r="U68" s="510"/>
      <c r="V68" s="1379">
        <f>W31*W41*V64*V65</f>
        <v>1403.1371188851824</v>
      </c>
      <c r="W68" s="1379">
        <f>W31*W39*W64*W65*UC.year_to_day</f>
        <v>7015.6855944259105</v>
      </c>
      <c r="X68" s="1480"/>
      <c r="Y68" s="510"/>
      <c r="Z68" s="1379">
        <f>AA31*AA41*Z64*Z65</f>
        <v>1315.3712208704947</v>
      </c>
      <c r="AA68" s="1379">
        <f>AA31*AA39*AA64*AA65*UC.year_to_day</f>
        <v>6576.8561043524705</v>
      </c>
      <c r="AB68" s="1480"/>
      <c r="AC68" s="510"/>
      <c r="AD68" s="1379">
        <f>AE31*AE41*AD64*AD65</f>
        <v>1192.5611885693611</v>
      </c>
      <c r="AE68" s="1379">
        <f>AE31*AE39*AE64*AE65*UC.year_to_day</f>
        <v>5962.8059428468041</v>
      </c>
      <c r="AF68" s="510" t="s">
        <v>6359</v>
      </c>
      <c r="AG68" s="1480"/>
      <c r="AH68" s="510"/>
      <c r="AI68" s="1379">
        <f>AJ31*AJ41*AI64*AI65</f>
        <v>1363.0821234391542</v>
      </c>
      <c r="AJ68" s="1379">
        <f>AJ31*AJ39*AJ64*AJ65*UC.year_to_day</f>
        <v>6815.4106171957701</v>
      </c>
      <c r="AK68" s="1480"/>
      <c r="AL68" s="510"/>
      <c r="AM68" s="1379">
        <f>AN31*AN41*AM64*AM65</f>
        <v>1277.8216560042579</v>
      </c>
      <c r="AN68" s="1379">
        <f>AN31*AN39*AN64*AN65*UC.year_to_day</f>
        <v>6389.1082800212871</v>
      </c>
      <c r="AO68" s="1480"/>
      <c r="AP68" s="510"/>
      <c r="AQ68" s="1379">
        <f>AR31*AR41*AQ64*AQ65</f>
        <v>1213.7745547833379</v>
      </c>
      <c r="AR68" s="1379">
        <f>AR31*AR39*AR64*AR65*UC.year_to_day</f>
        <v>6068.872773916687</v>
      </c>
      <c r="AS68" s="510" t="s">
        <v>6359</v>
      </c>
    </row>
    <row r="69" spans="1:45" x14ac:dyDescent="0.3">
      <c r="B69" s="49" t="s">
        <v>6360</v>
      </c>
      <c r="C69" s="1528"/>
      <c r="D69" s="1528"/>
      <c r="E69" s="510"/>
      <c r="F69" s="1379">
        <f>G32*G41*F66</f>
        <v>913.42755625000007</v>
      </c>
      <c r="G69" s="1384">
        <f>G32*G39*G66*UC.year_to_day</f>
        <v>14946.996374999997</v>
      </c>
      <c r="H69" s="1729" t="str">
        <f t="shared" si="21"/>
        <v>kg/period</v>
      </c>
      <c r="I69" s="510"/>
      <c r="J69" s="1379">
        <f>K32*K41*J66</f>
        <v>913.42755625000007</v>
      </c>
      <c r="K69" s="1384">
        <f>K32*K39*K66*UC.year_to_day</f>
        <v>14946.996374999997</v>
      </c>
      <c r="L69" s="1481"/>
      <c r="M69" s="510"/>
      <c r="N69" s="1379">
        <f>O32*O41*N66</f>
        <v>913.42755625000007</v>
      </c>
      <c r="O69" s="1384">
        <f>O32*O39*O66*UC.year_to_day</f>
        <v>14946.996374999997</v>
      </c>
      <c r="P69" s="1481"/>
      <c r="Q69" s="510"/>
      <c r="R69" s="1379">
        <f>S32*S41*R66</f>
        <v>913.42755625000007</v>
      </c>
      <c r="S69" s="1384">
        <f>S32*S39*S66*UC.year_to_day</f>
        <v>14946.996374999997</v>
      </c>
      <c r="T69" s="1481"/>
      <c r="U69" s="510"/>
      <c r="V69" s="1379">
        <f>W32*W41*V66</f>
        <v>913.42755625000007</v>
      </c>
      <c r="W69" s="1384">
        <f>W32*W39*W66*UC.year_to_day</f>
        <v>14946.996374999997</v>
      </c>
      <c r="X69" s="1481"/>
      <c r="Y69" s="510"/>
      <c r="Z69" s="1379">
        <f>AA32*AA41*Z66</f>
        <v>913.42755625000007</v>
      </c>
      <c r="AA69" s="1384">
        <f>AA32*AA39*AA66*UC.year_to_day</f>
        <v>14946.996374999997</v>
      </c>
      <c r="AB69" s="1481"/>
      <c r="AC69" s="510"/>
      <c r="AD69" s="1379">
        <f>AE32*AE41*AD66</f>
        <v>913.42755625000007</v>
      </c>
      <c r="AE69" s="1384">
        <f>AE32*AE39*AE66*UC.year_to_day</f>
        <v>14946.996374999997</v>
      </c>
      <c r="AF69" s="510" t="s">
        <v>6359</v>
      </c>
      <c r="AG69" s="1481"/>
      <c r="AH69" s="510"/>
      <c r="AI69" s="1379">
        <f>AJ32*AJ41*AI66</f>
        <v>913.42755625000007</v>
      </c>
      <c r="AJ69" s="1384">
        <f>AJ32*AJ39*AJ66*UC.year_to_day</f>
        <v>14946.996374999997</v>
      </c>
      <c r="AK69" s="1481"/>
      <c r="AL69" s="510"/>
      <c r="AM69" s="1379">
        <f>AN32*AN41*AM66</f>
        <v>913.42755625000007</v>
      </c>
      <c r="AN69" s="1384">
        <f>AN32*AN39*AN66*UC.year_to_day</f>
        <v>14946.996374999997</v>
      </c>
      <c r="AO69" s="1481"/>
      <c r="AP69" s="510"/>
      <c r="AQ69" s="1379">
        <f>AR32*AR41*AQ66</f>
        <v>593.72791156250003</v>
      </c>
      <c r="AR69" s="1384">
        <f>AR32*AR39*AR66*UC.year_to_day</f>
        <v>9715.5476437499983</v>
      </c>
      <c r="AS69" s="510" t="s">
        <v>6359</v>
      </c>
    </row>
    <row r="70" spans="1:45" x14ac:dyDescent="0.3">
      <c r="B70" s="49" t="s">
        <v>6361</v>
      </c>
      <c r="C70" s="1528"/>
      <c r="D70" s="1528"/>
      <c r="E70" s="510"/>
      <c r="F70" s="1384">
        <f>G33*G41*F67</f>
        <v>1387.9421562499999</v>
      </c>
      <c r="G70" s="1384">
        <f>G33*G39*G67*UC.year_to_day</f>
        <v>14947.069374999995</v>
      </c>
      <c r="H70" s="1729" t="str">
        <f t="shared" si="21"/>
        <v>kg/period</v>
      </c>
      <c r="I70" s="510"/>
      <c r="J70" s="1384">
        <f>K33*K41*J67</f>
        <v>1387.9421562499999</v>
      </c>
      <c r="K70" s="1384">
        <f>K33*K39*K67*UC.year_to_day</f>
        <v>14947.069374999995</v>
      </c>
      <c r="L70" s="1481"/>
      <c r="M70" s="510"/>
      <c r="N70" s="1384">
        <f>O33*O41*N67</f>
        <v>1387.9421562499999</v>
      </c>
      <c r="O70" s="1384">
        <f>O33*O39*O67*UC.year_to_day</f>
        <v>14947.069374999995</v>
      </c>
      <c r="P70" s="1481"/>
      <c r="Q70" s="510"/>
      <c r="R70" s="1384">
        <f>S33*S41*R67</f>
        <v>1387.9421562499999</v>
      </c>
      <c r="S70" s="1384">
        <f>S33*S39*S67*UC.year_to_day</f>
        <v>14947.069374999995</v>
      </c>
      <c r="T70" s="1481"/>
      <c r="U70" s="510"/>
      <c r="V70" s="1384">
        <f>W33*W41*V67</f>
        <v>1387.9421562499999</v>
      </c>
      <c r="W70" s="1384">
        <f>W33*W39*W67*UC.year_to_day</f>
        <v>14947.069374999995</v>
      </c>
      <c r="X70" s="1481"/>
      <c r="Y70" s="510"/>
      <c r="Z70" s="1384">
        <f>AA33*AA41*Z67</f>
        <v>1387.9421562499999</v>
      </c>
      <c r="AA70" s="1384">
        <f>AA33*AA39*AA67*UC.year_to_day</f>
        <v>14947.069374999995</v>
      </c>
      <c r="AB70" s="1481"/>
      <c r="AC70" s="510"/>
      <c r="AD70" s="1384">
        <f>AE33*AE41*AD67</f>
        <v>1387.9421562499999</v>
      </c>
      <c r="AE70" s="1384">
        <f>AE33*AE39*AE67*UC.year_to_day</f>
        <v>14947.069374999995</v>
      </c>
      <c r="AF70" s="510" t="s">
        <v>6359</v>
      </c>
      <c r="AG70" s="1481"/>
      <c r="AH70" s="510"/>
      <c r="AI70" s="1384">
        <f>AJ33*AJ41*AI67</f>
        <v>1387.9421562499999</v>
      </c>
      <c r="AJ70" s="1384">
        <f>AJ33*AJ39*AJ67*UC.year_to_day</f>
        <v>14947.069374999995</v>
      </c>
      <c r="AK70" s="1481"/>
      <c r="AL70" s="510"/>
      <c r="AM70" s="1384">
        <f>AN33*AN41*AM67</f>
        <v>1387.9421562499999</v>
      </c>
      <c r="AN70" s="1384">
        <f>AN33*AN39*AN67*UC.year_to_day</f>
        <v>14947.069374999995</v>
      </c>
      <c r="AO70" s="1481"/>
      <c r="AP70" s="510"/>
      <c r="AQ70" s="1384">
        <f>AR33*AR41*AQ67</f>
        <v>971.55950937500006</v>
      </c>
      <c r="AR70" s="1384">
        <f>AR33*AR39*AR67*UC.year_to_day</f>
        <v>10462.948562499998</v>
      </c>
      <c r="AS70" s="510" t="s">
        <v>6359</v>
      </c>
    </row>
    <row r="71" spans="1:45" x14ac:dyDescent="0.3">
      <c r="B71" s="18" t="s">
        <v>6362</v>
      </c>
      <c r="C71" s="1352"/>
      <c r="D71" s="1352"/>
      <c r="E71" s="510"/>
      <c r="F71" s="1414">
        <f>UDV.manure.removal_factor</f>
        <v>1</v>
      </c>
      <c r="G71" s="1414">
        <f>UDV.manure.removal_factor</f>
        <v>1</v>
      </c>
      <c r="H71" s="1729" t="str">
        <f t="shared" si="21"/>
        <v>fraction</v>
      </c>
      <c r="I71" s="510"/>
      <c r="J71" s="1414">
        <f>UDV.manure.removal_factor</f>
        <v>1</v>
      </c>
      <c r="K71" s="1414">
        <f>UDV.manure.removal_factor</f>
        <v>1</v>
      </c>
      <c r="L71" s="1482"/>
      <c r="M71" s="510"/>
      <c r="N71" s="1414">
        <f>UDV.manure.removal_factor</f>
        <v>1</v>
      </c>
      <c r="O71" s="1414">
        <f>UDV.manure.removal_factor</f>
        <v>1</v>
      </c>
      <c r="P71" s="1482"/>
      <c r="Q71" s="510"/>
      <c r="R71" s="1414">
        <f>UDV.manure.removal_factor</f>
        <v>1</v>
      </c>
      <c r="S71" s="1414">
        <f>UDV.manure.removal_factor</f>
        <v>1</v>
      </c>
      <c r="T71" s="1482"/>
      <c r="U71" s="510"/>
      <c r="V71" s="1414">
        <f>UDV.manure.removal_factor</f>
        <v>1</v>
      </c>
      <c r="W71" s="1414">
        <f>UDV.manure.removal_factor</f>
        <v>1</v>
      </c>
      <c r="X71" s="1482"/>
      <c r="Y71" s="510"/>
      <c r="Z71" s="1414">
        <f>UDV.manure.removal_factor</f>
        <v>1</v>
      </c>
      <c r="AA71" s="1414">
        <f>UDV.manure.removal_factor</f>
        <v>1</v>
      </c>
      <c r="AB71" s="1482"/>
      <c r="AC71" s="510"/>
      <c r="AD71" s="1414">
        <f>UDV.manure.removal_factor</f>
        <v>1</v>
      </c>
      <c r="AE71" s="1414">
        <f>UDV.manure.removal_factor</f>
        <v>1</v>
      </c>
      <c r="AF71" s="1448" t="s">
        <v>1694</v>
      </c>
      <c r="AG71" s="1482"/>
      <c r="AH71" s="510"/>
      <c r="AI71" s="1414">
        <f>UDV.manure.removal_factor</f>
        <v>1</v>
      </c>
      <c r="AJ71" s="1414">
        <f>UDV.manure.removal_factor</f>
        <v>1</v>
      </c>
      <c r="AK71" s="1482"/>
      <c r="AL71" s="510"/>
      <c r="AM71" s="1414">
        <f>UDV.manure.removal_factor</f>
        <v>1</v>
      </c>
      <c r="AN71" s="1414">
        <f>UDV.manure.removal_factor</f>
        <v>1</v>
      </c>
      <c r="AO71" s="1482"/>
      <c r="AP71" s="510"/>
      <c r="AQ71" s="1414">
        <f>UDV.manure.removal_factor</f>
        <v>1</v>
      </c>
      <c r="AR71" s="1414">
        <f>UDV.manure.removal_factor</f>
        <v>1</v>
      </c>
      <c r="AS71" s="1448" t="s">
        <v>1694</v>
      </c>
    </row>
    <row r="72" spans="1:45" x14ac:dyDescent="0.3">
      <c r="B72" s="18" t="s">
        <v>6363</v>
      </c>
      <c r="C72" s="299"/>
      <c r="D72" s="299"/>
      <c r="E72" s="52"/>
      <c r="F72" s="1379">
        <f>G59*F71/G46</f>
        <v>1201.1370470114557</v>
      </c>
      <c r="G72" s="1379">
        <f>G61*G71</f>
        <v>4525.5947564400622</v>
      </c>
      <c r="H72" s="1729" t="str">
        <f t="shared" si="21"/>
        <v>m3/period</v>
      </c>
      <c r="I72" s="52"/>
      <c r="J72" s="1379">
        <f>K59*J71/K46</f>
        <v>1201.1370470114557</v>
      </c>
      <c r="K72" s="1379">
        <f>K61*K71</f>
        <v>4525.5947564400622</v>
      </c>
      <c r="L72" s="1480"/>
      <c r="M72" s="52"/>
      <c r="N72" s="1379">
        <f>O59*N71/O46</f>
        <v>1193.3317430779252</v>
      </c>
      <c r="O72" s="1379">
        <f>O61*O71</f>
        <v>4525.5947564400622</v>
      </c>
      <c r="P72" s="1480"/>
      <c r="Q72" s="52"/>
      <c r="R72" s="1379">
        <f>S59*R71/S46</f>
        <v>1186.1423892357984</v>
      </c>
      <c r="S72" s="1379">
        <f>S61*S71</f>
        <v>2693.8026530909328</v>
      </c>
      <c r="T72" s="1480"/>
      <c r="U72" s="52"/>
      <c r="V72" s="1379">
        <f>W59*V71/W46</f>
        <v>1186.1423892357984</v>
      </c>
      <c r="W72" s="1379">
        <f>W61*W71</f>
        <v>2693.8026530909328</v>
      </c>
      <c r="X72" s="1480"/>
      <c r="Y72" s="52"/>
      <c r="Z72" s="1379">
        <f>AA59*Z71/AA46</f>
        <v>1186.1423892357984</v>
      </c>
      <c r="AA72" s="1379">
        <f>AA61*AA71</f>
        <v>2693.8026530909328</v>
      </c>
      <c r="AB72" s="1480"/>
      <c r="AC72" s="52"/>
      <c r="AD72" s="1379">
        <f>AE59*AD71/AE46</f>
        <v>1181.7954759720228</v>
      </c>
      <c r="AE72" s="1379">
        <f>AE61*AE71</f>
        <v>2327.4442324211072</v>
      </c>
      <c r="AF72" s="510" t="s">
        <v>6364</v>
      </c>
      <c r="AG72" s="1480"/>
      <c r="AH72" s="52"/>
      <c r="AI72" s="1379">
        <f>AJ59*AI71/AJ46</f>
        <v>1181.7954759720228</v>
      </c>
      <c r="AJ72" s="1379">
        <f>AJ61*AJ71</f>
        <v>2327.4442324211072</v>
      </c>
      <c r="AK72" s="1480"/>
      <c r="AL72" s="52"/>
      <c r="AM72" s="1379">
        <f>AN59*AM71/AN46</f>
        <v>1181.795475972023</v>
      </c>
      <c r="AN72" s="1379">
        <f>AN61*AN71</f>
        <v>2327.4442324211072</v>
      </c>
      <c r="AO72" s="1480"/>
      <c r="AP72" s="52"/>
      <c r="AQ72" s="1379">
        <f>AR59*AQ71/AR46</f>
        <v>1824.9123110817213</v>
      </c>
      <c r="AR72" s="1379">
        <f>AR61*AR71</f>
        <v>1227.3412979465452</v>
      </c>
      <c r="AS72" s="510" t="s">
        <v>6364</v>
      </c>
    </row>
    <row r="73" spans="1:45" x14ac:dyDescent="0.3">
      <c r="B73" s="49" t="s">
        <v>6365</v>
      </c>
      <c r="C73" s="91"/>
      <c r="D73" s="52"/>
      <c r="E73" s="52"/>
      <c r="F73" s="1379">
        <f>F72/G41*UC.year_to_day*UC.m3_to_gal/1000</f>
        <v>634.61367688447342</v>
      </c>
      <c r="G73" s="1379">
        <f>G72*UC.m3_to_gal/1000</f>
        <v>1195.5356533292115</v>
      </c>
      <c r="H73" s="1729" t="str">
        <f t="shared" si="21"/>
        <v>1000 gal/yr and 1000 gal/sludge period</v>
      </c>
      <c r="I73" s="52"/>
      <c r="J73" s="1379">
        <f>J72/K41*UC.year_to_day*UC.m3_to_gal/1000</f>
        <v>634.61367688447342</v>
      </c>
      <c r="K73" s="1379">
        <f>K72*UC.m3_to_gal/1000</f>
        <v>1195.5356533292115</v>
      </c>
      <c r="L73" s="1480"/>
      <c r="M73" s="52"/>
      <c r="N73" s="1379">
        <f>N72/O41*UC.year_to_day*UC.m3_to_gal/1000</f>
        <v>630.48979057126462</v>
      </c>
      <c r="O73" s="1379">
        <f>O72*UC.m3_to_gal/1000</f>
        <v>1195.5356533292115</v>
      </c>
      <c r="P73" s="1480"/>
      <c r="Q73" s="52"/>
      <c r="R73" s="1379">
        <f>R72/S41*UC.year_to_day*UC.m3_to_gal/1000</f>
        <v>626.69133785720715</v>
      </c>
      <c r="S73" s="1379">
        <f>S72*UC.m3_to_gal/1000</f>
        <v>711.62737455007584</v>
      </c>
      <c r="T73" s="1480"/>
      <c r="U73" s="52"/>
      <c r="V73" s="1379">
        <f>V72/W41*UC.year_to_day*UC.m3_to_gal/1000</f>
        <v>626.69133785720715</v>
      </c>
      <c r="W73" s="1379">
        <f>W72*UC.m3_to_gal/1000</f>
        <v>711.62737455007584</v>
      </c>
      <c r="X73" s="1480"/>
      <c r="Y73" s="52"/>
      <c r="Z73" s="1379">
        <f>Z72/AA41*UC.year_to_day*UC.m3_to_gal/1000</f>
        <v>626.69133785720715</v>
      </c>
      <c r="AA73" s="1379">
        <f>AA72*UC.m3_to_gal/1000</f>
        <v>711.62737455007584</v>
      </c>
      <c r="AB73" s="1480"/>
      <c r="AC73" s="52"/>
      <c r="AD73" s="1379">
        <f>AD72/AE41*UC.year_to_day*UC.m3_to_gal/1000</f>
        <v>624.394671863692</v>
      </c>
      <c r="AE73" s="1379">
        <f>AE72*UC.m3_to_gal/1000</f>
        <v>614.84571879424891</v>
      </c>
      <c r="AF73" s="510" t="s">
        <v>6366</v>
      </c>
      <c r="AG73" s="1480"/>
      <c r="AH73" s="52"/>
      <c r="AI73" s="1379">
        <f>AI72/AJ41*UC.year_to_day*UC.m3_to_gal/1000</f>
        <v>624.394671863692</v>
      </c>
      <c r="AJ73" s="1379">
        <f>AJ72*UC.m3_to_gal/1000</f>
        <v>614.84571879424891</v>
      </c>
      <c r="AK73" s="1480"/>
      <c r="AL73" s="52"/>
      <c r="AM73" s="1379">
        <f>AM72/AN41*UC.year_to_day*UC.m3_to_gal/1000</f>
        <v>624.39467186369211</v>
      </c>
      <c r="AN73" s="1379">
        <f>AN72*UC.m3_to_gal/1000</f>
        <v>614.84571879424891</v>
      </c>
      <c r="AO73" s="1480"/>
      <c r="AP73" s="52"/>
      <c r="AQ73" s="1379">
        <f>AQ72/AR41*UC.year_to_day*UC.m3_to_gal/1000</f>
        <v>964.1816598770414</v>
      </c>
      <c r="AR73" s="1379">
        <f>AR72*UC.m3_to_gal/1000</f>
        <v>324.22926918288221</v>
      </c>
      <c r="AS73" s="510" t="s">
        <v>6366</v>
      </c>
    </row>
    <row r="74" spans="1:45" x14ac:dyDescent="0.3">
      <c r="B74" s="666" t="s">
        <v>6030</v>
      </c>
      <c r="C74" s="91"/>
      <c r="D74" s="52"/>
      <c r="E74" s="52"/>
      <c r="F74" s="1380">
        <f>F68/F72</f>
        <v>1.1051319345963957</v>
      </c>
      <c r="G74" s="1380">
        <f>IF(G72=0,0,G68/G72)</f>
        <v>1.4665640428699664</v>
      </c>
      <c r="H74" s="1729" t="str">
        <f t="shared" si="21"/>
        <v>g/L</v>
      </c>
      <c r="I74" s="52"/>
      <c r="J74" s="1380">
        <f>J68/J72</f>
        <v>1.2631516089310184</v>
      </c>
      <c r="K74" s="1380">
        <f>IF(K72=0,0,K68/K72)</f>
        <v>1.6762638671084318</v>
      </c>
      <c r="L74" s="1482"/>
      <c r="M74" s="52"/>
      <c r="N74" s="1380">
        <f>N68/N72</f>
        <v>1.1918869662434635</v>
      </c>
      <c r="O74" s="1380">
        <f>IF(O72=0,0,O68/O72)</f>
        <v>1.571413954989199</v>
      </c>
      <c r="P74" s="1482"/>
      <c r="Q74" s="52"/>
      <c r="R74" s="1380">
        <f>R68/R72</f>
        <v>1.034956118250459</v>
      </c>
      <c r="S74" s="1380">
        <f>IF(S72=0,0,S68/S72)</f>
        <v>2.2785732307584281</v>
      </c>
      <c r="T74" s="1482"/>
      <c r="U74" s="52"/>
      <c r="V74" s="1380">
        <f>V68/V72</f>
        <v>1.1829415520586768</v>
      </c>
      <c r="W74" s="1380">
        <f>IF(W72=0,0,W68/W72)</f>
        <v>2.6043799408898596</v>
      </c>
      <c r="X74" s="1482"/>
      <c r="Y74" s="52"/>
      <c r="Z74" s="1380">
        <f>Z68/Z72</f>
        <v>1.1089488351545678</v>
      </c>
      <c r="AA74" s="1380">
        <f>IF(AA72=0,0,AA68/AA72)</f>
        <v>2.4414765858241436</v>
      </c>
      <c r="AB74" s="1482"/>
      <c r="AC74" s="52"/>
      <c r="AD74" s="1380">
        <f>AD68/AD72</f>
        <v>1.0091096241407453</v>
      </c>
      <c r="AE74" s="1380">
        <f>IF(AE72=0,0,AE68/AE72)</f>
        <v>2.5619543788785166</v>
      </c>
      <c r="AF74" s="510" t="s">
        <v>2413</v>
      </c>
      <c r="AG74" s="1482"/>
      <c r="AH74" s="52"/>
      <c r="AI74" s="1380">
        <f>AI68/AI72</f>
        <v>1.1533993412168242</v>
      </c>
      <c r="AJ74" s="1380">
        <f>IF(AJ72=0,0,AJ68/AJ72)</f>
        <v>2.9282809539569881</v>
      </c>
      <c r="AK74" s="1482"/>
      <c r="AL74" s="52"/>
      <c r="AM74" s="1380">
        <f>AM68/AM72</f>
        <v>1.0812544826787847</v>
      </c>
      <c r="AN74" s="1380">
        <f>IF(AN72=0,0,AN68/AN72)</f>
        <v>2.7451176664177526</v>
      </c>
      <c r="AO74" s="1482"/>
      <c r="AP74" s="52"/>
      <c r="AQ74" s="1380">
        <f>AQ68/AQ72</f>
        <v>0.66511390569986895</v>
      </c>
      <c r="AR74" s="1380">
        <f>IF(AR72=0,0,AR68/AR72)</f>
        <v>4.9447311714113011</v>
      </c>
      <c r="AS74" s="510" t="s">
        <v>2413</v>
      </c>
    </row>
    <row r="75" spans="1:45" x14ac:dyDescent="0.3">
      <c r="B75" s="666" t="s">
        <v>6032</v>
      </c>
      <c r="C75" s="91"/>
      <c r="D75" s="52"/>
      <c r="E75" s="52"/>
      <c r="F75" s="1380">
        <f>F69/F72</f>
        <v>0.76046905598548931</v>
      </c>
      <c r="G75" s="1380">
        <f>IF(G72=0,0,G69/G72)</f>
        <v>3.3027695097379093</v>
      </c>
      <c r="H75" s="1729" t="str">
        <f t="shared" si="21"/>
        <v>g/L</v>
      </c>
      <c r="I75" s="52"/>
      <c r="J75" s="1380">
        <f>J69/J72</f>
        <v>0.76046905598548931</v>
      </c>
      <c r="K75" s="1380">
        <f>IF(K72=0,0,K69/K72)</f>
        <v>3.3027695097379093</v>
      </c>
      <c r="L75" s="1482"/>
      <c r="M75" s="52"/>
      <c r="N75" s="1380">
        <f>N69/N72</f>
        <v>0.76544310628494927</v>
      </c>
      <c r="O75" s="1380">
        <f>IF(O72=0,0,O69/O72)</f>
        <v>3.3027695097379093</v>
      </c>
      <c r="P75" s="1482"/>
      <c r="Q75" s="52"/>
      <c r="R75" s="1380">
        <f>R69/R72</f>
        <v>0.77008255040821727</v>
      </c>
      <c r="S75" s="1380">
        <f>IF(S72=0,0,S69/S72)</f>
        <v>5.5486604996284568</v>
      </c>
      <c r="T75" s="1482"/>
      <c r="U75" s="52"/>
      <c r="V75" s="1380">
        <f>V69/V72</f>
        <v>0.77008255040821727</v>
      </c>
      <c r="W75" s="1380">
        <f>IF(W72=0,0,W69/W72)</f>
        <v>5.5486604996284568</v>
      </c>
      <c r="X75" s="1482"/>
      <c r="Y75" s="52"/>
      <c r="Z75" s="1380">
        <f>Z69/Z72</f>
        <v>0.77008255040821727</v>
      </c>
      <c r="AA75" s="1380">
        <f>IF(AA72=0,0,AA69/AA72)</f>
        <v>5.5486604996284568</v>
      </c>
      <c r="AB75" s="1482"/>
      <c r="AC75" s="52"/>
      <c r="AD75" s="1380">
        <f>AD69/AD72</f>
        <v>0.77291508964248568</v>
      </c>
      <c r="AE75" s="1380">
        <f>IF(AE72=0,0,AE69/AE72)</f>
        <v>6.4220642397311023</v>
      </c>
      <c r="AF75" s="510" t="s">
        <v>2413</v>
      </c>
      <c r="AG75" s="1482"/>
      <c r="AH75" s="52"/>
      <c r="AI75" s="1380">
        <f>AI69/AI72</f>
        <v>0.77291508964248568</v>
      </c>
      <c r="AJ75" s="1380">
        <f>IF(AJ72=0,0,AJ69/AJ72)</f>
        <v>6.4220642397311023</v>
      </c>
      <c r="AK75" s="1482"/>
      <c r="AL75" s="52"/>
      <c r="AM75" s="1380">
        <f>AM69/AM72</f>
        <v>0.77291508964248556</v>
      </c>
      <c r="AN75" s="1380">
        <f>IF(AN72=0,0,AN69/AN72)</f>
        <v>6.4220642397311023</v>
      </c>
      <c r="AO75" s="1482"/>
      <c r="AP75" s="52"/>
      <c r="AQ75" s="1380">
        <f>AQ69/AQ72</f>
        <v>0.32534599495937772</v>
      </c>
      <c r="AR75" s="1380">
        <f>IF(AR72=0,0,AR69/AR72)</f>
        <v>7.9159298721594418</v>
      </c>
      <c r="AS75" s="510" t="s">
        <v>2413</v>
      </c>
    </row>
    <row r="76" spans="1:45" x14ac:dyDescent="0.3">
      <c r="B76" s="666" t="s">
        <v>6033</v>
      </c>
      <c r="C76" s="91"/>
      <c r="D76" s="52"/>
      <c r="E76" s="52"/>
      <c r="F76" s="1380">
        <f>F70/F72</f>
        <v>1.1555235596998139</v>
      </c>
      <c r="G76" s="1380">
        <f>IF(G72=0,0,G70/G72)</f>
        <v>3.3027856402144384</v>
      </c>
      <c r="H76" s="1729" t="str">
        <f t="shared" si="21"/>
        <v>g/L</v>
      </c>
      <c r="I76" s="52"/>
      <c r="J76" s="1380">
        <f>J70/J72</f>
        <v>1.1555235596998139</v>
      </c>
      <c r="K76" s="1380">
        <f>IF(K72=0,0,K70/K72)</f>
        <v>3.3027856402144384</v>
      </c>
      <c r="L76" s="1482"/>
      <c r="M76" s="52"/>
      <c r="N76" s="1380">
        <f>N70/N72</f>
        <v>1.1630815691453258</v>
      </c>
      <c r="O76" s="1380">
        <f>IF(O72=0,0,O70/O72)</f>
        <v>3.3027856402144384</v>
      </c>
      <c r="P76" s="1482"/>
      <c r="Q76" s="52"/>
      <c r="R76" s="1380">
        <f>R70/R72</f>
        <v>1.1701311485412944</v>
      </c>
      <c r="S76" s="1380">
        <f>IF(S72=0,0,S70/S72)</f>
        <v>5.5486875988667448</v>
      </c>
      <c r="T76" s="1482"/>
      <c r="U76" s="52"/>
      <c r="V76" s="1380">
        <f>V70/V72</f>
        <v>1.1701311485412944</v>
      </c>
      <c r="W76" s="1380">
        <f>IF(W72=0,0,W70/W72)</f>
        <v>5.5486875988667448</v>
      </c>
      <c r="X76" s="1482"/>
      <c r="Y76" s="52"/>
      <c r="Z76" s="1380">
        <f>Z70/Z72</f>
        <v>1.1701311485412944</v>
      </c>
      <c r="AA76" s="1380">
        <f>IF(AA72=0,0,AA70/AA72)</f>
        <v>5.5486875988667448</v>
      </c>
      <c r="AB76" s="1482"/>
      <c r="AC76" s="52"/>
      <c r="AD76" s="1380">
        <f>AD70/AD72</f>
        <v>1.1744351577487824</v>
      </c>
      <c r="AE76" s="1380">
        <f>IF(AE72=0,0,AE70/AE72)</f>
        <v>6.4220956046072102</v>
      </c>
      <c r="AF76" s="510" t="s">
        <v>2413</v>
      </c>
      <c r="AG76" s="1482"/>
      <c r="AH76" s="52"/>
      <c r="AI76" s="1380">
        <f>AI70/AI72</f>
        <v>1.1744351577487824</v>
      </c>
      <c r="AJ76" s="1380">
        <f>IF(AJ72=0,0,AJ70/AJ72)</f>
        <v>6.4220956046072102</v>
      </c>
      <c r="AK76" s="1482"/>
      <c r="AL76" s="52"/>
      <c r="AM76" s="1380">
        <f>AM70/AM72</f>
        <v>1.1744351577487822</v>
      </c>
      <c r="AN76" s="1380">
        <f>IF(AN72=0,0,AN70/AN72)</f>
        <v>6.4220956046072102</v>
      </c>
      <c r="AO76" s="1482"/>
      <c r="AP76" s="52"/>
      <c r="AQ76" s="1380">
        <f>AQ70/AQ72</f>
        <v>0.5323869555130053</v>
      </c>
      <c r="AR76" s="1380">
        <f>IF(AR72=0,0,AR70/AR72)</f>
        <v>8.5248891893440497</v>
      </c>
      <c r="AS76" s="510" t="s">
        <v>2413</v>
      </c>
    </row>
    <row r="77" spans="1:45" x14ac:dyDescent="0.3">
      <c r="B77" s="1449" t="s">
        <v>5338</v>
      </c>
      <c r="C77" s="91"/>
      <c r="D77" s="52"/>
      <c r="E77" s="52"/>
      <c r="F77" s="1380">
        <f>F74*1000*UC.g_to_lb/UC.L_to_gal</f>
        <v>9.2227730493771602</v>
      </c>
      <c r="G77" s="1380">
        <f>G74*1000*UC.g_to_lb/UC.L_to_gal</f>
        <v>12.239070201791318</v>
      </c>
      <c r="H77" s="1729" t="str">
        <f t="shared" si="21"/>
        <v>lb/1000 gal</v>
      </c>
      <c r="I77" s="52"/>
      <c r="J77" s="1380">
        <f>J74*1000*UC.g_to_lb/UC.L_to_gal</f>
        <v>10.541511154847765</v>
      </c>
      <c r="K77" s="1380">
        <f>K74*1000*UC.g_to_lb/UC.L_to_gal</f>
        <v>13.98910006420043</v>
      </c>
      <c r="L77" s="1482"/>
      <c r="M77" s="52"/>
      <c r="N77" s="1380">
        <f>N74*1000*UC.g_to_lb/UC.L_to_gal</f>
        <v>9.9467788831825619</v>
      </c>
      <c r="O77" s="1380">
        <f>O74*1000*UC.g_to_lb/UC.L_to_gal</f>
        <v>13.114085132995873</v>
      </c>
      <c r="P77" s="1482"/>
      <c r="Q77" s="52"/>
      <c r="R77" s="1380">
        <f>R74*1000*UC.g_to_lb/UC.L_to_gal</f>
        <v>8.6371274739918888</v>
      </c>
      <c r="S77" s="1380">
        <f>S74*1000*UC.g_to_lb/UC.L_to_gal</f>
        <v>19.015615353967544</v>
      </c>
      <c r="T77" s="1482"/>
      <c r="U77" s="52"/>
      <c r="V77" s="1380">
        <f>V74*1000*UC.g_to_lb/UC.L_to_gal</f>
        <v>9.8721257831532903</v>
      </c>
      <c r="W77" s="1380">
        <f>W74*1000*UC.g_to_lb/UC.L_to_gal</f>
        <v>21.734604147467387</v>
      </c>
      <c r="X77" s="1482"/>
      <c r="Y77" s="52"/>
      <c r="Z77" s="1380">
        <f>Z74*1000*UC.g_to_lb/UC.L_to_gal</f>
        <v>9.2546266285725878</v>
      </c>
      <c r="AA77" s="1380">
        <f>AA74*1000*UC.g_to_lb/UC.L_to_gal</f>
        <v>20.375109750717463</v>
      </c>
      <c r="AB77" s="1482"/>
      <c r="AC77" s="52"/>
      <c r="AD77" s="1380">
        <f>AD74*1000*UC.g_to_lb/UC.L_to_gal</f>
        <v>8.4214280250541371</v>
      </c>
      <c r="AE77" s="1380">
        <f>AE74*1000*UC.g_to_lb/UC.L_to_gal</f>
        <v>21.38054567021798</v>
      </c>
      <c r="AF77" s="18" t="s">
        <v>2414</v>
      </c>
      <c r="AG77" s="1482"/>
      <c r="AH77" s="52"/>
      <c r="AI77" s="1380">
        <f>AI74*1000*UC.g_to_lb/UC.L_to_gal</f>
        <v>9.6255840830704322</v>
      </c>
      <c r="AJ77" s="1380">
        <f>AJ74*1000*UC.g_to_lb/UC.L_to_gal</f>
        <v>24.437689128060633</v>
      </c>
      <c r="AK77" s="1482"/>
      <c r="AL77" s="52"/>
      <c r="AM77" s="1380">
        <f>AM74*1000*UC.g_to_lb/UC.L_to_gal</f>
        <v>9.0235060540622829</v>
      </c>
      <c r="AN77" s="1380">
        <f>AN74*1000*UC.g_to_lb/UC.L_to_gal</f>
        <v>22.909117399139305</v>
      </c>
      <c r="AO77" s="1482"/>
      <c r="AP77" s="52"/>
      <c r="AQ77" s="1380">
        <f>AQ74*1000*UC.g_to_lb/UC.L_to_gal</f>
        <v>5.55064459927583</v>
      </c>
      <c r="AR77" s="1380">
        <f>AR74*1000*UC.g_to_lb/UC.L_to_gal</f>
        <v>41.265781900296233</v>
      </c>
      <c r="AS77" s="18" t="s">
        <v>2414</v>
      </c>
    </row>
    <row r="78" spans="1:45" x14ac:dyDescent="0.3">
      <c r="B78" s="1449" t="s">
        <v>5340</v>
      </c>
      <c r="C78" s="91"/>
      <c r="D78" s="52"/>
      <c r="E78" s="52"/>
      <c r="F78" s="1380">
        <f t="shared" ref="F78:G79" si="22">F75*1000*UC.g_to_lb/UC.L_to_gal</f>
        <v>6.3464219020959751</v>
      </c>
      <c r="G78" s="1380">
        <f>G75*1000*UC.g_to_lb/UC.L_to_gal</f>
        <v>27.562947616602838</v>
      </c>
      <c r="H78" s="1729" t="str">
        <f t="shared" si="21"/>
        <v>lb/1000 gal</v>
      </c>
      <c r="I78" s="52"/>
      <c r="J78" s="1380">
        <f t="shared" ref="J78" si="23">J75*1000*UC.g_to_lb/UC.L_to_gal</f>
        <v>6.3464219020959751</v>
      </c>
      <c r="K78" s="1380">
        <f>K75*1000*UC.g_to_lb/UC.L_to_gal</f>
        <v>27.562947616602838</v>
      </c>
      <c r="L78" s="1482"/>
      <c r="M78" s="52"/>
      <c r="N78" s="1380">
        <f t="shared" ref="N78" si="24">N75*1000*UC.g_to_lb/UC.L_to_gal</f>
        <v>6.3879323639802026</v>
      </c>
      <c r="O78" s="1380">
        <f>O75*1000*UC.g_to_lb/UC.L_to_gal</f>
        <v>27.562947616602838</v>
      </c>
      <c r="P78" s="1482"/>
      <c r="Q78" s="52"/>
      <c r="R78" s="1380">
        <f t="shared" ref="R78" si="25">R75*1000*UC.g_to_lb/UC.L_to_gal</f>
        <v>6.4266504019670361</v>
      </c>
      <c r="S78" s="1380">
        <f>S75*1000*UC.g_to_lb/UC.L_to_gal</f>
        <v>46.305816449694916</v>
      </c>
      <c r="T78" s="1482"/>
      <c r="U78" s="52"/>
      <c r="V78" s="1380">
        <f t="shared" ref="V78" si="26">V75*1000*UC.g_to_lb/UC.L_to_gal</f>
        <v>6.4266504019670361</v>
      </c>
      <c r="W78" s="1380">
        <f>W75*1000*UC.g_to_lb/UC.L_to_gal</f>
        <v>46.305816449694916</v>
      </c>
      <c r="X78" s="1482"/>
      <c r="Y78" s="52"/>
      <c r="Z78" s="1380">
        <f t="shared" ref="Z78:AA79" si="27">Z75*1000*UC.g_to_lb/UC.L_to_gal</f>
        <v>6.4266504019670361</v>
      </c>
      <c r="AA78" s="1380">
        <f>AA75*1000*UC.g_to_lb/UC.L_to_gal</f>
        <v>46.305816449694916</v>
      </c>
      <c r="AB78" s="1482"/>
      <c r="AC78" s="52"/>
      <c r="AD78" s="1380">
        <f t="shared" ref="AD78" si="28">AD75*1000*UC.g_to_lb/UC.L_to_gal</f>
        <v>6.4502890877142312</v>
      </c>
      <c r="AE78" s="1380">
        <f>AE75*1000*UC.g_to_lb/UC.L_to_gal</f>
        <v>53.594723975822752</v>
      </c>
      <c r="AF78" s="18" t="s">
        <v>2414</v>
      </c>
      <c r="AG78" s="1482"/>
      <c r="AH78" s="52"/>
      <c r="AI78" s="1380">
        <f t="shared" ref="AI78" si="29">AI75*1000*UC.g_to_lb/UC.L_to_gal</f>
        <v>6.4502890877142312</v>
      </c>
      <c r="AJ78" s="1380">
        <f>AJ75*1000*UC.g_to_lb/UC.L_to_gal</f>
        <v>53.594723975822752</v>
      </c>
      <c r="AK78" s="1482"/>
      <c r="AL78" s="52"/>
      <c r="AM78" s="1380">
        <f t="shared" ref="AM78" si="30">AM75*1000*UC.g_to_lb/UC.L_to_gal</f>
        <v>6.4502890877142303</v>
      </c>
      <c r="AN78" s="1380">
        <f>AN75*1000*UC.g_to_lb/UC.L_to_gal</f>
        <v>53.594723975822752</v>
      </c>
      <c r="AO78" s="1482"/>
      <c r="AP78" s="52"/>
      <c r="AQ78" s="1380">
        <f t="shared" ref="AQ78" si="31">AQ75*1000*UC.g_to_lb/UC.L_to_gal</f>
        <v>2.7151439390175529</v>
      </c>
      <c r="AR78" s="1380">
        <f>AR75*1000*UC.g_to_lb/UC.L_to_gal</f>
        <v>66.061636986695575</v>
      </c>
      <c r="AS78" s="18" t="s">
        <v>2414</v>
      </c>
    </row>
    <row r="79" spans="1:45" x14ac:dyDescent="0.3">
      <c r="B79" s="1449" t="s">
        <v>5342</v>
      </c>
      <c r="C79" s="91"/>
      <c r="D79" s="52"/>
      <c r="E79" s="52"/>
      <c r="F79" s="1380">
        <f t="shared" si="22"/>
        <v>9.6433115456136793</v>
      </c>
      <c r="G79" s="1380">
        <f t="shared" si="22"/>
        <v>27.563082231954681</v>
      </c>
      <c r="H79" s="1729" t="str">
        <f t="shared" si="21"/>
        <v>lb/1000 gal</v>
      </c>
      <c r="I79" s="52"/>
      <c r="J79" s="1380">
        <f t="shared" ref="J79:K79" si="32">J76*1000*UC.g_to_lb/UC.L_to_gal</f>
        <v>9.6433115456136793</v>
      </c>
      <c r="K79" s="1380">
        <f t="shared" si="32"/>
        <v>27.563082231954681</v>
      </c>
      <c r="L79" s="1482"/>
      <c r="M79" s="52"/>
      <c r="N79" s="1380">
        <f t="shared" ref="N79:O79" si="33">N76*1000*UC.g_to_lb/UC.L_to_gal</f>
        <v>9.7063861918516992</v>
      </c>
      <c r="O79" s="1380">
        <f t="shared" si="33"/>
        <v>27.563082231954681</v>
      </c>
      <c r="P79" s="1482"/>
      <c r="Q79" s="52"/>
      <c r="R79" s="1380">
        <f t="shared" ref="R79:S79" si="34">R76*1000*UC.g_to_lb/UC.L_to_gal</f>
        <v>9.765217783652842</v>
      </c>
      <c r="S79" s="1380">
        <f t="shared" si="34"/>
        <v>46.306042603800783</v>
      </c>
      <c r="T79" s="1482"/>
      <c r="U79" s="52"/>
      <c r="V79" s="1380">
        <f t="shared" ref="V79:W79" si="35">V76*1000*UC.g_to_lb/UC.L_to_gal</f>
        <v>9.765217783652842</v>
      </c>
      <c r="W79" s="1380">
        <f t="shared" si="35"/>
        <v>46.306042603800783</v>
      </c>
      <c r="X79" s="1482"/>
      <c r="Y79" s="52"/>
      <c r="Z79" s="1380">
        <f t="shared" si="27"/>
        <v>9.765217783652842</v>
      </c>
      <c r="AA79" s="1380">
        <f t="shared" si="27"/>
        <v>46.306042603800783</v>
      </c>
      <c r="AB79" s="1482"/>
      <c r="AC79" s="52"/>
      <c r="AD79" s="1380">
        <f t="shared" ref="AD79:AE79" si="36">AD76*1000*UC.g_to_lb/UC.L_to_gal</f>
        <v>9.8011364815751758</v>
      </c>
      <c r="AE79" s="1380">
        <f t="shared" si="36"/>
        <v>53.594985728401809</v>
      </c>
      <c r="AF79" s="18" t="s">
        <v>2414</v>
      </c>
      <c r="AG79" s="1482"/>
      <c r="AH79" s="52"/>
      <c r="AI79" s="1380">
        <f>AI76*1000*UC.g_to_lb/UC.L_to_gal</f>
        <v>9.8011364815751758</v>
      </c>
      <c r="AJ79" s="1380">
        <f t="shared" ref="AJ79" si="37">AJ76*1000*UC.g_to_lb/UC.L_to_gal</f>
        <v>53.594985728401809</v>
      </c>
      <c r="AK79" s="1482"/>
      <c r="AL79" s="52"/>
      <c r="AM79" s="1380">
        <f t="shared" ref="AM79:AN79" si="38">AM76*1000*UC.g_to_lb/UC.L_to_gal</f>
        <v>9.801136481575174</v>
      </c>
      <c r="AN79" s="1380">
        <f t="shared" si="38"/>
        <v>53.594985728401809</v>
      </c>
      <c r="AO79" s="1482"/>
      <c r="AP79" s="52"/>
      <c r="AQ79" s="1380">
        <f t="shared" ref="AQ79:AR79" si="39">AQ76*1000*UC.g_to_lb/UC.L_to_gal</f>
        <v>4.442984508395833</v>
      </c>
      <c r="AR79" s="1380">
        <f t="shared" si="39"/>
        <v>71.143648828791569</v>
      </c>
      <c r="AS79" s="18" t="s">
        <v>2414</v>
      </c>
    </row>
    <row r="80" spans="1:45" x14ac:dyDescent="0.3">
      <c r="A80" t="s">
        <v>2621</v>
      </c>
      <c r="B80" s="1405" t="s">
        <v>6367</v>
      </c>
      <c r="C80" s="1411"/>
      <c r="D80" s="1408"/>
      <c r="E80" s="1408"/>
      <c r="F80" s="1409"/>
      <c r="G80" s="1410"/>
      <c r="H80" s="2188"/>
      <c r="I80" s="1408"/>
      <c r="J80" s="1409"/>
      <c r="K80" s="1410"/>
      <c r="L80" s="1410"/>
      <c r="M80" s="1408"/>
      <c r="N80" s="1409"/>
      <c r="O80" s="1410"/>
      <c r="P80" s="1410"/>
      <c r="Q80" s="1408"/>
      <c r="R80" s="1409"/>
      <c r="S80" s="1410"/>
      <c r="T80" s="1410"/>
      <c r="U80" s="1408"/>
      <c r="V80" s="1409"/>
      <c r="W80" s="1410"/>
      <c r="X80" s="1410"/>
      <c r="Y80" s="1408"/>
      <c r="Z80" s="1409"/>
      <c r="AA80" s="1410"/>
      <c r="AB80" s="1410"/>
      <c r="AC80" s="1408"/>
      <c r="AD80" s="1409"/>
      <c r="AE80" s="1410"/>
      <c r="AF80" s="1411"/>
      <c r="AG80" s="1410"/>
      <c r="AH80" s="1408"/>
      <c r="AI80" s="1409"/>
      <c r="AJ80" s="1410"/>
      <c r="AK80" s="1410"/>
      <c r="AL80" s="1408"/>
      <c r="AM80" s="1409"/>
      <c r="AN80" s="1410"/>
      <c r="AO80" s="1410"/>
      <c r="AP80" s="1408"/>
      <c r="AQ80" s="1409"/>
      <c r="AR80" s="1410"/>
      <c r="AS80" s="1411"/>
    </row>
    <row r="81" spans="1:45" x14ac:dyDescent="0.3">
      <c r="B81" s="49" t="s">
        <v>6368</v>
      </c>
      <c r="C81" s="18"/>
      <c r="D81" s="510"/>
      <c r="E81" s="510"/>
      <c r="F81" s="48"/>
      <c r="G81" s="1414">
        <f>UDV.irrigation.fraction_applied</f>
        <v>0.9</v>
      </c>
      <c r="H81" s="1729" t="str">
        <f t="shared" si="21"/>
        <v>fraction</v>
      </c>
      <c r="I81" s="510"/>
      <c r="J81" s="48"/>
      <c r="K81" s="1414">
        <f>UDV.irrigation.fraction_applied</f>
        <v>0.9</v>
      </c>
      <c r="L81" s="1482"/>
      <c r="M81" s="510"/>
      <c r="N81" s="48"/>
      <c r="O81" s="1414">
        <f>UDV.irrigation.fraction_applied</f>
        <v>0.9</v>
      </c>
      <c r="P81" s="1482"/>
      <c r="Q81" s="510"/>
      <c r="R81" s="48"/>
      <c r="S81" s="1414">
        <f>UDV.irrigation.fraction_applied</f>
        <v>0.9</v>
      </c>
      <c r="T81" s="1482"/>
      <c r="U81" s="510"/>
      <c r="V81" s="48"/>
      <c r="W81" s="1414">
        <f>UDV.irrigation.fraction_applied</f>
        <v>0.9</v>
      </c>
      <c r="X81" s="1482"/>
      <c r="Y81" s="510"/>
      <c r="Z81" s="48"/>
      <c r="AA81" s="1414">
        <f>UDV.irrigation.fraction_applied</f>
        <v>0.9</v>
      </c>
      <c r="AB81" s="1482"/>
      <c r="AC81" s="510"/>
      <c r="AD81" s="48"/>
      <c r="AE81" s="1414">
        <f>UDV.irrigation.fraction_applied</f>
        <v>0.9</v>
      </c>
      <c r="AF81" s="18" t="s">
        <v>1694</v>
      </c>
      <c r="AG81" s="1482"/>
      <c r="AH81" s="510"/>
      <c r="AI81" s="48"/>
      <c r="AJ81" s="1414">
        <f>UDV.irrigation.fraction_applied</f>
        <v>0.9</v>
      </c>
      <c r="AK81" s="1482"/>
      <c r="AL81" s="510"/>
      <c r="AM81" s="48"/>
      <c r="AN81" s="1414">
        <f>UDV.irrigation.fraction_applied</f>
        <v>0.9</v>
      </c>
      <c r="AO81" s="1482"/>
      <c r="AP81" s="510"/>
      <c r="AQ81" s="48"/>
      <c r="AR81" s="1414">
        <f>UDV.irrigation.fraction_applied</f>
        <v>0.9</v>
      </c>
      <c r="AS81" s="18" t="s">
        <v>1694</v>
      </c>
    </row>
    <row r="82" spans="1:45" x14ac:dyDescent="0.3">
      <c r="B82" s="1449" t="s">
        <v>5573</v>
      </c>
      <c r="C82" s="18"/>
      <c r="D82" s="510"/>
      <c r="E82" s="510"/>
      <c r="F82" s="1384"/>
      <c r="G82" s="1450">
        <f>UDV.crops.N_avail</f>
        <v>0.95</v>
      </c>
      <c r="H82" s="1729" t="str">
        <f t="shared" si="21"/>
        <v>fraction</v>
      </c>
      <c r="I82" s="510"/>
      <c r="J82" s="1384"/>
      <c r="K82" s="1450">
        <f>UDV.crops.N_avail</f>
        <v>0.95</v>
      </c>
      <c r="L82" s="1483"/>
      <c r="M82" s="510"/>
      <c r="N82" s="1384"/>
      <c r="O82" s="1450">
        <f>UDV.crops.N_avail</f>
        <v>0.95</v>
      </c>
      <c r="P82" s="1483"/>
      <c r="Q82" s="510"/>
      <c r="R82" s="1384"/>
      <c r="S82" s="1450">
        <f>UDV.crops.N_avail</f>
        <v>0.95</v>
      </c>
      <c r="T82" s="1483"/>
      <c r="U82" s="510"/>
      <c r="V82" s="1384"/>
      <c r="W82" s="1450">
        <f>UDV.crops.N_avail</f>
        <v>0.95</v>
      </c>
      <c r="X82" s="1483"/>
      <c r="Y82" s="510"/>
      <c r="Z82" s="1384"/>
      <c r="AA82" s="1450">
        <f>UDV.crops.N_avail</f>
        <v>0.95</v>
      </c>
      <c r="AB82" s="1483"/>
      <c r="AC82" s="510"/>
      <c r="AD82" s="1384"/>
      <c r="AE82" s="1450">
        <f>UDV.crops.N_avail</f>
        <v>0.95</v>
      </c>
      <c r="AF82" s="18" t="s">
        <v>1694</v>
      </c>
      <c r="AG82" s="1483"/>
      <c r="AH82" s="510"/>
      <c r="AI82" s="1384"/>
      <c r="AJ82" s="1450">
        <f>UDV.crops.N_avail</f>
        <v>0.95</v>
      </c>
      <c r="AK82" s="1483"/>
      <c r="AL82" s="510"/>
      <c r="AM82" s="1384"/>
      <c r="AN82" s="1450">
        <f>UDV.crops.N_avail</f>
        <v>0.95</v>
      </c>
      <c r="AO82" s="1483"/>
      <c r="AP82" s="510"/>
      <c r="AQ82" s="1384"/>
      <c r="AR82" s="1450">
        <f>UDV.crops.N_avail</f>
        <v>0.95</v>
      </c>
      <c r="AS82" s="18" t="s">
        <v>1694</v>
      </c>
    </row>
    <row r="83" spans="1:45" x14ac:dyDescent="0.3">
      <c r="B83" s="1449" t="s">
        <v>5574</v>
      </c>
      <c r="C83" s="49"/>
      <c r="D83" s="52"/>
      <c r="E83" s="510"/>
      <c r="F83" s="1384"/>
      <c r="G83" s="1450">
        <f>UDV.crops.P_avail</f>
        <v>0.95</v>
      </c>
      <c r="H83" s="1729" t="str">
        <f t="shared" si="21"/>
        <v>fraction</v>
      </c>
      <c r="I83" s="510"/>
      <c r="J83" s="1384"/>
      <c r="K83" s="1450">
        <f>UDV.crops.P_avail</f>
        <v>0.95</v>
      </c>
      <c r="L83" s="1483"/>
      <c r="M83" s="510"/>
      <c r="N83" s="1384"/>
      <c r="O83" s="1450">
        <f>UDV.crops.P_avail</f>
        <v>0.95</v>
      </c>
      <c r="P83" s="1483"/>
      <c r="Q83" s="510"/>
      <c r="R83" s="1384"/>
      <c r="S83" s="1450">
        <f>UDV.crops.P_avail</f>
        <v>0.95</v>
      </c>
      <c r="T83" s="1483"/>
      <c r="U83" s="510"/>
      <c r="V83" s="1384"/>
      <c r="W83" s="1450">
        <f>UDV.crops.P_avail</f>
        <v>0.95</v>
      </c>
      <c r="X83" s="1483"/>
      <c r="Y83" s="510"/>
      <c r="Z83" s="1384"/>
      <c r="AA83" s="1450">
        <f>UDV.crops.P_avail</f>
        <v>0.95</v>
      </c>
      <c r="AB83" s="1483"/>
      <c r="AC83" s="510"/>
      <c r="AD83" s="1384"/>
      <c r="AE83" s="1450">
        <f>UDV.crops.P_avail</f>
        <v>0.95</v>
      </c>
      <c r="AF83" s="18" t="s">
        <v>1694</v>
      </c>
      <c r="AG83" s="1483"/>
      <c r="AH83" s="510"/>
      <c r="AI83" s="1384"/>
      <c r="AJ83" s="1450">
        <f>UDV.crops.P_avail</f>
        <v>0.95</v>
      </c>
      <c r="AK83" s="1483"/>
      <c r="AL83" s="510"/>
      <c r="AM83" s="1384"/>
      <c r="AN83" s="1450">
        <f>UDV.crops.P_avail</f>
        <v>0.95</v>
      </c>
      <c r="AO83" s="1483"/>
      <c r="AP83" s="510"/>
      <c r="AQ83" s="1384"/>
      <c r="AR83" s="1450">
        <f>UDV.crops.P_avail</f>
        <v>0.95</v>
      </c>
      <c r="AS83" s="18" t="s">
        <v>1694</v>
      </c>
    </row>
    <row r="84" spans="1:45" x14ac:dyDescent="0.3">
      <c r="B84" s="1449" t="s">
        <v>5575</v>
      </c>
      <c r="C84" s="18"/>
      <c r="D84" s="510"/>
      <c r="E84" s="510"/>
      <c r="F84" s="1384"/>
      <c r="G84" s="1450">
        <f>UDV.crops.K_avail</f>
        <v>1</v>
      </c>
      <c r="H84" s="1729" t="str">
        <f t="shared" si="21"/>
        <v>fraction</v>
      </c>
      <c r="I84" s="510"/>
      <c r="J84" s="1384"/>
      <c r="K84" s="1450">
        <f>UDV.crops.K_avail</f>
        <v>1</v>
      </c>
      <c r="L84" s="1483"/>
      <c r="M84" s="510"/>
      <c r="N84" s="1384"/>
      <c r="O84" s="1450">
        <f>UDV.crops.K_avail</f>
        <v>1</v>
      </c>
      <c r="P84" s="1483"/>
      <c r="Q84" s="510"/>
      <c r="R84" s="1384"/>
      <c r="S84" s="1450">
        <f>UDV.crops.K_avail</f>
        <v>1</v>
      </c>
      <c r="T84" s="1483"/>
      <c r="U84" s="510"/>
      <c r="V84" s="1384"/>
      <c r="W84" s="1450">
        <f>UDV.crops.K_avail</f>
        <v>1</v>
      </c>
      <c r="X84" s="1483"/>
      <c r="Y84" s="510"/>
      <c r="Z84" s="1384"/>
      <c r="AA84" s="1450">
        <f>UDV.crops.K_avail</f>
        <v>1</v>
      </c>
      <c r="AB84" s="1483"/>
      <c r="AC84" s="510"/>
      <c r="AD84" s="1384"/>
      <c r="AE84" s="1450">
        <f>UDV.crops.K_avail</f>
        <v>1</v>
      </c>
      <c r="AF84" s="18" t="s">
        <v>1694</v>
      </c>
      <c r="AG84" s="1483"/>
      <c r="AH84" s="510"/>
      <c r="AI84" s="1384"/>
      <c r="AJ84" s="1450">
        <f>UDV.crops.K_avail</f>
        <v>1</v>
      </c>
      <c r="AK84" s="1483"/>
      <c r="AL84" s="510"/>
      <c r="AM84" s="1384"/>
      <c r="AN84" s="1450">
        <f>UDV.crops.K_avail</f>
        <v>1</v>
      </c>
      <c r="AO84" s="1483"/>
      <c r="AP84" s="510"/>
      <c r="AQ84" s="1384"/>
      <c r="AR84" s="1450">
        <f>UDV.crops.K_avail</f>
        <v>1</v>
      </c>
      <c r="AS84" s="18" t="s">
        <v>1694</v>
      </c>
    </row>
    <row r="85" spans="1:45" x14ac:dyDescent="0.3">
      <c r="B85" s="1449" t="s">
        <v>5345</v>
      </c>
      <c r="C85" s="18"/>
      <c r="D85" s="510"/>
      <c r="E85" s="510"/>
      <c r="F85" s="1384"/>
      <c r="G85" s="1450">
        <f>UDV.crops.N_need</f>
        <v>195</v>
      </c>
      <c r="H85" s="1729" t="str">
        <f t="shared" si="21"/>
        <v>lb/ac/yr</v>
      </c>
      <c r="I85" s="510"/>
      <c r="J85" s="1384"/>
      <c r="K85" s="1450">
        <f>UDV.crops.N_need</f>
        <v>195</v>
      </c>
      <c r="L85" s="1483"/>
      <c r="M85" s="510"/>
      <c r="N85" s="1384"/>
      <c r="O85" s="1450">
        <f>UDV.crops.N_need</f>
        <v>195</v>
      </c>
      <c r="P85" s="1483"/>
      <c r="Q85" s="510"/>
      <c r="R85" s="1384"/>
      <c r="S85" s="1450">
        <f>UDV.crops.N_need</f>
        <v>195</v>
      </c>
      <c r="T85" s="1483"/>
      <c r="U85" s="510"/>
      <c r="V85" s="1384"/>
      <c r="W85" s="1450">
        <f>UDV.crops.N_need</f>
        <v>195</v>
      </c>
      <c r="X85" s="1483"/>
      <c r="Y85" s="510"/>
      <c r="Z85" s="1384"/>
      <c r="AA85" s="1450">
        <f>UDV.crops.N_need</f>
        <v>195</v>
      </c>
      <c r="AB85" s="1483"/>
      <c r="AC85" s="510"/>
      <c r="AD85" s="1384"/>
      <c r="AE85" s="1450">
        <f>UDV.crops.N_need</f>
        <v>195</v>
      </c>
      <c r="AF85" s="18" t="s">
        <v>5576</v>
      </c>
      <c r="AG85" s="1483"/>
      <c r="AH85" s="510"/>
      <c r="AI85" s="1384"/>
      <c r="AJ85" s="1450">
        <f>UDV.crops.N_need</f>
        <v>195</v>
      </c>
      <c r="AK85" s="1483"/>
      <c r="AL85" s="510"/>
      <c r="AM85" s="1384"/>
      <c r="AN85" s="1450">
        <f>UDV.crops.N_need</f>
        <v>195</v>
      </c>
      <c r="AO85" s="1483"/>
      <c r="AP85" s="510"/>
      <c r="AQ85" s="1384"/>
      <c r="AR85" s="1450">
        <f>UDV.crops.N_need</f>
        <v>195</v>
      </c>
      <c r="AS85" s="18" t="s">
        <v>5576</v>
      </c>
    </row>
    <row r="86" spans="1:45" x14ac:dyDescent="0.3">
      <c r="B86" s="1449" t="s">
        <v>5354</v>
      </c>
      <c r="C86" s="18"/>
      <c r="D86" s="510"/>
      <c r="E86" s="510"/>
      <c r="F86" s="1384"/>
      <c r="G86" s="1450">
        <f>UDV.crops.P_need</f>
        <v>55</v>
      </c>
      <c r="H86" s="1729" t="str">
        <f t="shared" si="21"/>
        <v>lb/ac/yr</v>
      </c>
      <c r="I86" s="510"/>
      <c r="J86" s="1384"/>
      <c r="K86" s="1450">
        <f>UDV.crops.P_need</f>
        <v>55</v>
      </c>
      <c r="L86" s="1483"/>
      <c r="M86" s="510"/>
      <c r="N86" s="1384"/>
      <c r="O86" s="1450">
        <f>UDV.crops.P_need</f>
        <v>55</v>
      </c>
      <c r="P86" s="1483"/>
      <c r="Q86" s="510"/>
      <c r="R86" s="1384"/>
      <c r="S86" s="1450">
        <f>UDV.crops.P_need</f>
        <v>55</v>
      </c>
      <c r="T86" s="1483"/>
      <c r="U86" s="510"/>
      <c r="V86" s="1384"/>
      <c r="W86" s="1450">
        <f>UDV.crops.P_need</f>
        <v>55</v>
      </c>
      <c r="X86" s="1483"/>
      <c r="Y86" s="510"/>
      <c r="Z86" s="1384"/>
      <c r="AA86" s="1450">
        <f>UDV.crops.P_need</f>
        <v>55</v>
      </c>
      <c r="AB86" s="1483"/>
      <c r="AC86" s="510"/>
      <c r="AD86" s="1384"/>
      <c r="AE86" s="1450">
        <f>UDV.crops.P_need</f>
        <v>55</v>
      </c>
      <c r="AF86" s="18" t="s">
        <v>5576</v>
      </c>
      <c r="AG86" s="1483"/>
      <c r="AH86" s="510"/>
      <c r="AI86" s="1384"/>
      <c r="AJ86" s="1450">
        <f>UDV.crops.P_need</f>
        <v>55</v>
      </c>
      <c r="AK86" s="1483"/>
      <c r="AL86" s="510"/>
      <c r="AM86" s="1384"/>
      <c r="AN86" s="1450">
        <f>UDV.crops.P_need</f>
        <v>55</v>
      </c>
      <c r="AO86" s="1483"/>
      <c r="AP86" s="510"/>
      <c r="AQ86" s="1384"/>
      <c r="AR86" s="1450">
        <f>UDV.crops.P_need</f>
        <v>55</v>
      </c>
      <c r="AS86" s="18" t="s">
        <v>5576</v>
      </c>
    </row>
    <row r="87" spans="1:45" x14ac:dyDescent="0.3">
      <c r="B87" s="1449" t="s">
        <v>5356</v>
      </c>
      <c r="C87" s="18"/>
      <c r="D87" s="510"/>
      <c r="E87" s="510"/>
      <c r="F87" s="1384"/>
      <c r="G87" s="1450">
        <f>UDV.crops.K_need</f>
        <v>90</v>
      </c>
      <c r="H87" s="1729" t="str">
        <f t="shared" si="21"/>
        <v>lb/ac/yr</v>
      </c>
      <c r="I87" s="510"/>
      <c r="J87" s="1384"/>
      <c r="K87" s="1450">
        <f>UDV.crops.K_need</f>
        <v>90</v>
      </c>
      <c r="L87" s="1483"/>
      <c r="M87" s="510"/>
      <c r="N87" s="1384"/>
      <c r="O87" s="1450">
        <f>UDV.crops.K_need</f>
        <v>90</v>
      </c>
      <c r="P87" s="1483"/>
      <c r="Q87" s="510"/>
      <c r="R87" s="1384"/>
      <c r="S87" s="1450">
        <f>UDV.crops.K_need</f>
        <v>90</v>
      </c>
      <c r="T87" s="1483"/>
      <c r="U87" s="510"/>
      <c r="V87" s="1384"/>
      <c r="W87" s="1450">
        <f>UDV.crops.K_need</f>
        <v>90</v>
      </c>
      <c r="X87" s="1483"/>
      <c r="Y87" s="510"/>
      <c r="Z87" s="1384"/>
      <c r="AA87" s="1450">
        <f>UDV.crops.K_need</f>
        <v>90</v>
      </c>
      <c r="AB87" s="1483"/>
      <c r="AC87" s="510"/>
      <c r="AD87" s="1384"/>
      <c r="AE87" s="1450">
        <f>UDV.crops.K_need</f>
        <v>90</v>
      </c>
      <c r="AF87" s="18" t="s">
        <v>5576</v>
      </c>
      <c r="AG87" s="1483"/>
      <c r="AH87" s="510"/>
      <c r="AI87" s="1384"/>
      <c r="AJ87" s="1450">
        <f>UDV.crops.K_need</f>
        <v>90</v>
      </c>
      <c r="AK87" s="1483"/>
      <c r="AL87" s="510"/>
      <c r="AM87" s="1384"/>
      <c r="AN87" s="1450">
        <f>UDV.crops.K_need</f>
        <v>90</v>
      </c>
      <c r="AO87" s="1483"/>
      <c r="AP87" s="510"/>
      <c r="AQ87" s="1384"/>
      <c r="AR87" s="1450">
        <f>UDV.crops.K_need</f>
        <v>90</v>
      </c>
      <c r="AS87" s="18" t="s">
        <v>5576</v>
      </c>
    </row>
    <row r="88" spans="1:45" x14ac:dyDescent="0.3">
      <c r="A88" t="s">
        <v>6369</v>
      </c>
      <c r="B88" s="1356" t="s">
        <v>6370</v>
      </c>
      <c r="C88" s="1445"/>
      <c r="D88" s="1445"/>
      <c r="E88" s="1446" t="s">
        <v>6350</v>
      </c>
      <c r="F88" s="1447" t="s">
        <v>6351</v>
      </c>
      <c r="G88" s="1447" t="s">
        <v>263</v>
      </c>
      <c r="H88" s="1410"/>
      <c r="I88" s="2192" t="s">
        <v>6350</v>
      </c>
      <c r="J88" s="2192" t="s">
        <v>6351</v>
      </c>
      <c r="K88" s="2192" t="s">
        <v>263</v>
      </c>
      <c r="L88" s="2192"/>
      <c r="M88" s="2192" t="s">
        <v>6350</v>
      </c>
      <c r="N88" s="2192" t="s">
        <v>6351</v>
      </c>
      <c r="O88" s="2192" t="s">
        <v>263</v>
      </c>
      <c r="P88" s="2192"/>
      <c r="Q88" s="2192" t="s">
        <v>6350</v>
      </c>
      <c r="R88" s="2192" t="s">
        <v>6351</v>
      </c>
      <c r="S88" s="2192" t="s">
        <v>263</v>
      </c>
      <c r="T88" s="2192"/>
      <c r="U88" s="2192" t="s">
        <v>6350</v>
      </c>
      <c r="V88" s="2192" t="s">
        <v>6351</v>
      </c>
      <c r="W88" s="2192" t="s">
        <v>263</v>
      </c>
      <c r="X88" s="2192"/>
      <c r="Y88" s="2192" t="s">
        <v>6350</v>
      </c>
      <c r="Z88" s="2192" t="s">
        <v>6351</v>
      </c>
      <c r="AA88" s="2192" t="s">
        <v>263</v>
      </c>
      <c r="AB88" s="2192"/>
      <c r="AC88" s="2192" t="s">
        <v>6350</v>
      </c>
      <c r="AD88" s="2192" t="s">
        <v>6351</v>
      </c>
      <c r="AE88" s="2192" t="s">
        <v>263</v>
      </c>
      <c r="AF88" s="2190"/>
      <c r="AG88" s="2192"/>
      <c r="AH88" s="2192" t="s">
        <v>6350</v>
      </c>
      <c r="AI88" s="2192" t="s">
        <v>6351</v>
      </c>
      <c r="AJ88" s="2192" t="s">
        <v>263</v>
      </c>
      <c r="AK88" s="2192"/>
      <c r="AL88" s="2192" t="s">
        <v>6350</v>
      </c>
      <c r="AM88" s="2192" t="s">
        <v>6351</v>
      </c>
      <c r="AN88" s="2192" t="s">
        <v>263</v>
      </c>
      <c r="AO88" s="2192"/>
      <c r="AP88" s="2192" t="s">
        <v>6350</v>
      </c>
      <c r="AQ88" s="2192" t="s">
        <v>6351</v>
      </c>
      <c r="AR88" s="2192" t="s">
        <v>263</v>
      </c>
      <c r="AS88" s="2190"/>
    </row>
    <row r="89" spans="1:45" x14ac:dyDescent="0.3">
      <c r="B89" s="648" t="s">
        <v>6371</v>
      </c>
      <c r="C89" s="1451"/>
      <c r="D89" s="1181" t="s">
        <v>6372</v>
      </c>
      <c r="E89" s="1379">
        <f>F73*G81</f>
        <v>571.15230919602607</v>
      </c>
      <c r="F89" s="1379">
        <f>F73-E89</f>
        <v>63.461367688447353</v>
      </c>
      <c r="G89" s="1379">
        <f>G73</f>
        <v>1195.5356533292115</v>
      </c>
      <c r="H89" s="1729" t="str">
        <f t="shared" si="21"/>
        <v>1000 gal/year</v>
      </c>
      <c r="I89" s="1379">
        <f>J73*K81</f>
        <v>571.15230919602607</v>
      </c>
      <c r="J89" s="1379">
        <f>J73-I89</f>
        <v>63.461367688447353</v>
      </c>
      <c r="K89" s="1379">
        <f>K73</f>
        <v>1195.5356533292115</v>
      </c>
      <c r="L89" s="1480"/>
      <c r="M89" s="1379">
        <f>N73*O81</f>
        <v>567.4408115141382</v>
      </c>
      <c r="N89" s="1379">
        <f>N73-M89</f>
        <v>63.048979057126417</v>
      </c>
      <c r="O89" s="1379">
        <f>O73</f>
        <v>1195.5356533292115</v>
      </c>
      <c r="P89" s="1480"/>
      <c r="Q89" s="1379">
        <f>R73*S81</f>
        <v>564.0222040714865</v>
      </c>
      <c r="R89" s="1379">
        <f>R73-Q89</f>
        <v>62.669133785720646</v>
      </c>
      <c r="S89" s="1379">
        <f>S73</f>
        <v>711.62737455007584</v>
      </c>
      <c r="T89" s="1480"/>
      <c r="U89" s="1379">
        <f>V73*W81</f>
        <v>564.0222040714865</v>
      </c>
      <c r="V89" s="1379">
        <f>V73-U89</f>
        <v>62.669133785720646</v>
      </c>
      <c r="W89" s="1379">
        <f>W73</f>
        <v>711.62737455007584</v>
      </c>
      <c r="X89" s="1480"/>
      <c r="Y89" s="1379">
        <f>Z73*AA81</f>
        <v>564.0222040714865</v>
      </c>
      <c r="Z89" s="1379">
        <f>Z73-Y89</f>
        <v>62.669133785720646</v>
      </c>
      <c r="AA89" s="1379">
        <f>AA73</f>
        <v>711.62737455007584</v>
      </c>
      <c r="AB89" s="1480"/>
      <c r="AC89" s="1379">
        <f>AD73*AE81</f>
        <v>561.95520467732285</v>
      </c>
      <c r="AD89" s="1379">
        <f>AD73-AC89</f>
        <v>62.439467186369143</v>
      </c>
      <c r="AE89" s="1379">
        <f>AE73</f>
        <v>614.84571879424891</v>
      </c>
      <c r="AF89" s="714" t="s">
        <v>5743</v>
      </c>
      <c r="AG89" s="1480"/>
      <c r="AH89" s="1379">
        <f>AI73*AJ81</f>
        <v>561.95520467732285</v>
      </c>
      <c r="AI89" s="1379">
        <f>AI73-AH89</f>
        <v>62.439467186369143</v>
      </c>
      <c r="AJ89" s="1379">
        <f>AJ73</f>
        <v>614.84571879424891</v>
      </c>
      <c r="AK89" s="1480"/>
      <c r="AL89" s="1379">
        <f>AM73*AN81</f>
        <v>561.95520467732297</v>
      </c>
      <c r="AM89" s="1379">
        <f>AM73-AL89</f>
        <v>62.439467186369143</v>
      </c>
      <c r="AN89" s="1379">
        <f>AN73</f>
        <v>614.84571879424891</v>
      </c>
      <c r="AO89" s="1480"/>
      <c r="AP89" s="1379">
        <f>AQ73*AR81</f>
        <v>867.76349388933727</v>
      </c>
      <c r="AQ89" s="1379">
        <f>AQ73-AP89</f>
        <v>96.418165987704128</v>
      </c>
      <c r="AR89" s="1379">
        <f>AR73</f>
        <v>324.22926918288221</v>
      </c>
      <c r="AS89" s="714" t="s">
        <v>5743</v>
      </c>
    </row>
    <row r="90" spans="1:45" x14ac:dyDescent="0.3">
      <c r="B90" s="648" t="s">
        <v>6373</v>
      </c>
      <c r="C90" s="1451"/>
      <c r="D90" s="1181" t="s">
        <v>6372</v>
      </c>
      <c r="E90" s="1379">
        <f>F72*G81</f>
        <v>1081.0233423103102</v>
      </c>
      <c r="F90" s="1379">
        <f>F72-E90</f>
        <v>120.11370470114548</v>
      </c>
      <c r="G90" s="1379">
        <f>G72</f>
        <v>4525.5947564400622</v>
      </c>
      <c r="H90" s="1729" t="str">
        <f t="shared" si="21"/>
        <v>m3/period</v>
      </c>
      <c r="I90" s="1379">
        <f>J72*K81</f>
        <v>1081.0233423103102</v>
      </c>
      <c r="J90" s="1379">
        <f>J72-I90</f>
        <v>120.11370470114548</v>
      </c>
      <c r="K90" s="1379">
        <f>K72</f>
        <v>4525.5947564400622</v>
      </c>
      <c r="L90" s="1480"/>
      <c r="M90" s="1379">
        <f>N72*O81</f>
        <v>1073.9985687701328</v>
      </c>
      <c r="N90" s="1379">
        <f>N72-M90</f>
        <v>119.33317430779243</v>
      </c>
      <c r="O90" s="1379">
        <f>O72</f>
        <v>4525.5947564400622</v>
      </c>
      <c r="P90" s="1480"/>
      <c r="Q90" s="1379">
        <f>R72*S81</f>
        <v>1067.5281503122187</v>
      </c>
      <c r="R90" s="1379">
        <f>R72-Q90</f>
        <v>118.61423892357971</v>
      </c>
      <c r="S90" s="1379">
        <f>S72</f>
        <v>2693.8026530909328</v>
      </c>
      <c r="T90" s="1480"/>
      <c r="U90" s="1379">
        <f>V72*W81</f>
        <v>1067.5281503122187</v>
      </c>
      <c r="V90" s="1379">
        <f>V72-U90</f>
        <v>118.61423892357971</v>
      </c>
      <c r="W90" s="1379">
        <f>W72</f>
        <v>2693.8026530909328</v>
      </c>
      <c r="X90" s="1480"/>
      <c r="Y90" s="1379">
        <f>Z72*AA81</f>
        <v>1067.5281503122187</v>
      </c>
      <c r="Z90" s="1379">
        <f>Z72-Y90</f>
        <v>118.61423892357971</v>
      </c>
      <c r="AA90" s="1379">
        <f>AA72</f>
        <v>2693.8026530909328</v>
      </c>
      <c r="AB90" s="1480"/>
      <c r="AC90" s="1379">
        <f>AD72*AE81</f>
        <v>1063.6159283748207</v>
      </c>
      <c r="AD90" s="1379">
        <f>AD72-AC90</f>
        <v>118.17954759720214</v>
      </c>
      <c r="AE90" s="1379">
        <f>AE72</f>
        <v>2327.4442324211072</v>
      </c>
      <c r="AF90" s="714" t="s">
        <v>6364</v>
      </c>
      <c r="AG90" s="1480"/>
      <c r="AH90" s="1379">
        <f>AI72*AJ81</f>
        <v>1063.6159283748207</v>
      </c>
      <c r="AI90" s="1379">
        <f>AI72-AH90</f>
        <v>118.17954759720214</v>
      </c>
      <c r="AJ90" s="1379">
        <f>AJ72</f>
        <v>2327.4442324211072</v>
      </c>
      <c r="AK90" s="1480"/>
      <c r="AL90" s="1379">
        <f>AM72*AN81</f>
        <v>1063.6159283748207</v>
      </c>
      <c r="AM90" s="1379">
        <f>AM72-AL90</f>
        <v>118.17954759720237</v>
      </c>
      <c r="AN90" s="1379">
        <f>AN72</f>
        <v>2327.4442324211072</v>
      </c>
      <c r="AO90" s="1480"/>
      <c r="AP90" s="1379">
        <f>AQ72*AR81</f>
        <v>1642.4210799735492</v>
      </c>
      <c r="AQ90" s="1379">
        <f>AQ72-AP90</f>
        <v>182.49123110817209</v>
      </c>
      <c r="AR90" s="1379">
        <f>AR72</f>
        <v>1227.3412979465452</v>
      </c>
      <c r="AS90" s="714" t="s">
        <v>6364</v>
      </c>
    </row>
    <row r="91" spans="1:45" x14ac:dyDescent="0.3">
      <c r="B91" s="1449" t="s">
        <v>5344</v>
      </c>
      <c r="C91" s="18"/>
      <c r="D91" s="510"/>
      <c r="E91" s="1380">
        <f>F77*G82</f>
        <v>8.7616343969083026</v>
      </c>
      <c r="F91" s="1380">
        <f>F77*G82</f>
        <v>8.7616343969083026</v>
      </c>
      <c r="G91" s="1380">
        <f>G77*G82</f>
        <v>11.627116691701751</v>
      </c>
      <c r="H91" s="1729" t="str">
        <f t="shared" si="21"/>
        <v>lb/1000 gal</v>
      </c>
      <c r="I91" s="1380">
        <f>J77*K82</f>
        <v>10.014435597105376</v>
      </c>
      <c r="J91" s="1380">
        <f>J77*K82</f>
        <v>10.014435597105376</v>
      </c>
      <c r="K91" s="1380">
        <f>K77*K82</f>
        <v>13.289645060990408</v>
      </c>
      <c r="L91" s="1482"/>
      <c r="M91" s="1380">
        <f>N77*O82</f>
        <v>9.4494399390234332</v>
      </c>
      <c r="N91" s="1380">
        <f>N77*O82</f>
        <v>9.4494399390234332</v>
      </c>
      <c r="O91" s="1380">
        <f>O77*O82</f>
        <v>12.458380876346078</v>
      </c>
      <c r="P91" s="1482"/>
      <c r="Q91" s="1380">
        <f>R77*S82</f>
        <v>8.2052711002922933</v>
      </c>
      <c r="R91" s="1380">
        <f>R77*S82</f>
        <v>8.2052711002922933</v>
      </c>
      <c r="S91" s="1380">
        <f>S77*S82</f>
        <v>18.064834586269164</v>
      </c>
      <c r="T91" s="1482"/>
      <c r="U91" s="1380">
        <f>V77*W82</f>
        <v>9.3785194939956256</v>
      </c>
      <c r="V91" s="1380">
        <f>V77*W82</f>
        <v>9.3785194939956256</v>
      </c>
      <c r="W91" s="1380">
        <f>W77*W82</f>
        <v>20.647873940094016</v>
      </c>
      <c r="X91" s="1482"/>
      <c r="Y91" s="1380">
        <f>Z77*AA82</f>
        <v>8.7918952971439577</v>
      </c>
      <c r="Z91" s="1380">
        <f>Z77*AA82</f>
        <v>8.7918952971439577</v>
      </c>
      <c r="AA91" s="1380">
        <f>AA77*AA82</f>
        <v>19.35635426318159</v>
      </c>
      <c r="AB91" s="1482"/>
      <c r="AC91" s="1380">
        <f>AD77*AE82</f>
        <v>8.0003566238014301</v>
      </c>
      <c r="AD91" s="1380">
        <f>AD77*AE82</f>
        <v>8.0003566238014301</v>
      </c>
      <c r="AE91" s="1380">
        <f>AE77*AE82</f>
        <v>20.311518386707082</v>
      </c>
      <c r="AF91" s="18" t="s">
        <v>2414</v>
      </c>
      <c r="AG91" s="1482"/>
      <c r="AH91" s="1380">
        <f>AI77*AJ82</f>
        <v>9.1443048789169108</v>
      </c>
      <c r="AI91" s="1380">
        <f>AI77*AJ82</f>
        <v>9.1443048789169108</v>
      </c>
      <c r="AJ91" s="1380">
        <f>AJ77*AJ82</f>
        <v>23.215804671657601</v>
      </c>
      <c r="AK91" s="1482"/>
      <c r="AL91" s="1380">
        <f>AM77*AN82</f>
        <v>8.5723307513591678</v>
      </c>
      <c r="AM91" s="1380">
        <f>AM77*AN82</f>
        <v>8.5723307513591678</v>
      </c>
      <c r="AN91" s="1380">
        <f>AN77*AN82</f>
        <v>21.76366152918234</v>
      </c>
      <c r="AO91" s="1482"/>
      <c r="AP91" s="1380">
        <f>AQ77*AR82</f>
        <v>5.2731123693120381</v>
      </c>
      <c r="AQ91" s="1380">
        <f>AQ77*AR82</f>
        <v>5.2731123693120381</v>
      </c>
      <c r="AR91" s="1380">
        <f>AR77*AR82</f>
        <v>39.202492805281416</v>
      </c>
      <c r="AS91" s="18" t="s">
        <v>2414</v>
      </c>
    </row>
    <row r="92" spans="1:45" x14ac:dyDescent="0.3">
      <c r="B92" s="1449" t="s">
        <v>5347</v>
      </c>
      <c r="C92" s="18"/>
      <c r="D92" s="510"/>
      <c r="E92" s="1380">
        <f>F78*G83</f>
        <v>6.0291008069911758</v>
      </c>
      <c r="F92" s="1380">
        <f>F78*G83</f>
        <v>6.0291008069911758</v>
      </c>
      <c r="G92" s="1380">
        <f>G78*G83</f>
        <v>26.184800235772695</v>
      </c>
      <c r="H92" s="1729" t="str">
        <f t="shared" si="21"/>
        <v>lb/1000 gal</v>
      </c>
      <c r="I92" s="1380">
        <f>J78*K83</f>
        <v>6.0291008069911758</v>
      </c>
      <c r="J92" s="1380">
        <f>J78*K83</f>
        <v>6.0291008069911758</v>
      </c>
      <c r="K92" s="1380">
        <f>K78*K83</f>
        <v>26.184800235772695</v>
      </c>
      <c r="L92" s="1482"/>
      <c r="M92" s="1380">
        <f>N78*O83</f>
        <v>6.0685357457811921</v>
      </c>
      <c r="N92" s="1380">
        <f>N78*O83</f>
        <v>6.0685357457811921</v>
      </c>
      <c r="O92" s="1380">
        <f>O78*O83</f>
        <v>26.184800235772695</v>
      </c>
      <c r="P92" s="1482"/>
      <c r="Q92" s="1380">
        <f>R78*S83</f>
        <v>6.1053178818686842</v>
      </c>
      <c r="R92" s="1380">
        <f>R78*S83</f>
        <v>6.1053178818686842</v>
      </c>
      <c r="S92" s="1380">
        <f>S78*S83</f>
        <v>43.990525627210168</v>
      </c>
      <c r="T92" s="1482"/>
      <c r="U92" s="1380">
        <f>V78*W83</f>
        <v>6.1053178818686842</v>
      </c>
      <c r="V92" s="1380">
        <f>V78*W83</f>
        <v>6.1053178818686842</v>
      </c>
      <c r="W92" s="1380">
        <f>W78*W83</f>
        <v>43.990525627210168</v>
      </c>
      <c r="X92" s="1482"/>
      <c r="Y92" s="1380">
        <f>Z78*AA83</f>
        <v>6.1053178818686842</v>
      </c>
      <c r="Z92" s="1380">
        <f>Z78*AA83</f>
        <v>6.1053178818686842</v>
      </c>
      <c r="AA92" s="1380">
        <f>AA78*AA83</f>
        <v>43.990525627210168</v>
      </c>
      <c r="AB92" s="1482"/>
      <c r="AC92" s="1380">
        <f>AD78*AE83</f>
        <v>6.127774633328519</v>
      </c>
      <c r="AD92" s="1380">
        <f>AD78*AE83</f>
        <v>6.127774633328519</v>
      </c>
      <c r="AE92" s="1380">
        <f>AE78*AE83</f>
        <v>50.914987777031612</v>
      </c>
      <c r="AF92" s="18" t="s">
        <v>2414</v>
      </c>
      <c r="AG92" s="1482"/>
      <c r="AH92" s="1380">
        <f>AI78*AJ83</f>
        <v>6.127774633328519</v>
      </c>
      <c r="AI92" s="1380">
        <f>AI78*AJ83</f>
        <v>6.127774633328519</v>
      </c>
      <c r="AJ92" s="1380">
        <f>AJ78*AJ83</f>
        <v>50.914987777031612</v>
      </c>
      <c r="AK92" s="1482"/>
      <c r="AL92" s="1380">
        <f>AM78*AN83</f>
        <v>6.1277746333285181</v>
      </c>
      <c r="AM92" s="1380">
        <f>AM78*AN83</f>
        <v>6.1277746333285181</v>
      </c>
      <c r="AN92" s="1380">
        <f>AN78*AN83</f>
        <v>50.914987777031612</v>
      </c>
      <c r="AO92" s="1482"/>
      <c r="AP92" s="1380">
        <f>AQ78*AR83</f>
        <v>2.5793867420666752</v>
      </c>
      <c r="AQ92" s="1380">
        <f>AQ78*AR83</f>
        <v>2.5793867420666752</v>
      </c>
      <c r="AR92" s="1380">
        <f>AR78*AR83</f>
        <v>62.758555137360794</v>
      </c>
      <c r="AS92" s="18" t="s">
        <v>2414</v>
      </c>
    </row>
    <row r="93" spans="1:45" x14ac:dyDescent="0.3">
      <c r="B93" s="1449" t="s">
        <v>5349</v>
      </c>
      <c r="C93" s="18"/>
      <c r="D93" s="510"/>
      <c r="E93" s="1380">
        <f>F79*G84</f>
        <v>9.6433115456136793</v>
      </c>
      <c r="F93" s="1380">
        <f>F79*G84</f>
        <v>9.6433115456136793</v>
      </c>
      <c r="G93" s="1380">
        <f>G79*G84</f>
        <v>27.563082231954681</v>
      </c>
      <c r="H93" s="1729" t="str">
        <f t="shared" si="21"/>
        <v>lb/1000 gal</v>
      </c>
      <c r="I93" s="1380">
        <f>J79*K84</f>
        <v>9.6433115456136793</v>
      </c>
      <c r="J93" s="1380">
        <f>J79*K84</f>
        <v>9.6433115456136793</v>
      </c>
      <c r="K93" s="1380">
        <f>K79*K84</f>
        <v>27.563082231954681</v>
      </c>
      <c r="L93" s="1482"/>
      <c r="M93" s="1380">
        <f>N79*O84</f>
        <v>9.7063861918516992</v>
      </c>
      <c r="N93" s="1380">
        <f>N79*O84</f>
        <v>9.7063861918516992</v>
      </c>
      <c r="O93" s="1380">
        <f>O79*O84</f>
        <v>27.563082231954681</v>
      </c>
      <c r="P93" s="1482"/>
      <c r="Q93" s="1380">
        <f>R79*S84</f>
        <v>9.765217783652842</v>
      </c>
      <c r="R93" s="1380">
        <f>R79*S84</f>
        <v>9.765217783652842</v>
      </c>
      <c r="S93" s="1380">
        <f>S79*S84</f>
        <v>46.306042603800783</v>
      </c>
      <c r="T93" s="1482"/>
      <c r="U93" s="1380">
        <f>V79*W84</f>
        <v>9.765217783652842</v>
      </c>
      <c r="V93" s="1380">
        <f>V79*W84</f>
        <v>9.765217783652842</v>
      </c>
      <c r="W93" s="1380">
        <f>W79*W84</f>
        <v>46.306042603800783</v>
      </c>
      <c r="X93" s="1482"/>
      <c r="Y93" s="1380">
        <f>Z79*AA84</f>
        <v>9.765217783652842</v>
      </c>
      <c r="Z93" s="1380">
        <f>Z79*AA84</f>
        <v>9.765217783652842</v>
      </c>
      <c r="AA93" s="1380">
        <f>AA79*AA84</f>
        <v>46.306042603800783</v>
      </c>
      <c r="AB93" s="1482"/>
      <c r="AC93" s="1380">
        <f>AD79*AE84</f>
        <v>9.8011364815751758</v>
      </c>
      <c r="AD93" s="1380">
        <f>AD79*AE84</f>
        <v>9.8011364815751758</v>
      </c>
      <c r="AE93" s="1380">
        <f>AE79*AE84</f>
        <v>53.594985728401809</v>
      </c>
      <c r="AF93" s="18" t="s">
        <v>2414</v>
      </c>
      <c r="AG93" s="1482"/>
      <c r="AH93" s="1380">
        <f>AI79*AJ84</f>
        <v>9.8011364815751758</v>
      </c>
      <c r="AI93" s="1380">
        <f>AI79*AJ84</f>
        <v>9.8011364815751758</v>
      </c>
      <c r="AJ93" s="1380">
        <f>AJ79*AJ84</f>
        <v>53.594985728401809</v>
      </c>
      <c r="AK93" s="1482"/>
      <c r="AL93" s="1380">
        <f>AM79*AN84</f>
        <v>9.801136481575174</v>
      </c>
      <c r="AM93" s="1380">
        <f>AM79*AN84</f>
        <v>9.801136481575174</v>
      </c>
      <c r="AN93" s="1380">
        <f>AN79*AN84</f>
        <v>53.594985728401809</v>
      </c>
      <c r="AO93" s="1482"/>
      <c r="AP93" s="1380">
        <f>AQ79*AR84</f>
        <v>4.442984508395833</v>
      </c>
      <c r="AQ93" s="1380">
        <f>AQ79*AR84</f>
        <v>4.442984508395833</v>
      </c>
      <c r="AR93" s="1380">
        <f>AR79*AR84</f>
        <v>71.143648828791569</v>
      </c>
      <c r="AS93" s="18" t="s">
        <v>2414</v>
      </c>
    </row>
    <row r="94" spans="1:45" x14ac:dyDescent="0.3">
      <c r="B94" s="1449" t="s">
        <v>5351</v>
      </c>
      <c r="C94" s="18"/>
      <c r="D94" s="510"/>
      <c r="E94" s="1380">
        <f>G85/E91</f>
        <v>22.256121536959952</v>
      </c>
      <c r="F94" s="1395">
        <f>G85/F91</f>
        <v>22.256121536959952</v>
      </c>
      <c r="G94" s="1395">
        <f>IF(G91=0,0,G85/G91)</f>
        <v>16.771139842362732</v>
      </c>
      <c r="H94" s="1729" t="str">
        <f t="shared" si="21"/>
        <v>1000 gal/ac/yr</v>
      </c>
      <c r="I94" s="1380">
        <f>K85/I91</f>
        <v>19.471891162429944</v>
      </c>
      <c r="J94" s="1395">
        <f>K85/J91</f>
        <v>19.471891162429944</v>
      </c>
      <c r="K94" s="1395">
        <f>IF(K91=0,0,K85/K91)</f>
        <v>14.673078107434998</v>
      </c>
      <c r="L94" s="1484"/>
      <c r="M94" s="1380">
        <f>O85/M91</f>
        <v>20.636143650663023</v>
      </c>
      <c r="N94" s="1395">
        <f>O85/N91</f>
        <v>20.636143650663023</v>
      </c>
      <c r="O94" s="1395">
        <f>IF(O91=0,0,O85/O91)</f>
        <v>15.652114182047033</v>
      </c>
      <c r="P94" s="1484"/>
      <c r="Q94" s="1380">
        <f>S85/Q91</f>
        <v>23.765211120575113</v>
      </c>
      <c r="R94" s="1395">
        <f>S85/R91</f>
        <v>23.765211120575113</v>
      </c>
      <c r="S94" s="1395">
        <f>IF(S91=0,0,S85/S91)</f>
        <v>10.794452563004194</v>
      </c>
      <c r="T94" s="1484"/>
      <c r="U94" s="1380">
        <f>W85/U91</f>
        <v>20.792194346329836</v>
      </c>
      <c r="V94" s="1395">
        <f>W85/V91</f>
        <v>20.792194346329836</v>
      </c>
      <c r="W94" s="1395">
        <f>IF(W91=0,0,W85/W91)</f>
        <v>9.4440716059075331</v>
      </c>
      <c r="X94" s="1484"/>
      <c r="Y94" s="1380">
        <f>AA85/Y91</f>
        <v>22.179518000327601</v>
      </c>
      <c r="Z94" s="1395">
        <f>AA85/Z91</f>
        <v>22.179518000327601</v>
      </c>
      <c r="AA94" s="1395">
        <f>IF(AA91=0,0,AA85/AA91)</f>
        <v>10.074211153022572</v>
      </c>
      <c r="AB94" s="1484"/>
      <c r="AC94" s="1380">
        <f>AE85/AC91</f>
        <v>24.373913460290758</v>
      </c>
      <c r="AD94" s="1395">
        <f>AE85/AD91</f>
        <v>24.373913460290758</v>
      </c>
      <c r="AE94" s="1395">
        <f>IF(AE91=0,0,AE85/AE91)</f>
        <v>9.6004639479645295</v>
      </c>
      <c r="AF94" s="18" t="s">
        <v>5578</v>
      </c>
      <c r="AG94" s="1484"/>
      <c r="AH94" s="1380">
        <f>AJ85/AH91</f>
        <v>21.324748308599332</v>
      </c>
      <c r="AI94" s="1395">
        <f>AJ85/AI91</f>
        <v>21.324748308599332</v>
      </c>
      <c r="AJ94" s="1395">
        <f>IF(AJ91=0,0,AJ85/AJ91)</f>
        <v>8.3994504070780955</v>
      </c>
      <c r="AK94" s="1484"/>
      <c r="AL94" s="1380">
        <f>AN85/AL91</f>
        <v>22.747605716109611</v>
      </c>
      <c r="AM94" s="1395">
        <f>AN85/AM91</f>
        <v>22.747605716109611</v>
      </c>
      <c r="AN94" s="1395">
        <f>IF(AN91=0,0,AN85/AN91)</f>
        <v>8.9598893889490725</v>
      </c>
      <c r="AO94" s="1484"/>
      <c r="AP94" s="1380">
        <f>AR85/AP91</f>
        <v>36.980057761492546</v>
      </c>
      <c r="AQ94" s="1395">
        <f>AR85/AQ91</f>
        <v>36.980057761492546</v>
      </c>
      <c r="AR94" s="1395">
        <f>IF(AR91=0,0,AR85/AR91)</f>
        <v>4.9741734784204672</v>
      </c>
      <c r="AS94" s="18" t="s">
        <v>5578</v>
      </c>
    </row>
    <row r="95" spans="1:45" x14ac:dyDescent="0.3">
      <c r="B95" s="1449" t="s">
        <v>5353</v>
      </c>
      <c r="C95" s="18"/>
      <c r="D95" s="510"/>
      <c r="E95" s="1380">
        <f t="shared" ref="E95" si="40">G86/E92</f>
        <v>9.1224216944960599</v>
      </c>
      <c r="F95" s="1395">
        <f>G86/F92</f>
        <v>9.1224216944960599</v>
      </c>
      <c r="G95" s="1395">
        <f>IF(G92=0,0,G86/G92)</f>
        <v>2.100455207019722</v>
      </c>
      <c r="H95" s="1729" t="str">
        <f t="shared" si="21"/>
        <v>1000 gal/ac/yr</v>
      </c>
      <c r="I95" s="1380">
        <f t="shared" ref="I95" si="41">K86/I92</f>
        <v>9.1224216944960599</v>
      </c>
      <c r="J95" s="1395">
        <f>K86/J92</f>
        <v>9.1224216944960599</v>
      </c>
      <c r="K95" s="1395">
        <f>IF(K92=0,0,K86/K92)</f>
        <v>2.100455207019722</v>
      </c>
      <c r="L95" s="1484"/>
      <c r="M95" s="1380">
        <f t="shared" ref="M95" si="42">O86/M92</f>
        <v>9.0631418029028925</v>
      </c>
      <c r="N95" s="1395">
        <f>O86/N92</f>
        <v>9.0631418029028925</v>
      </c>
      <c r="O95" s="1395">
        <f>IF(O92=0,0,O86/O92)</f>
        <v>2.100455207019722</v>
      </c>
      <c r="P95" s="1484"/>
      <c r="Q95" s="1380">
        <f t="shared" ref="Q95" si="43">S86/Q92</f>
        <v>9.0085399424224377</v>
      </c>
      <c r="R95" s="1395">
        <f>S86/R92</f>
        <v>9.0085399424224377</v>
      </c>
      <c r="S95" s="1395">
        <f>IF(S92=0,0,S86/S92)</f>
        <v>1.2502692162873354</v>
      </c>
      <c r="T95" s="1484"/>
      <c r="U95" s="1380">
        <f t="shared" ref="U95" si="44">W86/U92</f>
        <v>9.0085399424224377</v>
      </c>
      <c r="V95" s="1395">
        <f>W86/V92</f>
        <v>9.0085399424224377</v>
      </c>
      <c r="W95" s="1395">
        <f>IF(W92=0,0,W86/W92)</f>
        <v>1.2502692162873354</v>
      </c>
      <c r="X95" s="1484"/>
      <c r="Y95" s="1380">
        <f t="shared" ref="Y95" si="45">AA86/Y92</f>
        <v>9.0085399424224377</v>
      </c>
      <c r="Z95" s="1395">
        <f>AA86/Z92</f>
        <v>9.0085399424224377</v>
      </c>
      <c r="AA95" s="1395">
        <f>IF(AA92=0,0,AA86/AA92)</f>
        <v>1.2502692162873354</v>
      </c>
      <c r="AB95" s="1484"/>
      <c r="AC95" s="1380">
        <f t="shared" ref="AC95" si="46">AE86/AC92</f>
        <v>8.9755259112923333</v>
      </c>
      <c r="AD95" s="1395">
        <f>AE86/AD92</f>
        <v>8.9755259112923333</v>
      </c>
      <c r="AE95" s="1395">
        <f>IF(AE92=0,0,AE86/AE92)</f>
        <v>1.0802320181408585</v>
      </c>
      <c r="AF95" s="18" t="s">
        <v>5578</v>
      </c>
      <c r="AG95" s="1484"/>
      <c r="AH95" s="1380">
        <f t="shared" ref="AH95" si="47">AJ86/AH92</f>
        <v>8.9755259112923333</v>
      </c>
      <c r="AI95" s="1395">
        <f>AJ86/AI92</f>
        <v>8.9755259112923333</v>
      </c>
      <c r="AJ95" s="1395">
        <f>IF(AJ92=0,0,AJ86/AJ92)</f>
        <v>1.0802320181408585</v>
      </c>
      <c r="AK95" s="1484"/>
      <c r="AL95" s="1380">
        <f t="shared" ref="AL95" si="48">AN86/AL92</f>
        <v>8.9755259112923351</v>
      </c>
      <c r="AM95" s="1395">
        <f>AN86/AM92</f>
        <v>8.9755259112923351</v>
      </c>
      <c r="AN95" s="1395">
        <f>IF(AN92=0,0,AN86/AN92)</f>
        <v>1.0802320181408585</v>
      </c>
      <c r="AO95" s="1484"/>
      <c r="AP95" s="1380">
        <f t="shared" ref="AP95" si="49">AR86/AP92</f>
        <v>21.322897843513182</v>
      </c>
      <c r="AQ95" s="1395">
        <f>AR86/AQ92</f>
        <v>21.322897843513182</v>
      </c>
      <c r="AR95" s="1395">
        <f>IF(AR92=0,0,AR86/AR92)</f>
        <v>0.87637454175961349</v>
      </c>
      <c r="AS95" s="18" t="s">
        <v>5578</v>
      </c>
    </row>
    <row r="96" spans="1:45" x14ac:dyDescent="0.3">
      <c r="B96" s="1449" t="s">
        <v>5355</v>
      </c>
      <c r="C96" s="18"/>
      <c r="D96" s="510"/>
      <c r="E96" s="1380">
        <f>G87/E93</f>
        <v>9.3328935370689194</v>
      </c>
      <c r="F96" s="1395">
        <f>G87/F93</f>
        <v>9.3328935370689194</v>
      </c>
      <c r="G96" s="1395">
        <f>IF(G93=0,0,G87/G93)</f>
        <v>3.2652371473775306</v>
      </c>
      <c r="H96" s="1729" t="str">
        <f t="shared" si="21"/>
        <v>1000 gal/ac/yr</v>
      </c>
      <c r="I96" s="1380">
        <f>K87/I93</f>
        <v>9.3328935370689194</v>
      </c>
      <c r="J96" s="1395">
        <f>K87/J93</f>
        <v>9.3328935370689194</v>
      </c>
      <c r="K96" s="1395">
        <f>IF(K93=0,0,K87/K93)</f>
        <v>3.2652371473775306</v>
      </c>
      <c r="L96" s="1484"/>
      <c r="M96" s="1380">
        <f>O87/M93</f>
        <v>9.2722459441757064</v>
      </c>
      <c r="N96" s="1395">
        <f>O87/N93</f>
        <v>9.2722459441757064</v>
      </c>
      <c r="O96" s="1395">
        <f>IF(O93=0,0,O87/O93)</f>
        <v>3.2652371473775306</v>
      </c>
      <c r="P96" s="1484"/>
      <c r="Q96" s="1380">
        <f>S87/Q93</f>
        <v>9.2163843135850687</v>
      </c>
      <c r="R96" s="1395">
        <f>S87/R93</f>
        <v>9.2163843135850687</v>
      </c>
      <c r="S96" s="1395">
        <f>IF(S93=0,0,S87/S93)</f>
        <v>1.9435908347869233</v>
      </c>
      <c r="T96" s="1484"/>
      <c r="U96" s="1380">
        <f>W87/U93</f>
        <v>9.2163843135850687</v>
      </c>
      <c r="V96" s="1395">
        <f>W87/V93</f>
        <v>9.2163843135850687</v>
      </c>
      <c r="W96" s="1395">
        <f>IF(W93=0,0,W87/W93)</f>
        <v>1.9435908347869233</v>
      </c>
      <c r="X96" s="1484"/>
      <c r="Y96" s="1380">
        <f>AA87/Y93</f>
        <v>9.2163843135850687</v>
      </c>
      <c r="Z96" s="1395">
        <f>AA87/Z93</f>
        <v>9.2163843135850687</v>
      </c>
      <c r="AA96" s="1395">
        <f>IF(AA93=0,0,AA87/AA93)</f>
        <v>1.9435908347869233</v>
      </c>
      <c r="AB96" s="1484"/>
      <c r="AC96" s="1380">
        <f>AE87/AC93</f>
        <v>9.1826085851562169</v>
      </c>
      <c r="AD96" s="1395">
        <f>AE87/AD93</f>
        <v>9.1826085851562169</v>
      </c>
      <c r="AE96" s="1395">
        <f>IF(AE93=0,0,AE87/AE93)</f>
        <v>1.6792615722688016</v>
      </c>
      <c r="AF96" s="18" t="s">
        <v>5578</v>
      </c>
      <c r="AG96" s="1484"/>
      <c r="AH96" s="1380">
        <f>AJ87/AH93</f>
        <v>9.1826085851562169</v>
      </c>
      <c r="AI96" s="1395">
        <f>AJ87/AI93</f>
        <v>9.1826085851562169</v>
      </c>
      <c r="AJ96" s="1395">
        <f>IF(AJ93=0,0,AJ87/AJ93)</f>
        <v>1.6792615722688016</v>
      </c>
      <c r="AK96" s="1484"/>
      <c r="AL96" s="1380">
        <f>AN87/AL93</f>
        <v>9.1826085851562187</v>
      </c>
      <c r="AM96" s="1395">
        <f>AN87/AM93</f>
        <v>9.1826085851562187</v>
      </c>
      <c r="AN96" s="1395">
        <f>IF(AN93=0,0,AN87/AN93)</f>
        <v>1.6792615722688016</v>
      </c>
      <c r="AO96" s="1484"/>
      <c r="AP96" s="1380">
        <f>AR87/AP93</f>
        <v>20.256654019371105</v>
      </c>
      <c r="AQ96" s="1395">
        <f>AR87/AQ93</f>
        <v>20.256654019371105</v>
      </c>
      <c r="AR96" s="1395">
        <f>IF(AR93=0,0,AR87/AR93)</f>
        <v>1.2650461633839807</v>
      </c>
      <c r="AS96" s="18" t="s">
        <v>5578</v>
      </c>
    </row>
    <row r="97" spans="2:45" x14ac:dyDescent="0.3">
      <c r="B97" s="1449" t="s">
        <v>5343</v>
      </c>
      <c r="C97" s="18"/>
      <c r="D97" s="510"/>
      <c r="E97" s="510"/>
      <c r="F97" s="1452"/>
      <c r="G97" s="1450" t="str">
        <f>UDV.crops.apply_for</f>
        <v>N</v>
      </c>
      <c r="H97" s="1729" t="str">
        <f t="shared" si="21"/>
        <v>nutrient</v>
      </c>
      <c r="I97" s="510"/>
      <c r="J97" s="1452"/>
      <c r="K97" s="1450" t="str">
        <f>UDV.crops.apply_for</f>
        <v>N</v>
      </c>
      <c r="L97" s="1483"/>
      <c r="M97" s="510"/>
      <c r="N97" s="1452"/>
      <c r="O97" s="1450" t="str">
        <f>UDV.crops.apply_for</f>
        <v>N</v>
      </c>
      <c r="P97" s="1483"/>
      <c r="Q97" s="510"/>
      <c r="R97" s="1452"/>
      <c r="S97" s="1450" t="str">
        <f>UDV.crops.apply_for</f>
        <v>N</v>
      </c>
      <c r="T97" s="1483"/>
      <c r="U97" s="510"/>
      <c r="V97" s="1452"/>
      <c r="W97" s="1450" t="str">
        <f>UDV.crops.apply_for</f>
        <v>N</v>
      </c>
      <c r="X97" s="1483"/>
      <c r="Y97" s="510"/>
      <c r="Z97" s="1452"/>
      <c r="AA97" s="1450" t="str">
        <f>UDV.crops.apply_for</f>
        <v>N</v>
      </c>
      <c r="AB97" s="1483"/>
      <c r="AC97" s="510"/>
      <c r="AD97" s="1452"/>
      <c r="AE97" s="1450" t="str">
        <f>UDV.crops.apply_for</f>
        <v>N</v>
      </c>
      <c r="AF97" s="18" t="s">
        <v>5579</v>
      </c>
      <c r="AG97" s="1483"/>
      <c r="AH97" s="510"/>
      <c r="AI97" s="1452"/>
      <c r="AJ97" s="1450" t="str">
        <f>UDV.crops.apply_for</f>
        <v>N</v>
      </c>
      <c r="AK97" s="1483"/>
      <c r="AL97" s="510"/>
      <c r="AM97" s="1452"/>
      <c r="AN97" s="1450" t="str">
        <f>UDV.crops.apply_for</f>
        <v>N</v>
      </c>
      <c r="AO97" s="1483"/>
      <c r="AP97" s="510"/>
      <c r="AQ97" s="1452"/>
      <c r="AR97" s="1450" t="str">
        <f>UDV.crops.apply_for</f>
        <v>N</v>
      </c>
      <c r="AS97" s="18" t="s">
        <v>5579</v>
      </c>
    </row>
    <row r="98" spans="2:45" x14ac:dyDescent="0.3">
      <c r="B98" s="1453" t="s">
        <v>6374</v>
      </c>
      <c r="C98" s="91"/>
      <c r="D98" s="52"/>
      <c r="E98" s="1378">
        <f>UDV.crops.application_max_irrigation</f>
        <v>10</v>
      </c>
      <c r="F98" s="1378">
        <f>UDV.crops.application_max_liquids</f>
        <v>10</v>
      </c>
      <c r="G98" s="1378">
        <f>UDV.crops.application_max_sludge</f>
        <v>10</v>
      </c>
      <c r="H98" s="1729" t="str">
        <f t="shared" si="21"/>
        <v>1000 gal/ac/application</v>
      </c>
      <c r="I98" s="1378">
        <f>UDV.crops.application_max_irrigation</f>
        <v>10</v>
      </c>
      <c r="J98" s="1378">
        <f>UDV.crops.application_max_liquids</f>
        <v>10</v>
      </c>
      <c r="K98" s="1378">
        <f>UDV.crops.application_max_sludge</f>
        <v>10</v>
      </c>
      <c r="L98" s="1481"/>
      <c r="M98" s="1378">
        <f>UDV.crops.application_max_irrigation</f>
        <v>10</v>
      </c>
      <c r="N98" s="1378">
        <f>UDV.crops.application_max_liquids</f>
        <v>10</v>
      </c>
      <c r="O98" s="1378">
        <f>UDV.crops.application_max_sludge</f>
        <v>10</v>
      </c>
      <c r="P98" s="1481"/>
      <c r="Q98" s="1378">
        <f>UDV.crops.application_max_irrigation</f>
        <v>10</v>
      </c>
      <c r="R98" s="1378">
        <f>UDV.crops.application_max_liquids</f>
        <v>10</v>
      </c>
      <c r="S98" s="1378">
        <f>UDV.crops.application_max_sludge</f>
        <v>10</v>
      </c>
      <c r="T98" s="1481"/>
      <c r="U98" s="1378">
        <f>UDV.crops.application_max_irrigation</f>
        <v>10</v>
      </c>
      <c r="V98" s="1378">
        <f>UDV.crops.application_max_liquids</f>
        <v>10</v>
      </c>
      <c r="W98" s="1378">
        <f>UDV.crops.application_max_sludge</f>
        <v>10</v>
      </c>
      <c r="X98" s="1481"/>
      <c r="Y98" s="1378">
        <f>UDV.crops.application_max_irrigation</f>
        <v>10</v>
      </c>
      <c r="Z98" s="1378">
        <f>UDV.crops.application_max_liquids</f>
        <v>10</v>
      </c>
      <c r="AA98" s="1378">
        <f>UDV.crops.application_max_sludge</f>
        <v>10</v>
      </c>
      <c r="AB98" s="1481"/>
      <c r="AC98" s="1378">
        <f>UDV.crops.application_max_irrigation</f>
        <v>10</v>
      </c>
      <c r="AD98" s="1378">
        <f>UDV.crops.application_max_liquids</f>
        <v>10</v>
      </c>
      <c r="AE98" s="1378">
        <f>UDV.crops.application_max_sludge</f>
        <v>10</v>
      </c>
      <c r="AF98" s="18" t="s">
        <v>6375</v>
      </c>
      <c r="AG98" s="1481"/>
      <c r="AH98" s="1378">
        <f>UDV.crops.application_max_irrigation</f>
        <v>10</v>
      </c>
      <c r="AI98" s="1378">
        <f>UDV.crops.application_max_liquids</f>
        <v>10</v>
      </c>
      <c r="AJ98" s="1378">
        <f>UDV.crops.application_max_sludge</f>
        <v>10</v>
      </c>
      <c r="AK98" s="1481"/>
      <c r="AL98" s="1378">
        <f>UDV.crops.application_max_irrigation</f>
        <v>10</v>
      </c>
      <c r="AM98" s="1378">
        <f>UDV.crops.application_max_liquids</f>
        <v>10</v>
      </c>
      <c r="AN98" s="1378">
        <f>UDV.crops.application_max_sludge</f>
        <v>10</v>
      </c>
      <c r="AO98" s="1481"/>
      <c r="AP98" s="1378">
        <f>UDV.crops.application_max_irrigation</f>
        <v>10</v>
      </c>
      <c r="AQ98" s="1378">
        <f>UDV.crops.application_max_liquids</f>
        <v>10</v>
      </c>
      <c r="AR98" s="1378">
        <f>UDV.crops.application_max_sludge</f>
        <v>10</v>
      </c>
      <c r="AS98" s="18" t="s">
        <v>6375</v>
      </c>
    </row>
    <row r="99" spans="2:45" x14ac:dyDescent="0.3">
      <c r="B99" s="49" t="s">
        <v>5581</v>
      </c>
      <c r="C99" s="49"/>
      <c r="D99" s="52"/>
      <c r="E99" s="1413">
        <f>UDV.crops.application_wait_irrigation</f>
        <v>28</v>
      </c>
      <c r="F99" s="1413">
        <f>UDV.crops.application_wait_liquids</f>
        <v>28</v>
      </c>
      <c r="G99" s="1413">
        <f>UDV.crops.application_wait_sludge</f>
        <v>28</v>
      </c>
      <c r="H99" s="1729" t="str">
        <f t="shared" si="21"/>
        <v>days</v>
      </c>
      <c r="I99" s="1413">
        <f>UDV.crops.application_wait_irrigation</f>
        <v>28</v>
      </c>
      <c r="J99" s="1413">
        <f>UDV.crops.application_wait_liquids</f>
        <v>28</v>
      </c>
      <c r="K99" s="1413">
        <f>UDV.crops.application_wait_sludge</f>
        <v>28</v>
      </c>
      <c r="L99" s="1484"/>
      <c r="M99" s="1413">
        <f>UDV.crops.application_wait_irrigation</f>
        <v>28</v>
      </c>
      <c r="N99" s="1413">
        <f>UDV.crops.application_wait_liquids</f>
        <v>28</v>
      </c>
      <c r="O99" s="1413">
        <f>UDV.crops.application_wait_sludge</f>
        <v>28</v>
      </c>
      <c r="P99" s="1484"/>
      <c r="Q99" s="1413">
        <f>UDV.crops.application_wait_irrigation</f>
        <v>28</v>
      </c>
      <c r="R99" s="1413">
        <f>UDV.crops.application_wait_liquids</f>
        <v>28</v>
      </c>
      <c r="S99" s="1413">
        <f>UDV.crops.application_wait_sludge</f>
        <v>28</v>
      </c>
      <c r="T99" s="1484"/>
      <c r="U99" s="1413">
        <f>UDV.crops.application_wait_irrigation</f>
        <v>28</v>
      </c>
      <c r="V99" s="1413">
        <f>UDV.crops.application_wait_liquids</f>
        <v>28</v>
      </c>
      <c r="W99" s="1413">
        <f>UDV.crops.application_wait_sludge</f>
        <v>28</v>
      </c>
      <c r="X99" s="1484"/>
      <c r="Y99" s="1413">
        <f>UDV.crops.application_wait_irrigation</f>
        <v>28</v>
      </c>
      <c r="Z99" s="1413">
        <f>UDV.crops.application_wait_liquids</f>
        <v>28</v>
      </c>
      <c r="AA99" s="1413">
        <f>UDV.crops.application_wait_sludge</f>
        <v>28</v>
      </c>
      <c r="AB99" s="1484"/>
      <c r="AC99" s="1413">
        <f>UDV.crops.application_wait_irrigation</f>
        <v>28</v>
      </c>
      <c r="AD99" s="1413">
        <f>UDV.crops.application_wait_liquids</f>
        <v>28</v>
      </c>
      <c r="AE99" s="1413">
        <f>UDV.crops.application_wait_sludge</f>
        <v>28</v>
      </c>
      <c r="AF99" s="18" t="s">
        <v>2452</v>
      </c>
      <c r="AG99" s="1484"/>
      <c r="AH99" s="1413">
        <f>UDV.crops.application_wait_irrigation</f>
        <v>28</v>
      </c>
      <c r="AI99" s="1413">
        <f>UDV.crops.application_wait_liquids</f>
        <v>28</v>
      </c>
      <c r="AJ99" s="1413">
        <f>UDV.crops.application_wait_sludge</f>
        <v>28</v>
      </c>
      <c r="AK99" s="1484"/>
      <c r="AL99" s="1413">
        <f>UDV.crops.application_wait_irrigation</f>
        <v>28</v>
      </c>
      <c r="AM99" s="1413">
        <f>UDV.crops.application_wait_liquids</f>
        <v>28</v>
      </c>
      <c r="AN99" s="1413">
        <f>UDV.crops.application_wait_sludge</f>
        <v>28</v>
      </c>
      <c r="AO99" s="1484"/>
      <c r="AP99" s="1413">
        <f>UDV.crops.application_wait_irrigation</f>
        <v>28</v>
      </c>
      <c r="AQ99" s="1413">
        <f>UDV.crops.application_wait_liquids</f>
        <v>28</v>
      </c>
      <c r="AR99" s="1413">
        <f>UDV.crops.application_wait_sludge</f>
        <v>28</v>
      </c>
      <c r="AS99" s="18" t="s">
        <v>2452</v>
      </c>
    </row>
    <row r="100" spans="2:45" x14ac:dyDescent="0.3">
      <c r="B100" s="1453" t="s">
        <v>6376</v>
      </c>
      <c r="C100" s="91"/>
      <c r="D100" s="52"/>
      <c r="E100" s="1380">
        <f>IF(E63&lt;1,E98,IF(E99&gt;UC.year_to_day/E63,E98*UC.year_to_day/E99,E63*E98))</f>
        <v>130.35714285714286</v>
      </c>
      <c r="F100" s="1384">
        <f>IF(F63&lt;1,F98,IF(F99&gt;UC.year_to_day/F63,F98*UC.year_to_day/F99,F63*F98))</f>
        <v>20</v>
      </c>
      <c r="G100" s="1384">
        <f>IF(G63&lt;=1,G98,IF(G99&gt;UC.year_to_day/G63,G98*UC.year_to_day/G99,G63*G98))</f>
        <v>10</v>
      </c>
      <c r="H100" s="1729" t="str">
        <f t="shared" si="21"/>
        <v>1000 gal/ac/yr</v>
      </c>
      <c r="I100" s="1380">
        <f>IF(I63&lt;1,I98,IF(I99&gt;UC.year_to_day/I63,I98*UC.year_to_day/I99,I63*I98))</f>
        <v>130.35714285714286</v>
      </c>
      <c r="J100" s="1384">
        <f>IF(J63&lt;1,J98,IF(J99&gt;UC.year_to_day/J63,J98*UC.year_to_day/J99,J63*J98))</f>
        <v>20</v>
      </c>
      <c r="K100" s="1384">
        <f>IF(K63&lt;=1,K98,IF(K99&gt;UC.year_to_day/K63,K98*UC.year_to_day/K99,K63*K98))</f>
        <v>10</v>
      </c>
      <c r="L100" s="1481"/>
      <c r="M100" s="1380">
        <f>IF(M63&lt;1,M98,IF(M99&gt;UC.year_to_day/M63,M98*UC.year_to_day/M99,M63*M98))</f>
        <v>130.35714285714286</v>
      </c>
      <c r="N100" s="1384">
        <f>IF(N63&lt;1,N98,IF(N99&gt;UC.year_to_day/N63,N98*UC.year_to_day/N99,N63*N98))</f>
        <v>20</v>
      </c>
      <c r="O100" s="1384">
        <f>IF(O63&lt;=1,O98,IF(O99&gt;UC.year_to_day/O63,O98*UC.year_to_day/O99,O63*O98))</f>
        <v>10</v>
      </c>
      <c r="P100" s="1481"/>
      <c r="Q100" s="1380">
        <f>IF(Q63&lt;1,Q98,IF(Q99&gt;UC.year_to_day/Q63,Q98*UC.year_to_day/Q99,Q63*Q98))</f>
        <v>130.35714285714286</v>
      </c>
      <c r="R100" s="1384">
        <f>IF(R63&lt;1,R98,IF(R99&gt;UC.year_to_day/R63,R98*UC.year_to_day/R99,R63*R98))</f>
        <v>20</v>
      </c>
      <c r="S100" s="1384">
        <f>IF(S63&lt;=1,S98,IF(S99&gt;UC.year_to_day/S63,S98*UC.year_to_day/S99,S63*S98))</f>
        <v>10</v>
      </c>
      <c r="T100" s="1481"/>
      <c r="U100" s="1380">
        <f>IF(U63&lt;1,U98,IF(U99&gt;UC.year_to_day/U63,U98*UC.year_to_day/U99,U63*U98))</f>
        <v>130.35714285714286</v>
      </c>
      <c r="V100" s="1384">
        <f>IF(V63&lt;1,V98,IF(V99&gt;UC.year_to_day/V63,V98*UC.year_to_day/V99,V63*V98))</f>
        <v>20</v>
      </c>
      <c r="W100" s="1384">
        <f>IF(W63&lt;=1,W98,IF(W99&gt;UC.year_to_day/W63,W98*UC.year_to_day/W99,W63*W98))</f>
        <v>10</v>
      </c>
      <c r="X100" s="1481"/>
      <c r="Y100" s="1380">
        <f>IF(Y63&lt;1,Y98,IF(Y99&gt;UC.year_to_day/Y63,Y98*UC.year_to_day/Y99,Y63*Y98))</f>
        <v>130.35714285714286</v>
      </c>
      <c r="Z100" s="1384">
        <f>IF(Z63&lt;1,Z98,IF(Z99&gt;UC.year_to_day/Z63,Z98*UC.year_to_day/Z99,Z63*Z98))</f>
        <v>20</v>
      </c>
      <c r="AA100" s="1384">
        <f>IF(AA63&lt;=1,AA98,IF(AA99&gt;UC.year_to_day/AA63,AA98*UC.year_to_day/AA99,AA63*AA98))</f>
        <v>10</v>
      </c>
      <c r="AB100" s="1481"/>
      <c r="AC100" s="1380">
        <f>IF(AC63&lt;1,AC98,IF(AC99&gt;UC.year_to_day/AC63,AC98*UC.year_to_day/AC99,AC63*AC98))</f>
        <v>130.35714285714286</v>
      </c>
      <c r="AD100" s="1384">
        <f>IF(AD63&lt;1,AD98,IF(AD99&gt;UC.year_to_day/AD63,AD98*UC.year_to_day/AD99,AD63*AD98))</f>
        <v>20</v>
      </c>
      <c r="AE100" s="1384">
        <f>IF(AE63&lt;=1,AE98,IF(AE99&gt;UC.year_to_day/AE63,AE98*UC.year_to_day/AE99,AE63*AE98))</f>
        <v>10</v>
      </c>
      <c r="AF100" s="18" t="s">
        <v>5578</v>
      </c>
      <c r="AG100" s="1481"/>
      <c r="AH100" s="1380">
        <f>IF(AH63&lt;1,AH98,IF(AH99&gt;UC.year_to_day/AH63,AH98*UC.year_to_day/AH99,AH63*AH98))</f>
        <v>130.35714285714286</v>
      </c>
      <c r="AI100" s="1384">
        <f>IF(AI63&lt;1,AI98,IF(AI99&gt;UC.year_to_day/AI63,AI98*UC.year_to_day/AI99,AI63*AI98))</f>
        <v>20</v>
      </c>
      <c r="AJ100" s="1384">
        <f>IF(AJ63&lt;=1,AJ98,IF(AJ99&gt;UC.year_to_day/AJ63,AJ98*UC.year_to_day/AJ99,AJ63*AJ98))</f>
        <v>10</v>
      </c>
      <c r="AK100" s="1481"/>
      <c r="AL100" s="1380">
        <f>IF(AL63&lt;1,AL98,IF(AL99&gt;UC.year_to_day/AL63,AL98*UC.year_to_day/AL99,AL63*AL98))</f>
        <v>130.35714285714286</v>
      </c>
      <c r="AM100" s="1384">
        <f>IF(AM63&lt;1,AM98,IF(AM99&gt;UC.year_to_day/AM63,AM98*UC.year_to_day/AM99,AM63*AM98))</f>
        <v>20</v>
      </c>
      <c r="AN100" s="1384">
        <f>IF(AN63&lt;=1,AN98,IF(AN99&gt;UC.year_to_day/AN63,AN98*UC.year_to_day/AN99,AN63*AN98))</f>
        <v>10</v>
      </c>
      <c r="AO100" s="1481"/>
      <c r="AP100" s="1380">
        <f>IF(AP63&lt;1,AP98,IF(AP99&gt;UC.year_to_day/AP63,AP98*UC.year_to_day/AP99,AP63*AP98))</f>
        <v>130.35714285714286</v>
      </c>
      <c r="AQ100" s="1384">
        <f>IF(AQ63&lt;1,AQ98,IF(AQ99&gt;UC.year_to_day/AQ63,AQ98*UC.year_to_day/AQ99,AQ63*AQ98))</f>
        <v>20</v>
      </c>
      <c r="AR100" s="1384">
        <f>IF(AR63&lt;=1,AR98,IF(AR99&gt;UC.year_to_day/AR63,AR98*UC.year_to_day/AR99,AR63*AR98))</f>
        <v>10</v>
      </c>
      <c r="AS100" s="18" t="s">
        <v>5578</v>
      </c>
    </row>
    <row r="101" spans="2:45" x14ac:dyDescent="0.3">
      <c r="B101" s="1454" t="s">
        <v>6377</v>
      </c>
      <c r="C101" s="510"/>
      <c r="D101" s="510"/>
      <c r="E101" s="1380">
        <f>MIN(IF(G97="N",E94,IF(G97="P",E95,E96)),E100)</f>
        <v>22.256121536959952</v>
      </c>
      <c r="F101" s="1380">
        <f>MIN(IF(G97="N",F94,IF(G97="P",F95,F96)),F100)</f>
        <v>20</v>
      </c>
      <c r="G101" s="1380">
        <f>MIN(IF(G97="N",G94,IF(G97="P",G95,G96)),G100)</f>
        <v>10</v>
      </c>
      <c r="H101" s="1729" t="str">
        <f t="shared" si="21"/>
        <v>1000 gal/ac/yr</v>
      </c>
      <c r="I101" s="1380">
        <f>MIN(IF(K97="N",I94,IF(K97="P",I95,I96)),I100)</f>
        <v>19.471891162429944</v>
      </c>
      <c r="J101" s="1380">
        <f>MIN(IF(K97="N",J94,IF(K97="P",J95,J96)),J100)</f>
        <v>19.471891162429944</v>
      </c>
      <c r="K101" s="1380">
        <f>MIN(IF(K97="N",K94,IF(K97="P",K95,K96)),K100)</f>
        <v>10</v>
      </c>
      <c r="L101" s="1482"/>
      <c r="M101" s="1380">
        <f>MIN(IF(O97="N",M94,IF(O97="P",M95,M96)),M100)</f>
        <v>20.636143650663023</v>
      </c>
      <c r="N101" s="1380">
        <f>MIN(IF(O97="N",N94,IF(O97="P",N95,N96)),N100)</f>
        <v>20</v>
      </c>
      <c r="O101" s="1380">
        <f>MIN(IF(O97="N",O94,IF(O97="P",O95,O96)),O100)</f>
        <v>10</v>
      </c>
      <c r="P101" s="1482"/>
      <c r="Q101" s="1380">
        <f>MIN(IF(S97="N",Q94,IF(S97="P",Q95,Q96)),Q100)</f>
        <v>23.765211120575113</v>
      </c>
      <c r="R101" s="1380">
        <f>MIN(IF(S97="N",R94,IF(S97="P",R95,R96)),R100)</f>
        <v>20</v>
      </c>
      <c r="S101" s="1380">
        <f>MIN(IF(S97="N",S94,IF(S97="P",S95,S96)),S100)</f>
        <v>10</v>
      </c>
      <c r="T101" s="1482"/>
      <c r="U101" s="1380">
        <f>MIN(IF(W97="N",U94,IF(W97="P",U95,U96)),U100)</f>
        <v>20.792194346329836</v>
      </c>
      <c r="V101" s="1380">
        <f>MIN(IF(W97="N",V94,IF(W97="P",V95,V96)),V100)</f>
        <v>20</v>
      </c>
      <c r="W101" s="1380">
        <f>MIN(IF(W97="N",W94,IF(W97="P",W95,W96)),W100)</f>
        <v>9.4440716059075331</v>
      </c>
      <c r="X101" s="1482"/>
      <c r="Y101" s="1380">
        <f>MIN(IF(AA97="N",Y94,IF(AA97="P",Y95,Y96)),Y100)</f>
        <v>22.179518000327601</v>
      </c>
      <c r="Z101" s="1380">
        <f>MIN(IF(AA97="N",Z94,IF(AA97="P",Z95,Z96)),Z100)</f>
        <v>20</v>
      </c>
      <c r="AA101" s="1380">
        <f>MIN(IF(AA97="N",AA94,IF(AA97="P",AA95,AA96)),AA100)</f>
        <v>10</v>
      </c>
      <c r="AB101" s="1482"/>
      <c r="AC101" s="1380">
        <f>MIN(IF(AE97="N",AC94,IF(AE97="P",AC95,AC96)),AC100)</f>
        <v>24.373913460290758</v>
      </c>
      <c r="AD101" s="1380">
        <f>MIN(IF(AE97="N",AD94,IF(AE97="P",AD95,AD96)),AD100)</f>
        <v>20</v>
      </c>
      <c r="AE101" s="1380">
        <f>MIN(IF(AE97="N",AE94,IF(AE97="P",AE95,AE96)),AE100)</f>
        <v>9.6004639479645295</v>
      </c>
      <c r="AF101" s="18" t="s">
        <v>5578</v>
      </c>
      <c r="AG101" s="1482"/>
      <c r="AH101" s="1380">
        <f>MIN(IF(AJ97="N",AH94,IF(AJ97="P",AH95,AH96)),AH100)</f>
        <v>21.324748308599332</v>
      </c>
      <c r="AI101" s="1380">
        <f>MIN(IF(AJ97="N",AI94,IF(AJ97="P",AI95,AI96)),AI100)</f>
        <v>20</v>
      </c>
      <c r="AJ101" s="1380">
        <f>MIN(IF(AJ97="N",AJ94,IF(AJ97="P",AJ95,AJ96)),AJ100)</f>
        <v>8.3994504070780955</v>
      </c>
      <c r="AK101" s="1482"/>
      <c r="AL101" s="1380">
        <f>MIN(IF(AN97="N",AL94,IF(AN97="P",AL95,AL96)),AL100)</f>
        <v>22.747605716109611</v>
      </c>
      <c r="AM101" s="1380">
        <f>MIN(IF(AN97="N",AM94,IF(AN97="P",AM95,AM96)),AM100)</f>
        <v>20</v>
      </c>
      <c r="AN101" s="1380">
        <f>MIN(IF(AN97="N",AN94,IF(AN97="P",AN95,AN96)),AN100)</f>
        <v>8.9598893889490725</v>
      </c>
      <c r="AO101" s="1482"/>
      <c r="AP101" s="1380">
        <f>MIN(IF(AR97="N",AP94,IF(AR97="P",AP95,AP96)),AP100)</f>
        <v>36.980057761492546</v>
      </c>
      <c r="AQ101" s="1380">
        <f>MIN(IF(AR97="N",AQ94,IF(AR97="P",AQ95,AQ96)),AQ100)</f>
        <v>20</v>
      </c>
      <c r="AR101" s="1380">
        <f>MIN(IF(AR97="N",AR94,IF(AR97="P",AR95,AR96)),AR100)</f>
        <v>4.9741734784204672</v>
      </c>
      <c r="AS101" s="18" t="s">
        <v>5578</v>
      </c>
    </row>
    <row r="102" spans="2:45" x14ac:dyDescent="0.3">
      <c r="B102" s="1449" t="s">
        <v>5360</v>
      </c>
      <c r="C102" s="18"/>
      <c r="D102" s="510"/>
      <c r="E102" s="1395">
        <f>E91*E101</f>
        <v>195</v>
      </c>
      <c r="F102" s="1395">
        <f>F91*F101</f>
        <v>175.23268793816607</v>
      </c>
      <c r="G102" s="1395">
        <f>G91*G101</f>
        <v>116.27116691701751</v>
      </c>
      <c r="H102" s="1729" t="str">
        <f t="shared" si="21"/>
        <v>lb/ac/y</v>
      </c>
      <c r="I102" s="1395">
        <f>I91*I101</f>
        <v>195</v>
      </c>
      <c r="J102" s="1395">
        <f>J91*J101</f>
        <v>195</v>
      </c>
      <c r="K102" s="1395">
        <f>K91*K101</f>
        <v>132.89645060990406</v>
      </c>
      <c r="L102" s="1484"/>
      <c r="M102" s="1395">
        <f>M91*M101</f>
        <v>195</v>
      </c>
      <c r="N102" s="1395">
        <f>N91*N101</f>
        <v>188.98879878046867</v>
      </c>
      <c r="O102" s="1395">
        <f>O91*O101</f>
        <v>124.58380876346078</v>
      </c>
      <c r="P102" s="1484"/>
      <c r="Q102" s="1395">
        <f>Q91*Q101</f>
        <v>195</v>
      </c>
      <c r="R102" s="1395">
        <f>R91*R101</f>
        <v>164.10542200584587</v>
      </c>
      <c r="S102" s="1395">
        <f>S91*S101</f>
        <v>180.64834586269166</v>
      </c>
      <c r="T102" s="1484"/>
      <c r="U102" s="1395">
        <f>U91*U101</f>
        <v>195</v>
      </c>
      <c r="V102" s="1395">
        <f>V91*V101</f>
        <v>187.57038987991251</v>
      </c>
      <c r="W102" s="1395">
        <f>W91*W101</f>
        <v>195</v>
      </c>
      <c r="X102" s="1484"/>
      <c r="Y102" s="1395">
        <f>Y91*Y101</f>
        <v>195</v>
      </c>
      <c r="Z102" s="1395">
        <f>Z91*Z101</f>
        <v>175.83790594287916</v>
      </c>
      <c r="AA102" s="1395">
        <f>AA91*AA101</f>
        <v>193.56354263181589</v>
      </c>
      <c r="AB102" s="1484"/>
      <c r="AC102" s="1395">
        <f>AC91*AC101</f>
        <v>195</v>
      </c>
      <c r="AD102" s="1395">
        <f>AD91*AD101</f>
        <v>160.0071324760286</v>
      </c>
      <c r="AE102" s="1395">
        <f>AE91*AE101</f>
        <v>195</v>
      </c>
      <c r="AF102" s="1455" t="s">
        <v>5361</v>
      </c>
      <c r="AG102" s="1484"/>
      <c r="AH102" s="1395">
        <f>AH91*AH101</f>
        <v>195.00000000000003</v>
      </c>
      <c r="AI102" s="1395">
        <f>AI91*AI101</f>
        <v>182.88609757833822</v>
      </c>
      <c r="AJ102" s="1395">
        <f>AJ91*AJ101</f>
        <v>195</v>
      </c>
      <c r="AK102" s="1484"/>
      <c r="AL102" s="1395">
        <f>AL91*AL101</f>
        <v>195</v>
      </c>
      <c r="AM102" s="1395">
        <f>AM91*AM101</f>
        <v>171.44661502718336</v>
      </c>
      <c r="AN102" s="1395">
        <f>AN91*AN101</f>
        <v>195</v>
      </c>
      <c r="AO102" s="1484"/>
      <c r="AP102" s="1395">
        <f>AP91*AP101</f>
        <v>194.99999999999997</v>
      </c>
      <c r="AQ102" s="1395">
        <f>AQ91*AQ101</f>
        <v>105.46224738624076</v>
      </c>
      <c r="AR102" s="1395">
        <f>AR91*AR101</f>
        <v>195</v>
      </c>
      <c r="AS102" s="1455" t="s">
        <v>5361</v>
      </c>
    </row>
    <row r="103" spans="2:45" x14ac:dyDescent="0.3">
      <c r="B103" s="1449" t="s">
        <v>5363</v>
      </c>
      <c r="C103" s="18"/>
      <c r="D103" s="510"/>
      <c r="E103" s="1395">
        <f>E92*E101</f>
        <v>134.18440031897893</v>
      </c>
      <c r="F103" s="1395">
        <f>F92*F101</f>
        <v>120.58201613982351</v>
      </c>
      <c r="G103" s="1395">
        <f>G92*G101</f>
        <v>261.84800235772695</v>
      </c>
      <c r="H103" s="1729" t="str">
        <f t="shared" si="21"/>
        <v>lb/ac/y</v>
      </c>
      <c r="I103" s="1395">
        <f>I92*I101</f>
        <v>117.39799472105072</v>
      </c>
      <c r="J103" s="1395">
        <f>J92*J101</f>
        <v>117.39799472105072</v>
      </c>
      <c r="K103" s="1395">
        <f>K92*K101</f>
        <v>261.84800235772695</v>
      </c>
      <c r="L103" s="1484"/>
      <c r="M103" s="1395">
        <f>M92*M101</f>
        <v>125.23117539912414</v>
      </c>
      <c r="N103" s="1395">
        <f>N92*N101</f>
        <v>121.37071491562384</v>
      </c>
      <c r="O103" s="1395">
        <f>O92*O101</f>
        <v>261.84800235772695</v>
      </c>
      <c r="P103" s="1484"/>
      <c r="Q103" s="1395">
        <f>Q92*Q101</f>
        <v>145.09416842083175</v>
      </c>
      <c r="R103" s="1395">
        <f>R92*R101</f>
        <v>122.10635763737369</v>
      </c>
      <c r="S103" s="1395">
        <f>S92*S101</f>
        <v>439.90525627210167</v>
      </c>
      <c r="T103" s="1484"/>
      <c r="U103" s="1395">
        <f>U92*U101</f>
        <v>126.9429559459365</v>
      </c>
      <c r="V103" s="1395">
        <f>V92*V101</f>
        <v>122.10635763737369</v>
      </c>
      <c r="W103" s="1395">
        <f>W92*W101</f>
        <v>415.44967400488321</v>
      </c>
      <c r="X103" s="1484"/>
      <c r="Y103" s="1395">
        <f>Y92*Y101</f>
        <v>135.41300785862848</v>
      </c>
      <c r="Z103" s="1395">
        <f>Z92*Z101</f>
        <v>122.10635763737369</v>
      </c>
      <c r="AA103" s="1395">
        <f>AA92*AA101</f>
        <v>439.90525627210167</v>
      </c>
      <c r="AB103" s="1484"/>
      <c r="AC103" s="1395">
        <f>AC92*AC101</f>
        <v>149.35784861691425</v>
      </c>
      <c r="AD103" s="1395">
        <f>AD92*AD101</f>
        <v>122.55549266657039</v>
      </c>
      <c r="AE103" s="1395">
        <f>AE92*AE101</f>
        <v>488.80750456444667</v>
      </c>
      <c r="AF103" s="1455" t="s">
        <v>5361</v>
      </c>
      <c r="AG103" s="1484"/>
      <c r="AH103" s="1395">
        <f>AH92*AH101</f>
        <v>130.67325174755024</v>
      </c>
      <c r="AI103" s="1395">
        <f>AI92*AI101</f>
        <v>122.55549266657039</v>
      </c>
      <c r="AJ103" s="1395">
        <f>AJ92*AJ101</f>
        <v>427.65791481016441</v>
      </c>
      <c r="AK103" s="1484"/>
      <c r="AL103" s="1395">
        <f>AL92*AL101</f>
        <v>139.39220127613527</v>
      </c>
      <c r="AM103" s="1395">
        <f>AM92*AM101</f>
        <v>122.55549266657036</v>
      </c>
      <c r="AN103" s="1395">
        <f>AN92*AN101</f>
        <v>456.19265872189726</v>
      </c>
      <c r="AO103" s="1484"/>
      <c r="AP103" s="1395">
        <f>AP92*AP101</f>
        <v>95.385870710853723</v>
      </c>
      <c r="AQ103" s="1395">
        <f>AQ92*AQ101</f>
        <v>51.5877348413335</v>
      </c>
      <c r="AR103" s="1395">
        <f>AR92*AR101</f>
        <v>312.17194050824861</v>
      </c>
      <c r="AS103" s="1455" t="s">
        <v>5361</v>
      </c>
    </row>
    <row r="104" spans="2:45" x14ac:dyDescent="0.3">
      <c r="B104" s="1449" t="s">
        <v>5365</v>
      </c>
      <c r="C104" s="18"/>
      <c r="D104" s="510"/>
      <c r="E104" s="1395">
        <f>E93*E101</f>
        <v>214.62271377794718</v>
      </c>
      <c r="F104" s="1395">
        <f>F93*F101</f>
        <v>192.86623091227358</v>
      </c>
      <c r="G104" s="1395">
        <f>G93*G101</f>
        <v>275.63082231954684</v>
      </c>
      <c r="H104" s="1729" t="str">
        <f t="shared" si="21"/>
        <v>lb/ac/y</v>
      </c>
      <c r="I104" s="1395">
        <f>I93*I101</f>
        <v>187.77351286159364</v>
      </c>
      <c r="J104" s="1395">
        <f>J93*J101</f>
        <v>187.77351286159364</v>
      </c>
      <c r="K104" s="1395">
        <f>K93*K101</f>
        <v>275.63082231954684</v>
      </c>
      <c r="L104" s="1484"/>
      <c r="M104" s="1395">
        <f>M93*M101</f>
        <v>200.30237978386367</v>
      </c>
      <c r="N104" s="1395">
        <f>N93*N101</f>
        <v>194.12772383703398</v>
      </c>
      <c r="O104" s="1395">
        <f>O93*O101</f>
        <v>275.63082231954684</v>
      </c>
      <c r="P104" s="1484"/>
      <c r="Q104" s="1395">
        <f>Q93*Q101</f>
        <v>232.07246226690438</v>
      </c>
      <c r="R104" s="1395">
        <f>R93*R101</f>
        <v>195.30435567305685</v>
      </c>
      <c r="S104" s="1395">
        <f>S93*S101</f>
        <v>463.06042603800785</v>
      </c>
      <c r="T104" s="1484"/>
      <c r="U104" s="1395">
        <f>U93*U101</f>
        <v>203.04030599194618</v>
      </c>
      <c r="V104" s="1395">
        <f>V93*V101</f>
        <v>195.30435567305685</v>
      </c>
      <c r="W104" s="1395">
        <f>W93*W101</f>
        <v>437.31758213649954</v>
      </c>
      <c r="X104" s="1484"/>
      <c r="Y104" s="1395">
        <f>Y93*Y101</f>
        <v>216.58782360964742</v>
      </c>
      <c r="Z104" s="1395">
        <f>Z93*Z101</f>
        <v>195.30435567305685</v>
      </c>
      <c r="AA104" s="1395">
        <f>AA93*AA101</f>
        <v>463.06042603800785</v>
      </c>
      <c r="AB104" s="1484"/>
      <c r="AC104" s="1395">
        <f>AC93*AC101</f>
        <v>238.89205241441198</v>
      </c>
      <c r="AD104" s="1395">
        <f>AD93*AD101</f>
        <v>196.02272963150352</v>
      </c>
      <c r="AE104" s="1395">
        <f>AE93*AE101</f>
        <v>514.53672827719504</v>
      </c>
      <c r="AF104" s="1455" t="s">
        <v>5361</v>
      </c>
      <c r="AG104" s="1484"/>
      <c r="AH104" s="1395">
        <f>AH93*AH101</f>
        <v>209.00676860782144</v>
      </c>
      <c r="AI104" s="1395">
        <f>AI93*AI101</f>
        <v>196.02272963150352</v>
      </c>
      <c r="AJ104" s="1395">
        <f>AJ93*AJ101</f>
        <v>450.16842469376928</v>
      </c>
      <c r="AK104" s="1484"/>
      <c r="AL104" s="1395">
        <f>AL93*AL101</f>
        <v>222.95238825264985</v>
      </c>
      <c r="AM104" s="1395">
        <f>AM93*AM101</f>
        <v>196.02272963150347</v>
      </c>
      <c r="AN104" s="1395">
        <f>AN93*AN101</f>
        <v>480.20514392878437</v>
      </c>
      <c r="AO104" s="1484"/>
      <c r="AP104" s="1395">
        <f>AP93*AP101</f>
        <v>164.30182375389447</v>
      </c>
      <c r="AQ104" s="1395">
        <f>AQ93*AQ101</f>
        <v>88.859690167916654</v>
      </c>
      <c r="AR104" s="1395">
        <f>AR93*AR101</f>
        <v>353.88085116223436</v>
      </c>
      <c r="AS104" s="1455" t="s">
        <v>5361</v>
      </c>
    </row>
    <row r="105" spans="2:45" x14ac:dyDescent="0.3">
      <c r="B105" s="1449" t="s">
        <v>5366</v>
      </c>
      <c r="C105" s="18"/>
      <c r="D105" s="510"/>
      <c r="E105" s="1395">
        <f>IF(G85&lt;E102,G85,E102)</f>
        <v>195</v>
      </c>
      <c r="F105" s="1395">
        <f>IF(G85&lt;F102,G85,F102)</f>
        <v>175.23268793816607</v>
      </c>
      <c r="G105" s="1395">
        <f>IF(G85&lt;G102,G85,G102)</f>
        <v>116.27116691701751</v>
      </c>
      <c r="H105" s="1729" t="str">
        <f t="shared" si="21"/>
        <v>lb/ac/y</v>
      </c>
      <c r="I105" s="1395">
        <f>IF(K85&lt;I102,K85,I102)</f>
        <v>195</v>
      </c>
      <c r="J105" s="1395">
        <f>IF(K85&lt;J102,K85,J102)</f>
        <v>195</v>
      </c>
      <c r="K105" s="1395">
        <f>IF(K85&lt;K102,K85,K102)</f>
        <v>132.89645060990406</v>
      </c>
      <c r="L105" s="1484"/>
      <c r="M105" s="1395">
        <f>IF(O85&lt;M102,O85,M102)</f>
        <v>195</v>
      </c>
      <c r="N105" s="1395">
        <f>IF(O85&lt;N102,O85,N102)</f>
        <v>188.98879878046867</v>
      </c>
      <c r="O105" s="1395">
        <f>IF(O85&lt;O102,O85,O102)</f>
        <v>124.58380876346078</v>
      </c>
      <c r="P105" s="1484"/>
      <c r="Q105" s="1395">
        <f>IF(S85&lt;Q102,S85,Q102)</f>
        <v>195</v>
      </c>
      <c r="R105" s="1395">
        <f>IF(S85&lt;R102,S85,R102)</f>
        <v>164.10542200584587</v>
      </c>
      <c r="S105" s="1395">
        <f>IF(S85&lt;S102,S85,S102)</f>
        <v>180.64834586269166</v>
      </c>
      <c r="T105" s="1484"/>
      <c r="U105" s="1395">
        <f>IF(W85&lt;U102,W85,U102)</f>
        <v>195</v>
      </c>
      <c r="V105" s="1395">
        <f>IF(W85&lt;V102,W85,V102)</f>
        <v>187.57038987991251</v>
      </c>
      <c r="W105" s="1395">
        <f>IF(W85&lt;W102,W85,W102)</f>
        <v>195</v>
      </c>
      <c r="X105" s="1484"/>
      <c r="Y105" s="1395">
        <f>IF(AA85&lt;Y102,AA85,Y102)</f>
        <v>195</v>
      </c>
      <c r="Z105" s="1395">
        <f>IF(AA85&lt;Z102,AA85,Z102)</f>
        <v>175.83790594287916</v>
      </c>
      <c r="AA105" s="1395">
        <f>IF(AA85&lt;AA102,AA85,AA102)</f>
        <v>193.56354263181589</v>
      </c>
      <c r="AB105" s="1484"/>
      <c r="AC105" s="1395">
        <f>IF(AE85&lt;AC102,AE85,AC102)</f>
        <v>195</v>
      </c>
      <c r="AD105" s="1395">
        <f>IF(AE85&lt;AD102,AE85,AD102)</f>
        <v>160.0071324760286</v>
      </c>
      <c r="AE105" s="1395">
        <f>IF(AE85&lt;AE102,AE85,AE102)</f>
        <v>195</v>
      </c>
      <c r="AF105" s="1455" t="s">
        <v>5361</v>
      </c>
      <c r="AG105" s="1484"/>
      <c r="AH105" s="1395">
        <f>IF(AJ85&lt;AH102,AJ85,AH102)</f>
        <v>195.00000000000003</v>
      </c>
      <c r="AI105" s="1395">
        <f>IF(AJ85&lt;AI102,AJ85,AI102)</f>
        <v>182.88609757833822</v>
      </c>
      <c r="AJ105" s="1395">
        <f>IF(AJ85&lt;AJ102,AJ85,AJ102)</f>
        <v>195</v>
      </c>
      <c r="AK105" s="1484"/>
      <c r="AL105" s="1395">
        <f>IF(AN85&lt;AL102,AN85,AL102)</f>
        <v>195</v>
      </c>
      <c r="AM105" s="1395">
        <f>IF(AN85&lt;AM102,AN85,AM102)</f>
        <v>171.44661502718336</v>
      </c>
      <c r="AN105" s="1395">
        <f>IF(AN85&lt;AN102,AN85,AN102)</f>
        <v>195</v>
      </c>
      <c r="AO105" s="1484"/>
      <c r="AP105" s="1395">
        <f>IF(AR85&lt;AP102,AR85,AP102)</f>
        <v>194.99999999999997</v>
      </c>
      <c r="AQ105" s="1395">
        <f>IF(AR85&lt;AQ102,AR85,AQ102)</f>
        <v>105.46224738624076</v>
      </c>
      <c r="AR105" s="1395">
        <f>IF(AR85&lt;AR102,AR85,AR102)</f>
        <v>195</v>
      </c>
      <c r="AS105" s="1455" t="s">
        <v>5361</v>
      </c>
    </row>
    <row r="106" spans="2:45" x14ac:dyDescent="0.3">
      <c r="B106" s="1449" t="s">
        <v>5368</v>
      </c>
      <c r="C106" s="18"/>
      <c r="D106" s="510"/>
      <c r="E106" s="1395">
        <f>IF(G86&lt;E103,G86,E103)</f>
        <v>55</v>
      </c>
      <c r="F106" s="1395">
        <f>IF(G86&lt;F103,G86,F103)</f>
        <v>55</v>
      </c>
      <c r="G106" s="1395">
        <f>IF(G86&lt;G103,G86,G103)</f>
        <v>55</v>
      </c>
      <c r="H106" s="1729" t="str">
        <f t="shared" si="21"/>
        <v>lb/ac/y</v>
      </c>
      <c r="I106" s="1395">
        <f>IF(K86&lt;I103,K86,I103)</f>
        <v>55</v>
      </c>
      <c r="J106" s="1395">
        <f>IF(K86&lt;J103,K86,J103)</f>
        <v>55</v>
      </c>
      <c r="K106" s="1395">
        <f>IF(K86&lt;K103,K86,K103)</f>
        <v>55</v>
      </c>
      <c r="L106" s="1484"/>
      <c r="M106" s="1395">
        <f>IF(O86&lt;M103,O86,M103)</f>
        <v>55</v>
      </c>
      <c r="N106" s="1395">
        <f>IF(O86&lt;N103,O86,N103)</f>
        <v>55</v>
      </c>
      <c r="O106" s="1395">
        <f>IF(O86&lt;O103,O86,O103)</f>
        <v>55</v>
      </c>
      <c r="P106" s="1484"/>
      <c r="Q106" s="1395">
        <f>IF(S86&lt;Q103,S86,Q103)</f>
        <v>55</v>
      </c>
      <c r="R106" s="1395">
        <f>IF(S86&lt;R103,S86,R103)</f>
        <v>55</v>
      </c>
      <c r="S106" s="1395">
        <f>IF(S86&lt;S103,S86,S103)</f>
        <v>55</v>
      </c>
      <c r="T106" s="1484"/>
      <c r="U106" s="1395">
        <f>IF(W86&lt;U103,W86,U103)</f>
        <v>55</v>
      </c>
      <c r="V106" s="1395">
        <f>IF(W86&lt;V103,W86,V103)</f>
        <v>55</v>
      </c>
      <c r="W106" s="1395">
        <f>IF(W86&lt;W103,W86,W103)</f>
        <v>55</v>
      </c>
      <c r="X106" s="1484"/>
      <c r="Y106" s="1395">
        <f>IF(AA86&lt;Y103,AA86,Y103)</f>
        <v>55</v>
      </c>
      <c r="Z106" s="1395">
        <f>IF(AA86&lt;Z103,AA86,Z103)</f>
        <v>55</v>
      </c>
      <c r="AA106" s="1395">
        <f>IF(AA86&lt;AA103,AA86,AA103)</f>
        <v>55</v>
      </c>
      <c r="AB106" s="1484"/>
      <c r="AC106" s="1395">
        <f>IF(AE86&lt;AC103,AE86,AC103)</f>
        <v>55</v>
      </c>
      <c r="AD106" s="1395">
        <f>IF(AE86&lt;AD103,AE86,AD103)</f>
        <v>55</v>
      </c>
      <c r="AE106" s="1395">
        <f>IF(AE86&lt;AE103,AE86,AE103)</f>
        <v>55</v>
      </c>
      <c r="AF106" s="1455" t="s">
        <v>5361</v>
      </c>
      <c r="AG106" s="1484"/>
      <c r="AH106" s="1395">
        <f>IF(AJ86&lt;AH103,AJ86,AH103)</f>
        <v>55</v>
      </c>
      <c r="AI106" s="1395">
        <f>IF(AJ86&lt;AI103,AJ86,AI103)</f>
        <v>55</v>
      </c>
      <c r="AJ106" s="1395">
        <f>IF(AJ86&lt;AJ103,AJ86,AJ103)</f>
        <v>55</v>
      </c>
      <c r="AK106" s="1484"/>
      <c r="AL106" s="1395">
        <f>IF(AN86&lt;AL103,AN86,AL103)</f>
        <v>55</v>
      </c>
      <c r="AM106" s="1395">
        <f>IF(AN86&lt;AM103,AN86,AM103)</f>
        <v>55</v>
      </c>
      <c r="AN106" s="1395">
        <f>IF(AN86&lt;AN103,AN86,AN103)</f>
        <v>55</v>
      </c>
      <c r="AO106" s="1484"/>
      <c r="AP106" s="1395">
        <f>IF(AR86&lt;AP103,AR86,AP103)</f>
        <v>55</v>
      </c>
      <c r="AQ106" s="1395">
        <f>IF(AR86&lt;AQ103,AR86,AQ103)</f>
        <v>51.5877348413335</v>
      </c>
      <c r="AR106" s="1395">
        <f>IF(AR86&lt;AR103,AR86,AR103)</f>
        <v>55</v>
      </c>
      <c r="AS106" s="1455" t="s">
        <v>5361</v>
      </c>
    </row>
    <row r="107" spans="2:45" x14ac:dyDescent="0.3">
      <c r="B107" s="1449" t="s">
        <v>5370</v>
      </c>
      <c r="C107" s="510"/>
      <c r="D107" s="510"/>
      <c r="E107" s="1395">
        <f>IF(G87&lt;E104,G87,E104)</f>
        <v>90</v>
      </c>
      <c r="F107" s="1395">
        <f>IF(G87&lt;F104,G87,F104)</f>
        <v>90</v>
      </c>
      <c r="G107" s="1395">
        <f>IF(G87&lt;G104,G87,G104)</f>
        <v>90</v>
      </c>
      <c r="H107" s="1729" t="str">
        <f t="shared" si="21"/>
        <v>lb/ac/y</v>
      </c>
      <c r="I107" s="1395">
        <f>IF(K87&lt;I104,K87,I104)</f>
        <v>90</v>
      </c>
      <c r="J107" s="1395">
        <f>IF(K87&lt;J104,K87,J104)</f>
        <v>90</v>
      </c>
      <c r="K107" s="1395">
        <f>IF(K87&lt;K104,K87,K104)</f>
        <v>90</v>
      </c>
      <c r="L107" s="1484"/>
      <c r="M107" s="1395">
        <f>IF(O87&lt;M104,O87,M104)</f>
        <v>90</v>
      </c>
      <c r="N107" s="1395">
        <f>IF(O87&lt;N104,O87,N104)</f>
        <v>90</v>
      </c>
      <c r="O107" s="1395">
        <f>IF(O87&lt;O104,O87,O104)</f>
        <v>90</v>
      </c>
      <c r="P107" s="1484"/>
      <c r="Q107" s="1395">
        <f>IF(S87&lt;Q104,S87,Q104)</f>
        <v>90</v>
      </c>
      <c r="R107" s="1395">
        <f>IF(S87&lt;R104,S87,R104)</f>
        <v>90</v>
      </c>
      <c r="S107" s="1395">
        <f>IF(S87&lt;S104,S87,S104)</f>
        <v>90</v>
      </c>
      <c r="T107" s="1484"/>
      <c r="U107" s="1395">
        <f>IF(W87&lt;U104,W87,U104)</f>
        <v>90</v>
      </c>
      <c r="V107" s="1395">
        <f>IF(W87&lt;V104,W87,V104)</f>
        <v>90</v>
      </c>
      <c r="W107" s="1395">
        <f>IF(W87&lt;W104,W87,W104)</f>
        <v>90</v>
      </c>
      <c r="X107" s="1484"/>
      <c r="Y107" s="1395">
        <f>IF(AA87&lt;Y104,AA87,Y104)</f>
        <v>90</v>
      </c>
      <c r="Z107" s="1395">
        <f>IF(AA87&lt;Z104,AA87,Z104)</f>
        <v>90</v>
      </c>
      <c r="AA107" s="1395">
        <f>IF(AA87&lt;AA104,AA87,AA104)</f>
        <v>90</v>
      </c>
      <c r="AB107" s="1484"/>
      <c r="AC107" s="1395">
        <f>IF(AE87&lt;AC104,AE87,AC104)</f>
        <v>90</v>
      </c>
      <c r="AD107" s="1395">
        <f>IF(AE87&lt;AD104,AE87,AD104)</f>
        <v>90</v>
      </c>
      <c r="AE107" s="1395">
        <f>IF(AE87&lt;AE104,AE87,AE104)</f>
        <v>90</v>
      </c>
      <c r="AF107" s="1455" t="s">
        <v>5361</v>
      </c>
      <c r="AG107" s="1484"/>
      <c r="AH107" s="1395">
        <f>IF(AJ87&lt;AH104,AJ87,AH104)</f>
        <v>90</v>
      </c>
      <c r="AI107" s="1395">
        <f>IF(AJ87&lt;AI104,AJ87,AI104)</f>
        <v>90</v>
      </c>
      <c r="AJ107" s="1395">
        <f>IF(AJ87&lt;AJ104,AJ87,AJ104)</f>
        <v>90</v>
      </c>
      <c r="AK107" s="1484"/>
      <c r="AL107" s="1395">
        <f>IF(AN87&lt;AL104,AN87,AL104)</f>
        <v>90</v>
      </c>
      <c r="AM107" s="1395">
        <f>IF(AN87&lt;AM104,AN87,AM104)</f>
        <v>90</v>
      </c>
      <c r="AN107" s="1395">
        <f>IF(AN87&lt;AN104,AN87,AN104)</f>
        <v>90</v>
      </c>
      <c r="AO107" s="1484"/>
      <c r="AP107" s="1395">
        <f>IF(AR87&lt;AP104,AR87,AP104)</f>
        <v>90</v>
      </c>
      <c r="AQ107" s="1395">
        <f>IF(AR87&lt;AQ104,AR87,AQ104)</f>
        <v>88.859690167916654</v>
      </c>
      <c r="AR107" s="1395">
        <f>IF(AR87&lt;AR104,AR87,AR104)</f>
        <v>90</v>
      </c>
      <c r="AS107" s="1455" t="s">
        <v>5361</v>
      </c>
    </row>
    <row r="108" spans="2:45" x14ac:dyDescent="0.3">
      <c r="B108" s="1449" t="s">
        <v>5381</v>
      </c>
      <c r="C108" s="496"/>
      <c r="D108" s="496"/>
      <c r="E108" s="1395">
        <f t="shared" ref="E108:G110" si="50">E102-E105</f>
        <v>0</v>
      </c>
      <c r="F108" s="1395">
        <f t="shared" si="50"/>
        <v>0</v>
      </c>
      <c r="G108" s="1395">
        <f t="shared" si="50"/>
        <v>0</v>
      </c>
      <c r="H108" s="1729" t="str">
        <f t="shared" si="21"/>
        <v>lb/ac/y</v>
      </c>
      <c r="I108" s="1395">
        <f t="shared" ref="I108:K108" si="51">I102-I105</f>
        <v>0</v>
      </c>
      <c r="J108" s="1395">
        <f t="shared" si="51"/>
        <v>0</v>
      </c>
      <c r="K108" s="1395">
        <f t="shared" si="51"/>
        <v>0</v>
      </c>
      <c r="L108" s="1484"/>
      <c r="M108" s="1395">
        <f t="shared" ref="M108:O108" si="52">M102-M105</f>
        <v>0</v>
      </c>
      <c r="N108" s="1395">
        <f t="shared" si="52"/>
        <v>0</v>
      </c>
      <c r="O108" s="1395">
        <f t="shared" si="52"/>
        <v>0</v>
      </c>
      <c r="P108" s="1484"/>
      <c r="Q108" s="1395">
        <f t="shared" ref="Q108:S108" si="53">Q102-Q105</f>
        <v>0</v>
      </c>
      <c r="R108" s="1395">
        <f t="shared" si="53"/>
        <v>0</v>
      </c>
      <c r="S108" s="1395">
        <f t="shared" si="53"/>
        <v>0</v>
      </c>
      <c r="T108" s="1484"/>
      <c r="U108" s="1395">
        <f t="shared" ref="U108:W108" si="54">U102-U105</f>
        <v>0</v>
      </c>
      <c r="V108" s="1395">
        <f t="shared" si="54"/>
        <v>0</v>
      </c>
      <c r="W108" s="1395">
        <f t="shared" si="54"/>
        <v>0</v>
      </c>
      <c r="X108" s="1484"/>
      <c r="Y108" s="1395">
        <f t="shared" ref="Y108:AA108" si="55">Y102-Y105</f>
        <v>0</v>
      </c>
      <c r="Z108" s="1395">
        <f t="shared" si="55"/>
        <v>0</v>
      </c>
      <c r="AA108" s="1395">
        <f t="shared" si="55"/>
        <v>0</v>
      </c>
      <c r="AB108" s="1484"/>
      <c r="AC108" s="1395">
        <f t="shared" ref="AC108:AE108" si="56">AC102-AC105</f>
        <v>0</v>
      </c>
      <c r="AD108" s="1395">
        <f t="shared" si="56"/>
        <v>0</v>
      </c>
      <c r="AE108" s="1395">
        <f t="shared" si="56"/>
        <v>0</v>
      </c>
      <c r="AF108" s="1455" t="s">
        <v>5361</v>
      </c>
      <c r="AG108" s="1484"/>
      <c r="AH108" s="1395">
        <f t="shared" ref="AH108:AJ108" si="57">AH102-AH105</f>
        <v>0</v>
      </c>
      <c r="AI108" s="1395">
        <f t="shared" si="57"/>
        <v>0</v>
      </c>
      <c r="AJ108" s="1395">
        <f t="shared" si="57"/>
        <v>0</v>
      </c>
      <c r="AK108" s="1484"/>
      <c r="AL108" s="1395">
        <f t="shared" ref="AL108:AN108" si="58">AL102-AL105</f>
        <v>0</v>
      </c>
      <c r="AM108" s="1395">
        <f t="shared" si="58"/>
        <v>0</v>
      </c>
      <c r="AN108" s="1395">
        <f t="shared" si="58"/>
        <v>0</v>
      </c>
      <c r="AO108" s="1484"/>
      <c r="AP108" s="1395">
        <f t="shared" ref="AP108:AR108" si="59">AP102-AP105</f>
        <v>0</v>
      </c>
      <c r="AQ108" s="1395">
        <f t="shared" si="59"/>
        <v>0</v>
      </c>
      <c r="AR108" s="1395">
        <f t="shared" si="59"/>
        <v>0</v>
      </c>
      <c r="AS108" s="1455" t="s">
        <v>5361</v>
      </c>
    </row>
    <row r="109" spans="2:45" x14ac:dyDescent="0.3">
      <c r="B109" s="1449" t="s">
        <v>5382</v>
      </c>
      <c r="C109" s="496"/>
      <c r="D109" s="496"/>
      <c r="E109" s="1395">
        <f t="shared" si="50"/>
        <v>79.18440031897893</v>
      </c>
      <c r="F109" s="1395">
        <f t="shared" si="50"/>
        <v>65.582016139823509</v>
      </c>
      <c r="G109" s="1395">
        <f t="shared" si="50"/>
        <v>206.84800235772695</v>
      </c>
      <c r="H109" s="1729" t="str">
        <f t="shared" si="21"/>
        <v>lb/ac/y</v>
      </c>
      <c r="I109" s="1395">
        <f t="shared" ref="I109:K109" si="60">I103-I106</f>
        <v>62.397994721050722</v>
      </c>
      <c r="J109" s="1395">
        <f t="shared" si="60"/>
        <v>62.397994721050722</v>
      </c>
      <c r="K109" s="1395">
        <f t="shared" si="60"/>
        <v>206.84800235772695</v>
      </c>
      <c r="L109" s="1484"/>
      <c r="M109" s="1395">
        <f t="shared" ref="M109:O109" si="61">M103-M106</f>
        <v>70.23117539912414</v>
      </c>
      <c r="N109" s="1395">
        <f t="shared" si="61"/>
        <v>66.370714915623836</v>
      </c>
      <c r="O109" s="1395">
        <f t="shared" si="61"/>
        <v>206.84800235772695</v>
      </c>
      <c r="P109" s="1484"/>
      <c r="Q109" s="1395">
        <f t="shared" ref="Q109:S109" si="62">Q103-Q106</f>
        <v>90.09416842083175</v>
      </c>
      <c r="R109" s="1395">
        <f t="shared" si="62"/>
        <v>67.106357637373691</v>
      </c>
      <c r="S109" s="1395">
        <f t="shared" si="62"/>
        <v>384.90525627210167</v>
      </c>
      <c r="T109" s="1484"/>
      <c r="U109" s="1395">
        <f t="shared" ref="U109:W109" si="63">U103-U106</f>
        <v>71.942955945936504</v>
      </c>
      <c r="V109" s="1395">
        <f t="shared" si="63"/>
        <v>67.106357637373691</v>
      </c>
      <c r="W109" s="1395">
        <f t="shared" si="63"/>
        <v>360.44967400488321</v>
      </c>
      <c r="X109" s="1484"/>
      <c r="Y109" s="1395">
        <f t="shared" ref="Y109:AA109" si="64">Y103-Y106</f>
        <v>80.413007858628475</v>
      </c>
      <c r="Z109" s="1395">
        <f t="shared" si="64"/>
        <v>67.106357637373691</v>
      </c>
      <c r="AA109" s="1395">
        <f t="shared" si="64"/>
        <v>384.90525627210167</v>
      </c>
      <c r="AB109" s="1484"/>
      <c r="AC109" s="1395">
        <f t="shared" ref="AC109:AE109" si="65">AC103-AC106</f>
        <v>94.357848616914254</v>
      </c>
      <c r="AD109" s="1395">
        <f t="shared" si="65"/>
        <v>67.555492666570387</v>
      </c>
      <c r="AE109" s="1395">
        <f t="shared" si="65"/>
        <v>433.80750456444667</v>
      </c>
      <c r="AF109" s="1455" t="s">
        <v>5361</v>
      </c>
      <c r="AG109" s="1484"/>
      <c r="AH109" s="1395">
        <f t="shared" ref="AH109:AJ109" si="66">AH103-AH106</f>
        <v>75.673251747550239</v>
      </c>
      <c r="AI109" s="1395">
        <f t="shared" si="66"/>
        <v>67.555492666570387</v>
      </c>
      <c r="AJ109" s="1395">
        <f t="shared" si="66"/>
        <v>372.65791481016441</v>
      </c>
      <c r="AK109" s="1484"/>
      <c r="AL109" s="1395">
        <f t="shared" ref="AL109:AN109" si="67">AL103-AL106</f>
        <v>84.392201276135268</v>
      </c>
      <c r="AM109" s="1395">
        <f t="shared" si="67"/>
        <v>67.555492666570359</v>
      </c>
      <c r="AN109" s="1395">
        <f t="shared" si="67"/>
        <v>401.19265872189726</v>
      </c>
      <c r="AO109" s="1484"/>
      <c r="AP109" s="1395">
        <f t="shared" ref="AP109:AR109" si="68">AP103-AP106</f>
        <v>40.385870710853723</v>
      </c>
      <c r="AQ109" s="1395">
        <f t="shared" si="68"/>
        <v>0</v>
      </c>
      <c r="AR109" s="1395">
        <f t="shared" si="68"/>
        <v>257.17194050824861</v>
      </c>
      <c r="AS109" s="1455" t="s">
        <v>5361</v>
      </c>
    </row>
    <row r="110" spans="2:45" x14ac:dyDescent="0.3">
      <c r="B110" s="1449" t="s">
        <v>5383</v>
      </c>
      <c r="C110" s="496"/>
      <c r="D110" s="496"/>
      <c r="E110" s="1395">
        <f t="shared" si="50"/>
        <v>124.62271377794718</v>
      </c>
      <c r="F110" s="1395">
        <f t="shared" si="50"/>
        <v>102.86623091227358</v>
      </c>
      <c r="G110" s="1395">
        <f t="shared" si="50"/>
        <v>185.63082231954684</v>
      </c>
      <c r="H110" s="1729" t="str">
        <f t="shared" si="21"/>
        <v>lb/ac/y</v>
      </c>
      <c r="I110" s="1395">
        <f t="shared" ref="I110:K110" si="69">I104-I107</f>
        <v>97.773512861593645</v>
      </c>
      <c r="J110" s="1395">
        <f t="shared" si="69"/>
        <v>97.773512861593645</v>
      </c>
      <c r="K110" s="1395">
        <f t="shared" si="69"/>
        <v>185.63082231954684</v>
      </c>
      <c r="L110" s="1484"/>
      <c r="M110" s="1395">
        <f t="shared" ref="M110:O110" si="70">M104-M107</f>
        <v>110.30237978386367</v>
      </c>
      <c r="N110" s="1395">
        <f t="shared" si="70"/>
        <v>104.12772383703398</v>
      </c>
      <c r="O110" s="1395">
        <f t="shared" si="70"/>
        <v>185.63082231954684</v>
      </c>
      <c r="P110" s="1484"/>
      <c r="Q110" s="1395">
        <f t="shared" ref="Q110:S110" si="71">Q104-Q107</f>
        <v>142.07246226690438</v>
      </c>
      <c r="R110" s="1395">
        <f t="shared" si="71"/>
        <v>105.30435567305685</v>
      </c>
      <c r="S110" s="1395">
        <f t="shared" si="71"/>
        <v>373.06042603800785</v>
      </c>
      <c r="T110" s="1484"/>
      <c r="U110" s="1395">
        <f t="shared" ref="U110:W110" si="72">U104-U107</f>
        <v>113.04030599194618</v>
      </c>
      <c r="V110" s="1395">
        <f t="shared" si="72"/>
        <v>105.30435567305685</v>
      </c>
      <c r="W110" s="1395">
        <f t="shared" si="72"/>
        <v>347.31758213649954</v>
      </c>
      <c r="X110" s="1484"/>
      <c r="Y110" s="1395">
        <f t="shared" ref="Y110:AA110" si="73">Y104-Y107</f>
        <v>126.58782360964742</v>
      </c>
      <c r="Z110" s="1395">
        <f t="shared" si="73"/>
        <v>105.30435567305685</v>
      </c>
      <c r="AA110" s="1395">
        <f t="shared" si="73"/>
        <v>373.06042603800785</v>
      </c>
      <c r="AB110" s="1484"/>
      <c r="AC110" s="1395">
        <f t="shared" ref="AC110:AE110" si="74">AC104-AC107</f>
        <v>148.89205241441198</v>
      </c>
      <c r="AD110" s="1395">
        <f t="shared" si="74"/>
        <v>106.02272963150352</v>
      </c>
      <c r="AE110" s="1395">
        <f t="shared" si="74"/>
        <v>424.53672827719504</v>
      </c>
      <c r="AF110" s="1455" t="s">
        <v>5361</v>
      </c>
      <c r="AG110" s="1484"/>
      <c r="AH110" s="1395">
        <f t="shared" ref="AH110:AJ110" si="75">AH104-AH107</f>
        <v>119.00676860782144</v>
      </c>
      <c r="AI110" s="1395">
        <f t="shared" si="75"/>
        <v>106.02272963150352</v>
      </c>
      <c r="AJ110" s="1395">
        <f t="shared" si="75"/>
        <v>360.16842469376928</v>
      </c>
      <c r="AK110" s="1484"/>
      <c r="AL110" s="1395">
        <f t="shared" ref="AL110:AN110" si="76">AL104-AL107</f>
        <v>132.95238825264985</v>
      </c>
      <c r="AM110" s="1395">
        <f t="shared" si="76"/>
        <v>106.02272963150347</v>
      </c>
      <c r="AN110" s="1395">
        <f t="shared" si="76"/>
        <v>390.20514392878437</v>
      </c>
      <c r="AO110" s="1484"/>
      <c r="AP110" s="1395">
        <f t="shared" ref="AP110:AR110" si="77">AP104-AP107</f>
        <v>74.301823753894467</v>
      </c>
      <c r="AQ110" s="1395">
        <f t="shared" si="77"/>
        <v>0</v>
      </c>
      <c r="AR110" s="1395">
        <f t="shared" si="77"/>
        <v>263.88085116223436</v>
      </c>
      <c r="AS110" s="1455" t="s">
        <v>5361</v>
      </c>
    </row>
    <row r="111" spans="2:45" x14ac:dyDescent="0.3">
      <c r="B111" s="1449" t="s">
        <v>5384</v>
      </c>
      <c r="C111" s="49"/>
      <c r="D111" s="52"/>
      <c r="E111" s="1395">
        <f>E89/E101</f>
        <v>25.66270624679748</v>
      </c>
      <c r="F111" s="1395">
        <f>F89/F101</f>
        <v>3.1730683844223675</v>
      </c>
      <c r="G111" s="1395">
        <f>IF(G73=0,0,G73/G101)</f>
        <v>119.55356533292115</v>
      </c>
      <c r="H111" s="1729" t="str">
        <f t="shared" si="21"/>
        <v>ac/y</v>
      </c>
      <c r="I111" s="1395">
        <f>I89/I101</f>
        <v>29.332143674777534</v>
      </c>
      <c r="J111" s="1395">
        <f>J89/J101</f>
        <v>3.2591270749752823</v>
      </c>
      <c r="K111" s="1395">
        <f>IF(K73=0,0,K73/K101)</f>
        <v>119.55356533292115</v>
      </c>
      <c r="L111" s="1484"/>
      <c r="M111" s="1395">
        <f>M89/M101</f>
        <v>27.497424960787516</v>
      </c>
      <c r="N111" s="1395">
        <f>N89/N101</f>
        <v>3.1524489528563207</v>
      </c>
      <c r="O111" s="1395">
        <f>IF(O73=0,0,O73/O101)</f>
        <v>119.55356533292115</v>
      </c>
      <c r="P111" s="1484"/>
      <c r="Q111" s="1395">
        <f>Q89/Q101</f>
        <v>23.73310303072272</v>
      </c>
      <c r="R111" s="1395">
        <f>R89/R101</f>
        <v>3.1334566892860325</v>
      </c>
      <c r="S111" s="1395">
        <f>IF(S73=0,0,S73/S101)</f>
        <v>71.162737455007587</v>
      </c>
      <c r="T111" s="1484"/>
      <c r="U111" s="1395">
        <f>U89/U101</f>
        <v>27.126631979132384</v>
      </c>
      <c r="V111" s="1395">
        <f>V89/V101</f>
        <v>3.1334566892860325</v>
      </c>
      <c r="W111" s="1395">
        <f>IF(W73=0,0,W73/W101)</f>
        <v>75.35175549758992</v>
      </c>
      <c r="X111" s="1484"/>
      <c r="Y111" s="1395">
        <f>Y89/Y101</f>
        <v>25.42986750492755</v>
      </c>
      <c r="Z111" s="1395">
        <f>Z89/Z101</f>
        <v>3.1334566892860325</v>
      </c>
      <c r="AA111" s="1395">
        <f>IF(AA73=0,0,AA73/AA101)</f>
        <v>71.162737455007587</v>
      </c>
      <c r="AB111" s="1484"/>
      <c r="AC111" s="1395">
        <f>AC89/AC101</f>
        <v>23.05560022574312</v>
      </c>
      <c r="AD111" s="1395">
        <f>AD89/AD101</f>
        <v>3.1219733593184573</v>
      </c>
      <c r="AE111" s="1395">
        <f>IF(AE73=0,0,AE73/AE101)</f>
        <v>64.043333960397533</v>
      </c>
      <c r="AF111" s="1455" t="s">
        <v>5385</v>
      </c>
      <c r="AG111" s="1484"/>
      <c r="AH111" s="1395">
        <f>AH89/AH101</f>
        <v>26.352254973659456</v>
      </c>
      <c r="AI111" s="1395">
        <f>AI89/AI101</f>
        <v>3.1219733593184573</v>
      </c>
      <c r="AJ111" s="1395">
        <f>IF(AJ73=0,0,AJ73/AJ101)</f>
        <v>73.200708260165129</v>
      </c>
      <c r="AK111" s="1484"/>
      <c r="AL111" s="1395">
        <f>AL89/AL101</f>
        <v>24.703927599701288</v>
      </c>
      <c r="AM111" s="1395">
        <f>AM89/AM101</f>
        <v>3.1219733593184573</v>
      </c>
      <c r="AN111" s="1395">
        <f>IF(AN73=0,0,AN73/AN101)</f>
        <v>68.622021110281324</v>
      </c>
      <c r="AO111" s="1484"/>
      <c r="AP111" s="1395">
        <f>AP89/AP101</f>
        <v>23.465714939822032</v>
      </c>
      <c r="AQ111" s="1395">
        <f>AQ89/AQ101</f>
        <v>4.8209082993852066</v>
      </c>
      <c r="AR111" s="1395">
        <f>IF(AR73=0,0,AR73/AR101)</f>
        <v>65.182541499505589</v>
      </c>
      <c r="AS111" s="1455" t="s">
        <v>5385</v>
      </c>
    </row>
    <row r="112" spans="2:45" x14ac:dyDescent="0.3">
      <c r="B112" s="1449" t="s">
        <v>5386</v>
      </c>
      <c r="C112" s="510"/>
      <c r="D112" s="510"/>
      <c r="E112" s="1378">
        <f>UDV.crops.acres_available</f>
        <v>100</v>
      </c>
      <c r="F112" s="1378">
        <f>UDV.crops.acres_available</f>
        <v>100</v>
      </c>
      <c r="G112" s="1378">
        <f>UDV.crops.acres_available</f>
        <v>100</v>
      </c>
      <c r="H112" s="1729" t="str">
        <f t="shared" si="21"/>
        <v>ac/y</v>
      </c>
      <c r="I112" s="1378">
        <f>UDV.crops.acres_available</f>
        <v>100</v>
      </c>
      <c r="J112" s="1378">
        <f>UDV.crops.acres_available</f>
        <v>100</v>
      </c>
      <c r="K112" s="1378">
        <f>UDV.crops.acres_available</f>
        <v>100</v>
      </c>
      <c r="L112" s="1481"/>
      <c r="M112" s="1378">
        <f>UDV.crops.acres_available</f>
        <v>100</v>
      </c>
      <c r="N112" s="1378">
        <f>UDV.crops.acres_available</f>
        <v>100</v>
      </c>
      <c r="O112" s="1378">
        <f>UDV.crops.acres_available</f>
        <v>100</v>
      </c>
      <c r="P112" s="1481"/>
      <c r="Q112" s="1378">
        <f>UDV.crops.acres_available</f>
        <v>100</v>
      </c>
      <c r="R112" s="1378">
        <f>UDV.crops.acres_available</f>
        <v>100</v>
      </c>
      <c r="S112" s="1378">
        <f>UDV.crops.acres_available</f>
        <v>100</v>
      </c>
      <c r="T112" s="1481"/>
      <c r="U112" s="1378">
        <f>UDV.crops.acres_available</f>
        <v>100</v>
      </c>
      <c r="V112" s="1378">
        <f>UDV.crops.acres_available</f>
        <v>100</v>
      </c>
      <c r="W112" s="1378">
        <f>UDV.crops.acres_available</f>
        <v>100</v>
      </c>
      <c r="X112" s="1481"/>
      <c r="Y112" s="1378">
        <f>UDV.crops.acres_available</f>
        <v>100</v>
      </c>
      <c r="Z112" s="1378">
        <f>UDV.crops.acres_available</f>
        <v>100</v>
      </c>
      <c r="AA112" s="1378">
        <f>UDV.crops.acres_available</f>
        <v>100</v>
      </c>
      <c r="AB112" s="1481"/>
      <c r="AC112" s="1378">
        <f>UDV.crops.acres_available</f>
        <v>100</v>
      </c>
      <c r="AD112" s="1378">
        <f>UDV.crops.acres_available</f>
        <v>100</v>
      </c>
      <c r="AE112" s="1378">
        <f>UDV.crops.acres_available</f>
        <v>100</v>
      </c>
      <c r="AF112" s="1455" t="s">
        <v>5385</v>
      </c>
      <c r="AG112" s="1481"/>
      <c r="AH112" s="1378">
        <f>UDV.crops.acres_available</f>
        <v>100</v>
      </c>
      <c r="AI112" s="1378">
        <f>UDV.crops.acres_available</f>
        <v>100</v>
      </c>
      <c r="AJ112" s="1378">
        <f>UDV.crops.acres_available</f>
        <v>100</v>
      </c>
      <c r="AK112" s="1481"/>
      <c r="AL112" s="1378">
        <f>UDV.crops.acres_available</f>
        <v>100</v>
      </c>
      <c r="AM112" s="1378">
        <f>UDV.crops.acres_available</f>
        <v>100</v>
      </c>
      <c r="AN112" s="1378">
        <f>UDV.crops.acres_available</f>
        <v>100</v>
      </c>
      <c r="AO112" s="1481"/>
      <c r="AP112" s="1378">
        <f>UDV.crops.acres_available</f>
        <v>100</v>
      </c>
      <c r="AQ112" s="1378">
        <f>UDV.crops.acres_available</f>
        <v>100</v>
      </c>
      <c r="AR112" s="1378">
        <f>UDV.crops.acres_available</f>
        <v>100</v>
      </c>
      <c r="AS112" s="1455" t="s">
        <v>5385</v>
      </c>
    </row>
    <row r="113" spans="1:45" x14ac:dyDescent="0.3">
      <c r="B113" s="1457" t="s">
        <v>6378</v>
      </c>
      <c r="C113" s="50"/>
      <c r="D113" s="50"/>
      <c r="E113" s="1379">
        <f>IF(E111&lt;E112,E111,E112)</f>
        <v>25.66270624679748</v>
      </c>
      <c r="F113" s="1379">
        <f>IF(F111&lt;F112-E113,F111,F112-E113)</f>
        <v>3.1730683844223675</v>
      </c>
      <c r="G113" s="1379">
        <f>IF(G111&lt;G112-F113-E113,G111,G112-F113-E113)</f>
        <v>71.164225368780151</v>
      </c>
      <c r="H113" s="1729" t="str">
        <f t="shared" si="21"/>
        <v>ac/y</v>
      </c>
      <c r="I113" s="1379">
        <f>IF(I111&lt;I112,I111,I112)</f>
        <v>29.332143674777534</v>
      </c>
      <c r="J113" s="1379">
        <f>IF(J111&lt;J112-I113,J111,J112-I113)</f>
        <v>3.2591270749752823</v>
      </c>
      <c r="K113" s="1379">
        <f>IF(K111&lt;K112-J113-I113,K111,K112-J113-I113)</f>
        <v>67.408729250247177</v>
      </c>
      <c r="L113" s="1480"/>
      <c r="M113" s="1379">
        <f>IF(M111&lt;M112,M111,M112)</f>
        <v>27.497424960787516</v>
      </c>
      <c r="N113" s="1379">
        <f>IF(N111&lt;N112-M113,N111,N112-M113)</f>
        <v>3.1524489528563207</v>
      </c>
      <c r="O113" s="1379">
        <f>IF(O111&lt;O112-N113-M113,O111,O112-N113-M113)</f>
        <v>69.35012608635617</v>
      </c>
      <c r="P113" s="1480"/>
      <c r="Q113" s="1379">
        <f>IF(Q111&lt;Q112,Q111,Q112)</f>
        <v>23.73310303072272</v>
      </c>
      <c r="R113" s="1379">
        <f>IF(R111&lt;R112-Q113,R111,R112-Q113)</f>
        <v>3.1334566892860325</v>
      </c>
      <c r="S113" s="1379">
        <f>IF(S111&lt;S112-R113-Q113,S111,S112-R113-Q113)</f>
        <v>71.162737455007587</v>
      </c>
      <c r="T113" s="1480"/>
      <c r="U113" s="1379">
        <f>IF(U111&lt;U112,U111,U112)</f>
        <v>27.126631979132384</v>
      </c>
      <c r="V113" s="1379">
        <f>IF(V111&lt;V112-U113,V111,V112-U113)</f>
        <v>3.1334566892860325</v>
      </c>
      <c r="W113" s="1379">
        <f>IF(W111&lt;W112-V113-U113,W111,W112-V113-U113)</f>
        <v>69.739911331581581</v>
      </c>
      <c r="X113" s="1480"/>
      <c r="Y113" s="1379">
        <f>IF(Y111&lt;Y112,Y111,Y112)</f>
        <v>25.42986750492755</v>
      </c>
      <c r="Z113" s="1379">
        <f>IF(Z111&lt;Z112-Y113,Z111,Z112-Y113)</f>
        <v>3.1334566892860325</v>
      </c>
      <c r="AA113" s="1379">
        <f>IF(AA111&lt;AA112-Z113-Y113,AA111,AA112-Z113-Y113)</f>
        <v>71.162737455007587</v>
      </c>
      <c r="AB113" s="1480"/>
      <c r="AC113" s="1379">
        <f>IF(AC111&lt;AC112,AC111,AC112)</f>
        <v>23.05560022574312</v>
      </c>
      <c r="AD113" s="1379">
        <f>IF(AD111&lt;AD112-AC113,AD111,AD112-AC113)</f>
        <v>3.1219733593184573</v>
      </c>
      <c r="AE113" s="1379">
        <f>IF(AE111&lt;AE112-AD113-AC113,AE111,AE112-AD113-AC113)</f>
        <v>64.043333960397533</v>
      </c>
      <c r="AF113" s="1455" t="s">
        <v>5385</v>
      </c>
      <c r="AG113" s="1480"/>
      <c r="AH113" s="1379">
        <f>IF(AH111&lt;AH112,AH111,AH112)</f>
        <v>26.352254973659456</v>
      </c>
      <c r="AI113" s="1379">
        <f>IF(AI111&lt;AI112-AH113,AI111,AI112-AH113)</f>
        <v>3.1219733593184573</v>
      </c>
      <c r="AJ113" s="1379">
        <f>IF(AJ111&lt;AJ112-AI113-AH113,AJ111,AJ112-AI113-AH113)</f>
        <v>70.525771667022084</v>
      </c>
      <c r="AK113" s="1480"/>
      <c r="AL113" s="1379">
        <f>IF(AL111&lt;AL112,AL111,AL112)</f>
        <v>24.703927599701288</v>
      </c>
      <c r="AM113" s="1379">
        <f>IF(AM111&lt;AM112-AL113,AM111,AM112-AL113)</f>
        <v>3.1219733593184573</v>
      </c>
      <c r="AN113" s="1379">
        <f>IF(AN111&lt;AN112-AM113-AL113,AN111,AN112-AM113-AL113)</f>
        <v>68.622021110281324</v>
      </c>
      <c r="AO113" s="1480"/>
      <c r="AP113" s="1379">
        <f>IF(AP111&lt;AP112,AP111,AP112)</f>
        <v>23.465714939822032</v>
      </c>
      <c r="AQ113" s="1379">
        <f>IF(AQ111&lt;AQ112-AP113,AQ111,AQ112-AP113)</f>
        <v>4.8209082993852066</v>
      </c>
      <c r="AR113" s="1379">
        <f>IF(AR111&lt;AR112-AQ113-AP113,AR111,AR112-AQ113-AP113)</f>
        <v>65.182541499505589</v>
      </c>
      <c r="AS113" s="1455" t="s">
        <v>5385</v>
      </c>
    </row>
    <row r="114" spans="1:45" x14ac:dyDescent="0.3">
      <c r="B114" s="1449" t="s">
        <v>5584</v>
      </c>
      <c r="C114" s="18"/>
      <c r="D114" s="510"/>
      <c r="E114" s="1379">
        <f>E101*E113</f>
        <v>571.15230919602607</v>
      </c>
      <c r="F114" s="1379">
        <f>F101*F113</f>
        <v>63.461367688447353</v>
      </c>
      <c r="G114" s="1379">
        <f>G101*G113</f>
        <v>711.64225368780149</v>
      </c>
      <c r="H114" s="1729" t="str">
        <f t="shared" si="21"/>
        <v>1000 gal/y</v>
      </c>
      <c r="I114" s="1379">
        <f>I101*I113</f>
        <v>571.15230919602607</v>
      </c>
      <c r="J114" s="1379">
        <f>J101*J113</f>
        <v>63.461367688447353</v>
      </c>
      <c r="K114" s="1379">
        <f>K101*K113</f>
        <v>674.08729250247177</v>
      </c>
      <c r="L114" s="1480"/>
      <c r="M114" s="1379">
        <f>M101*M113</f>
        <v>567.4408115141382</v>
      </c>
      <c r="N114" s="1379">
        <f>N101*N113</f>
        <v>63.048979057126417</v>
      </c>
      <c r="O114" s="1379">
        <f>O101*O113</f>
        <v>693.5012608635617</v>
      </c>
      <c r="P114" s="1480"/>
      <c r="Q114" s="1379">
        <f>Q101*Q113</f>
        <v>564.0222040714865</v>
      </c>
      <c r="R114" s="1379">
        <f>R101*R113</f>
        <v>62.669133785720646</v>
      </c>
      <c r="S114" s="1379">
        <f>S101*S113</f>
        <v>711.62737455007584</v>
      </c>
      <c r="T114" s="1480"/>
      <c r="U114" s="1379">
        <f>U101*U113</f>
        <v>564.0222040714865</v>
      </c>
      <c r="V114" s="1379">
        <f>V101*V113</f>
        <v>62.669133785720646</v>
      </c>
      <c r="W114" s="1379">
        <f>W101*W113</f>
        <v>658.62871640509866</v>
      </c>
      <c r="X114" s="1480"/>
      <c r="Y114" s="1379">
        <f>Y101*Y113</f>
        <v>564.0222040714865</v>
      </c>
      <c r="Z114" s="1379">
        <f>Z101*Z113</f>
        <v>62.669133785720646</v>
      </c>
      <c r="AA114" s="1379">
        <f>AA101*AA113</f>
        <v>711.62737455007584</v>
      </c>
      <c r="AB114" s="1480"/>
      <c r="AC114" s="1379">
        <f>AC101*AC113</f>
        <v>561.95520467732285</v>
      </c>
      <c r="AD114" s="1379">
        <f>AD101*AD113</f>
        <v>62.439467186369143</v>
      </c>
      <c r="AE114" s="1379">
        <f>AE101*AE113</f>
        <v>614.84571879424891</v>
      </c>
      <c r="AF114" s="1455" t="s">
        <v>5246</v>
      </c>
      <c r="AG114" s="1480"/>
      <c r="AH114" s="1379">
        <f>AH101*AH113</f>
        <v>561.95520467732285</v>
      </c>
      <c r="AI114" s="1379">
        <f>AI101*AI113</f>
        <v>62.439467186369143</v>
      </c>
      <c r="AJ114" s="1379">
        <f>AJ101*AJ113</f>
        <v>592.37772153806543</v>
      </c>
      <c r="AK114" s="1480"/>
      <c r="AL114" s="1379">
        <f>AL101*AL113</f>
        <v>561.95520467732297</v>
      </c>
      <c r="AM114" s="1379">
        <f>AM101*AM113</f>
        <v>62.439467186369143</v>
      </c>
      <c r="AN114" s="1379">
        <f>AN101*AN113</f>
        <v>614.84571879424891</v>
      </c>
      <c r="AO114" s="1480"/>
      <c r="AP114" s="1379">
        <f>AP101*AP113</f>
        <v>867.76349388933727</v>
      </c>
      <c r="AQ114" s="1379">
        <f>AQ101*AQ113</f>
        <v>96.418165987704128</v>
      </c>
      <c r="AR114" s="1379">
        <f>AR101*AR113</f>
        <v>324.22926918288215</v>
      </c>
      <c r="AS114" s="1455" t="s">
        <v>5246</v>
      </c>
    </row>
    <row r="115" spans="1:45" x14ac:dyDescent="0.3">
      <c r="B115" s="1449" t="s">
        <v>5585</v>
      </c>
      <c r="C115" s="18"/>
      <c r="D115" s="510"/>
      <c r="E115" s="1379">
        <f>IF(E89&gt;E114,E114,E89)</f>
        <v>571.15230919602607</v>
      </c>
      <c r="F115" s="1379">
        <f>IF(F89&gt;F114,F114,F89)</f>
        <v>63.461367688447353</v>
      </c>
      <c r="G115" s="1379">
        <f>IF(G73&gt;G114,G114,G73)</f>
        <v>711.64225368780149</v>
      </c>
      <c r="H115" s="1729" t="str">
        <f t="shared" si="21"/>
        <v>1000 gal/y</v>
      </c>
      <c r="I115" s="1379">
        <f>IF(I89&gt;I114,I114,I89)</f>
        <v>571.15230919602607</v>
      </c>
      <c r="J115" s="1379">
        <f>IF(J89&gt;J114,J114,J89)</f>
        <v>63.461367688447353</v>
      </c>
      <c r="K115" s="1379">
        <f>IF(K73&gt;K114,K114,K73)</f>
        <v>674.08729250247177</v>
      </c>
      <c r="L115" s="1480"/>
      <c r="M115" s="1379">
        <f>IF(M89&gt;M114,M114,M89)</f>
        <v>567.4408115141382</v>
      </c>
      <c r="N115" s="1379">
        <f>IF(N89&gt;N114,N114,N89)</f>
        <v>63.048979057126417</v>
      </c>
      <c r="O115" s="1379">
        <f>IF(O73&gt;O114,O114,O73)</f>
        <v>693.5012608635617</v>
      </c>
      <c r="P115" s="1480"/>
      <c r="Q115" s="1379">
        <f>IF(Q89&gt;Q114,Q114,Q89)</f>
        <v>564.0222040714865</v>
      </c>
      <c r="R115" s="1379">
        <f>IF(R89&gt;R114,R114,R89)</f>
        <v>62.669133785720646</v>
      </c>
      <c r="S115" s="1379">
        <f>IF(S73&gt;S114,S114,S73)</f>
        <v>711.62737455007584</v>
      </c>
      <c r="T115" s="1480"/>
      <c r="U115" s="1379">
        <f>IF(U89&gt;U114,U114,U89)</f>
        <v>564.0222040714865</v>
      </c>
      <c r="V115" s="1379">
        <f>IF(V89&gt;V114,V114,V89)</f>
        <v>62.669133785720646</v>
      </c>
      <c r="W115" s="1379">
        <f>IF(W73&gt;W114,W114,W73)</f>
        <v>658.62871640509866</v>
      </c>
      <c r="X115" s="1480"/>
      <c r="Y115" s="1379">
        <f>IF(Y89&gt;Y114,Y114,Y89)</f>
        <v>564.0222040714865</v>
      </c>
      <c r="Z115" s="1379">
        <f>IF(Z89&gt;Z114,Z114,Z89)</f>
        <v>62.669133785720646</v>
      </c>
      <c r="AA115" s="1379">
        <f>IF(AA73&gt;AA114,AA114,AA73)</f>
        <v>711.62737455007584</v>
      </c>
      <c r="AB115" s="1480"/>
      <c r="AC115" s="1379">
        <f>IF(AC89&gt;AC114,AC114,AC89)</f>
        <v>561.95520467732285</v>
      </c>
      <c r="AD115" s="1379">
        <f>IF(AD89&gt;AD114,AD114,AD89)</f>
        <v>62.439467186369143</v>
      </c>
      <c r="AE115" s="1379">
        <f>IF(AE73&gt;AE114,AE114,AE73)</f>
        <v>614.84571879424891</v>
      </c>
      <c r="AF115" s="1455" t="s">
        <v>5246</v>
      </c>
      <c r="AG115" s="1480"/>
      <c r="AH115" s="1379">
        <f>IF(AH89&gt;AH114,AH114,AH89)</f>
        <v>561.95520467732285</v>
      </c>
      <c r="AI115" s="1379">
        <f>IF(AI89&gt;AI114,AI114,AI89)</f>
        <v>62.439467186369143</v>
      </c>
      <c r="AJ115" s="1379">
        <f>IF(AJ73&gt;AJ114,AJ114,AJ73)</f>
        <v>592.37772153806543</v>
      </c>
      <c r="AK115" s="1480"/>
      <c r="AL115" s="1379">
        <f>IF(AL89&gt;AL114,AL114,AL89)</f>
        <v>561.95520467732297</v>
      </c>
      <c r="AM115" s="1379">
        <f>IF(AM89&gt;AM114,AM114,AM89)</f>
        <v>62.439467186369143</v>
      </c>
      <c r="AN115" s="1379">
        <f>IF(AN73&gt;AN114,AN114,AN73)</f>
        <v>614.84571879424891</v>
      </c>
      <c r="AO115" s="1480"/>
      <c r="AP115" s="1379">
        <f>IF(AP89&gt;AP114,AP114,AP89)</f>
        <v>867.76349388933727</v>
      </c>
      <c r="AQ115" s="1379">
        <f>IF(AQ89&gt;AQ114,AQ114,AQ89)</f>
        <v>96.418165987704128</v>
      </c>
      <c r="AR115" s="1379">
        <f>IF(AR73&gt;AR114,AR114,AR73)</f>
        <v>324.22926918288221</v>
      </c>
      <c r="AS115" s="1455" t="s">
        <v>5246</v>
      </c>
    </row>
    <row r="116" spans="1:45" x14ac:dyDescent="0.3">
      <c r="B116" s="1458" t="s">
        <v>5586</v>
      </c>
      <c r="C116" s="1459" t="s">
        <v>5587</v>
      </c>
      <c r="D116" s="510"/>
      <c r="E116" s="1379">
        <f>IF(E113=0,0,E115/E113*1000)</f>
        <v>22256.121536959952</v>
      </c>
      <c r="F116" s="1379">
        <f>IF(F113=0,0,F115/F113*1000)</f>
        <v>20000</v>
      </c>
      <c r="G116" s="1379">
        <f>IF(G113=0,0,G115/G113*1000)</f>
        <v>10000</v>
      </c>
      <c r="H116" s="1729" t="str">
        <f t="shared" si="21"/>
        <v>gal/ac</v>
      </c>
      <c r="I116" s="1379">
        <f>IF(I113=0,0,I115/I113*1000)</f>
        <v>19471.891162429944</v>
      </c>
      <c r="J116" s="1379">
        <f>IF(J113=0,0,J115/J113*1000)</f>
        <v>19471.891162429944</v>
      </c>
      <c r="K116" s="1379">
        <f>IF(K113=0,0,K115/K113*1000)</f>
        <v>10000</v>
      </c>
      <c r="L116" s="1480"/>
      <c r="M116" s="1379">
        <f>IF(M113=0,0,M115/M113*1000)</f>
        <v>20636.143650663023</v>
      </c>
      <c r="N116" s="1379">
        <f>IF(N113=0,0,N115/N113*1000)</f>
        <v>20000</v>
      </c>
      <c r="O116" s="1379">
        <f>IF(O113=0,0,O115/O113*1000)</f>
        <v>10000</v>
      </c>
      <c r="P116" s="1480"/>
      <c r="Q116" s="1379">
        <f>IF(Q113=0,0,Q115/Q113*1000)</f>
        <v>23765.211120575113</v>
      </c>
      <c r="R116" s="1379">
        <f>IF(R113=0,0,R115/R113*1000)</f>
        <v>20000</v>
      </c>
      <c r="S116" s="1379">
        <f>IF(S113=0,0,S115/S113*1000)</f>
        <v>10000</v>
      </c>
      <c r="T116" s="1480"/>
      <c r="U116" s="1379">
        <f>IF(U113=0,0,U115/U113*1000)</f>
        <v>20792.194346329838</v>
      </c>
      <c r="V116" s="1379">
        <f>IF(V113=0,0,V115/V113*1000)</f>
        <v>20000</v>
      </c>
      <c r="W116" s="1379">
        <f>IF(W113=0,0,W115/W113*1000)</f>
        <v>9444.071605907533</v>
      </c>
      <c r="X116" s="1480"/>
      <c r="Y116" s="1379">
        <f>IF(Y113=0,0,Y115/Y113*1000)</f>
        <v>22179.5180003276</v>
      </c>
      <c r="Z116" s="1379">
        <f>IF(Z113=0,0,Z115/Z113*1000)</f>
        <v>20000</v>
      </c>
      <c r="AA116" s="1379">
        <f>IF(AA113=0,0,AA115/AA113*1000)</f>
        <v>10000</v>
      </c>
      <c r="AB116" s="1480"/>
      <c r="AC116" s="1379">
        <f>IF(AC113=0,0,AC115/AC113*1000)</f>
        <v>24373.913460290758</v>
      </c>
      <c r="AD116" s="1379">
        <f>IF(AD113=0,0,AD115/AD113*1000)</f>
        <v>20000</v>
      </c>
      <c r="AE116" s="1379">
        <f>IF(AE113=0,0,AE115/AE113*1000)</f>
        <v>9600.4639479645302</v>
      </c>
      <c r="AF116" s="18" t="s">
        <v>6379</v>
      </c>
      <c r="AG116" s="1480"/>
      <c r="AH116" s="1379">
        <f>IF(AH113=0,0,AH115/AH113*1000)</f>
        <v>21324.748308599334</v>
      </c>
      <c r="AI116" s="1379">
        <f>IF(AI113=0,0,AI115/AI113*1000)</f>
        <v>20000</v>
      </c>
      <c r="AJ116" s="1379">
        <f>IF(AJ113=0,0,AJ115/AJ113*1000)</f>
        <v>8399.4504070780949</v>
      </c>
      <c r="AK116" s="1480"/>
      <c r="AL116" s="1379">
        <f>IF(AL113=0,0,AL115/AL113*1000)</f>
        <v>22747.605716109611</v>
      </c>
      <c r="AM116" s="1379">
        <f>IF(AM113=0,0,AM115/AM113*1000)</f>
        <v>20000</v>
      </c>
      <c r="AN116" s="1379">
        <f>IF(AN113=0,0,AN115/AN113*1000)</f>
        <v>8959.8893889490719</v>
      </c>
      <c r="AO116" s="1480"/>
      <c r="AP116" s="1379">
        <f>IF(AP113=0,0,AP115/AP113*1000)</f>
        <v>36980.057761492542</v>
      </c>
      <c r="AQ116" s="1379">
        <f>IF(AQ113=0,0,AQ115/AQ113*1000)</f>
        <v>20000</v>
      </c>
      <c r="AR116" s="1379">
        <f>IF(AR113=0,0,AR115/AR113*1000)</f>
        <v>4974.1734784204682</v>
      </c>
      <c r="AS116" s="18" t="s">
        <v>6379</v>
      </c>
    </row>
    <row r="117" spans="1:45" x14ac:dyDescent="0.3">
      <c r="B117" s="1460" t="s">
        <v>5390</v>
      </c>
      <c r="C117" s="18"/>
      <c r="D117" s="510"/>
      <c r="E117" s="1380">
        <f>E89-E115</f>
        <v>0</v>
      </c>
      <c r="F117" s="1380">
        <f>F89-F115</f>
        <v>0</v>
      </c>
      <c r="G117" s="1380">
        <f>G73-G115</f>
        <v>483.89339964141004</v>
      </c>
      <c r="H117" s="1729" t="str">
        <f t="shared" si="21"/>
        <v>1000 gal/y</v>
      </c>
      <c r="I117" s="1380">
        <f>I89-I115</f>
        <v>0</v>
      </c>
      <c r="J117" s="1380">
        <f>J89-J115</f>
        <v>0</v>
      </c>
      <c r="K117" s="1380">
        <f>K73-K115</f>
        <v>521.44836082673976</v>
      </c>
      <c r="L117" s="1482"/>
      <c r="M117" s="1380">
        <f>M89-M115</f>
        <v>0</v>
      </c>
      <c r="N117" s="1380">
        <f>N89-N115</f>
        <v>0</v>
      </c>
      <c r="O117" s="1380">
        <f>O73-O115</f>
        <v>502.03439246564983</v>
      </c>
      <c r="P117" s="1482"/>
      <c r="Q117" s="1380">
        <f>Q89-Q115</f>
        <v>0</v>
      </c>
      <c r="R117" s="1380">
        <f>R89-R115</f>
        <v>0</v>
      </c>
      <c r="S117" s="1380">
        <f>S73-S115</f>
        <v>0</v>
      </c>
      <c r="T117" s="1482"/>
      <c r="U117" s="1380">
        <f>U89-U115</f>
        <v>0</v>
      </c>
      <c r="V117" s="1380">
        <f>V89-V115</f>
        <v>0</v>
      </c>
      <c r="W117" s="1380">
        <f>W73-W115</f>
        <v>52.998658144977185</v>
      </c>
      <c r="X117" s="1482"/>
      <c r="Y117" s="1380">
        <f>Y89-Y115</f>
        <v>0</v>
      </c>
      <c r="Z117" s="1380">
        <f>Z89-Z115</f>
        <v>0</v>
      </c>
      <c r="AA117" s="1380">
        <f>AA73-AA115</f>
        <v>0</v>
      </c>
      <c r="AB117" s="1482"/>
      <c r="AC117" s="1380">
        <f>AC89-AC115</f>
        <v>0</v>
      </c>
      <c r="AD117" s="1380">
        <f>AD89-AD115</f>
        <v>0</v>
      </c>
      <c r="AE117" s="1380">
        <f>AE73-AE115</f>
        <v>0</v>
      </c>
      <c r="AF117" s="1455" t="s">
        <v>5246</v>
      </c>
      <c r="AG117" s="1482"/>
      <c r="AH117" s="1380">
        <f>AH89-AH115</f>
        <v>0</v>
      </c>
      <c r="AI117" s="1380">
        <f>AI89-AI115</f>
        <v>0</v>
      </c>
      <c r="AJ117" s="1380">
        <f>AJ73-AJ115</f>
        <v>22.46799725618348</v>
      </c>
      <c r="AK117" s="1482"/>
      <c r="AL117" s="1380">
        <f>AL89-AL115</f>
        <v>0</v>
      </c>
      <c r="AM117" s="1380">
        <f>AM89-AM115</f>
        <v>0</v>
      </c>
      <c r="AN117" s="1380">
        <f>AN73-AN115</f>
        <v>0</v>
      </c>
      <c r="AO117" s="1482"/>
      <c r="AP117" s="1380">
        <f>AP89-AP115</f>
        <v>0</v>
      </c>
      <c r="AQ117" s="1380">
        <f>AQ89-AQ115</f>
        <v>0</v>
      </c>
      <c r="AR117" s="1380">
        <f>AR73-AR115</f>
        <v>0</v>
      </c>
      <c r="AS117" s="1455" t="s">
        <v>5246</v>
      </c>
    </row>
    <row r="118" spans="1:45" x14ac:dyDescent="0.3">
      <c r="B118" s="18" t="s">
        <v>5589</v>
      </c>
      <c r="C118" s="18"/>
      <c r="D118" s="510"/>
      <c r="E118" s="1395">
        <f>E115/E89</f>
        <v>1</v>
      </c>
      <c r="F118" s="1395">
        <f>F115/F89</f>
        <v>1</v>
      </c>
      <c r="G118" s="1403">
        <f>IF(G73=0,0,G115/G73)</f>
        <v>0.59524971229932733</v>
      </c>
      <c r="H118" s="1729" t="str">
        <f t="shared" si="21"/>
        <v>fraction</v>
      </c>
      <c r="I118" s="1395">
        <f>I115/I89</f>
        <v>1</v>
      </c>
      <c r="J118" s="1395">
        <f>J115/J89</f>
        <v>1</v>
      </c>
      <c r="K118" s="1403">
        <f>IF(K73=0,0,K115/K73)</f>
        <v>0.56383704712221583</v>
      </c>
      <c r="L118" s="1485"/>
      <c r="M118" s="1395">
        <f>M115/M89</f>
        <v>1</v>
      </c>
      <c r="N118" s="1395">
        <f>N115/N89</f>
        <v>1</v>
      </c>
      <c r="O118" s="1403">
        <f>IF(O73=0,0,O115/O73)</f>
        <v>0.58007576681830175</v>
      </c>
      <c r="P118" s="1485"/>
      <c r="Q118" s="1395">
        <f>Q115/Q89</f>
        <v>1</v>
      </c>
      <c r="R118" s="1395">
        <f>R115/R89</f>
        <v>1</v>
      </c>
      <c r="S118" s="1403">
        <f>IF(S73=0,0,S115/S73)</f>
        <v>1</v>
      </c>
      <c r="T118" s="1485"/>
      <c r="U118" s="1395">
        <f>U115/U89</f>
        <v>1</v>
      </c>
      <c r="V118" s="1395">
        <f>V115/V89</f>
        <v>1</v>
      </c>
      <c r="W118" s="1403">
        <f>IF(W73=0,0,W115/W73)</f>
        <v>0.92552470570924084</v>
      </c>
      <c r="X118" s="1485"/>
      <c r="Y118" s="1395">
        <f>Y115/Y89</f>
        <v>1</v>
      </c>
      <c r="Z118" s="1395">
        <f>Z115/Z89</f>
        <v>1</v>
      </c>
      <c r="AA118" s="1403">
        <f>IF(AA73=0,0,AA115/AA73)</f>
        <v>1</v>
      </c>
      <c r="AB118" s="1485"/>
      <c r="AC118" s="1395">
        <f>AC115/AC89</f>
        <v>1</v>
      </c>
      <c r="AD118" s="1395">
        <f>AD115/AD89</f>
        <v>1</v>
      </c>
      <c r="AE118" s="1403">
        <f>IF(AE73=0,0,AE115/AE73)</f>
        <v>1</v>
      </c>
      <c r="AF118" s="18" t="s">
        <v>1694</v>
      </c>
      <c r="AG118" s="1485"/>
      <c r="AH118" s="1395">
        <f>AH115/AH89</f>
        <v>1</v>
      </c>
      <c r="AI118" s="1395">
        <f>AI115/AI89</f>
        <v>1</v>
      </c>
      <c r="AJ118" s="1403">
        <f>IF(AJ73=0,0,AJ115/AJ73)</f>
        <v>0.96345750394059071</v>
      </c>
      <c r="AK118" s="1485"/>
      <c r="AL118" s="1395">
        <f>AL115/AL89</f>
        <v>1</v>
      </c>
      <c r="AM118" s="1395">
        <f>AM115/AM89</f>
        <v>1</v>
      </c>
      <c r="AN118" s="1403">
        <f>IF(AN73=0,0,AN115/AN73)</f>
        <v>1</v>
      </c>
      <c r="AO118" s="1485"/>
      <c r="AP118" s="1395">
        <f>AP115/AP89</f>
        <v>1</v>
      </c>
      <c r="AQ118" s="1395">
        <f>AQ115/AQ89</f>
        <v>1</v>
      </c>
      <c r="AR118" s="1403">
        <f>IF(AR73=0,0,AR115/AR73)</f>
        <v>1</v>
      </c>
      <c r="AS118" s="18" t="s">
        <v>1694</v>
      </c>
    </row>
    <row r="119" spans="1:45" x14ac:dyDescent="0.3">
      <c r="B119" s="18" t="s">
        <v>5590</v>
      </c>
      <c r="C119" s="1459" t="s">
        <v>5587</v>
      </c>
      <c r="D119" s="510"/>
      <c r="E119" s="1461">
        <f>E90*E118*UC.m3_to_gal</f>
        <v>285576.15459801309</v>
      </c>
      <c r="F119" s="1461">
        <f>F90*F118*UC.m3_to_gal</f>
        <v>31730.683844223648</v>
      </c>
      <c r="G119" s="1461">
        <f>G90*G118*UC.m3_to_gal</f>
        <v>711642.25368780142</v>
      </c>
      <c r="H119" s="1729" t="str">
        <f t="shared" si="21"/>
        <v>gallons/event</v>
      </c>
      <c r="I119" s="1461">
        <f>I90*I118*UC.m3_to_gal</f>
        <v>285576.15459801309</v>
      </c>
      <c r="J119" s="1461">
        <f>J90*J118*UC.m3_to_gal</f>
        <v>31730.683844223648</v>
      </c>
      <c r="K119" s="1461">
        <f>K90*K118*UC.m3_to_gal</f>
        <v>674087.29250247171</v>
      </c>
      <c r="L119" s="1486"/>
      <c r="M119" s="1461">
        <f>M90*M118*UC.m3_to_gal</f>
        <v>283720.40575706912</v>
      </c>
      <c r="N119" s="1461">
        <f>N90*N118*UC.m3_to_gal</f>
        <v>31524.489528563208</v>
      </c>
      <c r="O119" s="1461">
        <f>O90*O118*UC.m3_to_gal</f>
        <v>693501.26086356165</v>
      </c>
      <c r="P119" s="1486"/>
      <c r="Q119" s="1461">
        <f>Q90*Q118*UC.m3_to_gal</f>
        <v>282011.10203574324</v>
      </c>
      <c r="R119" s="1461">
        <f>R90*R118*UC.m3_to_gal</f>
        <v>31334.566892860323</v>
      </c>
      <c r="S119" s="1461">
        <f>S90*S118*UC.m3_to_gal</f>
        <v>711627.37455007585</v>
      </c>
      <c r="T119" s="1486"/>
      <c r="U119" s="1461">
        <f>U90*U118*UC.m3_to_gal</f>
        <v>282011.10203574324</v>
      </c>
      <c r="V119" s="1461">
        <f>V90*V118*UC.m3_to_gal</f>
        <v>31334.566892860323</v>
      </c>
      <c r="W119" s="1461">
        <f>W90*W118*UC.m3_to_gal</f>
        <v>658628.71640509868</v>
      </c>
      <c r="X119" s="1486"/>
      <c r="Y119" s="1461">
        <f>Y90*Y118*UC.m3_to_gal</f>
        <v>282011.10203574324</v>
      </c>
      <c r="Z119" s="1461">
        <f>Z90*Z118*UC.m3_to_gal</f>
        <v>31334.566892860323</v>
      </c>
      <c r="AA119" s="1461">
        <f>AA90*AA118*UC.m3_to_gal</f>
        <v>711627.37455007585</v>
      </c>
      <c r="AB119" s="1486"/>
      <c r="AC119" s="1461">
        <f>AC90*AC118*UC.m3_to_gal</f>
        <v>280977.60233866138</v>
      </c>
      <c r="AD119" s="1461">
        <f>AD90*AD118*UC.m3_to_gal</f>
        <v>31219.733593184563</v>
      </c>
      <c r="AE119" s="1461">
        <f>AE90*AE118*UC.m3_to_gal</f>
        <v>614845.71879424888</v>
      </c>
      <c r="AF119" s="18" t="s">
        <v>5591</v>
      </c>
      <c r="AG119" s="1486"/>
      <c r="AH119" s="1461">
        <f>AH90*AH118*UC.m3_to_gal</f>
        <v>280977.60233866138</v>
      </c>
      <c r="AI119" s="1461">
        <f>AI90*AI118*UC.m3_to_gal</f>
        <v>31219.733593184563</v>
      </c>
      <c r="AJ119" s="1461">
        <f>AJ90*AJ118*UC.m3_to_gal</f>
        <v>592377.72153806535</v>
      </c>
      <c r="AK119" s="1486"/>
      <c r="AL119" s="1461">
        <f>AL90*AL118*UC.m3_to_gal</f>
        <v>280977.60233866138</v>
      </c>
      <c r="AM119" s="1461">
        <f>AM90*AM118*UC.m3_to_gal</f>
        <v>31219.733593184621</v>
      </c>
      <c r="AN119" s="1461">
        <f>AN90*AN118*UC.m3_to_gal</f>
        <v>614845.71879424888</v>
      </c>
      <c r="AO119" s="1486"/>
      <c r="AP119" s="1461">
        <f>AP90*AP118*UC.m3_to_gal</f>
        <v>433881.74694466864</v>
      </c>
      <c r="AQ119" s="1461">
        <f>AQ90*AQ118*UC.m3_to_gal</f>
        <v>48209.082993852055</v>
      </c>
      <c r="AR119" s="1461">
        <f>AR90*AR118*UC.m3_to_gal</f>
        <v>324229.26918288221</v>
      </c>
      <c r="AS119" s="18" t="s">
        <v>5591</v>
      </c>
    </row>
    <row r="120" spans="1:45" x14ac:dyDescent="0.3">
      <c r="B120" s="49" t="s">
        <v>5592</v>
      </c>
      <c r="C120" s="18"/>
      <c r="D120" s="510"/>
      <c r="E120" s="1403">
        <f>E101*1000*UC.gal_to_ft3*UC.ft_to_in/UC.acre_to_ft2</f>
        <v>0.81961729765533531</v>
      </c>
      <c r="F120" s="1403">
        <f>F101*1000*UC.gal_to_ft3*UC.ft_to_in/UC.acre_to_ft2</f>
        <v>0.73653201101928378</v>
      </c>
      <c r="G120" s="1403">
        <f>G101*1000*UC.gal_to_ft3*UC.ft_to_in/UC.acre_to_ft2</f>
        <v>0.36826600550964189</v>
      </c>
      <c r="H120" s="1729" t="str">
        <f t="shared" si="21"/>
        <v>in</v>
      </c>
      <c r="I120" s="1403">
        <f>I101*1000*UC.gal_to_ft3*UC.ft_to_in/UC.acre_to_ft2</f>
        <v>0.71708355781065736</v>
      </c>
      <c r="J120" s="1403">
        <f>J101*1000*UC.gal_to_ft3*UC.ft_to_in/UC.acre_to_ft2</f>
        <v>0.71708355781065736</v>
      </c>
      <c r="K120" s="1403">
        <f>K101*1000*UC.gal_to_ft3*UC.ft_to_in/UC.acre_to_ft2</f>
        <v>0.36826600550964189</v>
      </c>
      <c r="L120" s="1485"/>
      <c r="M120" s="1403">
        <f>M101*1000*UC.gal_to_ft3*UC.ft_to_in/UC.acre_to_ft2</f>
        <v>0.75995901913528308</v>
      </c>
      <c r="N120" s="1403">
        <f>N101*1000*UC.gal_to_ft3*UC.ft_to_in/UC.acre_to_ft2</f>
        <v>0.73653201101928378</v>
      </c>
      <c r="O120" s="1403">
        <f>O101*1000*UC.gal_to_ft3*UC.ft_to_in/UC.acre_to_ft2</f>
        <v>0.36826600550964189</v>
      </c>
      <c r="P120" s="1485"/>
      <c r="Q120" s="1403">
        <f>Q101*1000*UC.gal_to_ft3*UC.ft_to_in/UC.acre_to_ft2</f>
        <v>0.87519193694675168</v>
      </c>
      <c r="R120" s="1403">
        <f>R101*1000*UC.gal_to_ft3*UC.ft_to_in/UC.acre_to_ft2</f>
        <v>0.73653201101928378</v>
      </c>
      <c r="S120" s="1403">
        <f>S101*1000*UC.gal_to_ft3*UC.ft_to_in/UC.acre_to_ft2</f>
        <v>0.36826600550964189</v>
      </c>
      <c r="T120" s="1485"/>
      <c r="U120" s="1403">
        <f>U101*1000*UC.gal_to_ft3*UC.ft_to_in/UC.acre_to_ft2</f>
        <v>0.76570583577030493</v>
      </c>
      <c r="V120" s="1403">
        <f>V101*1000*UC.gal_to_ft3*UC.ft_to_in/UC.acre_to_ft2</f>
        <v>0.73653201101928378</v>
      </c>
      <c r="W120" s="1403">
        <f>W101*1000*UC.gal_to_ft3*UC.ft_to_in/UC.acre_to_ft2</f>
        <v>0.34779305260545956</v>
      </c>
      <c r="X120" s="1485"/>
      <c r="Y120" s="1403">
        <f>Y101*1000*UC.gal_to_ft3*UC.ft_to_in/UC.acre_to_ft2</f>
        <v>0.81679624981098453</v>
      </c>
      <c r="Z120" s="1403">
        <f>Z101*1000*UC.gal_to_ft3*UC.ft_to_in/UC.acre_to_ft2</f>
        <v>0.73653201101928378</v>
      </c>
      <c r="AA120" s="1403">
        <f>AA101*1000*UC.gal_to_ft3*UC.ft_to_in/UC.acre_to_ft2</f>
        <v>0.36826600550964189</v>
      </c>
      <c r="AB120" s="1485"/>
      <c r="AC120" s="1403">
        <f>AC101*1000*UC.gal_to_ft3*UC.ft_to_in/UC.acre_to_ft2</f>
        <v>0.89760837486589706</v>
      </c>
      <c r="AD120" s="1403">
        <f>AD101*1000*UC.gal_to_ft3*UC.ft_to_in/UC.acre_to_ft2</f>
        <v>0.73653201101928378</v>
      </c>
      <c r="AE120" s="1403">
        <f>AE101*1000*UC.gal_to_ft3*UC.ft_to_in/UC.acre_to_ft2</f>
        <v>0.35355245091562237</v>
      </c>
      <c r="AF120" s="18" t="s">
        <v>2534</v>
      </c>
      <c r="AG120" s="1485"/>
      <c r="AH120" s="1403">
        <f>AH101*1000*UC.gal_to_ft3*UC.ft_to_in/UC.acre_to_ft2</f>
        <v>0.78531798781063689</v>
      </c>
      <c r="AI120" s="1403">
        <f>AI101*1000*UC.gal_to_ft3*UC.ft_to_in/UC.acre_to_ft2</f>
        <v>0.73653201101928378</v>
      </c>
      <c r="AJ120" s="1403">
        <f>AJ101*1000*UC.gal_to_ft3*UC.ft_to_in/UC.acre_to_ft2</f>
        <v>0.30932320498909854</v>
      </c>
      <c r="AK120" s="1485"/>
      <c r="AL120" s="1403">
        <f>AL101*1000*UC.gal_to_ft3*UC.ft_to_in/UC.acre_to_ft2</f>
        <v>0.83771698919799842</v>
      </c>
      <c r="AM120" s="1403">
        <f>AM101*1000*UC.gal_to_ft3*UC.ft_to_in/UC.acre_to_ft2</f>
        <v>0.73653201101928378</v>
      </c>
      <c r="AN120" s="1403">
        <f>AN101*1000*UC.gal_to_ft3*UC.ft_to_in/UC.acre_to_ft2</f>
        <v>0.32996226750765006</v>
      </c>
      <c r="AO120" s="1485"/>
      <c r="AP120" s="1403">
        <f>AP101*1000*UC.gal_to_ft3*UC.ft_to_in/UC.acre_to_ft2</f>
        <v>1.3618498155340688</v>
      </c>
      <c r="AQ120" s="1403">
        <f>AQ101*1000*UC.gal_to_ft3*UC.ft_to_in/UC.acre_to_ft2</f>
        <v>0.73653201101928378</v>
      </c>
      <c r="AR120" s="1403">
        <f>AR101*1000*UC.gal_to_ft3*UC.ft_to_in/UC.acre_to_ft2</f>
        <v>0.18318189976099064</v>
      </c>
      <c r="AS120" s="18" t="s">
        <v>2534</v>
      </c>
    </row>
    <row r="121" spans="1:45" x14ac:dyDescent="0.3">
      <c r="A121" t="s">
        <v>5593</v>
      </c>
      <c r="B121" s="1405" t="s">
        <v>5593</v>
      </c>
      <c r="C121" s="1374"/>
      <c r="D121" s="1374"/>
      <c r="E121" s="1374"/>
      <c r="F121" s="1383" t="s">
        <v>6380</v>
      </c>
      <c r="G121" s="1383" t="s">
        <v>263</v>
      </c>
      <c r="H121" s="1410"/>
      <c r="I121" s="2189"/>
      <c r="J121" s="1410" t="s">
        <v>6380</v>
      </c>
      <c r="K121" s="1410" t="s">
        <v>263</v>
      </c>
      <c r="L121" s="1410"/>
      <c r="M121" s="2189"/>
      <c r="N121" s="1410" t="s">
        <v>6380</v>
      </c>
      <c r="O121" s="1410" t="s">
        <v>263</v>
      </c>
      <c r="P121" s="1410"/>
      <c r="Q121" s="2189"/>
      <c r="R121" s="1410" t="s">
        <v>6380</v>
      </c>
      <c r="S121" s="1410" t="s">
        <v>263</v>
      </c>
      <c r="T121" s="1410"/>
      <c r="U121" s="2189"/>
      <c r="V121" s="1410" t="s">
        <v>6380</v>
      </c>
      <c r="W121" s="1410" t="s">
        <v>263</v>
      </c>
      <c r="X121" s="1410"/>
      <c r="Y121" s="2189"/>
      <c r="Z121" s="1410" t="s">
        <v>6380</v>
      </c>
      <c r="AA121" s="1410" t="s">
        <v>263</v>
      </c>
      <c r="AB121" s="1410"/>
      <c r="AC121" s="2189"/>
      <c r="AD121" s="1410" t="s">
        <v>6380</v>
      </c>
      <c r="AE121" s="1410" t="s">
        <v>263</v>
      </c>
      <c r="AF121" s="2189"/>
      <c r="AG121" s="1410"/>
      <c r="AH121" s="2189"/>
      <c r="AI121" s="1410" t="s">
        <v>6380</v>
      </c>
      <c r="AJ121" s="1410" t="s">
        <v>263</v>
      </c>
      <c r="AK121" s="1410"/>
      <c r="AL121" s="2189"/>
      <c r="AM121" s="1410" t="s">
        <v>6380</v>
      </c>
      <c r="AN121" s="1410" t="s">
        <v>263</v>
      </c>
      <c r="AO121" s="1410"/>
      <c r="AP121" s="2189"/>
      <c r="AQ121" s="1410" t="s">
        <v>6380</v>
      </c>
      <c r="AR121" s="1410" t="s">
        <v>263</v>
      </c>
      <c r="AS121" s="2189"/>
    </row>
    <row r="122" spans="1:45" x14ac:dyDescent="0.3">
      <c r="B122" s="1449" t="s">
        <v>5372</v>
      </c>
      <c r="C122" s="18"/>
      <c r="D122" s="510"/>
      <c r="E122" s="510"/>
      <c r="F122" s="1403"/>
      <c r="G122" s="1462">
        <f>UDV.econ_fertilizer.N</f>
        <v>0.53</v>
      </c>
      <c r="H122" s="1729" t="str">
        <f t="shared" si="21"/>
        <v>$/lb</v>
      </c>
      <c r="I122" s="510"/>
      <c r="J122" s="1403"/>
      <c r="K122" s="1462">
        <f>UDV.econ_fertilizer.N</f>
        <v>0.53</v>
      </c>
      <c r="L122" s="1487"/>
      <c r="M122" s="510"/>
      <c r="N122" s="1403"/>
      <c r="O122" s="1462">
        <f>UDV.econ_fertilizer.N</f>
        <v>0.53</v>
      </c>
      <c r="P122" s="1487"/>
      <c r="Q122" s="510"/>
      <c r="R122" s="1403"/>
      <c r="S122" s="1462">
        <f>UDV.econ_fertilizer.N</f>
        <v>0.53</v>
      </c>
      <c r="T122" s="1487"/>
      <c r="U122" s="510"/>
      <c r="V122" s="1403"/>
      <c r="W122" s="1462">
        <f>UDV.econ_fertilizer.N</f>
        <v>0.53</v>
      </c>
      <c r="X122" s="1487"/>
      <c r="Y122" s="510"/>
      <c r="Z122" s="1403"/>
      <c r="AA122" s="1462">
        <f>UDV.econ_fertilizer.N</f>
        <v>0.53</v>
      </c>
      <c r="AB122" s="1487"/>
      <c r="AC122" s="510"/>
      <c r="AD122" s="1403"/>
      <c r="AE122" s="1462">
        <f>UDV.econ_fertilizer.N</f>
        <v>0.53</v>
      </c>
      <c r="AF122" s="1449" t="s">
        <v>2299</v>
      </c>
      <c r="AG122" s="1487"/>
      <c r="AH122" s="510"/>
      <c r="AI122" s="1403"/>
      <c r="AJ122" s="1462">
        <f>UDV.econ_fertilizer.N</f>
        <v>0.53</v>
      </c>
      <c r="AK122" s="1487"/>
      <c r="AL122" s="510"/>
      <c r="AM122" s="1403"/>
      <c r="AN122" s="1462">
        <f>UDV.econ_fertilizer.N</f>
        <v>0.53</v>
      </c>
      <c r="AO122" s="1487"/>
      <c r="AP122" s="510"/>
      <c r="AQ122" s="1403"/>
      <c r="AR122" s="1462">
        <f>UDV.econ_fertilizer.N</f>
        <v>0.53</v>
      </c>
      <c r="AS122" s="1449" t="s">
        <v>2299</v>
      </c>
    </row>
    <row r="123" spans="1:45" x14ac:dyDescent="0.3">
      <c r="B123" s="1449" t="s">
        <v>5373</v>
      </c>
      <c r="C123" s="18"/>
      <c r="D123" s="510"/>
      <c r="E123" s="510"/>
      <c r="F123" s="1403"/>
      <c r="G123" s="1462">
        <f>UDV.econ_fertilizer.P2O5</f>
        <v>0.53</v>
      </c>
      <c r="H123" s="1729" t="str">
        <f t="shared" si="21"/>
        <v>$/lb</v>
      </c>
      <c r="I123" s="510"/>
      <c r="J123" s="1403"/>
      <c r="K123" s="1462">
        <f>UDV.econ_fertilizer.P2O5</f>
        <v>0.53</v>
      </c>
      <c r="L123" s="1487"/>
      <c r="M123" s="510"/>
      <c r="N123" s="1403"/>
      <c r="O123" s="1462">
        <f>UDV.econ_fertilizer.P2O5</f>
        <v>0.53</v>
      </c>
      <c r="P123" s="1487"/>
      <c r="Q123" s="510"/>
      <c r="R123" s="1403"/>
      <c r="S123" s="1462">
        <f>UDV.econ_fertilizer.P2O5</f>
        <v>0.53</v>
      </c>
      <c r="T123" s="1487"/>
      <c r="U123" s="510"/>
      <c r="V123" s="1403"/>
      <c r="W123" s="1462">
        <f>UDV.econ_fertilizer.P2O5</f>
        <v>0.53</v>
      </c>
      <c r="X123" s="1487"/>
      <c r="Y123" s="510"/>
      <c r="Z123" s="1403"/>
      <c r="AA123" s="1462">
        <f>UDV.econ_fertilizer.P2O5</f>
        <v>0.53</v>
      </c>
      <c r="AB123" s="1487"/>
      <c r="AC123" s="510"/>
      <c r="AD123" s="1403"/>
      <c r="AE123" s="1462">
        <f>UDV.econ_fertilizer.P2O5</f>
        <v>0.53</v>
      </c>
      <c r="AF123" s="1449" t="s">
        <v>2299</v>
      </c>
      <c r="AG123" s="1487"/>
      <c r="AH123" s="510"/>
      <c r="AI123" s="1403"/>
      <c r="AJ123" s="1462">
        <f>UDV.econ_fertilizer.P2O5</f>
        <v>0.53</v>
      </c>
      <c r="AK123" s="1487"/>
      <c r="AL123" s="510"/>
      <c r="AM123" s="1403"/>
      <c r="AN123" s="1462">
        <f>UDV.econ_fertilizer.P2O5</f>
        <v>0.53</v>
      </c>
      <c r="AO123" s="1487"/>
      <c r="AP123" s="510"/>
      <c r="AQ123" s="1403"/>
      <c r="AR123" s="1462">
        <f>UDV.econ_fertilizer.P2O5</f>
        <v>0.53</v>
      </c>
      <c r="AS123" s="1449" t="s">
        <v>2299</v>
      </c>
    </row>
    <row r="124" spans="1:45" x14ac:dyDescent="0.3">
      <c r="B124" s="1449" t="s">
        <v>5374</v>
      </c>
      <c r="C124" s="18"/>
      <c r="D124" s="510"/>
      <c r="E124" s="510"/>
      <c r="F124" s="1403"/>
      <c r="G124" s="1462">
        <f>UDV.econ_fertilizer.K2O</f>
        <v>0.45</v>
      </c>
      <c r="H124" s="1729" t="str">
        <f t="shared" si="21"/>
        <v>$/lb</v>
      </c>
      <c r="I124" s="510"/>
      <c r="J124" s="1403"/>
      <c r="K124" s="1462">
        <f>UDV.econ_fertilizer.K2O</f>
        <v>0.45</v>
      </c>
      <c r="L124" s="1487"/>
      <c r="M124" s="510"/>
      <c r="N124" s="1403"/>
      <c r="O124" s="1462">
        <f>UDV.econ_fertilizer.K2O</f>
        <v>0.45</v>
      </c>
      <c r="P124" s="1487"/>
      <c r="Q124" s="510"/>
      <c r="R124" s="1403"/>
      <c r="S124" s="1462">
        <f>UDV.econ_fertilizer.K2O</f>
        <v>0.45</v>
      </c>
      <c r="T124" s="1487"/>
      <c r="U124" s="510"/>
      <c r="V124" s="1403"/>
      <c r="W124" s="1462">
        <f>UDV.econ_fertilizer.K2O</f>
        <v>0.45</v>
      </c>
      <c r="X124" s="1487"/>
      <c r="Y124" s="510"/>
      <c r="Z124" s="1403"/>
      <c r="AA124" s="1462">
        <f>UDV.econ_fertilizer.K2O</f>
        <v>0.45</v>
      </c>
      <c r="AB124" s="1487"/>
      <c r="AC124" s="510"/>
      <c r="AD124" s="1403"/>
      <c r="AE124" s="1462">
        <f>UDV.econ_fertilizer.K2O</f>
        <v>0.45</v>
      </c>
      <c r="AF124" s="1449" t="s">
        <v>2299</v>
      </c>
      <c r="AG124" s="1487"/>
      <c r="AH124" s="510"/>
      <c r="AI124" s="1403"/>
      <c r="AJ124" s="1462">
        <f>UDV.econ_fertilizer.K2O</f>
        <v>0.45</v>
      </c>
      <c r="AK124" s="1487"/>
      <c r="AL124" s="510"/>
      <c r="AM124" s="1403"/>
      <c r="AN124" s="1462">
        <f>UDV.econ_fertilizer.K2O</f>
        <v>0.45</v>
      </c>
      <c r="AO124" s="1487"/>
      <c r="AP124" s="510"/>
      <c r="AQ124" s="1403"/>
      <c r="AR124" s="1462">
        <f>UDV.econ_fertilizer.K2O</f>
        <v>0.45</v>
      </c>
      <c r="AS124" s="1449" t="s">
        <v>2299</v>
      </c>
    </row>
    <row r="125" spans="1:45" x14ac:dyDescent="0.3">
      <c r="B125" s="1449" t="s">
        <v>5375</v>
      </c>
      <c r="C125" s="18"/>
      <c r="D125" s="510"/>
      <c r="E125" s="1380">
        <f>E105*G122</f>
        <v>103.35000000000001</v>
      </c>
      <c r="F125" s="1380">
        <f>F105*G122</f>
        <v>92.873324607228014</v>
      </c>
      <c r="G125" s="1380">
        <f>G105*G122</f>
        <v>61.623718466019284</v>
      </c>
      <c r="H125" s="1729" t="str">
        <f t="shared" si="21"/>
        <v>$/ac/y</v>
      </c>
      <c r="I125" s="1380">
        <f>I105*K122</f>
        <v>103.35000000000001</v>
      </c>
      <c r="J125" s="1380">
        <f>J105*K122</f>
        <v>103.35000000000001</v>
      </c>
      <c r="K125" s="1380">
        <f>K105*K122</f>
        <v>70.435118823249155</v>
      </c>
      <c r="L125" s="1482"/>
      <c r="M125" s="1380">
        <f>M105*O122</f>
        <v>103.35000000000001</v>
      </c>
      <c r="N125" s="1380">
        <f>N105*O122</f>
        <v>100.1640633536484</v>
      </c>
      <c r="O125" s="1380">
        <f>O105*O122</f>
        <v>66.02941864463422</v>
      </c>
      <c r="P125" s="1482"/>
      <c r="Q125" s="1380">
        <f>Q105*S122</f>
        <v>103.35000000000001</v>
      </c>
      <c r="R125" s="1380">
        <f>R105*S122</f>
        <v>86.975873663098312</v>
      </c>
      <c r="S125" s="1380">
        <f>S105*S122</f>
        <v>95.743623307226585</v>
      </c>
      <c r="T125" s="1482"/>
      <c r="U125" s="1380">
        <f>U105*W122</f>
        <v>103.35000000000001</v>
      </c>
      <c r="V125" s="1380">
        <f>V105*W122</f>
        <v>99.412306636353634</v>
      </c>
      <c r="W125" s="1380">
        <f>W105*W122</f>
        <v>103.35000000000001</v>
      </c>
      <c r="X125" s="1482"/>
      <c r="Y125" s="1380">
        <f>Y105*AA122</f>
        <v>103.35000000000001</v>
      </c>
      <c r="Z125" s="1380">
        <f>Z105*AA122</f>
        <v>93.194090149725966</v>
      </c>
      <c r="AA125" s="1380">
        <f>AA105*AA122</f>
        <v>102.58867759486243</v>
      </c>
      <c r="AB125" s="1482"/>
      <c r="AC125" s="1380">
        <f>AC105*AE122</f>
        <v>103.35000000000001</v>
      </c>
      <c r="AD125" s="1380">
        <f>AD105*AE122</f>
        <v>84.803780212295166</v>
      </c>
      <c r="AE125" s="1380">
        <f>AE105*AE122</f>
        <v>103.35000000000001</v>
      </c>
      <c r="AF125" s="1449" t="s">
        <v>5376</v>
      </c>
      <c r="AG125" s="1482"/>
      <c r="AH125" s="1380">
        <f>AH105*AJ122</f>
        <v>103.35000000000002</v>
      </c>
      <c r="AI125" s="1380">
        <f>AI105*AJ122</f>
        <v>96.929631716519268</v>
      </c>
      <c r="AJ125" s="1380">
        <f>AJ105*AJ122</f>
        <v>103.35000000000001</v>
      </c>
      <c r="AK125" s="1482"/>
      <c r="AL125" s="1380">
        <f>AL105*AN122</f>
        <v>103.35000000000001</v>
      </c>
      <c r="AM125" s="1380">
        <f>AM105*AN122</f>
        <v>90.866705964407188</v>
      </c>
      <c r="AN125" s="1380">
        <f>AN105*AN122</f>
        <v>103.35000000000001</v>
      </c>
      <c r="AO125" s="1482"/>
      <c r="AP125" s="1380">
        <f>AP105*AR122</f>
        <v>103.35</v>
      </c>
      <c r="AQ125" s="1380">
        <f>AQ105*AR122</f>
        <v>55.894991114707608</v>
      </c>
      <c r="AR125" s="1380">
        <f>AR105*AR122</f>
        <v>103.35000000000001</v>
      </c>
      <c r="AS125" s="1449" t="s">
        <v>5376</v>
      </c>
    </row>
    <row r="126" spans="1:45" x14ac:dyDescent="0.3">
      <c r="B126" s="1449" t="s">
        <v>5377</v>
      </c>
      <c r="C126" s="18"/>
      <c r="D126" s="510"/>
      <c r="E126" s="1380">
        <f t="shared" ref="E126:E127" si="78">E106*G123</f>
        <v>29.150000000000002</v>
      </c>
      <c r="F126" s="1380">
        <f>F106*G123</f>
        <v>29.150000000000002</v>
      </c>
      <c r="G126" s="1380">
        <f>G106*G123</f>
        <v>29.150000000000002</v>
      </c>
      <c r="H126" s="1729" t="str">
        <f t="shared" si="21"/>
        <v>$/ac/y</v>
      </c>
      <c r="I126" s="1380">
        <f t="shared" ref="I126:I127" si="79">I106*K123</f>
        <v>29.150000000000002</v>
      </c>
      <c r="J126" s="1380">
        <f>J106*K123</f>
        <v>29.150000000000002</v>
      </c>
      <c r="K126" s="1380">
        <f>K106*K123</f>
        <v>29.150000000000002</v>
      </c>
      <c r="L126" s="1482"/>
      <c r="M126" s="1380">
        <f t="shared" ref="M126:M127" si="80">M106*O123</f>
        <v>29.150000000000002</v>
      </c>
      <c r="N126" s="1380">
        <f>N106*O123</f>
        <v>29.150000000000002</v>
      </c>
      <c r="O126" s="1380">
        <f>O106*O123</f>
        <v>29.150000000000002</v>
      </c>
      <c r="P126" s="1482"/>
      <c r="Q126" s="1380">
        <f t="shared" ref="Q126:Q127" si="81">Q106*S123</f>
        <v>29.150000000000002</v>
      </c>
      <c r="R126" s="1380">
        <f>R106*S123</f>
        <v>29.150000000000002</v>
      </c>
      <c r="S126" s="1380">
        <f>S106*S123</f>
        <v>29.150000000000002</v>
      </c>
      <c r="T126" s="1482"/>
      <c r="U126" s="1380">
        <f t="shared" ref="U126:U127" si="82">U106*W123</f>
        <v>29.150000000000002</v>
      </c>
      <c r="V126" s="1380">
        <f>V106*W123</f>
        <v>29.150000000000002</v>
      </c>
      <c r="W126" s="1380">
        <f>W106*W123</f>
        <v>29.150000000000002</v>
      </c>
      <c r="X126" s="1482"/>
      <c r="Y126" s="1380">
        <f t="shared" ref="Y126:Y127" si="83">Y106*AA123</f>
        <v>29.150000000000002</v>
      </c>
      <c r="Z126" s="1380">
        <f>Z106*AA123</f>
        <v>29.150000000000002</v>
      </c>
      <c r="AA126" s="1380">
        <f>AA106*AA123</f>
        <v>29.150000000000002</v>
      </c>
      <c r="AB126" s="1482"/>
      <c r="AC126" s="1380">
        <f t="shared" ref="AC126:AC127" si="84">AC106*AE123</f>
        <v>29.150000000000002</v>
      </c>
      <c r="AD126" s="1380">
        <f>AD106*AE123</f>
        <v>29.150000000000002</v>
      </c>
      <c r="AE126" s="1380">
        <f>AE106*AE123</f>
        <v>29.150000000000002</v>
      </c>
      <c r="AF126" s="1449" t="s">
        <v>5376</v>
      </c>
      <c r="AG126" s="1482"/>
      <c r="AH126" s="1380">
        <f t="shared" ref="AH126:AH127" si="85">AH106*AJ123</f>
        <v>29.150000000000002</v>
      </c>
      <c r="AI126" s="1380">
        <f>AI106*AJ123</f>
        <v>29.150000000000002</v>
      </c>
      <c r="AJ126" s="1380">
        <f>AJ106*AJ123</f>
        <v>29.150000000000002</v>
      </c>
      <c r="AK126" s="1482"/>
      <c r="AL126" s="1380">
        <f t="shared" ref="AL126:AL127" si="86">AL106*AN123</f>
        <v>29.150000000000002</v>
      </c>
      <c r="AM126" s="1380">
        <f>AM106*AN123</f>
        <v>29.150000000000002</v>
      </c>
      <c r="AN126" s="1380">
        <f>AN106*AN123</f>
        <v>29.150000000000002</v>
      </c>
      <c r="AO126" s="1482"/>
      <c r="AP126" s="1380">
        <f t="shared" ref="AP126:AP127" si="87">AP106*AR123</f>
        <v>29.150000000000002</v>
      </c>
      <c r="AQ126" s="1380">
        <f>AQ106*AR123</f>
        <v>27.341499465906757</v>
      </c>
      <c r="AR126" s="1380">
        <f>AR106*AR123</f>
        <v>29.150000000000002</v>
      </c>
      <c r="AS126" s="1449" t="s">
        <v>5376</v>
      </c>
    </row>
    <row r="127" spans="1:45" x14ac:dyDescent="0.3">
      <c r="B127" s="1449" t="s">
        <v>5378</v>
      </c>
      <c r="C127" s="18"/>
      <c r="D127" s="510"/>
      <c r="E127" s="1380">
        <f t="shared" si="78"/>
        <v>40.5</v>
      </c>
      <c r="F127" s="1380">
        <f>F107*G124</f>
        <v>40.5</v>
      </c>
      <c r="G127" s="1380">
        <f>G107*G124</f>
        <v>40.5</v>
      </c>
      <c r="H127" s="1729" t="str">
        <f t="shared" si="21"/>
        <v>$/ac/y</v>
      </c>
      <c r="I127" s="1380">
        <f t="shared" si="79"/>
        <v>40.5</v>
      </c>
      <c r="J127" s="1380">
        <f>J107*K124</f>
        <v>40.5</v>
      </c>
      <c r="K127" s="1380">
        <f>K107*K124</f>
        <v>40.5</v>
      </c>
      <c r="L127" s="1482"/>
      <c r="M127" s="1380">
        <f t="shared" si="80"/>
        <v>40.5</v>
      </c>
      <c r="N127" s="1380">
        <f>N107*O124</f>
        <v>40.5</v>
      </c>
      <c r="O127" s="1380">
        <f>O107*O124</f>
        <v>40.5</v>
      </c>
      <c r="P127" s="1482"/>
      <c r="Q127" s="1380">
        <f t="shared" si="81"/>
        <v>40.5</v>
      </c>
      <c r="R127" s="1380">
        <f>R107*S124</f>
        <v>40.5</v>
      </c>
      <c r="S127" s="1380">
        <f>S107*S124</f>
        <v>40.5</v>
      </c>
      <c r="T127" s="1482"/>
      <c r="U127" s="1380">
        <f t="shared" si="82"/>
        <v>40.5</v>
      </c>
      <c r="V127" s="1380">
        <f>V107*W124</f>
        <v>40.5</v>
      </c>
      <c r="W127" s="1380">
        <f>W107*W124</f>
        <v>40.5</v>
      </c>
      <c r="X127" s="1482"/>
      <c r="Y127" s="1380">
        <f t="shared" si="83"/>
        <v>40.5</v>
      </c>
      <c r="Z127" s="1380">
        <f>Z107*AA124</f>
        <v>40.5</v>
      </c>
      <c r="AA127" s="1380">
        <f>AA107*AA124</f>
        <v>40.5</v>
      </c>
      <c r="AB127" s="1482"/>
      <c r="AC127" s="1380">
        <f t="shared" si="84"/>
        <v>40.5</v>
      </c>
      <c r="AD127" s="1380">
        <f>AD107*AE124</f>
        <v>40.5</v>
      </c>
      <c r="AE127" s="1380">
        <f>AE107*AE124</f>
        <v>40.5</v>
      </c>
      <c r="AF127" s="1449" t="s">
        <v>5376</v>
      </c>
      <c r="AG127" s="1482"/>
      <c r="AH127" s="1380">
        <f t="shared" si="85"/>
        <v>40.5</v>
      </c>
      <c r="AI127" s="1380">
        <f>AI107*AJ124</f>
        <v>40.5</v>
      </c>
      <c r="AJ127" s="1380">
        <f>AJ107*AJ124</f>
        <v>40.5</v>
      </c>
      <c r="AK127" s="1482"/>
      <c r="AL127" s="1380">
        <f t="shared" si="86"/>
        <v>40.5</v>
      </c>
      <c r="AM127" s="1380">
        <f>AM107*AN124</f>
        <v>40.5</v>
      </c>
      <c r="AN127" s="1380">
        <f>AN107*AN124</f>
        <v>40.5</v>
      </c>
      <c r="AO127" s="1482"/>
      <c r="AP127" s="1380">
        <f t="shared" si="87"/>
        <v>40.5</v>
      </c>
      <c r="AQ127" s="1380">
        <f>AQ107*AR124</f>
        <v>39.986860575562496</v>
      </c>
      <c r="AR127" s="1380">
        <f>AR107*AR124</f>
        <v>40.5</v>
      </c>
      <c r="AS127" s="1449" t="s">
        <v>5376</v>
      </c>
    </row>
    <row r="128" spans="1:45" x14ac:dyDescent="0.3">
      <c r="B128" s="1449" t="s">
        <v>5379</v>
      </c>
      <c r="C128" s="18"/>
      <c r="D128" s="510"/>
      <c r="E128" s="1380">
        <f>SUM(E125:E127)</f>
        <v>173</v>
      </c>
      <c r="F128" s="1380">
        <f>SUM(F125:F127)</f>
        <v>162.52332460722801</v>
      </c>
      <c r="G128" s="1380">
        <f>SUM(G125:G127)</f>
        <v>131.27371846601929</v>
      </c>
      <c r="H128" s="1729" t="str">
        <f t="shared" si="21"/>
        <v>$/ac/y</v>
      </c>
      <c r="I128" s="1380">
        <f>SUM(I125:I127)</f>
        <v>173</v>
      </c>
      <c r="J128" s="1380">
        <f>SUM(J125:J127)</f>
        <v>173</v>
      </c>
      <c r="K128" s="1380">
        <f>SUM(K125:K127)</f>
        <v>140.08511882324916</v>
      </c>
      <c r="L128" s="1482"/>
      <c r="M128" s="1380">
        <f>SUM(M125:M127)</f>
        <v>173</v>
      </c>
      <c r="N128" s="1380">
        <f>SUM(N125:N127)</f>
        <v>169.81406335364841</v>
      </c>
      <c r="O128" s="1380">
        <f>SUM(O125:O127)</f>
        <v>135.67941864463421</v>
      </c>
      <c r="P128" s="1482"/>
      <c r="Q128" s="1380">
        <f>SUM(Q125:Q127)</f>
        <v>173</v>
      </c>
      <c r="R128" s="1380">
        <f>SUM(R125:R127)</f>
        <v>156.62587366309833</v>
      </c>
      <c r="S128" s="1380">
        <f>SUM(S125:S127)</f>
        <v>165.39362330722659</v>
      </c>
      <c r="T128" s="1482"/>
      <c r="U128" s="1380">
        <f>SUM(U125:U127)</f>
        <v>173</v>
      </c>
      <c r="V128" s="1380">
        <f>SUM(V125:V127)</f>
        <v>169.06230663635364</v>
      </c>
      <c r="W128" s="1380">
        <f>SUM(W125:W127)</f>
        <v>173</v>
      </c>
      <c r="X128" s="1482"/>
      <c r="Y128" s="1380">
        <f>SUM(Y125:Y127)</f>
        <v>173</v>
      </c>
      <c r="Z128" s="1380">
        <f>SUM(Z125:Z127)</f>
        <v>162.84409014972596</v>
      </c>
      <c r="AA128" s="1380">
        <f>SUM(AA125:AA127)</f>
        <v>172.23867759486242</v>
      </c>
      <c r="AB128" s="1482"/>
      <c r="AC128" s="1380">
        <f>SUM(AC125:AC127)</f>
        <v>173</v>
      </c>
      <c r="AD128" s="1380">
        <f>SUM(AD125:AD127)</f>
        <v>154.45378021229516</v>
      </c>
      <c r="AE128" s="1380">
        <f>SUM(AE125:AE127)</f>
        <v>173</v>
      </c>
      <c r="AF128" s="1449" t="s">
        <v>5376</v>
      </c>
      <c r="AG128" s="1482"/>
      <c r="AH128" s="1380">
        <f>SUM(AH125:AH127)</f>
        <v>173.00000000000003</v>
      </c>
      <c r="AI128" s="1380">
        <f>SUM(AI125:AI127)</f>
        <v>166.57963171651926</v>
      </c>
      <c r="AJ128" s="1380">
        <f>SUM(AJ125:AJ127)</f>
        <v>173</v>
      </c>
      <c r="AK128" s="1482"/>
      <c r="AL128" s="1380">
        <f>SUM(AL125:AL127)</f>
        <v>173</v>
      </c>
      <c r="AM128" s="1380">
        <f>SUM(AM125:AM127)</f>
        <v>160.51670596440721</v>
      </c>
      <c r="AN128" s="1380">
        <f>SUM(AN125:AN127)</f>
        <v>173</v>
      </c>
      <c r="AO128" s="1482"/>
      <c r="AP128" s="1380">
        <f>SUM(AP125:AP127)</f>
        <v>173</v>
      </c>
      <c r="AQ128" s="1380">
        <f>SUM(AQ125:AQ127)</f>
        <v>123.22335115617688</v>
      </c>
      <c r="AR128" s="1380">
        <f>SUM(AR125:AR127)</f>
        <v>173</v>
      </c>
      <c r="AS128" s="1449" t="s">
        <v>5376</v>
      </c>
    </row>
    <row r="129" spans="1:45" x14ac:dyDescent="0.3">
      <c r="B129" s="1449" t="s">
        <v>5380</v>
      </c>
      <c r="C129" s="18"/>
      <c r="D129" s="510"/>
      <c r="E129" s="1380">
        <f>E128/E101</f>
        <v>7.7731423111032631</v>
      </c>
      <c r="F129" s="1380">
        <f>F128/F101</f>
        <v>8.1261662303614006</v>
      </c>
      <c r="G129" s="1380">
        <f>IF(G101=0,1,G128/G101)</f>
        <v>13.127371846601928</v>
      </c>
      <c r="H129" s="1729" t="str">
        <f t="shared" si="21"/>
        <v>$/1000 gal</v>
      </c>
      <c r="I129" s="1380">
        <f>I128/I101</f>
        <v>8.8846018374319478</v>
      </c>
      <c r="J129" s="1380">
        <f>J128/J101</f>
        <v>8.8846018374319478</v>
      </c>
      <c r="K129" s="1380">
        <f>IF(K101=0,1,K128/K101)</f>
        <v>14.008511882324916</v>
      </c>
      <c r="L129" s="1482"/>
      <c r="M129" s="1380">
        <f>M128/M101</f>
        <v>8.3833492792361746</v>
      </c>
      <c r="N129" s="1380">
        <f>N128/N101</f>
        <v>8.4907031676824207</v>
      </c>
      <c r="O129" s="1380">
        <f>IF(O101=0,1,O128/O101)</f>
        <v>13.567941864463421</v>
      </c>
      <c r="P129" s="1482"/>
      <c r="Q129" s="1380">
        <f>Q128/Q101</f>
        <v>7.2795482069259831</v>
      </c>
      <c r="R129" s="1380">
        <f>R128/R101</f>
        <v>7.8312936831549163</v>
      </c>
      <c r="S129" s="1380">
        <f>IF(S101=0,1,S128/S101)</f>
        <v>16.53936233072266</v>
      </c>
      <c r="T129" s="1482"/>
      <c r="U129" s="1380">
        <f>U128/U101</f>
        <v>8.3204301151858626</v>
      </c>
      <c r="V129" s="1380">
        <f>V128/V101</f>
        <v>8.4531153318176813</v>
      </c>
      <c r="W129" s="1380">
        <f>IF(W101=0,1,W128/W101)</f>
        <v>18.318370213519305</v>
      </c>
      <c r="X129" s="1482"/>
      <c r="Y129" s="1380">
        <f>Y128/Y101</f>
        <v>7.7999891610559215</v>
      </c>
      <c r="Z129" s="1380">
        <f>Z128/Z101</f>
        <v>8.1422045074862979</v>
      </c>
      <c r="AA129" s="1380">
        <f>IF(AA101=0,1,AA128/AA101)</f>
        <v>17.223867759486243</v>
      </c>
      <c r="AB129" s="1482"/>
      <c r="AC129" s="1380">
        <f>AC128/AC101</f>
        <v>7.0977522867571663</v>
      </c>
      <c r="AD129" s="1380">
        <f>AD128/AD101</f>
        <v>7.7226890106147579</v>
      </c>
      <c r="AE129" s="1380">
        <f>IF(AE101=0,1,AE128/AE101)</f>
        <v>18.019962466155512</v>
      </c>
      <c r="AF129" s="1449" t="s">
        <v>2314</v>
      </c>
      <c r="AG129" s="1482"/>
      <c r="AH129" s="1380">
        <f>AH128/AH101</f>
        <v>8.1126397130903882</v>
      </c>
      <c r="AI129" s="1380">
        <f>AI128/AI101</f>
        <v>8.3289815858259626</v>
      </c>
      <c r="AJ129" s="1380">
        <f>IF(AJ101=0,1,AJ128/AJ101)</f>
        <v>20.596585683060333</v>
      </c>
      <c r="AK129" s="1482"/>
      <c r="AL129" s="1380">
        <f>AL128/AL101</f>
        <v>7.6051959999237742</v>
      </c>
      <c r="AM129" s="1380">
        <f>AM128/AM101</f>
        <v>8.0258352982203611</v>
      </c>
      <c r="AN129" s="1380">
        <f>IF(AN101=0,1,AN128/AN101)</f>
        <v>19.308274074607922</v>
      </c>
      <c r="AO129" s="1482"/>
      <c r="AP129" s="1380">
        <f>AP128/AP101</f>
        <v>4.6781971276460652</v>
      </c>
      <c r="AQ129" s="1380">
        <f>AQ128/AQ101</f>
        <v>6.1611675578088434</v>
      </c>
      <c r="AR129" s="1380">
        <f>IF(AR101=0,1,AR128/AR101)</f>
        <v>34.7796474631471</v>
      </c>
      <c r="AS129" s="1449" t="s">
        <v>2314</v>
      </c>
    </row>
    <row r="130" spans="1:45" x14ac:dyDescent="0.3">
      <c r="B130" s="1449" t="s">
        <v>5332</v>
      </c>
      <c r="C130" s="18"/>
      <c r="D130" s="510"/>
      <c r="E130" s="1380">
        <f>E115*E129</f>
        <v>4439.6481806959637</v>
      </c>
      <c r="F130" s="1380">
        <f>F115*F129</f>
        <v>515.69762304240908</v>
      </c>
      <c r="G130" s="1380">
        <f>G115*G129</f>
        <v>9341.9924859135917</v>
      </c>
      <c r="H130" s="1729" t="str">
        <f t="shared" si="21"/>
        <v>$/y</v>
      </c>
      <c r="I130" s="1380">
        <f>I115*I129</f>
        <v>5074.4608557365127</v>
      </c>
      <c r="J130" s="1380">
        <f>J115*J129</f>
        <v>563.82898397072381</v>
      </c>
      <c r="K130" s="1380">
        <f>K115*K129</f>
        <v>9442.9598467451069</v>
      </c>
      <c r="L130" s="1482"/>
      <c r="M130" s="1380">
        <f>M115*M129</f>
        <v>4757.0545182162405</v>
      </c>
      <c r="N130" s="1380">
        <f>N115*N129</f>
        <v>535.33016619948592</v>
      </c>
      <c r="O130" s="1380">
        <f>O115*O129</f>
        <v>9409.3847903288861</v>
      </c>
      <c r="P130" s="1482"/>
      <c r="Q130" s="1380">
        <f>Q115*Q129</f>
        <v>4105.8268243150305</v>
      </c>
      <c r="R130" s="1380">
        <f>R115*R129</f>
        <v>490.78039154490443</v>
      </c>
      <c r="S130" s="1380">
        <f>S115*S129</f>
        <v>11769.86299214459</v>
      </c>
      <c r="T130" s="1482"/>
      <c r="U130" s="1380">
        <f>U115*U129</f>
        <v>4692.9073323899029</v>
      </c>
      <c r="V130" s="1380">
        <f>V115*V129</f>
        <v>529.74941563580865</v>
      </c>
      <c r="W130" s="1380">
        <f>W115*W129</f>
        <v>12065.004660363613</v>
      </c>
      <c r="X130" s="1482"/>
      <c r="Y130" s="1380">
        <f>Y115*Y129</f>
        <v>4399.3670783524658</v>
      </c>
      <c r="Z130" s="1380">
        <f>Z115*Z129</f>
        <v>510.26490359035648</v>
      </c>
      <c r="AA130" s="1380">
        <f>AA115*AA129</f>
        <v>12256.975793280892</v>
      </c>
      <c r="AB130" s="1482"/>
      <c r="AC130" s="1380">
        <f>AC115*AC129</f>
        <v>3988.6188390535599</v>
      </c>
      <c r="AD130" s="1380">
        <f>AD115*AD129</f>
        <v>482.20058706881377</v>
      </c>
      <c r="AE130" s="1380">
        <f>AE115*AE129</f>
        <v>11079.496775148771</v>
      </c>
      <c r="AF130" s="1449" t="s">
        <v>5181</v>
      </c>
      <c r="AG130" s="1482"/>
      <c r="AH130" s="1380">
        <f>AH115*AH129</f>
        <v>4558.9401104430872</v>
      </c>
      <c r="AI130" s="1380">
        <f>AI115*AI129</f>
        <v>520.05717242405296</v>
      </c>
      <c r="AJ130" s="1380">
        <f>AJ115*AJ129</f>
        <v>12200.958498394819</v>
      </c>
      <c r="AK130" s="1482"/>
      <c r="AL130" s="1380">
        <f>AL115*AL129</f>
        <v>4273.7794747483222</v>
      </c>
      <c r="AM130" s="1380">
        <f>AM115*AM129</f>
        <v>501.12887974643343</v>
      </c>
      <c r="AN130" s="1380">
        <f>AN115*AN129</f>
        <v>11871.609652078669</v>
      </c>
      <c r="AO130" s="1482"/>
      <c r="AP130" s="1380">
        <f>AP115*AP129</f>
        <v>4059.5686845892114</v>
      </c>
      <c r="AQ130" s="1380">
        <f>AQ115*AQ129</f>
        <v>594.04847626687069</v>
      </c>
      <c r="AR130" s="1380">
        <f>AR115*AR129</f>
        <v>11276.579679414468</v>
      </c>
      <c r="AS130" s="1449" t="s">
        <v>5181</v>
      </c>
    </row>
    <row r="131" spans="1:45" x14ac:dyDescent="0.3">
      <c r="A131" t="s">
        <v>6381</v>
      </c>
      <c r="B131" s="1405" t="s">
        <v>6382</v>
      </c>
      <c r="C131" s="1374"/>
      <c r="D131" s="1374"/>
      <c r="E131" s="1374"/>
      <c r="F131" s="1383"/>
      <c r="G131" s="1383"/>
      <c r="H131" s="1410">
        <f t="shared" si="21"/>
        <v>0</v>
      </c>
      <c r="I131" s="2190"/>
      <c r="J131" s="1410"/>
      <c r="K131" s="1410"/>
      <c r="L131" s="1410"/>
      <c r="M131" s="2190"/>
      <c r="N131" s="1410"/>
      <c r="O131" s="1410"/>
      <c r="P131" s="1410"/>
      <c r="Q131" s="2190"/>
      <c r="R131" s="1410"/>
      <c r="S131" s="1410"/>
      <c r="T131" s="1410"/>
      <c r="U131" s="2190"/>
      <c r="V131" s="1410"/>
      <c r="W131" s="1410"/>
      <c r="X131" s="1410"/>
      <c r="Y131" s="2190"/>
      <c r="Z131" s="1410"/>
      <c r="AA131" s="1410"/>
      <c r="AB131" s="1410"/>
      <c r="AC131" s="2190"/>
      <c r="AD131" s="1410"/>
      <c r="AE131" s="1410"/>
      <c r="AF131" s="2190"/>
      <c r="AG131" s="1410"/>
      <c r="AH131" s="2190"/>
      <c r="AI131" s="1410"/>
      <c r="AJ131" s="1410"/>
      <c r="AK131" s="1410"/>
      <c r="AL131" s="2190"/>
      <c r="AM131" s="1410"/>
      <c r="AN131" s="1410"/>
      <c r="AO131" s="1410"/>
      <c r="AP131" s="2190"/>
      <c r="AQ131" s="1410"/>
      <c r="AR131" s="1410"/>
      <c r="AS131" s="2190"/>
    </row>
    <row r="132" spans="1:45" x14ac:dyDescent="0.3">
      <c r="B132" s="49" t="s">
        <v>6383</v>
      </c>
      <c r="C132" s="714" t="str">
        <f>AS132</f>
        <v>hr/acre</v>
      </c>
      <c r="D132" s="1490"/>
      <c r="E132" s="1490"/>
      <c r="F132" s="1181" t="s">
        <v>6372</v>
      </c>
      <c r="G132" s="1414">
        <f>UDV.OPEX_labor.irrigation</f>
        <v>0.1</v>
      </c>
      <c r="H132" s="1729" t="str">
        <f t="shared" ref="H132:H194" si="88">AS132</f>
        <v>hr/acre</v>
      </c>
      <c r="I132" s="1490"/>
      <c r="J132" s="1181" t="s">
        <v>6372</v>
      </c>
      <c r="K132" s="1414">
        <f>UDV.OPEX_labor.irrigation</f>
        <v>0.1</v>
      </c>
      <c r="L132" s="1480"/>
      <c r="M132" s="1490"/>
      <c r="N132" s="1181" t="s">
        <v>6372</v>
      </c>
      <c r="O132" s="1414">
        <f>UDV.OPEX_labor.irrigation</f>
        <v>0.1</v>
      </c>
      <c r="P132" s="1480"/>
      <c r="Q132" s="1490"/>
      <c r="R132" s="1181" t="s">
        <v>6372</v>
      </c>
      <c r="S132" s="1414">
        <f>UDV.OPEX_labor.irrigation</f>
        <v>0.1</v>
      </c>
      <c r="T132" s="1480"/>
      <c r="U132" s="1490"/>
      <c r="V132" s="1181" t="s">
        <v>6372</v>
      </c>
      <c r="W132" s="1414">
        <f>UDV.OPEX_labor.irrigation</f>
        <v>0.1</v>
      </c>
      <c r="X132" s="1480"/>
      <c r="Y132" s="1490"/>
      <c r="Z132" s="1181" t="s">
        <v>6372</v>
      </c>
      <c r="AA132" s="1414">
        <f>UDV.OPEX_labor.irrigation</f>
        <v>0.1</v>
      </c>
      <c r="AB132" s="1480"/>
      <c r="AC132" s="1490"/>
      <c r="AD132" s="1181" t="s">
        <v>6372</v>
      </c>
      <c r="AE132" s="1414">
        <f>UDV.OPEX_labor.irrigation</f>
        <v>0.1</v>
      </c>
      <c r="AF132" s="714" t="s">
        <v>2457</v>
      </c>
      <c r="AG132" s="1480"/>
      <c r="AH132" s="1490"/>
      <c r="AI132" s="1181" t="s">
        <v>6372</v>
      </c>
      <c r="AJ132" s="1414">
        <f>UDV.OPEX_labor.irrigation</f>
        <v>0.1</v>
      </c>
      <c r="AK132" s="1480"/>
      <c r="AL132" s="1490"/>
      <c r="AM132" s="1181" t="s">
        <v>6372</v>
      </c>
      <c r="AN132" s="1414">
        <f>UDV.OPEX_labor.irrigation</f>
        <v>0.1</v>
      </c>
      <c r="AO132" s="1480"/>
      <c r="AP132" s="1490"/>
      <c r="AQ132" s="1181" t="s">
        <v>6372</v>
      </c>
      <c r="AR132" s="1414">
        <f>UDV.OPEX_labor.irrigation</f>
        <v>0.1</v>
      </c>
      <c r="AS132" s="714" t="s">
        <v>2457</v>
      </c>
    </row>
    <row r="133" spans="1:45" x14ac:dyDescent="0.3">
      <c r="B133" s="49" t="s">
        <v>6384</v>
      </c>
      <c r="C133" s="714" t="str">
        <f t="shared" ref="C133:C139" si="89">AS133</f>
        <v>fraction</v>
      </c>
      <c r="D133" s="510"/>
      <c r="E133" s="510"/>
      <c r="F133" s="48"/>
      <c r="G133" s="1413">
        <f>UDV.irrigation.allocation</f>
        <v>1</v>
      </c>
      <c r="H133" s="1729" t="str">
        <f t="shared" si="88"/>
        <v>fraction</v>
      </c>
      <c r="I133" s="510"/>
      <c r="J133" s="48"/>
      <c r="K133" s="1413">
        <f>UDV.irrigation.allocation</f>
        <v>1</v>
      </c>
      <c r="L133" s="1484"/>
      <c r="M133" s="510"/>
      <c r="N133" s="48"/>
      <c r="O133" s="1413">
        <f>UDV.irrigation.allocation</f>
        <v>1</v>
      </c>
      <c r="P133" s="1484"/>
      <c r="Q133" s="510"/>
      <c r="R133" s="48"/>
      <c r="S133" s="1413">
        <f>UDV.irrigation.allocation</f>
        <v>1</v>
      </c>
      <c r="T133" s="1484"/>
      <c r="U133" s="510"/>
      <c r="V133" s="48"/>
      <c r="W133" s="1413">
        <f>UDV.irrigation.allocation</f>
        <v>1</v>
      </c>
      <c r="X133" s="1484"/>
      <c r="Y133" s="510"/>
      <c r="Z133" s="48"/>
      <c r="AA133" s="1413">
        <f>UDV.irrigation.allocation</f>
        <v>1</v>
      </c>
      <c r="AB133" s="1484"/>
      <c r="AC133" s="510"/>
      <c r="AD133" s="48"/>
      <c r="AE133" s="1413">
        <f>UDV.irrigation.allocation</f>
        <v>1</v>
      </c>
      <c r="AF133" s="18" t="s">
        <v>1694</v>
      </c>
      <c r="AG133" s="1484"/>
      <c r="AH133" s="510"/>
      <c r="AI133" s="48"/>
      <c r="AJ133" s="1413">
        <f>UDV.irrigation.allocation</f>
        <v>1</v>
      </c>
      <c r="AK133" s="1484"/>
      <c r="AL133" s="510"/>
      <c r="AM133" s="48"/>
      <c r="AN133" s="1413">
        <f>UDV.irrigation.allocation</f>
        <v>1</v>
      </c>
      <c r="AO133" s="1484"/>
      <c r="AP133" s="510"/>
      <c r="AQ133" s="48"/>
      <c r="AR133" s="1413">
        <f>UDV.irrigation.allocation</f>
        <v>1</v>
      </c>
      <c r="AS133" s="18" t="s">
        <v>1694</v>
      </c>
    </row>
    <row r="134" spans="1:45" x14ac:dyDescent="0.3">
      <c r="B134" s="49" t="s">
        <v>6385</v>
      </c>
      <c r="C134" s="714" t="str">
        <f t="shared" si="89"/>
        <v>gal/hr</v>
      </c>
      <c r="D134" s="510"/>
      <c r="E134" s="510"/>
      <c r="F134" s="48"/>
      <c r="G134" s="1413">
        <f>UDV.irrigation.pump_flowrate</f>
        <v>45000</v>
      </c>
      <c r="H134" s="1729" t="str">
        <f t="shared" si="88"/>
        <v>gal/hr</v>
      </c>
      <c r="I134" s="510"/>
      <c r="J134" s="48"/>
      <c r="K134" s="1413">
        <f>UDV.irrigation.pump_flowrate</f>
        <v>45000</v>
      </c>
      <c r="L134" s="1484"/>
      <c r="M134" s="510"/>
      <c r="N134" s="48"/>
      <c r="O134" s="1413">
        <f>UDV.irrigation.pump_flowrate</f>
        <v>45000</v>
      </c>
      <c r="P134" s="1484"/>
      <c r="Q134" s="510"/>
      <c r="R134" s="48"/>
      <c r="S134" s="1413">
        <f>UDV.irrigation.pump_flowrate</f>
        <v>45000</v>
      </c>
      <c r="T134" s="1484"/>
      <c r="U134" s="510"/>
      <c r="V134" s="48"/>
      <c r="W134" s="1413">
        <f>UDV.irrigation.pump_flowrate</f>
        <v>45000</v>
      </c>
      <c r="X134" s="1484"/>
      <c r="Y134" s="510"/>
      <c r="Z134" s="48"/>
      <c r="AA134" s="1413">
        <f>UDV.irrigation.pump_flowrate</f>
        <v>45000</v>
      </c>
      <c r="AB134" s="1484"/>
      <c r="AC134" s="510"/>
      <c r="AD134" s="48"/>
      <c r="AE134" s="1413">
        <f>UDV.irrigation.pump_flowrate</f>
        <v>45000</v>
      </c>
      <c r="AF134" s="18" t="s">
        <v>2510</v>
      </c>
      <c r="AG134" s="1484"/>
      <c r="AH134" s="510"/>
      <c r="AI134" s="48"/>
      <c r="AJ134" s="1413">
        <f>UDV.irrigation.pump_flowrate</f>
        <v>45000</v>
      </c>
      <c r="AK134" s="1484"/>
      <c r="AL134" s="510"/>
      <c r="AM134" s="48"/>
      <c r="AN134" s="1413">
        <f>UDV.irrigation.pump_flowrate</f>
        <v>45000</v>
      </c>
      <c r="AO134" s="1484"/>
      <c r="AP134" s="510"/>
      <c r="AQ134" s="48"/>
      <c r="AR134" s="1413">
        <f>UDV.irrigation.pump_flowrate</f>
        <v>45000</v>
      </c>
      <c r="AS134" s="18" t="s">
        <v>2510</v>
      </c>
    </row>
    <row r="135" spans="1:45" x14ac:dyDescent="0.3">
      <c r="B135" s="49" t="s">
        <v>6386</v>
      </c>
      <c r="C135" s="714" t="str">
        <f t="shared" si="89"/>
        <v>kW</v>
      </c>
      <c r="D135" s="510"/>
      <c r="E135" s="510"/>
      <c r="F135" s="48"/>
      <c r="G135" s="1463">
        <f>UDV.irrigation.pump_power*UC.hp_to_kW</f>
        <v>74.569986999999998</v>
      </c>
      <c r="H135" s="1729" t="str">
        <f t="shared" si="88"/>
        <v>kW</v>
      </c>
      <c r="I135" s="510"/>
      <c r="J135" s="48"/>
      <c r="K135" s="1463">
        <f>UDV.irrigation.pump_power*UC.hp_to_kW</f>
        <v>74.569986999999998</v>
      </c>
      <c r="L135" s="1484"/>
      <c r="M135" s="510"/>
      <c r="N135" s="48"/>
      <c r="O135" s="1463">
        <f>UDV.irrigation.pump_power*UC.hp_to_kW</f>
        <v>74.569986999999998</v>
      </c>
      <c r="P135" s="1484"/>
      <c r="Q135" s="510"/>
      <c r="R135" s="48"/>
      <c r="S135" s="1463">
        <f>UDV.irrigation.pump_power*UC.hp_to_kW</f>
        <v>74.569986999999998</v>
      </c>
      <c r="T135" s="1484"/>
      <c r="U135" s="510"/>
      <c r="V135" s="48"/>
      <c r="W135" s="1463">
        <f>UDV.irrigation.pump_power*UC.hp_to_kW</f>
        <v>74.569986999999998</v>
      </c>
      <c r="X135" s="1484"/>
      <c r="Y135" s="510"/>
      <c r="Z135" s="48"/>
      <c r="AA135" s="1463">
        <f>UDV.irrigation.pump_power*UC.hp_to_kW</f>
        <v>74.569986999999998</v>
      </c>
      <c r="AB135" s="1484"/>
      <c r="AC135" s="510"/>
      <c r="AD135" s="48"/>
      <c r="AE135" s="1463">
        <f>UDV.irrigation.pump_power*UC.hp_to_kW</f>
        <v>74.569986999999998</v>
      </c>
      <c r="AF135" s="18" t="s">
        <v>2548</v>
      </c>
      <c r="AG135" s="1484"/>
      <c r="AH135" s="510"/>
      <c r="AI135" s="48"/>
      <c r="AJ135" s="1463">
        <f>UDV.irrigation.pump_power*UC.hp_to_kW</f>
        <v>74.569986999999998</v>
      </c>
      <c r="AK135" s="1484"/>
      <c r="AL135" s="510"/>
      <c r="AM135" s="48"/>
      <c r="AN135" s="1463">
        <f>UDV.irrigation.pump_power*UC.hp_to_kW</f>
        <v>74.569986999999998</v>
      </c>
      <c r="AO135" s="1484"/>
      <c r="AP135" s="510"/>
      <c r="AQ135" s="48"/>
      <c r="AR135" s="1463">
        <f>UDV.irrigation.pump_power*UC.hp_to_kW</f>
        <v>74.569986999999998</v>
      </c>
      <c r="AS135" s="18" t="s">
        <v>2548</v>
      </c>
    </row>
    <row r="136" spans="1:45" x14ac:dyDescent="0.3">
      <c r="B136" s="49" t="s">
        <v>6387</v>
      </c>
      <c r="C136" s="714" t="str">
        <f t="shared" si="89"/>
        <v>hr/year</v>
      </c>
      <c r="D136" s="52"/>
      <c r="E136" s="510"/>
      <c r="F136" s="48"/>
      <c r="G136" s="1395">
        <f>E89*1000*E118/G134</f>
        <v>12.692273537689468</v>
      </c>
      <c r="H136" s="1729" t="str">
        <f t="shared" si="88"/>
        <v>hr/year</v>
      </c>
      <c r="I136" s="510"/>
      <c r="J136" s="48"/>
      <c r="K136" s="1395">
        <f>I89*1000*I118/K134</f>
        <v>12.692273537689468</v>
      </c>
      <c r="L136" s="1484"/>
      <c r="M136" s="510"/>
      <c r="N136" s="48"/>
      <c r="O136" s="1395">
        <f>M89*1000*M118/O134</f>
        <v>12.609795811425295</v>
      </c>
      <c r="P136" s="1484"/>
      <c r="Q136" s="510"/>
      <c r="R136" s="48"/>
      <c r="S136" s="1395">
        <f>Q89*1000*Q118/S134</f>
        <v>12.533826757144144</v>
      </c>
      <c r="T136" s="1484"/>
      <c r="U136" s="510"/>
      <c r="V136" s="48"/>
      <c r="W136" s="1395">
        <f>U89*1000*U118/W134</f>
        <v>12.533826757144144</v>
      </c>
      <c r="X136" s="1484"/>
      <c r="Y136" s="510"/>
      <c r="Z136" s="48"/>
      <c r="AA136" s="1395">
        <f>Y89*1000*Y118/AA134</f>
        <v>12.533826757144144</v>
      </c>
      <c r="AB136" s="1484"/>
      <c r="AC136" s="510"/>
      <c r="AD136" s="48"/>
      <c r="AE136" s="1395">
        <f>AC89*1000*AC118/AE134</f>
        <v>12.487893437273842</v>
      </c>
      <c r="AF136" s="18" t="s">
        <v>2472</v>
      </c>
      <c r="AG136" s="1484"/>
      <c r="AH136" s="510"/>
      <c r="AI136" s="48"/>
      <c r="AJ136" s="1395">
        <f>AH89*1000*AH118/AJ134</f>
        <v>12.487893437273842</v>
      </c>
      <c r="AK136" s="1484"/>
      <c r="AL136" s="510"/>
      <c r="AM136" s="48"/>
      <c r="AN136" s="1395">
        <f>AL89*1000*AL118/AN134</f>
        <v>12.487893437273843</v>
      </c>
      <c r="AO136" s="1484"/>
      <c r="AP136" s="510"/>
      <c r="AQ136" s="48"/>
      <c r="AR136" s="1395">
        <f>AP89*1000*AP118/AR134</f>
        <v>19.28363319754083</v>
      </c>
      <c r="AS136" s="18" t="s">
        <v>2472</v>
      </c>
    </row>
    <row r="137" spans="1:45" x14ac:dyDescent="0.3">
      <c r="B137" s="49" t="s">
        <v>6388</v>
      </c>
      <c r="C137" s="714" t="str">
        <f t="shared" si="89"/>
        <v>kWh/year</v>
      </c>
      <c r="D137" s="1696" t="s">
        <v>5551</v>
      </c>
      <c r="E137" s="1697"/>
      <c r="F137" s="1698"/>
      <c r="G137" s="1395">
        <f>G135*G136</f>
        <v>946.46267270594763</v>
      </c>
      <c r="H137" s="1729" t="str">
        <f t="shared" si="88"/>
        <v>kWh/year</v>
      </c>
      <c r="I137" s="510"/>
      <c r="J137" s="48"/>
      <c r="K137" s="1395">
        <f>K135*K136</f>
        <v>946.46267270594763</v>
      </c>
      <c r="L137" s="1484"/>
      <c r="M137" s="510"/>
      <c r="N137" s="48"/>
      <c r="O137" s="1395">
        <f>O135*O136</f>
        <v>940.31230973063862</v>
      </c>
      <c r="P137" s="1484"/>
      <c r="Q137" s="510"/>
      <c r="R137" s="48"/>
      <c r="S137" s="1395">
        <f>S135*S136</f>
        <v>934.64729834049092</v>
      </c>
      <c r="T137" s="1484"/>
      <c r="U137" s="510"/>
      <c r="V137" s="48"/>
      <c r="W137" s="1395">
        <f>W135*W136</f>
        <v>934.64729834049092</v>
      </c>
      <c r="X137" s="1484"/>
      <c r="Y137" s="510"/>
      <c r="Z137" s="48"/>
      <c r="AA137" s="1395">
        <f>AA135*AA136</f>
        <v>934.64729834049092</v>
      </c>
      <c r="AB137" s="1484"/>
      <c r="AC137" s="510"/>
      <c r="AD137" s="48"/>
      <c r="AE137" s="1395">
        <f>AE135*AE136</f>
        <v>931.22205127489565</v>
      </c>
      <c r="AF137" s="18" t="s">
        <v>4888</v>
      </c>
      <c r="AG137" s="1484"/>
      <c r="AH137" s="510"/>
      <c r="AI137" s="48"/>
      <c r="AJ137" s="1395">
        <f>AJ135*AJ136</f>
        <v>931.22205127489565</v>
      </c>
      <c r="AK137" s="1484"/>
      <c r="AL137" s="510"/>
      <c r="AM137" s="48"/>
      <c r="AN137" s="1395">
        <f>AN135*AN136</f>
        <v>931.22205127489576</v>
      </c>
      <c r="AO137" s="1484"/>
      <c r="AP137" s="510"/>
      <c r="AQ137" s="48"/>
      <c r="AR137" s="1395">
        <f>AR135*AR136</f>
        <v>1437.980276853388</v>
      </c>
      <c r="AS137" s="18" t="s">
        <v>4888</v>
      </c>
    </row>
    <row r="138" spans="1:45" x14ac:dyDescent="0.3">
      <c r="B138" s="49" t="s">
        <v>6389</v>
      </c>
      <c r="C138" s="714" t="str">
        <f t="shared" si="89"/>
        <v>quantity</v>
      </c>
      <c r="D138" s="49"/>
      <c r="E138" s="49"/>
      <c r="F138" s="1181" t="s">
        <v>6372</v>
      </c>
      <c r="G138" s="49">
        <f>ROUNDUP(E101/E98,0)</f>
        <v>3</v>
      </c>
      <c r="H138" s="1729" t="str">
        <f t="shared" si="88"/>
        <v>quantity</v>
      </c>
      <c r="I138" s="49"/>
      <c r="J138" s="1181" t="s">
        <v>6372</v>
      </c>
      <c r="K138" s="49">
        <f>ROUNDUP(I101/I98,0)</f>
        <v>2</v>
      </c>
      <c r="L138" s="1474"/>
      <c r="M138" s="49"/>
      <c r="N138" s="1181" t="s">
        <v>6372</v>
      </c>
      <c r="O138" s="49">
        <f>ROUNDUP(M101/M98,0)</f>
        <v>3</v>
      </c>
      <c r="P138" s="1474"/>
      <c r="Q138" s="49"/>
      <c r="R138" s="1181" t="s">
        <v>6372</v>
      </c>
      <c r="S138" s="49">
        <f>ROUNDUP(Q101/Q98,0)</f>
        <v>3</v>
      </c>
      <c r="T138" s="1474"/>
      <c r="U138" s="49"/>
      <c r="V138" s="1181" t="s">
        <v>6372</v>
      </c>
      <c r="W138" s="49">
        <f>ROUNDUP(U101/U98,0)</f>
        <v>3</v>
      </c>
      <c r="X138" s="1474"/>
      <c r="Y138" s="49"/>
      <c r="Z138" s="1181" t="s">
        <v>6372</v>
      </c>
      <c r="AA138" s="49">
        <f>ROUNDUP(Y101/Y98,0)</f>
        <v>3</v>
      </c>
      <c r="AB138" s="1474"/>
      <c r="AC138" s="49"/>
      <c r="AD138" s="1181" t="s">
        <v>6372</v>
      </c>
      <c r="AE138" s="49">
        <f>ROUNDUP(AC101/AC98,0)</f>
        <v>3</v>
      </c>
      <c r="AF138" s="18" t="s">
        <v>2442</v>
      </c>
      <c r="AG138" s="1474"/>
      <c r="AH138" s="49"/>
      <c r="AI138" s="1181" t="s">
        <v>6372</v>
      </c>
      <c r="AJ138" s="49">
        <f>ROUNDUP(AH101/AH98,0)</f>
        <v>3</v>
      </c>
      <c r="AK138" s="1474"/>
      <c r="AL138" s="49"/>
      <c r="AM138" s="1181" t="s">
        <v>6372</v>
      </c>
      <c r="AN138" s="49">
        <f>ROUNDUP(AL101/AL98,0)</f>
        <v>3</v>
      </c>
      <c r="AO138" s="1474"/>
      <c r="AP138" s="49"/>
      <c r="AQ138" s="1181" t="s">
        <v>6372</v>
      </c>
      <c r="AR138" s="49">
        <f>ROUNDUP(AP101/AP98,0)</f>
        <v>4</v>
      </c>
      <c r="AS138" s="18" t="s">
        <v>2442</v>
      </c>
    </row>
    <row r="139" spans="1:45" x14ac:dyDescent="0.3">
      <c r="B139" s="49" t="s">
        <v>6390</v>
      </c>
      <c r="C139" s="714" t="str">
        <f t="shared" si="89"/>
        <v>hr/year</v>
      </c>
      <c r="D139" s="49"/>
      <c r="E139" s="49"/>
      <c r="F139" s="1181" t="s">
        <v>6372</v>
      </c>
      <c r="G139" s="1209">
        <f>E113*G132*G138</f>
        <v>7.6988118740392446</v>
      </c>
      <c r="H139" s="1729" t="str">
        <f t="shared" si="88"/>
        <v>hr/year</v>
      </c>
      <c r="I139" s="49"/>
      <c r="J139" s="1181" t="s">
        <v>6372</v>
      </c>
      <c r="K139" s="1209">
        <f>I113*K132*K138</f>
        <v>5.8664287349555071</v>
      </c>
      <c r="L139" s="1474"/>
      <c r="M139" s="49"/>
      <c r="N139" s="1181" t="s">
        <v>6372</v>
      </c>
      <c r="O139" s="1209">
        <f>M113*O132*O138</f>
        <v>8.2492274882362544</v>
      </c>
      <c r="P139" s="1474"/>
      <c r="Q139" s="49"/>
      <c r="R139" s="1181" t="s">
        <v>6372</v>
      </c>
      <c r="S139" s="1209">
        <f>Q113*S132*S138</f>
        <v>7.1199309092168166</v>
      </c>
      <c r="T139" s="1474"/>
      <c r="U139" s="49"/>
      <c r="V139" s="1181" t="s">
        <v>6372</v>
      </c>
      <c r="W139" s="1209">
        <f>U113*W132*W138</f>
        <v>8.1379895937397162</v>
      </c>
      <c r="X139" s="1474"/>
      <c r="Y139" s="49"/>
      <c r="Z139" s="1181" t="s">
        <v>6372</v>
      </c>
      <c r="AA139" s="1209">
        <f>Y113*AA132*AA138</f>
        <v>7.6289602514782651</v>
      </c>
      <c r="AB139" s="1474"/>
      <c r="AC139" s="49"/>
      <c r="AD139" s="1181" t="s">
        <v>6372</v>
      </c>
      <c r="AE139" s="1209">
        <f>AC113*AE132*AE138</f>
        <v>6.9166800677229361</v>
      </c>
      <c r="AF139" s="18" t="s">
        <v>2472</v>
      </c>
      <c r="AG139" s="1474"/>
      <c r="AH139" s="49"/>
      <c r="AI139" s="1181" t="s">
        <v>6372</v>
      </c>
      <c r="AJ139" s="1209">
        <f>AH113*AJ132*AJ138</f>
        <v>7.9056764920978377</v>
      </c>
      <c r="AK139" s="1474"/>
      <c r="AL139" s="49"/>
      <c r="AM139" s="1181" t="s">
        <v>6372</v>
      </c>
      <c r="AN139" s="1209">
        <f>AL113*AN132*AN138</f>
        <v>7.4111782799103869</v>
      </c>
      <c r="AO139" s="1474"/>
      <c r="AP139" s="49"/>
      <c r="AQ139" s="1181" t="s">
        <v>6372</v>
      </c>
      <c r="AR139" s="1209">
        <f>AP113*AR132*AR138</f>
        <v>9.3862859759288124</v>
      </c>
      <c r="AS139" s="18" t="s">
        <v>2472</v>
      </c>
    </row>
    <row r="140" spans="1:45" x14ac:dyDescent="0.3">
      <c r="B140" s="49"/>
      <c r="C140" s="49"/>
      <c r="D140" s="49"/>
      <c r="E140" s="49"/>
      <c r="F140" s="49"/>
      <c r="G140" s="49"/>
      <c r="H140" s="1729">
        <f t="shared" si="88"/>
        <v>0</v>
      </c>
      <c r="I140" s="49"/>
      <c r="J140" s="49"/>
      <c r="K140" s="49"/>
      <c r="L140" s="1474"/>
      <c r="M140" s="49"/>
      <c r="N140" s="49"/>
      <c r="O140" s="49"/>
      <c r="P140" s="1474"/>
      <c r="Q140" s="49"/>
      <c r="R140" s="49"/>
      <c r="S140" s="49"/>
      <c r="T140" s="1474"/>
      <c r="U140" s="49"/>
      <c r="V140" s="49"/>
      <c r="W140" s="49"/>
      <c r="X140" s="1474"/>
      <c r="Y140" s="49"/>
      <c r="Z140" s="49"/>
      <c r="AA140" s="49"/>
      <c r="AB140" s="1474"/>
      <c r="AC140" s="49"/>
      <c r="AD140" s="49"/>
      <c r="AE140" s="49"/>
      <c r="AF140" s="49"/>
      <c r="AG140" s="1474"/>
      <c r="AH140" s="49"/>
      <c r="AI140" s="49"/>
      <c r="AJ140" s="49"/>
      <c r="AK140" s="1474"/>
      <c r="AL140" s="49"/>
      <c r="AM140" s="49"/>
      <c r="AN140" s="49"/>
      <c r="AO140" s="1474"/>
      <c r="AP140" s="49"/>
      <c r="AQ140" s="49"/>
      <c r="AR140" s="49"/>
      <c r="AS140" s="49"/>
    </row>
    <row r="141" spans="1:45" x14ac:dyDescent="0.3">
      <c r="A141" t="s">
        <v>6391</v>
      </c>
      <c r="B141" s="1405" t="s">
        <v>5627</v>
      </c>
      <c r="C141" s="1406"/>
      <c r="D141" s="1407"/>
      <c r="E141" s="1407"/>
      <c r="F141" s="1523" t="s">
        <v>6380</v>
      </c>
      <c r="G141" s="1407" t="s">
        <v>263</v>
      </c>
      <c r="H141" s="1410"/>
      <c r="I141" s="2189"/>
      <c r="J141" s="1523" t="s">
        <v>6380</v>
      </c>
      <c r="K141" s="1407" t="s">
        <v>263</v>
      </c>
      <c r="L141" s="1406"/>
      <c r="M141" s="2189"/>
      <c r="N141" s="1523" t="s">
        <v>6380</v>
      </c>
      <c r="O141" s="1407" t="s">
        <v>263</v>
      </c>
      <c r="P141" s="1406"/>
      <c r="Q141" s="2189"/>
      <c r="R141" s="1523" t="s">
        <v>6380</v>
      </c>
      <c r="S141" s="1407" t="s">
        <v>263</v>
      </c>
      <c r="T141" s="1406"/>
      <c r="U141" s="2189"/>
      <c r="V141" s="1523" t="s">
        <v>6380</v>
      </c>
      <c r="W141" s="1407" t="s">
        <v>263</v>
      </c>
      <c r="X141" s="1406"/>
      <c r="Y141" s="2189"/>
      <c r="Z141" s="1523" t="s">
        <v>6380</v>
      </c>
      <c r="AA141" s="1407" t="s">
        <v>263</v>
      </c>
      <c r="AB141" s="1406"/>
      <c r="AC141" s="2189"/>
      <c r="AD141" s="1523" t="s">
        <v>6380</v>
      </c>
      <c r="AE141" s="1407" t="s">
        <v>263</v>
      </c>
      <c r="AF141" s="1406"/>
      <c r="AG141" s="1406"/>
      <c r="AH141" s="2189"/>
      <c r="AI141" s="1523" t="s">
        <v>6380</v>
      </c>
      <c r="AJ141" s="1407" t="s">
        <v>263</v>
      </c>
      <c r="AK141" s="1406"/>
      <c r="AL141" s="2189"/>
      <c r="AM141" s="1523" t="s">
        <v>6380</v>
      </c>
      <c r="AN141" s="1407" t="s">
        <v>263</v>
      </c>
      <c r="AO141" s="1406"/>
      <c r="AP141" s="2189"/>
      <c r="AQ141" s="1523" t="s">
        <v>6380</v>
      </c>
      <c r="AR141" s="1407" t="s">
        <v>263</v>
      </c>
      <c r="AS141" s="1406"/>
    </row>
    <row r="142" spans="1:45" x14ac:dyDescent="0.3">
      <c r="B142" s="18" t="s">
        <v>5590</v>
      </c>
      <c r="C142" s="49"/>
      <c r="D142" s="52"/>
      <c r="E142" s="52"/>
      <c r="F142" s="1648">
        <f>F119</f>
        <v>31730.683844223648</v>
      </c>
      <c r="G142" s="1648">
        <f>G119</f>
        <v>711642.25368780142</v>
      </c>
      <c r="H142" s="1729" t="str">
        <f t="shared" si="88"/>
        <v>gal/event</v>
      </c>
      <c r="I142" s="49"/>
      <c r="J142" s="1648">
        <f>J119</f>
        <v>31730.683844223648</v>
      </c>
      <c r="K142" s="1648">
        <f>K119</f>
        <v>674087.29250247171</v>
      </c>
      <c r="L142" s="49"/>
      <c r="M142" s="49"/>
      <c r="N142" s="1648">
        <f>N119</f>
        <v>31524.489528563208</v>
      </c>
      <c r="O142" s="1648">
        <f>O119</f>
        <v>693501.26086356165</v>
      </c>
      <c r="P142" s="49"/>
      <c r="Q142" s="49"/>
      <c r="R142" s="1648">
        <f>R119</f>
        <v>31334.566892860323</v>
      </c>
      <c r="S142" s="1648">
        <f>S119</f>
        <v>711627.37455007585</v>
      </c>
      <c r="T142" s="49"/>
      <c r="U142" s="49"/>
      <c r="V142" s="1648">
        <f>V119</f>
        <v>31334.566892860323</v>
      </c>
      <c r="W142" s="1648">
        <f>W119</f>
        <v>658628.71640509868</v>
      </c>
      <c r="X142" s="49"/>
      <c r="Y142" s="49"/>
      <c r="Z142" s="1648">
        <f>Z119</f>
        <v>31334.566892860323</v>
      </c>
      <c r="AA142" s="1648">
        <f>AA119</f>
        <v>711627.37455007585</v>
      </c>
      <c r="AB142" s="49"/>
      <c r="AC142" s="49"/>
      <c r="AD142" s="1648">
        <f>AD119</f>
        <v>31219.733593184563</v>
      </c>
      <c r="AE142" s="1648">
        <f>AE119</f>
        <v>614845.71879424888</v>
      </c>
      <c r="AF142" s="18" t="s">
        <v>2489</v>
      </c>
      <c r="AG142" s="49"/>
      <c r="AH142" s="49"/>
      <c r="AI142" s="1648">
        <f>AI119</f>
        <v>31219.733593184563</v>
      </c>
      <c r="AJ142" s="1648">
        <f>AJ119</f>
        <v>592377.72153806535</v>
      </c>
      <c r="AK142" s="49"/>
      <c r="AL142" s="49"/>
      <c r="AM142" s="1648">
        <f>AM119</f>
        <v>31219.733593184621</v>
      </c>
      <c r="AN142" s="1648">
        <f>AN119</f>
        <v>614845.71879424888</v>
      </c>
      <c r="AO142" s="49"/>
      <c r="AP142" s="49"/>
      <c r="AQ142" s="1648">
        <f>AQ119</f>
        <v>48209.082993852055</v>
      </c>
      <c r="AR142" s="1648">
        <f>AR119</f>
        <v>324229.26918288221</v>
      </c>
      <c r="AS142" s="18" t="s">
        <v>2489</v>
      </c>
    </row>
    <row r="143" spans="1:45" x14ac:dyDescent="0.3">
      <c r="B143" s="1723" t="s">
        <v>5357</v>
      </c>
      <c r="C143" s="49"/>
      <c r="D143" s="52"/>
      <c r="E143" s="52"/>
      <c r="F143" s="1379">
        <f>F116</f>
        <v>20000</v>
      </c>
      <c r="G143" s="1379">
        <f>G116</f>
        <v>10000</v>
      </c>
      <c r="H143" s="1729" t="str">
        <f t="shared" si="88"/>
        <v>gal/ac</v>
      </c>
      <c r="I143" s="49"/>
      <c r="J143" s="1379">
        <f>J116</f>
        <v>19471.891162429944</v>
      </c>
      <c r="K143" s="1379">
        <f>K116</f>
        <v>10000</v>
      </c>
      <c r="L143" s="49"/>
      <c r="M143" s="49"/>
      <c r="N143" s="1379">
        <f>N116</f>
        <v>20000</v>
      </c>
      <c r="O143" s="1379">
        <f>O116</f>
        <v>10000</v>
      </c>
      <c r="P143" s="49"/>
      <c r="Q143" s="49"/>
      <c r="R143" s="1379">
        <f>R116</f>
        <v>20000</v>
      </c>
      <c r="S143" s="1379">
        <f>S116</f>
        <v>10000</v>
      </c>
      <c r="T143" s="49"/>
      <c r="U143" s="49"/>
      <c r="V143" s="1379">
        <f>V116</f>
        <v>20000</v>
      </c>
      <c r="W143" s="1379">
        <f>W116</f>
        <v>9444.071605907533</v>
      </c>
      <c r="X143" s="49"/>
      <c r="Y143" s="49"/>
      <c r="Z143" s="1379">
        <f>Z116</f>
        <v>20000</v>
      </c>
      <c r="AA143" s="1379">
        <f>AA116</f>
        <v>10000</v>
      </c>
      <c r="AB143" s="49"/>
      <c r="AC143" s="49"/>
      <c r="AD143" s="1379">
        <f>AD116</f>
        <v>20000</v>
      </c>
      <c r="AE143" s="1379">
        <f>AE116</f>
        <v>9600.4639479645302</v>
      </c>
      <c r="AF143" s="18" t="s">
        <v>6379</v>
      </c>
      <c r="AG143" s="49"/>
      <c r="AH143" s="49"/>
      <c r="AI143" s="1379">
        <f>AI116</f>
        <v>20000</v>
      </c>
      <c r="AJ143" s="1379">
        <f>AJ116</f>
        <v>8399.4504070780949</v>
      </c>
      <c r="AK143" s="49"/>
      <c r="AL143" s="49"/>
      <c r="AM143" s="1379">
        <f>AM116</f>
        <v>20000</v>
      </c>
      <c r="AN143" s="1379">
        <f>AN116</f>
        <v>8959.8893889490719</v>
      </c>
      <c r="AO143" s="49"/>
      <c r="AP143" s="49"/>
      <c r="AQ143" s="1379">
        <f>AQ116</f>
        <v>20000</v>
      </c>
      <c r="AR143" s="1379">
        <f>AR116</f>
        <v>4974.1734784204682</v>
      </c>
      <c r="AS143" s="18" t="s">
        <v>6379</v>
      </c>
    </row>
    <row r="144" spans="1:45" x14ac:dyDescent="0.3">
      <c r="B144" s="1454" t="s">
        <v>5628</v>
      </c>
      <c r="C144" s="49"/>
      <c r="D144" s="52"/>
      <c r="E144" s="52"/>
      <c r="F144" s="1393">
        <f>UDV.anaer_lagoon.agitation</f>
        <v>1</v>
      </c>
      <c r="G144" s="1393">
        <f>UDV.anaer_lagoon.agitation</f>
        <v>1</v>
      </c>
      <c r="H144" s="1729" t="str">
        <f t="shared" si="88"/>
        <v>toggle</v>
      </c>
      <c r="I144" s="49"/>
      <c r="J144" s="1393">
        <f>UDV.anaer_lagoon.agitation</f>
        <v>1</v>
      </c>
      <c r="K144" s="1393">
        <f>UDV.anaer_lagoon.agitation</f>
        <v>1</v>
      </c>
      <c r="L144" s="49"/>
      <c r="M144" s="49"/>
      <c r="N144" s="1393">
        <f>UDV.anaer_lagoon.agitation</f>
        <v>1</v>
      </c>
      <c r="O144" s="1393">
        <f>UDV.anaer_lagoon.agitation</f>
        <v>1</v>
      </c>
      <c r="P144" s="49"/>
      <c r="Q144" s="49"/>
      <c r="R144" s="1393">
        <f>UDV.anaer_lagoon.agitation</f>
        <v>1</v>
      </c>
      <c r="S144" s="1393">
        <f>UDV.anaer_lagoon.agitation</f>
        <v>1</v>
      </c>
      <c r="T144" s="49"/>
      <c r="U144" s="49"/>
      <c r="V144" s="1393">
        <f>UDV.anaer_lagoon.agitation</f>
        <v>1</v>
      </c>
      <c r="W144" s="1393">
        <f>UDV.anaer_lagoon.agitation</f>
        <v>1</v>
      </c>
      <c r="X144" s="49"/>
      <c r="Y144" s="49"/>
      <c r="Z144" s="1393">
        <f>UDV.anaer_lagoon.agitation</f>
        <v>1</v>
      </c>
      <c r="AA144" s="1393">
        <f>UDV.anaer_lagoon.agitation</f>
        <v>1</v>
      </c>
      <c r="AB144" s="49"/>
      <c r="AC144" s="49"/>
      <c r="AD144" s="1393">
        <f>UDV.anaer_lagoon.agitation</f>
        <v>1</v>
      </c>
      <c r="AE144" s="1393">
        <f>UDV.anaer_lagoon.agitation</f>
        <v>1</v>
      </c>
      <c r="AF144" s="18"/>
      <c r="AG144" s="49"/>
      <c r="AH144" s="49"/>
      <c r="AI144" s="1393">
        <f>UDV.anaer_lagoon.agitation</f>
        <v>1</v>
      </c>
      <c r="AJ144" s="1393">
        <f>UDV.anaer_lagoon.agitation</f>
        <v>1</v>
      </c>
      <c r="AK144" s="49"/>
      <c r="AL144" s="49"/>
      <c r="AM144" s="1393">
        <f>UDV.anaer_lagoon.agitation</f>
        <v>1</v>
      </c>
      <c r="AN144" s="1393">
        <f>UDV.anaer_lagoon.agitation</f>
        <v>1</v>
      </c>
      <c r="AO144" s="49"/>
      <c r="AP144" s="49"/>
      <c r="AQ144" s="1393">
        <f>UDV.anaer_lagoon.agitation</f>
        <v>1</v>
      </c>
      <c r="AR144" s="1393">
        <f>UDV.anaer_lagoon.agitation</f>
        <v>1</v>
      </c>
      <c r="AS144" s="18" t="s">
        <v>5501</v>
      </c>
    </row>
    <row r="145" spans="1:45" x14ac:dyDescent="0.3">
      <c r="B145" s="49" t="s">
        <v>5629</v>
      </c>
      <c r="C145" s="49"/>
      <c r="D145" s="52"/>
      <c r="E145" s="52"/>
      <c r="F145" s="1378">
        <f>UDV.tractor.application_time_non_sludge</f>
        <v>50</v>
      </c>
      <c r="G145" s="1378">
        <f>UDV.tractor.application_time_sludge</f>
        <v>15</v>
      </c>
      <c r="H145" s="1729" t="str">
        <f t="shared" si="88"/>
        <v>day/year</v>
      </c>
      <c r="I145" s="49"/>
      <c r="J145" s="1378">
        <f>UDV.tractor.application_time_non_sludge</f>
        <v>50</v>
      </c>
      <c r="K145" s="1378">
        <f>UDV.tractor.application_time_sludge</f>
        <v>15</v>
      </c>
      <c r="L145" s="1474"/>
      <c r="M145" s="49"/>
      <c r="N145" s="1378">
        <f>UDV.tractor.application_time_non_sludge</f>
        <v>50</v>
      </c>
      <c r="O145" s="1378">
        <f>UDV.tractor.application_time_sludge</f>
        <v>15</v>
      </c>
      <c r="P145" s="1474"/>
      <c r="Q145" s="49"/>
      <c r="R145" s="1378">
        <f>UDV.tractor.application_time_non_sludge</f>
        <v>50</v>
      </c>
      <c r="S145" s="1378">
        <f>UDV.tractor.application_time_sludge</f>
        <v>15</v>
      </c>
      <c r="T145" s="1474"/>
      <c r="U145" s="49"/>
      <c r="V145" s="1378">
        <f>UDV.tractor.application_time_non_sludge</f>
        <v>50</v>
      </c>
      <c r="W145" s="1378">
        <f>UDV.tractor.application_time_sludge</f>
        <v>15</v>
      </c>
      <c r="X145" s="1474"/>
      <c r="Y145" s="49"/>
      <c r="Z145" s="1378">
        <f>UDV.tractor.application_time_non_sludge</f>
        <v>50</v>
      </c>
      <c r="AA145" s="1378">
        <f>UDV.tractor.application_time_sludge</f>
        <v>15</v>
      </c>
      <c r="AB145" s="1474"/>
      <c r="AC145" s="49"/>
      <c r="AD145" s="1378">
        <f>UDV.tractor.application_time_non_sludge</f>
        <v>50</v>
      </c>
      <c r="AE145" s="1378">
        <f>UDV.tractor.application_time_sludge</f>
        <v>15</v>
      </c>
      <c r="AF145" s="18" t="s">
        <v>2469</v>
      </c>
      <c r="AG145" s="1474"/>
      <c r="AH145" s="49"/>
      <c r="AI145" s="1378">
        <f>UDV.tractor.application_time_non_sludge</f>
        <v>50</v>
      </c>
      <c r="AJ145" s="1378">
        <f>UDV.tractor.application_time_sludge</f>
        <v>15</v>
      </c>
      <c r="AK145" s="1474"/>
      <c r="AL145" s="49"/>
      <c r="AM145" s="1378">
        <f>UDV.tractor.application_time_non_sludge</f>
        <v>50</v>
      </c>
      <c r="AN145" s="1378">
        <f>UDV.tractor.application_time_sludge</f>
        <v>15</v>
      </c>
      <c r="AO145" s="1474"/>
      <c r="AP145" s="49"/>
      <c r="AQ145" s="1378">
        <f>UDV.tractor.application_time_non_sludge</f>
        <v>50</v>
      </c>
      <c r="AR145" s="1378">
        <f>UDV.tractor.application_time_sludge</f>
        <v>15</v>
      </c>
      <c r="AS145" s="18" t="s">
        <v>2469</v>
      </c>
    </row>
    <row r="146" spans="1:45" x14ac:dyDescent="0.3">
      <c r="B146" s="49" t="s">
        <v>5630</v>
      </c>
      <c r="C146" s="49"/>
      <c r="D146" s="52"/>
      <c r="E146" s="52"/>
      <c r="F146" s="1378">
        <f>UDV.tractor.max_usage_daily</f>
        <v>12</v>
      </c>
      <c r="G146" s="1378">
        <f>UDV.tractor.max_usage_daily</f>
        <v>12</v>
      </c>
      <c r="H146" s="1729" t="str">
        <f t="shared" si="88"/>
        <v>hr/day</v>
      </c>
      <c r="I146" s="49"/>
      <c r="J146" s="1378">
        <f>UDV.tractor.max_usage_daily</f>
        <v>12</v>
      </c>
      <c r="K146" s="1378">
        <f>UDV.tractor.max_usage_daily</f>
        <v>12</v>
      </c>
      <c r="L146" s="1474"/>
      <c r="M146" s="49"/>
      <c r="N146" s="1378">
        <f>UDV.tractor.max_usage_daily</f>
        <v>12</v>
      </c>
      <c r="O146" s="1378">
        <f>UDV.tractor.max_usage_daily</f>
        <v>12</v>
      </c>
      <c r="P146" s="1474"/>
      <c r="Q146" s="49"/>
      <c r="R146" s="1378">
        <f>UDV.tractor.max_usage_daily</f>
        <v>12</v>
      </c>
      <c r="S146" s="1378">
        <f>UDV.tractor.max_usage_daily</f>
        <v>12</v>
      </c>
      <c r="T146" s="1474"/>
      <c r="U146" s="49"/>
      <c r="V146" s="1378">
        <f>UDV.tractor.max_usage_daily</f>
        <v>12</v>
      </c>
      <c r="W146" s="1378">
        <f>UDV.tractor.max_usage_daily</f>
        <v>12</v>
      </c>
      <c r="X146" s="1474"/>
      <c r="Y146" s="49"/>
      <c r="Z146" s="1378">
        <f>UDV.tractor.max_usage_daily</f>
        <v>12</v>
      </c>
      <c r="AA146" s="1378">
        <f>UDV.tractor.max_usage_daily</f>
        <v>12</v>
      </c>
      <c r="AB146" s="1474"/>
      <c r="AC146" s="49"/>
      <c r="AD146" s="1378">
        <f>UDV.tractor.max_usage_daily</f>
        <v>12</v>
      </c>
      <c r="AE146" s="1378">
        <f>UDV.tractor.max_usage_daily</f>
        <v>12</v>
      </c>
      <c r="AF146" s="18" t="s">
        <v>2471</v>
      </c>
      <c r="AG146" s="1474"/>
      <c r="AH146" s="49"/>
      <c r="AI146" s="1378">
        <f>UDV.tractor.max_usage_daily</f>
        <v>12</v>
      </c>
      <c r="AJ146" s="1378">
        <f>UDV.tractor.max_usage_daily</f>
        <v>12</v>
      </c>
      <c r="AK146" s="1474"/>
      <c r="AL146" s="49"/>
      <c r="AM146" s="1378">
        <f>UDV.tractor.max_usage_daily</f>
        <v>12</v>
      </c>
      <c r="AN146" s="1378">
        <f>UDV.tractor.max_usage_daily</f>
        <v>12</v>
      </c>
      <c r="AO146" s="1474"/>
      <c r="AP146" s="49"/>
      <c r="AQ146" s="1378">
        <f>UDV.tractor.max_usage_daily</f>
        <v>12</v>
      </c>
      <c r="AR146" s="1378">
        <f>UDV.tractor.max_usage_daily</f>
        <v>12</v>
      </c>
      <c r="AS146" s="18" t="s">
        <v>2471</v>
      </c>
    </row>
    <row r="147" spans="1:45" x14ac:dyDescent="0.3">
      <c r="B147" s="49" t="s">
        <v>2164</v>
      </c>
      <c r="C147" s="49"/>
      <c r="D147" s="52"/>
      <c r="E147" s="52"/>
      <c r="F147" s="1378">
        <f>UDV.tractor.min_usage_yearly</f>
        <v>1000</v>
      </c>
      <c r="G147" s="1378">
        <f>UDV.tractor.min_usage_yearly</f>
        <v>1000</v>
      </c>
      <c r="H147" s="1729" t="str">
        <f t="shared" si="88"/>
        <v>hr/year</v>
      </c>
      <c r="I147" s="49"/>
      <c r="J147" s="1378">
        <f>UDV.tractor.min_usage_yearly</f>
        <v>1000</v>
      </c>
      <c r="K147" s="1378">
        <f>UDV.tractor.min_usage_yearly</f>
        <v>1000</v>
      </c>
      <c r="L147" s="1474"/>
      <c r="M147" s="49"/>
      <c r="N147" s="1378">
        <f>UDV.tractor.min_usage_yearly</f>
        <v>1000</v>
      </c>
      <c r="O147" s="1378">
        <f>UDV.tractor.min_usage_yearly</f>
        <v>1000</v>
      </c>
      <c r="P147" s="1474"/>
      <c r="Q147" s="49"/>
      <c r="R147" s="1378">
        <f>UDV.tractor.min_usage_yearly</f>
        <v>1000</v>
      </c>
      <c r="S147" s="1378">
        <f>UDV.tractor.min_usage_yearly</f>
        <v>1000</v>
      </c>
      <c r="T147" s="1474"/>
      <c r="U147" s="49"/>
      <c r="V147" s="1378">
        <f>UDV.tractor.min_usage_yearly</f>
        <v>1000</v>
      </c>
      <c r="W147" s="1378">
        <f>UDV.tractor.min_usage_yearly</f>
        <v>1000</v>
      </c>
      <c r="X147" s="1474"/>
      <c r="Y147" s="49"/>
      <c r="Z147" s="1378">
        <f>UDV.tractor.min_usage_yearly</f>
        <v>1000</v>
      </c>
      <c r="AA147" s="1378">
        <f>UDV.tractor.min_usage_yearly</f>
        <v>1000</v>
      </c>
      <c r="AB147" s="1474"/>
      <c r="AC147" s="49"/>
      <c r="AD147" s="1378">
        <f>UDV.tractor.min_usage_yearly</f>
        <v>1000</v>
      </c>
      <c r="AE147" s="1378">
        <f>UDV.tractor.min_usage_yearly</f>
        <v>1000</v>
      </c>
      <c r="AF147" s="18" t="s">
        <v>2472</v>
      </c>
      <c r="AG147" s="1474"/>
      <c r="AH147" s="49"/>
      <c r="AI147" s="1378">
        <f>UDV.tractor.min_usage_yearly</f>
        <v>1000</v>
      </c>
      <c r="AJ147" s="1378">
        <f>UDV.tractor.min_usage_yearly</f>
        <v>1000</v>
      </c>
      <c r="AK147" s="1474"/>
      <c r="AL147" s="49"/>
      <c r="AM147" s="1378">
        <f>UDV.tractor.min_usage_yearly</f>
        <v>1000</v>
      </c>
      <c r="AN147" s="1378">
        <f>UDV.tractor.min_usage_yearly</f>
        <v>1000</v>
      </c>
      <c r="AO147" s="1474"/>
      <c r="AP147" s="49"/>
      <c r="AQ147" s="1378">
        <f>UDV.tractor.min_usage_yearly</f>
        <v>1000</v>
      </c>
      <c r="AR147" s="1378">
        <f>UDV.tractor.min_usage_yearly</f>
        <v>1000</v>
      </c>
      <c r="AS147" s="18" t="s">
        <v>2472</v>
      </c>
    </row>
    <row r="148" spans="1:45" x14ac:dyDescent="0.3">
      <c r="B148" s="49" t="s">
        <v>5631</v>
      </c>
      <c r="C148" s="49"/>
      <c r="D148" s="52"/>
      <c r="E148" s="52"/>
      <c r="F148" s="1378">
        <f>UDV.anaer_lagoon.effluent_time/UC.year_to_day</f>
        <v>0.5</v>
      </c>
      <c r="G148" s="1378">
        <f>UDV.anaer_lagoon.sludge_time</f>
        <v>10</v>
      </c>
      <c r="H148" s="1729" t="str">
        <f t="shared" si="88"/>
        <v>years</v>
      </c>
      <c r="I148" s="49"/>
      <c r="J148" s="1378">
        <f>UDV.anaer_lagoon.effluent_time/UC.year_to_day</f>
        <v>0.5</v>
      </c>
      <c r="K148" s="1378">
        <f>UDV.anaer_lagoon.sludge_time</f>
        <v>10</v>
      </c>
      <c r="L148" s="1474"/>
      <c r="M148" s="49"/>
      <c r="N148" s="1378">
        <f>UDV.anaer_lagoon.effluent_time/UC.year_to_day</f>
        <v>0.5</v>
      </c>
      <c r="O148" s="1378">
        <f>UDV.anaer_lagoon.sludge_time</f>
        <v>10</v>
      </c>
      <c r="P148" s="1474"/>
      <c r="Q148" s="49"/>
      <c r="R148" s="1378">
        <f>UDV.anaer_lagoon.effluent_time/UC.year_to_day</f>
        <v>0.5</v>
      </c>
      <c r="S148" s="1378">
        <f>UDV.anaer_lagoon.sludge_time</f>
        <v>10</v>
      </c>
      <c r="T148" s="1474"/>
      <c r="U148" s="49"/>
      <c r="V148" s="1378">
        <f>UDV.anaer_lagoon.effluent_time/UC.year_to_day</f>
        <v>0.5</v>
      </c>
      <c r="W148" s="1378">
        <f>UDV.anaer_lagoon.sludge_time</f>
        <v>10</v>
      </c>
      <c r="X148" s="1474"/>
      <c r="Y148" s="49"/>
      <c r="Z148" s="1378">
        <f>UDV.anaer_lagoon.effluent_time/UC.year_to_day</f>
        <v>0.5</v>
      </c>
      <c r="AA148" s="1378">
        <f>UDV.anaer_lagoon.sludge_time</f>
        <v>10</v>
      </c>
      <c r="AB148" s="1474"/>
      <c r="AC148" s="49"/>
      <c r="AD148" s="1378">
        <f>UDV.anaer_lagoon.effluent_time/UC.year_to_day</f>
        <v>0.5</v>
      </c>
      <c r="AE148" s="1378">
        <f>UDV.anaer_lagoon.sludge_time</f>
        <v>10</v>
      </c>
      <c r="AF148" s="18" t="s">
        <v>2454</v>
      </c>
      <c r="AG148" s="1474"/>
      <c r="AH148" s="49"/>
      <c r="AI148" s="1378">
        <f>UDV.anaer_lagoon.effluent_time/UC.year_to_day</f>
        <v>0.5</v>
      </c>
      <c r="AJ148" s="1378">
        <f>UDV.anaer_lagoon.sludge_time</f>
        <v>10</v>
      </c>
      <c r="AK148" s="1474"/>
      <c r="AL148" s="49"/>
      <c r="AM148" s="1378">
        <f>UDV.anaer_lagoon.effluent_time/UC.year_to_day</f>
        <v>0.5</v>
      </c>
      <c r="AN148" s="1378">
        <f>UDV.anaer_lagoon.sludge_time</f>
        <v>10</v>
      </c>
      <c r="AO148" s="1474"/>
      <c r="AP148" s="49"/>
      <c r="AQ148" s="1378">
        <f>UDV.anaer_lagoon.effluent_time/UC.year_to_day</f>
        <v>0.5</v>
      </c>
      <c r="AR148" s="1378">
        <f>UDV.anaer_lagoon.sludge_time</f>
        <v>10</v>
      </c>
      <c r="AS148" s="18" t="s">
        <v>2454</v>
      </c>
    </row>
    <row r="149" spans="1:45" x14ac:dyDescent="0.3">
      <c r="B149" s="1581" t="s">
        <v>5632</v>
      </c>
      <c r="C149" s="49"/>
      <c r="D149" s="52"/>
      <c r="E149" s="52"/>
      <c r="F149" s="1378">
        <f>UDV.land_application.avg_distance</f>
        <v>1</v>
      </c>
      <c r="G149" s="1378">
        <f>UDV.land_application.avg_distance</f>
        <v>1</v>
      </c>
      <c r="H149" s="1729" t="str">
        <f t="shared" si="88"/>
        <v>miles</v>
      </c>
      <c r="I149" s="49"/>
      <c r="J149" s="1378">
        <f>UDV.land_application.avg_distance</f>
        <v>1</v>
      </c>
      <c r="K149" s="1378">
        <f>UDV.land_application.avg_distance</f>
        <v>1</v>
      </c>
      <c r="L149" s="1474"/>
      <c r="M149" s="49"/>
      <c r="N149" s="1378">
        <f>UDV.land_application.avg_distance</f>
        <v>1</v>
      </c>
      <c r="O149" s="1378">
        <f>UDV.land_application.avg_distance</f>
        <v>1</v>
      </c>
      <c r="P149" s="1474"/>
      <c r="Q149" s="49"/>
      <c r="R149" s="1378">
        <f>UDV.land_application.avg_distance</f>
        <v>1</v>
      </c>
      <c r="S149" s="1378">
        <f>UDV.land_application.avg_distance</f>
        <v>1</v>
      </c>
      <c r="T149" s="1474"/>
      <c r="U149" s="49"/>
      <c r="V149" s="1378">
        <f>UDV.land_application.avg_distance</f>
        <v>1</v>
      </c>
      <c r="W149" s="1378">
        <f>UDV.land_application.avg_distance</f>
        <v>1</v>
      </c>
      <c r="X149" s="1474"/>
      <c r="Y149" s="49"/>
      <c r="Z149" s="1378">
        <f>UDV.land_application.avg_distance</f>
        <v>1</v>
      </c>
      <c r="AA149" s="1378">
        <f>UDV.land_application.avg_distance</f>
        <v>1</v>
      </c>
      <c r="AB149" s="1474"/>
      <c r="AC149" s="49"/>
      <c r="AD149" s="1378">
        <f>UDV.land_application.avg_distance</f>
        <v>1</v>
      </c>
      <c r="AE149" s="1378">
        <f>UDV.land_application.avg_distance</f>
        <v>1</v>
      </c>
      <c r="AF149" s="1448" t="s">
        <v>2342</v>
      </c>
      <c r="AG149" s="1474"/>
      <c r="AH149" s="49"/>
      <c r="AI149" s="1378">
        <f>UDV.land_application.avg_distance</f>
        <v>1</v>
      </c>
      <c r="AJ149" s="1378">
        <f>UDV.land_application.avg_distance</f>
        <v>1</v>
      </c>
      <c r="AK149" s="1474"/>
      <c r="AL149" s="49"/>
      <c r="AM149" s="1378">
        <f>UDV.land_application.avg_distance</f>
        <v>1</v>
      </c>
      <c r="AN149" s="1378">
        <f>UDV.land_application.avg_distance</f>
        <v>1</v>
      </c>
      <c r="AO149" s="1474"/>
      <c r="AP149" s="49"/>
      <c r="AQ149" s="1378">
        <f>UDV.land_application.avg_distance</f>
        <v>1</v>
      </c>
      <c r="AR149" s="1378">
        <f>UDV.land_application.avg_distance</f>
        <v>1</v>
      </c>
      <c r="AS149" s="1448" t="s">
        <v>2342</v>
      </c>
    </row>
    <row r="150" spans="1:45" x14ac:dyDescent="0.3">
      <c r="B150" s="61" t="s">
        <v>5633</v>
      </c>
      <c r="C150" s="49"/>
      <c r="D150" s="52"/>
      <c r="E150" s="52"/>
      <c r="F150" s="1346">
        <f>UDV.land_application.max_distance</f>
        <v>2</v>
      </c>
      <c r="G150" s="1346">
        <f>UDV.land_application.max_distance</f>
        <v>2</v>
      </c>
      <c r="H150" s="1729" t="str">
        <f t="shared" si="88"/>
        <v>miles</v>
      </c>
      <c r="I150" s="49"/>
      <c r="J150" s="1346">
        <f>UDV.land_application.max_distance</f>
        <v>2</v>
      </c>
      <c r="K150" s="1346">
        <f>UDV.land_application.max_distance</f>
        <v>2</v>
      </c>
      <c r="L150" s="1474"/>
      <c r="M150" s="49"/>
      <c r="N150" s="1346">
        <f>UDV.land_application.max_distance</f>
        <v>2</v>
      </c>
      <c r="O150" s="1346">
        <f>UDV.land_application.max_distance</f>
        <v>2</v>
      </c>
      <c r="P150" s="1474"/>
      <c r="Q150" s="49"/>
      <c r="R150" s="1346">
        <f>UDV.land_application.max_distance</f>
        <v>2</v>
      </c>
      <c r="S150" s="1346">
        <f>UDV.land_application.max_distance</f>
        <v>2</v>
      </c>
      <c r="T150" s="1474"/>
      <c r="U150" s="49"/>
      <c r="V150" s="1346">
        <f>UDV.land_application.max_distance</f>
        <v>2</v>
      </c>
      <c r="W150" s="1346">
        <f>UDV.land_application.max_distance</f>
        <v>2</v>
      </c>
      <c r="X150" s="1474"/>
      <c r="Y150" s="49"/>
      <c r="Z150" s="1346">
        <f>UDV.land_application.max_distance</f>
        <v>2</v>
      </c>
      <c r="AA150" s="1346">
        <f>UDV.land_application.max_distance</f>
        <v>2</v>
      </c>
      <c r="AB150" s="1474"/>
      <c r="AC150" s="49"/>
      <c r="AD150" s="1346">
        <f>UDV.land_application.max_distance</f>
        <v>2</v>
      </c>
      <c r="AE150" s="1346">
        <f>UDV.land_application.max_distance</f>
        <v>2</v>
      </c>
      <c r="AF150" s="18" t="s">
        <v>2342</v>
      </c>
      <c r="AG150" s="1474"/>
      <c r="AH150" s="49"/>
      <c r="AI150" s="1346">
        <f>UDV.land_application.max_distance</f>
        <v>2</v>
      </c>
      <c r="AJ150" s="1346">
        <f>UDV.land_application.max_distance</f>
        <v>2</v>
      </c>
      <c r="AK150" s="1474"/>
      <c r="AL150" s="49"/>
      <c r="AM150" s="1346">
        <f>UDV.land_application.max_distance</f>
        <v>2</v>
      </c>
      <c r="AN150" s="1346">
        <f>UDV.land_application.max_distance</f>
        <v>2</v>
      </c>
      <c r="AO150" s="1474"/>
      <c r="AP150" s="49"/>
      <c r="AQ150" s="1346">
        <f>UDV.land_application.max_distance</f>
        <v>2</v>
      </c>
      <c r="AR150" s="1346">
        <f>UDV.land_application.max_distance</f>
        <v>2</v>
      </c>
      <c r="AS150" s="18" t="s">
        <v>2342</v>
      </c>
    </row>
    <row r="151" spans="1:45" x14ac:dyDescent="0.3">
      <c r="B151" s="18" t="s">
        <v>5634</v>
      </c>
      <c r="C151" s="49"/>
      <c r="D151" s="52"/>
      <c r="E151" s="52"/>
      <c r="F151" s="1378">
        <f>1/F148</f>
        <v>2</v>
      </c>
      <c r="G151" s="1378">
        <v>1</v>
      </c>
      <c r="H151" s="1729" t="str">
        <f t="shared" si="88"/>
        <v>treatments/year</v>
      </c>
      <c r="I151" s="49"/>
      <c r="J151" s="1378">
        <f>1/J148</f>
        <v>2</v>
      </c>
      <c r="K151" s="1378">
        <v>1</v>
      </c>
      <c r="L151" s="1474"/>
      <c r="M151" s="49"/>
      <c r="N151" s="1378">
        <f>1/N148</f>
        <v>2</v>
      </c>
      <c r="O151" s="1378">
        <v>1</v>
      </c>
      <c r="P151" s="1474"/>
      <c r="Q151" s="49"/>
      <c r="R151" s="1378">
        <f>1/R148</f>
        <v>2</v>
      </c>
      <c r="S151" s="1378">
        <v>1</v>
      </c>
      <c r="T151" s="1474"/>
      <c r="U151" s="49"/>
      <c r="V151" s="1378">
        <f>1/V148</f>
        <v>2</v>
      </c>
      <c r="W151" s="1378">
        <v>1</v>
      </c>
      <c r="X151" s="1474"/>
      <c r="Y151" s="49"/>
      <c r="Z151" s="1378">
        <f>1/Z148</f>
        <v>2</v>
      </c>
      <c r="AA151" s="1378">
        <v>1</v>
      </c>
      <c r="AB151" s="1474"/>
      <c r="AC151" s="49"/>
      <c r="AD151" s="1378">
        <f>1/AD148</f>
        <v>2</v>
      </c>
      <c r="AE151" s="1378">
        <v>1</v>
      </c>
      <c r="AF151" s="1448" t="s">
        <v>6353</v>
      </c>
      <c r="AG151" s="1474"/>
      <c r="AH151" s="49"/>
      <c r="AI151" s="1378">
        <f>1/AI148</f>
        <v>2</v>
      </c>
      <c r="AJ151" s="1378">
        <v>1</v>
      </c>
      <c r="AK151" s="1474"/>
      <c r="AL151" s="49"/>
      <c r="AM151" s="1378">
        <f>1/AM148</f>
        <v>2</v>
      </c>
      <c r="AN151" s="1378">
        <v>1</v>
      </c>
      <c r="AO151" s="1474"/>
      <c r="AP151" s="49"/>
      <c r="AQ151" s="1378">
        <f>1/AQ148</f>
        <v>2</v>
      </c>
      <c r="AR151" s="1378">
        <v>1</v>
      </c>
      <c r="AS151" s="1448" t="s">
        <v>6353</v>
      </c>
    </row>
    <row r="152" spans="1:45" x14ac:dyDescent="0.3">
      <c r="A152" t="s">
        <v>6392</v>
      </c>
      <c r="B152" s="1405" t="s">
        <v>6393</v>
      </c>
      <c r="C152" s="1406"/>
      <c r="D152" s="1407"/>
      <c r="E152" s="1407"/>
      <c r="F152" s="1410"/>
      <c r="G152" s="1410"/>
      <c r="H152" s="1410"/>
      <c r="I152" s="2189"/>
      <c r="J152" s="1410"/>
      <c r="K152" s="1410"/>
      <c r="L152" s="1406"/>
      <c r="M152" s="2189"/>
      <c r="N152" s="1410"/>
      <c r="O152" s="1410"/>
      <c r="P152" s="1406"/>
      <c r="Q152" s="2189"/>
      <c r="R152" s="1410"/>
      <c r="S152" s="1410"/>
      <c r="T152" s="1406"/>
      <c r="U152" s="2189"/>
      <c r="V152" s="1410"/>
      <c r="W152" s="1410"/>
      <c r="X152" s="1406"/>
      <c r="Y152" s="2189"/>
      <c r="Z152" s="1410"/>
      <c r="AA152" s="1410"/>
      <c r="AB152" s="1406"/>
      <c r="AC152" s="2189"/>
      <c r="AD152" s="1410"/>
      <c r="AE152" s="1410"/>
      <c r="AF152" s="1408"/>
      <c r="AG152" s="1406"/>
      <c r="AH152" s="2189"/>
      <c r="AI152" s="1410"/>
      <c r="AJ152" s="1410"/>
      <c r="AK152" s="1406"/>
      <c r="AL152" s="2189"/>
      <c r="AM152" s="1410"/>
      <c r="AN152" s="1410"/>
      <c r="AO152" s="1406"/>
      <c r="AP152" s="2189"/>
      <c r="AQ152" s="1410"/>
      <c r="AR152" s="1410"/>
      <c r="AS152" s="1408"/>
    </row>
    <row r="153" spans="1:45" x14ac:dyDescent="0.3">
      <c r="B153" s="1581" t="s">
        <v>5637</v>
      </c>
      <c r="C153" s="49"/>
      <c r="D153" s="52"/>
      <c r="E153" s="52"/>
      <c r="F153" s="1391">
        <f>UDV.land_application.tanker_volume</f>
        <v>6000</v>
      </c>
      <c r="G153" s="1391">
        <f>UDV.land_application.tanker_volume</f>
        <v>6000</v>
      </c>
      <c r="H153" s="1729" t="str">
        <f t="shared" si="88"/>
        <v>gal</v>
      </c>
      <c r="I153" s="49"/>
      <c r="J153" s="1391">
        <f>UDV.land_application.tanker_volume</f>
        <v>6000</v>
      </c>
      <c r="K153" s="1391">
        <f>UDV.land_application.tanker_volume</f>
        <v>6000</v>
      </c>
      <c r="L153" s="1474"/>
      <c r="M153" s="49"/>
      <c r="N153" s="1391">
        <f>UDV.land_application.tanker_volume</f>
        <v>6000</v>
      </c>
      <c r="O153" s="1391">
        <f>UDV.land_application.tanker_volume</f>
        <v>6000</v>
      </c>
      <c r="P153" s="1474"/>
      <c r="Q153" s="49"/>
      <c r="R153" s="1391">
        <f>UDV.land_application.tanker_volume</f>
        <v>6000</v>
      </c>
      <c r="S153" s="1391">
        <f>UDV.land_application.tanker_volume</f>
        <v>6000</v>
      </c>
      <c r="T153" s="1474"/>
      <c r="U153" s="49"/>
      <c r="V153" s="1391">
        <f>UDV.land_application.tanker_volume</f>
        <v>6000</v>
      </c>
      <c r="W153" s="1391">
        <f>UDV.land_application.tanker_volume</f>
        <v>6000</v>
      </c>
      <c r="X153" s="1474"/>
      <c r="Y153" s="49"/>
      <c r="Z153" s="1391">
        <f>UDV.land_application.tanker_volume</f>
        <v>6000</v>
      </c>
      <c r="AA153" s="1391">
        <f>UDV.land_application.tanker_volume</f>
        <v>6000</v>
      </c>
      <c r="AB153" s="1474"/>
      <c r="AC153" s="49"/>
      <c r="AD153" s="1391">
        <f>UDV.land_application.tanker_volume</f>
        <v>6000</v>
      </c>
      <c r="AE153" s="1391">
        <f>UDV.land_application.tanker_volume</f>
        <v>6000</v>
      </c>
      <c r="AF153" s="1448" t="s">
        <v>2480</v>
      </c>
      <c r="AG153" s="1474"/>
      <c r="AH153" s="49"/>
      <c r="AI153" s="1391">
        <f>UDV.land_application.tanker_volume</f>
        <v>6000</v>
      </c>
      <c r="AJ153" s="1391">
        <f>UDV.land_application.tanker_volume</f>
        <v>6000</v>
      </c>
      <c r="AK153" s="1474"/>
      <c r="AL153" s="49"/>
      <c r="AM153" s="1391">
        <f>UDV.land_application.tanker_volume</f>
        <v>6000</v>
      </c>
      <c r="AN153" s="1391">
        <f>UDV.land_application.tanker_volume</f>
        <v>6000</v>
      </c>
      <c r="AO153" s="1474"/>
      <c r="AP153" s="49"/>
      <c r="AQ153" s="1391">
        <f>UDV.land_application.tanker_volume</f>
        <v>6000</v>
      </c>
      <c r="AR153" s="1391">
        <f>UDV.land_application.tanker_volume</f>
        <v>6000</v>
      </c>
      <c r="AS153" s="1448" t="s">
        <v>2480</v>
      </c>
    </row>
    <row r="154" spans="1:45" x14ac:dyDescent="0.3">
      <c r="B154" s="1509" t="s">
        <v>5638</v>
      </c>
      <c r="C154" s="49"/>
      <c r="D154" s="52"/>
      <c r="E154" s="52"/>
      <c r="F154" s="1378">
        <f>UDV.land_application.tanker_tractor_power</f>
        <v>250</v>
      </c>
      <c r="G154" s="1378">
        <f>UDV.land_application.tanker_tractor_power</f>
        <v>250</v>
      </c>
      <c r="H154" s="1729" t="str">
        <f t="shared" si="88"/>
        <v>PTO HP</v>
      </c>
      <c r="I154" s="49"/>
      <c r="J154" s="1378">
        <f>UDV.land_application.tanker_tractor_power</f>
        <v>250</v>
      </c>
      <c r="K154" s="1378">
        <f>UDV.land_application.tanker_tractor_power</f>
        <v>250</v>
      </c>
      <c r="L154" s="1474"/>
      <c r="M154" s="49"/>
      <c r="N154" s="1378">
        <f>UDV.land_application.tanker_tractor_power</f>
        <v>250</v>
      </c>
      <c r="O154" s="1378">
        <f>UDV.land_application.tanker_tractor_power</f>
        <v>250</v>
      </c>
      <c r="P154" s="1474"/>
      <c r="Q154" s="49"/>
      <c r="R154" s="1378">
        <f>UDV.land_application.tanker_tractor_power</f>
        <v>250</v>
      </c>
      <c r="S154" s="1378">
        <f>UDV.land_application.tanker_tractor_power</f>
        <v>250</v>
      </c>
      <c r="T154" s="1474"/>
      <c r="U154" s="49"/>
      <c r="V154" s="1378">
        <f>UDV.land_application.tanker_tractor_power</f>
        <v>250</v>
      </c>
      <c r="W154" s="1378">
        <f>UDV.land_application.tanker_tractor_power</f>
        <v>250</v>
      </c>
      <c r="X154" s="1474"/>
      <c r="Y154" s="49"/>
      <c r="Z154" s="1378">
        <f>UDV.land_application.tanker_tractor_power</f>
        <v>250</v>
      </c>
      <c r="AA154" s="1378">
        <f>UDV.land_application.tanker_tractor_power</f>
        <v>250</v>
      </c>
      <c r="AB154" s="1474"/>
      <c r="AC154" s="49"/>
      <c r="AD154" s="1378">
        <f>UDV.land_application.tanker_tractor_power</f>
        <v>250</v>
      </c>
      <c r="AE154" s="1378">
        <f>UDV.land_application.tanker_tractor_power</f>
        <v>250</v>
      </c>
      <c r="AF154" s="1448" t="s">
        <v>5639</v>
      </c>
      <c r="AG154" s="1474"/>
      <c r="AH154" s="49"/>
      <c r="AI154" s="1378">
        <f>UDV.land_application.tanker_tractor_power</f>
        <v>250</v>
      </c>
      <c r="AJ154" s="1378">
        <f>UDV.land_application.tanker_tractor_power</f>
        <v>250</v>
      </c>
      <c r="AK154" s="1474"/>
      <c r="AL154" s="49"/>
      <c r="AM154" s="1378">
        <f>UDV.land_application.tanker_tractor_power</f>
        <v>250</v>
      </c>
      <c r="AN154" s="1378">
        <f>UDV.land_application.tanker_tractor_power</f>
        <v>250</v>
      </c>
      <c r="AO154" s="1474"/>
      <c r="AP154" s="49"/>
      <c r="AQ154" s="1378">
        <f>UDV.land_application.tanker_tractor_power</f>
        <v>250</v>
      </c>
      <c r="AR154" s="1378">
        <f>UDV.land_application.tanker_tractor_power</f>
        <v>250</v>
      </c>
      <c r="AS154" s="1448" t="s">
        <v>5639</v>
      </c>
    </row>
    <row r="155" spans="1:45" x14ac:dyDescent="0.3">
      <c r="B155" s="49" t="s">
        <v>5640</v>
      </c>
      <c r="C155" s="52"/>
      <c r="D155" s="52"/>
      <c r="E155" s="52"/>
      <c r="F155" s="1524">
        <f>UDV.land_application.storage_maneuver_time*UC.min_to_hour</f>
        <v>5.8333333333333334E-2</v>
      </c>
      <c r="G155" s="1524">
        <f>UDV.land_application.storage_maneuver_time*UC.min_to_hour</f>
        <v>5.8333333333333334E-2</v>
      </c>
      <c r="H155" s="1729" t="str">
        <f t="shared" si="88"/>
        <v>hr</v>
      </c>
      <c r="I155" s="49"/>
      <c r="J155" s="1524">
        <f>UDV.land_application.storage_maneuver_time*UC.min_to_hour</f>
        <v>5.8333333333333334E-2</v>
      </c>
      <c r="K155" s="1524">
        <f>UDV.land_application.storage_maneuver_time*UC.min_to_hour</f>
        <v>5.8333333333333334E-2</v>
      </c>
      <c r="L155" s="1474"/>
      <c r="M155" s="49"/>
      <c r="N155" s="1524">
        <f>UDV.land_application.storage_maneuver_time*UC.min_to_hour</f>
        <v>5.8333333333333334E-2</v>
      </c>
      <c r="O155" s="1524">
        <f>UDV.land_application.storage_maneuver_time*UC.min_to_hour</f>
        <v>5.8333333333333334E-2</v>
      </c>
      <c r="P155" s="1474"/>
      <c r="Q155" s="49"/>
      <c r="R155" s="1524">
        <f>UDV.land_application.storage_maneuver_time*UC.min_to_hour</f>
        <v>5.8333333333333334E-2</v>
      </c>
      <c r="S155" s="1524">
        <f>UDV.land_application.storage_maneuver_time*UC.min_to_hour</f>
        <v>5.8333333333333334E-2</v>
      </c>
      <c r="T155" s="1474"/>
      <c r="U155" s="49"/>
      <c r="V155" s="1524">
        <f>UDV.land_application.storage_maneuver_time*UC.min_to_hour</f>
        <v>5.8333333333333334E-2</v>
      </c>
      <c r="W155" s="1524">
        <f>UDV.land_application.storage_maneuver_time*UC.min_to_hour</f>
        <v>5.8333333333333334E-2</v>
      </c>
      <c r="X155" s="1474"/>
      <c r="Y155" s="49"/>
      <c r="Z155" s="1524">
        <f>UDV.land_application.storage_maneuver_time*UC.min_to_hour</f>
        <v>5.8333333333333334E-2</v>
      </c>
      <c r="AA155" s="1524">
        <f>UDV.land_application.storage_maneuver_time*UC.min_to_hour</f>
        <v>5.8333333333333334E-2</v>
      </c>
      <c r="AB155" s="1474"/>
      <c r="AC155" s="49"/>
      <c r="AD155" s="1524">
        <f>UDV.land_application.storage_maneuver_time*UC.min_to_hour</f>
        <v>5.8333333333333334E-2</v>
      </c>
      <c r="AE155" s="1524">
        <f>UDV.land_application.storage_maneuver_time*UC.min_to_hour</f>
        <v>5.8333333333333334E-2</v>
      </c>
      <c r="AF155" s="18" t="s">
        <v>5641</v>
      </c>
      <c r="AG155" s="1474"/>
      <c r="AH155" s="49"/>
      <c r="AI155" s="1524">
        <f>UDV.land_application.storage_maneuver_time*UC.min_to_hour</f>
        <v>5.8333333333333334E-2</v>
      </c>
      <c r="AJ155" s="1524">
        <f>UDV.land_application.storage_maneuver_time*UC.min_to_hour</f>
        <v>5.8333333333333334E-2</v>
      </c>
      <c r="AK155" s="1474"/>
      <c r="AL155" s="49"/>
      <c r="AM155" s="1524">
        <f>UDV.land_application.storage_maneuver_time*UC.min_to_hour</f>
        <v>5.8333333333333334E-2</v>
      </c>
      <c r="AN155" s="1524">
        <f>UDV.land_application.storage_maneuver_time*UC.min_to_hour</f>
        <v>5.8333333333333334E-2</v>
      </c>
      <c r="AO155" s="1474"/>
      <c r="AP155" s="49"/>
      <c r="AQ155" s="1524">
        <f>UDV.land_application.storage_maneuver_time*UC.min_to_hour</f>
        <v>5.8333333333333334E-2</v>
      </c>
      <c r="AR155" s="1524">
        <f>UDV.land_application.storage_maneuver_time*UC.min_to_hour</f>
        <v>5.8333333333333334E-2</v>
      </c>
      <c r="AS155" s="18" t="s">
        <v>5641</v>
      </c>
    </row>
    <row r="156" spans="1:45" x14ac:dyDescent="0.3">
      <c r="B156" s="49" t="s">
        <v>5642</v>
      </c>
      <c r="C156" s="52"/>
      <c r="D156" s="52"/>
      <c r="E156" s="52"/>
      <c r="F156" s="1524">
        <f>UDV.land_application.field_maneuver_time*UC.min_to_hour</f>
        <v>6.6666666666666666E-2</v>
      </c>
      <c r="G156" s="1524">
        <f>UDV.land_application.field_maneuver_time*UC.min_to_hour</f>
        <v>6.6666666666666666E-2</v>
      </c>
      <c r="H156" s="1729" t="str">
        <f t="shared" si="88"/>
        <v>hr</v>
      </c>
      <c r="I156" s="49"/>
      <c r="J156" s="1524">
        <f>UDV.land_application.field_maneuver_time*UC.min_to_hour</f>
        <v>6.6666666666666666E-2</v>
      </c>
      <c r="K156" s="1524">
        <f>UDV.land_application.field_maneuver_time*UC.min_to_hour</f>
        <v>6.6666666666666666E-2</v>
      </c>
      <c r="L156" s="1474"/>
      <c r="M156" s="49"/>
      <c r="N156" s="1524">
        <f>UDV.land_application.field_maneuver_time*UC.min_to_hour</f>
        <v>6.6666666666666666E-2</v>
      </c>
      <c r="O156" s="1524">
        <f>UDV.land_application.field_maneuver_time*UC.min_to_hour</f>
        <v>6.6666666666666666E-2</v>
      </c>
      <c r="P156" s="1474"/>
      <c r="Q156" s="49"/>
      <c r="R156" s="1524">
        <f>UDV.land_application.field_maneuver_time*UC.min_to_hour</f>
        <v>6.6666666666666666E-2</v>
      </c>
      <c r="S156" s="1524">
        <f>UDV.land_application.field_maneuver_time*UC.min_to_hour</f>
        <v>6.6666666666666666E-2</v>
      </c>
      <c r="T156" s="1474"/>
      <c r="U156" s="49"/>
      <c r="V156" s="1524">
        <f>UDV.land_application.field_maneuver_time*UC.min_to_hour</f>
        <v>6.6666666666666666E-2</v>
      </c>
      <c r="W156" s="1524">
        <f>UDV.land_application.field_maneuver_time*UC.min_to_hour</f>
        <v>6.6666666666666666E-2</v>
      </c>
      <c r="X156" s="1474"/>
      <c r="Y156" s="49"/>
      <c r="Z156" s="1524">
        <f>UDV.land_application.field_maneuver_time*UC.min_to_hour</f>
        <v>6.6666666666666666E-2</v>
      </c>
      <c r="AA156" s="1524">
        <f>UDV.land_application.field_maneuver_time*UC.min_to_hour</f>
        <v>6.6666666666666666E-2</v>
      </c>
      <c r="AB156" s="1474"/>
      <c r="AC156" s="49"/>
      <c r="AD156" s="1524">
        <f>UDV.land_application.field_maneuver_time*UC.min_to_hour</f>
        <v>6.6666666666666666E-2</v>
      </c>
      <c r="AE156" s="1524">
        <f>UDV.land_application.field_maneuver_time*UC.min_to_hour</f>
        <v>6.6666666666666666E-2</v>
      </c>
      <c r="AF156" s="18" t="s">
        <v>5641</v>
      </c>
      <c r="AG156" s="1474"/>
      <c r="AH156" s="49"/>
      <c r="AI156" s="1524">
        <f>UDV.land_application.field_maneuver_time*UC.min_to_hour</f>
        <v>6.6666666666666666E-2</v>
      </c>
      <c r="AJ156" s="1524">
        <f>UDV.land_application.field_maneuver_time*UC.min_to_hour</f>
        <v>6.6666666666666666E-2</v>
      </c>
      <c r="AK156" s="1474"/>
      <c r="AL156" s="49"/>
      <c r="AM156" s="1524">
        <f>UDV.land_application.field_maneuver_time*UC.min_to_hour</f>
        <v>6.6666666666666666E-2</v>
      </c>
      <c r="AN156" s="1524">
        <f>UDV.land_application.field_maneuver_time*UC.min_to_hour</f>
        <v>6.6666666666666666E-2</v>
      </c>
      <c r="AO156" s="1474"/>
      <c r="AP156" s="49"/>
      <c r="AQ156" s="1524">
        <f>UDV.land_application.field_maneuver_time*UC.min_to_hour</f>
        <v>6.6666666666666666E-2</v>
      </c>
      <c r="AR156" s="1524">
        <f>UDV.land_application.field_maneuver_time*UC.min_to_hour</f>
        <v>6.6666666666666666E-2</v>
      </c>
      <c r="AS156" s="18" t="s">
        <v>5641</v>
      </c>
    </row>
    <row r="157" spans="1:45" x14ac:dyDescent="0.3">
      <c r="B157" s="49" t="s">
        <v>5643</v>
      </c>
      <c r="C157" s="49"/>
      <c r="D157" s="52"/>
      <c r="E157" s="52"/>
      <c r="F157" s="1378">
        <f>UDV.land_application.storage_to_tanker_load_rate</f>
        <v>2000</v>
      </c>
      <c r="G157" s="1378">
        <f>UDV.land_application.storage_to_tanker_load_rate</f>
        <v>2000</v>
      </c>
      <c r="H157" s="1729" t="str">
        <f t="shared" si="88"/>
        <v>gal/min</v>
      </c>
      <c r="I157" s="49"/>
      <c r="J157" s="1378">
        <f>UDV.land_application.storage_to_tanker_load_rate</f>
        <v>2000</v>
      </c>
      <c r="K157" s="1378">
        <f>UDV.land_application.storage_to_tanker_load_rate</f>
        <v>2000</v>
      </c>
      <c r="L157" s="1474"/>
      <c r="M157" s="49"/>
      <c r="N157" s="1378">
        <f>UDV.land_application.storage_to_tanker_load_rate</f>
        <v>2000</v>
      </c>
      <c r="O157" s="1378">
        <f>UDV.land_application.storage_to_tanker_load_rate</f>
        <v>2000</v>
      </c>
      <c r="P157" s="1474"/>
      <c r="Q157" s="49"/>
      <c r="R157" s="1378">
        <f>UDV.land_application.storage_to_tanker_load_rate</f>
        <v>2000</v>
      </c>
      <c r="S157" s="1378">
        <f>UDV.land_application.storage_to_tanker_load_rate</f>
        <v>2000</v>
      </c>
      <c r="T157" s="1474"/>
      <c r="U157" s="49"/>
      <c r="V157" s="1378">
        <f>UDV.land_application.storage_to_tanker_load_rate</f>
        <v>2000</v>
      </c>
      <c r="W157" s="1378">
        <f>UDV.land_application.storage_to_tanker_load_rate</f>
        <v>2000</v>
      </c>
      <c r="X157" s="1474"/>
      <c r="Y157" s="49"/>
      <c r="Z157" s="1378">
        <f>UDV.land_application.storage_to_tanker_load_rate</f>
        <v>2000</v>
      </c>
      <c r="AA157" s="1378">
        <f>UDV.land_application.storage_to_tanker_load_rate</f>
        <v>2000</v>
      </c>
      <c r="AB157" s="1474"/>
      <c r="AC157" s="49"/>
      <c r="AD157" s="1378">
        <f>UDV.land_application.storage_to_tanker_load_rate</f>
        <v>2000</v>
      </c>
      <c r="AE157" s="1378">
        <f>UDV.land_application.storage_to_tanker_load_rate</f>
        <v>2000</v>
      </c>
      <c r="AF157" s="18" t="s">
        <v>2516</v>
      </c>
      <c r="AG157" s="1474"/>
      <c r="AH157" s="49"/>
      <c r="AI157" s="1378">
        <f>UDV.land_application.storage_to_tanker_load_rate</f>
        <v>2000</v>
      </c>
      <c r="AJ157" s="1378">
        <f>UDV.land_application.storage_to_tanker_load_rate</f>
        <v>2000</v>
      </c>
      <c r="AK157" s="1474"/>
      <c r="AL157" s="49"/>
      <c r="AM157" s="1378">
        <f>UDV.land_application.storage_to_tanker_load_rate</f>
        <v>2000</v>
      </c>
      <c r="AN157" s="1378">
        <f>UDV.land_application.storage_to_tanker_load_rate</f>
        <v>2000</v>
      </c>
      <c r="AO157" s="1474"/>
      <c r="AP157" s="49"/>
      <c r="AQ157" s="1378">
        <f>UDV.land_application.storage_to_tanker_load_rate</f>
        <v>2000</v>
      </c>
      <c r="AR157" s="1378">
        <f>UDV.land_application.storage_to_tanker_load_rate</f>
        <v>2000</v>
      </c>
      <c r="AS157" s="18" t="s">
        <v>2516</v>
      </c>
    </row>
    <row r="158" spans="1:45" x14ac:dyDescent="0.3">
      <c r="B158" s="49" t="s">
        <v>5644</v>
      </c>
      <c r="C158" s="49"/>
      <c r="D158" s="52"/>
      <c r="E158" s="52"/>
      <c r="F158" s="1384">
        <f>F153/F157/UC.hour_to_min</f>
        <v>0.05</v>
      </c>
      <c r="G158" s="1384">
        <f>G153/G157/UC.hour_to_min</f>
        <v>0.05</v>
      </c>
      <c r="H158" s="1729" t="str">
        <f t="shared" si="88"/>
        <v>hr</v>
      </c>
      <c r="I158" s="49"/>
      <c r="J158" s="1384">
        <f>J153/J157/UC.hour_to_min</f>
        <v>0.05</v>
      </c>
      <c r="K158" s="1384">
        <f>K153/K157/UC.hour_to_min</f>
        <v>0.05</v>
      </c>
      <c r="L158" s="1474"/>
      <c r="M158" s="49"/>
      <c r="N158" s="1384">
        <f>N153/N157/UC.hour_to_min</f>
        <v>0.05</v>
      </c>
      <c r="O158" s="1384">
        <f>O153/O157/UC.hour_to_min</f>
        <v>0.05</v>
      </c>
      <c r="P158" s="1474"/>
      <c r="Q158" s="49"/>
      <c r="R158" s="1384">
        <f>R153/R157/UC.hour_to_min</f>
        <v>0.05</v>
      </c>
      <c r="S158" s="1384">
        <f>S153/S157/UC.hour_to_min</f>
        <v>0.05</v>
      </c>
      <c r="T158" s="1474"/>
      <c r="U158" s="49"/>
      <c r="V158" s="1384">
        <f>V153/V157/UC.hour_to_min</f>
        <v>0.05</v>
      </c>
      <c r="W158" s="1384">
        <f>W153/W157/UC.hour_to_min</f>
        <v>0.05</v>
      </c>
      <c r="X158" s="1474"/>
      <c r="Y158" s="49"/>
      <c r="Z158" s="1384">
        <f>Z153/Z157/UC.hour_to_min</f>
        <v>0.05</v>
      </c>
      <c r="AA158" s="1384">
        <f>AA153/AA157/UC.hour_to_min</f>
        <v>0.05</v>
      </c>
      <c r="AB158" s="1474"/>
      <c r="AC158" s="49"/>
      <c r="AD158" s="1384">
        <f>AD153/AD157/UC.hour_to_min</f>
        <v>0.05</v>
      </c>
      <c r="AE158" s="1384">
        <f>AE153/AE157/UC.hour_to_min</f>
        <v>0.05</v>
      </c>
      <c r="AF158" s="18" t="s">
        <v>5641</v>
      </c>
      <c r="AG158" s="1474"/>
      <c r="AH158" s="49"/>
      <c r="AI158" s="1384">
        <f>AI153/AI157/UC.hour_to_min</f>
        <v>0.05</v>
      </c>
      <c r="AJ158" s="1384">
        <f>AJ153/AJ157/UC.hour_to_min</f>
        <v>0.05</v>
      </c>
      <c r="AK158" s="1474"/>
      <c r="AL158" s="49"/>
      <c r="AM158" s="1384">
        <f>AM153/AM157/UC.hour_to_min</f>
        <v>0.05</v>
      </c>
      <c r="AN158" s="1384">
        <f>AN153/AN157/UC.hour_to_min</f>
        <v>0.05</v>
      </c>
      <c r="AO158" s="1474"/>
      <c r="AP158" s="49"/>
      <c r="AQ158" s="1384">
        <f>AQ153/AQ157/UC.hour_to_min</f>
        <v>0.05</v>
      </c>
      <c r="AR158" s="1384">
        <f>AR153/AR157/UC.hour_to_min</f>
        <v>0.05</v>
      </c>
      <c r="AS158" s="18" t="s">
        <v>5641</v>
      </c>
    </row>
    <row r="159" spans="1:45" x14ac:dyDescent="0.3">
      <c r="B159" s="49" t="s">
        <v>5645</v>
      </c>
      <c r="C159" s="49"/>
      <c r="D159" s="52"/>
      <c r="E159" s="52"/>
      <c r="F159" s="1378">
        <f>UDV.land_application.tanker_unload_rate</f>
        <v>1300</v>
      </c>
      <c r="G159" s="1378">
        <f>UDV.land_application.tanker_unload_rate</f>
        <v>1300</v>
      </c>
      <c r="H159" s="1729" t="str">
        <f t="shared" si="88"/>
        <v>gal/min</v>
      </c>
      <c r="I159" s="49"/>
      <c r="J159" s="1378">
        <f>UDV.land_application.tanker_unload_rate</f>
        <v>1300</v>
      </c>
      <c r="K159" s="1378">
        <f>UDV.land_application.tanker_unload_rate</f>
        <v>1300</v>
      </c>
      <c r="L159" s="1474"/>
      <c r="M159" s="49"/>
      <c r="N159" s="1378">
        <f>UDV.land_application.tanker_unload_rate</f>
        <v>1300</v>
      </c>
      <c r="O159" s="1378">
        <f>UDV.land_application.tanker_unload_rate</f>
        <v>1300</v>
      </c>
      <c r="P159" s="1474"/>
      <c r="Q159" s="49"/>
      <c r="R159" s="1378">
        <f>UDV.land_application.tanker_unload_rate</f>
        <v>1300</v>
      </c>
      <c r="S159" s="1378">
        <f>UDV.land_application.tanker_unload_rate</f>
        <v>1300</v>
      </c>
      <c r="T159" s="1474"/>
      <c r="U159" s="49"/>
      <c r="V159" s="1378">
        <f>UDV.land_application.tanker_unload_rate</f>
        <v>1300</v>
      </c>
      <c r="W159" s="1378">
        <f>UDV.land_application.tanker_unload_rate</f>
        <v>1300</v>
      </c>
      <c r="X159" s="1474"/>
      <c r="Y159" s="49"/>
      <c r="Z159" s="1378">
        <f>UDV.land_application.tanker_unload_rate</f>
        <v>1300</v>
      </c>
      <c r="AA159" s="1378">
        <f>UDV.land_application.tanker_unload_rate</f>
        <v>1300</v>
      </c>
      <c r="AB159" s="1474"/>
      <c r="AC159" s="49"/>
      <c r="AD159" s="1378">
        <f>UDV.land_application.tanker_unload_rate</f>
        <v>1300</v>
      </c>
      <c r="AE159" s="1378">
        <f>UDV.land_application.tanker_unload_rate</f>
        <v>1300</v>
      </c>
      <c r="AF159" s="18" t="s">
        <v>2516</v>
      </c>
      <c r="AG159" s="1474"/>
      <c r="AH159" s="49"/>
      <c r="AI159" s="1378">
        <f>UDV.land_application.tanker_unload_rate</f>
        <v>1300</v>
      </c>
      <c r="AJ159" s="1378">
        <f>UDV.land_application.tanker_unload_rate</f>
        <v>1300</v>
      </c>
      <c r="AK159" s="1474"/>
      <c r="AL159" s="49"/>
      <c r="AM159" s="1378">
        <f>UDV.land_application.tanker_unload_rate</f>
        <v>1300</v>
      </c>
      <c r="AN159" s="1378">
        <f>UDV.land_application.tanker_unload_rate</f>
        <v>1300</v>
      </c>
      <c r="AO159" s="1474"/>
      <c r="AP159" s="49"/>
      <c r="AQ159" s="1378">
        <f>UDV.land_application.tanker_unload_rate</f>
        <v>1300</v>
      </c>
      <c r="AR159" s="1378">
        <f>UDV.land_application.tanker_unload_rate</f>
        <v>1300</v>
      </c>
      <c r="AS159" s="18" t="s">
        <v>2516</v>
      </c>
    </row>
    <row r="160" spans="1:45" x14ac:dyDescent="0.3">
      <c r="B160" s="49" t="s">
        <v>5646</v>
      </c>
      <c r="C160" s="49"/>
      <c r="D160" s="52"/>
      <c r="E160" s="52"/>
      <c r="F160" s="1403">
        <f>F153/F159/UC.hour_to_min</f>
        <v>7.6923076923076913E-2</v>
      </c>
      <c r="G160" s="1403">
        <f>G153/G159/UC.hour_to_min</f>
        <v>7.6923076923076913E-2</v>
      </c>
      <c r="H160" s="1729" t="str">
        <f t="shared" si="88"/>
        <v>hr</v>
      </c>
      <c r="I160" s="49"/>
      <c r="J160" s="1403">
        <f>J153/J159/UC.hour_to_min</f>
        <v>7.6923076923076913E-2</v>
      </c>
      <c r="K160" s="1403">
        <f>K153/K159/UC.hour_to_min</f>
        <v>7.6923076923076913E-2</v>
      </c>
      <c r="L160" s="1474"/>
      <c r="M160" s="49"/>
      <c r="N160" s="1403">
        <f>N153/N159/UC.hour_to_min</f>
        <v>7.6923076923076913E-2</v>
      </c>
      <c r="O160" s="1403">
        <f>O153/O159/UC.hour_to_min</f>
        <v>7.6923076923076913E-2</v>
      </c>
      <c r="P160" s="1474"/>
      <c r="Q160" s="49"/>
      <c r="R160" s="1403">
        <f>R153/R159/UC.hour_to_min</f>
        <v>7.6923076923076913E-2</v>
      </c>
      <c r="S160" s="1403">
        <f>S153/S159/UC.hour_to_min</f>
        <v>7.6923076923076913E-2</v>
      </c>
      <c r="T160" s="1474"/>
      <c r="U160" s="49"/>
      <c r="V160" s="1403">
        <f>V153/V159/UC.hour_to_min</f>
        <v>7.6923076923076913E-2</v>
      </c>
      <c r="W160" s="1403">
        <f>W153/W159/UC.hour_to_min</f>
        <v>7.6923076923076913E-2</v>
      </c>
      <c r="X160" s="1474"/>
      <c r="Y160" s="49"/>
      <c r="Z160" s="1403">
        <f>Z153/Z159/UC.hour_to_min</f>
        <v>7.6923076923076913E-2</v>
      </c>
      <c r="AA160" s="1403">
        <f>AA153/AA159/UC.hour_to_min</f>
        <v>7.6923076923076913E-2</v>
      </c>
      <c r="AB160" s="1474"/>
      <c r="AC160" s="49"/>
      <c r="AD160" s="1403">
        <f>AD153/AD159/UC.hour_to_min</f>
        <v>7.6923076923076913E-2</v>
      </c>
      <c r="AE160" s="1403">
        <f>AE153/AE159/UC.hour_to_min</f>
        <v>7.6923076923076913E-2</v>
      </c>
      <c r="AF160" s="18" t="s">
        <v>5641</v>
      </c>
      <c r="AG160" s="1474"/>
      <c r="AH160" s="49"/>
      <c r="AI160" s="1403">
        <f>AI153/AI159/UC.hour_to_min</f>
        <v>7.6923076923076913E-2</v>
      </c>
      <c r="AJ160" s="1403">
        <f>AJ153/AJ159/UC.hour_to_min</f>
        <v>7.6923076923076913E-2</v>
      </c>
      <c r="AK160" s="1474"/>
      <c r="AL160" s="49"/>
      <c r="AM160" s="1403">
        <f>AM153/AM159/UC.hour_to_min</f>
        <v>7.6923076923076913E-2</v>
      </c>
      <c r="AN160" s="1403">
        <f>AN153/AN159/UC.hour_to_min</f>
        <v>7.6923076923076913E-2</v>
      </c>
      <c r="AO160" s="1474"/>
      <c r="AP160" s="49"/>
      <c r="AQ160" s="1403">
        <f>AQ153/AQ159/UC.hour_to_min</f>
        <v>7.6923076923076913E-2</v>
      </c>
      <c r="AR160" s="1403">
        <f>AR153/AR159/UC.hour_to_min</f>
        <v>7.6923076923076913E-2</v>
      </c>
      <c r="AS160" s="18" t="s">
        <v>5641</v>
      </c>
    </row>
    <row r="161" spans="2:45" x14ac:dyDescent="0.3">
      <c r="B161" s="49" t="s">
        <v>5647</v>
      </c>
      <c r="C161" s="49"/>
      <c r="D161" s="52"/>
      <c r="E161" s="52"/>
      <c r="F161" s="1378">
        <f>UDV.land_application.tanker_loaded_speed</f>
        <v>14</v>
      </c>
      <c r="G161" s="1378">
        <f>UDV.land_application.tanker_loaded_speed</f>
        <v>14</v>
      </c>
      <c r="H161" s="1729" t="str">
        <f t="shared" si="88"/>
        <v>mile/hr</v>
      </c>
      <c r="I161" s="49"/>
      <c r="J161" s="1378">
        <f>UDV.land_application.tanker_loaded_speed</f>
        <v>14</v>
      </c>
      <c r="K161" s="1378">
        <f>UDV.land_application.tanker_loaded_speed</f>
        <v>14</v>
      </c>
      <c r="L161" s="1474"/>
      <c r="M161" s="49"/>
      <c r="N161" s="1378">
        <f>UDV.land_application.tanker_loaded_speed</f>
        <v>14</v>
      </c>
      <c r="O161" s="1378">
        <f>UDV.land_application.tanker_loaded_speed</f>
        <v>14</v>
      </c>
      <c r="P161" s="1474"/>
      <c r="Q161" s="49"/>
      <c r="R161" s="1378">
        <f>UDV.land_application.tanker_loaded_speed</f>
        <v>14</v>
      </c>
      <c r="S161" s="1378">
        <f>UDV.land_application.tanker_loaded_speed</f>
        <v>14</v>
      </c>
      <c r="T161" s="1474"/>
      <c r="U161" s="49"/>
      <c r="V161" s="1378">
        <f>UDV.land_application.tanker_loaded_speed</f>
        <v>14</v>
      </c>
      <c r="W161" s="1378">
        <f>UDV.land_application.tanker_loaded_speed</f>
        <v>14</v>
      </c>
      <c r="X161" s="1474"/>
      <c r="Y161" s="49"/>
      <c r="Z161" s="1378">
        <f>UDV.land_application.tanker_loaded_speed</f>
        <v>14</v>
      </c>
      <c r="AA161" s="1378">
        <f>UDV.land_application.tanker_loaded_speed</f>
        <v>14</v>
      </c>
      <c r="AB161" s="1474"/>
      <c r="AC161" s="49"/>
      <c r="AD161" s="1378">
        <f>UDV.land_application.tanker_loaded_speed</f>
        <v>14</v>
      </c>
      <c r="AE161" s="1378">
        <f>UDV.land_application.tanker_loaded_speed</f>
        <v>14</v>
      </c>
      <c r="AF161" s="18" t="s">
        <v>5648</v>
      </c>
      <c r="AG161" s="1474"/>
      <c r="AH161" s="49"/>
      <c r="AI161" s="1378">
        <f>UDV.land_application.tanker_loaded_speed</f>
        <v>14</v>
      </c>
      <c r="AJ161" s="1378">
        <f>UDV.land_application.tanker_loaded_speed</f>
        <v>14</v>
      </c>
      <c r="AK161" s="1474"/>
      <c r="AL161" s="49"/>
      <c r="AM161" s="1378">
        <f>UDV.land_application.tanker_loaded_speed</f>
        <v>14</v>
      </c>
      <c r="AN161" s="1378">
        <f>UDV.land_application.tanker_loaded_speed</f>
        <v>14</v>
      </c>
      <c r="AO161" s="1474"/>
      <c r="AP161" s="49"/>
      <c r="AQ161" s="1378">
        <f>UDV.land_application.tanker_loaded_speed</f>
        <v>14</v>
      </c>
      <c r="AR161" s="1378">
        <f>UDV.land_application.tanker_loaded_speed</f>
        <v>14</v>
      </c>
      <c r="AS161" s="18" t="s">
        <v>5648</v>
      </c>
    </row>
    <row r="162" spans="2:45" x14ac:dyDescent="0.3">
      <c r="B162" s="49" t="s">
        <v>5649</v>
      </c>
      <c r="C162" s="49"/>
      <c r="D162" s="52"/>
      <c r="E162" s="52"/>
      <c r="F162" s="1378">
        <f>UDV.land_application.tanker_unloaded_speed</f>
        <v>17</v>
      </c>
      <c r="G162" s="1378">
        <f>UDV.land_application.tanker_unloaded_speed</f>
        <v>17</v>
      </c>
      <c r="H162" s="1729" t="str">
        <f t="shared" si="88"/>
        <v>mile/hr</v>
      </c>
      <c r="I162" s="49"/>
      <c r="J162" s="1378">
        <f>UDV.land_application.tanker_unloaded_speed</f>
        <v>17</v>
      </c>
      <c r="K162" s="1378">
        <f>UDV.land_application.tanker_unloaded_speed</f>
        <v>17</v>
      </c>
      <c r="L162" s="1474"/>
      <c r="M162" s="49"/>
      <c r="N162" s="1378">
        <f>UDV.land_application.tanker_unloaded_speed</f>
        <v>17</v>
      </c>
      <c r="O162" s="1378">
        <f>UDV.land_application.tanker_unloaded_speed</f>
        <v>17</v>
      </c>
      <c r="P162" s="1474"/>
      <c r="Q162" s="49"/>
      <c r="R162" s="1378">
        <f>UDV.land_application.tanker_unloaded_speed</f>
        <v>17</v>
      </c>
      <c r="S162" s="1378">
        <f>UDV.land_application.tanker_unloaded_speed</f>
        <v>17</v>
      </c>
      <c r="T162" s="1474"/>
      <c r="U162" s="49"/>
      <c r="V162" s="1378">
        <f>UDV.land_application.tanker_unloaded_speed</f>
        <v>17</v>
      </c>
      <c r="W162" s="1378">
        <f>UDV.land_application.tanker_unloaded_speed</f>
        <v>17</v>
      </c>
      <c r="X162" s="1474"/>
      <c r="Y162" s="49"/>
      <c r="Z162" s="1378">
        <f>UDV.land_application.tanker_unloaded_speed</f>
        <v>17</v>
      </c>
      <c r="AA162" s="1378">
        <f>UDV.land_application.tanker_unloaded_speed</f>
        <v>17</v>
      </c>
      <c r="AB162" s="1474"/>
      <c r="AC162" s="49"/>
      <c r="AD162" s="1378">
        <f>UDV.land_application.tanker_unloaded_speed</f>
        <v>17</v>
      </c>
      <c r="AE162" s="1378">
        <f>UDV.land_application.tanker_unloaded_speed</f>
        <v>17</v>
      </c>
      <c r="AF162" s="18" t="s">
        <v>5648</v>
      </c>
      <c r="AG162" s="1474"/>
      <c r="AH162" s="49"/>
      <c r="AI162" s="1378">
        <f>UDV.land_application.tanker_unloaded_speed</f>
        <v>17</v>
      </c>
      <c r="AJ162" s="1378">
        <f>UDV.land_application.tanker_unloaded_speed</f>
        <v>17</v>
      </c>
      <c r="AK162" s="1474"/>
      <c r="AL162" s="49"/>
      <c r="AM162" s="1378">
        <f>UDV.land_application.tanker_unloaded_speed</f>
        <v>17</v>
      </c>
      <c r="AN162" s="1378">
        <f>UDV.land_application.tanker_unloaded_speed</f>
        <v>17</v>
      </c>
      <c r="AO162" s="1474"/>
      <c r="AP162" s="49"/>
      <c r="AQ162" s="1378">
        <f>UDV.land_application.tanker_unloaded_speed</f>
        <v>17</v>
      </c>
      <c r="AR162" s="1378">
        <f>UDV.land_application.tanker_unloaded_speed</f>
        <v>17</v>
      </c>
      <c r="AS162" s="18" t="s">
        <v>5648</v>
      </c>
    </row>
    <row r="163" spans="2:45" x14ac:dyDescent="0.3">
      <c r="B163" s="49" t="s">
        <v>5650</v>
      </c>
      <c r="C163" s="49"/>
      <c r="D163" s="52"/>
      <c r="E163" s="52"/>
      <c r="F163" s="1380">
        <f>F149/F161</f>
        <v>7.1428571428571425E-2</v>
      </c>
      <c r="G163" s="1380">
        <f>G149/G161</f>
        <v>7.1428571428571425E-2</v>
      </c>
      <c r="H163" s="1729" t="str">
        <f t="shared" si="88"/>
        <v>hr</v>
      </c>
      <c r="I163" s="49"/>
      <c r="J163" s="1380">
        <f>J149/J161</f>
        <v>7.1428571428571425E-2</v>
      </c>
      <c r="K163" s="1380">
        <f>K149/K161</f>
        <v>7.1428571428571425E-2</v>
      </c>
      <c r="L163" s="1474"/>
      <c r="M163" s="49"/>
      <c r="N163" s="1380">
        <f>N149/N161</f>
        <v>7.1428571428571425E-2</v>
      </c>
      <c r="O163" s="1380">
        <f>O149/O161</f>
        <v>7.1428571428571425E-2</v>
      </c>
      <c r="P163" s="1474"/>
      <c r="Q163" s="49"/>
      <c r="R163" s="1380">
        <f>R149/R161</f>
        <v>7.1428571428571425E-2</v>
      </c>
      <c r="S163" s="1380">
        <f>S149/S161</f>
        <v>7.1428571428571425E-2</v>
      </c>
      <c r="T163" s="1474"/>
      <c r="U163" s="49"/>
      <c r="V163" s="1380">
        <f>V149/V161</f>
        <v>7.1428571428571425E-2</v>
      </c>
      <c r="W163" s="1380">
        <f>W149/W161</f>
        <v>7.1428571428571425E-2</v>
      </c>
      <c r="X163" s="1474"/>
      <c r="Y163" s="49"/>
      <c r="Z163" s="1380">
        <f>Z149/Z161</f>
        <v>7.1428571428571425E-2</v>
      </c>
      <c r="AA163" s="1380">
        <f>AA149/AA161</f>
        <v>7.1428571428571425E-2</v>
      </c>
      <c r="AB163" s="1474"/>
      <c r="AC163" s="49"/>
      <c r="AD163" s="1380">
        <f>AD149/AD161</f>
        <v>7.1428571428571425E-2</v>
      </c>
      <c r="AE163" s="1380">
        <f>AE149/AE161</f>
        <v>7.1428571428571425E-2</v>
      </c>
      <c r="AF163" s="18" t="s">
        <v>5641</v>
      </c>
      <c r="AG163" s="1474"/>
      <c r="AH163" s="49"/>
      <c r="AI163" s="1380">
        <f>AI149/AI161</f>
        <v>7.1428571428571425E-2</v>
      </c>
      <c r="AJ163" s="1380">
        <f>AJ149/AJ161</f>
        <v>7.1428571428571425E-2</v>
      </c>
      <c r="AK163" s="1474"/>
      <c r="AL163" s="49"/>
      <c r="AM163" s="1380">
        <f>AM149/AM161</f>
        <v>7.1428571428571425E-2</v>
      </c>
      <c r="AN163" s="1380">
        <f>AN149/AN161</f>
        <v>7.1428571428571425E-2</v>
      </c>
      <c r="AO163" s="1474"/>
      <c r="AP163" s="49"/>
      <c r="AQ163" s="1380">
        <f>AQ149/AQ161</f>
        <v>7.1428571428571425E-2</v>
      </c>
      <c r="AR163" s="1380">
        <f>AR149/AR161</f>
        <v>7.1428571428571425E-2</v>
      </c>
      <c r="AS163" s="18" t="s">
        <v>5641</v>
      </c>
    </row>
    <row r="164" spans="2:45" x14ac:dyDescent="0.3">
      <c r="B164" s="49" t="s">
        <v>5651</v>
      </c>
      <c r="C164" s="49"/>
      <c r="D164" s="52"/>
      <c r="E164" s="52"/>
      <c r="F164" s="1380">
        <f>F149/F162</f>
        <v>5.8823529411764705E-2</v>
      </c>
      <c r="G164" s="1380">
        <f>G149/G162</f>
        <v>5.8823529411764705E-2</v>
      </c>
      <c r="H164" s="1729" t="str">
        <f t="shared" si="88"/>
        <v>hr</v>
      </c>
      <c r="I164" s="49"/>
      <c r="J164" s="1380">
        <f>J149/J162</f>
        <v>5.8823529411764705E-2</v>
      </c>
      <c r="K164" s="1380">
        <f>K149/K162</f>
        <v>5.8823529411764705E-2</v>
      </c>
      <c r="L164" s="1474"/>
      <c r="M164" s="49"/>
      <c r="N164" s="1380">
        <f>N149/N162</f>
        <v>5.8823529411764705E-2</v>
      </c>
      <c r="O164" s="1380">
        <f>O149/O162</f>
        <v>5.8823529411764705E-2</v>
      </c>
      <c r="P164" s="1474"/>
      <c r="Q164" s="49"/>
      <c r="R164" s="1380">
        <f>R149/R162</f>
        <v>5.8823529411764705E-2</v>
      </c>
      <c r="S164" s="1380">
        <f>S149/S162</f>
        <v>5.8823529411764705E-2</v>
      </c>
      <c r="T164" s="1474"/>
      <c r="U164" s="49"/>
      <c r="V164" s="1380">
        <f>V149/V162</f>
        <v>5.8823529411764705E-2</v>
      </c>
      <c r="W164" s="1380">
        <f>W149/W162</f>
        <v>5.8823529411764705E-2</v>
      </c>
      <c r="X164" s="1474"/>
      <c r="Y164" s="49"/>
      <c r="Z164" s="1380">
        <f>Z149/Z162</f>
        <v>5.8823529411764705E-2</v>
      </c>
      <c r="AA164" s="1380">
        <f>AA149/AA162</f>
        <v>5.8823529411764705E-2</v>
      </c>
      <c r="AB164" s="1474"/>
      <c r="AC164" s="49"/>
      <c r="AD164" s="1380">
        <f>AD149/AD162</f>
        <v>5.8823529411764705E-2</v>
      </c>
      <c r="AE164" s="1380">
        <f>AE149/AE162</f>
        <v>5.8823529411764705E-2</v>
      </c>
      <c r="AF164" s="18" t="s">
        <v>5641</v>
      </c>
      <c r="AG164" s="1474"/>
      <c r="AH164" s="49"/>
      <c r="AI164" s="1380">
        <f>AI149/AI162</f>
        <v>5.8823529411764705E-2</v>
      </c>
      <c r="AJ164" s="1380">
        <f>AJ149/AJ162</f>
        <v>5.8823529411764705E-2</v>
      </c>
      <c r="AK164" s="1474"/>
      <c r="AL164" s="49"/>
      <c r="AM164" s="1380">
        <f>AM149/AM162</f>
        <v>5.8823529411764705E-2</v>
      </c>
      <c r="AN164" s="1380">
        <f>AN149/AN162</f>
        <v>5.8823529411764705E-2</v>
      </c>
      <c r="AO164" s="1474"/>
      <c r="AP164" s="49"/>
      <c r="AQ164" s="1380">
        <f>AQ149/AQ162</f>
        <v>5.8823529411764705E-2</v>
      </c>
      <c r="AR164" s="1380">
        <f>AR149/AR162</f>
        <v>5.8823529411764705E-2</v>
      </c>
      <c r="AS164" s="18" t="s">
        <v>5641</v>
      </c>
    </row>
    <row r="165" spans="2:45" x14ac:dyDescent="0.3">
      <c r="B165" s="49" t="s">
        <v>5652</v>
      </c>
      <c r="C165" s="49"/>
      <c r="D165" s="52"/>
      <c r="E165" s="52"/>
      <c r="F165" s="1380">
        <f>F155+F156+F158+F160+F163+F164</f>
        <v>0.38217517776341303</v>
      </c>
      <c r="G165" s="1380">
        <f>G155+G156+G158+G160+G163+G164</f>
        <v>0.38217517776341303</v>
      </c>
      <c r="H165" s="1729" t="str">
        <f t="shared" si="88"/>
        <v>hr</v>
      </c>
      <c r="I165" s="49"/>
      <c r="J165" s="1380">
        <f>J155+J156+J158+J160+J163+J164</f>
        <v>0.38217517776341303</v>
      </c>
      <c r="K165" s="1380">
        <f>K155+K156+K158+K160+K163+K164</f>
        <v>0.38217517776341303</v>
      </c>
      <c r="L165" s="1474"/>
      <c r="M165" s="49"/>
      <c r="N165" s="1380">
        <f>N155+N156+N158+N160+N163+N164</f>
        <v>0.38217517776341303</v>
      </c>
      <c r="O165" s="1380">
        <f>O155+O156+O158+O160+O163+O164</f>
        <v>0.38217517776341303</v>
      </c>
      <c r="P165" s="1474"/>
      <c r="Q165" s="49"/>
      <c r="R165" s="1380">
        <f>R155+R156+R158+R160+R163+R164</f>
        <v>0.38217517776341303</v>
      </c>
      <c r="S165" s="1380">
        <f>S155+S156+S158+S160+S163+S164</f>
        <v>0.38217517776341303</v>
      </c>
      <c r="T165" s="1474"/>
      <c r="U165" s="49"/>
      <c r="V165" s="1380">
        <f>V155+V156+V158+V160+V163+V164</f>
        <v>0.38217517776341303</v>
      </c>
      <c r="W165" s="1380">
        <f>W155+W156+W158+W160+W163+W164</f>
        <v>0.38217517776341303</v>
      </c>
      <c r="X165" s="1474"/>
      <c r="Y165" s="49"/>
      <c r="Z165" s="1380">
        <f>Z155+Z156+Z158+Z160+Z163+Z164</f>
        <v>0.38217517776341303</v>
      </c>
      <c r="AA165" s="1380">
        <f>AA155+AA156+AA158+AA160+AA163+AA164</f>
        <v>0.38217517776341303</v>
      </c>
      <c r="AB165" s="1474"/>
      <c r="AC165" s="49"/>
      <c r="AD165" s="1380">
        <f>AD155+AD156+AD158+AD160+AD163+AD164</f>
        <v>0.38217517776341303</v>
      </c>
      <c r="AE165" s="1380">
        <f>AE155+AE156+AE158+AE160+AE163+AE164</f>
        <v>0.38217517776341303</v>
      </c>
      <c r="AF165" s="18" t="s">
        <v>5641</v>
      </c>
      <c r="AG165" s="1474"/>
      <c r="AH165" s="49"/>
      <c r="AI165" s="1380">
        <f>AI155+AI156+AI158+AI160+AI163+AI164</f>
        <v>0.38217517776341303</v>
      </c>
      <c r="AJ165" s="1380">
        <f>AJ155+AJ156+AJ158+AJ160+AJ163+AJ164</f>
        <v>0.38217517776341303</v>
      </c>
      <c r="AK165" s="1474"/>
      <c r="AL165" s="49"/>
      <c r="AM165" s="1380">
        <f>AM155+AM156+AM158+AM160+AM163+AM164</f>
        <v>0.38217517776341303</v>
      </c>
      <c r="AN165" s="1380">
        <f>AN155+AN156+AN158+AN160+AN163+AN164</f>
        <v>0.38217517776341303</v>
      </c>
      <c r="AO165" s="1474"/>
      <c r="AP165" s="49"/>
      <c r="AQ165" s="1380">
        <f>AQ155+AQ156+AQ158+AQ160+AQ163+AQ164</f>
        <v>0.38217517776341303</v>
      </c>
      <c r="AR165" s="1380">
        <f>AR155+AR156+AR158+AR160+AR163+AR164</f>
        <v>0.38217517776341303</v>
      </c>
      <c r="AS165" s="18" t="s">
        <v>5641</v>
      </c>
    </row>
    <row r="166" spans="2:45" x14ac:dyDescent="0.3">
      <c r="B166" s="816" t="s">
        <v>5653</v>
      </c>
      <c r="C166" s="49"/>
      <c r="D166" s="52"/>
      <c r="E166" s="52"/>
      <c r="F166" s="1379">
        <f>F153/F165</f>
        <v>15699.606748699734</v>
      </c>
      <c r="G166" s="1379">
        <f>G153/G165</f>
        <v>15699.606748699734</v>
      </c>
      <c r="H166" s="1729" t="str">
        <f t="shared" si="88"/>
        <v>gal/hr</v>
      </c>
      <c r="I166" s="49"/>
      <c r="J166" s="1379">
        <f>J153/J165</f>
        <v>15699.606748699734</v>
      </c>
      <c r="K166" s="1379">
        <f>K153/K165</f>
        <v>15699.606748699734</v>
      </c>
      <c r="L166" s="1474"/>
      <c r="M166" s="49"/>
      <c r="N166" s="1379">
        <f>N153/N165</f>
        <v>15699.606748699734</v>
      </c>
      <c r="O166" s="1379">
        <f>O153/O165</f>
        <v>15699.606748699734</v>
      </c>
      <c r="P166" s="1474"/>
      <c r="Q166" s="49"/>
      <c r="R166" s="1379">
        <f>R153/R165</f>
        <v>15699.606748699734</v>
      </c>
      <c r="S166" s="1379">
        <f>S153/S165</f>
        <v>15699.606748699734</v>
      </c>
      <c r="T166" s="1474"/>
      <c r="U166" s="49"/>
      <c r="V166" s="1379">
        <f>V153/V165</f>
        <v>15699.606748699734</v>
      </c>
      <c r="W166" s="1379">
        <f>W153/W165</f>
        <v>15699.606748699734</v>
      </c>
      <c r="X166" s="1474"/>
      <c r="Y166" s="49"/>
      <c r="Z166" s="1379">
        <f>Z153/Z165</f>
        <v>15699.606748699734</v>
      </c>
      <c r="AA166" s="1379">
        <f>AA153/AA165</f>
        <v>15699.606748699734</v>
      </c>
      <c r="AB166" s="1474"/>
      <c r="AC166" s="49"/>
      <c r="AD166" s="1379">
        <f>AD153/AD165</f>
        <v>15699.606748699734</v>
      </c>
      <c r="AE166" s="1379">
        <f>AE153/AE165</f>
        <v>15699.606748699734</v>
      </c>
      <c r="AF166" s="816" t="s">
        <v>2510</v>
      </c>
      <c r="AG166" s="1474"/>
      <c r="AH166" s="49"/>
      <c r="AI166" s="1379">
        <f>AI153/AI165</f>
        <v>15699.606748699734</v>
      </c>
      <c r="AJ166" s="1379">
        <f>AJ153/AJ165</f>
        <v>15699.606748699734</v>
      </c>
      <c r="AK166" s="1474"/>
      <c r="AL166" s="49"/>
      <c r="AM166" s="1379">
        <f>AM153/AM165</f>
        <v>15699.606748699734</v>
      </c>
      <c r="AN166" s="1379">
        <f>AN153/AN165</f>
        <v>15699.606748699734</v>
      </c>
      <c r="AO166" s="1474"/>
      <c r="AP166" s="49"/>
      <c r="AQ166" s="1379">
        <f>AQ153/AQ165</f>
        <v>15699.606748699734</v>
      </c>
      <c r="AR166" s="1379">
        <f>AR153/AR165</f>
        <v>15699.606748699734</v>
      </c>
      <c r="AS166" s="816" t="s">
        <v>2510</v>
      </c>
    </row>
    <row r="167" spans="2:45" x14ac:dyDescent="0.3">
      <c r="B167" s="717" t="s">
        <v>5654</v>
      </c>
      <c r="C167" s="49"/>
      <c r="D167" s="52"/>
      <c r="E167" s="52"/>
      <c r="F167" s="1379">
        <f>F142/F166</f>
        <v>2.0211132897868049</v>
      </c>
      <c r="G167" s="1379">
        <f>G142/G166</f>
        <v>45.328667467848561</v>
      </c>
      <c r="H167" s="1729" t="str">
        <f t="shared" si="88"/>
        <v>hr/event</v>
      </c>
      <c r="I167" s="49"/>
      <c r="J167" s="1379">
        <f>J142/J166</f>
        <v>2.0211132897868049</v>
      </c>
      <c r="K167" s="1379">
        <f>K142/K166</f>
        <v>42.936571806698318</v>
      </c>
      <c r="L167" s="1474"/>
      <c r="M167" s="49"/>
      <c r="N167" s="1379">
        <f>N142/N166</f>
        <v>2.0079795649132497</v>
      </c>
      <c r="O167" s="1379">
        <f>O142/O166</f>
        <v>44.173161274947127</v>
      </c>
      <c r="P167" s="1474"/>
      <c r="Q167" s="49"/>
      <c r="R167" s="1379">
        <f>R142/R166</f>
        <v>1.9958822787364086</v>
      </c>
      <c r="S167" s="1379">
        <f>S142/S166</f>
        <v>45.327719728331026</v>
      </c>
      <c r="T167" s="1474"/>
      <c r="U167" s="49"/>
      <c r="V167" s="1379">
        <f>V142/V166</f>
        <v>1.9958822787364086</v>
      </c>
      <c r="W167" s="1379">
        <f>W142/W166</f>
        <v>41.951924462034526</v>
      </c>
      <c r="X167" s="1474"/>
      <c r="Y167" s="49"/>
      <c r="Z167" s="1379">
        <f>Z142/Z166</f>
        <v>1.9958822787364086</v>
      </c>
      <c r="AA167" s="1379">
        <f>AA142/AA166</f>
        <v>45.327719728331026</v>
      </c>
      <c r="AB167" s="1474"/>
      <c r="AC167" s="49"/>
      <c r="AD167" s="1379">
        <f>AD142/AD166</f>
        <v>1.9885678726169513</v>
      </c>
      <c r="AE167" s="1379">
        <f>AE142/AE166</f>
        <v>39.163128646210922</v>
      </c>
      <c r="AF167" s="1525" t="s">
        <v>2462</v>
      </c>
      <c r="AG167" s="1474"/>
      <c r="AH167" s="49"/>
      <c r="AI167" s="1379">
        <f>AI142/AI166</f>
        <v>1.9885678726169513</v>
      </c>
      <c r="AJ167" s="1379">
        <f>AJ142/AJ166</f>
        <v>37.732010171982616</v>
      </c>
      <c r="AK167" s="1474"/>
      <c r="AL167" s="49"/>
      <c r="AM167" s="1379">
        <f>AM142/AM166</f>
        <v>1.9885678726169551</v>
      </c>
      <c r="AN167" s="1379">
        <f>AN142/AN166</f>
        <v>39.163128646210922</v>
      </c>
      <c r="AO167" s="1474"/>
      <c r="AP167" s="49"/>
      <c r="AQ167" s="1379">
        <f>AQ142/AQ166</f>
        <v>3.0707191438310901</v>
      </c>
      <c r="AR167" s="1379">
        <f>AR142/AR166</f>
        <v>20.652063097678251</v>
      </c>
      <c r="AS167" s="1525" t="s">
        <v>2462</v>
      </c>
    </row>
    <row r="168" spans="2:45" x14ac:dyDescent="0.3">
      <c r="B168" s="1516" t="s">
        <v>6394</v>
      </c>
      <c r="C168" s="49"/>
      <c r="D168" s="52"/>
      <c r="E168" s="52"/>
      <c r="F168" s="1380">
        <f>F151*F167/F145</f>
        <v>8.0844531591472202E-2</v>
      </c>
      <c r="G168" s="1380">
        <f>G151*G167/G145</f>
        <v>3.0219111645232375</v>
      </c>
      <c r="H168" s="1729" t="str">
        <f t="shared" si="88"/>
        <v>hr/day</v>
      </c>
      <c r="I168" s="49"/>
      <c r="J168" s="1380">
        <f>J151*J167/J145</f>
        <v>8.0844531591472202E-2</v>
      </c>
      <c r="K168" s="1380">
        <f>K151*K167/K145</f>
        <v>2.8624381204465545</v>
      </c>
      <c r="L168" s="1474"/>
      <c r="M168" s="49"/>
      <c r="N168" s="1380">
        <f>N151*N167/N145</f>
        <v>8.0319182596529981E-2</v>
      </c>
      <c r="O168" s="1380">
        <f>O151*O167/O145</f>
        <v>2.9448774183298085</v>
      </c>
      <c r="P168" s="1474"/>
      <c r="Q168" s="49"/>
      <c r="R168" s="1380">
        <f>R151*R167/R145</f>
        <v>7.9835291149456339E-2</v>
      </c>
      <c r="S168" s="1380">
        <f>S151*S167/S145</f>
        <v>3.0218479818887349</v>
      </c>
      <c r="T168" s="1474"/>
      <c r="U168" s="49"/>
      <c r="V168" s="1380">
        <f>V151*V167/V145</f>
        <v>7.9835291149456339E-2</v>
      </c>
      <c r="W168" s="1380">
        <f>W151*W167/W145</f>
        <v>2.7967949641356351</v>
      </c>
      <c r="X168" s="1474"/>
      <c r="Y168" s="49"/>
      <c r="Z168" s="1380">
        <f>Z151*Z167/Z145</f>
        <v>7.9835291149456339E-2</v>
      </c>
      <c r="AA168" s="1380">
        <f>AA151*AA167/AA145</f>
        <v>3.0218479818887349</v>
      </c>
      <c r="AB168" s="1474"/>
      <c r="AC168" s="49"/>
      <c r="AD168" s="1380">
        <f>AD151*AD167/AD145</f>
        <v>7.9542714904678055E-2</v>
      </c>
      <c r="AE168" s="1380">
        <f>AE151*AE167/AE145</f>
        <v>2.610875243080728</v>
      </c>
      <c r="AF168" s="18" t="s">
        <v>2471</v>
      </c>
      <c r="AG168" s="1474"/>
      <c r="AH168" s="49"/>
      <c r="AI168" s="1380">
        <f>AI151*AI167/AI145</f>
        <v>7.9542714904678055E-2</v>
      </c>
      <c r="AJ168" s="1380">
        <f>AJ151*AJ167/AJ145</f>
        <v>2.5154673447988412</v>
      </c>
      <c r="AK168" s="1474"/>
      <c r="AL168" s="49"/>
      <c r="AM168" s="1380">
        <f>AM151*AM167/AM145</f>
        <v>7.9542714904678208E-2</v>
      </c>
      <c r="AN168" s="1380">
        <f>AN151*AN167/AN145</f>
        <v>2.610875243080728</v>
      </c>
      <c r="AO168" s="1474"/>
      <c r="AP168" s="49"/>
      <c r="AQ168" s="1380">
        <f>AQ151*AQ167/AQ145</f>
        <v>0.1228287657532436</v>
      </c>
      <c r="AR168" s="1380">
        <f>AR151*AR167/AR145</f>
        <v>1.3768042065118835</v>
      </c>
      <c r="AS168" s="18" t="s">
        <v>2471</v>
      </c>
    </row>
    <row r="169" spans="2:45" x14ac:dyDescent="0.3">
      <c r="B169" s="717" t="s">
        <v>6395</v>
      </c>
      <c r="C169" s="49"/>
      <c r="D169" s="52"/>
      <c r="E169" s="52"/>
      <c r="F169" s="1384">
        <f>ROUNDUP(F168/F146,0)</f>
        <v>1</v>
      </c>
      <c r="G169" s="1384">
        <f>ROUNDUP(G168/G146,0)</f>
        <v>1</v>
      </c>
      <c r="H169" s="1729" t="str">
        <f t="shared" si="88"/>
        <v>quantity</v>
      </c>
      <c r="I169" s="49"/>
      <c r="J169" s="1384">
        <f>ROUNDUP(J168/J146,0)</f>
        <v>1</v>
      </c>
      <c r="K169" s="1384">
        <f>ROUNDUP(K168/K146,0)</f>
        <v>1</v>
      </c>
      <c r="L169" s="1474"/>
      <c r="M169" s="49"/>
      <c r="N169" s="1384">
        <f>ROUNDUP(N168/N146,0)</f>
        <v>1</v>
      </c>
      <c r="O169" s="1384">
        <f>ROUNDUP(O168/O146,0)</f>
        <v>1</v>
      </c>
      <c r="P169" s="1474"/>
      <c r="Q169" s="49"/>
      <c r="R169" s="1384">
        <f>ROUNDUP(R168/R146,0)</f>
        <v>1</v>
      </c>
      <c r="S169" s="1384">
        <f>ROUNDUP(S168/S146,0)</f>
        <v>1</v>
      </c>
      <c r="T169" s="1474"/>
      <c r="U169" s="49"/>
      <c r="V169" s="1384">
        <f>ROUNDUP(V168/V146,0)</f>
        <v>1</v>
      </c>
      <c r="W169" s="1384">
        <f>ROUNDUP(W168/W146,0)</f>
        <v>1</v>
      </c>
      <c r="X169" s="1474"/>
      <c r="Y169" s="49"/>
      <c r="Z169" s="1384">
        <f>ROUNDUP(Z168/Z146,0)</f>
        <v>1</v>
      </c>
      <c r="AA169" s="1384">
        <f>ROUNDUP(AA168/AA146,0)</f>
        <v>1</v>
      </c>
      <c r="AB169" s="1474"/>
      <c r="AC169" s="49"/>
      <c r="AD169" s="1384">
        <f>ROUNDUP(AD168/AD146,0)</f>
        <v>1</v>
      </c>
      <c r="AE169" s="1384">
        <f>ROUNDUP(AE168/AE146,0)</f>
        <v>1</v>
      </c>
      <c r="AF169" s="18" t="s">
        <v>2442</v>
      </c>
      <c r="AG169" s="1474"/>
      <c r="AH169" s="49"/>
      <c r="AI169" s="1384">
        <f>ROUNDUP(AI168/AI146,0)</f>
        <v>1</v>
      </c>
      <c r="AJ169" s="1384">
        <f>ROUNDUP(AJ168/AJ146,0)</f>
        <v>1</v>
      </c>
      <c r="AK169" s="1474"/>
      <c r="AL169" s="49"/>
      <c r="AM169" s="1384">
        <f>ROUNDUP(AM168/AM146,0)</f>
        <v>1</v>
      </c>
      <c r="AN169" s="1384">
        <f>ROUNDUP(AN168/AN146,0)</f>
        <v>1</v>
      </c>
      <c r="AO169" s="1474"/>
      <c r="AP169" s="49"/>
      <c r="AQ169" s="1384">
        <f>ROUNDUP(AQ168/AQ146,0)</f>
        <v>1</v>
      </c>
      <c r="AR169" s="1384">
        <f>ROUNDUP(AR168/AR146,0)</f>
        <v>1</v>
      </c>
      <c r="AS169" s="18" t="s">
        <v>2442</v>
      </c>
    </row>
    <row r="170" spans="2:45" x14ac:dyDescent="0.3">
      <c r="B170" s="49" t="s">
        <v>5657</v>
      </c>
      <c r="C170" s="49"/>
      <c r="D170" s="52"/>
      <c r="E170" s="52"/>
      <c r="F170" s="1398">
        <f>IF(F167=0,0,F151*F167/F169/F146)</f>
        <v>0.33685221496446749</v>
      </c>
      <c r="G170" s="1398">
        <f>IF(G167=0,0,G151*G167/G169/G146)</f>
        <v>3.7773889556540468</v>
      </c>
      <c r="H170" s="1729" t="str">
        <f t="shared" si="88"/>
        <v>day/year</v>
      </c>
      <c r="I170" s="49"/>
      <c r="J170" s="1398">
        <f>IF(J167=0,0,J151*J167/J169/J146)</f>
        <v>0.33685221496446749</v>
      </c>
      <c r="K170" s="1398">
        <f>IF(K167=0,0,K151*K167/K169/K146)</f>
        <v>3.5780476505581933</v>
      </c>
      <c r="L170" s="1474"/>
      <c r="M170" s="49"/>
      <c r="N170" s="1398">
        <f>IF(N167=0,0,N151*N167/N169/N146)</f>
        <v>0.33466326081887493</v>
      </c>
      <c r="O170" s="1398">
        <f>IF(O167=0,0,O151*O167/O169/O146)</f>
        <v>3.6810967729122606</v>
      </c>
      <c r="P170" s="1474"/>
      <c r="Q170" s="49"/>
      <c r="R170" s="1398">
        <f>IF(R167=0,0,R151*R167/R169/R146)</f>
        <v>0.33264704645606807</v>
      </c>
      <c r="S170" s="1398">
        <f>IF(S167=0,0,S151*S167/S169/S146)</f>
        <v>3.7773099773609187</v>
      </c>
      <c r="T170" s="1474"/>
      <c r="U170" s="49"/>
      <c r="V170" s="1398">
        <f>IF(V167=0,0,V151*V167/V169/V146)</f>
        <v>0.33264704645606807</v>
      </c>
      <c r="W170" s="1398">
        <f>IF(W167=0,0,W151*W167/W169/W146)</f>
        <v>3.495993705169544</v>
      </c>
      <c r="X170" s="1474"/>
      <c r="Y170" s="49"/>
      <c r="Z170" s="1398">
        <f>IF(Z167=0,0,Z151*Z167/Z169/Z146)</f>
        <v>0.33264704645606807</v>
      </c>
      <c r="AA170" s="1398">
        <f>IF(AA167=0,0,AA151*AA167/AA169/AA146)</f>
        <v>3.7773099773609187</v>
      </c>
      <c r="AB170" s="1474"/>
      <c r="AC170" s="49"/>
      <c r="AD170" s="1398">
        <f>IF(AD167=0,0,AD151*AD167/AD169/AD146)</f>
        <v>0.33142797876949187</v>
      </c>
      <c r="AE170" s="1398">
        <f>IF(AE167=0,0,AE151*AE167/AE169/AE146)</f>
        <v>3.2635940538509103</v>
      </c>
      <c r="AF170" s="18" t="s">
        <v>2469</v>
      </c>
      <c r="AG170" s="1474"/>
      <c r="AH170" s="49"/>
      <c r="AI170" s="1398">
        <f>IF(AI167=0,0,AI151*AI167/AI169/AI146)</f>
        <v>0.33142797876949187</v>
      </c>
      <c r="AJ170" s="1398">
        <f>IF(AJ167=0,0,AJ151*AJ167/AJ169/AJ146)</f>
        <v>3.1443341809985514</v>
      </c>
      <c r="AK170" s="1474"/>
      <c r="AL170" s="49"/>
      <c r="AM170" s="1398">
        <f>IF(AM167=0,0,AM151*AM167/AM169/AM146)</f>
        <v>0.33142797876949254</v>
      </c>
      <c r="AN170" s="1398">
        <f>IF(AN167=0,0,AN151*AN167/AN169/AN146)</f>
        <v>3.2635940538509103</v>
      </c>
      <c r="AO170" s="1474"/>
      <c r="AP170" s="49"/>
      <c r="AQ170" s="1398">
        <f>IF(AQ167=0,0,AQ151*AQ167/AQ169/AQ146)</f>
        <v>0.51178652397184832</v>
      </c>
      <c r="AR170" s="1398">
        <f>IF(AR167=0,0,AR151*AR167/AR169/AR146)</f>
        <v>1.7210052581398543</v>
      </c>
      <c r="AS170" s="18" t="s">
        <v>2469</v>
      </c>
    </row>
    <row r="171" spans="2:45" x14ac:dyDescent="0.3">
      <c r="B171" s="816" t="s">
        <v>5658</v>
      </c>
      <c r="C171" s="49"/>
      <c r="D171" s="52"/>
      <c r="E171" s="52"/>
      <c r="F171" s="1379">
        <f>F151*F167</f>
        <v>4.0422265795736099</v>
      </c>
      <c r="G171" s="1379">
        <f>G151*G167</f>
        <v>45.328667467848561</v>
      </c>
      <c r="H171" s="1729" t="str">
        <f t="shared" si="88"/>
        <v>hr/year</v>
      </c>
      <c r="I171" s="49"/>
      <c r="J171" s="1379">
        <f>J151*J167</f>
        <v>4.0422265795736099</v>
      </c>
      <c r="K171" s="1379">
        <f>K151*K167</f>
        <v>42.936571806698318</v>
      </c>
      <c r="L171" s="1474"/>
      <c r="M171" s="49"/>
      <c r="N171" s="1379">
        <f>N151*N167</f>
        <v>4.0159591298264994</v>
      </c>
      <c r="O171" s="1379">
        <f>O151*O167</f>
        <v>44.173161274947127</v>
      </c>
      <c r="P171" s="1474"/>
      <c r="Q171" s="49"/>
      <c r="R171" s="1379">
        <f>R151*R167</f>
        <v>3.9917645574728171</v>
      </c>
      <c r="S171" s="1379">
        <f>S151*S167</f>
        <v>45.327719728331026</v>
      </c>
      <c r="T171" s="1474"/>
      <c r="U171" s="49"/>
      <c r="V171" s="1379">
        <f>V151*V167</f>
        <v>3.9917645574728171</v>
      </c>
      <c r="W171" s="1379">
        <f>W151*W167</f>
        <v>41.951924462034526</v>
      </c>
      <c r="X171" s="1474"/>
      <c r="Y171" s="49"/>
      <c r="Z171" s="1379">
        <f>Z151*Z167</f>
        <v>3.9917645574728171</v>
      </c>
      <c r="AA171" s="1379">
        <f>AA151*AA167</f>
        <v>45.327719728331026</v>
      </c>
      <c r="AB171" s="1474"/>
      <c r="AC171" s="49"/>
      <c r="AD171" s="1379">
        <f>AD151*AD167</f>
        <v>3.9771357452339027</v>
      </c>
      <c r="AE171" s="1379">
        <f>AE151*AE167</f>
        <v>39.163128646210922</v>
      </c>
      <c r="AF171" s="1525" t="s">
        <v>2472</v>
      </c>
      <c r="AG171" s="1474"/>
      <c r="AH171" s="49"/>
      <c r="AI171" s="1379">
        <f>AI151*AI167</f>
        <v>3.9771357452339027</v>
      </c>
      <c r="AJ171" s="1379">
        <f>AJ151*AJ167</f>
        <v>37.732010171982616</v>
      </c>
      <c r="AK171" s="1474"/>
      <c r="AL171" s="49"/>
      <c r="AM171" s="1379">
        <f>AM151*AM167</f>
        <v>3.9771357452339102</v>
      </c>
      <c r="AN171" s="1379">
        <f>AN151*AN167</f>
        <v>39.163128646210922</v>
      </c>
      <c r="AO171" s="1474"/>
      <c r="AP171" s="49"/>
      <c r="AQ171" s="1379">
        <f>AQ151*AQ167</f>
        <v>6.1414382876621803</v>
      </c>
      <c r="AR171" s="1379">
        <f>AR151*AR167</f>
        <v>20.652063097678251</v>
      </c>
      <c r="AS171" s="1525" t="s">
        <v>2472</v>
      </c>
    </row>
    <row r="172" spans="2:45" x14ac:dyDescent="0.3">
      <c r="B172" s="816" t="s">
        <v>5659</v>
      </c>
      <c r="C172" s="49"/>
      <c r="D172" s="52"/>
      <c r="E172" s="52"/>
      <c r="F172" s="1384">
        <f>UDV.tractor.fuel_efficiency*F154</f>
        <v>11</v>
      </c>
      <c r="G172" s="1384">
        <f>UDV.tractor.fuel_efficiency*G154</f>
        <v>11</v>
      </c>
      <c r="H172" s="1729" t="str">
        <f t="shared" si="88"/>
        <v>gal/hr</v>
      </c>
      <c r="I172" s="49"/>
      <c r="J172" s="1384">
        <f>UDV.tractor.fuel_efficiency*J154</f>
        <v>11</v>
      </c>
      <c r="K172" s="1384">
        <f>UDV.tractor.fuel_efficiency*K154</f>
        <v>11</v>
      </c>
      <c r="L172" s="1474"/>
      <c r="M172" s="49"/>
      <c r="N172" s="1384">
        <f>UDV.tractor.fuel_efficiency*N154</f>
        <v>11</v>
      </c>
      <c r="O172" s="1384">
        <f>UDV.tractor.fuel_efficiency*O154</f>
        <v>11</v>
      </c>
      <c r="P172" s="1474"/>
      <c r="Q172" s="49"/>
      <c r="R172" s="1384">
        <f>UDV.tractor.fuel_efficiency*R154</f>
        <v>11</v>
      </c>
      <c r="S172" s="1384">
        <f>UDV.tractor.fuel_efficiency*S154</f>
        <v>11</v>
      </c>
      <c r="T172" s="1474"/>
      <c r="U172" s="49"/>
      <c r="V172" s="1384">
        <f>UDV.tractor.fuel_efficiency*V154</f>
        <v>11</v>
      </c>
      <c r="W172" s="1384">
        <f>UDV.tractor.fuel_efficiency*W154</f>
        <v>11</v>
      </c>
      <c r="X172" s="1474"/>
      <c r="Y172" s="49"/>
      <c r="Z172" s="1384">
        <f>UDV.tractor.fuel_efficiency*Z154</f>
        <v>11</v>
      </c>
      <c r="AA172" s="1384">
        <f>UDV.tractor.fuel_efficiency*AA154</f>
        <v>11</v>
      </c>
      <c r="AB172" s="1474"/>
      <c r="AC172" s="49"/>
      <c r="AD172" s="1384">
        <f>UDV.tractor.fuel_efficiency*AD154</f>
        <v>11</v>
      </c>
      <c r="AE172" s="1384">
        <f>UDV.tractor.fuel_efficiency*AE154</f>
        <v>11</v>
      </c>
      <c r="AF172" s="816" t="s">
        <v>2510</v>
      </c>
      <c r="AG172" s="1474"/>
      <c r="AH172" s="49"/>
      <c r="AI172" s="1384">
        <f>UDV.tractor.fuel_efficiency*AI154</f>
        <v>11</v>
      </c>
      <c r="AJ172" s="1384">
        <f>UDV.tractor.fuel_efficiency*AJ154</f>
        <v>11</v>
      </c>
      <c r="AK172" s="1474"/>
      <c r="AL172" s="49"/>
      <c r="AM172" s="1384">
        <f>UDV.tractor.fuel_efficiency*AM154</f>
        <v>11</v>
      </c>
      <c r="AN172" s="1384">
        <f>UDV.tractor.fuel_efficiency*AN154</f>
        <v>11</v>
      </c>
      <c r="AO172" s="1474"/>
      <c r="AP172" s="49"/>
      <c r="AQ172" s="1384">
        <f>UDV.tractor.fuel_efficiency*AQ154</f>
        <v>11</v>
      </c>
      <c r="AR172" s="1384">
        <f>UDV.tractor.fuel_efficiency*AR154</f>
        <v>11</v>
      </c>
      <c r="AS172" s="816" t="s">
        <v>2510</v>
      </c>
    </row>
    <row r="173" spans="2:45" x14ac:dyDescent="0.3">
      <c r="B173" s="717" t="s">
        <v>5660</v>
      </c>
      <c r="C173" s="49"/>
      <c r="D173" s="52"/>
      <c r="E173" s="52"/>
      <c r="F173" s="1379">
        <f>F167*F172</f>
        <v>22.232246187654855</v>
      </c>
      <c r="G173" s="1379">
        <f>G167*G172</f>
        <v>498.61534214633417</v>
      </c>
      <c r="H173" s="1729" t="str">
        <f t="shared" si="88"/>
        <v>gal/event</v>
      </c>
      <c r="I173" s="49"/>
      <c r="J173" s="1379">
        <f>J167*J172</f>
        <v>22.232246187654855</v>
      </c>
      <c r="K173" s="1379">
        <f>K167*K172</f>
        <v>472.3022898736815</v>
      </c>
      <c r="L173" s="1474"/>
      <c r="M173" s="49"/>
      <c r="N173" s="1379">
        <f>N167*N172</f>
        <v>22.087775214045745</v>
      </c>
      <c r="O173" s="1379">
        <f>O167*O172</f>
        <v>485.90477402441837</v>
      </c>
      <c r="P173" s="1474"/>
      <c r="Q173" s="49"/>
      <c r="R173" s="1379">
        <f>R167*R172</f>
        <v>21.954705066100495</v>
      </c>
      <c r="S173" s="1379">
        <f>S167*S172</f>
        <v>498.60491701164131</v>
      </c>
      <c r="T173" s="1474"/>
      <c r="U173" s="49"/>
      <c r="V173" s="1379">
        <f>V167*V172</f>
        <v>21.954705066100495</v>
      </c>
      <c r="W173" s="1379">
        <f>W167*W172</f>
        <v>461.47116908237979</v>
      </c>
      <c r="X173" s="1474"/>
      <c r="Y173" s="49"/>
      <c r="Z173" s="1379">
        <f>Z167*Z172</f>
        <v>21.954705066100495</v>
      </c>
      <c r="AA173" s="1379">
        <f>AA167*AA172</f>
        <v>498.60491701164131</v>
      </c>
      <c r="AB173" s="1474"/>
      <c r="AC173" s="49"/>
      <c r="AD173" s="1379">
        <f>AD167*AD172</f>
        <v>21.874246598786463</v>
      </c>
      <c r="AE173" s="1379">
        <f>AE167*AE172</f>
        <v>430.79441510832015</v>
      </c>
      <c r="AF173" s="29" t="s">
        <v>2489</v>
      </c>
      <c r="AG173" s="1474"/>
      <c r="AH173" s="49"/>
      <c r="AI173" s="1379">
        <f>AI167*AI172</f>
        <v>21.874246598786463</v>
      </c>
      <c r="AJ173" s="1379">
        <f>AJ167*AJ172</f>
        <v>415.05211189180875</v>
      </c>
      <c r="AK173" s="1474"/>
      <c r="AL173" s="49"/>
      <c r="AM173" s="1379">
        <f>AM167*AM172</f>
        <v>21.874246598786506</v>
      </c>
      <c r="AN173" s="1379">
        <f>AN167*AN172</f>
        <v>430.79441510832015</v>
      </c>
      <c r="AO173" s="1474"/>
      <c r="AP173" s="49"/>
      <c r="AQ173" s="1379">
        <f>AQ167*AQ172</f>
        <v>33.777910582141992</v>
      </c>
      <c r="AR173" s="1379">
        <f>AR167*AR172</f>
        <v>227.17269407446076</v>
      </c>
      <c r="AS173" s="29" t="s">
        <v>2489</v>
      </c>
    </row>
    <row r="174" spans="2:45" x14ac:dyDescent="0.3">
      <c r="B174" s="816" t="s">
        <v>5661</v>
      </c>
      <c r="C174" s="49"/>
      <c r="D174" s="52"/>
      <c r="E174" s="52"/>
      <c r="F174" s="1379">
        <f>F173*F151</f>
        <v>44.46449237530971</v>
      </c>
      <c r="G174" s="1379">
        <f>G173*G151</f>
        <v>498.61534214633417</v>
      </c>
      <c r="H174" s="1729" t="str">
        <f t="shared" si="88"/>
        <v>gal/year</v>
      </c>
      <c r="I174" s="49"/>
      <c r="J174" s="1379">
        <f>J173*J151</f>
        <v>44.46449237530971</v>
      </c>
      <c r="K174" s="1379">
        <f>K173*K151</f>
        <v>472.3022898736815</v>
      </c>
      <c r="L174" s="1474"/>
      <c r="M174" s="49"/>
      <c r="N174" s="1379">
        <f>N173*N151</f>
        <v>44.175550428091491</v>
      </c>
      <c r="O174" s="1379">
        <f>O173*O151</f>
        <v>485.90477402441837</v>
      </c>
      <c r="P174" s="1474"/>
      <c r="Q174" s="49"/>
      <c r="R174" s="1379">
        <f>R173*R151</f>
        <v>43.909410132200989</v>
      </c>
      <c r="S174" s="1379">
        <f>S173*S151</f>
        <v>498.60491701164131</v>
      </c>
      <c r="T174" s="1474"/>
      <c r="U174" s="49"/>
      <c r="V174" s="1379">
        <f>V173*V151</f>
        <v>43.909410132200989</v>
      </c>
      <c r="W174" s="1379">
        <f>W173*W151</f>
        <v>461.47116908237979</v>
      </c>
      <c r="X174" s="1474"/>
      <c r="Y174" s="49"/>
      <c r="Z174" s="1379">
        <f>Z173*Z151</f>
        <v>43.909410132200989</v>
      </c>
      <c r="AA174" s="1379">
        <f>AA173*AA151</f>
        <v>498.60491701164131</v>
      </c>
      <c r="AB174" s="1474"/>
      <c r="AC174" s="49"/>
      <c r="AD174" s="1379">
        <f>AD173*AD151</f>
        <v>43.748493197572927</v>
      </c>
      <c r="AE174" s="1379">
        <f>AE173*AE151</f>
        <v>430.79441510832015</v>
      </c>
      <c r="AF174" s="18" t="s">
        <v>2517</v>
      </c>
      <c r="AG174" s="1474"/>
      <c r="AH174" s="49"/>
      <c r="AI174" s="1379">
        <f>AI173*AI151</f>
        <v>43.748493197572927</v>
      </c>
      <c r="AJ174" s="1379">
        <f>AJ173*AJ151</f>
        <v>415.05211189180875</v>
      </c>
      <c r="AK174" s="1474"/>
      <c r="AL174" s="49"/>
      <c r="AM174" s="1379">
        <f>AM173*AM151</f>
        <v>43.748493197573012</v>
      </c>
      <c r="AN174" s="1379">
        <f>AN173*AN151</f>
        <v>430.79441510832015</v>
      </c>
      <c r="AO174" s="1474"/>
      <c r="AP174" s="49"/>
      <c r="AQ174" s="1379">
        <f>AQ173*AQ151</f>
        <v>67.555821164283984</v>
      </c>
      <c r="AR174" s="1379">
        <f>AR173*AR151</f>
        <v>227.17269407446076</v>
      </c>
      <c r="AS174" s="18" t="s">
        <v>2517</v>
      </c>
    </row>
    <row r="175" spans="2:45" x14ac:dyDescent="0.3">
      <c r="B175" s="1507" t="s">
        <v>5662</v>
      </c>
      <c r="C175" s="1405"/>
      <c r="D175" s="1407"/>
      <c r="E175" s="1407"/>
      <c r="F175" s="1410"/>
      <c r="G175" s="1410"/>
      <c r="H175" s="1410"/>
      <c r="I175" s="2189"/>
      <c r="J175" s="1410"/>
      <c r="K175" s="1410"/>
      <c r="L175" s="1406"/>
      <c r="M175" s="2189"/>
      <c r="N175" s="1410"/>
      <c r="O175" s="1410"/>
      <c r="P175" s="1406"/>
      <c r="Q175" s="2189"/>
      <c r="R175" s="1410"/>
      <c r="S175" s="1410"/>
      <c r="T175" s="1406"/>
      <c r="U175" s="2189"/>
      <c r="V175" s="1410"/>
      <c r="W175" s="1410"/>
      <c r="X175" s="1406"/>
      <c r="Y175" s="2189"/>
      <c r="Z175" s="1410"/>
      <c r="AA175" s="1410"/>
      <c r="AB175" s="1406"/>
      <c r="AC175" s="2189"/>
      <c r="AD175" s="1410"/>
      <c r="AE175" s="1410"/>
      <c r="AF175" s="1411"/>
      <c r="AG175" s="1406"/>
      <c r="AH175" s="2189"/>
      <c r="AI175" s="1410"/>
      <c r="AJ175" s="1410"/>
      <c r="AK175" s="1406"/>
      <c r="AL175" s="2189"/>
      <c r="AM175" s="1410"/>
      <c r="AN175" s="1410"/>
      <c r="AO175" s="1406"/>
      <c r="AP175" s="2189"/>
      <c r="AQ175" s="1410"/>
      <c r="AR175" s="1410"/>
      <c r="AS175" s="1411"/>
    </row>
    <row r="176" spans="2:45" x14ac:dyDescent="0.3">
      <c r="B176" s="717" t="s">
        <v>5663</v>
      </c>
      <c r="C176" s="49"/>
      <c r="D176" s="52"/>
      <c r="E176" s="52"/>
      <c r="F176" s="1378">
        <f>UDV.land_application.tanker_pump_power</f>
        <v>180</v>
      </c>
      <c r="G176" s="1378">
        <f>UDV.land_application.tanker_pump_power</f>
        <v>180</v>
      </c>
      <c r="H176" s="1729" t="str">
        <f t="shared" si="88"/>
        <v>PTO hp</v>
      </c>
      <c r="I176" s="49"/>
      <c r="J176" s="1378">
        <f>UDV.land_application.tanker_pump_power</f>
        <v>180</v>
      </c>
      <c r="K176" s="1378">
        <f>UDV.land_application.tanker_pump_power</f>
        <v>180</v>
      </c>
      <c r="L176" s="1474"/>
      <c r="M176" s="49"/>
      <c r="N176" s="1378">
        <f>UDV.land_application.tanker_pump_power</f>
        <v>180</v>
      </c>
      <c r="O176" s="1378">
        <f>UDV.land_application.tanker_pump_power</f>
        <v>180</v>
      </c>
      <c r="P176" s="1474"/>
      <c r="Q176" s="49"/>
      <c r="R176" s="1378">
        <f>UDV.land_application.tanker_pump_power</f>
        <v>180</v>
      </c>
      <c r="S176" s="1378">
        <f>UDV.land_application.tanker_pump_power</f>
        <v>180</v>
      </c>
      <c r="T176" s="1474"/>
      <c r="U176" s="49"/>
      <c r="V176" s="1378">
        <f>UDV.land_application.tanker_pump_power</f>
        <v>180</v>
      </c>
      <c r="W176" s="1378">
        <f>UDV.land_application.tanker_pump_power</f>
        <v>180</v>
      </c>
      <c r="X176" s="1474"/>
      <c r="Y176" s="49"/>
      <c r="Z176" s="1378">
        <f>UDV.land_application.tanker_pump_power</f>
        <v>180</v>
      </c>
      <c r="AA176" s="1378">
        <f>UDV.land_application.tanker_pump_power</f>
        <v>180</v>
      </c>
      <c r="AB176" s="1474"/>
      <c r="AC176" s="49"/>
      <c r="AD176" s="1378">
        <f>UDV.land_application.tanker_pump_power</f>
        <v>180</v>
      </c>
      <c r="AE176" s="1378">
        <f>UDV.land_application.tanker_pump_power</f>
        <v>180</v>
      </c>
      <c r="AF176" s="18" t="s">
        <v>5664</v>
      </c>
      <c r="AG176" s="1474"/>
      <c r="AH176" s="49"/>
      <c r="AI176" s="1378">
        <f>UDV.land_application.tanker_pump_power</f>
        <v>180</v>
      </c>
      <c r="AJ176" s="1378">
        <f>UDV.land_application.tanker_pump_power</f>
        <v>180</v>
      </c>
      <c r="AK176" s="1474"/>
      <c r="AL176" s="49"/>
      <c r="AM176" s="1378">
        <f>UDV.land_application.tanker_pump_power</f>
        <v>180</v>
      </c>
      <c r="AN176" s="1378">
        <f>UDV.land_application.tanker_pump_power</f>
        <v>180</v>
      </c>
      <c r="AO176" s="1474"/>
      <c r="AP176" s="49"/>
      <c r="AQ176" s="1378">
        <f>UDV.land_application.tanker_pump_power</f>
        <v>180</v>
      </c>
      <c r="AR176" s="1378">
        <f>UDV.land_application.tanker_pump_power</f>
        <v>180</v>
      </c>
      <c r="AS176" s="18" t="s">
        <v>5664</v>
      </c>
    </row>
    <row r="177" spans="2:45" x14ac:dyDescent="0.3">
      <c r="B177" s="510" t="s">
        <v>5665</v>
      </c>
      <c r="C177" s="49"/>
      <c r="D177" s="52"/>
      <c r="E177" s="52"/>
      <c r="F177" s="1346">
        <f>UDV.land_application.storage_pump_max_time</f>
        <v>12</v>
      </c>
      <c r="G177" s="1378">
        <f>UDV.land_application.storage_pump_max_time</f>
        <v>12</v>
      </c>
      <c r="H177" s="1729" t="str">
        <f t="shared" si="88"/>
        <v>hr/day</v>
      </c>
      <c r="I177" s="49"/>
      <c r="J177" s="1346">
        <f>UDV.land_application.storage_pump_max_time</f>
        <v>12</v>
      </c>
      <c r="K177" s="1378">
        <f>UDV.land_application.storage_pump_max_time</f>
        <v>12</v>
      </c>
      <c r="L177" s="1474"/>
      <c r="M177" s="49"/>
      <c r="N177" s="1346">
        <f>UDV.land_application.storage_pump_max_time</f>
        <v>12</v>
      </c>
      <c r="O177" s="1378">
        <f>UDV.land_application.storage_pump_max_time</f>
        <v>12</v>
      </c>
      <c r="P177" s="1474"/>
      <c r="Q177" s="49"/>
      <c r="R177" s="1346">
        <f>UDV.land_application.storage_pump_max_time</f>
        <v>12</v>
      </c>
      <c r="S177" s="1378">
        <f>UDV.land_application.storage_pump_max_time</f>
        <v>12</v>
      </c>
      <c r="T177" s="1474"/>
      <c r="U177" s="49"/>
      <c r="V177" s="1346">
        <f>UDV.land_application.storage_pump_max_time</f>
        <v>12</v>
      </c>
      <c r="W177" s="1378">
        <f>UDV.land_application.storage_pump_max_time</f>
        <v>12</v>
      </c>
      <c r="X177" s="1474"/>
      <c r="Y177" s="49"/>
      <c r="Z177" s="1346">
        <f>UDV.land_application.storage_pump_max_time</f>
        <v>12</v>
      </c>
      <c r="AA177" s="1378">
        <f>UDV.land_application.storage_pump_max_time</f>
        <v>12</v>
      </c>
      <c r="AB177" s="1474"/>
      <c r="AC177" s="49"/>
      <c r="AD177" s="1346">
        <f>UDV.land_application.storage_pump_max_time</f>
        <v>12</v>
      </c>
      <c r="AE177" s="1378">
        <f>UDV.land_application.storage_pump_max_time</f>
        <v>12</v>
      </c>
      <c r="AF177" s="18" t="s">
        <v>2471</v>
      </c>
      <c r="AG177" s="1474"/>
      <c r="AH177" s="49"/>
      <c r="AI177" s="1346">
        <f>UDV.land_application.storage_pump_max_time</f>
        <v>12</v>
      </c>
      <c r="AJ177" s="1378">
        <f>UDV.land_application.storage_pump_max_time</f>
        <v>12</v>
      </c>
      <c r="AK177" s="1474"/>
      <c r="AL177" s="49"/>
      <c r="AM177" s="1346">
        <f>UDV.land_application.storage_pump_max_time</f>
        <v>12</v>
      </c>
      <c r="AN177" s="1378">
        <f>UDV.land_application.storage_pump_max_time</f>
        <v>12</v>
      </c>
      <c r="AO177" s="1474"/>
      <c r="AP177" s="49"/>
      <c r="AQ177" s="1346">
        <f>UDV.land_application.storage_pump_max_time</f>
        <v>12</v>
      </c>
      <c r="AR177" s="1378">
        <f>UDV.land_application.storage_pump_max_time</f>
        <v>12</v>
      </c>
      <c r="AS177" s="18" t="s">
        <v>2471</v>
      </c>
    </row>
    <row r="178" spans="2:45" x14ac:dyDescent="0.3">
      <c r="B178" s="816" t="s">
        <v>5666</v>
      </c>
      <c r="C178" s="49"/>
      <c r="D178" s="52"/>
      <c r="E178" s="52"/>
      <c r="F178" s="1384">
        <f>UDV.tractor.fuel_efficiency*F176</f>
        <v>7.92</v>
      </c>
      <c r="G178" s="1384">
        <f>UDV.tractor.fuel_efficiency*G176</f>
        <v>7.92</v>
      </c>
      <c r="H178" s="1729" t="str">
        <f t="shared" si="88"/>
        <v>gal/hr</v>
      </c>
      <c r="I178" s="49"/>
      <c r="J178" s="1384">
        <f>UDV.tractor.fuel_efficiency*J176</f>
        <v>7.92</v>
      </c>
      <c r="K178" s="1384">
        <f>UDV.tractor.fuel_efficiency*K176</f>
        <v>7.92</v>
      </c>
      <c r="L178" s="1474"/>
      <c r="M178" s="49"/>
      <c r="N178" s="1384">
        <f>UDV.tractor.fuel_efficiency*N176</f>
        <v>7.92</v>
      </c>
      <c r="O178" s="1384">
        <f>UDV.tractor.fuel_efficiency*O176</f>
        <v>7.92</v>
      </c>
      <c r="P178" s="1474"/>
      <c r="Q178" s="49"/>
      <c r="R178" s="1384">
        <f>UDV.tractor.fuel_efficiency*R176</f>
        <v>7.92</v>
      </c>
      <c r="S178" s="1384">
        <f>UDV.tractor.fuel_efficiency*S176</f>
        <v>7.92</v>
      </c>
      <c r="T178" s="1474"/>
      <c r="U178" s="49"/>
      <c r="V178" s="1384">
        <f>UDV.tractor.fuel_efficiency*V176</f>
        <v>7.92</v>
      </c>
      <c r="W178" s="1384">
        <f>UDV.tractor.fuel_efficiency*W176</f>
        <v>7.92</v>
      </c>
      <c r="X178" s="1474"/>
      <c r="Y178" s="49"/>
      <c r="Z178" s="1384">
        <f>UDV.tractor.fuel_efficiency*Z176</f>
        <v>7.92</v>
      </c>
      <c r="AA178" s="1384">
        <f>UDV.tractor.fuel_efficiency*AA176</f>
        <v>7.92</v>
      </c>
      <c r="AB178" s="1474"/>
      <c r="AC178" s="49"/>
      <c r="AD178" s="1384">
        <f>UDV.tractor.fuel_efficiency*AD176</f>
        <v>7.92</v>
      </c>
      <c r="AE178" s="1384">
        <f>UDV.tractor.fuel_efficiency*AE176</f>
        <v>7.92</v>
      </c>
      <c r="AF178" s="29" t="s">
        <v>2510</v>
      </c>
      <c r="AG178" s="1474"/>
      <c r="AH178" s="49"/>
      <c r="AI178" s="1384">
        <f>UDV.tractor.fuel_efficiency*AI176</f>
        <v>7.92</v>
      </c>
      <c r="AJ178" s="1384">
        <f>UDV.tractor.fuel_efficiency*AJ176</f>
        <v>7.92</v>
      </c>
      <c r="AK178" s="1474"/>
      <c r="AL178" s="49"/>
      <c r="AM178" s="1384">
        <f>UDV.tractor.fuel_efficiency*AM176</f>
        <v>7.92</v>
      </c>
      <c r="AN178" s="1384">
        <f>UDV.tractor.fuel_efficiency*AN176</f>
        <v>7.92</v>
      </c>
      <c r="AO178" s="1474"/>
      <c r="AP178" s="49"/>
      <c r="AQ178" s="1384">
        <f>UDV.tractor.fuel_efficiency*AQ176</f>
        <v>7.92</v>
      </c>
      <c r="AR178" s="1384">
        <f>UDV.tractor.fuel_efficiency*AR176</f>
        <v>7.92</v>
      </c>
      <c r="AS178" s="29" t="s">
        <v>2510</v>
      </c>
    </row>
    <row r="179" spans="2:45" x14ac:dyDescent="0.3">
      <c r="B179" s="717" t="s">
        <v>5667</v>
      </c>
      <c r="C179" s="49"/>
      <c r="D179" s="52"/>
      <c r="E179" s="52"/>
      <c r="F179" s="1395">
        <f>F142/F157/UC.hour_to_min</f>
        <v>0.26442236536853042</v>
      </c>
      <c r="G179" s="1395">
        <f>G142/G157/UC.hour_to_min</f>
        <v>5.9303521140650117</v>
      </c>
      <c r="H179" s="1729" t="str">
        <f t="shared" si="88"/>
        <v>hr/event</v>
      </c>
      <c r="I179" s="49"/>
      <c r="J179" s="1395">
        <f>J142/J157/UC.hour_to_min</f>
        <v>0.26442236536853042</v>
      </c>
      <c r="K179" s="1395">
        <f>K142/K157/UC.hour_to_min</f>
        <v>5.6173941041872641</v>
      </c>
      <c r="L179" s="1474"/>
      <c r="M179" s="49"/>
      <c r="N179" s="1395">
        <f>N142/N157/UC.hour_to_min</f>
        <v>0.26270407940469342</v>
      </c>
      <c r="O179" s="1395">
        <f>O142/O157/UC.hour_to_min</f>
        <v>5.7791771738630144</v>
      </c>
      <c r="P179" s="1474"/>
      <c r="Q179" s="49"/>
      <c r="R179" s="1395">
        <f>R142/R157/UC.hour_to_min</f>
        <v>0.261121390773836</v>
      </c>
      <c r="S179" s="1395">
        <f>S142/S157/UC.hour_to_min</f>
        <v>5.9302281212506323</v>
      </c>
      <c r="T179" s="1474"/>
      <c r="U179" s="49"/>
      <c r="V179" s="1395">
        <f>V142/V157/UC.hour_to_min</f>
        <v>0.261121390773836</v>
      </c>
      <c r="W179" s="1395">
        <f>W142/W157/UC.hour_to_min</f>
        <v>5.4885726367091552</v>
      </c>
      <c r="X179" s="1474"/>
      <c r="Y179" s="49"/>
      <c r="Z179" s="1395">
        <f>Z142/Z157/UC.hour_to_min</f>
        <v>0.261121390773836</v>
      </c>
      <c r="AA179" s="1395">
        <f>AA142/AA157/UC.hour_to_min</f>
        <v>5.9302281212506323</v>
      </c>
      <c r="AB179" s="1474"/>
      <c r="AC179" s="49"/>
      <c r="AD179" s="1395">
        <f>AD142/AD157/UC.hour_to_min</f>
        <v>0.26016444660987137</v>
      </c>
      <c r="AE179" s="1395">
        <f>AE142/AE157/UC.hour_to_min</f>
        <v>5.1237143232854079</v>
      </c>
      <c r="AF179" s="18" t="s">
        <v>2462</v>
      </c>
      <c r="AG179" s="1474"/>
      <c r="AH179" s="49"/>
      <c r="AI179" s="1395">
        <f>AI142/AI157/UC.hour_to_min</f>
        <v>0.26016444660987137</v>
      </c>
      <c r="AJ179" s="1395">
        <f>AJ142/AJ157/UC.hour_to_min</f>
        <v>4.936481012817211</v>
      </c>
      <c r="AK179" s="1474"/>
      <c r="AL179" s="49"/>
      <c r="AM179" s="1395">
        <f>AM142/AM157/UC.hour_to_min</f>
        <v>0.26016444660987187</v>
      </c>
      <c r="AN179" s="1395">
        <f>AN142/AN157/UC.hour_to_min</f>
        <v>5.1237143232854079</v>
      </c>
      <c r="AO179" s="1474"/>
      <c r="AP179" s="49"/>
      <c r="AQ179" s="1395">
        <f>AQ142/AQ157/UC.hour_to_min</f>
        <v>0.40174235828210048</v>
      </c>
      <c r="AR179" s="1395">
        <f>AR142/AR157/UC.hour_to_min</f>
        <v>2.7019105765240186</v>
      </c>
      <c r="AS179" s="18" t="s">
        <v>2462</v>
      </c>
    </row>
    <row r="180" spans="2:45" x14ac:dyDescent="0.3">
      <c r="B180" s="1516" t="s">
        <v>5668</v>
      </c>
      <c r="C180" s="49"/>
      <c r="D180" s="52"/>
      <c r="E180" s="52"/>
      <c r="F180" s="1399">
        <f>F151*F179/F145</f>
        <v>1.0576894614741216E-2</v>
      </c>
      <c r="G180" s="1395">
        <f>G151*G179/G145</f>
        <v>0.39535680760433412</v>
      </c>
      <c r="H180" s="1729" t="str">
        <f t="shared" si="88"/>
        <v>hr/day</v>
      </c>
      <c r="I180" s="49"/>
      <c r="J180" s="1399">
        <f>J151*J179/J145</f>
        <v>1.0576894614741216E-2</v>
      </c>
      <c r="K180" s="1395">
        <f>K151*K179/K145</f>
        <v>0.37449294027915092</v>
      </c>
      <c r="L180" s="1474"/>
      <c r="M180" s="49"/>
      <c r="N180" s="1399">
        <f>N151*N179/N145</f>
        <v>1.0508163176187737E-2</v>
      </c>
      <c r="O180" s="1395">
        <f>O151*O179/O145</f>
        <v>0.38527847825753431</v>
      </c>
      <c r="P180" s="1474"/>
      <c r="Q180" s="49"/>
      <c r="R180" s="1399">
        <f>R151*R179/R145</f>
        <v>1.044485563095344E-2</v>
      </c>
      <c r="S180" s="1395">
        <f>S151*S179/S145</f>
        <v>0.39534854141670883</v>
      </c>
      <c r="T180" s="1474"/>
      <c r="U180" s="49"/>
      <c r="V180" s="1399">
        <f>V151*V179/V145</f>
        <v>1.044485563095344E-2</v>
      </c>
      <c r="W180" s="1395">
        <f>W151*W179/W145</f>
        <v>0.365904842447277</v>
      </c>
      <c r="X180" s="1474"/>
      <c r="Y180" s="49"/>
      <c r="Z180" s="1399">
        <f>Z151*Z179/Z145</f>
        <v>1.044485563095344E-2</v>
      </c>
      <c r="AA180" s="1395">
        <f>AA151*AA179/AA145</f>
        <v>0.39534854141670883</v>
      </c>
      <c r="AB180" s="1474"/>
      <c r="AC180" s="49"/>
      <c r="AD180" s="1399">
        <f>AD151*AD179/AD145</f>
        <v>1.0406577864394854E-2</v>
      </c>
      <c r="AE180" s="1395">
        <f>AE151*AE179/AE145</f>
        <v>0.34158095488569384</v>
      </c>
      <c r="AF180" s="18" t="s">
        <v>2471</v>
      </c>
      <c r="AG180" s="1474"/>
      <c r="AH180" s="49"/>
      <c r="AI180" s="1399">
        <f>AI151*AI179/AI145</f>
        <v>1.0406577864394854E-2</v>
      </c>
      <c r="AJ180" s="1395">
        <f>AJ151*AJ179/AJ145</f>
        <v>0.32909873418781405</v>
      </c>
      <c r="AK180" s="1474"/>
      <c r="AL180" s="49"/>
      <c r="AM180" s="1399">
        <f>AM151*AM179/AM145</f>
        <v>1.0406577864394875E-2</v>
      </c>
      <c r="AN180" s="1395">
        <f>AN151*AN179/AN145</f>
        <v>0.34158095488569384</v>
      </c>
      <c r="AO180" s="1474"/>
      <c r="AP180" s="49"/>
      <c r="AQ180" s="1399">
        <f>AQ151*AQ179/AQ145</f>
        <v>1.606969433128402E-2</v>
      </c>
      <c r="AR180" s="1395">
        <f>AR151*AR179/AR145</f>
        <v>0.1801273717682679</v>
      </c>
      <c r="AS180" s="18" t="s">
        <v>2471</v>
      </c>
    </row>
    <row r="181" spans="2:45" x14ac:dyDescent="0.3">
      <c r="B181" s="717" t="s">
        <v>5669</v>
      </c>
      <c r="C181" s="49"/>
      <c r="D181" s="52"/>
      <c r="E181" s="52"/>
      <c r="F181" s="1085">
        <f>ROUNDUP(F180/F177,0)</f>
        <v>1</v>
      </c>
      <c r="G181" s="1384">
        <f>ROUNDUP(G180/G177,0)</f>
        <v>1</v>
      </c>
      <c r="H181" s="1729" t="str">
        <f t="shared" si="88"/>
        <v>quantity</v>
      </c>
      <c r="I181" s="49"/>
      <c r="J181" s="1085">
        <f>ROUNDUP(J180/J177,0)</f>
        <v>1</v>
      </c>
      <c r="K181" s="1384">
        <f>ROUNDUP(K180/K177,0)</f>
        <v>1</v>
      </c>
      <c r="L181" s="1474"/>
      <c r="M181" s="49"/>
      <c r="N181" s="1085">
        <f>ROUNDUP(N180/N177,0)</f>
        <v>1</v>
      </c>
      <c r="O181" s="1384">
        <f>ROUNDUP(O180/O177,0)</f>
        <v>1</v>
      </c>
      <c r="P181" s="1474"/>
      <c r="Q181" s="49"/>
      <c r="R181" s="1085">
        <f>ROUNDUP(R180/R177,0)</f>
        <v>1</v>
      </c>
      <c r="S181" s="1384">
        <f>ROUNDUP(S180/S177,0)</f>
        <v>1</v>
      </c>
      <c r="T181" s="1474"/>
      <c r="U181" s="49"/>
      <c r="V181" s="1085">
        <f>ROUNDUP(V180/V177,0)</f>
        <v>1</v>
      </c>
      <c r="W181" s="1384">
        <f>ROUNDUP(W180/W177,0)</f>
        <v>1</v>
      </c>
      <c r="X181" s="1474"/>
      <c r="Y181" s="49"/>
      <c r="Z181" s="1085">
        <f>ROUNDUP(Z180/Z177,0)</f>
        <v>1</v>
      </c>
      <c r="AA181" s="1384">
        <f>ROUNDUP(AA180/AA177,0)</f>
        <v>1</v>
      </c>
      <c r="AB181" s="1474"/>
      <c r="AC181" s="49"/>
      <c r="AD181" s="1085">
        <f>ROUNDUP(AD180/AD177,0)</f>
        <v>1</v>
      </c>
      <c r="AE181" s="1384">
        <f>ROUNDUP(AE180/AE177,0)</f>
        <v>1</v>
      </c>
      <c r="AF181" s="18" t="s">
        <v>2442</v>
      </c>
      <c r="AG181" s="1474"/>
      <c r="AH181" s="49"/>
      <c r="AI181" s="1085">
        <f>ROUNDUP(AI180/AI177,0)</f>
        <v>1</v>
      </c>
      <c r="AJ181" s="1384">
        <f>ROUNDUP(AJ180/AJ177,0)</f>
        <v>1</v>
      </c>
      <c r="AK181" s="1474"/>
      <c r="AL181" s="49"/>
      <c r="AM181" s="1085">
        <f>ROUNDUP(AM180/AM177,0)</f>
        <v>1</v>
      </c>
      <c r="AN181" s="1384">
        <f>ROUNDUP(AN180/AN177,0)</f>
        <v>1</v>
      </c>
      <c r="AO181" s="1474"/>
      <c r="AP181" s="49"/>
      <c r="AQ181" s="1085">
        <f>ROUNDUP(AQ180/AQ177,0)</f>
        <v>1</v>
      </c>
      <c r="AR181" s="1384">
        <f>ROUNDUP(AR180/AR177,0)</f>
        <v>1</v>
      </c>
      <c r="AS181" s="18" t="s">
        <v>2442</v>
      </c>
    </row>
    <row r="182" spans="2:45" x14ac:dyDescent="0.3">
      <c r="B182" s="510" t="s">
        <v>6396</v>
      </c>
      <c r="C182" s="49"/>
      <c r="D182" s="52"/>
      <c r="E182" s="52"/>
      <c r="F182" s="1526">
        <f>F179/UC.day_to_hour</f>
        <v>1.10175985570221E-2</v>
      </c>
      <c r="G182" s="1518">
        <f>G179/G177</f>
        <v>0.49419600950541764</v>
      </c>
      <c r="H182" s="1729" t="str">
        <f t="shared" si="88"/>
        <v>day/event</v>
      </c>
      <c r="I182" s="49"/>
      <c r="J182" s="1526">
        <f>J179/UC.day_to_hour</f>
        <v>1.10175985570221E-2</v>
      </c>
      <c r="K182" s="1518">
        <f>K179/K177</f>
        <v>0.46811617534893868</v>
      </c>
      <c r="L182" s="1474"/>
      <c r="M182" s="49"/>
      <c r="N182" s="1526">
        <f>N179/UC.day_to_hour</f>
        <v>1.0946003308528893E-2</v>
      </c>
      <c r="O182" s="1518">
        <f>O179/O177</f>
        <v>0.48159809782191787</v>
      </c>
      <c r="P182" s="1474"/>
      <c r="Q182" s="49"/>
      <c r="R182" s="1526">
        <f>R179/UC.day_to_hour</f>
        <v>1.0880057948909833E-2</v>
      </c>
      <c r="S182" s="1518">
        <f>S179/S177</f>
        <v>0.49418567677088604</v>
      </c>
      <c r="T182" s="1474"/>
      <c r="U182" s="49"/>
      <c r="V182" s="1526">
        <f>V179/UC.day_to_hour</f>
        <v>1.0880057948909833E-2</v>
      </c>
      <c r="W182" s="1518">
        <f>W179/W177</f>
        <v>0.45738105305909627</v>
      </c>
      <c r="X182" s="1474"/>
      <c r="Y182" s="49"/>
      <c r="Z182" s="1526">
        <f>Z179/UC.day_to_hour</f>
        <v>1.0880057948909833E-2</v>
      </c>
      <c r="AA182" s="1518">
        <f>AA179/AA177</f>
        <v>0.49418567677088604</v>
      </c>
      <c r="AB182" s="1474"/>
      <c r="AC182" s="49"/>
      <c r="AD182" s="1526">
        <f>AD179/UC.day_to_hour</f>
        <v>1.0840185275411307E-2</v>
      </c>
      <c r="AE182" s="1518">
        <f>AE179/AE177</f>
        <v>0.4269761936071173</v>
      </c>
      <c r="AF182" s="18" t="s">
        <v>5671</v>
      </c>
      <c r="AG182" s="1474"/>
      <c r="AH182" s="49"/>
      <c r="AI182" s="1526">
        <f>AI179/UC.day_to_hour</f>
        <v>1.0840185275411307E-2</v>
      </c>
      <c r="AJ182" s="1518">
        <f>AJ179/AJ177</f>
        <v>0.4113734177347676</v>
      </c>
      <c r="AK182" s="1474"/>
      <c r="AL182" s="49"/>
      <c r="AM182" s="1526">
        <f>AM179/UC.day_to_hour</f>
        <v>1.0840185275411328E-2</v>
      </c>
      <c r="AN182" s="1518">
        <f>AN179/AN177</f>
        <v>0.4269761936071173</v>
      </c>
      <c r="AO182" s="1474"/>
      <c r="AP182" s="49"/>
      <c r="AQ182" s="1526">
        <f>AQ179/UC.day_to_hour</f>
        <v>1.6739264928420854E-2</v>
      </c>
      <c r="AR182" s="1518">
        <f>AR179/AR177</f>
        <v>0.22515921471033487</v>
      </c>
      <c r="AS182" s="18" t="s">
        <v>5671</v>
      </c>
    </row>
    <row r="183" spans="2:45" x14ac:dyDescent="0.3">
      <c r="B183" s="717" t="s">
        <v>5672</v>
      </c>
      <c r="C183" s="49"/>
      <c r="D183" s="52"/>
      <c r="E183" s="52"/>
      <c r="F183" s="1379">
        <f>F179*F178</f>
        <v>2.0942251337187607</v>
      </c>
      <c r="G183" s="1379">
        <f>G179*G178</f>
        <v>46.96838874339489</v>
      </c>
      <c r="H183" s="1729" t="str">
        <f t="shared" si="88"/>
        <v>gal/event</v>
      </c>
      <c r="I183" s="49"/>
      <c r="J183" s="1379">
        <f>J179*J178</f>
        <v>2.0942251337187607</v>
      </c>
      <c r="K183" s="1379">
        <f>K179*K178</f>
        <v>44.489761305163128</v>
      </c>
      <c r="L183" s="1474"/>
      <c r="M183" s="49"/>
      <c r="N183" s="1379">
        <f>N179*N178</f>
        <v>2.0806163088851717</v>
      </c>
      <c r="O183" s="1379">
        <f>O179*O178</f>
        <v>45.771083216995073</v>
      </c>
      <c r="P183" s="1474"/>
      <c r="Q183" s="49"/>
      <c r="R183" s="1379">
        <f>R179*R178</f>
        <v>2.0680814149287809</v>
      </c>
      <c r="S183" s="1379">
        <f>S179*S178</f>
        <v>46.967406720305007</v>
      </c>
      <c r="T183" s="1474"/>
      <c r="U183" s="49"/>
      <c r="V183" s="1379">
        <f>V179*V178</f>
        <v>2.0680814149287809</v>
      </c>
      <c r="W183" s="1379">
        <f>W179*W178</f>
        <v>43.46949528273651</v>
      </c>
      <c r="X183" s="1474"/>
      <c r="Y183" s="49"/>
      <c r="Z183" s="1379">
        <f>Z179*Z178</f>
        <v>2.0680814149287809</v>
      </c>
      <c r="AA183" s="1379">
        <f>AA179*AA178</f>
        <v>46.967406720305007</v>
      </c>
      <c r="AB183" s="1474"/>
      <c r="AC183" s="49"/>
      <c r="AD183" s="1379">
        <f>AD179*AD178</f>
        <v>2.0605024171501811</v>
      </c>
      <c r="AE183" s="1379">
        <f>AE179*AE178</f>
        <v>40.579817440420427</v>
      </c>
      <c r="AF183" s="29" t="s">
        <v>2489</v>
      </c>
      <c r="AG183" s="1474"/>
      <c r="AH183" s="49"/>
      <c r="AI183" s="1379">
        <f>AI179*AI178</f>
        <v>2.0605024171501811</v>
      </c>
      <c r="AJ183" s="1379">
        <f>AJ179*AJ178</f>
        <v>39.096929621512309</v>
      </c>
      <c r="AK183" s="1474"/>
      <c r="AL183" s="49"/>
      <c r="AM183" s="1379">
        <f>AM179*AM178</f>
        <v>2.0605024171501851</v>
      </c>
      <c r="AN183" s="1379">
        <f>AN179*AN178</f>
        <v>40.579817440420427</v>
      </c>
      <c r="AO183" s="1474"/>
      <c r="AP183" s="49"/>
      <c r="AQ183" s="1379">
        <f>AQ179*AQ178</f>
        <v>3.1817994775942355</v>
      </c>
      <c r="AR183" s="1379">
        <f>AR179*AR178</f>
        <v>21.399131766070226</v>
      </c>
      <c r="AS183" s="29" t="s">
        <v>2489</v>
      </c>
    </row>
    <row r="184" spans="2:45" x14ac:dyDescent="0.3">
      <c r="B184" s="816" t="s">
        <v>5673</v>
      </c>
      <c r="C184" s="49"/>
      <c r="D184" s="52"/>
      <c r="E184" s="52"/>
      <c r="F184" s="1379">
        <f>F151*F183</f>
        <v>4.1884502674375215</v>
      </c>
      <c r="G184" s="1379">
        <f>G151*G183</f>
        <v>46.96838874339489</v>
      </c>
      <c r="H184" s="1729" t="str">
        <f t="shared" si="88"/>
        <v>gal/year</v>
      </c>
      <c r="I184" s="49"/>
      <c r="J184" s="1379">
        <f>J151*J183</f>
        <v>4.1884502674375215</v>
      </c>
      <c r="K184" s="1379">
        <f>K151*K183</f>
        <v>44.489761305163128</v>
      </c>
      <c r="L184" s="1474"/>
      <c r="M184" s="49"/>
      <c r="N184" s="1379">
        <f>N151*N183</f>
        <v>4.1612326177703434</v>
      </c>
      <c r="O184" s="1379">
        <f>O151*O183</f>
        <v>45.771083216995073</v>
      </c>
      <c r="P184" s="1474"/>
      <c r="Q184" s="49"/>
      <c r="R184" s="1379">
        <f>R151*R183</f>
        <v>4.1361628298575619</v>
      </c>
      <c r="S184" s="1379">
        <f>S151*S183</f>
        <v>46.967406720305007</v>
      </c>
      <c r="T184" s="1474"/>
      <c r="U184" s="49"/>
      <c r="V184" s="1379">
        <f>V151*V183</f>
        <v>4.1361628298575619</v>
      </c>
      <c r="W184" s="1379">
        <f>W151*W183</f>
        <v>43.46949528273651</v>
      </c>
      <c r="X184" s="1474"/>
      <c r="Y184" s="49"/>
      <c r="Z184" s="1379">
        <f>Z151*Z183</f>
        <v>4.1361628298575619</v>
      </c>
      <c r="AA184" s="1379">
        <f>AA151*AA183</f>
        <v>46.967406720305007</v>
      </c>
      <c r="AB184" s="1474"/>
      <c r="AC184" s="49"/>
      <c r="AD184" s="1379">
        <f>AD151*AD183</f>
        <v>4.1210048343003622</v>
      </c>
      <c r="AE184" s="1379">
        <f>AE151*AE183</f>
        <v>40.579817440420427</v>
      </c>
      <c r="AF184" s="18" t="s">
        <v>2517</v>
      </c>
      <c r="AG184" s="1474"/>
      <c r="AH184" s="49"/>
      <c r="AI184" s="1379">
        <f>AI151*AI183</f>
        <v>4.1210048343003622</v>
      </c>
      <c r="AJ184" s="1379">
        <f>AJ151*AJ183</f>
        <v>39.096929621512309</v>
      </c>
      <c r="AK184" s="1474"/>
      <c r="AL184" s="49"/>
      <c r="AM184" s="1379">
        <f>AM151*AM183</f>
        <v>4.1210048343003702</v>
      </c>
      <c r="AN184" s="1379">
        <f>AN151*AN183</f>
        <v>40.579817440420427</v>
      </c>
      <c r="AO184" s="1474"/>
      <c r="AP184" s="49"/>
      <c r="AQ184" s="1379">
        <f>AQ151*AQ183</f>
        <v>6.3635989551884711</v>
      </c>
      <c r="AR184" s="1379">
        <f>AR151*AR183</f>
        <v>21.399131766070226</v>
      </c>
      <c r="AS184" s="18" t="s">
        <v>2517</v>
      </c>
    </row>
    <row r="185" spans="2:45" x14ac:dyDescent="0.3">
      <c r="B185" s="1507" t="s">
        <v>5674</v>
      </c>
      <c r="C185" s="1406"/>
      <c r="D185" s="1407"/>
      <c r="E185" s="1407"/>
      <c r="F185" s="1410"/>
      <c r="G185" s="1410"/>
      <c r="H185" s="1410"/>
      <c r="I185" s="2189"/>
      <c r="J185" s="1410"/>
      <c r="K185" s="1410"/>
      <c r="L185" s="1406"/>
      <c r="M185" s="2189"/>
      <c r="N185" s="1410"/>
      <c r="O185" s="1410"/>
      <c r="P185" s="1406"/>
      <c r="Q185" s="2189"/>
      <c r="R185" s="1410"/>
      <c r="S185" s="1410"/>
      <c r="T185" s="1406"/>
      <c r="U185" s="2189"/>
      <c r="V185" s="1410"/>
      <c r="W185" s="1410"/>
      <c r="X185" s="1406"/>
      <c r="Y185" s="2189"/>
      <c r="Z185" s="1410"/>
      <c r="AA185" s="1410"/>
      <c r="AB185" s="1406"/>
      <c r="AC185" s="2189"/>
      <c r="AD185" s="1410"/>
      <c r="AE185" s="1410"/>
      <c r="AF185" s="1411"/>
      <c r="AG185" s="1406"/>
      <c r="AH185" s="2189"/>
      <c r="AI185" s="1410"/>
      <c r="AJ185" s="1410"/>
      <c r="AK185" s="1406"/>
      <c r="AL185" s="2189"/>
      <c r="AM185" s="1410"/>
      <c r="AN185" s="1410"/>
      <c r="AO185" s="1406"/>
      <c r="AP185" s="2189"/>
      <c r="AQ185" s="1410"/>
      <c r="AR185" s="1410"/>
      <c r="AS185" s="1411"/>
    </row>
    <row r="186" spans="2:45" x14ac:dyDescent="0.3">
      <c r="B186" s="1376" t="s">
        <v>5676</v>
      </c>
      <c r="C186" s="49"/>
      <c r="D186" s="52"/>
      <c r="E186" s="52"/>
      <c r="F186" s="1378">
        <f>UDV.land_application.agitation_tractor_power</f>
        <v>160</v>
      </c>
      <c r="G186" s="1378">
        <f>UDV.land_application.agitation_tractor_power</f>
        <v>160</v>
      </c>
      <c r="H186" s="1729" t="str">
        <f t="shared" si="88"/>
        <v>PTO HP</v>
      </c>
      <c r="I186" s="49"/>
      <c r="J186" s="1378">
        <f>UDV.land_application.agitation_tractor_power</f>
        <v>160</v>
      </c>
      <c r="K186" s="1378">
        <f>UDV.land_application.agitation_tractor_power</f>
        <v>160</v>
      </c>
      <c r="L186" s="1474"/>
      <c r="M186" s="49"/>
      <c r="N186" s="1378">
        <f>UDV.land_application.agitation_tractor_power</f>
        <v>160</v>
      </c>
      <c r="O186" s="1378">
        <f>UDV.land_application.agitation_tractor_power</f>
        <v>160</v>
      </c>
      <c r="P186" s="1474"/>
      <c r="Q186" s="49"/>
      <c r="R186" s="1378">
        <f>UDV.land_application.agitation_tractor_power</f>
        <v>160</v>
      </c>
      <c r="S186" s="1378">
        <f>UDV.land_application.agitation_tractor_power</f>
        <v>160</v>
      </c>
      <c r="T186" s="1474"/>
      <c r="U186" s="49"/>
      <c r="V186" s="1378">
        <f>UDV.land_application.agitation_tractor_power</f>
        <v>160</v>
      </c>
      <c r="W186" s="1378">
        <f>UDV.land_application.agitation_tractor_power</f>
        <v>160</v>
      </c>
      <c r="X186" s="1474"/>
      <c r="Y186" s="49"/>
      <c r="Z186" s="1378">
        <f>UDV.land_application.agitation_tractor_power</f>
        <v>160</v>
      </c>
      <c r="AA186" s="1378">
        <f>UDV.land_application.agitation_tractor_power</f>
        <v>160</v>
      </c>
      <c r="AB186" s="1474"/>
      <c r="AC186" s="49"/>
      <c r="AD186" s="1378">
        <f>UDV.land_application.agitation_tractor_power</f>
        <v>160</v>
      </c>
      <c r="AE186" s="1378">
        <f>UDV.land_application.agitation_tractor_power</f>
        <v>160</v>
      </c>
      <c r="AF186" s="29" t="s">
        <v>5639</v>
      </c>
      <c r="AG186" s="1474"/>
      <c r="AH186" s="49"/>
      <c r="AI186" s="1378">
        <f>UDV.land_application.agitation_tractor_power</f>
        <v>160</v>
      </c>
      <c r="AJ186" s="1378">
        <f>UDV.land_application.agitation_tractor_power</f>
        <v>160</v>
      </c>
      <c r="AK186" s="1474"/>
      <c r="AL186" s="49"/>
      <c r="AM186" s="1378">
        <f>UDV.land_application.agitation_tractor_power</f>
        <v>160</v>
      </c>
      <c r="AN186" s="1378">
        <f>UDV.land_application.agitation_tractor_power</f>
        <v>160</v>
      </c>
      <c r="AO186" s="1474"/>
      <c r="AP186" s="49"/>
      <c r="AQ186" s="1378">
        <f>UDV.land_application.agitation_tractor_power</f>
        <v>160</v>
      </c>
      <c r="AR186" s="1378">
        <f>UDV.land_application.agitation_tractor_power</f>
        <v>160</v>
      </c>
      <c r="AS186" s="29" t="s">
        <v>5639</v>
      </c>
    </row>
    <row r="187" spans="2:45" x14ac:dyDescent="0.3">
      <c r="B187" s="29" t="s">
        <v>5677</v>
      </c>
      <c r="C187" s="49"/>
      <c r="D187" s="52"/>
      <c r="E187" s="52"/>
      <c r="F187" s="1378">
        <f>UDV.land_application.storage_agitation_max_time</f>
        <v>3</v>
      </c>
      <c r="G187" s="1378">
        <f>UDV.land_application.storage_agitation_max_time</f>
        <v>3</v>
      </c>
      <c r="H187" s="1729" t="str">
        <f t="shared" si="88"/>
        <v>hr/day</v>
      </c>
      <c r="I187" s="49"/>
      <c r="J187" s="1378">
        <f>UDV.land_application.storage_agitation_max_time</f>
        <v>3</v>
      </c>
      <c r="K187" s="1378">
        <f>UDV.land_application.storage_agitation_max_time</f>
        <v>3</v>
      </c>
      <c r="L187" s="1474"/>
      <c r="M187" s="49"/>
      <c r="N187" s="1378">
        <f>UDV.land_application.storage_agitation_max_time</f>
        <v>3</v>
      </c>
      <c r="O187" s="1378">
        <f>UDV.land_application.storage_agitation_max_time</f>
        <v>3</v>
      </c>
      <c r="P187" s="1474"/>
      <c r="Q187" s="49"/>
      <c r="R187" s="1378">
        <f>UDV.land_application.storage_agitation_max_time</f>
        <v>3</v>
      </c>
      <c r="S187" s="1378">
        <f>UDV.land_application.storage_agitation_max_time</f>
        <v>3</v>
      </c>
      <c r="T187" s="1474"/>
      <c r="U187" s="49"/>
      <c r="V187" s="1378">
        <f>UDV.land_application.storage_agitation_max_time</f>
        <v>3</v>
      </c>
      <c r="W187" s="1378">
        <f>UDV.land_application.storage_agitation_max_time</f>
        <v>3</v>
      </c>
      <c r="X187" s="1474"/>
      <c r="Y187" s="49"/>
      <c r="Z187" s="1378">
        <f>UDV.land_application.storage_agitation_max_time</f>
        <v>3</v>
      </c>
      <c r="AA187" s="1378">
        <f>UDV.land_application.storage_agitation_max_time</f>
        <v>3</v>
      </c>
      <c r="AB187" s="1474"/>
      <c r="AC187" s="49"/>
      <c r="AD187" s="1378">
        <f>UDV.land_application.storage_agitation_max_time</f>
        <v>3</v>
      </c>
      <c r="AE187" s="1378">
        <f>UDV.land_application.storage_agitation_max_time</f>
        <v>3</v>
      </c>
      <c r="AF187" s="29" t="s">
        <v>2471</v>
      </c>
      <c r="AG187" s="1474"/>
      <c r="AH187" s="49"/>
      <c r="AI187" s="1378">
        <f>UDV.land_application.storage_agitation_max_time</f>
        <v>3</v>
      </c>
      <c r="AJ187" s="1378">
        <f>UDV.land_application.storage_agitation_max_time</f>
        <v>3</v>
      </c>
      <c r="AK187" s="1474"/>
      <c r="AL187" s="49"/>
      <c r="AM187" s="1378">
        <f>UDV.land_application.storage_agitation_max_time</f>
        <v>3</v>
      </c>
      <c r="AN187" s="1378">
        <f>UDV.land_application.storage_agitation_max_time</f>
        <v>3</v>
      </c>
      <c r="AO187" s="1474"/>
      <c r="AP187" s="49"/>
      <c r="AQ187" s="1378">
        <f>UDV.land_application.storage_agitation_max_time</f>
        <v>3</v>
      </c>
      <c r="AR187" s="1378">
        <f>UDV.land_application.storage_agitation_max_time</f>
        <v>3</v>
      </c>
      <c r="AS187" s="29" t="s">
        <v>2471</v>
      </c>
    </row>
    <row r="188" spans="2:45" x14ac:dyDescent="0.3">
      <c r="B188" s="816" t="s">
        <v>5678</v>
      </c>
      <c r="C188" s="49"/>
      <c r="D188" s="52"/>
      <c r="E188" s="52"/>
      <c r="F188" s="1384">
        <f>UDV.tractor.fuel_efficiency*F186</f>
        <v>7.0399999999999991</v>
      </c>
      <c r="G188" s="1384">
        <f>UDV.tractor.fuel_efficiency*G186</f>
        <v>7.0399999999999991</v>
      </c>
      <c r="H188" s="1729" t="str">
        <f t="shared" si="88"/>
        <v>gal/hr</v>
      </c>
      <c r="I188" s="49"/>
      <c r="J188" s="1384">
        <f>UDV.tractor.fuel_efficiency*J186</f>
        <v>7.0399999999999991</v>
      </c>
      <c r="K188" s="1384">
        <f>UDV.tractor.fuel_efficiency*K186</f>
        <v>7.0399999999999991</v>
      </c>
      <c r="L188" s="1474"/>
      <c r="M188" s="49"/>
      <c r="N188" s="1384">
        <f>UDV.tractor.fuel_efficiency*N186</f>
        <v>7.0399999999999991</v>
      </c>
      <c r="O188" s="1384">
        <f>UDV.tractor.fuel_efficiency*O186</f>
        <v>7.0399999999999991</v>
      </c>
      <c r="P188" s="1474"/>
      <c r="Q188" s="49"/>
      <c r="R188" s="1384">
        <f>UDV.tractor.fuel_efficiency*R186</f>
        <v>7.0399999999999991</v>
      </c>
      <c r="S188" s="1384">
        <f>UDV.tractor.fuel_efficiency*S186</f>
        <v>7.0399999999999991</v>
      </c>
      <c r="T188" s="1474"/>
      <c r="U188" s="49"/>
      <c r="V188" s="1384">
        <f>UDV.tractor.fuel_efficiency*V186</f>
        <v>7.0399999999999991</v>
      </c>
      <c r="W188" s="1384">
        <f>UDV.tractor.fuel_efficiency*W186</f>
        <v>7.0399999999999991</v>
      </c>
      <c r="X188" s="1474"/>
      <c r="Y188" s="49"/>
      <c r="Z188" s="1384">
        <f>UDV.tractor.fuel_efficiency*Z186</f>
        <v>7.0399999999999991</v>
      </c>
      <c r="AA188" s="1384">
        <f>UDV.tractor.fuel_efficiency*AA186</f>
        <v>7.0399999999999991</v>
      </c>
      <c r="AB188" s="1474"/>
      <c r="AC188" s="49"/>
      <c r="AD188" s="1384">
        <f>UDV.tractor.fuel_efficiency*AD186</f>
        <v>7.0399999999999991</v>
      </c>
      <c r="AE188" s="1384">
        <f>UDV.tractor.fuel_efficiency*AE186</f>
        <v>7.0399999999999991</v>
      </c>
      <c r="AF188" s="29" t="s">
        <v>2510</v>
      </c>
      <c r="AG188" s="1474"/>
      <c r="AH188" s="49"/>
      <c r="AI188" s="1384">
        <f>UDV.tractor.fuel_efficiency*AI186</f>
        <v>7.0399999999999991</v>
      </c>
      <c r="AJ188" s="1384">
        <f>UDV.tractor.fuel_efficiency*AJ186</f>
        <v>7.0399999999999991</v>
      </c>
      <c r="AK188" s="1474"/>
      <c r="AL188" s="49"/>
      <c r="AM188" s="1384">
        <f>UDV.tractor.fuel_efficiency*AM186</f>
        <v>7.0399999999999991</v>
      </c>
      <c r="AN188" s="1384">
        <f>UDV.tractor.fuel_efficiency*AN186</f>
        <v>7.0399999999999991</v>
      </c>
      <c r="AO188" s="1474"/>
      <c r="AP188" s="49"/>
      <c r="AQ188" s="1384">
        <f>UDV.tractor.fuel_efficiency*AQ186</f>
        <v>7.0399999999999991</v>
      </c>
      <c r="AR188" s="1384">
        <f>UDV.tractor.fuel_efficiency*AR186</f>
        <v>7.0399999999999991</v>
      </c>
      <c r="AS188" s="29" t="s">
        <v>2510</v>
      </c>
    </row>
    <row r="189" spans="2:45" x14ac:dyDescent="0.3">
      <c r="B189" s="666" t="s">
        <v>5679</v>
      </c>
      <c r="C189" s="49"/>
      <c r="D189" s="52"/>
      <c r="E189" s="52"/>
      <c r="F189" s="1380">
        <f>(F187+F146)*F170/F151</f>
        <v>2.5263916122335059</v>
      </c>
      <c r="G189" s="1380">
        <f>(G187+G146)*G170/G151</f>
        <v>56.660834334810701</v>
      </c>
      <c r="H189" s="1729" t="str">
        <f t="shared" si="88"/>
        <v>hr/event</v>
      </c>
      <c r="I189" s="49"/>
      <c r="J189" s="1380">
        <f>(J187+J146)*J170/J151</f>
        <v>2.5263916122335059</v>
      </c>
      <c r="K189" s="1380">
        <f>(K187+K146)*K170/K151</f>
        <v>53.670714758372903</v>
      </c>
      <c r="L189" s="1474"/>
      <c r="M189" s="49"/>
      <c r="N189" s="1380">
        <f>(N187+N146)*N170/N151</f>
        <v>2.509974456141562</v>
      </c>
      <c r="O189" s="1380">
        <f>(O187+O146)*O170/O151</f>
        <v>55.216451593683907</v>
      </c>
      <c r="P189" s="1474"/>
      <c r="Q189" s="49"/>
      <c r="R189" s="1380">
        <f>(R187+R146)*R170/R151</f>
        <v>2.4948528484205106</v>
      </c>
      <c r="S189" s="1380">
        <f>(S187+S146)*S170/S151</f>
        <v>56.659649660413777</v>
      </c>
      <c r="T189" s="1474"/>
      <c r="U189" s="49"/>
      <c r="V189" s="1380">
        <f>(V187+V146)*V170/V151</f>
        <v>2.4948528484205106</v>
      </c>
      <c r="W189" s="1380">
        <f>(W187+W146)*W170/W151</f>
        <v>52.439905577543158</v>
      </c>
      <c r="X189" s="1474"/>
      <c r="Y189" s="49"/>
      <c r="Z189" s="1380">
        <f>(Z187+Z146)*Z170/Z151</f>
        <v>2.4948528484205106</v>
      </c>
      <c r="AA189" s="1380">
        <f>(AA187+AA146)*AA170/AA151</f>
        <v>56.659649660413777</v>
      </c>
      <c r="AB189" s="1474"/>
      <c r="AC189" s="49"/>
      <c r="AD189" s="1380">
        <f>(AD187+AD146)*AD170/AD151</f>
        <v>2.4857098407711891</v>
      </c>
      <c r="AE189" s="1380">
        <f>(AE187+AE146)*AE170/AE151</f>
        <v>48.953910807763656</v>
      </c>
      <c r="AF189" s="29" t="s">
        <v>2472</v>
      </c>
      <c r="AG189" s="1474"/>
      <c r="AH189" s="49"/>
      <c r="AI189" s="1380">
        <f>(AI187+AI146)*AI170/AI151</f>
        <v>2.4857098407711891</v>
      </c>
      <c r="AJ189" s="1380">
        <f>(AJ187+AJ146)*AJ170/AJ151</f>
        <v>47.165012714978275</v>
      </c>
      <c r="AK189" s="1474"/>
      <c r="AL189" s="49"/>
      <c r="AM189" s="1380">
        <f>(AM187+AM146)*AM170/AM151</f>
        <v>2.4857098407711939</v>
      </c>
      <c r="AN189" s="1380">
        <f>(AN187+AN146)*AN170/AN151</f>
        <v>48.953910807763656</v>
      </c>
      <c r="AO189" s="1474"/>
      <c r="AP189" s="49"/>
      <c r="AQ189" s="1380">
        <f>(AQ187+AQ146)*AQ170/AQ151</f>
        <v>3.8383989297888625</v>
      </c>
      <c r="AR189" s="1380">
        <f>(AR187+AR146)*AR170/AR151</f>
        <v>25.815078872097814</v>
      </c>
      <c r="AS189" s="29" t="s">
        <v>2462</v>
      </c>
    </row>
    <row r="190" spans="2:45" x14ac:dyDescent="0.3">
      <c r="B190" s="1722" t="s">
        <v>5680</v>
      </c>
      <c r="C190" s="49"/>
      <c r="D190" s="52"/>
      <c r="E190" s="52"/>
      <c r="F190" s="1380">
        <f>F151*F189/F145</f>
        <v>0.10105566448934024</v>
      </c>
      <c r="G190" s="1380">
        <f>G151*G189/G145</f>
        <v>3.7773889556540468</v>
      </c>
      <c r="H190" s="1729" t="str">
        <f t="shared" si="88"/>
        <v>hr/day</v>
      </c>
      <c r="I190" s="49"/>
      <c r="J190" s="1380">
        <f>J151*J189/J145</f>
        <v>0.10105566448934024</v>
      </c>
      <c r="K190" s="1380">
        <f>K151*K189/K145</f>
        <v>3.5780476505581933</v>
      </c>
      <c r="L190" s="1474"/>
      <c r="M190" s="49"/>
      <c r="N190" s="1380">
        <f>N151*N189/N145</f>
        <v>0.10039897824566248</v>
      </c>
      <c r="O190" s="1380">
        <f>O151*O189/O145</f>
        <v>3.6810967729122606</v>
      </c>
      <c r="P190" s="1474"/>
      <c r="Q190" s="49"/>
      <c r="R190" s="1380">
        <f>R151*R189/R145</f>
        <v>9.9794113936820417E-2</v>
      </c>
      <c r="S190" s="1380">
        <f>S151*S189/S145</f>
        <v>3.7773099773609187</v>
      </c>
      <c r="T190" s="1474"/>
      <c r="U190" s="49"/>
      <c r="V190" s="1380">
        <f>V151*V189/V145</f>
        <v>9.9794113936820417E-2</v>
      </c>
      <c r="W190" s="1380">
        <f>W151*W189/W145</f>
        <v>3.495993705169544</v>
      </c>
      <c r="X190" s="1474"/>
      <c r="Y190" s="49"/>
      <c r="Z190" s="1380">
        <f>Z151*Z189/Z145</f>
        <v>9.9794113936820417E-2</v>
      </c>
      <c r="AA190" s="1380">
        <f>AA151*AA189/AA145</f>
        <v>3.7773099773609187</v>
      </c>
      <c r="AB190" s="1474"/>
      <c r="AC190" s="49"/>
      <c r="AD190" s="1380">
        <f>AD151*AD189/AD145</f>
        <v>9.9428393630847559E-2</v>
      </c>
      <c r="AE190" s="1380">
        <f>AE151*AE189/AE145</f>
        <v>3.2635940538509103</v>
      </c>
      <c r="AF190" s="18" t="s">
        <v>2471</v>
      </c>
      <c r="AG190" s="1474"/>
      <c r="AH190" s="49"/>
      <c r="AI190" s="1380">
        <f>AI151*AI189/AI145</f>
        <v>9.9428393630847559E-2</v>
      </c>
      <c r="AJ190" s="1380">
        <f>AJ151*AJ189/AJ145</f>
        <v>3.1443341809985514</v>
      </c>
      <c r="AK190" s="1474"/>
      <c r="AL190" s="49"/>
      <c r="AM190" s="1380">
        <f>AM151*AM189/AM145</f>
        <v>9.9428393630847753E-2</v>
      </c>
      <c r="AN190" s="1380">
        <f>AN151*AN189/AN145</f>
        <v>3.2635940538509103</v>
      </c>
      <c r="AO190" s="1474"/>
      <c r="AP190" s="49"/>
      <c r="AQ190" s="1380">
        <f>AQ151*AQ189/AQ145</f>
        <v>0.1535359571915545</v>
      </c>
      <c r="AR190" s="1380">
        <f>AR151*AR189/AR145</f>
        <v>1.7210052581398543</v>
      </c>
      <c r="AS190" s="18" t="s">
        <v>2471</v>
      </c>
    </row>
    <row r="191" spans="2:45" x14ac:dyDescent="0.3">
      <c r="B191" s="666" t="s">
        <v>5681</v>
      </c>
      <c r="C191" s="49"/>
      <c r="D191" s="52"/>
      <c r="E191" s="52"/>
      <c r="F191" s="1517">
        <f>ROUNDUP(F190/(F187+UDV.tractor.max_usage_daily),0)</f>
        <v>1</v>
      </c>
      <c r="G191" s="1517">
        <f>ROUNDUP(G190/(G187+UDV.tractor.max_usage_daily),0)</f>
        <v>1</v>
      </c>
      <c r="H191" s="1729" t="str">
        <f t="shared" si="88"/>
        <v>quantity</v>
      </c>
      <c r="I191" s="49"/>
      <c r="J191" s="1517">
        <f>ROUNDUP(J190/(J187+UDV.tractor.max_usage_daily),0)</f>
        <v>1</v>
      </c>
      <c r="K191" s="1517">
        <f>ROUNDUP(K190/(K187+UDV.tractor.max_usage_daily),0)</f>
        <v>1</v>
      </c>
      <c r="L191" s="1474"/>
      <c r="M191" s="49"/>
      <c r="N191" s="1517">
        <f>ROUNDUP(N190/(N187+UDV.tractor.max_usage_daily),0)</f>
        <v>1</v>
      </c>
      <c r="O191" s="1517">
        <f>ROUNDUP(O190/(O187+UDV.tractor.max_usage_daily),0)</f>
        <v>1</v>
      </c>
      <c r="P191" s="1474"/>
      <c r="Q191" s="49"/>
      <c r="R191" s="1517">
        <f>ROUNDUP(R190/(R187+UDV.tractor.max_usage_daily),0)</f>
        <v>1</v>
      </c>
      <c r="S191" s="1517">
        <f>ROUNDUP(S190/(S187+UDV.tractor.max_usage_daily),0)</f>
        <v>1</v>
      </c>
      <c r="T191" s="1474"/>
      <c r="U191" s="49"/>
      <c r="V191" s="1517">
        <f>ROUNDUP(V190/(V187+UDV.tractor.max_usage_daily),0)</f>
        <v>1</v>
      </c>
      <c r="W191" s="1517">
        <f>ROUNDUP(W190/(W187+UDV.tractor.max_usage_daily),0)</f>
        <v>1</v>
      </c>
      <c r="X191" s="1474"/>
      <c r="Y191" s="49"/>
      <c r="Z191" s="1517">
        <f>ROUNDUP(Z190/(Z187+UDV.tractor.max_usage_daily),0)</f>
        <v>1</v>
      </c>
      <c r="AA191" s="1517">
        <f>ROUNDUP(AA190/(AA187+UDV.tractor.max_usage_daily),0)</f>
        <v>1</v>
      </c>
      <c r="AB191" s="1474"/>
      <c r="AC191" s="49"/>
      <c r="AD191" s="1517">
        <f>ROUNDUP(AD190/(AD187+UDV.tractor.max_usage_daily),0)</f>
        <v>1</v>
      </c>
      <c r="AE191" s="1517">
        <f>ROUNDUP(AE190/(AE187+UDV.tractor.max_usage_daily),0)</f>
        <v>1</v>
      </c>
      <c r="AF191" s="18" t="s">
        <v>2442</v>
      </c>
      <c r="AG191" s="1474"/>
      <c r="AH191" s="49"/>
      <c r="AI191" s="1517">
        <f>ROUNDUP(AI190/(AI187+UDV.tractor.max_usage_daily),0)</f>
        <v>1</v>
      </c>
      <c r="AJ191" s="1517">
        <f>ROUNDUP(AJ190/(AJ187+UDV.tractor.max_usage_daily),0)</f>
        <v>1</v>
      </c>
      <c r="AK191" s="1474"/>
      <c r="AL191" s="49"/>
      <c r="AM191" s="1517">
        <f>ROUNDUP(AM190/(AM187+UDV.tractor.max_usage_daily),0)</f>
        <v>1</v>
      </c>
      <c r="AN191" s="1517">
        <f>ROUNDUP(AN190/(AN187+UDV.tractor.max_usage_daily),0)</f>
        <v>1</v>
      </c>
      <c r="AO191" s="1474"/>
      <c r="AP191" s="49"/>
      <c r="AQ191" s="1517">
        <f>ROUNDUP(AQ190/(AQ187+UDV.tractor.max_usage_daily),0)</f>
        <v>1</v>
      </c>
      <c r="AR191" s="1517">
        <f>ROUNDUP(AR190/(AR187+UDV.tractor.max_usage_daily),0)</f>
        <v>1</v>
      </c>
      <c r="AS191" s="18" t="s">
        <v>2442</v>
      </c>
    </row>
    <row r="192" spans="2:45" x14ac:dyDescent="0.3">
      <c r="B192" s="666" t="s">
        <v>5682</v>
      </c>
      <c r="C192" s="49"/>
      <c r="D192" s="52"/>
      <c r="E192" s="52"/>
      <c r="F192" s="1379">
        <f>F188*F189</f>
        <v>17.785796950123881</v>
      </c>
      <c r="G192" s="1379">
        <f>G188*G189</f>
        <v>398.89227371706727</v>
      </c>
      <c r="H192" s="1729" t="str">
        <f t="shared" si="88"/>
        <v>gal/event</v>
      </c>
      <c r="I192" s="49"/>
      <c r="J192" s="1379">
        <f>J188*J189</f>
        <v>17.785796950123881</v>
      </c>
      <c r="K192" s="1379">
        <f>K188*K189</f>
        <v>377.8418318989452</v>
      </c>
      <c r="L192" s="1474"/>
      <c r="M192" s="49"/>
      <c r="N192" s="1379">
        <f>N188*N189</f>
        <v>17.670220171236593</v>
      </c>
      <c r="O192" s="1379">
        <f>O188*O189</f>
        <v>388.72381921953468</v>
      </c>
      <c r="P192" s="1474"/>
      <c r="Q192" s="49"/>
      <c r="R192" s="1379">
        <f>R188*R189</f>
        <v>17.563764052880391</v>
      </c>
      <c r="S192" s="1379">
        <f>S188*S189</f>
        <v>398.88393360931292</v>
      </c>
      <c r="T192" s="1474"/>
      <c r="U192" s="49"/>
      <c r="V192" s="1379">
        <f>V188*V189</f>
        <v>17.563764052880391</v>
      </c>
      <c r="W192" s="1379">
        <f>W188*W189</f>
        <v>369.17693526590381</v>
      </c>
      <c r="X192" s="1474"/>
      <c r="Y192" s="49"/>
      <c r="Z192" s="1379">
        <f>Z188*Z189</f>
        <v>17.563764052880391</v>
      </c>
      <c r="AA192" s="1379">
        <f>AA188*AA189</f>
        <v>398.88393360931292</v>
      </c>
      <c r="AB192" s="1474"/>
      <c r="AC192" s="49"/>
      <c r="AD192" s="1379">
        <f>AD188*AD189</f>
        <v>17.499397279029168</v>
      </c>
      <c r="AE192" s="1379">
        <f>AE188*AE189</f>
        <v>344.6355320866561</v>
      </c>
      <c r="AF192" s="29" t="s">
        <v>2489</v>
      </c>
      <c r="AG192" s="1474"/>
      <c r="AH192" s="49"/>
      <c r="AI192" s="1379">
        <f>AI188*AI189</f>
        <v>17.499397279029168</v>
      </c>
      <c r="AJ192" s="1379">
        <f>AJ188*AJ189</f>
        <v>332.04168951344701</v>
      </c>
      <c r="AK192" s="1474"/>
      <c r="AL192" s="49"/>
      <c r="AM192" s="1379">
        <f>AM188*AM189</f>
        <v>17.499397279029203</v>
      </c>
      <c r="AN192" s="1379">
        <f>AN188*AN189</f>
        <v>344.6355320866561</v>
      </c>
      <c r="AO192" s="1474"/>
      <c r="AP192" s="49"/>
      <c r="AQ192" s="1379">
        <f>AQ188*AQ189</f>
        <v>27.022328465713588</v>
      </c>
      <c r="AR192" s="1379">
        <f>AR188*AR189</f>
        <v>181.7381552595686</v>
      </c>
      <c r="AS192" s="29" t="s">
        <v>2489</v>
      </c>
    </row>
    <row r="193" spans="1:45" x14ac:dyDescent="0.3">
      <c r="B193" s="29" t="s">
        <v>5683</v>
      </c>
      <c r="C193" s="510"/>
      <c r="D193" s="52"/>
      <c r="E193" s="52"/>
      <c r="F193" s="1379">
        <f>F151*F192</f>
        <v>35.571593900247763</v>
      </c>
      <c r="G193" s="1379">
        <f>G151*G192</f>
        <v>398.89227371706727</v>
      </c>
      <c r="H193" s="1729" t="str">
        <f t="shared" si="88"/>
        <v>gal/year</v>
      </c>
      <c r="I193" s="49"/>
      <c r="J193" s="1379">
        <f>J151*J192</f>
        <v>35.571593900247763</v>
      </c>
      <c r="K193" s="1379">
        <f>K151*K192</f>
        <v>377.8418318989452</v>
      </c>
      <c r="L193" s="1474"/>
      <c r="M193" s="49"/>
      <c r="N193" s="1379">
        <f>N151*N192</f>
        <v>35.340440342473187</v>
      </c>
      <c r="O193" s="1379">
        <f>O151*O192</f>
        <v>388.72381921953468</v>
      </c>
      <c r="P193" s="1474"/>
      <c r="Q193" s="49"/>
      <c r="R193" s="1379">
        <f>R151*R192</f>
        <v>35.127528105760781</v>
      </c>
      <c r="S193" s="1379">
        <f>S151*S192</f>
        <v>398.88393360931292</v>
      </c>
      <c r="T193" s="1474"/>
      <c r="U193" s="49"/>
      <c r="V193" s="1379">
        <f>V151*V192</f>
        <v>35.127528105760781</v>
      </c>
      <c r="W193" s="1379">
        <f>W151*W192</f>
        <v>369.17693526590381</v>
      </c>
      <c r="X193" s="1474"/>
      <c r="Y193" s="49"/>
      <c r="Z193" s="1379">
        <f>Z151*Z192</f>
        <v>35.127528105760781</v>
      </c>
      <c r="AA193" s="1379">
        <f>AA151*AA192</f>
        <v>398.88393360931292</v>
      </c>
      <c r="AB193" s="1474"/>
      <c r="AC193" s="49"/>
      <c r="AD193" s="1379">
        <f>AD151*AD192</f>
        <v>34.998794558058336</v>
      </c>
      <c r="AE193" s="1379">
        <f>AE151*AE192</f>
        <v>344.6355320866561</v>
      </c>
      <c r="AF193" s="18" t="s">
        <v>2517</v>
      </c>
      <c r="AG193" s="1474"/>
      <c r="AH193" s="49"/>
      <c r="AI193" s="1379">
        <f>AI151*AI192</f>
        <v>34.998794558058336</v>
      </c>
      <c r="AJ193" s="1379">
        <f>AJ151*AJ192</f>
        <v>332.04168951344701</v>
      </c>
      <c r="AK193" s="1474"/>
      <c r="AL193" s="49"/>
      <c r="AM193" s="1379">
        <f>AM151*AM192</f>
        <v>34.998794558058407</v>
      </c>
      <c r="AN193" s="1379">
        <f>AN151*AN192</f>
        <v>344.6355320866561</v>
      </c>
      <c r="AO193" s="1474"/>
      <c r="AP193" s="49"/>
      <c r="AQ193" s="1379">
        <f>AQ151*AQ192</f>
        <v>54.044656931427177</v>
      </c>
      <c r="AR193" s="1379">
        <f>AR151*AR192</f>
        <v>181.7381552595686</v>
      </c>
      <c r="AS193" s="18" t="s">
        <v>2517</v>
      </c>
    </row>
    <row r="194" spans="1:45" x14ac:dyDescent="0.3">
      <c r="B194" s="49" t="s">
        <v>5685</v>
      </c>
      <c r="C194" s="1360"/>
      <c r="D194" s="1360"/>
      <c r="E194" s="52"/>
      <c r="F194" s="1379">
        <f>F174+F184+F193</f>
        <v>84.224536542994997</v>
      </c>
      <c r="G194" s="1379">
        <f>G174+G184+G193</f>
        <v>944.47600460679632</v>
      </c>
      <c r="H194" s="1729" t="str">
        <f t="shared" si="88"/>
        <v>gal/year</v>
      </c>
      <c r="I194" s="49"/>
      <c r="J194" s="1379">
        <f>J174+J184+J193</f>
        <v>84.224536542994997</v>
      </c>
      <c r="K194" s="1379">
        <f>K174+K184+K193</f>
        <v>894.63388307778985</v>
      </c>
      <c r="L194" s="1474"/>
      <c r="M194" s="49"/>
      <c r="N194" s="1379">
        <f>N174+N184+N193</f>
        <v>83.677223388335022</v>
      </c>
      <c r="O194" s="1379">
        <f>O174+O184+O193</f>
        <v>920.39967646094817</v>
      </c>
      <c r="P194" s="1474"/>
      <c r="Q194" s="49"/>
      <c r="R194" s="1379">
        <f>R174+R184+R193</f>
        <v>83.173101067819331</v>
      </c>
      <c r="S194" s="1379">
        <f>S174+S184+S193</f>
        <v>944.45625734125929</v>
      </c>
      <c r="T194" s="1474"/>
      <c r="U194" s="49"/>
      <c r="V194" s="1379">
        <f>V174+V184+V193</f>
        <v>83.173101067819331</v>
      </c>
      <c r="W194" s="1379">
        <f>W174+W184+W193</f>
        <v>874.11759963102008</v>
      </c>
      <c r="X194" s="1474"/>
      <c r="Y194" s="49"/>
      <c r="Z194" s="1379">
        <f>Z174+Z184+Z193</f>
        <v>83.173101067819331</v>
      </c>
      <c r="AA194" s="1379">
        <f>AA174+AA184+AA193</f>
        <v>944.45625734125929</v>
      </c>
      <c r="AB194" s="1474"/>
      <c r="AC194" s="49"/>
      <c r="AD194" s="1379">
        <f>AD174+AD184+AD193</f>
        <v>82.868292589931627</v>
      </c>
      <c r="AE194" s="1379">
        <f>AE174+AE184+AE193</f>
        <v>816.00976463539666</v>
      </c>
      <c r="AF194" s="18" t="s">
        <v>2517</v>
      </c>
      <c r="AG194" s="1474"/>
      <c r="AH194" s="49"/>
      <c r="AI194" s="1379">
        <f>AI174+AI184+AI193</f>
        <v>82.868292589931627</v>
      </c>
      <c r="AJ194" s="1379">
        <f>AJ174+AJ184+AJ193</f>
        <v>786.19073102676805</v>
      </c>
      <c r="AK194" s="1474"/>
      <c r="AL194" s="49"/>
      <c r="AM194" s="1379">
        <f>AM174+AM184+AM193</f>
        <v>82.868292589931798</v>
      </c>
      <c r="AN194" s="1379">
        <f>AN174+AN184+AN193</f>
        <v>816.00976463539666</v>
      </c>
      <c r="AO194" s="1474"/>
      <c r="AP194" s="49"/>
      <c r="AQ194" s="1379">
        <f>AQ174+AQ184+AQ193</f>
        <v>127.96407705089962</v>
      </c>
      <c r="AR194" s="1379">
        <f>AR174+AR184+AR193</f>
        <v>430.30998110009961</v>
      </c>
      <c r="AS194" s="18" t="s">
        <v>2517</v>
      </c>
    </row>
    <row r="195" spans="1:45" x14ac:dyDescent="0.3">
      <c r="B195" s="1405"/>
      <c r="C195" s="1406"/>
      <c r="D195" s="1407"/>
      <c r="E195" s="1407"/>
      <c r="F195" s="1410"/>
      <c r="G195" s="1410"/>
      <c r="H195" s="1410"/>
      <c r="I195" s="2189"/>
      <c r="J195" s="1410"/>
      <c r="K195" s="1410"/>
      <c r="L195" s="1406"/>
      <c r="M195" s="2189"/>
      <c r="N195" s="1410"/>
      <c r="O195" s="1410"/>
      <c r="P195" s="1406"/>
      <c r="Q195" s="2189"/>
      <c r="R195" s="1410"/>
      <c r="S195" s="1410"/>
      <c r="T195" s="1406"/>
      <c r="U195" s="2189"/>
      <c r="V195" s="1410"/>
      <c r="W195" s="1410"/>
      <c r="X195" s="1406"/>
      <c r="Y195" s="2189"/>
      <c r="Z195" s="1410"/>
      <c r="AA195" s="1410"/>
      <c r="AB195" s="1406"/>
      <c r="AC195" s="2189"/>
      <c r="AD195" s="1410"/>
      <c r="AE195" s="1410"/>
      <c r="AF195" s="1411"/>
      <c r="AG195" s="1406"/>
      <c r="AH195" s="2189"/>
      <c r="AI195" s="1410"/>
      <c r="AJ195" s="1410"/>
      <c r="AK195" s="1406"/>
      <c r="AL195" s="2189"/>
      <c r="AM195" s="1410"/>
      <c r="AN195" s="1410"/>
      <c r="AO195" s="1406"/>
      <c r="AP195" s="2189"/>
      <c r="AQ195" s="1410"/>
      <c r="AR195" s="1410"/>
      <c r="AS195" s="1411"/>
    </row>
    <row r="196" spans="1:45" x14ac:dyDescent="0.3">
      <c r="A196" t="s">
        <v>3007</v>
      </c>
      <c r="B196" s="1405" t="s">
        <v>5687</v>
      </c>
      <c r="C196" s="1406"/>
      <c r="D196" s="1407"/>
      <c r="E196" s="1407"/>
      <c r="F196" s="1410"/>
      <c r="G196" s="1410"/>
      <c r="H196" s="1410"/>
      <c r="I196" s="2189"/>
      <c r="J196" s="1410"/>
      <c r="K196" s="1410"/>
      <c r="L196" s="1406"/>
      <c r="M196" s="2189"/>
      <c r="N196" s="1410"/>
      <c r="O196" s="1410"/>
      <c r="P196" s="1406"/>
      <c r="Q196" s="2189"/>
      <c r="R196" s="1410"/>
      <c r="S196" s="1410"/>
      <c r="T196" s="1406"/>
      <c r="U196" s="2189"/>
      <c r="V196" s="1410"/>
      <c r="W196" s="1410"/>
      <c r="X196" s="1406"/>
      <c r="Y196" s="2189"/>
      <c r="Z196" s="1410"/>
      <c r="AA196" s="1410"/>
      <c r="AB196" s="1406"/>
      <c r="AC196" s="2189"/>
      <c r="AD196" s="1410"/>
      <c r="AE196" s="1410"/>
      <c r="AF196" s="1411"/>
      <c r="AG196" s="1406"/>
      <c r="AH196" s="2189"/>
      <c r="AI196" s="1410"/>
      <c r="AJ196" s="1410"/>
      <c r="AK196" s="1406"/>
      <c r="AL196" s="2189"/>
      <c r="AM196" s="1410"/>
      <c r="AN196" s="1410"/>
      <c r="AO196" s="1406"/>
      <c r="AP196" s="2189"/>
      <c r="AQ196" s="1410"/>
      <c r="AR196" s="1410"/>
      <c r="AS196" s="1411"/>
    </row>
    <row r="197" spans="1:45" x14ac:dyDescent="0.3">
      <c r="B197" s="1581" t="s">
        <v>5688</v>
      </c>
      <c r="C197" s="49"/>
      <c r="D197" s="52"/>
      <c r="E197" s="52"/>
      <c r="F197" s="1391">
        <f>UDV.dhl.tractor_applicator_hp</f>
        <v>580</v>
      </c>
      <c r="G197" s="1391">
        <f>UDV.dhl.tractor_applicator_hp</f>
        <v>580</v>
      </c>
      <c r="H197" s="1729" t="str">
        <f t="shared" ref="H197:H232" si="90">AS197</f>
        <v>pto hp</v>
      </c>
      <c r="I197" s="49"/>
      <c r="J197" s="1391">
        <f>UDV.dhl.tractor_applicator_hp</f>
        <v>580</v>
      </c>
      <c r="K197" s="1391">
        <f>UDV.dhl.tractor_applicator_hp</f>
        <v>580</v>
      </c>
      <c r="L197" s="1474"/>
      <c r="M197" s="49"/>
      <c r="N197" s="1391">
        <f>UDV.dhl.tractor_applicator_hp</f>
        <v>580</v>
      </c>
      <c r="O197" s="1391">
        <f>UDV.dhl.tractor_applicator_hp</f>
        <v>580</v>
      </c>
      <c r="P197" s="1474"/>
      <c r="Q197" s="49"/>
      <c r="R197" s="1391">
        <f>UDV.dhl.tractor_applicator_hp</f>
        <v>580</v>
      </c>
      <c r="S197" s="1391">
        <f>UDV.dhl.tractor_applicator_hp</f>
        <v>580</v>
      </c>
      <c r="T197" s="1474"/>
      <c r="U197" s="49"/>
      <c r="V197" s="1391">
        <f>UDV.dhl.tractor_applicator_hp</f>
        <v>580</v>
      </c>
      <c r="W197" s="1391">
        <f>UDV.dhl.tractor_applicator_hp</f>
        <v>580</v>
      </c>
      <c r="X197" s="1474"/>
      <c r="Y197" s="49"/>
      <c r="Z197" s="1391">
        <f>UDV.dhl.tractor_applicator_hp</f>
        <v>580</v>
      </c>
      <c r="AA197" s="1391">
        <f>UDV.dhl.tractor_applicator_hp</f>
        <v>580</v>
      </c>
      <c r="AB197" s="1474"/>
      <c r="AC197" s="49"/>
      <c r="AD197" s="1391">
        <f>UDV.dhl.tractor_applicator_hp</f>
        <v>580</v>
      </c>
      <c r="AE197" s="1391">
        <f>UDV.dhl.tractor_applicator_hp</f>
        <v>580</v>
      </c>
      <c r="AF197" s="510" t="s">
        <v>5689</v>
      </c>
      <c r="AG197" s="1474"/>
      <c r="AH197" s="49"/>
      <c r="AI197" s="1391">
        <f>UDV.dhl.tractor_applicator_hp</f>
        <v>580</v>
      </c>
      <c r="AJ197" s="1391">
        <f>UDV.dhl.tractor_applicator_hp</f>
        <v>580</v>
      </c>
      <c r="AK197" s="1474"/>
      <c r="AL197" s="49"/>
      <c r="AM197" s="1391">
        <f>UDV.dhl.tractor_applicator_hp</f>
        <v>580</v>
      </c>
      <c r="AN197" s="1391">
        <f>UDV.dhl.tractor_applicator_hp</f>
        <v>580</v>
      </c>
      <c r="AO197" s="1474"/>
      <c r="AP197" s="49"/>
      <c r="AQ197" s="1391">
        <f>UDV.dhl.tractor_applicator_hp</f>
        <v>580</v>
      </c>
      <c r="AR197" s="1391">
        <f>UDV.dhl.tractor_applicator_hp</f>
        <v>580</v>
      </c>
      <c r="AS197" s="510" t="s">
        <v>5689</v>
      </c>
    </row>
    <row r="198" spans="1:45" x14ac:dyDescent="0.3">
      <c r="B198" s="91" t="s">
        <v>5690</v>
      </c>
      <c r="C198" s="49"/>
      <c r="D198" s="52"/>
      <c r="E198" s="52"/>
      <c r="F198" s="1378">
        <f>UDV.dhl.speed_applicator</f>
        <v>5</v>
      </c>
      <c r="G198" s="1378">
        <f>UDV.dhl.speed_applicator</f>
        <v>5</v>
      </c>
      <c r="H198" s="1729" t="str">
        <f t="shared" si="90"/>
        <v>mile/hour</v>
      </c>
      <c r="I198" s="49"/>
      <c r="J198" s="1378">
        <f>UDV.dhl.speed_applicator</f>
        <v>5</v>
      </c>
      <c r="K198" s="1378">
        <f>UDV.dhl.speed_applicator</f>
        <v>5</v>
      </c>
      <c r="L198" s="1474"/>
      <c r="M198" s="49"/>
      <c r="N198" s="1378">
        <f>UDV.dhl.speed_applicator</f>
        <v>5</v>
      </c>
      <c r="O198" s="1378">
        <f>UDV.dhl.speed_applicator</f>
        <v>5</v>
      </c>
      <c r="P198" s="1474"/>
      <c r="Q198" s="49"/>
      <c r="R198" s="1378">
        <f>UDV.dhl.speed_applicator</f>
        <v>5</v>
      </c>
      <c r="S198" s="1378">
        <f>UDV.dhl.speed_applicator</f>
        <v>5</v>
      </c>
      <c r="T198" s="1474"/>
      <c r="U198" s="49"/>
      <c r="V198" s="1378">
        <f>UDV.dhl.speed_applicator</f>
        <v>5</v>
      </c>
      <c r="W198" s="1378">
        <f>UDV.dhl.speed_applicator</f>
        <v>5</v>
      </c>
      <c r="X198" s="1474"/>
      <c r="Y198" s="49"/>
      <c r="Z198" s="1378">
        <f>UDV.dhl.speed_applicator</f>
        <v>5</v>
      </c>
      <c r="AA198" s="1378">
        <f>UDV.dhl.speed_applicator</f>
        <v>5</v>
      </c>
      <c r="AB198" s="1474"/>
      <c r="AC198" s="49"/>
      <c r="AD198" s="1378">
        <f>UDV.dhl.speed_applicator</f>
        <v>5</v>
      </c>
      <c r="AE198" s="1378">
        <f>UDV.dhl.speed_applicator</f>
        <v>5</v>
      </c>
      <c r="AF198" s="18" t="s">
        <v>5691</v>
      </c>
      <c r="AG198" s="1474"/>
      <c r="AH198" s="49"/>
      <c r="AI198" s="1378">
        <f>UDV.dhl.speed_applicator</f>
        <v>5</v>
      </c>
      <c r="AJ198" s="1378">
        <f>UDV.dhl.speed_applicator</f>
        <v>5</v>
      </c>
      <c r="AK198" s="1474"/>
      <c r="AL198" s="49"/>
      <c r="AM198" s="1378">
        <f>UDV.dhl.speed_applicator</f>
        <v>5</v>
      </c>
      <c r="AN198" s="1378">
        <f>UDV.dhl.speed_applicator</f>
        <v>5</v>
      </c>
      <c r="AO198" s="1474"/>
      <c r="AP198" s="49"/>
      <c r="AQ198" s="1378">
        <f>UDV.dhl.speed_applicator</f>
        <v>5</v>
      </c>
      <c r="AR198" s="1378">
        <f>UDV.dhl.speed_applicator</f>
        <v>5</v>
      </c>
      <c r="AS198" s="18" t="s">
        <v>5691</v>
      </c>
    </row>
    <row r="199" spans="1:45" x14ac:dyDescent="0.3">
      <c r="B199" s="49" t="s">
        <v>5692</v>
      </c>
      <c r="C199" s="49"/>
      <c r="D199" s="52"/>
      <c r="E199" s="52"/>
      <c r="F199" s="1378">
        <f>UDV.dhl.width_toolbar</f>
        <v>20</v>
      </c>
      <c r="G199" s="1378">
        <f>UDV.dhl.width_toolbar</f>
        <v>20</v>
      </c>
      <c r="H199" s="1729" t="str">
        <f t="shared" si="90"/>
        <v>ft</v>
      </c>
      <c r="I199" s="49"/>
      <c r="J199" s="1378">
        <f>UDV.dhl.width_toolbar</f>
        <v>20</v>
      </c>
      <c r="K199" s="1378">
        <f>UDV.dhl.width_toolbar</f>
        <v>20</v>
      </c>
      <c r="L199" s="1474"/>
      <c r="M199" s="49"/>
      <c r="N199" s="1378">
        <f>UDV.dhl.width_toolbar</f>
        <v>20</v>
      </c>
      <c r="O199" s="1378">
        <f>UDV.dhl.width_toolbar</f>
        <v>20</v>
      </c>
      <c r="P199" s="1474"/>
      <c r="Q199" s="49"/>
      <c r="R199" s="1378">
        <f>UDV.dhl.width_toolbar</f>
        <v>20</v>
      </c>
      <c r="S199" s="1378">
        <f>UDV.dhl.width_toolbar</f>
        <v>20</v>
      </c>
      <c r="T199" s="1474"/>
      <c r="U199" s="49"/>
      <c r="V199" s="1378">
        <f>UDV.dhl.width_toolbar</f>
        <v>20</v>
      </c>
      <c r="W199" s="1378">
        <f>UDV.dhl.width_toolbar</f>
        <v>20</v>
      </c>
      <c r="X199" s="1474"/>
      <c r="Y199" s="49"/>
      <c r="Z199" s="1378">
        <f>UDV.dhl.width_toolbar</f>
        <v>20</v>
      </c>
      <c r="AA199" s="1378">
        <f>UDV.dhl.width_toolbar</f>
        <v>20</v>
      </c>
      <c r="AB199" s="1474"/>
      <c r="AC199" s="49"/>
      <c r="AD199" s="1378">
        <f>UDV.dhl.width_toolbar</f>
        <v>20</v>
      </c>
      <c r="AE199" s="1378">
        <f>UDV.dhl.width_toolbar</f>
        <v>20</v>
      </c>
      <c r="AF199" s="18" t="s">
        <v>2340</v>
      </c>
      <c r="AG199" s="1474"/>
      <c r="AH199" s="49"/>
      <c r="AI199" s="1378">
        <f>UDV.dhl.width_toolbar</f>
        <v>20</v>
      </c>
      <c r="AJ199" s="1378">
        <f>UDV.dhl.width_toolbar</f>
        <v>20</v>
      </c>
      <c r="AK199" s="1474"/>
      <c r="AL199" s="49"/>
      <c r="AM199" s="1378">
        <f>UDV.dhl.width_toolbar</f>
        <v>20</v>
      </c>
      <c r="AN199" s="1378">
        <f>UDV.dhl.width_toolbar</f>
        <v>20</v>
      </c>
      <c r="AO199" s="1474"/>
      <c r="AP199" s="49"/>
      <c r="AQ199" s="1378">
        <f>UDV.dhl.width_toolbar</f>
        <v>20</v>
      </c>
      <c r="AR199" s="1378">
        <f>UDV.dhl.width_toolbar</f>
        <v>20</v>
      </c>
      <c r="AS199" s="18" t="s">
        <v>2340</v>
      </c>
    </row>
    <row r="200" spans="1:45" x14ac:dyDescent="0.3">
      <c r="B200" s="49" t="s">
        <v>5693</v>
      </c>
      <c r="C200" s="49"/>
      <c r="D200" s="52"/>
      <c r="E200" s="52"/>
      <c r="F200" s="1379">
        <f>F143*F198*F199/UC.495_rule</f>
        <v>4040.4040404040402</v>
      </c>
      <c r="G200" s="1379">
        <f>G143*G198*G199/UC.495_rule</f>
        <v>2020.2020202020201</v>
      </c>
      <c r="H200" s="1729" t="str">
        <f t="shared" si="90"/>
        <v>gal/min</v>
      </c>
      <c r="I200" s="49"/>
      <c r="J200" s="1379">
        <f>J143*J198*J199/UC.495_rule</f>
        <v>3933.7153863494832</v>
      </c>
      <c r="K200" s="1379">
        <f>K143*K198*K199/UC.495_rule</f>
        <v>2020.2020202020201</v>
      </c>
      <c r="L200" s="1474"/>
      <c r="M200" s="49"/>
      <c r="N200" s="1379">
        <f>N143*N198*N199/UC.495_rule</f>
        <v>4040.4040404040402</v>
      </c>
      <c r="O200" s="1379">
        <f>O143*O198*O199/UC.495_rule</f>
        <v>2020.2020202020201</v>
      </c>
      <c r="P200" s="1474"/>
      <c r="Q200" s="49"/>
      <c r="R200" s="1379">
        <f>R143*R198*R199/UC.495_rule</f>
        <v>4040.4040404040402</v>
      </c>
      <c r="S200" s="1379">
        <f>S143*S198*S199/UC.495_rule</f>
        <v>2020.2020202020201</v>
      </c>
      <c r="T200" s="1474"/>
      <c r="U200" s="49"/>
      <c r="V200" s="1379">
        <f>V143*V198*V199/UC.495_rule</f>
        <v>4040.4040404040402</v>
      </c>
      <c r="W200" s="1379">
        <f>W143*W198*W199/UC.495_rule</f>
        <v>1907.8932537186936</v>
      </c>
      <c r="X200" s="1474"/>
      <c r="Y200" s="49"/>
      <c r="Z200" s="1379">
        <f>Z143*Z198*Z199/UC.495_rule</f>
        <v>4040.4040404040402</v>
      </c>
      <c r="AA200" s="1379">
        <f>AA143*AA198*AA199/UC.495_rule</f>
        <v>2020.2020202020201</v>
      </c>
      <c r="AB200" s="1474"/>
      <c r="AC200" s="49"/>
      <c r="AD200" s="1379">
        <f>AD143*AD198*AD199/UC.495_rule</f>
        <v>4040.4040404040402</v>
      </c>
      <c r="AE200" s="1379">
        <f>AE143*AE198*AE199/UC.495_rule</f>
        <v>1939.4876662554605</v>
      </c>
      <c r="AF200" s="18" t="s">
        <v>2516</v>
      </c>
      <c r="AG200" s="1474"/>
      <c r="AH200" s="49"/>
      <c r="AI200" s="1379">
        <f>AI143*AI198*AI199/UC.495_rule</f>
        <v>4040.4040404040402</v>
      </c>
      <c r="AJ200" s="1379">
        <f>AJ143*AJ198*AJ199/UC.495_rule</f>
        <v>1696.8586680965848</v>
      </c>
      <c r="AK200" s="1474"/>
      <c r="AL200" s="49"/>
      <c r="AM200" s="1379">
        <f>AM143*AM198*AM199/UC.495_rule</f>
        <v>4040.4040404040402</v>
      </c>
      <c r="AN200" s="1379">
        <f>AN143*AN198*AN199/UC.495_rule</f>
        <v>1810.0786644341561</v>
      </c>
      <c r="AO200" s="1474"/>
      <c r="AP200" s="49"/>
      <c r="AQ200" s="1379">
        <f>AQ143*AQ198*AQ199/UC.495_rule</f>
        <v>4040.4040404040402</v>
      </c>
      <c r="AR200" s="1379">
        <f>AR143*AR198*AR199/UC.495_rule</f>
        <v>1004.883530994034</v>
      </c>
      <c r="AS200" s="18" t="s">
        <v>2516</v>
      </c>
    </row>
    <row r="201" spans="1:45" x14ac:dyDescent="0.3">
      <c r="B201" s="49" t="s">
        <v>5694</v>
      </c>
      <c r="C201" s="49"/>
      <c r="D201" s="52"/>
      <c r="E201" s="52"/>
      <c r="F201" s="1391">
        <f>UDV.dhl.applicator_pump_size</f>
        <v>3000</v>
      </c>
      <c r="G201" s="1391">
        <f>UDV.dhl.applicator_pump_size</f>
        <v>3000</v>
      </c>
      <c r="H201" s="1729" t="str">
        <f t="shared" si="90"/>
        <v>gal/min</v>
      </c>
      <c r="I201" s="49"/>
      <c r="J201" s="1391">
        <f>UDV.dhl.applicator_pump_size</f>
        <v>3000</v>
      </c>
      <c r="K201" s="1391">
        <f>UDV.dhl.applicator_pump_size</f>
        <v>3000</v>
      </c>
      <c r="L201" s="1474"/>
      <c r="M201" s="49"/>
      <c r="N201" s="1391">
        <f>UDV.dhl.applicator_pump_size</f>
        <v>3000</v>
      </c>
      <c r="O201" s="1391">
        <f>UDV.dhl.applicator_pump_size</f>
        <v>3000</v>
      </c>
      <c r="P201" s="1474"/>
      <c r="Q201" s="49"/>
      <c r="R201" s="1391">
        <f>UDV.dhl.applicator_pump_size</f>
        <v>3000</v>
      </c>
      <c r="S201" s="1391">
        <f>UDV.dhl.applicator_pump_size</f>
        <v>3000</v>
      </c>
      <c r="T201" s="1474"/>
      <c r="U201" s="49"/>
      <c r="V201" s="1391">
        <f>UDV.dhl.applicator_pump_size</f>
        <v>3000</v>
      </c>
      <c r="W201" s="1391">
        <f>UDV.dhl.applicator_pump_size</f>
        <v>3000</v>
      </c>
      <c r="X201" s="1474"/>
      <c r="Y201" s="49"/>
      <c r="Z201" s="1391">
        <f>UDV.dhl.applicator_pump_size</f>
        <v>3000</v>
      </c>
      <c r="AA201" s="1391">
        <f>UDV.dhl.applicator_pump_size</f>
        <v>3000</v>
      </c>
      <c r="AB201" s="1474"/>
      <c r="AC201" s="49"/>
      <c r="AD201" s="1391">
        <f>UDV.dhl.applicator_pump_size</f>
        <v>3000</v>
      </c>
      <c r="AE201" s="1391">
        <f>UDV.dhl.applicator_pump_size</f>
        <v>3000</v>
      </c>
      <c r="AF201" s="1448" t="s">
        <v>2516</v>
      </c>
      <c r="AG201" s="1474"/>
      <c r="AH201" s="49"/>
      <c r="AI201" s="1391">
        <f>UDV.dhl.applicator_pump_size</f>
        <v>3000</v>
      </c>
      <c r="AJ201" s="1391">
        <f>UDV.dhl.applicator_pump_size</f>
        <v>3000</v>
      </c>
      <c r="AK201" s="1474"/>
      <c r="AL201" s="49"/>
      <c r="AM201" s="1391">
        <f>UDV.dhl.applicator_pump_size</f>
        <v>3000</v>
      </c>
      <c r="AN201" s="1391">
        <f>UDV.dhl.applicator_pump_size</f>
        <v>3000</v>
      </c>
      <c r="AO201" s="1474"/>
      <c r="AP201" s="49"/>
      <c r="AQ201" s="1391">
        <f>UDV.dhl.applicator_pump_size</f>
        <v>3000</v>
      </c>
      <c r="AR201" s="1391">
        <f>UDV.dhl.applicator_pump_size</f>
        <v>3000</v>
      </c>
      <c r="AS201" s="1448" t="s">
        <v>2516</v>
      </c>
    </row>
    <row r="202" spans="1:45" x14ac:dyDescent="0.3">
      <c r="B202" s="49" t="s">
        <v>5695</v>
      </c>
      <c r="C202" s="49"/>
      <c r="D202" s="52"/>
      <c r="E202" s="52"/>
      <c r="F202" s="1379">
        <f>IF(F200&gt;F201,F201,IF(F200&lt;=0,1,F200))</f>
        <v>3000</v>
      </c>
      <c r="G202" s="1379">
        <f>IF(G200&gt;G201,G201,IF(G200&lt;=0,1,G200))</f>
        <v>2020.2020202020201</v>
      </c>
      <c r="H202" s="1729" t="str">
        <f t="shared" si="90"/>
        <v>gal/min</v>
      </c>
      <c r="I202" s="49"/>
      <c r="J202" s="1379">
        <f>IF(J200&gt;J201,J201,IF(J200&lt;=0,1,J200))</f>
        <v>3000</v>
      </c>
      <c r="K202" s="1379">
        <f>IF(K200&gt;K201,K201,IF(K200&lt;=0,1,K200))</f>
        <v>2020.2020202020201</v>
      </c>
      <c r="L202" s="1474"/>
      <c r="M202" s="49"/>
      <c r="N202" s="1379">
        <f>IF(N200&gt;N201,N201,IF(N200&lt;=0,1,N200))</f>
        <v>3000</v>
      </c>
      <c r="O202" s="1379">
        <f>IF(O200&gt;O201,O201,IF(O200&lt;=0,1,O200))</f>
        <v>2020.2020202020201</v>
      </c>
      <c r="P202" s="1474"/>
      <c r="Q202" s="49"/>
      <c r="R202" s="1379">
        <f>IF(R200&gt;R201,R201,IF(R200&lt;=0,1,R200))</f>
        <v>3000</v>
      </c>
      <c r="S202" s="1379">
        <f>IF(S200&gt;S201,S201,IF(S200&lt;=0,1,S200))</f>
        <v>2020.2020202020201</v>
      </c>
      <c r="T202" s="1474"/>
      <c r="U202" s="49"/>
      <c r="V202" s="1379">
        <f>IF(V200&gt;V201,V201,IF(V200&lt;=0,1,V200))</f>
        <v>3000</v>
      </c>
      <c r="W202" s="1379">
        <f>IF(W200&gt;W201,W201,IF(W200&lt;=0,1,W200))</f>
        <v>1907.8932537186936</v>
      </c>
      <c r="X202" s="1474"/>
      <c r="Y202" s="49"/>
      <c r="Z202" s="1379">
        <f>IF(Z200&gt;Z201,Z201,IF(Z200&lt;=0,1,Z200))</f>
        <v>3000</v>
      </c>
      <c r="AA202" s="1379">
        <f>IF(AA200&gt;AA201,AA201,IF(AA200&lt;=0,1,AA200))</f>
        <v>2020.2020202020201</v>
      </c>
      <c r="AB202" s="1474"/>
      <c r="AC202" s="49"/>
      <c r="AD202" s="1379">
        <f>IF(AD200&gt;AD201,AD201,IF(AD200&lt;=0,1,AD200))</f>
        <v>3000</v>
      </c>
      <c r="AE202" s="1379">
        <f>IF(AE200&gt;AE201,AE201,IF(AE200&lt;=0,1,AE200))</f>
        <v>1939.4876662554605</v>
      </c>
      <c r="AF202" s="18" t="s">
        <v>2516</v>
      </c>
      <c r="AG202" s="1474"/>
      <c r="AH202" s="49"/>
      <c r="AI202" s="1379">
        <f>IF(AI200&gt;AI201,AI201,IF(AI200&lt;=0,1,AI200))</f>
        <v>3000</v>
      </c>
      <c r="AJ202" s="1379">
        <f>IF(AJ200&gt;AJ201,AJ201,IF(AJ200&lt;=0,1,AJ200))</f>
        <v>1696.8586680965848</v>
      </c>
      <c r="AK202" s="1474"/>
      <c r="AL202" s="49"/>
      <c r="AM202" s="1379">
        <f>IF(AM200&gt;AM201,AM201,IF(AM200&lt;=0,1,AM200))</f>
        <v>3000</v>
      </c>
      <c r="AN202" s="1379">
        <f>IF(AN200&gt;AN201,AN201,IF(AN200&lt;=0,1,AN200))</f>
        <v>1810.0786644341561</v>
      </c>
      <c r="AO202" s="1474"/>
      <c r="AP202" s="49"/>
      <c r="AQ202" s="1379">
        <f>IF(AQ200&gt;AQ201,AQ201,IF(AQ200&lt;=0,1,AQ200))</f>
        <v>3000</v>
      </c>
      <c r="AR202" s="1379">
        <f>IF(AR200&gt;AR201,AR201,IF(AR200&lt;=0,1,AR200))</f>
        <v>1004.883530994034</v>
      </c>
      <c r="AS202" s="18" t="s">
        <v>2516</v>
      </c>
    </row>
    <row r="203" spans="1:45" x14ac:dyDescent="0.3">
      <c r="B203" s="49" t="s">
        <v>5696</v>
      </c>
      <c r="C203" s="49"/>
      <c r="D203" s="52"/>
      <c r="E203" s="52"/>
      <c r="F203" s="1380">
        <f>IF(F143=0,0,F202*UC.495_rule/F143/F199)</f>
        <v>3.7124999999999999</v>
      </c>
      <c r="G203" s="1380">
        <f>IF(G143=0,0,G202*UC.495_rule/G143/G199)</f>
        <v>5</v>
      </c>
      <c r="H203" s="1729" t="str">
        <f t="shared" si="90"/>
        <v>mile/hour</v>
      </c>
      <c r="I203" s="49"/>
      <c r="J203" s="1380">
        <f>IF(J143=0,0,J202*UC.495_rule/J143/J199)</f>
        <v>3.8131889388978157</v>
      </c>
      <c r="K203" s="1380">
        <f>IF(K143=0,0,K202*UC.495_rule/K143/K199)</f>
        <v>5</v>
      </c>
      <c r="L203" s="1474"/>
      <c r="M203" s="49"/>
      <c r="N203" s="1380">
        <f>IF(N143=0,0,N202*UC.495_rule/N143/N199)</f>
        <v>3.7124999999999999</v>
      </c>
      <c r="O203" s="1380">
        <f>IF(O143=0,0,O202*UC.495_rule/O143/O199)</f>
        <v>5</v>
      </c>
      <c r="P203" s="1474"/>
      <c r="Q203" s="49"/>
      <c r="R203" s="1380">
        <f>IF(R143=0,0,R202*UC.495_rule/R143/R199)</f>
        <v>3.7124999999999999</v>
      </c>
      <c r="S203" s="1380">
        <f>IF(S143=0,0,S202*UC.495_rule/S143/S199)</f>
        <v>5</v>
      </c>
      <c r="T203" s="1474"/>
      <c r="U203" s="49"/>
      <c r="V203" s="1380">
        <f>IF(V143=0,0,V202*UC.495_rule/V143/V199)</f>
        <v>3.7124999999999999</v>
      </c>
      <c r="W203" s="1380">
        <f>IF(W143=0,0,W202*UC.495_rule/W143/W199)</f>
        <v>5</v>
      </c>
      <c r="X203" s="1474"/>
      <c r="Y203" s="49"/>
      <c r="Z203" s="1380">
        <f>IF(Z143=0,0,Z202*UC.495_rule/Z143/Z199)</f>
        <v>3.7124999999999999</v>
      </c>
      <c r="AA203" s="1380">
        <f>IF(AA143=0,0,AA202*UC.495_rule/AA143/AA199)</f>
        <v>5</v>
      </c>
      <c r="AB203" s="1474"/>
      <c r="AC203" s="49"/>
      <c r="AD203" s="1380">
        <f>IF(AD143=0,0,AD202*UC.495_rule/AD143/AD199)</f>
        <v>3.7124999999999999</v>
      </c>
      <c r="AE203" s="1380">
        <f>IF(AE143=0,0,AE202*UC.495_rule/AE143/AE199)</f>
        <v>4.9999999999999991</v>
      </c>
      <c r="AF203" s="18" t="s">
        <v>5691</v>
      </c>
      <c r="AG203" s="1474"/>
      <c r="AH203" s="49"/>
      <c r="AI203" s="1380">
        <f>IF(AI143=0,0,AI202*UC.495_rule/AI143/AI199)</f>
        <v>3.7124999999999999</v>
      </c>
      <c r="AJ203" s="1380">
        <f>IF(AJ143=0,0,AJ202*UC.495_rule/AJ143/AJ199)</f>
        <v>5</v>
      </c>
      <c r="AK203" s="1474"/>
      <c r="AL203" s="49"/>
      <c r="AM203" s="1380">
        <f>IF(AM143=0,0,AM202*UC.495_rule/AM143/AM199)</f>
        <v>3.7124999999999999</v>
      </c>
      <c r="AN203" s="1380">
        <f>IF(AN143=0,0,AN202*UC.495_rule/AN143/AN199)</f>
        <v>5</v>
      </c>
      <c r="AO203" s="1474"/>
      <c r="AP203" s="49"/>
      <c r="AQ203" s="1380">
        <f>IF(AQ143=0,0,AQ202*UC.495_rule/AQ143/AQ199)</f>
        <v>3.7124999999999999</v>
      </c>
      <c r="AR203" s="1380">
        <f>IF(AR143=0,0,AR202*UC.495_rule/AR143/AR199)</f>
        <v>5</v>
      </c>
      <c r="AS203" s="18" t="s">
        <v>5691</v>
      </c>
    </row>
    <row r="204" spans="1:45" x14ac:dyDescent="0.3">
      <c r="B204" s="29" t="s">
        <v>5697</v>
      </c>
      <c r="C204" s="49"/>
      <c r="D204" s="52"/>
      <c r="E204" s="52"/>
      <c r="F204" s="1395">
        <f>F142/F202/UC.hour_to_min</f>
        <v>0.1762815769123536</v>
      </c>
      <c r="G204" s="1395">
        <f>G142/G202/UC.hour_to_min</f>
        <v>5.8710485929243621</v>
      </c>
      <c r="H204" s="1729" t="str">
        <f t="shared" si="90"/>
        <v>hrs/event</v>
      </c>
      <c r="I204" s="49"/>
      <c r="J204" s="1395">
        <f>J142/J202/UC.hour_to_min</f>
        <v>0.1762815769123536</v>
      </c>
      <c r="K204" s="1395">
        <f>K142/K202/UC.hour_to_min</f>
        <v>5.5612201631453919</v>
      </c>
      <c r="L204" s="1474"/>
      <c r="M204" s="49"/>
      <c r="N204" s="1395">
        <f>N142/N202/UC.hour_to_min</f>
        <v>0.17513605293646226</v>
      </c>
      <c r="O204" s="1395">
        <f>O142/O202/UC.hour_to_min</f>
        <v>5.7213854021243842</v>
      </c>
      <c r="P204" s="1474"/>
      <c r="Q204" s="49"/>
      <c r="R204" s="1395">
        <f>R142/R202/UC.hour_to_min</f>
        <v>0.17408092718255735</v>
      </c>
      <c r="S204" s="1395">
        <f>S142/S202/UC.hour_to_min</f>
        <v>5.8709258400381259</v>
      </c>
      <c r="T204" s="1474"/>
      <c r="U204" s="49"/>
      <c r="V204" s="1395">
        <f>V142/V202/UC.hour_to_min</f>
        <v>0.17408092718255735</v>
      </c>
      <c r="W204" s="1395">
        <f>W142/W202/UC.hour_to_min</f>
        <v>5.7535426848554803</v>
      </c>
      <c r="X204" s="1474"/>
      <c r="Y204" s="49"/>
      <c r="Z204" s="1395">
        <f>Z142/Z202/UC.hour_to_min</f>
        <v>0.17408092718255735</v>
      </c>
      <c r="AA204" s="1395">
        <f>AA142/AA202/UC.hour_to_min</f>
        <v>5.8709258400381259</v>
      </c>
      <c r="AB204" s="1474"/>
      <c r="AC204" s="49"/>
      <c r="AD204" s="1395">
        <f>AD142/AD202/UC.hour_to_min</f>
        <v>0.17344296440658091</v>
      </c>
      <c r="AE204" s="1395">
        <f>AE142/AE202/UC.hour_to_min</f>
        <v>5.2835750517327966</v>
      </c>
      <c r="AF204" s="816" t="s">
        <v>5733</v>
      </c>
      <c r="AG204" s="1474"/>
      <c r="AH204" s="49"/>
      <c r="AI204" s="1395">
        <f>AI142/AI202/UC.hour_to_min</f>
        <v>0.17344296440658091</v>
      </c>
      <c r="AJ204" s="1395">
        <f>AJ142/AJ202/UC.hour_to_min</f>
        <v>5.8183761625293213</v>
      </c>
      <c r="AK204" s="1474"/>
      <c r="AL204" s="49"/>
      <c r="AM204" s="1395">
        <f>AM142/AM202/UC.hour_to_min</f>
        <v>0.17344296440658125</v>
      </c>
      <c r="AN204" s="1395">
        <f>AN142/AN202/UC.hour_to_min</f>
        <v>5.6613167415982097</v>
      </c>
      <c r="AO204" s="1474"/>
      <c r="AP204" s="49"/>
      <c r="AQ204" s="1395">
        <f>AQ142/AQ202/UC.hour_to_min</f>
        <v>0.26782823885473367</v>
      </c>
      <c r="AR204" s="1395">
        <f>AR142/AR202/UC.hour_to_min</f>
        <v>5.3775596737092108</v>
      </c>
      <c r="AS204" s="816" t="s">
        <v>5733</v>
      </c>
    </row>
    <row r="205" spans="1:45" x14ac:dyDescent="0.3">
      <c r="B205" s="49" t="s">
        <v>5698</v>
      </c>
      <c r="C205" s="49"/>
      <c r="D205" s="52"/>
      <c r="E205" s="52"/>
      <c r="F205" s="1395">
        <f>UDV.dhl.application_maneuver_factor*F204</f>
        <v>0.20272381344920662</v>
      </c>
      <c r="G205" s="1395">
        <f>UDV.dhl.application_maneuver_factor*G204</f>
        <v>6.7517058818630158</v>
      </c>
      <c r="H205" s="1729" t="str">
        <f t="shared" si="90"/>
        <v>hr/event</v>
      </c>
      <c r="I205" s="49"/>
      <c r="J205" s="1395">
        <f>UDV.dhl.application_maneuver_factor*J204</f>
        <v>0.20272381344920662</v>
      </c>
      <c r="K205" s="1395">
        <f>UDV.dhl.application_maneuver_factor*K204</f>
        <v>6.3954031876171999</v>
      </c>
      <c r="L205" s="1474"/>
      <c r="M205" s="49"/>
      <c r="N205" s="1395">
        <f>UDV.dhl.application_maneuver_factor*N204</f>
        <v>0.20140646087693156</v>
      </c>
      <c r="O205" s="1395">
        <f>UDV.dhl.application_maneuver_factor*O204</f>
        <v>6.579593212443041</v>
      </c>
      <c r="P205" s="1474"/>
      <c r="Q205" s="49"/>
      <c r="R205" s="1395">
        <f>UDV.dhl.application_maneuver_factor*R204</f>
        <v>0.20019306625994093</v>
      </c>
      <c r="S205" s="1395">
        <f>UDV.dhl.application_maneuver_factor*S204</f>
        <v>6.7515647160438439</v>
      </c>
      <c r="T205" s="1474"/>
      <c r="U205" s="49"/>
      <c r="V205" s="1395">
        <f>UDV.dhl.application_maneuver_factor*V204</f>
        <v>0.20019306625994093</v>
      </c>
      <c r="W205" s="1395">
        <f>UDV.dhl.application_maneuver_factor*W204</f>
        <v>6.6165740875838015</v>
      </c>
      <c r="X205" s="1474"/>
      <c r="Y205" s="49"/>
      <c r="Z205" s="1395">
        <f>UDV.dhl.application_maneuver_factor*Z204</f>
        <v>0.20019306625994093</v>
      </c>
      <c r="AA205" s="1395">
        <f>UDV.dhl.application_maneuver_factor*AA204</f>
        <v>6.7515647160438439</v>
      </c>
      <c r="AB205" s="1474"/>
      <c r="AC205" s="49"/>
      <c r="AD205" s="1395">
        <f>UDV.dhl.application_maneuver_factor*AD204</f>
        <v>0.19945940906756804</v>
      </c>
      <c r="AE205" s="1395">
        <f>UDV.dhl.application_maneuver_factor*AE204</f>
        <v>6.0761113094927159</v>
      </c>
      <c r="AF205" s="18" t="s">
        <v>2462</v>
      </c>
      <c r="AG205" s="1474"/>
      <c r="AH205" s="49"/>
      <c r="AI205" s="1395">
        <f>UDV.dhl.application_maneuver_factor*AI204</f>
        <v>0.19945940906756804</v>
      </c>
      <c r="AJ205" s="1395">
        <f>UDV.dhl.application_maneuver_factor*AJ204</f>
        <v>6.6911325869087186</v>
      </c>
      <c r="AK205" s="1474"/>
      <c r="AL205" s="49"/>
      <c r="AM205" s="1395">
        <f>UDV.dhl.application_maneuver_factor*AM204</f>
        <v>0.19945940906756843</v>
      </c>
      <c r="AN205" s="1395">
        <f>UDV.dhl.application_maneuver_factor*AN204</f>
        <v>6.5105142528379405</v>
      </c>
      <c r="AO205" s="1474"/>
      <c r="AP205" s="49"/>
      <c r="AQ205" s="1395">
        <f>UDV.dhl.application_maneuver_factor*AQ204</f>
        <v>0.30800247468294367</v>
      </c>
      <c r="AR205" s="1395">
        <f>UDV.dhl.application_maneuver_factor*AR204</f>
        <v>6.1841936247655918</v>
      </c>
      <c r="AS205" s="18" t="s">
        <v>2462</v>
      </c>
    </row>
    <row r="206" spans="1:45" x14ac:dyDescent="0.3">
      <c r="B206" s="1722" t="s">
        <v>5699</v>
      </c>
      <c r="C206" s="49"/>
      <c r="D206" s="52"/>
      <c r="E206" s="52"/>
      <c r="F206" s="1395">
        <f>F151*F205/F145</f>
        <v>8.1089525379682646E-3</v>
      </c>
      <c r="G206" s="1395">
        <f>G151*G205/G145</f>
        <v>0.45011372545753436</v>
      </c>
      <c r="H206" s="1729" t="str">
        <f t="shared" si="90"/>
        <v>hr/day</v>
      </c>
      <c r="I206" s="49"/>
      <c r="J206" s="1395">
        <f>J151*J205/J145</f>
        <v>8.1089525379682646E-3</v>
      </c>
      <c r="K206" s="1395">
        <f>K151*K205/K145</f>
        <v>0.42636021250781331</v>
      </c>
      <c r="L206" s="1474"/>
      <c r="M206" s="49"/>
      <c r="N206" s="1395">
        <f>N151*N205/N145</f>
        <v>8.0562584350772626E-3</v>
      </c>
      <c r="O206" s="1395">
        <f>O151*O205/O145</f>
        <v>0.43863954749620271</v>
      </c>
      <c r="P206" s="1474"/>
      <c r="Q206" s="49"/>
      <c r="R206" s="1395">
        <f>R151*R205/R145</f>
        <v>8.0077226503976369E-3</v>
      </c>
      <c r="S206" s="1395">
        <f>S151*S205/S145</f>
        <v>0.45010431440292292</v>
      </c>
      <c r="T206" s="1474"/>
      <c r="U206" s="49"/>
      <c r="V206" s="1395">
        <f>V151*V205/V145</f>
        <v>8.0077226503976369E-3</v>
      </c>
      <c r="W206" s="1395">
        <f>W151*W205/W145</f>
        <v>0.44110493917225341</v>
      </c>
      <c r="X206" s="1474"/>
      <c r="Y206" s="49"/>
      <c r="Z206" s="1395">
        <f>Z151*Z205/Z145</f>
        <v>8.0077226503976369E-3</v>
      </c>
      <c r="AA206" s="1395">
        <f>AA151*AA205/AA145</f>
        <v>0.45010431440292292</v>
      </c>
      <c r="AB206" s="1474"/>
      <c r="AC206" s="49"/>
      <c r="AD206" s="1395">
        <f>AD151*AD205/AD145</f>
        <v>7.9783763627027209E-3</v>
      </c>
      <c r="AE206" s="1395">
        <f>AE151*AE205/AE145</f>
        <v>0.40507408729951438</v>
      </c>
      <c r="AF206" s="18" t="s">
        <v>2471</v>
      </c>
      <c r="AG206" s="1474"/>
      <c r="AH206" s="49"/>
      <c r="AI206" s="1395">
        <f>AI151*AI205/AI145</f>
        <v>7.9783763627027209E-3</v>
      </c>
      <c r="AJ206" s="1395">
        <f>AJ151*AJ205/AJ145</f>
        <v>0.44607550579391458</v>
      </c>
      <c r="AK206" s="1474"/>
      <c r="AL206" s="49"/>
      <c r="AM206" s="1395">
        <f>AM151*AM205/AM145</f>
        <v>7.9783763627027365E-3</v>
      </c>
      <c r="AN206" s="1395">
        <f>AN151*AN205/AN145</f>
        <v>0.43403428352252937</v>
      </c>
      <c r="AO206" s="1474"/>
      <c r="AP206" s="49"/>
      <c r="AQ206" s="1395">
        <f>AQ151*AQ205/AQ145</f>
        <v>1.2320098987317746E-2</v>
      </c>
      <c r="AR206" s="1395">
        <f>AR151*AR205/AR145</f>
        <v>0.41227957498437279</v>
      </c>
      <c r="AS206" s="18" t="s">
        <v>2471</v>
      </c>
    </row>
    <row r="207" spans="1:45" x14ac:dyDescent="0.3">
      <c r="B207" s="61" t="s">
        <v>5700</v>
      </c>
      <c r="C207" s="49"/>
      <c r="D207" s="52"/>
      <c r="E207" s="52"/>
      <c r="F207" s="1379">
        <f>ROUNDUP(F206/F146,0)</f>
        <v>1</v>
      </c>
      <c r="G207" s="1379">
        <f>ROUNDUP(G206/G146,0)</f>
        <v>1</v>
      </c>
      <c r="H207" s="1729" t="str">
        <f t="shared" si="90"/>
        <v>quantity</v>
      </c>
      <c r="I207" s="49"/>
      <c r="J207" s="1379">
        <f>ROUNDUP(J206/J146,0)</f>
        <v>1</v>
      </c>
      <c r="K207" s="1379">
        <f>ROUNDUP(K206/K146,0)</f>
        <v>1</v>
      </c>
      <c r="L207" s="1474"/>
      <c r="M207" s="49"/>
      <c r="N207" s="1379">
        <f>ROUNDUP(N206/N146,0)</f>
        <v>1</v>
      </c>
      <c r="O207" s="1379">
        <f>ROUNDUP(O206/O146,0)</f>
        <v>1</v>
      </c>
      <c r="P207" s="1474"/>
      <c r="Q207" s="49"/>
      <c r="R207" s="1379">
        <f>ROUNDUP(R206/R146,0)</f>
        <v>1</v>
      </c>
      <c r="S207" s="1379">
        <f>ROUNDUP(S206/S146,0)</f>
        <v>1</v>
      </c>
      <c r="T207" s="1474"/>
      <c r="U207" s="49"/>
      <c r="V207" s="1379">
        <f>ROUNDUP(V206/V146,0)</f>
        <v>1</v>
      </c>
      <c r="W207" s="1379">
        <f>ROUNDUP(W206/W146,0)</f>
        <v>1</v>
      </c>
      <c r="X207" s="1474"/>
      <c r="Y207" s="49"/>
      <c r="Z207" s="1379">
        <f>ROUNDUP(Z206/Z146,0)</f>
        <v>1</v>
      </c>
      <c r="AA207" s="1379">
        <f>ROUNDUP(AA206/AA146,0)</f>
        <v>1</v>
      </c>
      <c r="AB207" s="1474"/>
      <c r="AC207" s="49"/>
      <c r="AD207" s="1379">
        <f>ROUNDUP(AD206/AD146,0)</f>
        <v>1</v>
      </c>
      <c r="AE207" s="1379">
        <f>ROUNDUP(AE206/AE146,0)</f>
        <v>1</v>
      </c>
      <c r="AF207" s="18" t="s">
        <v>2442</v>
      </c>
      <c r="AG207" s="1474"/>
      <c r="AH207" s="49"/>
      <c r="AI207" s="1379">
        <f>ROUNDUP(AI206/AI146,0)</f>
        <v>1</v>
      </c>
      <c r="AJ207" s="1379">
        <f>ROUNDUP(AJ206/AJ146,0)</f>
        <v>1</v>
      </c>
      <c r="AK207" s="1474"/>
      <c r="AL207" s="49"/>
      <c r="AM207" s="1379">
        <f>ROUNDUP(AM206/AM146,0)</f>
        <v>1</v>
      </c>
      <c r="AN207" s="1379">
        <f>ROUNDUP(AN206/AN146,0)</f>
        <v>1</v>
      </c>
      <c r="AO207" s="1474"/>
      <c r="AP207" s="49"/>
      <c r="AQ207" s="1379">
        <f>ROUNDUP(AQ206/AQ146,0)</f>
        <v>1</v>
      </c>
      <c r="AR207" s="1379">
        <f>ROUNDUP(AR206/AR146,0)</f>
        <v>1</v>
      </c>
      <c r="AS207" s="18" t="s">
        <v>2442</v>
      </c>
    </row>
    <row r="208" spans="1:45" x14ac:dyDescent="0.3">
      <c r="B208" s="1581" t="s">
        <v>5701</v>
      </c>
      <c r="C208" s="49"/>
      <c r="D208" s="52"/>
      <c r="E208" s="52"/>
      <c r="F208" s="1391">
        <f>UDV.dhl.tractor_pulley_hp</f>
        <v>340</v>
      </c>
      <c r="G208" s="1391">
        <f>UDV.dhl.tractor_pulley_hp</f>
        <v>340</v>
      </c>
      <c r="H208" s="1729" t="str">
        <f t="shared" si="90"/>
        <v>pto hp</v>
      </c>
      <c r="I208" s="49"/>
      <c r="J208" s="1391">
        <f>UDV.dhl.tractor_pulley_hp</f>
        <v>340</v>
      </c>
      <c r="K208" s="1391">
        <f>UDV.dhl.tractor_pulley_hp</f>
        <v>340</v>
      </c>
      <c r="L208" s="1474"/>
      <c r="M208" s="49"/>
      <c r="N208" s="1391">
        <f>UDV.dhl.tractor_pulley_hp</f>
        <v>340</v>
      </c>
      <c r="O208" s="1391">
        <f>UDV.dhl.tractor_pulley_hp</f>
        <v>340</v>
      </c>
      <c r="P208" s="1474"/>
      <c r="Q208" s="49"/>
      <c r="R208" s="1391">
        <f>UDV.dhl.tractor_pulley_hp</f>
        <v>340</v>
      </c>
      <c r="S208" s="1391">
        <f>UDV.dhl.tractor_pulley_hp</f>
        <v>340</v>
      </c>
      <c r="T208" s="1474"/>
      <c r="U208" s="49"/>
      <c r="V208" s="1391">
        <f>UDV.dhl.tractor_pulley_hp</f>
        <v>340</v>
      </c>
      <c r="W208" s="1391">
        <f>UDV.dhl.tractor_pulley_hp</f>
        <v>340</v>
      </c>
      <c r="X208" s="1474"/>
      <c r="Y208" s="49"/>
      <c r="Z208" s="1391">
        <f>UDV.dhl.tractor_pulley_hp</f>
        <v>340</v>
      </c>
      <c r="AA208" s="1391">
        <f>UDV.dhl.tractor_pulley_hp</f>
        <v>340</v>
      </c>
      <c r="AB208" s="1474"/>
      <c r="AC208" s="49"/>
      <c r="AD208" s="1391">
        <f>UDV.dhl.tractor_pulley_hp</f>
        <v>340</v>
      </c>
      <c r="AE208" s="1391">
        <f>UDV.dhl.tractor_pulley_hp</f>
        <v>340</v>
      </c>
      <c r="AF208" s="1353" t="s">
        <v>5689</v>
      </c>
      <c r="AG208" s="1474"/>
      <c r="AH208" s="49"/>
      <c r="AI208" s="1391">
        <f>UDV.dhl.tractor_pulley_hp</f>
        <v>340</v>
      </c>
      <c r="AJ208" s="1391">
        <f>UDV.dhl.tractor_pulley_hp</f>
        <v>340</v>
      </c>
      <c r="AK208" s="1474"/>
      <c r="AL208" s="49"/>
      <c r="AM208" s="1391">
        <f>UDV.dhl.tractor_pulley_hp</f>
        <v>340</v>
      </c>
      <c r="AN208" s="1391">
        <f>UDV.dhl.tractor_pulley_hp</f>
        <v>340</v>
      </c>
      <c r="AO208" s="1474"/>
      <c r="AP208" s="49"/>
      <c r="AQ208" s="1391">
        <f>UDV.dhl.tractor_pulley_hp</f>
        <v>340</v>
      </c>
      <c r="AR208" s="1391">
        <f>UDV.dhl.tractor_pulley_hp</f>
        <v>340</v>
      </c>
      <c r="AS208" s="1353" t="s">
        <v>5689</v>
      </c>
    </row>
    <row r="209" spans="2:45" x14ac:dyDescent="0.3">
      <c r="B209" s="61" t="s">
        <v>5702</v>
      </c>
      <c r="C209" s="49"/>
      <c r="D209" s="52"/>
      <c r="E209" s="52"/>
      <c r="F209" s="1379">
        <f>F207</f>
        <v>1</v>
      </c>
      <c r="G209" s="1425">
        <f>G207</f>
        <v>1</v>
      </c>
      <c r="H209" s="1729" t="str">
        <f t="shared" si="90"/>
        <v>quantity</v>
      </c>
      <c r="I209" s="49"/>
      <c r="J209" s="1379">
        <f>J207</f>
        <v>1</v>
      </c>
      <c r="K209" s="1425">
        <f>K207</f>
        <v>1</v>
      </c>
      <c r="L209" s="1474"/>
      <c r="M209" s="49"/>
      <c r="N209" s="1379">
        <f>N207</f>
        <v>1</v>
      </c>
      <c r="O209" s="1425">
        <f>O207</f>
        <v>1</v>
      </c>
      <c r="P209" s="1474"/>
      <c r="Q209" s="49"/>
      <c r="R209" s="1379">
        <f>R207</f>
        <v>1</v>
      </c>
      <c r="S209" s="1425">
        <f>S207</f>
        <v>1</v>
      </c>
      <c r="T209" s="1474"/>
      <c r="U209" s="49"/>
      <c r="V209" s="1379">
        <f>V207</f>
        <v>1</v>
      </c>
      <c r="W209" s="1425">
        <f>W207</f>
        <v>1</v>
      </c>
      <c r="X209" s="1474"/>
      <c r="Y209" s="49"/>
      <c r="Z209" s="1379">
        <f>Z207</f>
        <v>1</v>
      </c>
      <c r="AA209" s="1425">
        <f>AA207</f>
        <v>1</v>
      </c>
      <c r="AB209" s="1474"/>
      <c r="AC209" s="49"/>
      <c r="AD209" s="1379">
        <f>AD207</f>
        <v>1</v>
      </c>
      <c r="AE209" s="1425">
        <f>AE207</f>
        <v>1</v>
      </c>
      <c r="AF209" s="18" t="s">
        <v>2442</v>
      </c>
      <c r="AG209" s="1474"/>
      <c r="AH209" s="49"/>
      <c r="AI209" s="1379">
        <f>AI207</f>
        <v>1</v>
      </c>
      <c r="AJ209" s="1425">
        <f>AJ207</f>
        <v>1</v>
      </c>
      <c r="AK209" s="1474"/>
      <c r="AL209" s="49"/>
      <c r="AM209" s="1379">
        <f>AM207</f>
        <v>1</v>
      </c>
      <c r="AN209" s="1425">
        <f>AN207</f>
        <v>1</v>
      </c>
      <c r="AO209" s="1474"/>
      <c r="AP209" s="49"/>
      <c r="AQ209" s="1379">
        <f>AQ207</f>
        <v>1</v>
      </c>
      <c r="AR209" s="1425">
        <f>AR207</f>
        <v>1</v>
      </c>
      <c r="AS209" s="18" t="s">
        <v>2442</v>
      </c>
    </row>
    <row r="210" spans="2:45" x14ac:dyDescent="0.3">
      <c r="B210" s="61" t="s">
        <v>5703</v>
      </c>
      <c r="C210" s="49"/>
      <c r="D210" s="52"/>
      <c r="E210" s="52"/>
      <c r="F210" s="1384">
        <f>UDV.tractor.fuel_efficiency*F197</f>
        <v>25.52</v>
      </c>
      <c r="G210" s="1384">
        <f>UDV.tractor.fuel_efficiency*G197</f>
        <v>25.52</v>
      </c>
      <c r="H210" s="1729" t="str">
        <f t="shared" si="90"/>
        <v>gal/hr</v>
      </c>
      <c r="I210" s="49"/>
      <c r="J210" s="1384">
        <f>UDV.tractor.fuel_efficiency*J197</f>
        <v>25.52</v>
      </c>
      <c r="K210" s="1384">
        <f>UDV.tractor.fuel_efficiency*K197</f>
        <v>25.52</v>
      </c>
      <c r="L210" s="1474"/>
      <c r="M210" s="49"/>
      <c r="N210" s="1384">
        <f>UDV.tractor.fuel_efficiency*N197</f>
        <v>25.52</v>
      </c>
      <c r="O210" s="1384">
        <f>UDV.tractor.fuel_efficiency*O197</f>
        <v>25.52</v>
      </c>
      <c r="P210" s="1474"/>
      <c r="Q210" s="49"/>
      <c r="R210" s="1384">
        <f>UDV.tractor.fuel_efficiency*R197</f>
        <v>25.52</v>
      </c>
      <c r="S210" s="1384">
        <f>UDV.tractor.fuel_efficiency*S197</f>
        <v>25.52</v>
      </c>
      <c r="T210" s="1474"/>
      <c r="U210" s="49"/>
      <c r="V210" s="1384">
        <f>UDV.tractor.fuel_efficiency*V197</f>
        <v>25.52</v>
      </c>
      <c r="W210" s="1384">
        <f>UDV.tractor.fuel_efficiency*W197</f>
        <v>25.52</v>
      </c>
      <c r="X210" s="1474"/>
      <c r="Y210" s="49"/>
      <c r="Z210" s="1384">
        <f>UDV.tractor.fuel_efficiency*Z197</f>
        <v>25.52</v>
      </c>
      <c r="AA210" s="1384">
        <f>UDV.tractor.fuel_efficiency*AA197</f>
        <v>25.52</v>
      </c>
      <c r="AB210" s="1474"/>
      <c r="AC210" s="49"/>
      <c r="AD210" s="1384">
        <f>UDV.tractor.fuel_efficiency*AD197</f>
        <v>25.52</v>
      </c>
      <c r="AE210" s="1384">
        <f>UDV.tractor.fuel_efficiency*AE197</f>
        <v>25.52</v>
      </c>
      <c r="AF210" s="816" t="s">
        <v>2510</v>
      </c>
      <c r="AG210" s="1474"/>
      <c r="AH210" s="49"/>
      <c r="AI210" s="1384">
        <f>UDV.tractor.fuel_efficiency*AI197</f>
        <v>25.52</v>
      </c>
      <c r="AJ210" s="1384">
        <f>UDV.tractor.fuel_efficiency*AJ197</f>
        <v>25.52</v>
      </c>
      <c r="AK210" s="1474"/>
      <c r="AL210" s="49"/>
      <c r="AM210" s="1384">
        <f>UDV.tractor.fuel_efficiency*AM197</f>
        <v>25.52</v>
      </c>
      <c r="AN210" s="1384">
        <f>UDV.tractor.fuel_efficiency*AN197</f>
        <v>25.52</v>
      </c>
      <c r="AO210" s="1474"/>
      <c r="AP210" s="49"/>
      <c r="AQ210" s="1384">
        <f>UDV.tractor.fuel_efficiency*AQ197</f>
        <v>25.52</v>
      </c>
      <c r="AR210" s="1384">
        <f>UDV.tractor.fuel_efficiency*AR197</f>
        <v>25.52</v>
      </c>
      <c r="AS210" s="816" t="s">
        <v>2510</v>
      </c>
    </row>
    <row r="211" spans="2:45" x14ac:dyDescent="0.3">
      <c r="B211" s="61" t="s">
        <v>5704</v>
      </c>
      <c r="C211" s="49"/>
      <c r="D211" s="52"/>
      <c r="E211" s="52"/>
      <c r="F211" s="1384">
        <f>UDV.tractor.fuel_efficiency*F208</f>
        <v>14.959999999999999</v>
      </c>
      <c r="G211" s="1384">
        <f>UDV.tractor.fuel_efficiency*G208</f>
        <v>14.959999999999999</v>
      </c>
      <c r="H211" s="1729" t="str">
        <f t="shared" si="90"/>
        <v>gal/hr</v>
      </c>
      <c r="I211" s="49"/>
      <c r="J211" s="1384">
        <f>UDV.tractor.fuel_efficiency*J208</f>
        <v>14.959999999999999</v>
      </c>
      <c r="K211" s="1384">
        <f>UDV.tractor.fuel_efficiency*K208</f>
        <v>14.959999999999999</v>
      </c>
      <c r="L211" s="1474"/>
      <c r="M211" s="49"/>
      <c r="N211" s="1384">
        <f>UDV.tractor.fuel_efficiency*N208</f>
        <v>14.959999999999999</v>
      </c>
      <c r="O211" s="1384">
        <f>UDV.tractor.fuel_efficiency*O208</f>
        <v>14.959999999999999</v>
      </c>
      <c r="P211" s="1474"/>
      <c r="Q211" s="49"/>
      <c r="R211" s="1384">
        <f>UDV.tractor.fuel_efficiency*R208</f>
        <v>14.959999999999999</v>
      </c>
      <c r="S211" s="1384">
        <f>UDV.tractor.fuel_efficiency*S208</f>
        <v>14.959999999999999</v>
      </c>
      <c r="T211" s="1474"/>
      <c r="U211" s="49"/>
      <c r="V211" s="1384">
        <f>UDV.tractor.fuel_efficiency*V208</f>
        <v>14.959999999999999</v>
      </c>
      <c r="W211" s="1384">
        <f>UDV.tractor.fuel_efficiency*W208</f>
        <v>14.959999999999999</v>
      </c>
      <c r="X211" s="1474"/>
      <c r="Y211" s="49"/>
      <c r="Z211" s="1384">
        <f>UDV.tractor.fuel_efficiency*Z208</f>
        <v>14.959999999999999</v>
      </c>
      <c r="AA211" s="1384">
        <f>UDV.tractor.fuel_efficiency*AA208</f>
        <v>14.959999999999999</v>
      </c>
      <c r="AB211" s="1474"/>
      <c r="AC211" s="49"/>
      <c r="AD211" s="1384">
        <f>UDV.tractor.fuel_efficiency*AD208</f>
        <v>14.959999999999999</v>
      </c>
      <c r="AE211" s="1384">
        <f>UDV.tractor.fuel_efficiency*AE208</f>
        <v>14.959999999999999</v>
      </c>
      <c r="AF211" s="816" t="s">
        <v>2510</v>
      </c>
      <c r="AG211" s="1474"/>
      <c r="AH211" s="49"/>
      <c r="AI211" s="1384">
        <f>UDV.tractor.fuel_efficiency*AI208</f>
        <v>14.959999999999999</v>
      </c>
      <c r="AJ211" s="1384">
        <f>UDV.tractor.fuel_efficiency*AJ208</f>
        <v>14.959999999999999</v>
      </c>
      <c r="AK211" s="1474"/>
      <c r="AL211" s="49"/>
      <c r="AM211" s="1384">
        <f>UDV.tractor.fuel_efficiency*AM208</f>
        <v>14.959999999999999</v>
      </c>
      <c r="AN211" s="1384">
        <f>UDV.tractor.fuel_efficiency*AN208</f>
        <v>14.959999999999999</v>
      </c>
      <c r="AO211" s="1474"/>
      <c r="AP211" s="49"/>
      <c r="AQ211" s="1384">
        <f>UDV.tractor.fuel_efficiency*AQ208</f>
        <v>14.959999999999999</v>
      </c>
      <c r="AR211" s="1384">
        <f>UDV.tractor.fuel_efficiency*AR208</f>
        <v>14.959999999999999</v>
      </c>
      <c r="AS211" s="816" t="s">
        <v>2510</v>
      </c>
    </row>
    <row r="212" spans="2:45" x14ac:dyDescent="0.3">
      <c r="B212" s="510" t="s">
        <v>5705</v>
      </c>
      <c r="C212" s="49"/>
      <c r="D212" s="52"/>
      <c r="E212" s="52"/>
      <c r="F212" s="1379">
        <f>F205*(F210+F211)</f>
        <v>8.2062599684238826</v>
      </c>
      <c r="G212" s="1379">
        <f>G205*(G210+G211)</f>
        <v>273.30905409781485</v>
      </c>
      <c r="H212" s="1729" t="str">
        <f t="shared" si="90"/>
        <v>gal/event</v>
      </c>
      <c r="I212" s="49"/>
      <c r="J212" s="1379">
        <f>J205*(J210+J211)</f>
        <v>8.2062599684238826</v>
      </c>
      <c r="K212" s="1379">
        <f>K205*(K210+K211)</f>
        <v>258.88592103474423</v>
      </c>
      <c r="L212" s="1474"/>
      <c r="M212" s="49"/>
      <c r="N212" s="1379">
        <f>N205*(N210+N211)</f>
        <v>8.152933536298189</v>
      </c>
      <c r="O212" s="1379">
        <f>O205*(O210+O211)</f>
        <v>266.3419332396943</v>
      </c>
      <c r="P212" s="1474"/>
      <c r="Q212" s="49"/>
      <c r="R212" s="1379">
        <f>R205*(R210+R211)</f>
        <v>8.1038153222024079</v>
      </c>
      <c r="S212" s="1379">
        <f>S205*(S210+S211)</f>
        <v>273.30333970545479</v>
      </c>
      <c r="T212" s="1474"/>
      <c r="U212" s="49"/>
      <c r="V212" s="1379">
        <f>V205*(V210+V211)</f>
        <v>8.1038153222024079</v>
      </c>
      <c r="W212" s="1379">
        <f>W205*(W210+W211)</f>
        <v>267.83891906539225</v>
      </c>
      <c r="X212" s="1474"/>
      <c r="Y212" s="49"/>
      <c r="Z212" s="1379">
        <f>Z205*(Z210+Z211)</f>
        <v>8.1038153222024079</v>
      </c>
      <c r="AA212" s="1379">
        <f>AA205*(AA210+AA211)</f>
        <v>273.30333970545479</v>
      </c>
      <c r="AB212" s="1474"/>
      <c r="AC212" s="49"/>
      <c r="AD212" s="1379">
        <f>AD205*(AD210+AD211)</f>
        <v>8.0741168790551541</v>
      </c>
      <c r="AE212" s="1379">
        <f>AE205*(AE210+AE211)</f>
        <v>245.96098580826512</v>
      </c>
      <c r="AF212" s="816" t="s">
        <v>2489</v>
      </c>
      <c r="AG212" s="1474"/>
      <c r="AH212" s="49"/>
      <c r="AI212" s="1379">
        <f>AI205*(AI210+AI211)</f>
        <v>8.0741168790551541</v>
      </c>
      <c r="AJ212" s="1379">
        <f>AJ205*(AJ210+AJ211)</f>
        <v>270.85704711806488</v>
      </c>
      <c r="AK212" s="1474"/>
      <c r="AL212" s="49"/>
      <c r="AM212" s="1379">
        <f>AM205*(AM210+AM211)</f>
        <v>8.0741168790551701</v>
      </c>
      <c r="AN212" s="1379">
        <f>AN205*(AN210+AN211)</f>
        <v>263.54561695487979</v>
      </c>
      <c r="AO212" s="1474"/>
      <c r="AP212" s="49"/>
      <c r="AQ212" s="1379">
        <f>AQ205*(AQ210+AQ211)</f>
        <v>12.467940175165559</v>
      </c>
      <c r="AR212" s="1379">
        <f>AR205*(AR210+AR211)</f>
        <v>250.33615793051115</v>
      </c>
      <c r="AS212" s="816" t="s">
        <v>2489</v>
      </c>
    </row>
    <row r="213" spans="2:45" x14ac:dyDescent="0.3">
      <c r="B213" s="29" t="s">
        <v>5706</v>
      </c>
      <c r="C213" s="49"/>
      <c r="D213" s="52"/>
      <c r="E213" s="52"/>
      <c r="F213" s="1379">
        <f>F212*F151</f>
        <v>16.412519936847765</v>
      </c>
      <c r="G213" s="1379">
        <f>G212*G151</f>
        <v>273.30905409781485</v>
      </c>
      <c r="H213" s="1729" t="str">
        <f t="shared" si="90"/>
        <v>gal/year</v>
      </c>
      <c r="I213" s="49"/>
      <c r="J213" s="1379">
        <f>J212*J151</f>
        <v>16.412519936847765</v>
      </c>
      <c r="K213" s="1379">
        <f>K212*K151</f>
        <v>258.88592103474423</v>
      </c>
      <c r="L213" s="1474"/>
      <c r="M213" s="49"/>
      <c r="N213" s="1379">
        <f>N212*N151</f>
        <v>16.305867072596378</v>
      </c>
      <c r="O213" s="1379">
        <f>O212*O151</f>
        <v>266.3419332396943</v>
      </c>
      <c r="P213" s="1474"/>
      <c r="Q213" s="49"/>
      <c r="R213" s="1379">
        <f>R212*R151</f>
        <v>16.207630644404816</v>
      </c>
      <c r="S213" s="1379">
        <f>S212*S151</f>
        <v>273.30333970545479</v>
      </c>
      <c r="T213" s="1474"/>
      <c r="U213" s="49"/>
      <c r="V213" s="1379">
        <f>V212*V151</f>
        <v>16.207630644404816</v>
      </c>
      <c r="W213" s="1379">
        <f>W212*W151</f>
        <v>267.83891906539225</v>
      </c>
      <c r="X213" s="1474"/>
      <c r="Y213" s="49"/>
      <c r="Z213" s="1379">
        <f>Z212*Z151</f>
        <v>16.207630644404816</v>
      </c>
      <c r="AA213" s="1379">
        <f>AA212*AA151</f>
        <v>273.30333970545479</v>
      </c>
      <c r="AB213" s="1474"/>
      <c r="AC213" s="49"/>
      <c r="AD213" s="1379">
        <f>AD212*AD151</f>
        <v>16.148233758110308</v>
      </c>
      <c r="AE213" s="1379">
        <f>AE212*AE151</f>
        <v>245.96098580826512</v>
      </c>
      <c r="AF213" s="1444" t="s">
        <v>2517</v>
      </c>
      <c r="AG213" s="1474"/>
      <c r="AH213" s="49"/>
      <c r="AI213" s="1379">
        <f>AI212*AI151</f>
        <v>16.148233758110308</v>
      </c>
      <c r="AJ213" s="1379">
        <f>AJ212*AJ151</f>
        <v>270.85704711806488</v>
      </c>
      <c r="AK213" s="1474"/>
      <c r="AL213" s="49"/>
      <c r="AM213" s="1379">
        <f>AM212*AM151</f>
        <v>16.14823375811034</v>
      </c>
      <c r="AN213" s="1379">
        <f>AN212*AN151</f>
        <v>263.54561695487979</v>
      </c>
      <c r="AO213" s="1474"/>
      <c r="AP213" s="49"/>
      <c r="AQ213" s="1379">
        <f>AQ212*AQ151</f>
        <v>24.935880350331118</v>
      </c>
      <c r="AR213" s="1379">
        <f>AR212*AR151</f>
        <v>250.33615793051115</v>
      </c>
      <c r="AS213" s="1444" t="s">
        <v>2517</v>
      </c>
    </row>
    <row r="214" spans="2:45" x14ac:dyDescent="0.3">
      <c r="B214" s="1405" t="s">
        <v>5707</v>
      </c>
      <c r="C214" s="1406"/>
      <c r="D214" s="1407"/>
      <c r="E214" s="1407"/>
      <c r="F214" s="1410"/>
      <c r="G214" s="1410"/>
      <c r="H214" s="1410"/>
      <c r="I214" s="2189"/>
      <c r="J214" s="1410"/>
      <c r="K214" s="1410"/>
      <c r="L214" s="1406"/>
      <c r="M214" s="2189"/>
      <c r="N214" s="1410"/>
      <c r="O214" s="1410"/>
      <c r="P214" s="1406"/>
      <c r="Q214" s="2189"/>
      <c r="R214" s="1410"/>
      <c r="S214" s="1410"/>
      <c r="T214" s="1406"/>
      <c r="U214" s="2189"/>
      <c r="V214" s="1410"/>
      <c r="W214" s="1410"/>
      <c r="X214" s="1406"/>
      <c r="Y214" s="2189"/>
      <c r="Z214" s="1410"/>
      <c r="AA214" s="1410"/>
      <c r="AB214" s="1406"/>
      <c r="AC214" s="2189"/>
      <c r="AD214" s="1410"/>
      <c r="AE214" s="1410"/>
      <c r="AF214" s="1411"/>
      <c r="AG214" s="1406"/>
      <c r="AH214" s="2189"/>
      <c r="AI214" s="1410"/>
      <c r="AJ214" s="1410"/>
      <c r="AK214" s="1406"/>
      <c r="AL214" s="2189"/>
      <c r="AM214" s="1410"/>
      <c r="AN214" s="1410"/>
      <c r="AO214" s="1406"/>
      <c r="AP214" s="2189"/>
      <c r="AQ214" s="1410"/>
      <c r="AR214" s="1410"/>
      <c r="AS214" s="1411"/>
    </row>
    <row r="215" spans="2:45" x14ac:dyDescent="0.3">
      <c r="B215" s="18" t="s">
        <v>5708</v>
      </c>
      <c r="C215" s="49"/>
      <c r="D215" s="52"/>
      <c r="E215" s="52"/>
      <c r="F215" s="1378">
        <f>UDV.dhl.applicator_pump_size</f>
        <v>3000</v>
      </c>
      <c r="G215" s="1378">
        <f>UDV.dhl.applicator_pump_size</f>
        <v>3000</v>
      </c>
      <c r="H215" s="1729" t="str">
        <f t="shared" si="90"/>
        <v>gal/min</v>
      </c>
      <c r="I215" s="49"/>
      <c r="J215" s="1378">
        <f>UDV.dhl.applicator_pump_size</f>
        <v>3000</v>
      </c>
      <c r="K215" s="1378">
        <f>UDV.dhl.applicator_pump_size</f>
        <v>3000</v>
      </c>
      <c r="L215" s="1474"/>
      <c r="M215" s="49"/>
      <c r="N215" s="1378">
        <f>UDV.dhl.applicator_pump_size</f>
        <v>3000</v>
      </c>
      <c r="O215" s="1378">
        <f>UDV.dhl.applicator_pump_size</f>
        <v>3000</v>
      </c>
      <c r="P215" s="1474"/>
      <c r="Q215" s="49"/>
      <c r="R215" s="1378">
        <f>UDV.dhl.applicator_pump_size</f>
        <v>3000</v>
      </c>
      <c r="S215" s="1378">
        <f>UDV.dhl.applicator_pump_size</f>
        <v>3000</v>
      </c>
      <c r="T215" s="1474"/>
      <c r="U215" s="49"/>
      <c r="V215" s="1378">
        <f>UDV.dhl.applicator_pump_size</f>
        <v>3000</v>
      </c>
      <c r="W215" s="1378">
        <f>UDV.dhl.applicator_pump_size</f>
        <v>3000</v>
      </c>
      <c r="X215" s="1474"/>
      <c r="Y215" s="49"/>
      <c r="Z215" s="1378">
        <f>UDV.dhl.applicator_pump_size</f>
        <v>3000</v>
      </c>
      <c r="AA215" s="1378">
        <f>UDV.dhl.applicator_pump_size</f>
        <v>3000</v>
      </c>
      <c r="AB215" s="1474"/>
      <c r="AC215" s="49"/>
      <c r="AD215" s="1378">
        <f>UDV.dhl.applicator_pump_size</f>
        <v>3000</v>
      </c>
      <c r="AE215" s="1378">
        <f>UDV.dhl.applicator_pump_size</f>
        <v>3000</v>
      </c>
      <c r="AF215" s="18" t="s">
        <v>2516</v>
      </c>
      <c r="AG215" s="1474"/>
      <c r="AH215" s="49"/>
      <c r="AI215" s="1378">
        <f>UDV.dhl.applicator_pump_size</f>
        <v>3000</v>
      </c>
      <c r="AJ215" s="1378">
        <f>UDV.dhl.applicator_pump_size</f>
        <v>3000</v>
      </c>
      <c r="AK215" s="1474"/>
      <c r="AL215" s="49"/>
      <c r="AM215" s="1378">
        <f>UDV.dhl.applicator_pump_size</f>
        <v>3000</v>
      </c>
      <c r="AN215" s="1378">
        <f>UDV.dhl.applicator_pump_size</f>
        <v>3000</v>
      </c>
      <c r="AO215" s="1474"/>
      <c r="AP215" s="49"/>
      <c r="AQ215" s="1378">
        <f>UDV.dhl.applicator_pump_size</f>
        <v>3000</v>
      </c>
      <c r="AR215" s="1378">
        <f>UDV.dhl.applicator_pump_size</f>
        <v>3000</v>
      </c>
      <c r="AS215" s="18" t="s">
        <v>2516</v>
      </c>
    </row>
    <row r="216" spans="2:45" x14ac:dyDescent="0.3">
      <c r="B216" s="18" t="s">
        <v>1162</v>
      </c>
      <c r="C216" s="49"/>
      <c r="D216" s="52"/>
      <c r="E216" s="52"/>
      <c r="F216" s="1378">
        <f>UDV.dhl.distance_booster</f>
        <v>2</v>
      </c>
      <c r="G216" s="1378">
        <f>UDV.dhl.distance_booster</f>
        <v>2</v>
      </c>
      <c r="H216" s="1729" t="str">
        <f>AS216</f>
        <v>miles/pump</v>
      </c>
      <c r="I216" s="49"/>
      <c r="J216" s="1378">
        <f>UDV.dhl.distance_booster</f>
        <v>2</v>
      </c>
      <c r="K216" s="1378">
        <f>UDV.dhl.distance_booster</f>
        <v>2</v>
      </c>
      <c r="L216" s="1474"/>
      <c r="M216" s="49"/>
      <c r="N216" s="1378">
        <f>UDV.dhl.distance_booster</f>
        <v>2</v>
      </c>
      <c r="O216" s="1378">
        <f>UDV.dhl.distance_booster</f>
        <v>2</v>
      </c>
      <c r="P216" s="1474"/>
      <c r="Q216" s="49"/>
      <c r="R216" s="1378">
        <f>UDV.dhl.distance_booster</f>
        <v>2</v>
      </c>
      <c r="S216" s="1378">
        <f>UDV.dhl.distance_booster</f>
        <v>2</v>
      </c>
      <c r="T216" s="1474"/>
      <c r="U216" s="49"/>
      <c r="V216" s="1378">
        <f>UDV.dhl.distance_booster</f>
        <v>2</v>
      </c>
      <c r="W216" s="1378">
        <f>UDV.dhl.distance_booster</f>
        <v>2</v>
      </c>
      <c r="X216" s="1474"/>
      <c r="Y216" s="49"/>
      <c r="Z216" s="1378">
        <f>UDV.dhl.distance_booster</f>
        <v>2</v>
      </c>
      <c r="AA216" s="1378">
        <f>UDV.dhl.distance_booster</f>
        <v>2</v>
      </c>
      <c r="AB216" s="1474"/>
      <c r="AC216" s="49"/>
      <c r="AD216" s="1378">
        <f>UDV.dhl.distance_booster</f>
        <v>2</v>
      </c>
      <c r="AE216" s="1378">
        <f>UDV.dhl.distance_booster</f>
        <v>2</v>
      </c>
      <c r="AF216" s="18" t="s">
        <v>5711</v>
      </c>
      <c r="AG216" s="1474"/>
      <c r="AH216" s="49"/>
      <c r="AI216" s="1378">
        <f>UDV.dhl.distance_booster</f>
        <v>2</v>
      </c>
      <c r="AJ216" s="1378">
        <f>UDV.dhl.distance_booster</f>
        <v>2</v>
      </c>
      <c r="AK216" s="1474"/>
      <c r="AL216" s="49"/>
      <c r="AM216" s="1378">
        <f>UDV.dhl.distance_booster</f>
        <v>2</v>
      </c>
      <c r="AN216" s="1378">
        <f>UDV.dhl.distance_booster</f>
        <v>2</v>
      </c>
      <c r="AO216" s="1474"/>
      <c r="AP216" s="49"/>
      <c r="AQ216" s="1378">
        <f>UDV.dhl.distance_booster</f>
        <v>2</v>
      </c>
      <c r="AR216" s="1378">
        <f>UDV.dhl.distance_booster</f>
        <v>2</v>
      </c>
      <c r="AS216" s="18" t="s">
        <v>5711</v>
      </c>
    </row>
    <row r="217" spans="2:45" x14ac:dyDescent="0.3">
      <c r="B217" s="666" t="s">
        <v>5709</v>
      </c>
      <c r="C217" s="49"/>
      <c r="D217" s="52"/>
      <c r="E217" s="52"/>
      <c r="F217" s="1379">
        <f>F207</f>
        <v>1</v>
      </c>
      <c r="G217" s="1379">
        <f>G207</f>
        <v>1</v>
      </c>
      <c r="H217" s="1729" t="str">
        <f t="shared" si="90"/>
        <v>quantity</v>
      </c>
      <c r="I217" s="49"/>
      <c r="J217" s="1379">
        <f>J207</f>
        <v>1</v>
      </c>
      <c r="K217" s="1379">
        <f>K207</f>
        <v>1</v>
      </c>
      <c r="L217" s="1474"/>
      <c r="M217" s="49"/>
      <c r="N217" s="1379">
        <f>N207</f>
        <v>1</v>
      </c>
      <c r="O217" s="1379">
        <f>O207</f>
        <v>1</v>
      </c>
      <c r="P217" s="1474"/>
      <c r="Q217" s="49"/>
      <c r="R217" s="1379">
        <f>R207</f>
        <v>1</v>
      </c>
      <c r="S217" s="1379">
        <f>S207</f>
        <v>1</v>
      </c>
      <c r="T217" s="1474"/>
      <c r="U217" s="49"/>
      <c r="V217" s="1379">
        <f>V207</f>
        <v>1</v>
      </c>
      <c r="W217" s="1379">
        <f>W207</f>
        <v>1</v>
      </c>
      <c r="X217" s="1474"/>
      <c r="Y217" s="49"/>
      <c r="Z217" s="1379">
        <f>Z207</f>
        <v>1</v>
      </c>
      <c r="AA217" s="1379">
        <f>AA207</f>
        <v>1</v>
      </c>
      <c r="AB217" s="1474"/>
      <c r="AC217" s="49"/>
      <c r="AD217" s="1379">
        <f>AD207</f>
        <v>1</v>
      </c>
      <c r="AE217" s="1379">
        <f>AE207</f>
        <v>1</v>
      </c>
      <c r="AF217" s="18" t="s">
        <v>2442</v>
      </c>
      <c r="AG217" s="1474"/>
      <c r="AH217" s="49"/>
      <c r="AI217" s="1379">
        <f>AI207</f>
        <v>1</v>
      </c>
      <c r="AJ217" s="1379">
        <f>AJ207</f>
        <v>1</v>
      </c>
      <c r="AK217" s="1474"/>
      <c r="AL217" s="49"/>
      <c r="AM217" s="1379">
        <f>AM207</f>
        <v>1</v>
      </c>
      <c r="AN217" s="1379">
        <f>AN207</f>
        <v>1</v>
      </c>
      <c r="AO217" s="1474"/>
      <c r="AP217" s="49"/>
      <c r="AQ217" s="1379">
        <f>AQ207</f>
        <v>1</v>
      </c>
      <c r="AR217" s="1379">
        <f>AR207</f>
        <v>1</v>
      </c>
      <c r="AS217" s="18" t="s">
        <v>2442</v>
      </c>
    </row>
    <row r="218" spans="2:45" x14ac:dyDescent="0.3">
      <c r="B218" s="61" t="s">
        <v>5712</v>
      </c>
      <c r="C218" s="49"/>
      <c r="D218" s="52"/>
      <c r="E218" s="52"/>
      <c r="F218" s="1521">
        <f>ROUNDDOWN(F150*F217/F216,0)</f>
        <v>1</v>
      </c>
      <c r="G218" s="1521">
        <f>ROUNDDOWN(G150*G217/G216,0)</f>
        <v>1</v>
      </c>
      <c r="H218" s="1729" t="str">
        <f>AS218</f>
        <v>quantity</v>
      </c>
      <c r="I218" s="49"/>
      <c r="J218" s="1521">
        <f>ROUNDDOWN(J150*J217/J216,0)</f>
        <v>1</v>
      </c>
      <c r="K218" s="1521">
        <f>ROUNDDOWN(K150*K217/K216,0)</f>
        <v>1</v>
      </c>
      <c r="L218" s="1474"/>
      <c r="M218" s="49"/>
      <c r="N218" s="1521">
        <f>ROUNDDOWN(N150*N217/N216,0)</f>
        <v>1</v>
      </c>
      <c r="O218" s="1521">
        <f>ROUNDDOWN(O150*O217/O216,0)</f>
        <v>1</v>
      </c>
      <c r="P218" s="1474"/>
      <c r="Q218" s="49"/>
      <c r="R218" s="1521">
        <f>ROUNDDOWN(R150*R217/R216,0)</f>
        <v>1</v>
      </c>
      <c r="S218" s="1521">
        <f>ROUNDDOWN(S150*S217/S216,0)</f>
        <v>1</v>
      </c>
      <c r="T218" s="1474"/>
      <c r="U218" s="49"/>
      <c r="V218" s="1521">
        <f>ROUNDDOWN(V150*V217/V216,0)</f>
        <v>1</v>
      </c>
      <c r="W218" s="1521">
        <f>ROUNDDOWN(W150*W217/W216,0)</f>
        <v>1</v>
      </c>
      <c r="X218" s="1474"/>
      <c r="Y218" s="49"/>
      <c r="Z218" s="1521">
        <f>ROUNDDOWN(Z150*Z217/Z216,0)</f>
        <v>1</v>
      </c>
      <c r="AA218" s="1521">
        <f>ROUNDDOWN(AA150*AA217/AA216,0)</f>
        <v>1</v>
      </c>
      <c r="AB218" s="1474"/>
      <c r="AC218" s="49"/>
      <c r="AD218" s="1521">
        <f>ROUNDDOWN(AD150*AD217/AD216,0)</f>
        <v>1</v>
      </c>
      <c r="AE218" s="1521">
        <f>ROUNDDOWN(AE150*AE217/AE216,0)</f>
        <v>1</v>
      </c>
      <c r="AF218" s="18" t="s">
        <v>2442</v>
      </c>
      <c r="AG218" s="1474"/>
      <c r="AH218" s="49"/>
      <c r="AI218" s="1521">
        <f>ROUNDDOWN(AI150*AI217/AI216,0)</f>
        <v>1</v>
      </c>
      <c r="AJ218" s="1521">
        <f>ROUNDDOWN(AJ150*AJ217/AJ216,0)</f>
        <v>1</v>
      </c>
      <c r="AK218" s="1474"/>
      <c r="AL218" s="49"/>
      <c r="AM218" s="1521">
        <f>ROUNDDOWN(AM150*AM217/AM216,0)</f>
        <v>1</v>
      </c>
      <c r="AN218" s="1521">
        <f>ROUNDDOWN(AN150*AN217/AN216,0)</f>
        <v>1</v>
      </c>
      <c r="AO218" s="1474"/>
      <c r="AP218" s="49"/>
      <c r="AQ218" s="1521">
        <f>ROUNDDOWN(AQ150*AQ217/AQ216,0)</f>
        <v>1</v>
      </c>
      <c r="AR218" s="1521">
        <f>ROUNDDOWN(AR150*AR217/AR216,0)</f>
        <v>1</v>
      </c>
      <c r="AS218" s="18" t="s">
        <v>2442</v>
      </c>
    </row>
    <row r="219" spans="2:45" x14ac:dyDescent="0.3">
      <c r="B219" s="61" t="s">
        <v>5710</v>
      </c>
      <c r="C219" s="49"/>
      <c r="D219" s="52"/>
      <c r="E219" s="52"/>
      <c r="F219" s="1379">
        <f>ROUNDUP(F207*F144,0)</f>
        <v>1</v>
      </c>
      <c r="G219" s="1379">
        <f>ROUNDUP(G207*G144,0)</f>
        <v>1</v>
      </c>
      <c r="H219" s="1729" t="str">
        <f>AS219</f>
        <v>quantity</v>
      </c>
      <c r="I219" s="49"/>
      <c r="J219" s="1379">
        <f>ROUNDUP(J207*J144,0)</f>
        <v>1</v>
      </c>
      <c r="K219" s="1379">
        <f>ROUNDUP(K207*K144,0)</f>
        <v>1</v>
      </c>
      <c r="L219" s="1474"/>
      <c r="M219" s="49"/>
      <c r="N219" s="1379">
        <f>ROUNDUP(N207*N144,0)</f>
        <v>1</v>
      </c>
      <c r="O219" s="1379">
        <f>ROUNDUP(O207*O144,0)</f>
        <v>1</v>
      </c>
      <c r="P219" s="1474"/>
      <c r="Q219" s="49"/>
      <c r="R219" s="1379">
        <f>ROUNDUP(R207*R144,0)</f>
        <v>1</v>
      </c>
      <c r="S219" s="1379">
        <f>ROUNDUP(S207*S144,0)</f>
        <v>1</v>
      </c>
      <c r="T219" s="1474"/>
      <c r="U219" s="49"/>
      <c r="V219" s="1379">
        <f>ROUNDUP(V207*V144,0)</f>
        <v>1</v>
      </c>
      <c r="W219" s="1379">
        <f>ROUNDUP(W207*W144,0)</f>
        <v>1</v>
      </c>
      <c r="X219" s="1474"/>
      <c r="Y219" s="49"/>
      <c r="Z219" s="1379">
        <f>ROUNDUP(Z207*Z144,0)</f>
        <v>1</v>
      </c>
      <c r="AA219" s="1379">
        <f>ROUNDUP(AA207*AA144,0)</f>
        <v>1</v>
      </c>
      <c r="AB219" s="1474"/>
      <c r="AC219" s="49"/>
      <c r="AD219" s="1379">
        <f>ROUNDUP(AD207*AD144,0)</f>
        <v>1</v>
      </c>
      <c r="AE219" s="1379">
        <f>ROUNDUP(AE207*AE144,0)</f>
        <v>1</v>
      </c>
      <c r="AF219" s="18" t="s">
        <v>2442</v>
      </c>
      <c r="AG219" s="1474"/>
      <c r="AH219" s="49"/>
      <c r="AI219" s="1379">
        <f>ROUNDUP(AI207*AI144,0)</f>
        <v>1</v>
      </c>
      <c r="AJ219" s="1379">
        <f>ROUNDUP(AJ207*AJ144,0)</f>
        <v>1</v>
      </c>
      <c r="AK219" s="1474"/>
      <c r="AL219" s="49"/>
      <c r="AM219" s="1379">
        <f>ROUNDUP(AM207*AM144,0)</f>
        <v>1</v>
      </c>
      <c r="AN219" s="1379">
        <f>ROUNDUP(AN207*AN144,0)</f>
        <v>1</v>
      </c>
      <c r="AO219" s="1474"/>
      <c r="AP219" s="49"/>
      <c r="AQ219" s="1379">
        <f>ROUNDUP(AQ207*AQ144,0)</f>
        <v>1</v>
      </c>
      <c r="AR219" s="1379">
        <f>ROUNDUP(AR207*AR144,0)</f>
        <v>1</v>
      </c>
      <c r="AS219" s="18" t="s">
        <v>2442</v>
      </c>
    </row>
    <row r="220" spans="2:45" x14ac:dyDescent="0.3">
      <c r="B220" s="61" t="s">
        <v>7472</v>
      </c>
      <c r="C220" s="49"/>
      <c r="D220" s="52"/>
      <c r="E220" s="52"/>
      <c r="F220" s="2332">
        <f>IF(F217&lt;1,0,1)</f>
        <v>1</v>
      </c>
      <c r="G220" s="2332">
        <f>IF(G217&lt;1,0,1)</f>
        <v>1</v>
      </c>
      <c r="H220" s="1729" t="str">
        <f t="shared" si="90"/>
        <v>quantity</v>
      </c>
      <c r="I220" s="49"/>
      <c r="J220" s="2332">
        <f>IF(J217&lt;1,0,1)</f>
        <v>1</v>
      </c>
      <c r="K220" s="2332">
        <f>IF(K217&lt;1,0,1)</f>
        <v>1</v>
      </c>
      <c r="L220" s="1474"/>
      <c r="M220" s="49"/>
      <c r="N220" s="2332">
        <f>IF(N217&lt;1,0,1)</f>
        <v>1</v>
      </c>
      <c r="O220" s="2332">
        <f>IF(O217&lt;1,0,1)</f>
        <v>1</v>
      </c>
      <c r="P220" s="1474"/>
      <c r="Q220" s="49"/>
      <c r="R220" s="2332">
        <f>IF(R217&lt;1,0,1)</f>
        <v>1</v>
      </c>
      <c r="S220" s="2332">
        <f>IF(S217&lt;1,0,1)</f>
        <v>1</v>
      </c>
      <c r="T220" s="1474"/>
      <c r="U220" s="49"/>
      <c r="V220" s="2332">
        <f>IF(V217&lt;1,0,1)</f>
        <v>1</v>
      </c>
      <c r="W220" s="2332">
        <f>IF(W217&lt;1,0,1)</f>
        <v>1</v>
      </c>
      <c r="X220" s="1474"/>
      <c r="Y220" s="49"/>
      <c r="Z220" s="2332">
        <f>IF(Z217&lt;1,0,1)</f>
        <v>1</v>
      </c>
      <c r="AA220" s="2332">
        <f>IF(AA217&lt;1,0,1)</f>
        <v>1</v>
      </c>
      <c r="AB220" s="1474"/>
      <c r="AC220" s="49"/>
      <c r="AD220" s="2332">
        <f>IF(AD217&lt;1,0,1)</f>
        <v>1</v>
      </c>
      <c r="AE220" s="2332">
        <f>IF(AE217&lt;1,0,1)</f>
        <v>1</v>
      </c>
      <c r="AF220" s="18"/>
      <c r="AG220" s="1474"/>
      <c r="AH220" s="49"/>
      <c r="AI220" s="2332">
        <f>IF(AI217&lt;1,0,1)</f>
        <v>1</v>
      </c>
      <c r="AJ220" s="2332">
        <f>IF(AJ217&lt;1,0,1)</f>
        <v>1</v>
      </c>
      <c r="AK220" s="1474"/>
      <c r="AL220" s="49"/>
      <c r="AM220" s="2332">
        <f>IF(AM217&lt;1,0,1)</f>
        <v>1</v>
      </c>
      <c r="AN220" s="2332">
        <f>IF(AN217&lt;1,0,1)</f>
        <v>1</v>
      </c>
      <c r="AO220" s="1474"/>
      <c r="AP220" s="49"/>
      <c r="AQ220" s="2332">
        <f>IF(AQ217&lt;1,0,1)</f>
        <v>1</v>
      </c>
      <c r="AR220" s="2332">
        <f>IF(AR217&lt;1,0,1)</f>
        <v>1</v>
      </c>
      <c r="AS220" s="18" t="s">
        <v>2442</v>
      </c>
    </row>
    <row r="221" spans="2:45" x14ac:dyDescent="0.3">
      <c r="B221" s="49" t="s">
        <v>7473</v>
      </c>
      <c r="C221" s="49"/>
      <c r="D221" s="52"/>
      <c r="E221" s="52"/>
      <c r="F221" s="2333">
        <f>UDV.dhl.lead_utilization*UDV.dhl.lead_pump_fuel*F217</f>
        <v>18</v>
      </c>
      <c r="G221" s="2333">
        <f>UDV.dhl.lead_utilization*UDV.dhl.lead_pump_fuel*G217</f>
        <v>18</v>
      </c>
      <c r="H221" s="1729" t="str">
        <f t="shared" si="90"/>
        <v>gal/hr</v>
      </c>
      <c r="I221" s="49"/>
      <c r="J221" s="2333">
        <f>UDV.dhl.lead_utilization*UDV.dhl.lead_pump_fuel*J217</f>
        <v>18</v>
      </c>
      <c r="K221" s="2333">
        <f>UDV.dhl.lead_utilization*UDV.dhl.lead_pump_fuel*K217</f>
        <v>18</v>
      </c>
      <c r="L221" s="1474"/>
      <c r="M221" s="49"/>
      <c r="N221" s="2333">
        <f>UDV.dhl.lead_utilization*UDV.dhl.lead_pump_fuel*N217</f>
        <v>18</v>
      </c>
      <c r="O221" s="2333">
        <f>UDV.dhl.lead_utilization*UDV.dhl.lead_pump_fuel*O217</f>
        <v>18</v>
      </c>
      <c r="P221" s="1474"/>
      <c r="Q221" s="49"/>
      <c r="R221" s="2333">
        <f>UDV.dhl.lead_utilization*UDV.dhl.lead_pump_fuel*R217</f>
        <v>18</v>
      </c>
      <c r="S221" s="2333">
        <f>UDV.dhl.lead_utilization*UDV.dhl.lead_pump_fuel*S217</f>
        <v>18</v>
      </c>
      <c r="T221" s="1474"/>
      <c r="U221" s="49"/>
      <c r="V221" s="2333">
        <f>UDV.dhl.lead_utilization*UDV.dhl.lead_pump_fuel*V217</f>
        <v>18</v>
      </c>
      <c r="W221" s="2333">
        <f>UDV.dhl.lead_utilization*UDV.dhl.lead_pump_fuel*W217</f>
        <v>18</v>
      </c>
      <c r="X221" s="1474"/>
      <c r="Y221" s="49"/>
      <c r="Z221" s="2333">
        <f>UDV.dhl.lead_utilization*UDV.dhl.lead_pump_fuel*Z217</f>
        <v>18</v>
      </c>
      <c r="AA221" s="2333">
        <f>UDV.dhl.lead_utilization*UDV.dhl.lead_pump_fuel*AA217</f>
        <v>18</v>
      </c>
      <c r="AB221" s="1474"/>
      <c r="AC221" s="49"/>
      <c r="AD221" s="2333">
        <f>UDV.dhl.lead_utilization*UDV.dhl.lead_pump_fuel*AD217</f>
        <v>18</v>
      </c>
      <c r="AE221" s="2333">
        <f>UDV.dhl.lead_utilization*UDV.dhl.lead_pump_fuel*AE217</f>
        <v>18</v>
      </c>
      <c r="AF221" s="18"/>
      <c r="AG221" s="1474"/>
      <c r="AH221" s="49"/>
      <c r="AI221" s="2333">
        <f>UDV.dhl.lead_utilization*UDV.dhl.lead_pump_fuel*AI217</f>
        <v>18</v>
      </c>
      <c r="AJ221" s="2333">
        <f>UDV.dhl.lead_utilization*UDV.dhl.lead_pump_fuel*AJ217</f>
        <v>18</v>
      </c>
      <c r="AK221" s="1474"/>
      <c r="AL221" s="49"/>
      <c r="AM221" s="2333">
        <f>UDV.dhl.lead_utilization*UDV.dhl.lead_pump_fuel*AM217</f>
        <v>18</v>
      </c>
      <c r="AN221" s="2333">
        <f>UDV.dhl.lead_utilization*UDV.dhl.lead_pump_fuel*AN217</f>
        <v>18</v>
      </c>
      <c r="AO221" s="1474"/>
      <c r="AP221" s="49"/>
      <c r="AQ221" s="2333">
        <f>UDV.dhl.lead_utilization*UDV.dhl.lead_pump_fuel*AQ217</f>
        <v>18</v>
      </c>
      <c r="AR221" s="2333">
        <f>UDV.dhl.lead_utilization*UDV.dhl.lead_pump_fuel*AR217</f>
        <v>18</v>
      </c>
      <c r="AS221" s="18" t="s">
        <v>2510</v>
      </c>
    </row>
    <row r="222" spans="2:45" x14ac:dyDescent="0.3">
      <c r="B222" s="49" t="s">
        <v>7474</v>
      </c>
      <c r="C222" s="49"/>
      <c r="D222" s="52"/>
      <c r="E222" s="52"/>
      <c r="F222" s="2333">
        <f>UDV.dhl.booster_utilization*UDV.dhl.booster_pump_fuel*F218</f>
        <v>7.5</v>
      </c>
      <c r="G222" s="2333">
        <f>UDV.dhl.booster_utilization*UDV.dhl.booster_pump_fuel*G218</f>
        <v>7.5</v>
      </c>
      <c r="H222" s="1729" t="str">
        <f t="shared" si="90"/>
        <v>gal/hr</v>
      </c>
      <c r="I222" s="49"/>
      <c r="J222" s="2333">
        <f>UDV.dhl.booster_utilization*UDV.dhl.booster_pump_fuel*J218</f>
        <v>7.5</v>
      </c>
      <c r="K222" s="2333">
        <f>UDV.dhl.booster_utilization*UDV.dhl.booster_pump_fuel*K218</f>
        <v>7.5</v>
      </c>
      <c r="L222" s="1474"/>
      <c r="M222" s="49"/>
      <c r="N222" s="2333">
        <f>UDV.dhl.booster_utilization*UDV.dhl.booster_pump_fuel*N218</f>
        <v>7.5</v>
      </c>
      <c r="O222" s="2333">
        <f>UDV.dhl.booster_utilization*UDV.dhl.booster_pump_fuel*O218</f>
        <v>7.5</v>
      </c>
      <c r="P222" s="1474"/>
      <c r="Q222" s="49"/>
      <c r="R222" s="2333">
        <f>UDV.dhl.booster_utilization*UDV.dhl.booster_pump_fuel*R218</f>
        <v>7.5</v>
      </c>
      <c r="S222" s="2333">
        <f>UDV.dhl.booster_utilization*UDV.dhl.booster_pump_fuel*S218</f>
        <v>7.5</v>
      </c>
      <c r="T222" s="1474"/>
      <c r="U222" s="49"/>
      <c r="V222" s="2333">
        <f>UDV.dhl.booster_utilization*UDV.dhl.booster_pump_fuel*V218</f>
        <v>7.5</v>
      </c>
      <c r="W222" s="2333">
        <f>UDV.dhl.booster_utilization*UDV.dhl.booster_pump_fuel*W218</f>
        <v>7.5</v>
      </c>
      <c r="X222" s="1474"/>
      <c r="Y222" s="49"/>
      <c r="Z222" s="2333">
        <f>UDV.dhl.booster_utilization*UDV.dhl.booster_pump_fuel*Z218</f>
        <v>7.5</v>
      </c>
      <c r="AA222" s="2333">
        <f>UDV.dhl.booster_utilization*UDV.dhl.booster_pump_fuel*AA218</f>
        <v>7.5</v>
      </c>
      <c r="AB222" s="1474"/>
      <c r="AC222" s="49"/>
      <c r="AD222" s="2333">
        <f>UDV.dhl.booster_utilization*UDV.dhl.booster_pump_fuel*AD218</f>
        <v>7.5</v>
      </c>
      <c r="AE222" s="2333">
        <f>UDV.dhl.booster_utilization*UDV.dhl.booster_pump_fuel*AE218</f>
        <v>7.5</v>
      </c>
      <c r="AF222" s="18"/>
      <c r="AG222" s="1474"/>
      <c r="AH222" s="49"/>
      <c r="AI222" s="2333">
        <f>UDV.dhl.booster_utilization*UDV.dhl.booster_pump_fuel*AI218</f>
        <v>7.5</v>
      </c>
      <c r="AJ222" s="2333">
        <f>UDV.dhl.booster_utilization*UDV.dhl.booster_pump_fuel*AJ218</f>
        <v>7.5</v>
      </c>
      <c r="AK222" s="1474"/>
      <c r="AL222" s="49"/>
      <c r="AM222" s="2333">
        <f>UDV.dhl.booster_utilization*UDV.dhl.booster_pump_fuel*AM218</f>
        <v>7.5</v>
      </c>
      <c r="AN222" s="2333">
        <f>UDV.dhl.booster_utilization*UDV.dhl.booster_pump_fuel*AN218</f>
        <v>7.5</v>
      </c>
      <c r="AO222" s="1474"/>
      <c r="AP222" s="49"/>
      <c r="AQ222" s="2333">
        <f>UDV.dhl.booster_utilization*UDV.dhl.booster_pump_fuel*AQ218</f>
        <v>7.5</v>
      </c>
      <c r="AR222" s="2333">
        <f>UDV.dhl.booster_utilization*UDV.dhl.booster_pump_fuel*AR218</f>
        <v>7.5</v>
      </c>
      <c r="AS222" s="18" t="s">
        <v>2510</v>
      </c>
    </row>
    <row r="223" spans="2:45" x14ac:dyDescent="0.3">
      <c r="B223" s="49" t="s">
        <v>7475</v>
      </c>
      <c r="C223" s="49"/>
      <c r="D223" s="52"/>
      <c r="E223" s="52"/>
      <c r="F223" s="2333">
        <f>UDV.dhl.agitation_utilization*UDV.dhl.agitation_trailer_fuel*F219</f>
        <v>6</v>
      </c>
      <c r="G223" s="2333">
        <f>UDV.dhl.agitation_utilization*UDV.dhl.agitation_trailer_fuel*G219</f>
        <v>6</v>
      </c>
      <c r="H223" s="1729" t="str">
        <f t="shared" si="90"/>
        <v>gal/hr</v>
      </c>
      <c r="I223" s="49"/>
      <c r="J223" s="2333">
        <f>UDV.dhl.agitation_utilization*UDV.dhl.agitation_trailer_fuel*J219</f>
        <v>6</v>
      </c>
      <c r="K223" s="2333">
        <f>UDV.dhl.agitation_utilization*UDV.dhl.agitation_trailer_fuel*K219</f>
        <v>6</v>
      </c>
      <c r="L223" s="1474"/>
      <c r="M223" s="49"/>
      <c r="N223" s="2333">
        <f>UDV.dhl.agitation_utilization*UDV.dhl.agitation_trailer_fuel*N219</f>
        <v>6</v>
      </c>
      <c r="O223" s="2333">
        <f>UDV.dhl.agitation_utilization*UDV.dhl.agitation_trailer_fuel*O219</f>
        <v>6</v>
      </c>
      <c r="P223" s="1474"/>
      <c r="Q223" s="49"/>
      <c r="R223" s="2333">
        <f>UDV.dhl.agitation_utilization*UDV.dhl.agitation_trailer_fuel*R219</f>
        <v>6</v>
      </c>
      <c r="S223" s="2333">
        <f>UDV.dhl.agitation_utilization*UDV.dhl.agitation_trailer_fuel*S219</f>
        <v>6</v>
      </c>
      <c r="T223" s="1474"/>
      <c r="U223" s="49"/>
      <c r="V223" s="2333">
        <f>UDV.dhl.agitation_utilization*UDV.dhl.agitation_trailer_fuel*V219</f>
        <v>6</v>
      </c>
      <c r="W223" s="2333">
        <f>UDV.dhl.agitation_utilization*UDV.dhl.agitation_trailer_fuel*W219</f>
        <v>6</v>
      </c>
      <c r="X223" s="1474"/>
      <c r="Y223" s="49"/>
      <c r="Z223" s="2333">
        <f>UDV.dhl.agitation_utilization*UDV.dhl.agitation_trailer_fuel*Z219</f>
        <v>6</v>
      </c>
      <c r="AA223" s="2333">
        <f>UDV.dhl.agitation_utilization*UDV.dhl.agitation_trailer_fuel*AA219</f>
        <v>6</v>
      </c>
      <c r="AB223" s="1474"/>
      <c r="AC223" s="49"/>
      <c r="AD223" s="2333">
        <f>UDV.dhl.agitation_utilization*UDV.dhl.agitation_trailer_fuel*AD219</f>
        <v>6</v>
      </c>
      <c r="AE223" s="2333">
        <f>UDV.dhl.agitation_utilization*UDV.dhl.agitation_trailer_fuel*AE219</f>
        <v>6</v>
      </c>
      <c r="AF223" s="18"/>
      <c r="AG223" s="1474"/>
      <c r="AH223" s="49"/>
      <c r="AI223" s="2333">
        <f>UDV.dhl.agitation_utilization*UDV.dhl.agitation_trailer_fuel*AI219</f>
        <v>6</v>
      </c>
      <c r="AJ223" s="2333">
        <f>UDV.dhl.agitation_utilization*UDV.dhl.agitation_trailer_fuel*AJ219</f>
        <v>6</v>
      </c>
      <c r="AK223" s="1474"/>
      <c r="AL223" s="49"/>
      <c r="AM223" s="2333">
        <f>UDV.dhl.agitation_utilization*UDV.dhl.agitation_trailer_fuel*AM219</f>
        <v>6</v>
      </c>
      <c r="AN223" s="2333">
        <f>UDV.dhl.agitation_utilization*UDV.dhl.agitation_trailer_fuel*AN219</f>
        <v>6</v>
      </c>
      <c r="AO223" s="1474"/>
      <c r="AP223" s="49"/>
      <c r="AQ223" s="2333">
        <f>UDV.dhl.agitation_utilization*UDV.dhl.agitation_trailer_fuel*AQ219</f>
        <v>6</v>
      </c>
      <c r="AR223" s="2333">
        <f>UDV.dhl.agitation_utilization*UDV.dhl.agitation_trailer_fuel*AR219</f>
        <v>6</v>
      </c>
      <c r="AS223" s="18" t="s">
        <v>2510</v>
      </c>
    </row>
    <row r="224" spans="2:45" x14ac:dyDescent="0.3">
      <c r="B224" s="49" t="s">
        <v>7476</v>
      </c>
      <c r="C224" s="49"/>
      <c r="D224" s="52"/>
      <c r="E224" s="52"/>
      <c r="F224" s="2333">
        <f>UDV.dhl.pickup_utilization*UDV.dhl.pick_up_fuel*F220</f>
        <v>0.89999999999999991</v>
      </c>
      <c r="G224" s="2333">
        <f>UDV.dhl.pickup_utilization*UDV.dhl.pick_up_fuel*G220</f>
        <v>0.89999999999999991</v>
      </c>
      <c r="H224" s="1729" t="str">
        <f t="shared" si="90"/>
        <v>gal/hr</v>
      </c>
      <c r="I224" s="49"/>
      <c r="J224" s="2333">
        <f>UDV.dhl.pickup_utilization*UDV.dhl.pick_up_fuel*J220</f>
        <v>0.89999999999999991</v>
      </c>
      <c r="K224" s="2333">
        <f>UDV.dhl.pickup_utilization*UDV.dhl.pick_up_fuel*K220</f>
        <v>0.89999999999999991</v>
      </c>
      <c r="L224" s="1474"/>
      <c r="M224" s="49"/>
      <c r="N224" s="2333">
        <f>UDV.dhl.pickup_utilization*UDV.dhl.pick_up_fuel*N220</f>
        <v>0.89999999999999991</v>
      </c>
      <c r="O224" s="2333">
        <f>UDV.dhl.pickup_utilization*UDV.dhl.pick_up_fuel*O220</f>
        <v>0.89999999999999991</v>
      </c>
      <c r="P224" s="1474"/>
      <c r="Q224" s="49"/>
      <c r="R224" s="2333">
        <f>UDV.dhl.pickup_utilization*UDV.dhl.pick_up_fuel*R220</f>
        <v>0.89999999999999991</v>
      </c>
      <c r="S224" s="2333">
        <f>UDV.dhl.pickup_utilization*UDV.dhl.pick_up_fuel*S220</f>
        <v>0.89999999999999991</v>
      </c>
      <c r="T224" s="1474"/>
      <c r="U224" s="49"/>
      <c r="V224" s="2333">
        <f>UDV.dhl.pickup_utilization*UDV.dhl.pick_up_fuel*V220</f>
        <v>0.89999999999999991</v>
      </c>
      <c r="W224" s="2333">
        <f>UDV.dhl.pickup_utilization*UDV.dhl.pick_up_fuel*W220</f>
        <v>0.89999999999999991</v>
      </c>
      <c r="X224" s="1474"/>
      <c r="Y224" s="49"/>
      <c r="Z224" s="2333">
        <f>UDV.dhl.pickup_utilization*UDV.dhl.pick_up_fuel*Z220</f>
        <v>0.89999999999999991</v>
      </c>
      <c r="AA224" s="2333">
        <f>UDV.dhl.pickup_utilization*UDV.dhl.pick_up_fuel*AA220</f>
        <v>0.89999999999999991</v>
      </c>
      <c r="AB224" s="1474"/>
      <c r="AC224" s="49"/>
      <c r="AD224" s="2333">
        <f>UDV.dhl.pickup_utilization*UDV.dhl.pick_up_fuel*AD220</f>
        <v>0.89999999999999991</v>
      </c>
      <c r="AE224" s="2333">
        <f>UDV.dhl.pickup_utilization*UDV.dhl.pick_up_fuel*AE220</f>
        <v>0.89999999999999991</v>
      </c>
      <c r="AF224" s="18"/>
      <c r="AG224" s="1474"/>
      <c r="AH224" s="49"/>
      <c r="AI224" s="2333">
        <f>UDV.dhl.pickup_utilization*UDV.dhl.pick_up_fuel*AI220</f>
        <v>0.89999999999999991</v>
      </c>
      <c r="AJ224" s="2333">
        <f>UDV.dhl.pickup_utilization*UDV.dhl.pick_up_fuel*AJ220</f>
        <v>0.89999999999999991</v>
      </c>
      <c r="AK224" s="1474"/>
      <c r="AL224" s="49"/>
      <c r="AM224" s="2333">
        <f>UDV.dhl.pickup_utilization*UDV.dhl.pick_up_fuel*AM220</f>
        <v>0.89999999999999991</v>
      </c>
      <c r="AN224" s="2333">
        <f>UDV.dhl.pickup_utilization*UDV.dhl.pick_up_fuel*AN220</f>
        <v>0.89999999999999991</v>
      </c>
      <c r="AO224" s="1474"/>
      <c r="AP224" s="49"/>
      <c r="AQ224" s="2333">
        <f>UDV.dhl.pickup_utilization*UDV.dhl.pick_up_fuel*AQ220</f>
        <v>0.89999999999999991</v>
      </c>
      <c r="AR224" s="2333">
        <f>UDV.dhl.pickup_utilization*UDV.dhl.pick_up_fuel*AR220</f>
        <v>0.89999999999999991</v>
      </c>
      <c r="AS224" s="18" t="s">
        <v>2510</v>
      </c>
    </row>
    <row r="225" spans="2:45" x14ac:dyDescent="0.3">
      <c r="B225" s="666" t="s">
        <v>5713</v>
      </c>
      <c r="C225" s="9"/>
      <c r="D225" s="52"/>
      <c r="E225" s="52"/>
      <c r="F225" s="1380">
        <f>F204</f>
        <v>0.1762815769123536</v>
      </c>
      <c r="G225" s="1380">
        <f>G204</f>
        <v>5.8710485929243621</v>
      </c>
      <c r="H225" s="1729" t="str">
        <f t="shared" si="90"/>
        <v>hr/event</v>
      </c>
      <c r="I225" s="49"/>
      <c r="J225" s="1380">
        <f>J204</f>
        <v>0.1762815769123536</v>
      </c>
      <c r="K225" s="1380">
        <f>K204</f>
        <v>5.5612201631453919</v>
      </c>
      <c r="L225" s="1474"/>
      <c r="M225" s="49"/>
      <c r="N225" s="1380">
        <f>N204</f>
        <v>0.17513605293646226</v>
      </c>
      <c r="O225" s="1380">
        <f>O204</f>
        <v>5.7213854021243842</v>
      </c>
      <c r="P225" s="1474"/>
      <c r="Q225" s="49"/>
      <c r="R225" s="1380">
        <f>R204</f>
        <v>0.17408092718255735</v>
      </c>
      <c r="S225" s="1380">
        <f>S204</f>
        <v>5.8709258400381259</v>
      </c>
      <c r="T225" s="1474"/>
      <c r="U225" s="49"/>
      <c r="V225" s="1380">
        <f>V204</f>
        <v>0.17408092718255735</v>
      </c>
      <c r="W225" s="1380">
        <f>W204</f>
        <v>5.7535426848554803</v>
      </c>
      <c r="X225" s="1474"/>
      <c r="Y225" s="49"/>
      <c r="Z225" s="1380">
        <f>Z204</f>
        <v>0.17408092718255735</v>
      </c>
      <c r="AA225" s="1380">
        <f>AA204</f>
        <v>5.8709258400381259</v>
      </c>
      <c r="AB225" s="1474"/>
      <c r="AC225" s="49"/>
      <c r="AD225" s="1380">
        <f>AD204</f>
        <v>0.17344296440658091</v>
      </c>
      <c r="AE225" s="1380">
        <f>AE204</f>
        <v>5.2835750517327966</v>
      </c>
      <c r="AF225" s="18" t="s">
        <v>2462</v>
      </c>
      <c r="AG225" s="1474"/>
      <c r="AH225" s="49"/>
      <c r="AI225" s="1380">
        <f>AI204</f>
        <v>0.17344296440658091</v>
      </c>
      <c r="AJ225" s="1380">
        <f>AJ204</f>
        <v>5.8183761625293213</v>
      </c>
      <c r="AK225" s="1474"/>
      <c r="AL225" s="49"/>
      <c r="AM225" s="1380">
        <f>AM204</f>
        <v>0.17344296440658125</v>
      </c>
      <c r="AN225" s="1380">
        <f>AN204</f>
        <v>5.6613167415982097</v>
      </c>
      <c r="AO225" s="1474"/>
      <c r="AP225" s="49"/>
      <c r="AQ225" s="1380">
        <f>AQ204</f>
        <v>0.26782823885473367</v>
      </c>
      <c r="AR225" s="1380">
        <f>AR204</f>
        <v>5.3775596737092108</v>
      </c>
      <c r="AS225" s="18" t="s">
        <v>2462</v>
      </c>
    </row>
    <row r="226" spans="2:45" x14ac:dyDescent="0.3">
      <c r="B226" s="61" t="s">
        <v>5714</v>
      </c>
      <c r="C226" s="2336"/>
      <c r="D226" s="52"/>
      <c r="E226" s="98"/>
      <c r="F226" s="1379">
        <f>F221*F225</f>
        <v>3.1730683844223648</v>
      </c>
      <c r="G226" s="1379">
        <f>G221*G225</f>
        <v>105.67887467263851</v>
      </c>
      <c r="H226" s="1729" t="str">
        <f t="shared" si="90"/>
        <v>gal/event</v>
      </c>
      <c r="I226" s="49"/>
      <c r="J226" s="1379">
        <f>J221*J225</f>
        <v>3.1730683844223648</v>
      </c>
      <c r="K226" s="1379">
        <f>K221*K225</f>
        <v>100.10196293661706</v>
      </c>
      <c r="L226" s="1474"/>
      <c r="M226" s="49"/>
      <c r="N226" s="1379">
        <f>N221*N225</f>
        <v>3.1524489528563207</v>
      </c>
      <c r="O226" s="1379">
        <f>O221*O225</f>
        <v>102.98493723823891</v>
      </c>
      <c r="P226" s="1474"/>
      <c r="Q226" s="49"/>
      <c r="R226" s="1379">
        <f>R221*R225</f>
        <v>3.1334566892860325</v>
      </c>
      <c r="S226" s="1379">
        <f>S221*S225</f>
        <v>105.67666512068627</v>
      </c>
      <c r="T226" s="1474"/>
      <c r="U226" s="49"/>
      <c r="V226" s="1379">
        <f>V221*V225</f>
        <v>3.1334566892860325</v>
      </c>
      <c r="W226" s="1379">
        <f>W221*W225</f>
        <v>103.56376832739865</v>
      </c>
      <c r="X226" s="1474"/>
      <c r="Y226" s="49"/>
      <c r="Z226" s="1379">
        <f>Z221*Z225</f>
        <v>3.1334566892860325</v>
      </c>
      <c r="AA226" s="1379">
        <f>AA221*AA225</f>
        <v>105.67666512068627</v>
      </c>
      <c r="AB226" s="1474"/>
      <c r="AC226" s="49"/>
      <c r="AD226" s="1379">
        <f>AD221*AD225</f>
        <v>3.1219733593184564</v>
      </c>
      <c r="AE226" s="1379">
        <f>AE221*AE225</f>
        <v>95.104350931190339</v>
      </c>
      <c r="AF226" s="816" t="s">
        <v>2489</v>
      </c>
      <c r="AG226" s="1474"/>
      <c r="AH226" s="49"/>
      <c r="AI226" s="1379">
        <f>AI221*AI225</f>
        <v>3.1219733593184564</v>
      </c>
      <c r="AJ226" s="1379">
        <f>AJ221*AJ225</f>
        <v>104.73077092552778</v>
      </c>
      <c r="AK226" s="1474"/>
      <c r="AL226" s="49"/>
      <c r="AM226" s="1379">
        <f>AM221*AM225</f>
        <v>3.1219733593184626</v>
      </c>
      <c r="AN226" s="1379">
        <f>AN221*AN225</f>
        <v>101.90370134876778</v>
      </c>
      <c r="AO226" s="1474"/>
      <c r="AP226" s="49"/>
      <c r="AQ226" s="1379">
        <f>AQ221*AQ225</f>
        <v>4.8209082993852057</v>
      </c>
      <c r="AR226" s="1379">
        <f>AR221*AR225</f>
        <v>96.796074126765802</v>
      </c>
      <c r="AS226" s="816" t="s">
        <v>2489</v>
      </c>
    </row>
    <row r="227" spans="2:45" x14ac:dyDescent="0.3">
      <c r="B227" s="666" t="s">
        <v>5715</v>
      </c>
      <c r="C227" s="2336"/>
      <c r="D227" s="52"/>
      <c r="E227" s="98"/>
      <c r="F227" s="1379">
        <f>F222*F225</f>
        <v>1.3221118268426519</v>
      </c>
      <c r="G227" s="1379">
        <f>G222*G225</f>
        <v>44.032864446932713</v>
      </c>
      <c r="H227" s="1729" t="str">
        <f t="shared" si="90"/>
        <v>gal/event</v>
      </c>
      <c r="I227" s="49"/>
      <c r="J227" s="1379">
        <f>J222*J225</f>
        <v>1.3221118268426519</v>
      </c>
      <c r="K227" s="1379">
        <f>K222*K225</f>
        <v>41.709151223590439</v>
      </c>
      <c r="L227" s="1474"/>
      <c r="M227" s="49"/>
      <c r="N227" s="1379">
        <f>N222*N225</f>
        <v>1.313520397023467</v>
      </c>
      <c r="O227" s="1379">
        <f>O222*O225</f>
        <v>42.910390515932882</v>
      </c>
      <c r="P227" s="1474"/>
      <c r="Q227" s="49"/>
      <c r="R227" s="1379">
        <f>R222*R225</f>
        <v>1.3056069538691801</v>
      </c>
      <c r="S227" s="1379">
        <f>S222*S225</f>
        <v>44.031943800285944</v>
      </c>
      <c r="T227" s="1474"/>
      <c r="U227" s="49"/>
      <c r="V227" s="1379">
        <f>V222*V225</f>
        <v>1.3056069538691801</v>
      </c>
      <c r="W227" s="1379">
        <f>W222*W225</f>
        <v>43.151570136416105</v>
      </c>
      <c r="X227" s="1474"/>
      <c r="Y227" s="49"/>
      <c r="Z227" s="1379">
        <f>Z222*Z225</f>
        <v>1.3056069538691801</v>
      </c>
      <c r="AA227" s="1379">
        <f>AA222*AA225</f>
        <v>44.031943800285944</v>
      </c>
      <c r="AB227" s="1474"/>
      <c r="AC227" s="49"/>
      <c r="AD227" s="1379">
        <f>AD222*AD225</f>
        <v>1.3008222330493568</v>
      </c>
      <c r="AE227" s="1379">
        <f>AE222*AE225</f>
        <v>39.626812887995975</v>
      </c>
      <c r="AF227" s="816" t="s">
        <v>2489</v>
      </c>
      <c r="AG227" s="1474"/>
      <c r="AH227" s="49"/>
      <c r="AI227" s="1379">
        <f>AI222*AI225</f>
        <v>1.3008222330493568</v>
      </c>
      <c r="AJ227" s="1379">
        <f>AJ222*AJ225</f>
        <v>43.637821218969911</v>
      </c>
      <c r="AK227" s="1474"/>
      <c r="AL227" s="49"/>
      <c r="AM227" s="1379">
        <f>AM222*AM225</f>
        <v>1.3008222330493593</v>
      </c>
      <c r="AN227" s="1379">
        <f>AN222*AN225</f>
        <v>42.459875561986571</v>
      </c>
      <c r="AO227" s="1474"/>
      <c r="AP227" s="49"/>
      <c r="AQ227" s="1379">
        <f>AQ222*AQ225</f>
        <v>2.0087117914105024</v>
      </c>
      <c r="AR227" s="1379">
        <f>AR222*AR225</f>
        <v>40.33169755281908</v>
      </c>
      <c r="AS227" s="816" t="s">
        <v>2489</v>
      </c>
    </row>
    <row r="228" spans="2:45" x14ac:dyDescent="0.3">
      <c r="B228" s="61" t="s">
        <v>5716</v>
      </c>
      <c r="C228" s="2336"/>
      <c r="D228" s="52"/>
      <c r="E228" s="98"/>
      <c r="F228" s="1379">
        <f>F223*F225</f>
        <v>1.0576894614741217</v>
      </c>
      <c r="G228" s="1379">
        <f>G223*G225</f>
        <v>35.226291557546176</v>
      </c>
      <c r="H228" s="1729" t="str">
        <f t="shared" si="90"/>
        <v>gal/event</v>
      </c>
      <c r="I228" s="49"/>
      <c r="J228" s="1379">
        <f>J223*J225</f>
        <v>1.0576894614741217</v>
      </c>
      <c r="K228" s="1379">
        <f>K223*K225</f>
        <v>33.36732097887235</v>
      </c>
      <c r="L228" s="1474"/>
      <c r="M228" s="49"/>
      <c r="N228" s="1379">
        <f>N223*N225</f>
        <v>1.0508163176187735</v>
      </c>
      <c r="O228" s="1379">
        <f>O223*O225</f>
        <v>34.328312412746307</v>
      </c>
      <c r="P228" s="1474"/>
      <c r="Q228" s="49"/>
      <c r="R228" s="1379">
        <f>R223*R225</f>
        <v>1.044485563095344</v>
      </c>
      <c r="S228" s="1379">
        <f>S223*S225</f>
        <v>35.225555040228755</v>
      </c>
      <c r="T228" s="1474"/>
      <c r="U228" s="49"/>
      <c r="V228" s="1379">
        <f>V223*V225</f>
        <v>1.044485563095344</v>
      </c>
      <c r="W228" s="1379">
        <f>W223*W225</f>
        <v>34.521256109132878</v>
      </c>
      <c r="X228" s="1474"/>
      <c r="Y228" s="49"/>
      <c r="Z228" s="1379">
        <f>Z223*Z225</f>
        <v>1.044485563095344</v>
      </c>
      <c r="AA228" s="1379">
        <f>AA223*AA225</f>
        <v>35.225555040228755</v>
      </c>
      <c r="AB228" s="1474"/>
      <c r="AC228" s="49"/>
      <c r="AD228" s="1379">
        <f>AD223*AD225</f>
        <v>1.0406577864394855</v>
      </c>
      <c r="AE228" s="1379">
        <f>AE223*AE225</f>
        <v>31.70145031039678</v>
      </c>
      <c r="AF228" s="816" t="s">
        <v>2489</v>
      </c>
      <c r="AG228" s="1474"/>
      <c r="AH228" s="49"/>
      <c r="AI228" s="1379">
        <f>AI223*AI225</f>
        <v>1.0406577864394855</v>
      </c>
      <c r="AJ228" s="1379">
        <f>AJ223*AJ225</f>
        <v>34.910256975175926</v>
      </c>
      <c r="AK228" s="1474"/>
      <c r="AL228" s="49"/>
      <c r="AM228" s="1379">
        <f>AM223*AM225</f>
        <v>1.0406577864394875</v>
      </c>
      <c r="AN228" s="1379">
        <f>AN223*AN225</f>
        <v>33.967900449589258</v>
      </c>
      <c r="AO228" s="1474"/>
      <c r="AP228" s="49"/>
      <c r="AQ228" s="1379">
        <f>AQ223*AQ225</f>
        <v>1.6069694331284019</v>
      </c>
      <c r="AR228" s="1379">
        <f>AR223*AR225</f>
        <v>32.265358042255265</v>
      </c>
      <c r="AS228" s="816" t="s">
        <v>2489</v>
      </c>
    </row>
    <row r="229" spans="2:45" x14ac:dyDescent="0.3">
      <c r="B229" s="61" t="s">
        <v>5717</v>
      </c>
      <c r="C229" s="2336"/>
      <c r="D229" s="52"/>
      <c r="E229" s="52"/>
      <c r="F229" s="1379">
        <f>F224*F225</f>
        <v>0.15865341922111822</v>
      </c>
      <c r="G229" s="1379">
        <f>G224*G225</f>
        <v>5.2839437336319257</v>
      </c>
      <c r="H229" s="1729" t="str">
        <f t="shared" si="90"/>
        <v>gal/event</v>
      </c>
      <c r="I229" s="49"/>
      <c r="J229" s="1379">
        <f>J224*J225</f>
        <v>0.15865341922111822</v>
      </c>
      <c r="K229" s="1379">
        <f>K224*K225</f>
        <v>5.0050981468308526</v>
      </c>
      <c r="L229" s="1474"/>
      <c r="M229" s="49"/>
      <c r="N229" s="1379">
        <f>N224*N225</f>
        <v>0.15762244764281602</v>
      </c>
      <c r="O229" s="1379">
        <f>O224*O225</f>
        <v>5.1492468619119451</v>
      </c>
      <c r="P229" s="1474"/>
      <c r="Q229" s="49"/>
      <c r="R229" s="1379">
        <f>R224*R225</f>
        <v>0.15667283446430161</v>
      </c>
      <c r="S229" s="1379">
        <f>S224*S225</f>
        <v>5.2838332560343124</v>
      </c>
      <c r="T229" s="1474"/>
      <c r="U229" s="49"/>
      <c r="V229" s="1379">
        <f>V224*V225</f>
        <v>0.15667283446430161</v>
      </c>
      <c r="W229" s="1379">
        <f>W224*W225</f>
        <v>5.1781884163699319</v>
      </c>
      <c r="X229" s="1474"/>
      <c r="Y229" s="49"/>
      <c r="Z229" s="1379">
        <f>Z224*Z225</f>
        <v>0.15667283446430161</v>
      </c>
      <c r="AA229" s="1379">
        <f>AA224*AA225</f>
        <v>5.2838332560343124</v>
      </c>
      <c r="AB229" s="1474"/>
      <c r="AC229" s="49"/>
      <c r="AD229" s="1379">
        <f>AD224*AD225</f>
        <v>0.15609866796592281</v>
      </c>
      <c r="AE229" s="1379">
        <f>AE224*AE225</f>
        <v>4.7552175465595168</v>
      </c>
      <c r="AF229" s="816" t="s">
        <v>2489</v>
      </c>
      <c r="AG229" s="1474"/>
      <c r="AH229" s="49"/>
      <c r="AI229" s="1379">
        <f>AI224*AI225</f>
        <v>0.15609866796592281</v>
      </c>
      <c r="AJ229" s="1379">
        <f>AJ224*AJ225</f>
        <v>5.2365385462763889</v>
      </c>
      <c r="AK229" s="1474"/>
      <c r="AL229" s="49"/>
      <c r="AM229" s="1379">
        <f>AM224*AM225</f>
        <v>0.15609866796592312</v>
      </c>
      <c r="AN229" s="1379">
        <f>AN224*AN225</f>
        <v>5.0951850674383881</v>
      </c>
      <c r="AO229" s="1474"/>
      <c r="AP229" s="49"/>
      <c r="AQ229" s="1379">
        <f>AQ224*AQ225</f>
        <v>0.24104541496926027</v>
      </c>
      <c r="AR229" s="1379">
        <f>AR224*AR225</f>
        <v>4.839803706338289</v>
      </c>
      <c r="AS229" s="816" t="s">
        <v>2489</v>
      </c>
    </row>
    <row r="230" spans="2:45" x14ac:dyDescent="0.3">
      <c r="B230" s="18" t="s">
        <v>5718</v>
      </c>
      <c r="C230" s="49"/>
      <c r="D230" s="52"/>
      <c r="E230" s="52"/>
      <c r="F230" s="1379">
        <f>F226+F227+F228+F229</f>
        <v>5.7115230919602569</v>
      </c>
      <c r="G230" s="1379">
        <f>G226+G227+G228+G229</f>
        <v>190.22197441074934</v>
      </c>
      <c r="H230" s="1729" t="str">
        <f t="shared" si="90"/>
        <v>gal/event</v>
      </c>
      <c r="I230" s="49"/>
      <c r="J230" s="1379">
        <f>J226+J227+J228+J229</f>
        <v>5.7115230919602569</v>
      </c>
      <c r="K230" s="1379">
        <f>K226+K227+K228+K229</f>
        <v>180.1835332859107</v>
      </c>
      <c r="L230" s="1474"/>
      <c r="M230" s="49"/>
      <c r="N230" s="1379">
        <f>N226+N227+N228+N229</f>
        <v>5.674408115141377</v>
      </c>
      <c r="O230" s="1379">
        <f>O226+O227+O228+O229</f>
        <v>185.37288702883004</v>
      </c>
      <c r="P230" s="1474"/>
      <c r="Q230" s="49"/>
      <c r="R230" s="1379">
        <f>R226+R227+R228+R229</f>
        <v>5.6402220407148578</v>
      </c>
      <c r="S230" s="1379">
        <f>S226+S227+S228+S229</f>
        <v>190.21799721723528</v>
      </c>
      <c r="T230" s="1474"/>
      <c r="U230" s="49"/>
      <c r="V230" s="1379">
        <f>V226+V227+V228+V229</f>
        <v>5.6402220407148578</v>
      </c>
      <c r="W230" s="1379">
        <f>W226+W227+W228+W229</f>
        <v>186.41478298931756</v>
      </c>
      <c r="X230" s="1474"/>
      <c r="Y230" s="49"/>
      <c r="Z230" s="1379">
        <f>Z226+Z227+Z228+Z229</f>
        <v>5.6402220407148578</v>
      </c>
      <c r="AA230" s="1379">
        <f>AA226+AA227+AA228+AA229</f>
        <v>190.21799721723528</v>
      </c>
      <c r="AB230" s="1474"/>
      <c r="AC230" s="49"/>
      <c r="AD230" s="1379">
        <f>AD226+AD227+AD228+AD229</f>
        <v>5.6195520467732214</v>
      </c>
      <c r="AE230" s="1379">
        <f>AE226+AE227+AE228+AE229</f>
        <v>171.18783167614262</v>
      </c>
      <c r="AF230" s="29" t="s">
        <v>2489</v>
      </c>
      <c r="AG230" s="1474"/>
      <c r="AH230" s="49"/>
      <c r="AI230" s="1379">
        <f>AI226+AI227+AI228+AI229</f>
        <v>5.6195520467732214</v>
      </c>
      <c r="AJ230" s="1379">
        <f>AJ226+AJ227+AJ228+AJ229</f>
        <v>188.51538766595002</v>
      </c>
      <c r="AK230" s="1474"/>
      <c r="AL230" s="49"/>
      <c r="AM230" s="1379">
        <f>AM226+AM227+AM228+AM229</f>
        <v>5.6195520467732329</v>
      </c>
      <c r="AN230" s="1379">
        <f>AN226+AN227+AN228+AN229</f>
        <v>183.42666242778199</v>
      </c>
      <c r="AO230" s="1474"/>
      <c r="AP230" s="49"/>
      <c r="AQ230" s="1379">
        <f>AQ226+AQ227+AQ228+AQ229</f>
        <v>8.6776349388933696</v>
      </c>
      <c r="AR230" s="1379">
        <f>AR226+AR227+AR228+AR229</f>
        <v>174.23293342817846</v>
      </c>
      <c r="AS230" s="29" t="s">
        <v>2489</v>
      </c>
    </row>
    <row r="231" spans="2:45" x14ac:dyDescent="0.3">
      <c r="B231" s="29" t="s">
        <v>5719</v>
      </c>
      <c r="C231" s="510"/>
      <c r="D231" s="52"/>
      <c r="E231" s="52"/>
      <c r="F231" s="1379">
        <f>F151*F230</f>
        <v>11.423046183920514</v>
      </c>
      <c r="G231" s="1379">
        <f>G151*G230</f>
        <v>190.22197441074934</v>
      </c>
      <c r="H231" s="1729" t="str">
        <f t="shared" si="90"/>
        <v>gal/year</v>
      </c>
      <c r="I231" s="49"/>
      <c r="J231" s="1379">
        <f>J151*J230</f>
        <v>11.423046183920514</v>
      </c>
      <c r="K231" s="1379">
        <f>K151*K230</f>
        <v>180.1835332859107</v>
      </c>
      <c r="L231" s="1474"/>
      <c r="M231" s="49"/>
      <c r="N231" s="1379">
        <f>N151*N230</f>
        <v>11.348816230282754</v>
      </c>
      <c r="O231" s="1379">
        <f>O151*O230</f>
        <v>185.37288702883004</v>
      </c>
      <c r="P231" s="1474"/>
      <c r="Q231" s="49"/>
      <c r="R231" s="1379">
        <f>R151*R230</f>
        <v>11.280444081429716</v>
      </c>
      <c r="S231" s="1379">
        <f>S151*S230</f>
        <v>190.21799721723528</v>
      </c>
      <c r="T231" s="1474"/>
      <c r="U231" s="49"/>
      <c r="V231" s="1379">
        <f>V151*V230</f>
        <v>11.280444081429716</v>
      </c>
      <c r="W231" s="1379">
        <f>W151*W230</f>
        <v>186.41478298931756</v>
      </c>
      <c r="X231" s="1474"/>
      <c r="Y231" s="49"/>
      <c r="Z231" s="1379">
        <f>Z151*Z230</f>
        <v>11.280444081429716</v>
      </c>
      <c r="AA231" s="1379">
        <f>AA151*AA230</f>
        <v>190.21799721723528</v>
      </c>
      <c r="AB231" s="1474"/>
      <c r="AC231" s="49"/>
      <c r="AD231" s="1379">
        <f>AD151*AD230</f>
        <v>11.239104093546443</v>
      </c>
      <c r="AE231" s="1379">
        <f>AE151*AE230</f>
        <v>171.18783167614262</v>
      </c>
      <c r="AF231" s="18" t="s">
        <v>2517</v>
      </c>
      <c r="AG231" s="1474"/>
      <c r="AH231" s="49"/>
      <c r="AI231" s="1379">
        <f>AI151*AI230</f>
        <v>11.239104093546443</v>
      </c>
      <c r="AJ231" s="1379">
        <f>AJ151*AJ230</f>
        <v>188.51538766595002</v>
      </c>
      <c r="AK231" s="1474"/>
      <c r="AL231" s="49"/>
      <c r="AM231" s="1379">
        <f>AM151*AM230</f>
        <v>11.239104093546466</v>
      </c>
      <c r="AN231" s="1379">
        <f>AN151*AN230</f>
        <v>183.42666242778199</v>
      </c>
      <c r="AO231" s="1474"/>
      <c r="AP231" s="49"/>
      <c r="AQ231" s="1379">
        <f>AQ151*AQ230</f>
        <v>17.355269877786739</v>
      </c>
      <c r="AR231" s="1379">
        <f>AR151*AR230</f>
        <v>174.23293342817846</v>
      </c>
      <c r="AS231" s="18" t="s">
        <v>2517</v>
      </c>
    </row>
    <row r="232" spans="2:45" x14ac:dyDescent="0.3">
      <c r="B232" s="49" t="s">
        <v>5720</v>
      </c>
      <c r="C232" s="1360"/>
      <c r="D232" s="1360"/>
      <c r="E232" s="52"/>
      <c r="F232" s="1379">
        <f>F213+F231</f>
        <v>27.835566120768277</v>
      </c>
      <c r="G232" s="1379">
        <f>G213+G231</f>
        <v>463.53102850856419</v>
      </c>
      <c r="H232" s="1729" t="str">
        <f t="shared" si="90"/>
        <v>gal/year</v>
      </c>
      <c r="I232" s="49"/>
      <c r="J232" s="1379">
        <f>J213+J231</f>
        <v>27.835566120768277</v>
      </c>
      <c r="K232" s="1379">
        <f>K213+K231</f>
        <v>439.06945432065493</v>
      </c>
      <c r="L232" s="1474"/>
      <c r="M232" s="49"/>
      <c r="N232" s="1379">
        <f>N213+N231</f>
        <v>27.654683302879132</v>
      </c>
      <c r="O232" s="1379">
        <f>O213+O231</f>
        <v>451.71482026852436</v>
      </c>
      <c r="P232" s="1474"/>
      <c r="Q232" s="49"/>
      <c r="R232" s="1379">
        <f>R213+R231</f>
        <v>27.488074725834529</v>
      </c>
      <c r="S232" s="1379">
        <f>S213+S231</f>
        <v>463.52133692269007</v>
      </c>
      <c r="T232" s="1474"/>
      <c r="U232" s="49"/>
      <c r="V232" s="1379">
        <f>V213+V231</f>
        <v>27.488074725834529</v>
      </c>
      <c r="W232" s="1379">
        <f>W213+W231</f>
        <v>454.25370205470983</v>
      </c>
      <c r="X232" s="1474"/>
      <c r="Y232" s="49"/>
      <c r="Z232" s="1379">
        <f>Z213+Z231</f>
        <v>27.488074725834529</v>
      </c>
      <c r="AA232" s="1379">
        <f>AA213+AA231</f>
        <v>463.52133692269007</v>
      </c>
      <c r="AB232" s="1474"/>
      <c r="AC232" s="49"/>
      <c r="AD232" s="1379">
        <f>AD213+AD231</f>
        <v>27.387337851656753</v>
      </c>
      <c r="AE232" s="1379">
        <f>AE213+AE231</f>
        <v>417.14881748440774</v>
      </c>
      <c r="AF232" s="18" t="s">
        <v>2517</v>
      </c>
      <c r="AG232" s="1474"/>
      <c r="AH232" s="49"/>
      <c r="AI232" s="1379">
        <f>AI213+AI231</f>
        <v>27.387337851656753</v>
      </c>
      <c r="AJ232" s="1379">
        <f>AJ213+AJ231</f>
        <v>459.3724347840149</v>
      </c>
      <c r="AK232" s="1474"/>
      <c r="AL232" s="49"/>
      <c r="AM232" s="1379">
        <f>AM213+AM231</f>
        <v>27.387337851656806</v>
      </c>
      <c r="AN232" s="1379">
        <f>AN213+AN231</f>
        <v>446.97227938266178</v>
      </c>
      <c r="AO232" s="1474"/>
      <c r="AP232" s="49"/>
      <c r="AQ232" s="1379">
        <f>AQ213+AQ231</f>
        <v>42.291150228117857</v>
      </c>
      <c r="AR232" s="1379">
        <f>AR213+AR231</f>
        <v>424.5690913586896</v>
      </c>
      <c r="AS232" s="18" t="s">
        <v>2517</v>
      </c>
    </row>
    <row r="233" spans="2:45" x14ac:dyDescent="0.3">
      <c r="B233" s="49"/>
      <c r="C233" s="49"/>
      <c r="D233" s="49"/>
      <c r="E233" s="49"/>
      <c r="F233" s="49"/>
      <c r="G233" s="49"/>
      <c r="H233" s="1729"/>
      <c r="I233" s="49"/>
      <c r="J233" s="49"/>
      <c r="K233" s="49"/>
      <c r="L233" s="1474"/>
      <c r="M233" s="49"/>
      <c r="N233" s="49"/>
      <c r="O233" s="49"/>
      <c r="P233" s="1474"/>
      <c r="Q233" s="49"/>
      <c r="R233" s="49"/>
      <c r="S233" s="49"/>
      <c r="T233" s="1474"/>
      <c r="U233" s="49"/>
      <c r="V233" s="49"/>
      <c r="W233" s="49"/>
      <c r="X233" s="1474"/>
      <c r="Y233" s="49"/>
      <c r="Z233" s="49"/>
      <c r="AA233" s="49"/>
      <c r="AB233" s="1474"/>
      <c r="AC233" s="49"/>
      <c r="AD233" s="49"/>
      <c r="AE233" s="49"/>
      <c r="AF233" s="49"/>
      <c r="AG233" s="1474"/>
      <c r="AH233" s="49"/>
      <c r="AI233" s="49"/>
      <c r="AJ233" s="49"/>
      <c r="AK233" s="1474"/>
      <c r="AL233" s="49"/>
      <c r="AM233" s="49"/>
      <c r="AN233" s="49"/>
      <c r="AO233" s="1474"/>
      <c r="AP233" s="49"/>
      <c r="AQ233" s="49"/>
      <c r="AR233" s="49"/>
      <c r="AS233" s="49"/>
    </row>
    <row r="234" spans="2:45" x14ac:dyDescent="0.3">
      <c r="B234" s="1405" t="s">
        <v>5271</v>
      </c>
      <c r="C234" s="1406"/>
      <c r="D234" s="1407"/>
      <c r="E234" s="1408"/>
      <c r="F234" s="1406"/>
      <c r="G234" s="1406"/>
      <c r="H234" s="1410"/>
      <c r="I234" s="1406"/>
      <c r="J234" s="1406"/>
      <c r="K234" s="1406"/>
      <c r="L234" s="1406"/>
      <c r="M234" s="1406"/>
      <c r="N234" s="1406"/>
      <c r="O234" s="1406"/>
      <c r="P234" s="1406"/>
      <c r="Q234" s="1406"/>
      <c r="R234" s="1406"/>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c r="AS234" s="1406"/>
    </row>
    <row r="235" spans="2:45" x14ac:dyDescent="0.3">
      <c r="B235" s="49" t="s">
        <v>5594</v>
      </c>
      <c r="C235" s="49"/>
      <c r="D235" s="52"/>
      <c r="E235" s="91"/>
      <c r="F235" s="49"/>
      <c r="G235" s="1360">
        <f>G6</f>
        <v>221.00449999999995</v>
      </c>
      <c r="H235" s="1729" t="s">
        <v>2409</v>
      </c>
      <c r="I235" s="49"/>
      <c r="J235" s="49"/>
      <c r="K235" s="1360">
        <f>K6</f>
        <v>221.00449999999995</v>
      </c>
      <c r="L235" s="1474"/>
      <c r="M235" s="49"/>
      <c r="N235" s="49"/>
      <c r="O235" s="1360">
        <f>O6</f>
        <v>221.00449999999995</v>
      </c>
      <c r="P235" s="1474"/>
      <c r="Q235" s="49"/>
      <c r="R235" s="49"/>
      <c r="S235" s="1360">
        <f>S6</f>
        <v>110.50224999999998</v>
      </c>
      <c r="T235" s="1474"/>
      <c r="U235" s="49"/>
      <c r="V235" s="49"/>
      <c r="W235" s="1360">
        <f>W6</f>
        <v>110.50224999999998</v>
      </c>
      <c r="X235" s="1474"/>
      <c r="Y235" s="49"/>
      <c r="Z235" s="49"/>
      <c r="AA235" s="1360">
        <f>AA6</f>
        <v>110.50224999999998</v>
      </c>
      <c r="AB235" s="1474"/>
      <c r="AC235" s="49"/>
      <c r="AD235" s="49"/>
      <c r="AE235" s="1360">
        <f>AE6</f>
        <v>88.40179999999998</v>
      </c>
      <c r="AF235" s="1729" t="s">
        <v>2409</v>
      </c>
      <c r="AG235" s="1474"/>
      <c r="AH235" s="49"/>
      <c r="AI235" s="49"/>
      <c r="AJ235" s="1360">
        <f>AJ6</f>
        <v>88.40179999999998</v>
      </c>
      <c r="AK235" s="1474"/>
      <c r="AL235" s="49"/>
      <c r="AM235" s="49"/>
      <c r="AN235" s="1360">
        <f>AN6</f>
        <v>88.40179999999998</v>
      </c>
      <c r="AO235" s="1474"/>
      <c r="AP235" s="49"/>
      <c r="AQ235" s="49"/>
      <c r="AR235" s="1360">
        <f>AR6</f>
        <v>174.59364999999997</v>
      </c>
      <c r="AS235" s="49" t="s">
        <v>2409</v>
      </c>
    </row>
    <row r="236" spans="2:45" x14ac:dyDescent="0.3">
      <c r="B236" s="602" t="s">
        <v>5595</v>
      </c>
      <c r="C236" s="49"/>
      <c r="D236" s="52"/>
      <c r="E236" s="91"/>
      <c r="F236" s="49"/>
      <c r="G236" s="1727">
        <f>UDV.emit_CH4.BD</f>
        <v>0.47999999999999993</v>
      </c>
      <c r="H236" s="1729" t="s">
        <v>5596</v>
      </c>
      <c r="I236" s="49"/>
      <c r="J236" s="49"/>
      <c r="K236" s="1727">
        <f>UDV.emit_CH4.BD</f>
        <v>0.47999999999999993</v>
      </c>
      <c r="L236" s="1474"/>
      <c r="M236" s="49"/>
      <c r="N236" s="49"/>
      <c r="O236" s="1727">
        <f>UDV.emit_CH4.BD</f>
        <v>0.47999999999999993</v>
      </c>
      <c r="P236" s="1474"/>
      <c r="Q236" s="49"/>
      <c r="R236" s="49"/>
      <c r="S236" s="1727">
        <f>UDV.emit_CH4.BD</f>
        <v>0.47999999999999993</v>
      </c>
      <c r="T236" s="1474"/>
      <c r="U236" s="49"/>
      <c r="V236" s="49"/>
      <c r="W236" s="1727">
        <f>UDV.emit_CH4.BD</f>
        <v>0.47999999999999993</v>
      </c>
      <c r="X236" s="1474"/>
      <c r="Y236" s="49"/>
      <c r="Z236" s="49"/>
      <c r="AA236" s="1727">
        <f>UDV.emit_CH4.BD</f>
        <v>0.47999999999999993</v>
      </c>
      <c r="AB236" s="1474"/>
      <c r="AC236" s="49"/>
      <c r="AD236" s="49"/>
      <c r="AE236" s="1727">
        <f>UDV.emit_CH4.BD</f>
        <v>0.47999999999999993</v>
      </c>
      <c r="AF236" s="1729" t="s">
        <v>5596</v>
      </c>
      <c r="AG236" s="1474"/>
      <c r="AH236" s="49"/>
      <c r="AI236" s="49"/>
      <c r="AJ236" s="1727">
        <f>UDV.emit_CH4.BD</f>
        <v>0.47999999999999993</v>
      </c>
      <c r="AK236" s="1474"/>
      <c r="AL236" s="49"/>
      <c r="AM236" s="49"/>
      <c r="AN236" s="1727">
        <f>UDV.emit_CH4.BD</f>
        <v>0.47999999999999993</v>
      </c>
      <c r="AO236" s="1474"/>
      <c r="AP236" s="49"/>
      <c r="AQ236" s="49"/>
      <c r="AR236" s="1727">
        <f>UDV.emit_CH4.BD</f>
        <v>0.47999999999999993</v>
      </c>
      <c r="AS236" s="49" t="s">
        <v>5596</v>
      </c>
    </row>
    <row r="237" spans="2:45" x14ac:dyDescent="0.3">
      <c r="B237" s="602" t="s">
        <v>5597</v>
      </c>
      <c r="C237" s="49"/>
      <c r="D237" s="52"/>
      <c r="E237" s="91"/>
      <c r="F237" s="49"/>
      <c r="G237" s="1727">
        <f>UDV.emit_CH4.density</f>
        <v>0.66199999999999992</v>
      </c>
      <c r="H237" s="1729" t="s">
        <v>2416</v>
      </c>
      <c r="I237" s="49"/>
      <c r="J237" s="49"/>
      <c r="K237" s="1727">
        <f>UDV.emit_CH4.density</f>
        <v>0.66199999999999992</v>
      </c>
      <c r="L237" s="1474"/>
      <c r="M237" s="49"/>
      <c r="N237" s="49"/>
      <c r="O237" s="1727">
        <f>UDV.emit_CH4.density</f>
        <v>0.66199999999999992</v>
      </c>
      <c r="P237" s="1474"/>
      <c r="Q237" s="49"/>
      <c r="R237" s="49"/>
      <c r="S237" s="1727">
        <f>UDV.emit_CH4.density</f>
        <v>0.66199999999999992</v>
      </c>
      <c r="T237" s="1474"/>
      <c r="U237" s="49"/>
      <c r="V237" s="49"/>
      <c r="W237" s="1727">
        <f>UDV.emit_CH4.density</f>
        <v>0.66199999999999992</v>
      </c>
      <c r="X237" s="1474"/>
      <c r="Y237" s="49"/>
      <c r="Z237" s="49"/>
      <c r="AA237" s="1727">
        <f>UDV.emit_CH4.density</f>
        <v>0.66199999999999992</v>
      </c>
      <c r="AB237" s="1474"/>
      <c r="AC237" s="49"/>
      <c r="AD237" s="49"/>
      <c r="AE237" s="1727">
        <f>UDV.emit_CH4.density</f>
        <v>0.66199999999999992</v>
      </c>
      <c r="AF237" s="1729" t="s">
        <v>2416</v>
      </c>
      <c r="AG237" s="1474"/>
      <c r="AH237" s="49"/>
      <c r="AI237" s="49"/>
      <c r="AJ237" s="1727">
        <f>UDV.emit_CH4.density</f>
        <v>0.66199999999999992</v>
      </c>
      <c r="AK237" s="1474"/>
      <c r="AL237" s="49"/>
      <c r="AM237" s="49"/>
      <c r="AN237" s="1727">
        <f>UDV.emit_CH4.density</f>
        <v>0.66199999999999992</v>
      </c>
      <c r="AO237" s="1474"/>
      <c r="AP237" s="49"/>
      <c r="AQ237" s="49"/>
      <c r="AR237" s="1727">
        <f>UDV.emit_CH4.density</f>
        <v>0.66199999999999992</v>
      </c>
      <c r="AS237" s="49" t="s">
        <v>2416</v>
      </c>
    </row>
    <row r="238" spans="2:45" x14ac:dyDescent="0.3">
      <c r="B238" s="602" t="s">
        <v>5598</v>
      </c>
      <c r="C238" s="49"/>
      <c r="D238" s="52"/>
      <c r="E238" s="91"/>
      <c r="F238" s="49"/>
      <c r="G238" s="1414">
        <f>UDV.emit_CH4.MCF_anaer_lagoon</f>
        <v>0.6</v>
      </c>
      <c r="H238" s="1729" t="s">
        <v>1694</v>
      </c>
      <c r="I238" s="49"/>
      <c r="J238" s="49"/>
      <c r="K238" s="1414">
        <f>UDV.emit_CH4.MCF_anaer_lagoon</f>
        <v>0.6</v>
      </c>
      <c r="L238" s="1474"/>
      <c r="M238" s="49"/>
      <c r="N238" s="49"/>
      <c r="O238" s="1414">
        <f>UDV.emit_CH4.MCF_anaer_lagoon</f>
        <v>0.6</v>
      </c>
      <c r="P238" s="1474"/>
      <c r="Q238" s="49"/>
      <c r="R238" s="49"/>
      <c r="S238" s="1414">
        <f>UDV.emit_CH4.MCF_anaer_lagoon</f>
        <v>0.6</v>
      </c>
      <c r="T238" s="1474"/>
      <c r="U238" s="49"/>
      <c r="V238" s="49"/>
      <c r="W238" s="1414">
        <f>UDV.emit_CH4.MCF_anaer_lagoon</f>
        <v>0.6</v>
      </c>
      <c r="X238" s="1474"/>
      <c r="Y238" s="49"/>
      <c r="Z238" s="49"/>
      <c r="AA238" s="1414">
        <f>UDV.emit_CH4.MCF_anaer_lagoon</f>
        <v>0.6</v>
      </c>
      <c r="AB238" s="1474"/>
      <c r="AC238" s="49"/>
      <c r="AD238" s="49"/>
      <c r="AE238" s="1414">
        <f>UDV.emit_CH4.MCF_anaer_lagoon</f>
        <v>0.6</v>
      </c>
      <c r="AF238" s="1729" t="s">
        <v>1694</v>
      </c>
      <c r="AG238" s="1474"/>
      <c r="AH238" s="49"/>
      <c r="AI238" s="49"/>
      <c r="AJ238" s="1414">
        <f>UDV.emit_CH4.MCF_anaer_lagoon</f>
        <v>0.6</v>
      </c>
      <c r="AK238" s="1474"/>
      <c r="AL238" s="49"/>
      <c r="AM238" s="49"/>
      <c r="AN238" s="1414">
        <f>UDV.emit_CH4.MCF_anaer_lagoon</f>
        <v>0.6</v>
      </c>
      <c r="AO238" s="1474"/>
      <c r="AP238" s="49"/>
      <c r="AQ238" s="49"/>
      <c r="AR238" s="1414">
        <f>UDV.emit_CH4.MCF_anaer_lagoon</f>
        <v>0.6</v>
      </c>
      <c r="AS238" s="49" t="s">
        <v>1694</v>
      </c>
    </row>
    <row r="239" spans="2:45" x14ac:dyDescent="0.3">
      <c r="B239" s="602" t="s">
        <v>5599</v>
      </c>
      <c r="C239" s="49"/>
      <c r="D239" s="52"/>
      <c r="E239" s="91"/>
      <c r="F239" s="49"/>
      <c r="G239" s="1728">
        <f>G235*365*G236*G237*G238/UDV.animal.total</f>
        <v>30.759158784959986</v>
      </c>
      <c r="H239" s="1729" t="s">
        <v>5601</v>
      </c>
      <c r="I239" s="49"/>
      <c r="J239" s="49"/>
      <c r="K239" s="1728">
        <f>K235*365*K236*K237*K238/UDV.animal.total</f>
        <v>30.759158784959986</v>
      </c>
      <c r="L239" s="1474"/>
      <c r="M239" s="49"/>
      <c r="N239" s="49"/>
      <c r="O239" s="1728">
        <f>O235*365*O236*O237*O238/UDV.animal.total</f>
        <v>30.759158784959986</v>
      </c>
      <c r="P239" s="1474"/>
      <c r="Q239" s="49"/>
      <c r="R239" s="49"/>
      <c r="S239" s="1728">
        <f>S235*365*S236*S237*S238/UDV.animal.total</f>
        <v>15.379579392479993</v>
      </c>
      <c r="T239" s="1474"/>
      <c r="U239" s="49"/>
      <c r="V239" s="49"/>
      <c r="W239" s="1728">
        <f>W235*365*W236*W237*W238/UDV.animal.total</f>
        <v>15.379579392479993</v>
      </c>
      <c r="X239" s="1474"/>
      <c r="Y239" s="49"/>
      <c r="Z239" s="49"/>
      <c r="AA239" s="1728">
        <f>AA235*365*AA236*AA237*AA238/UDV.animal.total</f>
        <v>15.379579392479993</v>
      </c>
      <c r="AB239" s="1474"/>
      <c r="AC239" s="49"/>
      <c r="AD239" s="49"/>
      <c r="AE239" s="1728">
        <f>AE235*365*AE236*AE237*AE238/UDV.animal.total</f>
        <v>12.303663513983993</v>
      </c>
      <c r="AF239" s="1729" t="s">
        <v>5601</v>
      </c>
      <c r="AG239" s="1474"/>
      <c r="AH239" s="49"/>
      <c r="AI239" s="49"/>
      <c r="AJ239" s="1728">
        <f>AJ235*365*AJ236*AJ237*AJ238/UDV.animal.total</f>
        <v>12.303663513983993</v>
      </c>
      <c r="AK239" s="1474"/>
      <c r="AL239" s="49"/>
      <c r="AM239" s="49"/>
      <c r="AN239" s="1728">
        <f>AN235*365*AN236*AN237*AN238/UDV.animal.total</f>
        <v>12.303663513983993</v>
      </c>
      <c r="AO239" s="1474"/>
      <c r="AP239" s="49"/>
      <c r="AQ239" s="49"/>
      <c r="AR239" s="1728">
        <f>AR235*365*AR236*AR237*AR238/UDV.animal.total</f>
        <v>24.299748662111995</v>
      </c>
      <c r="AS239" s="49" t="s">
        <v>5601</v>
      </c>
    </row>
    <row r="240" spans="2:45" x14ac:dyDescent="0.3">
      <c r="B240" s="2283" t="s">
        <v>5602</v>
      </c>
      <c r="C240" s="1406"/>
      <c r="D240" s="1407"/>
      <c r="E240" s="2284"/>
      <c r="F240" s="1409"/>
      <c r="G240" s="1409"/>
      <c r="H240" s="1729"/>
      <c r="I240" s="2284"/>
      <c r="J240" s="1409"/>
      <c r="K240" s="1409"/>
      <c r="L240" s="1474"/>
      <c r="M240" s="2284"/>
      <c r="N240" s="1409"/>
      <c r="O240" s="1409"/>
      <c r="P240" s="1474"/>
      <c r="Q240" s="2284"/>
      <c r="R240" s="1409"/>
      <c r="S240" s="1409"/>
      <c r="T240" s="1474"/>
      <c r="U240" s="2284"/>
      <c r="V240" s="1409"/>
      <c r="W240" s="1409"/>
      <c r="X240" s="1474"/>
      <c r="Y240" s="2284"/>
      <c r="Z240" s="1409"/>
      <c r="AA240" s="1409"/>
      <c r="AB240" s="1474"/>
      <c r="AC240" s="2284"/>
      <c r="AD240" s="1409"/>
      <c r="AE240" s="1409"/>
      <c r="AF240" s="1729"/>
      <c r="AG240" s="1474"/>
      <c r="AH240" s="2284"/>
      <c r="AI240" s="1409"/>
      <c r="AJ240" s="1409"/>
      <c r="AK240" s="1474"/>
      <c r="AL240" s="2284"/>
      <c r="AM240" s="1409"/>
      <c r="AN240" s="1409"/>
      <c r="AO240" s="1474"/>
      <c r="AP240" s="2284"/>
      <c r="AQ240" s="1409"/>
      <c r="AR240" s="1409"/>
      <c r="AS240" s="49"/>
    </row>
    <row r="241" spans="2:45" x14ac:dyDescent="0.3">
      <c r="B241" s="28" t="s">
        <v>6397</v>
      </c>
      <c r="C241" s="510"/>
      <c r="D241" s="2285"/>
      <c r="E241" s="1353"/>
      <c r="F241" s="1384"/>
      <c r="G241" s="1532">
        <f>G31</f>
        <v>18.183765869577698</v>
      </c>
      <c r="H241" s="2294" t="s">
        <v>2409</v>
      </c>
      <c r="I241" s="1353"/>
      <c r="J241" s="1384"/>
      <c r="K241" s="1532">
        <f>K31</f>
        <v>20.783810869577703</v>
      </c>
      <c r="L241" s="1474"/>
      <c r="M241" s="1353"/>
      <c r="N241" s="1384"/>
      <c r="O241" s="1532">
        <f>O31</f>
        <v>19.483788369577702</v>
      </c>
      <c r="P241" s="1474"/>
      <c r="Q241" s="1353"/>
      <c r="R241" s="1384"/>
      <c r="S241" s="1532">
        <f>S31</f>
        <v>16.816511271997353</v>
      </c>
      <c r="T241" s="1474"/>
      <c r="U241" s="1353"/>
      <c r="V241" s="1384"/>
      <c r="W241" s="1532">
        <f>W31</f>
        <v>19.22105642308469</v>
      </c>
      <c r="X241" s="1474"/>
      <c r="Y241" s="1353"/>
      <c r="Z241" s="1384"/>
      <c r="AA241" s="1532">
        <f>AA31</f>
        <v>18.018783847541023</v>
      </c>
      <c r="AB241" s="1474"/>
      <c r="AC241" s="1353"/>
      <c r="AD241" s="1384"/>
      <c r="AE241" s="1532">
        <f>AE31</f>
        <v>16.336454637936452</v>
      </c>
      <c r="AF241" s="28" t="s">
        <v>2409</v>
      </c>
      <c r="AG241" s="1474"/>
      <c r="AH241" s="1353"/>
      <c r="AI241" s="1384"/>
      <c r="AJ241" s="1532">
        <f>AJ31</f>
        <v>18.67235785533088</v>
      </c>
      <c r="AK241" s="1474"/>
      <c r="AL241" s="1353"/>
      <c r="AM241" s="1384"/>
      <c r="AN241" s="1532">
        <f>AN31</f>
        <v>17.504406246633668</v>
      </c>
      <c r="AO241" s="1474"/>
      <c r="AP241" s="1353"/>
      <c r="AQ241" s="1384"/>
      <c r="AR241" s="1532">
        <f>AR31</f>
        <v>16.627048695662161</v>
      </c>
      <c r="AS241" s="28" t="s">
        <v>2409</v>
      </c>
    </row>
    <row r="242" spans="2:45" x14ac:dyDescent="0.3">
      <c r="B242" s="28" t="s">
        <v>5604</v>
      </c>
      <c r="C242" s="510"/>
      <c r="D242" s="1351"/>
      <c r="E242" s="1353"/>
      <c r="F242" s="1384"/>
      <c r="G242" s="1576">
        <f>UDV.emit_N2O_direct.N_to_N2O</f>
        <v>1.5713999999999999</v>
      </c>
      <c r="H242" s="2294" t="s">
        <v>5605</v>
      </c>
      <c r="I242" s="1353"/>
      <c r="J242" s="1384"/>
      <c r="K242" s="1576">
        <f>UDV.emit_N2O_direct.N_to_N2O</f>
        <v>1.5713999999999999</v>
      </c>
      <c r="L242" s="1474"/>
      <c r="M242" s="1353"/>
      <c r="N242" s="1384"/>
      <c r="O242" s="1576">
        <f>UDV.emit_N2O_direct.N_to_N2O</f>
        <v>1.5713999999999999</v>
      </c>
      <c r="P242" s="1474"/>
      <c r="Q242" s="1353"/>
      <c r="R242" s="1384"/>
      <c r="S242" s="1576">
        <f>UDV.emit_N2O_direct.N_to_N2O</f>
        <v>1.5713999999999999</v>
      </c>
      <c r="T242" s="1474"/>
      <c r="U242" s="1353"/>
      <c r="V242" s="1384"/>
      <c r="W242" s="1576">
        <f>UDV.emit_N2O_direct.N_to_N2O</f>
        <v>1.5713999999999999</v>
      </c>
      <c r="X242" s="1474"/>
      <c r="Y242" s="1353"/>
      <c r="Z242" s="1384"/>
      <c r="AA242" s="1576">
        <f>UDV.emit_N2O_direct.N_to_N2O</f>
        <v>1.5713999999999999</v>
      </c>
      <c r="AB242" s="1474"/>
      <c r="AC242" s="1353"/>
      <c r="AD242" s="1384"/>
      <c r="AE242" s="1576">
        <f>UDV.emit_N2O_direct.N_to_N2O</f>
        <v>1.5713999999999999</v>
      </c>
      <c r="AF242" s="28" t="s">
        <v>5605</v>
      </c>
      <c r="AG242" s="1474"/>
      <c r="AH242" s="1353"/>
      <c r="AI242" s="1384"/>
      <c r="AJ242" s="1576">
        <f>UDV.emit_N2O_direct.N_to_N2O</f>
        <v>1.5713999999999999</v>
      </c>
      <c r="AK242" s="1474"/>
      <c r="AL242" s="1353"/>
      <c r="AM242" s="1384"/>
      <c r="AN242" s="1576">
        <f>UDV.emit_N2O_direct.N_to_N2O</f>
        <v>1.5713999999999999</v>
      </c>
      <c r="AO242" s="1474"/>
      <c r="AP242" s="1353"/>
      <c r="AQ242" s="1384"/>
      <c r="AR242" s="1576">
        <f>UDV.emit_N2O_direct.N_to_N2O</f>
        <v>1.5713999999999999</v>
      </c>
      <c r="AS242" s="28" t="s">
        <v>5605</v>
      </c>
    </row>
    <row r="243" spans="2:45" x14ac:dyDescent="0.3">
      <c r="B243" s="28" t="s">
        <v>5606</v>
      </c>
      <c r="C243" s="510"/>
      <c r="D243" s="2285"/>
      <c r="E243" s="1353"/>
      <c r="F243" s="1384"/>
      <c r="G243" s="1521">
        <f>G241*UC.year_to_day/UDV.animal.total</f>
        <v>13.27414908479172</v>
      </c>
      <c r="H243" s="2294" t="s">
        <v>5607</v>
      </c>
      <c r="I243" s="1353"/>
      <c r="J243" s="1384"/>
      <c r="K243" s="1521">
        <f>K241*UC.year_to_day/UDV.animal.total</f>
        <v>15.172181934791723</v>
      </c>
      <c r="L243" s="1474"/>
      <c r="M243" s="1353"/>
      <c r="N243" s="1384"/>
      <c r="O243" s="1521">
        <f>O241*UC.year_to_day/UDV.animal.total</f>
        <v>14.223165509791723</v>
      </c>
      <c r="P243" s="1474"/>
      <c r="Q243" s="1353"/>
      <c r="R243" s="1384"/>
      <c r="S243" s="1521">
        <f>S241*UC.year_to_day/UDV.animal.total</f>
        <v>12.276053228558068</v>
      </c>
      <c r="T243" s="1474"/>
      <c r="U243" s="1353"/>
      <c r="V243" s="1384"/>
      <c r="W243" s="1521">
        <f>W241*UC.year_to_day/UDV.animal.total</f>
        <v>14.031371188851823</v>
      </c>
      <c r="X243" s="1474"/>
      <c r="Y243" s="1353"/>
      <c r="Z243" s="1384"/>
      <c r="AA243" s="1521">
        <f>AA241*UC.year_to_day/UDV.animal.total</f>
        <v>13.153712208704947</v>
      </c>
      <c r="AB243" s="1474"/>
      <c r="AC243" s="1353"/>
      <c r="AD243" s="1384"/>
      <c r="AE243" s="1521">
        <f>AE241*UC.year_to_day/UDV.animal.total</f>
        <v>11.925611885693611</v>
      </c>
      <c r="AF243" s="28" t="s">
        <v>5607</v>
      </c>
      <c r="AG243" s="1474"/>
      <c r="AH243" s="1353"/>
      <c r="AI243" s="1384"/>
      <c r="AJ243" s="1521">
        <f>AJ241*UC.year_to_day/UDV.animal.total</f>
        <v>13.630821234391542</v>
      </c>
      <c r="AK243" s="1474"/>
      <c r="AL243" s="1353"/>
      <c r="AM243" s="1384"/>
      <c r="AN243" s="1521">
        <f>AN241*UC.year_to_day/UDV.animal.total</f>
        <v>12.778216560042578</v>
      </c>
      <c r="AO243" s="1474"/>
      <c r="AP243" s="1353"/>
      <c r="AQ243" s="1384"/>
      <c r="AR243" s="1521">
        <f>AR241*UC.year_to_day/UDV.animal.total</f>
        <v>12.137745547833378</v>
      </c>
      <c r="AS243" s="28" t="s">
        <v>5607</v>
      </c>
    </row>
    <row r="244" spans="2:45" x14ac:dyDescent="0.3">
      <c r="B244" s="2283" t="s">
        <v>5608</v>
      </c>
      <c r="C244" s="1408"/>
      <c r="D244" s="1408"/>
      <c r="E244" s="2284"/>
      <c r="F244" s="1409"/>
      <c r="G244" s="2286"/>
      <c r="H244" s="2294"/>
      <c r="I244" s="2284"/>
      <c r="J244" s="1409"/>
      <c r="K244" s="2286"/>
      <c r="L244" s="1474"/>
      <c r="M244" s="2284"/>
      <c r="N244" s="1409"/>
      <c r="O244" s="2286"/>
      <c r="P244" s="1474"/>
      <c r="Q244" s="2284"/>
      <c r="R244" s="1409"/>
      <c r="S244" s="2286"/>
      <c r="T244" s="1474"/>
      <c r="U244" s="2284"/>
      <c r="V244" s="1409"/>
      <c r="W244" s="2286"/>
      <c r="X244" s="1474"/>
      <c r="Y244" s="2284"/>
      <c r="Z244" s="1409"/>
      <c r="AA244" s="2286"/>
      <c r="AB244" s="1474"/>
      <c r="AC244" s="2284"/>
      <c r="AD244" s="1409"/>
      <c r="AE244" s="2286"/>
      <c r="AF244" s="2287"/>
      <c r="AG244" s="1474"/>
      <c r="AH244" s="2284"/>
      <c r="AI244" s="1409"/>
      <c r="AJ244" s="2286"/>
      <c r="AK244" s="1474"/>
      <c r="AL244" s="2284"/>
      <c r="AM244" s="1409"/>
      <c r="AN244" s="2286"/>
      <c r="AO244" s="1474"/>
      <c r="AP244" s="2284"/>
      <c r="AQ244" s="1409"/>
      <c r="AR244" s="2286"/>
      <c r="AS244" s="2287"/>
    </row>
    <row r="245" spans="2:45" x14ac:dyDescent="0.3">
      <c r="B245" s="95" t="s">
        <v>6398</v>
      </c>
      <c r="C245" s="49"/>
      <c r="D245" s="52"/>
      <c r="E245" s="1353"/>
      <c r="F245" s="1384"/>
      <c r="G245" s="1401">
        <f>UDV.emit_NH3.lossfrac_anaer_lagoon</f>
        <v>0.5</v>
      </c>
      <c r="H245" s="2294" t="s">
        <v>1694</v>
      </c>
      <c r="I245" s="1353"/>
      <c r="J245" s="1384"/>
      <c r="K245" s="1401">
        <f>UDV.emit_NH3.lossfrac_anaer_lagoon</f>
        <v>0.5</v>
      </c>
      <c r="L245" s="1474"/>
      <c r="M245" s="1353"/>
      <c r="N245" s="1384"/>
      <c r="O245" s="1401">
        <f>UDV.emit_NH3.lossfrac_anaer_lagoon</f>
        <v>0.5</v>
      </c>
      <c r="P245" s="1474"/>
      <c r="Q245" s="1353"/>
      <c r="R245" s="1384"/>
      <c r="S245" s="1401">
        <f>UDV.emit_NH3.lossfrac_anaer_lagoon</f>
        <v>0.5</v>
      </c>
      <c r="T245" s="1474"/>
      <c r="U245" s="1353"/>
      <c r="V245" s="1384"/>
      <c r="W245" s="1401">
        <f>UDV.emit_NH3.lossfrac_anaer_lagoon</f>
        <v>0.5</v>
      </c>
      <c r="X245" s="1474"/>
      <c r="Y245" s="1353"/>
      <c r="Z245" s="1384"/>
      <c r="AA245" s="1401">
        <f>UDV.emit_NH3.lossfrac_anaer_lagoon</f>
        <v>0.5</v>
      </c>
      <c r="AB245" s="1474"/>
      <c r="AC245" s="1353"/>
      <c r="AD245" s="1384"/>
      <c r="AE245" s="1401">
        <f>UDV.emit_NH3.lossfrac_anaer_lagoon</f>
        <v>0.5</v>
      </c>
      <c r="AF245" s="95" t="s">
        <v>1694</v>
      </c>
      <c r="AG245" s="1474"/>
      <c r="AH245" s="1353"/>
      <c r="AI245" s="1384"/>
      <c r="AJ245" s="1401">
        <f>UDV.emit_NH3.lossfrac_anaer_lagoon</f>
        <v>0.5</v>
      </c>
      <c r="AK245" s="1474"/>
      <c r="AL245" s="1353"/>
      <c r="AM245" s="1384"/>
      <c r="AN245" s="1401">
        <f>UDV.emit_NH3.lossfrac_anaer_lagoon</f>
        <v>0.5</v>
      </c>
      <c r="AO245" s="1474"/>
      <c r="AP245" s="1353"/>
      <c r="AQ245" s="1384"/>
      <c r="AR245" s="1401">
        <f>UDV.emit_NH3.lossfrac_anaer_lagoon</f>
        <v>0.5</v>
      </c>
      <c r="AS245" s="95" t="s">
        <v>1694</v>
      </c>
    </row>
    <row r="246" spans="2:45" x14ac:dyDescent="0.3">
      <c r="B246" s="95" t="s">
        <v>5610</v>
      </c>
      <c r="C246" s="510"/>
      <c r="D246" s="510"/>
      <c r="E246" s="1353"/>
      <c r="F246" s="1384"/>
      <c r="G246" s="1878">
        <f>G243*G245</f>
        <v>6.6370745423958599</v>
      </c>
      <c r="H246" s="2294" t="s">
        <v>5611</v>
      </c>
      <c r="I246" s="1353"/>
      <c r="J246" s="1384"/>
      <c r="K246" s="1878">
        <f>K243*K245</f>
        <v>7.5860909673958616</v>
      </c>
      <c r="L246" s="1474"/>
      <c r="M246" s="1353"/>
      <c r="N246" s="1384"/>
      <c r="O246" s="1878">
        <f>O243*O245</f>
        <v>7.1115827548958617</v>
      </c>
      <c r="P246" s="1474"/>
      <c r="Q246" s="1353"/>
      <c r="R246" s="1384"/>
      <c r="S246" s="1878">
        <f>S243*S245</f>
        <v>6.1380266142790338</v>
      </c>
      <c r="T246" s="1474"/>
      <c r="U246" s="1353"/>
      <c r="V246" s="1384"/>
      <c r="W246" s="1878">
        <f>W243*W245</f>
        <v>7.0156855944259116</v>
      </c>
      <c r="X246" s="1474"/>
      <c r="Y246" s="1353"/>
      <c r="Z246" s="1384"/>
      <c r="AA246" s="1878">
        <f>AA243*AA245</f>
        <v>6.5768561043524736</v>
      </c>
      <c r="AB246" s="1474"/>
      <c r="AC246" s="1353"/>
      <c r="AD246" s="1384"/>
      <c r="AE246" s="1878">
        <f>AE243*AE245</f>
        <v>5.9628059428468054</v>
      </c>
      <c r="AF246" s="28" t="s">
        <v>5611</v>
      </c>
      <c r="AG246" s="1474"/>
      <c r="AH246" s="1353"/>
      <c r="AI246" s="1384"/>
      <c r="AJ246" s="1878">
        <f>AJ243*AJ245</f>
        <v>6.8154106171957709</v>
      </c>
      <c r="AK246" s="1474"/>
      <c r="AL246" s="1353"/>
      <c r="AM246" s="1384"/>
      <c r="AN246" s="1878">
        <f>AN243*AN245</f>
        <v>6.3891082800212891</v>
      </c>
      <c r="AO246" s="1474"/>
      <c r="AP246" s="1353"/>
      <c r="AQ246" s="1384"/>
      <c r="AR246" s="1878">
        <f>AR243*AR245</f>
        <v>6.0688727739166888</v>
      </c>
      <c r="AS246" s="28" t="s">
        <v>5611</v>
      </c>
    </row>
    <row r="247" spans="2:45" x14ac:dyDescent="0.3">
      <c r="B247" s="95" t="s">
        <v>5612</v>
      </c>
      <c r="C247" s="49"/>
      <c r="D247" s="52"/>
      <c r="E247" s="1353"/>
      <c r="F247" s="1384"/>
      <c r="G247" s="2288">
        <f>G246</f>
        <v>6.6370745423958599</v>
      </c>
      <c r="H247" s="2294" t="s">
        <v>5611</v>
      </c>
      <c r="I247" s="1353"/>
      <c r="J247" s="1384"/>
      <c r="K247" s="2288">
        <f>K246</f>
        <v>7.5860909673958616</v>
      </c>
      <c r="L247" s="1474"/>
      <c r="M247" s="1353"/>
      <c r="N247" s="1384"/>
      <c r="O247" s="2288">
        <f>O246</f>
        <v>7.1115827548958617</v>
      </c>
      <c r="P247" s="1474"/>
      <c r="Q247" s="1353"/>
      <c r="R247" s="1384"/>
      <c r="S247" s="2288">
        <f>S246</f>
        <v>6.1380266142790338</v>
      </c>
      <c r="T247" s="1474"/>
      <c r="U247" s="1353"/>
      <c r="V247" s="1384"/>
      <c r="W247" s="2288">
        <f>W246</f>
        <v>7.0156855944259116</v>
      </c>
      <c r="X247" s="1474"/>
      <c r="Y247" s="1353"/>
      <c r="Z247" s="1384"/>
      <c r="AA247" s="2288">
        <f>AA246</f>
        <v>6.5768561043524736</v>
      </c>
      <c r="AB247" s="1474"/>
      <c r="AC247" s="1353"/>
      <c r="AD247" s="1384"/>
      <c r="AE247" s="2288">
        <f>AE246</f>
        <v>5.9628059428468054</v>
      </c>
      <c r="AF247" s="28" t="s">
        <v>5611</v>
      </c>
      <c r="AG247" s="1474"/>
      <c r="AH247" s="1353"/>
      <c r="AI247" s="1384"/>
      <c r="AJ247" s="2288">
        <f>AJ246</f>
        <v>6.8154106171957709</v>
      </c>
      <c r="AK247" s="1474"/>
      <c r="AL247" s="1353"/>
      <c r="AM247" s="1384"/>
      <c r="AN247" s="2288">
        <f>AN246</f>
        <v>6.3891082800212891</v>
      </c>
      <c r="AO247" s="1474"/>
      <c r="AP247" s="1353"/>
      <c r="AQ247" s="1384"/>
      <c r="AR247" s="2288">
        <f>AR246</f>
        <v>6.0688727739166888</v>
      </c>
      <c r="AS247" s="28" t="s">
        <v>5611</v>
      </c>
    </row>
    <row r="248" spans="2:45" x14ac:dyDescent="0.3">
      <c r="B248" s="2283" t="s">
        <v>5614</v>
      </c>
      <c r="C248" s="1406"/>
      <c r="D248" s="1407"/>
      <c r="E248" s="2284"/>
      <c r="F248" s="1409"/>
      <c r="G248" s="2286"/>
      <c r="H248" s="2294"/>
      <c r="I248" s="2284"/>
      <c r="J248" s="1409"/>
      <c r="K248" s="2286"/>
      <c r="L248" s="1474"/>
      <c r="M248" s="2284"/>
      <c r="N248" s="1409"/>
      <c r="O248" s="2286"/>
      <c r="P248" s="1474"/>
      <c r="Q248" s="2284"/>
      <c r="R248" s="1409"/>
      <c r="S248" s="2286"/>
      <c r="T248" s="1474"/>
      <c r="U248" s="2284"/>
      <c r="V248" s="1409"/>
      <c r="W248" s="2286"/>
      <c r="X248" s="1474"/>
      <c r="Y248" s="2284"/>
      <c r="Z248" s="1409"/>
      <c r="AA248" s="2286"/>
      <c r="AB248" s="1474"/>
      <c r="AC248" s="2284"/>
      <c r="AD248" s="1409"/>
      <c r="AE248" s="2286"/>
      <c r="AF248" s="2289"/>
      <c r="AG248" s="1474"/>
      <c r="AH248" s="2284"/>
      <c r="AI248" s="1409"/>
      <c r="AJ248" s="2286"/>
      <c r="AK248" s="1474"/>
      <c r="AL248" s="2284"/>
      <c r="AM248" s="1409"/>
      <c r="AN248" s="2286"/>
      <c r="AO248" s="1474"/>
      <c r="AP248" s="2284"/>
      <c r="AQ248" s="1409"/>
      <c r="AR248" s="2286"/>
      <c r="AS248" s="2289"/>
    </row>
    <row r="249" spans="2:45" ht="15.6" x14ac:dyDescent="0.3">
      <c r="B249" s="28" t="s">
        <v>6399</v>
      </c>
      <c r="C249" s="510"/>
      <c r="D249" s="2285"/>
      <c r="E249" s="1353"/>
      <c r="F249" s="1384"/>
      <c r="G249" s="2290">
        <f>UDV.emit_N2O_direct.ef3_anaer_lagoon</f>
        <v>0</v>
      </c>
      <c r="H249" s="2294" t="s">
        <v>6400</v>
      </c>
      <c r="I249" s="1353"/>
      <c r="J249" s="1384"/>
      <c r="K249" s="2290">
        <f>UDV.emit_N2O_direct.ef3_anaer_lagoon</f>
        <v>0</v>
      </c>
      <c r="L249" s="1474"/>
      <c r="M249" s="1353"/>
      <c r="N249" s="1384"/>
      <c r="O249" s="2290">
        <f>UDV.emit_N2O_direct.ef3_anaer_lagoon</f>
        <v>0</v>
      </c>
      <c r="P249" s="1474"/>
      <c r="Q249" s="1353"/>
      <c r="R249" s="1384"/>
      <c r="S249" s="2290">
        <f>UDV.emit_N2O_direct.ef3_anaer_lagoon</f>
        <v>0</v>
      </c>
      <c r="T249" s="1474"/>
      <c r="U249" s="1353"/>
      <c r="V249" s="1384"/>
      <c r="W249" s="2290">
        <f>UDV.emit_N2O_direct.ef3_anaer_lagoon</f>
        <v>0</v>
      </c>
      <c r="X249" s="1474"/>
      <c r="Y249" s="1353"/>
      <c r="Z249" s="1384"/>
      <c r="AA249" s="2290">
        <f>UDV.emit_N2O_direct.ef3_anaer_lagoon</f>
        <v>0</v>
      </c>
      <c r="AB249" s="1474"/>
      <c r="AC249" s="1353"/>
      <c r="AD249" s="1384"/>
      <c r="AE249" s="2290">
        <f>UDV.emit_N2O_direct.ef3_anaer_lagoon</f>
        <v>0</v>
      </c>
      <c r="AF249" s="28" t="s">
        <v>5616</v>
      </c>
      <c r="AG249" s="1474"/>
      <c r="AH249" s="1353"/>
      <c r="AI249" s="1384"/>
      <c r="AJ249" s="2290">
        <f>UDV.emit_N2O_direct.ef3_anaer_lagoon</f>
        <v>0</v>
      </c>
      <c r="AK249" s="1474"/>
      <c r="AL249" s="1353"/>
      <c r="AM249" s="1384"/>
      <c r="AN249" s="2290">
        <f>UDV.emit_N2O_direct.ef3_anaer_lagoon</f>
        <v>0</v>
      </c>
      <c r="AO249" s="1474"/>
      <c r="AP249" s="1353"/>
      <c r="AQ249" s="1384"/>
      <c r="AR249" s="2290">
        <f>UDV.emit_N2O_direct.ef3_anaer_lagoon</f>
        <v>0</v>
      </c>
      <c r="AS249" s="28" t="s">
        <v>5616</v>
      </c>
    </row>
    <row r="250" spans="2:45" x14ac:dyDescent="0.3">
      <c r="B250" s="95" t="s">
        <v>5617</v>
      </c>
      <c r="C250" s="510"/>
      <c r="D250" s="2291"/>
      <c r="E250" s="1353"/>
      <c r="F250" s="1384"/>
      <c r="G250" s="1878">
        <f>G242*G243*G249</f>
        <v>0</v>
      </c>
      <c r="H250" s="2294" t="s">
        <v>5618</v>
      </c>
      <c r="I250" s="1353"/>
      <c r="J250" s="1384"/>
      <c r="K250" s="1878">
        <f>K242*K243*K249</f>
        <v>0</v>
      </c>
      <c r="L250" s="1474"/>
      <c r="M250" s="1353"/>
      <c r="N250" s="1384"/>
      <c r="O250" s="1878">
        <f>O242*O243*O249</f>
        <v>0</v>
      </c>
      <c r="P250" s="1474"/>
      <c r="Q250" s="1353"/>
      <c r="R250" s="1384"/>
      <c r="S250" s="1878">
        <f>S242*S243*S249</f>
        <v>0</v>
      </c>
      <c r="T250" s="1474"/>
      <c r="U250" s="1353"/>
      <c r="V250" s="1384"/>
      <c r="W250" s="1878">
        <f>W242*W243*W249</f>
        <v>0</v>
      </c>
      <c r="X250" s="1474"/>
      <c r="Y250" s="1353"/>
      <c r="Z250" s="1384"/>
      <c r="AA250" s="1878">
        <f>AA242*AA243*AA249</f>
        <v>0</v>
      </c>
      <c r="AB250" s="1474"/>
      <c r="AC250" s="1353"/>
      <c r="AD250" s="1384"/>
      <c r="AE250" s="1878">
        <f>AE242*AE243*AE249</f>
        <v>0</v>
      </c>
      <c r="AF250" s="28" t="s">
        <v>5618</v>
      </c>
      <c r="AG250" s="1474"/>
      <c r="AH250" s="1353"/>
      <c r="AI250" s="1384"/>
      <c r="AJ250" s="1878">
        <f>AJ242*AJ243*AJ249</f>
        <v>0</v>
      </c>
      <c r="AK250" s="1474"/>
      <c r="AL250" s="1353"/>
      <c r="AM250" s="1384"/>
      <c r="AN250" s="1878">
        <f>AN242*AN243*AN249</f>
        <v>0</v>
      </c>
      <c r="AO250" s="1474"/>
      <c r="AP250" s="1353"/>
      <c r="AQ250" s="1384"/>
      <c r="AR250" s="1878">
        <f>AR242*AR243*AR249</f>
        <v>0</v>
      </c>
      <c r="AS250" s="28" t="s">
        <v>5618</v>
      </c>
    </row>
    <row r="251" spans="2:45" x14ac:dyDescent="0.3">
      <c r="B251" s="95" t="s">
        <v>5619</v>
      </c>
      <c r="C251" s="49"/>
      <c r="D251" s="52"/>
      <c r="E251" s="1353"/>
      <c r="F251" s="1384"/>
      <c r="G251" s="2288">
        <f>G250</f>
        <v>0</v>
      </c>
      <c r="H251" s="2294" t="s">
        <v>5618</v>
      </c>
      <c r="I251" s="1353"/>
      <c r="J251" s="1384"/>
      <c r="K251" s="2288">
        <f>K250</f>
        <v>0</v>
      </c>
      <c r="L251" s="1474"/>
      <c r="M251" s="1353"/>
      <c r="N251" s="1384"/>
      <c r="O251" s="2288">
        <f>O250</f>
        <v>0</v>
      </c>
      <c r="P251" s="1474"/>
      <c r="Q251" s="1353"/>
      <c r="R251" s="1384"/>
      <c r="S251" s="2288">
        <f>S250</f>
        <v>0</v>
      </c>
      <c r="T251" s="1474"/>
      <c r="U251" s="1353"/>
      <c r="V251" s="1384"/>
      <c r="W251" s="2288">
        <f>W250</f>
        <v>0</v>
      </c>
      <c r="X251" s="1474"/>
      <c r="Y251" s="1353"/>
      <c r="Z251" s="1384"/>
      <c r="AA251" s="2288">
        <f>AA250</f>
        <v>0</v>
      </c>
      <c r="AB251" s="1474"/>
      <c r="AC251" s="1353"/>
      <c r="AD251" s="1384"/>
      <c r="AE251" s="2288">
        <f>AE250</f>
        <v>0</v>
      </c>
      <c r="AF251" s="28" t="s">
        <v>5618</v>
      </c>
      <c r="AG251" s="1474"/>
      <c r="AH251" s="1353"/>
      <c r="AI251" s="1384"/>
      <c r="AJ251" s="2288">
        <f>AJ250</f>
        <v>0</v>
      </c>
      <c r="AK251" s="1474"/>
      <c r="AL251" s="1353"/>
      <c r="AM251" s="1384"/>
      <c r="AN251" s="2288">
        <f>AN250</f>
        <v>0</v>
      </c>
      <c r="AO251" s="1474"/>
      <c r="AP251" s="1353"/>
      <c r="AQ251" s="1384"/>
      <c r="AR251" s="2288">
        <f>AR250</f>
        <v>0</v>
      </c>
      <c r="AS251" s="28" t="s">
        <v>5618</v>
      </c>
    </row>
    <row r="252" spans="2:45" x14ac:dyDescent="0.3">
      <c r="B252" s="2283" t="s">
        <v>5621</v>
      </c>
      <c r="C252" s="1408"/>
      <c r="D252" s="1408"/>
      <c r="E252" s="2284"/>
      <c r="F252" s="1409"/>
      <c r="G252" s="2286"/>
      <c r="H252" s="2294"/>
      <c r="I252" s="2284"/>
      <c r="J252" s="1409"/>
      <c r="K252" s="2286"/>
      <c r="L252" s="1474"/>
      <c r="M252" s="2284"/>
      <c r="N252" s="1409"/>
      <c r="O252" s="2286"/>
      <c r="P252" s="1474"/>
      <c r="Q252" s="2284"/>
      <c r="R252" s="1409"/>
      <c r="S252" s="2286"/>
      <c r="T252" s="1474"/>
      <c r="U252" s="2284"/>
      <c r="V252" s="1409"/>
      <c r="W252" s="2286"/>
      <c r="X252" s="1474"/>
      <c r="Y252" s="2284"/>
      <c r="Z252" s="1409"/>
      <c r="AA252" s="2286"/>
      <c r="AB252" s="1474"/>
      <c r="AC252" s="2284"/>
      <c r="AD252" s="1409"/>
      <c r="AE252" s="2286"/>
      <c r="AF252" s="2287"/>
      <c r="AG252" s="1474"/>
      <c r="AH252" s="2284"/>
      <c r="AI252" s="1409"/>
      <c r="AJ252" s="2286"/>
      <c r="AK252" s="1474"/>
      <c r="AL252" s="2284"/>
      <c r="AM252" s="1409"/>
      <c r="AN252" s="2286"/>
      <c r="AO252" s="1474"/>
      <c r="AP252" s="2284"/>
      <c r="AQ252" s="1409"/>
      <c r="AR252" s="2286"/>
      <c r="AS252" s="2287"/>
    </row>
    <row r="253" spans="2:45" x14ac:dyDescent="0.3">
      <c r="B253" s="28" t="s">
        <v>5622</v>
      </c>
      <c r="C253" s="510"/>
      <c r="D253" s="2292"/>
      <c r="E253" s="1353"/>
      <c r="F253" s="1384"/>
      <c r="G253" s="1576">
        <f>UDV.emit_N2O_indirect.ef4</f>
        <v>1.4E-2</v>
      </c>
      <c r="H253" s="2294" t="s">
        <v>5623</v>
      </c>
      <c r="I253" s="1353"/>
      <c r="J253" s="1384"/>
      <c r="K253" s="1576">
        <f>UDV.emit_N2O_indirect.ef4</f>
        <v>1.4E-2</v>
      </c>
      <c r="L253" s="1474"/>
      <c r="M253" s="1353"/>
      <c r="N253" s="1384"/>
      <c r="O253" s="1576">
        <f>UDV.emit_N2O_indirect.ef4</f>
        <v>1.4E-2</v>
      </c>
      <c r="P253" s="1474"/>
      <c r="Q253" s="1353"/>
      <c r="R253" s="1384"/>
      <c r="S253" s="1576">
        <f>UDV.emit_N2O_indirect.ef4</f>
        <v>1.4E-2</v>
      </c>
      <c r="T253" s="1474"/>
      <c r="U253" s="1353"/>
      <c r="V253" s="1384"/>
      <c r="W253" s="1576">
        <f>UDV.emit_N2O_indirect.ef4</f>
        <v>1.4E-2</v>
      </c>
      <c r="X253" s="1474"/>
      <c r="Y253" s="1353"/>
      <c r="Z253" s="1384"/>
      <c r="AA253" s="1576">
        <f>UDV.emit_N2O_indirect.ef4</f>
        <v>1.4E-2</v>
      </c>
      <c r="AB253" s="1474"/>
      <c r="AC253" s="1353"/>
      <c r="AD253" s="1384"/>
      <c r="AE253" s="1576">
        <f>UDV.emit_N2O_indirect.ef4</f>
        <v>1.4E-2</v>
      </c>
      <c r="AF253" s="95" t="s">
        <v>5623</v>
      </c>
      <c r="AG253" s="1474"/>
      <c r="AH253" s="1353"/>
      <c r="AI253" s="1384"/>
      <c r="AJ253" s="1576">
        <f>UDV.emit_N2O_indirect.ef4</f>
        <v>1.4E-2</v>
      </c>
      <c r="AK253" s="1474"/>
      <c r="AL253" s="1353"/>
      <c r="AM253" s="1384"/>
      <c r="AN253" s="1576">
        <f>UDV.emit_N2O_indirect.ef4</f>
        <v>1.4E-2</v>
      </c>
      <c r="AO253" s="1474"/>
      <c r="AP253" s="1353"/>
      <c r="AQ253" s="1384"/>
      <c r="AR253" s="1576">
        <f>UDV.emit_N2O_indirect.ef4</f>
        <v>1.4E-2</v>
      </c>
      <c r="AS253" s="95" t="s">
        <v>5623</v>
      </c>
    </row>
    <row r="254" spans="2:45" x14ac:dyDescent="0.3">
      <c r="B254" s="95" t="s">
        <v>5624</v>
      </c>
      <c r="C254" s="816"/>
      <c r="D254" s="2293"/>
      <c r="E254" s="1353"/>
      <c r="F254" s="1384"/>
      <c r="G254" s="1878">
        <f>G242*G246*G253</f>
        <v>0.14601298510289196</v>
      </c>
      <c r="H254" s="2294" t="s">
        <v>5618</v>
      </c>
      <c r="I254" s="1353"/>
      <c r="J254" s="1384"/>
      <c r="K254" s="1878">
        <f>K242*K246*K253</f>
        <v>0.16689096684632201</v>
      </c>
      <c r="L254" s="1474"/>
      <c r="M254" s="1353"/>
      <c r="N254" s="1384"/>
      <c r="O254" s="1878">
        <f>O242*O246*O253</f>
        <v>0.156451975974607</v>
      </c>
      <c r="P254" s="1474"/>
      <c r="Q254" s="1353"/>
      <c r="R254" s="1384"/>
      <c r="S254" s="1878">
        <f>S242*S246*S253</f>
        <v>0.13503413030349304</v>
      </c>
      <c r="T254" s="1474"/>
      <c r="U254" s="1353"/>
      <c r="V254" s="1384"/>
      <c r="W254" s="1878">
        <f>W242*W246*W253</f>
        <v>0.15434227680313228</v>
      </c>
      <c r="X254" s="1474"/>
      <c r="Y254" s="1353"/>
      <c r="Z254" s="1384"/>
      <c r="AA254" s="1878">
        <f>AA242*AA246*AA253</f>
        <v>0.14468820355331269</v>
      </c>
      <c r="AB254" s="1474"/>
      <c r="AC254" s="1353"/>
      <c r="AD254" s="1384"/>
      <c r="AE254" s="1878">
        <f>AE242*AE246*AE253</f>
        <v>0.13117934562025257</v>
      </c>
      <c r="AF254" s="28" t="s">
        <v>5618</v>
      </c>
      <c r="AG254" s="1474"/>
      <c r="AH254" s="1353"/>
      <c r="AI254" s="1384"/>
      <c r="AJ254" s="1878">
        <f>AJ242*AJ246*AJ253</f>
        <v>0.14993630741406008</v>
      </c>
      <c r="AK254" s="1474"/>
      <c r="AL254" s="1353"/>
      <c r="AM254" s="1384"/>
      <c r="AN254" s="1878">
        <f>AN242*AN246*AN253</f>
        <v>0.14055782651715637</v>
      </c>
      <c r="AO254" s="1474"/>
      <c r="AP254" s="1353"/>
      <c r="AQ254" s="1384"/>
      <c r="AR254" s="1878">
        <f>AR242*AR246*AR253</f>
        <v>0.13351277347705759</v>
      </c>
      <c r="AS254" s="28" t="s">
        <v>5618</v>
      </c>
    </row>
    <row r="255" spans="2:45" x14ac:dyDescent="0.3">
      <c r="B255" s="95" t="s">
        <v>5625</v>
      </c>
      <c r="C255" s="49"/>
      <c r="D255" s="52"/>
      <c r="E255" s="1353"/>
      <c r="F255" s="1384"/>
      <c r="G255" s="2288">
        <f>G254</f>
        <v>0.14601298510289196</v>
      </c>
      <c r="H255" s="2294" t="s">
        <v>5618</v>
      </c>
      <c r="I255" s="1353"/>
      <c r="J255" s="1384"/>
      <c r="K255" s="2288">
        <f>K254</f>
        <v>0.16689096684632201</v>
      </c>
      <c r="L255" s="1474"/>
      <c r="M255" s="1353"/>
      <c r="N255" s="1384"/>
      <c r="O255" s="2288">
        <f>O254</f>
        <v>0.156451975974607</v>
      </c>
      <c r="P255" s="1474"/>
      <c r="Q255" s="1353"/>
      <c r="R255" s="1384"/>
      <c r="S255" s="2288">
        <f>S254</f>
        <v>0.13503413030349304</v>
      </c>
      <c r="T255" s="1474"/>
      <c r="U255" s="1353"/>
      <c r="V255" s="1384"/>
      <c r="W255" s="2288">
        <f>W254</f>
        <v>0.15434227680313228</v>
      </c>
      <c r="X255" s="1474"/>
      <c r="Y255" s="1353"/>
      <c r="Z255" s="1384"/>
      <c r="AA255" s="2288">
        <f>AA254</f>
        <v>0.14468820355331269</v>
      </c>
      <c r="AB255" s="1474"/>
      <c r="AC255" s="1353"/>
      <c r="AD255" s="1384"/>
      <c r="AE255" s="2288">
        <f>AE254</f>
        <v>0.13117934562025257</v>
      </c>
      <c r="AF255" s="28" t="s">
        <v>5618</v>
      </c>
      <c r="AG255" s="1474"/>
      <c r="AH255" s="1353"/>
      <c r="AI255" s="1384"/>
      <c r="AJ255" s="2288">
        <f>AJ254</f>
        <v>0.14993630741406008</v>
      </c>
      <c r="AK255" s="1474"/>
      <c r="AL255" s="1353"/>
      <c r="AM255" s="1384"/>
      <c r="AN255" s="2288">
        <f>AN254</f>
        <v>0.14055782651715637</v>
      </c>
      <c r="AO255" s="1474"/>
      <c r="AP255" s="1353"/>
      <c r="AQ255" s="1384"/>
      <c r="AR255" s="2288">
        <f>AR254</f>
        <v>0.13351277347705759</v>
      </c>
      <c r="AS255" s="28" t="s">
        <v>5618</v>
      </c>
    </row>
    <row r="256" spans="2:45" x14ac:dyDescent="0.3">
      <c r="B256" s="95"/>
      <c r="C256" s="49"/>
      <c r="D256" s="52"/>
      <c r="E256" s="1353"/>
      <c r="F256" s="1384"/>
      <c r="G256" s="2288"/>
      <c r="H256" s="1729"/>
      <c r="I256" s="1353"/>
      <c r="J256" s="1384"/>
      <c r="K256" s="2288"/>
      <c r="L256" s="1474"/>
      <c r="M256" s="1353"/>
      <c r="N256" s="1384"/>
      <c r="O256" s="2288"/>
      <c r="P256" s="1474"/>
      <c r="Q256" s="1353"/>
      <c r="R256" s="1384"/>
      <c r="S256" s="2288"/>
      <c r="T256" s="1474"/>
      <c r="U256" s="1353"/>
      <c r="V256" s="1384"/>
      <c r="W256" s="2288"/>
      <c r="X256" s="1474"/>
      <c r="Y256" s="1353"/>
      <c r="Z256" s="1384"/>
      <c r="AA256" s="2288"/>
      <c r="AB256" s="1474"/>
      <c r="AC256" s="1353"/>
      <c r="AD256" s="1384"/>
      <c r="AE256" s="2288"/>
      <c r="AF256" s="49"/>
      <c r="AG256" s="1474"/>
      <c r="AH256" s="1353"/>
      <c r="AI256" s="1384"/>
      <c r="AJ256" s="2288"/>
      <c r="AK256" s="1474"/>
      <c r="AL256" s="1353"/>
      <c r="AM256" s="1384"/>
      <c r="AN256" s="2288"/>
      <c r="AO256" s="1474"/>
      <c r="AP256" s="1353"/>
      <c r="AQ256" s="1384"/>
      <c r="AR256" s="2288"/>
      <c r="AS256" s="49"/>
    </row>
    <row r="257" spans="1:45" s="1690" customFormat="1" x14ac:dyDescent="0.3">
      <c r="A257" s="1690" t="s">
        <v>5721</v>
      </c>
      <c r="B257" s="1694"/>
      <c r="C257" s="1694"/>
      <c r="D257" s="1694"/>
      <c r="E257" s="1694"/>
      <c r="F257" s="1694"/>
      <c r="G257" s="1694"/>
      <c r="H257" s="1694"/>
      <c r="I257" s="1694"/>
      <c r="J257" s="1694"/>
      <c r="K257" s="1694"/>
      <c r="L257" s="1694"/>
      <c r="M257" s="1694"/>
      <c r="N257" s="1694"/>
      <c r="O257" s="1694"/>
      <c r="P257" s="1694"/>
      <c r="Q257" s="1694"/>
      <c r="R257" s="1694"/>
      <c r="S257" s="1694"/>
      <c r="T257" s="1694"/>
      <c r="U257" s="1694"/>
      <c r="V257" s="1694"/>
      <c r="W257" s="1694"/>
      <c r="X257" s="1694"/>
      <c r="Y257" s="1694"/>
      <c r="Z257" s="1694"/>
      <c r="AA257" s="1694"/>
      <c r="AB257" s="1694"/>
      <c r="AC257" s="1694"/>
      <c r="AD257" s="1694"/>
      <c r="AE257" s="1694"/>
      <c r="AF257" s="1694"/>
      <c r="AG257" s="1694"/>
      <c r="AH257" s="1694"/>
      <c r="AI257" s="1694"/>
      <c r="AJ257" s="1694"/>
      <c r="AK257" s="1694"/>
      <c r="AL257" s="1694"/>
      <c r="AM257" s="1694"/>
      <c r="AN257" s="1694"/>
      <c r="AO257" s="1694"/>
      <c r="AP257" s="1694"/>
      <c r="AQ257" s="1694"/>
      <c r="AR257" s="1694"/>
      <c r="AS257" s="1694"/>
    </row>
    <row r="258" spans="1:45" s="1690" customFormat="1" x14ac:dyDescent="0.3">
      <c r="B258" s="1694"/>
      <c r="C258" s="1694"/>
      <c r="D258" s="1694"/>
      <c r="E258" s="1694"/>
      <c r="F258" s="1694"/>
      <c r="G258" s="1694"/>
      <c r="H258" s="1694"/>
      <c r="I258" s="1694"/>
      <c r="J258" s="1694"/>
      <c r="K258" s="1694"/>
      <c r="L258" s="1694"/>
      <c r="M258" s="1694"/>
      <c r="N258" s="1694"/>
      <c r="O258" s="1694"/>
      <c r="P258" s="1694"/>
      <c r="Q258" s="1694"/>
      <c r="R258" s="1694"/>
      <c r="S258" s="1694"/>
      <c r="T258" s="1694"/>
      <c r="U258" s="1694"/>
      <c r="V258" s="1694"/>
      <c r="W258" s="1694"/>
      <c r="X258" s="1694"/>
      <c r="Y258" s="1694"/>
      <c r="Z258" s="1694"/>
      <c r="AA258" s="1694"/>
      <c r="AB258" s="1694"/>
      <c r="AC258" s="1694"/>
      <c r="AD258" s="1694"/>
      <c r="AE258" s="1694"/>
      <c r="AF258" s="1694"/>
      <c r="AG258" s="1694"/>
      <c r="AH258" s="1694"/>
      <c r="AI258" s="1694"/>
      <c r="AJ258" s="1694"/>
      <c r="AK258" s="1694"/>
      <c r="AL258" s="1694"/>
      <c r="AM258" s="1694"/>
      <c r="AN258" s="1694"/>
      <c r="AO258" s="1694"/>
      <c r="AP258" s="1694"/>
      <c r="AQ258" s="1694"/>
      <c r="AR258" s="1694"/>
      <c r="AS258" s="1694"/>
    </row>
    <row r="259" spans="1:45" s="1693" customFormat="1" x14ac:dyDescent="0.3">
      <c r="B259" s="1667" t="s">
        <v>5722</v>
      </c>
      <c r="C259" s="1691"/>
      <c r="D259" s="1692"/>
      <c r="E259" s="1692"/>
      <c r="F259" s="1665" t="s">
        <v>38</v>
      </c>
      <c r="G259" s="1666">
        <f>G2</f>
        <v>3</v>
      </c>
      <c r="H259" s="1691"/>
      <c r="I259" s="1691"/>
      <c r="J259" s="1691"/>
      <c r="K259" s="1666">
        <f>K2</f>
        <v>4</v>
      </c>
      <c r="L259" s="1691"/>
      <c r="M259" s="1691"/>
      <c r="N259" s="1691"/>
      <c r="O259" s="1666">
        <f>O2</f>
        <v>5</v>
      </c>
      <c r="P259" s="1691"/>
      <c r="Q259" s="1691"/>
      <c r="R259" s="1691"/>
      <c r="S259" s="1666">
        <f>S2</f>
        <v>6</v>
      </c>
      <c r="T259" s="1691"/>
      <c r="U259" s="1691"/>
      <c r="V259" s="1691"/>
      <c r="W259" s="1666">
        <f>W2</f>
        <v>7</v>
      </c>
      <c r="X259" s="1691"/>
      <c r="Y259" s="1691"/>
      <c r="Z259" s="1691"/>
      <c r="AA259" s="1666">
        <f>AA2</f>
        <v>8</v>
      </c>
      <c r="AB259" s="1691"/>
      <c r="AC259" s="1691"/>
      <c r="AD259" s="1691"/>
      <c r="AE259" s="1666">
        <f>AE2</f>
        <v>9</v>
      </c>
      <c r="AF259" s="1665" t="s">
        <v>38</v>
      </c>
      <c r="AG259" s="1691"/>
      <c r="AH259" s="1691"/>
      <c r="AI259" s="1691"/>
      <c r="AJ259" s="1666">
        <f>AJ2</f>
        <v>10</v>
      </c>
      <c r="AK259" s="1691"/>
      <c r="AL259" s="1691"/>
      <c r="AM259" s="1691"/>
      <c r="AN259" s="1666">
        <f>AN2</f>
        <v>11</v>
      </c>
      <c r="AO259" s="1691"/>
      <c r="AP259" s="1691"/>
      <c r="AQ259" s="1691"/>
      <c r="AR259" s="1666">
        <f>AR2</f>
        <v>14</v>
      </c>
      <c r="AS259" s="1665" t="s">
        <v>38</v>
      </c>
    </row>
    <row r="260" spans="1:45" x14ac:dyDescent="0.3">
      <c r="B260" s="95" t="s">
        <v>6401</v>
      </c>
      <c r="C260" s="118" t="s">
        <v>6402</v>
      </c>
      <c r="D260" s="49"/>
      <c r="E260" s="49"/>
      <c r="F260" s="95" t="s">
        <v>2452</v>
      </c>
      <c r="G260" s="1530">
        <f>G41</f>
        <v>182.5</v>
      </c>
      <c r="H260" s="1474"/>
      <c r="I260" s="49"/>
      <c r="J260" s="49"/>
      <c r="K260" s="1530">
        <f>K41</f>
        <v>182.5</v>
      </c>
      <c r="L260" s="1474"/>
      <c r="M260" s="49"/>
      <c r="N260" s="49"/>
      <c r="O260" s="1530">
        <f>O41</f>
        <v>182.5</v>
      </c>
      <c r="P260" s="1474"/>
      <c r="Q260" s="49"/>
      <c r="R260" s="49"/>
      <c r="S260" s="1530">
        <f>S41</f>
        <v>182.5</v>
      </c>
      <c r="T260" s="1474"/>
      <c r="U260" s="49"/>
      <c r="V260" s="49"/>
      <c r="W260" s="1530">
        <f>W41</f>
        <v>182.5</v>
      </c>
      <c r="X260" s="1474"/>
      <c r="Y260" s="49"/>
      <c r="Z260" s="49"/>
      <c r="AA260" s="1530">
        <f>AA41</f>
        <v>182.5</v>
      </c>
      <c r="AB260" s="1474"/>
      <c r="AC260" s="49"/>
      <c r="AD260" s="49"/>
      <c r="AE260" s="1530">
        <f>AE41</f>
        <v>182.5</v>
      </c>
      <c r="AF260" s="95" t="s">
        <v>2452</v>
      </c>
      <c r="AG260" s="1474"/>
      <c r="AH260" s="49"/>
      <c r="AI260" s="49"/>
      <c r="AJ260" s="1530">
        <f>AJ41</f>
        <v>182.5</v>
      </c>
      <c r="AK260" s="1474"/>
      <c r="AL260" s="49"/>
      <c r="AM260" s="49"/>
      <c r="AN260" s="1530">
        <f>AN41</f>
        <v>182.5</v>
      </c>
      <c r="AO260" s="1474"/>
      <c r="AP260" s="49"/>
      <c r="AQ260" s="49"/>
      <c r="AR260" s="1530">
        <f>AR41</f>
        <v>182.5</v>
      </c>
      <c r="AS260" s="95" t="s">
        <v>2452</v>
      </c>
    </row>
    <row r="261" spans="1:45" x14ac:dyDescent="0.3">
      <c r="B261" s="95" t="s">
        <v>6403</v>
      </c>
      <c r="C261" s="49"/>
      <c r="D261" s="49"/>
      <c r="E261" s="49"/>
      <c r="F261" s="95" t="s">
        <v>5910</v>
      </c>
      <c r="G261" s="1535">
        <f>F72</f>
        <v>1201.1370470114557</v>
      </c>
      <c r="H261" s="1474"/>
      <c r="I261" s="49"/>
      <c r="J261" s="49"/>
      <c r="K261" s="1535">
        <f>J72</f>
        <v>1201.1370470114557</v>
      </c>
      <c r="L261" s="1474"/>
      <c r="M261" s="49"/>
      <c r="N261" s="49"/>
      <c r="O261" s="1535">
        <f>N72</f>
        <v>1193.3317430779252</v>
      </c>
      <c r="P261" s="1474"/>
      <c r="Q261" s="49"/>
      <c r="R261" s="49"/>
      <c r="S261" s="1535">
        <f>R72</f>
        <v>1186.1423892357984</v>
      </c>
      <c r="T261" s="1474"/>
      <c r="U261" s="49"/>
      <c r="V261" s="49"/>
      <c r="W261" s="1535">
        <f>V72</f>
        <v>1186.1423892357984</v>
      </c>
      <c r="X261" s="1474"/>
      <c r="Y261" s="49"/>
      <c r="Z261" s="49"/>
      <c r="AA261" s="1535">
        <f>Z72</f>
        <v>1186.1423892357984</v>
      </c>
      <c r="AB261" s="1474"/>
      <c r="AC261" s="49"/>
      <c r="AD261" s="49"/>
      <c r="AE261" s="1535">
        <f>AD72</f>
        <v>1181.7954759720228</v>
      </c>
      <c r="AF261" s="95" t="s">
        <v>5910</v>
      </c>
      <c r="AG261" s="1474"/>
      <c r="AH261" s="49"/>
      <c r="AI261" s="49"/>
      <c r="AJ261" s="1535">
        <f>AI72</f>
        <v>1181.7954759720228</v>
      </c>
      <c r="AK261" s="1474"/>
      <c r="AL261" s="49"/>
      <c r="AM261" s="49"/>
      <c r="AN261" s="1535">
        <f>AM72</f>
        <v>1181.795475972023</v>
      </c>
      <c r="AO261" s="1474"/>
      <c r="AP261" s="49"/>
      <c r="AQ261" s="49"/>
      <c r="AR261" s="1535">
        <f>AQ72</f>
        <v>1824.9123110817213</v>
      </c>
      <c r="AS261" s="95" t="s">
        <v>5910</v>
      </c>
    </row>
    <row r="262" spans="1:45" x14ac:dyDescent="0.3">
      <c r="B262" s="18" t="s">
        <v>6343</v>
      </c>
      <c r="C262" s="49"/>
      <c r="D262" s="49"/>
      <c r="E262" s="49"/>
      <c r="F262" s="18" t="s">
        <v>2268</v>
      </c>
      <c r="G262" s="1423">
        <f>G57</f>
        <v>3368.7334385768968</v>
      </c>
      <c r="H262" s="1474"/>
      <c r="I262" s="49"/>
      <c r="J262" s="49"/>
      <c r="K262" s="1423">
        <f>K57</f>
        <v>3368.7334385768968</v>
      </c>
      <c r="L262" s="1474"/>
      <c r="M262" s="49"/>
      <c r="N262" s="49"/>
      <c r="O262" s="1423">
        <f>O57</f>
        <v>3348.7402420606995</v>
      </c>
      <c r="P262" s="1474"/>
      <c r="Q262" s="49"/>
      <c r="R262" s="49"/>
      <c r="S262" s="1423">
        <f>S57</f>
        <v>2664.5817743943217</v>
      </c>
      <c r="T262" s="1474"/>
      <c r="U262" s="49"/>
      <c r="V262" s="49"/>
      <c r="W262" s="1423">
        <f>W57</f>
        <v>2664.5817743943217</v>
      </c>
      <c r="X262" s="1474"/>
      <c r="Y262" s="49"/>
      <c r="Z262" s="49"/>
      <c r="AA262" s="1423">
        <f>AA57</f>
        <v>2664.5817743943217</v>
      </c>
      <c r="AB262" s="1474"/>
      <c r="AC262" s="49"/>
      <c r="AD262" s="49"/>
      <c r="AE262" s="1423">
        <f>AE57</f>
        <v>2520.2986018694792</v>
      </c>
      <c r="AF262" s="18" t="s">
        <v>2268</v>
      </c>
      <c r="AG262" s="1474"/>
      <c r="AH262" s="49"/>
      <c r="AI262" s="49"/>
      <c r="AJ262" s="1423">
        <f>AJ57</f>
        <v>2520.2986018694792</v>
      </c>
      <c r="AK262" s="1474"/>
      <c r="AL262" s="49"/>
      <c r="AM262" s="49"/>
      <c r="AN262" s="1423">
        <f>AN57</f>
        <v>2520.2986018694792</v>
      </c>
      <c r="AO262" s="1474"/>
      <c r="AP262" s="49"/>
      <c r="AQ262" s="49"/>
      <c r="AR262" s="1423">
        <f>AR57</f>
        <v>1937.2131954110769</v>
      </c>
      <c r="AS262" s="18" t="s">
        <v>2268</v>
      </c>
    </row>
    <row r="263" spans="1:45" x14ac:dyDescent="0.3">
      <c r="B263" s="18" t="s">
        <v>5437</v>
      </c>
      <c r="C263" s="49"/>
      <c r="D263" s="49"/>
      <c r="E263" s="49"/>
      <c r="F263" s="18" t="s">
        <v>2478</v>
      </c>
      <c r="G263" s="1423">
        <f>G58</f>
        <v>7731.3161327004527</v>
      </c>
      <c r="H263" s="1474"/>
      <c r="I263" s="49"/>
      <c r="J263" s="49"/>
      <c r="K263" s="1423">
        <f>K58</f>
        <v>7731.3161327004527</v>
      </c>
      <c r="L263" s="1474"/>
      <c r="M263" s="49"/>
      <c r="N263" s="49"/>
      <c r="O263" s="1423">
        <f>O58</f>
        <v>7667.3081434083915</v>
      </c>
      <c r="P263" s="1474"/>
      <c r="Q263" s="49"/>
      <c r="R263" s="49"/>
      <c r="S263" s="1423">
        <f>S58</f>
        <v>5536.05004954981</v>
      </c>
      <c r="T263" s="1474"/>
      <c r="U263" s="49"/>
      <c r="V263" s="49"/>
      <c r="W263" s="1423">
        <f>W58</f>
        <v>5536.05004954981</v>
      </c>
      <c r="X263" s="1474"/>
      <c r="Y263" s="49"/>
      <c r="Z263" s="49"/>
      <c r="AA263" s="1423">
        <f>AA58</f>
        <v>5536.05004954981</v>
      </c>
      <c r="AB263" s="1474"/>
      <c r="AC263" s="49"/>
      <c r="AD263" s="49"/>
      <c r="AE263" s="1423">
        <f>AE58</f>
        <v>5103.5144459118055</v>
      </c>
      <c r="AF263" s="18" t="s">
        <v>2478</v>
      </c>
      <c r="AG263" s="1474"/>
      <c r="AH263" s="49"/>
      <c r="AI263" s="49"/>
      <c r="AJ263" s="1423">
        <f>AJ58</f>
        <v>5103.5144459118055</v>
      </c>
      <c r="AK263" s="1474"/>
      <c r="AL263" s="49"/>
      <c r="AM263" s="49"/>
      <c r="AN263" s="1423">
        <f>AN58</f>
        <v>5103.5144459118055</v>
      </c>
      <c r="AO263" s="1474"/>
      <c r="AP263" s="49"/>
      <c r="AQ263" s="49"/>
      <c r="AR263" s="1423">
        <f>AR58</f>
        <v>3434.4068159132703</v>
      </c>
      <c r="AS263" s="18" t="s">
        <v>2478</v>
      </c>
    </row>
    <row r="264" spans="1:45" x14ac:dyDescent="0.3">
      <c r="B264" s="18" t="s">
        <v>6404</v>
      </c>
      <c r="C264" s="49"/>
      <c r="D264" s="49"/>
      <c r="E264" s="49"/>
      <c r="F264" s="18" t="s">
        <v>2413</v>
      </c>
      <c r="G264" s="1536">
        <f>F74</f>
        <v>1.1051319345963957</v>
      </c>
      <c r="H264" s="1474"/>
      <c r="I264" s="49"/>
      <c r="J264" s="49"/>
      <c r="K264" s="1536">
        <f>J74</f>
        <v>1.2631516089310184</v>
      </c>
      <c r="L264" s="1474"/>
      <c r="M264" s="49"/>
      <c r="N264" s="49"/>
      <c r="O264" s="1536">
        <f>N74</f>
        <v>1.1918869662434635</v>
      </c>
      <c r="P264" s="1474"/>
      <c r="Q264" s="49"/>
      <c r="R264" s="49"/>
      <c r="S264" s="1536">
        <f>R74</f>
        <v>1.034956118250459</v>
      </c>
      <c r="T264" s="1474"/>
      <c r="U264" s="49"/>
      <c r="V264" s="49"/>
      <c r="W264" s="1536">
        <f>V74</f>
        <v>1.1829415520586768</v>
      </c>
      <c r="X264" s="1474"/>
      <c r="Y264" s="49"/>
      <c r="Z264" s="49"/>
      <c r="AA264" s="1536">
        <f>Z74</f>
        <v>1.1089488351545678</v>
      </c>
      <c r="AB264" s="1474"/>
      <c r="AC264" s="49"/>
      <c r="AD264" s="49"/>
      <c r="AE264" s="1536">
        <f>AD74</f>
        <v>1.0091096241407453</v>
      </c>
      <c r="AF264" s="18" t="s">
        <v>2413</v>
      </c>
      <c r="AG264" s="1474"/>
      <c r="AH264" s="49"/>
      <c r="AI264" s="49"/>
      <c r="AJ264" s="1536">
        <f>AI74</f>
        <v>1.1533993412168242</v>
      </c>
      <c r="AK264" s="1474"/>
      <c r="AL264" s="49"/>
      <c r="AM264" s="49"/>
      <c r="AN264" s="1536">
        <f>AM74</f>
        <v>1.0812544826787847</v>
      </c>
      <c r="AO264" s="1474"/>
      <c r="AP264" s="49"/>
      <c r="AQ264" s="49"/>
      <c r="AR264" s="1536">
        <f>AQ74</f>
        <v>0.66511390569986895</v>
      </c>
      <c r="AS264" s="18" t="s">
        <v>2413</v>
      </c>
    </row>
    <row r="265" spans="1:45" x14ac:dyDescent="0.3">
      <c r="B265" s="18" t="s">
        <v>6405</v>
      </c>
      <c r="C265" s="49"/>
      <c r="D265" s="49"/>
      <c r="E265" s="49"/>
      <c r="F265" s="18" t="s">
        <v>2413</v>
      </c>
      <c r="G265" s="1536">
        <f>F75</f>
        <v>0.76046905598548931</v>
      </c>
      <c r="H265" s="1474"/>
      <c r="I265" s="49"/>
      <c r="J265" s="49"/>
      <c r="K265" s="1536">
        <f>J75</f>
        <v>0.76046905598548931</v>
      </c>
      <c r="L265" s="1474"/>
      <c r="M265" s="49"/>
      <c r="N265" s="49"/>
      <c r="O265" s="1536">
        <f>N75</f>
        <v>0.76544310628494927</v>
      </c>
      <c r="P265" s="1474"/>
      <c r="Q265" s="49"/>
      <c r="R265" s="49"/>
      <c r="S265" s="1536">
        <f>R75</f>
        <v>0.77008255040821727</v>
      </c>
      <c r="T265" s="1474"/>
      <c r="U265" s="49"/>
      <c r="V265" s="49"/>
      <c r="W265" s="1536">
        <f>V75</f>
        <v>0.77008255040821727</v>
      </c>
      <c r="X265" s="1474"/>
      <c r="Y265" s="49"/>
      <c r="Z265" s="49"/>
      <c r="AA265" s="1536">
        <f>Z75</f>
        <v>0.77008255040821727</v>
      </c>
      <c r="AB265" s="1474"/>
      <c r="AC265" s="49"/>
      <c r="AD265" s="49"/>
      <c r="AE265" s="1536">
        <f>AD75</f>
        <v>0.77291508964248568</v>
      </c>
      <c r="AF265" s="18" t="s">
        <v>2413</v>
      </c>
      <c r="AG265" s="1474"/>
      <c r="AH265" s="49"/>
      <c r="AI265" s="49"/>
      <c r="AJ265" s="1536">
        <f>AI75</f>
        <v>0.77291508964248568</v>
      </c>
      <c r="AK265" s="1474"/>
      <c r="AL265" s="49"/>
      <c r="AM265" s="49"/>
      <c r="AN265" s="1536">
        <f>AM75</f>
        <v>0.77291508964248556</v>
      </c>
      <c r="AO265" s="1474"/>
      <c r="AP265" s="49"/>
      <c r="AQ265" s="49"/>
      <c r="AR265" s="1536">
        <f>AQ75</f>
        <v>0.32534599495937772</v>
      </c>
      <c r="AS265" s="18" t="s">
        <v>2413</v>
      </c>
    </row>
    <row r="266" spans="1:45" x14ac:dyDescent="0.3">
      <c r="B266" s="18" t="s">
        <v>6406</v>
      </c>
      <c r="C266" s="49"/>
      <c r="D266" s="49"/>
      <c r="E266" s="49"/>
      <c r="F266" s="18" t="s">
        <v>2413</v>
      </c>
      <c r="G266" s="1536">
        <f>F76</f>
        <v>1.1555235596998139</v>
      </c>
      <c r="H266" s="1474"/>
      <c r="I266" s="49"/>
      <c r="J266" s="49"/>
      <c r="K266" s="1536">
        <f>J76</f>
        <v>1.1555235596998139</v>
      </c>
      <c r="L266" s="1474"/>
      <c r="M266" s="49"/>
      <c r="N266" s="49"/>
      <c r="O266" s="1536">
        <f>N76</f>
        <v>1.1630815691453258</v>
      </c>
      <c r="P266" s="1474"/>
      <c r="Q266" s="49"/>
      <c r="R266" s="49"/>
      <c r="S266" s="1536">
        <f>R76</f>
        <v>1.1701311485412944</v>
      </c>
      <c r="T266" s="1474"/>
      <c r="U266" s="49"/>
      <c r="V266" s="49"/>
      <c r="W266" s="1536">
        <f>V76</f>
        <v>1.1701311485412944</v>
      </c>
      <c r="X266" s="1474"/>
      <c r="Y266" s="49"/>
      <c r="Z266" s="49"/>
      <c r="AA266" s="1536">
        <f>Z76</f>
        <v>1.1701311485412944</v>
      </c>
      <c r="AB266" s="1474"/>
      <c r="AC266" s="49"/>
      <c r="AD266" s="49"/>
      <c r="AE266" s="1536">
        <f>AD76</f>
        <v>1.1744351577487824</v>
      </c>
      <c r="AF266" s="18" t="s">
        <v>2413</v>
      </c>
      <c r="AG266" s="1474"/>
      <c r="AH266" s="49"/>
      <c r="AI266" s="49"/>
      <c r="AJ266" s="1536">
        <f>AI76</f>
        <v>1.1744351577487824</v>
      </c>
      <c r="AK266" s="1474"/>
      <c r="AL266" s="49"/>
      <c r="AM266" s="49"/>
      <c r="AN266" s="1536">
        <f>AM76</f>
        <v>1.1744351577487822</v>
      </c>
      <c r="AO266" s="1474"/>
      <c r="AP266" s="49"/>
      <c r="AQ266" s="49"/>
      <c r="AR266" s="1536">
        <f>AQ76</f>
        <v>0.5323869555130053</v>
      </c>
      <c r="AS266" s="18" t="s">
        <v>2413</v>
      </c>
    </row>
    <row r="267" spans="1:45" x14ac:dyDescent="0.3">
      <c r="B267" s="49" t="s">
        <v>6407</v>
      </c>
      <c r="C267" s="118" t="s">
        <v>6408</v>
      </c>
      <c r="D267" s="49"/>
      <c r="E267" s="49"/>
      <c r="F267" s="510" t="s">
        <v>5385</v>
      </c>
      <c r="G267" s="1423">
        <f>E113</f>
        <v>25.66270624679748</v>
      </c>
      <c r="H267" s="1474"/>
      <c r="I267" s="49"/>
      <c r="J267" s="49"/>
      <c r="K267" s="1423">
        <f>I113</f>
        <v>29.332143674777534</v>
      </c>
      <c r="L267" s="1474"/>
      <c r="M267" s="49"/>
      <c r="N267" s="49"/>
      <c r="O267" s="1423">
        <f>M113</f>
        <v>27.497424960787516</v>
      </c>
      <c r="P267" s="1474"/>
      <c r="Q267" s="49"/>
      <c r="R267" s="49"/>
      <c r="S267" s="1423">
        <f>Q113</f>
        <v>23.73310303072272</v>
      </c>
      <c r="T267" s="1474"/>
      <c r="U267" s="49"/>
      <c r="V267" s="49"/>
      <c r="W267" s="1423">
        <f>U113</f>
        <v>27.126631979132384</v>
      </c>
      <c r="X267" s="1474"/>
      <c r="Y267" s="49"/>
      <c r="Z267" s="49"/>
      <c r="AA267" s="1423">
        <f>Y113</f>
        <v>25.42986750492755</v>
      </c>
      <c r="AB267" s="1474"/>
      <c r="AC267" s="49"/>
      <c r="AD267" s="49"/>
      <c r="AE267" s="1423">
        <f>AC113</f>
        <v>23.05560022574312</v>
      </c>
      <c r="AF267" s="510" t="s">
        <v>5385</v>
      </c>
      <c r="AG267" s="1474"/>
      <c r="AH267" s="49"/>
      <c r="AI267" s="49"/>
      <c r="AJ267" s="1423">
        <f>AH113</f>
        <v>26.352254973659456</v>
      </c>
      <c r="AK267" s="1474"/>
      <c r="AL267" s="49"/>
      <c r="AM267" s="49"/>
      <c r="AN267" s="1423">
        <f>AL113</f>
        <v>24.703927599701288</v>
      </c>
      <c r="AO267" s="1474"/>
      <c r="AP267" s="49"/>
      <c r="AQ267" s="49"/>
      <c r="AR267" s="1423">
        <f>AP113</f>
        <v>23.465714939822032</v>
      </c>
      <c r="AS267" s="510" t="s">
        <v>5385</v>
      </c>
    </row>
    <row r="268" spans="1:45" x14ac:dyDescent="0.3">
      <c r="B268" s="49" t="s">
        <v>6409</v>
      </c>
      <c r="C268" s="49"/>
      <c r="D268" s="49"/>
      <c r="E268" s="49"/>
      <c r="F268" s="510" t="s">
        <v>5323</v>
      </c>
      <c r="G268" s="1400">
        <f>G137</f>
        <v>946.46267270594763</v>
      </c>
      <c r="H268" s="1474"/>
      <c r="I268" s="49"/>
      <c r="J268" s="49"/>
      <c r="K268" s="1400">
        <f>K137</f>
        <v>946.46267270594763</v>
      </c>
      <c r="L268" s="1474"/>
      <c r="M268" s="49"/>
      <c r="N268" s="49"/>
      <c r="O268" s="1400">
        <f>O137</f>
        <v>940.31230973063862</v>
      </c>
      <c r="P268" s="1474"/>
      <c r="Q268" s="49"/>
      <c r="R268" s="49"/>
      <c r="S268" s="1400">
        <f>S137</f>
        <v>934.64729834049092</v>
      </c>
      <c r="T268" s="1474"/>
      <c r="U268" s="49"/>
      <c r="V268" s="49"/>
      <c r="W268" s="1400">
        <f>W137</f>
        <v>934.64729834049092</v>
      </c>
      <c r="X268" s="1474"/>
      <c r="Y268" s="49"/>
      <c r="Z268" s="49"/>
      <c r="AA268" s="1400">
        <f>AA137</f>
        <v>934.64729834049092</v>
      </c>
      <c r="AB268" s="1474"/>
      <c r="AC268" s="49"/>
      <c r="AD268" s="49"/>
      <c r="AE268" s="1400">
        <f>AE137</f>
        <v>931.22205127489565</v>
      </c>
      <c r="AF268" s="510" t="s">
        <v>5323</v>
      </c>
      <c r="AG268" s="1474"/>
      <c r="AH268" s="49"/>
      <c r="AI268" s="49"/>
      <c r="AJ268" s="1400">
        <f>AJ137</f>
        <v>931.22205127489565</v>
      </c>
      <c r="AK268" s="1474"/>
      <c r="AL268" s="49"/>
      <c r="AM268" s="49"/>
      <c r="AN268" s="1400">
        <f>AN137</f>
        <v>931.22205127489576</v>
      </c>
      <c r="AO268" s="1474"/>
      <c r="AP268" s="49"/>
      <c r="AQ268" s="49"/>
      <c r="AR268" s="1400">
        <f>AR137</f>
        <v>1437.980276853388</v>
      </c>
      <c r="AS268" s="510" t="s">
        <v>5323</v>
      </c>
    </row>
    <row r="269" spans="1:45" x14ac:dyDescent="0.3">
      <c r="B269" s="49" t="s">
        <v>6390</v>
      </c>
      <c r="C269" s="49"/>
      <c r="D269" s="49"/>
      <c r="E269" s="49"/>
      <c r="F269" s="18" t="s">
        <v>2472</v>
      </c>
      <c r="G269" s="1536">
        <f>G139</f>
        <v>7.6988118740392446</v>
      </c>
      <c r="H269" s="1474"/>
      <c r="I269" s="49"/>
      <c r="J269" s="49"/>
      <c r="K269" s="1536">
        <f>K139</f>
        <v>5.8664287349555071</v>
      </c>
      <c r="L269" s="1474"/>
      <c r="M269" s="49"/>
      <c r="N269" s="49"/>
      <c r="O269" s="1536">
        <f>O139</f>
        <v>8.2492274882362544</v>
      </c>
      <c r="P269" s="1474"/>
      <c r="Q269" s="49"/>
      <c r="R269" s="49"/>
      <c r="S269" s="1536">
        <f>S139</f>
        <v>7.1199309092168166</v>
      </c>
      <c r="T269" s="1474"/>
      <c r="U269" s="49"/>
      <c r="V269" s="49"/>
      <c r="W269" s="1536">
        <f>W139</f>
        <v>8.1379895937397162</v>
      </c>
      <c r="X269" s="1474"/>
      <c r="Y269" s="49"/>
      <c r="Z269" s="49"/>
      <c r="AA269" s="1536">
        <f>AA139</f>
        <v>7.6289602514782651</v>
      </c>
      <c r="AB269" s="1474"/>
      <c r="AC269" s="49"/>
      <c r="AD269" s="49"/>
      <c r="AE269" s="1536">
        <f>AE139</f>
        <v>6.9166800677229361</v>
      </c>
      <c r="AF269" s="18" t="s">
        <v>2472</v>
      </c>
      <c r="AG269" s="1474"/>
      <c r="AH269" s="49"/>
      <c r="AI269" s="49"/>
      <c r="AJ269" s="1536">
        <f>AJ139</f>
        <v>7.9056764920978377</v>
      </c>
      <c r="AK269" s="1474"/>
      <c r="AL269" s="49"/>
      <c r="AM269" s="49"/>
      <c r="AN269" s="1536">
        <f>AN139</f>
        <v>7.4111782799103869</v>
      </c>
      <c r="AO269" s="1474"/>
      <c r="AP269" s="49"/>
      <c r="AQ269" s="49"/>
      <c r="AR269" s="1536">
        <f>AR139</f>
        <v>9.3862859759288124</v>
      </c>
      <c r="AS269" s="18" t="s">
        <v>2472</v>
      </c>
    </row>
    <row r="270" spans="1:45" x14ac:dyDescent="0.3">
      <c r="B270" s="1353" t="s">
        <v>5637</v>
      </c>
      <c r="C270" s="118" t="s">
        <v>5731</v>
      </c>
      <c r="D270" s="49"/>
      <c r="E270" s="49"/>
      <c r="F270" s="1353" t="s">
        <v>2480</v>
      </c>
      <c r="G270" s="1391">
        <f>F153</f>
        <v>6000</v>
      </c>
      <c r="H270" s="1474"/>
      <c r="I270" s="49"/>
      <c r="J270" s="49"/>
      <c r="K270" s="1391">
        <f>J153</f>
        <v>6000</v>
      </c>
      <c r="L270" s="1474"/>
      <c r="M270" s="49"/>
      <c r="N270" s="49"/>
      <c r="O270" s="1391">
        <f>N153</f>
        <v>6000</v>
      </c>
      <c r="P270" s="1474"/>
      <c r="Q270" s="49"/>
      <c r="R270" s="49"/>
      <c r="S270" s="1391">
        <f>R153</f>
        <v>6000</v>
      </c>
      <c r="T270" s="1474"/>
      <c r="U270" s="49"/>
      <c r="V270" s="49"/>
      <c r="W270" s="1391">
        <f>V153</f>
        <v>6000</v>
      </c>
      <c r="X270" s="1474"/>
      <c r="Y270" s="49"/>
      <c r="Z270" s="49"/>
      <c r="AA270" s="1391">
        <f>Z153</f>
        <v>6000</v>
      </c>
      <c r="AB270" s="1474"/>
      <c r="AC270" s="49"/>
      <c r="AD270" s="49"/>
      <c r="AE270" s="1391">
        <f>AD153</f>
        <v>6000</v>
      </c>
      <c r="AF270" s="1353" t="s">
        <v>2480</v>
      </c>
      <c r="AG270" s="1474"/>
      <c r="AH270" s="49"/>
      <c r="AI270" s="49"/>
      <c r="AJ270" s="1391">
        <f>AI153</f>
        <v>6000</v>
      </c>
      <c r="AK270" s="1474"/>
      <c r="AL270" s="49"/>
      <c r="AM270" s="49"/>
      <c r="AN270" s="1391">
        <f>AM153</f>
        <v>6000</v>
      </c>
      <c r="AO270" s="1474"/>
      <c r="AP270" s="49"/>
      <c r="AQ270" s="49"/>
      <c r="AR270" s="1391">
        <f>AQ153</f>
        <v>6000</v>
      </c>
      <c r="AS270" s="1353" t="s">
        <v>2480</v>
      </c>
    </row>
    <row r="271" spans="1:45" x14ac:dyDescent="0.3">
      <c r="B271" s="1353" t="s">
        <v>5638</v>
      </c>
      <c r="C271" s="49"/>
      <c r="D271" s="49"/>
      <c r="E271" s="49"/>
      <c r="F271" s="1353" t="s">
        <v>5664</v>
      </c>
      <c r="G271" s="1378">
        <f>F154</f>
        <v>250</v>
      </c>
      <c r="H271" s="1474"/>
      <c r="I271" s="49"/>
      <c r="J271" s="49"/>
      <c r="K271" s="1378">
        <f>J154</f>
        <v>250</v>
      </c>
      <c r="L271" s="1474"/>
      <c r="M271" s="49"/>
      <c r="N271" s="49"/>
      <c r="O271" s="1378">
        <f>N154</f>
        <v>250</v>
      </c>
      <c r="P271" s="1474"/>
      <c r="Q271" s="49"/>
      <c r="R271" s="49"/>
      <c r="S271" s="1378">
        <f>R154</f>
        <v>250</v>
      </c>
      <c r="T271" s="1474"/>
      <c r="U271" s="49"/>
      <c r="V271" s="49"/>
      <c r="W271" s="1378">
        <f>V154</f>
        <v>250</v>
      </c>
      <c r="X271" s="1474"/>
      <c r="Y271" s="49"/>
      <c r="Z271" s="49"/>
      <c r="AA271" s="1378">
        <f>Z154</f>
        <v>250</v>
      </c>
      <c r="AB271" s="1474"/>
      <c r="AC271" s="49"/>
      <c r="AD271" s="49"/>
      <c r="AE271" s="1378">
        <f>AD154</f>
        <v>250</v>
      </c>
      <c r="AF271" s="1353" t="s">
        <v>5664</v>
      </c>
      <c r="AG271" s="1474"/>
      <c r="AH271" s="49"/>
      <c r="AI271" s="49"/>
      <c r="AJ271" s="1378">
        <f>AI154</f>
        <v>250</v>
      </c>
      <c r="AK271" s="1474"/>
      <c r="AL271" s="49"/>
      <c r="AM271" s="49"/>
      <c r="AN271" s="1378">
        <f>AM154</f>
        <v>250</v>
      </c>
      <c r="AO271" s="1474"/>
      <c r="AP271" s="49"/>
      <c r="AQ271" s="49"/>
      <c r="AR271" s="1378">
        <f>AQ154</f>
        <v>250</v>
      </c>
      <c r="AS271" s="1353" t="s">
        <v>5664</v>
      </c>
    </row>
    <row r="272" spans="1:45" x14ac:dyDescent="0.3">
      <c r="B272" s="510" t="s">
        <v>5732</v>
      </c>
      <c r="C272" s="49"/>
      <c r="D272" s="49"/>
      <c r="E272" s="49"/>
      <c r="F272" s="510" t="s">
        <v>2008</v>
      </c>
      <c r="G272" s="1391" t="str">
        <f>UDV.crops.apply_method</f>
        <v>Injection</v>
      </c>
      <c r="H272" s="1474"/>
      <c r="I272" s="49"/>
      <c r="J272" s="49"/>
      <c r="K272" s="1391" t="str">
        <f>UDV.crops.apply_method</f>
        <v>Injection</v>
      </c>
      <c r="L272" s="1474"/>
      <c r="M272" s="49"/>
      <c r="N272" s="49"/>
      <c r="O272" s="1391" t="str">
        <f>UDV.crops.apply_method</f>
        <v>Injection</v>
      </c>
      <c r="P272" s="1474"/>
      <c r="Q272" s="49"/>
      <c r="R272" s="49"/>
      <c r="S272" s="1391" t="str">
        <f>UDV.crops.apply_method</f>
        <v>Injection</v>
      </c>
      <c r="T272" s="1474"/>
      <c r="U272" s="49"/>
      <c r="V272" s="49"/>
      <c r="W272" s="1391" t="str">
        <f>UDV.crops.apply_method</f>
        <v>Injection</v>
      </c>
      <c r="X272" s="1474"/>
      <c r="Y272" s="49"/>
      <c r="Z272" s="49"/>
      <c r="AA272" s="1391" t="str">
        <f>UDV.crops.apply_method</f>
        <v>Injection</v>
      </c>
      <c r="AB272" s="1474"/>
      <c r="AC272" s="49"/>
      <c r="AD272" s="49"/>
      <c r="AE272" s="1391" t="str">
        <f>UDV.crops.apply_method</f>
        <v>Injection</v>
      </c>
      <c r="AF272" s="510" t="s">
        <v>2008</v>
      </c>
      <c r="AG272" s="1474"/>
      <c r="AH272" s="49"/>
      <c r="AI272" s="49"/>
      <c r="AJ272" s="1391" t="str">
        <f>UDV.crops.apply_method</f>
        <v>Injection</v>
      </c>
      <c r="AK272" s="1474"/>
      <c r="AL272" s="49"/>
      <c r="AM272" s="49"/>
      <c r="AN272" s="1391" t="str">
        <f>UDV.crops.apply_method</f>
        <v>Injection</v>
      </c>
      <c r="AO272" s="1474"/>
      <c r="AP272" s="49"/>
      <c r="AQ272" s="49"/>
      <c r="AR272" s="1391" t="str">
        <f>UDV.crops.apply_method</f>
        <v>Injection</v>
      </c>
      <c r="AS272" s="510" t="s">
        <v>2008</v>
      </c>
    </row>
    <row r="273" spans="2:45" x14ac:dyDescent="0.3">
      <c r="B273" s="510" t="s">
        <v>5654</v>
      </c>
      <c r="C273" s="49"/>
      <c r="D273" s="49"/>
      <c r="E273" s="49"/>
      <c r="F273" s="1465" t="s">
        <v>5733</v>
      </c>
      <c r="G273" s="1377">
        <f>F167</f>
        <v>2.0211132897868049</v>
      </c>
      <c r="H273" s="1474"/>
      <c r="I273" s="49"/>
      <c r="J273" s="49"/>
      <c r="K273" s="1377">
        <f>J167</f>
        <v>2.0211132897868049</v>
      </c>
      <c r="L273" s="1474"/>
      <c r="M273" s="49"/>
      <c r="N273" s="49"/>
      <c r="O273" s="1377">
        <f>N167</f>
        <v>2.0079795649132497</v>
      </c>
      <c r="P273" s="1474"/>
      <c r="Q273" s="49"/>
      <c r="R273" s="49"/>
      <c r="S273" s="1377">
        <f>R167</f>
        <v>1.9958822787364086</v>
      </c>
      <c r="T273" s="1474"/>
      <c r="U273" s="49"/>
      <c r="V273" s="49"/>
      <c r="W273" s="1377">
        <f>V167</f>
        <v>1.9958822787364086</v>
      </c>
      <c r="X273" s="1474"/>
      <c r="Y273" s="49"/>
      <c r="Z273" s="49"/>
      <c r="AA273" s="1377">
        <f>Z167</f>
        <v>1.9958822787364086</v>
      </c>
      <c r="AB273" s="1474"/>
      <c r="AC273" s="49"/>
      <c r="AD273" s="49"/>
      <c r="AE273" s="1377">
        <f>AD167</f>
        <v>1.9885678726169513</v>
      </c>
      <c r="AF273" s="1465" t="s">
        <v>5733</v>
      </c>
      <c r="AG273" s="1474"/>
      <c r="AH273" s="49"/>
      <c r="AI273" s="49"/>
      <c r="AJ273" s="1377">
        <f>AI167</f>
        <v>1.9885678726169513</v>
      </c>
      <c r="AK273" s="1474"/>
      <c r="AL273" s="49"/>
      <c r="AM273" s="49"/>
      <c r="AN273" s="1377">
        <f>AM167</f>
        <v>1.9885678726169551</v>
      </c>
      <c r="AO273" s="1474"/>
      <c r="AP273" s="49"/>
      <c r="AQ273" s="49"/>
      <c r="AR273" s="1377">
        <f>AQ167</f>
        <v>3.0707191438310901</v>
      </c>
      <c r="AS273" s="1465" t="s">
        <v>5733</v>
      </c>
    </row>
    <row r="274" spans="2:45" x14ac:dyDescent="0.3">
      <c r="B274" s="510" t="s">
        <v>5660</v>
      </c>
      <c r="C274" s="49"/>
      <c r="D274" s="49"/>
      <c r="E274" s="49"/>
      <c r="F274" s="510" t="s">
        <v>2489</v>
      </c>
      <c r="G274" s="1377">
        <f>F173</f>
        <v>22.232246187654855</v>
      </c>
      <c r="H274" s="1474"/>
      <c r="I274" s="49"/>
      <c r="J274" s="49"/>
      <c r="K274" s="1377">
        <f>J173</f>
        <v>22.232246187654855</v>
      </c>
      <c r="L274" s="1474"/>
      <c r="M274" s="49"/>
      <c r="N274" s="49"/>
      <c r="O274" s="1377">
        <f>N173</f>
        <v>22.087775214045745</v>
      </c>
      <c r="P274" s="1474"/>
      <c r="Q274" s="49"/>
      <c r="R274" s="49"/>
      <c r="S274" s="1377">
        <f>R173</f>
        <v>21.954705066100495</v>
      </c>
      <c r="T274" s="1474"/>
      <c r="U274" s="49"/>
      <c r="V274" s="49"/>
      <c r="W274" s="1377">
        <f>V173</f>
        <v>21.954705066100495</v>
      </c>
      <c r="X274" s="1474"/>
      <c r="Y274" s="49"/>
      <c r="Z274" s="49"/>
      <c r="AA274" s="1377">
        <f>Z173</f>
        <v>21.954705066100495</v>
      </c>
      <c r="AB274" s="1474"/>
      <c r="AC274" s="49"/>
      <c r="AD274" s="49"/>
      <c r="AE274" s="1377">
        <f>AD173</f>
        <v>21.874246598786463</v>
      </c>
      <c r="AF274" s="510" t="s">
        <v>2489</v>
      </c>
      <c r="AG274" s="1474"/>
      <c r="AH274" s="49"/>
      <c r="AI274" s="49"/>
      <c r="AJ274" s="1377">
        <f>AI173</f>
        <v>21.874246598786463</v>
      </c>
      <c r="AK274" s="1474"/>
      <c r="AL274" s="49"/>
      <c r="AM274" s="49"/>
      <c r="AN274" s="1377">
        <f>AM173</f>
        <v>21.874246598786506</v>
      </c>
      <c r="AO274" s="1474"/>
      <c r="AP274" s="49"/>
      <c r="AQ274" s="49"/>
      <c r="AR274" s="1377">
        <f>AQ173</f>
        <v>33.777910582141992</v>
      </c>
      <c r="AS274" s="510" t="s">
        <v>2489</v>
      </c>
    </row>
    <row r="275" spans="2:45" x14ac:dyDescent="0.3">
      <c r="B275" s="91" t="s">
        <v>5734</v>
      </c>
      <c r="C275" s="49"/>
      <c r="D275" s="49"/>
      <c r="E275" s="49"/>
      <c r="F275" s="1353" t="s">
        <v>2442</v>
      </c>
      <c r="G275" s="1532">
        <f>F169</f>
        <v>1</v>
      </c>
      <c r="H275" s="1474"/>
      <c r="I275" s="49"/>
      <c r="J275" s="49"/>
      <c r="K275" s="1532">
        <f>J169</f>
        <v>1</v>
      </c>
      <c r="L275" s="1474"/>
      <c r="M275" s="49"/>
      <c r="N275" s="49"/>
      <c r="O275" s="1532">
        <f>N169</f>
        <v>1</v>
      </c>
      <c r="P275" s="1474"/>
      <c r="Q275" s="49"/>
      <c r="R275" s="49"/>
      <c r="S275" s="1532">
        <f>R169</f>
        <v>1</v>
      </c>
      <c r="T275" s="1474"/>
      <c r="U275" s="49"/>
      <c r="V275" s="49"/>
      <c r="W275" s="1532">
        <f>V169</f>
        <v>1</v>
      </c>
      <c r="X275" s="1474"/>
      <c r="Y275" s="49"/>
      <c r="Z275" s="49"/>
      <c r="AA275" s="1532">
        <f>Z169</f>
        <v>1</v>
      </c>
      <c r="AB275" s="1474"/>
      <c r="AC275" s="49"/>
      <c r="AD275" s="49"/>
      <c r="AE275" s="1532">
        <f>AD169</f>
        <v>1</v>
      </c>
      <c r="AF275" s="1353" t="s">
        <v>2442</v>
      </c>
      <c r="AG275" s="1474"/>
      <c r="AH275" s="49"/>
      <c r="AI275" s="49"/>
      <c r="AJ275" s="1532">
        <f>AI169</f>
        <v>1</v>
      </c>
      <c r="AK275" s="1474"/>
      <c r="AL275" s="49"/>
      <c r="AM275" s="49"/>
      <c r="AN275" s="1532">
        <f>AM169</f>
        <v>1</v>
      </c>
      <c r="AO275" s="1474"/>
      <c r="AP275" s="49"/>
      <c r="AQ275" s="49"/>
      <c r="AR275" s="1532">
        <f>AQ169</f>
        <v>1</v>
      </c>
      <c r="AS275" s="1353" t="s">
        <v>2442</v>
      </c>
    </row>
    <row r="276" spans="2:45" x14ac:dyDescent="0.3">
      <c r="B276" s="91" t="s">
        <v>5676</v>
      </c>
      <c r="C276" s="49"/>
      <c r="D276" s="49"/>
      <c r="E276" s="49"/>
      <c r="F276" s="510" t="s">
        <v>5664</v>
      </c>
      <c r="G276" s="1378">
        <f>F186</f>
        <v>160</v>
      </c>
      <c r="H276" s="1474"/>
      <c r="I276" s="49"/>
      <c r="J276" s="49"/>
      <c r="K276" s="1378">
        <f>J186</f>
        <v>160</v>
      </c>
      <c r="L276" s="1474"/>
      <c r="M276" s="49"/>
      <c r="N276" s="49"/>
      <c r="O276" s="1378">
        <f>N186</f>
        <v>160</v>
      </c>
      <c r="P276" s="1474"/>
      <c r="Q276" s="49"/>
      <c r="R276" s="49"/>
      <c r="S276" s="1378">
        <f>R186</f>
        <v>160</v>
      </c>
      <c r="T276" s="1474"/>
      <c r="U276" s="49"/>
      <c r="V276" s="49"/>
      <c r="W276" s="1378">
        <f>V186</f>
        <v>160</v>
      </c>
      <c r="X276" s="1474"/>
      <c r="Y276" s="49"/>
      <c r="Z276" s="49"/>
      <c r="AA276" s="1378">
        <f>Z186</f>
        <v>160</v>
      </c>
      <c r="AB276" s="1474"/>
      <c r="AC276" s="49"/>
      <c r="AD276" s="49"/>
      <c r="AE276" s="1378">
        <f>AD186</f>
        <v>160</v>
      </c>
      <c r="AF276" s="510" t="s">
        <v>5664</v>
      </c>
      <c r="AG276" s="1474"/>
      <c r="AH276" s="49"/>
      <c r="AI276" s="49"/>
      <c r="AJ276" s="1378">
        <f>AI186</f>
        <v>160</v>
      </c>
      <c r="AK276" s="1474"/>
      <c r="AL276" s="49"/>
      <c r="AM276" s="49"/>
      <c r="AN276" s="1378">
        <f>AM186</f>
        <v>160</v>
      </c>
      <c r="AO276" s="1474"/>
      <c r="AP276" s="49"/>
      <c r="AQ276" s="49"/>
      <c r="AR276" s="1378">
        <f>AQ186</f>
        <v>160</v>
      </c>
      <c r="AS276" s="510" t="s">
        <v>5664</v>
      </c>
    </row>
    <row r="277" spans="2:45" x14ac:dyDescent="0.3">
      <c r="B277" s="510" t="s">
        <v>5735</v>
      </c>
      <c r="C277" s="49"/>
      <c r="D277" s="49"/>
      <c r="E277" s="49"/>
      <c r="F277" s="510" t="s">
        <v>2442</v>
      </c>
      <c r="G277" s="1533">
        <f>F191</f>
        <v>1</v>
      </c>
      <c r="H277" s="1474"/>
      <c r="I277" s="49"/>
      <c r="J277" s="49"/>
      <c r="K277" s="1533">
        <f>J191</f>
        <v>1</v>
      </c>
      <c r="L277" s="1474"/>
      <c r="M277" s="49"/>
      <c r="N277" s="49"/>
      <c r="O277" s="1533">
        <f>N191</f>
        <v>1</v>
      </c>
      <c r="P277" s="1474"/>
      <c r="Q277" s="49"/>
      <c r="R277" s="49"/>
      <c r="S277" s="1533">
        <f>R191</f>
        <v>1</v>
      </c>
      <c r="T277" s="1474"/>
      <c r="U277" s="49"/>
      <c r="V277" s="49"/>
      <c r="W277" s="1533">
        <f>V191</f>
        <v>1</v>
      </c>
      <c r="X277" s="1474"/>
      <c r="Y277" s="49"/>
      <c r="Z277" s="49"/>
      <c r="AA277" s="1533">
        <f>Z191</f>
        <v>1</v>
      </c>
      <c r="AB277" s="1474"/>
      <c r="AC277" s="49"/>
      <c r="AD277" s="49"/>
      <c r="AE277" s="1533">
        <f>AD191</f>
        <v>1</v>
      </c>
      <c r="AF277" s="510" t="s">
        <v>2442</v>
      </c>
      <c r="AG277" s="1474"/>
      <c r="AH277" s="49"/>
      <c r="AI277" s="49"/>
      <c r="AJ277" s="1533">
        <f>AI191</f>
        <v>1</v>
      </c>
      <c r="AK277" s="1474"/>
      <c r="AL277" s="49"/>
      <c r="AM277" s="49"/>
      <c r="AN277" s="1533">
        <f>AM191</f>
        <v>1</v>
      </c>
      <c r="AO277" s="1474"/>
      <c r="AP277" s="49"/>
      <c r="AQ277" s="49"/>
      <c r="AR277" s="1533">
        <f>AQ191</f>
        <v>1</v>
      </c>
      <c r="AS277" s="510" t="s">
        <v>2442</v>
      </c>
    </row>
    <row r="278" spans="2:45" x14ac:dyDescent="0.3">
      <c r="B278" s="510" t="s">
        <v>5679</v>
      </c>
      <c r="C278" s="49"/>
      <c r="D278" s="49"/>
      <c r="E278" s="49"/>
      <c r="F278" s="510" t="s">
        <v>2472</v>
      </c>
      <c r="G278" s="1534">
        <f>F189</f>
        <v>2.5263916122335059</v>
      </c>
      <c r="H278" s="1474"/>
      <c r="I278" s="49"/>
      <c r="J278" s="49"/>
      <c r="K278" s="1534">
        <f>J189</f>
        <v>2.5263916122335059</v>
      </c>
      <c r="L278" s="1474"/>
      <c r="M278" s="49"/>
      <c r="N278" s="49"/>
      <c r="O278" s="1534">
        <f>N189</f>
        <v>2.509974456141562</v>
      </c>
      <c r="P278" s="1474"/>
      <c r="Q278" s="49"/>
      <c r="R278" s="49"/>
      <c r="S278" s="1534">
        <f>R189</f>
        <v>2.4948528484205106</v>
      </c>
      <c r="T278" s="1474"/>
      <c r="U278" s="49"/>
      <c r="V278" s="49"/>
      <c r="W278" s="1534">
        <f>V189</f>
        <v>2.4948528484205106</v>
      </c>
      <c r="X278" s="1474"/>
      <c r="Y278" s="49"/>
      <c r="Z278" s="49"/>
      <c r="AA278" s="1534">
        <f>Z189</f>
        <v>2.4948528484205106</v>
      </c>
      <c r="AB278" s="1474"/>
      <c r="AC278" s="49"/>
      <c r="AD278" s="49"/>
      <c r="AE278" s="1534">
        <f>AD189</f>
        <v>2.4857098407711891</v>
      </c>
      <c r="AF278" s="510" t="s">
        <v>2472</v>
      </c>
      <c r="AG278" s="1474"/>
      <c r="AH278" s="49"/>
      <c r="AI278" s="49"/>
      <c r="AJ278" s="1534">
        <f>AI189</f>
        <v>2.4857098407711891</v>
      </c>
      <c r="AK278" s="1474"/>
      <c r="AL278" s="49"/>
      <c r="AM278" s="49"/>
      <c r="AN278" s="1534">
        <f>AM189</f>
        <v>2.4857098407711939</v>
      </c>
      <c r="AO278" s="1474"/>
      <c r="AP278" s="49"/>
      <c r="AQ278" s="49"/>
      <c r="AR278" s="1534">
        <f>AQ189</f>
        <v>3.8383989297888625</v>
      </c>
      <c r="AS278" s="510" t="s">
        <v>2472</v>
      </c>
    </row>
    <row r="279" spans="2:45" x14ac:dyDescent="0.3">
      <c r="B279" s="510" t="s">
        <v>5682</v>
      </c>
      <c r="C279" s="49"/>
      <c r="D279" s="49"/>
      <c r="E279" s="49"/>
      <c r="F279" s="510" t="s">
        <v>2489</v>
      </c>
      <c r="G279" s="1534">
        <f>F192</f>
        <v>17.785796950123881</v>
      </c>
      <c r="H279" s="1474"/>
      <c r="I279" s="49"/>
      <c r="J279" s="49"/>
      <c r="K279" s="1534">
        <f>J192</f>
        <v>17.785796950123881</v>
      </c>
      <c r="L279" s="1474"/>
      <c r="M279" s="49"/>
      <c r="N279" s="49"/>
      <c r="O279" s="1534">
        <f>N192</f>
        <v>17.670220171236593</v>
      </c>
      <c r="P279" s="1474"/>
      <c r="Q279" s="49"/>
      <c r="R279" s="49"/>
      <c r="S279" s="1534">
        <f>R192</f>
        <v>17.563764052880391</v>
      </c>
      <c r="T279" s="1474"/>
      <c r="U279" s="49"/>
      <c r="V279" s="49"/>
      <c r="W279" s="1534">
        <f>V192</f>
        <v>17.563764052880391</v>
      </c>
      <c r="X279" s="1474"/>
      <c r="Y279" s="49"/>
      <c r="Z279" s="49"/>
      <c r="AA279" s="1534">
        <f>Z192</f>
        <v>17.563764052880391</v>
      </c>
      <c r="AB279" s="1474"/>
      <c r="AC279" s="49"/>
      <c r="AD279" s="49"/>
      <c r="AE279" s="1534">
        <f>AD192</f>
        <v>17.499397279029168</v>
      </c>
      <c r="AF279" s="510" t="s">
        <v>2489</v>
      </c>
      <c r="AG279" s="1474"/>
      <c r="AH279" s="49"/>
      <c r="AI279" s="49"/>
      <c r="AJ279" s="1534">
        <f>AI192</f>
        <v>17.499397279029168</v>
      </c>
      <c r="AK279" s="1474"/>
      <c r="AL279" s="49"/>
      <c r="AM279" s="49"/>
      <c r="AN279" s="1534">
        <f>AM192</f>
        <v>17.499397279029203</v>
      </c>
      <c r="AO279" s="1474"/>
      <c r="AP279" s="49"/>
      <c r="AQ279" s="49"/>
      <c r="AR279" s="1534">
        <f>AQ192</f>
        <v>27.022328465713588</v>
      </c>
      <c r="AS279" s="510" t="s">
        <v>2489</v>
      </c>
    </row>
    <row r="280" spans="2:45" x14ac:dyDescent="0.3">
      <c r="B280" s="510" t="s">
        <v>5736</v>
      </c>
      <c r="C280" s="49"/>
      <c r="D280" s="49"/>
      <c r="E280" s="49"/>
      <c r="F280" s="510" t="s">
        <v>2442</v>
      </c>
      <c r="G280" s="1533">
        <f>F181</f>
        <v>1</v>
      </c>
      <c r="H280" s="1474"/>
      <c r="I280" s="49"/>
      <c r="J280" s="49"/>
      <c r="K280" s="1533">
        <f>J181</f>
        <v>1</v>
      </c>
      <c r="L280" s="1474"/>
      <c r="M280" s="49"/>
      <c r="N280" s="49"/>
      <c r="O280" s="1533">
        <f>N181</f>
        <v>1</v>
      </c>
      <c r="P280" s="1474"/>
      <c r="Q280" s="49"/>
      <c r="R280" s="49"/>
      <c r="S280" s="1533">
        <f>R181</f>
        <v>1</v>
      </c>
      <c r="T280" s="1474"/>
      <c r="U280" s="49"/>
      <c r="V280" s="49"/>
      <c r="W280" s="1533">
        <f>V181</f>
        <v>1</v>
      </c>
      <c r="X280" s="1474"/>
      <c r="Y280" s="49"/>
      <c r="Z280" s="49"/>
      <c r="AA280" s="1533">
        <f>Z181</f>
        <v>1</v>
      </c>
      <c r="AB280" s="1474"/>
      <c r="AC280" s="49"/>
      <c r="AD280" s="49"/>
      <c r="AE280" s="1533">
        <f>AD181</f>
        <v>1</v>
      </c>
      <c r="AF280" s="510" t="s">
        <v>2442</v>
      </c>
      <c r="AG280" s="1474"/>
      <c r="AH280" s="49"/>
      <c r="AI280" s="49"/>
      <c r="AJ280" s="1533">
        <f>AI181</f>
        <v>1</v>
      </c>
      <c r="AK280" s="1474"/>
      <c r="AL280" s="49"/>
      <c r="AM280" s="49"/>
      <c r="AN280" s="1533">
        <f>AM181</f>
        <v>1</v>
      </c>
      <c r="AO280" s="1474"/>
      <c r="AP280" s="49"/>
      <c r="AQ280" s="49"/>
      <c r="AR280" s="1533">
        <f>AQ181</f>
        <v>1</v>
      </c>
      <c r="AS280" s="510" t="s">
        <v>2442</v>
      </c>
    </row>
    <row r="281" spans="2:45" x14ac:dyDescent="0.3">
      <c r="B281" s="91" t="s">
        <v>5663</v>
      </c>
      <c r="C281" s="49"/>
      <c r="D281" s="49"/>
      <c r="E281" s="49"/>
      <c r="F281" s="510" t="s">
        <v>5664</v>
      </c>
      <c r="G281" s="1378">
        <f>F176</f>
        <v>180</v>
      </c>
      <c r="H281" s="1474"/>
      <c r="I281" s="49"/>
      <c r="J281" s="49"/>
      <c r="K281" s="1378">
        <f>J176</f>
        <v>180</v>
      </c>
      <c r="L281" s="1474"/>
      <c r="M281" s="49"/>
      <c r="N281" s="49"/>
      <c r="O281" s="1378">
        <f>N176</f>
        <v>180</v>
      </c>
      <c r="P281" s="1474"/>
      <c r="Q281" s="49"/>
      <c r="R281" s="49"/>
      <c r="S281" s="1378">
        <f>R176</f>
        <v>180</v>
      </c>
      <c r="T281" s="1474"/>
      <c r="U281" s="49"/>
      <c r="V281" s="49"/>
      <c r="W281" s="1378">
        <f>V176</f>
        <v>180</v>
      </c>
      <c r="X281" s="1474"/>
      <c r="Y281" s="49"/>
      <c r="Z281" s="49"/>
      <c r="AA281" s="1378">
        <f>Z176</f>
        <v>180</v>
      </c>
      <c r="AB281" s="1474"/>
      <c r="AC281" s="49"/>
      <c r="AD281" s="49"/>
      <c r="AE281" s="1378">
        <f>AD176</f>
        <v>180</v>
      </c>
      <c r="AF281" s="510" t="s">
        <v>5664</v>
      </c>
      <c r="AG281" s="1474"/>
      <c r="AH281" s="49"/>
      <c r="AI281" s="49"/>
      <c r="AJ281" s="1378">
        <f>AI176</f>
        <v>180</v>
      </c>
      <c r="AK281" s="1474"/>
      <c r="AL281" s="49"/>
      <c r="AM281" s="49"/>
      <c r="AN281" s="1378">
        <f>AM176</f>
        <v>180</v>
      </c>
      <c r="AO281" s="1474"/>
      <c r="AP281" s="49"/>
      <c r="AQ281" s="49"/>
      <c r="AR281" s="1378">
        <f>AQ176</f>
        <v>180</v>
      </c>
      <c r="AS281" s="510" t="s">
        <v>5664</v>
      </c>
    </row>
    <row r="282" spans="2:45" x14ac:dyDescent="0.3">
      <c r="B282" s="510" t="s">
        <v>5667</v>
      </c>
      <c r="C282" s="49"/>
      <c r="D282" s="49"/>
      <c r="E282" s="49"/>
      <c r="F282" s="510" t="s">
        <v>2462</v>
      </c>
      <c r="G282" s="1534">
        <f>F179</f>
        <v>0.26442236536853042</v>
      </c>
      <c r="H282" s="1474"/>
      <c r="I282" s="49"/>
      <c r="J282" s="49"/>
      <c r="K282" s="1534">
        <f>J179</f>
        <v>0.26442236536853042</v>
      </c>
      <c r="L282" s="1474"/>
      <c r="M282" s="49"/>
      <c r="N282" s="49"/>
      <c r="O282" s="1534">
        <f>N179</f>
        <v>0.26270407940469342</v>
      </c>
      <c r="P282" s="1474"/>
      <c r="Q282" s="49"/>
      <c r="R282" s="49"/>
      <c r="S282" s="1534">
        <f>R179</f>
        <v>0.261121390773836</v>
      </c>
      <c r="T282" s="1474"/>
      <c r="U282" s="49"/>
      <c r="V282" s="49"/>
      <c r="W282" s="1534">
        <f>V179</f>
        <v>0.261121390773836</v>
      </c>
      <c r="X282" s="1474"/>
      <c r="Y282" s="49"/>
      <c r="Z282" s="49"/>
      <c r="AA282" s="1534">
        <f>Z179</f>
        <v>0.261121390773836</v>
      </c>
      <c r="AB282" s="1474"/>
      <c r="AC282" s="49"/>
      <c r="AD282" s="49"/>
      <c r="AE282" s="1534">
        <f>AD179</f>
        <v>0.26016444660987137</v>
      </c>
      <c r="AF282" s="510" t="s">
        <v>2462</v>
      </c>
      <c r="AG282" s="1474"/>
      <c r="AH282" s="49"/>
      <c r="AI282" s="49"/>
      <c r="AJ282" s="1534">
        <f>AI179</f>
        <v>0.26016444660987137</v>
      </c>
      <c r="AK282" s="1474"/>
      <c r="AL282" s="49"/>
      <c r="AM282" s="49"/>
      <c r="AN282" s="1534">
        <f>AM179</f>
        <v>0.26016444660987187</v>
      </c>
      <c r="AO282" s="1474"/>
      <c r="AP282" s="49"/>
      <c r="AQ282" s="49"/>
      <c r="AR282" s="1534">
        <f>AQ179</f>
        <v>0.40174235828210048</v>
      </c>
      <c r="AS282" s="510" t="s">
        <v>2462</v>
      </c>
    </row>
    <row r="283" spans="2:45" x14ac:dyDescent="0.3">
      <c r="B283" s="510" t="s">
        <v>5672</v>
      </c>
      <c r="C283" s="49"/>
      <c r="D283" s="49"/>
      <c r="E283" s="49"/>
      <c r="F283" s="510" t="s">
        <v>2489</v>
      </c>
      <c r="G283" s="1534">
        <f>F183</f>
        <v>2.0942251337187607</v>
      </c>
      <c r="H283" s="1474"/>
      <c r="I283" s="49"/>
      <c r="J283" s="49"/>
      <c r="K283" s="1534">
        <f>J183</f>
        <v>2.0942251337187607</v>
      </c>
      <c r="L283" s="1474"/>
      <c r="M283" s="49"/>
      <c r="N283" s="49"/>
      <c r="O283" s="1534">
        <f>N183</f>
        <v>2.0806163088851717</v>
      </c>
      <c r="P283" s="1474"/>
      <c r="Q283" s="49"/>
      <c r="R283" s="49"/>
      <c r="S283" s="1534">
        <f>R183</f>
        <v>2.0680814149287809</v>
      </c>
      <c r="T283" s="1474"/>
      <c r="U283" s="49"/>
      <c r="V283" s="49"/>
      <c r="W283" s="1534">
        <f>V183</f>
        <v>2.0680814149287809</v>
      </c>
      <c r="X283" s="1474"/>
      <c r="Y283" s="49"/>
      <c r="Z283" s="49"/>
      <c r="AA283" s="1534">
        <f>Z183</f>
        <v>2.0680814149287809</v>
      </c>
      <c r="AB283" s="1474"/>
      <c r="AC283" s="49"/>
      <c r="AD283" s="49"/>
      <c r="AE283" s="1534">
        <f>AD183</f>
        <v>2.0605024171501811</v>
      </c>
      <c r="AF283" s="510" t="s">
        <v>2489</v>
      </c>
      <c r="AG283" s="1474"/>
      <c r="AH283" s="49"/>
      <c r="AI283" s="49"/>
      <c r="AJ283" s="1534">
        <f>AI183</f>
        <v>2.0605024171501811</v>
      </c>
      <c r="AK283" s="1474"/>
      <c r="AL283" s="49"/>
      <c r="AM283" s="49"/>
      <c r="AN283" s="1534">
        <f>AM183</f>
        <v>2.0605024171501851</v>
      </c>
      <c r="AO283" s="1474"/>
      <c r="AP283" s="49"/>
      <c r="AQ283" s="49"/>
      <c r="AR283" s="1534">
        <f>AQ183</f>
        <v>3.1817994775942355</v>
      </c>
      <c r="AS283" s="510" t="s">
        <v>2489</v>
      </c>
    </row>
    <row r="284" spans="2:45" ht="15.6" x14ac:dyDescent="0.3">
      <c r="B284" s="91" t="s">
        <v>5688</v>
      </c>
      <c r="C284" s="118" t="s">
        <v>5737</v>
      </c>
      <c r="D284" s="49"/>
      <c r="E284" s="49"/>
      <c r="F284" s="1531" t="s">
        <v>5664</v>
      </c>
      <c r="G284" s="1391">
        <f>F197</f>
        <v>580</v>
      </c>
      <c r="H284" s="1474"/>
      <c r="I284" s="49"/>
      <c r="J284" s="49"/>
      <c r="K284" s="1391">
        <f>J197</f>
        <v>580</v>
      </c>
      <c r="L284" s="1474"/>
      <c r="M284" s="49"/>
      <c r="N284" s="49"/>
      <c r="O284" s="1391">
        <f>N197</f>
        <v>580</v>
      </c>
      <c r="P284" s="1474"/>
      <c r="Q284" s="49"/>
      <c r="R284" s="49"/>
      <c r="S284" s="1391">
        <f>R197</f>
        <v>580</v>
      </c>
      <c r="T284" s="1474"/>
      <c r="U284" s="49"/>
      <c r="V284" s="49"/>
      <c r="W284" s="1391">
        <f>V197</f>
        <v>580</v>
      </c>
      <c r="X284" s="1474"/>
      <c r="Y284" s="49"/>
      <c r="Z284" s="49"/>
      <c r="AA284" s="1391">
        <f>Z197</f>
        <v>580</v>
      </c>
      <c r="AB284" s="1474"/>
      <c r="AC284" s="49"/>
      <c r="AD284" s="49"/>
      <c r="AE284" s="1391">
        <f>AD197</f>
        <v>580</v>
      </c>
      <c r="AF284" s="1531" t="s">
        <v>5664</v>
      </c>
      <c r="AG284" s="1474"/>
      <c r="AH284" s="49"/>
      <c r="AI284" s="49"/>
      <c r="AJ284" s="1391">
        <f>AI197</f>
        <v>580</v>
      </c>
      <c r="AK284" s="1474"/>
      <c r="AL284" s="49"/>
      <c r="AM284" s="49"/>
      <c r="AN284" s="1391">
        <f>AM197</f>
        <v>580</v>
      </c>
      <c r="AO284" s="1474"/>
      <c r="AP284" s="49"/>
      <c r="AQ284" s="49"/>
      <c r="AR284" s="1391">
        <f>AQ197</f>
        <v>580</v>
      </c>
      <c r="AS284" s="1531" t="s">
        <v>5664</v>
      </c>
    </row>
    <row r="285" spans="2:45" x14ac:dyDescent="0.3">
      <c r="B285" s="510" t="s">
        <v>5738</v>
      </c>
      <c r="C285" s="49"/>
      <c r="D285" s="49"/>
      <c r="E285" s="49"/>
      <c r="F285" s="1353" t="s">
        <v>2442</v>
      </c>
      <c r="G285" s="1532">
        <f>F207</f>
        <v>1</v>
      </c>
      <c r="H285" s="1474"/>
      <c r="I285" s="49"/>
      <c r="J285" s="49"/>
      <c r="K285" s="1532">
        <f>J207</f>
        <v>1</v>
      </c>
      <c r="L285" s="1474"/>
      <c r="M285" s="49"/>
      <c r="N285" s="49"/>
      <c r="O285" s="1532">
        <f>N207</f>
        <v>1</v>
      </c>
      <c r="P285" s="1474"/>
      <c r="Q285" s="49"/>
      <c r="R285" s="49"/>
      <c r="S285" s="1532">
        <f>R207</f>
        <v>1</v>
      </c>
      <c r="T285" s="1474"/>
      <c r="U285" s="49"/>
      <c r="V285" s="49"/>
      <c r="W285" s="1532">
        <f>V207</f>
        <v>1</v>
      </c>
      <c r="X285" s="1474"/>
      <c r="Y285" s="49"/>
      <c r="Z285" s="49"/>
      <c r="AA285" s="1532">
        <f>Z207</f>
        <v>1</v>
      </c>
      <c r="AB285" s="1474"/>
      <c r="AC285" s="49"/>
      <c r="AD285" s="49"/>
      <c r="AE285" s="1532">
        <f>AD207</f>
        <v>1</v>
      </c>
      <c r="AF285" s="1353" t="s">
        <v>2442</v>
      </c>
      <c r="AG285" s="1474"/>
      <c r="AH285" s="49"/>
      <c r="AI285" s="49"/>
      <c r="AJ285" s="1532">
        <f>AI207</f>
        <v>1</v>
      </c>
      <c r="AK285" s="1474"/>
      <c r="AL285" s="49"/>
      <c r="AM285" s="49"/>
      <c r="AN285" s="1532">
        <f>AM207</f>
        <v>1</v>
      </c>
      <c r="AO285" s="1474"/>
      <c r="AP285" s="49"/>
      <c r="AQ285" s="49"/>
      <c r="AR285" s="1532">
        <f>AQ207</f>
        <v>1</v>
      </c>
      <c r="AS285" s="1353" t="s">
        <v>2442</v>
      </c>
    </row>
    <row r="286" spans="2:45" x14ac:dyDescent="0.3">
      <c r="B286" s="510" t="s">
        <v>5702</v>
      </c>
      <c r="C286" s="49"/>
      <c r="D286" s="49"/>
      <c r="E286" s="49"/>
      <c r="F286" s="18" t="s">
        <v>2442</v>
      </c>
      <c r="G286" s="1423">
        <f>F209</f>
        <v>1</v>
      </c>
      <c r="H286" s="1474"/>
      <c r="I286" s="49"/>
      <c r="J286" s="49"/>
      <c r="K286" s="1423">
        <f>J209</f>
        <v>1</v>
      </c>
      <c r="L286" s="1474"/>
      <c r="M286" s="49"/>
      <c r="N286" s="49"/>
      <c r="O286" s="1423">
        <f>N209</f>
        <v>1</v>
      </c>
      <c r="P286" s="1474"/>
      <c r="Q286" s="49"/>
      <c r="R286" s="49"/>
      <c r="S286" s="1423">
        <f>R209</f>
        <v>1</v>
      </c>
      <c r="T286" s="1474"/>
      <c r="U286" s="49"/>
      <c r="V286" s="49"/>
      <c r="W286" s="1423">
        <f>V209</f>
        <v>1</v>
      </c>
      <c r="X286" s="1474"/>
      <c r="Y286" s="49"/>
      <c r="Z286" s="49"/>
      <c r="AA286" s="1423">
        <f>Z209</f>
        <v>1</v>
      </c>
      <c r="AB286" s="1474"/>
      <c r="AC286" s="49"/>
      <c r="AD286" s="49"/>
      <c r="AE286" s="1423">
        <f>AD209</f>
        <v>1</v>
      </c>
      <c r="AF286" s="18" t="s">
        <v>2442</v>
      </c>
      <c r="AG286" s="1474"/>
      <c r="AH286" s="49"/>
      <c r="AI286" s="49"/>
      <c r="AJ286" s="1423">
        <f>AI209</f>
        <v>1</v>
      </c>
      <c r="AK286" s="1474"/>
      <c r="AL286" s="49"/>
      <c r="AM286" s="49"/>
      <c r="AN286" s="1423">
        <f>AM209</f>
        <v>1</v>
      </c>
      <c r="AO286" s="1474"/>
      <c r="AP286" s="49"/>
      <c r="AQ286" s="49"/>
      <c r="AR286" s="1423">
        <f>AQ209</f>
        <v>1</v>
      </c>
      <c r="AS286" s="18" t="s">
        <v>2442</v>
      </c>
    </row>
    <row r="287" spans="2:45" x14ac:dyDescent="0.3">
      <c r="B287" s="91" t="s">
        <v>5701</v>
      </c>
      <c r="C287" s="49"/>
      <c r="D287" s="49"/>
      <c r="E287" s="49"/>
      <c r="F287" s="1353" t="s">
        <v>5664</v>
      </c>
      <c r="G287" s="1391">
        <f>F208</f>
        <v>340</v>
      </c>
      <c r="H287" s="1474"/>
      <c r="I287" s="49"/>
      <c r="J287" s="49"/>
      <c r="K287" s="1391">
        <f>J208</f>
        <v>340</v>
      </c>
      <c r="L287" s="1474"/>
      <c r="M287" s="49"/>
      <c r="N287" s="49"/>
      <c r="O287" s="1391">
        <f>N208</f>
        <v>340</v>
      </c>
      <c r="P287" s="1474"/>
      <c r="Q287" s="49"/>
      <c r="R287" s="49"/>
      <c r="S287" s="1391">
        <f>R208</f>
        <v>340</v>
      </c>
      <c r="T287" s="1474"/>
      <c r="U287" s="49"/>
      <c r="V287" s="49"/>
      <c r="W287" s="1391">
        <f>V208</f>
        <v>340</v>
      </c>
      <c r="X287" s="1474"/>
      <c r="Y287" s="49"/>
      <c r="Z287" s="49"/>
      <c r="AA287" s="1391">
        <f>Z208</f>
        <v>340</v>
      </c>
      <c r="AB287" s="1474"/>
      <c r="AC287" s="49"/>
      <c r="AD287" s="49"/>
      <c r="AE287" s="1391">
        <f>AD208</f>
        <v>340</v>
      </c>
      <c r="AF287" s="1353" t="s">
        <v>5664</v>
      </c>
      <c r="AG287" s="1474"/>
      <c r="AH287" s="49"/>
      <c r="AI287" s="49"/>
      <c r="AJ287" s="1391">
        <f>AI208</f>
        <v>340</v>
      </c>
      <c r="AK287" s="1474"/>
      <c r="AL287" s="49"/>
      <c r="AM287" s="49"/>
      <c r="AN287" s="1391">
        <f>AM208</f>
        <v>340</v>
      </c>
      <c r="AO287" s="1474"/>
      <c r="AP287" s="49"/>
      <c r="AQ287" s="49"/>
      <c r="AR287" s="1391">
        <f>AQ208</f>
        <v>340</v>
      </c>
      <c r="AS287" s="1353" t="s">
        <v>5664</v>
      </c>
    </row>
    <row r="288" spans="2:45" x14ac:dyDescent="0.3">
      <c r="B288" s="1353" t="s">
        <v>5739</v>
      </c>
      <c r="C288" s="49"/>
      <c r="D288" s="49"/>
      <c r="E288" s="49"/>
      <c r="F288" s="1353" t="s">
        <v>2342</v>
      </c>
      <c r="G288" s="1391">
        <f>F150</f>
        <v>2</v>
      </c>
      <c r="H288" s="1474"/>
      <c r="I288" s="49"/>
      <c r="J288" s="49"/>
      <c r="K288" s="1391">
        <f>J150</f>
        <v>2</v>
      </c>
      <c r="L288" s="1474"/>
      <c r="M288" s="49"/>
      <c r="N288" s="49"/>
      <c r="O288" s="1391">
        <f>N150</f>
        <v>2</v>
      </c>
      <c r="P288" s="1474"/>
      <c r="Q288" s="49"/>
      <c r="R288" s="49"/>
      <c r="S288" s="1391">
        <f>R150</f>
        <v>2</v>
      </c>
      <c r="T288" s="1474"/>
      <c r="U288" s="49"/>
      <c r="V288" s="49"/>
      <c r="W288" s="1391">
        <f>V150</f>
        <v>2</v>
      </c>
      <c r="X288" s="1474"/>
      <c r="Y288" s="49"/>
      <c r="Z288" s="49"/>
      <c r="AA288" s="1391">
        <f>Z150</f>
        <v>2</v>
      </c>
      <c r="AB288" s="1474"/>
      <c r="AC288" s="49"/>
      <c r="AD288" s="49"/>
      <c r="AE288" s="1391">
        <f>AD150</f>
        <v>2</v>
      </c>
      <c r="AF288" s="1353" t="s">
        <v>2342</v>
      </c>
      <c r="AG288" s="1474"/>
      <c r="AH288" s="49"/>
      <c r="AI288" s="49"/>
      <c r="AJ288" s="1391">
        <f>AI150</f>
        <v>2</v>
      </c>
      <c r="AK288" s="1474"/>
      <c r="AL288" s="49"/>
      <c r="AM288" s="49"/>
      <c r="AN288" s="1391">
        <f>AM150</f>
        <v>2</v>
      </c>
      <c r="AO288" s="1474"/>
      <c r="AP288" s="49"/>
      <c r="AQ288" s="49"/>
      <c r="AR288" s="1391">
        <f>AQ150</f>
        <v>2</v>
      </c>
      <c r="AS288" s="1353" t="s">
        <v>2342</v>
      </c>
    </row>
    <row r="289" spans="1:45" x14ac:dyDescent="0.3">
      <c r="B289" s="91" t="s">
        <v>5740</v>
      </c>
      <c r="C289" s="49"/>
      <c r="D289" s="49"/>
      <c r="E289" s="49"/>
      <c r="F289" s="510" t="s">
        <v>2510</v>
      </c>
      <c r="G289" s="1533">
        <f>F210</f>
        <v>25.52</v>
      </c>
      <c r="H289" s="1474"/>
      <c r="I289" s="49"/>
      <c r="J289" s="49"/>
      <c r="K289" s="1533">
        <f>J210</f>
        <v>25.52</v>
      </c>
      <c r="L289" s="1474"/>
      <c r="M289" s="49"/>
      <c r="N289" s="49"/>
      <c r="O289" s="1533">
        <f>N210</f>
        <v>25.52</v>
      </c>
      <c r="P289" s="1474"/>
      <c r="Q289" s="49"/>
      <c r="R289" s="49"/>
      <c r="S289" s="1533">
        <f>R210</f>
        <v>25.52</v>
      </c>
      <c r="T289" s="1474"/>
      <c r="U289" s="49"/>
      <c r="V289" s="49"/>
      <c r="W289" s="1533">
        <f>V210</f>
        <v>25.52</v>
      </c>
      <c r="X289" s="1474"/>
      <c r="Y289" s="49"/>
      <c r="Z289" s="49"/>
      <c r="AA289" s="1533">
        <f>Z210</f>
        <v>25.52</v>
      </c>
      <c r="AB289" s="1474"/>
      <c r="AC289" s="49"/>
      <c r="AD289" s="49"/>
      <c r="AE289" s="1533">
        <f>AD210</f>
        <v>25.52</v>
      </c>
      <c r="AF289" s="510" t="s">
        <v>2510</v>
      </c>
      <c r="AG289" s="1474"/>
      <c r="AH289" s="49"/>
      <c r="AI289" s="49"/>
      <c r="AJ289" s="1533">
        <f>AI210</f>
        <v>25.52</v>
      </c>
      <c r="AK289" s="1474"/>
      <c r="AL289" s="49"/>
      <c r="AM289" s="49"/>
      <c r="AN289" s="1533">
        <f>AM210</f>
        <v>25.52</v>
      </c>
      <c r="AO289" s="1474"/>
      <c r="AP289" s="49"/>
      <c r="AQ289" s="49"/>
      <c r="AR289" s="1533">
        <f>AQ210</f>
        <v>25.52</v>
      </c>
      <c r="AS289" s="510" t="s">
        <v>2510</v>
      </c>
    </row>
    <row r="290" spans="1:45" x14ac:dyDescent="0.3">
      <c r="B290" s="91" t="s">
        <v>5741</v>
      </c>
      <c r="C290" s="49"/>
      <c r="D290" s="49"/>
      <c r="E290" s="49"/>
      <c r="F290" s="510" t="s">
        <v>2510</v>
      </c>
      <c r="G290" s="1533">
        <f>F211</f>
        <v>14.959999999999999</v>
      </c>
      <c r="H290" s="1474"/>
      <c r="I290" s="49"/>
      <c r="J290" s="49"/>
      <c r="K290" s="1533">
        <f>J211</f>
        <v>14.959999999999999</v>
      </c>
      <c r="L290" s="1474"/>
      <c r="M290" s="49"/>
      <c r="N290" s="49"/>
      <c r="O290" s="1533">
        <f>N211</f>
        <v>14.959999999999999</v>
      </c>
      <c r="P290" s="1474"/>
      <c r="Q290" s="49"/>
      <c r="R290" s="49"/>
      <c r="S290" s="1533">
        <f>R211</f>
        <v>14.959999999999999</v>
      </c>
      <c r="T290" s="1474"/>
      <c r="U290" s="49"/>
      <c r="V290" s="49"/>
      <c r="W290" s="1533">
        <f>V211</f>
        <v>14.959999999999999</v>
      </c>
      <c r="X290" s="1474"/>
      <c r="Y290" s="49"/>
      <c r="Z290" s="49"/>
      <c r="AA290" s="1533">
        <f>Z211</f>
        <v>14.959999999999999</v>
      </c>
      <c r="AB290" s="1474"/>
      <c r="AC290" s="49"/>
      <c r="AD290" s="49"/>
      <c r="AE290" s="1533">
        <f>AD211</f>
        <v>14.959999999999999</v>
      </c>
      <c r="AF290" s="510" t="s">
        <v>2510</v>
      </c>
      <c r="AG290" s="1474"/>
      <c r="AH290" s="49"/>
      <c r="AI290" s="49"/>
      <c r="AJ290" s="1533">
        <f>AI211</f>
        <v>14.959999999999999</v>
      </c>
      <c r="AK290" s="1474"/>
      <c r="AL290" s="49"/>
      <c r="AM290" s="49"/>
      <c r="AN290" s="1533">
        <f>AM211</f>
        <v>14.959999999999999</v>
      </c>
      <c r="AO290" s="1474"/>
      <c r="AP290" s="49"/>
      <c r="AQ290" s="49"/>
      <c r="AR290" s="1533">
        <f>AQ211</f>
        <v>14.959999999999999</v>
      </c>
      <c r="AS290" s="510" t="s">
        <v>2510</v>
      </c>
    </row>
    <row r="291" spans="1:45" x14ac:dyDescent="0.3">
      <c r="B291" s="510" t="s">
        <v>5708</v>
      </c>
      <c r="C291" s="49"/>
      <c r="D291" s="49"/>
      <c r="E291" s="49"/>
      <c r="F291" s="510" t="s">
        <v>2516</v>
      </c>
      <c r="G291" s="1393">
        <f>F201</f>
        <v>3000</v>
      </c>
      <c r="H291" s="1474"/>
      <c r="I291" s="49"/>
      <c r="J291" s="49"/>
      <c r="K291" s="1393">
        <f>J201</f>
        <v>3000</v>
      </c>
      <c r="L291" s="1474"/>
      <c r="M291" s="49"/>
      <c r="N291" s="49"/>
      <c r="O291" s="1393">
        <f>N201</f>
        <v>3000</v>
      </c>
      <c r="P291" s="1474"/>
      <c r="Q291" s="49"/>
      <c r="R291" s="49"/>
      <c r="S291" s="1393">
        <f>R201</f>
        <v>3000</v>
      </c>
      <c r="T291" s="1474"/>
      <c r="U291" s="49"/>
      <c r="V291" s="49"/>
      <c r="W291" s="1393">
        <f>V201</f>
        <v>3000</v>
      </c>
      <c r="X291" s="1474"/>
      <c r="Y291" s="49"/>
      <c r="Z291" s="49"/>
      <c r="AA291" s="1393">
        <f>Z201</f>
        <v>3000</v>
      </c>
      <c r="AB291" s="1474"/>
      <c r="AC291" s="49"/>
      <c r="AD291" s="49"/>
      <c r="AE291" s="1393">
        <f>AD201</f>
        <v>3000</v>
      </c>
      <c r="AF291" s="510" t="s">
        <v>2516</v>
      </c>
      <c r="AG291" s="1474"/>
      <c r="AH291" s="49"/>
      <c r="AI291" s="49"/>
      <c r="AJ291" s="1393">
        <f>AI201</f>
        <v>3000</v>
      </c>
      <c r="AK291" s="1474"/>
      <c r="AL291" s="49"/>
      <c r="AM291" s="49"/>
      <c r="AN291" s="1393">
        <f>AM201</f>
        <v>3000</v>
      </c>
      <c r="AO291" s="1474"/>
      <c r="AP291" s="49"/>
      <c r="AQ291" s="49"/>
      <c r="AR291" s="1393">
        <f>AQ201</f>
        <v>3000</v>
      </c>
      <c r="AS291" s="510" t="s">
        <v>2516</v>
      </c>
    </row>
    <row r="292" spans="1:45" x14ac:dyDescent="0.3">
      <c r="B292" s="510" t="s">
        <v>5709</v>
      </c>
      <c r="C292" s="49"/>
      <c r="D292" s="49"/>
      <c r="E292" s="49"/>
      <c r="F292" s="510" t="s">
        <v>2442</v>
      </c>
      <c r="G292" s="1377">
        <f>F217</f>
        <v>1</v>
      </c>
      <c r="H292" s="1474"/>
      <c r="I292" s="49"/>
      <c r="J292" s="49"/>
      <c r="K292" s="1377">
        <f>J217</f>
        <v>1</v>
      </c>
      <c r="L292" s="1474"/>
      <c r="M292" s="49"/>
      <c r="N292" s="49"/>
      <c r="O292" s="1377">
        <f>N217</f>
        <v>1</v>
      </c>
      <c r="P292" s="1474"/>
      <c r="Q292" s="49"/>
      <c r="R292" s="49"/>
      <c r="S292" s="1377">
        <f>R217</f>
        <v>1</v>
      </c>
      <c r="T292" s="1474"/>
      <c r="U292" s="49"/>
      <c r="V292" s="49"/>
      <c r="W292" s="1377">
        <f>V217</f>
        <v>1</v>
      </c>
      <c r="X292" s="1474"/>
      <c r="Y292" s="49"/>
      <c r="Z292" s="49"/>
      <c r="AA292" s="1377">
        <f>Z217</f>
        <v>1</v>
      </c>
      <c r="AB292" s="1474"/>
      <c r="AC292" s="49"/>
      <c r="AD292" s="49"/>
      <c r="AE292" s="1377">
        <f>AD217</f>
        <v>1</v>
      </c>
      <c r="AF292" s="510" t="s">
        <v>2442</v>
      </c>
      <c r="AG292" s="1474"/>
      <c r="AH292" s="49"/>
      <c r="AI292" s="49"/>
      <c r="AJ292" s="1377">
        <f>AI217</f>
        <v>1</v>
      </c>
      <c r="AK292" s="1474"/>
      <c r="AL292" s="49"/>
      <c r="AM292" s="49"/>
      <c r="AN292" s="1377">
        <f>AM217</f>
        <v>1</v>
      </c>
      <c r="AO292" s="1474"/>
      <c r="AP292" s="49"/>
      <c r="AQ292" s="49"/>
      <c r="AR292" s="1377">
        <f>AQ217</f>
        <v>1</v>
      </c>
      <c r="AS292" s="510" t="s">
        <v>2442</v>
      </c>
    </row>
    <row r="293" spans="1:45" x14ac:dyDescent="0.3">
      <c r="B293" s="91" t="s">
        <v>5710</v>
      </c>
      <c r="C293" s="49"/>
      <c r="D293" s="49"/>
      <c r="E293" s="49"/>
      <c r="F293" s="510" t="s">
        <v>2442</v>
      </c>
      <c r="G293" s="1377">
        <f>F219</f>
        <v>1</v>
      </c>
      <c r="H293" s="1474"/>
      <c r="I293" s="49"/>
      <c r="J293" s="49"/>
      <c r="K293" s="1377">
        <f>J219</f>
        <v>1</v>
      </c>
      <c r="L293" s="1474"/>
      <c r="M293" s="49"/>
      <c r="N293" s="49"/>
      <c r="O293" s="1377">
        <f>N219</f>
        <v>1</v>
      </c>
      <c r="P293" s="1474"/>
      <c r="Q293" s="49"/>
      <c r="R293" s="49"/>
      <c r="S293" s="1377">
        <f>R219</f>
        <v>1</v>
      </c>
      <c r="T293" s="1474"/>
      <c r="U293" s="49"/>
      <c r="V293" s="49"/>
      <c r="W293" s="1377">
        <f>V219</f>
        <v>1</v>
      </c>
      <c r="X293" s="1474"/>
      <c r="Y293" s="49"/>
      <c r="Z293" s="49"/>
      <c r="AA293" s="1377">
        <f>Z219</f>
        <v>1</v>
      </c>
      <c r="AB293" s="1474"/>
      <c r="AC293" s="49"/>
      <c r="AD293" s="49"/>
      <c r="AE293" s="1377">
        <f>AD219</f>
        <v>1</v>
      </c>
      <c r="AF293" s="510" t="s">
        <v>2442</v>
      </c>
      <c r="AG293" s="1474"/>
      <c r="AH293" s="49"/>
      <c r="AI293" s="49"/>
      <c r="AJ293" s="1377">
        <f>AI219</f>
        <v>1</v>
      </c>
      <c r="AK293" s="1474"/>
      <c r="AL293" s="49"/>
      <c r="AM293" s="49"/>
      <c r="AN293" s="1377">
        <f>AM219</f>
        <v>1</v>
      </c>
      <c r="AO293" s="1474"/>
      <c r="AP293" s="49"/>
      <c r="AQ293" s="49"/>
      <c r="AR293" s="1377">
        <f>AQ219</f>
        <v>1</v>
      </c>
      <c r="AS293" s="510" t="s">
        <v>2442</v>
      </c>
    </row>
    <row r="294" spans="1:45" x14ac:dyDescent="0.3">
      <c r="B294" s="91" t="s">
        <v>5712</v>
      </c>
      <c r="C294" s="49"/>
      <c r="D294" s="49"/>
      <c r="E294" s="49"/>
      <c r="F294" s="1353" t="s">
        <v>2442</v>
      </c>
      <c r="G294" s="1532">
        <f>F218</f>
        <v>1</v>
      </c>
      <c r="H294" s="1474"/>
      <c r="I294" s="49"/>
      <c r="J294" s="49"/>
      <c r="K294" s="1532">
        <f>J218</f>
        <v>1</v>
      </c>
      <c r="L294" s="1474"/>
      <c r="M294" s="49"/>
      <c r="N294" s="49"/>
      <c r="O294" s="1532">
        <f>N218</f>
        <v>1</v>
      </c>
      <c r="P294" s="1474"/>
      <c r="Q294" s="49"/>
      <c r="R294" s="49"/>
      <c r="S294" s="1532">
        <f>R218</f>
        <v>1</v>
      </c>
      <c r="T294" s="1474"/>
      <c r="U294" s="49"/>
      <c r="V294" s="49"/>
      <c r="W294" s="1532">
        <f>V218</f>
        <v>1</v>
      </c>
      <c r="X294" s="1474"/>
      <c r="Y294" s="49"/>
      <c r="Z294" s="49"/>
      <c r="AA294" s="1532">
        <f>Z218</f>
        <v>1</v>
      </c>
      <c r="AB294" s="1474"/>
      <c r="AC294" s="49"/>
      <c r="AD294" s="49"/>
      <c r="AE294" s="1532">
        <f>AD218</f>
        <v>1</v>
      </c>
      <c r="AF294" s="1353" t="s">
        <v>2442</v>
      </c>
      <c r="AG294" s="1474"/>
      <c r="AH294" s="49"/>
      <c r="AI294" s="49"/>
      <c r="AJ294" s="1532">
        <f>AI218</f>
        <v>1</v>
      </c>
      <c r="AK294" s="1474"/>
      <c r="AL294" s="49"/>
      <c r="AM294" s="49"/>
      <c r="AN294" s="1532">
        <f>AM218</f>
        <v>1</v>
      </c>
      <c r="AO294" s="1474"/>
      <c r="AP294" s="49"/>
      <c r="AQ294" s="49"/>
      <c r="AR294" s="1532">
        <f>AQ218</f>
        <v>1</v>
      </c>
      <c r="AS294" s="1353" t="s">
        <v>2442</v>
      </c>
    </row>
    <row r="295" spans="1:45" x14ac:dyDescent="0.3">
      <c r="B295" s="91" t="s">
        <v>5713</v>
      </c>
      <c r="C295" s="49"/>
      <c r="D295" s="49"/>
      <c r="E295" s="49"/>
      <c r="F295" s="510" t="s">
        <v>5641</v>
      </c>
      <c r="G295" s="1532">
        <f>F225</f>
        <v>0.1762815769123536</v>
      </c>
      <c r="H295" s="1474"/>
      <c r="I295" s="49"/>
      <c r="J295" s="49"/>
      <c r="K295" s="1532">
        <f>J225</f>
        <v>0.1762815769123536</v>
      </c>
      <c r="L295" s="1474"/>
      <c r="M295" s="49"/>
      <c r="N295" s="49"/>
      <c r="O295" s="1532">
        <f>N225</f>
        <v>0.17513605293646226</v>
      </c>
      <c r="P295" s="1474"/>
      <c r="Q295" s="49"/>
      <c r="R295" s="49"/>
      <c r="S295" s="1532">
        <f>R225</f>
        <v>0.17408092718255735</v>
      </c>
      <c r="T295" s="1474"/>
      <c r="U295" s="49"/>
      <c r="V295" s="49"/>
      <c r="W295" s="1532">
        <f>V225</f>
        <v>0.17408092718255735</v>
      </c>
      <c r="X295" s="1474"/>
      <c r="Y295" s="49"/>
      <c r="Z295" s="49"/>
      <c r="AA295" s="1532">
        <f>Z225</f>
        <v>0.17408092718255735</v>
      </c>
      <c r="AB295" s="1474"/>
      <c r="AC295" s="49"/>
      <c r="AD295" s="49"/>
      <c r="AE295" s="1532">
        <f>AD225</f>
        <v>0.17344296440658091</v>
      </c>
      <c r="AF295" s="510" t="s">
        <v>5641</v>
      </c>
      <c r="AG295" s="1474"/>
      <c r="AH295" s="49"/>
      <c r="AI295" s="49"/>
      <c r="AJ295" s="1532">
        <f>AI225</f>
        <v>0.17344296440658091</v>
      </c>
      <c r="AK295" s="1474"/>
      <c r="AL295" s="49"/>
      <c r="AM295" s="49"/>
      <c r="AN295" s="1532">
        <f>AM225</f>
        <v>0.17344296440658125</v>
      </c>
      <c r="AO295" s="1474"/>
      <c r="AP295" s="49"/>
      <c r="AQ295" s="49"/>
      <c r="AR295" s="1532">
        <f>AQ225</f>
        <v>0.26782823885473367</v>
      </c>
      <c r="AS295" s="510" t="s">
        <v>5641</v>
      </c>
    </row>
    <row r="296" spans="1:45" x14ac:dyDescent="0.3">
      <c r="B296" s="510" t="s">
        <v>5714</v>
      </c>
      <c r="C296" s="49"/>
      <c r="D296" s="49"/>
      <c r="E296" s="49"/>
      <c r="F296" s="510" t="s">
        <v>2489</v>
      </c>
      <c r="G296" s="1532">
        <f t="shared" ref="G296:G299" si="91">F226</f>
        <v>3.1730683844223648</v>
      </c>
      <c r="H296" s="1474"/>
      <c r="I296" s="49"/>
      <c r="J296" s="49"/>
      <c r="K296" s="1532">
        <f t="shared" ref="K296:K299" si="92">J226</f>
        <v>3.1730683844223648</v>
      </c>
      <c r="L296" s="1474"/>
      <c r="M296" s="49"/>
      <c r="N296" s="49"/>
      <c r="O296" s="1532">
        <f t="shared" ref="O296:O299" si="93">N226</f>
        <v>3.1524489528563207</v>
      </c>
      <c r="P296" s="1474"/>
      <c r="Q296" s="49"/>
      <c r="R296" s="49"/>
      <c r="S296" s="1532">
        <f t="shared" ref="S296:S299" si="94">R226</f>
        <v>3.1334566892860325</v>
      </c>
      <c r="T296" s="1474"/>
      <c r="U296" s="49"/>
      <c r="V296" s="49"/>
      <c r="W296" s="1532">
        <f t="shared" ref="W296:W299" si="95">V226</f>
        <v>3.1334566892860325</v>
      </c>
      <c r="X296" s="1474"/>
      <c r="Y296" s="49"/>
      <c r="Z296" s="49"/>
      <c r="AA296" s="1532">
        <f t="shared" ref="AA296:AA299" si="96">Z226</f>
        <v>3.1334566892860325</v>
      </c>
      <c r="AB296" s="1474"/>
      <c r="AC296" s="49"/>
      <c r="AD296" s="49"/>
      <c r="AE296" s="1532">
        <f t="shared" ref="AE296:AE299" si="97">AD226</f>
        <v>3.1219733593184564</v>
      </c>
      <c r="AF296" s="510" t="s">
        <v>2489</v>
      </c>
      <c r="AG296" s="1474"/>
      <c r="AH296" s="49"/>
      <c r="AI296" s="49"/>
      <c r="AJ296" s="1532">
        <f t="shared" ref="AJ296:AJ299" si="98">AI226</f>
        <v>3.1219733593184564</v>
      </c>
      <c r="AK296" s="1474"/>
      <c r="AL296" s="49"/>
      <c r="AM296" s="49"/>
      <c r="AN296" s="1532">
        <f t="shared" ref="AN296:AN299" si="99">AM226</f>
        <v>3.1219733593184626</v>
      </c>
      <c r="AO296" s="1474"/>
      <c r="AP296" s="49"/>
      <c r="AQ296" s="49"/>
      <c r="AR296" s="1532">
        <f t="shared" ref="AR296:AR299" si="100">AQ226</f>
        <v>4.8209082993852057</v>
      </c>
      <c r="AS296" s="510" t="s">
        <v>2489</v>
      </c>
    </row>
    <row r="297" spans="1:45" x14ac:dyDescent="0.3">
      <c r="B297" s="91" t="s">
        <v>5715</v>
      </c>
      <c r="C297" s="49"/>
      <c r="D297" s="49"/>
      <c r="E297" s="49"/>
      <c r="F297" s="510" t="s">
        <v>2489</v>
      </c>
      <c r="G297" s="1532">
        <f t="shared" si="91"/>
        <v>1.3221118268426519</v>
      </c>
      <c r="H297" s="1474"/>
      <c r="I297" s="49"/>
      <c r="J297" s="49"/>
      <c r="K297" s="1532">
        <f t="shared" si="92"/>
        <v>1.3221118268426519</v>
      </c>
      <c r="L297" s="1474"/>
      <c r="M297" s="49"/>
      <c r="N297" s="49"/>
      <c r="O297" s="1532">
        <f t="shared" si="93"/>
        <v>1.313520397023467</v>
      </c>
      <c r="P297" s="1474"/>
      <c r="Q297" s="49"/>
      <c r="R297" s="49"/>
      <c r="S297" s="1532">
        <f t="shared" si="94"/>
        <v>1.3056069538691801</v>
      </c>
      <c r="T297" s="1474"/>
      <c r="U297" s="49"/>
      <c r="V297" s="49"/>
      <c r="W297" s="1532">
        <f t="shared" si="95"/>
        <v>1.3056069538691801</v>
      </c>
      <c r="X297" s="1474"/>
      <c r="Y297" s="49"/>
      <c r="Z297" s="49"/>
      <c r="AA297" s="1532">
        <f t="shared" si="96"/>
        <v>1.3056069538691801</v>
      </c>
      <c r="AB297" s="1474"/>
      <c r="AC297" s="49"/>
      <c r="AD297" s="49"/>
      <c r="AE297" s="1532">
        <f t="shared" si="97"/>
        <v>1.3008222330493568</v>
      </c>
      <c r="AF297" s="510" t="s">
        <v>2489</v>
      </c>
      <c r="AG297" s="1474"/>
      <c r="AH297" s="49"/>
      <c r="AI297" s="49"/>
      <c r="AJ297" s="1532">
        <f t="shared" si="98"/>
        <v>1.3008222330493568</v>
      </c>
      <c r="AK297" s="1474"/>
      <c r="AL297" s="49"/>
      <c r="AM297" s="49"/>
      <c r="AN297" s="1532">
        <f t="shared" si="99"/>
        <v>1.3008222330493593</v>
      </c>
      <c r="AO297" s="1474"/>
      <c r="AP297" s="49"/>
      <c r="AQ297" s="49"/>
      <c r="AR297" s="1532">
        <f t="shared" si="100"/>
        <v>2.0087117914105024</v>
      </c>
      <c r="AS297" s="510" t="s">
        <v>2489</v>
      </c>
    </row>
    <row r="298" spans="1:45" x14ac:dyDescent="0.3">
      <c r="B298" s="91" t="s">
        <v>5716</v>
      </c>
      <c r="C298" s="49"/>
      <c r="D298" s="49"/>
      <c r="E298" s="49"/>
      <c r="F298" s="510" t="s">
        <v>2489</v>
      </c>
      <c r="G298" s="1532">
        <f t="shared" si="91"/>
        <v>1.0576894614741217</v>
      </c>
      <c r="H298" s="1474"/>
      <c r="I298" s="49"/>
      <c r="J298" s="49"/>
      <c r="K298" s="1532">
        <f t="shared" si="92"/>
        <v>1.0576894614741217</v>
      </c>
      <c r="L298" s="1474"/>
      <c r="M298" s="49"/>
      <c r="N298" s="49"/>
      <c r="O298" s="1532">
        <f t="shared" si="93"/>
        <v>1.0508163176187735</v>
      </c>
      <c r="P298" s="1474"/>
      <c r="Q298" s="49"/>
      <c r="R298" s="49"/>
      <c r="S298" s="1532">
        <f t="shared" si="94"/>
        <v>1.044485563095344</v>
      </c>
      <c r="T298" s="1474"/>
      <c r="U298" s="49"/>
      <c r="V298" s="49"/>
      <c r="W298" s="1532">
        <f t="shared" si="95"/>
        <v>1.044485563095344</v>
      </c>
      <c r="X298" s="1474"/>
      <c r="Y298" s="49"/>
      <c r="Z298" s="49"/>
      <c r="AA298" s="1532">
        <f t="shared" si="96"/>
        <v>1.044485563095344</v>
      </c>
      <c r="AB298" s="1474"/>
      <c r="AC298" s="49"/>
      <c r="AD298" s="49"/>
      <c r="AE298" s="1532">
        <f t="shared" si="97"/>
        <v>1.0406577864394855</v>
      </c>
      <c r="AF298" s="510" t="s">
        <v>2489</v>
      </c>
      <c r="AG298" s="1474"/>
      <c r="AH298" s="49"/>
      <c r="AI298" s="49"/>
      <c r="AJ298" s="1532">
        <f t="shared" si="98"/>
        <v>1.0406577864394855</v>
      </c>
      <c r="AK298" s="1474"/>
      <c r="AL298" s="49"/>
      <c r="AM298" s="49"/>
      <c r="AN298" s="1532">
        <f t="shared" si="99"/>
        <v>1.0406577864394875</v>
      </c>
      <c r="AO298" s="1474"/>
      <c r="AP298" s="49"/>
      <c r="AQ298" s="49"/>
      <c r="AR298" s="1532">
        <f t="shared" si="100"/>
        <v>1.6069694331284019</v>
      </c>
      <c r="AS298" s="510" t="s">
        <v>2489</v>
      </c>
    </row>
    <row r="299" spans="1:45" x14ac:dyDescent="0.3">
      <c r="B299" s="91" t="s">
        <v>5717</v>
      </c>
      <c r="C299" s="49"/>
      <c r="D299" s="49"/>
      <c r="E299" s="49"/>
      <c r="F299" s="510" t="s">
        <v>2489</v>
      </c>
      <c r="G299" s="1532">
        <f t="shared" si="91"/>
        <v>0.15865341922111822</v>
      </c>
      <c r="H299" s="1474"/>
      <c r="I299" s="49"/>
      <c r="J299" s="49"/>
      <c r="K299" s="1532">
        <f t="shared" si="92"/>
        <v>0.15865341922111822</v>
      </c>
      <c r="L299" s="1474"/>
      <c r="M299" s="49"/>
      <c r="N299" s="49"/>
      <c r="O299" s="1532">
        <f t="shared" si="93"/>
        <v>0.15762244764281602</v>
      </c>
      <c r="P299" s="1474"/>
      <c r="Q299" s="49"/>
      <c r="R299" s="49"/>
      <c r="S299" s="1532">
        <f t="shared" si="94"/>
        <v>0.15667283446430161</v>
      </c>
      <c r="T299" s="1474"/>
      <c r="U299" s="49"/>
      <c r="V299" s="49"/>
      <c r="W299" s="1532">
        <f t="shared" si="95"/>
        <v>0.15667283446430161</v>
      </c>
      <c r="X299" s="1474"/>
      <c r="Y299" s="49"/>
      <c r="Z299" s="49"/>
      <c r="AA299" s="1532">
        <f t="shared" si="96"/>
        <v>0.15667283446430161</v>
      </c>
      <c r="AB299" s="1474"/>
      <c r="AC299" s="49"/>
      <c r="AD299" s="49"/>
      <c r="AE299" s="1532">
        <f t="shared" si="97"/>
        <v>0.15609866796592281</v>
      </c>
      <c r="AF299" s="510" t="s">
        <v>2489</v>
      </c>
      <c r="AG299" s="1474"/>
      <c r="AH299" s="49"/>
      <c r="AI299" s="49"/>
      <c r="AJ299" s="1532">
        <f t="shared" si="98"/>
        <v>0.15609866796592281</v>
      </c>
      <c r="AK299" s="1474"/>
      <c r="AL299" s="49"/>
      <c r="AM299" s="49"/>
      <c r="AN299" s="1532">
        <f t="shared" si="99"/>
        <v>0.15609866796592312</v>
      </c>
      <c r="AO299" s="1474"/>
      <c r="AP299" s="49"/>
      <c r="AQ299" s="49"/>
      <c r="AR299" s="1532">
        <f t="shared" si="100"/>
        <v>0.24104541496926027</v>
      </c>
      <c r="AS299" s="510" t="s">
        <v>2489</v>
      </c>
    </row>
    <row r="300" spans="1:45" x14ac:dyDescent="0.3">
      <c r="B300" s="49" t="s">
        <v>6410</v>
      </c>
      <c r="C300" s="1529" t="s">
        <v>5742</v>
      </c>
      <c r="D300" s="49"/>
      <c r="E300" s="49"/>
      <c r="F300" s="18" t="s">
        <v>5743</v>
      </c>
      <c r="G300" s="1536">
        <f>E117+F117</f>
        <v>0</v>
      </c>
      <c r="H300" s="1474"/>
      <c r="I300" s="49"/>
      <c r="J300" s="49"/>
      <c r="K300" s="1536">
        <f>I117+J117</f>
        <v>0</v>
      </c>
      <c r="L300" s="1474"/>
      <c r="M300" s="49"/>
      <c r="N300" s="49"/>
      <c r="O300" s="1536">
        <f>M117+N117</f>
        <v>0</v>
      </c>
      <c r="P300" s="1474"/>
      <c r="Q300" s="49"/>
      <c r="R300" s="49"/>
      <c r="S300" s="1536">
        <f>Q117+R117</f>
        <v>0</v>
      </c>
      <c r="T300" s="1474"/>
      <c r="U300" s="49"/>
      <c r="V300" s="49"/>
      <c r="W300" s="1536">
        <f>U117+V117</f>
        <v>0</v>
      </c>
      <c r="X300" s="1474"/>
      <c r="Y300" s="49"/>
      <c r="Z300" s="49"/>
      <c r="AA300" s="1536">
        <f>Y117+Z117</f>
        <v>0</v>
      </c>
      <c r="AB300" s="1474"/>
      <c r="AC300" s="49"/>
      <c r="AD300" s="49"/>
      <c r="AE300" s="1536">
        <f>AC117+AD117</f>
        <v>0</v>
      </c>
      <c r="AF300" s="18" t="s">
        <v>5743</v>
      </c>
      <c r="AG300" s="1474"/>
      <c r="AH300" s="49"/>
      <c r="AI300" s="49"/>
      <c r="AJ300" s="1536">
        <f>AH117+AI117</f>
        <v>0</v>
      </c>
      <c r="AK300" s="1474"/>
      <c r="AL300" s="49"/>
      <c r="AM300" s="49"/>
      <c r="AN300" s="1536">
        <f>AL117+AM117</f>
        <v>0</v>
      </c>
      <c r="AO300" s="1474"/>
      <c r="AP300" s="49"/>
      <c r="AQ300" s="49"/>
      <c r="AR300" s="1536">
        <f>AP117+AQ117</f>
        <v>0</v>
      </c>
      <c r="AS300" s="18" t="s">
        <v>5743</v>
      </c>
    </row>
    <row r="301" spans="1:45" x14ac:dyDescent="0.3">
      <c r="B301" s="49" t="s">
        <v>6411</v>
      </c>
      <c r="C301" s="49"/>
      <c r="D301" s="49"/>
      <c r="E301" s="49"/>
      <c r="F301" s="18" t="s">
        <v>5249</v>
      </c>
      <c r="G301" s="1536">
        <f>G117</f>
        <v>483.89339964141004</v>
      </c>
      <c r="H301" s="1474"/>
      <c r="I301" s="49"/>
      <c r="J301" s="49"/>
      <c r="K301" s="1536">
        <f>K117</f>
        <v>521.44836082673976</v>
      </c>
      <c r="L301" s="1474"/>
      <c r="M301" s="49"/>
      <c r="N301" s="49"/>
      <c r="O301" s="1536">
        <f>O117</f>
        <v>502.03439246564983</v>
      </c>
      <c r="P301" s="1474"/>
      <c r="Q301" s="49"/>
      <c r="R301" s="49"/>
      <c r="S301" s="1536">
        <f>S117</f>
        <v>0</v>
      </c>
      <c r="T301" s="1474"/>
      <c r="U301" s="49"/>
      <c r="V301" s="49"/>
      <c r="W301" s="1536">
        <f>W117</f>
        <v>52.998658144977185</v>
      </c>
      <c r="X301" s="1474"/>
      <c r="Y301" s="49"/>
      <c r="Z301" s="49"/>
      <c r="AA301" s="1536">
        <f>AA117</f>
        <v>0</v>
      </c>
      <c r="AB301" s="1474"/>
      <c r="AC301" s="49"/>
      <c r="AD301" s="49"/>
      <c r="AE301" s="1536">
        <f>AE117</f>
        <v>0</v>
      </c>
      <c r="AF301" s="18" t="s">
        <v>5249</v>
      </c>
      <c r="AG301" s="1474"/>
      <c r="AH301" s="49"/>
      <c r="AI301" s="49"/>
      <c r="AJ301" s="1536">
        <f>AJ117</f>
        <v>22.46799725618348</v>
      </c>
      <c r="AK301" s="1474"/>
      <c r="AL301" s="49"/>
      <c r="AM301" s="49"/>
      <c r="AN301" s="1536">
        <f>AN117</f>
        <v>0</v>
      </c>
      <c r="AO301" s="1474"/>
      <c r="AP301" s="49"/>
      <c r="AQ301" s="49"/>
      <c r="AR301" s="1536">
        <f>AR117</f>
        <v>0</v>
      </c>
      <c r="AS301" s="18" t="s">
        <v>5249</v>
      </c>
    </row>
    <row r="302" spans="1:45" x14ac:dyDescent="0.3">
      <c r="B302" s="49" t="s">
        <v>6412</v>
      </c>
      <c r="C302" s="49"/>
      <c r="D302" s="49"/>
      <c r="E302" s="49"/>
      <c r="F302" s="18" t="s">
        <v>5745</v>
      </c>
      <c r="G302" s="1536">
        <f>E130+F130</f>
        <v>4955.3458037383725</v>
      </c>
      <c r="H302" s="1474"/>
      <c r="I302" s="49"/>
      <c r="J302" s="49"/>
      <c r="K302" s="1536">
        <f>I130+J130</f>
        <v>5638.2898397072368</v>
      </c>
      <c r="L302" s="1474"/>
      <c r="M302" s="49"/>
      <c r="N302" s="49"/>
      <c r="O302" s="1536">
        <f>M130+N130</f>
        <v>5292.384684415726</v>
      </c>
      <c r="P302" s="1474"/>
      <c r="Q302" s="49"/>
      <c r="R302" s="49"/>
      <c r="S302" s="1536">
        <f>Q130+R130</f>
        <v>4596.6072158599345</v>
      </c>
      <c r="T302" s="1474"/>
      <c r="U302" s="49"/>
      <c r="V302" s="49"/>
      <c r="W302" s="1536">
        <f>U130+V130</f>
        <v>5222.6567480257117</v>
      </c>
      <c r="X302" s="1474"/>
      <c r="Y302" s="49"/>
      <c r="Z302" s="49"/>
      <c r="AA302" s="1536">
        <f>Y130+Z130</f>
        <v>4909.6319819428227</v>
      </c>
      <c r="AB302" s="1474"/>
      <c r="AC302" s="49"/>
      <c r="AD302" s="49"/>
      <c r="AE302" s="1536">
        <f>AC130+AD130</f>
        <v>4470.8194261223734</v>
      </c>
      <c r="AF302" s="18" t="s">
        <v>5745</v>
      </c>
      <c r="AG302" s="1474"/>
      <c r="AH302" s="49"/>
      <c r="AI302" s="49"/>
      <c r="AJ302" s="1536">
        <f>AH130+AI130</f>
        <v>5078.9972828671398</v>
      </c>
      <c r="AK302" s="1474"/>
      <c r="AL302" s="49"/>
      <c r="AM302" s="49"/>
      <c r="AN302" s="1536">
        <f>AL130+AM130</f>
        <v>4774.9083544947553</v>
      </c>
      <c r="AO302" s="1474"/>
      <c r="AP302" s="49"/>
      <c r="AQ302" s="49"/>
      <c r="AR302" s="1536">
        <f>AP130+AQ130</f>
        <v>4653.6171608560817</v>
      </c>
      <c r="AS302" s="18" t="s">
        <v>5745</v>
      </c>
    </row>
    <row r="303" spans="1:45" x14ac:dyDescent="0.3">
      <c r="B303" s="49" t="s">
        <v>6413</v>
      </c>
      <c r="C303" s="49"/>
      <c r="D303" s="49"/>
      <c r="E303" s="49"/>
      <c r="F303" s="18" t="s">
        <v>6414</v>
      </c>
      <c r="G303" s="1536">
        <f>G130</f>
        <v>9341.9924859135917</v>
      </c>
      <c r="H303" s="1474"/>
      <c r="I303" s="49"/>
      <c r="J303" s="49"/>
      <c r="K303" s="1536">
        <f>K130</f>
        <v>9442.9598467451069</v>
      </c>
      <c r="L303" s="1474"/>
      <c r="M303" s="49"/>
      <c r="N303" s="49"/>
      <c r="O303" s="1536">
        <f>O130</f>
        <v>9409.3847903288861</v>
      </c>
      <c r="P303" s="1474"/>
      <c r="Q303" s="49"/>
      <c r="R303" s="49"/>
      <c r="S303" s="1536">
        <f>S130</f>
        <v>11769.86299214459</v>
      </c>
      <c r="T303" s="1474"/>
      <c r="U303" s="49"/>
      <c r="V303" s="49"/>
      <c r="W303" s="1536">
        <f>W130</f>
        <v>12065.004660363613</v>
      </c>
      <c r="X303" s="1474"/>
      <c r="Y303" s="49"/>
      <c r="Z303" s="49"/>
      <c r="AA303" s="1536">
        <f>AA130</f>
        <v>12256.975793280892</v>
      </c>
      <c r="AB303" s="1474"/>
      <c r="AC303" s="49"/>
      <c r="AD303" s="49"/>
      <c r="AE303" s="1536">
        <f>AE130</f>
        <v>11079.496775148771</v>
      </c>
      <c r="AF303" s="18" t="s">
        <v>6414</v>
      </c>
      <c r="AG303" s="1474"/>
      <c r="AH303" s="49"/>
      <c r="AI303" s="49"/>
      <c r="AJ303" s="1536">
        <f>AJ130</f>
        <v>12200.958498394819</v>
      </c>
      <c r="AK303" s="1474"/>
      <c r="AL303" s="49"/>
      <c r="AM303" s="49"/>
      <c r="AN303" s="1536">
        <f>AN130</f>
        <v>11871.609652078669</v>
      </c>
      <c r="AO303" s="1474"/>
      <c r="AP303" s="49"/>
      <c r="AQ303" s="49"/>
      <c r="AR303" s="1536">
        <f>AR130</f>
        <v>11276.579679414468</v>
      </c>
      <c r="AS303" s="18" t="s">
        <v>6414</v>
      </c>
    </row>
    <row r="304" spans="1:45" s="1693" customFormat="1" x14ac:dyDescent="0.3">
      <c r="A304" s="1693" t="s">
        <v>5721</v>
      </c>
      <c r="B304" s="1667" t="s">
        <v>6415</v>
      </c>
      <c r="C304" s="1691"/>
      <c r="D304" s="1692"/>
      <c r="E304" s="1692"/>
      <c r="F304" s="1665" t="s">
        <v>38</v>
      </c>
      <c r="G304" s="1666">
        <f>G259</f>
        <v>3</v>
      </c>
      <c r="H304" s="1695"/>
      <c r="I304" s="1695"/>
      <c r="J304" s="1695"/>
      <c r="K304" s="1666">
        <f>K259</f>
        <v>4</v>
      </c>
      <c r="L304" s="1695"/>
      <c r="M304" s="1695"/>
      <c r="N304" s="1695"/>
      <c r="O304" s="1666">
        <f>O259</f>
        <v>5</v>
      </c>
      <c r="P304" s="1695"/>
      <c r="Q304" s="1695"/>
      <c r="R304" s="1695"/>
      <c r="S304" s="1666">
        <f>S259</f>
        <v>6</v>
      </c>
      <c r="T304" s="1695"/>
      <c r="U304" s="1695"/>
      <c r="V304" s="1695"/>
      <c r="W304" s="1666">
        <f>W259</f>
        <v>7</v>
      </c>
      <c r="X304" s="1695"/>
      <c r="Y304" s="1695"/>
      <c r="Z304" s="1695"/>
      <c r="AA304" s="1666">
        <f>AA259</f>
        <v>8</v>
      </c>
      <c r="AB304" s="1695"/>
      <c r="AC304" s="1695"/>
      <c r="AD304" s="1695"/>
      <c r="AE304" s="1666">
        <f>AE259</f>
        <v>9</v>
      </c>
      <c r="AF304" s="1665" t="s">
        <v>38</v>
      </c>
      <c r="AG304" s="1695"/>
      <c r="AH304" s="1695"/>
      <c r="AI304" s="1695"/>
      <c r="AJ304" s="1666">
        <f>AJ259</f>
        <v>10</v>
      </c>
      <c r="AK304" s="1695"/>
      <c r="AL304" s="1695"/>
      <c r="AM304" s="1695"/>
      <c r="AN304" s="1666">
        <f>AN259</f>
        <v>11</v>
      </c>
      <c r="AO304" s="1695"/>
      <c r="AP304" s="1695"/>
      <c r="AQ304" s="1695"/>
      <c r="AR304" s="1666">
        <f>AR259</f>
        <v>14</v>
      </c>
      <c r="AS304" s="1665" t="s">
        <v>38</v>
      </c>
    </row>
    <row r="305" spans="1:45" x14ac:dyDescent="0.3">
      <c r="B305" s="95" t="s">
        <v>6416</v>
      </c>
      <c r="C305" s="1529" t="s">
        <v>6417</v>
      </c>
      <c r="D305" s="49"/>
      <c r="E305" s="49"/>
      <c r="F305" s="1353" t="s">
        <v>2539</v>
      </c>
      <c r="G305" s="1530">
        <f>G148</f>
        <v>10</v>
      </c>
      <c r="H305" s="1474"/>
      <c r="I305" s="49"/>
      <c r="J305" s="49"/>
      <c r="K305" s="1530">
        <f>K148</f>
        <v>10</v>
      </c>
      <c r="L305" s="1474"/>
      <c r="M305" s="49"/>
      <c r="N305" s="49"/>
      <c r="O305" s="1530">
        <f>O148</f>
        <v>10</v>
      </c>
      <c r="P305" s="1474"/>
      <c r="Q305" s="49"/>
      <c r="R305" s="49"/>
      <c r="S305" s="1530">
        <f>S148</f>
        <v>10</v>
      </c>
      <c r="T305" s="1474"/>
      <c r="U305" s="49"/>
      <c r="V305" s="49"/>
      <c r="W305" s="1530">
        <f>W148</f>
        <v>10</v>
      </c>
      <c r="X305" s="1474"/>
      <c r="Y305" s="49"/>
      <c r="Z305" s="49"/>
      <c r="AA305" s="1530">
        <f>AA148</f>
        <v>10</v>
      </c>
      <c r="AB305" s="1474"/>
      <c r="AC305" s="49"/>
      <c r="AD305" s="49"/>
      <c r="AE305" s="1530">
        <f>AE148</f>
        <v>10</v>
      </c>
      <c r="AF305" s="1353" t="s">
        <v>2539</v>
      </c>
      <c r="AG305" s="1474"/>
      <c r="AH305" s="49"/>
      <c r="AI305" s="49"/>
      <c r="AJ305" s="1530">
        <f>AJ148</f>
        <v>10</v>
      </c>
      <c r="AK305" s="1474"/>
      <c r="AL305" s="49"/>
      <c r="AM305" s="49"/>
      <c r="AN305" s="1530">
        <f>AN148</f>
        <v>10</v>
      </c>
      <c r="AO305" s="1474"/>
      <c r="AP305" s="49"/>
      <c r="AQ305" s="49"/>
      <c r="AR305" s="1530">
        <f>AR148</f>
        <v>10</v>
      </c>
      <c r="AS305" s="1353" t="s">
        <v>2539</v>
      </c>
    </row>
    <row r="306" spans="1:45" x14ac:dyDescent="0.3">
      <c r="B306" s="95" t="s">
        <v>6418</v>
      </c>
      <c r="C306" s="49"/>
      <c r="D306" s="49"/>
      <c r="E306" s="49"/>
      <c r="F306" s="1353" t="s">
        <v>5910</v>
      </c>
      <c r="G306" s="1535">
        <f>G72</f>
        <v>4525.5947564400622</v>
      </c>
      <c r="H306" s="1474"/>
      <c r="I306" s="49"/>
      <c r="J306" s="49"/>
      <c r="K306" s="1535">
        <f>K72</f>
        <v>4525.5947564400622</v>
      </c>
      <c r="L306" s="1474"/>
      <c r="M306" s="49"/>
      <c r="N306" s="49"/>
      <c r="O306" s="1535">
        <f>O72</f>
        <v>4525.5947564400622</v>
      </c>
      <c r="P306" s="1474"/>
      <c r="Q306" s="49"/>
      <c r="R306" s="49"/>
      <c r="S306" s="1535">
        <f>S72</f>
        <v>2693.8026530909328</v>
      </c>
      <c r="T306" s="1474"/>
      <c r="U306" s="49"/>
      <c r="V306" s="49"/>
      <c r="W306" s="1535">
        <f>W72</f>
        <v>2693.8026530909328</v>
      </c>
      <c r="X306" s="1474"/>
      <c r="Y306" s="49"/>
      <c r="Z306" s="49"/>
      <c r="AA306" s="1535">
        <f>AA72</f>
        <v>2693.8026530909328</v>
      </c>
      <c r="AB306" s="1474"/>
      <c r="AC306" s="49"/>
      <c r="AD306" s="49"/>
      <c r="AE306" s="1535">
        <f>AE72</f>
        <v>2327.4442324211072</v>
      </c>
      <c r="AF306" s="1353" t="s">
        <v>5910</v>
      </c>
      <c r="AG306" s="1474"/>
      <c r="AH306" s="49"/>
      <c r="AI306" s="49"/>
      <c r="AJ306" s="1535">
        <f>AJ72</f>
        <v>2327.4442324211072</v>
      </c>
      <c r="AK306" s="1474"/>
      <c r="AL306" s="49"/>
      <c r="AM306" s="49"/>
      <c r="AN306" s="1535">
        <f>AN72</f>
        <v>2327.4442324211072</v>
      </c>
      <c r="AO306" s="1474"/>
      <c r="AP306" s="49"/>
      <c r="AQ306" s="49"/>
      <c r="AR306" s="1535">
        <f>AR72</f>
        <v>1227.3412979465452</v>
      </c>
      <c r="AS306" s="1353" t="s">
        <v>5910</v>
      </c>
    </row>
    <row r="307" spans="1:45" x14ac:dyDescent="0.3">
      <c r="B307" s="2135" t="s">
        <v>6343</v>
      </c>
      <c r="C307" s="49"/>
      <c r="D307" s="49"/>
      <c r="E307" s="49"/>
      <c r="F307" s="510" t="s">
        <v>2478</v>
      </c>
      <c r="G307" s="1423">
        <f>G57</f>
        <v>3368.7334385768968</v>
      </c>
      <c r="H307" s="1474"/>
      <c r="I307" s="49"/>
      <c r="J307" s="49"/>
      <c r="K307" s="1423">
        <f>K57</f>
        <v>3368.7334385768968</v>
      </c>
      <c r="L307" s="1474"/>
      <c r="M307" s="49"/>
      <c r="N307" s="49"/>
      <c r="O307" s="1423">
        <f>O57</f>
        <v>3348.7402420606995</v>
      </c>
      <c r="P307" s="1474"/>
      <c r="Q307" s="49"/>
      <c r="R307" s="49"/>
      <c r="S307" s="1423">
        <f>S57</f>
        <v>2664.5817743943217</v>
      </c>
      <c r="T307" s="1474"/>
      <c r="U307" s="49"/>
      <c r="V307" s="49"/>
      <c r="W307" s="1423">
        <f>W57</f>
        <v>2664.5817743943217</v>
      </c>
      <c r="X307" s="1474"/>
      <c r="Y307" s="49"/>
      <c r="Z307" s="49"/>
      <c r="AA307" s="1423">
        <f>AA57</f>
        <v>2664.5817743943217</v>
      </c>
      <c r="AB307" s="1474"/>
      <c r="AC307" s="49"/>
      <c r="AD307" s="49"/>
      <c r="AE307" s="1423">
        <f>AE57</f>
        <v>2520.2986018694792</v>
      </c>
      <c r="AF307" s="510" t="s">
        <v>2478</v>
      </c>
      <c r="AG307" s="1474"/>
      <c r="AH307" s="49"/>
      <c r="AI307" s="49"/>
      <c r="AJ307" s="1423">
        <f>AJ57</f>
        <v>2520.2986018694792</v>
      </c>
      <c r="AK307" s="1474"/>
      <c r="AL307" s="49"/>
      <c r="AM307" s="49"/>
      <c r="AN307" s="1423">
        <f>AN57</f>
        <v>2520.2986018694792</v>
      </c>
      <c r="AO307" s="1474"/>
      <c r="AP307" s="49"/>
      <c r="AQ307" s="49"/>
      <c r="AR307" s="1423">
        <f>AR57</f>
        <v>1937.2131954110769</v>
      </c>
      <c r="AS307" s="510" t="s">
        <v>2478</v>
      </c>
    </row>
    <row r="308" spans="1:45" x14ac:dyDescent="0.3">
      <c r="A308" s="20"/>
      <c r="B308" s="18" t="s">
        <v>5437</v>
      </c>
      <c r="C308" s="391"/>
      <c r="D308" s="49"/>
      <c r="E308" s="49"/>
      <c r="F308" s="510" t="s">
        <v>2268</v>
      </c>
      <c r="G308" s="1423">
        <f>G58</f>
        <v>7731.3161327004527</v>
      </c>
      <c r="H308" s="1474"/>
      <c r="I308" s="49"/>
      <c r="J308" s="49"/>
      <c r="K308" s="1423">
        <f>K58</f>
        <v>7731.3161327004527</v>
      </c>
      <c r="L308" s="1474"/>
      <c r="M308" s="49"/>
      <c r="N308" s="49"/>
      <c r="O308" s="1423">
        <f>O58</f>
        <v>7667.3081434083915</v>
      </c>
      <c r="P308" s="1474"/>
      <c r="Q308" s="49"/>
      <c r="R308" s="49"/>
      <c r="S308" s="1423">
        <f>S58</f>
        <v>5536.05004954981</v>
      </c>
      <c r="T308" s="1474"/>
      <c r="U308" s="49"/>
      <c r="V308" s="49"/>
      <c r="W308" s="1423">
        <f>W58</f>
        <v>5536.05004954981</v>
      </c>
      <c r="X308" s="1474"/>
      <c r="Y308" s="49"/>
      <c r="Z308" s="49"/>
      <c r="AA308" s="1423">
        <f>AA58</f>
        <v>5536.05004954981</v>
      </c>
      <c r="AB308" s="1474"/>
      <c r="AC308" s="49"/>
      <c r="AD308" s="49"/>
      <c r="AE308" s="1423">
        <f>AE58</f>
        <v>5103.5144459118055</v>
      </c>
      <c r="AF308" s="510" t="s">
        <v>2268</v>
      </c>
      <c r="AG308" s="1474"/>
      <c r="AH308" s="49"/>
      <c r="AI308" s="49"/>
      <c r="AJ308" s="1423">
        <f>AJ58</f>
        <v>5103.5144459118055</v>
      </c>
      <c r="AK308" s="1474"/>
      <c r="AL308" s="49"/>
      <c r="AM308" s="49"/>
      <c r="AN308" s="1423">
        <f>AN58</f>
        <v>5103.5144459118055</v>
      </c>
      <c r="AO308" s="1474"/>
      <c r="AP308" s="49"/>
      <c r="AQ308" s="49"/>
      <c r="AR308" s="1423">
        <f>AR58</f>
        <v>3434.4068159132703</v>
      </c>
      <c r="AS308" s="510" t="s">
        <v>2268</v>
      </c>
    </row>
    <row r="309" spans="1:45" x14ac:dyDescent="0.3">
      <c r="B309" s="2337" t="s">
        <v>6404</v>
      </c>
      <c r="C309" s="49"/>
      <c r="D309" s="49"/>
      <c r="E309" s="49"/>
      <c r="F309" s="510" t="s">
        <v>2413</v>
      </c>
      <c r="G309" s="1536">
        <f>G74</f>
        <v>1.4665640428699664</v>
      </c>
      <c r="H309" s="1474"/>
      <c r="I309" s="49"/>
      <c r="J309" s="49"/>
      <c r="K309" s="1536">
        <f>K74</f>
        <v>1.6762638671084318</v>
      </c>
      <c r="L309" s="1474"/>
      <c r="M309" s="49"/>
      <c r="N309" s="49"/>
      <c r="O309" s="1536">
        <f>O74</f>
        <v>1.571413954989199</v>
      </c>
      <c r="P309" s="1474"/>
      <c r="Q309" s="49"/>
      <c r="R309" s="49"/>
      <c r="S309" s="1536">
        <f>S74</f>
        <v>2.2785732307584281</v>
      </c>
      <c r="T309" s="1474"/>
      <c r="U309" s="49"/>
      <c r="V309" s="49"/>
      <c r="W309" s="1536">
        <f>W74</f>
        <v>2.6043799408898596</v>
      </c>
      <c r="X309" s="1474"/>
      <c r="Y309" s="49"/>
      <c r="Z309" s="49"/>
      <c r="AA309" s="1536">
        <f>AA74</f>
        <v>2.4414765858241436</v>
      </c>
      <c r="AB309" s="1474"/>
      <c r="AC309" s="49"/>
      <c r="AD309" s="49"/>
      <c r="AE309" s="1536">
        <f>AE74</f>
        <v>2.5619543788785166</v>
      </c>
      <c r="AF309" s="510" t="s">
        <v>2413</v>
      </c>
      <c r="AG309" s="1474"/>
      <c r="AH309" s="49"/>
      <c r="AI309" s="49"/>
      <c r="AJ309" s="1536">
        <f>AJ74</f>
        <v>2.9282809539569881</v>
      </c>
      <c r="AK309" s="1474"/>
      <c r="AL309" s="49"/>
      <c r="AM309" s="49"/>
      <c r="AN309" s="1536">
        <f>AN74</f>
        <v>2.7451176664177526</v>
      </c>
      <c r="AO309" s="1474"/>
      <c r="AP309" s="49"/>
      <c r="AQ309" s="49"/>
      <c r="AR309" s="1536">
        <f>AR74</f>
        <v>4.9447311714113011</v>
      </c>
      <c r="AS309" s="510" t="s">
        <v>2413</v>
      </c>
    </row>
    <row r="310" spans="1:45" x14ac:dyDescent="0.3">
      <c r="B310" s="18" t="s">
        <v>6405</v>
      </c>
      <c r="C310" s="49"/>
      <c r="D310" s="49"/>
      <c r="E310" s="49"/>
      <c r="F310" s="510" t="s">
        <v>2413</v>
      </c>
      <c r="G310" s="1536">
        <f>G75</f>
        <v>3.3027695097379093</v>
      </c>
      <c r="H310" s="1474"/>
      <c r="I310" s="49"/>
      <c r="J310" s="49"/>
      <c r="K310" s="1536">
        <f>K75</f>
        <v>3.3027695097379093</v>
      </c>
      <c r="L310" s="1474"/>
      <c r="M310" s="49"/>
      <c r="N310" s="49"/>
      <c r="O310" s="1536">
        <f>O75</f>
        <v>3.3027695097379093</v>
      </c>
      <c r="P310" s="1474"/>
      <c r="Q310" s="49"/>
      <c r="R310" s="49"/>
      <c r="S310" s="1536">
        <f>S75</f>
        <v>5.5486604996284568</v>
      </c>
      <c r="T310" s="1474"/>
      <c r="U310" s="49"/>
      <c r="V310" s="49"/>
      <c r="W310" s="1536">
        <f>W75</f>
        <v>5.5486604996284568</v>
      </c>
      <c r="X310" s="1474"/>
      <c r="Y310" s="49"/>
      <c r="Z310" s="49"/>
      <c r="AA310" s="1536">
        <f>AA75</f>
        <v>5.5486604996284568</v>
      </c>
      <c r="AB310" s="1474"/>
      <c r="AC310" s="49"/>
      <c r="AD310" s="49"/>
      <c r="AE310" s="1536">
        <f>AE75</f>
        <v>6.4220642397311023</v>
      </c>
      <c r="AF310" s="510" t="s">
        <v>2413</v>
      </c>
      <c r="AG310" s="1474"/>
      <c r="AH310" s="49"/>
      <c r="AI310" s="49"/>
      <c r="AJ310" s="1536">
        <f>AJ75</f>
        <v>6.4220642397311023</v>
      </c>
      <c r="AK310" s="1474"/>
      <c r="AL310" s="49"/>
      <c r="AM310" s="49"/>
      <c r="AN310" s="1536">
        <f>AN75</f>
        <v>6.4220642397311023</v>
      </c>
      <c r="AO310" s="1474"/>
      <c r="AP310" s="49"/>
      <c r="AQ310" s="49"/>
      <c r="AR310" s="1536">
        <f>AR75</f>
        <v>7.9159298721594418</v>
      </c>
      <c r="AS310" s="510" t="s">
        <v>2413</v>
      </c>
    </row>
    <row r="311" spans="1:45" x14ac:dyDescent="0.3">
      <c r="B311" s="18" t="s">
        <v>6406</v>
      </c>
      <c r="C311" s="49"/>
      <c r="D311" s="49"/>
      <c r="E311" s="49"/>
      <c r="F311" s="510" t="s">
        <v>2413</v>
      </c>
      <c r="G311" s="1536">
        <f>G76</f>
        <v>3.3027856402144384</v>
      </c>
      <c r="H311" s="1474"/>
      <c r="I311" s="49"/>
      <c r="J311" s="49"/>
      <c r="K311" s="1536">
        <f>K76</f>
        <v>3.3027856402144384</v>
      </c>
      <c r="L311" s="1474"/>
      <c r="M311" s="49"/>
      <c r="N311" s="49"/>
      <c r="O311" s="1536">
        <f>O76</f>
        <v>3.3027856402144384</v>
      </c>
      <c r="P311" s="1474"/>
      <c r="Q311" s="49"/>
      <c r="R311" s="49"/>
      <c r="S311" s="1536">
        <f>S76</f>
        <v>5.5486875988667448</v>
      </c>
      <c r="T311" s="1474"/>
      <c r="U311" s="49"/>
      <c r="V311" s="49"/>
      <c r="W311" s="1536">
        <f>W76</f>
        <v>5.5486875988667448</v>
      </c>
      <c r="X311" s="1474"/>
      <c r="Y311" s="49"/>
      <c r="Z311" s="49"/>
      <c r="AA311" s="1536">
        <f>AA76</f>
        <v>5.5486875988667448</v>
      </c>
      <c r="AB311" s="1474"/>
      <c r="AC311" s="49"/>
      <c r="AD311" s="49"/>
      <c r="AE311" s="1536">
        <f>AE76</f>
        <v>6.4220956046072102</v>
      </c>
      <c r="AF311" s="510" t="s">
        <v>2413</v>
      </c>
      <c r="AG311" s="1474"/>
      <c r="AH311" s="49"/>
      <c r="AI311" s="49"/>
      <c r="AJ311" s="1536">
        <f>AJ76</f>
        <v>6.4220956046072102</v>
      </c>
      <c r="AK311" s="1474"/>
      <c r="AL311" s="49"/>
      <c r="AM311" s="49"/>
      <c r="AN311" s="1536">
        <f>AN76</f>
        <v>6.4220956046072102</v>
      </c>
      <c r="AO311" s="1474"/>
      <c r="AP311" s="49"/>
      <c r="AQ311" s="49"/>
      <c r="AR311" s="1536">
        <f>AR76</f>
        <v>8.5248891893440497</v>
      </c>
      <c r="AS311" s="510" t="s">
        <v>2413</v>
      </c>
    </row>
    <row r="312" spans="1:45" x14ac:dyDescent="0.3">
      <c r="B312" s="95" t="s">
        <v>5637</v>
      </c>
      <c r="C312" s="118" t="s">
        <v>6419</v>
      </c>
      <c r="D312" s="49"/>
      <c r="E312" s="49"/>
      <c r="F312" s="1353" t="s">
        <v>2480</v>
      </c>
      <c r="G312" s="1391">
        <f>G153</f>
        <v>6000</v>
      </c>
      <c r="H312" s="1474"/>
      <c r="I312" s="49"/>
      <c r="J312" s="49"/>
      <c r="K312" s="1391">
        <f>K153</f>
        <v>6000</v>
      </c>
      <c r="L312" s="1474"/>
      <c r="M312" s="49"/>
      <c r="N312" s="49"/>
      <c r="O312" s="1391">
        <f>O153</f>
        <v>6000</v>
      </c>
      <c r="P312" s="1474"/>
      <c r="Q312" s="49"/>
      <c r="R312" s="49"/>
      <c r="S312" s="1391">
        <f>S153</f>
        <v>6000</v>
      </c>
      <c r="T312" s="1474"/>
      <c r="U312" s="49"/>
      <c r="V312" s="49"/>
      <c r="W312" s="1391">
        <f>W153</f>
        <v>6000</v>
      </c>
      <c r="X312" s="1474"/>
      <c r="Y312" s="49"/>
      <c r="Z312" s="49"/>
      <c r="AA312" s="1391">
        <f>AA153</f>
        <v>6000</v>
      </c>
      <c r="AB312" s="1474"/>
      <c r="AC312" s="49"/>
      <c r="AD312" s="49"/>
      <c r="AE312" s="1391">
        <f>AE153</f>
        <v>6000</v>
      </c>
      <c r="AF312" s="1353" t="s">
        <v>2480</v>
      </c>
      <c r="AG312" s="1474"/>
      <c r="AH312" s="49"/>
      <c r="AI312" s="49"/>
      <c r="AJ312" s="1391">
        <f>AJ153</f>
        <v>6000</v>
      </c>
      <c r="AK312" s="1474"/>
      <c r="AL312" s="49"/>
      <c r="AM312" s="49"/>
      <c r="AN312" s="1391">
        <f>AN153</f>
        <v>6000</v>
      </c>
      <c r="AO312" s="1474"/>
      <c r="AP312" s="49"/>
      <c r="AQ312" s="49"/>
      <c r="AR312" s="1391">
        <f>AR153</f>
        <v>6000</v>
      </c>
      <c r="AS312" s="1353" t="s">
        <v>2480</v>
      </c>
    </row>
    <row r="313" spans="1:45" x14ac:dyDescent="0.3">
      <c r="B313" s="95" t="s">
        <v>5638</v>
      </c>
      <c r="C313" s="49"/>
      <c r="D313" s="49"/>
      <c r="E313" s="49"/>
      <c r="F313" s="1353" t="s">
        <v>5664</v>
      </c>
      <c r="G313" s="1378">
        <f>G154</f>
        <v>250</v>
      </c>
      <c r="H313" s="1474"/>
      <c r="I313" s="49"/>
      <c r="J313" s="49"/>
      <c r="K313" s="1378">
        <f>K154</f>
        <v>250</v>
      </c>
      <c r="L313" s="1474"/>
      <c r="M313" s="49"/>
      <c r="N313" s="49"/>
      <c r="O313" s="1378">
        <f>O154</f>
        <v>250</v>
      </c>
      <c r="P313" s="1474"/>
      <c r="Q313" s="49"/>
      <c r="R313" s="49"/>
      <c r="S313" s="1378">
        <f>S154</f>
        <v>250</v>
      </c>
      <c r="T313" s="1474"/>
      <c r="U313" s="49"/>
      <c r="V313" s="49"/>
      <c r="W313" s="1378">
        <f>W154</f>
        <v>250</v>
      </c>
      <c r="X313" s="1474"/>
      <c r="Y313" s="49"/>
      <c r="Z313" s="49"/>
      <c r="AA313" s="1378">
        <f>AA154</f>
        <v>250</v>
      </c>
      <c r="AB313" s="1474"/>
      <c r="AC313" s="49"/>
      <c r="AD313" s="49"/>
      <c r="AE313" s="1378">
        <f>AE154</f>
        <v>250</v>
      </c>
      <c r="AF313" s="1353" t="s">
        <v>5664</v>
      </c>
      <c r="AG313" s="1474"/>
      <c r="AH313" s="49"/>
      <c r="AI313" s="49"/>
      <c r="AJ313" s="1378">
        <f>AJ154</f>
        <v>250</v>
      </c>
      <c r="AK313" s="1474"/>
      <c r="AL313" s="49"/>
      <c r="AM313" s="49"/>
      <c r="AN313" s="1378">
        <f>AN154</f>
        <v>250</v>
      </c>
      <c r="AO313" s="1474"/>
      <c r="AP313" s="49"/>
      <c r="AQ313" s="49"/>
      <c r="AR313" s="1378">
        <f>AR154</f>
        <v>250</v>
      </c>
      <c r="AS313" s="1353" t="s">
        <v>5664</v>
      </c>
    </row>
    <row r="314" spans="1:45" x14ac:dyDescent="0.3">
      <c r="B314" s="18" t="s">
        <v>5732</v>
      </c>
      <c r="C314" s="49"/>
      <c r="D314" s="49"/>
      <c r="E314" s="49"/>
      <c r="F314" s="510" t="s">
        <v>2008</v>
      </c>
      <c r="G314" s="1391" t="str">
        <f>UDV.crops.apply_method</f>
        <v>Injection</v>
      </c>
      <c r="H314" s="1474"/>
      <c r="I314" s="49"/>
      <c r="J314" s="49"/>
      <c r="K314" s="1391" t="str">
        <f>UDV.crops.apply_method</f>
        <v>Injection</v>
      </c>
      <c r="L314" s="1474"/>
      <c r="M314" s="49"/>
      <c r="N314" s="49"/>
      <c r="O314" s="1391" t="str">
        <f>UDV.crops.apply_method</f>
        <v>Injection</v>
      </c>
      <c r="P314" s="1474"/>
      <c r="Q314" s="49"/>
      <c r="R314" s="49"/>
      <c r="S314" s="1391" t="str">
        <f>UDV.crops.apply_method</f>
        <v>Injection</v>
      </c>
      <c r="T314" s="1474"/>
      <c r="U314" s="49"/>
      <c r="V314" s="49"/>
      <c r="W314" s="1391" t="str">
        <f>UDV.crops.apply_method</f>
        <v>Injection</v>
      </c>
      <c r="X314" s="1474"/>
      <c r="Y314" s="49"/>
      <c r="Z314" s="49"/>
      <c r="AA314" s="1391" t="str">
        <f>UDV.crops.apply_method</f>
        <v>Injection</v>
      </c>
      <c r="AB314" s="1474"/>
      <c r="AC314" s="49"/>
      <c r="AD314" s="49"/>
      <c r="AE314" s="1391" t="str">
        <f>UDV.crops.apply_method</f>
        <v>Injection</v>
      </c>
      <c r="AF314" s="510" t="s">
        <v>2008</v>
      </c>
      <c r="AG314" s="1474"/>
      <c r="AH314" s="49"/>
      <c r="AI314" s="49"/>
      <c r="AJ314" s="1391" t="str">
        <f>UDV.crops.apply_method</f>
        <v>Injection</v>
      </c>
      <c r="AK314" s="1474"/>
      <c r="AL314" s="49"/>
      <c r="AM314" s="49"/>
      <c r="AN314" s="1391" t="str">
        <f>UDV.crops.apply_method</f>
        <v>Injection</v>
      </c>
      <c r="AO314" s="1474"/>
      <c r="AP314" s="49"/>
      <c r="AQ314" s="49"/>
      <c r="AR314" s="1391" t="str">
        <f>UDV.crops.apply_method</f>
        <v>Injection</v>
      </c>
      <c r="AS314" s="510" t="s">
        <v>2008</v>
      </c>
    </row>
    <row r="315" spans="1:45" x14ac:dyDescent="0.3">
      <c r="B315" s="18" t="s">
        <v>5654</v>
      </c>
      <c r="C315" s="49"/>
      <c r="D315" s="49"/>
      <c r="E315" s="49"/>
      <c r="F315" s="1465" t="s">
        <v>5733</v>
      </c>
      <c r="G315" s="1377">
        <f>G167</f>
        <v>45.328667467848561</v>
      </c>
      <c r="H315" s="1474"/>
      <c r="I315" s="49"/>
      <c r="J315" s="49"/>
      <c r="K315" s="1377">
        <f>K167</f>
        <v>42.936571806698318</v>
      </c>
      <c r="L315" s="1474"/>
      <c r="M315" s="49"/>
      <c r="N315" s="49"/>
      <c r="O315" s="1377">
        <f>O167</f>
        <v>44.173161274947127</v>
      </c>
      <c r="P315" s="1474"/>
      <c r="Q315" s="49"/>
      <c r="R315" s="49"/>
      <c r="S315" s="1377">
        <f>S167</f>
        <v>45.327719728331026</v>
      </c>
      <c r="T315" s="1474"/>
      <c r="U315" s="49"/>
      <c r="V315" s="49"/>
      <c r="W315" s="1377">
        <f>W167</f>
        <v>41.951924462034526</v>
      </c>
      <c r="X315" s="1474"/>
      <c r="Y315" s="49"/>
      <c r="Z315" s="49"/>
      <c r="AA315" s="1377">
        <f>AA167</f>
        <v>45.327719728331026</v>
      </c>
      <c r="AB315" s="1474"/>
      <c r="AC315" s="49"/>
      <c r="AD315" s="49"/>
      <c r="AE315" s="1377">
        <f>AE167</f>
        <v>39.163128646210922</v>
      </c>
      <c r="AF315" s="1465" t="s">
        <v>5733</v>
      </c>
      <c r="AG315" s="1474"/>
      <c r="AH315" s="49"/>
      <c r="AI315" s="49"/>
      <c r="AJ315" s="1377">
        <f>AJ167</f>
        <v>37.732010171982616</v>
      </c>
      <c r="AK315" s="1474"/>
      <c r="AL315" s="49"/>
      <c r="AM315" s="49"/>
      <c r="AN315" s="1377">
        <f>AN167</f>
        <v>39.163128646210922</v>
      </c>
      <c r="AO315" s="1474"/>
      <c r="AP315" s="49"/>
      <c r="AQ315" s="49"/>
      <c r="AR315" s="1377">
        <f>AR167</f>
        <v>20.652063097678251</v>
      </c>
      <c r="AS315" s="1465" t="s">
        <v>5733</v>
      </c>
    </row>
    <row r="316" spans="1:45" x14ac:dyDescent="0.3">
      <c r="B316" s="18" t="s">
        <v>5660</v>
      </c>
      <c r="C316" s="49"/>
      <c r="D316" s="49"/>
      <c r="E316" s="49"/>
      <c r="F316" s="510" t="s">
        <v>2489</v>
      </c>
      <c r="G316" s="1377">
        <f>G173</f>
        <v>498.61534214633417</v>
      </c>
      <c r="H316" s="1474"/>
      <c r="I316" s="49"/>
      <c r="J316" s="49"/>
      <c r="K316" s="1377">
        <f>K173</f>
        <v>472.3022898736815</v>
      </c>
      <c r="L316" s="1474"/>
      <c r="M316" s="49"/>
      <c r="N316" s="49"/>
      <c r="O316" s="1377">
        <f>O173</f>
        <v>485.90477402441837</v>
      </c>
      <c r="P316" s="1474"/>
      <c r="Q316" s="49"/>
      <c r="R316" s="49"/>
      <c r="S316" s="1377">
        <f>S173</f>
        <v>498.60491701164131</v>
      </c>
      <c r="T316" s="1474"/>
      <c r="U316" s="49"/>
      <c r="V316" s="49"/>
      <c r="W316" s="1377">
        <f>W173</f>
        <v>461.47116908237979</v>
      </c>
      <c r="X316" s="1474"/>
      <c r="Y316" s="49"/>
      <c r="Z316" s="49"/>
      <c r="AA316" s="1377">
        <f>AA173</f>
        <v>498.60491701164131</v>
      </c>
      <c r="AB316" s="1474"/>
      <c r="AC316" s="49"/>
      <c r="AD316" s="49"/>
      <c r="AE316" s="1377">
        <f>AE173</f>
        <v>430.79441510832015</v>
      </c>
      <c r="AF316" s="510" t="s">
        <v>2489</v>
      </c>
      <c r="AG316" s="1474"/>
      <c r="AH316" s="49"/>
      <c r="AI316" s="49"/>
      <c r="AJ316" s="1377">
        <f>AJ173</f>
        <v>415.05211189180875</v>
      </c>
      <c r="AK316" s="1474"/>
      <c r="AL316" s="49"/>
      <c r="AM316" s="49"/>
      <c r="AN316" s="1377">
        <f>AN173</f>
        <v>430.79441510832015</v>
      </c>
      <c r="AO316" s="1474"/>
      <c r="AP316" s="49"/>
      <c r="AQ316" s="49"/>
      <c r="AR316" s="1377">
        <f>AR173</f>
        <v>227.17269407446076</v>
      </c>
      <c r="AS316" s="510" t="s">
        <v>2489</v>
      </c>
    </row>
    <row r="317" spans="1:45" x14ac:dyDescent="0.3">
      <c r="B317" s="91" t="s">
        <v>5734</v>
      </c>
      <c r="C317" s="49"/>
      <c r="D317" s="49"/>
      <c r="E317" s="49"/>
      <c r="F317" s="1353" t="s">
        <v>2442</v>
      </c>
      <c r="G317" s="1532">
        <f>G169</f>
        <v>1</v>
      </c>
      <c r="H317" s="1474"/>
      <c r="I317" s="49"/>
      <c r="J317" s="49"/>
      <c r="K317" s="1532">
        <f>K169</f>
        <v>1</v>
      </c>
      <c r="L317" s="1474"/>
      <c r="M317" s="49"/>
      <c r="N317" s="49"/>
      <c r="O317" s="1532">
        <f>O169</f>
        <v>1</v>
      </c>
      <c r="P317" s="1474"/>
      <c r="Q317" s="49"/>
      <c r="R317" s="49"/>
      <c r="S317" s="1532">
        <f>S169</f>
        <v>1</v>
      </c>
      <c r="T317" s="1474"/>
      <c r="U317" s="49"/>
      <c r="V317" s="49"/>
      <c r="W317" s="1532">
        <f>W169</f>
        <v>1</v>
      </c>
      <c r="X317" s="1474"/>
      <c r="Y317" s="49"/>
      <c r="Z317" s="49"/>
      <c r="AA317" s="1532">
        <f>AA169</f>
        <v>1</v>
      </c>
      <c r="AB317" s="1474"/>
      <c r="AC317" s="49"/>
      <c r="AD317" s="49"/>
      <c r="AE317" s="1532">
        <f>AE169</f>
        <v>1</v>
      </c>
      <c r="AF317" s="1353" t="s">
        <v>2442</v>
      </c>
      <c r="AG317" s="1474"/>
      <c r="AH317" s="49"/>
      <c r="AI317" s="49"/>
      <c r="AJ317" s="1532">
        <f>AJ169</f>
        <v>1</v>
      </c>
      <c r="AK317" s="1474"/>
      <c r="AL317" s="49"/>
      <c r="AM317" s="49"/>
      <c r="AN317" s="1532">
        <f>AN169</f>
        <v>1</v>
      </c>
      <c r="AO317" s="1474"/>
      <c r="AP317" s="49"/>
      <c r="AQ317" s="49"/>
      <c r="AR317" s="1532">
        <f>AR169</f>
        <v>1</v>
      </c>
      <c r="AS317" s="1353" t="s">
        <v>2442</v>
      </c>
    </row>
    <row r="318" spans="1:45" x14ac:dyDescent="0.3">
      <c r="B318" s="49" t="s">
        <v>5676</v>
      </c>
      <c r="C318" s="49"/>
      <c r="D318" s="49"/>
      <c r="E318" s="49"/>
      <c r="F318" s="510" t="s">
        <v>5664</v>
      </c>
      <c r="G318" s="1378">
        <f>G186</f>
        <v>160</v>
      </c>
      <c r="H318" s="1474"/>
      <c r="I318" s="49"/>
      <c r="J318" s="49"/>
      <c r="K318" s="1378">
        <f>K186</f>
        <v>160</v>
      </c>
      <c r="L318" s="1474"/>
      <c r="M318" s="49"/>
      <c r="N318" s="49"/>
      <c r="O318" s="1378">
        <f>O186</f>
        <v>160</v>
      </c>
      <c r="P318" s="1474"/>
      <c r="Q318" s="49"/>
      <c r="R318" s="49"/>
      <c r="S318" s="1378">
        <f>S186</f>
        <v>160</v>
      </c>
      <c r="T318" s="1474"/>
      <c r="U318" s="49"/>
      <c r="V318" s="49"/>
      <c r="W318" s="1378">
        <f>W186</f>
        <v>160</v>
      </c>
      <c r="X318" s="1474"/>
      <c r="Y318" s="49"/>
      <c r="Z318" s="49"/>
      <c r="AA318" s="1378">
        <f>AA186</f>
        <v>160</v>
      </c>
      <c r="AB318" s="1474"/>
      <c r="AC318" s="49"/>
      <c r="AD318" s="49"/>
      <c r="AE318" s="1378">
        <f>AE186</f>
        <v>160</v>
      </c>
      <c r="AF318" s="510" t="s">
        <v>5664</v>
      </c>
      <c r="AG318" s="1474"/>
      <c r="AH318" s="49"/>
      <c r="AI318" s="49"/>
      <c r="AJ318" s="1378">
        <f>AJ186</f>
        <v>160</v>
      </c>
      <c r="AK318" s="1474"/>
      <c r="AL318" s="49"/>
      <c r="AM318" s="49"/>
      <c r="AN318" s="1378">
        <f>AN186</f>
        <v>160</v>
      </c>
      <c r="AO318" s="1474"/>
      <c r="AP318" s="49"/>
      <c r="AQ318" s="49"/>
      <c r="AR318" s="1378">
        <f>AR186</f>
        <v>160</v>
      </c>
      <c r="AS318" s="510" t="s">
        <v>5664</v>
      </c>
    </row>
    <row r="319" spans="1:45" x14ac:dyDescent="0.3">
      <c r="B319" s="510" t="s">
        <v>5735</v>
      </c>
      <c r="C319" s="49"/>
      <c r="D319" s="49"/>
      <c r="E319" s="49"/>
      <c r="F319" s="510" t="s">
        <v>2442</v>
      </c>
      <c r="G319" s="1533">
        <f>G191</f>
        <v>1</v>
      </c>
      <c r="H319" s="1474"/>
      <c r="I319" s="49"/>
      <c r="J319" s="49"/>
      <c r="K319" s="1533">
        <f>K191</f>
        <v>1</v>
      </c>
      <c r="L319" s="1474"/>
      <c r="M319" s="49"/>
      <c r="N319" s="49"/>
      <c r="O319" s="1533">
        <f>O191</f>
        <v>1</v>
      </c>
      <c r="P319" s="1474"/>
      <c r="Q319" s="49"/>
      <c r="R319" s="49"/>
      <c r="S319" s="1533">
        <f>S191</f>
        <v>1</v>
      </c>
      <c r="T319" s="1474"/>
      <c r="U319" s="49"/>
      <c r="V319" s="49"/>
      <c r="W319" s="1533">
        <f>W191</f>
        <v>1</v>
      </c>
      <c r="X319" s="1474"/>
      <c r="Y319" s="49"/>
      <c r="Z319" s="49"/>
      <c r="AA319" s="1533">
        <f>AA191</f>
        <v>1</v>
      </c>
      <c r="AB319" s="1474"/>
      <c r="AC319" s="49"/>
      <c r="AD319" s="49"/>
      <c r="AE319" s="1533">
        <f>AE191</f>
        <v>1</v>
      </c>
      <c r="AF319" s="510" t="s">
        <v>2442</v>
      </c>
      <c r="AG319" s="1474"/>
      <c r="AH319" s="49"/>
      <c r="AI319" s="49"/>
      <c r="AJ319" s="1533">
        <f>AJ191</f>
        <v>1</v>
      </c>
      <c r="AK319" s="1474"/>
      <c r="AL319" s="49"/>
      <c r="AM319" s="49"/>
      <c r="AN319" s="1533">
        <f>AN191</f>
        <v>1</v>
      </c>
      <c r="AO319" s="1474"/>
      <c r="AP319" s="49"/>
      <c r="AQ319" s="49"/>
      <c r="AR319" s="1533">
        <f>AR191</f>
        <v>1</v>
      </c>
      <c r="AS319" s="510" t="s">
        <v>2442</v>
      </c>
    </row>
    <row r="320" spans="1:45" x14ac:dyDescent="0.3">
      <c r="B320" s="18" t="s">
        <v>5679</v>
      </c>
      <c r="C320" s="49"/>
      <c r="D320" s="49"/>
      <c r="E320" s="49"/>
      <c r="F320" s="510" t="s">
        <v>2472</v>
      </c>
      <c r="G320" s="1534">
        <f>G189</f>
        <v>56.660834334810701</v>
      </c>
      <c r="H320" s="1474"/>
      <c r="I320" s="49"/>
      <c r="J320" s="49"/>
      <c r="K320" s="1534">
        <f>K189</f>
        <v>53.670714758372903</v>
      </c>
      <c r="L320" s="1474"/>
      <c r="M320" s="49"/>
      <c r="N320" s="49"/>
      <c r="O320" s="1534">
        <f>O189</f>
        <v>55.216451593683907</v>
      </c>
      <c r="P320" s="1474"/>
      <c r="Q320" s="49"/>
      <c r="R320" s="49"/>
      <c r="S320" s="1534">
        <f>S189</f>
        <v>56.659649660413777</v>
      </c>
      <c r="T320" s="1474"/>
      <c r="U320" s="49"/>
      <c r="V320" s="49"/>
      <c r="W320" s="1534">
        <f>W189</f>
        <v>52.439905577543158</v>
      </c>
      <c r="X320" s="1474"/>
      <c r="Y320" s="49"/>
      <c r="Z320" s="49"/>
      <c r="AA320" s="1534">
        <f>AA189</f>
        <v>56.659649660413777</v>
      </c>
      <c r="AB320" s="1474"/>
      <c r="AC320" s="49"/>
      <c r="AD320" s="49"/>
      <c r="AE320" s="1534">
        <f>AE189</f>
        <v>48.953910807763656</v>
      </c>
      <c r="AF320" s="510" t="s">
        <v>2472</v>
      </c>
      <c r="AG320" s="1474"/>
      <c r="AH320" s="49"/>
      <c r="AI320" s="49"/>
      <c r="AJ320" s="1534">
        <f>AJ189</f>
        <v>47.165012714978275</v>
      </c>
      <c r="AK320" s="1474"/>
      <c r="AL320" s="49"/>
      <c r="AM320" s="49"/>
      <c r="AN320" s="1534">
        <f>AN189</f>
        <v>48.953910807763656</v>
      </c>
      <c r="AO320" s="1474"/>
      <c r="AP320" s="49"/>
      <c r="AQ320" s="49"/>
      <c r="AR320" s="1534">
        <f>AR189</f>
        <v>25.815078872097814</v>
      </c>
      <c r="AS320" s="510" t="s">
        <v>2472</v>
      </c>
    </row>
    <row r="321" spans="2:45" x14ac:dyDescent="0.3">
      <c r="B321" s="18" t="s">
        <v>5682</v>
      </c>
      <c r="C321" s="49"/>
      <c r="D321" s="49"/>
      <c r="E321" s="49"/>
      <c r="F321" s="510" t="s">
        <v>2489</v>
      </c>
      <c r="G321" s="1534">
        <f>G192</f>
        <v>398.89227371706727</v>
      </c>
      <c r="H321" s="1474"/>
      <c r="I321" s="49"/>
      <c r="J321" s="49"/>
      <c r="K321" s="1534">
        <f>K192</f>
        <v>377.8418318989452</v>
      </c>
      <c r="L321" s="1474"/>
      <c r="M321" s="49"/>
      <c r="N321" s="49"/>
      <c r="O321" s="1534">
        <f>O192</f>
        <v>388.72381921953468</v>
      </c>
      <c r="P321" s="1474"/>
      <c r="Q321" s="49"/>
      <c r="R321" s="49"/>
      <c r="S321" s="1534">
        <f>S192</f>
        <v>398.88393360931292</v>
      </c>
      <c r="T321" s="1474"/>
      <c r="U321" s="49"/>
      <c r="V321" s="49"/>
      <c r="W321" s="1534">
        <f>W192</f>
        <v>369.17693526590381</v>
      </c>
      <c r="X321" s="1474"/>
      <c r="Y321" s="49"/>
      <c r="Z321" s="49"/>
      <c r="AA321" s="1534">
        <f>AA192</f>
        <v>398.88393360931292</v>
      </c>
      <c r="AB321" s="1474"/>
      <c r="AC321" s="49"/>
      <c r="AD321" s="49"/>
      <c r="AE321" s="1534">
        <f>AE192</f>
        <v>344.6355320866561</v>
      </c>
      <c r="AF321" s="510" t="s">
        <v>2489</v>
      </c>
      <c r="AG321" s="1474"/>
      <c r="AH321" s="49"/>
      <c r="AI321" s="49"/>
      <c r="AJ321" s="1534">
        <f>AJ192</f>
        <v>332.04168951344701</v>
      </c>
      <c r="AK321" s="1474"/>
      <c r="AL321" s="49"/>
      <c r="AM321" s="49"/>
      <c r="AN321" s="1534">
        <f>AN192</f>
        <v>344.6355320866561</v>
      </c>
      <c r="AO321" s="1474"/>
      <c r="AP321" s="49"/>
      <c r="AQ321" s="49"/>
      <c r="AR321" s="1534">
        <f>AR192</f>
        <v>181.7381552595686</v>
      </c>
      <c r="AS321" s="510" t="s">
        <v>2489</v>
      </c>
    </row>
    <row r="322" spans="2:45" x14ac:dyDescent="0.3">
      <c r="B322" s="510" t="s">
        <v>5736</v>
      </c>
      <c r="C322" s="49"/>
      <c r="D322" s="49"/>
      <c r="E322" s="49"/>
      <c r="F322" s="510" t="s">
        <v>2442</v>
      </c>
      <c r="G322" s="1533">
        <f>G181</f>
        <v>1</v>
      </c>
      <c r="H322" s="1474"/>
      <c r="I322" s="49"/>
      <c r="J322" s="49"/>
      <c r="K322" s="1533">
        <f>K181</f>
        <v>1</v>
      </c>
      <c r="L322" s="1474"/>
      <c r="M322" s="49"/>
      <c r="N322" s="49"/>
      <c r="O322" s="1533">
        <f>O181</f>
        <v>1</v>
      </c>
      <c r="P322" s="1474"/>
      <c r="Q322" s="49"/>
      <c r="R322" s="49"/>
      <c r="S322" s="1533">
        <f>S181</f>
        <v>1</v>
      </c>
      <c r="T322" s="1474"/>
      <c r="U322" s="49"/>
      <c r="V322" s="49"/>
      <c r="W322" s="1533">
        <f>W181</f>
        <v>1</v>
      </c>
      <c r="X322" s="1474"/>
      <c r="Y322" s="49"/>
      <c r="Z322" s="49"/>
      <c r="AA322" s="1533">
        <f>AA181</f>
        <v>1</v>
      </c>
      <c r="AB322" s="1474"/>
      <c r="AC322" s="49"/>
      <c r="AD322" s="49"/>
      <c r="AE322" s="1533">
        <f>AE181</f>
        <v>1</v>
      </c>
      <c r="AF322" s="510" t="s">
        <v>2442</v>
      </c>
      <c r="AG322" s="1474"/>
      <c r="AH322" s="49"/>
      <c r="AI322" s="49"/>
      <c r="AJ322" s="1533">
        <f>AJ181</f>
        <v>1</v>
      </c>
      <c r="AK322" s="1474"/>
      <c r="AL322" s="49"/>
      <c r="AM322" s="49"/>
      <c r="AN322" s="1533">
        <f>AN181</f>
        <v>1</v>
      </c>
      <c r="AO322" s="1474"/>
      <c r="AP322" s="49"/>
      <c r="AQ322" s="49"/>
      <c r="AR322" s="1533">
        <f>AR181</f>
        <v>1</v>
      </c>
      <c r="AS322" s="510" t="s">
        <v>2442</v>
      </c>
    </row>
    <row r="323" spans="2:45" x14ac:dyDescent="0.3">
      <c r="B323" s="49" t="s">
        <v>5663</v>
      </c>
      <c r="C323" s="49"/>
      <c r="D323" s="49"/>
      <c r="E323" s="49"/>
      <c r="F323" s="510" t="s">
        <v>5664</v>
      </c>
      <c r="G323" s="1378">
        <f>G176</f>
        <v>180</v>
      </c>
      <c r="H323" s="1474"/>
      <c r="I323" s="49"/>
      <c r="J323" s="49"/>
      <c r="K323" s="1378">
        <f>K176</f>
        <v>180</v>
      </c>
      <c r="L323" s="1474"/>
      <c r="M323" s="49"/>
      <c r="N323" s="49"/>
      <c r="O323" s="1378">
        <f>O176</f>
        <v>180</v>
      </c>
      <c r="P323" s="1474"/>
      <c r="Q323" s="49"/>
      <c r="R323" s="49"/>
      <c r="S323" s="1378">
        <f>S176</f>
        <v>180</v>
      </c>
      <c r="T323" s="1474"/>
      <c r="U323" s="49"/>
      <c r="V323" s="49"/>
      <c r="W323" s="1378">
        <f>W176</f>
        <v>180</v>
      </c>
      <c r="X323" s="1474"/>
      <c r="Y323" s="49"/>
      <c r="Z323" s="49"/>
      <c r="AA323" s="1378">
        <f>AA176</f>
        <v>180</v>
      </c>
      <c r="AB323" s="1474"/>
      <c r="AC323" s="49"/>
      <c r="AD323" s="49"/>
      <c r="AE323" s="1378">
        <f>AE176</f>
        <v>180</v>
      </c>
      <c r="AF323" s="510" t="s">
        <v>5664</v>
      </c>
      <c r="AG323" s="1474"/>
      <c r="AH323" s="49"/>
      <c r="AI323" s="49"/>
      <c r="AJ323" s="1378">
        <f>AJ176</f>
        <v>180</v>
      </c>
      <c r="AK323" s="1474"/>
      <c r="AL323" s="49"/>
      <c r="AM323" s="49"/>
      <c r="AN323" s="1378">
        <f>AN176</f>
        <v>180</v>
      </c>
      <c r="AO323" s="1474"/>
      <c r="AP323" s="49"/>
      <c r="AQ323" s="49"/>
      <c r="AR323" s="1378">
        <f>AR176</f>
        <v>180</v>
      </c>
      <c r="AS323" s="510" t="s">
        <v>5664</v>
      </c>
    </row>
    <row r="324" spans="2:45" x14ac:dyDescent="0.3">
      <c r="B324" s="18" t="s">
        <v>5667</v>
      </c>
      <c r="C324" s="49"/>
      <c r="D324" s="49"/>
      <c r="E324" s="49"/>
      <c r="F324" s="510" t="s">
        <v>2462</v>
      </c>
      <c r="G324" s="1534">
        <f>G179</f>
        <v>5.9303521140650117</v>
      </c>
      <c r="H324" s="1474"/>
      <c r="I324" s="49"/>
      <c r="J324" s="49"/>
      <c r="K324" s="1534">
        <f>K179</f>
        <v>5.6173941041872641</v>
      </c>
      <c r="L324" s="1474"/>
      <c r="M324" s="49"/>
      <c r="N324" s="49"/>
      <c r="O324" s="1534">
        <f>O179</f>
        <v>5.7791771738630144</v>
      </c>
      <c r="P324" s="1474"/>
      <c r="Q324" s="49"/>
      <c r="R324" s="49"/>
      <c r="S324" s="1534">
        <f>S179</f>
        <v>5.9302281212506323</v>
      </c>
      <c r="T324" s="1474"/>
      <c r="U324" s="49"/>
      <c r="V324" s="49"/>
      <c r="W324" s="1534">
        <f>W179</f>
        <v>5.4885726367091552</v>
      </c>
      <c r="X324" s="1474"/>
      <c r="Y324" s="49"/>
      <c r="Z324" s="49"/>
      <c r="AA324" s="1534">
        <f>AA179</f>
        <v>5.9302281212506323</v>
      </c>
      <c r="AB324" s="1474"/>
      <c r="AC324" s="49"/>
      <c r="AD324" s="49"/>
      <c r="AE324" s="1534">
        <f>AE179</f>
        <v>5.1237143232854079</v>
      </c>
      <c r="AF324" s="510" t="s">
        <v>2462</v>
      </c>
      <c r="AG324" s="1474"/>
      <c r="AH324" s="49"/>
      <c r="AI324" s="49"/>
      <c r="AJ324" s="1534">
        <f>AJ179</f>
        <v>4.936481012817211</v>
      </c>
      <c r="AK324" s="1474"/>
      <c r="AL324" s="49"/>
      <c r="AM324" s="49"/>
      <c r="AN324" s="1534">
        <f>AN179</f>
        <v>5.1237143232854079</v>
      </c>
      <c r="AO324" s="1474"/>
      <c r="AP324" s="49"/>
      <c r="AQ324" s="49"/>
      <c r="AR324" s="1534">
        <f>AR179</f>
        <v>2.7019105765240186</v>
      </c>
      <c r="AS324" s="510" t="s">
        <v>2462</v>
      </c>
    </row>
    <row r="325" spans="2:45" x14ac:dyDescent="0.3">
      <c r="B325" s="18" t="s">
        <v>5672</v>
      </c>
      <c r="C325" s="49"/>
      <c r="D325" s="49"/>
      <c r="E325" s="49"/>
      <c r="F325" s="510" t="s">
        <v>2489</v>
      </c>
      <c r="G325" s="1534">
        <f>G183</f>
        <v>46.96838874339489</v>
      </c>
      <c r="H325" s="1474"/>
      <c r="I325" s="49"/>
      <c r="J325" s="49"/>
      <c r="K325" s="1534">
        <f>K183</f>
        <v>44.489761305163128</v>
      </c>
      <c r="L325" s="1474"/>
      <c r="M325" s="49"/>
      <c r="N325" s="49"/>
      <c r="O325" s="1534">
        <f>O183</f>
        <v>45.771083216995073</v>
      </c>
      <c r="P325" s="1474"/>
      <c r="Q325" s="49"/>
      <c r="R325" s="49"/>
      <c r="S325" s="1534">
        <f>S183</f>
        <v>46.967406720305007</v>
      </c>
      <c r="T325" s="1474"/>
      <c r="U325" s="49"/>
      <c r="V325" s="49"/>
      <c r="W325" s="1534">
        <f>W183</f>
        <v>43.46949528273651</v>
      </c>
      <c r="X325" s="1474"/>
      <c r="Y325" s="49"/>
      <c r="Z325" s="49"/>
      <c r="AA325" s="1534">
        <f>AA183</f>
        <v>46.967406720305007</v>
      </c>
      <c r="AB325" s="1474"/>
      <c r="AC325" s="49"/>
      <c r="AD325" s="49"/>
      <c r="AE325" s="1534">
        <f>AE183</f>
        <v>40.579817440420427</v>
      </c>
      <c r="AF325" s="510" t="s">
        <v>2489</v>
      </c>
      <c r="AG325" s="1474"/>
      <c r="AH325" s="49"/>
      <c r="AI325" s="49"/>
      <c r="AJ325" s="1534">
        <f>AJ183</f>
        <v>39.096929621512309</v>
      </c>
      <c r="AK325" s="1474"/>
      <c r="AL325" s="49"/>
      <c r="AM325" s="49"/>
      <c r="AN325" s="1534">
        <f>AN183</f>
        <v>40.579817440420427</v>
      </c>
      <c r="AO325" s="1474"/>
      <c r="AP325" s="49"/>
      <c r="AQ325" s="49"/>
      <c r="AR325" s="1534">
        <f>AR183</f>
        <v>21.399131766070226</v>
      </c>
      <c r="AS325" s="510" t="s">
        <v>2489</v>
      </c>
    </row>
    <row r="326" spans="2:45" ht="15.6" x14ac:dyDescent="0.3">
      <c r="B326" s="49" t="s">
        <v>6420</v>
      </c>
      <c r="C326" s="118" t="s">
        <v>6421</v>
      </c>
      <c r="D326" s="49"/>
      <c r="E326" s="49"/>
      <c r="F326" s="1531" t="s">
        <v>5664</v>
      </c>
      <c r="G326" s="1391">
        <f>G197</f>
        <v>580</v>
      </c>
      <c r="H326" s="1474"/>
      <c r="I326" s="49"/>
      <c r="J326" s="49"/>
      <c r="K326" s="1391">
        <f>K197</f>
        <v>580</v>
      </c>
      <c r="L326" s="1474"/>
      <c r="M326" s="49"/>
      <c r="N326" s="49"/>
      <c r="O326" s="1391">
        <f>O197</f>
        <v>580</v>
      </c>
      <c r="P326" s="1474"/>
      <c r="Q326" s="49"/>
      <c r="R326" s="49"/>
      <c r="S326" s="1391">
        <f>S197</f>
        <v>580</v>
      </c>
      <c r="T326" s="1474"/>
      <c r="U326" s="49"/>
      <c r="V326" s="49"/>
      <c r="W326" s="1391">
        <f>W197</f>
        <v>580</v>
      </c>
      <c r="X326" s="1474"/>
      <c r="Y326" s="49"/>
      <c r="Z326" s="49"/>
      <c r="AA326" s="1391">
        <f>AA197</f>
        <v>580</v>
      </c>
      <c r="AB326" s="1474"/>
      <c r="AC326" s="49"/>
      <c r="AD326" s="49"/>
      <c r="AE326" s="1391">
        <f>AE197</f>
        <v>580</v>
      </c>
      <c r="AF326" s="1531" t="s">
        <v>5664</v>
      </c>
      <c r="AG326" s="1474"/>
      <c r="AH326" s="49"/>
      <c r="AI326" s="49"/>
      <c r="AJ326" s="1391">
        <f>AJ197</f>
        <v>580</v>
      </c>
      <c r="AK326" s="1474"/>
      <c r="AL326" s="49"/>
      <c r="AM326" s="49"/>
      <c r="AN326" s="1391">
        <f>AN197</f>
        <v>580</v>
      </c>
      <c r="AO326" s="1474"/>
      <c r="AP326" s="49"/>
      <c r="AQ326" s="49"/>
      <c r="AR326" s="1391">
        <f>AR197</f>
        <v>580</v>
      </c>
      <c r="AS326" s="1531" t="s">
        <v>5664</v>
      </c>
    </row>
    <row r="327" spans="2:45" x14ac:dyDescent="0.3">
      <c r="B327" s="510" t="s">
        <v>5738</v>
      </c>
      <c r="C327" s="49"/>
      <c r="D327" s="49"/>
      <c r="E327" s="49"/>
      <c r="F327" s="1353" t="s">
        <v>2442</v>
      </c>
      <c r="G327" s="1532">
        <f>G207</f>
        <v>1</v>
      </c>
      <c r="H327" s="1474"/>
      <c r="I327" s="49"/>
      <c r="J327" s="49"/>
      <c r="K327" s="1532">
        <f>K207</f>
        <v>1</v>
      </c>
      <c r="L327" s="1474"/>
      <c r="M327" s="49"/>
      <c r="N327" s="49"/>
      <c r="O327" s="1532">
        <f>O207</f>
        <v>1</v>
      </c>
      <c r="P327" s="1474"/>
      <c r="Q327" s="49"/>
      <c r="R327" s="49"/>
      <c r="S327" s="1532">
        <f>S207</f>
        <v>1</v>
      </c>
      <c r="T327" s="1474"/>
      <c r="U327" s="49"/>
      <c r="V327" s="49"/>
      <c r="W327" s="1532">
        <f>W207</f>
        <v>1</v>
      </c>
      <c r="X327" s="1474"/>
      <c r="Y327" s="49"/>
      <c r="Z327" s="49"/>
      <c r="AA327" s="1532">
        <f>AA207</f>
        <v>1</v>
      </c>
      <c r="AB327" s="1474"/>
      <c r="AC327" s="49"/>
      <c r="AD327" s="49"/>
      <c r="AE327" s="1532">
        <f>AE207</f>
        <v>1</v>
      </c>
      <c r="AF327" s="1353" t="s">
        <v>2442</v>
      </c>
      <c r="AG327" s="1474"/>
      <c r="AH327" s="49"/>
      <c r="AI327" s="49"/>
      <c r="AJ327" s="1532">
        <f>AJ207</f>
        <v>1</v>
      </c>
      <c r="AK327" s="1474"/>
      <c r="AL327" s="49"/>
      <c r="AM327" s="49"/>
      <c r="AN327" s="1532">
        <f>AN207</f>
        <v>1</v>
      </c>
      <c r="AO327" s="1474"/>
      <c r="AP327" s="49"/>
      <c r="AQ327" s="49"/>
      <c r="AR327" s="1532">
        <f>AR207</f>
        <v>1</v>
      </c>
      <c r="AS327" s="1353" t="s">
        <v>2442</v>
      </c>
    </row>
    <row r="328" spans="2:45" x14ac:dyDescent="0.3">
      <c r="B328" s="49" t="s">
        <v>5701</v>
      </c>
      <c r="C328" s="49"/>
      <c r="D328" s="49"/>
      <c r="E328" s="49"/>
      <c r="F328" s="1353" t="s">
        <v>5664</v>
      </c>
      <c r="G328" s="1423">
        <f>G208</f>
        <v>340</v>
      </c>
      <c r="H328" s="1474"/>
      <c r="I328" s="49"/>
      <c r="J328" s="49"/>
      <c r="K328" s="1423">
        <f>K208</f>
        <v>340</v>
      </c>
      <c r="L328" s="1474"/>
      <c r="M328" s="49"/>
      <c r="N328" s="49"/>
      <c r="O328" s="1423">
        <f>O208</f>
        <v>340</v>
      </c>
      <c r="P328" s="1474"/>
      <c r="Q328" s="49"/>
      <c r="R328" s="49"/>
      <c r="S328" s="1423">
        <f>S208</f>
        <v>340</v>
      </c>
      <c r="T328" s="1474"/>
      <c r="U328" s="49"/>
      <c r="V328" s="49"/>
      <c r="W328" s="1423">
        <f>W208</f>
        <v>340</v>
      </c>
      <c r="X328" s="1474"/>
      <c r="Y328" s="49"/>
      <c r="Z328" s="49"/>
      <c r="AA328" s="1423">
        <f>AA208</f>
        <v>340</v>
      </c>
      <c r="AB328" s="1474"/>
      <c r="AC328" s="49"/>
      <c r="AD328" s="49"/>
      <c r="AE328" s="1423">
        <f>AE208</f>
        <v>340</v>
      </c>
      <c r="AF328" s="1353" t="s">
        <v>5664</v>
      </c>
      <c r="AG328" s="1474"/>
      <c r="AH328" s="49"/>
      <c r="AI328" s="49"/>
      <c r="AJ328" s="1423">
        <f>AJ208</f>
        <v>340</v>
      </c>
      <c r="AK328" s="1474"/>
      <c r="AL328" s="49"/>
      <c r="AM328" s="49"/>
      <c r="AN328" s="1423">
        <f>AN208</f>
        <v>340</v>
      </c>
      <c r="AO328" s="1474"/>
      <c r="AP328" s="49"/>
      <c r="AQ328" s="49"/>
      <c r="AR328" s="1423">
        <f>AR208</f>
        <v>340</v>
      </c>
      <c r="AS328" s="1353" t="s">
        <v>5664</v>
      </c>
    </row>
    <row r="329" spans="2:45" x14ac:dyDescent="0.3">
      <c r="B329" s="95" t="s">
        <v>5739</v>
      </c>
      <c r="C329" s="49"/>
      <c r="D329" s="49"/>
      <c r="E329" s="49"/>
      <c r="F329" s="1353" t="s">
        <v>2342</v>
      </c>
      <c r="G329" s="1391">
        <f>G150</f>
        <v>2</v>
      </c>
      <c r="H329" s="1474"/>
      <c r="I329" s="49"/>
      <c r="J329" s="49"/>
      <c r="K329" s="1391">
        <f>K150</f>
        <v>2</v>
      </c>
      <c r="L329" s="1474"/>
      <c r="M329" s="49"/>
      <c r="N329" s="49"/>
      <c r="O329" s="1391">
        <f>O150</f>
        <v>2</v>
      </c>
      <c r="P329" s="1474"/>
      <c r="Q329" s="49"/>
      <c r="R329" s="49"/>
      <c r="S329" s="1391">
        <f>S150</f>
        <v>2</v>
      </c>
      <c r="T329" s="1474"/>
      <c r="U329" s="49"/>
      <c r="V329" s="49"/>
      <c r="W329" s="1391">
        <f>W150</f>
        <v>2</v>
      </c>
      <c r="X329" s="1474"/>
      <c r="Y329" s="49"/>
      <c r="Z329" s="49"/>
      <c r="AA329" s="1391">
        <f>AA150</f>
        <v>2</v>
      </c>
      <c r="AB329" s="1474"/>
      <c r="AC329" s="49"/>
      <c r="AD329" s="49"/>
      <c r="AE329" s="1391">
        <f>AE150</f>
        <v>2</v>
      </c>
      <c r="AF329" s="1353" t="s">
        <v>2342</v>
      </c>
      <c r="AG329" s="1474"/>
      <c r="AH329" s="49"/>
      <c r="AI329" s="49"/>
      <c r="AJ329" s="1391">
        <f>AJ150</f>
        <v>2</v>
      </c>
      <c r="AK329" s="1474"/>
      <c r="AL329" s="49"/>
      <c r="AM329" s="49"/>
      <c r="AN329" s="1391">
        <f>AN150</f>
        <v>2</v>
      </c>
      <c r="AO329" s="1474"/>
      <c r="AP329" s="49"/>
      <c r="AQ329" s="49"/>
      <c r="AR329" s="1391">
        <f>AR150</f>
        <v>2</v>
      </c>
      <c r="AS329" s="1353" t="s">
        <v>2342</v>
      </c>
    </row>
    <row r="330" spans="2:45" x14ac:dyDescent="0.3">
      <c r="B330" s="18" t="s">
        <v>5732</v>
      </c>
      <c r="C330" s="49"/>
      <c r="D330" s="49"/>
      <c r="E330" s="49"/>
      <c r="F330" s="1353" t="s">
        <v>2008</v>
      </c>
      <c r="G330" s="1391" t="str">
        <f>UDV.crops.apply_method</f>
        <v>Injection</v>
      </c>
      <c r="H330" s="1474"/>
      <c r="I330" s="49"/>
      <c r="J330" s="49"/>
      <c r="K330" s="1391" t="str">
        <f>UDV.crops.apply_method</f>
        <v>Injection</v>
      </c>
      <c r="L330" s="1474"/>
      <c r="M330" s="49"/>
      <c r="N330" s="49"/>
      <c r="O330" s="1391" t="str">
        <f>UDV.crops.apply_method</f>
        <v>Injection</v>
      </c>
      <c r="P330" s="1474"/>
      <c r="Q330" s="49"/>
      <c r="R330" s="49"/>
      <c r="S330" s="1391" t="str">
        <f>UDV.crops.apply_method</f>
        <v>Injection</v>
      </c>
      <c r="T330" s="1474"/>
      <c r="U330" s="49"/>
      <c r="V330" s="49"/>
      <c r="W330" s="1391" t="str">
        <f>UDV.crops.apply_method</f>
        <v>Injection</v>
      </c>
      <c r="X330" s="1474"/>
      <c r="Y330" s="49"/>
      <c r="Z330" s="49"/>
      <c r="AA330" s="1391" t="str">
        <f>UDV.crops.apply_method</f>
        <v>Injection</v>
      </c>
      <c r="AB330" s="1474"/>
      <c r="AC330" s="49"/>
      <c r="AD330" s="49"/>
      <c r="AE330" s="1391" t="str">
        <f>UDV.crops.apply_method</f>
        <v>Injection</v>
      </c>
      <c r="AF330" s="1353" t="s">
        <v>2008</v>
      </c>
      <c r="AG330" s="1474"/>
      <c r="AH330" s="49"/>
      <c r="AI330" s="49"/>
      <c r="AJ330" s="1391" t="str">
        <f>UDV.crops.apply_method</f>
        <v>Injection</v>
      </c>
      <c r="AK330" s="1474"/>
      <c r="AL330" s="49"/>
      <c r="AM330" s="49"/>
      <c r="AN330" s="1391" t="str">
        <f>UDV.crops.apply_method</f>
        <v>Injection</v>
      </c>
      <c r="AO330" s="1474"/>
      <c r="AP330" s="49"/>
      <c r="AQ330" s="49"/>
      <c r="AR330" s="1391" t="str">
        <f>UDV.crops.apply_method</f>
        <v>Injection</v>
      </c>
      <c r="AS330" s="1353" t="s">
        <v>2008</v>
      </c>
    </row>
    <row r="331" spans="2:45" x14ac:dyDescent="0.3">
      <c r="B331" s="18" t="s">
        <v>5740</v>
      </c>
      <c r="C331" s="49"/>
      <c r="D331" s="49"/>
      <c r="E331" s="49"/>
      <c r="F331" s="1353" t="s">
        <v>2510</v>
      </c>
      <c r="G331" s="1533">
        <f>G210</f>
        <v>25.52</v>
      </c>
      <c r="H331" s="1474"/>
      <c r="I331" s="49"/>
      <c r="J331" s="49"/>
      <c r="K331" s="1533">
        <f>K210</f>
        <v>25.52</v>
      </c>
      <c r="L331" s="1474"/>
      <c r="M331" s="49"/>
      <c r="N331" s="49"/>
      <c r="O331" s="1533">
        <f>O210</f>
        <v>25.52</v>
      </c>
      <c r="P331" s="1474"/>
      <c r="Q331" s="49"/>
      <c r="R331" s="49"/>
      <c r="S331" s="1533">
        <f>S210</f>
        <v>25.52</v>
      </c>
      <c r="T331" s="1474"/>
      <c r="U331" s="49"/>
      <c r="V331" s="49"/>
      <c r="W331" s="1533">
        <f>W210</f>
        <v>25.52</v>
      </c>
      <c r="X331" s="1474"/>
      <c r="Y331" s="49"/>
      <c r="Z331" s="49"/>
      <c r="AA331" s="1533">
        <f>AA210</f>
        <v>25.52</v>
      </c>
      <c r="AB331" s="1474"/>
      <c r="AC331" s="49"/>
      <c r="AD331" s="49"/>
      <c r="AE331" s="1533">
        <f>AE210</f>
        <v>25.52</v>
      </c>
      <c r="AF331" s="1353"/>
      <c r="AG331" s="1474"/>
      <c r="AH331" s="49"/>
      <c r="AI331" s="49"/>
      <c r="AJ331" s="1533">
        <f>AJ210</f>
        <v>25.52</v>
      </c>
      <c r="AK331" s="1474"/>
      <c r="AL331" s="49"/>
      <c r="AM331" s="49"/>
      <c r="AN331" s="1533">
        <f>AN210</f>
        <v>25.52</v>
      </c>
      <c r="AO331" s="1474"/>
      <c r="AP331" s="49"/>
      <c r="AQ331" s="49"/>
      <c r="AR331" s="1533">
        <f>AR210</f>
        <v>25.52</v>
      </c>
      <c r="AS331" s="1353"/>
    </row>
    <row r="332" spans="2:45" x14ac:dyDescent="0.3">
      <c r="B332" s="49" t="s">
        <v>5741</v>
      </c>
      <c r="C332" s="49"/>
      <c r="D332" s="49"/>
      <c r="E332" s="49"/>
      <c r="F332" s="510" t="s">
        <v>2510</v>
      </c>
      <c r="G332" s="1533">
        <f>G211</f>
        <v>14.959999999999999</v>
      </c>
      <c r="H332" s="1474"/>
      <c r="I332" s="49"/>
      <c r="J332" s="49"/>
      <c r="K332" s="1533">
        <f>K211</f>
        <v>14.959999999999999</v>
      </c>
      <c r="L332" s="1474"/>
      <c r="M332" s="49"/>
      <c r="N332" s="49"/>
      <c r="O332" s="1533">
        <f>O211</f>
        <v>14.959999999999999</v>
      </c>
      <c r="P332" s="1474"/>
      <c r="Q332" s="49"/>
      <c r="R332" s="49"/>
      <c r="S332" s="1533">
        <f>S211</f>
        <v>14.959999999999999</v>
      </c>
      <c r="T332" s="1474"/>
      <c r="U332" s="49"/>
      <c r="V332" s="49"/>
      <c r="W332" s="1533">
        <f>W211</f>
        <v>14.959999999999999</v>
      </c>
      <c r="X332" s="1474"/>
      <c r="Y332" s="49"/>
      <c r="Z332" s="49"/>
      <c r="AA332" s="1533">
        <f>AA211</f>
        <v>14.959999999999999</v>
      </c>
      <c r="AB332" s="1474"/>
      <c r="AC332" s="49"/>
      <c r="AD332" s="49"/>
      <c r="AE332" s="1533">
        <f>AE211</f>
        <v>14.959999999999999</v>
      </c>
      <c r="AF332" s="510" t="s">
        <v>2510</v>
      </c>
      <c r="AG332" s="1474"/>
      <c r="AH332" s="49"/>
      <c r="AI332" s="49"/>
      <c r="AJ332" s="1533">
        <f>AJ211</f>
        <v>14.959999999999999</v>
      </c>
      <c r="AK332" s="1474"/>
      <c r="AL332" s="49"/>
      <c r="AM332" s="49"/>
      <c r="AN332" s="1533">
        <f>AN211</f>
        <v>14.959999999999999</v>
      </c>
      <c r="AO332" s="1474"/>
      <c r="AP332" s="49"/>
      <c r="AQ332" s="49"/>
      <c r="AR332" s="1533">
        <f>AR211</f>
        <v>14.959999999999999</v>
      </c>
      <c r="AS332" s="510" t="s">
        <v>2510</v>
      </c>
    </row>
    <row r="333" spans="2:45" x14ac:dyDescent="0.3">
      <c r="B333" s="18" t="s">
        <v>5708</v>
      </c>
      <c r="C333" s="49"/>
      <c r="D333" s="49"/>
      <c r="E333" s="49"/>
      <c r="F333" s="510" t="s">
        <v>2516</v>
      </c>
      <c r="G333" s="1533">
        <f>G215</f>
        <v>3000</v>
      </c>
      <c r="H333" s="1474"/>
      <c r="I333" s="49"/>
      <c r="J333" s="49"/>
      <c r="K333" s="1533">
        <f>K215</f>
        <v>3000</v>
      </c>
      <c r="L333" s="1474"/>
      <c r="M333" s="49"/>
      <c r="N333" s="49"/>
      <c r="O333" s="1533">
        <f>O215</f>
        <v>3000</v>
      </c>
      <c r="P333" s="1474"/>
      <c r="Q333" s="49"/>
      <c r="R333" s="49"/>
      <c r="S333" s="1533">
        <f>S215</f>
        <v>3000</v>
      </c>
      <c r="T333" s="1474"/>
      <c r="U333" s="49"/>
      <c r="V333" s="49"/>
      <c r="W333" s="1533">
        <f>W215</f>
        <v>3000</v>
      </c>
      <c r="X333" s="1474"/>
      <c r="Y333" s="49"/>
      <c r="Z333" s="49"/>
      <c r="AA333" s="1533">
        <f>AA215</f>
        <v>3000</v>
      </c>
      <c r="AB333" s="1474"/>
      <c r="AC333" s="49"/>
      <c r="AD333" s="49"/>
      <c r="AE333" s="1533">
        <f>AE215</f>
        <v>3000</v>
      </c>
      <c r="AF333" s="510" t="s">
        <v>2516</v>
      </c>
      <c r="AG333" s="1474"/>
      <c r="AH333" s="49"/>
      <c r="AI333" s="49"/>
      <c r="AJ333" s="1533">
        <f>AJ215</f>
        <v>3000</v>
      </c>
      <c r="AK333" s="1474"/>
      <c r="AL333" s="49"/>
      <c r="AM333" s="49"/>
      <c r="AN333" s="1533">
        <f>AN215</f>
        <v>3000</v>
      </c>
      <c r="AO333" s="1474"/>
      <c r="AP333" s="49"/>
      <c r="AQ333" s="49"/>
      <c r="AR333" s="1533">
        <f>AR215</f>
        <v>3000</v>
      </c>
      <c r="AS333" s="510" t="s">
        <v>2516</v>
      </c>
    </row>
    <row r="334" spans="2:45" x14ac:dyDescent="0.3">
      <c r="B334" s="18" t="s">
        <v>5709</v>
      </c>
      <c r="C334" s="49"/>
      <c r="D334" s="49"/>
      <c r="E334" s="49"/>
      <c r="F334" s="510" t="s">
        <v>2442</v>
      </c>
      <c r="G334" s="2098">
        <f>G217</f>
        <v>1</v>
      </c>
      <c r="H334" s="1474"/>
      <c r="I334" s="49"/>
      <c r="J334" s="49"/>
      <c r="K334" s="2098">
        <f>K217</f>
        <v>1</v>
      </c>
      <c r="L334" s="1474"/>
      <c r="M334" s="49"/>
      <c r="N334" s="49"/>
      <c r="O334" s="2098">
        <f>O217</f>
        <v>1</v>
      </c>
      <c r="P334" s="1474"/>
      <c r="Q334" s="49"/>
      <c r="R334" s="49"/>
      <c r="S334" s="2098">
        <f>S217</f>
        <v>1</v>
      </c>
      <c r="T334" s="1474"/>
      <c r="U334" s="49"/>
      <c r="V334" s="49"/>
      <c r="W334" s="2098">
        <f>W217</f>
        <v>1</v>
      </c>
      <c r="X334" s="1474"/>
      <c r="Y334" s="49"/>
      <c r="Z334" s="49"/>
      <c r="AA334" s="2098">
        <f>AA217</f>
        <v>1</v>
      </c>
      <c r="AB334" s="1474"/>
      <c r="AC334" s="49"/>
      <c r="AD334" s="49"/>
      <c r="AE334" s="2098">
        <f>AE217</f>
        <v>1</v>
      </c>
      <c r="AF334" s="510" t="s">
        <v>2442</v>
      </c>
      <c r="AG334" s="1474"/>
      <c r="AH334" s="49"/>
      <c r="AI334" s="49"/>
      <c r="AJ334" s="2098">
        <f>AJ217</f>
        <v>1</v>
      </c>
      <c r="AK334" s="1474"/>
      <c r="AL334" s="49"/>
      <c r="AM334" s="49"/>
      <c r="AN334" s="2098">
        <f>AN217</f>
        <v>1</v>
      </c>
      <c r="AO334" s="1474"/>
      <c r="AP334" s="49"/>
      <c r="AQ334" s="49"/>
      <c r="AR334" s="2098">
        <f>AR217</f>
        <v>1</v>
      </c>
      <c r="AS334" s="510" t="s">
        <v>2442</v>
      </c>
    </row>
    <row r="335" spans="2:45" x14ac:dyDescent="0.3">
      <c r="B335" s="49" t="s">
        <v>5710</v>
      </c>
      <c r="C335" s="49"/>
      <c r="D335" s="49"/>
      <c r="E335" s="49"/>
      <c r="F335" s="510" t="s">
        <v>2442</v>
      </c>
      <c r="G335" s="2098">
        <f>G219</f>
        <v>1</v>
      </c>
      <c r="H335" s="1474"/>
      <c r="I335" s="49"/>
      <c r="J335" s="49"/>
      <c r="K335" s="2098">
        <f>K219</f>
        <v>1</v>
      </c>
      <c r="L335" s="1474"/>
      <c r="M335" s="49"/>
      <c r="N335" s="49"/>
      <c r="O335" s="2098">
        <f>O219</f>
        <v>1</v>
      </c>
      <c r="P335" s="1474"/>
      <c r="Q335" s="49"/>
      <c r="R335" s="49"/>
      <c r="S335" s="2098">
        <f>S219</f>
        <v>1</v>
      </c>
      <c r="T335" s="1474"/>
      <c r="U335" s="49"/>
      <c r="V335" s="49"/>
      <c r="W335" s="2098">
        <f>W219</f>
        <v>1</v>
      </c>
      <c r="X335" s="1474"/>
      <c r="Y335" s="49"/>
      <c r="Z335" s="49"/>
      <c r="AA335" s="2098">
        <f>AA219</f>
        <v>1</v>
      </c>
      <c r="AB335" s="1474"/>
      <c r="AC335" s="49"/>
      <c r="AD335" s="49"/>
      <c r="AE335" s="2098">
        <f>AE219</f>
        <v>1</v>
      </c>
      <c r="AF335" s="510" t="s">
        <v>2442</v>
      </c>
      <c r="AG335" s="1474"/>
      <c r="AH335" s="49"/>
      <c r="AI335" s="49"/>
      <c r="AJ335" s="2098">
        <f>AJ219</f>
        <v>1</v>
      </c>
      <c r="AK335" s="1474"/>
      <c r="AL335" s="49"/>
      <c r="AM335" s="49"/>
      <c r="AN335" s="2098">
        <f>AN219</f>
        <v>1</v>
      </c>
      <c r="AO335" s="1474"/>
      <c r="AP335" s="49"/>
      <c r="AQ335" s="49"/>
      <c r="AR335" s="2098">
        <f>AR219</f>
        <v>1</v>
      </c>
      <c r="AS335" s="510" t="s">
        <v>2442</v>
      </c>
    </row>
    <row r="336" spans="2:45" x14ac:dyDescent="0.3">
      <c r="B336" s="18" t="s">
        <v>5712</v>
      </c>
      <c r="C336" s="49"/>
      <c r="D336" s="49"/>
      <c r="E336" s="49"/>
      <c r="F336" s="1353" t="s">
        <v>2442</v>
      </c>
      <c r="G336" s="2098">
        <f>G218</f>
        <v>1</v>
      </c>
      <c r="H336" s="1474"/>
      <c r="I336" s="49"/>
      <c r="J336" s="49"/>
      <c r="K336" s="2098">
        <f>K218</f>
        <v>1</v>
      </c>
      <c r="L336" s="1474"/>
      <c r="M336" s="49"/>
      <c r="N336" s="49"/>
      <c r="O336" s="2098">
        <f>O218</f>
        <v>1</v>
      </c>
      <c r="P336" s="1474"/>
      <c r="Q336" s="49"/>
      <c r="R336" s="49"/>
      <c r="S336" s="2098">
        <f>S218</f>
        <v>1</v>
      </c>
      <c r="T336" s="1474"/>
      <c r="U336" s="49"/>
      <c r="V336" s="49"/>
      <c r="W336" s="2098">
        <f>W218</f>
        <v>1</v>
      </c>
      <c r="X336" s="1474"/>
      <c r="Y336" s="49"/>
      <c r="Z336" s="49"/>
      <c r="AA336" s="2098">
        <f>AA218</f>
        <v>1</v>
      </c>
      <c r="AB336" s="1474"/>
      <c r="AC336" s="49"/>
      <c r="AD336" s="49"/>
      <c r="AE336" s="2098">
        <f>AE218</f>
        <v>1</v>
      </c>
      <c r="AF336" s="1353" t="s">
        <v>2442</v>
      </c>
      <c r="AG336" s="1474"/>
      <c r="AH336" s="49"/>
      <c r="AI336" s="49"/>
      <c r="AJ336" s="2098">
        <f>AJ218</f>
        <v>1</v>
      </c>
      <c r="AK336" s="1474"/>
      <c r="AL336" s="49"/>
      <c r="AM336" s="49"/>
      <c r="AN336" s="2098">
        <f>AN218</f>
        <v>1</v>
      </c>
      <c r="AO336" s="1474"/>
      <c r="AP336" s="49"/>
      <c r="AQ336" s="49"/>
      <c r="AR336" s="2098">
        <f>AR218</f>
        <v>1</v>
      </c>
      <c r="AS336" s="1353" t="s">
        <v>2442</v>
      </c>
    </row>
    <row r="337" spans="1:45" x14ac:dyDescent="0.3">
      <c r="B337" s="49" t="s">
        <v>5713</v>
      </c>
      <c r="C337" s="49"/>
      <c r="D337" s="49"/>
      <c r="E337" s="49"/>
      <c r="F337" s="510" t="s">
        <v>5641</v>
      </c>
      <c r="G337" s="1532">
        <f>G225</f>
        <v>5.8710485929243621</v>
      </c>
      <c r="H337" s="1474"/>
      <c r="I337" s="49"/>
      <c r="J337" s="49"/>
      <c r="K337" s="1532">
        <f>K225</f>
        <v>5.5612201631453919</v>
      </c>
      <c r="L337" s="1474"/>
      <c r="M337" s="49"/>
      <c r="N337" s="49"/>
      <c r="O337" s="1532">
        <f>O225</f>
        <v>5.7213854021243842</v>
      </c>
      <c r="P337" s="1474"/>
      <c r="Q337" s="49"/>
      <c r="R337" s="49"/>
      <c r="S337" s="1532">
        <f>S225</f>
        <v>5.8709258400381259</v>
      </c>
      <c r="T337" s="1474"/>
      <c r="U337" s="49"/>
      <c r="V337" s="49"/>
      <c r="W337" s="1532">
        <f>W225</f>
        <v>5.7535426848554803</v>
      </c>
      <c r="X337" s="1474"/>
      <c r="Y337" s="49"/>
      <c r="Z337" s="49"/>
      <c r="AA337" s="1532">
        <f>AA225</f>
        <v>5.8709258400381259</v>
      </c>
      <c r="AB337" s="1474"/>
      <c r="AC337" s="49"/>
      <c r="AD337" s="49"/>
      <c r="AE337" s="1532">
        <f>AE225</f>
        <v>5.2835750517327966</v>
      </c>
      <c r="AF337" s="510" t="s">
        <v>5641</v>
      </c>
      <c r="AG337" s="1474"/>
      <c r="AH337" s="49"/>
      <c r="AI337" s="49"/>
      <c r="AJ337" s="1532">
        <f>AJ225</f>
        <v>5.8183761625293213</v>
      </c>
      <c r="AK337" s="1474"/>
      <c r="AL337" s="49"/>
      <c r="AM337" s="49"/>
      <c r="AN337" s="1532">
        <f>AN225</f>
        <v>5.6613167415982097</v>
      </c>
      <c r="AO337" s="1474"/>
      <c r="AP337" s="49"/>
      <c r="AQ337" s="49"/>
      <c r="AR337" s="1532">
        <f>AR225</f>
        <v>5.3775596737092108</v>
      </c>
      <c r="AS337" s="510" t="s">
        <v>5641</v>
      </c>
    </row>
    <row r="338" spans="1:45" x14ac:dyDescent="0.3">
      <c r="B338" s="18" t="s">
        <v>5714</v>
      </c>
      <c r="C338" s="49"/>
      <c r="D338" s="49"/>
      <c r="E338" s="49"/>
      <c r="F338" s="510" t="s">
        <v>2489</v>
      </c>
      <c r="G338" s="1532">
        <f>G226</f>
        <v>105.67887467263851</v>
      </c>
      <c r="H338" s="1474"/>
      <c r="I338" s="49"/>
      <c r="J338" s="49"/>
      <c r="K338" s="1532">
        <f>K226</f>
        <v>100.10196293661706</v>
      </c>
      <c r="L338" s="1474"/>
      <c r="M338" s="49"/>
      <c r="N338" s="49"/>
      <c r="O338" s="1532">
        <f>O226</f>
        <v>102.98493723823891</v>
      </c>
      <c r="P338" s="1474"/>
      <c r="Q338" s="49"/>
      <c r="R338" s="49"/>
      <c r="S338" s="1532">
        <f>S226</f>
        <v>105.67666512068627</v>
      </c>
      <c r="T338" s="1474"/>
      <c r="U338" s="49"/>
      <c r="V338" s="49"/>
      <c r="W338" s="1532">
        <f>W226</f>
        <v>103.56376832739865</v>
      </c>
      <c r="X338" s="1474"/>
      <c r="Y338" s="49"/>
      <c r="Z338" s="49"/>
      <c r="AA338" s="1532">
        <f>AA226</f>
        <v>105.67666512068627</v>
      </c>
      <c r="AB338" s="1474"/>
      <c r="AC338" s="49"/>
      <c r="AD338" s="49"/>
      <c r="AE338" s="1532">
        <f>AE226</f>
        <v>95.104350931190339</v>
      </c>
      <c r="AF338" s="510" t="s">
        <v>2489</v>
      </c>
      <c r="AG338" s="1474"/>
      <c r="AH338" s="49"/>
      <c r="AI338" s="49"/>
      <c r="AJ338" s="1532">
        <f>AJ226</f>
        <v>104.73077092552778</v>
      </c>
      <c r="AK338" s="1474"/>
      <c r="AL338" s="49"/>
      <c r="AM338" s="49"/>
      <c r="AN338" s="1532">
        <f>AN226</f>
        <v>101.90370134876778</v>
      </c>
      <c r="AO338" s="1474"/>
      <c r="AP338" s="49"/>
      <c r="AQ338" s="49"/>
      <c r="AR338" s="1532">
        <f>AR226</f>
        <v>96.796074126765802</v>
      </c>
      <c r="AS338" s="510" t="s">
        <v>2489</v>
      </c>
    </row>
    <row r="339" spans="1:45" x14ac:dyDescent="0.3">
      <c r="B339" s="49" t="s">
        <v>5715</v>
      </c>
      <c r="C339" s="49"/>
      <c r="D339" s="49"/>
      <c r="E339" s="49"/>
      <c r="F339" s="510" t="s">
        <v>2489</v>
      </c>
      <c r="G339" s="1532">
        <f t="shared" ref="G339:G341" si="101">G227</f>
        <v>44.032864446932713</v>
      </c>
      <c r="H339" s="1474"/>
      <c r="I339" s="49"/>
      <c r="J339" s="49"/>
      <c r="K339" s="1532">
        <f t="shared" ref="K339:K341" si="102">K227</f>
        <v>41.709151223590439</v>
      </c>
      <c r="L339" s="1474"/>
      <c r="M339" s="49"/>
      <c r="N339" s="49"/>
      <c r="O339" s="1532">
        <f t="shared" ref="O339:O341" si="103">O227</f>
        <v>42.910390515932882</v>
      </c>
      <c r="P339" s="1474"/>
      <c r="Q339" s="49"/>
      <c r="R339" s="49"/>
      <c r="S339" s="1532">
        <f t="shared" ref="S339:S341" si="104">S227</f>
        <v>44.031943800285944</v>
      </c>
      <c r="T339" s="1474"/>
      <c r="U339" s="49"/>
      <c r="V339" s="49"/>
      <c r="W339" s="1532">
        <f t="shared" ref="W339:W341" si="105">W227</f>
        <v>43.151570136416105</v>
      </c>
      <c r="X339" s="1474"/>
      <c r="Y339" s="49"/>
      <c r="Z339" s="49"/>
      <c r="AA339" s="1532">
        <f t="shared" ref="AA339:AA341" si="106">AA227</f>
        <v>44.031943800285944</v>
      </c>
      <c r="AB339" s="1474"/>
      <c r="AC339" s="49"/>
      <c r="AD339" s="49"/>
      <c r="AE339" s="1532">
        <f t="shared" ref="AE339:AE341" si="107">AE227</f>
        <v>39.626812887995975</v>
      </c>
      <c r="AF339" s="510" t="s">
        <v>2489</v>
      </c>
      <c r="AG339" s="1474"/>
      <c r="AH339" s="49"/>
      <c r="AI339" s="49"/>
      <c r="AJ339" s="1532">
        <f t="shared" ref="AJ339:AJ341" si="108">AJ227</f>
        <v>43.637821218969911</v>
      </c>
      <c r="AK339" s="1474"/>
      <c r="AL339" s="49"/>
      <c r="AM339" s="49"/>
      <c r="AN339" s="1532">
        <f t="shared" ref="AN339:AN341" si="109">AN227</f>
        <v>42.459875561986571</v>
      </c>
      <c r="AO339" s="1474"/>
      <c r="AP339" s="49"/>
      <c r="AQ339" s="49"/>
      <c r="AR339" s="1532">
        <f t="shared" ref="AR339:AR341" si="110">AR227</f>
        <v>40.33169755281908</v>
      </c>
      <c r="AS339" s="510" t="s">
        <v>2489</v>
      </c>
    </row>
    <row r="340" spans="1:45" x14ac:dyDescent="0.3">
      <c r="B340" s="91" t="s">
        <v>5716</v>
      </c>
      <c r="C340" s="49"/>
      <c r="D340" s="49"/>
      <c r="E340" s="49"/>
      <c r="F340" s="510" t="s">
        <v>2489</v>
      </c>
      <c r="G340" s="1532">
        <f t="shared" si="101"/>
        <v>35.226291557546176</v>
      </c>
      <c r="H340" s="1474"/>
      <c r="I340" s="49"/>
      <c r="J340" s="49"/>
      <c r="K340" s="1532">
        <f t="shared" si="102"/>
        <v>33.36732097887235</v>
      </c>
      <c r="L340" s="1474"/>
      <c r="M340" s="49"/>
      <c r="N340" s="49"/>
      <c r="O340" s="1532">
        <f t="shared" si="103"/>
        <v>34.328312412746307</v>
      </c>
      <c r="P340" s="1474"/>
      <c r="Q340" s="49"/>
      <c r="R340" s="49"/>
      <c r="S340" s="1532">
        <f t="shared" si="104"/>
        <v>35.225555040228755</v>
      </c>
      <c r="T340" s="1474"/>
      <c r="U340" s="49"/>
      <c r="V340" s="49"/>
      <c r="W340" s="1532">
        <f t="shared" si="105"/>
        <v>34.521256109132878</v>
      </c>
      <c r="X340" s="1474"/>
      <c r="Y340" s="49"/>
      <c r="Z340" s="49"/>
      <c r="AA340" s="1532">
        <f t="shared" si="106"/>
        <v>35.225555040228755</v>
      </c>
      <c r="AB340" s="1474"/>
      <c r="AC340" s="49"/>
      <c r="AD340" s="49"/>
      <c r="AE340" s="1532">
        <f t="shared" si="107"/>
        <v>31.70145031039678</v>
      </c>
      <c r="AF340" s="510" t="s">
        <v>2489</v>
      </c>
      <c r="AG340" s="1474"/>
      <c r="AH340" s="49"/>
      <c r="AI340" s="49"/>
      <c r="AJ340" s="1532">
        <f t="shared" si="108"/>
        <v>34.910256975175926</v>
      </c>
      <c r="AK340" s="1474"/>
      <c r="AL340" s="49"/>
      <c r="AM340" s="49"/>
      <c r="AN340" s="1532">
        <f t="shared" si="109"/>
        <v>33.967900449589258</v>
      </c>
      <c r="AO340" s="1474"/>
      <c r="AP340" s="49"/>
      <c r="AQ340" s="49"/>
      <c r="AR340" s="1532">
        <f t="shared" si="110"/>
        <v>32.265358042255265</v>
      </c>
      <c r="AS340" s="510" t="s">
        <v>2489</v>
      </c>
    </row>
    <row r="341" spans="1:45" x14ac:dyDescent="0.3">
      <c r="B341" s="49" t="s">
        <v>5717</v>
      </c>
      <c r="C341" s="49"/>
      <c r="D341" s="49"/>
      <c r="E341" s="49"/>
      <c r="F341" s="510" t="s">
        <v>2489</v>
      </c>
      <c r="G341" s="1532">
        <f t="shared" si="101"/>
        <v>5.2839437336319257</v>
      </c>
      <c r="H341" s="1474"/>
      <c r="I341" s="49"/>
      <c r="J341" s="49"/>
      <c r="K341" s="1532">
        <f t="shared" si="102"/>
        <v>5.0050981468308526</v>
      </c>
      <c r="L341" s="1474"/>
      <c r="M341" s="49"/>
      <c r="N341" s="49"/>
      <c r="O341" s="1532">
        <f t="shared" si="103"/>
        <v>5.1492468619119451</v>
      </c>
      <c r="P341" s="1474"/>
      <c r="Q341" s="49"/>
      <c r="R341" s="49"/>
      <c r="S341" s="1532">
        <f t="shared" si="104"/>
        <v>5.2838332560343124</v>
      </c>
      <c r="T341" s="1474"/>
      <c r="U341" s="49"/>
      <c r="V341" s="49"/>
      <c r="W341" s="1532">
        <f t="shared" si="105"/>
        <v>5.1781884163699319</v>
      </c>
      <c r="X341" s="1474"/>
      <c r="Y341" s="49"/>
      <c r="Z341" s="49"/>
      <c r="AA341" s="1532">
        <f t="shared" si="106"/>
        <v>5.2838332560343124</v>
      </c>
      <c r="AB341" s="1474"/>
      <c r="AC341" s="49"/>
      <c r="AD341" s="49"/>
      <c r="AE341" s="1532">
        <f t="shared" si="107"/>
        <v>4.7552175465595168</v>
      </c>
      <c r="AF341" s="510" t="s">
        <v>2489</v>
      </c>
      <c r="AG341" s="1474"/>
      <c r="AH341" s="49"/>
      <c r="AI341" s="49"/>
      <c r="AJ341" s="1532">
        <f t="shared" si="108"/>
        <v>5.2365385462763889</v>
      </c>
      <c r="AK341" s="1474"/>
      <c r="AL341" s="49"/>
      <c r="AM341" s="49"/>
      <c r="AN341" s="1532">
        <f t="shared" si="109"/>
        <v>5.0951850674383881</v>
      </c>
      <c r="AO341" s="1474"/>
      <c r="AP341" s="49"/>
      <c r="AQ341" s="49"/>
      <c r="AR341" s="1532">
        <f t="shared" si="110"/>
        <v>4.839803706338289</v>
      </c>
      <c r="AS341" s="510" t="s">
        <v>2489</v>
      </c>
    </row>
    <row r="342" spans="1:45" x14ac:dyDescent="0.3">
      <c r="B342" s="510" t="s">
        <v>5702</v>
      </c>
      <c r="C342" s="49"/>
      <c r="D342" s="49"/>
      <c r="E342" s="49"/>
      <c r="F342" s="18" t="s">
        <v>2442</v>
      </c>
      <c r="G342" s="1532">
        <f>G209</f>
        <v>1</v>
      </c>
      <c r="H342" s="1474"/>
      <c r="I342" s="49"/>
      <c r="J342" s="49"/>
      <c r="K342" s="1532">
        <f>K209</f>
        <v>1</v>
      </c>
      <c r="L342" s="1474"/>
      <c r="M342" s="49"/>
      <c r="N342" s="49"/>
      <c r="O342" s="1532">
        <f>O209</f>
        <v>1</v>
      </c>
      <c r="P342" s="1474"/>
      <c r="Q342" s="49"/>
      <c r="R342" s="49"/>
      <c r="S342" s="1532">
        <f>S209</f>
        <v>1</v>
      </c>
      <c r="T342" s="1474"/>
      <c r="U342" s="49"/>
      <c r="V342" s="49"/>
      <c r="W342" s="1532">
        <f>W209</f>
        <v>1</v>
      </c>
      <c r="X342" s="1474"/>
      <c r="Y342" s="49"/>
      <c r="Z342" s="49"/>
      <c r="AA342" s="1532">
        <f>AA209</f>
        <v>1</v>
      </c>
      <c r="AB342" s="1474"/>
      <c r="AC342" s="49"/>
      <c r="AD342" s="49"/>
      <c r="AE342" s="1532">
        <f>AE209</f>
        <v>1</v>
      </c>
      <c r="AF342" s="18" t="s">
        <v>2442</v>
      </c>
      <c r="AG342" s="1474"/>
      <c r="AH342" s="49"/>
      <c r="AI342" s="49"/>
      <c r="AJ342" s="1532">
        <f>AJ209</f>
        <v>1</v>
      </c>
      <c r="AK342" s="1474"/>
      <c r="AL342" s="49"/>
      <c r="AM342" s="49"/>
      <c r="AN342" s="1532">
        <f>AN209</f>
        <v>1</v>
      </c>
      <c r="AO342" s="1474"/>
      <c r="AP342" s="49"/>
      <c r="AQ342" s="49"/>
      <c r="AR342" s="1532">
        <f>AR209</f>
        <v>1</v>
      </c>
      <c r="AS342" s="18" t="s">
        <v>2442</v>
      </c>
    </row>
    <row r="343" spans="1:45" x14ac:dyDescent="0.3">
      <c r="B343" s="49"/>
      <c r="C343" s="49"/>
      <c r="D343" s="49"/>
      <c r="E343" s="49"/>
      <c r="F343" s="49"/>
      <c r="G343" s="49"/>
      <c r="H343" s="1474"/>
      <c r="I343" s="49"/>
      <c r="J343" s="49"/>
      <c r="K343" s="49"/>
      <c r="L343" s="1474"/>
      <c r="M343" s="49"/>
      <c r="N343" s="49"/>
      <c r="O343" s="49"/>
      <c r="P343" s="1474"/>
      <c r="Q343" s="49"/>
      <c r="R343" s="49"/>
      <c r="S343" s="49"/>
      <c r="T343" s="1474"/>
      <c r="U343" s="49"/>
      <c r="V343" s="49"/>
      <c r="W343" s="49"/>
      <c r="X343" s="1474"/>
      <c r="Y343" s="49"/>
      <c r="Z343" s="49"/>
      <c r="AA343" s="49"/>
      <c r="AB343" s="1474"/>
      <c r="AC343" s="49"/>
      <c r="AD343" s="49"/>
      <c r="AE343" s="49"/>
      <c r="AF343" s="49"/>
      <c r="AG343" s="1474"/>
      <c r="AH343" s="49"/>
      <c r="AI343" s="49"/>
      <c r="AJ343" s="49"/>
      <c r="AK343" s="1474"/>
      <c r="AL343" s="49"/>
      <c r="AM343" s="49"/>
      <c r="AN343" s="49"/>
      <c r="AO343" s="1474"/>
      <c r="AP343" s="49"/>
      <c r="AQ343" s="49"/>
      <c r="AR343" s="49"/>
      <c r="AS343" s="877"/>
    </row>
    <row r="344" spans="1:45" x14ac:dyDescent="0.3">
      <c r="A344" s="1661" t="s">
        <v>1901</v>
      </c>
      <c r="B344" s="1663"/>
      <c r="C344" s="1663"/>
      <c r="D344" s="1663"/>
      <c r="E344" s="1663"/>
      <c r="F344" s="1663"/>
      <c r="G344" s="1663"/>
      <c r="H344" s="1663"/>
      <c r="I344" s="1663"/>
      <c r="J344" s="1663"/>
      <c r="K344" s="1663"/>
      <c r="L344" s="1663"/>
      <c r="M344" s="1663"/>
      <c r="N344" s="1663"/>
      <c r="O344" s="1663"/>
      <c r="P344" s="1663"/>
      <c r="Q344" s="1663"/>
      <c r="R344" s="1663"/>
      <c r="S344" s="1663"/>
      <c r="T344" s="1663"/>
      <c r="U344" s="1663"/>
      <c r="V344" s="1663"/>
      <c r="W344" s="1663"/>
      <c r="X344" s="1663"/>
      <c r="Y344" s="1663"/>
      <c r="Z344" s="1663"/>
      <c r="AA344" s="1663"/>
      <c r="AB344" s="1663"/>
      <c r="AC344" s="1663"/>
      <c r="AD344" s="1663"/>
      <c r="AE344" s="1663"/>
      <c r="AF344" s="1663"/>
      <c r="AG344" s="1663"/>
      <c r="AH344" s="1663"/>
      <c r="AI344" s="1663"/>
      <c r="AJ344" s="1663"/>
      <c r="AK344" s="1663"/>
      <c r="AL344" s="1663"/>
      <c r="AM344" s="1663"/>
      <c r="AN344" s="1663"/>
      <c r="AO344" s="1663"/>
      <c r="AP344" s="1663"/>
      <c r="AQ344" s="1663"/>
      <c r="AR344" s="1663"/>
    </row>
    <row r="345" spans="1:45" x14ac:dyDescent="0.3">
      <c r="A345" s="1661"/>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c r="AM345" s="1663"/>
      <c r="AN345" s="1663"/>
      <c r="AO345" s="1663"/>
      <c r="AP345" s="1663"/>
      <c r="AQ345" s="1663"/>
      <c r="AR345" s="1663"/>
    </row>
    <row r="346" spans="1:45" s="2247" customFormat="1" x14ac:dyDescent="0.3">
      <c r="A346" s="1660"/>
      <c r="B346" s="1662" t="s">
        <v>5747</v>
      </c>
      <c r="C346" s="1687"/>
      <c r="D346" s="1687"/>
      <c r="E346" s="1662"/>
      <c r="F346" s="1688" t="s">
        <v>602</v>
      </c>
      <c r="G346" s="1689">
        <f>G2</f>
        <v>3</v>
      </c>
      <c r="H346" s="1688"/>
      <c r="I346" s="1688"/>
      <c r="J346" s="1688"/>
      <c r="K346" s="1689">
        <f>K2</f>
        <v>4</v>
      </c>
      <c r="L346" s="1688"/>
      <c r="M346" s="1688"/>
      <c r="N346" s="1688"/>
      <c r="O346" s="1689">
        <f>O2</f>
        <v>5</v>
      </c>
      <c r="P346" s="1688"/>
      <c r="Q346" s="1688"/>
      <c r="R346" s="1688"/>
      <c r="S346" s="1689">
        <f>S2</f>
        <v>6</v>
      </c>
      <c r="T346" s="1688"/>
      <c r="U346" s="1688"/>
      <c r="V346" s="1688"/>
      <c r="W346" s="1689">
        <f>W2</f>
        <v>7</v>
      </c>
      <c r="X346" s="1688"/>
      <c r="Y346" s="1688"/>
      <c r="Z346" s="1688"/>
      <c r="AA346" s="1689">
        <f>AA2</f>
        <v>8</v>
      </c>
      <c r="AB346" s="1688"/>
      <c r="AC346" s="1688"/>
      <c r="AD346" s="1688"/>
      <c r="AE346" s="1689">
        <f>AE2</f>
        <v>9</v>
      </c>
      <c r="AF346" s="1688"/>
      <c r="AG346" s="1688"/>
      <c r="AH346" s="1688"/>
      <c r="AI346" s="1688"/>
      <c r="AJ346" s="1689">
        <f>AJ2</f>
        <v>10</v>
      </c>
      <c r="AK346" s="1688"/>
      <c r="AL346" s="1688"/>
      <c r="AM346" s="1688"/>
      <c r="AN346" s="1689">
        <f>AN2</f>
        <v>11</v>
      </c>
      <c r="AO346" s="1688"/>
      <c r="AP346" s="1688"/>
      <c r="AQ346" s="1688"/>
      <c r="AR346" s="1689">
        <f>AR2</f>
        <v>14</v>
      </c>
      <c r="AS346" s="2246"/>
    </row>
    <row r="347" spans="1:45" s="90" customFormat="1" x14ac:dyDescent="0.3">
      <c r="A347" s="1326"/>
      <c r="B347" s="1668" t="s">
        <v>409</v>
      </c>
      <c r="C347" s="1669"/>
      <c r="D347" s="1670"/>
      <c r="E347" s="1670"/>
      <c r="F347" s="1680"/>
      <c r="G347" s="1671"/>
      <c r="H347" s="1617"/>
      <c r="I347" s="1680"/>
      <c r="J347" s="1680"/>
      <c r="K347" s="1684"/>
      <c r="L347" s="1680"/>
      <c r="M347" s="1680"/>
      <c r="N347" s="1680"/>
      <c r="O347" s="1684"/>
      <c r="P347" s="1680"/>
      <c r="Q347" s="1680"/>
      <c r="R347" s="1680"/>
      <c r="S347" s="1684"/>
      <c r="T347" s="1680"/>
      <c r="U347" s="1680"/>
      <c r="V347" s="1680"/>
      <c r="W347" s="1684"/>
      <c r="X347" s="1680"/>
      <c r="Y347" s="1680"/>
      <c r="Z347" s="1680"/>
      <c r="AA347" s="1684"/>
      <c r="AB347" s="1680"/>
      <c r="AC347" s="1680"/>
      <c r="AD347" s="1680"/>
      <c r="AE347" s="1684"/>
      <c r="AF347" s="1680"/>
      <c r="AG347" s="1680"/>
      <c r="AH347" s="1680"/>
      <c r="AI347" s="1680"/>
      <c r="AJ347" s="1684"/>
      <c r="AK347" s="1680"/>
      <c r="AL347" s="1680"/>
      <c r="AM347" s="1680"/>
      <c r="AN347" s="1684"/>
      <c r="AO347" s="1680"/>
      <c r="AP347" s="1680"/>
      <c r="AQ347" s="1680"/>
      <c r="AR347" s="1684"/>
      <c r="AS347" s="1848"/>
    </row>
    <row r="348" spans="1:45" x14ac:dyDescent="0.3">
      <c r="B348" s="49" t="s">
        <v>6422</v>
      </c>
      <c r="C348" s="49"/>
      <c r="D348" s="49"/>
      <c r="E348" s="510"/>
      <c r="F348" s="510" t="s">
        <v>5769</v>
      </c>
      <c r="G348" s="1209">
        <f>G137/UDV.animal.total</f>
        <v>1.8929253454118953</v>
      </c>
      <c r="H348" s="1489"/>
      <c r="I348" s="1209"/>
      <c r="J348" s="1209"/>
      <c r="K348" s="1209">
        <f>K137/UDV.animal.total</f>
        <v>1.8929253454118953</v>
      </c>
      <c r="L348" s="1474"/>
      <c r="M348" s="1209"/>
      <c r="N348" s="1209"/>
      <c r="O348" s="1209">
        <f>O137/UDV.animal.total</f>
        <v>1.8806246194612772</v>
      </c>
      <c r="P348" s="1474"/>
      <c r="Q348" s="1209"/>
      <c r="R348" s="1209"/>
      <c r="S348" s="1209">
        <f>S137/UDV.animal.total</f>
        <v>1.8692945966809817</v>
      </c>
      <c r="T348" s="1474"/>
      <c r="U348" s="1209"/>
      <c r="V348" s="1209"/>
      <c r="W348" s="1209">
        <f>W137/UDV.animal.total</f>
        <v>1.8692945966809817</v>
      </c>
      <c r="X348" s="1474"/>
      <c r="Y348" s="1209"/>
      <c r="Z348" s="1209"/>
      <c r="AA348" s="1209">
        <f>AA137/UDV.animal.total</f>
        <v>1.8692945966809817</v>
      </c>
      <c r="AB348" s="1474"/>
      <c r="AC348" s="1209"/>
      <c r="AD348" s="1209"/>
      <c r="AE348" s="1209">
        <f>AE137/UDV.animal.total</f>
        <v>1.8624441025497913</v>
      </c>
      <c r="AF348" s="49"/>
      <c r="AG348" s="1474"/>
      <c r="AH348" s="1209"/>
      <c r="AI348" s="1209"/>
      <c r="AJ348" s="1209">
        <f>AJ137/UDV.animal.total</f>
        <v>1.8624441025497913</v>
      </c>
      <c r="AK348" s="1474"/>
      <c r="AL348" s="1209"/>
      <c r="AM348" s="1209"/>
      <c r="AN348" s="1209">
        <f>AN137/UDV.animal.total</f>
        <v>1.8624441025497915</v>
      </c>
      <c r="AO348" s="1474"/>
      <c r="AP348" s="1209"/>
      <c r="AQ348" s="1209"/>
      <c r="AR348" s="1209">
        <f>AR137/UDV.animal.total</f>
        <v>2.8759605537067761</v>
      </c>
    </row>
    <row r="349" spans="1:45" s="90" customFormat="1" x14ac:dyDescent="0.3">
      <c r="A349" s="1326"/>
      <c r="B349" s="1668" t="s">
        <v>447</v>
      </c>
      <c r="C349" s="1669"/>
      <c r="D349" s="1670"/>
      <c r="E349" s="1670"/>
      <c r="F349" s="1670"/>
      <c r="G349" s="1671"/>
      <c r="H349" s="1617"/>
      <c r="I349" s="1680"/>
      <c r="J349" s="1680"/>
      <c r="K349" s="1684"/>
      <c r="L349" s="1680"/>
      <c r="M349" s="1680"/>
      <c r="N349" s="1680"/>
      <c r="O349" s="1684"/>
      <c r="P349" s="1680"/>
      <c r="Q349" s="1680"/>
      <c r="R349" s="1680"/>
      <c r="S349" s="1684"/>
      <c r="T349" s="1680"/>
      <c r="U349" s="1680"/>
      <c r="V349" s="1680"/>
      <c r="W349" s="1684"/>
      <c r="X349" s="1680"/>
      <c r="Y349" s="1680"/>
      <c r="Z349" s="1680"/>
      <c r="AA349" s="1684"/>
      <c r="AB349" s="1680"/>
      <c r="AC349" s="1680"/>
      <c r="AD349" s="1680"/>
      <c r="AE349" s="1684"/>
      <c r="AF349" s="1680"/>
      <c r="AG349" s="1680"/>
      <c r="AH349" s="1680"/>
      <c r="AI349" s="1680"/>
      <c r="AJ349" s="1684"/>
      <c r="AK349" s="1680"/>
      <c r="AL349" s="1680"/>
      <c r="AM349" s="1680"/>
      <c r="AN349" s="1684"/>
      <c r="AO349" s="1680"/>
      <c r="AP349" s="1680"/>
      <c r="AQ349" s="1680"/>
      <c r="AR349" s="1684"/>
      <c r="AS349" s="1848"/>
    </row>
    <row r="350" spans="1:45" x14ac:dyDescent="0.3">
      <c r="B350" s="49" t="s">
        <v>6423</v>
      </c>
      <c r="C350" s="49"/>
      <c r="D350" s="49"/>
      <c r="E350" s="18"/>
      <c r="F350" s="18" t="s">
        <v>2268</v>
      </c>
      <c r="G350" s="1209">
        <f>G57</f>
        <v>3368.7334385768968</v>
      </c>
      <c r="H350" s="1489"/>
      <c r="I350" s="1209"/>
      <c r="J350" s="1209"/>
      <c r="K350" s="1209">
        <f>K57</f>
        <v>3368.7334385768968</v>
      </c>
      <c r="L350" s="1474"/>
      <c r="M350" s="1209"/>
      <c r="N350" s="1209"/>
      <c r="O350" s="1209">
        <f>O57</f>
        <v>3348.7402420606995</v>
      </c>
      <c r="P350" s="1474"/>
      <c r="Q350" s="1209"/>
      <c r="R350" s="1209"/>
      <c r="S350" s="1209">
        <f>S57</f>
        <v>2664.5817743943217</v>
      </c>
      <c r="T350" s="1474"/>
      <c r="U350" s="1209"/>
      <c r="V350" s="1209"/>
      <c r="W350" s="1209">
        <f>W57</f>
        <v>2664.5817743943217</v>
      </c>
      <c r="X350" s="1474"/>
      <c r="Y350" s="1209"/>
      <c r="Z350" s="1209"/>
      <c r="AA350" s="1209">
        <f>AA57</f>
        <v>2664.5817743943217</v>
      </c>
      <c r="AB350" s="1474"/>
      <c r="AC350" s="1209"/>
      <c r="AD350" s="1209"/>
      <c r="AE350" s="1209">
        <f>AE57</f>
        <v>2520.2986018694792</v>
      </c>
      <c r="AF350" s="49"/>
      <c r="AG350" s="1474"/>
      <c r="AH350" s="1209"/>
      <c r="AI350" s="1209"/>
      <c r="AJ350" s="1209">
        <f>AJ57</f>
        <v>2520.2986018694792</v>
      </c>
      <c r="AK350" s="1474"/>
      <c r="AL350" s="1209"/>
      <c r="AM350" s="1209"/>
      <c r="AN350" s="1209">
        <f>AN57</f>
        <v>2520.2986018694792</v>
      </c>
      <c r="AO350" s="1474"/>
      <c r="AP350" s="1209"/>
      <c r="AQ350" s="1209"/>
      <c r="AR350" s="1209">
        <f>AR57</f>
        <v>1937.2131954110769</v>
      </c>
    </row>
    <row r="351" spans="1:45" x14ac:dyDescent="0.3">
      <c r="B351" s="49" t="s">
        <v>6424</v>
      </c>
      <c r="C351" s="49"/>
      <c r="D351" s="49"/>
      <c r="E351" s="18"/>
      <c r="F351" s="18" t="s">
        <v>2268</v>
      </c>
      <c r="G351" s="1209">
        <f>(F113+E113)*UC.acre_to_m2</f>
        <v>116694.23969202518</v>
      </c>
      <c r="H351" s="1489"/>
      <c r="I351" s="1209"/>
      <c r="J351" s="1209"/>
      <c r="K351" s="1209">
        <f>(J113+I113)*UC.acre_to_m2</f>
        <v>131892.19326959539</v>
      </c>
      <c r="L351" s="1474"/>
      <c r="M351" s="1209"/>
      <c r="N351" s="1209"/>
      <c r="O351" s="1209">
        <f>(N113+M113)*UC.acre_to_m2</f>
        <v>124035.6390196201</v>
      </c>
      <c r="P351" s="1474"/>
      <c r="Q351" s="1209"/>
      <c r="R351" s="1209"/>
      <c r="S351" s="1209">
        <f>(R113+Q113)*UC.acre_to_m2</f>
        <v>108725.10968623082</v>
      </c>
      <c r="T351" s="1474"/>
      <c r="U351" s="1209"/>
      <c r="V351" s="1209"/>
      <c r="W351" s="1209">
        <f>(V113+U113)*UC.acre_to_m2</f>
        <v>122458.23409755832</v>
      </c>
      <c r="X351" s="1474"/>
      <c r="Y351" s="1209"/>
      <c r="Z351" s="1209"/>
      <c r="AA351" s="1209">
        <f>(Z113+Y113)*UC.acre_to_m2</f>
        <v>115591.67189189456</v>
      </c>
      <c r="AB351" s="1474"/>
      <c r="AC351" s="1209"/>
      <c r="AD351" s="1209"/>
      <c r="AE351" s="1209">
        <f>(AD113+AC113)*UC.acre_to_m2</f>
        <v>105936.88172272885</v>
      </c>
      <c r="AF351" s="49"/>
      <c r="AG351" s="1474"/>
      <c r="AH351" s="1209"/>
      <c r="AI351" s="1209"/>
      <c r="AJ351" s="1209">
        <f>(AI113+AH113)*UC.acre_to_m2</f>
        <v>119277.97015385756</v>
      </c>
      <c r="AK351" s="1474"/>
      <c r="AL351" s="1209"/>
      <c r="AM351" s="1209"/>
      <c r="AN351" s="1209">
        <f>(AM113+AL113)*UC.acre_to_m2</f>
        <v>112607.42593829321</v>
      </c>
      <c r="AO351" s="1474"/>
      <c r="AP351" s="1209"/>
      <c r="AQ351" s="1209"/>
      <c r="AR351" s="1209">
        <f>(AQ113+AP113)*UC.acre_to_m2</f>
        <v>114471.90285570701</v>
      </c>
    </row>
    <row r="352" spans="1:45" x14ac:dyDescent="0.3">
      <c r="B352" s="49" t="s">
        <v>6425</v>
      </c>
      <c r="C352" s="49"/>
      <c r="D352" s="49"/>
      <c r="E352" s="18"/>
      <c r="F352" s="18" t="s">
        <v>2268</v>
      </c>
      <c r="G352" s="1209">
        <f>G113*UC.acre_to_m2/G39</f>
        <v>28799.140230797482</v>
      </c>
      <c r="H352" s="1489"/>
      <c r="I352" s="1209"/>
      <c r="J352" s="1209"/>
      <c r="K352" s="1209">
        <f>K113*UC.acre_to_m2/K39</f>
        <v>27279.34487304046</v>
      </c>
      <c r="L352" s="1474"/>
      <c r="M352" s="1209"/>
      <c r="N352" s="1209"/>
      <c r="O352" s="1209">
        <f>O113*UC.acre_to_m2/O39</f>
        <v>28065.000298037998</v>
      </c>
      <c r="P352" s="1474"/>
      <c r="Q352" s="1209"/>
      <c r="R352" s="1209"/>
      <c r="S352" s="1209">
        <f>S113*UC.acre_to_m2/S39</f>
        <v>28798.538093457191</v>
      </c>
      <c r="T352" s="1474"/>
      <c r="U352" s="1209"/>
      <c r="V352" s="1209"/>
      <c r="W352" s="1209">
        <f>W113*UC.acre_to_m2/W39</f>
        <v>28222.74079024417</v>
      </c>
      <c r="X352" s="1474"/>
      <c r="Y352" s="1209"/>
      <c r="Z352" s="1209"/>
      <c r="AA352" s="1209">
        <f>AA113*UC.acre_to_m2/AA39</f>
        <v>28798.538093457191</v>
      </c>
      <c r="AB352" s="1474"/>
      <c r="AC352" s="1209"/>
      <c r="AD352" s="1209"/>
      <c r="AE352" s="1209">
        <f>AE113*UC.acre_to_m2/AE39</f>
        <v>25917.417719583878</v>
      </c>
      <c r="AF352" s="49"/>
      <c r="AG352" s="1474"/>
      <c r="AH352" s="1209"/>
      <c r="AI352" s="1209"/>
      <c r="AJ352" s="1209">
        <f>AJ113*UC.acre_to_m2/AJ39</f>
        <v>28540.767184614244</v>
      </c>
      <c r="AK352" s="1474"/>
      <c r="AL352" s="1209"/>
      <c r="AM352" s="1209"/>
      <c r="AN352" s="1209">
        <f>AN113*UC.acre_to_m2/AN39</f>
        <v>27770.346668351751</v>
      </c>
      <c r="AO352" s="1474"/>
      <c r="AP352" s="1209"/>
      <c r="AQ352" s="1209"/>
      <c r="AR352" s="1209">
        <f>AR113*UC.acre_to_m2/AR39</f>
        <v>26378.43865391906</v>
      </c>
    </row>
    <row r="353" spans="1:44" s="90" customFormat="1" x14ac:dyDescent="0.3">
      <c r="A353" s="1326"/>
      <c r="B353" s="1668" t="s">
        <v>5753</v>
      </c>
      <c r="C353" s="1669"/>
      <c r="D353" s="1670"/>
      <c r="E353" s="1670"/>
      <c r="F353" s="1670"/>
      <c r="G353" s="1671"/>
      <c r="H353" s="1617"/>
      <c r="I353" s="1680"/>
      <c r="J353" s="1680"/>
      <c r="K353" s="1684"/>
      <c r="L353" s="1680"/>
      <c r="M353" s="1680"/>
      <c r="N353" s="1680"/>
      <c r="O353" s="1684"/>
      <c r="P353" s="1680"/>
      <c r="Q353" s="1680"/>
      <c r="R353" s="1680"/>
      <c r="S353" s="1684"/>
      <c r="T353" s="1680"/>
      <c r="U353" s="1680"/>
      <c r="V353" s="1680"/>
      <c r="W353" s="1684"/>
      <c r="X353" s="1680"/>
      <c r="Y353" s="1680"/>
      <c r="Z353" s="1680"/>
      <c r="AA353" s="1684"/>
      <c r="AB353" s="1680"/>
      <c r="AC353" s="1680"/>
      <c r="AD353" s="1680"/>
      <c r="AE353" s="1684"/>
      <c r="AF353" s="1680"/>
      <c r="AG353" s="1680"/>
      <c r="AH353" s="1680"/>
      <c r="AI353" s="1680"/>
      <c r="AJ353" s="1684"/>
      <c r="AK353" s="1680"/>
      <c r="AL353" s="1680"/>
      <c r="AM353" s="1680"/>
      <c r="AN353" s="1684"/>
      <c r="AO353" s="1680"/>
      <c r="AP353" s="1680"/>
      <c r="AQ353" s="1680"/>
      <c r="AR353" s="1684"/>
    </row>
    <row r="354" spans="1:44" x14ac:dyDescent="0.3">
      <c r="B354" s="49" t="s">
        <v>6426</v>
      </c>
      <c r="C354" s="49"/>
      <c r="D354" s="49"/>
      <c r="E354" s="49"/>
      <c r="F354" s="49" t="s">
        <v>2497</v>
      </c>
      <c r="G354" s="1500">
        <f>F194/UDV.animal.total</f>
        <v>0.16844907308599</v>
      </c>
      <c r="H354" s="1527"/>
      <c r="I354" s="1500"/>
      <c r="J354" s="1500"/>
      <c r="K354" s="1500">
        <f>J194/UDV.animal.total</f>
        <v>0.16844907308599</v>
      </c>
      <c r="L354" s="1474"/>
      <c r="M354" s="1500"/>
      <c r="N354" s="1500"/>
      <c r="O354" s="1500">
        <f>N194/UDV.animal.total</f>
        <v>0.16735444677667005</v>
      </c>
      <c r="P354" s="1474"/>
      <c r="Q354" s="1500"/>
      <c r="R354" s="1500"/>
      <c r="S354" s="1500">
        <f>R194/UDV.animal.total</f>
        <v>0.16634620213563867</v>
      </c>
      <c r="T354" s="1474"/>
      <c r="U354" s="1500"/>
      <c r="V354" s="1500"/>
      <c r="W354" s="1500">
        <f>V194/UDV.animal.total</f>
        <v>0.16634620213563867</v>
      </c>
      <c r="X354" s="1474"/>
      <c r="Y354" s="1500"/>
      <c r="Z354" s="1500"/>
      <c r="AA354" s="1500">
        <f>Z194/UDV.animal.total</f>
        <v>0.16634620213563867</v>
      </c>
      <c r="AB354" s="1474"/>
      <c r="AC354" s="1500"/>
      <c r="AD354" s="1500"/>
      <c r="AE354" s="1500">
        <f>AD194/UDV.animal.total</f>
        <v>0.16573658517986326</v>
      </c>
      <c r="AF354" s="49"/>
      <c r="AG354" s="1474"/>
      <c r="AH354" s="1500"/>
      <c r="AI354" s="1500"/>
      <c r="AJ354" s="1500">
        <f>AI194/UDV.animal.total</f>
        <v>0.16573658517986326</v>
      </c>
      <c r="AK354" s="1474"/>
      <c r="AL354" s="1500"/>
      <c r="AM354" s="1500"/>
      <c r="AN354" s="1500">
        <f>AM194/UDV.animal.total</f>
        <v>0.16573658517986359</v>
      </c>
      <c r="AO354" s="1474"/>
      <c r="AP354" s="1500"/>
      <c r="AQ354" s="1500"/>
      <c r="AR354" s="1500">
        <f>AQ194/UDV.animal.total</f>
        <v>0.25592815410179925</v>
      </c>
    </row>
    <row r="355" spans="1:44" x14ac:dyDescent="0.3">
      <c r="B355" s="49" t="s">
        <v>6427</v>
      </c>
      <c r="C355" s="49"/>
      <c r="D355" s="49"/>
      <c r="E355" s="49"/>
      <c r="F355" s="49" t="s">
        <v>2497</v>
      </c>
      <c r="G355" s="1500">
        <f>G194/UDV.animal.total/G148</f>
        <v>0.18889520092135928</v>
      </c>
      <c r="H355" s="1527"/>
      <c r="I355" s="1500"/>
      <c r="J355" s="1500"/>
      <c r="K355" s="1500">
        <f>K194/UDV.animal.total/K148</f>
        <v>0.17892677661555795</v>
      </c>
      <c r="L355" s="1474"/>
      <c r="M355" s="1500"/>
      <c r="N355" s="1500"/>
      <c r="O355" s="1500">
        <f>O194/UDV.animal.total/O148</f>
        <v>0.18407993529218963</v>
      </c>
      <c r="P355" s="1474"/>
      <c r="Q355" s="1500"/>
      <c r="R355" s="1500"/>
      <c r="S355" s="1500">
        <f>S194/UDV.animal.total/S148</f>
        <v>0.18889125146825186</v>
      </c>
      <c r="T355" s="1474"/>
      <c r="U355" s="1500"/>
      <c r="V355" s="1500"/>
      <c r="W355" s="1500">
        <f>W194/UDV.animal.total/W148</f>
        <v>0.17482351992620401</v>
      </c>
      <c r="X355" s="1474"/>
      <c r="Y355" s="1500"/>
      <c r="Z355" s="1500"/>
      <c r="AA355" s="1500">
        <f>AA194/UDV.animal.total/AA148</f>
        <v>0.18889125146825186</v>
      </c>
      <c r="AB355" s="1474"/>
      <c r="AC355" s="1500"/>
      <c r="AD355" s="1500"/>
      <c r="AE355" s="1500">
        <f>AE194/UDV.animal.total/AE148</f>
        <v>0.16320195292707934</v>
      </c>
      <c r="AF355" s="49"/>
      <c r="AG355" s="1474"/>
      <c r="AH355" s="1500"/>
      <c r="AI355" s="1500"/>
      <c r="AJ355" s="1500">
        <f>AJ194/UDV.animal.total/AJ148</f>
        <v>0.15723814620535362</v>
      </c>
      <c r="AK355" s="1474"/>
      <c r="AL355" s="1500"/>
      <c r="AM355" s="1500"/>
      <c r="AN355" s="1500">
        <f>AN194/UDV.animal.total/AN148</f>
        <v>0.16320195292707934</v>
      </c>
      <c r="AO355" s="1474"/>
      <c r="AP355" s="1500"/>
      <c r="AQ355" s="1500"/>
      <c r="AR355" s="1500">
        <f>AR194/UDV.animal.total/AR148</f>
        <v>8.6061996220019921E-2</v>
      </c>
    </row>
    <row r="356" spans="1:44" x14ac:dyDescent="0.3">
      <c r="B356" s="49" t="s">
        <v>6428</v>
      </c>
      <c r="C356" s="49"/>
      <c r="D356" s="49"/>
      <c r="E356" s="49"/>
      <c r="F356" s="49" t="s">
        <v>2497</v>
      </c>
      <c r="G356" s="1500">
        <f>F232/UDV.animal.total</f>
        <v>5.5671132241536553E-2</v>
      </c>
      <c r="H356" s="1527"/>
      <c r="I356" s="1500"/>
      <c r="J356" s="1500"/>
      <c r="K356" s="1500">
        <f>J232/UDV.animal.total</f>
        <v>5.5671132241536553E-2</v>
      </c>
      <c r="L356" s="1474"/>
      <c r="M356" s="1500"/>
      <c r="N356" s="1500"/>
      <c r="O356" s="1500">
        <f>N232/UDV.animal.total</f>
        <v>5.5309366605758262E-2</v>
      </c>
      <c r="P356" s="1474"/>
      <c r="Q356" s="1500"/>
      <c r="R356" s="1500"/>
      <c r="S356" s="1500">
        <f>R232/UDV.animal.total</f>
        <v>5.4976149451669058E-2</v>
      </c>
      <c r="T356" s="1474"/>
      <c r="U356" s="1500"/>
      <c r="V356" s="1500"/>
      <c r="W356" s="1500">
        <f>V232/UDV.animal.total</f>
        <v>5.4976149451669058E-2</v>
      </c>
      <c r="X356" s="1474"/>
      <c r="Y356" s="1500"/>
      <c r="Z356" s="1500"/>
      <c r="AA356" s="1500">
        <f>Z232/UDV.animal.total</f>
        <v>5.4976149451669058E-2</v>
      </c>
      <c r="AB356" s="1474"/>
      <c r="AC356" s="1500"/>
      <c r="AD356" s="1500"/>
      <c r="AE356" s="1500">
        <f>AD232/UDV.animal.total</f>
        <v>5.4774675703313506E-2</v>
      </c>
      <c r="AF356" s="49"/>
      <c r="AG356" s="1474"/>
      <c r="AH356" s="1500"/>
      <c r="AI356" s="1500"/>
      <c r="AJ356" s="1500">
        <f>AI232/UDV.animal.total</f>
        <v>5.4774675703313506E-2</v>
      </c>
      <c r="AK356" s="1474"/>
      <c r="AL356" s="1500"/>
      <c r="AM356" s="1500"/>
      <c r="AN356" s="1500">
        <f>AM232/UDV.animal.total</f>
        <v>5.4774675703313611E-2</v>
      </c>
      <c r="AO356" s="1474"/>
      <c r="AP356" s="1500"/>
      <c r="AQ356" s="1500"/>
      <c r="AR356" s="1500">
        <f>AQ232/UDV.animal.total</f>
        <v>8.4582300456235715E-2</v>
      </c>
    </row>
    <row r="357" spans="1:44" x14ac:dyDescent="0.3">
      <c r="B357" s="49" t="s">
        <v>6429</v>
      </c>
      <c r="C357" s="49"/>
      <c r="D357" s="49"/>
      <c r="E357" s="49"/>
      <c r="F357" s="49" t="s">
        <v>2497</v>
      </c>
      <c r="G357" s="1500">
        <f>G232/UDV.animal.total/G148</f>
        <v>9.270620570171284E-2</v>
      </c>
      <c r="H357" s="1527"/>
      <c r="I357" s="1500"/>
      <c r="J357" s="1500"/>
      <c r="K357" s="1500">
        <f>K232/UDV.animal.total/K148</f>
        <v>8.7813890864130981E-2</v>
      </c>
      <c r="L357" s="1474"/>
      <c r="M357" s="1500"/>
      <c r="N357" s="1500"/>
      <c r="O357" s="1500">
        <f>O232/UDV.animal.total/O148</f>
        <v>9.0342964053704872E-2</v>
      </c>
      <c r="P357" s="1474"/>
      <c r="Q357" s="1500"/>
      <c r="R357" s="1500"/>
      <c r="S357" s="1500">
        <f>S232/UDV.animal.total/S148</f>
        <v>9.2704267384538006E-2</v>
      </c>
      <c r="T357" s="1474"/>
      <c r="U357" s="1500"/>
      <c r="V357" s="1500"/>
      <c r="W357" s="1500">
        <f>W232/UDV.animal.total/W148</f>
        <v>9.085074041094196E-2</v>
      </c>
      <c r="X357" s="1474"/>
      <c r="Y357" s="1500"/>
      <c r="Z357" s="1500"/>
      <c r="AA357" s="1500">
        <f>AA232/UDV.animal.total/AA148</f>
        <v>9.2704267384538006E-2</v>
      </c>
      <c r="AB357" s="1474"/>
      <c r="AC357" s="1500"/>
      <c r="AD357" s="1500"/>
      <c r="AE357" s="1500">
        <f>AE232/UDV.animal.total/AE148</f>
        <v>8.3429763496881554E-2</v>
      </c>
      <c r="AF357" s="49"/>
      <c r="AG357" s="1474"/>
      <c r="AH357" s="1500"/>
      <c r="AI357" s="1500"/>
      <c r="AJ357" s="1500">
        <f>AJ232/UDV.animal.total/AJ148</f>
        <v>9.1874486956802975E-2</v>
      </c>
      <c r="AK357" s="1474"/>
      <c r="AL357" s="1500"/>
      <c r="AM357" s="1500"/>
      <c r="AN357" s="1500">
        <f>AN232/UDV.animal.total/AN148</f>
        <v>8.9394455876532358E-2</v>
      </c>
      <c r="AO357" s="1474"/>
      <c r="AP357" s="1500"/>
      <c r="AQ357" s="1500"/>
      <c r="AR357" s="1500">
        <f>AR232/UDV.animal.total/AR148</f>
        <v>8.4913818271737912E-2</v>
      </c>
    </row>
    <row r="358" spans="1:44" s="90" customFormat="1" x14ac:dyDescent="0.3">
      <c r="A358" s="1326"/>
      <c r="B358" s="1668" t="s">
        <v>415</v>
      </c>
      <c r="C358" s="1669"/>
      <c r="D358" s="1670"/>
      <c r="E358" s="1670"/>
      <c r="F358" s="1680"/>
      <c r="G358" s="1671"/>
      <c r="H358" s="1617"/>
      <c r="I358" s="1680"/>
      <c r="J358" s="1680"/>
      <c r="K358" s="1684"/>
      <c r="L358" s="1680"/>
      <c r="M358" s="1680"/>
      <c r="N358" s="1680"/>
      <c r="O358" s="1684"/>
      <c r="P358" s="1680"/>
      <c r="Q358" s="1680"/>
      <c r="R358" s="1680"/>
      <c r="S358" s="1684"/>
      <c r="T358" s="1680"/>
      <c r="U358" s="1680"/>
      <c r="V358" s="1680"/>
      <c r="W358" s="1684"/>
      <c r="X358" s="1680"/>
      <c r="Y358" s="1680"/>
      <c r="Z358" s="1680"/>
      <c r="AA358" s="1684"/>
      <c r="AB358" s="1680"/>
      <c r="AC358" s="1680"/>
      <c r="AD358" s="1680"/>
      <c r="AE358" s="1684"/>
      <c r="AF358" s="1680"/>
      <c r="AG358" s="1680"/>
      <c r="AH358" s="1680"/>
      <c r="AI358" s="1680"/>
      <c r="AJ358" s="1684"/>
      <c r="AK358" s="1680"/>
      <c r="AL358" s="1680"/>
      <c r="AM358" s="1680"/>
      <c r="AN358" s="1684"/>
      <c r="AO358" s="1680"/>
      <c r="AP358" s="1680"/>
      <c r="AQ358" s="1680"/>
      <c r="AR358" s="1684"/>
    </row>
    <row r="359" spans="1:44" x14ac:dyDescent="0.3">
      <c r="B359" s="49" t="s">
        <v>6430</v>
      </c>
      <c r="C359" s="49"/>
      <c r="D359" s="49"/>
      <c r="E359" s="18"/>
      <c r="F359" s="18" t="s">
        <v>5838</v>
      </c>
      <c r="G359" s="1209">
        <f>G20*UC.L_to_m3*UC.year_to_day/UDV.animal.total</f>
        <v>0</v>
      </c>
      <c r="H359" s="1489"/>
      <c r="I359" s="1209"/>
      <c r="J359" s="1209"/>
      <c r="K359" s="1209">
        <f>K20*UC.L_to_m3*UC.year_to_day/UDV.animal.total</f>
        <v>0</v>
      </c>
      <c r="L359" s="1474"/>
      <c r="M359" s="1209"/>
      <c r="N359" s="1209"/>
      <c r="O359" s="1209">
        <f>O20*UC.L_to_m3*UC.year_to_day/UDV.animal.total</f>
        <v>0</v>
      </c>
      <c r="P359" s="1474"/>
      <c r="Q359" s="1209"/>
      <c r="R359" s="1209"/>
      <c r="S359" s="1209">
        <f>S20*UC.L_to_m3*UC.year_to_day/UDV.animal.total</f>
        <v>0</v>
      </c>
      <c r="T359" s="1474"/>
      <c r="U359" s="1209"/>
      <c r="V359" s="1209"/>
      <c r="W359" s="1209">
        <f>W20*UC.L_to_m3*UC.year_to_day/UDV.animal.total</f>
        <v>0</v>
      </c>
      <c r="X359" s="1474"/>
      <c r="Y359" s="1209"/>
      <c r="Z359" s="1209"/>
      <c r="AA359" s="1209">
        <f>AA20*UC.L_to_m3*UC.year_to_day/UDV.animal.total</f>
        <v>0</v>
      </c>
      <c r="AB359" s="1474"/>
      <c r="AC359" s="1209"/>
      <c r="AD359" s="1209"/>
      <c r="AE359" s="1209">
        <f>AE20*UC.L_to_m3*UC.year_to_day/UDV.animal.total</f>
        <v>0</v>
      </c>
      <c r="AF359" s="49"/>
      <c r="AG359" s="1474"/>
      <c r="AH359" s="1209"/>
      <c r="AI359" s="1209"/>
      <c r="AJ359" s="1209">
        <f>AJ20*UC.L_to_m3*UC.year_to_day/UDV.animal.total</f>
        <v>0</v>
      </c>
      <c r="AK359" s="1474"/>
      <c r="AL359" s="1209"/>
      <c r="AM359" s="1209"/>
      <c r="AN359" s="1209">
        <f>AN20*UC.L_to_m3*UC.year_to_day/UDV.animal.total</f>
        <v>0</v>
      </c>
      <c r="AO359" s="1474"/>
      <c r="AP359" s="1209"/>
      <c r="AQ359" s="1209"/>
      <c r="AR359" s="1209">
        <f>AR20*UC.L_to_m3*UC.year_to_day/UDV.animal.total</f>
        <v>0</v>
      </c>
    </row>
    <row r="360" spans="1:44" x14ac:dyDescent="0.3">
      <c r="B360" s="49" t="s">
        <v>6431</v>
      </c>
      <c r="C360" s="49"/>
      <c r="D360" s="49"/>
      <c r="E360" s="18"/>
      <c r="F360" s="18" t="s">
        <v>5838</v>
      </c>
      <c r="G360" s="1209">
        <f>G60*UC.year_to_day/G40/UDV.animal.total</f>
        <v>0.11303227729987383</v>
      </c>
      <c r="H360" s="1489"/>
      <c r="I360" s="1209"/>
      <c r="J360" s="1209"/>
      <c r="K360" s="1209">
        <f>K60*UC.year_to_day/K40/UDV.animal.total</f>
        <v>0.11303227729987383</v>
      </c>
      <c r="L360" s="1474"/>
      <c r="M360" s="1209"/>
      <c r="N360" s="1209"/>
      <c r="O360" s="1209">
        <f>O60*UC.year_to_day/O40/UDV.animal.total</f>
        <v>0.20147702075242208</v>
      </c>
      <c r="P360" s="1474"/>
      <c r="Q360" s="1209"/>
      <c r="R360" s="1209"/>
      <c r="S360" s="1209">
        <f>S60*UC.year_to_day/S40/UDV.animal.total</f>
        <v>0.42748609082249117</v>
      </c>
      <c r="T360" s="1474"/>
      <c r="U360" s="1209"/>
      <c r="V360" s="1209"/>
      <c r="W360" s="1209">
        <f>W60*UC.year_to_day/W40/UDV.animal.total</f>
        <v>0.42748609082249117</v>
      </c>
      <c r="X360" s="1474"/>
      <c r="Y360" s="1209"/>
      <c r="Z360" s="1209"/>
      <c r="AA360" s="1209">
        <f>AA60*UC.year_to_day/AA40/UDV.animal.total</f>
        <v>0.42748609082249117</v>
      </c>
      <c r="AB360" s="1474"/>
      <c r="AC360" s="1209"/>
      <c r="AD360" s="1209"/>
      <c r="AE360" s="1209">
        <f>AE60*UC.year_to_day/AE40/UDV.animal.total</f>
        <v>0.47053708606504846</v>
      </c>
      <c r="AF360" s="49"/>
      <c r="AG360" s="1474"/>
      <c r="AH360" s="1209"/>
      <c r="AI360" s="1209"/>
      <c r="AJ360" s="1209">
        <f>AJ60*UC.year_to_day/AJ40/UDV.animal.total</f>
        <v>0.47053708606504846</v>
      </c>
      <c r="AK360" s="1474"/>
      <c r="AL360" s="1209"/>
      <c r="AM360" s="1209"/>
      <c r="AN360" s="1209">
        <f>AN60*UC.year_to_day/AN40/UDV.animal.total</f>
        <v>0.47053708606504846</v>
      </c>
      <c r="AO360" s="1474"/>
      <c r="AP360" s="1209"/>
      <c r="AQ360" s="1209"/>
      <c r="AR360" s="1209">
        <f>AR60*UC.year_to_day/AR40/UDV.animal.total</f>
        <v>3.8879315275851707</v>
      </c>
    </row>
    <row r="361" spans="1:44" x14ac:dyDescent="0.3">
      <c r="A361" s="711"/>
      <c r="B361" s="1668" t="s">
        <v>5756</v>
      </c>
      <c r="C361" s="1669"/>
      <c r="D361" s="1670"/>
      <c r="E361" s="1670"/>
      <c r="F361" s="1680"/>
      <c r="G361" s="1671"/>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1617"/>
      <c r="AD361" s="1617"/>
      <c r="AE361" s="1617"/>
      <c r="AF361" s="1617"/>
      <c r="AG361" s="1617"/>
      <c r="AH361" s="1617"/>
      <c r="AI361" s="1617"/>
      <c r="AJ361" s="1617"/>
      <c r="AK361" s="1617"/>
      <c r="AL361" s="1617"/>
      <c r="AM361" s="1617"/>
      <c r="AN361" s="1617"/>
      <c r="AO361" s="1617"/>
      <c r="AP361" s="1617"/>
      <c r="AQ361" s="1617"/>
      <c r="AR361" s="1617"/>
    </row>
    <row r="362" spans="1:44" x14ac:dyDescent="0.3">
      <c r="B362" s="49" t="s">
        <v>5757</v>
      </c>
      <c r="C362" s="49"/>
      <c r="D362" s="49"/>
      <c r="E362" s="1353"/>
      <c r="F362" s="1353" t="s">
        <v>2385</v>
      </c>
      <c r="G362" s="1209">
        <f>F68*F63/UDV.animal.total</f>
        <v>5.3096596339166879</v>
      </c>
      <c r="H362" s="1489"/>
      <c r="I362" s="1209"/>
      <c r="J362" s="1209"/>
      <c r="K362" s="1209">
        <f>J68*J63/UDV.animal.total</f>
        <v>6.0688727739166897</v>
      </c>
      <c r="L362" s="1474"/>
      <c r="M362" s="1209"/>
      <c r="N362" s="1209"/>
      <c r="O362" s="1209">
        <f>N68*N63/UDV.animal.total</f>
        <v>5.6892662039166897</v>
      </c>
      <c r="P362" s="1474"/>
      <c r="Q362" s="1209"/>
      <c r="R362" s="1209"/>
      <c r="S362" s="1209">
        <f>R68*R63/UDV.animal.total</f>
        <v>4.9104212914232273</v>
      </c>
      <c r="T362" s="1474"/>
      <c r="U362" s="1209"/>
      <c r="V362" s="1209"/>
      <c r="W362" s="1209">
        <f>V68*V63/UDV.animal.total</f>
        <v>5.6125484755407298</v>
      </c>
      <c r="X362" s="1474"/>
      <c r="Y362" s="1209"/>
      <c r="Z362" s="1209"/>
      <c r="AA362" s="1209">
        <f>Z68*Z63/UDV.animal.total</f>
        <v>5.2614848834819785</v>
      </c>
      <c r="AB362" s="1474"/>
      <c r="AC362" s="1209"/>
      <c r="AD362" s="1209"/>
      <c r="AE362" s="1209">
        <f>AD68*AD63/UDV.animal.total</f>
        <v>4.770244754277444</v>
      </c>
      <c r="AF362" s="49"/>
      <c r="AG362" s="1474"/>
      <c r="AH362" s="1209"/>
      <c r="AI362" s="1209"/>
      <c r="AJ362" s="1209">
        <f>AI68*AI63/UDV.animal.total</f>
        <v>5.4523284937566165</v>
      </c>
      <c r="AK362" s="1474"/>
      <c r="AL362" s="1209"/>
      <c r="AM362" s="1209"/>
      <c r="AN362" s="1209">
        <f>AM68*AM63/UDV.animal.total</f>
        <v>5.1112866240170316</v>
      </c>
      <c r="AO362" s="1474"/>
      <c r="AP362" s="1209"/>
      <c r="AQ362" s="1209"/>
      <c r="AR362" s="1209">
        <f>AQ68*AQ63/UDV.animal.total</f>
        <v>4.8550982191333514</v>
      </c>
    </row>
    <row r="363" spans="1:44" x14ac:dyDescent="0.3">
      <c r="B363" s="49" t="s">
        <v>5758</v>
      </c>
      <c r="C363" s="49"/>
      <c r="D363" s="49"/>
      <c r="E363" s="1353"/>
      <c r="F363" s="1353" t="s">
        <v>2385</v>
      </c>
      <c r="G363" s="1209">
        <f>F69*F63/UDV.animal.total</f>
        <v>3.6537102250000002</v>
      </c>
      <c r="H363" s="1489"/>
      <c r="I363" s="1209"/>
      <c r="J363" s="1209"/>
      <c r="K363" s="1209">
        <f>J69*J63/UDV.animal.total</f>
        <v>3.6537102250000002</v>
      </c>
      <c r="L363" s="1474"/>
      <c r="M363" s="1209"/>
      <c r="N363" s="1209"/>
      <c r="O363" s="1209">
        <f>N69*N63/UDV.animal.total</f>
        <v>3.6537102250000002</v>
      </c>
      <c r="P363" s="1474"/>
      <c r="Q363" s="1209"/>
      <c r="R363" s="1209"/>
      <c r="S363" s="1209">
        <f>R69*R63/UDV.animal.total</f>
        <v>3.6537102250000002</v>
      </c>
      <c r="T363" s="1474"/>
      <c r="U363" s="1209"/>
      <c r="V363" s="1209"/>
      <c r="W363" s="1209">
        <f>V69*V63/UDV.animal.total</f>
        <v>3.6537102250000002</v>
      </c>
      <c r="X363" s="1474"/>
      <c r="Y363" s="1209"/>
      <c r="Z363" s="1209"/>
      <c r="AA363" s="1209">
        <f>Z69*Z63/UDV.animal.total</f>
        <v>3.6537102250000002</v>
      </c>
      <c r="AB363" s="1474"/>
      <c r="AC363" s="1209"/>
      <c r="AD363" s="1209"/>
      <c r="AE363" s="1209">
        <f>AD69*AD63/UDV.animal.total</f>
        <v>3.6537102250000002</v>
      </c>
      <c r="AF363" s="49"/>
      <c r="AG363" s="1474"/>
      <c r="AH363" s="1209"/>
      <c r="AI363" s="1209"/>
      <c r="AJ363" s="1209">
        <f>AI69*AI63/UDV.animal.total</f>
        <v>3.6537102250000002</v>
      </c>
      <c r="AK363" s="1474"/>
      <c r="AL363" s="1209"/>
      <c r="AM363" s="1209"/>
      <c r="AN363" s="1209">
        <f>AM69*AM63/UDV.animal.total</f>
        <v>3.6537102250000002</v>
      </c>
      <c r="AO363" s="1474"/>
      <c r="AP363" s="1209"/>
      <c r="AQ363" s="1209"/>
      <c r="AR363" s="1209">
        <f>AQ69*AQ63/UDV.animal.total</f>
        <v>2.3749116462500002</v>
      </c>
    </row>
    <row r="364" spans="1:44" x14ac:dyDescent="0.3">
      <c r="B364" s="49" t="s">
        <v>5759</v>
      </c>
      <c r="C364" s="49"/>
      <c r="D364" s="49"/>
      <c r="E364" s="1353"/>
      <c r="F364" s="1353" t="s">
        <v>2385</v>
      </c>
      <c r="G364" s="1209">
        <f>F70*F63/UDV.animal.total</f>
        <v>5.5517686249999993</v>
      </c>
      <c r="H364" s="1489"/>
      <c r="I364" s="1209"/>
      <c r="J364" s="1209"/>
      <c r="K364" s="1209">
        <f>J70*J63/UDV.animal.total</f>
        <v>5.5517686249999993</v>
      </c>
      <c r="L364" s="1474"/>
      <c r="M364" s="1209"/>
      <c r="N364" s="1209"/>
      <c r="O364" s="1209">
        <f>N70*N63/UDV.animal.total</f>
        <v>5.5517686249999993</v>
      </c>
      <c r="P364" s="1474"/>
      <c r="Q364" s="1209"/>
      <c r="R364" s="1209"/>
      <c r="S364" s="1209">
        <f>R70*R63/UDV.animal.total</f>
        <v>5.5517686249999993</v>
      </c>
      <c r="T364" s="1474"/>
      <c r="U364" s="1209"/>
      <c r="V364" s="1209"/>
      <c r="W364" s="1209">
        <f>V70*V63/UDV.animal.total</f>
        <v>5.5517686249999993</v>
      </c>
      <c r="X364" s="1474"/>
      <c r="Y364" s="1209"/>
      <c r="Z364" s="1209"/>
      <c r="AA364" s="1209">
        <f>Z70*Z63/UDV.animal.total</f>
        <v>5.5517686249999993</v>
      </c>
      <c r="AB364" s="1474"/>
      <c r="AC364" s="1209"/>
      <c r="AD364" s="1209"/>
      <c r="AE364" s="1209">
        <f>AD70*AD63/UDV.animal.total</f>
        <v>5.5517686249999993</v>
      </c>
      <c r="AF364" s="49"/>
      <c r="AG364" s="1474"/>
      <c r="AH364" s="1209"/>
      <c r="AI364" s="1209"/>
      <c r="AJ364" s="1209">
        <f>AI70*AI63/UDV.animal.total</f>
        <v>5.5517686249999993</v>
      </c>
      <c r="AK364" s="1474"/>
      <c r="AL364" s="1209"/>
      <c r="AM364" s="1209"/>
      <c r="AN364" s="1209">
        <f>AM70*AM63/UDV.animal.total</f>
        <v>5.5517686249999993</v>
      </c>
      <c r="AO364" s="1474"/>
      <c r="AP364" s="1209"/>
      <c r="AQ364" s="1209"/>
      <c r="AR364" s="1209">
        <f>AQ70*AQ63/UDV.animal.total</f>
        <v>3.8862380375000001</v>
      </c>
    </row>
    <row r="365" spans="1:44" x14ac:dyDescent="0.3">
      <c r="A365" s="711"/>
      <c r="B365" s="1668" t="s">
        <v>6432</v>
      </c>
      <c r="C365" s="1669"/>
      <c r="D365" s="1670"/>
      <c r="E365" s="1670"/>
      <c r="F365" s="1680"/>
      <c r="G365" s="1671"/>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1617"/>
      <c r="AD365" s="1617"/>
      <c r="AE365" s="1617"/>
      <c r="AF365" s="1617"/>
      <c r="AG365" s="1617"/>
      <c r="AH365" s="1617"/>
      <c r="AI365" s="1617"/>
      <c r="AJ365" s="1617"/>
      <c r="AK365" s="1617"/>
      <c r="AL365" s="1617"/>
      <c r="AM365" s="1617"/>
      <c r="AN365" s="1617"/>
      <c r="AO365" s="1617"/>
      <c r="AP365" s="1617"/>
      <c r="AQ365" s="1617"/>
      <c r="AR365" s="1617"/>
    </row>
    <row r="366" spans="1:44" x14ac:dyDescent="0.3">
      <c r="B366" s="49" t="s">
        <v>6433</v>
      </c>
      <c r="C366" s="49"/>
      <c r="D366" s="49"/>
      <c r="E366" s="1353"/>
      <c r="F366" s="1353" t="s">
        <v>2385</v>
      </c>
      <c r="G366" s="1209">
        <f>G68*G63/UDV.animal.total</f>
        <v>1.3274149084791718</v>
      </c>
      <c r="H366" s="1489"/>
      <c r="I366" s="1209"/>
      <c r="J366" s="1209"/>
      <c r="K366" s="1209">
        <f>K68*K63/UDV.animal.total</f>
        <v>1.5172181934791722</v>
      </c>
      <c r="L366" s="1474"/>
      <c r="M366" s="1209"/>
      <c r="N366" s="1209"/>
      <c r="O366" s="1209">
        <f>O68*O63/UDV.animal.total</f>
        <v>1.4223165509791718</v>
      </c>
      <c r="P366" s="1474"/>
      <c r="Q366" s="1209"/>
      <c r="R366" s="1209"/>
      <c r="S366" s="1209">
        <f>S68*S63/UDV.animal.total</f>
        <v>1.2276053228558064</v>
      </c>
      <c r="T366" s="1474"/>
      <c r="U366" s="1209"/>
      <c r="V366" s="1209"/>
      <c r="W366" s="1209">
        <f>W68*W63/UDV.animal.total</f>
        <v>1.4031371188851822</v>
      </c>
      <c r="X366" s="1474"/>
      <c r="Y366" s="1209"/>
      <c r="Z366" s="1209"/>
      <c r="AA366" s="1209">
        <f>AA68*AA63/UDV.animal.total</f>
        <v>1.3153712208704942</v>
      </c>
      <c r="AB366" s="1474"/>
      <c r="AC366" s="1209"/>
      <c r="AD366" s="1209"/>
      <c r="AE366" s="1209">
        <f>AE68*AE63/UDV.animal.total</f>
        <v>1.1925611885693608</v>
      </c>
      <c r="AF366" s="49"/>
      <c r="AG366" s="1474"/>
      <c r="AH366" s="1209"/>
      <c r="AI366" s="1209"/>
      <c r="AJ366" s="1209">
        <f>AJ68*AJ63/UDV.animal.total</f>
        <v>1.3630821234391541</v>
      </c>
      <c r="AK366" s="1474"/>
      <c r="AL366" s="1209"/>
      <c r="AM366" s="1209"/>
      <c r="AN366" s="1209">
        <f>AN68*AN63/UDV.animal.total</f>
        <v>1.2778216560042575</v>
      </c>
      <c r="AO366" s="1474"/>
      <c r="AP366" s="1209"/>
      <c r="AQ366" s="1209"/>
      <c r="AR366" s="1209">
        <f>AR68*AR63/UDV.animal.total</f>
        <v>1.2137745547833374</v>
      </c>
    </row>
    <row r="367" spans="1:44" x14ac:dyDescent="0.3">
      <c r="B367" s="49" t="s">
        <v>6434</v>
      </c>
      <c r="C367" s="49"/>
      <c r="D367" s="49"/>
      <c r="E367" s="1353"/>
      <c r="F367" s="1353" t="s">
        <v>2385</v>
      </c>
      <c r="G367" s="1209">
        <f>G69*G63/UDV.animal.total</f>
        <v>2.9893992749999998</v>
      </c>
      <c r="H367" s="1489"/>
      <c r="I367" s="1209"/>
      <c r="J367" s="1209"/>
      <c r="K367" s="1209">
        <f>K69*K63/UDV.animal.total</f>
        <v>2.9893992749999998</v>
      </c>
      <c r="L367" s="1474"/>
      <c r="M367" s="1209"/>
      <c r="N367" s="1209"/>
      <c r="O367" s="1209">
        <f>O69*O63/UDV.animal.total</f>
        <v>2.9893992749999998</v>
      </c>
      <c r="P367" s="1474"/>
      <c r="Q367" s="1209"/>
      <c r="R367" s="1209"/>
      <c r="S367" s="1209">
        <f>S69*S63/UDV.animal.total</f>
        <v>2.9893992749999998</v>
      </c>
      <c r="T367" s="1474"/>
      <c r="U367" s="1209"/>
      <c r="V367" s="1209"/>
      <c r="W367" s="1209">
        <f>W69*W63/UDV.animal.total</f>
        <v>2.9893992749999998</v>
      </c>
      <c r="X367" s="1474"/>
      <c r="Y367" s="1209"/>
      <c r="Z367" s="1209"/>
      <c r="AA367" s="1209">
        <f>AA69*AA63/UDV.animal.total</f>
        <v>2.9893992749999998</v>
      </c>
      <c r="AB367" s="1474"/>
      <c r="AC367" s="1209"/>
      <c r="AD367" s="1209"/>
      <c r="AE367" s="1209">
        <f>AE69*AE63/UDV.animal.total</f>
        <v>2.9893992749999998</v>
      </c>
      <c r="AF367" s="49"/>
      <c r="AG367" s="1474"/>
      <c r="AH367" s="1209"/>
      <c r="AI367" s="1209"/>
      <c r="AJ367" s="1209">
        <f>AJ69*AJ63/UDV.animal.total</f>
        <v>2.9893992749999998</v>
      </c>
      <c r="AK367" s="1474"/>
      <c r="AL367" s="1209"/>
      <c r="AM367" s="1209"/>
      <c r="AN367" s="1209">
        <f>AN69*AN63/UDV.animal.total</f>
        <v>2.9893992749999998</v>
      </c>
      <c r="AO367" s="1474"/>
      <c r="AP367" s="1209"/>
      <c r="AQ367" s="1209"/>
      <c r="AR367" s="1209">
        <f>AR69*AR63/UDV.animal.total</f>
        <v>1.9431095287499998</v>
      </c>
    </row>
    <row r="368" spans="1:44" x14ac:dyDescent="0.3">
      <c r="B368" s="49" t="s">
        <v>6435</v>
      </c>
      <c r="C368" s="49"/>
      <c r="D368" s="49"/>
      <c r="E368" s="1353"/>
      <c r="F368" s="1353" t="s">
        <v>2385</v>
      </c>
      <c r="G368" s="1209">
        <f>G70*G63/UDV.animal.total</f>
        <v>2.9894138749999994</v>
      </c>
      <c r="H368" s="1489"/>
      <c r="I368" s="1209"/>
      <c r="J368" s="1209"/>
      <c r="K368" s="1209">
        <f>K70*K63/UDV.animal.total</f>
        <v>2.9894138749999994</v>
      </c>
      <c r="L368" s="1474"/>
      <c r="M368" s="1209"/>
      <c r="N368" s="1209"/>
      <c r="O368" s="1209">
        <f>O70*O63/UDV.animal.total</f>
        <v>2.9894138749999994</v>
      </c>
      <c r="P368" s="1474"/>
      <c r="Q368" s="1209"/>
      <c r="R368" s="1209"/>
      <c r="S368" s="1209">
        <f>S70*S63/UDV.animal.total</f>
        <v>2.9894138749999994</v>
      </c>
      <c r="T368" s="1474"/>
      <c r="U368" s="1209"/>
      <c r="V368" s="1209"/>
      <c r="W368" s="1209">
        <f>W70*W63/UDV.animal.total</f>
        <v>2.9894138749999994</v>
      </c>
      <c r="X368" s="1474"/>
      <c r="Y368" s="1209"/>
      <c r="Z368" s="1209"/>
      <c r="AA368" s="1209">
        <f>AA70*AA63/UDV.animal.total</f>
        <v>2.9894138749999994</v>
      </c>
      <c r="AB368" s="1474"/>
      <c r="AC368" s="1209"/>
      <c r="AD368" s="1209"/>
      <c r="AE368" s="1209">
        <f>AE70*AE63/UDV.animal.total</f>
        <v>2.9894138749999994</v>
      </c>
      <c r="AF368" s="49"/>
      <c r="AG368" s="1474"/>
      <c r="AH368" s="1209"/>
      <c r="AI368" s="1209"/>
      <c r="AJ368" s="1209">
        <f>AJ70*AJ63/UDV.animal.total</f>
        <v>2.9894138749999994</v>
      </c>
      <c r="AK368" s="1474"/>
      <c r="AL368" s="1209"/>
      <c r="AM368" s="1209"/>
      <c r="AN368" s="1209">
        <f>AN70*AN63/UDV.animal.total</f>
        <v>2.9894138749999994</v>
      </c>
      <c r="AO368" s="1474"/>
      <c r="AP368" s="1209"/>
      <c r="AQ368" s="1209"/>
      <c r="AR368" s="1209">
        <f>AR70*AR63/UDV.animal.total</f>
        <v>2.0925897124999997</v>
      </c>
    </row>
    <row r="369" spans="1:44" x14ac:dyDescent="0.3">
      <c r="A369" s="711"/>
      <c r="B369" s="1668" t="s">
        <v>5760</v>
      </c>
      <c r="C369" s="1669"/>
      <c r="D369" s="1670"/>
      <c r="E369" s="1670"/>
      <c r="F369" s="1680"/>
      <c r="G369" s="1671"/>
      <c r="H369" s="1617"/>
      <c r="I369" s="1617"/>
      <c r="J369" s="1617"/>
      <c r="K369" s="1617"/>
      <c r="L369" s="1617"/>
      <c r="M369" s="1617"/>
      <c r="N369" s="1617"/>
      <c r="O369" s="1617"/>
      <c r="P369" s="1617"/>
      <c r="Q369" s="1617"/>
      <c r="R369" s="1617"/>
      <c r="S369" s="1617"/>
      <c r="T369" s="1617"/>
      <c r="U369" s="1617"/>
      <c r="V369" s="1617"/>
      <c r="W369" s="1617"/>
      <c r="X369" s="1617"/>
      <c r="Y369" s="1617"/>
      <c r="Z369" s="1617"/>
      <c r="AA369" s="1617"/>
      <c r="AB369" s="1617"/>
      <c r="AC369" s="1617"/>
      <c r="AD369" s="1617"/>
      <c r="AE369" s="1617"/>
      <c r="AF369" s="1617"/>
      <c r="AG369" s="1617"/>
      <c r="AH369" s="1617"/>
      <c r="AI369" s="1617"/>
      <c r="AJ369" s="1617"/>
      <c r="AK369" s="1617"/>
      <c r="AL369" s="1617"/>
      <c r="AM369" s="1617"/>
      <c r="AN369" s="1617"/>
      <c r="AO369" s="1617"/>
      <c r="AP369" s="1617"/>
      <c r="AQ369" s="1617"/>
      <c r="AR369" s="1617"/>
    </row>
    <row r="370" spans="1:44" x14ac:dyDescent="0.3">
      <c r="B370" s="49" t="s">
        <v>6436</v>
      </c>
      <c r="C370" s="49"/>
      <c r="D370" s="49"/>
      <c r="E370" s="1353"/>
      <c r="F370" s="1353" t="s">
        <v>2385</v>
      </c>
      <c r="G370" s="1209">
        <f>(MAX(F108,0)*F113 + MAX(E108,0)*E113)*UC.lb_to_kg/UDV.animal.total</f>
        <v>0</v>
      </c>
      <c r="H370" s="1489"/>
      <c r="I370" s="1209"/>
      <c r="J370" s="1209"/>
      <c r="K370" s="1209">
        <f>(MAX(J108,0)*J113 + MAX(I108,0)*I113)*UC.lb_to_kg/UDV.animal.total</f>
        <v>0</v>
      </c>
      <c r="L370" s="1474"/>
      <c r="M370" s="1209"/>
      <c r="N370" s="1209"/>
      <c r="O370" s="1209">
        <f>(MAX(N108,0)*N113 + MAX(M108,0)*M113)*UC.lb_to_kg/UDV.animal.total</f>
        <v>0</v>
      </c>
      <c r="P370" s="1474"/>
      <c r="Q370" s="1209"/>
      <c r="R370" s="1209"/>
      <c r="S370" s="1209">
        <f>(MAX(R108,0)*R113 + MAX(Q108,0)*Q113)*UC.lb_to_kg/UDV.animal.total</f>
        <v>0</v>
      </c>
      <c r="T370" s="1474"/>
      <c r="U370" s="1209"/>
      <c r="V370" s="1209"/>
      <c r="W370" s="1209">
        <f>(MAX(V108,0)*V113 + MAX(U108,0)*U113)*UC.lb_to_kg/UDV.animal.total</f>
        <v>0</v>
      </c>
      <c r="X370" s="1474"/>
      <c r="Y370" s="1209"/>
      <c r="Z370" s="1209"/>
      <c r="AA370" s="1209">
        <f>(MAX(Z108,0)*Z113 + MAX(Y108,0)*Y113)*UC.lb_to_kg/UDV.animal.total</f>
        <v>0</v>
      </c>
      <c r="AB370" s="1474"/>
      <c r="AC370" s="1209"/>
      <c r="AD370" s="1209"/>
      <c r="AE370" s="1209">
        <f>(MAX(AD108,0)*AD113 + MAX(AC108,0)*AC113)*UC.lb_to_kg/UDV.animal.total</f>
        <v>0</v>
      </c>
      <c r="AF370" s="49"/>
      <c r="AG370" s="1474"/>
      <c r="AH370" s="1209"/>
      <c r="AI370" s="1209"/>
      <c r="AJ370" s="1209">
        <f>(MAX(AI108,0)*AI113 + MAX(AH108,0)*AH113)*UC.lb_to_kg/UDV.animal.total</f>
        <v>0</v>
      </c>
      <c r="AK370" s="1474"/>
      <c r="AL370" s="1209"/>
      <c r="AM370" s="1209"/>
      <c r="AN370" s="1209">
        <f>(MAX(AM108,0)*AM113 + MAX(AL108,0)*AL113)*UC.lb_to_kg/UDV.animal.total</f>
        <v>0</v>
      </c>
      <c r="AO370" s="1474"/>
      <c r="AP370" s="1209"/>
      <c r="AQ370" s="1209"/>
      <c r="AR370" s="1209">
        <f>(MAX(AQ108,0)*AQ113 + MAX(AP108,0)*AP113)*UC.lb_to_kg/UDV.animal.total</f>
        <v>0</v>
      </c>
    </row>
    <row r="371" spans="1:44" x14ac:dyDescent="0.3">
      <c r="B371" s="49" t="s">
        <v>6437</v>
      </c>
      <c r="C371" s="49"/>
      <c r="D371" s="49"/>
      <c r="E371" s="1353"/>
      <c r="F371" s="1353" t="s">
        <v>2385</v>
      </c>
      <c r="G371" s="1209">
        <f>(MAX(F109,0)*F113 + MAX(E109,0)*E113)*UC.lb_to_kg/UDV.animal.total</f>
        <v>2.032259132599052</v>
      </c>
      <c r="H371" s="1489"/>
      <c r="I371" s="1209"/>
      <c r="J371" s="1209"/>
      <c r="K371" s="1209">
        <f>(MAX(J109,0)*J113 + MAX(I109,0)*I113)*UC.lb_to_kg/UDV.animal.total</f>
        <v>1.844878050099487</v>
      </c>
      <c r="L371" s="1474"/>
      <c r="M371" s="1209"/>
      <c r="N371" s="1209"/>
      <c r="O371" s="1209">
        <f>(MAX(N109,0)*N113 + MAX(M109,0)*M113)*UC.lb_to_kg/UDV.animal.total</f>
        <v>1.9417443573008482</v>
      </c>
      <c r="P371" s="1474"/>
      <c r="Q371" s="1209"/>
      <c r="R371" s="1209"/>
      <c r="S371" s="1209">
        <f>(MAX(R109,0)*R113 + MAX(Q109,0)*Q113)*UC.lb_to_kg/UDV.animal.total</f>
        <v>2.130513427129161</v>
      </c>
      <c r="T371" s="1474"/>
      <c r="U371" s="1209"/>
      <c r="V371" s="1209"/>
      <c r="W371" s="1209">
        <f>(MAX(V109,0)*V113 + MAX(U109,0)*U113)*UC.lb_to_kg/UDV.animal.total</f>
        <v>1.9611927547661674</v>
      </c>
      <c r="X371" s="1474"/>
      <c r="Y371" s="1209"/>
      <c r="Z371" s="1209"/>
      <c r="AA371" s="1209">
        <f>(MAX(Z109,0)*Z113 + MAX(Y109,0)*Y113)*UC.lb_to_kg/UDV.animal.total</f>
        <v>2.0458530909476651</v>
      </c>
      <c r="AB371" s="1474"/>
      <c r="AC371" s="1209"/>
      <c r="AD371" s="1209"/>
      <c r="AE371" s="1209">
        <f>(MAX(AD109,0)*AD113 + MAX(AC109,0)*AC113)*UC.lb_to_kg/UDV.animal.total</f>
        <v>2.1648905010812505</v>
      </c>
      <c r="AF371" s="49"/>
      <c r="AG371" s="1474"/>
      <c r="AH371" s="1209"/>
      <c r="AI371" s="1209"/>
      <c r="AJ371" s="1209">
        <f>(MAX(AI109,0)*AI113 + MAX(AH109,0)*AH113)*UC.lb_to_kg/UDV.animal.total</f>
        <v>2.0004033825236096</v>
      </c>
      <c r="AK371" s="1474"/>
      <c r="AL371" s="1209"/>
      <c r="AM371" s="1209"/>
      <c r="AN371" s="1209">
        <f>(MAX(AM109,0)*AM113 + MAX(AL109,0)*AL113)*UC.lb_to_kg/UDV.animal.total</f>
        <v>2.0826469418024298</v>
      </c>
      <c r="AO371" s="1474"/>
      <c r="AP371" s="1209"/>
      <c r="AQ371" s="1209"/>
      <c r="AR371" s="1209">
        <f>(MAX(AQ109,0)*AQ113 + MAX(AP109,0)*AP113)*UC.lb_to_kg/UDV.animal.total</f>
        <v>0.85972385577482757</v>
      </c>
    </row>
    <row r="372" spans="1:44" x14ac:dyDescent="0.3">
      <c r="B372" s="49" t="s">
        <v>6438</v>
      </c>
      <c r="C372" s="49"/>
      <c r="D372" s="49"/>
      <c r="E372" s="1353"/>
      <c r="F372" s="1353" t="s">
        <v>2385</v>
      </c>
      <c r="G372" s="1209">
        <f>(MAX(F110,0)*F113 + MAX(E110,0)*E113)*UC.lb_to_kg/UDV.animal.total</f>
        <v>3.1974249456758326</v>
      </c>
      <c r="H372" s="1489"/>
      <c r="I372" s="1209"/>
      <c r="J372" s="1209"/>
      <c r="K372" s="1209">
        <f>(MAX(J110,0)*J113 + MAX(I110,0)*I113)*UC.lb_to_kg/UDV.animal.total</f>
        <v>2.8908013561310897</v>
      </c>
      <c r="L372" s="1474"/>
      <c r="M372" s="1209"/>
      <c r="N372" s="1209"/>
      <c r="O372" s="1209">
        <f>(MAX(N110,0)*N113 + MAX(M110,0)*M113)*UC.lb_to_kg/UDV.animal.total</f>
        <v>3.0493098588242256</v>
      </c>
      <c r="P372" s="1474"/>
      <c r="Q372" s="1209"/>
      <c r="R372" s="1209"/>
      <c r="S372" s="1209">
        <f>(MAX(R110,0)*R113 + MAX(Q110,0)*Q113)*UC.lb_to_kg/UDV.animal.total</f>
        <v>3.358204700361465</v>
      </c>
      <c r="T372" s="1474"/>
      <c r="U372" s="1209"/>
      <c r="V372" s="1209"/>
      <c r="W372" s="1209">
        <f>(MAX(V110,0)*V113 + MAX(U110,0)*U113)*UC.lb_to_kg/UDV.animal.total</f>
        <v>3.0811345092220215</v>
      </c>
      <c r="X372" s="1474"/>
      <c r="Y372" s="1209"/>
      <c r="Z372" s="1209"/>
      <c r="AA372" s="1209">
        <f>(MAX(Z110,0)*Z113 + MAX(Y110,0)*Y113)*UC.lb_to_kg/UDV.animal.total</f>
        <v>3.2196696047917435</v>
      </c>
      <c r="AB372" s="1474"/>
      <c r="AC372" s="1209"/>
      <c r="AD372" s="1209"/>
      <c r="AE372" s="1209">
        <f>(MAX(AD110,0)*AD113 + MAX(AC110,0)*AC113)*UC.lb_to_kg/UDV.animal.total</f>
        <v>3.4144580941012492</v>
      </c>
      <c r="AF372" s="49"/>
      <c r="AG372" s="1474"/>
      <c r="AH372" s="1209"/>
      <c r="AI372" s="1209"/>
      <c r="AJ372" s="1209">
        <f>(MAX(AI110,0)*AI113 + MAX(AH110,0)*AH113)*UC.lb_to_kg/UDV.animal.total</f>
        <v>3.1452973546432905</v>
      </c>
      <c r="AK372" s="1474"/>
      <c r="AL372" s="1209"/>
      <c r="AM372" s="1209"/>
      <c r="AN372" s="1209">
        <f>(MAX(AM110,0)*AM113 + MAX(AL110,0)*AL113)*UC.lb_to_kg/UDV.animal.total</f>
        <v>3.2798777243722697</v>
      </c>
      <c r="AO372" s="1474"/>
      <c r="AP372" s="1209"/>
      <c r="AQ372" s="1209"/>
      <c r="AR372" s="1209">
        <f>(MAX(AQ110,0)*AQ113 + MAX(AP110,0)*AP113)*UC.lb_to_kg/UDV.animal.total</f>
        <v>1.5817177959625441</v>
      </c>
    </row>
    <row r="373" spans="1:44" x14ac:dyDescent="0.3">
      <c r="A373" s="711"/>
      <c r="B373" s="1668" t="s">
        <v>6439</v>
      </c>
      <c r="C373" s="1669"/>
      <c r="D373" s="1670"/>
      <c r="E373" s="1670"/>
      <c r="F373" s="1680"/>
      <c r="G373" s="1671"/>
      <c r="H373" s="1617"/>
      <c r="I373" s="1617"/>
      <c r="J373" s="1617"/>
      <c r="K373" s="1617"/>
      <c r="L373" s="1617"/>
      <c r="M373" s="1617"/>
      <c r="N373" s="1617"/>
      <c r="O373" s="1617"/>
      <c r="P373" s="1617"/>
      <c r="Q373" s="1617"/>
      <c r="R373" s="1617"/>
      <c r="S373" s="1617"/>
      <c r="T373" s="1617"/>
      <c r="U373" s="1617"/>
      <c r="V373" s="1617"/>
      <c r="W373" s="1617"/>
      <c r="X373" s="1617"/>
      <c r="Y373" s="1617"/>
      <c r="Z373" s="1617"/>
      <c r="AA373" s="1617"/>
      <c r="AB373" s="1617"/>
      <c r="AC373" s="1617"/>
      <c r="AD373" s="1617"/>
      <c r="AE373" s="1617"/>
      <c r="AF373" s="1617"/>
      <c r="AG373" s="1617"/>
      <c r="AH373" s="1617"/>
      <c r="AI373" s="1617"/>
      <c r="AJ373" s="1617"/>
      <c r="AK373" s="1617"/>
      <c r="AL373" s="1617"/>
      <c r="AM373" s="1617"/>
      <c r="AN373" s="1617"/>
      <c r="AO373" s="1617"/>
      <c r="AP373" s="1617"/>
      <c r="AQ373" s="1617"/>
      <c r="AR373" s="1617"/>
    </row>
    <row r="374" spans="1:44" x14ac:dyDescent="0.3">
      <c r="B374" s="49" t="s">
        <v>6440</v>
      </c>
      <c r="C374" s="49"/>
      <c r="D374" s="49"/>
      <c r="E374" s="1353"/>
      <c r="F374" s="1353" t="s">
        <v>2385</v>
      </c>
      <c r="G374" s="1209">
        <f>MAX(G108,0)*G113*UDV.anaer_lagoon.sludge_events*UC.lb_to_kg/UDV.animal.total</f>
        <v>0</v>
      </c>
      <c r="H374" s="1489"/>
      <c r="I374" s="1209"/>
      <c r="J374" s="1209"/>
      <c r="K374" s="1209">
        <f>MAX(K108,0)*K113*UDV.anaer_lagoon.sludge_events*UC.lb_to_kg/UDV.animal.total</f>
        <v>0</v>
      </c>
      <c r="L374" s="1474"/>
      <c r="M374" s="1209"/>
      <c r="N374" s="1209"/>
      <c r="O374" s="1209">
        <f>MAX(O108,0)*O113*UDV.anaer_lagoon.sludge_events*UC.lb_to_kg/UDV.animal.total</f>
        <v>0</v>
      </c>
      <c r="P374" s="1474"/>
      <c r="Q374" s="1209"/>
      <c r="R374" s="1209"/>
      <c r="S374" s="1209">
        <f>MAX(S108,0)*S113*UDV.anaer_lagoon.sludge_events*UC.lb_to_kg/UDV.animal.total</f>
        <v>0</v>
      </c>
      <c r="T374" s="1474"/>
      <c r="U374" s="1209"/>
      <c r="V374" s="1209"/>
      <c r="W374" s="1209">
        <f>MAX(W108,0)*W113*UDV.anaer_lagoon.sludge_events*UC.lb_to_kg/UDV.animal.total</f>
        <v>0</v>
      </c>
      <c r="X374" s="1474"/>
      <c r="Y374" s="1209"/>
      <c r="Z374" s="1209"/>
      <c r="AA374" s="1209">
        <f>MAX(AA108,0)*AA113*UDV.anaer_lagoon.sludge_events*UC.lb_to_kg/UDV.animal.total</f>
        <v>0</v>
      </c>
      <c r="AB374" s="1474"/>
      <c r="AC374" s="1209"/>
      <c r="AD374" s="1209"/>
      <c r="AE374" s="1209">
        <f>MAX(AE108,0)*AE113*UDV.anaer_lagoon.sludge_events*UC.lb_to_kg/UDV.animal.total</f>
        <v>0</v>
      </c>
      <c r="AF374" s="49"/>
      <c r="AG374" s="1474"/>
      <c r="AH374" s="1209"/>
      <c r="AI374" s="1209"/>
      <c r="AJ374" s="1209">
        <f>MAX(AJ108,0)*AJ113*UDV.anaer_lagoon.sludge_events*UC.lb_to_kg/UDV.animal.total</f>
        <v>0</v>
      </c>
      <c r="AK374" s="1474"/>
      <c r="AL374" s="1209"/>
      <c r="AM374" s="1209"/>
      <c r="AN374" s="1209">
        <f>MAX(AN108,0)*AN113*UDV.anaer_lagoon.sludge_events*UC.lb_to_kg/UDV.animal.total</f>
        <v>0</v>
      </c>
      <c r="AO374" s="1474"/>
      <c r="AP374" s="1209"/>
      <c r="AQ374" s="1209"/>
      <c r="AR374" s="1209">
        <f>MAX(AR108,0)*AR113*UDV.anaer_lagoon.sludge_events*UC.lb_to_kg/UDV.animal.total</f>
        <v>0</v>
      </c>
    </row>
    <row r="375" spans="1:44" x14ac:dyDescent="0.3">
      <c r="B375" s="49" t="s">
        <v>6441</v>
      </c>
      <c r="C375" s="49"/>
      <c r="D375" s="49"/>
      <c r="E375" s="1353"/>
      <c r="F375" s="1353" t="s">
        <v>2385</v>
      </c>
      <c r="G375" s="1209">
        <f>MAX(G109,0)*G113*UDV.anaer_lagoon.sludge_events*UC.lb_to_kg/UDV.animal.total</f>
        <v>1.3353920733034346</v>
      </c>
      <c r="H375" s="1489"/>
      <c r="I375" s="1209"/>
      <c r="J375" s="1209"/>
      <c r="K375" s="1209">
        <f>MAX(K109,0)*K113*UDV.anaer_lagoon.sludge_events*UC.lb_to_kg/UDV.animal.total</f>
        <v>1.2649204322222283</v>
      </c>
      <c r="L375" s="1474"/>
      <c r="M375" s="1209"/>
      <c r="N375" s="1209"/>
      <c r="O375" s="1209">
        <f>MAX(O109,0)*O113*UDV.anaer_lagoon.sludge_events*UC.lb_to_kg/UDV.animal.total</f>
        <v>1.3013506179319945</v>
      </c>
      <c r="P375" s="1474"/>
      <c r="Q375" s="1209"/>
      <c r="R375" s="1209"/>
      <c r="S375" s="1209">
        <f>MAX(S109,0)*S113*UDV.anaer_lagoon.sludge_events*UC.lb_to_kg/UDV.animal.total</f>
        <v>2.4848617127174339</v>
      </c>
      <c r="T375" s="1474"/>
      <c r="U375" s="1209"/>
      <c r="V375" s="1209"/>
      <c r="W375" s="1209">
        <f>MAX(W109,0)*W113*UDV.anaer_lagoon.sludge_events*UC.lb_to_kg/UDV.animal.total</f>
        <v>2.2804563535321107</v>
      </c>
      <c r="X375" s="1474"/>
      <c r="Y375" s="1209"/>
      <c r="Z375" s="1209"/>
      <c r="AA375" s="1209">
        <f>MAX(AA109,0)*AA113*UDV.anaer_lagoon.sludge_events*UC.lb_to_kg/UDV.animal.total</f>
        <v>2.4848617127174339</v>
      </c>
      <c r="AB375" s="1474"/>
      <c r="AC375" s="1209"/>
      <c r="AD375" s="1209"/>
      <c r="AE375" s="1209">
        <f>MAX(AE109,0)*AE113*UDV.anaer_lagoon.sludge_events*UC.lb_to_kg/UDV.animal.total</f>
        <v>2.5203840908923936</v>
      </c>
      <c r="AF375" s="49"/>
      <c r="AG375" s="1474"/>
      <c r="AH375" s="1209"/>
      <c r="AI375" s="1209"/>
      <c r="AJ375" s="1209">
        <f>MAX(AJ109,0)*AJ113*UDV.anaer_lagoon.sludge_events*UC.lb_to_kg/UDV.animal.total</f>
        <v>2.3842617572172262</v>
      </c>
      <c r="AK375" s="1474"/>
      <c r="AL375" s="1209"/>
      <c r="AM375" s="1209"/>
      <c r="AN375" s="1209">
        <f>MAX(AN109,0)*AN113*UDV.anaer_lagoon.sludge_events*UC.lb_to_kg/UDV.animal.total</f>
        <v>2.4975386577593883</v>
      </c>
      <c r="AO375" s="1474"/>
      <c r="AP375" s="1209"/>
      <c r="AQ375" s="1209"/>
      <c r="AR375" s="1209">
        <f>MAX(AR109,0)*AR113*UDV.anaer_lagoon.sludge_events*UC.lb_to_kg/UDV.animal.total</f>
        <v>1.5207247292679327</v>
      </c>
    </row>
    <row r="376" spans="1:44" x14ac:dyDescent="0.3">
      <c r="B376" s="49" t="s">
        <v>6442</v>
      </c>
      <c r="C376" s="49"/>
      <c r="D376" s="49"/>
      <c r="E376" s="1353"/>
      <c r="F376" s="1353" t="s">
        <v>2385</v>
      </c>
      <c r="G376" s="1209">
        <f>MAX(G110,0)*G113*UDV.anaer_lagoon.sludge_events*UC.lb_to_kg/UDV.animal.total</f>
        <v>1.1984158699179288</v>
      </c>
      <c r="H376" s="1489"/>
      <c r="I376" s="1209"/>
      <c r="J376" s="1209"/>
      <c r="K376" s="1209">
        <f>MAX(K110,0)*K113*UDV.anaer_lagoon.sludge_events*UC.lb_to_kg/UDV.animal.total</f>
        <v>1.1351727709515269</v>
      </c>
      <c r="L376" s="1474"/>
      <c r="M376" s="1209"/>
      <c r="N376" s="1209"/>
      <c r="O376" s="1209">
        <f>MAX(O110,0)*O113*UDV.anaer_lagoon.sludge_events*UC.lb_to_kg/UDV.animal.total</f>
        <v>1.1678661750621568</v>
      </c>
      <c r="P376" s="1474"/>
      <c r="Q376" s="1209"/>
      <c r="R376" s="1209"/>
      <c r="S376" s="1209">
        <f>MAX(S110,0)*S113*UDV.anaer_lagoon.sludge_events*UC.lb_to_kg/UDV.animal.total</f>
        <v>2.4083941543696969</v>
      </c>
      <c r="T376" s="1474"/>
      <c r="U376" s="1209"/>
      <c r="V376" s="1209"/>
      <c r="W376" s="1209">
        <f>MAX(W110,0)*W113*UDV.anaer_lagoon.sludge_events*UC.lb_to_kg/UDV.animal.total</f>
        <v>2.1973735697312931</v>
      </c>
      <c r="X376" s="1474"/>
      <c r="Y376" s="1209"/>
      <c r="Z376" s="1209"/>
      <c r="AA376" s="1209">
        <f>MAX(AA110,0)*AA113*UDV.anaer_lagoon.sludge_events*UC.lb_to_kg/UDV.animal.total</f>
        <v>2.4083941543696969</v>
      </c>
      <c r="AB376" s="1474"/>
      <c r="AC376" s="1209"/>
      <c r="AD376" s="1209"/>
      <c r="AE376" s="1209">
        <f>MAX(AE110,0)*AE113*UDV.anaer_lagoon.sludge_events*UC.lb_to_kg/UDV.animal.total</f>
        <v>2.4665216822923597</v>
      </c>
      <c r="AF376" s="49"/>
      <c r="AG376" s="1474"/>
      <c r="AH376" s="1209"/>
      <c r="AI376" s="1209"/>
      <c r="AJ376" s="1209">
        <f>MAX(AJ110,0)*AJ113*UDV.anaer_lagoon.sludge_events*UC.lb_to_kg/UDV.animal.total</f>
        <v>2.3043541194931412</v>
      </c>
      <c r="AK376" s="1474"/>
      <c r="AL376" s="1209"/>
      <c r="AM376" s="1209"/>
      <c r="AN376" s="1209">
        <f>MAX(AN110,0)*AN113*UDV.anaer_lagoon.sludge_events*UC.lb_to_kg/UDV.animal.total</f>
        <v>2.4291382462565325</v>
      </c>
      <c r="AO376" s="1474"/>
      <c r="AP376" s="1209"/>
      <c r="AQ376" s="1209"/>
      <c r="AR376" s="1209">
        <f>MAX(AR110,0)*AR113*UDV.anaer_lagoon.sludge_events*UC.lb_to_kg/UDV.animal.total</f>
        <v>1.5603962669862474</v>
      </c>
    </row>
    <row r="377" spans="1:44" x14ac:dyDescent="0.3">
      <c r="A377" s="711"/>
      <c r="B377" s="1668" t="s">
        <v>5271</v>
      </c>
      <c r="C377" s="1669"/>
      <c r="D377" s="1670"/>
      <c r="E377" s="1670"/>
      <c r="F377" s="1680"/>
      <c r="G377" s="1671"/>
      <c r="H377" s="1617"/>
      <c r="I377" s="1617"/>
      <c r="J377" s="1617"/>
      <c r="K377" s="1617"/>
      <c r="L377" s="1617"/>
      <c r="M377" s="1617"/>
      <c r="N377" s="1617"/>
      <c r="O377" s="1617"/>
      <c r="P377" s="1617"/>
      <c r="Q377" s="1617"/>
      <c r="R377" s="1617"/>
      <c r="S377" s="1617"/>
      <c r="T377" s="1617"/>
      <c r="U377" s="1617"/>
      <c r="V377" s="1617"/>
      <c r="W377" s="1617"/>
      <c r="X377" s="1617"/>
      <c r="Y377" s="1617"/>
      <c r="Z377" s="1617"/>
      <c r="AA377" s="1617"/>
      <c r="AB377" s="1617"/>
      <c r="AC377" s="1617"/>
      <c r="AD377" s="1617"/>
      <c r="AE377" s="1617"/>
      <c r="AF377" s="1617"/>
      <c r="AG377" s="1617"/>
      <c r="AH377" s="1617"/>
      <c r="AI377" s="1617"/>
      <c r="AJ377" s="1617"/>
      <c r="AK377" s="1617"/>
      <c r="AL377" s="1617"/>
      <c r="AM377" s="1617"/>
      <c r="AN377" s="1617"/>
      <c r="AO377" s="1617"/>
      <c r="AP377" s="1617"/>
      <c r="AQ377" s="1617"/>
      <c r="AR377" s="1617"/>
    </row>
    <row r="378" spans="1:44" x14ac:dyDescent="0.3">
      <c r="B378" s="49" t="s">
        <v>6443</v>
      </c>
      <c r="C378" s="49"/>
      <c r="D378" s="49"/>
      <c r="E378" s="49"/>
      <c r="F378" s="1353" t="s">
        <v>2385</v>
      </c>
      <c r="G378" s="1209">
        <f>G239</f>
        <v>30.759158784959986</v>
      </c>
      <c r="H378" s="1474"/>
      <c r="I378" s="49"/>
      <c r="J378" s="49"/>
      <c r="K378" s="1209">
        <f>K239</f>
        <v>30.759158784959986</v>
      </c>
      <c r="L378" s="1474"/>
      <c r="M378" s="49"/>
      <c r="N378" s="49"/>
      <c r="O378" s="1209">
        <f>O239</f>
        <v>30.759158784959986</v>
      </c>
      <c r="P378" s="49"/>
      <c r="Q378" s="49"/>
      <c r="R378" s="49"/>
      <c r="S378" s="1209">
        <f>S239</f>
        <v>15.379579392479993</v>
      </c>
      <c r="T378" s="49"/>
      <c r="U378" s="49"/>
      <c r="V378" s="49"/>
      <c r="W378" s="1209">
        <f>W239</f>
        <v>15.379579392479993</v>
      </c>
      <c r="X378" s="49"/>
      <c r="Y378" s="49"/>
      <c r="Z378" s="49"/>
      <c r="AA378" s="1209">
        <f>AA239</f>
        <v>15.379579392479993</v>
      </c>
      <c r="AB378" s="49"/>
      <c r="AC378" s="49"/>
      <c r="AD378" s="49"/>
      <c r="AE378" s="1209">
        <f>AE239</f>
        <v>12.303663513983993</v>
      </c>
      <c r="AF378" s="49"/>
      <c r="AG378" s="49"/>
      <c r="AH378" s="49"/>
      <c r="AI378" s="49"/>
      <c r="AJ378" s="1209">
        <f>AJ239</f>
        <v>12.303663513983993</v>
      </c>
      <c r="AK378" s="49"/>
      <c r="AL378" s="49"/>
      <c r="AM378" s="49"/>
      <c r="AN378" s="1209">
        <f>AN239</f>
        <v>12.303663513983993</v>
      </c>
      <c r="AO378" s="49"/>
      <c r="AP378" s="49"/>
      <c r="AQ378" s="49"/>
      <c r="AR378" s="1209">
        <f>AR239</f>
        <v>24.299748662111995</v>
      </c>
    </row>
    <row r="379" spans="1:44" x14ac:dyDescent="0.3">
      <c r="B379" s="49" t="s">
        <v>6444</v>
      </c>
      <c r="C379" s="49"/>
      <c r="D379" s="49"/>
      <c r="E379" s="49"/>
      <c r="F379" s="1353" t="s">
        <v>2385</v>
      </c>
      <c r="G379" s="1209">
        <f>G247</f>
        <v>6.6370745423958599</v>
      </c>
      <c r="H379" s="1474"/>
      <c r="I379" s="49"/>
      <c r="J379" s="49"/>
      <c r="K379" s="1209">
        <f>K247</f>
        <v>7.5860909673958616</v>
      </c>
      <c r="L379" s="1474"/>
      <c r="M379" s="49"/>
      <c r="N379" s="49"/>
      <c r="O379" s="1209">
        <f>O247</f>
        <v>7.1115827548958617</v>
      </c>
      <c r="P379" s="49"/>
      <c r="Q379" s="49"/>
      <c r="R379" s="49"/>
      <c r="S379" s="1209">
        <f>S247</f>
        <v>6.1380266142790338</v>
      </c>
      <c r="T379" s="49"/>
      <c r="U379" s="49"/>
      <c r="V379" s="49"/>
      <c r="W379" s="1209">
        <f>W247</f>
        <v>7.0156855944259116</v>
      </c>
      <c r="X379" s="49"/>
      <c r="Y379" s="49"/>
      <c r="Z379" s="49"/>
      <c r="AA379" s="1209">
        <f>AA247</f>
        <v>6.5768561043524736</v>
      </c>
      <c r="AB379" s="49"/>
      <c r="AC379" s="49"/>
      <c r="AD379" s="49"/>
      <c r="AE379" s="1209">
        <f>AE247</f>
        <v>5.9628059428468054</v>
      </c>
      <c r="AF379" s="49"/>
      <c r="AG379" s="49"/>
      <c r="AH379" s="49"/>
      <c r="AI379" s="49"/>
      <c r="AJ379" s="1209">
        <f>AJ247</f>
        <v>6.8154106171957709</v>
      </c>
      <c r="AK379" s="49"/>
      <c r="AL379" s="49"/>
      <c r="AM379" s="49"/>
      <c r="AN379" s="1209">
        <f>AN247</f>
        <v>6.3891082800212891</v>
      </c>
      <c r="AO379" s="49"/>
      <c r="AP379" s="49"/>
      <c r="AQ379" s="49"/>
      <c r="AR379" s="1209">
        <f>AR247</f>
        <v>6.0688727739166888</v>
      </c>
    </row>
    <row r="380" spans="1:44" x14ac:dyDescent="0.3">
      <c r="B380" s="49" t="s">
        <v>6445</v>
      </c>
      <c r="C380" s="49"/>
      <c r="D380" s="49"/>
      <c r="E380" s="49"/>
      <c r="F380" s="1353" t="s">
        <v>2385</v>
      </c>
      <c r="G380" s="1209">
        <f>G251</f>
        <v>0</v>
      </c>
      <c r="H380" s="1474"/>
      <c r="I380" s="49"/>
      <c r="J380" s="49"/>
      <c r="K380" s="1209">
        <f>K251</f>
        <v>0</v>
      </c>
      <c r="L380" s="1474"/>
      <c r="M380" s="49"/>
      <c r="N380" s="49"/>
      <c r="O380" s="1209">
        <f>O251</f>
        <v>0</v>
      </c>
      <c r="P380" s="49"/>
      <c r="Q380" s="49"/>
      <c r="R380" s="49"/>
      <c r="S380" s="1209">
        <f>S251</f>
        <v>0</v>
      </c>
      <c r="T380" s="49"/>
      <c r="U380" s="49"/>
      <c r="V380" s="49"/>
      <c r="W380" s="1209">
        <f>W251</f>
        <v>0</v>
      </c>
      <c r="X380" s="49"/>
      <c r="Y380" s="49"/>
      <c r="Z380" s="49"/>
      <c r="AA380" s="1209">
        <f>AA251</f>
        <v>0</v>
      </c>
      <c r="AB380" s="49"/>
      <c r="AC380" s="49"/>
      <c r="AD380" s="49"/>
      <c r="AE380" s="1209">
        <f>AE251</f>
        <v>0</v>
      </c>
      <c r="AF380" s="49"/>
      <c r="AG380" s="49"/>
      <c r="AH380" s="49"/>
      <c r="AI380" s="49"/>
      <c r="AJ380" s="1209">
        <f>AJ251</f>
        <v>0</v>
      </c>
      <c r="AK380" s="49"/>
      <c r="AL380" s="49"/>
      <c r="AM380" s="49"/>
      <c r="AN380" s="1209">
        <f>AN251</f>
        <v>0</v>
      </c>
      <c r="AO380" s="49"/>
      <c r="AP380" s="49"/>
      <c r="AQ380" s="49"/>
      <c r="AR380" s="1209">
        <f>AR251</f>
        <v>0</v>
      </c>
    </row>
    <row r="381" spans="1:44" x14ac:dyDescent="0.3">
      <c r="B381" s="49" t="s">
        <v>6446</v>
      </c>
      <c r="C381" s="49"/>
      <c r="D381" s="49"/>
      <c r="E381" s="49"/>
      <c r="F381" s="1353" t="s">
        <v>2385</v>
      </c>
      <c r="G381" s="1209">
        <f>G255</f>
        <v>0.14601298510289196</v>
      </c>
      <c r="H381" s="1474"/>
      <c r="I381" s="49"/>
      <c r="J381" s="49"/>
      <c r="K381" s="1209">
        <f>K255</f>
        <v>0.16689096684632201</v>
      </c>
      <c r="L381" s="1474"/>
      <c r="M381" s="49"/>
      <c r="N381" s="49"/>
      <c r="O381" s="1209">
        <f>O255</f>
        <v>0.156451975974607</v>
      </c>
      <c r="P381" s="49"/>
      <c r="Q381" s="49"/>
      <c r="R381" s="49"/>
      <c r="S381" s="1209">
        <f>S255</f>
        <v>0.13503413030349304</v>
      </c>
      <c r="T381" s="49"/>
      <c r="U381" s="49"/>
      <c r="V381" s="49"/>
      <c r="W381" s="1209">
        <f>W255</f>
        <v>0.15434227680313228</v>
      </c>
      <c r="X381" s="49"/>
      <c r="Y381" s="49"/>
      <c r="Z381" s="49"/>
      <c r="AA381" s="1209">
        <f>AA255</f>
        <v>0.14468820355331269</v>
      </c>
      <c r="AB381" s="49"/>
      <c r="AC381" s="49"/>
      <c r="AD381" s="49"/>
      <c r="AE381" s="1209">
        <f>AE255</f>
        <v>0.13117934562025257</v>
      </c>
      <c r="AF381" s="49"/>
      <c r="AG381" s="49"/>
      <c r="AH381" s="49"/>
      <c r="AI381" s="49"/>
      <c r="AJ381" s="1209">
        <f>AJ255</f>
        <v>0.14993630741406008</v>
      </c>
      <c r="AK381" s="49"/>
      <c r="AL381" s="49"/>
      <c r="AM381" s="49"/>
      <c r="AN381" s="1209">
        <f>AN255</f>
        <v>0.14055782651715637</v>
      </c>
      <c r="AO381" s="49"/>
      <c r="AP381" s="49"/>
      <c r="AQ381" s="49"/>
      <c r="AR381" s="1209">
        <f>AR255</f>
        <v>0.13351277347705759</v>
      </c>
    </row>
    <row r="383" spans="1:44" x14ac:dyDescent="0.3">
      <c r="A383" t="s">
        <v>6447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339C-A713-49EA-8F9B-E68C276DB49A}">
  <sheetPr>
    <tabColor rgb="FF92D050"/>
  </sheetPr>
  <dimension ref="A2:H348"/>
  <sheetViews>
    <sheetView workbookViewId="0">
      <selection sqref="A1:C1"/>
    </sheetView>
  </sheetViews>
  <sheetFormatPr defaultRowHeight="14.4" x14ac:dyDescent="0.3"/>
  <cols>
    <col min="1" max="1" width="2.6640625" customWidth="1"/>
    <col min="2" max="2" width="60" customWidth="1"/>
    <col min="3" max="3" width="13.33203125" customWidth="1"/>
    <col min="7" max="7" width="15.6640625" customWidth="1"/>
    <col min="8" max="8" width="19.33203125" customWidth="1"/>
  </cols>
  <sheetData>
    <row r="2" spans="1:8" x14ac:dyDescent="0.3">
      <c r="A2" t="s">
        <v>6286</v>
      </c>
      <c r="B2" s="1387" t="s">
        <v>6448</v>
      </c>
      <c r="C2" s="353"/>
      <c r="D2" s="353"/>
      <c r="E2" s="353"/>
      <c r="F2" s="1538" t="s">
        <v>602</v>
      </c>
      <c r="G2" s="1538">
        <v>12</v>
      </c>
      <c r="H2" s="352"/>
    </row>
    <row r="3" spans="1:8" x14ac:dyDescent="0.3">
      <c r="B3" s="49" t="s">
        <v>5771</v>
      </c>
      <c r="C3" s="49"/>
      <c r="D3" s="49"/>
      <c r="E3" s="49"/>
      <c r="F3" s="49"/>
      <c r="G3" s="1364">
        <f>PT.waste_generation!G18*UC.L_to_m3</f>
        <v>2.8937344524219841</v>
      </c>
      <c r="H3" s="49" t="s">
        <v>2521</v>
      </c>
    </row>
    <row r="4" spans="1:8" x14ac:dyDescent="0.3">
      <c r="B4" s="49" t="s">
        <v>6449</v>
      </c>
      <c r="C4" s="49"/>
      <c r="D4" s="49"/>
      <c r="E4" s="49"/>
      <c r="F4" s="49"/>
      <c r="G4" s="1364">
        <f>PT.waste_generation!G29*UC.L_to_m3</f>
        <v>0</v>
      </c>
      <c r="H4" s="49" t="s">
        <v>2521</v>
      </c>
    </row>
    <row r="5" spans="1:8" x14ac:dyDescent="0.3">
      <c r="B5" s="49" t="s">
        <v>6450</v>
      </c>
      <c r="C5" s="1089" t="s">
        <v>6451</v>
      </c>
      <c r="D5" s="1089"/>
      <c r="E5" s="1089"/>
      <c r="F5" s="1089"/>
      <c r="G5" s="1364">
        <f>PT.waste_generation!G30*UC.L_to_m3</f>
        <v>0</v>
      </c>
      <c r="H5" s="49" t="s">
        <v>2521</v>
      </c>
    </row>
    <row r="6" spans="1:8" x14ac:dyDescent="0.3">
      <c r="B6" s="49" t="s">
        <v>6452</v>
      </c>
      <c r="C6" s="49"/>
      <c r="D6" s="49"/>
      <c r="E6" s="49"/>
      <c r="F6" s="49"/>
      <c r="G6" s="1364">
        <f>G3+G5</f>
        <v>2.8937344524219841</v>
      </c>
      <c r="H6" s="49" t="s">
        <v>2521</v>
      </c>
    </row>
    <row r="7" spans="1:8" x14ac:dyDescent="0.3">
      <c r="B7" s="49" t="s">
        <v>6300</v>
      </c>
      <c r="C7" s="49"/>
      <c r="D7" s="49"/>
      <c r="E7" s="49"/>
      <c r="F7" s="49"/>
      <c r="G7" s="1423">
        <f>PT.waste_generation!$G5</f>
        <v>273.00499999999988</v>
      </c>
      <c r="H7" s="49" t="s">
        <v>2409</v>
      </c>
    </row>
    <row r="8" spans="1:8" x14ac:dyDescent="0.3">
      <c r="B8" s="49" t="s">
        <v>6301</v>
      </c>
      <c r="C8" s="49"/>
      <c r="D8" s="49"/>
      <c r="E8" s="49"/>
      <c r="F8" s="49"/>
      <c r="G8" s="1423">
        <f>PT.waste_generation!$G6</f>
        <v>221.00449999999995</v>
      </c>
      <c r="H8" s="49" t="s">
        <v>2409</v>
      </c>
    </row>
    <row r="9" spans="1:8" x14ac:dyDescent="0.3">
      <c r="B9" s="63" t="s">
        <v>6302</v>
      </c>
      <c r="C9" s="49"/>
      <c r="D9" s="49"/>
      <c r="E9" s="49"/>
      <c r="F9" s="49"/>
      <c r="G9" s="1423">
        <f>PT.waste_generation!$G7</f>
        <v>26.000450000000001</v>
      </c>
      <c r="H9" s="49" t="s">
        <v>2409</v>
      </c>
    </row>
    <row r="10" spans="1:8" x14ac:dyDescent="0.3">
      <c r="B10" s="63" t="s">
        <v>6303</v>
      </c>
      <c r="C10" s="49"/>
      <c r="D10" s="49"/>
      <c r="E10" s="49"/>
      <c r="F10" s="49"/>
      <c r="G10" s="1423">
        <f>PT.waste_generation!$G8</f>
        <v>9.1001499999999993</v>
      </c>
      <c r="H10" s="49" t="s">
        <v>2409</v>
      </c>
    </row>
    <row r="11" spans="1:8" x14ac:dyDescent="0.3">
      <c r="B11" s="63" t="s">
        <v>6304</v>
      </c>
      <c r="C11" s="49"/>
      <c r="D11" s="49"/>
      <c r="E11" s="49"/>
      <c r="F11" s="49"/>
      <c r="G11" s="1423">
        <f>PT.waste_generation!$G9</f>
        <v>11.700249999999999</v>
      </c>
      <c r="H11" s="49" t="s">
        <v>2409</v>
      </c>
    </row>
    <row r="12" spans="1:8" x14ac:dyDescent="0.3">
      <c r="B12" s="49" t="s">
        <v>6305</v>
      </c>
      <c r="C12" s="49"/>
      <c r="D12" s="49"/>
      <c r="E12" s="49"/>
      <c r="F12" s="49"/>
      <c r="G12" s="1346">
        <f>UDV.density.manure</f>
        <v>993.99999999999989</v>
      </c>
      <c r="H12" s="49" t="s">
        <v>2416</v>
      </c>
    </row>
    <row r="13" spans="1:8" x14ac:dyDescent="0.3">
      <c r="B13" s="63" t="s">
        <v>804</v>
      </c>
      <c r="C13" s="49"/>
      <c r="D13" s="49"/>
      <c r="E13" s="49"/>
      <c r="F13" s="49"/>
      <c r="G13" s="1424">
        <f>UDV.storage_tank.effluent_TS_lost</f>
        <v>0.1</v>
      </c>
      <c r="H13" s="49" t="s">
        <v>1694</v>
      </c>
    </row>
    <row r="14" spans="1:8" x14ac:dyDescent="0.3">
      <c r="B14" s="49" t="s">
        <v>6306</v>
      </c>
      <c r="C14" s="49"/>
      <c r="D14" s="49"/>
      <c r="E14" s="49"/>
      <c r="F14" s="49"/>
      <c r="G14" s="1346">
        <f>UDV.storage_tank.effluent_TS_target</f>
        <v>0.03</v>
      </c>
      <c r="H14" s="49" t="s">
        <v>1694</v>
      </c>
    </row>
    <row r="15" spans="1:8" x14ac:dyDescent="0.3">
      <c r="B15" s="49" t="s">
        <v>6307</v>
      </c>
      <c r="C15" s="49"/>
      <c r="D15" s="52"/>
      <c r="E15" s="52"/>
      <c r="F15" s="48"/>
      <c r="G15" s="1398">
        <f>G7/G12</f>
        <v>0.27465291750503007</v>
      </c>
      <c r="H15" s="18" t="s">
        <v>2521</v>
      </c>
    </row>
    <row r="16" spans="1:8" x14ac:dyDescent="0.3">
      <c r="B16" s="49" t="s">
        <v>6308</v>
      </c>
      <c r="C16" s="49"/>
      <c r="D16" s="52"/>
      <c r="E16" s="52"/>
      <c r="F16" s="48"/>
      <c r="G16" s="1398">
        <f>G8/G12</f>
        <v>0.22233853118712271</v>
      </c>
      <c r="H16" s="18" t="s">
        <v>2521</v>
      </c>
    </row>
    <row r="17" spans="1:8" x14ac:dyDescent="0.3">
      <c r="B17" s="49" t="s">
        <v>6309</v>
      </c>
      <c r="C17" s="49"/>
      <c r="D17" s="52"/>
      <c r="E17" s="52"/>
      <c r="F17" s="48"/>
      <c r="G17" s="1398">
        <f>G15*G13</f>
        <v>2.746529175050301E-2</v>
      </c>
      <c r="H17" s="18" t="s">
        <v>2521</v>
      </c>
    </row>
    <row r="18" spans="1:8" x14ac:dyDescent="0.3">
      <c r="B18" s="49" t="s">
        <v>6310</v>
      </c>
      <c r="C18" s="49"/>
      <c r="D18" s="52"/>
      <c r="E18" s="52"/>
      <c r="F18" s="48"/>
      <c r="G18" s="1398">
        <f>G15-G17</f>
        <v>0.24718762575452707</v>
      </c>
      <c r="H18" s="18" t="s">
        <v>2521</v>
      </c>
    </row>
    <row r="19" spans="1:8" x14ac:dyDescent="0.3">
      <c r="B19" s="49" t="s">
        <v>6311</v>
      </c>
      <c r="C19" s="49"/>
      <c r="D19" s="52"/>
      <c r="E19" s="52"/>
      <c r="F19" s="48"/>
      <c r="G19" s="1398">
        <f>G16-G17</f>
        <v>0.19487323943661972</v>
      </c>
      <c r="H19" s="18" t="s">
        <v>2521</v>
      </c>
    </row>
    <row r="20" spans="1:8" x14ac:dyDescent="0.3">
      <c r="B20" s="49" t="s">
        <v>6312</v>
      </c>
      <c r="C20" s="1371" t="s">
        <v>6313</v>
      </c>
      <c r="D20" s="52"/>
      <c r="E20" s="52"/>
      <c r="F20" s="48"/>
      <c r="G20" s="1398">
        <f>G18/G14</f>
        <v>8.2395875251509025</v>
      </c>
      <c r="H20" s="18" t="s">
        <v>2521</v>
      </c>
    </row>
    <row r="21" spans="1:8" x14ac:dyDescent="0.3">
      <c r="B21" s="49" t="s">
        <v>6314</v>
      </c>
      <c r="C21" s="49"/>
      <c r="D21" s="49"/>
      <c r="E21" s="49"/>
      <c r="F21" s="49"/>
      <c r="G21" s="1360">
        <f>G6-G4-G15</f>
        <v>2.6190815349169538</v>
      </c>
      <c r="H21" s="18" t="s">
        <v>2521</v>
      </c>
    </row>
    <row r="22" spans="1:8" x14ac:dyDescent="0.3">
      <c r="B22" s="61" t="s">
        <v>6453</v>
      </c>
      <c r="C22" s="1089" t="s">
        <v>6451</v>
      </c>
      <c r="D22" s="1089"/>
      <c r="E22" s="49"/>
      <c r="F22" s="49"/>
      <c r="G22" s="1398">
        <f>IF(G21&lt;0,ABS(G21),0)</f>
        <v>0</v>
      </c>
      <c r="H22" s="18" t="s">
        <v>2521</v>
      </c>
    </row>
    <row r="23" spans="1:8" x14ac:dyDescent="0.3">
      <c r="B23" s="61" t="s">
        <v>6316</v>
      </c>
      <c r="C23" s="49"/>
      <c r="D23" s="49"/>
      <c r="E23" s="49"/>
      <c r="F23" s="49"/>
      <c r="G23" s="1360">
        <f>G4-G22</f>
        <v>0</v>
      </c>
      <c r="H23" s="18" t="s">
        <v>2521</v>
      </c>
    </row>
    <row r="24" spans="1:8" x14ac:dyDescent="0.3">
      <c r="B24" s="49" t="s">
        <v>6317</v>
      </c>
      <c r="C24" s="49"/>
      <c r="D24" s="49"/>
      <c r="E24" s="49"/>
      <c r="F24" s="49"/>
      <c r="G24" s="1398">
        <f>G18+G21+G22</f>
        <v>2.866269160671481</v>
      </c>
      <c r="H24" s="18" t="s">
        <v>2521</v>
      </c>
    </row>
    <row r="25" spans="1:8" x14ac:dyDescent="0.3">
      <c r="B25" s="63" t="s">
        <v>6177</v>
      </c>
      <c r="C25" s="49"/>
      <c r="D25" s="49"/>
      <c r="E25" s="49"/>
      <c r="F25" s="49"/>
      <c r="G25" s="1725">
        <f>G12*G18</f>
        <v>245.70449999999988</v>
      </c>
      <c r="H25" s="49" t="s">
        <v>2409</v>
      </c>
    </row>
    <row r="26" spans="1:8" x14ac:dyDescent="0.3">
      <c r="B26" s="63" t="s">
        <v>6318</v>
      </c>
      <c r="C26" s="49"/>
      <c r="D26" s="49"/>
      <c r="E26" s="49"/>
      <c r="F26" s="49"/>
      <c r="G26" s="1725">
        <f>G12*G19</f>
        <v>193.70399999999998</v>
      </c>
      <c r="H26" s="49" t="s">
        <v>2409</v>
      </c>
    </row>
    <row r="27" spans="1:8" x14ac:dyDescent="0.3">
      <c r="B27" s="49" t="s">
        <v>6454</v>
      </c>
      <c r="C27" s="49"/>
      <c r="D27" s="49"/>
      <c r="E27" s="49"/>
      <c r="F27" s="49"/>
      <c r="G27" s="1360">
        <f>G20-G21</f>
        <v>5.6205059902339487</v>
      </c>
      <c r="H27" s="49" t="s">
        <v>2521</v>
      </c>
    </row>
    <row r="28" spans="1:8" x14ac:dyDescent="0.3">
      <c r="A28" t="s">
        <v>6455</v>
      </c>
      <c r="B28" s="1387" t="s">
        <v>6456</v>
      </c>
      <c r="C28" s="353"/>
      <c r="D28" s="353"/>
      <c r="E28" s="353"/>
      <c r="F28" s="1538"/>
      <c r="G28" s="1538"/>
      <c r="H28" s="352"/>
    </row>
    <row r="29" spans="1:8" x14ac:dyDescent="0.3">
      <c r="B29" s="49" t="s">
        <v>6457</v>
      </c>
      <c r="C29" s="49"/>
      <c r="D29" s="49"/>
      <c r="E29" s="49"/>
      <c r="F29" s="49"/>
      <c r="G29" s="1359">
        <f>UDV.storage_tank.HRT</f>
        <v>180</v>
      </c>
      <c r="H29" s="49" t="s">
        <v>4756</v>
      </c>
    </row>
    <row r="30" spans="1:8" x14ac:dyDescent="0.3">
      <c r="B30" s="49" t="s">
        <v>6458</v>
      </c>
      <c r="C30" s="49"/>
      <c r="D30" s="49"/>
      <c r="E30" s="49"/>
      <c r="F30" s="49"/>
      <c r="G30" s="1359">
        <f>UDV.storage_tank.depth</f>
        <v>8</v>
      </c>
      <c r="H30" s="49" t="s">
        <v>2337</v>
      </c>
    </row>
    <row r="31" spans="1:8" x14ac:dyDescent="0.3">
      <c r="B31" s="49" t="s">
        <v>6459</v>
      </c>
      <c r="C31" s="49"/>
      <c r="D31" s="49"/>
      <c r="E31" s="49"/>
      <c r="F31" s="49"/>
      <c r="G31" s="1359">
        <f>UDV.storage_tank.depth_freeboard</f>
        <v>1</v>
      </c>
      <c r="H31" s="49" t="s">
        <v>2337</v>
      </c>
    </row>
    <row r="32" spans="1:8" x14ac:dyDescent="0.3">
      <c r="B32" s="49" t="s">
        <v>6460</v>
      </c>
      <c r="C32" s="49"/>
      <c r="D32" s="49"/>
      <c r="E32" s="49"/>
      <c r="F32" s="49"/>
      <c r="G32" s="1724">
        <f>UDV.rain.regular</f>
        <v>0.78079599999999971</v>
      </c>
      <c r="H32" s="49" t="s">
        <v>6461</v>
      </c>
    </row>
    <row r="33" spans="2:8" x14ac:dyDescent="0.3">
      <c r="B33" s="49" t="s">
        <v>6462</v>
      </c>
      <c r="C33" s="49"/>
      <c r="D33" s="49"/>
      <c r="E33" s="49"/>
      <c r="F33" s="49"/>
      <c r="G33" s="1724">
        <f>UDV.rain.evaporation</f>
        <v>0.91262199999999993</v>
      </c>
      <c r="H33" s="49" t="s">
        <v>6461</v>
      </c>
    </row>
    <row r="34" spans="2:8" x14ac:dyDescent="0.3">
      <c r="B34" s="49" t="s">
        <v>6463</v>
      </c>
      <c r="C34" s="49"/>
      <c r="D34" s="49"/>
      <c r="E34" s="49"/>
      <c r="F34" s="49"/>
      <c r="G34" s="1724">
        <f>UDV.rain.storm2524</f>
        <v>0.14427199999999998</v>
      </c>
      <c r="H34" s="49" t="s">
        <v>6464</v>
      </c>
    </row>
    <row r="35" spans="2:8" x14ac:dyDescent="0.3">
      <c r="B35" s="49" t="s">
        <v>6465</v>
      </c>
      <c r="C35" s="49"/>
      <c r="D35" s="49"/>
      <c r="E35" s="49"/>
      <c r="F35" s="49"/>
      <c r="G35" s="1359">
        <f>UDV.storage_tank.max_radius</f>
        <v>25.000000000000004</v>
      </c>
      <c r="H35" s="49" t="s">
        <v>2337</v>
      </c>
    </row>
    <row r="36" spans="2:8" x14ac:dyDescent="0.3">
      <c r="B36" s="49" t="s">
        <v>6466</v>
      </c>
      <c r="C36" s="49"/>
      <c r="D36" s="49"/>
      <c r="E36" s="49"/>
      <c r="F36" s="49"/>
      <c r="G36" s="1359">
        <f>UDV.storage_tank.min_radius</f>
        <v>1</v>
      </c>
      <c r="H36" s="49" t="s">
        <v>2337</v>
      </c>
    </row>
    <row r="37" spans="2:8" x14ac:dyDescent="0.3">
      <c r="B37" s="49" t="s">
        <v>6467</v>
      </c>
      <c r="C37" s="49"/>
      <c r="D37" s="49"/>
      <c r="E37" s="49"/>
      <c r="F37" s="49"/>
      <c r="G37" s="1359">
        <f>UDV.storage_tank.depth_residual</f>
        <v>0.30480000000000002</v>
      </c>
      <c r="H37" s="49" t="s">
        <v>2337</v>
      </c>
    </row>
    <row r="38" spans="2:8" x14ac:dyDescent="0.3">
      <c r="B38" s="49" t="s">
        <v>2139</v>
      </c>
      <c r="C38" s="49"/>
      <c r="D38" s="49"/>
      <c r="E38" s="49"/>
      <c r="F38" s="49"/>
      <c r="G38" s="1433">
        <f>UDV.storage_tank.removal_events</f>
        <v>2.0277777777777777</v>
      </c>
      <c r="H38" s="49" t="s">
        <v>2321</v>
      </c>
    </row>
    <row r="39" spans="2:8" x14ac:dyDescent="0.3">
      <c r="B39" s="49" t="s">
        <v>4757</v>
      </c>
      <c r="C39" s="49"/>
      <c r="D39" s="49"/>
      <c r="E39" s="49"/>
      <c r="F39" s="49"/>
      <c r="G39" s="1360">
        <f>UC.year_to_day/G29</f>
        <v>2.0277777777777777</v>
      </c>
      <c r="H39" s="49" t="s">
        <v>6468</v>
      </c>
    </row>
    <row r="40" spans="2:8" x14ac:dyDescent="0.3">
      <c r="B40" s="49" t="s">
        <v>6469</v>
      </c>
      <c r="C40" s="49"/>
      <c r="D40" s="49"/>
      <c r="E40" s="49"/>
      <c r="F40" s="49"/>
      <c r="G40" s="648">
        <f>G24*G29</f>
        <v>515.92844892086657</v>
      </c>
      <c r="H40" s="49" t="s">
        <v>2478</v>
      </c>
    </row>
    <row r="41" spans="2:8" x14ac:dyDescent="0.3">
      <c r="B41" s="49" t="s">
        <v>6470</v>
      </c>
      <c r="C41" s="49"/>
      <c r="D41" s="49"/>
      <c r="E41" s="49"/>
      <c r="F41" s="49"/>
      <c r="G41" s="1500">
        <f>G29*G32*UC.day_to_year</f>
        <v>0.38505008219178072</v>
      </c>
      <c r="H41" s="49" t="s">
        <v>2337</v>
      </c>
    </row>
    <row r="42" spans="2:8" x14ac:dyDescent="0.3">
      <c r="B42" s="49" t="s">
        <v>6471</v>
      </c>
      <c r="C42" s="49"/>
      <c r="D42" s="49"/>
      <c r="E42" s="49"/>
      <c r="F42" s="49"/>
      <c r="G42" s="1500">
        <f>G29*G33*UC.day_to_year</f>
        <v>0.45006016438356161</v>
      </c>
      <c r="H42" s="49" t="s">
        <v>2337</v>
      </c>
    </row>
    <row r="43" spans="2:8" x14ac:dyDescent="0.3">
      <c r="B43" s="49" t="s">
        <v>6472</v>
      </c>
      <c r="C43" s="49"/>
      <c r="D43" s="49"/>
      <c r="E43" s="49"/>
      <c r="F43" s="49"/>
      <c r="G43" s="1500">
        <f>G30-G31-G34-G37-G41+G42</f>
        <v>6.6159380821917804</v>
      </c>
      <c r="H43" s="49" t="s">
        <v>2337</v>
      </c>
    </row>
    <row r="44" spans="2:8" x14ac:dyDescent="0.3">
      <c r="B44" s="49" t="s">
        <v>6473</v>
      </c>
      <c r="C44" s="49"/>
      <c r="D44" s="49"/>
      <c r="E44" s="49"/>
      <c r="F44" s="49"/>
      <c r="G44" s="1209">
        <f>SQRT(G40/(PI()*G43))</f>
        <v>4.982233592962384</v>
      </c>
      <c r="H44" s="49" t="s">
        <v>2337</v>
      </c>
    </row>
    <row r="45" spans="2:8" x14ac:dyDescent="0.3">
      <c r="B45" s="49" t="s">
        <v>6474</v>
      </c>
      <c r="C45" s="49"/>
      <c r="D45" s="49"/>
      <c r="E45" s="49"/>
      <c r="F45" s="49"/>
      <c r="G45" s="648">
        <f>G43*PI()*G35^2</f>
        <v>12990.364047261655</v>
      </c>
      <c r="H45" s="49" t="s">
        <v>2478</v>
      </c>
    </row>
    <row r="46" spans="2:8" x14ac:dyDescent="0.3">
      <c r="B46" s="49" t="s">
        <v>6475</v>
      </c>
      <c r="C46" s="49"/>
      <c r="D46" s="49"/>
      <c r="E46" s="49"/>
      <c r="F46" s="49"/>
      <c r="G46" s="648">
        <f>G43*PI()*G36^2</f>
        <v>20.784582475618642</v>
      </c>
      <c r="H46" s="49" t="s">
        <v>2478</v>
      </c>
    </row>
    <row r="47" spans="2:8" x14ac:dyDescent="0.3">
      <c r="B47" s="49" t="s">
        <v>6476</v>
      </c>
      <c r="C47" s="49"/>
      <c r="D47" s="49"/>
      <c r="E47" s="49"/>
      <c r="F47" s="49"/>
      <c r="G47" s="49">
        <f>ROUNDUP(G40/G45,0)</f>
        <v>1</v>
      </c>
      <c r="H47" s="49" t="s">
        <v>2442</v>
      </c>
    </row>
    <row r="48" spans="2:8" x14ac:dyDescent="0.3">
      <c r="B48" s="49" t="s">
        <v>6477</v>
      </c>
      <c r="C48" s="49"/>
      <c r="D48" s="49"/>
      <c r="E48" s="49"/>
      <c r="F48" s="49"/>
      <c r="G48" s="1360">
        <f>G40/G47</f>
        <v>515.92844892086657</v>
      </c>
      <c r="H48" s="49" t="s">
        <v>2478</v>
      </c>
    </row>
    <row r="49" spans="2:8" x14ac:dyDescent="0.3">
      <c r="B49" s="49" t="s">
        <v>6478</v>
      </c>
      <c r="C49" s="49"/>
      <c r="D49" s="49"/>
      <c r="E49" s="49"/>
      <c r="F49" s="49"/>
      <c r="G49" s="1209">
        <f>MAX(SQRT(G48/(PI()*G43)),G36)</f>
        <v>4.982233592962384</v>
      </c>
      <c r="H49" s="49" t="s">
        <v>2337</v>
      </c>
    </row>
    <row r="50" spans="2:8" x14ac:dyDescent="0.3">
      <c r="B50" s="49" t="s">
        <v>6479</v>
      </c>
      <c r="C50" s="49"/>
      <c r="D50" s="49"/>
      <c r="E50" s="49"/>
      <c r="F50" s="49"/>
      <c r="G50" s="1360">
        <f>G30*PI()*G49^2</f>
        <v>623.86127864116361</v>
      </c>
      <c r="H50" s="49" t="s">
        <v>2478</v>
      </c>
    </row>
    <row r="51" spans="2:8" x14ac:dyDescent="0.3">
      <c r="B51" s="49" t="s">
        <v>6480</v>
      </c>
      <c r="C51" s="49"/>
      <c r="D51" s="49"/>
      <c r="E51" s="49"/>
      <c r="F51" s="49"/>
      <c r="G51" s="1360">
        <f>G47*G50</f>
        <v>623.86127864116361</v>
      </c>
      <c r="H51" s="49" t="s">
        <v>2478</v>
      </c>
    </row>
    <row r="52" spans="2:8" x14ac:dyDescent="0.3">
      <c r="B52" s="49" t="s">
        <v>6481</v>
      </c>
      <c r="C52" s="49"/>
      <c r="D52" s="49"/>
      <c r="E52" s="49"/>
      <c r="F52" s="49"/>
      <c r="G52" s="1360">
        <f>PI()*G49^2</f>
        <v>77.982659830145451</v>
      </c>
      <c r="H52" s="49" t="s">
        <v>2268</v>
      </c>
    </row>
    <row r="53" spans="2:8" x14ac:dyDescent="0.3">
      <c r="B53" s="49" t="s">
        <v>6482</v>
      </c>
      <c r="C53" s="49"/>
      <c r="D53" s="49"/>
      <c r="E53" s="49"/>
      <c r="F53" s="49"/>
      <c r="G53" s="1360">
        <f>G47*G52</f>
        <v>77.982659830145451</v>
      </c>
      <c r="H53" s="49" t="s">
        <v>2268</v>
      </c>
    </row>
    <row r="54" spans="2:8" x14ac:dyDescent="0.3">
      <c r="B54" s="49" t="s">
        <v>6483</v>
      </c>
      <c r="C54" s="49"/>
      <c r="D54" s="49"/>
      <c r="E54" s="49"/>
      <c r="F54" s="49"/>
      <c r="G54" s="1360">
        <f>G41*G53</f>
        <v>30.027229577131184</v>
      </c>
      <c r="H54" s="49" t="s">
        <v>2478</v>
      </c>
    </row>
    <row r="55" spans="2:8" x14ac:dyDescent="0.3">
      <c r="B55" s="49" t="s">
        <v>6484</v>
      </c>
      <c r="C55" s="49"/>
      <c r="D55" s="49"/>
      <c r="E55" s="49"/>
      <c r="F55" s="49"/>
      <c r="G55" s="1360">
        <f>G42*G53</f>
        <v>35.096888702222628</v>
      </c>
      <c r="H55" s="49" t="s">
        <v>2478</v>
      </c>
    </row>
    <row r="56" spans="2:8" x14ac:dyDescent="0.3">
      <c r="B56" s="49" t="s">
        <v>6485</v>
      </c>
      <c r="C56" s="49"/>
      <c r="D56" s="49"/>
      <c r="E56" s="49"/>
      <c r="F56" s="49"/>
      <c r="G56" s="1360">
        <f>G54-G55</f>
        <v>-5.0696591250914445</v>
      </c>
      <c r="H56" s="49" t="s">
        <v>2478</v>
      </c>
    </row>
    <row r="57" spans="2:8" x14ac:dyDescent="0.3">
      <c r="B57" s="49" t="s">
        <v>6486</v>
      </c>
      <c r="C57" s="49"/>
      <c r="D57" s="49"/>
      <c r="E57" s="49"/>
      <c r="F57" s="49"/>
      <c r="G57" s="1360">
        <f>G34*G53</f>
        <v>11.250714299014744</v>
      </c>
      <c r="H57" s="49" t="s">
        <v>2478</v>
      </c>
    </row>
    <row r="58" spans="2:8" x14ac:dyDescent="0.3">
      <c r="B58" s="49" t="s">
        <v>6487</v>
      </c>
      <c r="C58" s="49"/>
      <c r="D58" s="49"/>
      <c r="E58" s="49"/>
      <c r="F58" s="49"/>
      <c r="G58" s="1360">
        <f>G31*G53</f>
        <v>77.982659830145451</v>
      </c>
      <c r="H58" s="49" t="s">
        <v>2478</v>
      </c>
    </row>
    <row r="59" spans="2:8" x14ac:dyDescent="0.3">
      <c r="B59" s="49" t="s">
        <v>6488</v>
      </c>
      <c r="C59" s="49"/>
      <c r="D59" s="49"/>
      <c r="E59" s="49"/>
      <c r="F59" s="49"/>
      <c r="G59" s="1209">
        <f>G37*G53</f>
        <v>23.769114716228334</v>
      </c>
      <c r="H59" s="49" t="s">
        <v>2478</v>
      </c>
    </row>
    <row r="60" spans="2:8" x14ac:dyDescent="0.3">
      <c r="B60" s="1387" t="s">
        <v>6489</v>
      </c>
      <c r="C60" s="353"/>
      <c r="D60" s="353"/>
      <c r="E60" s="353"/>
      <c r="F60" s="1538"/>
      <c r="G60" s="1538"/>
      <c r="H60" s="352"/>
    </row>
    <row r="61" spans="2:8" x14ac:dyDescent="0.3">
      <c r="B61" s="49" t="s">
        <v>6490</v>
      </c>
      <c r="C61" s="49"/>
      <c r="D61" s="49"/>
      <c r="E61" s="49"/>
      <c r="F61" s="49"/>
      <c r="G61" s="1359" t="str">
        <f>UDV.storage_tank.agi_type</f>
        <v>single</v>
      </c>
      <c r="H61" s="49" t="s">
        <v>2008</v>
      </c>
    </row>
    <row r="62" spans="2:8" x14ac:dyDescent="0.3">
      <c r="B62" s="49" t="s">
        <v>6491</v>
      </c>
      <c r="C62" s="49"/>
      <c r="D62" s="49"/>
      <c r="E62" s="49"/>
      <c r="F62" s="49"/>
      <c r="G62" s="648">
        <f>G47</f>
        <v>1</v>
      </c>
      <c r="H62" s="49" t="s">
        <v>2442</v>
      </c>
    </row>
    <row r="63" spans="2:8" x14ac:dyDescent="0.3">
      <c r="B63" s="1017" t="s">
        <v>6492</v>
      </c>
      <c r="C63" s="1017"/>
      <c r="D63" s="1017"/>
      <c r="E63" s="1017"/>
      <c r="F63" s="1017"/>
      <c r="G63" s="1736">
        <v>7.5</v>
      </c>
      <c r="H63" s="1017" t="s">
        <v>971</v>
      </c>
    </row>
    <row r="64" spans="2:8" x14ac:dyDescent="0.3">
      <c r="B64" s="1017" t="s">
        <v>6493</v>
      </c>
      <c r="C64" s="1017"/>
      <c r="D64" s="1017"/>
      <c r="E64" s="1017"/>
      <c r="F64" s="1017"/>
      <c r="G64" s="1736">
        <v>100</v>
      </c>
      <c r="H64" s="1017" t="s">
        <v>2516</v>
      </c>
    </row>
    <row r="69" spans="1:8" x14ac:dyDescent="0.3">
      <c r="A69" t="s">
        <v>2621</v>
      </c>
      <c r="B69" s="1387" t="s">
        <v>6494</v>
      </c>
      <c r="C69" s="353"/>
      <c r="D69" s="353"/>
      <c r="E69" s="353"/>
      <c r="F69" s="1538"/>
      <c r="G69" s="1538"/>
      <c r="H69" s="352"/>
    </row>
    <row r="70" spans="1:8" x14ac:dyDescent="0.3">
      <c r="B70" s="63" t="s">
        <v>6495</v>
      </c>
      <c r="C70" s="49"/>
      <c r="D70" s="49"/>
      <c r="E70" s="49"/>
      <c r="F70" s="49"/>
      <c r="G70" s="1724">
        <f>UDV.storage_tank.effluent_N_retained</f>
        <v>0.69840876499999993</v>
      </c>
      <c r="H70" s="49" t="s">
        <v>1694</v>
      </c>
    </row>
    <row r="71" spans="1:8" x14ac:dyDescent="0.3">
      <c r="B71" s="63" t="s">
        <v>6496</v>
      </c>
      <c r="C71" s="49"/>
      <c r="D71" s="49"/>
      <c r="E71" s="49"/>
      <c r="F71" s="49"/>
      <c r="G71" s="1359">
        <f>UDV.storage_tank.effluent_P_retained</f>
        <v>1</v>
      </c>
      <c r="H71" s="49" t="s">
        <v>1694</v>
      </c>
    </row>
    <row r="72" spans="1:8" x14ac:dyDescent="0.3">
      <c r="B72" s="63" t="s">
        <v>6497</v>
      </c>
      <c r="C72" s="49"/>
      <c r="D72" s="49"/>
      <c r="E72" s="49"/>
      <c r="F72" s="49"/>
      <c r="G72" s="1359">
        <f>UDV.storage_tank.effluent_K_retained</f>
        <v>1</v>
      </c>
      <c r="H72" s="49" t="s">
        <v>1694</v>
      </c>
    </row>
    <row r="73" spans="1:8" x14ac:dyDescent="0.3">
      <c r="B73" s="49" t="s">
        <v>6498</v>
      </c>
      <c r="C73" s="49"/>
      <c r="D73" s="49"/>
      <c r="E73" s="49"/>
      <c r="F73" s="1089"/>
      <c r="G73" s="1360">
        <f>G27*G29-G56</f>
        <v>1016.7607373672022</v>
      </c>
      <c r="H73" s="49" t="s">
        <v>4731</v>
      </c>
    </row>
    <row r="74" spans="1:8" x14ac:dyDescent="0.3">
      <c r="B74" s="49" t="s">
        <v>6499</v>
      </c>
      <c r="C74" s="49"/>
      <c r="D74" s="49"/>
      <c r="E74" s="49"/>
      <c r="F74" s="49"/>
      <c r="G74" s="1360">
        <f>G25*G29</f>
        <v>44226.809999999976</v>
      </c>
      <c r="H74" s="49" t="s">
        <v>5531</v>
      </c>
    </row>
    <row r="75" spans="1:8" x14ac:dyDescent="0.3">
      <c r="B75" s="49" t="s">
        <v>6500</v>
      </c>
      <c r="C75" s="49"/>
      <c r="D75" s="49"/>
      <c r="E75" s="49"/>
      <c r="F75" s="49"/>
      <c r="G75" s="1360">
        <f>G26*G29</f>
        <v>34866.719999999994</v>
      </c>
      <c r="H75" s="49" t="s">
        <v>5531</v>
      </c>
    </row>
    <row r="76" spans="1:8" x14ac:dyDescent="0.3">
      <c r="B76" s="49" t="s">
        <v>6501</v>
      </c>
      <c r="C76" s="49"/>
      <c r="D76" s="49"/>
      <c r="E76" s="49"/>
      <c r="F76" s="49"/>
      <c r="G76" s="1360">
        <f>G9*G29*G70</f>
        <v>3268.6095913099648</v>
      </c>
      <c r="H76" s="49" t="s">
        <v>5531</v>
      </c>
    </row>
    <row r="77" spans="1:8" x14ac:dyDescent="0.3">
      <c r="B77" s="49" t="s">
        <v>6502</v>
      </c>
      <c r="C77" s="49"/>
      <c r="D77" s="49"/>
      <c r="E77" s="49"/>
      <c r="F77" s="49"/>
      <c r="G77" s="1360">
        <f>G10*G29*G71</f>
        <v>1638.0269999999998</v>
      </c>
      <c r="H77" s="49" t="s">
        <v>5531</v>
      </c>
    </row>
    <row r="78" spans="1:8" x14ac:dyDescent="0.3">
      <c r="B78" s="49" t="s">
        <v>6503</v>
      </c>
      <c r="C78" s="49"/>
      <c r="D78" s="49"/>
      <c r="E78" s="49"/>
      <c r="F78" s="49"/>
      <c r="G78" s="1360">
        <f>G11*G29*G72</f>
        <v>2106.0449999999996</v>
      </c>
      <c r="H78" s="49" t="s">
        <v>5531</v>
      </c>
    </row>
    <row r="79" spans="1:8" x14ac:dyDescent="0.3">
      <c r="B79" s="49" t="s">
        <v>6504</v>
      </c>
      <c r="C79" s="49"/>
      <c r="D79" s="49"/>
      <c r="E79" s="49"/>
      <c r="F79" s="49"/>
      <c r="G79" s="1360">
        <f>G40+G56+G73</f>
        <v>1527.6195271629772</v>
      </c>
      <c r="H79" s="49" t="s">
        <v>5910</v>
      </c>
    </row>
    <row r="80" spans="1:8" x14ac:dyDescent="0.3">
      <c r="B80" s="49" t="s">
        <v>6505</v>
      </c>
      <c r="C80" s="49"/>
      <c r="D80" s="49"/>
      <c r="E80" s="49"/>
      <c r="F80" s="1085"/>
      <c r="G80" s="1399">
        <f>G38*G79*UC.m3_to_gal/1000</f>
        <v>818.31861436421332</v>
      </c>
      <c r="H80" s="18" t="s">
        <v>5743</v>
      </c>
    </row>
    <row r="81" spans="1:8" x14ac:dyDescent="0.3">
      <c r="B81" s="717" t="s">
        <v>6506</v>
      </c>
      <c r="C81" s="49"/>
      <c r="D81" s="49"/>
      <c r="E81" s="49"/>
      <c r="F81" s="1085"/>
      <c r="G81" s="1399">
        <f>G76/G79</f>
        <v>2.1396751829824225</v>
      </c>
      <c r="H81" s="18" t="s">
        <v>2413</v>
      </c>
    </row>
    <row r="82" spans="1:8" x14ac:dyDescent="0.3">
      <c r="B82" s="717" t="s">
        <v>6507</v>
      </c>
      <c r="C82" s="49"/>
      <c r="D82" s="49"/>
      <c r="E82" s="49"/>
      <c r="F82" s="1085"/>
      <c r="G82" s="1399">
        <f>G77/G79</f>
        <v>1.0722741958150184</v>
      </c>
      <c r="H82" s="18" t="s">
        <v>2413</v>
      </c>
    </row>
    <row r="83" spans="1:8" x14ac:dyDescent="0.3">
      <c r="B83" s="717" t="s">
        <v>6508</v>
      </c>
      <c r="C83" s="49"/>
      <c r="D83" s="49"/>
      <c r="E83" s="49"/>
      <c r="F83" s="1085"/>
      <c r="G83" s="1399">
        <f>G78/G79</f>
        <v>1.3786449849271349</v>
      </c>
      <c r="H83" s="18" t="s">
        <v>2413</v>
      </c>
    </row>
    <row r="84" spans="1:8" x14ac:dyDescent="0.3">
      <c r="B84" s="1454" t="s">
        <v>5338</v>
      </c>
      <c r="C84" s="49"/>
      <c r="D84" s="49"/>
      <c r="E84" s="49"/>
      <c r="F84" s="1085"/>
      <c r="G84" s="1380">
        <f>G81*1000*UC.g_to_lb/UC.L_to_gal</f>
        <v>17.856454957333554</v>
      </c>
      <c r="H84" s="18" t="s">
        <v>2414</v>
      </c>
    </row>
    <row r="85" spans="1:8" x14ac:dyDescent="0.3">
      <c r="B85" s="1454" t="s">
        <v>5340</v>
      </c>
      <c r="C85" s="49"/>
      <c r="D85" s="49"/>
      <c r="E85" s="49"/>
      <c r="F85" s="1085"/>
      <c r="G85" s="1380">
        <f>G82*1000*UC.g_to_lb/UC.L_to_gal</f>
        <v>8.9485619274200037</v>
      </c>
      <c r="H85" s="18" t="s">
        <v>2414</v>
      </c>
    </row>
    <row r="86" spans="1:8" x14ac:dyDescent="0.3">
      <c r="B86" s="1454" t="s">
        <v>5342</v>
      </c>
      <c r="C86" s="49"/>
      <c r="D86" s="49"/>
      <c r="E86" s="49"/>
      <c r="F86" s="1085"/>
      <c r="G86" s="1380">
        <f>G83*1000*UC.g_to_lb/UC.L_to_gal</f>
        <v>11.505350097668266</v>
      </c>
      <c r="H86" s="18" t="s">
        <v>2414</v>
      </c>
    </row>
    <row r="87" spans="1:8" x14ac:dyDescent="0.3">
      <c r="A87" t="s">
        <v>528</v>
      </c>
      <c r="B87" s="1501" t="s">
        <v>6509</v>
      </c>
      <c r="C87" s="1502"/>
      <c r="D87" s="1502"/>
      <c r="E87" s="1502"/>
      <c r="F87" s="1726"/>
      <c r="G87" s="1383"/>
      <c r="H87" s="1502"/>
    </row>
    <row r="88" spans="1:8" x14ac:dyDescent="0.3">
      <c r="B88" s="1454" t="s">
        <v>5573</v>
      </c>
      <c r="C88" s="510"/>
      <c r="D88" s="510"/>
      <c r="E88" s="510"/>
      <c r="F88" s="510"/>
      <c r="G88" s="1450">
        <f>UDV.crops.N_avail</f>
        <v>0.95</v>
      </c>
      <c r="H88" s="510" t="s">
        <v>1694</v>
      </c>
    </row>
    <row r="89" spans="1:8" x14ac:dyDescent="0.3">
      <c r="B89" s="1454" t="s">
        <v>5574</v>
      </c>
      <c r="C89" s="510"/>
      <c r="D89" s="510"/>
      <c r="E89" s="510"/>
      <c r="F89" s="510"/>
      <c r="G89" s="1450">
        <f>UDV.crops.P_avail</f>
        <v>0.95</v>
      </c>
      <c r="H89" s="510" t="s">
        <v>1694</v>
      </c>
    </row>
    <row r="90" spans="1:8" x14ac:dyDescent="0.3">
      <c r="B90" s="1454" t="s">
        <v>5575</v>
      </c>
      <c r="C90" s="510"/>
      <c r="D90" s="510"/>
      <c r="E90" s="510" t="str">
        <f>UDV.crops.apply_method</f>
        <v>Injection</v>
      </c>
      <c r="F90" s="510"/>
      <c r="G90" s="1450">
        <f>UDV.crops.K_avail</f>
        <v>1</v>
      </c>
      <c r="H90" s="510" t="s">
        <v>1694</v>
      </c>
    </row>
    <row r="91" spans="1:8" x14ac:dyDescent="0.3">
      <c r="B91" s="1454" t="s">
        <v>5345</v>
      </c>
      <c r="C91" s="510"/>
      <c r="D91" s="510"/>
      <c r="E91" s="510"/>
      <c r="F91" s="510"/>
      <c r="G91" s="1450">
        <f>UDV.crops.N_need</f>
        <v>195</v>
      </c>
      <c r="H91" s="510" t="s">
        <v>5576</v>
      </c>
    </row>
    <row r="92" spans="1:8" x14ac:dyDescent="0.3">
      <c r="B92" s="1454" t="s">
        <v>5354</v>
      </c>
      <c r="C92" s="510"/>
      <c r="D92" s="510"/>
      <c r="E92" s="510"/>
      <c r="F92" s="510"/>
      <c r="G92" s="1450">
        <f>UDV.crops.P_need</f>
        <v>55</v>
      </c>
      <c r="H92" s="510" t="s">
        <v>5576</v>
      </c>
    </row>
    <row r="93" spans="1:8" x14ac:dyDescent="0.3">
      <c r="B93" s="1454" t="s">
        <v>5356</v>
      </c>
      <c r="C93" s="510"/>
      <c r="D93" s="510"/>
      <c r="E93" s="510"/>
      <c r="F93" s="510"/>
      <c r="G93" s="1450">
        <f>UDV.crops.K_need</f>
        <v>90</v>
      </c>
      <c r="H93" s="510" t="s">
        <v>5576</v>
      </c>
    </row>
    <row r="94" spans="1:8" x14ac:dyDescent="0.3">
      <c r="A94" t="s">
        <v>6510</v>
      </c>
      <c r="B94" s="1501" t="s">
        <v>6369</v>
      </c>
      <c r="C94" s="1502"/>
      <c r="D94" s="1502"/>
      <c r="E94" s="1502"/>
      <c r="F94" s="1726"/>
      <c r="G94" s="1383" t="s">
        <v>6380</v>
      </c>
      <c r="H94" s="1502"/>
    </row>
    <row r="95" spans="1:8" x14ac:dyDescent="0.3">
      <c r="B95" s="1454" t="s">
        <v>5344</v>
      </c>
      <c r="C95" s="510"/>
      <c r="D95" s="510"/>
      <c r="E95" s="510"/>
      <c r="F95" s="510"/>
      <c r="G95" s="1380">
        <f>G84*G88</f>
        <v>16.963632209466876</v>
      </c>
      <c r="H95" s="510" t="s">
        <v>2414</v>
      </c>
    </row>
    <row r="96" spans="1:8" x14ac:dyDescent="0.3">
      <c r="B96" s="1454" t="s">
        <v>5347</v>
      </c>
      <c r="C96" s="510"/>
      <c r="D96" s="510"/>
      <c r="E96" s="510"/>
      <c r="F96" s="510"/>
      <c r="G96" s="1380">
        <f>G85*G89</f>
        <v>8.5011338310490032</v>
      </c>
      <c r="H96" s="510" t="s">
        <v>2414</v>
      </c>
    </row>
    <row r="97" spans="2:8" x14ac:dyDescent="0.3">
      <c r="B97" s="1454" t="s">
        <v>5349</v>
      </c>
      <c r="C97" s="510"/>
      <c r="D97" s="510"/>
      <c r="E97" s="510"/>
      <c r="F97" s="510"/>
      <c r="G97" s="1380">
        <f>G86*G90</f>
        <v>11.505350097668266</v>
      </c>
      <c r="H97" s="510" t="s">
        <v>2414</v>
      </c>
    </row>
    <row r="98" spans="2:8" x14ac:dyDescent="0.3">
      <c r="B98" s="1454" t="s">
        <v>5351</v>
      </c>
      <c r="C98" s="510"/>
      <c r="D98" s="510"/>
      <c r="E98" s="510"/>
      <c r="F98" s="510"/>
      <c r="G98" s="1380">
        <f>G91/G95</f>
        <v>11.495179663891591</v>
      </c>
      <c r="H98" s="510" t="s">
        <v>5578</v>
      </c>
    </row>
    <row r="99" spans="2:8" x14ac:dyDescent="0.3">
      <c r="B99" s="1454" t="s">
        <v>5353</v>
      </c>
      <c r="C99" s="510"/>
      <c r="D99" s="510"/>
      <c r="E99" s="510"/>
      <c r="F99" s="510"/>
      <c r="G99" s="1380">
        <f>G92/G96</f>
        <v>6.4697252264305591</v>
      </c>
      <c r="H99" s="510" t="s">
        <v>5578</v>
      </c>
    </row>
    <row r="100" spans="2:8" x14ac:dyDescent="0.3">
      <c r="B100" s="1454" t="s">
        <v>5355</v>
      </c>
      <c r="C100" s="510"/>
      <c r="D100" s="510"/>
      <c r="E100" s="510"/>
      <c r="F100" s="510"/>
      <c r="G100" s="1380">
        <f>G93/G97</f>
        <v>7.8224477513500323</v>
      </c>
      <c r="H100" s="510" t="s">
        <v>5578</v>
      </c>
    </row>
    <row r="101" spans="2:8" x14ac:dyDescent="0.3">
      <c r="B101" s="1454" t="s">
        <v>5343</v>
      </c>
      <c r="C101" s="510"/>
      <c r="D101" s="510"/>
      <c r="E101" s="510"/>
      <c r="F101" s="510"/>
      <c r="G101" s="1450" t="str">
        <f>UDV.crops.apply_for</f>
        <v>N</v>
      </c>
      <c r="H101" s="510" t="s">
        <v>5579</v>
      </c>
    </row>
    <row r="102" spans="2:8" x14ac:dyDescent="0.3">
      <c r="B102" s="1454" t="s">
        <v>5580</v>
      </c>
      <c r="C102" s="91"/>
      <c r="D102" s="52"/>
      <c r="E102" s="52"/>
      <c r="F102" s="49"/>
      <c r="G102" s="1378">
        <f>UDV.crops.application_max_liquids</f>
        <v>10</v>
      </c>
      <c r="H102" s="18" t="s">
        <v>5578</v>
      </c>
    </row>
    <row r="103" spans="2:8" x14ac:dyDescent="0.3">
      <c r="B103" s="49" t="s">
        <v>5581</v>
      </c>
      <c r="C103" s="49"/>
      <c r="D103" s="52"/>
      <c r="E103" s="52"/>
      <c r="F103" s="49"/>
      <c r="G103" s="1413">
        <f>UDV.crops.application_wait_liquids</f>
        <v>28</v>
      </c>
      <c r="H103" s="18" t="s">
        <v>2452</v>
      </c>
    </row>
    <row r="104" spans="2:8" x14ac:dyDescent="0.3">
      <c r="B104" s="1454" t="s">
        <v>5582</v>
      </c>
      <c r="C104" s="91"/>
      <c r="D104" s="52"/>
      <c r="E104" s="52"/>
      <c r="F104" s="49"/>
      <c r="G104" s="1380">
        <f>IF(UDV.storage_tank.removal_events&lt;1,G102,IF(G103&gt;UDV.storage_tank.HRT,G102*UC.year_to_day/G103,G102*UDV.storage_tank.removal_events))</f>
        <v>20.277777777777779</v>
      </c>
      <c r="H104" s="18" t="s">
        <v>5578</v>
      </c>
    </row>
    <row r="105" spans="2:8" x14ac:dyDescent="0.3">
      <c r="B105" s="1454" t="s">
        <v>5357</v>
      </c>
      <c r="C105" s="510"/>
      <c r="D105" s="510"/>
      <c r="E105" s="510"/>
      <c r="F105" s="510"/>
      <c r="G105" s="1380">
        <f>MIN(IF(G101="N",G98,IF(G101="P",G99,G100)),G104)</f>
        <v>11.495179663891591</v>
      </c>
      <c r="H105" s="510" t="s">
        <v>5578</v>
      </c>
    </row>
    <row r="106" spans="2:8" x14ac:dyDescent="0.3">
      <c r="B106" s="1454" t="s">
        <v>5360</v>
      </c>
      <c r="C106" s="510"/>
      <c r="D106" s="510"/>
      <c r="E106" s="510"/>
      <c r="F106" s="510"/>
      <c r="G106" s="1395">
        <f>G95*G105</f>
        <v>195</v>
      </c>
      <c r="H106" s="1503" t="s">
        <v>5361</v>
      </c>
    </row>
    <row r="107" spans="2:8" x14ac:dyDescent="0.3">
      <c r="B107" s="1454" t="s">
        <v>5363</v>
      </c>
      <c r="C107" s="510"/>
      <c r="D107" s="510"/>
      <c r="E107" s="510"/>
      <c r="F107" s="510"/>
      <c r="G107" s="1395">
        <f>G96*G105</f>
        <v>97.722060734695319</v>
      </c>
      <c r="H107" s="1503" t="s">
        <v>5361</v>
      </c>
    </row>
    <row r="108" spans="2:8" x14ac:dyDescent="0.3">
      <c r="B108" s="1454" t="s">
        <v>5365</v>
      </c>
      <c r="C108" s="510"/>
      <c r="D108" s="510"/>
      <c r="E108" s="510"/>
      <c r="F108" s="510"/>
      <c r="G108" s="1395">
        <f>G97*G105</f>
        <v>132.25606646866939</v>
      </c>
      <c r="H108" s="1503" t="s">
        <v>5361</v>
      </c>
    </row>
    <row r="109" spans="2:8" x14ac:dyDescent="0.3">
      <c r="B109" s="1454" t="s">
        <v>5366</v>
      </c>
      <c r="C109" s="510"/>
      <c r="D109" s="510"/>
      <c r="E109" s="510"/>
      <c r="F109" s="510"/>
      <c r="G109" s="1395">
        <f>IF(G91&lt;G106,G91,G106)</f>
        <v>195</v>
      </c>
      <c r="H109" s="1503" t="s">
        <v>5361</v>
      </c>
    </row>
    <row r="110" spans="2:8" x14ac:dyDescent="0.3">
      <c r="B110" s="1454" t="s">
        <v>5368</v>
      </c>
      <c r="C110" s="510"/>
      <c r="D110" s="510"/>
      <c r="E110" s="510"/>
      <c r="F110" s="510"/>
      <c r="G110" s="1395">
        <f>IF(G92&lt;G107,G92,G107)</f>
        <v>55</v>
      </c>
      <c r="H110" s="1503" t="s">
        <v>5361</v>
      </c>
    </row>
    <row r="111" spans="2:8" x14ac:dyDescent="0.3">
      <c r="B111" s="1454" t="s">
        <v>5370</v>
      </c>
      <c r="C111" s="510"/>
      <c r="D111" s="510"/>
      <c r="E111" s="510"/>
      <c r="F111" s="510"/>
      <c r="G111" s="1395">
        <f>IF(G93&lt;G108,G93,G108)</f>
        <v>90</v>
      </c>
      <c r="H111" s="1503" t="s">
        <v>5361</v>
      </c>
    </row>
    <row r="112" spans="2:8" x14ac:dyDescent="0.3">
      <c r="B112" s="1454" t="s">
        <v>5381</v>
      </c>
      <c r="C112" s="496"/>
      <c r="D112" s="510"/>
      <c r="E112" s="510"/>
      <c r="F112" s="510"/>
      <c r="G112" s="1395">
        <f>G106-G109</f>
        <v>0</v>
      </c>
      <c r="H112" s="1503" t="s">
        <v>5361</v>
      </c>
    </row>
    <row r="113" spans="1:8" x14ac:dyDescent="0.3">
      <c r="B113" s="1454" t="s">
        <v>5382</v>
      </c>
      <c r="C113" s="496"/>
      <c r="D113" s="510"/>
      <c r="E113" s="510"/>
      <c r="F113" s="510"/>
      <c r="G113" s="1395">
        <f>G107-G110</f>
        <v>42.722060734695319</v>
      </c>
      <c r="H113" s="1503" t="s">
        <v>5361</v>
      </c>
    </row>
    <row r="114" spans="1:8" x14ac:dyDescent="0.3">
      <c r="B114" s="1454" t="s">
        <v>5383</v>
      </c>
      <c r="C114" s="496"/>
      <c r="D114" s="510"/>
      <c r="E114" s="510"/>
      <c r="F114" s="52"/>
      <c r="G114" s="1395">
        <f>G108-G111</f>
        <v>42.256066468669388</v>
      </c>
      <c r="H114" s="1503" t="s">
        <v>5361</v>
      </c>
    </row>
    <row r="115" spans="1:8" x14ac:dyDescent="0.3">
      <c r="B115" s="1454" t="s">
        <v>5384</v>
      </c>
      <c r="D115" s="52"/>
      <c r="E115" s="510"/>
      <c r="F115" s="19"/>
      <c r="G115" s="1380">
        <f>G80/G105</f>
        <v>71.187979508897797</v>
      </c>
      <c r="H115" s="1503" t="s">
        <v>5385</v>
      </c>
    </row>
    <row r="116" spans="1:8" x14ac:dyDescent="0.3">
      <c r="B116" s="1454" t="s">
        <v>5386</v>
      </c>
      <c r="C116" s="510"/>
      <c r="D116" s="510"/>
      <c r="E116" s="510"/>
      <c r="F116" s="510"/>
      <c r="G116" s="1378">
        <f>UDV.crops.acres_available</f>
        <v>100</v>
      </c>
      <c r="H116" s="1503" t="s">
        <v>5385</v>
      </c>
    </row>
    <row r="117" spans="1:8" x14ac:dyDescent="0.3">
      <c r="B117" s="1454" t="s">
        <v>5387</v>
      </c>
      <c r="C117" s="98"/>
      <c r="D117" s="510"/>
      <c r="E117" s="1505"/>
      <c r="F117" s="510"/>
      <c r="G117" s="1380">
        <f>IF(G115&lt;G116,G115,G116)</f>
        <v>71.187979508897797</v>
      </c>
      <c r="H117" s="1503" t="s">
        <v>5385</v>
      </c>
    </row>
    <row r="118" spans="1:8" x14ac:dyDescent="0.3">
      <c r="B118" s="1454" t="s">
        <v>5584</v>
      </c>
      <c r="C118" s="510"/>
      <c r="D118" s="510"/>
      <c r="E118" s="510"/>
      <c r="F118" s="510"/>
      <c r="G118" s="1379">
        <f>G105*G117</f>
        <v>818.3186143642132</v>
      </c>
      <c r="H118" s="1503" t="s">
        <v>5246</v>
      </c>
    </row>
    <row r="119" spans="1:8" x14ac:dyDescent="0.3">
      <c r="B119" s="1454" t="s">
        <v>5585</v>
      </c>
      <c r="C119" s="510"/>
      <c r="D119" s="510"/>
      <c r="E119" s="510"/>
      <c r="F119" s="510"/>
      <c r="G119" s="1379">
        <f>IF(G80&gt;G118,G118,G80)</f>
        <v>818.31861436421332</v>
      </c>
      <c r="H119" s="1503" t="s">
        <v>5246</v>
      </c>
    </row>
    <row r="120" spans="1:8" x14ac:dyDescent="0.3">
      <c r="B120" s="1506" t="s">
        <v>5586</v>
      </c>
      <c r="C120" s="1438" t="s">
        <v>5587</v>
      </c>
      <c r="D120" s="1438"/>
      <c r="E120" s="510"/>
      <c r="F120" s="510"/>
      <c r="G120" s="1379">
        <f>IF(G117=0,0,G119/G117*1000)</f>
        <v>11495.179663891593</v>
      </c>
      <c r="H120" s="510" t="s">
        <v>5588</v>
      </c>
    </row>
    <row r="121" spans="1:8" x14ac:dyDescent="0.3">
      <c r="B121" s="1453" t="s">
        <v>5390</v>
      </c>
      <c r="C121" s="510"/>
      <c r="D121" s="510"/>
      <c r="E121" s="510"/>
      <c r="F121" s="510"/>
      <c r="G121" s="1379">
        <f>G80-G119</f>
        <v>0</v>
      </c>
      <c r="H121" s="1503" t="s">
        <v>5246</v>
      </c>
    </row>
    <row r="122" spans="1:8" x14ac:dyDescent="0.3">
      <c r="B122" s="510" t="s">
        <v>5589</v>
      </c>
      <c r="C122" s="510"/>
      <c r="D122" s="510"/>
      <c r="E122" s="510"/>
      <c r="F122" s="510"/>
      <c r="G122" s="1395">
        <f>G119/G80</f>
        <v>1</v>
      </c>
      <c r="H122" s="510" t="s">
        <v>1694</v>
      </c>
    </row>
    <row r="123" spans="1:8" x14ac:dyDescent="0.3">
      <c r="B123" s="1438" t="s">
        <v>5590</v>
      </c>
      <c r="C123" s="1438" t="s">
        <v>5587</v>
      </c>
      <c r="D123" s="1438"/>
      <c r="E123" s="510"/>
      <c r="F123" s="510"/>
      <c r="G123" s="1379">
        <f>G79*G122*UC.m3_to_gal</f>
        <v>403554.38516591344</v>
      </c>
      <c r="H123" s="510" t="s">
        <v>5591</v>
      </c>
    </row>
    <row r="124" spans="1:8" x14ac:dyDescent="0.3">
      <c r="B124" s="91" t="s">
        <v>5592</v>
      </c>
      <c r="C124" s="510"/>
      <c r="D124" s="510"/>
      <c r="E124" s="510"/>
      <c r="F124" s="510"/>
      <c r="G124" s="1380">
        <f>G105*1000*UC.gal_to_ft3*UC.ft_to_in/UC.acre_to_ft2</f>
        <v>0.4233283897437024</v>
      </c>
      <c r="H124" s="510" t="s">
        <v>2534</v>
      </c>
    </row>
    <row r="125" spans="1:8" x14ac:dyDescent="0.3">
      <c r="A125" t="s">
        <v>565</v>
      </c>
      <c r="B125" s="1405" t="s">
        <v>5593</v>
      </c>
      <c r="C125" s="1374"/>
      <c r="D125" s="1374"/>
      <c r="E125" s="1374"/>
      <c r="F125" s="1383"/>
      <c r="G125" s="1383" t="s">
        <v>6380</v>
      </c>
      <c r="H125" s="1374"/>
    </row>
    <row r="126" spans="1:8" x14ac:dyDescent="0.3">
      <c r="B126" s="1449" t="s">
        <v>5372</v>
      </c>
      <c r="C126" s="18"/>
      <c r="D126" s="510"/>
      <c r="E126" s="510"/>
      <c r="F126" s="1403"/>
      <c r="G126" s="1462">
        <f>UDV.econ_fertilizer.N</f>
        <v>0.53</v>
      </c>
      <c r="H126" s="1449" t="s">
        <v>2299</v>
      </c>
    </row>
    <row r="127" spans="1:8" x14ac:dyDescent="0.3">
      <c r="B127" s="1449" t="s">
        <v>5373</v>
      </c>
      <c r="C127" s="18"/>
      <c r="D127" s="510"/>
      <c r="E127" s="510"/>
      <c r="F127" s="1403"/>
      <c r="G127" s="1462">
        <f>UDV.econ_fertilizer.P2O5</f>
        <v>0.53</v>
      </c>
      <c r="H127" s="1449" t="s">
        <v>2299</v>
      </c>
    </row>
    <row r="128" spans="1:8" x14ac:dyDescent="0.3">
      <c r="B128" s="1449" t="s">
        <v>5374</v>
      </c>
      <c r="C128" s="18"/>
      <c r="D128" s="510"/>
      <c r="E128" s="510"/>
      <c r="F128" s="1403"/>
      <c r="G128" s="1462">
        <f>UDV.econ_fertilizer.K2O</f>
        <v>0.45</v>
      </c>
      <c r="H128" s="1449" t="s">
        <v>2299</v>
      </c>
    </row>
    <row r="129" spans="1:8" x14ac:dyDescent="0.3">
      <c r="B129" s="1449" t="s">
        <v>5375</v>
      </c>
      <c r="C129" s="18"/>
      <c r="D129" s="510"/>
      <c r="E129" s="510"/>
      <c r="F129" s="1380"/>
      <c r="G129" s="1380">
        <f>G109*G126</f>
        <v>103.35000000000001</v>
      </c>
      <c r="H129" s="1449" t="s">
        <v>5376</v>
      </c>
    </row>
    <row r="130" spans="1:8" x14ac:dyDescent="0.3">
      <c r="B130" s="1449" t="s">
        <v>5377</v>
      </c>
      <c r="C130" s="18"/>
      <c r="D130" s="510"/>
      <c r="E130" s="510"/>
      <c r="F130" s="1380"/>
      <c r="G130" s="1380">
        <f>G110*G127</f>
        <v>29.150000000000002</v>
      </c>
      <c r="H130" s="1449" t="s">
        <v>5376</v>
      </c>
    </row>
    <row r="131" spans="1:8" x14ac:dyDescent="0.3">
      <c r="B131" s="1449" t="s">
        <v>5378</v>
      </c>
      <c r="C131" s="18"/>
      <c r="D131" s="510"/>
      <c r="E131" s="510"/>
      <c r="F131" s="1380"/>
      <c r="G131" s="1380">
        <f>G111*G128</f>
        <v>40.5</v>
      </c>
      <c r="H131" s="1449" t="s">
        <v>5376</v>
      </c>
    </row>
    <row r="132" spans="1:8" x14ac:dyDescent="0.3">
      <c r="B132" s="1449" t="s">
        <v>5379</v>
      </c>
      <c r="C132" s="18"/>
      <c r="D132" s="510"/>
      <c r="E132" s="510"/>
      <c r="F132" s="1380"/>
      <c r="G132" s="1380">
        <f>SUM(G129:G131)</f>
        <v>173</v>
      </c>
      <c r="H132" s="1449" t="s">
        <v>5376</v>
      </c>
    </row>
    <row r="133" spans="1:8" x14ac:dyDescent="0.3">
      <c r="B133" s="1449" t="s">
        <v>5380</v>
      </c>
      <c r="C133" s="18"/>
      <c r="D133" s="510"/>
      <c r="E133" s="510"/>
      <c r="F133" s="1380"/>
      <c r="G133" s="1380">
        <f>G132/G105</f>
        <v>15.049786524296254</v>
      </c>
      <c r="H133" s="1449" t="s">
        <v>2314</v>
      </c>
    </row>
    <row r="134" spans="1:8" x14ac:dyDescent="0.3">
      <c r="B134" s="1449" t="s">
        <v>5332</v>
      </c>
      <c r="C134" s="18"/>
      <c r="D134" s="510"/>
      <c r="E134" s="510"/>
      <c r="F134" s="1380"/>
      <c r="G134" s="1380">
        <f>G119*G133</f>
        <v>12315.520455039321</v>
      </c>
      <c r="H134" s="1449" t="s">
        <v>5181</v>
      </c>
    </row>
    <row r="135" spans="1:8" x14ac:dyDescent="0.3">
      <c r="D135" s="66"/>
      <c r="E135" s="66"/>
      <c r="F135" s="19"/>
      <c r="G135" s="314"/>
      <c r="H135" s="20"/>
    </row>
    <row r="136" spans="1:8" x14ac:dyDescent="0.3">
      <c r="A136" t="s">
        <v>5271</v>
      </c>
      <c r="B136" s="1405" t="s">
        <v>5271</v>
      </c>
      <c r="C136" s="1374"/>
      <c r="D136" s="1374"/>
      <c r="E136" s="1374"/>
      <c r="F136" s="1356"/>
      <c r="G136" s="1356"/>
      <c r="H136" s="1374"/>
    </row>
    <row r="137" spans="1:8" x14ac:dyDescent="0.3">
      <c r="B137" s="49" t="s">
        <v>5594</v>
      </c>
      <c r="C137" s="49"/>
      <c r="D137" s="49"/>
      <c r="E137" s="49"/>
      <c r="F137" s="49"/>
      <c r="G137" s="1360">
        <f>G8</f>
        <v>221.00449999999995</v>
      </c>
      <c r="H137" s="49" t="s">
        <v>2409</v>
      </c>
    </row>
    <row r="138" spans="1:8" x14ac:dyDescent="0.3">
      <c r="B138" s="602" t="s">
        <v>5595</v>
      </c>
      <c r="C138" s="49"/>
      <c r="D138" s="49"/>
      <c r="E138" s="49"/>
      <c r="F138" s="49"/>
      <c r="G138" s="1727">
        <f>UDV.emit_CH4.BD</f>
        <v>0.47999999999999993</v>
      </c>
      <c r="H138" s="49" t="s">
        <v>5596</v>
      </c>
    </row>
    <row r="139" spans="1:8" x14ac:dyDescent="0.3">
      <c r="B139" s="602" t="s">
        <v>5597</v>
      </c>
      <c r="C139" s="49"/>
      <c r="D139" s="49"/>
      <c r="E139" s="49"/>
      <c r="F139" s="49"/>
      <c r="G139" s="1727">
        <f>UDV.emit_CH4.density</f>
        <v>0.66199999999999992</v>
      </c>
      <c r="H139" s="49" t="s">
        <v>2416</v>
      </c>
    </row>
    <row r="140" spans="1:8" x14ac:dyDescent="0.3">
      <c r="B140" s="602" t="s">
        <v>5598</v>
      </c>
      <c r="C140" s="49"/>
      <c r="D140" s="49"/>
      <c r="E140" s="49"/>
      <c r="F140" s="49"/>
      <c r="G140" s="1414">
        <f>UDV.emit_CH4.MCF_storage_tank</f>
        <v>0.20562750999999999</v>
      </c>
      <c r="H140" s="49" t="s">
        <v>1694</v>
      </c>
    </row>
    <row r="141" spans="1:8" x14ac:dyDescent="0.3">
      <c r="B141" s="602" t="s">
        <v>5599</v>
      </c>
      <c r="C141" s="49"/>
      <c r="D141" s="1089" t="s">
        <v>5600</v>
      </c>
      <c r="E141" s="1089"/>
      <c r="F141" s="1089"/>
      <c r="G141" s="1728">
        <f>G137*365*G138*G139*G140/UDV.animal.total</f>
        <v>10.541548717743245</v>
      </c>
      <c r="H141" s="49" t="s">
        <v>5601</v>
      </c>
    </row>
    <row r="142" spans="1:8" x14ac:dyDescent="0.3">
      <c r="B142" s="2283" t="s">
        <v>5602</v>
      </c>
      <c r="C142" s="1406"/>
      <c r="D142" s="1407"/>
      <c r="E142" s="2284"/>
      <c r="F142" s="1409"/>
      <c r="G142" s="1409"/>
      <c r="H142" s="1411"/>
    </row>
    <row r="143" spans="1:8" x14ac:dyDescent="0.3">
      <c r="B143" s="28" t="s">
        <v>6511</v>
      </c>
      <c r="C143" s="510"/>
      <c r="D143" s="2285"/>
      <c r="E143" s="1353"/>
      <c r="F143" s="1384"/>
      <c r="G143" s="1532">
        <f>G9</f>
        <v>26.000450000000001</v>
      </c>
      <c r="H143" s="28" t="s">
        <v>2409</v>
      </c>
    </row>
    <row r="144" spans="1:8" x14ac:dyDescent="0.3">
      <c r="B144" s="28" t="s">
        <v>5604</v>
      </c>
      <c r="C144" s="510"/>
      <c r="D144" s="1351"/>
      <c r="E144" s="1353"/>
      <c r="F144" s="1384"/>
      <c r="G144" s="1576">
        <f>UDV.emit_N2O_direct.N_to_N2O</f>
        <v>1.5713999999999999</v>
      </c>
      <c r="H144" s="28" t="s">
        <v>5605</v>
      </c>
    </row>
    <row r="145" spans="1:8" x14ac:dyDescent="0.3">
      <c r="B145" s="28" t="s">
        <v>6512</v>
      </c>
      <c r="C145" s="510"/>
      <c r="D145" s="2285"/>
      <c r="E145" s="1353"/>
      <c r="F145" s="1384"/>
      <c r="G145" s="1521">
        <f>G143*UC.year_to_day/UDV.animal.total</f>
        <v>18.980328499999999</v>
      </c>
      <c r="H145" s="28" t="s">
        <v>5607</v>
      </c>
    </row>
    <row r="146" spans="1:8" x14ac:dyDescent="0.3">
      <c r="B146" s="2283" t="s">
        <v>5608</v>
      </c>
      <c r="C146" s="1408"/>
      <c r="D146" s="1408"/>
      <c r="E146" s="2284"/>
      <c r="F146" s="1409"/>
      <c r="G146" s="2286"/>
      <c r="H146" s="2289"/>
    </row>
    <row r="147" spans="1:8" x14ac:dyDescent="0.3">
      <c r="B147" s="95" t="s">
        <v>6513</v>
      </c>
      <c r="C147" s="49"/>
      <c r="D147" s="52"/>
      <c r="E147" s="1353"/>
      <c r="F147" s="1384"/>
      <c r="G147" s="1401">
        <f>UDV.emit_NH3.lossfrac_storage_tank</f>
        <v>0.3</v>
      </c>
      <c r="H147" s="95" t="s">
        <v>1694</v>
      </c>
    </row>
    <row r="148" spans="1:8" x14ac:dyDescent="0.3">
      <c r="B148" s="95" t="s">
        <v>6514</v>
      </c>
      <c r="C148" s="510"/>
      <c r="D148" s="510"/>
      <c r="E148" s="1353"/>
      <c r="F148" s="1384"/>
      <c r="G148" s="1878">
        <f>G145*G147</f>
        <v>5.6940985499999996</v>
      </c>
      <c r="H148" s="28" t="s">
        <v>5611</v>
      </c>
    </row>
    <row r="149" spans="1:8" x14ac:dyDescent="0.3">
      <c r="B149" s="95" t="s">
        <v>5612</v>
      </c>
      <c r="C149" s="49"/>
      <c r="D149" s="52"/>
      <c r="E149" s="1382" t="s">
        <v>5613</v>
      </c>
      <c r="F149" s="1415"/>
      <c r="G149" s="2288">
        <f>G148</f>
        <v>5.6940985499999996</v>
      </c>
      <c r="H149" s="28" t="s">
        <v>5611</v>
      </c>
    </row>
    <row r="150" spans="1:8" x14ac:dyDescent="0.3">
      <c r="B150" s="2283" t="s">
        <v>5614</v>
      </c>
      <c r="C150" s="1406"/>
      <c r="D150" s="1407"/>
      <c r="E150" s="2284"/>
      <c r="F150" s="1409"/>
      <c r="G150" s="2286"/>
      <c r="H150" s="2289"/>
    </row>
    <row r="151" spans="1:8" ht="15.6" x14ac:dyDescent="0.3">
      <c r="B151" s="28" t="s">
        <v>6515</v>
      </c>
      <c r="C151" s="510"/>
      <c r="D151" s="2285"/>
      <c r="E151" s="1353"/>
      <c r="F151" s="1384"/>
      <c r="G151" s="2290">
        <f>UDV.emit_N2O_direct.ef3_storage_tank</f>
        <v>5.0000000000000001E-3</v>
      </c>
      <c r="H151" s="28" t="s">
        <v>5616</v>
      </c>
    </row>
    <row r="152" spans="1:8" x14ac:dyDescent="0.3">
      <c r="B152" s="95" t="s">
        <v>6516</v>
      </c>
      <c r="C152" s="510"/>
      <c r="D152" s="2291"/>
      <c r="E152" s="1353"/>
      <c r="F152" s="1384"/>
      <c r="G152" s="1878">
        <f>G144*G145*G151</f>
        <v>0.14912844102449999</v>
      </c>
      <c r="H152" s="28" t="s">
        <v>5618</v>
      </c>
    </row>
    <row r="153" spans="1:8" x14ac:dyDescent="0.3">
      <c r="B153" s="95" t="s">
        <v>5619</v>
      </c>
      <c r="C153" s="49"/>
      <c r="D153" s="52"/>
      <c r="E153" s="1382" t="s">
        <v>5620</v>
      </c>
      <c r="F153" s="1415"/>
      <c r="G153" s="2288">
        <f>G152</f>
        <v>0.14912844102449999</v>
      </c>
      <c r="H153" s="28" t="s">
        <v>5618</v>
      </c>
    </row>
    <row r="154" spans="1:8" x14ac:dyDescent="0.3">
      <c r="B154" s="2283" t="s">
        <v>5621</v>
      </c>
      <c r="C154" s="1408"/>
      <c r="D154" s="1408"/>
      <c r="E154" s="2284"/>
      <c r="F154" s="1409"/>
      <c r="G154" s="2286"/>
      <c r="H154" s="2289"/>
    </row>
    <row r="155" spans="1:8" x14ac:dyDescent="0.3">
      <c r="B155" s="28" t="s">
        <v>5622</v>
      </c>
      <c r="C155" s="510"/>
      <c r="D155" s="2292"/>
      <c r="E155" s="1353"/>
      <c r="F155" s="1384"/>
      <c r="G155" s="1576">
        <f>UDV.emit_N2O_indirect.ef4</f>
        <v>1.4E-2</v>
      </c>
      <c r="H155" s="95" t="s">
        <v>5623</v>
      </c>
    </row>
    <row r="156" spans="1:8" x14ac:dyDescent="0.3">
      <c r="B156" s="95" t="s">
        <v>6517</v>
      </c>
      <c r="C156" s="816"/>
      <c r="D156" s="2293"/>
      <c r="E156" s="1353"/>
      <c r="F156" s="1384"/>
      <c r="G156" s="1878">
        <f>G144*G148*G155</f>
        <v>0.12526789046057998</v>
      </c>
      <c r="H156" s="28" t="s">
        <v>5618</v>
      </c>
    </row>
    <row r="157" spans="1:8" x14ac:dyDescent="0.3">
      <c r="B157" s="95" t="s">
        <v>5625</v>
      </c>
      <c r="C157" s="49"/>
      <c r="D157" s="52"/>
      <c r="E157" s="1382" t="s">
        <v>5626</v>
      </c>
      <c r="F157" s="1415"/>
      <c r="G157" s="2288">
        <f>G156</f>
        <v>0.12526789046057998</v>
      </c>
      <c r="H157" s="28" t="s">
        <v>5618</v>
      </c>
    </row>
    <row r="158" spans="1:8" x14ac:dyDescent="0.3">
      <c r="B158" s="1633"/>
      <c r="C158" s="279"/>
      <c r="D158" s="279"/>
      <c r="E158" s="279"/>
      <c r="F158" s="279"/>
      <c r="G158" s="2245"/>
      <c r="H158" s="1611"/>
    </row>
    <row r="159" spans="1:8" x14ac:dyDescent="0.3">
      <c r="B159" s="90"/>
      <c r="C159" s="90"/>
      <c r="D159" s="66"/>
      <c r="E159" s="66"/>
      <c r="F159" s="66"/>
      <c r="G159" s="1848"/>
      <c r="H159" s="279"/>
    </row>
    <row r="160" spans="1:8" x14ac:dyDescent="0.3">
      <c r="A160" t="s">
        <v>6518</v>
      </c>
      <c r="B160" s="1825"/>
      <c r="C160" s="279"/>
      <c r="D160" s="279"/>
      <c r="E160" s="279"/>
      <c r="F160" s="279"/>
      <c r="G160" s="499"/>
      <c r="H160" s="279"/>
    </row>
    <row r="162" spans="1:8" x14ac:dyDescent="0.3">
      <c r="A162" t="s">
        <v>6391</v>
      </c>
      <c r="B162" s="1507" t="s">
        <v>5627</v>
      </c>
      <c r="C162" s="1508"/>
      <c r="D162" s="1407"/>
      <c r="E162" s="1407"/>
      <c r="F162" s="1508"/>
      <c r="G162" s="1410" t="s">
        <v>6380</v>
      </c>
      <c r="H162" s="1408"/>
    </row>
    <row r="163" spans="1:8" x14ac:dyDescent="0.3">
      <c r="B163" s="510" t="s">
        <v>5590</v>
      </c>
      <c r="C163" s="91"/>
      <c r="D163" s="52"/>
      <c r="E163" s="52"/>
      <c r="F163" s="52"/>
      <c r="G163" s="1357">
        <f>G123</f>
        <v>403554.38516591344</v>
      </c>
      <c r="H163" s="510" t="s">
        <v>2489</v>
      </c>
    </row>
    <row r="164" spans="1:8" x14ac:dyDescent="0.3">
      <c r="B164" s="1454" t="s">
        <v>5357</v>
      </c>
      <c r="C164" s="91"/>
      <c r="D164" s="52"/>
      <c r="E164" s="52"/>
      <c r="F164" s="52"/>
      <c r="G164" s="1357">
        <f>G120</f>
        <v>11495.179663891593</v>
      </c>
      <c r="H164" s="510" t="s">
        <v>5588</v>
      </c>
    </row>
    <row r="165" spans="1:8" x14ac:dyDescent="0.3">
      <c r="B165" s="91" t="s">
        <v>5629</v>
      </c>
      <c r="C165" s="91"/>
      <c r="D165" s="52"/>
      <c r="E165" s="52"/>
      <c r="F165" s="52"/>
      <c r="G165" s="1378">
        <f>UDV.tractor.application_time_non_sludge</f>
        <v>50</v>
      </c>
      <c r="H165" s="510" t="s">
        <v>2469</v>
      </c>
    </row>
    <row r="166" spans="1:8" x14ac:dyDescent="0.3">
      <c r="B166" s="91" t="s">
        <v>5630</v>
      </c>
      <c r="C166" s="91"/>
      <c r="D166" s="52"/>
      <c r="E166" s="52"/>
      <c r="F166" s="52"/>
      <c r="G166" s="1378">
        <f>UDV.tractor.max_usage_daily</f>
        <v>12</v>
      </c>
      <c r="H166" s="510" t="s">
        <v>2471</v>
      </c>
    </row>
    <row r="167" spans="1:8" x14ac:dyDescent="0.3">
      <c r="B167" s="91" t="s">
        <v>2164</v>
      </c>
      <c r="C167" s="91"/>
      <c r="D167" s="52"/>
      <c r="E167" s="52"/>
      <c r="F167" s="52"/>
      <c r="G167" s="1378">
        <f>UDV.tractor.min_usage_yearly</f>
        <v>1000</v>
      </c>
      <c r="H167" s="510" t="s">
        <v>2472</v>
      </c>
    </row>
    <row r="168" spans="1:8" x14ac:dyDescent="0.3">
      <c r="B168" s="49" t="s">
        <v>5631</v>
      </c>
      <c r="C168" s="49"/>
      <c r="D168" s="52"/>
      <c r="E168" s="52"/>
      <c r="F168" s="48"/>
      <c r="G168" s="1424">
        <f>UDV.storage_tank.HRT/UC.year_to_day</f>
        <v>0.49315068493150682</v>
      </c>
      <c r="H168" s="18" t="s">
        <v>2454</v>
      </c>
    </row>
    <row r="169" spans="1:8" x14ac:dyDescent="0.3">
      <c r="B169" s="1509" t="s">
        <v>5632</v>
      </c>
      <c r="C169" s="91"/>
      <c r="D169" s="52"/>
      <c r="E169" s="52"/>
      <c r="F169" s="52"/>
      <c r="G169" s="1378">
        <f>UDV.land_application.avg_distance</f>
        <v>1</v>
      </c>
      <c r="H169" s="1448" t="s">
        <v>2342</v>
      </c>
    </row>
    <row r="170" spans="1:8" x14ac:dyDescent="0.3">
      <c r="B170" s="1376" t="s">
        <v>5633</v>
      </c>
      <c r="C170" s="91"/>
      <c r="D170" s="52"/>
      <c r="E170" s="52"/>
      <c r="F170" s="52"/>
      <c r="G170" s="1378">
        <f>UDV.land_application.max_distance</f>
        <v>2</v>
      </c>
      <c r="H170" s="510" t="s">
        <v>2342</v>
      </c>
    </row>
    <row r="171" spans="1:8" x14ac:dyDescent="0.3">
      <c r="B171" s="510" t="s">
        <v>5634</v>
      </c>
      <c r="C171" s="91"/>
      <c r="D171" s="52"/>
      <c r="E171" s="52"/>
      <c r="F171" s="52"/>
      <c r="G171" s="1414">
        <f>UDV.storage_tank.removal_events</f>
        <v>2.0277777777777777</v>
      </c>
      <c r="H171" s="1448" t="s">
        <v>5635</v>
      </c>
    </row>
    <row r="172" spans="1:8" x14ac:dyDescent="0.3">
      <c r="A172" t="s">
        <v>6392</v>
      </c>
      <c r="B172" s="1510" t="s">
        <v>5636</v>
      </c>
      <c r="C172" s="1511"/>
      <c r="D172" s="1512"/>
      <c r="E172" s="1512"/>
      <c r="F172" s="1511"/>
      <c r="G172" s="1513"/>
      <c r="H172" s="1514"/>
    </row>
    <row r="173" spans="1:8" x14ac:dyDescent="0.3">
      <c r="B173" s="1509" t="s">
        <v>5637</v>
      </c>
      <c r="C173" s="91"/>
      <c r="D173" s="52"/>
      <c r="E173" s="52"/>
      <c r="F173" s="52"/>
      <c r="G173" s="1391">
        <f>UDV.land_application.tanker_volume</f>
        <v>6000</v>
      </c>
      <c r="H173" s="1448" t="s">
        <v>2480</v>
      </c>
    </row>
    <row r="174" spans="1:8" x14ac:dyDescent="0.3">
      <c r="B174" s="1509" t="s">
        <v>5638</v>
      </c>
      <c r="C174" s="91"/>
      <c r="D174" s="52"/>
      <c r="E174" s="52"/>
      <c r="F174" s="52"/>
      <c r="G174" s="1378">
        <f>UDV.land_application.tanker_tractor_power</f>
        <v>250</v>
      </c>
      <c r="H174" s="1448" t="s">
        <v>5639</v>
      </c>
    </row>
    <row r="175" spans="1:8" x14ac:dyDescent="0.3">
      <c r="B175" s="91" t="s">
        <v>5640</v>
      </c>
      <c r="C175" s="52"/>
      <c r="D175" s="52"/>
      <c r="E175" s="52"/>
      <c r="F175" s="52"/>
      <c r="G175" s="1403">
        <f>UDV.land_application.storage_maneuver_time/UC.hour_to_min</f>
        <v>5.8333333333333334E-2</v>
      </c>
      <c r="H175" s="510" t="s">
        <v>5641</v>
      </c>
    </row>
    <row r="176" spans="1:8" x14ac:dyDescent="0.3">
      <c r="B176" s="91" t="s">
        <v>5642</v>
      </c>
      <c r="C176" s="52"/>
      <c r="D176" s="52"/>
      <c r="E176" s="52"/>
      <c r="F176" s="52"/>
      <c r="G176" s="1403">
        <f>UDV.land_application.field_maneuver_time/UC.hour_to_min</f>
        <v>6.6666666666666666E-2</v>
      </c>
      <c r="H176" s="510" t="s">
        <v>5641</v>
      </c>
    </row>
    <row r="177" spans="2:8" x14ac:dyDescent="0.3">
      <c r="B177" s="91" t="s">
        <v>5643</v>
      </c>
      <c r="C177" s="91"/>
      <c r="D177" s="52"/>
      <c r="E177" s="52"/>
      <c r="F177" s="52"/>
      <c r="G177" s="1378">
        <f>UDV.land_application.storage_to_tanker_load_rate</f>
        <v>2000</v>
      </c>
      <c r="H177" s="510" t="s">
        <v>2516</v>
      </c>
    </row>
    <row r="178" spans="2:8" x14ac:dyDescent="0.3">
      <c r="B178" s="91" t="s">
        <v>5644</v>
      </c>
      <c r="C178" s="91"/>
      <c r="D178" s="52"/>
      <c r="E178" s="52"/>
      <c r="F178" s="52"/>
      <c r="G178" s="1384">
        <f>G173/G177/UC.hour_to_min</f>
        <v>0.05</v>
      </c>
      <c r="H178" s="510" t="s">
        <v>5641</v>
      </c>
    </row>
    <row r="179" spans="2:8" x14ac:dyDescent="0.3">
      <c r="B179" s="91" t="s">
        <v>5645</v>
      </c>
      <c r="C179" s="91"/>
      <c r="D179" s="52"/>
      <c r="E179" s="52"/>
      <c r="F179" s="52"/>
      <c r="G179" s="1378">
        <f>UDV.land_application.tanker_unload_rate</f>
        <v>1300</v>
      </c>
      <c r="H179" s="510" t="s">
        <v>2516</v>
      </c>
    </row>
    <row r="180" spans="2:8" x14ac:dyDescent="0.3">
      <c r="B180" s="91" t="s">
        <v>5646</v>
      </c>
      <c r="C180" s="91"/>
      <c r="D180" s="52"/>
      <c r="E180" s="52"/>
      <c r="F180" s="52"/>
      <c r="G180" s="1404">
        <f>G173/G179/UC.hour_to_min</f>
        <v>7.6923076923076913E-2</v>
      </c>
      <c r="H180" s="510" t="s">
        <v>5641</v>
      </c>
    </row>
    <row r="181" spans="2:8" x14ac:dyDescent="0.3">
      <c r="B181" s="91" t="s">
        <v>5647</v>
      </c>
      <c r="C181" s="91"/>
      <c r="D181" s="52"/>
      <c r="E181" s="52"/>
      <c r="F181" s="52"/>
      <c r="G181" s="1378">
        <f>UDV.land_application.tanker_loaded_speed</f>
        <v>14</v>
      </c>
      <c r="H181" s="510" t="s">
        <v>5648</v>
      </c>
    </row>
    <row r="182" spans="2:8" x14ac:dyDescent="0.3">
      <c r="B182" s="91" t="s">
        <v>5649</v>
      </c>
      <c r="C182" s="91"/>
      <c r="D182" s="52"/>
      <c r="E182" s="52"/>
      <c r="F182" s="52"/>
      <c r="G182" s="1378">
        <f>UDV.land_application.tanker_unloaded_speed</f>
        <v>17</v>
      </c>
      <c r="H182" s="510" t="s">
        <v>5648</v>
      </c>
    </row>
    <row r="183" spans="2:8" x14ac:dyDescent="0.3">
      <c r="B183" s="91" t="s">
        <v>5650</v>
      </c>
      <c r="C183" s="91"/>
      <c r="D183" s="52"/>
      <c r="E183" s="52"/>
      <c r="F183" s="52"/>
      <c r="G183" s="1404">
        <f>G169/G181</f>
        <v>7.1428571428571425E-2</v>
      </c>
      <c r="H183" s="510" t="s">
        <v>5641</v>
      </c>
    </row>
    <row r="184" spans="2:8" x14ac:dyDescent="0.3">
      <c r="B184" s="91" t="s">
        <v>5651</v>
      </c>
      <c r="C184" s="91"/>
      <c r="D184" s="52"/>
      <c r="E184" s="52"/>
      <c r="F184" s="52"/>
      <c r="G184" s="1380">
        <f>G169/G182</f>
        <v>5.8823529411764705E-2</v>
      </c>
      <c r="H184" s="510" t="s">
        <v>5641</v>
      </c>
    </row>
    <row r="185" spans="2:8" x14ac:dyDescent="0.3">
      <c r="B185" s="91" t="s">
        <v>5652</v>
      </c>
      <c r="C185" s="91"/>
      <c r="D185" s="52"/>
      <c r="E185" s="52"/>
      <c r="F185" s="52"/>
      <c r="G185" s="1380">
        <f>G175+G176+G178+G180+G183+G184</f>
        <v>0.38217517776341303</v>
      </c>
      <c r="H185" s="510" t="s">
        <v>5641</v>
      </c>
    </row>
    <row r="186" spans="2:8" x14ac:dyDescent="0.3">
      <c r="B186" s="816" t="s">
        <v>5653</v>
      </c>
      <c r="C186" s="91"/>
      <c r="D186" s="52"/>
      <c r="E186" s="52"/>
      <c r="F186" s="52"/>
      <c r="G186" s="1379">
        <f>G173/G185</f>
        <v>15699.606748699734</v>
      </c>
      <c r="H186" s="816" t="s">
        <v>2510</v>
      </c>
    </row>
    <row r="187" spans="2:8" x14ac:dyDescent="0.3">
      <c r="B187" s="717" t="s">
        <v>5654</v>
      </c>
      <c r="C187" s="91"/>
      <c r="D187" s="52"/>
      <c r="E187" s="52"/>
      <c r="F187" s="52"/>
      <c r="G187" s="1379">
        <f>G163/G186</f>
        <v>25.704744814664636</v>
      </c>
      <c r="H187" s="1444" t="s">
        <v>2462</v>
      </c>
    </row>
    <row r="188" spans="2:8" x14ac:dyDescent="0.3">
      <c r="B188" s="1516" t="s">
        <v>5655</v>
      </c>
      <c r="C188" s="91"/>
      <c r="D188" s="52"/>
      <c r="E188" s="52"/>
      <c r="F188" s="52"/>
      <c r="G188" s="1380">
        <f>G171*G187/G165</f>
        <v>1.0424702063725102</v>
      </c>
      <c r="H188" s="510" t="s">
        <v>2471</v>
      </c>
    </row>
    <row r="189" spans="2:8" x14ac:dyDescent="0.3">
      <c r="B189" s="717" t="s">
        <v>5656</v>
      </c>
      <c r="C189" s="91"/>
      <c r="D189" s="52"/>
      <c r="E189" s="52"/>
      <c r="F189" s="52"/>
      <c r="G189" s="1517">
        <f>ROUNDUP(G188/G166,0)</f>
        <v>1</v>
      </c>
      <c r="H189" s="510" t="s">
        <v>2442</v>
      </c>
    </row>
    <row r="190" spans="2:8" x14ac:dyDescent="0.3">
      <c r="B190" s="49" t="s">
        <v>5657</v>
      </c>
      <c r="C190" s="49"/>
      <c r="D190" s="52"/>
      <c r="E190" s="52"/>
      <c r="F190" s="48"/>
      <c r="G190" s="1398">
        <f>IF(G187=0,0,G171*G187/G189/G166)</f>
        <v>4.3436258598854591</v>
      </c>
      <c r="H190" s="18" t="s">
        <v>2469</v>
      </c>
    </row>
    <row r="191" spans="2:8" x14ac:dyDescent="0.3">
      <c r="B191" s="816" t="s">
        <v>5658</v>
      </c>
      <c r="C191" s="91"/>
      <c r="D191" s="52"/>
      <c r="E191" s="52"/>
      <c r="F191" s="52"/>
      <c r="G191" s="1379">
        <f>G171*G187</f>
        <v>52.123510318625506</v>
      </c>
      <c r="H191" s="1444" t="s">
        <v>2472</v>
      </c>
    </row>
    <row r="192" spans="2:8" x14ac:dyDescent="0.3">
      <c r="B192" s="816" t="s">
        <v>5659</v>
      </c>
      <c r="C192" s="91"/>
      <c r="D192" s="52"/>
      <c r="E192" s="52"/>
      <c r="F192" s="52"/>
      <c r="G192" s="1384">
        <f>UDV.tractor.fuel_efficiency*G174</f>
        <v>11</v>
      </c>
      <c r="H192" s="816" t="s">
        <v>2510</v>
      </c>
    </row>
    <row r="193" spans="1:8" x14ac:dyDescent="0.3">
      <c r="B193" s="717" t="s">
        <v>5660</v>
      </c>
      <c r="C193" s="91"/>
      <c r="D193" s="52"/>
      <c r="E193" s="52"/>
      <c r="F193" s="52"/>
      <c r="G193" s="1379">
        <f>G187*G192</f>
        <v>282.75219296131098</v>
      </c>
      <c r="H193" s="816" t="s">
        <v>2489</v>
      </c>
    </row>
    <row r="194" spans="1:8" x14ac:dyDescent="0.3">
      <c r="B194" s="816" t="s">
        <v>5661</v>
      </c>
      <c r="C194" s="91"/>
      <c r="D194" s="52"/>
      <c r="E194" s="52"/>
      <c r="F194" s="52"/>
      <c r="G194" s="1379">
        <f>G193*G171</f>
        <v>573.35861350488062</v>
      </c>
      <c r="H194" s="510" t="s">
        <v>2517</v>
      </c>
    </row>
    <row r="195" spans="1:8" x14ac:dyDescent="0.3">
      <c r="A195" t="s">
        <v>6519</v>
      </c>
      <c r="B195" s="1510" t="s">
        <v>5662</v>
      </c>
      <c r="C195" s="1510"/>
      <c r="D195" s="1512"/>
      <c r="E195" s="1512"/>
      <c r="F195" s="1511"/>
      <c r="G195" s="1513"/>
      <c r="H195" s="1514"/>
    </row>
    <row r="196" spans="1:8" x14ac:dyDescent="0.3">
      <c r="B196" s="717" t="s">
        <v>5663</v>
      </c>
      <c r="C196" s="91"/>
      <c r="D196" s="52"/>
      <c r="E196" s="52"/>
      <c r="F196" s="52"/>
      <c r="G196" s="1378">
        <f>UDV.land_application.tanker_pump_power</f>
        <v>180</v>
      </c>
      <c r="H196" s="510" t="s">
        <v>5664</v>
      </c>
    </row>
    <row r="197" spans="1:8" x14ac:dyDescent="0.3">
      <c r="B197" s="510" t="s">
        <v>5665</v>
      </c>
      <c r="C197" s="91"/>
      <c r="D197" s="52"/>
      <c r="E197" s="52"/>
      <c r="F197" s="52"/>
      <c r="G197" s="1378">
        <f>UDV.land_application.storage_pump_max_time</f>
        <v>12</v>
      </c>
      <c r="H197" s="510" t="s">
        <v>2471</v>
      </c>
    </row>
    <row r="198" spans="1:8" x14ac:dyDescent="0.3">
      <c r="B198" s="816" t="s">
        <v>5666</v>
      </c>
      <c r="C198" s="91"/>
      <c r="D198" s="52"/>
      <c r="E198" s="52"/>
      <c r="F198" s="52"/>
      <c r="G198" s="1384">
        <f>UDV.tractor.fuel_efficiency*G196</f>
        <v>7.92</v>
      </c>
      <c r="H198" s="816" t="s">
        <v>2510</v>
      </c>
    </row>
    <row r="199" spans="1:8" x14ac:dyDescent="0.3">
      <c r="B199" s="717" t="s">
        <v>5667</v>
      </c>
      <c r="C199" s="91"/>
      <c r="D199" s="52"/>
      <c r="E199" s="52"/>
      <c r="F199" s="52"/>
      <c r="G199" s="1380">
        <f>G163/G177/UC.hour_to_min</f>
        <v>3.3629532097159456</v>
      </c>
      <c r="H199" s="510" t="s">
        <v>2462</v>
      </c>
    </row>
    <row r="200" spans="1:8" x14ac:dyDescent="0.3">
      <c r="B200" s="1516" t="s">
        <v>5668</v>
      </c>
      <c r="C200" s="91"/>
      <c r="D200" s="52"/>
      <c r="E200" s="52"/>
      <c r="F200" s="52"/>
      <c r="G200" s="1380">
        <f>G171*G199/G165</f>
        <v>0.13638643572736889</v>
      </c>
      <c r="H200" s="510" t="s">
        <v>2471</v>
      </c>
    </row>
    <row r="201" spans="1:8" x14ac:dyDescent="0.3">
      <c r="B201" s="717" t="s">
        <v>5669</v>
      </c>
      <c r="C201" s="91"/>
      <c r="D201" s="52"/>
      <c r="E201" s="52"/>
      <c r="F201" s="52"/>
      <c r="G201" s="1517">
        <f>ROUNDUP(G200/G197,0)</f>
        <v>1</v>
      </c>
      <c r="H201" s="510" t="s">
        <v>2442</v>
      </c>
    </row>
    <row r="202" spans="1:8" x14ac:dyDescent="0.3">
      <c r="B202" s="510" t="s">
        <v>5670</v>
      </c>
      <c r="C202" s="91"/>
      <c r="D202" s="52"/>
      <c r="E202" s="52"/>
      <c r="F202" s="52"/>
      <c r="G202" s="1518">
        <f>G199/UC.day_to_hour</f>
        <v>0.14012305040483106</v>
      </c>
      <c r="H202" s="510" t="s">
        <v>5671</v>
      </c>
    </row>
    <row r="203" spans="1:8" x14ac:dyDescent="0.3">
      <c r="B203" s="717" t="s">
        <v>5672</v>
      </c>
      <c r="C203" s="91"/>
      <c r="D203" s="52"/>
      <c r="E203" s="52"/>
      <c r="F203" s="52"/>
      <c r="G203" s="1379">
        <f>G199*G198</f>
        <v>26.634589420950288</v>
      </c>
      <c r="H203" s="816" t="s">
        <v>2489</v>
      </c>
    </row>
    <row r="204" spans="1:8" x14ac:dyDescent="0.3">
      <c r="B204" s="816" t="s">
        <v>5673</v>
      </c>
      <c r="C204" s="91"/>
      <c r="D204" s="52"/>
      <c r="E204" s="52"/>
      <c r="F204" s="52"/>
      <c r="G204" s="1379">
        <f>G171*G203</f>
        <v>54.009028548038081</v>
      </c>
      <c r="H204" s="510" t="s">
        <v>2517</v>
      </c>
    </row>
    <row r="205" spans="1:8" x14ac:dyDescent="0.3">
      <c r="A205" t="s">
        <v>6520</v>
      </c>
      <c r="B205" s="1510" t="s">
        <v>5674</v>
      </c>
      <c r="C205" s="1511"/>
      <c r="D205" s="1512"/>
      <c r="E205" s="1512"/>
      <c r="F205" s="1511"/>
      <c r="G205" s="1513"/>
      <c r="H205" s="1514"/>
    </row>
    <row r="206" spans="1:8" x14ac:dyDescent="0.3">
      <c r="B206" s="1376" t="s">
        <v>5676</v>
      </c>
      <c r="C206" s="91"/>
      <c r="D206" s="52"/>
      <c r="E206" s="52"/>
      <c r="F206" s="52"/>
      <c r="G206" s="1378">
        <f>UDV.land_application.agitation_tractor_power</f>
        <v>160</v>
      </c>
      <c r="H206" s="816" t="s">
        <v>5639</v>
      </c>
    </row>
    <row r="207" spans="1:8" x14ac:dyDescent="0.3">
      <c r="B207" s="816" t="s">
        <v>5677</v>
      </c>
      <c r="C207" s="91"/>
      <c r="D207" s="52"/>
      <c r="E207" s="52"/>
      <c r="F207" s="52"/>
      <c r="G207" s="1378">
        <f>UDV.land_application.storage_agitation_max_time</f>
        <v>3</v>
      </c>
      <c r="H207" s="816" t="s">
        <v>2471</v>
      </c>
    </row>
    <row r="208" spans="1:8" x14ac:dyDescent="0.3">
      <c r="B208" s="816" t="s">
        <v>5678</v>
      </c>
      <c r="C208" s="91"/>
      <c r="D208" s="52"/>
      <c r="E208" s="52"/>
      <c r="F208" s="52"/>
      <c r="G208" s="1384">
        <f>UDV.tractor.fuel_efficiency*G206</f>
        <v>7.0399999999999991</v>
      </c>
      <c r="H208" s="816" t="s">
        <v>2510</v>
      </c>
    </row>
    <row r="209" spans="1:8" x14ac:dyDescent="0.3">
      <c r="B209" s="717" t="s">
        <v>5679</v>
      </c>
      <c r="C209" s="91"/>
      <c r="D209" s="52"/>
      <c r="E209" s="52"/>
      <c r="F209" s="52"/>
      <c r="G209" s="1380">
        <f>(G207+G166)*G190/G171</f>
        <v>32.130931018330791</v>
      </c>
      <c r="H209" s="816" t="s">
        <v>2462</v>
      </c>
    </row>
    <row r="210" spans="1:8" x14ac:dyDescent="0.3">
      <c r="B210" s="1516" t="s">
        <v>5680</v>
      </c>
      <c r="C210" s="91"/>
      <c r="D210" s="52"/>
      <c r="E210" s="52"/>
      <c r="F210" s="52"/>
      <c r="G210" s="1380">
        <f>G171*G209/G165</f>
        <v>1.3030877579656377</v>
      </c>
      <c r="H210" s="510" t="s">
        <v>2471</v>
      </c>
    </row>
    <row r="211" spans="1:8" x14ac:dyDescent="0.3">
      <c r="B211" s="717" t="s">
        <v>5681</v>
      </c>
      <c r="C211" s="91"/>
      <c r="D211" s="52"/>
      <c r="E211" s="52"/>
      <c r="F211" s="98"/>
      <c r="G211" s="1517">
        <f>ROUNDUP(G210/(G207+UDV.tractor.max_usage_daily),0)</f>
        <v>1</v>
      </c>
      <c r="H211" s="510" t="s">
        <v>2442</v>
      </c>
    </row>
    <row r="212" spans="1:8" x14ac:dyDescent="0.3">
      <c r="B212" s="717" t="s">
        <v>5682</v>
      </c>
      <c r="C212" s="91"/>
      <c r="D212" s="52"/>
      <c r="E212" s="52"/>
      <c r="F212" s="52"/>
      <c r="G212" s="1379">
        <f>G208*G209</f>
        <v>226.20175436904876</v>
      </c>
      <c r="H212" s="816" t="s">
        <v>2489</v>
      </c>
    </row>
    <row r="213" spans="1:8" x14ac:dyDescent="0.3">
      <c r="B213" s="816" t="s">
        <v>5683</v>
      </c>
      <c r="C213" s="91"/>
      <c r="D213" s="52"/>
      <c r="E213" s="52"/>
      <c r="F213" s="1381" t="s">
        <v>5684</v>
      </c>
      <c r="G213" s="1379">
        <f>G171*G212</f>
        <v>458.68689080390442</v>
      </c>
      <c r="H213" s="510" t="s">
        <v>2517</v>
      </c>
    </row>
    <row r="214" spans="1:8" x14ac:dyDescent="0.3">
      <c r="B214" s="91" t="s">
        <v>5685</v>
      </c>
      <c r="C214" s="91"/>
      <c r="D214" s="1385" t="s">
        <v>5686</v>
      </c>
      <c r="E214" s="1385"/>
      <c r="F214" s="1504">
        <f>G214/UDV.animal.total</f>
        <v>2.1721090657136459</v>
      </c>
      <c r="G214" s="1519">
        <f>G194+G204+G213</f>
        <v>1086.054532856823</v>
      </c>
      <c r="H214" s="510" t="s">
        <v>2517</v>
      </c>
    </row>
    <row r="215" spans="1:8" x14ac:dyDescent="0.3">
      <c r="B215" s="1507"/>
      <c r="C215" s="1508"/>
      <c r="D215" s="1407"/>
      <c r="E215" s="1407"/>
      <c r="F215" s="1508"/>
      <c r="G215" s="1410"/>
      <c r="H215" s="1408"/>
    </row>
    <row r="216" spans="1:8" x14ac:dyDescent="0.3">
      <c r="A216" t="s">
        <v>3007</v>
      </c>
      <c r="B216" s="1507" t="s">
        <v>5687</v>
      </c>
      <c r="C216" s="1508"/>
      <c r="D216" s="1407"/>
      <c r="E216" s="1407"/>
      <c r="F216" s="1508"/>
      <c r="G216" s="1410"/>
      <c r="H216" s="1408"/>
    </row>
    <row r="217" spans="1:8" x14ac:dyDescent="0.3">
      <c r="B217" s="1509" t="s">
        <v>5688</v>
      </c>
      <c r="C217" s="91"/>
      <c r="D217" s="52"/>
      <c r="E217" s="52"/>
      <c r="F217" s="52"/>
      <c r="G217" s="1391">
        <f>UDV.dhl.tractor_applicator_hp</f>
        <v>580</v>
      </c>
      <c r="H217" s="510" t="s">
        <v>5689</v>
      </c>
    </row>
    <row r="218" spans="1:8" x14ac:dyDescent="0.3">
      <c r="B218" s="91" t="s">
        <v>5690</v>
      </c>
      <c r="C218" s="91"/>
      <c r="D218" s="52"/>
      <c r="E218" s="52"/>
      <c r="F218" s="52"/>
      <c r="G218" s="1378">
        <f>UDV.dhl.speed_applicator</f>
        <v>5</v>
      </c>
      <c r="H218" s="510" t="s">
        <v>5691</v>
      </c>
    </row>
    <row r="219" spans="1:8" x14ac:dyDescent="0.3">
      <c r="B219" s="91" t="s">
        <v>5692</v>
      </c>
      <c r="C219" s="91"/>
      <c r="D219" s="52"/>
      <c r="E219" s="52"/>
      <c r="F219" s="52"/>
      <c r="G219" s="1378">
        <f>UDV.dhl.width_toolbar</f>
        <v>20</v>
      </c>
      <c r="H219" s="510" t="s">
        <v>2340</v>
      </c>
    </row>
    <row r="220" spans="1:8" x14ac:dyDescent="0.3">
      <c r="B220" s="91" t="s">
        <v>5693</v>
      </c>
      <c r="C220" s="91"/>
      <c r="D220" s="52"/>
      <c r="E220" s="52"/>
      <c r="F220" s="52"/>
      <c r="G220" s="1379">
        <f>G164*G218*G219/UC.495_rule</f>
        <v>2322.2585179578973</v>
      </c>
      <c r="H220" s="510" t="s">
        <v>2516</v>
      </c>
    </row>
    <row r="221" spans="1:8" x14ac:dyDescent="0.3">
      <c r="B221" s="91" t="s">
        <v>5694</v>
      </c>
      <c r="C221" s="91"/>
      <c r="D221" s="52"/>
      <c r="E221" s="52"/>
      <c r="F221" s="52"/>
      <c r="G221" s="1401">
        <f>UDV.dhl.applicator_pump_size</f>
        <v>3000</v>
      </c>
      <c r="H221" s="1448" t="s">
        <v>2516</v>
      </c>
    </row>
    <row r="222" spans="1:8" x14ac:dyDescent="0.3">
      <c r="B222" s="91" t="s">
        <v>5695</v>
      </c>
      <c r="C222" s="91"/>
      <c r="D222" s="52"/>
      <c r="E222" s="52"/>
      <c r="F222" s="52"/>
      <c r="G222" s="1379">
        <f>IF(G220&gt;G221,G221,IF(G220&lt;=0,1,G220))</f>
        <v>2322.2585179578973</v>
      </c>
      <c r="H222" s="510" t="s">
        <v>2516</v>
      </c>
    </row>
    <row r="223" spans="1:8" x14ac:dyDescent="0.3">
      <c r="B223" s="91" t="s">
        <v>5696</v>
      </c>
      <c r="C223" s="91"/>
      <c r="D223" s="52"/>
      <c r="E223" s="52"/>
      <c r="F223" s="52"/>
      <c r="G223" s="1403">
        <f>IF(G164=0,0,G222*UC.495_rule/G164/G219)</f>
        <v>4.9999999999999991</v>
      </c>
      <c r="H223" s="510" t="s">
        <v>5691</v>
      </c>
    </row>
    <row r="224" spans="1:8" x14ac:dyDescent="0.3">
      <c r="B224" s="816" t="s">
        <v>5697</v>
      </c>
      <c r="C224" s="91"/>
      <c r="D224" s="52"/>
      <c r="E224" s="52"/>
      <c r="F224" s="52"/>
      <c r="G224" s="1380">
        <f>G163/G222/UC.hour_to_min</f>
        <v>2.8962780704304993</v>
      </c>
      <c r="H224" s="816" t="s">
        <v>2462</v>
      </c>
    </row>
    <row r="225" spans="1:8" x14ac:dyDescent="0.3">
      <c r="B225" s="91" t="s">
        <v>5698</v>
      </c>
      <c r="C225" s="91"/>
      <c r="D225" s="52"/>
      <c r="E225" s="52"/>
      <c r="F225" s="52"/>
      <c r="G225" s="1380">
        <f>UDV.dhl.application_maneuver_factor*G224</f>
        <v>3.3307197809950742</v>
      </c>
      <c r="H225" s="510" t="s">
        <v>2462</v>
      </c>
    </row>
    <row r="226" spans="1:8" x14ac:dyDescent="0.3">
      <c r="B226" s="1516" t="s">
        <v>5699</v>
      </c>
      <c r="C226" s="91"/>
      <c r="D226" s="52"/>
      <c r="E226" s="52"/>
      <c r="F226" s="52"/>
      <c r="G226" s="1395">
        <f>G171*G225/G165</f>
        <v>0.13507919111813357</v>
      </c>
      <c r="H226" s="510" t="s">
        <v>2471</v>
      </c>
    </row>
    <row r="227" spans="1:8" x14ac:dyDescent="0.3">
      <c r="B227" s="1376" t="s">
        <v>5700</v>
      </c>
      <c r="C227" s="91"/>
      <c r="D227" s="52"/>
      <c r="E227" s="52"/>
      <c r="F227" s="52"/>
      <c r="G227" s="1379">
        <f>ROUNDUP(G226/G166,0)</f>
        <v>1</v>
      </c>
      <c r="H227" s="510" t="s">
        <v>2442</v>
      </c>
    </row>
    <row r="228" spans="1:8" x14ac:dyDescent="0.3">
      <c r="B228" s="1509" t="s">
        <v>5701</v>
      </c>
      <c r="C228" s="91"/>
      <c r="D228" s="52"/>
      <c r="E228" s="52"/>
      <c r="F228" s="52"/>
      <c r="G228" s="1391">
        <f>UDV.dhl.tractor_pulley_hp</f>
        <v>340</v>
      </c>
      <c r="H228" s="1353" t="s">
        <v>5689</v>
      </c>
    </row>
    <row r="229" spans="1:8" x14ac:dyDescent="0.3">
      <c r="B229" s="1376" t="s">
        <v>5702</v>
      </c>
      <c r="C229" s="91"/>
      <c r="D229" s="52"/>
      <c r="E229" s="52"/>
      <c r="F229" s="52"/>
      <c r="G229" s="1379">
        <f>G227</f>
        <v>1</v>
      </c>
      <c r="H229" s="510" t="s">
        <v>2442</v>
      </c>
    </row>
    <row r="230" spans="1:8" x14ac:dyDescent="0.3">
      <c r="B230" s="1376" t="s">
        <v>5703</v>
      </c>
      <c r="C230" s="52"/>
      <c r="D230" s="52"/>
      <c r="E230" s="52"/>
      <c r="F230" s="52"/>
      <c r="G230" s="1384">
        <f>UDV.tractor.fuel_efficiency*G217</f>
        <v>25.52</v>
      </c>
      <c r="H230" s="816" t="s">
        <v>2510</v>
      </c>
    </row>
    <row r="231" spans="1:8" x14ac:dyDescent="0.3">
      <c r="B231" s="1376" t="s">
        <v>5704</v>
      </c>
      <c r="C231" s="1522"/>
      <c r="D231" s="52"/>
      <c r="E231" s="52"/>
      <c r="F231" s="52"/>
      <c r="G231" s="1384">
        <f>UDV.tractor.fuel_efficiency*G228</f>
        <v>14.959999999999999</v>
      </c>
      <c r="H231" s="816" t="s">
        <v>2510</v>
      </c>
    </row>
    <row r="232" spans="1:8" x14ac:dyDescent="0.3">
      <c r="B232" s="510" t="s">
        <v>5705</v>
      </c>
      <c r="C232" s="91"/>
      <c r="D232" s="52"/>
      <c r="E232" s="52"/>
      <c r="F232" s="52"/>
      <c r="G232" s="1379">
        <f>G225*(G230+G231)</f>
        <v>134.82753673468059</v>
      </c>
      <c r="H232" s="816" t="s">
        <v>2489</v>
      </c>
    </row>
    <row r="233" spans="1:8" x14ac:dyDescent="0.3">
      <c r="B233" s="816" t="s">
        <v>5706</v>
      </c>
      <c r="C233" s="91"/>
      <c r="D233" s="52"/>
      <c r="E233" s="52"/>
      <c r="F233" s="52"/>
      <c r="G233" s="1379">
        <f>G232*G171</f>
        <v>273.40028282310232</v>
      </c>
      <c r="H233" s="1444" t="s">
        <v>2517</v>
      </c>
    </row>
    <row r="234" spans="1:8" x14ac:dyDescent="0.3">
      <c r="A234" t="s">
        <v>6521</v>
      </c>
      <c r="B234" s="1510" t="s">
        <v>5707</v>
      </c>
      <c r="C234" s="1511"/>
      <c r="D234" s="1512"/>
      <c r="E234" s="1512"/>
      <c r="F234" s="1511"/>
      <c r="G234" s="1513"/>
      <c r="H234" s="1514"/>
    </row>
    <row r="235" spans="1:8" x14ac:dyDescent="0.3">
      <c r="B235" s="717" t="s">
        <v>5708</v>
      </c>
      <c r="C235" s="91"/>
      <c r="D235" s="52"/>
      <c r="E235" s="52"/>
      <c r="F235" s="52"/>
      <c r="G235" s="1378">
        <f>UDV.dhl.applicator_pump_size</f>
        <v>3000</v>
      </c>
      <c r="H235" s="510" t="s">
        <v>2516</v>
      </c>
    </row>
    <row r="236" spans="1:8" x14ac:dyDescent="0.3">
      <c r="B236" s="510" t="s">
        <v>1162</v>
      </c>
      <c r="C236" s="91"/>
      <c r="D236" s="52"/>
      <c r="E236" s="52"/>
      <c r="F236" s="1520"/>
      <c r="G236" s="1378">
        <f>UDV.dhl.distance_booster</f>
        <v>2</v>
      </c>
      <c r="H236" s="510" t="s">
        <v>5711</v>
      </c>
    </row>
    <row r="237" spans="1:8" x14ac:dyDescent="0.3">
      <c r="B237" s="717" t="s">
        <v>5709</v>
      </c>
      <c r="C237" s="91"/>
      <c r="D237" s="52"/>
      <c r="E237" s="52"/>
      <c r="F237" s="52"/>
      <c r="G237" s="1379">
        <f>G227</f>
        <v>1</v>
      </c>
      <c r="H237" s="510" t="s">
        <v>2442</v>
      </c>
    </row>
    <row r="238" spans="1:8" x14ac:dyDescent="0.3">
      <c r="B238" s="1376" t="s">
        <v>5712</v>
      </c>
      <c r="C238" s="91"/>
      <c r="D238" s="52"/>
      <c r="E238" s="52"/>
      <c r="F238" s="52"/>
      <c r="G238" s="1521">
        <f>ROUNDDOWN(G170*G237/G236,0)</f>
        <v>1</v>
      </c>
      <c r="H238" s="510" t="s">
        <v>2442</v>
      </c>
    </row>
    <row r="239" spans="1:8" x14ac:dyDescent="0.3">
      <c r="B239" s="1376" t="s">
        <v>5710</v>
      </c>
      <c r="C239" s="91"/>
      <c r="D239" s="52"/>
      <c r="E239" s="52"/>
      <c r="F239" s="52"/>
      <c r="G239" s="1379">
        <f>G227</f>
        <v>1</v>
      </c>
      <c r="H239" s="510" t="s">
        <v>2442</v>
      </c>
    </row>
    <row r="240" spans="1:8" x14ac:dyDescent="0.3">
      <c r="B240" s="61" t="s">
        <v>7472</v>
      </c>
      <c r="C240" s="49"/>
      <c r="D240" s="52"/>
      <c r="E240" s="52"/>
      <c r="F240" s="1379"/>
      <c r="G240" s="2332">
        <f>IF(G237&lt;1,0,1)</f>
        <v>1</v>
      </c>
      <c r="H240" s="510" t="s">
        <v>2442</v>
      </c>
    </row>
    <row r="241" spans="1:8" x14ac:dyDescent="0.3">
      <c r="B241" s="49" t="s">
        <v>7473</v>
      </c>
      <c r="C241" s="49"/>
      <c r="D241" s="52"/>
      <c r="E241" s="52"/>
      <c r="F241" s="2334"/>
      <c r="G241" s="2333">
        <f>UDV.dhl.lead_utilization*UDV.dhl.lead_pump_fuel*G237</f>
        <v>18</v>
      </c>
      <c r="H241" s="510" t="s">
        <v>2510</v>
      </c>
    </row>
    <row r="242" spans="1:8" x14ac:dyDescent="0.3">
      <c r="B242" s="49" t="s">
        <v>7474</v>
      </c>
      <c r="C242" s="49"/>
      <c r="D242" s="52"/>
      <c r="E242" s="52"/>
      <c r="F242" s="2334"/>
      <c r="G242" s="2333">
        <f>UDV.dhl.booster_utilization*UDV.dhl.booster_pump_fuel*G238</f>
        <v>7.5</v>
      </c>
      <c r="H242" s="510" t="s">
        <v>2510</v>
      </c>
    </row>
    <row r="243" spans="1:8" x14ac:dyDescent="0.3">
      <c r="B243" s="49" t="s">
        <v>7475</v>
      </c>
      <c r="C243" s="49"/>
      <c r="D243" s="52"/>
      <c r="E243" s="52"/>
      <c r="F243" s="2334"/>
      <c r="G243" s="2333">
        <f>UDV.dhl.agitation_utilization*UDV.dhl.agitation_trailer_fuel*G239</f>
        <v>6</v>
      </c>
      <c r="H243" s="510" t="s">
        <v>2510</v>
      </c>
    </row>
    <row r="244" spans="1:8" x14ac:dyDescent="0.3">
      <c r="B244" s="49" t="s">
        <v>7476</v>
      </c>
      <c r="C244" s="49"/>
      <c r="D244" s="52"/>
      <c r="E244" s="52"/>
      <c r="F244" s="2334"/>
      <c r="G244" s="2333">
        <f>UDV.dhl.pickup_utilization*UDV.dhl.pick_up_fuel*G240</f>
        <v>0.89999999999999991</v>
      </c>
      <c r="H244" s="510" t="s">
        <v>2510</v>
      </c>
    </row>
    <row r="245" spans="1:8" x14ac:dyDescent="0.3">
      <c r="B245" s="717" t="s">
        <v>5713</v>
      </c>
      <c r="C245" s="52"/>
      <c r="D245" s="52"/>
      <c r="E245" s="52"/>
      <c r="F245" s="52"/>
      <c r="G245" s="1380">
        <f>G224</f>
        <v>2.8962780704304993</v>
      </c>
      <c r="H245" s="510" t="s">
        <v>2462</v>
      </c>
    </row>
    <row r="246" spans="1:8" x14ac:dyDescent="0.3">
      <c r="B246" s="1376" t="s">
        <v>5714</v>
      </c>
      <c r="C246" s="1522"/>
      <c r="D246" s="52"/>
      <c r="E246" s="98"/>
      <c r="F246" s="52"/>
      <c r="G246" s="1379">
        <f>G241*G245</f>
        <v>52.133005267748985</v>
      </c>
      <c r="H246" s="816" t="s">
        <v>2489</v>
      </c>
    </row>
    <row r="247" spans="1:8" x14ac:dyDescent="0.3">
      <c r="B247" s="717" t="s">
        <v>5715</v>
      </c>
      <c r="C247" s="1522"/>
      <c r="D247" s="52"/>
      <c r="E247" s="98"/>
      <c r="F247" s="52"/>
      <c r="G247" s="1379">
        <f>G242*G245</f>
        <v>21.722085528228746</v>
      </c>
      <c r="H247" s="816" t="s">
        <v>2489</v>
      </c>
    </row>
    <row r="248" spans="1:8" x14ac:dyDescent="0.3">
      <c r="B248" s="1376" t="s">
        <v>5716</v>
      </c>
      <c r="C248" s="1522"/>
      <c r="D248" s="52"/>
      <c r="E248" s="98"/>
      <c r="F248" s="52"/>
      <c r="G248" s="1379">
        <f>G243*G245</f>
        <v>17.377668422582996</v>
      </c>
      <c r="H248" s="816" t="s">
        <v>2489</v>
      </c>
    </row>
    <row r="249" spans="1:8" x14ac:dyDescent="0.3">
      <c r="B249" s="1376" t="s">
        <v>5717</v>
      </c>
      <c r="C249" s="1522"/>
      <c r="D249" s="98"/>
      <c r="E249" s="52"/>
      <c r="F249" s="52"/>
      <c r="G249" s="1379">
        <f>G244*G245</f>
        <v>2.6066502633874493</v>
      </c>
      <c r="H249" s="816" t="s">
        <v>2489</v>
      </c>
    </row>
    <row r="250" spans="1:8" x14ac:dyDescent="0.3">
      <c r="B250" s="510" t="s">
        <v>5718</v>
      </c>
      <c r="C250" s="91"/>
      <c r="D250" s="52"/>
      <c r="E250" s="52"/>
      <c r="F250" s="52"/>
      <c r="G250" s="1379">
        <f>G246+G247+G248+G249</f>
        <v>93.839409481948181</v>
      </c>
      <c r="H250" s="816" t="s">
        <v>2489</v>
      </c>
    </row>
    <row r="251" spans="1:8" x14ac:dyDescent="0.3">
      <c r="B251" s="816" t="s">
        <v>5719</v>
      </c>
      <c r="C251" s="91"/>
      <c r="D251" s="52"/>
      <c r="E251" s="52"/>
      <c r="F251" s="52"/>
      <c r="G251" s="1379">
        <f>G171*G250</f>
        <v>190.28546922728381</v>
      </c>
      <c r="H251" s="510" t="s">
        <v>2517</v>
      </c>
    </row>
    <row r="252" spans="1:8" x14ac:dyDescent="0.3">
      <c r="A252" t="s">
        <v>6522</v>
      </c>
      <c r="B252" s="91" t="s">
        <v>5720</v>
      </c>
      <c r="C252" s="91"/>
      <c r="D252" s="510"/>
      <c r="E252" s="510"/>
      <c r="F252" s="98"/>
      <c r="G252" s="1519">
        <f>G233+G251</f>
        <v>463.6857520503861</v>
      </c>
      <c r="H252" s="510" t="s">
        <v>2517</v>
      </c>
    </row>
    <row r="255" spans="1:8" x14ac:dyDescent="0.3">
      <c r="A255" s="1693" t="s">
        <v>5721</v>
      </c>
      <c r="B255" s="1693"/>
      <c r="C255" s="1693"/>
      <c r="D255" s="1693"/>
      <c r="E255" s="1693"/>
      <c r="F255" s="1693"/>
      <c r="G255" s="1693"/>
      <c r="H255" s="2247"/>
    </row>
    <row r="256" spans="1:8" x14ac:dyDescent="0.3">
      <c r="A256" s="1693"/>
      <c r="B256" s="1693"/>
      <c r="C256" s="1693"/>
      <c r="D256" s="1693"/>
      <c r="E256" s="1693"/>
      <c r="F256" s="1693"/>
      <c r="G256" s="1693"/>
      <c r="H256" s="2247"/>
    </row>
    <row r="257" spans="1:8" x14ac:dyDescent="0.3">
      <c r="A257" s="1693"/>
      <c r="B257" s="1667" t="s">
        <v>5722</v>
      </c>
      <c r="C257" s="1704" t="s">
        <v>38</v>
      </c>
      <c r="D257" s="1705"/>
      <c r="E257" s="1705"/>
      <c r="F257" s="2339" t="s">
        <v>602</v>
      </c>
      <c r="G257" s="1706">
        <v>12</v>
      </c>
      <c r="H257" s="2338"/>
    </row>
    <row r="258" spans="1:8" x14ac:dyDescent="0.3">
      <c r="B258" s="49" t="s">
        <v>6523</v>
      </c>
      <c r="C258" s="49" t="s">
        <v>2480</v>
      </c>
      <c r="D258" s="49"/>
      <c r="E258" s="49"/>
      <c r="F258" s="341"/>
      <c r="G258" s="1360">
        <f>G51*UC.m3_to_gal</f>
        <v>164806.71414197996</v>
      </c>
    </row>
    <row r="259" spans="1:8" x14ac:dyDescent="0.3">
      <c r="B259" s="49" t="s">
        <v>6524</v>
      </c>
      <c r="C259" s="49" t="s">
        <v>2442</v>
      </c>
      <c r="D259" s="49"/>
      <c r="E259" s="49"/>
      <c r="F259" s="341"/>
      <c r="G259" s="648">
        <f>G47</f>
        <v>1</v>
      </c>
    </row>
    <row r="260" spans="1:8" x14ac:dyDescent="0.3">
      <c r="B260" s="49" t="s">
        <v>5528</v>
      </c>
      <c r="C260" s="49" t="s">
        <v>2452</v>
      </c>
      <c r="D260" s="49"/>
      <c r="E260" s="49"/>
      <c r="F260" s="341"/>
      <c r="G260" s="49">
        <f>G29</f>
        <v>180</v>
      </c>
    </row>
    <row r="261" spans="1:8" x14ac:dyDescent="0.3">
      <c r="B261" s="18" t="s">
        <v>2139</v>
      </c>
      <c r="C261" s="49" t="s">
        <v>6525</v>
      </c>
      <c r="D261" s="49"/>
      <c r="E261" s="49"/>
      <c r="F261" s="341"/>
      <c r="G261" s="1360">
        <f>G38</f>
        <v>2.0277777777777777</v>
      </c>
    </row>
    <row r="262" spans="1:8" x14ac:dyDescent="0.3">
      <c r="B262" s="49" t="s">
        <v>6526</v>
      </c>
      <c r="C262" s="49" t="s">
        <v>6527</v>
      </c>
      <c r="D262" s="49"/>
      <c r="E262" s="49"/>
      <c r="F262" s="341"/>
      <c r="G262" s="49" t="str">
        <f>G61</f>
        <v>single</v>
      </c>
    </row>
    <row r="263" spans="1:8" x14ac:dyDescent="0.3">
      <c r="B263" s="49" t="s">
        <v>6528</v>
      </c>
      <c r="C263" s="49" t="s">
        <v>2442</v>
      </c>
      <c r="D263" s="49"/>
      <c r="E263" s="49"/>
      <c r="F263" s="341"/>
      <c r="G263" s="49">
        <f>G62</f>
        <v>1</v>
      </c>
    </row>
    <row r="264" spans="1:8" x14ac:dyDescent="0.3">
      <c r="B264" s="2135" t="s">
        <v>5732</v>
      </c>
      <c r="C264" s="2117" t="s">
        <v>2008</v>
      </c>
      <c r="D264" s="877"/>
      <c r="E264" s="877"/>
      <c r="G264" s="1391" t="str">
        <f>UDV.crops.apply_method</f>
        <v>Injection</v>
      </c>
    </row>
    <row r="265" spans="1:8" x14ac:dyDescent="0.3">
      <c r="B265" s="49" t="s">
        <v>6529</v>
      </c>
      <c r="C265" s="49" t="s">
        <v>5910</v>
      </c>
      <c r="D265" s="49"/>
      <c r="E265" s="49"/>
      <c r="F265" s="341"/>
      <c r="G265" s="1521">
        <f>G163*UC.gal_to_m3</f>
        <v>1527.6188051509002</v>
      </c>
    </row>
    <row r="266" spans="1:8" x14ac:dyDescent="0.3">
      <c r="B266" s="49" t="s">
        <v>6530</v>
      </c>
      <c r="C266" s="49" t="s">
        <v>2413</v>
      </c>
      <c r="D266" s="49"/>
      <c r="E266" s="49"/>
      <c r="F266" s="49"/>
      <c r="G266" s="2340">
        <f>G81</f>
        <v>2.1396751829824225</v>
      </c>
    </row>
    <row r="267" spans="1:8" x14ac:dyDescent="0.3">
      <c r="B267" s="49" t="s">
        <v>6531</v>
      </c>
      <c r="C267" s="49" t="s">
        <v>2413</v>
      </c>
      <c r="D267" s="49"/>
      <c r="E267" s="49"/>
      <c r="F267" s="49"/>
      <c r="G267" s="1521">
        <f t="shared" ref="G267:G268" si="0">G82</f>
        <v>1.0722741958150184</v>
      </c>
    </row>
    <row r="268" spans="1:8" x14ac:dyDescent="0.3">
      <c r="B268" s="49" t="s">
        <v>6532</v>
      </c>
      <c r="C268" s="49" t="s">
        <v>2413</v>
      </c>
      <c r="D268" s="49"/>
      <c r="E268" s="49"/>
      <c r="F268" s="49"/>
      <c r="G268" s="1521">
        <f t="shared" si="0"/>
        <v>1.3786449849271349</v>
      </c>
    </row>
    <row r="269" spans="1:8" x14ac:dyDescent="0.3">
      <c r="A269" s="1293" t="s">
        <v>6533</v>
      </c>
      <c r="B269" s="1610"/>
      <c r="C269" s="1627"/>
      <c r="D269" s="1627"/>
      <c r="E269" s="1627"/>
      <c r="F269" s="1627"/>
      <c r="G269" s="1627"/>
    </row>
    <row r="270" spans="1:8" x14ac:dyDescent="0.3">
      <c r="A270" s="49"/>
      <c r="B270" s="49" t="s">
        <v>5676</v>
      </c>
      <c r="C270" s="18" t="s">
        <v>5689</v>
      </c>
      <c r="D270" s="49"/>
      <c r="E270" s="49"/>
      <c r="F270" s="49"/>
      <c r="G270" s="49">
        <f>G206</f>
        <v>160</v>
      </c>
    </row>
    <row r="271" spans="1:8" x14ac:dyDescent="0.3">
      <c r="A271" s="49"/>
      <c r="B271" s="49" t="s">
        <v>6534</v>
      </c>
      <c r="C271" s="18" t="s">
        <v>2442</v>
      </c>
      <c r="D271" s="49"/>
      <c r="E271" s="49"/>
      <c r="F271" s="49"/>
      <c r="G271" s="49">
        <f>G211</f>
        <v>1</v>
      </c>
    </row>
    <row r="272" spans="1:8" x14ac:dyDescent="0.3">
      <c r="A272" s="49"/>
      <c r="B272" s="49" t="s">
        <v>5663</v>
      </c>
      <c r="C272" s="18" t="s">
        <v>5689</v>
      </c>
      <c r="D272" s="49"/>
      <c r="E272" s="49"/>
      <c r="F272" s="49"/>
      <c r="G272" s="49">
        <f>G196</f>
        <v>180</v>
      </c>
    </row>
    <row r="273" spans="1:7" x14ac:dyDescent="0.3">
      <c r="A273" s="49"/>
      <c r="B273" s="49" t="s">
        <v>6535</v>
      </c>
      <c r="C273" s="18" t="s">
        <v>2442</v>
      </c>
      <c r="D273" s="49"/>
      <c r="E273" s="49"/>
      <c r="F273" s="49"/>
      <c r="G273" s="49">
        <f>G201</f>
        <v>1</v>
      </c>
    </row>
    <row r="274" spans="1:7" x14ac:dyDescent="0.3">
      <c r="A274" s="49"/>
      <c r="B274" s="49" t="s">
        <v>5638</v>
      </c>
      <c r="C274" s="18" t="s">
        <v>5689</v>
      </c>
      <c r="D274" s="49"/>
      <c r="E274" s="49"/>
      <c r="F274" s="49"/>
      <c r="G274" s="49">
        <f>G174</f>
        <v>250</v>
      </c>
    </row>
    <row r="275" spans="1:7" x14ac:dyDescent="0.3">
      <c r="A275" s="49"/>
      <c r="B275" s="49" t="s">
        <v>5637</v>
      </c>
      <c r="C275" s="18" t="s">
        <v>2480</v>
      </c>
      <c r="D275" s="49"/>
      <c r="E275" s="49"/>
      <c r="F275" s="49"/>
      <c r="G275" s="648">
        <f>G173</f>
        <v>6000</v>
      </c>
    </row>
    <row r="276" spans="1:7" x14ac:dyDescent="0.3">
      <c r="A276" s="49"/>
      <c r="B276" s="49" t="s">
        <v>6536</v>
      </c>
      <c r="C276" s="18" t="s">
        <v>2442</v>
      </c>
      <c r="D276" s="49"/>
      <c r="E276" s="49"/>
      <c r="F276" s="49"/>
      <c r="G276" s="49">
        <f>G189</f>
        <v>1</v>
      </c>
    </row>
    <row r="277" spans="1:7" x14ac:dyDescent="0.3">
      <c r="A277" s="1293" t="s">
        <v>6537</v>
      </c>
      <c r="B277" s="1610"/>
      <c r="C277" s="1628"/>
      <c r="D277" s="1627"/>
      <c r="E277" s="1627"/>
      <c r="F277" s="1627"/>
      <c r="G277" s="1627"/>
    </row>
    <row r="278" spans="1:7" x14ac:dyDescent="0.3">
      <c r="A278" s="49"/>
      <c r="B278" s="49" t="s">
        <v>5679</v>
      </c>
      <c r="C278" s="18" t="s">
        <v>6085</v>
      </c>
      <c r="D278" s="49"/>
      <c r="E278" s="49"/>
      <c r="F278" s="49"/>
      <c r="G278" s="1209">
        <f>G209</f>
        <v>32.130931018330791</v>
      </c>
    </row>
    <row r="279" spans="1:7" x14ac:dyDescent="0.3">
      <c r="A279" s="49"/>
      <c r="B279" s="49" t="s">
        <v>5667</v>
      </c>
      <c r="C279" s="18" t="s">
        <v>6085</v>
      </c>
      <c r="D279" s="49"/>
      <c r="E279" s="49"/>
      <c r="F279" s="49"/>
      <c r="G279" s="1209">
        <f>G199</f>
        <v>3.3629532097159456</v>
      </c>
    </row>
    <row r="280" spans="1:7" x14ac:dyDescent="0.3">
      <c r="A280" s="49"/>
      <c r="B280" s="49" t="s">
        <v>5654</v>
      </c>
      <c r="C280" s="18" t="s">
        <v>6085</v>
      </c>
      <c r="D280" s="49"/>
      <c r="E280" s="49"/>
      <c r="F280" s="49"/>
      <c r="G280" s="648">
        <f>G187</f>
        <v>25.704744814664636</v>
      </c>
    </row>
    <row r="281" spans="1:7" x14ac:dyDescent="0.3">
      <c r="A281" s="49"/>
      <c r="B281" s="49" t="s">
        <v>5682</v>
      </c>
      <c r="C281" s="18" t="s">
        <v>2489</v>
      </c>
      <c r="D281" s="49"/>
      <c r="E281" s="49"/>
      <c r="F281" s="49"/>
      <c r="G281" s="648">
        <f>G212</f>
        <v>226.20175436904876</v>
      </c>
    </row>
    <row r="282" spans="1:7" x14ac:dyDescent="0.3">
      <c r="A282" s="49"/>
      <c r="B282" s="49" t="s">
        <v>5672</v>
      </c>
      <c r="C282" s="18" t="s">
        <v>2489</v>
      </c>
      <c r="D282" s="49"/>
      <c r="E282" s="49"/>
      <c r="F282" s="49"/>
      <c r="G282" s="648">
        <f>G203</f>
        <v>26.634589420950288</v>
      </c>
    </row>
    <row r="283" spans="1:7" x14ac:dyDescent="0.3">
      <c r="A283" s="49"/>
      <c r="B283" s="49" t="s">
        <v>5660</v>
      </c>
      <c r="C283" s="18" t="s">
        <v>2489</v>
      </c>
      <c r="D283" s="49"/>
      <c r="E283" s="49"/>
      <c r="F283" s="49"/>
      <c r="G283" s="648">
        <f>G193</f>
        <v>282.75219296131098</v>
      </c>
    </row>
    <row r="284" spans="1:7" x14ac:dyDescent="0.3">
      <c r="A284" s="1293" t="s">
        <v>6538</v>
      </c>
      <c r="B284" s="1610"/>
      <c r="C284" s="1628"/>
      <c r="D284" s="1627"/>
      <c r="E284" s="1627"/>
      <c r="F284" s="1627"/>
      <c r="G284" s="1627"/>
    </row>
    <row r="285" spans="1:7" x14ac:dyDescent="0.3">
      <c r="A285" s="49"/>
      <c r="B285" s="49" t="s">
        <v>5708</v>
      </c>
      <c r="C285" s="18" t="s">
        <v>2514</v>
      </c>
      <c r="D285" s="49"/>
      <c r="E285" s="49"/>
      <c r="F285" s="49"/>
      <c r="G285" s="49">
        <f>G235</f>
        <v>3000</v>
      </c>
    </row>
    <row r="286" spans="1:7" x14ac:dyDescent="0.3">
      <c r="A286" s="49"/>
      <c r="B286" s="49" t="s">
        <v>5709</v>
      </c>
      <c r="C286" s="18" t="s">
        <v>2442</v>
      </c>
      <c r="D286" s="49"/>
      <c r="E286" s="49"/>
      <c r="F286" s="49"/>
      <c r="G286" s="648">
        <f>G237</f>
        <v>1</v>
      </c>
    </row>
    <row r="287" spans="1:7" x14ac:dyDescent="0.3">
      <c r="A287" s="49"/>
      <c r="B287" s="49" t="s">
        <v>5710</v>
      </c>
      <c r="C287" s="18" t="s">
        <v>2442</v>
      </c>
      <c r="D287" s="49"/>
      <c r="E287" s="49"/>
      <c r="F287" s="49"/>
      <c r="G287" s="648">
        <f>G239</f>
        <v>1</v>
      </c>
    </row>
    <row r="288" spans="1:7" x14ac:dyDescent="0.3">
      <c r="A288" s="49"/>
      <c r="B288" s="49" t="s">
        <v>5712</v>
      </c>
      <c r="C288" s="18" t="s">
        <v>2442</v>
      </c>
      <c r="D288" s="49"/>
      <c r="E288" s="49"/>
      <c r="F288" s="49"/>
      <c r="G288" s="648">
        <f>G238</f>
        <v>1</v>
      </c>
    </row>
    <row r="289" spans="1:7" x14ac:dyDescent="0.3">
      <c r="A289" s="49"/>
      <c r="B289" s="49" t="s">
        <v>5688</v>
      </c>
      <c r="C289" s="18" t="s">
        <v>5689</v>
      </c>
      <c r="D289" s="49"/>
      <c r="E289" s="49"/>
      <c r="F289" s="49"/>
      <c r="G289" s="648">
        <f>G217</f>
        <v>580</v>
      </c>
    </row>
    <row r="290" spans="1:7" x14ac:dyDescent="0.3">
      <c r="A290" s="49"/>
      <c r="B290" s="49" t="s">
        <v>5701</v>
      </c>
      <c r="C290" s="18" t="s">
        <v>971</v>
      </c>
      <c r="D290" s="49"/>
      <c r="E290" s="49"/>
      <c r="F290" s="49"/>
      <c r="G290" s="648">
        <f>G228</f>
        <v>340</v>
      </c>
    </row>
    <row r="291" spans="1:7" x14ac:dyDescent="0.3">
      <c r="A291" s="49"/>
      <c r="B291" s="49" t="s">
        <v>6539</v>
      </c>
      <c r="C291" s="18" t="s">
        <v>2442</v>
      </c>
      <c r="D291" s="49"/>
      <c r="E291" s="49"/>
      <c r="F291" s="49"/>
      <c r="G291" s="648">
        <f>G227</f>
        <v>1</v>
      </c>
    </row>
    <row r="292" spans="1:7" x14ac:dyDescent="0.3">
      <c r="A292" s="49"/>
      <c r="B292" s="49" t="s">
        <v>6540</v>
      </c>
      <c r="C292" s="18" t="s">
        <v>2442</v>
      </c>
      <c r="D292" s="49"/>
      <c r="E292" s="49"/>
      <c r="F292" s="49"/>
      <c r="G292" s="648">
        <f>G229</f>
        <v>1</v>
      </c>
    </row>
    <row r="293" spans="1:7" x14ac:dyDescent="0.3">
      <c r="A293" s="49"/>
      <c r="B293" s="49" t="s">
        <v>6541</v>
      </c>
      <c r="C293" s="18" t="s">
        <v>2971</v>
      </c>
      <c r="D293" s="49"/>
      <c r="E293" s="49"/>
      <c r="F293" s="49"/>
      <c r="G293" s="49">
        <f>G170</f>
        <v>2</v>
      </c>
    </row>
    <row r="294" spans="1:7" x14ac:dyDescent="0.3">
      <c r="A294" s="1293" t="s">
        <v>6542</v>
      </c>
      <c r="B294" s="1610"/>
      <c r="C294" s="1628"/>
      <c r="D294" s="1627"/>
      <c r="E294" s="1627"/>
      <c r="F294" s="1627"/>
      <c r="G294" s="1627"/>
    </row>
    <row r="295" spans="1:7" x14ac:dyDescent="0.3">
      <c r="A295" s="49"/>
      <c r="B295" s="49" t="s">
        <v>5713</v>
      </c>
      <c r="C295" s="18" t="s">
        <v>6085</v>
      </c>
      <c r="D295" s="49"/>
      <c r="E295" s="49"/>
      <c r="F295" s="49"/>
      <c r="G295" s="1209">
        <f>G245</f>
        <v>2.8962780704304993</v>
      </c>
    </row>
    <row r="296" spans="1:7" x14ac:dyDescent="0.3">
      <c r="A296" s="49"/>
      <c r="B296" s="49" t="s">
        <v>6546</v>
      </c>
      <c r="C296" s="18" t="s">
        <v>6085</v>
      </c>
      <c r="D296" s="49"/>
      <c r="E296" s="49"/>
      <c r="F296" s="49"/>
      <c r="G296" s="1209">
        <f>G225</f>
        <v>3.3307197809950742</v>
      </c>
    </row>
    <row r="297" spans="1:7" x14ac:dyDescent="0.3">
      <c r="A297" s="49"/>
      <c r="B297" s="49" t="s">
        <v>6547</v>
      </c>
      <c r="C297" s="18" t="s">
        <v>6085</v>
      </c>
      <c r="D297" s="49"/>
      <c r="E297" s="49"/>
      <c r="F297" s="49"/>
      <c r="G297" s="1209">
        <f>G225</f>
        <v>3.3307197809950742</v>
      </c>
    </row>
    <row r="298" spans="1:7" x14ac:dyDescent="0.3">
      <c r="A298" s="49"/>
      <c r="B298" s="49" t="s">
        <v>5714</v>
      </c>
      <c r="C298" s="18" t="s">
        <v>2489</v>
      </c>
      <c r="D298" s="49"/>
      <c r="E298" s="49"/>
      <c r="F298" s="49"/>
      <c r="G298" s="648">
        <f>G246</f>
        <v>52.133005267748985</v>
      </c>
    </row>
    <row r="299" spans="1:7" x14ac:dyDescent="0.3">
      <c r="A299" s="49"/>
      <c r="B299" s="49" t="s">
        <v>5715</v>
      </c>
      <c r="C299" s="18" t="s">
        <v>2489</v>
      </c>
      <c r="D299" s="49"/>
      <c r="E299" s="49"/>
      <c r="F299" s="49"/>
      <c r="G299" s="648">
        <f>G247</f>
        <v>21.722085528228746</v>
      </c>
    </row>
    <row r="300" spans="1:7" x14ac:dyDescent="0.3">
      <c r="A300" s="49"/>
      <c r="B300" s="49" t="s">
        <v>5716</v>
      </c>
      <c r="C300" s="18" t="s">
        <v>2489</v>
      </c>
      <c r="D300" s="49"/>
      <c r="E300" s="49"/>
      <c r="F300" s="49"/>
      <c r="G300" s="648">
        <f>G248</f>
        <v>17.377668422582996</v>
      </c>
    </row>
    <row r="301" spans="1:7" x14ac:dyDescent="0.3">
      <c r="A301" s="49"/>
      <c r="B301" s="49" t="s">
        <v>5740</v>
      </c>
      <c r="C301" s="18" t="s">
        <v>6549</v>
      </c>
      <c r="D301" s="49"/>
      <c r="E301" s="49"/>
      <c r="F301" s="49"/>
      <c r="G301" s="49">
        <f>G230</f>
        <v>25.52</v>
      </c>
    </row>
    <row r="302" spans="1:7" x14ac:dyDescent="0.3">
      <c r="A302" s="49"/>
      <c r="B302" s="49" t="s">
        <v>5741</v>
      </c>
      <c r="C302" s="18" t="s">
        <v>6549</v>
      </c>
      <c r="D302" s="49"/>
      <c r="E302" s="49"/>
      <c r="F302" s="49"/>
      <c r="G302" s="49">
        <f>G231</f>
        <v>14.959999999999999</v>
      </c>
    </row>
    <row r="303" spans="1:7" x14ac:dyDescent="0.3">
      <c r="A303" s="49"/>
      <c r="B303" s="49" t="s">
        <v>5717</v>
      </c>
      <c r="C303" s="18" t="s">
        <v>2489</v>
      </c>
      <c r="D303" s="49"/>
      <c r="E303" s="49"/>
      <c r="F303" s="49"/>
      <c r="G303" s="648">
        <f>G249</f>
        <v>2.6066502633874493</v>
      </c>
    </row>
    <row r="304" spans="1:7" x14ac:dyDescent="0.3">
      <c r="A304" s="1601" t="s">
        <v>5742</v>
      </c>
      <c r="B304" s="1529"/>
      <c r="C304" s="1604"/>
      <c r="D304" s="1627"/>
      <c r="E304" s="1627"/>
      <c r="F304" s="1627"/>
      <c r="G304" s="1627"/>
    </row>
    <row r="305" spans="1:7" x14ac:dyDescent="0.3">
      <c r="A305" s="49"/>
      <c r="B305" s="49" t="s">
        <v>6550</v>
      </c>
      <c r="C305" s="18" t="s">
        <v>5743</v>
      </c>
      <c r="D305" s="49"/>
      <c r="E305" s="49"/>
      <c r="F305" s="49"/>
      <c r="G305" s="648">
        <f>G121</f>
        <v>0</v>
      </c>
    </row>
    <row r="306" spans="1:7" x14ac:dyDescent="0.3">
      <c r="A306" s="49"/>
      <c r="B306" s="49" t="s">
        <v>6551</v>
      </c>
      <c r="C306" s="18" t="s">
        <v>5745</v>
      </c>
      <c r="D306" s="49"/>
      <c r="E306" s="49"/>
      <c r="F306" s="49"/>
      <c r="G306" s="1209">
        <f>G134</f>
        <v>12315.520455039321</v>
      </c>
    </row>
    <row r="312" spans="1:7" x14ac:dyDescent="0.3">
      <c r="A312" s="1660" t="s">
        <v>1901</v>
      </c>
      <c r="B312" s="1703"/>
      <c r="C312" s="1703"/>
      <c r="D312" s="1703"/>
      <c r="E312" s="1703"/>
      <c r="F312" s="1703"/>
      <c r="G312" s="1703"/>
    </row>
    <row r="313" spans="1:7" x14ac:dyDescent="0.3">
      <c r="A313" s="1660"/>
      <c r="B313" s="1703"/>
      <c r="C313" s="1703"/>
      <c r="D313" s="1703"/>
      <c r="E313" s="1703"/>
      <c r="F313" s="1703"/>
      <c r="G313" s="1703"/>
    </row>
    <row r="314" spans="1:7" x14ac:dyDescent="0.3">
      <c r="A314" s="1660"/>
      <c r="B314" s="1702" t="s">
        <v>5747</v>
      </c>
      <c r="C314" s="1702" t="s">
        <v>38</v>
      </c>
      <c r="D314" s="1702"/>
      <c r="E314" s="1702"/>
      <c r="F314" s="1702" t="s">
        <v>602</v>
      </c>
      <c r="G314" s="1702"/>
    </row>
    <row r="315" spans="1:7" x14ac:dyDescent="0.3">
      <c r="B315" s="49"/>
      <c r="C315" s="49"/>
      <c r="D315" s="49"/>
      <c r="E315" s="49"/>
      <c r="F315" s="49"/>
      <c r="G315" s="49"/>
    </row>
    <row r="316" spans="1:7" x14ac:dyDescent="0.3">
      <c r="B316" s="1668" t="s">
        <v>409</v>
      </c>
      <c r="C316" s="1669"/>
      <c r="D316" s="1670"/>
      <c r="E316" s="1670"/>
      <c r="F316" s="1680"/>
      <c r="G316" s="1671"/>
    </row>
    <row r="317" spans="1:7" x14ac:dyDescent="0.3">
      <c r="B317" s="49"/>
      <c r="C317" s="49" t="s">
        <v>5769</v>
      </c>
      <c r="D317" s="49"/>
      <c r="E317" s="49"/>
      <c r="F317" s="49"/>
      <c r="G317" s="49"/>
    </row>
    <row r="318" spans="1:7" x14ac:dyDescent="0.3">
      <c r="B318" s="49"/>
      <c r="C318" s="49"/>
      <c r="D318" s="49"/>
      <c r="E318" s="49"/>
      <c r="F318" s="49"/>
      <c r="G318" s="49"/>
    </row>
    <row r="319" spans="1:7" x14ac:dyDescent="0.3">
      <c r="B319" s="49"/>
      <c r="C319" s="49"/>
      <c r="D319" s="49"/>
      <c r="E319" s="49"/>
      <c r="F319" s="49"/>
      <c r="G319" s="49"/>
    </row>
    <row r="320" spans="1:7" x14ac:dyDescent="0.3">
      <c r="B320" s="49"/>
      <c r="C320" s="49"/>
      <c r="D320" s="49"/>
      <c r="E320" s="49"/>
      <c r="F320" s="49"/>
      <c r="G320" s="49"/>
    </row>
    <row r="321" spans="2:7" x14ac:dyDescent="0.3">
      <c r="B321" s="1668" t="s">
        <v>447</v>
      </c>
      <c r="C321" s="1669"/>
      <c r="D321" s="1670"/>
      <c r="E321" s="1670"/>
      <c r="F321" s="1670"/>
      <c r="G321" s="1671"/>
    </row>
    <row r="322" spans="2:7" x14ac:dyDescent="0.3">
      <c r="B322" s="49" t="s">
        <v>6552</v>
      </c>
      <c r="C322" s="49" t="s">
        <v>2268</v>
      </c>
      <c r="D322" s="49"/>
      <c r="E322" s="49"/>
      <c r="F322" s="49"/>
      <c r="G322" s="1360">
        <f>G53</f>
        <v>77.982659830145451</v>
      </c>
    </row>
    <row r="323" spans="2:7" x14ac:dyDescent="0.3">
      <c r="B323" s="49" t="s">
        <v>6553</v>
      </c>
      <c r="C323" s="49" t="s">
        <v>2478</v>
      </c>
      <c r="D323" s="49"/>
      <c r="E323" s="49"/>
      <c r="F323" s="49"/>
      <c r="G323" s="49">
        <f>G117*UC.acre_to_m2</f>
        <v>288087.53190241149</v>
      </c>
    </row>
    <row r="324" spans="2:7" x14ac:dyDescent="0.3">
      <c r="B324" s="49"/>
      <c r="C324" s="49"/>
      <c r="D324" s="49"/>
      <c r="E324" s="49"/>
      <c r="F324" s="49"/>
      <c r="G324" s="49"/>
    </row>
    <row r="325" spans="2:7" x14ac:dyDescent="0.3">
      <c r="B325" s="49"/>
      <c r="C325" s="49"/>
      <c r="D325" s="49"/>
      <c r="E325" s="49"/>
      <c r="F325" s="49"/>
      <c r="G325" s="49"/>
    </row>
    <row r="326" spans="2:7" x14ac:dyDescent="0.3">
      <c r="B326" s="1668" t="s">
        <v>5753</v>
      </c>
      <c r="C326" s="1669"/>
      <c r="D326" s="1670"/>
      <c r="E326" s="1670"/>
      <c r="F326" s="1670"/>
      <c r="G326" s="1671"/>
    </row>
    <row r="327" spans="2:7" x14ac:dyDescent="0.3">
      <c r="B327" s="49" t="s">
        <v>6554</v>
      </c>
      <c r="C327" s="49" t="s">
        <v>2497</v>
      </c>
      <c r="D327" s="49"/>
      <c r="E327" s="49"/>
      <c r="F327" s="49"/>
      <c r="G327" s="1209">
        <f>G214/UDV.animal.total</f>
        <v>2.1721090657136459</v>
      </c>
    </row>
    <row r="328" spans="2:7" x14ac:dyDescent="0.3">
      <c r="B328" s="49" t="s">
        <v>6555</v>
      </c>
      <c r="C328" s="49" t="s">
        <v>2497</v>
      </c>
      <c r="D328" s="49"/>
      <c r="E328" s="49"/>
      <c r="F328" s="49"/>
      <c r="G328" s="1209">
        <f>G252/UDV.animal.total</f>
        <v>0.92737150410077218</v>
      </c>
    </row>
    <row r="329" spans="2:7" x14ac:dyDescent="0.3">
      <c r="B329" s="49"/>
      <c r="C329" s="49"/>
      <c r="D329" s="49"/>
      <c r="E329" s="49"/>
      <c r="F329" s="49"/>
      <c r="G329" s="49"/>
    </row>
    <row r="330" spans="2:7" x14ac:dyDescent="0.3">
      <c r="B330" s="49"/>
      <c r="C330" s="49"/>
      <c r="D330" s="49"/>
      <c r="E330" s="49"/>
      <c r="F330" s="49"/>
      <c r="G330" s="49"/>
    </row>
    <row r="331" spans="2:7" x14ac:dyDescent="0.3">
      <c r="B331" s="1668" t="s">
        <v>415</v>
      </c>
      <c r="C331" s="1669"/>
      <c r="D331" s="1670"/>
      <c r="E331" s="1670"/>
      <c r="F331" s="1680"/>
      <c r="G331" s="1671"/>
    </row>
    <row r="332" spans="2:7" x14ac:dyDescent="0.3">
      <c r="B332" s="49"/>
      <c r="C332" s="49"/>
      <c r="D332" s="49"/>
      <c r="E332" s="49"/>
      <c r="F332" s="49"/>
      <c r="G332" s="49"/>
    </row>
    <row r="333" spans="2:7" x14ac:dyDescent="0.3">
      <c r="B333" s="49" t="s">
        <v>6556</v>
      </c>
      <c r="C333" s="49" t="s">
        <v>5838</v>
      </c>
      <c r="D333" s="49"/>
      <c r="E333" s="49"/>
      <c r="F333" s="49"/>
      <c r="G333" s="49">
        <f>G22*UC.year_to_day/UDV.animal.total</f>
        <v>0</v>
      </c>
    </row>
    <row r="334" spans="2:7" x14ac:dyDescent="0.3">
      <c r="B334" s="49" t="s">
        <v>6557</v>
      </c>
      <c r="C334" s="49" t="s">
        <v>5838</v>
      </c>
      <c r="D334" s="49"/>
      <c r="E334" s="49"/>
      <c r="F334" s="49"/>
      <c r="G334" s="1360">
        <f>G73*UC.year_to_day/G29/UDV.animal.total</f>
        <v>4.1235296571003204</v>
      </c>
    </row>
    <row r="335" spans="2:7" x14ac:dyDescent="0.3">
      <c r="B335" s="49"/>
      <c r="C335" s="49"/>
      <c r="D335" s="49"/>
      <c r="E335" s="49"/>
      <c r="F335" s="49"/>
      <c r="G335" s="49"/>
    </row>
    <row r="336" spans="2:7" x14ac:dyDescent="0.3">
      <c r="B336" s="1668" t="s">
        <v>5756</v>
      </c>
      <c r="C336" s="1669"/>
      <c r="D336" s="1670"/>
      <c r="E336" s="1670"/>
      <c r="F336" s="1680"/>
      <c r="G336" s="1671"/>
    </row>
    <row r="337" spans="2:7" x14ac:dyDescent="0.3">
      <c r="B337" s="49" t="s">
        <v>5757</v>
      </c>
      <c r="C337" s="49" t="s">
        <v>2385</v>
      </c>
      <c r="D337" s="49"/>
      <c r="E337" s="49"/>
      <c r="F337" s="49"/>
      <c r="G337" s="1209">
        <f>G$39*G76/UDV.animal.total</f>
        <v>13.256027786979301</v>
      </c>
    </row>
    <row r="338" spans="2:7" x14ac:dyDescent="0.3">
      <c r="B338" s="49" t="s">
        <v>5758</v>
      </c>
      <c r="C338" s="49" t="s">
        <v>2385</v>
      </c>
      <c r="D338" s="49"/>
      <c r="E338" s="49"/>
      <c r="F338" s="49"/>
      <c r="G338" s="1209">
        <f>G$39*G77/UDV.animal.total</f>
        <v>6.6431094999999987</v>
      </c>
    </row>
    <row r="339" spans="2:7" x14ac:dyDescent="0.3">
      <c r="B339" s="49" t="s">
        <v>5759</v>
      </c>
      <c r="C339" s="49" t="s">
        <v>2385</v>
      </c>
      <c r="D339" s="49"/>
      <c r="E339" s="49"/>
      <c r="F339" s="49"/>
      <c r="G339" s="1209">
        <f>G$39*G78/UDV.animal.total</f>
        <v>8.5411824999999979</v>
      </c>
    </row>
    <row r="340" spans="2:7" x14ac:dyDescent="0.3">
      <c r="B340" s="1668" t="s">
        <v>5760</v>
      </c>
      <c r="C340" s="1669"/>
      <c r="D340" s="1670"/>
      <c r="E340" s="1670"/>
      <c r="F340" s="1680"/>
      <c r="G340" s="1671"/>
    </row>
    <row r="341" spans="2:7" x14ac:dyDescent="0.3">
      <c r="B341" s="49" t="s">
        <v>6436</v>
      </c>
      <c r="C341" s="49" t="s">
        <v>2385</v>
      </c>
      <c r="D341" s="49"/>
      <c r="E341" s="49"/>
      <c r="F341" s="49"/>
      <c r="G341" s="1209">
        <f>MAX(G112,0)*G117*UC.lb_to_kg/UDV.animal.total</f>
        <v>0</v>
      </c>
    </row>
    <row r="342" spans="2:7" x14ac:dyDescent="0.3">
      <c r="B342" s="49" t="s">
        <v>6437</v>
      </c>
      <c r="C342" s="49" t="s">
        <v>2385</v>
      </c>
      <c r="D342" s="49"/>
      <c r="E342" s="49"/>
      <c r="F342" s="49"/>
      <c r="G342" s="1209">
        <f>MAX(G113,0)*G117*UC.lb_to_kg/UDV.animal.total</f>
        <v>2.759018397588044</v>
      </c>
    </row>
    <row r="343" spans="2:7" x14ac:dyDescent="0.3">
      <c r="B343" s="49" t="s">
        <v>6438</v>
      </c>
      <c r="C343" s="49" t="s">
        <v>2385</v>
      </c>
      <c r="D343" s="49"/>
      <c r="E343" s="49"/>
      <c r="F343" s="49"/>
      <c r="G343" s="1209">
        <f>MAX(G114,0)*G117*UC.lb_to_kg/UDV.animal.total</f>
        <v>2.7289241855808046</v>
      </c>
    </row>
    <row r="344" spans="2:7" x14ac:dyDescent="0.3">
      <c r="B344" s="1668" t="s">
        <v>5271</v>
      </c>
      <c r="C344" s="1669"/>
      <c r="D344" s="1670"/>
      <c r="E344" s="1670"/>
      <c r="F344" s="1680"/>
      <c r="G344" s="1671"/>
    </row>
    <row r="345" spans="2:7" x14ac:dyDescent="0.3">
      <c r="B345" s="1577" t="s">
        <v>6558</v>
      </c>
      <c r="C345" s="49" t="s">
        <v>2385</v>
      </c>
      <c r="D345" s="49"/>
      <c r="E345" s="49"/>
      <c r="F345" s="49"/>
      <c r="G345" s="1209">
        <f>G141</f>
        <v>10.541548717743245</v>
      </c>
    </row>
    <row r="346" spans="2:7" ht="15.6" x14ac:dyDescent="0.3">
      <c r="B346" s="1577" t="s">
        <v>6559</v>
      </c>
      <c r="C346" s="49" t="s">
        <v>2385</v>
      </c>
      <c r="D346" s="49"/>
      <c r="E346" s="49"/>
      <c r="F346" s="49"/>
      <c r="G346" s="1209">
        <f>G149</f>
        <v>5.6940985499999996</v>
      </c>
    </row>
    <row r="347" spans="2:7" ht="15.6" x14ac:dyDescent="0.3">
      <c r="B347" s="1577" t="s">
        <v>6560</v>
      </c>
      <c r="C347" s="49" t="s">
        <v>2385</v>
      </c>
      <c r="D347" s="49"/>
      <c r="E347" s="49"/>
      <c r="F347" s="49"/>
      <c r="G347" s="1209">
        <f>G153</f>
        <v>0.14912844102449999</v>
      </c>
    </row>
    <row r="348" spans="2:7" ht="15.6" x14ac:dyDescent="0.3">
      <c r="B348" s="1577" t="s">
        <v>6561</v>
      </c>
      <c r="C348" s="49" t="s">
        <v>2385</v>
      </c>
      <c r="D348" s="49"/>
      <c r="E348" s="49"/>
      <c r="F348" s="49"/>
      <c r="G348" s="1209">
        <f>G157</f>
        <v>0.12526789046057998</v>
      </c>
    </row>
  </sheetData>
  <phoneticPr fontId="5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44A67-CBAD-40D1-A92B-A4591639CB4E}">
  <sheetPr>
    <tabColor rgb="FF92D050"/>
  </sheetPr>
  <dimension ref="A2:S300"/>
  <sheetViews>
    <sheetView workbookViewId="0">
      <selection sqref="A1:C1"/>
    </sheetView>
  </sheetViews>
  <sheetFormatPr defaultRowHeight="14.4" x14ac:dyDescent="0.3"/>
  <cols>
    <col min="1" max="1" width="2.33203125" customWidth="1"/>
    <col min="2" max="2" width="63.109375" customWidth="1"/>
    <col min="6" max="6" width="16.88671875" customWidth="1"/>
    <col min="7" max="7" width="16.5546875" customWidth="1"/>
    <col min="8" max="8" width="36.6640625" customWidth="1"/>
  </cols>
  <sheetData>
    <row r="2" spans="2:17" x14ac:dyDescent="0.3">
      <c r="B2" s="1387" t="s">
        <v>6562</v>
      </c>
      <c r="C2" s="353"/>
      <c r="D2" s="353"/>
      <c r="E2" s="353"/>
      <c r="F2" s="1538" t="s">
        <v>602</v>
      </c>
      <c r="G2" s="1538">
        <v>13</v>
      </c>
      <c r="H2" s="352"/>
      <c r="K2" s="124" t="s">
        <v>6563</v>
      </c>
    </row>
    <row r="3" spans="2:17" x14ac:dyDescent="0.3">
      <c r="B3" s="49" t="s">
        <v>5771</v>
      </c>
      <c r="C3" s="49"/>
      <c r="D3" s="49"/>
      <c r="E3" s="49"/>
      <c r="F3" s="49"/>
      <c r="G3" s="1364">
        <f>PT.waste_generation!G18*UC.L_to_m3</f>
        <v>2.8937344524219841</v>
      </c>
      <c r="H3" s="49" t="s">
        <v>2521</v>
      </c>
    </row>
    <row r="4" spans="2:17" x14ac:dyDescent="0.3">
      <c r="B4" s="49" t="s">
        <v>6449</v>
      </c>
      <c r="C4" s="49"/>
      <c r="D4" s="49"/>
      <c r="E4" s="49"/>
      <c r="F4" s="49"/>
      <c r="G4" s="1364">
        <f>PT.waste_generation!G29*UC.L_to_m3</f>
        <v>0</v>
      </c>
      <c r="H4" s="49" t="s">
        <v>2521</v>
      </c>
    </row>
    <row r="5" spans="2:17" x14ac:dyDescent="0.3">
      <c r="B5" s="49" t="s">
        <v>6450</v>
      </c>
      <c r="C5" s="1089" t="s">
        <v>6451</v>
      </c>
      <c r="D5" s="1089"/>
      <c r="E5" s="1089"/>
      <c r="F5" s="1089"/>
      <c r="G5" s="1364">
        <f>PT.waste_generation!G30*UC.L_to_m3</f>
        <v>0</v>
      </c>
      <c r="H5" s="49" t="s">
        <v>2521</v>
      </c>
      <c r="K5">
        <f>300*19.6*3.3*6*UC.ft3_to_m3</f>
        <v>3296.7609444</v>
      </c>
      <c r="L5" t="s">
        <v>2478</v>
      </c>
    </row>
    <row r="6" spans="2:17" x14ac:dyDescent="0.3">
      <c r="B6" s="49" t="s">
        <v>6564</v>
      </c>
      <c r="C6" s="49"/>
      <c r="D6" s="49"/>
      <c r="E6" s="49"/>
      <c r="F6" s="49"/>
      <c r="G6" s="1364">
        <f>G3+G5</f>
        <v>2.8937344524219841</v>
      </c>
      <c r="H6" s="49" t="s">
        <v>2521</v>
      </c>
      <c r="K6">
        <f>K5/55</f>
        <v>59.941108079999999</v>
      </c>
      <c r="L6" t="s">
        <v>2478</v>
      </c>
    </row>
    <row r="7" spans="2:17" x14ac:dyDescent="0.3">
      <c r="B7" s="49" t="s">
        <v>6300</v>
      </c>
      <c r="C7" s="49"/>
      <c r="D7" s="49"/>
      <c r="E7" s="49"/>
      <c r="F7" s="49"/>
      <c r="G7" s="1423">
        <f>PT.waste_generation!$G5</f>
        <v>273.00499999999988</v>
      </c>
      <c r="H7" s="49" t="s">
        <v>2409</v>
      </c>
      <c r="K7">
        <f>K6*UC.m3_to_ft3</f>
        <v>2116.8002534738766</v>
      </c>
    </row>
    <row r="8" spans="2:17" x14ac:dyDescent="0.3">
      <c r="B8" s="49" t="s">
        <v>6301</v>
      </c>
      <c r="C8" s="49"/>
      <c r="D8" s="49"/>
      <c r="E8" s="49"/>
      <c r="F8" s="49"/>
      <c r="G8" s="1423">
        <f>PT.waste_generation!$G6</f>
        <v>221.00449999999995</v>
      </c>
      <c r="H8" s="49" t="s">
        <v>2409</v>
      </c>
    </row>
    <row r="9" spans="2:17" x14ac:dyDescent="0.3">
      <c r="B9" s="63" t="s">
        <v>6302</v>
      </c>
      <c r="C9" s="49"/>
      <c r="D9" s="49"/>
      <c r="E9" s="49"/>
      <c r="F9" s="49"/>
      <c r="G9" s="1423">
        <f>PT.shallow_scrape!H38</f>
        <v>20.783810869577703</v>
      </c>
      <c r="H9" s="49" t="s">
        <v>2409</v>
      </c>
    </row>
    <row r="10" spans="2:17" x14ac:dyDescent="0.3">
      <c r="B10" s="63" t="s">
        <v>6303</v>
      </c>
      <c r="C10" s="49"/>
      <c r="D10" s="49"/>
      <c r="E10" s="49"/>
      <c r="F10" s="49"/>
      <c r="G10" s="1423">
        <f>PT.waste_generation!$G8</f>
        <v>9.1001499999999993</v>
      </c>
      <c r="H10" s="49" t="s">
        <v>2409</v>
      </c>
    </row>
    <row r="11" spans="2:17" x14ac:dyDescent="0.3">
      <c r="B11" s="63" t="s">
        <v>6304</v>
      </c>
      <c r="C11" s="49"/>
      <c r="D11" s="49"/>
      <c r="E11" s="49"/>
      <c r="F11" s="49"/>
      <c r="G11" s="1423">
        <f>PT.waste_generation!$G9</f>
        <v>11.700249999999999</v>
      </c>
      <c r="H11" s="49" t="s">
        <v>2409</v>
      </c>
    </row>
    <row r="12" spans="2:17" x14ac:dyDescent="0.3">
      <c r="B12" s="63" t="s">
        <v>5483</v>
      </c>
      <c r="C12" s="49"/>
      <c r="D12" s="49"/>
      <c r="E12" s="49"/>
      <c r="F12" s="49"/>
      <c r="G12" s="1644">
        <f>UDV.density.manure</f>
        <v>993.99999999999989</v>
      </c>
      <c r="H12" s="49" t="s">
        <v>2416</v>
      </c>
    </row>
    <row r="13" spans="2:17" x14ac:dyDescent="0.3">
      <c r="B13" s="63" t="s">
        <v>6565</v>
      </c>
      <c r="C13" s="49"/>
      <c r="D13" s="49"/>
      <c r="E13" s="49"/>
      <c r="F13" s="49"/>
      <c r="G13" s="1359">
        <f>UDV.compost.fraction_carbon</f>
        <v>0.25</v>
      </c>
      <c r="H13" s="49" t="s">
        <v>1694</v>
      </c>
      <c r="Q13">
        <f>300/7</f>
        <v>42.857142857142854</v>
      </c>
    </row>
    <row r="14" spans="2:17" x14ac:dyDescent="0.3">
      <c r="B14" s="63" t="s">
        <v>6566</v>
      </c>
      <c r="C14" s="49"/>
      <c r="D14" s="49"/>
      <c r="E14" s="49"/>
      <c r="F14" s="49"/>
      <c r="G14" s="1359">
        <f>UDV.compost.fraction_screened_compost</f>
        <v>0.5</v>
      </c>
      <c r="H14" s="49" t="s">
        <v>1694</v>
      </c>
    </row>
    <row r="15" spans="2:17" x14ac:dyDescent="0.3">
      <c r="B15" s="63" t="s">
        <v>6567</v>
      </c>
      <c r="C15" s="49"/>
      <c r="D15" s="49"/>
      <c r="E15" s="49"/>
      <c r="F15" s="49"/>
      <c r="G15" s="1359">
        <f>UDV.compost.fraction_fine_compost</f>
        <v>0.25</v>
      </c>
      <c r="H15" s="49" t="s">
        <v>1694</v>
      </c>
      <c r="O15">
        <f>7*19.6*3.3</f>
        <v>452.76000000000005</v>
      </c>
    </row>
    <row r="16" spans="2:17" x14ac:dyDescent="0.3">
      <c r="B16" s="63" t="s">
        <v>6568</v>
      </c>
      <c r="C16" s="49"/>
      <c r="D16" s="49"/>
      <c r="E16" s="49"/>
      <c r="F16" s="49"/>
      <c r="G16" s="1359">
        <f>UDV.compost.mc_carbon</f>
        <v>0.4</v>
      </c>
      <c r="H16" s="49" t="s">
        <v>1694</v>
      </c>
    </row>
    <row r="17" spans="2:13" x14ac:dyDescent="0.3">
      <c r="B17" s="63" t="s">
        <v>996</v>
      </c>
      <c r="C17" s="49"/>
      <c r="D17" s="49"/>
      <c r="E17" s="49"/>
      <c r="F17" s="49"/>
      <c r="G17" s="1361">
        <f>UDV.compost.density_carbon</f>
        <v>355.96585323977121</v>
      </c>
      <c r="H17" s="49" t="s">
        <v>2416</v>
      </c>
    </row>
    <row r="18" spans="2:13" x14ac:dyDescent="0.3">
      <c r="B18" s="63" t="s">
        <v>998</v>
      </c>
      <c r="C18" s="49"/>
      <c r="D18" s="49"/>
      <c r="E18" s="49"/>
      <c r="F18" s="49"/>
      <c r="G18" s="1359">
        <f>UDV.compost.N_carbon</f>
        <v>6</v>
      </c>
      <c r="H18" s="49" t="s">
        <v>6569</v>
      </c>
    </row>
    <row r="19" spans="2:13" x14ac:dyDescent="0.3">
      <c r="B19" s="63" t="s">
        <v>1000</v>
      </c>
      <c r="C19" s="49"/>
      <c r="D19" s="49"/>
      <c r="E19" s="49"/>
      <c r="F19" s="49"/>
      <c r="G19" s="1359">
        <f>UDV.compost.P_carbon</f>
        <v>2.5000000000000004</v>
      </c>
      <c r="H19" s="49" t="s">
        <v>6569</v>
      </c>
    </row>
    <row r="20" spans="2:13" x14ac:dyDescent="0.3">
      <c r="B20" s="63" t="s">
        <v>1002</v>
      </c>
      <c r="C20" s="49"/>
      <c r="D20" s="49"/>
      <c r="E20" s="49"/>
      <c r="F20" s="49"/>
      <c r="G20" s="1359">
        <f>UDV.compost.K_carbon</f>
        <v>1.5</v>
      </c>
      <c r="H20" s="49" t="s">
        <v>6569</v>
      </c>
    </row>
    <row r="21" spans="2:13" x14ac:dyDescent="0.3">
      <c r="B21" s="63" t="s">
        <v>6570</v>
      </c>
      <c r="C21" s="49"/>
      <c r="D21" s="49"/>
      <c r="E21" s="49"/>
      <c r="F21" s="49"/>
      <c r="G21" s="1209">
        <f>G6*G12</f>
        <v>2876.3720457074519</v>
      </c>
      <c r="H21" s="49" t="s">
        <v>2409</v>
      </c>
    </row>
    <row r="22" spans="2:13" x14ac:dyDescent="0.3">
      <c r="B22" s="49" t="s">
        <v>6571</v>
      </c>
      <c r="C22" s="49"/>
      <c r="D22" s="49"/>
      <c r="E22" s="49"/>
      <c r="F22" s="49"/>
      <c r="G22" s="1209">
        <f>G6*G13</f>
        <v>0.72343361310549603</v>
      </c>
      <c r="H22" s="49" t="s">
        <v>2521</v>
      </c>
    </row>
    <row r="23" spans="2:13" x14ac:dyDescent="0.3">
      <c r="B23" s="49" t="s">
        <v>6572</v>
      </c>
      <c r="C23" s="49"/>
      <c r="D23" s="49"/>
      <c r="E23" s="49"/>
      <c r="F23" s="49"/>
      <c r="G23" s="1209">
        <f>G6*G14</f>
        <v>1.4468672262109921</v>
      </c>
      <c r="H23" s="49" t="s">
        <v>2521</v>
      </c>
    </row>
    <row r="24" spans="2:13" x14ac:dyDescent="0.3">
      <c r="B24" s="49" t="s">
        <v>6573</v>
      </c>
      <c r="C24" s="49"/>
      <c r="D24" s="49"/>
      <c r="E24" s="49"/>
      <c r="F24" s="49"/>
      <c r="G24" s="1209">
        <f>G6*G15</f>
        <v>0.72343361310549603</v>
      </c>
      <c r="H24" s="49" t="s">
        <v>2521</v>
      </c>
    </row>
    <row r="25" spans="2:13" x14ac:dyDescent="0.3">
      <c r="B25" s="49" t="s">
        <v>6574</v>
      </c>
      <c r="C25" s="49"/>
      <c r="D25" s="49"/>
      <c r="E25" s="49"/>
      <c r="F25" s="49"/>
      <c r="G25" s="1209">
        <f>G6+G22+G23+G24</f>
        <v>5.7874689048439683</v>
      </c>
      <c r="H25" s="49" t="s">
        <v>2521</v>
      </c>
      <c r="K25">
        <f>G25*UC.m3_to_ft3</f>
        <v>204.38253541117874</v>
      </c>
    </row>
    <row r="26" spans="2:13" x14ac:dyDescent="0.3">
      <c r="B26" s="49" t="s">
        <v>6575</v>
      </c>
      <c r="C26" s="49"/>
      <c r="D26" s="49"/>
      <c r="E26" s="49"/>
      <c r="F26" s="49"/>
      <c r="G26" s="1209">
        <f>G17*G22/UC.tonne_to_kg</f>
        <v>0.25751766335142845</v>
      </c>
      <c r="H26" s="49" t="s">
        <v>6576</v>
      </c>
    </row>
    <row r="27" spans="2:13" x14ac:dyDescent="0.3">
      <c r="B27" s="49" t="s">
        <v>6577</v>
      </c>
      <c r="C27" s="49"/>
      <c r="D27" s="49"/>
      <c r="E27" s="49"/>
      <c r="F27" s="49"/>
      <c r="G27" s="1209">
        <f>(1-G16)*G26*UC.tonne_to_kg</f>
        <v>154.51059801085705</v>
      </c>
      <c r="H27" s="49" t="s">
        <v>2409</v>
      </c>
    </row>
    <row r="28" spans="2:13" x14ac:dyDescent="0.3">
      <c r="B28" s="63" t="s">
        <v>6578</v>
      </c>
      <c r="C28" s="49"/>
      <c r="D28" s="49"/>
      <c r="E28" s="49"/>
      <c r="F28" s="49"/>
      <c r="G28" s="1209">
        <f>G18*G26</f>
        <v>1.5451059801085707</v>
      </c>
      <c r="H28" s="49" t="s">
        <v>2409</v>
      </c>
    </row>
    <row r="29" spans="2:13" x14ac:dyDescent="0.3">
      <c r="B29" s="63" t="s">
        <v>6579</v>
      </c>
      <c r="C29" s="49"/>
      <c r="D29" s="49"/>
      <c r="E29" s="49"/>
      <c r="F29" s="49"/>
      <c r="G29" s="1209">
        <f>G19*G26</f>
        <v>0.64379415837857124</v>
      </c>
      <c r="H29" s="49" t="s">
        <v>2409</v>
      </c>
      <c r="L29">
        <f>4+8+4</f>
        <v>16</v>
      </c>
    </row>
    <row r="30" spans="2:13" x14ac:dyDescent="0.3">
      <c r="B30" s="63" t="s">
        <v>6580</v>
      </c>
      <c r="C30" s="49"/>
      <c r="D30" s="49"/>
      <c r="E30" s="49"/>
      <c r="F30" s="49"/>
      <c r="G30" s="1209">
        <f>G20*G26</f>
        <v>0.38627649502714267</v>
      </c>
      <c r="H30" s="49" t="s">
        <v>2409</v>
      </c>
      <c r="L30">
        <f>L29*2</f>
        <v>32</v>
      </c>
      <c r="M30" t="s">
        <v>6581</v>
      </c>
    </row>
    <row r="31" spans="2:13" x14ac:dyDescent="0.3">
      <c r="B31" s="63" t="s">
        <v>6582</v>
      </c>
      <c r="C31" s="49"/>
      <c r="D31" s="49"/>
      <c r="E31" s="49"/>
      <c r="F31" s="49"/>
      <c r="G31" s="648">
        <f>G12*G6</f>
        <v>2876.3720457074519</v>
      </c>
      <c r="H31" s="49" t="s">
        <v>2409</v>
      </c>
      <c r="L31">
        <f>L30*365</f>
        <v>11680</v>
      </c>
      <c r="M31" t="s">
        <v>6583</v>
      </c>
    </row>
    <row r="32" spans="2:13" x14ac:dyDescent="0.3">
      <c r="B32" s="63" t="s">
        <v>6584</v>
      </c>
      <c r="C32" s="49"/>
      <c r="D32" s="49"/>
      <c r="E32" s="49"/>
      <c r="F32" s="49"/>
      <c r="G32" s="648">
        <f>G26*UC.tonne_to_kg</f>
        <v>257.51766335142844</v>
      </c>
      <c r="H32" s="49" t="s">
        <v>2409</v>
      </c>
      <c r="L32">
        <v>7500</v>
      </c>
      <c r="M32" t="s">
        <v>6585</v>
      </c>
    </row>
    <row r="33" spans="2:19" x14ac:dyDescent="0.3">
      <c r="B33" s="49" t="s">
        <v>6586</v>
      </c>
      <c r="C33" s="49"/>
      <c r="D33" s="49"/>
      <c r="E33" s="49"/>
      <c r="F33" s="49"/>
      <c r="G33" s="648">
        <f>G31+G32</f>
        <v>3133.8897090588803</v>
      </c>
      <c r="H33" s="49" t="s">
        <v>2409</v>
      </c>
      <c r="L33">
        <f>L32/L31</f>
        <v>0.64212328767123283</v>
      </c>
      <c r="M33" t="s">
        <v>6587</v>
      </c>
    </row>
    <row r="34" spans="2:19" x14ac:dyDescent="0.3">
      <c r="B34" s="49" t="s">
        <v>6588</v>
      </c>
      <c r="C34" s="49"/>
      <c r="D34" s="49"/>
      <c r="E34" s="49"/>
      <c r="F34" s="49"/>
      <c r="G34" s="1360">
        <f>G27/G28</f>
        <v>99.999999999999986</v>
      </c>
      <c r="H34" s="49" t="s">
        <v>6589</v>
      </c>
    </row>
    <row r="35" spans="2:19" x14ac:dyDescent="0.3">
      <c r="B35" s="1387" t="s">
        <v>6590</v>
      </c>
      <c r="C35" s="353"/>
      <c r="D35" s="353"/>
      <c r="E35" s="353"/>
      <c r="F35" s="1538"/>
      <c r="G35" s="1538"/>
      <c r="H35" s="352"/>
    </row>
    <row r="36" spans="2:19" x14ac:dyDescent="0.3">
      <c r="B36" s="49" t="s">
        <v>6591</v>
      </c>
      <c r="C36" s="49"/>
      <c r="D36" s="49"/>
      <c r="E36" s="49"/>
      <c r="F36" s="49"/>
      <c r="G36" s="1359">
        <f>UDV.compost.time</f>
        <v>55</v>
      </c>
      <c r="H36" s="49" t="s">
        <v>2452</v>
      </c>
    </row>
    <row r="37" spans="2:19" x14ac:dyDescent="0.3">
      <c r="B37" s="49" t="s">
        <v>6592</v>
      </c>
      <c r="C37" s="49"/>
      <c r="D37" s="49"/>
      <c r="E37" s="49"/>
      <c r="F37" s="49"/>
      <c r="G37" s="1359">
        <f>UDV.compost.length_row</f>
        <v>91.44</v>
      </c>
      <c r="H37" s="49" t="s">
        <v>2337</v>
      </c>
      <c r="L37" t="s">
        <v>6593</v>
      </c>
    </row>
    <row r="38" spans="2:19" x14ac:dyDescent="0.3">
      <c r="B38" s="49" t="s">
        <v>6594</v>
      </c>
      <c r="C38" s="49"/>
      <c r="D38" s="49"/>
      <c r="E38" s="49"/>
      <c r="F38" s="49"/>
      <c r="G38" s="1361">
        <f>UDV.compost.width_row</f>
        <v>5.9740800000000007</v>
      </c>
      <c r="H38" s="49" t="s">
        <v>2337</v>
      </c>
      <c r="K38">
        <f>G38*UC.m_to_ft</f>
        <v>19.600000029792003</v>
      </c>
    </row>
    <row r="39" spans="2:19" x14ac:dyDescent="0.3">
      <c r="B39" s="49" t="s">
        <v>6595</v>
      </c>
      <c r="C39" s="49"/>
      <c r="D39" s="49"/>
      <c r="E39" s="49"/>
      <c r="F39" s="49"/>
      <c r="G39" s="1361">
        <f>UDV.compost.height_row</f>
        <v>1.0058400000000001</v>
      </c>
      <c r="H39" s="49" t="s">
        <v>2337</v>
      </c>
    </row>
    <row r="40" spans="2:19" x14ac:dyDescent="0.3">
      <c r="B40" s="49" t="s">
        <v>6596</v>
      </c>
      <c r="C40" s="49"/>
      <c r="D40" s="49"/>
      <c r="E40" s="49"/>
      <c r="F40" s="49"/>
      <c r="G40" s="1361">
        <f>UDV.compost.fraction_compost_area</f>
        <v>0.5</v>
      </c>
      <c r="H40" s="49" t="s">
        <v>1694</v>
      </c>
    </row>
    <row r="41" spans="2:19" x14ac:dyDescent="0.3">
      <c r="B41" s="49" t="s">
        <v>6597</v>
      </c>
      <c r="C41" s="49"/>
      <c r="D41" s="49"/>
      <c r="E41" s="49"/>
      <c r="F41" s="49"/>
      <c r="G41" s="1361">
        <f>UDV.compost.area_safety_factor</f>
        <v>1</v>
      </c>
      <c r="H41" s="49" t="s">
        <v>2426</v>
      </c>
    </row>
    <row r="42" spans="2:19" x14ac:dyDescent="0.3">
      <c r="B42" s="49" t="s">
        <v>6598</v>
      </c>
      <c r="C42" s="49"/>
      <c r="D42" s="49"/>
      <c r="E42" s="49"/>
      <c r="F42" s="49"/>
      <c r="G42" s="1209">
        <f>G37*G38*G39</f>
        <v>549.46009127116804</v>
      </c>
      <c r="H42" s="49" t="s">
        <v>2478</v>
      </c>
    </row>
    <row r="43" spans="2:19" x14ac:dyDescent="0.3">
      <c r="B43" s="49" t="s">
        <v>6599</v>
      </c>
      <c r="C43" s="49"/>
      <c r="D43" s="49"/>
      <c r="E43" s="49"/>
      <c r="F43" s="49"/>
      <c r="G43" s="1209">
        <f>G37*G38</f>
        <v>546.2698752</v>
      </c>
      <c r="H43" s="49" t="s">
        <v>2268</v>
      </c>
    </row>
    <row r="44" spans="2:19" x14ac:dyDescent="0.3">
      <c r="B44" s="49" t="s">
        <v>6600</v>
      </c>
      <c r="C44" s="49"/>
      <c r="D44" s="49"/>
      <c r="E44" s="49"/>
      <c r="F44" s="49"/>
      <c r="G44" s="1209">
        <f>G25*G36*G41</f>
        <v>318.31078976641828</v>
      </c>
      <c r="H44" s="49" t="s">
        <v>2478</v>
      </c>
    </row>
    <row r="45" spans="2:19" x14ac:dyDescent="0.3">
      <c r="B45" s="49" t="s">
        <v>6601</v>
      </c>
      <c r="C45" s="49"/>
      <c r="D45" s="49"/>
      <c r="E45" s="49"/>
      <c r="F45" s="49"/>
      <c r="G45" s="49">
        <f>ROUNDUP(G44/G42,0)</f>
        <v>1</v>
      </c>
      <c r="H45" s="49" t="s">
        <v>6602</v>
      </c>
      <c r="O45" t="s">
        <v>6603</v>
      </c>
      <c r="P45" t="s">
        <v>6604</v>
      </c>
    </row>
    <row r="46" spans="2:19" x14ac:dyDescent="0.3">
      <c r="B46" s="49" t="s">
        <v>6605</v>
      </c>
      <c r="C46" s="49"/>
      <c r="D46" s="49"/>
      <c r="E46" s="49"/>
      <c r="F46" s="49"/>
      <c r="G46" s="1360">
        <f>G44/G45</f>
        <v>318.31078976641828</v>
      </c>
      <c r="H46" s="49" t="s">
        <v>2478</v>
      </c>
      <c r="N46" t="s">
        <v>84</v>
      </c>
      <c r="O46">
        <v>25</v>
      </c>
      <c r="P46">
        <v>6</v>
      </c>
      <c r="Q46" t="s">
        <v>4892</v>
      </c>
      <c r="S46">
        <f>P46*UC.lb_to_kg*UC.tonne_to_ton</f>
        <v>2.9999999999999996</v>
      </c>
    </row>
    <row r="47" spans="2:19" x14ac:dyDescent="0.3">
      <c r="B47" s="49" t="s">
        <v>6606</v>
      </c>
      <c r="C47" s="49"/>
      <c r="D47" s="49"/>
      <c r="E47" s="49"/>
      <c r="F47" s="49"/>
      <c r="G47" s="1360">
        <f>G46/G38/G39</f>
        <v>52.972616353089791</v>
      </c>
      <c r="H47" s="49" t="s">
        <v>2337</v>
      </c>
      <c r="J47">
        <f>7500*UC.yd3_to_m3</f>
        <v>5734.1614499999996</v>
      </c>
      <c r="N47" t="s">
        <v>704</v>
      </c>
      <c r="O47">
        <v>32.5</v>
      </c>
      <c r="P47">
        <v>2.5</v>
      </c>
      <c r="Q47" t="s">
        <v>4892</v>
      </c>
      <c r="S47">
        <f>P47*UC.lb_to_kg*UC.tonne_to_ton</f>
        <v>1.2499999999999998</v>
      </c>
    </row>
    <row r="48" spans="2:19" x14ac:dyDescent="0.3">
      <c r="B48" s="49" t="s">
        <v>6607</v>
      </c>
      <c r="C48" s="49"/>
      <c r="D48" s="49"/>
      <c r="E48" s="49"/>
      <c r="F48" s="49"/>
      <c r="G48" s="1360">
        <f>G38*G45*G47</f>
        <v>316.46264790266667</v>
      </c>
      <c r="H48" s="49" t="s">
        <v>2268</v>
      </c>
      <c r="N48" t="s">
        <v>702</v>
      </c>
      <c r="O48">
        <v>22.5</v>
      </c>
      <c r="P48">
        <v>1.5</v>
      </c>
      <c r="Q48" t="s">
        <v>4892</v>
      </c>
      <c r="S48">
        <f>P48*UC.lb_to_kg*UC.tonne_to_ton</f>
        <v>0.74999999999999989</v>
      </c>
    </row>
    <row r="49" spans="1:14" x14ac:dyDescent="0.3">
      <c r="B49" s="49" t="s">
        <v>6608</v>
      </c>
      <c r="C49" s="49"/>
      <c r="D49" s="49"/>
      <c r="E49" s="49"/>
      <c r="F49" s="49"/>
      <c r="G49" s="1360">
        <f>G48/G40</f>
        <v>632.92529580533335</v>
      </c>
      <c r="H49" s="49" t="s">
        <v>2268</v>
      </c>
    </row>
    <row r="50" spans="1:14" x14ac:dyDescent="0.3">
      <c r="B50" s="49" t="s">
        <v>6609</v>
      </c>
      <c r="C50" s="49"/>
      <c r="D50" s="49"/>
      <c r="E50" s="49"/>
      <c r="F50" s="49"/>
      <c r="G50" s="1209">
        <f>G42*G45</f>
        <v>549.46009127116804</v>
      </c>
      <c r="H50" s="49" t="s">
        <v>2478</v>
      </c>
    </row>
    <row r="51" spans="1:14" x14ac:dyDescent="0.3">
      <c r="A51" t="s">
        <v>2621</v>
      </c>
      <c r="B51" s="1387" t="s">
        <v>6610</v>
      </c>
      <c r="C51" s="353"/>
      <c r="D51" s="353"/>
      <c r="E51" s="353"/>
      <c r="F51" s="1538"/>
      <c r="G51" s="1538"/>
      <c r="H51" s="352"/>
      <c r="M51" t="s">
        <v>6611</v>
      </c>
    </row>
    <row r="52" spans="1:14" x14ac:dyDescent="0.3">
      <c r="B52" s="49" t="s">
        <v>6612</v>
      </c>
      <c r="C52" s="49"/>
      <c r="D52" s="49"/>
      <c r="E52" s="49"/>
      <c r="F52" s="49"/>
      <c r="G52" s="1359">
        <f>UDV.compost.manure_TS_remaining</f>
        <v>0.75</v>
      </c>
      <c r="H52" s="49" t="s">
        <v>1694</v>
      </c>
    </row>
    <row r="53" spans="1:14" x14ac:dyDescent="0.3">
      <c r="B53" s="49" t="s">
        <v>6613</v>
      </c>
      <c r="C53" s="49"/>
      <c r="D53" s="49"/>
      <c r="E53" s="49"/>
      <c r="F53" s="49"/>
      <c r="G53" s="1359">
        <f>UDV.compost.manure_VS_remaining</f>
        <v>0.75</v>
      </c>
      <c r="H53" s="49" t="s">
        <v>1694</v>
      </c>
    </row>
    <row r="54" spans="1:14" x14ac:dyDescent="0.3">
      <c r="B54" s="49" t="s">
        <v>6614</v>
      </c>
      <c r="C54" s="49"/>
      <c r="D54" s="49"/>
      <c r="E54" s="49"/>
      <c r="F54" s="49"/>
      <c r="G54" s="1359">
        <f>UDV.compost.manure_N_remaining</f>
        <v>0.25</v>
      </c>
      <c r="H54" s="49" t="s">
        <v>1694</v>
      </c>
      <c r="K54" t="s">
        <v>6615</v>
      </c>
    </row>
    <row r="55" spans="1:14" x14ac:dyDescent="0.3">
      <c r="B55" s="49" t="s">
        <v>6616</v>
      </c>
      <c r="C55" s="49"/>
      <c r="D55" s="49"/>
      <c r="E55" s="49"/>
      <c r="F55" s="49"/>
      <c r="G55" s="1359">
        <f>UDV.compost.manure_P_remaining</f>
        <v>1</v>
      </c>
      <c r="H55" s="49" t="s">
        <v>1694</v>
      </c>
    </row>
    <row r="56" spans="1:14" x14ac:dyDescent="0.3">
      <c r="B56" s="49" t="s">
        <v>6617</v>
      </c>
      <c r="C56" s="49"/>
      <c r="D56" s="49"/>
      <c r="E56" s="49"/>
      <c r="F56" s="49"/>
      <c r="G56" s="1359">
        <f>UDV.compost.manure_K_remaining</f>
        <v>1</v>
      </c>
      <c r="H56" s="49" t="s">
        <v>1694</v>
      </c>
    </row>
    <row r="57" spans="1:14" x14ac:dyDescent="0.3">
      <c r="B57" s="49" t="s">
        <v>6618</v>
      </c>
      <c r="C57" s="49"/>
      <c r="D57" s="49"/>
      <c r="E57" s="49"/>
      <c r="F57" s="49"/>
      <c r="G57" s="1359">
        <f>UDV.compost.carbon_TS_remaining</f>
        <v>0.95</v>
      </c>
      <c r="H57" s="49" t="s">
        <v>1694</v>
      </c>
    </row>
    <row r="58" spans="1:14" x14ac:dyDescent="0.3">
      <c r="B58" s="49" t="s">
        <v>6619</v>
      </c>
      <c r="C58" s="49"/>
      <c r="D58" s="49"/>
      <c r="E58" s="49"/>
      <c r="F58" s="49"/>
      <c r="G58" s="1359">
        <f>UDV.compost.carbon_N_remaining</f>
        <v>0.95</v>
      </c>
      <c r="H58" s="49" t="s">
        <v>1694</v>
      </c>
      <c r="N58" t="s">
        <v>6620</v>
      </c>
    </row>
    <row r="59" spans="1:14" x14ac:dyDescent="0.3">
      <c r="B59" s="49" t="s">
        <v>6621</v>
      </c>
      <c r="C59" s="49"/>
      <c r="D59" s="49"/>
      <c r="E59" s="49"/>
      <c r="F59" s="49"/>
      <c r="G59" s="1359">
        <f>UDV.compost.carbon_P_remaining</f>
        <v>1</v>
      </c>
      <c r="H59" s="49" t="s">
        <v>1694</v>
      </c>
    </row>
    <row r="60" spans="1:14" x14ac:dyDescent="0.3">
      <c r="B60" s="49" t="s">
        <v>6622</v>
      </c>
      <c r="C60" s="49"/>
      <c r="D60" s="49"/>
      <c r="E60" s="49"/>
      <c r="F60" s="49"/>
      <c r="G60" s="1359">
        <f>UDV.compost.carbon_K_remaining</f>
        <v>1</v>
      </c>
      <c r="H60" s="49" t="s">
        <v>1694</v>
      </c>
    </row>
    <row r="61" spans="1:14" x14ac:dyDescent="0.3">
      <c r="B61" s="49" t="s">
        <v>6623</v>
      </c>
      <c r="C61" s="49"/>
      <c r="D61" s="49"/>
      <c r="E61" s="49"/>
      <c r="F61" s="49"/>
      <c r="G61" s="1359">
        <f>UDV.compost.mc_compost</f>
        <v>0.32500000000000001</v>
      </c>
      <c r="H61" s="49" t="s">
        <v>1694</v>
      </c>
    </row>
    <row r="62" spans="1:14" x14ac:dyDescent="0.3">
      <c r="B62" s="49" t="s">
        <v>6624</v>
      </c>
      <c r="C62" s="49"/>
      <c r="D62" s="49"/>
      <c r="E62" s="49"/>
      <c r="F62" s="49"/>
      <c r="G62" s="1360">
        <f>G7*G52</f>
        <v>204.75374999999991</v>
      </c>
      <c r="H62" s="49" t="s">
        <v>2409</v>
      </c>
    </row>
    <row r="63" spans="1:14" x14ac:dyDescent="0.3">
      <c r="B63" s="49" t="s">
        <v>6625</v>
      </c>
      <c r="C63" s="49"/>
      <c r="D63" s="49"/>
      <c r="E63" s="49"/>
      <c r="F63" s="49"/>
      <c r="G63" s="1360">
        <f>G8*G53</f>
        <v>165.75337499999995</v>
      </c>
      <c r="H63" s="49" t="s">
        <v>2409</v>
      </c>
    </row>
    <row r="64" spans="1:14" x14ac:dyDescent="0.3">
      <c r="B64" s="49" t="s">
        <v>6626</v>
      </c>
      <c r="C64" s="49"/>
      <c r="D64" s="49"/>
      <c r="E64" s="49"/>
      <c r="F64" s="49"/>
      <c r="G64" s="1360">
        <f>G9*G54</f>
        <v>5.1959527173944258</v>
      </c>
      <c r="H64" s="49" t="s">
        <v>2409</v>
      </c>
    </row>
    <row r="65" spans="2:8" x14ac:dyDescent="0.3">
      <c r="B65" s="49" t="s">
        <v>6627</v>
      </c>
      <c r="C65" s="49"/>
      <c r="D65" s="49"/>
      <c r="E65" s="49"/>
      <c r="F65" s="49"/>
      <c r="G65" s="1360">
        <f>G10*G55</f>
        <v>9.1001499999999993</v>
      </c>
      <c r="H65" s="49" t="s">
        <v>2409</v>
      </c>
    </row>
    <row r="66" spans="2:8" x14ac:dyDescent="0.3">
      <c r="B66" s="49" t="s">
        <v>6628</v>
      </c>
      <c r="C66" s="49"/>
      <c r="D66" s="49"/>
      <c r="E66" s="49"/>
      <c r="F66" s="49"/>
      <c r="G66" s="1360">
        <f>G11*G56</f>
        <v>11.700249999999999</v>
      </c>
      <c r="H66" s="49" t="s">
        <v>2409</v>
      </c>
    </row>
    <row r="67" spans="2:8" x14ac:dyDescent="0.3">
      <c r="B67" s="49" t="s">
        <v>6629</v>
      </c>
      <c r="C67" s="49"/>
      <c r="D67" s="49"/>
      <c r="E67" s="49"/>
      <c r="F67" s="49"/>
      <c r="G67" s="1360">
        <f>G27*G57</f>
        <v>146.7850681103142</v>
      </c>
      <c r="H67" s="49" t="s">
        <v>2409</v>
      </c>
    </row>
    <row r="68" spans="2:8" x14ac:dyDescent="0.3">
      <c r="B68" s="49" t="s">
        <v>6630</v>
      </c>
      <c r="C68" s="49"/>
      <c r="D68" s="49"/>
      <c r="E68" s="49"/>
      <c r="F68" s="49"/>
      <c r="G68" s="1360">
        <f>G28*G58</f>
        <v>1.467850681103142</v>
      </c>
      <c r="H68" s="49" t="s">
        <v>2409</v>
      </c>
    </row>
    <row r="69" spans="2:8" x14ac:dyDescent="0.3">
      <c r="B69" s="49" t="s">
        <v>6631</v>
      </c>
      <c r="C69" s="49"/>
      <c r="D69" s="49"/>
      <c r="E69" s="49"/>
      <c r="F69" s="49"/>
      <c r="G69" s="1360">
        <f>G29*G59</f>
        <v>0.64379415837857124</v>
      </c>
      <c r="H69" s="49" t="s">
        <v>2409</v>
      </c>
    </row>
    <row r="70" spans="2:8" x14ac:dyDescent="0.3">
      <c r="B70" s="49" t="s">
        <v>6632</v>
      </c>
      <c r="C70" s="49"/>
      <c r="D70" s="49"/>
      <c r="E70" s="49"/>
      <c r="F70" s="49"/>
      <c r="G70" s="1360">
        <f>G30*G60</f>
        <v>0.38627649502714267</v>
      </c>
      <c r="H70" s="49" t="s">
        <v>2409</v>
      </c>
    </row>
    <row r="71" spans="2:8" x14ac:dyDescent="0.3">
      <c r="B71" s="49" t="s">
        <v>6633</v>
      </c>
      <c r="C71" s="49"/>
      <c r="D71" s="49"/>
      <c r="E71" s="49"/>
      <c r="F71" s="49"/>
      <c r="G71" s="1360">
        <f>G62+G67</f>
        <v>351.53881811031408</v>
      </c>
      <c r="H71" s="49" t="s">
        <v>2409</v>
      </c>
    </row>
    <row r="72" spans="2:8" x14ac:dyDescent="0.3">
      <c r="B72" s="49" t="s">
        <v>6634</v>
      </c>
      <c r="C72" s="49"/>
      <c r="D72" s="49"/>
      <c r="E72" s="49"/>
      <c r="F72" s="49"/>
      <c r="G72" s="1360">
        <f>G64+G68</f>
        <v>6.663803398497568</v>
      </c>
      <c r="H72" s="49" t="s">
        <v>2409</v>
      </c>
    </row>
    <row r="73" spans="2:8" x14ac:dyDescent="0.3">
      <c r="B73" s="49" t="s">
        <v>6635</v>
      </c>
      <c r="C73" s="49"/>
      <c r="D73" s="49"/>
      <c r="E73" s="49"/>
      <c r="F73" s="49"/>
      <c r="G73" s="1360">
        <f t="shared" ref="G73:G74" si="0">G65+G69</f>
        <v>9.7439441583785698</v>
      </c>
      <c r="H73" s="49" t="s">
        <v>2409</v>
      </c>
    </row>
    <row r="74" spans="2:8" x14ac:dyDescent="0.3">
      <c r="B74" s="49" t="s">
        <v>6636</v>
      </c>
      <c r="C74" s="49"/>
      <c r="D74" s="49"/>
      <c r="E74" s="49"/>
      <c r="F74" s="49"/>
      <c r="G74" s="1360">
        <f t="shared" si="0"/>
        <v>12.086526495027142</v>
      </c>
      <c r="H74" s="49" t="s">
        <v>2409</v>
      </c>
    </row>
    <row r="75" spans="2:8" x14ac:dyDescent="0.3">
      <c r="B75" s="49" t="s">
        <v>6637</v>
      </c>
      <c r="C75" s="49"/>
      <c r="D75" s="49"/>
      <c r="E75" s="49"/>
      <c r="F75" s="49"/>
      <c r="G75" s="1209">
        <f>G71/(1-G61)</f>
        <v>520.79824905231715</v>
      </c>
      <c r="H75" s="49" t="s">
        <v>2409</v>
      </c>
    </row>
    <row r="76" spans="2:8" x14ac:dyDescent="0.3">
      <c r="B76" s="1387" t="s">
        <v>1059</v>
      </c>
      <c r="C76" s="1567"/>
      <c r="D76" s="1567"/>
      <c r="E76" s="1567"/>
      <c r="F76" s="1567"/>
      <c r="G76" s="1730"/>
      <c r="H76" s="1567"/>
    </row>
    <row r="77" spans="2:8" x14ac:dyDescent="0.3">
      <c r="B77" s="49" t="s">
        <v>6638</v>
      </c>
      <c r="C77" s="49"/>
      <c r="D77" s="49"/>
      <c r="E77" s="49"/>
      <c r="F77" s="49"/>
      <c r="G77" s="1682" cm="1">
        <f t="array" ref="G77">UDV.compost.emit_CO2</f>
        <v>0.44</v>
      </c>
      <c r="H77" s="49" t="s">
        <v>6639</v>
      </c>
    </row>
    <row r="78" spans="2:8" x14ac:dyDescent="0.3">
      <c r="B78" s="49"/>
      <c r="C78" s="49"/>
      <c r="D78" s="49"/>
      <c r="E78" s="49"/>
      <c r="F78" s="49"/>
      <c r="G78" s="1682"/>
      <c r="H78" s="49"/>
    </row>
    <row r="79" spans="2:8" x14ac:dyDescent="0.3">
      <c r="B79" s="49" t="s">
        <v>6640</v>
      </c>
      <c r="C79" s="49"/>
      <c r="D79" s="49"/>
      <c r="E79" s="49"/>
      <c r="F79" s="49"/>
      <c r="G79" s="1682">
        <f>UDV.compost.emit_N2O</f>
        <v>2.9999999999999997E-4</v>
      </c>
      <c r="H79" s="49" t="s">
        <v>6641</v>
      </c>
    </row>
    <row r="80" spans="2:8" x14ac:dyDescent="0.3">
      <c r="B80" s="49" t="s">
        <v>6642</v>
      </c>
      <c r="C80" s="49"/>
      <c r="D80" s="49"/>
      <c r="E80" s="49"/>
      <c r="F80" s="49"/>
      <c r="G80" s="1682">
        <f>UDV.emit_NH3_N_proportion.TAN_days</f>
        <v>365</v>
      </c>
      <c r="H80" s="49"/>
    </row>
    <row r="81" spans="2:8" x14ac:dyDescent="0.3">
      <c r="B81" s="49" t="s">
        <v>6643</v>
      </c>
      <c r="C81" s="49"/>
      <c r="D81" s="49"/>
      <c r="E81" s="49"/>
      <c r="F81" s="49"/>
      <c r="G81" s="1209">
        <f>G7*G77</f>
        <v>120.12219999999995</v>
      </c>
      <c r="H81" s="49" t="s">
        <v>2403</v>
      </c>
    </row>
    <row r="82" spans="2:8" x14ac:dyDescent="0.3">
      <c r="B82" s="49"/>
      <c r="C82" s="49"/>
      <c r="D82" s="49"/>
      <c r="E82" s="49"/>
      <c r="F82" s="49"/>
      <c r="G82" s="1209"/>
      <c r="H82" s="49"/>
    </row>
    <row r="83" spans="2:8" x14ac:dyDescent="0.3">
      <c r="B83" s="49" t="s">
        <v>6644</v>
      </c>
      <c r="C83" s="49"/>
      <c r="D83" s="49"/>
      <c r="E83" s="49"/>
      <c r="F83" s="49"/>
      <c r="G83" s="1209">
        <f>G21*G79</f>
        <v>0.86291161371223546</v>
      </c>
      <c r="H83" s="49" t="s">
        <v>2405</v>
      </c>
    </row>
    <row r="84" spans="2:8" x14ac:dyDescent="0.3">
      <c r="B84" s="49" t="s">
        <v>5608</v>
      </c>
      <c r="C84" s="49"/>
      <c r="D84" s="49"/>
      <c r="E84" s="49"/>
      <c r="F84" s="49"/>
      <c r="G84" s="1209">
        <f>G9*G80*(1-G54)/UDV.animal.total</f>
        <v>11.379136451093792</v>
      </c>
      <c r="H84" s="49" t="s">
        <v>6645</v>
      </c>
    </row>
    <row r="85" spans="2:8" x14ac:dyDescent="0.3">
      <c r="B85" s="1405" t="s">
        <v>6646</v>
      </c>
      <c r="C85" s="1374"/>
      <c r="D85" s="1374"/>
      <c r="E85" s="1374"/>
      <c r="F85" s="1356"/>
      <c r="G85" s="1356"/>
      <c r="H85" s="1374"/>
    </row>
    <row r="86" spans="2:8" x14ac:dyDescent="0.3">
      <c r="B86" s="49" t="s">
        <v>5594</v>
      </c>
      <c r="C86" s="49"/>
      <c r="D86" s="49"/>
      <c r="E86" s="49"/>
      <c r="F86" s="49"/>
      <c r="G86" s="1360">
        <f>G8</f>
        <v>221.00449999999995</v>
      </c>
      <c r="H86" s="49" t="s">
        <v>2409</v>
      </c>
    </row>
    <row r="87" spans="2:8" x14ac:dyDescent="0.3">
      <c r="B87" s="602" t="s">
        <v>5595</v>
      </c>
      <c r="C87" s="49"/>
      <c r="D87" s="49"/>
      <c r="E87" s="49"/>
      <c r="F87" s="49"/>
      <c r="G87" s="1727">
        <f>UDV.emit_CH4.BD</f>
        <v>0.47999999999999993</v>
      </c>
      <c r="H87" s="49" t="s">
        <v>5596</v>
      </c>
    </row>
    <row r="88" spans="2:8" x14ac:dyDescent="0.3">
      <c r="B88" s="602" t="s">
        <v>5597</v>
      </c>
      <c r="C88" s="49"/>
      <c r="D88" s="49"/>
      <c r="E88" s="49"/>
      <c r="F88" s="49"/>
      <c r="G88" s="1727">
        <f>UDV.emit_CH4.density</f>
        <v>0.66199999999999992</v>
      </c>
      <c r="H88" s="49" t="s">
        <v>2416</v>
      </c>
    </row>
    <row r="89" spans="2:8" x14ac:dyDescent="0.3">
      <c r="B89" s="602" t="s">
        <v>5598</v>
      </c>
      <c r="C89" s="49"/>
      <c r="D89" s="49"/>
      <c r="E89" s="49"/>
      <c r="F89" s="49"/>
      <c r="G89" s="1414">
        <f>UDV.emit_CH4.MCF_windrow_compost_intense</f>
        <v>5.0000000000000001E-3</v>
      </c>
      <c r="H89" s="49" t="s">
        <v>1694</v>
      </c>
    </row>
    <row r="90" spans="2:8" x14ac:dyDescent="0.3">
      <c r="B90" s="602" t="s">
        <v>5599</v>
      </c>
      <c r="C90" s="49"/>
      <c r="D90" s="1089" t="s">
        <v>5600</v>
      </c>
      <c r="E90" s="1089"/>
      <c r="F90" s="1089"/>
      <c r="G90" s="1728">
        <f>G86*365*G87*G88*G89/UDV.animal.total</f>
        <v>0.25632632320799992</v>
      </c>
      <c r="H90" s="49" t="s">
        <v>5601</v>
      </c>
    </row>
    <row r="91" spans="2:8" x14ac:dyDescent="0.3">
      <c r="B91" s="2283" t="s">
        <v>5602</v>
      </c>
      <c r="C91" s="1406"/>
      <c r="D91" s="1407"/>
      <c r="E91" s="2284"/>
      <c r="F91" s="1409"/>
      <c r="G91" s="1409"/>
      <c r="H91" s="1411"/>
    </row>
    <row r="92" spans="2:8" x14ac:dyDescent="0.3">
      <c r="B92" s="28" t="s">
        <v>6647</v>
      </c>
      <c r="C92" s="510"/>
      <c r="D92" s="2285"/>
      <c r="E92" s="1353"/>
      <c r="F92" s="1384"/>
      <c r="G92" s="1532">
        <f>G9+G28</f>
        <v>22.328916849686273</v>
      </c>
      <c r="H92" s="28" t="s">
        <v>2409</v>
      </c>
    </row>
    <row r="93" spans="2:8" x14ac:dyDescent="0.3">
      <c r="B93" s="28" t="s">
        <v>5604</v>
      </c>
      <c r="C93" s="510"/>
      <c r="D93" s="1351"/>
      <c r="E93" s="1353"/>
      <c r="F93" s="1384"/>
      <c r="G93" s="1576">
        <f>UDV.emit_N2O_direct.N_to_N2O</f>
        <v>1.5713999999999999</v>
      </c>
      <c r="H93" s="28" t="s">
        <v>5605</v>
      </c>
    </row>
    <row r="94" spans="2:8" x14ac:dyDescent="0.3">
      <c r="B94" s="28" t="s">
        <v>6648</v>
      </c>
      <c r="C94" s="510"/>
      <c r="D94" s="2285"/>
      <c r="E94" s="1353"/>
      <c r="F94" s="1384"/>
      <c r="G94" s="1521">
        <f>G92*UC.year_to_day/UDV.animal.total</f>
        <v>16.300109300270979</v>
      </c>
      <c r="H94" s="28" t="s">
        <v>5607</v>
      </c>
    </row>
    <row r="95" spans="2:8" x14ac:dyDescent="0.3">
      <c r="B95" s="2283" t="s">
        <v>5608</v>
      </c>
      <c r="C95" s="1408"/>
      <c r="D95" s="1408"/>
      <c r="E95" s="2284"/>
      <c r="F95" s="1409"/>
      <c r="G95" s="2286"/>
      <c r="H95" s="2289"/>
    </row>
    <row r="96" spans="2:8" x14ac:dyDescent="0.3">
      <c r="B96" s="95" t="s">
        <v>6649</v>
      </c>
      <c r="C96" s="49"/>
      <c r="D96" s="52"/>
      <c r="E96" s="1353"/>
      <c r="F96" s="1384"/>
      <c r="G96" s="1401">
        <f>UDV.emit_NH3.lossfrac_windrow</f>
        <v>0.65</v>
      </c>
      <c r="H96" s="95" t="s">
        <v>1694</v>
      </c>
    </row>
    <row r="97" spans="2:8" x14ac:dyDescent="0.3">
      <c r="B97" s="95" t="s">
        <v>6650</v>
      </c>
      <c r="C97" s="510"/>
      <c r="D97" s="510"/>
      <c r="E97" s="1353"/>
      <c r="F97" s="1384"/>
      <c r="G97" s="1878">
        <f>G94*G96</f>
        <v>10.595071045176137</v>
      </c>
      <c r="H97" s="28" t="s">
        <v>5611</v>
      </c>
    </row>
    <row r="98" spans="2:8" x14ac:dyDescent="0.3">
      <c r="B98" s="95" t="s">
        <v>5612</v>
      </c>
      <c r="C98" s="49"/>
      <c r="D98" s="52"/>
      <c r="E98" s="1382" t="s">
        <v>5613</v>
      </c>
      <c r="F98" s="1415"/>
      <c r="G98" s="2288">
        <f>G97</f>
        <v>10.595071045176137</v>
      </c>
      <c r="H98" s="28" t="s">
        <v>5611</v>
      </c>
    </row>
    <row r="99" spans="2:8" x14ac:dyDescent="0.3">
      <c r="B99" s="2283" t="s">
        <v>5614</v>
      </c>
      <c r="C99" s="1406"/>
      <c r="D99" s="1407"/>
      <c r="E99" s="2284"/>
      <c r="F99" s="1409"/>
      <c r="G99" s="2286"/>
      <c r="H99" s="2289"/>
    </row>
    <row r="100" spans="2:8" ht="15.6" x14ac:dyDescent="0.3">
      <c r="B100" s="28" t="s">
        <v>6651</v>
      </c>
      <c r="C100" s="510"/>
      <c r="D100" s="2285"/>
      <c r="E100" s="1353"/>
      <c r="F100" s="1384"/>
      <c r="G100" s="2290">
        <f>UDV.emit_N2O_direct.ef3_windrow</f>
        <v>5.0000000000000001E-3</v>
      </c>
      <c r="H100" s="28" t="s">
        <v>5616</v>
      </c>
    </row>
    <row r="101" spans="2:8" x14ac:dyDescent="0.3">
      <c r="B101" s="95" t="s">
        <v>6652</v>
      </c>
      <c r="C101" s="510"/>
      <c r="D101" s="2291"/>
      <c r="E101" s="1353"/>
      <c r="F101" s="1384"/>
      <c r="G101" s="1878">
        <f>G93*G94*G100</f>
        <v>0.12806995877222907</v>
      </c>
      <c r="H101" s="28" t="s">
        <v>5618</v>
      </c>
    </row>
    <row r="102" spans="2:8" x14ac:dyDescent="0.3">
      <c r="B102" s="95" t="s">
        <v>5619</v>
      </c>
      <c r="C102" s="49"/>
      <c r="D102" s="52"/>
      <c r="E102" s="1382" t="s">
        <v>5620</v>
      </c>
      <c r="F102" s="1415"/>
      <c r="G102" s="2288">
        <f>G101</f>
        <v>0.12806995877222907</v>
      </c>
      <c r="H102" s="28" t="s">
        <v>5618</v>
      </c>
    </row>
    <row r="103" spans="2:8" x14ac:dyDescent="0.3">
      <c r="B103" s="2283" t="s">
        <v>5621</v>
      </c>
      <c r="C103" s="1408"/>
      <c r="D103" s="1408"/>
      <c r="E103" s="2284"/>
      <c r="F103" s="1409"/>
      <c r="G103" s="2286"/>
      <c r="H103" s="2289"/>
    </row>
    <row r="104" spans="2:8" x14ac:dyDescent="0.3">
      <c r="B104" s="28" t="s">
        <v>5622</v>
      </c>
      <c r="C104" s="510"/>
      <c r="D104" s="2292"/>
      <c r="E104" s="1353"/>
      <c r="F104" s="1384"/>
      <c r="G104" s="1576">
        <f>UDV.emit_N2O_indirect.ef4</f>
        <v>1.4E-2</v>
      </c>
      <c r="H104" s="95" t="s">
        <v>5623</v>
      </c>
    </row>
    <row r="105" spans="2:8" x14ac:dyDescent="0.3">
      <c r="B105" s="95" t="s">
        <v>6653</v>
      </c>
      <c r="C105" s="816"/>
      <c r="D105" s="2293"/>
      <c r="E105" s="1353"/>
      <c r="F105" s="1384"/>
      <c r="G105" s="1878">
        <f>G93*G97*G104</f>
        <v>0.23308732496545692</v>
      </c>
      <c r="H105" s="28" t="s">
        <v>5618</v>
      </c>
    </row>
    <row r="106" spans="2:8" x14ac:dyDescent="0.3">
      <c r="B106" s="95" t="s">
        <v>5625</v>
      </c>
      <c r="C106" s="49"/>
      <c r="D106" s="52"/>
      <c r="E106" s="1382" t="s">
        <v>5626</v>
      </c>
      <c r="F106" s="1415"/>
      <c r="G106" s="2288">
        <f>G105</f>
        <v>0.23308732496545692</v>
      </c>
      <c r="H106" s="28" t="s">
        <v>5618</v>
      </c>
    </row>
    <row r="107" spans="2:8" x14ac:dyDescent="0.3">
      <c r="B107" s="93"/>
      <c r="D107" s="849"/>
      <c r="E107" s="849"/>
      <c r="F107" s="849"/>
      <c r="G107" s="2298"/>
    </row>
    <row r="108" spans="2:8" x14ac:dyDescent="0.3">
      <c r="B108" s="93"/>
      <c r="D108" s="849"/>
      <c r="E108" s="849"/>
      <c r="F108" s="849"/>
      <c r="G108" s="2298"/>
    </row>
    <row r="109" spans="2:8" x14ac:dyDescent="0.3">
      <c r="G109" s="78"/>
    </row>
    <row r="110" spans="2:8" x14ac:dyDescent="0.3">
      <c r="G110" s="78"/>
    </row>
    <row r="112" spans="2:8" x14ac:dyDescent="0.3">
      <c r="B112" s="1387" t="s">
        <v>6654</v>
      </c>
      <c r="C112" s="1567"/>
      <c r="D112" s="1567"/>
      <c r="E112" s="1567"/>
      <c r="F112" s="1567"/>
      <c r="G112" s="1730"/>
      <c r="H112" s="1567"/>
    </row>
    <row r="113" spans="1:9" x14ac:dyDescent="0.3">
      <c r="B113" s="49" t="s">
        <v>6655</v>
      </c>
      <c r="C113" s="49"/>
      <c r="D113" s="49"/>
      <c r="E113" s="49"/>
      <c r="F113" s="49"/>
      <c r="G113" s="1209">
        <f>G75/UC.ton_to_kg</f>
        <v>0.57408180015856591</v>
      </c>
      <c r="H113" s="49" t="s">
        <v>6656</v>
      </c>
    </row>
    <row r="114" spans="1:9" x14ac:dyDescent="0.3">
      <c r="B114" s="49" t="s">
        <v>5566</v>
      </c>
      <c r="C114" s="49"/>
      <c r="D114" s="49"/>
      <c r="E114" s="49"/>
      <c r="F114" s="49"/>
      <c r="G114" s="1209">
        <f>G72*UC.kg_to_lb/G113</f>
        <v>25.590728888292215</v>
      </c>
      <c r="H114" s="49" t="s">
        <v>4892</v>
      </c>
      <c r="I114" t="s">
        <v>6657</v>
      </c>
    </row>
    <row r="115" spans="1:9" x14ac:dyDescent="0.3">
      <c r="B115" s="49" t="s">
        <v>6658</v>
      </c>
      <c r="C115" s="49"/>
      <c r="D115" s="49"/>
      <c r="E115" s="49"/>
      <c r="F115" s="49"/>
      <c r="G115" s="1209">
        <f>G73*UC.kg_to_lb/G113</f>
        <v>37.419266198031075</v>
      </c>
      <c r="H115" s="49" t="s">
        <v>4892</v>
      </c>
      <c r="I115" t="s">
        <v>6657</v>
      </c>
    </row>
    <row r="116" spans="1:9" x14ac:dyDescent="0.3">
      <c r="B116" s="49" t="s">
        <v>6659</v>
      </c>
      <c r="C116" s="49"/>
      <c r="D116" s="49"/>
      <c r="E116" s="49"/>
      <c r="F116" s="49"/>
      <c r="G116" s="1209">
        <f>G74*UC.kg_to_lb/G113</f>
        <v>46.415388365919725</v>
      </c>
      <c r="H116" s="49" t="s">
        <v>4892</v>
      </c>
      <c r="I116" t="s">
        <v>6660</v>
      </c>
    </row>
    <row r="117" spans="1:9" x14ac:dyDescent="0.3">
      <c r="B117" s="49"/>
      <c r="C117" s="49"/>
      <c r="D117" s="49"/>
      <c r="E117" s="49"/>
      <c r="F117" s="49"/>
      <c r="G117" s="49"/>
      <c r="H117" s="49"/>
    </row>
    <row r="118" spans="1:9" x14ac:dyDescent="0.3">
      <c r="B118" s="49"/>
      <c r="C118" s="49"/>
      <c r="D118" s="49"/>
      <c r="E118" s="49"/>
      <c r="F118" s="49"/>
      <c r="G118" s="49"/>
      <c r="H118" s="49"/>
    </row>
    <row r="120" spans="1:9" x14ac:dyDescent="0.3">
      <c r="A120" t="s">
        <v>6661</v>
      </c>
      <c r="B120" s="1387" t="s">
        <v>6662</v>
      </c>
      <c r="C120" s="1567"/>
      <c r="D120" s="1567"/>
      <c r="E120" s="1567"/>
      <c r="F120" s="1567"/>
      <c r="G120" s="1730"/>
      <c r="H120" s="1567"/>
    </row>
    <row r="121" spans="1:9" x14ac:dyDescent="0.3">
      <c r="B121" s="49" t="s">
        <v>6663</v>
      </c>
      <c r="C121" s="49"/>
      <c r="D121" s="49"/>
      <c r="E121" s="49"/>
      <c r="F121" s="49"/>
      <c r="G121" s="1371">
        <f>Solid_Sep_Design!L39</f>
        <v>1</v>
      </c>
      <c r="H121" s="49" t="s">
        <v>2442</v>
      </c>
    </row>
    <row r="122" spans="1:9" x14ac:dyDescent="0.3">
      <c r="B122" s="49" t="s">
        <v>6664</v>
      </c>
      <c r="C122" s="49"/>
      <c r="D122" s="49"/>
      <c r="E122" s="49"/>
      <c r="F122" s="49"/>
      <c r="G122" s="1371">
        <f>Solid_Sep_Design!L42</f>
        <v>2</v>
      </c>
      <c r="H122" s="49" t="s">
        <v>2442</v>
      </c>
    </row>
    <row r="123" spans="1:9" x14ac:dyDescent="0.3">
      <c r="B123" s="49" t="s">
        <v>6665</v>
      </c>
      <c r="C123" s="49"/>
      <c r="D123" s="49"/>
      <c r="E123" s="49"/>
      <c r="F123" s="49"/>
      <c r="G123" s="1371">
        <f>Solid_Sep_Design!L44</f>
        <v>1</v>
      </c>
      <c r="H123" s="49" t="s">
        <v>2442</v>
      </c>
    </row>
    <row r="124" spans="1:9" x14ac:dyDescent="0.3">
      <c r="B124" s="49" t="s">
        <v>6666</v>
      </c>
      <c r="C124" s="49"/>
      <c r="D124" s="49"/>
      <c r="E124" s="49"/>
      <c r="F124" s="49"/>
      <c r="G124" s="1428">
        <f>Solid_Sep_Design!L47</f>
        <v>20</v>
      </c>
      <c r="H124" s="49" t="s">
        <v>2340</v>
      </c>
    </row>
    <row r="125" spans="1:9" x14ac:dyDescent="0.3">
      <c r="B125" s="49" t="s">
        <v>6667</v>
      </c>
      <c r="C125" s="49"/>
      <c r="D125" s="49"/>
      <c r="E125" s="49"/>
      <c r="F125" s="49"/>
      <c r="G125" s="1605">
        <f>Solid_Sep_Design!L53</f>
        <v>4.0000000060800005</v>
      </c>
      <c r="H125" s="49" t="s">
        <v>2471</v>
      </c>
    </row>
    <row r="126" spans="1:9" x14ac:dyDescent="0.3">
      <c r="B126" s="49" t="s">
        <v>6668</v>
      </c>
      <c r="C126" s="1089" t="s">
        <v>5551</v>
      </c>
      <c r="D126" s="1089"/>
      <c r="E126" s="1089"/>
      <c r="F126" s="1089"/>
      <c r="G126" s="1364">
        <f>Solid_Sep_Design!L54</f>
        <v>65.62158865974483</v>
      </c>
      <c r="H126" s="49" t="s">
        <v>5809</v>
      </c>
    </row>
    <row r="127" spans="1:9" x14ac:dyDescent="0.3">
      <c r="B127" s="1387" t="s">
        <v>6669</v>
      </c>
      <c r="C127" s="1567"/>
      <c r="D127" s="1567"/>
      <c r="E127" s="1567"/>
      <c r="F127" s="1567"/>
      <c r="G127" s="1730"/>
      <c r="H127" s="1567"/>
    </row>
    <row r="128" spans="1:9" x14ac:dyDescent="0.3">
      <c r="B128" s="49" t="s">
        <v>6670</v>
      </c>
      <c r="C128" s="49"/>
      <c r="D128" s="49"/>
      <c r="E128" s="49"/>
      <c r="F128" s="49"/>
      <c r="G128" s="1605">
        <f>G22+G23+G24</f>
        <v>2.8937344524219841</v>
      </c>
      <c r="H128" s="49" t="s">
        <v>2521</v>
      </c>
    </row>
    <row r="129" spans="2:8" x14ac:dyDescent="0.3">
      <c r="B129" s="61" t="s">
        <v>6065</v>
      </c>
      <c r="C129" s="49"/>
      <c r="D129" s="9"/>
      <c r="E129" s="9"/>
      <c r="F129" s="1085"/>
      <c r="G129" s="1346">
        <f>UDV.front_end_loader.hp</f>
        <v>94</v>
      </c>
      <c r="H129" s="18" t="s">
        <v>5689</v>
      </c>
    </row>
    <row r="130" spans="2:8" x14ac:dyDescent="0.3">
      <c r="B130" s="49" t="s">
        <v>6066</v>
      </c>
      <c r="C130" s="49"/>
      <c r="D130" s="9"/>
      <c r="E130" s="9"/>
      <c r="F130" s="1085"/>
      <c r="G130" s="1424">
        <f>UDV.front_end_loader.bucket_capacity</f>
        <v>0.95569357499999996</v>
      </c>
      <c r="H130" s="95" t="s">
        <v>6067</v>
      </c>
    </row>
    <row r="131" spans="2:8" x14ac:dyDescent="0.3">
      <c r="B131" s="49" t="s">
        <v>6068</v>
      </c>
      <c r="C131" s="49"/>
      <c r="D131" s="9"/>
      <c r="E131" s="9"/>
      <c r="F131" s="1085"/>
      <c r="G131" s="1565">
        <f>UDV.front_end_loader.bucket_fill_rate</f>
        <v>0.9</v>
      </c>
      <c r="H131" s="95" t="s">
        <v>1694</v>
      </c>
    </row>
    <row r="132" spans="2:8" x14ac:dyDescent="0.3">
      <c r="B132" s="49" t="s">
        <v>6069</v>
      </c>
      <c r="C132" s="49"/>
      <c r="D132" s="9"/>
      <c r="E132" s="18"/>
      <c r="F132" s="1085"/>
      <c r="G132" s="1566">
        <f>UDV.tractor.fuel_efficiency</f>
        <v>4.3999999999999997E-2</v>
      </c>
      <c r="H132" s="95" t="s">
        <v>6070</v>
      </c>
    </row>
    <row r="133" spans="2:8" x14ac:dyDescent="0.3">
      <c r="B133" s="49" t="s">
        <v>6671</v>
      </c>
      <c r="C133" s="49"/>
      <c r="D133" s="9"/>
      <c r="E133" s="9"/>
      <c r="F133" s="1085"/>
      <c r="G133" s="1346">
        <f>UDV.compost.time_storage_to_compost</f>
        <v>2</v>
      </c>
      <c r="H133" s="95" t="s">
        <v>2453</v>
      </c>
    </row>
    <row r="134" spans="2:8" x14ac:dyDescent="0.3">
      <c r="B134" s="49" t="s">
        <v>6071</v>
      </c>
      <c r="C134" s="49"/>
      <c r="D134" s="9"/>
      <c r="E134" s="18"/>
      <c r="F134" s="1085"/>
      <c r="G134" s="1402">
        <f>G130*G131</f>
        <v>0.86012421750000001</v>
      </c>
      <c r="H134" s="18" t="s">
        <v>6067</v>
      </c>
    </row>
    <row r="135" spans="2:8" x14ac:dyDescent="0.3">
      <c r="B135" s="49" t="s">
        <v>6672</v>
      </c>
      <c r="C135" s="49"/>
      <c r="D135" s="9"/>
      <c r="E135" s="9"/>
      <c r="F135" s="1085"/>
      <c r="G135" s="1399">
        <f>G128/G134</f>
        <v>3.3643215637303969</v>
      </c>
      <c r="H135" s="95" t="s">
        <v>6073</v>
      </c>
    </row>
    <row r="136" spans="2:8" x14ac:dyDescent="0.3">
      <c r="B136" s="49" t="s">
        <v>6074</v>
      </c>
      <c r="C136" s="49"/>
      <c r="D136" s="9"/>
      <c r="E136" s="9"/>
      <c r="F136" s="1085"/>
      <c r="G136" s="1399">
        <f>G135*G133</f>
        <v>6.7286431274607938</v>
      </c>
      <c r="H136" s="95" t="s">
        <v>2453</v>
      </c>
    </row>
    <row r="137" spans="2:8" x14ac:dyDescent="0.3">
      <c r="B137" s="61" t="s">
        <v>6075</v>
      </c>
      <c r="C137" s="49"/>
      <c r="D137" s="9"/>
      <c r="E137" s="52"/>
      <c r="F137" s="1085"/>
      <c r="G137" s="1399">
        <f>G136/UC.hour_to_min</f>
        <v>0.11214405212434657</v>
      </c>
      <c r="H137" s="95" t="s">
        <v>6076</v>
      </c>
    </row>
    <row r="138" spans="2:8" x14ac:dyDescent="0.3">
      <c r="B138" s="61" t="s">
        <v>6077</v>
      </c>
      <c r="C138" s="1385" t="s">
        <v>6078</v>
      </c>
      <c r="D138" s="1385"/>
      <c r="E138" s="1075"/>
      <c r="F138" s="1563"/>
      <c r="G138" s="1399">
        <f>G129*G137*G132</f>
        <v>0.46382779958629738</v>
      </c>
      <c r="H138" s="18" t="s">
        <v>6079</v>
      </c>
    </row>
    <row r="139" spans="2:8" x14ac:dyDescent="0.3">
      <c r="B139" s="1387" t="s">
        <v>6673</v>
      </c>
      <c r="C139" s="1567"/>
      <c r="D139" s="1567"/>
      <c r="E139" s="1567"/>
      <c r="F139" s="1567"/>
      <c r="G139" s="1730"/>
      <c r="H139" s="1567"/>
    </row>
    <row r="140" spans="2:8" x14ac:dyDescent="0.3">
      <c r="B140" s="49" t="s">
        <v>6674</v>
      </c>
      <c r="C140" s="49"/>
      <c r="D140" s="49"/>
      <c r="E140" s="49"/>
      <c r="F140" s="49"/>
      <c r="G140" s="1359">
        <f>UDV.compost.volume_day0_to_screening</f>
        <v>0.85</v>
      </c>
      <c r="H140" s="49" t="s">
        <v>1694</v>
      </c>
    </row>
    <row r="141" spans="2:8" x14ac:dyDescent="0.3">
      <c r="B141" s="49" t="s">
        <v>6675</v>
      </c>
      <c r="C141" s="49"/>
      <c r="D141" s="49"/>
      <c r="E141" s="49"/>
      <c r="F141" s="49"/>
      <c r="G141" s="1361">
        <f>UDV.compost.screening_rate</f>
        <v>25</v>
      </c>
      <c r="H141" s="49" t="s">
        <v>2523</v>
      </c>
    </row>
    <row r="142" spans="2:8" x14ac:dyDescent="0.3">
      <c r="B142" s="49" t="s">
        <v>6676</v>
      </c>
      <c r="C142" s="49"/>
      <c r="D142" s="49"/>
      <c r="E142" s="49"/>
      <c r="F142" s="49"/>
      <c r="G142" s="1359">
        <f>UDV.compost.screening_fuel</f>
        <v>8</v>
      </c>
      <c r="H142" s="49" t="s">
        <v>2510</v>
      </c>
    </row>
    <row r="143" spans="2:8" x14ac:dyDescent="0.3">
      <c r="B143" s="49" t="s">
        <v>6677</v>
      </c>
      <c r="C143" s="49"/>
      <c r="D143" s="49"/>
      <c r="E143" s="49"/>
      <c r="F143" s="49"/>
      <c r="G143" s="1359">
        <f>UDV.compost.time_screen_to_storage</f>
        <v>2</v>
      </c>
      <c r="H143" s="49" t="s">
        <v>6678</v>
      </c>
    </row>
    <row r="144" spans="2:8" x14ac:dyDescent="0.3">
      <c r="B144" s="49" t="s">
        <v>6679</v>
      </c>
      <c r="C144" s="49"/>
      <c r="D144" s="49"/>
      <c r="E144" s="49"/>
      <c r="F144" s="49"/>
      <c r="G144" s="1209">
        <f>G25*G140</f>
        <v>4.9193485691173731</v>
      </c>
      <c r="H144" s="49" t="s">
        <v>2521</v>
      </c>
    </row>
    <row r="145" spans="2:8" x14ac:dyDescent="0.3">
      <c r="B145" s="49" t="s">
        <v>6680</v>
      </c>
      <c r="C145" s="49"/>
      <c r="D145" s="49"/>
      <c r="E145" s="49"/>
      <c r="F145" s="49"/>
      <c r="G145" s="1209">
        <f>G144/G134</f>
        <v>5.7193466583416752</v>
      </c>
      <c r="H145" s="49" t="s">
        <v>6073</v>
      </c>
    </row>
    <row r="146" spans="2:8" x14ac:dyDescent="0.3">
      <c r="B146" s="61" t="s">
        <v>6681</v>
      </c>
      <c r="C146" s="49"/>
      <c r="D146" s="49"/>
      <c r="E146" s="49"/>
      <c r="F146" s="49"/>
      <c r="G146" s="1209">
        <f>G143*G145*UC.min_to_hour</f>
        <v>0.19064488861138917</v>
      </c>
      <c r="H146" s="49" t="s">
        <v>2471</v>
      </c>
    </row>
    <row r="147" spans="2:8" x14ac:dyDescent="0.3">
      <c r="B147" s="61" t="s">
        <v>6682</v>
      </c>
      <c r="C147" s="1385" t="s">
        <v>6078</v>
      </c>
      <c r="D147" s="1089"/>
      <c r="E147" s="1089"/>
      <c r="F147" s="1089"/>
      <c r="G147" s="1209">
        <f>G129*G132*G146</f>
        <v>0.78850725929670562</v>
      </c>
      <c r="H147" s="49" t="s">
        <v>2520</v>
      </c>
    </row>
    <row r="148" spans="2:8" x14ac:dyDescent="0.3">
      <c r="B148" s="61" t="s">
        <v>6683</v>
      </c>
      <c r="C148" s="49"/>
      <c r="D148" s="49"/>
      <c r="E148" s="49"/>
      <c r="F148" s="49"/>
      <c r="G148" s="1360">
        <f>G144/G141</f>
        <v>0.19677394276469493</v>
      </c>
      <c r="H148" s="49" t="s">
        <v>2471</v>
      </c>
    </row>
    <row r="149" spans="2:8" x14ac:dyDescent="0.3">
      <c r="B149" s="61" t="s">
        <v>6684</v>
      </c>
      <c r="C149" s="1385" t="s">
        <v>6078</v>
      </c>
      <c r="D149" s="1089"/>
      <c r="E149" s="1089"/>
      <c r="F149" s="1089"/>
      <c r="G149" s="1360">
        <f>G142*G148</f>
        <v>1.5741915421175594</v>
      </c>
      <c r="H149" s="49" t="s">
        <v>2520</v>
      </c>
    </row>
    <row r="150" spans="2:8" x14ac:dyDescent="0.3">
      <c r="B150" s="1387" t="s">
        <v>6685</v>
      </c>
      <c r="C150" s="1567"/>
      <c r="D150" s="1567"/>
      <c r="E150" s="1567"/>
      <c r="F150" s="1567"/>
      <c r="G150" s="1730"/>
      <c r="H150" s="1567"/>
    </row>
    <row r="151" spans="2:8" x14ac:dyDescent="0.3">
      <c r="B151" s="49" t="s">
        <v>6686</v>
      </c>
      <c r="C151" s="49"/>
      <c r="D151" s="9"/>
      <c r="E151" s="9"/>
      <c r="F151" s="1085"/>
      <c r="G151" s="1378">
        <f>UDV.separated_solids.interval_land_application</f>
        <v>90</v>
      </c>
      <c r="H151" s="510" t="s">
        <v>5506</v>
      </c>
    </row>
    <row r="152" spans="2:8" x14ac:dyDescent="0.3">
      <c r="B152" s="49" t="s">
        <v>6687</v>
      </c>
      <c r="C152" s="49"/>
      <c r="D152" s="49"/>
      <c r="E152" s="49"/>
      <c r="F152" s="49"/>
      <c r="G152" s="1359">
        <f>UDV.compost.volume_day0_to_cured</f>
        <v>0.65</v>
      </c>
      <c r="H152" s="49" t="s">
        <v>1694</v>
      </c>
    </row>
    <row r="153" spans="2:8" x14ac:dyDescent="0.3">
      <c r="B153" s="49" t="s">
        <v>6688</v>
      </c>
      <c r="C153" s="49"/>
      <c r="D153" s="49"/>
      <c r="E153" s="49"/>
      <c r="F153" s="49"/>
      <c r="G153" s="1359">
        <f>UDV.compost.time_curing_to_spreader</f>
        <v>2</v>
      </c>
      <c r="H153" s="49" t="s">
        <v>6678</v>
      </c>
    </row>
    <row r="154" spans="2:8" x14ac:dyDescent="0.3">
      <c r="B154" s="49" t="s">
        <v>6689</v>
      </c>
      <c r="C154" s="49"/>
      <c r="D154" s="49"/>
      <c r="E154" s="49"/>
      <c r="F154" s="49"/>
      <c r="G154" s="1209">
        <f>G25*G152</f>
        <v>3.7618547881485793</v>
      </c>
      <c r="H154" s="49" t="s">
        <v>2521</v>
      </c>
    </row>
    <row r="155" spans="2:8" x14ac:dyDescent="0.3">
      <c r="B155" s="49" t="s">
        <v>6690</v>
      </c>
      <c r="C155" s="49"/>
      <c r="D155" s="49"/>
      <c r="E155" s="49"/>
      <c r="F155" s="49"/>
      <c r="G155" s="1209">
        <f>G154/G134</f>
        <v>4.3736180328495164</v>
      </c>
      <c r="H155" s="49" t="s">
        <v>6073</v>
      </c>
    </row>
    <row r="156" spans="2:8" x14ac:dyDescent="0.3">
      <c r="B156" s="49" t="s">
        <v>6691</v>
      </c>
      <c r="C156" s="49"/>
      <c r="D156" s="49"/>
      <c r="E156" s="49"/>
      <c r="F156" s="49"/>
      <c r="G156" s="1209">
        <f>G151*G153*G155*UC.min_to_hour</f>
        <v>13.120854098548548</v>
      </c>
      <c r="H156" s="49" t="s">
        <v>2462</v>
      </c>
    </row>
    <row r="157" spans="2:8" x14ac:dyDescent="0.3">
      <c r="B157" s="61" t="s">
        <v>6692</v>
      </c>
      <c r="C157" s="1385" t="s">
        <v>6078</v>
      </c>
      <c r="D157" s="1089"/>
      <c r="E157" s="1089"/>
      <c r="F157" s="1089"/>
      <c r="G157" s="1209">
        <f>G129*G132*G156</f>
        <v>54.267852551596796</v>
      </c>
      <c r="H157" s="49" t="s">
        <v>2489</v>
      </c>
    </row>
    <row r="158" spans="2:8" x14ac:dyDescent="0.3">
      <c r="B158" s="1507" t="s">
        <v>6693</v>
      </c>
      <c r="C158" s="1408"/>
      <c r="D158" s="1408"/>
      <c r="E158" s="1408"/>
      <c r="F158" s="1409"/>
      <c r="G158" s="1410"/>
      <c r="H158" s="1408"/>
    </row>
    <row r="159" spans="2:8" x14ac:dyDescent="0.3">
      <c r="B159" s="91" t="s">
        <v>6694</v>
      </c>
      <c r="C159" s="91"/>
      <c r="D159" s="52"/>
      <c r="E159" s="52"/>
      <c r="F159" s="1384"/>
      <c r="G159" s="1377">
        <f>G75/UC.ton_to_kg</f>
        <v>0.57408180015856591</v>
      </c>
      <c r="H159" s="510" t="s">
        <v>6656</v>
      </c>
    </row>
    <row r="160" spans="2:8" x14ac:dyDescent="0.3">
      <c r="B160" s="91" t="s">
        <v>6695</v>
      </c>
      <c r="C160" s="91"/>
      <c r="D160" s="52"/>
      <c r="E160" s="52"/>
      <c r="F160" s="1384"/>
      <c r="G160" s="1377">
        <f>G159*UC.year_to_day</f>
        <v>209.53985705787656</v>
      </c>
      <c r="H160" s="510" t="s">
        <v>6026</v>
      </c>
    </row>
    <row r="161" spans="2:8" x14ac:dyDescent="0.3">
      <c r="B161" s="49" t="s">
        <v>6090</v>
      </c>
      <c r="C161" s="49"/>
      <c r="D161" s="52"/>
      <c r="E161" s="52"/>
      <c r="F161" s="48"/>
      <c r="G161" s="1346">
        <f>UDV.anaer_lagoon.sludge_time</f>
        <v>10</v>
      </c>
      <c r="H161" s="18" t="s">
        <v>2454</v>
      </c>
    </row>
    <row r="162" spans="2:8" x14ac:dyDescent="0.3">
      <c r="B162" s="49" t="s">
        <v>6686</v>
      </c>
      <c r="C162" s="49"/>
      <c r="D162" s="9"/>
      <c r="E162" s="9"/>
      <c r="F162" s="1085"/>
      <c r="G162" s="1378">
        <f>UDV.separated_solids.interval_land_application</f>
        <v>90</v>
      </c>
      <c r="H162" s="510" t="s">
        <v>5506</v>
      </c>
    </row>
    <row r="163" spans="2:8" x14ac:dyDescent="0.3">
      <c r="B163" s="1454" t="s">
        <v>5333</v>
      </c>
      <c r="C163" s="510"/>
      <c r="D163" s="510"/>
      <c r="E163" s="510"/>
      <c r="F163" s="1384"/>
      <c r="G163" s="1450">
        <f>UDV.crops.N_avail</f>
        <v>0.95</v>
      </c>
      <c r="H163" s="510" t="s">
        <v>1694</v>
      </c>
    </row>
    <row r="164" spans="2:8" x14ac:dyDescent="0.3">
      <c r="B164" s="1454" t="s">
        <v>5337</v>
      </c>
      <c r="C164" s="91"/>
      <c r="D164" s="52"/>
      <c r="E164" s="510"/>
      <c r="F164" s="1384"/>
      <c r="G164" s="1450">
        <f>UDV.crops.P_avail</f>
        <v>0.95</v>
      </c>
      <c r="H164" s="510" t="s">
        <v>1694</v>
      </c>
    </row>
    <row r="165" spans="2:8" x14ac:dyDescent="0.3">
      <c r="B165" s="1454" t="s">
        <v>5339</v>
      </c>
      <c r="C165" s="510"/>
      <c r="D165" s="510"/>
      <c r="E165" s="510"/>
      <c r="F165" s="1384"/>
      <c r="G165" s="1450">
        <f>UDV.crops.K_avail</f>
        <v>1</v>
      </c>
      <c r="H165" s="510" t="s">
        <v>1694</v>
      </c>
    </row>
    <row r="166" spans="2:8" x14ac:dyDescent="0.3">
      <c r="B166" s="1454" t="s">
        <v>5345</v>
      </c>
      <c r="C166" s="510"/>
      <c r="D166" s="510"/>
      <c r="E166" s="510"/>
      <c r="F166" s="1384"/>
      <c r="G166" s="1450">
        <f>UDV.crops.N_need</f>
        <v>195</v>
      </c>
      <c r="H166" s="510" t="s">
        <v>5576</v>
      </c>
    </row>
    <row r="167" spans="2:8" x14ac:dyDescent="0.3">
      <c r="B167" s="1454" t="s">
        <v>5354</v>
      </c>
      <c r="C167" s="510"/>
      <c r="D167" s="510"/>
      <c r="E167" s="510"/>
      <c r="F167" s="1384"/>
      <c r="G167" s="1450">
        <f>UDV.crops.P_need</f>
        <v>55</v>
      </c>
      <c r="H167" s="510" t="s">
        <v>5576</v>
      </c>
    </row>
    <row r="168" spans="2:8" x14ac:dyDescent="0.3">
      <c r="B168" s="1454" t="s">
        <v>5356</v>
      </c>
      <c r="C168" s="1456" t="s">
        <v>6091</v>
      </c>
      <c r="D168" s="510"/>
      <c r="E168" s="510"/>
      <c r="F168" s="1384"/>
      <c r="G168" s="1450">
        <f>UDV.crops.K_need</f>
        <v>90</v>
      </c>
      <c r="H168" s="510" t="s">
        <v>5576</v>
      </c>
    </row>
    <row r="169" spans="2:8" x14ac:dyDescent="0.3">
      <c r="B169" s="1454" t="s">
        <v>6092</v>
      </c>
      <c r="C169" s="1396">
        <f>G160*G169*UC.lb_to_kg/UDV.animal.total</f>
        <v>4.8645764809032244</v>
      </c>
      <c r="D169" s="52"/>
      <c r="E169" s="52"/>
      <c r="F169" s="1384"/>
      <c r="G169" s="1463">
        <f>G72*UC.kg_to_lb/G159</f>
        <v>25.590728888292215</v>
      </c>
      <c r="H169" s="510" t="s">
        <v>4892</v>
      </c>
    </row>
    <row r="170" spans="2:8" x14ac:dyDescent="0.3">
      <c r="B170" s="1454" t="s">
        <v>6093</v>
      </c>
      <c r="C170" s="1396">
        <f>G160*G170*UC.lb_to_kg/UDV.animal.total</f>
        <v>7.1130792356163557</v>
      </c>
      <c r="D170" s="52"/>
      <c r="E170" s="52"/>
      <c r="F170" s="1384"/>
      <c r="G170" s="1463">
        <f>G73*UC.kg_to_lb/G159</f>
        <v>37.419266198031075</v>
      </c>
      <c r="H170" s="510" t="s">
        <v>4892</v>
      </c>
    </row>
    <row r="171" spans="2:8" x14ac:dyDescent="0.3">
      <c r="B171" s="1454" t="s">
        <v>6094</v>
      </c>
      <c r="C171" s="1396">
        <f>G160*G171*UC.lb_to_kg/UDV.animal.total</f>
        <v>8.8231643413698126</v>
      </c>
      <c r="D171" s="52"/>
      <c r="E171" s="52"/>
      <c r="F171" s="1384"/>
      <c r="G171" s="1463">
        <f>G74*UC.kg_to_lb/G159</f>
        <v>46.415388365919725</v>
      </c>
      <c r="H171" s="510" t="s">
        <v>4892</v>
      </c>
    </row>
    <row r="172" spans="2:8" x14ac:dyDescent="0.3">
      <c r="B172" s="1454" t="s">
        <v>5344</v>
      </c>
      <c r="C172" s="91"/>
      <c r="D172" s="52"/>
      <c r="E172" s="52"/>
      <c r="F172" s="1384"/>
      <c r="G172" s="1395">
        <f>G163*G169</f>
        <v>24.311192443877605</v>
      </c>
      <c r="H172" s="510" t="s">
        <v>4892</v>
      </c>
    </row>
    <row r="173" spans="2:8" x14ac:dyDescent="0.3">
      <c r="B173" s="1454" t="s">
        <v>5347</v>
      </c>
      <c r="C173" s="91"/>
      <c r="D173" s="52"/>
      <c r="E173" s="52"/>
      <c r="F173" s="1384"/>
      <c r="G173" s="1395">
        <f>G164*G170</f>
        <v>35.54830288812952</v>
      </c>
      <c r="H173" s="510" t="s">
        <v>4892</v>
      </c>
    </row>
    <row r="174" spans="2:8" x14ac:dyDescent="0.3">
      <c r="B174" s="1454" t="s">
        <v>5349</v>
      </c>
      <c r="C174" s="91"/>
      <c r="D174" s="52"/>
      <c r="E174" s="52"/>
      <c r="F174" s="1384"/>
      <c r="G174" s="1395">
        <f>G165*G171</f>
        <v>46.415388365919725</v>
      </c>
      <c r="H174" s="510" t="s">
        <v>4892</v>
      </c>
    </row>
    <row r="175" spans="2:8" x14ac:dyDescent="0.3">
      <c r="B175" s="1454" t="s">
        <v>5351</v>
      </c>
      <c r="C175" s="91"/>
      <c r="D175" s="52"/>
      <c r="E175" s="52"/>
      <c r="F175" s="1384"/>
      <c r="G175" s="1395">
        <f>G166/G172</f>
        <v>8.0209969317694956</v>
      </c>
      <c r="H175" s="510" t="s">
        <v>6095</v>
      </c>
    </row>
    <row r="176" spans="2:8" x14ac:dyDescent="0.3">
      <c r="B176" s="1454" t="s">
        <v>5353</v>
      </c>
      <c r="C176" s="91"/>
      <c r="D176" s="52"/>
      <c r="E176" s="52"/>
      <c r="F176" s="1384"/>
      <c r="G176" s="1395">
        <f>G167/G173</f>
        <v>1.5471905979051928</v>
      </c>
      <c r="H176" s="510" t="s">
        <v>6095</v>
      </c>
    </row>
    <row r="177" spans="2:8" x14ac:dyDescent="0.3">
      <c r="B177" s="1454" t="s">
        <v>5355</v>
      </c>
      <c r="C177" s="91"/>
      <c r="D177" s="52"/>
      <c r="E177" s="52"/>
      <c r="F177" s="1384"/>
      <c r="G177" s="1395">
        <f>G168/G174</f>
        <v>1.9390121071588851</v>
      </c>
      <c r="H177" s="510" t="s">
        <v>6095</v>
      </c>
    </row>
    <row r="178" spans="2:8" x14ac:dyDescent="0.3">
      <c r="B178" s="1454" t="s">
        <v>5343</v>
      </c>
      <c r="C178" s="91"/>
      <c r="D178" s="52"/>
      <c r="E178" s="52"/>
      <c r="F178" s="1384"/>
      <c r="G178" s="1450" t="str">
        <f>UDV.crops.apply_for</f>
        <v>N</v>
      </c>
      <c r="H178" s="510" t="s">
        <v>5579</v>
      </c>
    </row>
    <row r="179" spans="2:8" x14ac:dyDescent="0.3">
      <c r="B179" s="1454" t="s">
        <v>5357</v>
      </c>
      <c r="C179" s="91"/>
      <c r="D179" s="52"/>
      <c r="E179" s="52"/>
      <c r="F179" s="1384"/>
      <c r="G179" s="1380">
        <f>IF(G178="N",G175,IF(G178="P",G176,G177))</f>
        <v>8.0209969317694956</v>
      </c>
      <c r="H179" s="510" t="s">
        <v>6095</v>
      </c>
    </row>
    <row r="180" spans="2:8" x14ac:dyDescent="0.3">
      <c r="B180" s="1454" t="s">
        <v>5360</v>
      </c>
      <c r="C180" s="91"/>
      <c r="D180" s="52"/>
      <c r="E180" s="52"/>
      <c r="F180" s="1384"/>
      <c r="G180" s="1395">
        <f>G172*G179</f>
        <v>195.00000000000003</v>
      </c>
      <c r="H180" s="510" t="s">
        <v>6096</v>
      </c>
    </row>
    <row r="181" spans="2:8" x14ac:dyDescent="0.3">
      <c r="B181" s="1454" t="s">
        <v>5363</v>
      </c>
      <c r="C181" s="91"/>
      <c r="D181" s="52"/>
      <c r="E181" s="52"/>
      <c r="F181" s="1384"/>
      <c r="G181" s="1395">
        <f>G173*G179</f>
        <v>285.13282839529955</v>
      </c>
      <c r="H181" s="510" t="s">
        <v>6096</v>
      </c>
    </row>
    <row r="182" spans="2:8" x14ac:dyDescent="0.3">
      <c r="B182" s="1454" t="s">
        <v>5365</v>
      </c>
      <c r="C182" s="1456" t="s">
        <v>6097</v>
      </c>
      <c r="D182" s="1381"/>
      <c r="E182" s="1381"/>
      <c r="F182" s="1384"/>
      <c r="G182" s="1395">
        <f>G174*G179</f>
        <v>372.29768766993163</v>
      </c>
      <c r="H182" s="510" t="s">
        <v>6096</v>
      </c>
    </row>
    <row r="183" spans="2:8" x14ac:dyDescent="0.3">
      <c r="B183" s="1650" t="s">
        <v>5381</v>
      </c>
      <c r="C183" s="496">
        <f>MAX(G183,0)*F191*(UDV.anaer_lagoon.sludge_time-1)*UC.lb_to_kg/UDV.animal.total</f>
        <v>0</v>
      </c>
      <c r="D183" s="52">
        <f>MAX(G183,0)*G191*UC.lb_to_kg/UDV.animal.total</f>
        <v>0</v>
      </c>
      <c r="E183" s="1386">
        <f>(C183+D183)/UDV.anaer_lagoon.sludge_time</f>
        <v>0</v>
      </c>
      <c r="F183" s="1384"/>
      <c r="G183" s="1395">
        <f>G180-G166</f>
        <v>0</v>
      </c>
      <c r="H183" s="1503" t="s">
        <v>5361</v>
      </c>
    </row>
    <row r="184" spans="2:8" x14ac:dyDescent="0.3">
      <c r="B184" s="1650" t="s">
        <v>5382</v>
      </c>
      <c r="C184" s="496">
        <f>MAX(G184,0)*F191*(UDV.anaer_lagoon.sludge_time-1)*UC.lb_to_kg/UDV.animal.total</f>
        <v>49.085714181726289</v>
      </c>
      <c r="D184" s="52">
        <f>MAX(G184,0)*G191*UC.lb_to_kg/UDV.animal.total</f>
        <v>5.4539682424140317</v>
      </c>
      <c r="E184" s="1386">
        <f>(C184+D184)/UDV.anaer_lagoon.sludge_time</f>
        <v>5.4539682424140326</v>
      </c>
      <c r="F184" s="1384"/>
      <c r="G184" s="1395">
        <f>G181-G167</f>
        <v>230.13282839529955</v>
      </c>
      <c r="H184" s="1503" t="s">
        <v>5361</v>
      </c>
    </row>
    <row r="185" spans="2:8" x14ac:dyDescent="0.3">
      <c r="B185" s="1650" t="s">
        <v>5383</v>
      </c>
      <c r="C185" s="496">
        <f>MAX(G185,0)*F191*(UDV.anaer_lagoon.sludge_time-1)*UC.lb_to_kg/UDV.animal.total</f>
        <v>60.212111882302509</v>
      </c>
      <c r="D185" s="52">
        <f>MAX(G185,0)*G191*UC.lb_to_kg/UDV.animal.total</f>
        <v>6.6902346535891688</v>
      </c>
      <c r="E185" s="1386">
        <f>(C185+D185)/UDV.anaer_lagoon.sludge_time</f>
        <v>6.6902346535891679</v>
      </c>
      <c r="F185" s="1384"/>
      <c r="G185" s="1395">
        <f>G182-G168</f>
        <v>282.29768766993163</v>
      </c>
      <c r="H185" s="1503" t="s">
        <v>5361</v>
      </c>
    </row>
    <row r="186" spans="2:8" x14ac:dyDescent="0.3">
      <c r="B186" s="1454" t="s">
        <v>6098</v>
      </c>
      <c r="C186" s="91"/>
      <c r="D186" s="52"/>
      <c r="E186" s="52"/>
      <c r="F186" s="1384"/>
      <c r="G186" s="1380">
        <f>G160/G179</f>
        <v>26.123916869726369</v>
      </c>
      <c r="H186" s="510" t="s">
        <v>4874</v>
      </c>
    </row>
    <row r="187" spans="2:8" x14ac:dyDescent="0.3">
      <c r="B187" s="1454" t="s">
        <v>6099</v>
      </c>
      <c r="C187" s="91"/>
      <c r="D187" s="52"/>
      <c r="E187" s="52"/>
      <c r="F187" s="1384"/>
      <c r="G187" s="1378">
        <f>UDV.crops.acres_available</f>
        <v>100</v>
      </c>
      <c r="H187" s="510" t="s">
        <v>4874</v>
      </c>
    </row>
    <row r="188" spans="2:8" x14ac:dyDescent="0.3">
      <c r="B188" s="1507" t="s">
        <v>6100</v>
      </c>
      <c r="C188" s="1502"/>
      <c r="D188" s="1502"/>
      <c r="E188" s="1502"/>
      <c r="F188" s="1383" t="s">
        <v>6101</v>
      </c>
      <c r="G188" s="1383" t="s">
        <v>6102</v>
      </c>
      <c r="H188" s="1375"/>
    </row>
    <row r="189" spans="2:8" x14ac:dyDescent="0.3">
      <c r="B189" s="1454" t="s">
        <v>6103</v>
      </c>
      <c r="C189" s="91"/>
      <c r="D189" s="1651" t="s">
        <v>6104</v>
      </c>
      <c r="E189" s="1651" t="s">
        <v>6105</v>
      </c>
      <c r="F189" s="1532">
        <v>0</v>
      </c>
      <c r="G189" s="1532">
        <v>0</v>
      </c>
      <c r="H189" s="510" t="s">
        <v>4874</v>
      </c>
    </row>
    <row r="190" spans="2:8" x14ac:dyDescent="0.3">
      <c r="B190" s="1454" t="s">
        <v>6106</v>
      </c>
      <c r="C190" s="1456" t="s">
        <v>5583</v>
      </c>
      <c r="D190" s="1456"/>
      <c r="E190" s="52"/>
      <c r="F190" s="1379">
        <f>G187-F189</f>
        <v>100</v>
      </c>
      <c r="G190" s="1379">
        <f>G187-F189-G189</f>
        <v>100</v>
      </c>
      <c r="H190" s="510" t="s">
        <v>4874</v>
      </c>
    </row>
    <row r="191" spans="2:8" x14ac:dyDescent="0.3">
      <c r="B191" s="1454" t="s">
        <v>6107</v>
      </c>
      <c r="C191" s="1652">
        <f>F191*UC.acre_to_m2</f>
        <v>105719.74069979847</v>
      </c>
      <c r="D191" s="1652">
        <f>G191*UC.acre_to_m2/G161</f>
        <v>10571.974069979846</v>
      </c>
      <c r="E191" s="52"/>
      <c r="F191" s="1395">
        <f>MIN(G186,F190)</f>
        <v>26.123916869726369</v>
      </c>
      <c r="G191" s="1395">
        <f>MIN(G186,G190)</f>
        <v>26.123916869726369</v>
      </c>
      <c r="H191" s="510" t="s">
        <v>4874</v>
      </c>
    </row>
    <row r="192" spans="2:8" x14ac:dyDescent="0.3">
      <c r="B192" s="1454" t="s">
        <v>6108</v>
      </c>
      <c r="C192" s="1385" t="s">
        <v>6109</v>
      </c>
      <c r="D192" s="1519">
        <f>C191+D191</f>
        <v>116291.71476977831</v>
      </c>
      <c r="E192" s="52"/>
      <c r="F192" s="1653">
        <f>IF(G186=0,0,F191/G186)</f>
        <v>1</v>
      </c>
      <c r="G192" s="1653">
        <f>IF(G186=0,0,G191/G186)</f>
        <v>1</v>
      </c>
      <c r="H192" s="510" t="s">
        <v>6110</v>
      </c>
    </row>
    <row r="193" spans="2:8" x14ac:dyDescent="0.3">
      <c r="B193" s="1454" t="s">
        <v>6111</v>
      </c>
      <c r="C193" s="91"/>
      <c r="D193" s="52"/>
      <c r="E193" s="52"/>
      <c r="F193" s="1654">
        <f>1-F192</f>
        <v>0</v>
      </c>
      <c r="G193" s="1654">
        <f>1-G192</f>
        <v>0</v>
      </c>
      <c r="H193" s="510" t="s">
        <v>6110</v>
      </c>
    </row>
    <row r="194" spans="2:8" x14ac:dyDescent="0.3">
      <c r="B194" s="1453" t="s">
        <v>6112</v>
      </c>
      <c r="C194" s="91"/>
      <c r="D194" s="52"/>
      <c r="E194" s="52"/>
      <c r="F194" s="1395">
        <f>F193*G160</f>
        <v>0</v>
      </c>
      <c r="G194" s="1395">
        <f>G193*G160</f>
        <v>0</v>
      </c>
      <c r="H194" s="510" t="s">
        <v>6026</v>
      </c>
    </row>
    <row r="195" spans="2:8" x14ac:dyDescent="0.3">
      <c r="B195" s="1507" t="s">
        <v>6113</v>
      </c>
      <c r="C195" s="1508"/>
      <c r="D195" s="1407"/>
      <c r="E195" s="1408"/>
      <c r="F195" s="1409"/>
      <c r="G195" s="1410"/>
      <c r="H195" s="1408"/>
    </row>
    <row r="196" spans="2:8" x14ac:dyDescent="0.3">
      <c r="B196" s="91" t="s">
        <v>6114</v>
      </c>
      <c r="C196" s="91"/>
      <c r="D196" s="52"/>
      <c r="E196" s="52"/>
      <c r="F196" s="1384"/>
      <c r="G196" s="1357">
        <f>G154*G162</f>
        <v>338.56693093337213</v>
      </c>
      <c r="H196" s="510" t="s">
        <v>5910</v>
      </c>
    </row>
    <row r="197" spans="2:8" x14ac:dyDescent="0.3">
      <c r="B197" s="510" t="s">
        <v>6115</v>
      </c>
      <c r="C197" s="91"/>
      <c r="D197" s="91"/>
      <c r="E197" s="52"/>
      <c r="F197" s="1384"/>
      <c r="G197" s="1378">
        <f>UDV.box_spreader.hp</f>
        <v>85</v>
      </c>
      <c r="H197" s="510" t="s">
        <v>5689</v>
      </c>
    </row>
    <row r="198" spans="2:8" x14ac:dyDescent="0.3">
      <c r="B198" s="510" t="s">
        <v>6116</v>
      </c>
      <c r="C198" s="91"/>
      <c r="D198" s="91"/>
      <c r="E198" s="52"/>
      <c r="F198" s="1384"/>
      <c r="G198" s="1414">
        <f>UDV.box_spreader.capacity/UC.m3_to_bushel</f>
        <v>13.038455942632739</v>
      </c>
      <c r="H198" s="510" t="s">
        <v>2478</v>
      </c>
    </row>
    <row r="199" spans="2:8" x14ac:dyDescent="0.3">
      <c r="B199" s="510" t="s">
        <v>977</v>
      </c>
      <c r="C199" s="91"/>
      <c r="D199" s="91"/>
      <c r="E199" s="52"/>
      <c r="F199" s="1384"/>
      <c r="G199" s="1378">
        <f>UDV.box_spreader.time_spreader_to_field</f>
        <v>10</v>
      </c>
      <c r="H199" s="1353" t="s">
        <v>6117</v>
      </c>
    </row>
    <row r="200" spans="2:8" x14ac:dyDescent="0.3">
      <c r="B200" s="91" t="s">
        <v>6069</v>
      </c>
      <c r="C200" s="91"/>
      <c r="D200" s="52"/>
      <c r="E200" s="52"/>
      <c r="F200" s="1384"/>
      <c r="G200" s="1378">
        <f>UDV.tractor.fuel_efficiency</f>
        <v>4.3999999999999997E-2</v>
      </c>
      <c r="H200" s="510" t="s">
        <v>6070</v>
      </c>
    </row>
    <row r="201" spans="2:8" x14ac:dyDescent="0.3">
      <c r="B201" s="510" t="s">
        <v>6054</v>
      </c>
      <c r="C201" s="49"/>
      <c r="D201" s="52"/>
      <c r="E201" s="52"/>
      <c r="F201" s="1402">
        <f>UC.year_to_day/G162</f>
        <v>4.0555555555555554</v>
      </c>
      <c r="G201" s="1655">
        <f>UC.year_to_day/G162</f>
        <v>4.0555555555555554</v>
      </c>
      <c r="H201" s="18" t="s">
        <v>2321</v>
      </c>
    </row>
    <row r="202" spans="2:8" x14ac:dyDescent="0.3">
      <c r="B202" s="1454" t="s">
        <v>6118</v>
      </c>
      <c r="C202" s="91"/>
      <c r="D202" s="52"/>
      <c r="E202" s="52"/>
      <c r="F202" s="1395">
        <f>F192*G196</f>
        <v>338.56693093337213</v>
      </c>
      <c r="G202" s="1395">
        <f>G192*G196</f>
        <v>338.56693093337213</v>
      </c>
      <c r="H202" s="510" t="s">
        <v>5910</v>
      </c>
    </row>
    <row r="203" spans="2:8" x14ac:dyDescent="0.3">
      <c r="B203" s="510" t="s">
        <v>6119</v>
      </c>
      <c r="C203" s="91"/>
      <c r="D203" s="91"/>
      <c r="E203" s="52"/>
      <c r="F203" s="1395">
        <f>F202/G198</f>
        <v>25.966796407720064</v>
      </c>
      <c r="G203" s="1395">
        <f>G202/G198</f>
        <v>25.966796407720064</v>
      </c>
      <c r="H203" s="510" t="s">
        <v>6120</v>
      </c>
    </row>
    <row r="204" spans="2:8" x14ac:dyDescent="0.3">
      <c r="B204" s="91" t="s">
        <v>6121</v>
      </c>
      <c r="C204" s="1385" t="s">
        <v>6122</v>
      </c>
      <c r="D204" s="1385"/>
      <c r="E204" s="1381" t="s">
        <v>4846</v>
      </c>
      <c r="F204" s="1380">
        <f>F203*G199/60</f>
        <v>4.3277994012866774</v>
      </c>
      <c r="G204" s="1380">
        <f>G203*G199/60</f>
        <v>4.3277994012866774</v>
      </c>
      <c r="H204" s="1353" t="s">
        <v>2462</v>
      </c>
    </row>
    <row r="205" spans="2:8" x14ac:dyDescent="0.3">
      <c r="B205" s="91" t="s">
        <v>6123</v>
      </c>
      <c r="C205" s="1656">
        <f>F201*F205/UDV.animal.total</f>
        <v>0.13128619917103207</v>
      </c>
      <c r="D205" s="1656">
        <f>G205*G201/UDV.animal.total/G161</f>
        <v>1.3128619917103207E-2</v>
      </c>
      <c r="E205" s="1657">
        <f>C205+D205</f>
        <v>0.14441481908813528</v>
      </c>
      <c r="F205" s="1380">
        <f>G197*F204*UDV.tractor.fuel_efficiency</f>
        <v>16.185969760812174</v>
      </c>
      <c r="G205" s="1380">
        <f>G197*G204*UDV.tractor.fuel_efficiency</f>
        <v>16.185969760812174</v>
      </c>
      <c r="H205" s="510" t="s">
        <v>6087</v>
      </c>
    </row>
    <row r="206" spans="2:8" x14ac:dyDescent="0.3">
      <c r="B206" s="1376" t="s">
        <v>6124</v>
      </c>
      <c r="C206" s="1658"/>
      <c r="D206" s="1658"/>
      <c r="E206" s="654"/>
      <c r="F206" s="1380"/>
      <c r="G206" s="1380">
        <f>(((UDV.anaer_lagoon.sludge_time-1)*F204)+G204)/UDV.anaer_lagoon.sludge_time</f>
        <v>4.3277994012866774</v>
      </c>
      <c r="H206" s="510" t="s">
        <v>2462</v>
      </c>
    </row>
    <row r="207" spans="2:8" x14ac:dyDescent="0.3">
      <c r="B207" s="1376" t="s">
        <v>6125</v>
      </c>
      <c r="C207" s="1658"/>
      <c r="D207" s="1658"/>
      <c r="E207" s="654"/>
      <c r="F207" s="1380"/>
      <c r="G207" s="1380">
        <f>(((UDV.anaer_lagoon.sludge_time-1)*F205)+G205)/UDV.anaer_lagoon.sludge_time</f>
        <v>16.185969760812178</v>
      </c>
      <c r="H207" s="510" t="s">
        <v>6087</v>
      </c>
    </row>
    <row r="208" spans="2:8" x14ac:dyDescent="0.3">
      <c r="B208" s="1507" t="s">
        <v>5593</v>
      </c>
      <c r="C208" s="1502"/>
      <c r="D208" s="1502"/>
      <c r="E208" s="1502"/>
      <c r="F208" s="1383" t="s">
        <v>6101</v>
      </c>
      <c r="G208" s="1383" t="s">
        <v>6102</v>
      </c>
      <c r="H208" s="1501"/>
    </row>
    <row r="209" spans="2:8" x14ac:dyDescent="0.3">
      <c r="B209" s="1449" t="s">
        <v>5372</v>
      </c>
      <c r="C209" s="18"/>
      <c r="D209" s="510"/>
      <c r="E209" s="510"/>
      <c r="F209" s="1403"/>
      <c r="G209" s="1462">
        <f>UDV.econ_fertilizer.N</f>
        <v>0.53</v>
      </c>
      <c r="H209" s="1449" t="s">
        <v>2299</v>
      </c>
    </row>
    <row r="210" spans="2:8" x14ac:dyDescent="0.3">
      <c r="B210" s="1449" t="s">
        <v>5373</v>
      </c>
      <c r="C210" s="18"/>
      <c r="D210" s="510"/>
      <c r="E210" s="510"/>
      <c r="F210" s="1403"/>
      <c r="G210" s="1462">
        <f>UDV.econ_fertilizer.P2O5</f>
        <v>0.53</v>
      </c>
      <c r="H210" s="1449" t="s">
        <v>2299</v>
      </c>
    </row>
    <row r="211" spans="2:8" x14ac:dyDescent="0.3">
      <c r="B211" s="1449" t="s">
        <v>5374</v>
      </c>
      <c r="C211" s="18"/>
      <c r="D211" s="510"/>
      <c r="E211" s="510"/>
      <c r="F211" s="1403"/>
      <c r="G211" s="1462">
        <f>UDV.econ_fertilizer.K2O</f>
        <v>0.45</v>
      </c>
      <c r="H211" s="1449" t="s">
        <v>2299</v>
      </c>
    </row>
    <row r="212" spans="2:8" x14ac:dyDescent="0.3">
      <c r="B212" s="1454" t="s">
        <v>5366</v>
      </c>
      <c r="C212" s="510"/>
      <c r="D212" s="510"/>
      <c r="E212" s="510"/>
      <c r="F212" s="48"/>
      <c r="G212" s="1395">
        <f>IF(G166&lt;G180,G166,G180)</f>
        <v>195.00000000000003</v>
      </c>
      <c r="H212" s="1455" t="s">
        <v>5361</v>
      </c>
    </row>
    <row r="213" spans="2:8" x14ac:dyDescent="0.3">
      <c r="B213" s="1454" t="s">
        <v>5368</v>
      </c>
      <c r="C213" s="510"/>
      <c r="D213" s="510"/>
      <c r="E213" s="510"/>
      <c r="F213" s="48"/>
      <c r="G213" s="1395">
        <f>IF(G167&lt;G181,G167,G181)</f>
        <v>55</v>
      </c>
      <c r="H213" s="1455" t="s">
        <v>5361</v>
      </c>
    </row>
    <row r="214" spans="2:8" x14ac:dyDescent="0.3">
      <c r="B214" s="1454" t="s">
        <v>5370</v>
      </c>
      <c r="C214" s="510"/>
      <c r="D214" s="510"/>
      <c r="E214" s="510"/>
      <c r="F214" s="48"/>
      <c r="G214" s="1395">
        <f>IF(G168&lt;G182,G168,G182)</f>
        <v>90</v>
      </c>
      <c r="H214" s="1455" t="s">
        <v>5361</v>
      </c>
    </row>
    <row r="215" spans="2:8" x14ac:dyDescent="0.3">
      <c r="B215" s="1449" t="s">
        <v>5375</v>
      </c>
      <c r="C215" s="1658"/>
      <c r="D215" s="1658"/>
      <c r="E215" s="654"/>
      <c r="F215" s="1380"/>
      <c r="G215" s="1380">
        <f>G209*G212</f>
        <v>103.35000000000002</v>
      </c>
      <c r="H215" s="1449" t="s">
        <v>5376</v>
      </c>
    </row>
    <row r="216" spans="2:8" x14ac:dyDescent="0.3">
      <c r="B216" s="1449" t="s">
        <v>5377</v>
      </c>
      <c r="C216" s="1658"/>
      <c r="D216" s="1658"/>
      <c r="E216" s="654"/>
      <c r="F216" s="1380"/>
      <c r="G216" s="1380">
        <f>G210*G213</f>
        <v>29.150000000000002</v>
      </c>
      <c r="H216" s="1449" t="s">
        <v>5376</v>
      </c>
    </row>
    <row r="217" spans="2:8" x14ac:dyDescent="0.3">
      <c r="B217" s="1449" t="s">
        <v>5378</v>
      </c>
      <c r="C217" s="1658"/>
      <c r="D217" s="1658"/>
      <c r="E217" s="654"/>
      <c r="F217" s="1380"/>
      <c r="G217" s="1380">
        <f>G211*G214</f>
        <v>40.5</v>
      </c>
      <c r="H217" s="1449" t="s">
        <v>5376</v>
      </c>
    </row>
    <row r="218" spans="2:8" x14ac:dyDescent="0.3">
      <c r="B218" s="1449" t="s">
        <v>5379</v>
      </c>
      <c r="C218" s="1658"/>
      <c r="D218" s="1658"/>
      <c r="E218" s="654"/>
      <c r="F218" s="1380"/>
      <c r="G218" s="1380">
        <f>SUM(G215:G217)</f>
        <v>173.00000000000003</v>
      </c>
      <c r="H218" s="1449" t="s">
        <v>5376</v>
      </c>
    </row>
    <row r="219" spans="2:8" x14ac:dyDescent="0.3">
      <c r="B219" s="1449" t="s">
        <v>6126</v>
      </c>
      <c r="C219" s="1658"/>
      <c r="D219" s="1658"/>
      <c r="E219" s="654"/>
      <c r="F219" s="1380"/>
      <c r="G219" s="1380">
        <f>G218/G179</f>
        <v>21.568391245081159</v>
      </c>
      <c r="H219" s="1449" t="s">
        <v>6127</v>
      </c>
    </row>
    <row r="220" spans="2:8" x14ac:dyDescent="0.3">
      <c r="B220" s="1449" t="s">
        <v>6696</v>
      </c>
      <c r="C220" s="1658"/>
      <c r="D220" s="1658"/>
      <c r="E220" s="654"/>
      <c r="F220" s="1380">
        <f>G179*F190</f>
        <v>802.09969317694959</v>
      </c>
      <c r="G220" s="1380">
        <f>G179*G190</f>
        <v>802.09969317694959</v>
      </c>
      <c r="H220" s="1449" t="s">
        <v>6026</v>
      </c>
    </row>
    <row r="221" spans="2:8" x14ac:dyDescent="0.3">
      <c r="B221" s="1449" t="s">
        <v>6697</v>
      </c>
      <c r="C221" s="49"/>
      <c r="D221" s="52"/>
      <c r="E221" s="52"/>
      <c r="F221" s="1380">
        <f>G179*F191</f>
        <v>209.53985705787656</v>
      </c>
      <c r="G221" s="1399">
        <f>G179*G191</f>
        <v>209.53985705787656</v>
      </c>
      <c r="H221" s="18" t="s">
        <v>6026</v>
      </c>
    </row>
    <row r="222" spans="2:8" x14ac:dyDescent="0.3">
      <c r="B222" s="1457" t="s">
        <v>5332</v>
      </c>
      <c r="C222" s="1658"/>
      <c r="D222" s="1658"/>
      <c r="E222" s="654"/>
      <c r="F222" s="1380">
        <f>G219*F221</f>
        <v>4519.4376184626626</v>
      </c>
      <c r="G222" s="1380">
        <f>G219*G221</f>
        <v>4519.4376184626626</v>
      </c>
      <c r="H222" s="510" t="s">
        <v>5181</v>
      </c>
    </row>
    <row r="223" spans="2:8" x14ac:dyDescent="0.3">
      <c r="B223" s="49"/>
      <c r="C223" s="49"/>
      <c r="D223" s="49"/>
      <c r="E223" s="49"/>
      <c r="F223" s="49"/>
      <c r="G223" s="49"/>
      <c r="H223" s="49"/>
    </row>
    <row r="224" spans="2:8" x14ac:dyDescent="0.3">
      <c r="B224" s="49"/>
      <c r="C224" s="49"/>
      <c r="D224" s="49"/>
      <c r="E224" s="49"/>
      <c r="F224" s="49"/>
      <c r="G224" s="49"/>
      <c r="H224" s="49"/>
    </row>
    <row r="225" spans="1:8" x14ac:dyDescent="0.3">
      <c r="B225" s="49"/>
      <c r="C225" s="49"/>
      <c r="D225" s="49"/>
      <c r="E225" s="49"/>
      <c r="F225" s="49"/>
      <c r="G225" s="49"/>
      <c r="H225" s="49"/>
    </row>
    <row r="226" spans="1:8" x14ac:dyDescent="0.3">
      <c r="B226" s="49"/>
      <c r="C226" s="49"/>
      <c r="D226" s="49"/>
      <c r="E226" s="49"/>
      <c r="F226" s="49"/>
      <c r="G226" s="49"/>
      <c r="H226" s="49"/>
    </row>
    <row r="227" spans="1:8" x14ac:dyDescent="0.3">
      <c r="B227" s="49"/>
      <c r="C227" s="49"/>
      <c r="D227" s="49"/>
      <c r="E227" s="49"/>
      <c r="F227" s="49"/>
      <c r="G227" s="49"/>
      <c r="H227" s="49"/>
    </row>
    <row r="228" spans="1:8" x14ac:dyDescent="0.3">
      <c r="A228" s="1693" t="s">
        <v>5721</v>
      </c>
      <c r="B228" s="1693"/>
      <c r="C228" s="1693"/>
      <c r="D228" s="1693"/>
      <c r="E228" s="1693"/>
      <c r="F228" s="1693"/>
      <c r="G228" s="1693"/>
      <c r="H228" s="1693"/>
    </row>
    <row r="229" spans="1:8" x14ac:dyDescent="0.3">
      <c r="A229" s="1693"/>
      <c r="B229" s="1693"/>
      <c r="C229" s="1693"/>
      <c r="D229" s="1693"/>
      <c r="E229" s="1693"/>
      <c r="F229" s="1693"/>
      <c r="G229" s="1693"/>
      <c r="H229" s="1693"/>
    </row>
    <row r="230" spans="1:8" x14ac:dyDescent="0.3">
      <c r="A230" s="1693"/>
      <c r="B230" s="1667" t="s">
        <v>5722</v>
      </c>
      <c r="C230" s="1704" t="s">
        <v>38</v>
      </c>
      <c r="D230" s="1705"/>
      <c r="E230" s="1705"/>
      <c r="F230" s="1665" t="s">
        <v>602</v>
      </c>
      <c r="G230" s="1706"/>
      <c r="H230" s="2148"/>
    </row>
    <row r="231" spans="1:8" x14ac:dyDescent="0.3">
      <c r="A231" s="2149" t="s">
        <v>6698</v>
      </c>
      <c r="B231" s="1627"/>
      <c r="C231" s="1627"/>
      <c r="D231" s="1627"/>
      <c r="E231" s="1627"/>
      <c r="F231" s="1627"/>
      <c r="G231" s="1627"/>
    </row>
    <row r="232" spans="1:8" x14ac:dyDescent="0.3">
      <c r="B232" s="49" t="s">
        <v>6699</v>
      </c>
      <c r="C232" s="18" t="s">
        <v>2267</v>
      </c>
      <c r="D232" s="49"/>
      <c r="E232" s="49"/>
      <c r="F232" s="49"/>
      <c r="G232" s="1209">
        <f>G49*UC.m2_to_ft2</f>
        <v>6812.7511739421043</v>
      </c>
    </row>
    <row r="233" spans="1:8" x14ac:dyDescent="0.3">
      <c r="B233" s="49" t="s">
        <v>6666</v>
      </c>
      <c r="C233" s="18" t="s">
        <v>6700</v>
      </c>
      <c r="D233" s="49"/>
      <c r="E233" s="49"/>
      <c r="F233" s="49"/>
      <c r="G233" s="648">
        <f>G124</f>
        <v>20</v>
      </c>
    </row>
    <row r="234" spans="1:8" x14ac:dyDescent="0.3">
      <c r="B234" s="49" t="s">
        <v>6701</v>
      </c>
      <c r="C234" s="18" t="s">
        <v>2442</v>
      </c>
      <c r="D234" s="49"/>
      <c r="E234" s="49"/>
      <c r="F234" s="49"/>
      <c r="G234" s="49">
        <f>G121</f>
        <v>1</v>
      </c>
    </row>
    <row r="235" spans="1:8" x14ac:dyDescent="0.3">
      <c r="B235" s="49" t="s">
        <v>6702</v>
      </c>
      <c r="C235" s="666" t="s">
        <v>2442</v>
      </c>
      <c r="D235" s="49"/>
      <c r="E235" s="49"/>
      <c r="F235" s="49"/>
      <c r="G235" s="49">
        <f>G122</f>
        <v>2</v>
      </c>
    </row>
    <row r="236" spans="1:8" x14ac:dyDescent="0.3">
      <c r="B236" s="49" t="s">
        <v>6703</v>
      </c>
      <c r="C236" s="666" t="s">
        <v>2442</v>
      </c>
      <c r="D236" s="49"/>
      <c r="E236" s="49"/>
      <c r="F236" s="49"/>
      <c r="G236" s="49">
        <f>G123</f>
        <v>1</v>
      </c>
    </row>
    <row r="237" spans="1:8" x14ac:dyDescent="0.3">
      <c r="B237" s="49" t="s">
        <v>6668</v>
      </c>
      <c r="C237" s="18" t="s">
        <v>6704</v>
      </c>
      <c r="D237" s="49"/>
      <c r="E237" s="49"/>
      <c r="F237" s="49"/>
      <c r="G237" s="1360">
        <f>G126</f>
        <v>65.62158865974483</v>
      </c>
    </row>
    <row r="238" spans="1:8" x14ac:dyDescent="0.3">
      <c r="B238" s="49" t="s">
        <v>6705</v>
      </c>
      <c r="C238" s="18" t="s">
        <v>5689</v>
      </c>
      <c r="D238" s="49"/>
      <c r="E238" s="49"/>
      <c r="F238" s="49"/>
      <c r="G238" s="49">
        <f>G129</f>
        <v>94</v>
      </c>
    </row>
    <row r="239" spans="1:8" x14ac:dyDescent="0.3">
      <c r="B239" s="49" t="s">
        <v>6706</v>
      </c>
      <c r="C239" s="18" t="s">
        <v>2471</v>
      </c>
      <c r="D239" s="49"/>
      <c r="E239" s="49"/>
      <c r="F239" s="49"/>
      <c r="G239" s="1209">
        <f>G137+G146+G148</f>
        <v>0.49956288350043065</v>
      </c>
    </row>
    <row r="240" spans="1:8" x14ac:dyDescent="0.3">
      <c r="B240" s="49" t="s">
        <v>6707</v>
      </c>
      <c r="C240" s="18" t="s">
        <v>2520</v>
      </c>
      <c r="D240" s="49"/>
      <c r="E240" s="49"/>
      <c r="F240" s="49"/>
      <c r="G240" s="1209">
        <f>G138+G147+G149</f>
        <v>2.8265266010005625</v>
      </c>
    </row>
    <row r="241" spans="1:7" x14ac:dyDescent="0.3">
      <c r="B241" s="49" t="s">
        <v>6708</v>
      </c>
      <c r="C241" s="18" t="s">
        <v>2521</v>
      </c>
      <c r="D241" s="49"/>
      <c r="E241" s="49"/>
      <c r="F241" s="49"/>
      <c r="G241" s="1209">
        <f>G22</f>
        <v>0.72343361310549603</v>
      </c>
    </row>
    <row r="242" spans="1:7" x14ac:dyDescent="0.3">
      <c r="A242" s="2149" t="s">
        <v>6709</v>
      </c>
      <c r="B242" s="1627"/>
      <c r="C242" s="1627"/>
      <c r="D242" s="1627"/>
      <c r="E242" s="1627"/>
      <c r="F242" s="1627"/>
      <c r="G242" s="1627"/>
    </row>
    <row r="243" spans="1:7" x14ac:dyDescent="0.3">
      <c r="B243" s="49" t="s">
        <v>6710</v>
      </c>
      <c r="C243" s="18" t="s">
        <v>2450</v>
      </c>
      <c r="D243" s="49"/>
      <c r="E243" s="49"/>
      <c r="F243" s="49"/>
      <c r="G243" s="49">
        <f>G162</f>
        <v>90</v>
      </c>
    </row>
    <row r="244" spans="1:7" x14ac:dyDescent="0.3">
      <c r="B244" s="49" t="s">
        <v>6711</v>
      </c>
      <c r="C244" s="18" t="s">
        <v>5689</v>
      </c>
      <c r="D244" s="49"/>
      <c r="E244" s="49"/>
      <c r="F244" s="49"/>
      <c r="G244" s="49">
        <f>G129</f>
        <v>94</v>
      </c>
    </row>
    <row r="245" spans="1:7" x14ac:dyDescent="0.3">
      <c r="B245" s="49" t="s">
        <v>6712</v>
      </c>
      <c r="C245" s="18" t="s">
        <v>2462</v>
      </c>
      <c r="D245" s="49"/>
      <c r="E245" s="49"/>
      <c r="F245" s="49"/>
      <c r="G245" s="1209">
        <f>G156</f>
        <v>13.120854098548548</v>
      </c>
    </row>
    <row r="246" spans="1:7" x14ac:dyDescent="0.3">
      <c r="B246" s="49" t="s">
        <v>6713</v>
      </c>
      <c r="C246" s="18" t="s">
        <v>2489</v>
      </c>
      <c r="D246" s="49"/>
      <c r="E246" s="49"/>
      <c r="F246" s="49"/>
      <c r="G246" s="1209">
        <f>G157</f>
        <v>54.267852551596796</v>
      </c>
    </row>
    <row r="247" spans="1:7" x14ac:dyDescent="0.3">
      <c r="B247" s="49" t="s">
        <v>6714</v>
      </c>
      <c r="C247" s="18" t="s">
        <v>5689</v>
      </c>
      <c r="D247" s="49"/>
      <c r="E247" s="49"/>
      <c r="F247" s="49"/>
      <c r="G247" s="49">
        <f>G197</f>
        <v>85</v>
      </c>
    </row>
    <row r="248" spans="1:7" x14ac:dyDescent="0.3">
      <c r="B248" s="1017" t="s">
        <v>6715</v>
      </c>
      <c r="C248" s="1076" t="s">
        <v>2442</v>
      </c>
      <c r="D248" s="1017"/>
      <c r="E248" s="1017"/>
      <c r="F248" s="1017"/>
      <c r="G248" s="1017"/>
    </row>
    <row r="249" spans="1:7" x14ac:dyDescent="0.3">
      <c r="B249" s="1017" t="s">
        <v>6716</v>
      </c>
      <c r="C249" s="1076" t="s">
        <v>2442</v>
      </c>
      <c r="D249" s="1017"/>
      <c r="E249" s="1017"/>
      <c r="F249" s="1017"/>
      <c r="G249" s="1017"/>
    </row>
    <row r="250" spans="1:7" x14ac:dyDescent="0.3">
      <c r="B250" s="49" t="s">
        <v>6717</v>
      </c>
      <c r="C250" s="18" t="s">
        <v>2462</v>
      </c>
      <c r="D250" s="49"/>
      <c r="E250" s="49"/>
      <c r="F250" s="49"/>
      <c r="G250" s="1209">
        <f>G206</f>
        <v>4.3277994012866774</v>
      </c>
    </row>
    <row r="251" spans="1:7" x14ac:dyDescent="0.3">
      <c r="B251" s="49" t="s">
        <v>6718</v>
      </c>
      <c r="C251" s="18" t="s">
        <v>2489</v>
      </c>
      <c r="D251" s="49"/>
      <c r="E251" s="49"/>
      <c r="F251" s="49"/>
      <c r="G251" s="1209">
        <f>G207</f>
        <v>16.185969760812178</v>
      </c>
    </row>
    <row r="252" spans="1:7" x14ac:dyDescent="0.3">
      <c r="B252" s="49" t="s">
        <v>6719</v>
      </c>
      <c r="C252" s="18" t="s">
        <v>6056</v>
      </c>
      <c r="D252" s="49"/>
      <c r="E252" s="49"/>
      <c r="F252" s="49"/>
      <c r="G252" s="1209">
        <f>G160*UC.ton_to_kg/F201</f>
        <v>46871.842414708546</v>
      </c>
    </row>
    <row r="253" spans="1:7" x14ac:dyDescent="0.3">
      <c r="B253" s="49" t="s">
        <v>6720</v>
      </c>
      <c r="C253" s="49" t="s">
        <v>6031</v>
      </c>
      <c r="D253" s="49"/>
      <c r="E253" s="49"/>
      <c r="F253" s="49"/>
      <c r="G253" s="1209">
        <f>G169*UC.lb_to_g/UC.ton_to_kg</f>
        <v>12.795364433416035</v>
      </c>
    </row>
    <row r="254" spans="1:7" x14ac:dyDescent="0.3">
      <c r="B254" s="49" t="s">
        <v>6721</v>
      </c>
      <c r="C254" s="49" t="s">
        <v>6031</v>
      </c>
      <c r="D254" s="49"/>
      <c r="E254" s="49"/>
      <c r="F254" s="49"/>
      <c r="G254" s="1209">
        <f>G170*UC.lb_to_g/UC.ton_to_kg</f>
        <v>18.709633083325816</v>
      </c>
    </row>
    <row r="255" spans="1:7" x14ac:dyDescent="0.3">
      <c r="B255" s="49" t="s">
        <v>6722</v>
      </c>
      <c r="C255" s="49" t="s">
        <v>6031</v>
      </c>
      <c r="D255" s="49"/>
      <c r="E255" s="49"/>
      <c r="F255" s="49"/>
      <c r="G255" s="1209">
        <f>G171*UC.lb_to_g/UC.ton_to_kg</f>
        <v>23.207694163498104</v>
      </c>
    </row>
    <row r="256" spans="1:7" x14ac:dyDescent="0.3">
      <c r="B256" s="49" t="s">
        <v>6723</v>
      </c>
      <c r="C256" s="18" t="s">
        <v>6026</v>
      </c>
      <c r="D256" s="49"/>
      <c r="E256" s="49"/>
      <c r="F256" s="49"/>
      <c r="G256" s="1209">
        <f>F194</f>
        <v>0</v>
      </c>
    </row>
    <row r="257" spans="1:7" x14ac:dyDescent="0.3">
      <c r="B257" s="49" t="s">
        <v>6724</v>
      </c>
      <c r="C257" s="49" t="s">
        <v>5745</v>
      </c>
      <c r="D257" s="49"/>
      <c r="E257" s="49"/>
      <c r="F257" s="49"/>
      <c r="G257" s="1209">
        <f>F222</f>
        <v>4519.4376184626626</v>
      </c>
    </row>
    <row r="260" spans="1:7" x14ac:dyDescent="0.3">
      <c r="A260" s="1660" t="s">
        <v>1901</v>
      </c>
      <c r="B260" s="1703"/>
      <c r="C260" s="1703"/>
      <c r="D260" s="1703"/>
      <c r="E260" s="1703"/>
      <c r="F260" s="1703"/>
      <c r="G260" s="1703"/>
    </row>
    <row r="261" spans="1:7" x14ac:dyDescent="0.3">
      <c r="A261" s="1660"/>
      <c r="B261" s="1703"/>
      <c r="C261" s="1703"/>
      <c r="D261" s="1703"/>
      <c r="E261" s="1703"/>
      <c r="F261" s="1703"/>
      <c r="G261" s="1703"/>
    </row>
    <row r="262" spans="1:7" x14ac:dyDescent="0.3">
      <c r="A262" s="1660"/>
      <c r="B262" s="1702" t="s">
        <v>5747</v>
      </c>
      <c r="C262" s="1702" t="s">
        <v>38</v>
      </c>
      <c r="D262" s="1702"/>
      <c r="E262" s="1702"/>
      <c r="F262" s="1702" t="s">
        <v>602</v>
      </c>
      <c r="G262" s="1702"/>
    </row>
    <row r="263" spans="1:7" x14ac:dyDescent="0.3">
      <c r="B263" s="49"/>
      <c r="C263" s="49"/>
      <c r="D263" s="49"/>
      <c r="E263" s="49"/>
      <c r="F263" s="49"/>
      <c r="G263" s="49"/>
    </row>
    <row r="264" spans="1:7" x14ac:dyDescent="0.3">
      <c r="B264" s="1668" t="s">
        <v>409</v>
      </c>
      <c r="C264" s="1669"/>
      <c r="D264" s="1670"/>
      <c r="E264" s="1670"/>
      <c r="F264" s="1680"/>
      <c r="G264" s="1671"/>
    </row>
    <row r="265" spans="1:7" x14ac:dyDescent="0.3">
      <c r="B265" s="49" t="s">
        <v>6725</v>
      </c>
      <c r="C265" s="49" t="s">
        <v>5769</v>
      </c>
      <c r="D265" s="49"/>
      <c r="E265" s="49"/>
      <c r="F265" s="49"/>
      <c r="G265" s="1209">
        <f>G126*UC.year_to_day/UDV.animal.total</f>
        <v>47.903759721613731</v>
      </c>
    </row>
    <row r="266" spans="1:7" x14ac:dyDescent="0.3">
      <c r="B266" s="49"/>
      <c r="C266" s="49"/>
      <c r="D266" s="49"/>
      <c r="E266" s="49"/>
      <c r="F266" s="49"/>
      <c r="G266" s="49"/>
    </row>
    <row r="267" spans="1:7" x14ac:dyDescent="0.3">
      <c r="B267" s="49"/>
      <c r="C267" s="49"/>
      <c r="D267" s="49"/>
      <c r="E267" s="49"/>
      <c r="F267" s="49"/>
      <c r="G267" s="49"/>
    </row>
    <row r="268" spans="1:7" x14ac:dyDescent="0.3">
      <c r="B268" s="49"/>
      <c r="C268" s="49"/>
      <c r="D268" s="49"/>
      <c r="E268" s="49"/>
      <c r="F268" s="49"/>
      <c r="G268" s="49"/>
    </row>
    <row r="269" spans="1:7" x14ac:dyDescent="0.3">
      <c r="B269" s="1668" t="s">
        <v>447</v>
      </c>
      <c r="C269" s="1669"/>
      <c r="D269" s="1670"/>
      <c r="E269" s="1670"/>
      <c r="F269" s="1670"/>
      <c r="G269" s="1671"/>
    </row>
    <row r="270" spans="1:7" x14ac:dyDescent="0.3">
      <c r="B270" s="49" t="s">
        <v>6726</v>
      </c>
      <c r="C270" s="49" t="s">
        <v>2268</v>
      </c>
      <c r="D270" s="49"/>
      <c r="E270" s="49"/>
      <c r="F270" s="49"/>
      <c r="G270" s="1360">
        <f>G49</f>
        <v>632.92529580533335</v>
      </c>
    </row>
    <row r="271" spans="1:7" x14ac:dyDescent="0.3">
      <c r="B271" s="49" t="s">
        <v>6727</v>
      </c>
      <c r="C271" s="49" t="s">
        <v>2478</v>
      </c>
      <c r="D271" s="49"/>
      <c r="E271" s="49"/>
      <c r="F271" s="49"/>
      <c r="G271" s="1360">
        <f>(F191+G191/G161)*UC.acre_to_m2</f>
        <v>116291.71476977831</v>
      </c>
    </row>
    <row r="274" spans="2:7" x14ac:dyDescent="0.3">
      <c r="B274" s="1668" t="s">
        <v>5753</v>
      </c>
      <c r="C274" s="1669"/>
      <c r="D274" s="1670"/>
      <c r="E274" s="1670"/>
      <c r="F274" s="1670"/>
      <c r="G274" s="1671"/>
    </row>
    <row r="275" spans="2:7" x14ac:dyDescent="0.3">
      <c r="B275" s="49" t="s">
        <v>6728</v>
      </c>
      <c r="C275" s="49" t="s">
        <v>2497</v>
      </c>
      <c r="D275" s="49"/>
      <c r="E275" s="49"/>
      <c r="F275" s="49"/>
      <c r="G275" s="1500">
        <f>G138*UC.year_to_day/UDV.animal.total</f>
        <v>0.3385942936979971</v>
      </c>
    </row>
    <row r="276" spans="2:7" x14ac:dyDescent="0.3">
      <c r="B276" s="49" t="s">
        <v>6729</v>
      </c>
      <c r="C276" s="49" t="s">
        <v>2497</v>
      </c>
      <c r="D276" s="49"/>
      <c r="E276" s="49"/>
      <c r="F276" s="49"/>
      <c r="G276" s="1500">
        <f>G147*UC.year_to_day/UDV.animal.total</f>
        <v>0.57561029928659513</v>
      </c>
    </row>
    <row r="277" spans="2:7" x14ac:dyDescent="0.3">
      <c r="B277" s="49" t="s">
        <v>6730</v>
      </c>
      <c r="C277" s="49" t="s">
        <v>2497</v>
      </c>
      <c r="D277" s="49"/>
      <c r="E277" s="49"/>
      <c r="F277" s="49"/>
      <c r="G277" s="1500">
        <f>G149*UC.year_to_day/UDV.animal.total</f>
        <v>1.1491598257458184</v>
      </c>
    </row>
    <row r="278" spans="2:7" x14ac:dyDescent="0.3">
      <c r="B278" s="49" t="s">
        <v>6731</v>
      </c>
      <c r="C278" s="49" t="s">
        <v>2497</v>
      </c>
      <c r="D278" s="49"/>
      <c r="E278" s="49"/>
      <c r="F278" s="49"/>
      <c r="G278" s="1500">
        <f>G157*UC.year_to_day/UDV.animal.total/G151</f>
        <v>0.44017258180739621</v>
      </c>
    </row>
    <row r="279" spans="2:7" x14ac:dyDescent="0.3">
      <c r="B279" s="49" t="s">
        <v>6732</v>
      </c>
      <c r="C279" s="49" t="s">
        <v>2497</v>
      </c>
      <c r="D279" s="49"/>
      <c r="E279" s="49"/>
      <c r="F279" s="49"/>
      <c r="G279" s="1500">
        <f>E205</f>
        <v>0.14441481908813528</v>
      </c>
    </row>
    <row r="280" spans="2:7" x14ac:dyDescent="0.3">
      <c r="B280" s="49"/>
      <c r="C280" s="49"/>
      <c r="D280" s="49"/>
      <c r="E280" s="49"/>
      <c r="F280" s="49"/>
      <c r="G280" s="49"/>
    </row>
    <row r="281" spans="2:7" x14ac:dyDescent="0.3">
      <c r="B281" s="49"/>
      <c r="C281" s="49"/>
      <c r="D281" s="49"/>
      <c r="E281" s="49"/>
      <c r="F281" s="49"/>
      <c r="G281" s="49"/>
    </row>
    <row r="282" spans="2:7" x14ac:dyDescent="0.3">
      <c r="B282" s="1668" t="s">
        <v>415</v>
      </c>
      <c r="C282" s="1669"/>
      <c r="D282" s="1670"/>
      <c r="E282" s="1670"/>
      <c r="F282" s="1680"/>
      <c r="G282" s="1671"/>
    </row>
    <row r="283" spans="2:7" x14ac:dyDescent="0.3">
      <c r="B283" s="49"/>
      <c r="C283" s="49"/>
      <c r="D283" s="49"/>
      <c r="E283" s="49"/>
      <c r="F283" s="49"/>
      <c r="G283" s="49"/>
    </row>
    <row r="284" spans="2:7" x14ac:dyDescent="0.3">
      <c r="B284" s="49"/>
      <c r="C284" s="49"/>
      <c r="D284" s="49"/>
      <c r="E284" s="49"/>
      <c r="F284" s="49"/>
      <c r="G284" s="49"/>
    </row>
    <row r="285" spans="2:7" x14ac:dyDescent="0.3">
      <c r="B285" s="49"/>
      <c r="C285" s="49"/>
      <c r="D285" s="49"/>
      <c r="E285" s="49"/>
      <c r="F285" s="49"/>
      <c r="G285" s="49"/>
    </row>
    <row r="286" spans="2:7" x14ac:dyDescent="0.3">
      <c r="B286" s="49"/>
      <c r="C286" s="49"/>
      <c r="D286" s="49"/>
      <c r="E286" s="49"/>
      <c r="F286" s="49"/>
      <c r="G286" s="49"/>
    </row>
    <row r="287" spans="2:7" x14ac:dyDescent="0.3">
      <c r="B287" s="1668" t="s">
        <v>6162</v>
      </c>
      <c r="C287" s="1669"/>
      <c r="D287" s="1670"/>
      <c r="E287" s="1670"/>
      <c r="F287" s="1680"/>
      <c r="G287" s="1671"/>
    </row>
    <row r="288" spans="2:7" x14ac:dyDescent="0.3">
      <c r="B288" s="49" t="s">
        <v>6733</v>
      </c>
      <c r="C288" s="49" t="s">
        <v>2385</v>
      </c>
      <c r="D288" s="49"/>
      <c r="E288" s="49"/>
      <c r="F288" s="49"/>
      <c r="G288" s="1209">
        <f>G160*G169*UC.lb_to_kg/UDV.animal.total</f>
        <v>4.8645764809032244</v>
      </c>
    </row>
    <row r="289" spans="2:7" x14ac:dyDescent="0.3">
      <c r="B289" s="49" t="s">
        <v>6734</v>
      </c>
      <c r="C289" s="49" t="s">
        <v>2385</v>
      </c>
      <c r="D289" s="49"/>
      <c r="E289" s="49"/>
      <c r="F289" s="49"/>
      <c r="G289" s="1209">
        <f>G160*G170*UC.lb_to_kg/UDV.animal.total</f>
        <v>7.1130792356163557</v>
      </c>
    </row>
    <row r="290" spans="2:7" x14ac:dyDescent="0.3">
      <c r="B290" s="49" t="s">
        <v>6735</v>
      </c>
      <c r="C290" s="49" t="s">
        <v>2385</v>
      </c>
      <c r="D290" s="49"/>
      <c r="E290" s="49"/>
      <c r="F290" s="49"/>
      <c r="G290" s="1209">
        <f>G160*G171*UC.lb_to_kg/UDV.animal.total</f>
        <v>8.8231643413698126</v>
      </c>
    </row>
    <row r="291" spans="2:7" x14ac:dyDescent="0.3">
      <c r="B291" s="1668" t="s">
        <v>6166</v>
      </c>
      <c r="C291" s="1669"/>
      <c r="D291" s="1670"/>
      <c r="E291" s="1670"/>
      <c r="F291" s="1680"/>
      <c r="G291" s="1671"/>
    </row>
    <row r="292" spans="2:7" x14ac:dyDescent="0.3">
      <c r="B292" s="49" t="s">
        <v>6167</v>
      </c>
      <c r="C292" s="49" t="s">
        <v>2385</v>
      </c>
      <c r="D292" s="49"/>
      <c r="E292" s="49"/>
      <c r="F292" s="49"/>
      <c r="G292" s="1209">
        <f>(MAX(G183,0)*F$191*(UDV.anaer_lagoon.sludge_time-1) + MAX(G183,0)*G$191)*UC.lb_to_kg/UDV.animal.total/UDV.anaer_lagoon.sludge_time</f>
        <v>0</v>
      </c>
    </row>
    <row r="293" spans="2:7" x14ac:dyDescent="0.3">
      <c r="B293" s="49" t="s">
        <v>6168</v>
      </c>
      <c r="C293" s="49" t="s">
        <v>2385</v>
      </c>
      <c r="D293" s="49"/>
      <c r="E293" s="49"/>
      <c r="F293" s="49"/>
      <c r="G293" s="1209">
        <f>(MAX(G184,0)*F$191*(UDV.anaer_lagoon.sludge_time-1) + MAX(G184,0)*G$191)*UC.lb_to_kg/UDV.animal.total/UDV.anaer_lagoon.sludge_time</f>
        <v>5.4539682424140326</v>
      </c>
    </row>
    <row r="294" spans="2:7" x14ac:dyDescent="0.3">
      <c r="B294" s="49" t="s">
        <v>6169</v>
      </c>
      <c r="C294" s="49" t="s">
        <v>2385</v>
      </c>
      <c r="D294" s="49"/>
      <c r="E294" s="49"/>
      <c r="F294" s="49"/>
      <c r="G294" s="1209">
        <f>(MAX(G185,0)*F$191*(UDV.anaer_lagoon.sludge_time-1) + MAX(G185,0)*G$191)*UC.lb_to_kg/UDV.animal.total/UDV.anaer_lagoon.sludge_time</f>
        <v>6.6902346535891679</v>
      </c>
    </row>
    <row r="295" spans="2:7" x14ac:dyDescent="0.3">
      <c r="B295" s="1668" t="s">
        <v>6736</v>
      </c>
      <c r="C295" s="1669"/>
      <c r="D295" s="1670"/>
      <c r="E295" s="1670"/>
      <c r="F295" s="1680"/>
      <c r="G295" s="1671"/>
    </row>
    <row r="296" spans="2:7" x14ac:dyDescent="0.3">
      <c r="B296" s="1577" t="s">
        <v>6737</v>
      </c>
      <c r="C296" s="49" t="s">
        <v>2385</v>
      </c>
      <c r="D296" s="49"/>
      <c r="E296" s="49"/>
      <c r="F296" s="49"/>
      <c r="G296" s="1209">
        <f>G90</f>
        <v>0.25632632320799992</v>
      </c>
    </row>
    <row r="297" spans="2:7" ht="15.6" x14ac:dyDescent="0.3">
      <c r="B297" s="1577" t="s">
        <v>6738</v>
      </c>
      <c r="C297" s="49" t="s">
        <v>2385</v>
      </c>
      <c r="D297" s="49"/>
      <c r="E297" s="49"/>
      <c r="F297" s="49"/>
      <c r="G297" s="1209">
        <f>G98</f>
        <v>10.595071045176137</v>
      </c>
    </row>
    <row r="298" spans="2:7" ht="15.6" x14ac:dyDescent="0.3">
      <c r="B298" s="1577" t="s">
        <v>6739</v>
      </c>
      <c r="C298" s="49" t="s">
        <v>2385</v>
      </c>
      <c r="D298" s="49"/>
      <c r="E298" s="49"/>
      <c r="F298" s="49"/>
      <c r="G298" s="1209">
        <f>G102</f>
        <v>0.12806995877222907</v>
      </c>
    </row>
    <row r="299" spans="2:7" ht="15.6" x14ac:dyDescent="0.3">
      <c r="B299" s="1577" t="s">
        <v>6740</v>
      </c>
      <c r="C299" s="49" t="s">
        <v>2385</v>
      </c>
      <c r="D299" s="49"/>
      <c r="E299" s="49"/>
      <c r="F299" s="49"/>
      <c r="G299" s="1209">
        <f>G106</f>
        <v>0.23308732496545692</v>
      </c>
    </row>
    <row r="300" spans="2:7" x14ac:dyDescent="0.3">
      <c r="B300" s="1577" t="s">
        <v>7468</v>
      </c>
      <c r="C300" s="49" t="s">
        <v>2385</v>
      </c>
      <c r="D300" s="49"/>
      <c r="E300" s="49"/>
      <c r="F300" s="49"/>
      <c r="G300" s="1360">
        <f>G81*UC.year_to_day/UDV.animal.total</f>
        <v>87.689205999999956</v>
      </c>
    </row>
  </sheetData>
  <phoneticPr fontId="5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28FC-EFB6-4A7A-8DDE-85DCF5BCE052}">
  <sheetPr>
    <tabColor rgb="FFFF0000"/>
  </sheetPr>
  <dimension ref="C3:P54"/>
  <sheetViews>
    <sheetView workbookViewId="0">
      <selection sqref="A1:C1"/>
    </sheetView>
  </sheetViews>
  <sheetFormatPr defaultRowHeight="14.4" x14ac:dyDescent="0.3"/>
  <cols>
    <col min="3" max="3" width="41" bestFit="1" customWidth="1"/>
    <col min="7" max="7" width="14.88671875" bestFit="1" customWidth="1"/>
    <col min="11" max="11" width="41" bestFit="1" customWidth="1"/>
    <col min="15" max="15" width="14.88671875" bestFit="1" customWidth="1"/>
  </cols>
  <sheetData>
    <row r="3" spans="3:15" x14ac:dyDescent="0.3">
      <c r="C3" s="1387" t="s">
        <v>6741</v>
      </c>
      <c r="D3" s="1567"/>
      <c r="E3" s="1567"/>
      <c r="F3" s="1567"/>
      <c r="G3" s="1567"/>
      <c r="H3" s="1567"/>
      <c r="I3" s="1567"/>
      <c r="J3" s="1567"/>
      <c r="K3" s="1567"/>
      <c r="L3" s="1567"/>
      <c r="M3" s="1567"/>
      <c r="N3" s="1567"/>
      <c r="O3" s="1567"/>
    </row>
    <row r="4" spans="3:15" x14ac:dyDescent="0.3">
      <c r="C4" s="1387" t="s">
        <v>6742</v>
      </c>
      <c r="D4" s="49"/>
      <c r="E4" s="49"/>
      <c r="F4" s="49"/>
      <c r="G4" s="49"/>
      <c r="H4" s="49"/>
      <c r="I4" s="49"/>
      <c r="J4" s="49"/>
      <c r="K4" s="76" t="s">
        <v>6743</v>
      </c>
      <c r="L4" s="49" t="s">
        <v>4782</v>
      </c>
      <c r="M4" s="49"/>
      <c r="N4" s="49"/>
      <c r="O4" s="49"/>
    </row>
    <row r="5" spans="3:15" x14ac:dyDescent="0.3">
      <c r="C5" s="49" t="s">
        <v>6744</v>
      </c>
      <c r="D5" s="49"/>
      <c r="E5" s="49"/>
      <c r="F5" s="49"/>
      <c r="G5" s="49"/>
      <c r="H5" s="1359">
        <v>12</v>
      </c>
      <c r="I5" s="49" t="s">
        <v>2471</v>
      </c>
      <c r="J5" s="49"/>
      <c r="K5" s="49" t="s">
        <v>6745</v>
      </c>
      <c r="L5" s="1570">
        <f>PT.slope_screen!G3</f>
        <v>2893.7344524219839</v>
      </c>
      <c r="M5" s="648"/>
      <c r="N5" s="49"/>
      <c r="O5" s="49" t="s">
        <v>2519</v>
      </c>
    </row>
    <row r="6" spans="3:15" x14ac:dyDescent="0.3">
      <c r="C6" s="49"/>
      <c r="D6" s="49"/>
      <c r="E6" s="49"/>
      <c r="F6" s="49"/>
      <c r="G6" s="49"/>
      <c r="H6" s="49"/>
      <c r="I6" s="49"/>
      <c r="J6" s="49"/>
      <c r="K6" s="49" t="s">
        <v>6745</v>
      </c>
      <c r="L6" s="648">
        <f>L5*UC.L_to_gal</f>
        <v>764.44376245194292</v>
      </c>
      <c r="M6" s="648"/>
      <c r="N6" s="49"/>
      <c r="O6" s="49" t="s">
        <v>2520</v>
      </c>
    </row>
    <row r="7" spans="3:15" x14ac:dyDescent="0.3">
      <c r="C7" s="49"/>
      <c r="D7" s="49"/>
      <c r="E7" s="49"/>
      <c r="F7" s="49"/>
      <c r="G7" s="49"/>
      <c r="H7" s="49"/>
      <c r="I7" s="49"/>
      <c r="J7" s="49"/>
      <c r="K7" s="1546" t="s">
        <v>6746</v>
      </c>
      <c r="L7" s="49">
        <f>ROUNDUP(L6/D20,0)</f>
        <v>1</v>
      </c>
      <c r="M7" s="49"/>
      <c r="N7" s="49"/>
      <c r="O7" s="49" t="s">
        <v>6747</v>
      </c>
    </row>
    <row r="8" spans="3:15" x14ac:dyDescent="0.3">
      <c r="C8" s="49"/>
      <c r="D8" s="49"/>
      <c r="E8" s="49"/>
      <c r="F8" s="49"/>
      <c r="G8" s="49"/>
      <c r="H8" s="49"/>
      <c r="I8" s="49"/>
      <c r="J8" s="49"/>
      <c r="K8" s="1546" t="s">
        <v>6748</v>
      </c>
      <c r="L8" s="49">
        <f>ROUNDUP(L6/E20,0)</f>
        <v>1</v>
      </c>
      <c r="M8" s="49"/>
      <c r="N8" s="49"/>
      <c r="O8" s="49" t="s">
        <v>6747</v>
      </c>
    </row>
    <row r="9" spans="3:15" x14ac:dyDescent="0.3">
      <c r="C9" s="49"/>
      <c r="D9" s="49"/>
      <c r="E9" s="49"/>
      <c r="F9" s="49"/>
      <c r="G9" s="49"/>
      <c r="H9" s="49"/>
      <c r="I9" s="49"/>
      <c r="J9" s="49"/>
      <c r="K9" s="1546" t="s">
        <v>6749</v>
      </c>
      <c r="L9" s="49">
        <f>ROUNDUP(L6/F20,0)</f>
        <v>1</v>
      </c>
      <c r="M9" s="49"/>
      <c r="N9" s="49"/>
      <c r="O9" s="49" t="s">
        <v>6747</v>
      </c>
    </row>
    <row r="10" spans="3:15" x14ac:dyDescent="0.3">
      <c r="C10" s="49"/>
      <c r="D10" s="49"/>
      <c r="E10" s="49"/>
      <c r="F10" s="49"/>
      <c r="G10" s="49"/>
      <c r="H10" s="49"/>
      <c r="I10" s="49"/>
      <c r="J10" s="49"/>
      <c r="K10" s="49"/>
      <c r="L10" s="49"/>
      <c r="M10" s="49"/>
      <c r="N10" s="49"/>
      <c r="O10" s="49"/>
    </row>
    <row r="11" spans="3:15" x14ac:dyDescent="0.3">
      <c r="C11" s="49"/>
      <c r="D11" s="49"/>
      <c r="E11" s="49"/>
      <c r="F11" s="49"/>
      <c r="G11" s="49"/>
      <c r="H11" s="49"/>
      <c r="I11" s="49"/>
      <c r="J11" s="49"/>
      <c r="K11" s="49"/>
      <c r="L11" s="49"/>
      <c r="M11" s="49"/>
      <c r="N11" s="49"/>
      <c r="O11" s="49"/>
    </row>
    <row r="12" spans="3:15" x14ac:dyDescent="0.3">
      <c r="C12" s="1387" t="s">
        <v>5966</v>
      </c>
      <c r="D12" s="1567"/>
      <c r="E12" s="1567"/>
      <c r="F12" s="1567"/>
      <c r="G12" s="1567"/>
      <c r="H12" s="1567"/>
      <c r="I12" s="1567"/>
      <c r="J12" s="1567"/>
      <c r="K12" s="1546" t="s">
        <v>5967</v>
      </c>
      <c r="L12" s="49">
        <f>MIN(L7:L9)</f>
        <v>1</v>
      </c>
      <c r="M12" s="49"/>
      <c r="N12" s="49"/>
      <c r="O12" s="49" t="s">
        <v>5968</v>
      </c>
    </row>
    <row r="13" spans="3:15" x14ac:dyDescent="0.3">
      <c r="C13" s="49" t="s">
        <v>6750</v>
      </c>
      <c r="D13" s="49">
        <v>1</v>
      </c>
      <c r="E13" s="49">
        <v>2</v>
      </c>
      <c r="F13" s="49">
        <v>3</v>
      </c>
      <c r="G13" s="49" t="s">
        <v>5970</v>
      </c>
      <c r="H13" s="49"/>
      <c r="I13" s="49"/>
      <c r="J13" s="49"/>
      <c r="K13" s="1546" t="s">
        <v>5969</v>
      </c>
      <c r="L13" s="49">
        <f>MATCH(L12,L7:L9,0)</f>
        <v>1</v>
      </c>
      <c r="M13" s="49"/>
      <c r="N13" s="49"/>
      <c r="O13" s="49" t="str">
        <f>G13</f>
        <v>system number</v>
      </c>
    </row>
    <row r="14" spans="3:15" x14ac:dyDescent="0.3">
      <c r="C14" s="1546" t="s">
        <v>4736</v>
      </c>
      <c r="D14" s="1384">
        <v>32</v>
      </c>
      <c r="E14" s="1384">
        <v>64</v>
      </c>
      <c r="F14" s="1384">
        <v>96</v>
      </c>
      <c r="G14" s="49" t="s">
        <v>2267</v>
      </c>
      <c r="H14" s="49"/>
      <c r="I14" s="49"/>
      <c r="J14" s="49"/>
      <c r="K14" s="1546" t="s">
        <v>4736</v>
      </c>
      <c r="L14" s="49" cm="1">
        <f t="array" ref="L14">INDEX($D14:$F14,L13)</f>
        <v>32</v>
      </c>
      <c r="M14" s="49"/>
      <c r="N14" s="49"/>
      <c r="O14" s="49" t="str">
        <f>G14</f>
        <v>ft2</v>
      </c>
    </row>
    <row r="15" spans="3:15" x14ac:dyDescent="0.3">
      <c r="C15" s="1546" t="s">
        <v>5971</v>
      </c>
      <c r="D15" s="1384">
        <v>1</v>
      </c>
      <c r="E15" s="1384">
        <v>1</v>
      </c>
      <c r="F15" s="1384">
        <v>1</v>
      </c>
      <c r="G15" s="49" t="s">
        <v>2442</v>
      </c>
      <c r="H15" s="49"/>
      <c r="I15" s="49"/>
      <c r="J15" s="49"/>
      <c r="K15" s="1546" t="s">
        <v>5971</v>
      </c>
      <c r="L15" s="49" cm="1">
        <f t="array" ref="L15">INDEX($D15:$F15,L13)*L12</f>
        <v>1</v>
      </c>
      <c r="M15" s="49"/>
      <c r="N15" s="49"/>
      <c r="O15" s="49" t="str">
        <f t="shared" ref="O15:O20" si="0">G15</f>
        <v>quantity</v>
      </c>
    </row>
    <row r="16" spans="3:15" x14ac:dyDescent="0.3">
      <c r="C16" s="1546" t="s">
        <v>5972</v>
      </c>
      <c r="D16" s="1085">
        <v>0.03</v>
      </c>
      <c r="E16" s="1085">
        <v>0.05</v>
      </c>
      <c r="F16" s="1085">
        <v>0.06</v>
      </c>
      <c r="G16" s="49" t="s">
        <v>5973</v>
      </c>
      <c r="H16" s="49"/>
      <c r="I16" s="49"/>
      <c r="J16" s="49"/>
      <c r="K16" s="1546" t="s">
        <v>5972</v>
      </c>
      <c r="L16" s="49" cm="1">
        <f t="array" ref="L16">INDEX($D16:$F16,L13)</f>
        <v>0.03</v>
      </c>
      <c r="M16" s="49"/>
      <c r="N16" s="49"/>
      <c r="O16" s="49" t="str">
        <f t="shared" si="0"/>
        <v>inch</v>
      </c>
    </row>
    <row r="17" spans="3:15" x14ac:dyDescent="0.3">
      <c r="C17" s="1546" t="s">
        <v>5974</v>
      </c>
      <c r="D17" s="1085">
        <v>0.746</v>
      </c>
      <c r="E17" s="1085">
        <v>0.746</v>
      </c>
      <c r="F17" s="1085">
        <v>0.746</v>
      </c>
      <c r="G17" s="49" t="s">
        <v>2548</v>
      </c>
      <c r="H17" s="49"/>
      <c r="I17" s="49"/>
      <c r="J17" s="49"/>
      <c r="K17" s="1546" t="s">
        <v>5974</v>
      </c>
      <c r="L17" s="49" cm="1">
        <f t="array" ref="L17">INDEX($D17:$F17,L13)</f>
        <v>0.746</v>
      </c>
      <c r="M17" s="49"/>
      <c r="N17" s="49"/>
      <c r="O17" s="49" t="str">
        <f t="shared" si="0"/>
        <v>kW</v>
      </c>
    </row>
    <row r="18" spans="3:15" x14ac:dyDescent="0.3">
      <c r="C18" s="91" t="s">
        <v>5975</v>
      </c>
      <c r="D18" s="1390">
        <v>12.5</v>
      </c>
      <c r="E18" s="1390">
        <v>12.5</v>
      </c>
      <c r="F18" s="1390">
        <v>12.5</v>
      </c>
      <c r="G18" s="49" t="s">
        <v>5976</v>
      </c>
      <c r="H18" s="49"/>
      <c r="I18" s="49"/>
      <c r="J18" s="49"/>
      <c r="K18" s="91" t="s">
        <v>5975</v>
      </c>
      <c r="L18" s="49" cm="1">
        <f t="array" ref="L18">INDEX($D18:$F18,L13)</f>
        <v>12.5</v>
      </c>
      <c r="M18" s="49"/>
      <c r="N18" s="49"/>
      <c r="O18" s="49" t="str">
        <f t="shared" si="0"/>
        <v>gal/min/ft2</v>
      </c>
    </row>
    <row r="19" spans="3:15" x14ac:dyDescent="0.3">
      <c r="C19" s="1546" t="s">
        <v>5977</v>
      </c>
      <c r="D19" s="1390">
        <f>D14*D18</f>
        <v>400</v>
      </c>
      <c r="E19" s="1390">
        <f t="shared" ref="E19:F19" si="1">E14*E18</f>
        <v>800</v>
      </c>
      <c r="F19" s="1390">
        <f t="shared" si="1"/>
        <v>1200</v>
      </c>
      <c r="G19" s="49" t="s">
        <v>5978</v>
      </c>
      <c r="H19" s="49"/>
      <c r="I19" s="49"/>
      <c r="J19" s="49"/>
      <c r="K19" s="1546" t="s">
        <v>5977</v>
      </c>
      <c r="L19" s="49" cm="1">
        <f t="array" ref="L19">INDEX($D19:$F19,L13)</f>
        <v>400</v>
      </c>
      <c r="M19" s="49"/>
      <c r="N19" s="49"/>
      <c r="O19" s="49" t="str">
        <f t="shared" si="0"/>
        <v>gal/min/unit</v>
      </c>
    </row>
    <row r="20" spans="3:15" x14ac:dyDescent="0.3">
      <c r="C20" s="1546" t="s">
        <v>5979</v>
      </c>
      <c r="D20" s="1390">
        <f>D19*H5*UC.hour_to_min</f>
        <v>288000</v>
      </c>
      <c r="E20" s="1390">
        <f>E19*H5*UC.hour_to_min</f>
        <v>576000</v>
      </c>
      <c r="F20" s="1390">
        <f>F19*H5*UC.hour_to_min</f>
        <v>864000</v>
      </c>
      <c r="G20" s="1546" t="s">
        <v>5980</v>
      </c>
      <c r="H20" s="49"/>
      <c r="I20" s="49"/>
      <c r="J20" s="49"/>
      <c r="K20" s="1546" t="s">
        <v>5979</v>
      </c>
      <c r="L20" s="49" cm="1">
        <f t="array" ref="L20">INDEX($D20:$F20,L13)</f>
        <v>288000</v>
      </c>
      <c r="M20" s="49"/>
      <c r="N20" s="49"/>
      <c r="O20" s="49" t="str">
        <f t="shared" si="0"/>
        <v>gal/day/unit</v>
      </c>
    </row>
    <row r="21" spans="3:15" x14ac:dyDescent="0.3">
      <c r="C21" s="1546"/>
      <c r="D21" s="49"/>
      <c r="E21" s="49"/>
      <c r="F21" s="49"/>
      <c r="G21" s="49"/>
      <c r="H21" s="49"/>
      <c r="I21" s="49"/>
      <c r="J21" s="49"/>
      <c r="K21" s="1568" t="s">
        <v>5981</v>
      </c>
      <c r="L21" s="1569">
        <f>ROUNDUP(L17/UC.hp_to_kW,0)</f>
        <v>2</v>
      </c>
      <c r="M21" s="1569"/>
      <c r="O21" s="386" t="s">
        <v>971</v>
      </c>
    </row>
    <row r="22" spans="3:15" x14ac:dyDescent="0.3">
      <c r="C22" s="1546"/>
      <c r="D22" s="49"/>
      <c r="E22" s="49"/>
      <c r="F22" s="49"/>
      <c r="G22" s="49"/>
      <c r="H22" s="49"/>
      <c r="I22" s="49"/>
      <c r="J22" s="49"/>
      <c r="K22" s="1546" t="s">
        <v>5982</v>
      </c>
      <c r="L22" s="1360">
        <f>H5*L6/(L12*L20)</f>
        <v>3.1851823435497625E-2</v>
      </c>
      <c r="M22" s="1360"/>
      <c r="N22" s="49"/>
      <c r="O22" s="49" t="s">
        <v>2471</v>
      </c>
    </row>
    <row r="23" spans="3:15" x14ac:dyDescent="0.3">
      <c r="C23" s="49"/>
      <c r="D23" s="49"/>
      <c r="E23" s="49"/>
      <c r="F23" s="49"/>
      <c r="G23" s="49"/>
      <c r="H23" s="648"/>
      <c r="I23" s="49"/>
      <c r="J23" s="49"/>
      <c r="K23" s="1546" t="s">
        <v>5983</v>
      </c>
      <c r="L23" s="1360">
        <f>L12*L17*L22</f>
        <v>2.3761460282881227E-2</v>
      </c>
      <c r="M23" s="1360"/>
      <c r="N23" s="49"/>
      <c r="O23" s="49" t="s">
        <v>5809</v>
      </c>
    </row>
    <row r="29" spans="3:15" x14ac:dyDescent="0.3">
      <c r="C29" s="1387" t="s">
        <v>6751</v>
      </c>
      <c r="D29" s="1567"/>
      <c r="E29" s="1567"/>
      <c r="F29" s="1567"/>
      <c r="G29" s="1567"/>
      <c r="H29" s="1567"/>
      <c r="I29" s="1567"/>
      <c r="J29" s="1567"/>
      <c r="K29" s="1567"/>
      <c r="L29" s="1567"/>
      <c r="M29" s="1567"/>
      <c r="N29" s="1567"/>
      <c r="O29" s="1567"/>
    </row>
    <row r="30" spans="3:15" x14ac:dyDescent="0.3">
      <c r="C30" s="1387" t="s">
        <v>6742</v>
      </c>
      <c r="D30" s="49"/>
      <c r="E30" s="49"/>
      <c r="F30" s="49"/>
      <c r="G30" s="49"/>
      <c r="H30" s="49"/>
      <c r="I30" s="49"/>
      <c r="J30" s="49"/>
      <c r="K30" s="76" t="s">
        <v>6743</v>
      </c>
      <c r="L30" s="49" t="s">
        <v>5243</v>
      </c>
      <c r="M30" s="49"/>
      <c r="N30" s="49"/>
      <c r="O30" s="49"/>
    </row>
    <row r="31" spans="3:15" x14ac:dyDescent="0.3">
      <c r="C31" s="49" t="s">
        <v>6744</v>
      </c>
      <c r="D31" s="49"/>
      <c r="E31" s="49"/>
      <c r="F31" s="49"/>
      <c r="G31" s="49"/>
      <c r="H31" s="1359">
        <v>12</v>
      </c>
      <c r="I31" s="49" t="s">
        <v>2471</v>
      </c>
      <c r="J31" s="49"/>
      <c r="K31" s="49" t="s">
        <v>6752</v>
      </c>
      <c r="L31" s="1428">
        <f>PT.composting!G45</f>
        <v>1</v>
      </c>
      <c r="M31" s="648"/>
      <c r="N31" s="49"/>
      <c r="O31" s="49" t="s">
        <v>6602</v>
      </c>
    </row>
    <row r="32" spans="3:15" x14ac:dyDescent="0.3">
      <c r="C32" s="49" t="s">
        <v>5859</v>
      </c>
      <c r="D32" s="49"/>
      <c r="E32" s="49"/>
      <c r="F32" s="49"/>
      <c r="G32" s="49"/>
      <c r="H32" s="1359">
        <f>UDV.animal.total</f>
        <v>500</v>
      </c>
      <c r="I32" s="49" t="s">
        <v>2329</v>
      </c>
      <c r="J32" s="49"/>
      <c r="K32" s="49" t="s">
        <v>6753</v>
      </c>
      <c r="L32" s="1428">
        <f>PT.composting!G37*UC.m_to_ft</f>
        <v>300.00000045600001</v>
      </c>
      <c r="M32" s="648"/>
      <c r="N32" s="49"/>
      <c r="O32" s="49" t="s">
        <v>6754</v>
      </c>
    </row>
    <row r="33" spans="3:16" x14ac:dyDescent="0.3">
      <c r="C33" s="49" t="s">
        <v>6755</v>
      </c>
      <c r="D33" s="49"/>
      <c r="E33" s="49"/>
      <c r="F33" s="49"/>
      <c r="G33" s="49"/>
      <c r="H33" s="1359">
        <v>1</v>
      </c>
      <c r="I33" s="49" t="s">
        <v>6756</v>
      </c>
      <c r="J33" s="49"/>
      <c r="K33" s="49"/>
      <c r="L33" s="648"/>
      <c r="M33" s="648"/>
      <c r="N33" s="49"/>
      <c r="O33" s="49"/>
    </row>
    <row r="34" spans="3:16" x14ac:dyDescent="0.3">
      <c r="C34" s="49"/>
      <c r="D34" s="49"/>
      <c r="E34" s="49"/>
      <c r="F34" s="49"/>
      <c r="G34" s="49"/>
      <c r="H34" s="49"/>
      <c r="I34" s="49"/>
      <c r="J34" s="49"/>
      <c r="K34" s="1546" t="s">
        <v>6746</v>
      </c>
      <c r="L34" s="49">
        <f>ROUNDUP($H$32/D46,0)</f>
        <v>1</v>
      </c>
      <c r="M34" s="49"/>
      <c r="N34" s="49"/>
      <c r="O34" s="49" t="s">
        <v>6747</v>
      </c>
    </row>
    <row r="35" spans="3:16" x14ac:dyDescent="0.3">
      <c r="C35" s="49"/>
      <c r="D35" s="49"/>
      <c r="E35" s="49"/>
      <c r="F35" s="49"/>
      <c r="G35" s="49"/>
      <c r="H35" s="49"/>
      <c r="I35" s="49"/>
      <c r="J35" s="49"/>
      <c r="K35" s="1546" t="s">
        <v>6748</v>
      </c>
      <c r="L35" s="49">
        <v>50000</v>
      </c>
      <c r="M35" s="49"/>
      <c r="N35" s="49"/>
      <c r="O35" s="49" t="s">
        <v>6747</v>
      </c>
      <c r="P35" t="s">
        <v>6757</v>
      </c>
    </row>
    <row r="36" spans="3:16" x14ac:dyDescent="0.3">
      <c r="C36" s="49"/>
      <c r="D36" s="49"/>
      <c r="E36" s="49"/>
      <c r="F36" s="49"/>
      <c r="G36" s="49"/>
      <c r="H36" s="49"/>
      <c r="I36" s="49"/>
      <c r="J36" s="49"/>
      <c r="K36" s="1546" t="s">
        <v>6749</v>
      </c>
      <c r="L36" s="49"/>
      <c r="M36" s="49"/>
      <c r="N36" s="49"/>
      <c r="O36" s="49" t="s">
        <v>6747</v>
      </c>
      <c r="P36" t="s">
        <v>6758</v>
      </c>
    </row>
    <row r="37" spans="3:16" x14ac:dyDescent="0.3">
      <c r="C37" s="49"/>
      <c r="D37" s="49"/>
      <c r="E37" s="49"/>
      <c r="F37" s="49"/>
      <c r="G37" s="49"/>
      <c r="H37" s="49"/>
      <c r="I37" s="49"/>
      <c r="J37" s="49"/>
      <c r="K37" s="49"/>
      <c r="L37" s="49"/>
      <c r="M37" s="49"/>
      <c r="N37" s="49"/>
      <c r="O37" s="49"/>
      <c r="P37" t="s">
        <v>6759</v>
      </c>
    </row>
    <row r="38" spans="3:16" x14ac:dyDescent="0.3">
      <c r="C38" s="49"/>
      <c r="D38" s="49"/>
      <c r="E38" s="49"/>
      <c r="F38" s="49"/>
      <c r="G38" s="49"/>
      <c r="H38" s="49"/>
      <c r="I38" s="49"/>
      <c r="J38" s="49"/>
      <c r="K38" s="49"/>
      <c r="L38" s="49"/>
      <c r="M38" s="49"/>
      <c r="N38" s="49"/>
      <c r="O38" s="49"/>
    </row>
    <row r="39" spans="3:16" x14ac:dyDescent="0.3">
      <c r="C39" s="1387" t="s">
        <v>5966</v>
      </c>
      <c r="D39" s="1567"/>
      <c r="E39" s="1567"/>
      <c r="F39" s="1567"/>
      <c r="G39" s="1567"/>
      <c r="H39" s="1567"/>
      <c r="I39" s="1567"/>
      <c r="J39" s="1567"/>
      <c r="K39" s="1547" t="s">
        <v>5967</v>
      </c>
      <c r="L39" s="49">
        <f>MIN(L34:L35)</f>
        <v>1</v>
      </c>
      <c r="M39" s="49"/>
      <c r="N39" s="49"/>
      <c r="O39" s="49" t="s">
        <v>5968</v>
      </c>
    </row>
    <row r="40" spans="3:16" x14ac:dyDescent="0.3">
      <c r="C40" s="49" t="s">
        <v>6750</v>
      </c>
      <c r="D40" s="49">
        <v>1</v>
      </c>
      <c r="E40" s="49">
        <v>2</v>
      </c>
      <c r="F40" s="49">
        <v>3</v>
      </c>
      <c r="G40" s="49" t="s">
        <v>5970</v>
      </c>
      <c r="H40" s="49"/>
      <c r="I40" s="49"/>
      <c r="J40" s="49"/>
      <c r="K40" s="1546" t="s">
        <v>5969</v>
      </c>
      <c r="L40" s="49">
        <f>MATCH(L39,L34:L35,0)</f>
        <v>1</v>
      </c>
      <c r="M40" s="49"/>
      <c r="N40" s="49"/>
      <c r="O40" s="49" t="str">
        <f>G40</f>
        <v>system number</v>
      </c>
    </row>
    <row r="41" spans="3:16" x14ac:dyDescent="0.3">
      <c r="C41" s="1546" t="s">
        <v>6760</v>
      </c>
      <c r="D41" s="1384">
        <v>10</v>
      </c>
      <c r="E41" s="1384"/>
      <c r="F41" s="1384"/>
      <c r="G41" s="49" t="s">
        <v>971</v>
      </c>
      <c r="H41" s="49"/>
      <c r="I41" s="49"/>
      <c r="J41" s="49"/>
      <c r="K41" s="1546" t="str">
        <f>C41</f>
        <v>Agitator motor size</v>
      </c>
      <c r="L41" s="49" cm="1">
        <f t="array" ref="L41">INDEX($D41:$F41,L40)</f>
        <v>10</v>
      </c>
      <c r="M41" s="49"/>
      <c r="N41" s="49"/>
      <c r="O41" s="49" t="str">
        <f>G41</f>
        <v>hp</v>
      </c>
    </row>
    <row r="42" spans="3:16" x14ac:dyDescent="0.3">
      <c r="C42" s="1546" t="s">
        <v>6761</v>
      </c>
      <c r="D42" s="1384">
        <v>2</v>
      </c>
      <c r="E42" s="1384"/>
      <c r="F42" s="1384"/>
      <c r="G42" s="49" t="s">
        <v>2442</v>
      </c>
      <c r="H42" s="49"/>
      <c r="I42" s="49"/>
      <c r="J42" s="49"/>
      <c r="K42" s="1547" t="str">
        <f t="shared" ref="K42:K48" si="2">C42</f>
        <v>Number of agitator motors</v>
      </c>
      <c r="L42" s="49" cm="1">
        <f t="array" ref="L42">INDEX($D42:$F42,L40)*L39</f>
        <v>2</v>
      </c>
      <c r="M42" s="49"/>
      <c r="N42" s="49"/>
      <c r="O42" s="49" t="str">
        <f t="shared" ref="O42:O48" si="3">G42</f>
        <v>quantity</v>
      </c>
    </row>
    <row r="43" spans="3:16" x14ac:dyDescent="0.3">
      <c r="C43" s="1546" t="s">
        <v>6762</v>
      </c>
      <c r="D43" s="1085">
        <v>2</v>
      </c>
      <c r="E43" s="1085"/>
      <c r="F43" s="1085"/>
      <c r="G43" s="49" t="s">
        <v>971</v>
      </c>
      <c r="H43" s="49"/>
      <c r="I43" s="49"/>
      <c r="J43" s="49"/>
      <c r="K43" s="1546" t="str">
        <f t="shared" si="2"/>
        <v>Lift/propel motor size</v>
      </c>
      <c r="L43" s="49" cm="1">
        <f t="array" ref="L43">INDEX($D43:$F43,L40)</f>
        <v>2</v>
      </c>
      <c r="M43" s="49"/>
      <c r="N43" s="49"/>
      <c r="O43" s="49" t="str">
        <f t="shared" si="3"/>
        <v>hp</v>
      </c>
    </row>
    <row r="44" spans="3:16" x14ac:dyDescent="0.3">
      <c r="C44" s="1546" t="s">
        <v>6763</v>
      </c>
      <c r="D44" s="1085">
        <v>1</v>
      </c>
      <c r="E44" s="1085"/>
      <c r="F44" s="1085"/>
      <c r="G44" s="49" t="s">
        <v>2442</v>
      </c>
      <c r="H44" s="49"/>
      <c r="I44" s="49"/>
      <c r="J44" s="49"/>
      <c r="K44" s="1547" t="str">
        <f t="shared" si="2"/>
        <v>Number of lift motors</v>
      </c>
      <c r="L44" s="49" cm="1">
        <f t="array" ref="L44">INDEX($D44:$F44,L40)</f>
        <v>1</v>
      </c>
      <c r="M44" s="49"/>
      <c r="N44" s="49"/>
      <c r="O44" s="49" t="str">
        <f t="shared" si="3"/>
        <v>quantity</v>
      </c>
    </row>
    <row r="45" spans="3:16" x14ac:dyDescent="0.3">
      <c r="C45" s="91" t="s">
        <v>6764</v>
      </c>
      <c r="D45" s="1390">
        <f>D41*D42+D43*D44</f>
        <v>22</v>
      </c>
      <c r="E45" s="1390"/>
      <c r="F45" s="1390"/>
      <c r="G45" s="49" t="s">
        <v>971</v>
      </c>
      <c r="H45" s="49"/>
      <c r="I45" s="49"/>
      <c r="J45" s="49"/>
      <c r="K45" s="1546" t="str">
        <f t="shared" si="2"/>
        <v>Total horsepower of each system</v>
      </c>
      <c r="L45" s="49" cm="1">
        <f t="array" ref="L45">INDEX($D45:$F45,L40)</f>
        <v>22</v>
      </c>
      <c r="M45" s="49"/>
      <c r="N45" s="49"/>
      <c r="O45" s="49" t="str">
        <f t="shared" si="3"/>
        <v>hp</v>
      </c>
    </row>
    <row r="46" spans="3:16" x14ac:dyDescent="0.3">
      <c r="C46" s="1546" t="s">
        <v>6765</v>
      </c>
      <c r="D46" s="1359">
        <v>12000</v>
      </c>
      <c r="E46" s="1359"/>
      <c r="F46" s="1359"/>
      <c r="G46" s="49" t="s">
        <v>6766</v>
      </c>
      <c r="H46" s="49"/>
      <c r="I46" s="49"/>
      <c r="J46" s="49"/>
      <c r="K46" s="1546" t="str">
        <f t="shared" si="2"/>
        <v>Capacity of each system</v>
      </c>
      <c r="L46" s="49" cm="1">
        <f t="array" ref="L46">INDEX($D46:$F46,L40)</f>
        <v>12000</v>
      </c>
      <c r="M46" s="49"/>
      <c r="N46" s="49"/>
      <c r="O46" s="49" t="str">
        <f t="shared" si="3"/>
        <v>head/system</v>
      </c>
    </row>
    <row r="47" spans="3:16" x14ac:dyDescent="0.3">
      <c r="C47" s="1546" t="s">
        <v>6767</v>
      </c>
      <c r="D47" s="1390">
        <v>20</v>
      </c>
      <c r="E47" s="1390">
        <v>9.8000000000000007</v>
      </c>
      <c r="F47" s="1390"/>
      <c r="G47" s="1546" t="s">
        <v>2340</v>
      </c>
      <c r="H47" s="49"/>
      <c r="I47" s="49"/>
      <c r="J47" s="49"/>
      <c r="K47" s="1547" t="str">
        <f t="shared" si="2"/>
        <v>Width of turner</v>
      </c>
      <c r="L47" s="49" cm="1">
        <f t="array" ref="L47">INDEX($D47:$F47,L40)</f>
        <v>20</v>
      </c>
      <c r="M47" s="49"/>
      <c r="N47" s="49"/>
      <c r="O47" s="49" t="str">
        <f t="shared" si="3"/>
        <v>ft</v>
      </c>
    </row>
    <row r="48" spans="3:16" x14ac:dyDescent="0.3">
      <c r="C48" s="1546" t="s">
        <v>6768</v>
      </c>
      <c r="D48" s="49">
        <f>4/300</f>
        <v>1.3333333333333334E-2</v>
      </c>
      <c r="E48" s="49"/>
      <c r="F48" s="49"/>
      <c r="G48" s="49" t="s">
        <v>6769</v>
      </c>
      <c r="H48" s="49"/>
      <c r="I48" s="49"/>
      <c r="J48" s="49"/>
      <c r="K48" s="1546" t="str">
        <f t="shared" si="2"/>
        <v>Compost row turning rate</v>
      </c>
      <c r="L48" s="49" cm="1">
        <f t="array" ref="L48">INDEX($D48:$F48,L40)</f>
        <v>1.3333333333333334E-2</v>
      </c>
      <c r="M48" s="1360"/>
      <c r="N48" s="49"/>
      <c r="O48" s="49" t="str">
        <f t="shared" si="3"/>
        <v>hr/ft</v>
      </c>
    </row>
    <row r="49" spans="3:15" x14ac:dyDescent="0.3">
      <c r="C49" s="1546" t="s">
        <v>6770</v>
      </c>
      <c r="D49" s="1353" t="s">
        <v>6771</v>
      </c>
      <c r="E49" s="1353">
        <v>310</v>
      </c>
      <c r="F49" s="1390"/>
      <c r="G49" s="49" t="s">
        <v>475</v>
      </c>
      <c r="H49" s="49"/>
      <c r="I49" s="49"/>
      <c r="J49" s="49"/>
      <c r="K49" s="1546" t="str">
        <f>C49</f>
        <v>Name of system</v>
      </c>
      <c r="L49" s="49" t="str" cm="1">
        <f t="array" ref="L49">INDEX($D49:$F49,L40)</f>
        <v>610M</v>
      </c>
      <c r="M49" s="49"/>
      <c r="N49" s="49"/>
      <c r="O49" s="49" t="str">
        <f>G49</f>
        <v>Name</v>
      </c>
    </row>
    <row r="50" spans="3:15" x14ac:dyDescent="0.3">
      <c r="C50" s="1546"/>
      <c r="D50" s="1353"/>
      <c r="E50" s="1353"/>
      <c r="F50" s="1390"/>
      <c r="G50" s="49"/>
      <c r="H50" s="49"/>
      <c r="I50" s="49"/>
      <c r="J50" s="49"/>
      <c r="K50" s="1546"/>
      <c r="L50" s="49"/>
      <c r="M50" s="49"/>
      <c r="N50" s="49"/>
      <c r="O50" s="49"/>
    </row>
    <row r="51" spans="3:15" x14ac:dyDescent="0.3">
      <c r="C51" s="1546"/>
      <c r="D51" s="1353"/>
      <c r="E51" s="1353"/>
      <c r="F51" s="1390"/>
      <c r="G51" s="49"/>
      <c r="H51" s="49"/>
      <c r="I51" s="49"/>
      <c r="J51" s="49"/>
      <c r="K51" s="1546" t="s">
        <v>6772</v>
      </c>
      <c r="L51" s="49">
        <f>L39*L45*UC.hp_to_kW</f>
        <v>16.405397140000002</v>
      </c>
      <c r="M51" s="49"/>
      <c r="N51" s="49"/>
      <c r="O51" s="49" t="s">
        <v>2548</v>
      </c>
    </row>
    <row r="52" spans="3:15" x14ac:dyDescent="0.3">
      <c r="C52" s="49"/>
      <c r="D52" s="49"/>
      <c r="E52" s="49"/>
      <c r="F52" s="49"/>
      <c r="G52" s="49"/>
      <c r="H52" s="49"/>
      <c r="I52" s="49"/>
      <c r="J52" s="49"/>
      <c r="K52" s="49" t="s">
        <v>6773</v>
      </c>
      <c r="L52" s="49">
        <f>L31*L32*$H$33</f>
        <v>300.00000045600001</v>
      </c>
      <c r="M52" s="49"/>
      <c r="N52" s="49"/>
      <c r="O52" s="49" t="s">
        <v>6774</v>
      </c>
    </row>
    <row r="53" spans="3:15" x14ac:dyDescent="0.3">
      <c r="C53" s="49"/>
      <c r="D53" s="49"/>
      <c r="E53" s="49"/>
      <c r="F53" s="49"/>
      <c r="G53" s="49"/>
      <c r="H53" s="49"/>
      <c r="I53" s="49"/>
      <c r="J53" s="49"/>
      <c r="K53" s="61" t="s">
        <v>6775</v>
      </c>
      <c r="L53" s="1360">
        <f>L48*L52</f>
        <v>4.0000000060800005</v>
      </c>
      <c r="M53" s="49"/>
      <c r="N53" s="49"/>
      <c r="O53" s="49" t="s">
        <v>2471</v>
      </c>
    </row>
    <row r="54" spans="3:15" x14ac:dyDescent="0.3">
      <c r="C54" s="49"/>
      <c r="D54" s="49"/>
      <c r="E54" s="49"/>
      <c r="F54" s="49"/>
      <c r="G54" s="49"/>
      <c r="H54" s="49"/>
      <c r="I54" s="49"/>
      <c r="J54" s="49"/>
      <c r="K54" s="61" t="s">
        <v>6776</v>
      </c>
      <c r="L54" s="49">
        <f>L51*L53</f>
        <v>65.62158865974483</v>
      </c>
      <c r="M54" s="49"/>
      <c r="N54" s="49"/>
      <c r="O54" s="49" t="s">
        <v>5809</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C174-3E2B-41D4-BCB1-EBED0018CABA}">
  <dimension ref="A2:H65"/>
  <sheetViews>
    <sheetView workbookViewId="0"/>
  </sheetViews>
  <sheetFormatPr defaultRowHeight="14.4" x14ac:dyDescent="0.3"/>
  <cols>
    <col min="2" max="2" width="46" customWidth="1"/>
  </cols>
  <sheetData>
    <row r="2" spans="1:8" x14ac:dyDescent="0.3">
      <c r="A2" s="1660" t="s">
        <v>1901</v>
      </c>
      <c r="B2" s="1703"/>
      <c r="C2" s="1703"/>
      <c r="D2" s="1703"/>
      <c r="E2" s="1703"/>
      <c r="F2" s="1703"/>
      <c r="G2" s="1703"/>
      <c r="H2" s="1703"/>
    </row>
    <row r="3" spans="1:8" x14ac:dyDescent="0.3">
      <c r="A3" s="1660"/>
      <c r="B3" s="1703"/>
      <c r="C3" s="1703"/>
      <c r="D3" s="1703"/>
      <c r="E3" s="1703"/>
      <c r="F3" s="1703"/>
      <c r="G3" s="1703"/>
      <c r="H3" s="1703"/>
    </row>
    <row r="4" spans="1:8" x14ac:dyDescent="0.3">
      <c r="A4" s="1660"/>
      <c r="B4" s="1702" t="s">
        <v>5747</v>
      </c>
      <c r="C4" s="1702" t="s">
        <v>38</v>
      </c>
      <c r="D4" s="1702"/>
      <c r="E4" s="1702"/>
      <c r="F4" s="1702" t="s">
        <v>602</v>
      </c>
      <c r="G4" s="1702"/>
      <c r="H4" s="1702"/>
    </row>
    <row r="5" spans="1:8" x14ac:dyDescent="0.3">
      <c r="B5" s="49"/>
      <c r="C5" s="49"/>
      <c r="D5" s="49"/>
      <c r="E5" s="49"/>
      <c r="F5" s="49"/>
      <c r="G5" s="49"/>
      <c r="H5" s="49"/>
    </row>
    <row r="6" spans="1:8" x14ac:dyDescent="0.3">
      <c r="B6" s="1668" t="s">
        <v>409</v>
      </c>
      <c r="C6" s="1669"/>
      <c r="D6" s="1670"/>
      <c r="E6" s="1670"/>
      <c r="F6" s="1680"/>
      <c r="G6" s="1671"/>
      <c r="H6" s="1617"/>
    </row>
    <row r="7" spans="1:8" x14ac:dyDescent="0.3">
      <c r="B7" s="49"/>
      <c r="C7" s="49" t="s">
        <v>5769</v>
      </c>
      <c r="D7" s="49"/>
      <c r="E7" s="49"/>
      <c r="F7" s="49"/>
      <c r="G7" s="49"/>
      <c r="H7" s="49"/>
    </row>
    <row r="8" spans="1:8" x14ac:dyDescent="0.3">
      <c r="B8" s="49"/>
      <c r="C8" s="49"/>
      <c r="D8" s="49"/>
      <c r="E8" s="49"/>
      <c r="F8" s="49"/>
      <c r="G8" s="49"/>
      <c r="H8" s="49"/>
    </row>
    <row r="9" spans="1:8" x14ac:dyDescent="0.3">
      <c r="B9" s="49"/>
      <c r="C9" s="49"/>
      <c r="D9" s="49"/>
      <c r="E9" s="49"/>
      <c r="F9" s="49"/>
      <c r="G9" s="49"/>
      <c r="H9" s="49"/>
    </row>
    <row r="10" spans="1:8" x14ac:dyDescent="0.3">
      <c r="B10" s="76" t="s">
        <v>6777</v>
      </c>
      <c r="C10" s="49" t="s">
        <v>5769</v>
      </c>
      <c r="D10" s="49"/>
      <c r="E10" s="49"/>
      <c r="F10" s="49"/>
      <c r="G10" s="49"/>
      <c r="H10" s="49"/>
    </row>
    <row r="11" spans="1:8" x14ac:dyDescent="0.3">
      <c r="B11" s="1668" t="s">
        <v>447</v>
      </c>
      <c r="C11" s="1669"/>
      <c r="D11" s="1670"/>
      <c r="E11" s="1670"/>
      <c r="F11" s="1670"/>
      <c r="G11" s="1671"/>
      <c r="H11" s="1617"/>
    </row>
    <row r="12" spans="1:8" x14ac:dyDescent="0.3">
      <c r="B12" s="49"/>
      <c r="C12" s="49" t="s">
        <v>2268</v>
      </c>
      <c r="D12" s="49"/>
      <c r="E12" s="49"/>
      <c r="F12" s="49"/>
      <c r="G12" s="49"/>
      <c r="H12" s="49"/>
    </row>
    <row r="13" spans="1:8" x14ac:dyDescent="0.3">
      <c r="B13" s="49"/>
      <c r="C13" s="49"/>
      <c r="D13" s="49"/>
      <c r="E13" s="49"/>
      <c r="F13" s="49"/>
      <c r="G13" s="49"/>
      <c r="H13" s="49"/>
    </row>
    <row r="14" spans="1:8" x14ac:dyDescent="0.3">
      <c r="B14" s="49"/>
      <c r="C14" s="49"/>
      <c r="D14" s="49"/>
      <c r="E14" s="49"/>
      <c r="F14" s="49"/>
      <c r="G14" s="49"/>
      <c r="H14" s="49"/>
    </row>
    <row r="15" spans="1:8" x14ac:dyDescent="0.3">
      <c r="B15" s="49"/>
      <c r="C15" s="49"/>
      <c r="D15" s="49"/>
      <c r="E15" s="49"/>
      <c r="F15" s="49"/>
      <c r="G15" s="49"/>
      <c r="H15" s="49"/>
    </row>
    <row r="16" spans="1:8" x14ac:dyDescent="0.3">
      <c r="B16" s="76" t="s">
        <v>5750</v>
      </c>
      <c r="C16" s="49" t="s">
        <v>2268</v>
      </c>
      <c r="D16" s="49"/>
      <c r="E16" s="49"/>
      <c r="F16" s="49"/>
      <c r="G16" s="49"/>
      <c r="H16" s="49"/>
    </row>
    <row r="17" spans="2:8" x14ac:dyDescent="0.3">
      <c r="B17" s="76" t="s">
        <v>5751</v>
      </c>
      <c r="C17" s="49" t="s">
        <v>2268</v>
      </c>
      <c r="D17" s="49"/>
      <c r="E17" s="49"/>
      <c r="F17" s="49"/>
      <c r="G17" s="49"/>
      <c r="H17" s="49"/>
    </row>
    <row r="18" spans="2:8" x14ac:dyDescent="0.3">
      <c r="B18" s="76" t="s">
        <v>5752</v>
      </c>
      <c r="C18" s="49" t="s">
        <v>2270</v>
      </c>
      <c r="D18" s="49"/>
      <c r="E18" s="49"/>
      <c r="F18" s="49"/>
      <c r="G18" s="49"/>
      <c r="H18" s="49"/>
    </row>
    <row r="19" spans="2:8" x14ac:dyDescent="0.3">
      <c r="B19" s="1668" t="s">
        <v>5753</v>
      </c>
      <c r="C19" s="1669"/>
      <c r="D19" s="1670"/>
      <c r="E19" s="1670"/>
      <c r="F19" s="1670"/>
      <c r="G19" s="1671"/>
      <c r="H19" s="1617"/>
    </row>
    <row r="20" spans="2:8" x14ac:dyDescent="0.3">
      <c r="B20" s="49"/>
      <c r="C20" s="49" t="s">
        <v>2497</v>
      </c>
      <c r="D20" s="49"/>
      <c r="E20" s="49"/>
      <c r="F20" s="49"/>
      <c r="G20" s="49"/>
      <c r="H20" s="49"/>
    </row>
    <row r="21" spans="2:8" x14ac:dyDescent="0.3">
      <c r="B21" s="49"/>
      <c r="C21" s="49"/>
      <c r="D21" s="49"/>
      <c r="E21" s="49"/>
      <c r="F21" s="49"/>
      <c r="G21" s="49"/>
      <c r="H21" s="49"/>
    </row>
    <row r="22" spans="2:8" x14ac:dyDescent="0.3">
      <c r="B22" s="49"/>
      <c r="C22" s="49"/>
      <c r="D22" s="49"/>
      <c r="E22" s="49"/>
      <c r="F22" s="49"/>
      <c r="G22" s="49"/>
      <c r="H22" s="49"/>
    </row>
    <row r="23" spans="2:8" x14ac:dyDescent="0.3">
      <c r="B23" s="76" t="s">
        <v>6778</v>
      </c>
      <c r="C23" s="49"/>
      <c r="D23" s="49"/>
      <c r="E23" s="49"/>
      <c r="F23" s="49"/>
      <c r="G23" s="49"/>
      <c r="H23" s="49"/>
    </row>
    <row r="24" spans="2:8" x14ac:dyDescent="0.3">
      <c r="B24" s="76" t="s">
        <v>6779</v>
      </c>
      <c r="C24" s="49"/>
      <c r="D24" s="49"/>
      <c r="E24" s="49"/>
      <c r="F24" s="49"/>
      <c r="G24" s="49"/>
      <c r="H24" s="49"/>
    </row>
    <row r="25" spans="2:8" x14ac:dyDescent="0.3">
      <c r="B25" s="76" t="s">
        <v>6780</v>
      </c>
      <c r="C25" s="49"/>
      <c r="D25" s="49"/>
      <c r="E25" s="49"/>
      <c r="F25" s="49"/>
      <c r="G25" s="49"/>
      <c r="H25" s="49"/>
    </row>
    <row r="26" spans="2:8" x14ac:dyDescent="0.3">
      <c r="B26" s="76" t="s">
        <v>6781</v>
      </c>
      <c r="C26" s="49"/>
      <c r="D26" s="49"/>
      <c r="E26" s="49"/>
      <c r="F26" s="49"/>
      <c r="G26" s="49"/>
      <c r="H26" s="49"/>
    </row>
    <row r="27" spans="2:8" x14ac:dyDescent="0.3">
      <c r="B27" s="1668" t="s">
        <v>415</v>
      </c>
      <c r="C27" s="1669"/>
      <c r="D27" s="1670"/>
      <c r="E27" s="1670"/>
      <c r="F27" s="1680"/>
      <c r="G27" s="1671"/>
      <c r="H27" s="1617"/>
    </row>
    <row r="28" spans="2:8" x14ac:dyDescent="0.3">
      <c r="B28" s="49"/>
      <c r="C28" s="49" t="s">
        <v>5838</v>
      </c>
      <c r="D28" s="49"/>
      <c r="E28" s="49"/>
      <c r="F28" s="49"/>
      <c r="G28" s="49"/>
      <c r="H28" s="49"/>
    </row>
    <row r="29" spans="2:8" x14ac:dyDescent="0.3">
      <c r="B29" s="49"/>
      <c r="C29" s="49"/>
      <c r="D29" s="49"/>
      <c r="E29" s="49"/>
      <c r="F29" s="49"/>
      <c r="G29" s="49"/>
      <c r="H29" s="49"/>
    </row>
    <row r="30" spans="2:8" x14ac:dyDescent="0.3">
      <c r="B30" s="49"/>
      <c r="C30" s="49"/>
      <c r="D30" s="49"/>
      <c r="E30" s="49"/>
      <c r="F30" s="49"/>
      <c r="G30" s="49"/>
      <c r="H30" s="49"/>
    </row>
    <row r="31" spans="2:8" x14ac:dyDescent="0.3">
      <c r="B31" s="49"/>
      <c r="C31" s="49"/>
      <c r="D31" s="49"/>
      <c r="E31" s="49"/>
      <c r="F31" s="49"/>
      <c r="G31" s="49"/>
      <c r="H31" s="49"/>
    </row>
    <row r="32" spans="2:8" x14ac:dyDescent="0.3">
      <c r="B32" s="1668" t="s">
        <v>5756</v>
      </c>
      <c r="C32" s="1669"/>
      <c r="D32" s="1670"/>
      <c r="E32" s="1670"/>
      <c r="F32" s="1680"/>
      <c r="G32" s="1671"/>
      <c r="H32" s="1617"/>
    </row>
    <row r="33" spans="2:8" x14ac:dyDescent="0.3">
      <c r="B33" s="49" t="s">
        <v>5757</v>
      </c>
      <c r="C33" s="49" t="s">
        <v>2385</v>
      </c>
      <c r="D33" s="49"/>
      <c r="E33" s="49"/>
      <c r="F33" s="49"/>
      <c r="G33" s="49"/>
      <c r="H33" s="49"/>
    </row>
    <row r="34" spans="2:8" x14ac:dyDescent="0.3">
      <c r="B34" s="49" t="s">
        <v>5758</v>
      </c>
      <c r="C34" s="49"/>
      <c r="D34" s="49"/>
      <c r="E34" s="49"/>
      <c r="F34" s="49"/>
      <c r="G34" s="49"/>
      <c r="H34" s="49"/>
    </row>
    <row r="35" spans="2:8" x14ac:dyDescent="0.3">
      <c r="B35" s="49" t="s">
        <v>5759</v>
      </c>
      <c r="C35" s="49"/>
      <c r="D35" s="49"/>
      <c r="E35" s="49"/>
      <c r="F35" s="49"/>
      <c r="G35" s="49"/>
      <c r="H35" s="49"/>
    </row>
    <row r="36" spans="2:8" x14ac:dyDescent="0.3">
      <c r="B36" s="1668" t="s">
        <v>6432</v>
      </c>
      <c r="C36" s="1669"/>
      <c r="D36" s="1670"/>
      <c r="E36" s="1670"/>
      <c r="F36" s="1680"/>
      <c r="G36" s="1671"/>
      <c r="H36" s="1617"/>
    </row>
    <row r="37" spans="2:8" x14ac:dyDescent="0.3">
      <c r="B37" s="49" t="s">
        <v>6433</v>
      </c>
      <c r="C37" s="49" t="s">
        <v>2385</v>
      </c>
      <c r="D37" s="49"/>
      <c r="E37" s="49"/>
      <c r="F37" s="49"/>
      <c r="G37" s="49"/>
      <c r="H37" s="49"/>
    </row>
    <row r="38" spans="2:8" x14ac:dyDescent="0.3">
      <c r="B38" s="49" t="s">
        <v>6434</v>
      </c>
      <c r="C38" s="49"/>
      <c r="D38" s="49"/>
      <c r="E38" s="49"/>
      <c r="F38" s="49"/>
      <c r="G38" s="49"/>
      <c r="H38" s="49"/>
    </row>
    <row r="39" spans="2:8" x14ac:dyDescent="0.3">
      <c r="B39" s="49" t="s">
        <v>6435</v>
      </c>
      <c r="C39" s="49"/>
      <c r="D39" s="49"/>
      <c r="E39" s="49"/>
      <c r="F39" s="49"/>
      <c r="G39" s="49"/>
      <c r="H39" s="49"/>
    </row>
    <row r="40" spans="2:8" x14ac:dyDescent="0.3">
      <c r="B40" s="1668" t="s">
        <v>6162</v>
      </c>
      <c r="C40" s="1669"/>
      <c r="D40" s="1670"/>
      <c r="E40" s="1670"/>
      <c r="F40" s="1680"/>
      <c r="G40" s="1671"/>
      <c r="H40" s="1617"/>
    </row>
    <row r="41" spans="2:8" x14ac:dyDescent="0.3">
      <c r="B41" s="49" t="s">
        <v>6733</v>
      </c>
      <c r="C41" s="49" t="s">
        <v>2385</v>
      </c>
      <c r="D41" s="49"/>
      <c r="E41" s="49"/>
      <c r="F41" s="49"/>
      <c r="G41" s="49"/>
      <c r="H41" s="49"/>
    </row>
    <row r="42" spans="2:8" x14ac:dyDescent="0.3">
      <c r="B42" s="49" t="s">
        <v>6734</v>
      </c>
      <c r="C42" s="49"/>
      <c r="D42" s="49"/>
      <c r="E42" s="49"/>
      <c r="F42" s="49"/>
      <c r="G42" s="49"/>
      <c r="H42" s="49"/>
    </row>
    <row r="43" spans="2:8" x14ac:dyDescent="0.3">
      <c r="B43" s="49" t="s">
        <v>6735</v>
      </c>
      <c r="C43" s="49"/>
      <c r="D43" s="49"/>
      <c r="E43" s="49"/>
      <c r="F43" s="49"/>
      <c r="G43" s="49"/>
      <c r="H43" s="49"/>
    </row>
    <row r="44" spans="2:8" x14ac:dyDescent="0.3">
      <c r="B44" s="1668" t="s">
        <v>5760</v>
      </c>
      <c r="C44" s="1669"/>
      <c r="D44" s="1670"/>
      <c r="E44" s="1670"/>
      <c r="F44" s="1680"/>
      <c r="G44" s="1671"/>
      <c r="H44" s="1617"/>
    </row>
    <row r="45" spans="2:8" x14ac:dyDescent="0.3">
      <c r="B45" s="49" t="s">
        <v>6436</v>
      </c>
      <c r="C45" s="49" t="s">
        <v>2385</v>
      </c>
      <c r="D45" s="49"/>
      <c r="E45" s="49"/>
      <c r="F45" s="49"/>
      <c r="G45" s="49"/>
      <c r="H45" s="49"/>
    </row>
    <row r="46" spans="2:8" x14ac:dyDescent="0.3">
      <c r="B46" s="49" t="s">
        <v>6437</v>
      </c>
      <c r="C46" s="49"/>
      <c r="D46" s="49"/>
      <c r="E46" s="49"/>
      <c r="F46" s="49"/>
      <c r="G46" s="49"/>
      <c r="H46" s="49"/>
    </row>
    <row r="47" spans="2:8" x14ac:dyDescent="0.3">
      <c r="B47" s="49" t="s">
        <v>6438</v>
      </c>
      <c r="C47" s="49"/>
      <c r="D47" s="49"/>
      <c r="E47" s="49"/>
      <c r="F47" s="49"/>
      <c r="G47" s="49"/>
      <c r="H47" s="49"/>
    </row>
    <row r="48" spans="2:8" x14ac:dyDescent="0.3">
      <c r="B48" s="1668" t="s">
        <v>6439</v>
      </c>
      <c r="C48" s="1669"/>
      <c r="D48" s="1670"/>
      <c r="E48" s="1670"/>
      <c r="F48" s="1680"/>
      <c r="G48" s="1671"/>
      <c r="H48" s="1617"/>
    </row>
    <row r="49" spans="2:8" x14ac:dyDescent="0.3">
      <c r="B49" s="49" t="s">
        <v>6440</v>
      </c>
      <c r="C49" s="49" t="s">
        <v>2385</v>
      </c>
      <c r="D49" s="49"/>
      <c r="E49" s="49"/>
      <c r="F49" s="49"/>
      <c r="G49" s="49"/>
      <c r="H49" s="49"/>
    </row>
    <row r="50" spans="2:8" x14ac:dyDescent="0.3">
      <c r="B50" s="49" t="s">
        <v>6441</v>
      </c>
      <c r="C50" s="49"/>
      <c r="D50" s="49"/>
      <c r="E50" s="49"/>
      <c r="F50" s="49"/>
      <c r="G50" s="49"/>
      <c r="H50" s="49"/>
    </row>
    <row r="51" spans="2:8" x14ac:dyDescent="0.3">
      <c r="B51" s="49" t="s">
        <v>6442</v>
      </c>
      <c r="C51" s="49"/>
      <c r="D51" s="49"/>
      <c r="E51" s="49"/>
      <c r="F51" s="49"/>
      <c r="G51" s="49"/>
      <c r="H51" s="49"/>
    </row>
    <row r="52" spans="2:8" x14ac:dyDescent="0.3">
      <c r="B52" s="1668" t="s">
        <v>6166</v>
      </c>
      <c r="C52" s="1669"/>
      <c r="D52" s="1670"/>
      <c r="E52" s="1670"/>
      <c r="F52" s="1680"/>
      <c r="G52" s="1671"/>
      <c r="H52" s="1617"/>
    </row>
    <row r="53" spans="2:8" x14ac:dyDescent="0.3">
      <c r="B53" s="49" t="s">
        <v>6167</v>
      </c>
      <c r="C53" s="49" t="s">
        <v>2385</v>
      </c>
      <c r="D53" s="49"/>
      <c r="E53" s="49"/>
      <c r="F53" s="49"/>
      <c r="G53" s="49"/>
      <c r="H53" s="49"/>
    </row>
    <row r="54" spans="2:8" x14ac:dyDescent="0.3">
      <c r="B54" s="49" t="s">
        <v>6168</v>
      </c>
      <c r="C54" s="49"/>
      <c r="D54" s="49"/>
      <c r="E54" s="49"/>
      <c r="F54" s="49"/>
      <c r="G54" s="49"/>
      <c r="H54" s="49"/>
    </row>
    <row r="55" spans="2:8" x14ac:dyDescent="0.3">
      <c r="B55" s="49" t="s">
        <v>6169</v>
      </c>
      <c r="C55" s="49"/>
      <c r="D55" s="49"/>
      <c r="E55" s="49"/>
      <c r="F55" s="49"/>
      <c r="G55" s="49"/>
      <c r="H55" s="49"/>
    </row>
    <row r="56" spans="2:8" ht="15" customHeight="1" x14ac:dyDescent="0.3">
      <c r="B56" s="1668" t="s">
        <v>6280</v>
      </c>
      <c r="C56" s="1669"/>
      <c r="D56" s="1670"/>
      <c r="E56" s="1670"/>
      <c r="F56" s="1680"/>
      <c r="G56" s="1671"/>
      <c r="H56" s="1617"/>
    </row>
    <row r="57" spans="2:8" ht="15" customHeight="1" x14ac:dyDescent="0.3">
      <c r="B57" s="1577" t="s">
        <v>6782</v>
      </c>
      <c r="C57" s="49" t="s">
        <v>2385</v>
      </c>
      <c r="D57" s="49"/>
      <c r="E57" s="49"/>
      <c r="F57" s="49"/>
      <c r="G57" s="49"/>
      <c r="H57" s="49"/>
    </row>
    <row r="58" spans="2:8" ht="15" customHeight="1" x14ac:dyDescent="0.3">
      <c r="B58" s="1577" t="s">
        <v>6783</v>
      </c>
      <c r="C58" s="49"/>
      <c r="D58" s="49"/>
      <c r="E58" s="49"/>
      <c r="F58" s="49"/>
      <c r="G58" s="49"/>
      <c r="H58" s="49"/>
    </row>
    <row r="59" spans="2:8" ht="15" customHeight="1" x14ac:dyDescent="0.3">
      <c r="B59" s="1577" t="s">
        <v>6784</v>
      </c>
      <c r="C59" s="49"/>
      <c r="D59" s="49"/>
      <c r="E59" s="49"/>
      <c r="F59" s="49"/>
      <c r="G59" s="49"/>
      <c r="H59" s="49"/>
    </row>
    <row r="60" spans="2:8" ht="15" customHeight="1" x14ac:dyDescent="0.3">
      <c r="B60" s="1577" t="s">
        <v>6785</v>
      </c>
      <c r="C60" s="49"/>
      <c r="D60" s="49"/>
      <c r="E60" s="49"/>
      <c r="F60" s="49"/>
      <c r="G60" s="49"/>
      <c r="H60" s="49"/>
    </row>
    <row r="61" spans="2:8" ht="15" customHeight="1" x14ac:dyDescent="0.3">
      <c r="B61" s="1668" t="s">
        <v>6736</v>
      </c>
      <c r="C61" s="1669"/>
      <c r="D61" s="1670"/>
      <c r="E61" s="1670"/>
      <c r="F61" s="1680"/>
      <c r="G61" s="1671"/>
      <c r="H61" s="1617"/>
    </row>
    <row r="62" spans="2:8" ht="15" customHeight="1" x14ac:dyDescent="0.3">
      <c r="B62" s="1577" t="s">
        <v>6782</v>
      </c>
      <c r="C62" s="49" t="s">
        <v>2385</v>
      </c>
      <c r="D62" s="49"/>
      <c r="E62" s="49"/>
      <c r="F62" s="49"/>
      <c r="G62" s="49"/>
      <c r="H62" s="49"/>
    </row>
    <row r="63" spans="2:8" ht="15" customHeight="1" x14ac:dyDescent="0.3">
      <c r="B63" s="1577" t="s">
        <v>6783</v>
      </c>
      <c r="C63" s="49"/>
      <c r="D63" s="49"/>
      <c r="E63" s="49"/>
      <c r="F63" s="49"/>
      <c r="G63" s="49"/>
      <c r="H63" s="49"/>
    </row>
    <row r="64" spans="2:8" ht="15" customHeight="1" x14ac:dyDescent="0.3">
      <c r="B64" s="1577" t="s">
        <v>6784</v>
      </c>
      <c r="C64" s="49"/>
      <c r="D64" s="49"/>
      <c r="E64" s="49"/>
      <c r="F64" s="49"/>
      <c r="G64" s="49"/>
      <c r="H64" s="49"/>
    </row>
    <row r="65" spans="2:8" ht="15" customHeight="1" x14ac:dyDescent="0.3">
      <c r="B65" s="1577" t="s">
        <v>6785</v>
      </c>
      <c r="C65" s="49"/>
      <c r="D65" s="49"/>
      <c r="E65" s="49"/>
      <c r="F65" s="49"/>
      <c r="G65" s="49"/>
      <c r="H65" s="49"/>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F413-3F14-4291-B1D7-8A8C775F70F5}">
  <dimension ref="A2:J8"/>
  <sheetViews>
    <sheetView workbookViewId="0"/>
  </sheetViews>
  <sheetFormatPr defaultRowHeight="14.4" x14ac:dyDescent="0.3"/>
  <cols>
    <col min="2" max="2" width="49.6640625" bestFit="1" customWidth="1"/>
    <col min="3" max="3" width="14.44140625" customWidth="1"/>
  </cols>
  <sheetData>
    <row r="2" spans="1:10" x14ac:dyDescent="0.3">
      <c r="A2" s="1693" t="s">
        <v>5721</v>
      </c>
      <c r="B2" s="1693"/>
      <c r="C2" s="1693"/>
      <c r="D2" s="1693"/>
      <c r="E2" s="1693"/>
      <c r="F2" s="1693"/>
      <c r="G2" s="1693"/>
      <c r="H2" s="1693"/>
      <c r="I2" s="1693"/>
      <c r="J2" s="1693"/>
    </row>
    <row r="3" spans="1:10" x14ac:dyDescent="0.3">
      <c r="A3" s="1693"/>
      <c r="B3" s="1693"/>
      <c r="C3" s="1693"/>
      <c r="D3" s="1693"/>
      <c r="E3" s="1693"/>
      <c r="F3" s="1693"/>
      <c r="G3" s="1693"/>
      <c r="H3" s="1693"/>
      <c r="I3" s="1693"/>
      <c r="J3" s="1693"/>
    </row>
    <row r="4" spans="1:10" x14ac:dyDescent="0.3">
      <c r="A4" s="1693"/>
      <c r="B4" s="1667" t="s">
        <v>5722</v>
      </c>
      <c r="C4" s="1704" t="s">
        <v>38</v>
      </c>
      <c r="D4" s="1705"/>
      <c r="E4" s="1705"/>
      <c r="F4" s="1665" t="s">
        <v>602</v>
      </c>
      <c r="G4" s="1706"/>
      <c r="H4" s="1706"/>
      <c r="I4" s="1706"/>
      <c r="J4" s="1706"/>
    </row>
    <row r="5" spans="1:10" x14ac:dyDescent="0.3">
      <c r="B5" s="49"/>
      <c r="C5" s="49"/>
      <c r="D5" s="49"/>
      <c r="E5" s="49"/>
      <c r="F5" s="49"/>
      <c r="G5" s="49"/>
      <c r="H5" s="49"/>
      <c r="I5" s="49"/>
      <c r="J5" s="49"/>
    </row>
    <row r="6" spans="1:10" x14ac:dyDescent="0.3">
      <c r="B6" s="49"/>
      <c r="C6" s="49"/>
      <c r="D6" s="49"/>
      <c r="E6" s="49"/>
      <c r="F6" s="49"/>
      <c r="G6" s="49"/>
      <c r="H6" s="49"/>
      <c r="I6" s="49"/>
      <c r="J6" s="49"/>
    </row>
    <row r="7" spans="1:10" x14ac:dyDescent="0.3">
      <c r="B7" s="49"/>
      <c r="C7" s="49"/>
      <c r="D7" s="49"/>
      <c r="E7" s="49"/>
      <c r="F7" s="49"/>
      <c r="G7" s="49"/>
      <c r="H7" s="49"/>
      <c r="I7" s="49"/>
      <c r="J7" s="49"/>
    </row>
    <row r="8" spans="1:10" x14ac:dyDescent="0.3">
      <c r="B8" s="49"/>
      <c r="C8" s="49"/>
      <c r="D8" s="49"/>
      <c r="E8" s="49"/>
      <c r="F8" s="49"/>
      <c r="G8" s="49"/>
      <c r="H8" s="49"/>
      <c r="I8" s="49"/>
      <c r="J8" s="49"/>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816CA-13DD-4E8E-AF1F-01FAA6B2131B}">
  <sheetPr codeName="Sheet24"/>
  <dimension ref="A1:AK518"/>
  <sheetViews>
    <sheetView workbookViewId="0"/>
  </sheetViews>
  <sheetFormatPr defaultRowHeight="14.4" x14ac:dyDescent="0.3"/>
  <cols>
    <col min="1" max="1" width="16.44140625" customWidth="1"/>
    <col min="2" max="2" width="40.44140625" customWidth="1"/>
    <col min="3" max="3" width="17.109375" customWidth="1"/>
    <col min="4" max="4" width="17.44140625" customWidth="1"/>
    <col min="5" max="5" width="16.44140625" customWidth="1"/>
    <col min="6" max="6" width="14.44140625" customWidth="1"/>
    <col min="7" max="7" width="16.44140625" customWidth="1"/>
    <col min="8" max="9" width="15.44140625" customWidth="1"/>
    <col min="10" max="11" width="13.5546875" customWidth="1"/>
    <col min="12" max="12" width="14.5546875" customWidth="1"/>
    <col min="13" max="13" width="19.44140625" bestFit="1" customWidth="1"/>
    <col min="14" max="14" width="8.5546875" bestFit="1" customWidth="1"/>
    <col min="15" max="15" width="7.44140625" customWidth="1"/>
    <col min="16" max="16" width="13.5546875" customWidth="1"/>
    <col min="17" max="17" width="6" customWidth="1"/>
    <col min="18" max="18" width="13.33203125" customWidth="1"/>
    <col min="19" max="19" width="11.109375" style="42" customWidth="1"/>
    <col min="20" max="20" width="8.6640625" customWidth="1"/>
    <col min="21" max="21" width="9.6640625" customWidth="1"/>
    <col min="22" max="22" width="10" customWidth="1"/>
    <col min="23" max="23" width="13.6640625" customWidth="1"/>
    <col min="24" max="24" width="16" customWidth="1"/>
    <col min="25" max="25" width="20.88671875" customWidth="1"/>
    <col min="26" max="26" width="4.5546875" customWidth="1"/>
    <col min="27" max="27" width="17.88671875" customWidth="1"/>
    <col min="28" max="28" width="36.109375" customWidth="1"/>
    <col min="29" max="29" width="12.44140625" customWidth="1"/>
    <col min="30" max="30" width="14.33203125" customWidth="1"/>
    <col min="31" max="31" width="17.5546875" customWidth="1"/>
    <col min="32" max="32" width="20.44140625" customWidth="1"/>
    <col min="33" max="33" width="19.109375" customWidth="1"/>
    <col min="34" max="35" width="16.44140625" customWidth="1"/>
    <col min="36" max="36" width="16.5546875" customWidth="1"/>
    <col min="37" max="37" width="18.109375" customWidth="1"/>
  </cols>
  <sheetData>
    <row r="1" spans="1:37" ht="15" thickBot="1" x14ac:dyDescent="0.35">
      <c r="B1" s="120"/>
      <c r="J1" s="3047"/>
      <c r="K1" s="3047"/>
      <c r="L1" s="3048" t="s">
        <v>6788</v>
      </c>
      <c r="M1" s="950">
        <f>UDV.lca.diesel_combustion_gwp</f>
        <v>10.18</v>
      </c>
      <c r="N1" s="2132" t="s">
        <v>6789</v>
      </c>
      <c r="R1" s="42"/>
      <c r="T1" s="32">
        <v>1000</v>
      </c>
      <c r="U1" s="32">
        <v>2.4710500000000001E-4</v>
      </c>
      <c r="V1" s="32">
        <v>0.27777780000000002</v>
      </c>
      <c r="W1" s="32">
        <v>264.17200000000003</v>
      </c>
      <c r="X1" s="32">
        <v>2.2046199999999998</v>
      </c>
      <c r="Y1" s="32">
        <v>2.2046199999999998</v>
      </c>
    </row>
    <row r="2" spans="1:37" x14ac:dyDescent="0.3">
      <c r="A2" s="3049" t="s">
        <v>6790</v>
      </c>
      <c r="B2" s="10"/>
      <c r="C2" s="10"/>
      <c r="D2" s="21"/>
      <c r="E2" s="1287"/>
      <c r="F2" s="1287"/>
      <c r="G2" s="1287"/>
      <c r="H2" s="1287"/>
      <c r="I2" s="1297"/>
      <c r="J2" s="3052" t="s">
        <v>6791</v>
      </c>
      <c r="K2" s="3053"/>
      <c r="L2" s="3048"/>
      <c r="P2" s="3054" t="s">
        <v>6792</v>
      </c>
      <c r="Q2" s="592"/>
      <c r="R2" s="3042" t="s">
        <v>6793</v>
      </c>
      <c r="S2" s="2330"/>
      <c r="T2" s="3045" t="s">
        <v>4815</v>
      </c>
      <c r="U2" s="3045"/>
      <c r="V2" s="3045"/>
      <c r="W2" s="3045"/>
      <c r="X2" s="3045"/>
      <c r="Y2" s="3046"/>
      <c r="AA2" s="3039" t="s">
        <v>6794</v>
      </c>
      <c r="AB2" s="49"/>
      <c r="AC2" s="49"/>
      <c r="AD2" s="9"/>
      <c r="AE2" s="565"/>
      <c r="AF2" s="565"/>
      <c r="AG2" s="565"/>
      <c r="AH2" s="565"/>
      <c r="AI2" s="1297"/>
      <c r="AJ2" s="3038" t="s">
        <v>6791</v>
      </c>
      <c r="AK2" s="3038"/>
    </row>
    <row r="3" spans="1:37" ht="44.25" customHeight="1" x14ac:dyDescent="0.3">
      <c r="A3" s="3050"/>
      <c r="B3" s="566"/>
      <c r="C3" s="566" t="s">
        <v>6795</v>
      </c>
      <c r="D3" s="567" t="s">
        <v>6796</v>
      </c>
      <c r="E3" s="567" t="s">
        <v>4824</v>
      </c>
      <c r="F3" s="567" t="s">
        <v>447</v>
      </c>
      <c r="G3" s="567" t="s">
        <v>446</v>
      </c>
      <c r="H3" s="567" t="s">
        <v>2599</v>
      </c>
      <c r="I3" s="1279" t="s">
        <v>6797</v>
      </c>
      <c r="J3" s="567" t="s">
        <v>4832</v>
      </c>
      <c r="K3" s="1288" t="s">
        <v>6798</v>
      </c>
      <c r="L3" s="3048"/>
      <c r="P3" s="3055"/>
      <c r="Q3" s="593"/>
      <c r="R3" s="3043"/>
      <c r="S3" s="96"/>
      <c r="T3" s="570" t="s">
        <v>4824</v>
      </c>
      <c r="U3" s="570" t="s">
        <v>447</v>
      </c>
      <c r="V3" s="570" t="s">
        <v>446</v>
      </c>
      <c r="W3" s="570" t="s">
        <v>2599</v>
      </c>
      <c r="X3" s="570" t="s">
        <v>4832</v>
      </c>
      <c r="Y3" s="594" t="s">
        <v>4833</v>
      </c>
      <c r="AA3" s="3040"/>
      <c r="AB3" s="566"/>
      <c r="AC3" s="566" t="s">
        <v>6795</v>
      </c>
      <c r="AD3" s="567" t="s">
        <v>6796</v>
      </c>
      <c r="AE3" s="567" t="s">
        <v>4824</v>
      </c>
      <c r="AF3" s="567" t="s">
        <v>447</v>
      </c>
      <c r="AG3" s="567" t="s">
        <v>446</v>
      </c>
      <c r="AH3" s="567" t="s">
        <v>2599</v>
      </c>
      <c r="AI3" s="1279" t="s">
        <v>6797</v>
      </c>
      <c r="AJ3" s="567" t="s">
        <v>4832</v>
      </c>
      <c r="AK3" s="567" t="s">
        <v>6798</v>
      </c>
    </row>
    <row r="4" spans="1:37" ht="27.75" customHeight="1" thickBot="1" x14ac:dyDescent="0.4">
      <c r="A4" s="3050"/>
      <c r="B4" s="568"/>
      <c r="C4" s="568"/>
      <c r="D4" s="569"/>
      <c r="E4" s="570" t="s">
        <v>6799</v>
      </c>
      <c r="F4" s="570" t="s">
        <v>6800</v>
      </c>
      <c r="G4" s="570" t="s">
        <v>2435</v>
      </c>
      <c r="H4" s="570" t="s">
        <v>6801</v>
      </c>
      <c r="I4" s="1280" t="s">
        <v>2478</v>
      </c>
      <c r="J4" s="569" t="s">
        <v>6802</v>
      </c>
      <c r="K4" s="1289" t="s">
        <v>6803</v>
      </c>
      <c r="L4" s="3048"/>
      <c r="P4" s="3056"/>
      <c r="Q4" s="595"/>
      <c r="R4" s="3044"/>
      <c r="S4" s="2331"/>
      <c r="T4" s="596" t="s">
        <v>6804</v>
      </c>
      <c r="U4" s="596" t="s">
        <v>4874</v>
      </c>
      <c r="V4" s="596" t="s">
        <v>2556</v>
      </c>
      <c r="W4" s="596" t="s">
        <v>4885</v>
      </c>
      <c r="X4" s="597" t="s">
        <v>4875</v>
      </c>
      <c r="Y4" s="598" t="s">
        <v>4876</v>
      </c>
      <c r="AA4" s="3040"/>
      <c r="AB4" s="568"/>
      <c r="AC4" s="568"/>
      <c r="AD4" s="569"/>
      <c r="AE4" s="570" t="s">
        <v>6799</v>
      </c>
      <c r="AF4" s="570" t="s">
        <v>6800</v>
      </c>
      <c r="AG4" s="570" t="s">
        <v>2435</v>
      </c>
      <c r="AH4" s="570" t="s">
        <v>6801</v>
      </c>
      <c r="AI4" s="1280" t="s">
        <v>2478</v>
      </c>
      <c r="AJ4" s="569" t="s">
        <v>6802</v>
      </c>
      <c r="AK4" s="569" t="s">
        <v>6803</v>
      </c>
    </row>
    <row r="5" spans="1:37" ht="28.8" x14ac:dyDescent="0.3">
      <c r="A5" s="3050"/>
      <c r="B5" s="116" t="s">
        <v>6805</v>
      </c>
      <c r="C5" s="118"/>
      <c r="D5" s="1292"/>
      <c r="E5" s="1293"/>
      <c r="F5" s="1293"/>
      <c r="G5" s="1292"/>
      <c r="H5" s="1293"/>
      <c r="I5" s="1294"/>
      <c r="J5" s="1293"/>
      <c r="K5" s="1295"/>
      <c r="L5" s="369" t="s">
        <v>6806</v>
      </c>
      <c r="M5" s="572" t="s">
        <v>6807</v>
      </c>
      <c r="N5" s="573"/>
      <c r="P5" s="599" t="s">
        <v>6808</v>
      </c>
      <c r="Q5" s="600" t="str">
        <f>Sc.Table!A12</f>
        <v>Deep pit, tanker</v>
      </c>
      <c r="R5" s="105" t="s">
        <v>431</v>
      </c>
      <c r="S5" s="108"/>
      <c r="T5" s="601">
        <f>E35/T1</f>
        <v>0.51812538167062128</v>
      </c>
      <c r="U5" s="601">
        <f>F35*U1</f>
        <v>0.15290585659551295</v>
      </c>
      <c r="V5" s="601">
        <f>G35*V1</f>
        <v>0</v>
      </c>
      <c r="W5" s="601">
        <f>H35*W1</f>
        <v>0</v>
      </c>
      <c r="X5" s="601">
        <f>J35*X1</f>
        <v>8.8806076154703533</v>
      </c>
      <c r="Y5" s="601">
        <f>K35*Y1</f>
        <v>5.5112746043841678</v>
      </c>
      <c r="AA5" s="3040"/>
      <c r="AB5" s="116" t="s">
        <v>6805</v>
      </c>
      <c r="AC5" s="118"/>
      <c r="AD5" s="1292"/>
      <c r="AE5" s="1293"/>
      <c r="AF5" s="1293"/>
      <c r="AG5" s="1292"/>
      <c r="AH5" s="1293"/>
      <c r="AI5" s="1294"/>
      <c r="AJ5" s="1293"/>
      <c r="AK5" s="1295"/>
    </row>
    <row r="6" spans="1:37" x14ac:dyDescent="0.3">
      <c r="A6" s="3050"/>
      <c r="B6" s="49" t="s">
        <v>415</v>
      </c>
      <c r="C6" s="49" t="s">
        <v>2358</v>
      </c>
      <c r="D6" s="102">
        <f>'Sc1'!C5*1000</f>
        <v>0</v>
      </c>
      <c r="E6" s="2326">
        <f>+D6*UDV.lca.water_gwp</f>
        <v>0</v>
      </c>
      <c r="F6" s="2327"/>
      <c r="G6" s="2327">
        <f>+D6*UDV.lca.water_ef*UDV.lca.MJ_per_kg_oil_eq</f>
        <v>0</v>
      </c>
      <c r="H6" s="1711">
        <f>+D6*UDV.lca.water_wf</f>
        <v>0</v>
      </c>
      <c r="I6" s="1296">
        <f>D6/1000</f>
        <v>0</v>
      </c>
      <c r="J6" s="574"/>
      <c r="K6" s="1290"/>
      <c r="M6" s="73" t="s">
        <v>6809</v>
      </c>
      <c r="N6" s="15">
        <f>UDV.emit_N2O_direct.CO2e_cf</f>
        <v>310</v>
      </c>
      <c r="P6" s="602"/>
      <c r="Q6" s="600" t="str">
        <f>Sc.Table!A12</f>
        <v>Deep pit, tanker</v>
      </c>
      <c r="R6" s="104" t="s">
        <v>6810</v>
      </c>
      <c r="S6" s="37"/>
      <c r="T6" s="601">
        <f>E36/T1</f>
        <v>-1.3061437652166778E-2</v>
      </c>
      <c r="U6" s="601">
        <f>F36*U1</f>
        <v>0</v>
      </c>
      <c r="V6" s="601">
        <f>G36*V1</f>
        <v>-175.84678841120939</v>
      </c>
      <c r="W6" s="601">
        <f>H36*W1</f>
        <v>0.78467102406457045</v>
      </c>
      <c r="X6" s="1161">
        <f>J36*X1</f>
        <v>0</v>
      </c>
      <c r="Y6" s="601">
        <f>K36*Y1</f>
        <v>0</v>
      </c>
      <c r="AA6" s="3040"/>
      <c r="AB6" s="49" t="s">
        <v>415</v>
      </c>
      <c r="AC6" s="49" t="s">
        <v>2358</v>
      </c>
      <c r="AD6" s="50">
        <f>D6</f>
        <v>0</v>
      </c>
      <c r="AE6" s="2326">
        <f>+AD6*UDV.lca.water_gwp</f>
        <v>0</v>
      </c>
      <c r="AF6" s="2327"/>
      <c r="AG6" s="2327">
        <f>+AD6*UDV.lca.water_ef*UDV.lca.MJ_per_kg_oil_eq</f>
        <v>0</v>
      </c>
      <c r="AH6" s="1711">
        <f>+AD6*UDV.lca.water_wf</f>
        <v>0</v>
      </c>
      <c r="AI6" s="1296">
        <f>AD6/1000</f>
        <v>0</v>
      </c>
      <c r="AJ6" s="574"/>
      <c r="AK6" s="1290"/>
    </row>
    <row r="7" spans="1:37" ht="15" thickBot="1" x14ac:dyDescent="0.35">
      <c r="A7" s="3050"/>
      <c r="B7" s="49" t="s">
        <v>409</v>
      </c>
      <c r="C7" s="49" t="s">
        <v>2556</v>
      </c>
      <c r="D7" s="102">
        <f>'Sc1'!C6</f>
        <v>0</v>
      </c>
      <c r="E7" s="2326">
        <f>+D7*UDV.lca.electricity_gwp</f>
        <v>0</v>
      </c>
      <c r="F7" s="2327"/>
      <c r="G7" s="2327">
        <f>+D7*UDV.lca.electricity_ef*UDV.lca.MJ_per_kg_oil_eq</f>
        <v>0</v>
      </c>
      <c r="H7" s="2327">
        <f>+D7*UDV.lca.electricity_wf</f>
        <v>0</v>
      </c>
      <c r="I7" s="1296"/>
      <c r="J7" s="574"/>
      <c r="K7" s="1290"/>
      <c r="L7">
        <f>UDV.emit_N2O_direct.CO2e_cf</f>
        <v>310</v>
      </c>
      <c r="M7" s="75" t="s">
        <v>6811</v>
      </c>
      <c r="N7" s="16">
        <f>UDV.emit_CH4.CO2e_cf</f>
        <v>30</v>
      </c>
      <c r="P7" s="602"/>
      <c r="Q7" s="602" t="str">
        <f>Sc.Table!A12</f>
        <v>Deep pit, tanker</v>
      </c>
      <c r="R7" s="100" t="s">
        <v>485</v>
      </c>
      <c r="S7" s="37"/>
      <c r="T7" s="601">
        <f>E37/T1</f>
        <v>0.50506394401845456</v>
      </c>
      <c r="U7" s="601">
        <f>F37*U1</f>
        <v>0.15290585659551295</v>
      </c>
      <c r="V7" s="601">
        <f>G37*V1</f>
        <v>-175.84678841120939</v>
      </c>
      <c r="W7" s="601">
        <f>H37*W1</f>
        <v>0.78467102406457045</v>
      </c>
      <c r="X7" s="601">
        <f>J37*X1</f>
        <v>8.8806076154703533</v>
      </c>
      <c r="Y7" s="601">
        <f>K37*Y1</f>
        <v>5.5112746043841678</v>
      </c>
      <c r="Z7" s="1143">
        <f>X7/15000</f>
        <v>5.9204050769802354E-4</v>
      </c>
      <c r="AA7" s="3040"/>
      <c r="AB7" s="49" t="s">
        <v>409</v>
      </c>
      <c r="AC7" s="49" t="s">
        <v>2556</v>
      </c>
      <c r="AD7" s="50">
        <f>D7</f>
        <v>0</v>
      </c>
      <c r="AE7" s="2326">
        <f>+AD7*UDV.lca.electricity_gwp</f>
        <v>0</v>
      </c>
      <c r="AF7" s="2327"/>
      <c r="AG7" s="2327">
        <f>+AD7*UDV.lca.electricity_ef*UDV.lca.MJ_per_kg_oil_eq</f>
        <v>0</v>
      </c>
      <c r="AH7" s="2327">
        <f>+AD7*UDV.lca.electricity_wf</f>
        <v>0</v>
      </c>
      <c r="AI7" s="1296"/>
      <c r="AJ7" s="574"/>
      <c r="AK7" s="1290"/>
    </row>
    <row r="8" spans="1:37" ht="15" thickBot="1" x14ac:dyDescent="0.35">
      <c r="A8" s="3050"/>
      <c r="B8" s="49" t="s">
        <v>6812</v>
      </c>
      <c r="C8" s="49" t="s">
        <v>2435</v>
      </c>
      <c r="D8" s="50">
        <f>'Sc1'!C38*UDV.lca.MJ_per_gal_diesel</f>
        <v>107.34599949713768</v>
      </c>
      <c r="E8" s="2326">
        <f>+D8*UDV.lca.diesel_gwp</f>
        <v>4.8305699773711952</v>
      </c>
      <c r="F8" s="2327"/>
      <c r="G8" s="2326">
        <f>+D8*UDV.lca.diesel_ef*UDV.lca.MJ_per_kg_oil_eq</f>
        <v>173.94012985917749</v>
      </c>
      <c r="H8" s="2327">
        <f>+D8*UDV.lca.diesel_wf</f>
        <v>4.8305699773711949E-2</v>
      </c>
      <c r="I8" s="1296"/>
      <c r="J8" s="574"/>
      <c r="K8" s="1290"/>
      <c r="N8" s="42"/>
      <c r="P8" s="602" t="s">
        <v>6813</v>
      </c>
      <c r="Q8" s="602" t="str">
        <f>Sc.Table!A13</f>
        <v>Deep pit, drag hose</v>
      </c>
      <c r="R8" s="105" t="s">
        <v>431</v>
      </c>
      <c r="S8" s="37"/>
      <c r="T8" s="37">
        <f>AE35/$T$1</f>
        <v>0.52071524780695566</v>
      </c>
      <c r="U8" s="37">
        <f>AF35*U1</f>
        <v>0.15290585659551295</v>
      </c>
      <c r="V8" s="37">
        <f>AG35*V1</f>
        <v>0</v>
      </c>
      <c r="W8" s="37">
        <f t="shared" ref="W8" si="0">AH35*W1</f>
        <v>0</v>
      </c>
      <c r="X8" s="37">
        <f>AJ35*X1</f>
        <v>8.8806076154703533</v>
      </c>
      <c r="Y8" s="37">
        <f>AK35*Y1</f>
        <v>5.5112746043841678</v>
      </c>
      <c r="AA8" s="3040"/>
      <c r="AB8" s="49" t="s">
        <v>6812</v>
      </c>
      <c r="AC8" s="49" t="s">
        <v>2435</v>
      </c>
      <c r="AD8" s="53">
        <f>'Sc1'!C39*UDV.lca.MJ_per_gal_diesel</f>
        <v>144.21979102958329</v>
      </c>
      <c r="AE8" s="2326">
        <f>+AD8*UDV.lca.diesel_gwp</f>
        <v>6.4898905963312474</v>
      </c>
      <c r="AF8" s="2327"/>
      <c r="AG8" s="2326">
        <f>+AD8*UDV.lca.diesel_ef*UDV.lca.MJ_per_kg_oil_eq</f>
        <v>233.68927857081482</v>
      </c>
      <c r="AH8" s="2327">
        <f>+AD8*UDV.lca.diesel_wf</f>
        <v>6.4898905963312478E-2</v>
      </c>
      <c r="AI8" s="1296"/>
      <c r="AJ8" s="574"/>
      <c r="AK8" s="1290"/>
    </row>
    <row r="9" spans="1:37" ht="21" customHeight="1" x14ac:dyDescent="0.3">
      <c r="A9" s="3050"/>
      <c r="B9" s="49" t="s">
        <v>6814</v>
      </c>
      <c r="C9" s="49" t="s">
        <v>2358</v>
      </c>
      <c r="D9" s="9"/>
      <c r="E9" s="2326">
        <f>+D9*UDV.lca.sand_gwp</f>
        <v>0</v>
      </c>
      <c r="F9" s="2327"/>
      <c r="G9" s="2327">
        <f>+D9*UDV.lca.sand_ef*UDV.lca.MJ_per_kg_oil_eq</f>
        <v>0</v>
      </c>
      <c r="H9" s="2327">
        <f>+D9*UDV.lca.sand_wf</f>
        <v>0</v>
      </c>
      <c r="I9" s="1296"/>
      <c r="J9" s="574"/>
      <c r="K9" s="1290"/>
      <c r="L9" s="369" t="s">
        <v>6815</v>
      </c>
      <c r="M9" s="121" t="s">
        <v>6816</v>
      </c>
      <c r="N9" s="575"/>
      <c r="P9" s="602"/>
      <c r="Q9" s="602" t="str">
        <f>Sc.Table!A13</f>
        <v>Deep pit, drag hose</v>
      </c>
      <c r="R9" s="104" t="s">
        <v>6810</v>
      </c>
      <c r="S9" s="9"/>
      <c r="T9" s="37">
        <f t="shared" ref="T9:T10" si="1">AE36/$T$1</f>
        <v>-1.1402117033206725E-2</v>
      </c>
      <c r="U9" s="37">
        <f>AF36*U1</f>
        <v>0</v>
      </c>
      <c r="V9" s="37">
        <f>AG36*V1</f>
        <v>-159.24980133021793</v>
      </c>
      <c r="W9" s="37">
        <f>AH36*W1</f>
        <v>5.1681314895837227</v>
      </c>
      <c r="X9" s="37">
        <f>AJ36*X1</f>
        <v>0</v>
      </c>
      <c r="Y9" s="37">
        <f t="shared" ref="Y9" si="2">AK36*Y1</f>
        <v>0</v>
      </c>
      <c r="AA9" s="3040"/>
      <c r="AB9" s="49" t="s">
        <v>6814</v>
      </c>
      <c r="AC9" s="49" t="s">
        <v>2358</v>
      </c>
      <c r="AD9" s="9">
        <f>D9</f>
        <v>0</v>
      </c>
      <c r="AE9" s="2326">
        <f>+AD9*UDV.lca.sand_gwp</f>
        <v>0</v>
      </c>
      <c r="AF9" s="2327"/>
      <c r="AG9" s="2327">
        <f>+AD9*UDV.lca.sand_ef*UDV.lca.MJ_per_kg_oil_eq</f>
        <v>0</v>
      </c>
      <c r="AH9" s="2327">
        <f>+AD9*UDV.lca.sand_wf</f>
        <v>0</v>
      </c>
      <c r="AI9" s="1296"/>
      <c r="AJ9" s="574"/>
      <c r="AK9" s="1290"/>
    </row>
    <row r="10" spans="1:37" ht="23.25" customHeight="1" x14ac:dyDescent="0.3">
      <c r="A10" s="3050"/>
      <c r="B10" s="49"/>
      <c r="C10" s="49"/>
      <c r="D10" s="9"/>
      <c r="E10" s="2327"/>
      <c r="F10" s="2327"/>
      <c r="G10" s="2327"/>
      <c r="H10" s="2327"/>
      <c r="I10" s="1296"/>
      <c r="J10" s="574"/>
      <c r="K10" s="1290"/>
      <c r="L10" s="369" t="s">
        <v>6817</v>
      </c>
      <c r="M10" s="576" t="s">
        <v>6818</v>
      </c>
      <c r="N10" s="493">
        <f>UC.N_to_NH3</f>
        <v>1.216</v>
      </c>
      <c r="P10" s="602"/>
      <c r="Q10" s="602" t="str">
        <f>Sc.Table!A13</f>
        <v>Deep pit, drag hose</v>
      </c>
      <c r="R10" s="100" t="s">
        <v>485</v>
      </c>
      <c r="S10" s="9"/>
      <c r="T10" s="37">
        <f t="shared" si="1"/>
        <v>0.50931313077374896</v>
      </c>
      <c r="U10" s="37">
        <f>AF37*U1</f>
        <v>0.15290585659551295</v>
      </c>
      <c r="V10" s="37">
        <f>AG37*V1</f>
        <v>-159.24980133021793</v>
      </c>
      <c r="W10" s="37">
        <f t="shared" ref="W10" si="3">AH37*W1</f>
        <v>5.1681314895837227</v>
      </c>
      <c r="X10" s="37">
        <f>AJ37*X1</f>
        <v>8.8806076154703533</v>
      </c>
      <c r="Y10" s="37">
        <f>AK37*Y1</f>
        <v>5.5112746043841678</v>
      </c>
      <c r="AA10" s="3040"/>
      <c r="AB10" s="49"/>
      <c r="AC10" s="49"/>
      <c r="AD10" s="9"/>
      <c r="AE10" s="2327"/>
      <c r="AF10" s="2327"/>
      <c r="AG10" s="2327"/>
      <c r="AH10" s="2327"/>
      <c r="AI10" s="1296"/>
      <c r="AJ10" s="574"/>
      <c r="AK10" s="1290"/>
    </row>
    <row r="11" spans="1:37" ht="33" customHeight="1" x14ac:dyDescent="0.3">
      <c r="A11" s="3050"/>
      <c r="B11" s="1089" t="s">
        <v>6819</v>
      </c>
      <c r="C11" s="1089" t="s">
        <v>4885</v>
      </c>
      <c r="D11" s="1711">
        <f>'Sc1'!C38</f>
        <v>0.74062370289180135</v>
      </c>
      <c r="E11" s="1711">
        <f>D11*UDV.lca.diesel_combustion_gwp</f>
        <v>7.5395492954385377</v>
      </c>
      <c r="F11" s="1296"/>
      <c r="G11" s="1296"/>
      <c r="H11" s="1296"/>
      <c r="I11" s="1296"/>
      <c r="J11" s="574"/>
      <c r="K11" s="1290"/>
      <c r="L11" s="369" t="s">
        <v>6817</v>
      </c>
      <c r="M11" s="576" t="s">
        <v>6820</v>
      </c>
      <c r="N11" s="577">
        <v>2.1428571428571428</v>
      </c>
      <c r="P11" s="602" t="s">
        <v>6821</v>
      </c>
      <c r="Q11" s="602" t="str">
        <f>Sc.Table!A14</f>
        <v>Deep pit, aeration, tanker</v>
      </c>
      <c r="R11" s="105" t="s">
        <v>431</v>
      </c>
      <c r="S11" s="37"/>
      <c r="T11" s="62">
        <f>E72/T1</f>
        <v>0.3093662605738246</v>
      </c>
      <c r="U11" s="37">
        <f>F72*U1</f>
        <v>9.1748660576578017E-2</v>
      </c>
      <c r="V11" s="37">
        <f>G72*V1</f>
        <v>0</v>
      </c>
      <c r="W11" s="37">
        <f>H72*W1</f>
        <v>0</v>
      </c>
      <c r="X11" s="37">
        <f>J72*X1</f>
        <v>19.493877938087866</v>
      </c>
      <c r="Y11" s="37">
        <f>K72*Y1</f>
        <v>8.8749215826293248</v>
      </c>
      <c r="AA11" s="3040"/>
      <c r="AB11" s="1089" t="s">
        <v>6819</v>
      </c>
      <c r="AC11" s="1089" t="s">
        <v>4885</v>
      </c>
      <c r="AD11" s="53">
        <f>'Sc1'!C39</f>
        <v>0.99503098543937696</v>
      </c>
      <c r="AE11" s="1711">
        <f>AD11*UDV.lca.diesel_combustion_gwp</f>
        <v>10.129415431772857</v>
      </c>
      <c r="AF11" s="1296"/>
      <c r="AG11" s="1296"/>
      <c r="AH11" s="1296"/>
      <c r="AI11" s="1296"/>
      <c r="AJ11" s="574"/>
      <c r="AK11" s="1290"/>
    </row>
    <row r="12" spans="1:37" ht="16.5" customHeight="1" x14ac:dyDescent="0.3">
      <c r="A12" s="3050"/>
      <c r="B12" s="118" t="s">
        <v>6822</v>
      </c>
      <c r="C12" s="118"/>
      <c r="D12" s="1292"/>
      <c r="E12" s="1712"/>
      <c r="F12" s="1712"/>
      <c r="G12" s="1712"/>
      <c r="H12" s="1712"/>
      <c r="I12" s="1298"/>
      <c r="J12" s="1298"/>
      <c r="K12" s="1713"/>
      <c r="L12" s="369" t="s">
        <v>6823</v>
      </c>
      <c r="M12" s="576" t="s">
        <v>6824</v>
      </c>
      <c r="N12" s="493">
        <v>1.57</v>
      </c>
      <c r="P12" s="602"/>
      <c r="Q12" s="602" t="str">
        <f>Sc.Table!A14</f>
        <v>Deep pit, aeration, tanker</v>
      </c>
      <c r="R12" s="104" t="s">
        <v>6810</v>
      </c>
      <c r="S12" s="9"/>
      <c r="T12" s="37">
        <f>E73/T1</f>
        <v>4.4467332870797745E-3</v>
      </c>
      <c r="U12" s="37">
        <f>F73*U1</f>
        <v>0</v>
      </c>
      <c r="V12" s="37">
        <f>G73*V1</f>
        <v>-88.665354960517263</v>
      </c>
      <c r="W12" s="37">
        <f>H73*W1</f>
        <v>14.903654095344963</v>
      </c>
      <c r="X12" s="37">
        <f>J73*X1</f>
        <v>0</v>
      </c>
      <c r="Y12" s="37">
        <f>K73*Y1</f>
        <v>0</v>
      </c>
      <c r="AA12" s="3040"/>
      <c r="AB12" s="118" t="s">
        <v>6822</v>
      </c>
      <c r="AC12" s="118"/>
      <c r="AD12" s="1292"/>
      <c r="AE12" s="1712"/>
      <c r="AF12" s="1712"/>
      <c r="AG12" s="1712"/>
      <c r="AH12" s="1712"/>
      <c r="AI12" s="1298"/>
      <c r="AJ12" s="1298"/>
      <c r="AK12" s="1713"/>
    </row>
    <row r="13" spans="1:37" ht="15" thickBot="1" x14ac:dyDescent="0.35">
      <c r="A13" s="3050"/>
      <c r="B13" s="49" t="s">
        <v>6786</v>
      </c>
      <c r="C13" s="49" t="s">
        <v>2268</v>
      </c>
      <c r="D13" s="50">
        <f>'Sc1'!C36</f>
        <v>618.78900303722276</v>
      </c>
      <c r="E13" s="578"/>
      <c r="F13" s="1711">
        <f>+D13</f>
        <v>618.78900303722276</v>
      </c>
      <c r="G13" s="578"/>
      <c r="H13" s="578"/>
      <c r="I13" s="1299"/>
      <c r="J13" s="574"/>
      <c r="K13" s="1290"/>
      <c r="M13" s="579" t="s">
        <v>6825</v>
      </c>
      <c r="N13" s="354">
        <f>UC.N_to_NO3</f>
        <v>4.4249999999999998</v>
      </c>
      <c r="P13" s="602"/>
      <c r="Q13" s="602" t="str">
        <f>Sc.Table!A14</f>
        <v>Deep pit, aeration, tanker</v>
      </c>
      <c r="R13" s="100" t="s">
        <v>485</v>
      </c>
      <c r="S13" s="9"/>
      <c r="T13" s="37">
        <f>E74/T1</f>
        <v>0.31381299386090439</v>
      </c>
      <c r="U13" s="37">
        <f>F74*U1</f>
        <v>9.1748660576578017E-2</v>
      </c>
      <c r="V13" s="37">
        <f>G74*V1</f>
        <v>-88.665354960517263</v>
      </c>
      <c r="W13" s="37">
        <f>H74*W1</f>
        <v>14.903654095344963</v>
      </c>
      <c r="X13" s="37">
        <f>J74*X1</f>
        <v>19.493877938087866</v>
      </c>
      <c r="Y13" s="37">
        <f>K74*Y1</f>
        <v>8.8749215826293248</v>
      </c>
      <c r="AA13" s="3040"/>
      <c r="AB13" s="49" t="s">
        <v>6786</v>
      </c>
      <c r="AC13" s="49" t="s">
        <v>2268</v>
      </c>
      <c r="AD13" s="50">
        <f>D13</f>
        <v>618.78900303722276</v>
      </c>
      <c r="AE13" s="578"/>
      <c r="AF13" s="1711">
        <f>+AD13</f>
        <v>618.78900303722276</v>
      </c>
      <c r="AG13" s="578"/>
      <c r="AH13" s="578"/>
      <c r="AI13" s="1299"/>
      <c r="AJ13" s="574"/>
      <c r="AK13" s="1290"/>
    </row>
    <row r="14" spans="1:37" ht="15" thickBot="1" x14ac:dyDescent="0.35">
      <c r="A14" s="3050"/>
      <c r="B14" s="76" t="s">
        <v>6826</v>
      </c>
      <c r="C14" s="76"/>
      <c r="D14" s="9"/>
      <c r="E14" s="578"/>
      <c r="F14" s="578"/>
      <c r="G14" s="578"/>
      <c r="H14" s="578"/>
      <c r="I14" s="1299"/>
      <c r="J14" s="574"/>
      <c r="K14" s="1290"/>
      <c r="N14" s="42"/>
      <c r="P14" s="602" t="s">
        <v>6827</v>
      </c>
      <c r="Q14" s="602" t="str">
        <f>Sc.Table!A15</f>
        <v>Deep pit, aeration, drag hose</v>
      </c>
      <c r="R14" s="105" t="s">
        <v>431</v>
      </c>
      <c r="S14" s="37"/>
      <c r="T14" s="632">
        <f>AE72/T1</f>
        <v>0.31062357777460914</v>
      </c>
      <c r="U14" s="37">
        <f>AF72*U1</f>
        <v>9.1748660576578017E-2</v>
      </c>
      <c r="V14" s="37">
        <f>AG72*V1</f>
        <v>0</v>
      </c>
      <c r="W14" s="37">
        <f>AH72*W1</f>
        <v>0</v>
      </c>
      <c r="X14" s="37">
        <f>AJ72*X1</f>
        <v>19.493877938087866</v>
      </c>
      <c r="Y14" s="37">
        <f>AK72*Y1</f>
        <v>8.8749215826293248</v>
      </c>
      <c r="AA14" s="3040"/>
      <c r="AB14" s="76" t="s">
        <v>6826</v>
      </c>
      <c r="AC14" s="76"/>
      <c r="AD14" s="9"/>
      <c r="AE14" s="578"/>
      <c r="AF14" s="578"/>
      <c r="AG14" s="578"/>
      <c r="AH14" s="578"/>
      <c r="AI14" s="1299"/>
      <c r="AJ14" s="574"/>
      <c r="AK14" s="1290"/>
    </row>
    <row r="15" spans="1:37" ht="28.8" x14ac:dyDescent="0.3">
      <c r="A15" s="3050"/>
      <c r="B15" s="117" t="s">
        <v>6828</v>
      </c>
      <c r="C15" s="49" t="s">
        <v>2358</v>
      </c>
      <c r="D15" s="37">
        <f>+D28*1</f>
        <v>0.10438990871715</v>
      </c>
      <c r="E15" s="1711">
        <f>+D15*UDV.emit_N2O_direct.CO2e_cf</f>
        <v>32.360871702316501</v>
      </c>
      <c r="F15" s="578"/>
      <c r="G15" s="578"/>
      <c r="H15" s="578"/>
      <c r="I15" s="1299"/>
      <c r="J15" s="574"/>
      <c r="K15" s="1290"/>
      <c r="L15" s="580" t="s">
        <v>6829</v>
      </c>
      <c r="M15" s="300" t="s">
        <v>6830</v>
      </c>
      <c r="N15" s="581">
        <f>UDV.lca.urea_n_content</f>
        <v>0.7</v>
      </c>
      <c r="O15" s="582"/>
      <c r="P15" s="602"/>
      <c r="Q15" s="602" t="str">
        <f>Sc.Table!A15</f>
        <v>Deep pit, aeration, drag hose</v>
      </c>
      <c r="R15" s="104" t="s">
        <v>6810</v>
      </c>
      <c r="S15" s="9"/>
      <c r="T15" s="37">
        <f>AE73/T1</f>
        <v>5.2522932063997323E-3</v>
      </c>
      <c r="U15" s="37">
        <f>AF73*U1</f>
        <v>0</v>
      </c>
      <c r="V15" s="37">
        <f>AG73*V1</f>
        <v>-80.607920236240062</v>
      </c>
      <c r="W15" s="37">
        <f>AH73*W1</f>
        <v>17.031717845410885</v>
      </c>
      <c r="X15" s="37">
        <f>AJ73*X1</f>
        <v>0</v>
      </c>
      <c r="Y15" s="37">
        <f>AK73*Y1</f>
        <v>0</v>
      </c>
      <c r="AA15" s="3040"/>
      <c r="AB15" s="117" t="s">
        <v>6828</v>
      </c>
      <c r="AC15" s="49" t="s">
        <v>2358</v>
      </c>
      <c r="AD15" s="37">
        <f>D15</f>
        <v>0.10438990871715</v>
      </c>
      <c r="AE15" s="1711">
        <f>+AD15*UDV.emit_N2O_direct.CO2e_cf</f>
        <v>32.360871702316501</v>
      </c>
      <c r="AF15" s="578"/>
      <c r="AG15" s="578"/>
      <c r="AH15" s="578"/>
      <c r="AI15" s="1299"/>
      <c r="AJ15" s="574"/>
      <c r="AK15" s="1290"/>
    </row>
    <row r="16" spans="1:37" x14ac:dyDescent="0.3">
      <c r="A16" s="3050"/>
      <c r="B16" s="117" t="s">
        <v>4894</v>
      </c>
      <c r="C16" s="49" t="s">
        <v>2358</v>
      </c>
      <c r="D16" s="37">
        <f>'Sc1'!C18</f>
        <v>15.940832022428877</v>
      </c>
      <c r="E16" s="1711">
        <f>+D16*UDV.emit_CH4.CO2e_cf</f>
        <v>478.2249606728663</v>
      </c>
      <c r="F16" s="578"/>
      <c r="G16" s="578"/>
      <c r="H16" s="578"/>
      <c r="I16" s="1299"/>
      <c r="J16" s="574"/>
      <c r="K16" s="1290"/>
      <c r="L16" s="583" t="s">
        <v>6831</v>
      </c>
      <c r="M16" s="73" t="s">
        <v>6832</v>
      </c>
      <c r="N16" s="584">
        <f>UDV.lca.P2O5_TSP</f>
        <v>0.9</v>
      </c>
      <c r="O16" s="582"/>
      <c r="P16" s="602"/>
      <c r="Q16" s="602" t="str">
        <f>Sc.Table!A15</f>
        <v>Deep pit, aeration, drag hose</v>
      </c>
      <c r="R16" s="100" t="s">
        <v>485</v>
      </c>
      <c r="S16" s="9"/>
      <c r="T16" s="37">
        <f>AE74/T1</f>
        <v>0.31587587098100883</v>
      </c>
      <c r="U16" s="37">
        <f>AF74*U1</f>
        <v>9.1748660576578017E-2</v>
      </c>
      <c r="V16" s="37">
        <f>AG74*V1</f>
        <v>-80.607920236240062</v>
      </c>
      <c r="W16" s="37">
        <f>AH74*W1</f>
        <v>17.031717845410885</v>
      </c>
      <c r="X16" s="37">
        <f>AJ74*X1</f>
        <v>19.493877938087866</v>
      </c>
      <c r="Y16" s="37">
        <f>AK74*Y1</f>
        <v>8.8749215826293248</v>
      </c>
      <c r="AA16" s="3040"/>
      <c r="AB16" s="117" t="s">
        <v>4894</v>
      </c>
      <c r="AC16" s="49" t="s">
        <v>2358</v>
      </c>
      <c r="AD16" s="37">
        <f t="shared" ref="AD16:AD17" si="4">D16</f>
        <v>15.940832022428877</v>
      </c>
      <c r="AE16" s="1711">
        <f>+AD16*UDV.emit_CH4.CO2e_cf</f>
        <v>478.2249606728663</v>
      </c>
      <c r="AF16" s="578"/>
      <c r="AG16" s="578"/>
      <c r="AH16" s="578"/>
      <c r="AI16" s="1299"/>
      <c r="AJ16" s="574"/>
      <c r="AK16" s="1290"/>
    </row>
    <row r="17" spans="1:37" ht="15" thickBot="1" x14ac:dyDescent="0.35">
      <c r="A17" s="3050"/>
      <c r="B17" s="117" t="s">
        <v>6833</v>
      </c>
      <c r="C17" s="49" t="s">
        <v>2358</v>
      </c>
      <c r="D17" s="9">
        <v>0</v>
      </c>
      <c r="E17" s="1711">
        <f>D17*UDV.lca.CO2_toggle</f>
        <v>0</v>
      </c>
      <c r="F17" s="578"/>
      <c r="G17" s="578"/>
      <c r="H17" s="578"/>
      <c r="I17" s="1299"/>
      <c r="J17" s="574"/>
      <c r="K17" s="1290"/>
      <c r="L17" s="583" t="s">
        <v>6834</v>
      </c>
      <c r="M17" s="75" t="s">
        <v>6835</v>
      </c>
      <c r="N17" s="585">
        <f>UDV.lca.K2O_KCI</f>
        <v>1</v>
      </c>
      <c r="O17" s="582"/>
      <c r="P17" s="1112" t="s">
        <v>6836</v>
      </c>
      <c r="Q17" s="1112" t="str">
        <f>Sc.Table!A16</f>
        <v>Shallow pit, flush, lagoon, irrigation + tanker</v>
      </c>
      <c r="R17" s="1113" t="s">
        <v>431</v>
      </c>
      <c r="S17" s="1074"/>
      <c r="T17" s="1074">
        <f>E109/T1</f>
        <v>1.0374062532352302</v>
      </c>
      <c r="U17" s="1074">
        <f>F109*U1</f>
        <v>7.3582354609956033E-2</v>
      </c>
      <c r="V17" s="1074">
        <f>G109*V1</f>
        <v>0</v>
      </c>
      <c r="W17" s="1074">
        <f>H109*W1</f>
        <v>29.896989112683265</v>
      </c>
      <c r="X17" s="1074">
        <f>J109*X1</f>
        <v>22.923877597820468</v>
      </c>
      <c r="Y17" s="1074">
        <f>K109*Y1</f>
        <v>7.4243912015567393</v>
      </c>
      <c r="AA17" s="3040"/>
      <c r="AB17" s="117" t="s">
        <v>6833</v>
      </c>
      <c r="AC17" s="49" t="s">
        <v>2358</v>
      </c>
      <c r="AD17" s="37">
        <f t="shared" si="4"/>
        <v>0</v>
      </c>
      <c r="AE17" s="1711">
        <f>AD17*UDV.lca.CO2_toggle</f>
        <v>0</v>
      </c>
      <c r="AF17" s="578"/>
      <c r="AG17" s="578"/>
      <c r="AH17" s="578"/>
      <c r="AI17" s="1299"/>
      <c r="AJ17" s="574"/>
      <c r="AK17" s="1290"/>
    </row>
    <row r="18" spans="1:37" ht="15" thickBot="1" x14ac:dyDescent="0.35">
      <c r="A18" s="3050"/>
      <c r="B18" s="117"/>
      <c r="C18" s="49"/>
      <c r="D18" s="50"/>
      <c r="E18" s="1300"/>
      <c r="F18" s="1300"/>
      <c r="G18" s="1300"/>
      <c r="H18" s="1300"/>
      <c r="I18" s="1300"/>
      <c r="J18" s="1711">
        <f>+SUM(D28:D30)</f>
        <v>4.0281806458574962</v>
      </c>
      <c r="K18" s="2328">
        <f>+SUM(D33)</f>
        <v>2.4998750825013691</v>
      </c>
      <c r="L18" s="20" t="s">
        <v>6837</v>
      </c>
      <c r="N18" s="42"/>
      <c r="P18" s="1112"/>
      <c r="Q18" s="1112" t="str">
        <f>Sc.Table!A16</f>
        <v>Shallow pit, flush, lagoon, irrigation + tanker</v>
      </c>
      <c r="R18" s="1115" t="s">
        <v>6810</v>
      </c>
      <c r="S18" s="1114"/>
      <c r="T18" s="1074">
        <f>E110/T1</f>
        <v>-6.8747581410891377E-3</v>
      </c>
      <c r="U18" s="1074">
        <f>F110*U1</f>
        <v>0</v>
      </c>
      <c r="V18" s="1074">
        <f>G110*V1</f>
        <v>-89.916636001319574</v>
      </c>
      <c r="W18" s="1074">
        <f>H110*W1</f>
        <v>0.51026777975236381</v>
      </c>
      <c r="X18" s="1074">
        <f>J110*X1</f>
        <v>0</v>
      </c>
      <c r="Y18" s="1074">
        <f>K110*Y1</f>
        <v>0</v>
      </c>
      <c r="AA18" s="3040"/>
      <c r="AB18" s="117"/>
      <c r="AC18" s="49"/>
      <c r="AD18" s="50"/>
      <c r="AE18" s="1300"/>
      <c r="AF18" s="1300"/>
      <c r="AG18" s="1300"/>
      <c r="AH18" s="1300"/>
      <c r="AI18" s="1300"/>
      <c r="AJ18" s="1711">
        <f>+SUM(AD28:AD30)</f>
        <v>4.0281806458574962</v>
      </c>
      <c r="AK18" s="2328">
        <f>+SUM(AD33)</f>
        <v>2.4998750825013691</v>
      </c>
    </row>
    <row r="19" spans="1:37" x14ac:dyDescent="0.3">
      <c r="A19" s="3050"/>
      <c r="B19" s="116" t="s">
        <v>6838</v>
      </c>
      <c r="C19" s="118"/>
      <c r="D19" s="1292"/>
      <c r="E19" s="1712"/>
      <c r="F19" s="1712"/>
      <c r="G19" s="1712"/>
      <c r="H19" s="1712"/>
      <c r="I19" s="1298"/>
      <c r="J19" s="1293"/>
      <c r="K19" s="1295"/>
      <c r="M19" s="586" t="s">
        <v>6787</v>
      </c>
      <c r="N19" s="587" t="s">
        <v>2435</v>
      </c>
      <c r="P19" s="1112"/>
      <c r="Q19" s="1112" t="str">
        <f>Sc.Table!A16</f>
        <v>Shallow pit, flush, lagoon, irrigation + tanker</v>
      </c>
      <c r="R19" s="1116" t="s">
        <v>485</v>
      </c>
      <c r="S19" s="1114"/>
      <c r="T19" s="1074">
        <f>E111/T1</f>
        <v>1.0305314950941411</v>
      </c>
      <c r="U19" s="1074">
        <f>F111*U1</f>
        <v>7.3582354609956033E-2</v>
      </c>
      <c r="V19" s="1074">
        <f>G111*V1</f>
        <v>-89.916636001319574</v>
      </c>
      <c r="W19" s="1074">
        <f>H111*W1</f>
        <v>30.40725689243563</v>
      </c>
      <c r="X19" s="1074">
        <f>J111*X1</f>
        <v>22.923877597820468</v>
      </c>
      <c r="Y19" s="1074">
        <f>K111*Y1</f>
        <v>7.4243912015567393</v>
      </c>
      <c r="AA19" s="3040"/>
      <c r="AB19" s="116" t="s">
        <v>6838</v>
      </c>
      <c r="AC19" s="118"/>
      <c r="AD19" s="1292"/>
      <c r="AE19" s="1712"/>
      <c r="AF19" s="1712"/>
      <c r="AG19" s="1712"/>
      <c r="AH19" s="1712"/>
      <c r="AI19" s="1298"/>
      <c r="AJ19" s="1293"/>
      <c r="AK19" s="1295"/>
    </row>
    <row r="20" spans="1:37" ht="15" thickBot="1" x14ac:dyDescent="0.35">
      <c r="A20" s="3050"/>
      <c r="B20" s="49" t="s">
        <v>6839</v>
      </c>
      <c r="C20" s="49" t="s">
        <v>2358</v>
      </c>
      <c r="D20" s="588">
        <f>+D24*UDV.lca.urea_n_content</f>
        <v>9.9562158568542038</v>
      </c>
      <c r="E20" s="2327">
        <f>-D20*UDV.lca.urea_gwp</f>
        <v>-11.937502812368191</v>
      </c>
      <c r="F20" s="2327"/>
      <c r="G20" s="2327">
        <f>-D20*UDV.lca.urea_ef*UDV.lca.MJ_per_kg_oil_eq</f>
        <v>-678.80680866703995</v>
      </c>
      <c r="H20" s="2327">
        <f>-D20*UDV.lca.urea_wf</f>
        <v>-2.9811492021755329E-2</v>
      </c>
      <c r="I20" s="574"/>
      <c r="J20" s="574"/>
      <c r="K20" s="1290"/>
      <c r="L20" s="34" t="s">
        <v>6840</v>
      </c>
      <c r="M20" s="115">
        <v>1</v>
      </c>
      <c r="N20" s="589">
        <v>41.868000000000002</v>
      </c>
      <c r="P20" s="1112" t="s">
        <v>6841</v>
      </c>
      <c r="Q20" s="1112" t="str">
        <f>Sc.Table!A17</f>
        <v>Shallow pit, flush, lagoon, irrigation + drag hose</v>
      </c>
      <c r="R20" s="1113" t="s">
        <v>431</v>
      </c>
      <c r="S20" s="1074"/>
      <c r="T20" s="1074">
        <f>AE109/T1</f>
        <v>1.0352789698260976</v>
      </c>
      <c r="U20" s="1074">
        <f>AF109*U1</f>
        <v>7.3582354609956033E-2</v>
      </c>
      <c r="V20" s="1074">
        <f>AG109*V1</f>
        <v>0</v>
      </c>
      <c r="W20" s="1074">
        <f>AH109*W1</f>
        <v>29.896989112683265</v>
      </c>
      <c r="X20" s="1074">
        <f>AJ109*X1</f>
        <v>22.923877597820468</v>
      </c>
      <c r="Y20" s="1074">
        <f>AK109*Y1</f>
        <v>7.4243912015567393</v>
      </c>
      <c r="AA20" s="3040"/>
      <c r="AB20" s="49" t="s">
        <v>6839</v>
      </c>
      <c r="AC20" s="49" t="s">
        <v>2358</v>
      </c>
      <c r="AD20" s="588">
        <f>D20</f>
        <v>9.9562158568542038</v>
      </c>
      <c r="AE20" s="2327">
        <f>-AD20*UDV.lca.urea_gwp</f>
        <v>-11.937502812368191</v>
      </c>
      <c r="AF20" s="2327"/>
      <c r="AG20" s="2327">
        <f>-AD20*UDV.lca.urea_ef*UDV.lca.MJ_per_kg_oil_eq</f>
        <v>-678.80680866703995</v>
      </c>
      <c r="AH20" s="2327">
        <f>-AD20*UDV.lca.urea_wf</f>
        <v>-2.9811492021755329E-2</v>
      </c>
      <c r="AI20" s="574"/>
      <c r="AJ20" s="574"/>
      <c r="AK20" s="1290"/>
    </row>
    <row r="21" spans="1:37" ht="15" thickBot="1" x14ac:dyDescent="0.35">
      <c r="A21" s="3050"/>
      <c r="B21" s="49" t="s">
        <v>6842</v>
      </c>
      <c r="C21" s="49" t="s">
        <v>2358</v>
      </c>
      <c r="D21" s="588">
        <f>+D25*UDV.lca.P2O5_TSP</f>
        <v>3.728910975748768</v>
      </c>
      <c r="E21" s="2327">
        <f>-D21*UDV.lca.P2O5_gwp</f>
        <v>-3.2292369049984329</v>
      </c>
      <c r="F21" s="2327"/>
      <c r="G21" s="2327">
        <f>-D21*UDV.lca.P2O5_ef*UDV.lca.MJ_per_kg_oil_eq</f>
        <v>-79.864489944970273</v>
      </c>
      <c r="H21" s="2327">
        <f>-D21*UDV.lca.P2O5_wf</f>
        <v>-1.383314775877496E-3</v>
      </c>
      <c r="I21" s="574"/>
      <c r="J21" s="574"/>
      <c r="K21" s="1290"/>
      <c r="L21" t="s">
        <v>6843</v>
      </c>
      <c r="M21" s="42"/>
      <c r="N21" s="42"/>
      <c r="P21" s="1112"/>
      <c r="Q21" s="1112" t="str">
        <f>Sc.Table!A17</f>
        <v>Shallow pit, flush, lagoon, irrigation + drag hose</v>
      </c>
      <c r="R21" s="1115" t="s">
        <v>6810</v>
      </c>
      <c r="S21" s="1114"/>
      <c r="T21" s="1074">
        <f>AE110/T1</f>
        <v>-8.2377031881800157E-3</v>
      </c>
      <c r="U21" s="1074">
        <f>AF110*U1</f>
        <v>0</v>
      </c>
      <c r="V21" s="1074">
        <f>AG110*V1</f>
        <v>-103.54919204877336</v>
      </c>
      <c r="W21" s="1074">
        <f>AH110*W1</f>
        <v>-3.0902514100485514</v>
      </c>
      <c r="X21" s="1074">
        <f>AJ110*X1</f>
        <v>0</v>
      </c>
      <c r="Y21" s="1074">
        <f>AK110*Y1</f>
        <v>0</v>
      </c>
      <c r="AA21" s="3040"/>
      <c r="AB21" s="49" t="s">
        <v>6842</v>
      </c>
      <c r="AC21" s="49" t="s">
        <v>2358</v>
      </c>
      <c r="AD21" s="588">
        <f t="shared" ref="AD21:AD22" si="5">D21</f>
        <v>3.728910975748768</v>
      </c>
      <c r="AE21" s="2327">
        <f>-AD21*UDV.lca.P2O5_gwp</f>
        <v>-3.2292369049984329</v>
      </c>
      <c r="AF21" s="2327"/>
      <c r="AG21" s="2327">
        <f>-AD21*UDV.lca.P2O5_ef*UDV.lca.MJ_per_kg_oil_eq</f>
        <v>-79.864489944970273</v>
      </c>
      <c r="AH21" s="2327">
        <f>-AD21*UDV.lca.P2O5_wf</f>
        <v>-1.383314775877496E-3</v>
      </c>
      <c r="AI21" s="574"/>
      <c r="AJ21" s="574"/>
      <c r="AK21" s="1290"/>
    </row>
    <row r="22" spans="1:37" x14ac:dyDescent="0.3">
      <c r="A22" s="3050"/>
      <c r="B22" s="49" t="s">
        <v>6844</v>
      </c>
      <c r="C22" s="49" t="s">
        <v>2358</v>
      </c>
      <c r="D22" s="588">
        <f>+D26*UDV.lca.K2O_KCI</f>
        <v>6.2363110118337506</v>
      </c>
      <c r="E22" s="2327">
        <f>-D22*UDV.lca.K2O_gwp</f>
        <v>-2.7252679121713488</v>
      </c>
      <c r="F22" s="2327"/>
      <c r="G22" s="2327">
        <f>-D22*UDV.lca.K2O_ef*UDV.lca.MJ_per_kg_oil_eq</f>
        <v>-48.317218883650114</v>
      </c>
      <c r="H22" s="2327">
        <f>-D22*UDV.lca.K2O_wf</f>
        <v>-1.414058944631605E-2</v>
      </c>
      <c r="I22" s="574"/>
      <c r="J22" s="574"/>
      <c r="K22" s="1290"/>
      <c r="L22" t="s">
        <v>6845</v>
      </c>
      <c r="M22" s="586" t="s">
        <v>6846</v>
      </c>
      <c r="N22" s="587" t="s">
        <v>2435</v>
      </c>
      <c r="P22" s="1112"/>
      <c r="Q22" s="1112" t="str">
        <f>Sc.Table!A17</f>
        <v>Shallow pit, flush, lagoon, irrigation + drag hose</v>
      </c>
      <c r="R22" s="1116" t="s">
        <v>485</v>
      </c>
      <c r="S22" s="1114"/>
      <c r="T22" s="1074">
        <f>AE111/T1</f>
        <v>1.0270412666379176</v>
      </c>
      <c r="U22" s="1074">
        <f>AF111*U1</f>
        <v>7.3582354609956033E-2</v>
      </c>
      <c r="V22" s="1074">
        <f>AG111*V1</f>
        <v>-103.54919204877336</v>
      </c>
      <c r="W22" s="1074">
        <f>AH111*W1</f>
        <v>26.806737702634713</v>
      </c>
      <c r="X22" s="1074">
        <f>AJ111*X1</f>
        <v>22.923877597820468</v>
      </c>
      <c r="Y22" s="1074">
        <f>AK111*Y1</f>
        <v>7.4243912015567393</v>
      </c>
      <c r="AA22" s="3040"/>
      <c r="AB22" s="49" t="s">
        <v>6844</v>
      </c>
      <c r="AC22" s="49" t="s">
        <v>2358</v>
      </c>
      <c r="AD22" s="588">
        <f t="shared" si="5"/>
        <v>6.2363110118337506</v>
      </c>
      <c r="AE22" s="2327">
        <f>-AD22*UDV.lca.K2O_gwp</f>
        <v>-2.7252679121713488</v>
      </c>
      <c r="AF22" s="2327"/>
      <c r="AG22" s="2327">
        <f>-AD22*UDV.lca.K2O_ef*UDV.lca.MJ_per_kg_oil_eq</f>
        <v>-48.317218883650114</v>
      </c>
      <c r="AH22" s="2327">
        <f>-AD22*UDV.lca.K2O_wf</f>
        <v>-1.414058944631605E-2</v>
      </c>
      <c r="AI22" s="574"/>
      <c r="AJ22" s="574"/>
      <c r="AK22" s="1290"/>
    </row>
    <row r="23" spans="1:37" ht="15" thickBot="1" x14ac:dyDescent="0.35">
      <c r="A23" s="3050"/>
      <c r="B23" s="116" t="s">
        <v>6847</v>
      </c>
      <c r="C23" s="118"/>
      <c r="D23" s="1292"/>
      <c r="E23" s="1712"/>
      <c r="F23" s="1712"/>
      <c r="G23" s="1712"/>
      <c r="H23" s="1712"/>
      <c r="I23" s="1298"/>
      <c r="J23" s="1293"/>
      <c r="K23" s="1295"/>
      <c r="L23" t="s">
        <v>6848</v>
      </c>
      <c r="M23" s="115">
        <v>1</v>
      </c>
      <c r="N23" s="16">
        <v>144.94</v>
      </c>
      <c r="P23" s="602" t="s">
        <v>6849</v>
      </c>
      <c r="Q23" s="602" t="str">
        <f>Sc.Table!A18</f>
        <v>Shallow pit, scrape auto, lagoon, irrigation + tanker</v>
      </c>
      <c r="R23" s="105" t="s">
        <v>431</v>
      </c>
      <c r="S23" s="37"/>
      <c r="T23" s="37">
        <f>E146/T1</f>
        <v>1.0331861182773208</v>
      </c>
      <c r="U23" s="37">
        <f>F146*U1</f>
        <v>8.0334528050857806E-2</v>
      </c>
      <c r="V23" s="37">
        <f>G146*V1</f>
        <v>0</v>
      </c>
      <c r="W23" s="37">
        <f>H146*W1</f>
        <v>29.896989112683265</v>
      </c>
      <c r="X23" s="37">
        <f>J146*X1</f>
        <v>21.167071104036143</v>
      </c>
      <c r="Y23" s="37">
        <f>K146*Y1</f>
        <v>6.8559239300960995</v>
      </c>
      <c r="AA23" s="3040"/>
      <c r="AB23" s="116" t="s">
        <v>6847</v>
      </c>
      <c r="AC23" s="118"/>
      <c r="AD23" s="1292"/>
      <c r="AE23" s="1712"/>
      <c r="AF23" s="1712"/>
      <c r="AG23" s="1712"/>
      <c r="AH23" s="1712"/>
      <c r="AI23" s="1298"/>
      <c r="AJ23" s="1293"/>
      <c r="AK23" s="1295"/>
    </row>
    <row r="24" spans="1:37" x14ac:dyDescent="0.3">
      <c r="A24" s="3050"/>
      <c r="B24" s="49" t="s">
        <v>84</v>
      </c>
      <c r="C24" s="49" t="s">
        <v>2358</v>
      </c>
      <c r="D24" s="37">
        <f>'Sc1'!C41-'Sc1'!C45</f>
        <v>14.223165509791722</v>
      </c>
      <c r="E24" s="578"/>
      <c r="F24" s="578"/>
      <c r="G24" s="578"/>
      <c r="H24" s="578"/>
      <c r="I24" s="1299"/>
      <c r="J24" s="574"/>
      <c r="K24" s="1290"/>
      <c r="P24" s="602"/>
      <c r="Q24" s="602" t="str">
        <f>Sc.Table!A18</f>
        <v>Shallow pit, scrape auto, lagoon, irrigation + tanker</v>
      </c>
      <c r="R24" s="104" t="s">
        <v>6810</v>
      </c>
      <c r="S24" s="9"/>
      <c r="T24" s="37">
        <f>E147/T1</f>
        <v>-4.7438392913022581E-3</v>
      </c>
      <c r="U24" s="37">
        <f>F147*U1</f>
        <v>0</v>
      </c>
      <c r="V24" s="37">
        <f>G147*V1</f>
        <v>-100.339375076615</v>
      </c>
      <c r="W24" s="37">
        <f>H147*W1</f>
        <v>3.5246159040500209</v>
      </c>
      <c r="X24" s="37">
        <f>J147*X1</f>
        <v>0</v>
      </c>
      <c r="Y24" s="37">
        <f>K147*Y1</f>
        <v>0</v>
      </c>
      <c r="AA24" s="3040"/>
      <c r="AB24" s="49" t="s">
        <v>84</v>
      </c>
      <c r="AC24" s="49" t="s">
        <v>2358</v>
      </c>
      <c r="AD24" s="50">
        <f>D24</f>
        <v>14.223165509791722</v>
      </c>
      <c r="AE24" s="578"/>
      <c r="AF24" s="578"/>
      <c r="AG24" s="578"/>
      <c r="AH24" s="578"/>
      <c r="AI24" s="1299"/>
      <c r="AJ24" s="574"/>
      <c r="AK24" s="1290"/>
    </row>
    <row r="25" spans="1:37" x14ac:dyDescent="0.3">
      <c r="A25" s="3050"/>
      <c r="B25" s="49" t="s">
        <v>941</v>
      </c>
      <c r="C25" s="49" t="s">
        <v>2358</v>
      </c>
      <c r="D25" s="37">
        <f>'Sc1'!C42-'Sc1'!C46</f>
        <v>4.1432344174986309</v>
      </c>
      <c r="E25" s="578"/>
      <c r="F25" s="578"/>
      <c r="G25" s="578"/>
      <c r="H25" s="578"/>
      <c r="I25" s="1299"/>
      <c r="J25" s="574"/>
      <c r="K25" s="1290"/>
      <c r="M25" s="76" t="s">
        <v>6850</v>
      </c>
      <c r="N25" s="76" t="s">
        <v>6851</v>
      </c>
      <c r="P25" s="602"/>
      <c r="Q25" s="602" t="str">
        <f>Sc.Table!A18</f>
        <v>Shallow pit, scrape auto, lagoon, irrigation + tanker</v>
      </c>
      <c r="R25" s="100" t="s">
        <v>485</v>
      </c>
      <c r="S25" s="9"/>
      <c r="T25" s="37">
        <f>E148/T1</f>
        <v>1.0284422789860184</v>
      </c>
      <c r="U25" s="37">
        <f>F148*U1</f>
        <v>8.0334528050857806E-2</v>
      </c>
      <c r="V25" s="37">
        <f>G148*V1</f>
        <v>-100.339375076615</v>
      </c>
      <c r="W25" s="37">
        <f>H148*W1</f>
        <v>33.421605016733288</v>
      </c>
      <c r="X25" s="37">
        <f>J148*X1</f>
        <v>21.167071104036143</v>
      </c>
      <c r="Y25" s="37">
        <f>K148*Y1</f>
        <v>6.8559239300960995</v>
      </c>
      <c r="AA25" s="3040"/>
      <c r="AB25" s="49" t="s">
        <v>941</v>
      </c>
      <c r="AC25" s="49" t="s">
        <v>2358</v>
      </c>
      <c r="AD25" s="50">
        <f t="shared" ref="AD25:AD26" si="6">D25</f>
        <v>4.1432344174986309</v>
      </c>
      <c r="AE25" s="578"/>
      <c r="AF25" s="578"/>
      <c r="AG25" s="578"/>
      <c r="AH25" s="578"/>
      <c r="AI25" s="1299"/>
      <c r="AJ25" s="574"/>
      <c r="AK25" s="1290"/>
    </row>
    <row r="26" spans="1:37" x14ac:dyDescent="0.3">
      <c r="A26" s="3050"/>
      <c r="B26" s="49" t="s">
        <v>934</v>
      </c>
      <c r="C26" s="49" t="s">
        <v>2358</v>
      </c>
      <c r="D26" s="37">
        <f>'Sc1'!C43-'Sc1'!C47</f>
        <v>6.2363110118337506</v>
      </c>
      <c r="E26" s="578"/>
      <c r="F26" s="578"/>
      <c r="G26" s="578"/>
      <c r="H26" s="578"/>
      <c r="I26" s="1299"/>
      <c r="J26" s="574"/>
      <c r="K26" s="1290"/>
      <c r="L26" t="s">
        <v>6852</v>
      </c>
      <c r="M26" s="76" t="s">
        <v>6853</v>
      </c>
      <c r="N26" s="76" t="s">
        <v>6854</v>
      </c>
      <c r="P26" s="602" t="s">
        <v>6855</v>
      </c>
      <c r="Q26" s="602" t="str">
        <f>Sc.Table!A19</f>
        <v>Shallow pit, scrape auto, lagoon, irrigation + drag hose</v>
      </c>
      <c r="R26" s="105" t="s">
        <v>431</v>
      </c>
      <c r="S26" s="37"/>
      <c r="T26" s="37">
        <f>AE146/T1</f>
        <v>1.0311105096625746</v>
      </c>
      <c r="U26" s="37">
        <f>AF146*U1</f>
        <v>8.0334528050857806E-2</v>
      </c>
      <c r="V26" s="37">
        <f>AG146*V1</f>
        <v>0</v>
      </c>
      <c r="W26" s="37">
        <f>AH146*W1</f>
        <v>29.896989112683265</v>
      </c>
      <c r="X26" s="37">
        <f>AJ146*X1</f>
        <v>21.167071104036143</v>
      </c>
      <c r="Y26" s="37">
        <f>AK146*Y1</f>
        <v>6.8559239300960995</v>
      </c>
      <c r="AA26" s="3040"/>
      <c r="AB26" s="49" t="s">
        <v>934</v>
      </c>
      <c r="AC26" s="49" t="s">
        <v>2358</v>
      </c>
      <c r="AD26" s="50">
        <f t="shared" si="6"/>
        <v>6.2363110118337506</v>
      </c>
      <c r="AE26" s="578"/>
      <c r="AF26" s="578"/>
      <c r="AG26" s="578"/>
      <c r="AH26" s="578"/>
      <c r="AI26" s="1299"/>
      <c r="AJ26" s="574"/>
      <c r="AK26" s="1290"/>
    </row>
    <row r="27" spans="1:37" x14ac:dyDescent="0.3">
      <c r="A27" s="3050"/>
      <c r="B27" s="116" t="s">
        <v>6856</v>
      </c>
      <c r="C27" s="118"/>
      <c r="D27" s="1292"/>
      <c r="E27" s="1712"/>
      <c r="F27" s="1712"/>
      <c r="G27" s="1712"/>
      <c r="H27" s="1712"/>
      <c r="I27" s="1298"/>
      <c r="J27" s="1293"/>
      <c r="K27" s="1295"/>
      <c r="L27" s="590">
        <f>SUM(E15:E18)</f>
        <v>510.5858323751828</v>
      </c>
      <c r="M27" s="76" t="s">
        <v>6857</v>
      </c>
      <c r="N27" s="76" t="s">
        <v>6858</v>
      </c>
      <c r="P27" s="602"/>
      <c r="Q27" s="602" t="str">
        <f>Sc.Table!A19</f>
        <v>Shallow pit, scrape auto, lagoon, irrigation + drag hose</v>
      </c>
      <c r="R27" s="104" t="s">
        <v>6810</v>
      </c>
      <c r="S27" s="9"/>
      <c r="T27" s="37">
        <f>AE147/T1</f>
        <v>-6.0736764296085693E-3</v>
      </c>
      <c r="U27" s="37">
        <f>AF147*U1</f>
        <v>0</v>
      </c>
      <c r="V27" s="37">
        <f>AG147*V1</f>
        <v>-113.64077659727184</v>
      </c>
      <c r="W27" s="37">
        <f>AH147*W1</f>
        <v>1.155853904347442E-2</v>
      </c>
      <c r="X27" s="37">
        <f>AJ147*X1</f>
        <v>0</v>
      </c>
      <c r="Y27" s="37">
        <f>AK147*Y1</f>
        <v>0</v>
      </c>
      <c r="AA27" s="3040"/>
      <c r="AB27" s="116" t="s">
        <v>6856</v>
      </c>
      <c r="AC27" s="118"/>
      <c r="AD27" s="1292"/>
      <c r="AE27" s="1712"/>
      <c r="AF27" s="1712"/>
      <c r="AG27" s="1712"/>
      <c r="AH27" s="1712"/>
      <c r="AI27" s="1298"/>
      <c r="AJ27" s="1293"/>
      <c r="AK27" s="1295"/>
    </row>
    <row r="28" spans="1:37" x14ac:dyDescent="0.3">
      <c r="A28" s="3050"/>
      <c r="B28" s="49" t="s">
        <v>6859</v>
      </c>
      <c r="C28" s="49" t="s">
        <v>2358</v>
      </c>
      <c r="D28" s="37">
        <f>'Sc1'!C27</f>
        <v>0.10438990871715</v>
      </c>
      <c r="E28" s="578"/>
      <c r="F28" s="578"/>
      <c r="G28" s="578"/>
      <c r="H28" s="578"/>
      <c r="I28" s="1299"/>
      <c r="J28" s="571"/>
      <c r="K28" s="1290"/>
      <c r="M28" s="76" t="s">
        <v>6860</v>
      </c>
      <c r="N28" s="76" t="s">
        <v>4912</v>
      </c>
      <c r="P28" s="602"/>
      <c r="Q28" s="602" t="str">
        <f>Sc.Table!A19</f>
        <v>Shallow pit, scrape auto, lagoon, irrigation + drag hose</v>
      </c>
      <c r="R28" s="100" t="s">
        <v>485</v>
      </c>
      <c r="S28" s="9"/>
      <c r="T28" s="37">
        <f>AE148/T1</f>
        <v>1.0250368332329658</v>
      </c>
      <c r="U28" s="37">
        <f>AF148*U1</f>
        <v>8.0334528050857806E-2</v>
      </c>
      <c r="V28" s="37">
        <f>AG148*V1</f>
        <v>-113.64077659727184</v>
      </c>
      <c r="W28" s="37">
        <f>AH148*W1</f>
        <v>29.908547651726739</v>
      </c>
      <c r="X28" s="37">
        <f>AJ148*X1</f>
        <v>21.167071104036143</v>
      </c>
      <c r="Y28" s="37">
        <f>AK148*Y1</f>
        <v>6.8559239300960995</v>
      </c>
      <c r="AA28" s="3040"/>
      <c r="AB28" s="49" t="s">
        <v>6859</v>
      </c>
      <c r="AC28" s="49" t="s">
        <v>2358</v>
      </c>
      <c r="AD28" s="37">
        <f>D28</f>
        <v>0.10438990871715</v>
      </c>
      <c r="AE28" s="578"/>
      <c r="AF28" s="578"/>
      <c r="AG28" s="578"/>
      <c r="AH28" s="578"/>
      <c r="AI28" s="1299"/>
      <c r="AJ28" s="571"/>
      <c r="AK28" s="1290"/>
    </row>
    <row r="29" spans="1:37" x14ac:dyDescent="0.3">
      <c r="A29" s="3050"/>
      <c r="B29" s="49" t="s">
        <v>6861</v>
      </c>
      <c r="C29" s="49" t="s">
        <v>2358</v>
      </c>
      <c r="D29" s="37">
        <f>'Sc1'!C28</f>
        <v>3.9077146911764702</v>
      </c>
      <c r="E29" s="578"/>
      <c r="F29" s="578"/>
      <c r="G29" s="578"/>
      <c r="H29" s="578"/>
      <c r="I29" s="1299"/>
      <c r="J29" s="571"/>
      <c r="K29" s="1290"/>
      <c r="M29" s="76" t="s">
        <v>6862</v>
      </c>
      <c r="N29" s="76" t="s">
        <v>4917</v>
      </c>
      <c r="P29" s="602" t="s">
        <v>6863</v>
      </c>
      <c r="Q29" s="602" t="str">
        <f>Sc.Table!A20</f>
        <v>Shallow pit, pull plug, lagoon, irrigation + tanker</v>
      </c>
      <c r="R29" s="105" t="s">
        <v>431</v>
      </c>
      <c r="S29" s="37"/>
      <c r="T29" s="37">
        <f>E183/T1</f>
        <v>1.0484672156712076</v>
      </c>
      <c r="U29" s="37">
        <f>F183*U1</f>
        <v>7.684443676179778E-2</v>
      </c>
      <c r="V29" s="37">
        <f>G183*V1</f>
        <v>0</v>
      </c>
      <c r="W29" s="37">
        <f>H183*W1</f>
        <v>53.290586014741351</v>
      </c>
      <c r="X29" s="37">
        <f>J183*X1</f>
        <v>22.045474350928309</v>
      </c>
      <c r="Y29" s="37">
        <f>K183*Y1</f>
        <v>7.1497920442978291</v>
      </c>
      <c r="AA29" s="3040"/>
      <c r="AB29" s="49" t="s">
        <v>6861</v>
      </c>
      <c r="AC29" s="49" t="s">
        <v>2358</v>
      </c>
      <c r="AD29" s="37">
        <f t="shared" ref="AD29:AD30" si="7">D29</f>
        <v>3.9077146911764702</v>
      </c>
      <c r="AE29" s="578"/>
      <c r="AF29" s="578"/>
      <c r="AG29" s="578"/>
      <c r="AH29" s="578"/>
      <c r="AI29" s="1299"/>
      <c r="AJ29" s="571"/>
      <c r="AK29" s="1290"/>
    </row>
    <row r="30" spans="1:37" x14ac:dyDescent="0.3">
      <c r="A30" s="3050"/>
      <c r="B30" s="49" t="s">
        <v>6864</v>
      </c>
      <c r="C30" s="49" t="s">
        <v>2358</v>
      </c>
      <c r="D30" s="37">
        <f>'Sc1'!C29</f>
        <v>1.6076045963875827E-2</v>
      </c>
      <c r="E30" s="578"/>
      <c r="F30" s="578"/>
      <c r="G30" s="578"/>
      <c r="H30" s="578"/>
      <c r="I30" s="1299"/>
      <c r="J30" s="571"/>
      <c r="K30" s="1290"/>
      <c r="P30" s="602"/>
      <c r="Q30" s="602" t="str">
        <f>Sc.Table!A20</f>
        <v>Shallow pit, pull plug, lagoon, irrigation + tanker</v>
      </c>
      <c r="R30" s="104" t="s">
        <v>6810</v>
      </c>
      <c r="S30" s="9"/>
      <c r="T30" s="37">
        <f>E184/T1</f>
        <v>-7.3853310328725391E-3</v>
      </c>
      <c r="U30" s="37">
        <f>F184*U1</f>
        <v>0</v>
      </c>
      <c r="V30" s="37">
        <f>G184*V1</f>
        <v>-97.388114632600988</v>
      </c>
      <c r="W30" s="37">
        <f>H184*W1</f>
        <v>0.10031057049675135</v>
      </c>
      <c r="X30" s="37">
        <f>J184*X1</f>
        <v>0</v>
      </c>
      <c r="Y30" s="37">
        <f>K184*Y1</f>
        <v>0</v>
      </c>
      <c r="AA30" s="3040"/>
      <c r="AB30" s="49" t="s">
        <v>6864</v>
      </c>
      <c r="AC30" s="49" t="s">
        <v>2358</v>
      </c>
      <c r="AD30" s="37">
        <f t="shared" si="7"/>
        <v>1.6076045963875827E-2</v>
      </c>
      <c r="AE30" s="578"/>
      <c r="AF30" s="578"/>
      <c r="AG30" s="578"/>
      <c r="AH30" s="578"/>
      <c r="AI30" s="1299"/>
      <c r="AJ30" s="571"/>
      <c r="AK30" s="1290"/>
    </row>
    <row r="31" spans="1:37" x14ac:dyDescent="0.3">
      <c r="A31" s="3050"/>
      <c r="B31" s="49"/>
      <c r="C31" s="49"/>
      <c r="D31" s="37"/>
      <c r="E31" s="578"/>
      <c r="F31" s="578"/>
      <c r="G31" s="578"/>
      <c r="H31" s="578"/>
      <c r="I31" s="1299"/>
      <c r="J31" s="571"/>
      <c r="K31" s="1290"/>
      <c r="P31" s="602"/>
      <c r="Q31" s="602" t="str">
        <f>Sc.Table!A20</f>
        <v>Shallow pit, pull plug, lagoon, irrigation + tanker</v>
      </c>
      <c r="R31" s="100" t="s">
        <v>485</v>
      </c>
      <c r="S31" s="9"/>
      <c r="T31" s="37">
        <f>E185/T1</f>
        <v>1.0410818846383352</v>
      </c>
      <c r="U31" s="37">
        <f>F185*U1</f>
        <v>7.684443676179778E-2</v>
      </c>
      <c r="V31" s="37">
        <f>G185*V1</f>
        <v>-97.388114632600988</v>
      </c>
      <c r="W31" s="37">
        <f>H185*W1</f>
        <v>53.39089658523811</v>
      </c>
      <c r="X31" s="37">
        <f>J185*X1</f>
        <v>22.045474350928309</v>
      </c>
      <c r="Y31" s="37">
        <f>K185*Y1</f>
        <v>7.1497920442978291</v>
      </c>
      <c r="AA31" s="3040"/>
      <c r="AB31" s="49"/>
      <c r="AC31" s="49"/>
      <c r="AD31" s="37"/>
      <c r="AE31" s="578"/>
      <c r="AF31" s="578"/>
      <c r="AG31" s="578"/>
      <c r="AH31" s="578"/>
      <c r="AI31" s="1299"/>
      <c r="AJ31" s="571"/>
      <c r="AK31" s="1290"/>
    </row>
    <row r="32" spans="1:37" x14ac:dyDescent="0.3">
      <c r="A32" s="3050"/>
      <c r="B32" s="116" t="s">
        <v>6865</v>
      </c>
      <c r="C32" s="118"/>
      <c r="D32" s="1292"/>
      <c r="E32" s="1712"/>
      <c r="F32" s="1712"/>
      <c r="G32" s="1712"/>
      <c r="H32" s="1712"/>
      <c r="I32" s="1298"/>
      <c r="J32" s="1293"/>
      <c r="K32" s="1295"/>
      <c r="P32" s="602" t="s">
        <v>6866</v>
      </c>
      <c r="Q32" s="602" t="str">
        <f>Sc.Table!A21</f>
        <v>Shallow pit, pull plug, lagoon, irrigation + drag hose</v>
      </c>
      <c r="R32" s="105" t="s">
        <v>431</v>
      </c>
      <c r="S32" s="37"/>
      <c r="T32" s="37">
        <f>AE183/T1</f>
        <v>1.04637235438786</v>
      </c>
      <c r="U32" s="37">
        <f>AF183*U1</f>
        <v>7.684443676179778E-2</v>
      </c>
      <c r="V32" s="37">
        <f>AG183*V1</f>
        <v>0</v>
      </c>
      <c r="W32" s="37">
        <f>AH183*W1</f>
        <v>53.290586014741351</v>
      </c>
      <c r="X32" s="37">
        <f>AJ183*X1</f>
        <v>22.045474350928309</v>
      </c>
      <c r="Y32" s="37">
        <f>AK183*Y1</f>
        <v>7.1497920442978291</v>
      </c>
      <c r="AA32" s="3040"/>
      <c r="AB32" s="116" t="s">
        <v>6865</v>
      </c>
      <c r="AC32" s="118"/>
      <c r="AD32" s="1292"/>
      <c r="AE32" s="1712"/>
      <c r="AF32" s="1712"/>
      <c r="AG32" s="1712"/>
      <c r="AH32" s="1712"/>
      <c r="AI32" s="1298"/>
      <c r="AJ32" s="1293"/>
      <c r="AK32" s="1295"/>
    </row>
    <row r="33" spans="1:37" x14ac:dyDescent="0.3">
      <c r="A33" s="3050"/>
      <c r="B33" s="49" t="s">
        <v>6867</v>
      </c>
      <c r="C33" s="49" t="s">
        <v>2358</v>
      </c>
      <c r="D33" s="37">
        <f>'Sc1'!C46</f>
        <v>2.4998750825013691</v>
      </c>
      <c r="E33" s="578"/>
      <c r="F33" s="578"/>
      <c r="G33" s="578"/>
      <c r="H33" s="578"/>
      <c r="I33" s="1299"/>
      <c r="J33" s="571"/>
      <c r="K33" s="1290"/>
      <c r="N33" s="49" t="s">
        <v>6868</v>
      </c>
      <c r="P33" s="602"/>
      <c r="Q33" s="602" t="str">
        <f>Sc.Table!A21</f>
        <v>Shallow pit, pull plug, lagoon, irrigation + drag hose</v>
      </c>
      <c r="R33" s="104" t="s">
        <v>6810</v>
      </c>
      <c r="S33" s="9"/>
      <c r="T33" s="37">
        <f>AE184/T1</f>
        <v>-8.7275033067800451E-3</v>
      </c>
      <c r="U33" s="37">
        <f>AF184*U1</f>
        <v>0</v>
      </c>
      <c r="V33" s="37">
        <f>AG184*V1</f>
        <v>-110.81289561583787</v>
      </c>
      <c r="W33" s="37">
        <f>AH184*W1</f>
        <v>-3.4453327689301871</v>
      </c>
      <c r="X33" s="37">
        <f>AJ184*X1</f>
        <v>0</v>
      </c>
      <c r="Y33" s="37">
        <f>AK184*Y1</f>
        <v>0</v>
      </c>
      <c r="AA33" s="3040"/>
      <c r="AB33" s="49" t="s">
        <v>6867</v>
      </c>
      <c r="AC33" s="49" t="s">
        <v>2358</v>
      </c>
      <c r="AD33" s="37">
        <f>D33</f>
        <v>2.4998750825013691</v>
      </c>
      <c r="AE33" s="578"/>
      <c r="AF33" s="578"/>
      <c r="AG33" s="578"/>
      <c r="AH33" s="578"/>
      <c r="AI33" s="1299"/>
      <c r="AJ33" s="571"/>
      <c r="AK33" s="1290"/>
    </row>
    <row r="34" spans="1:37" x14ac:dyDescent="0.3">
      <c r="A34" s="3050"/>
      <c r="B34" s="49"/>
      <c r="C34" s="49"/>
      <c r="D34" s="18" t="s">
        <v>6869</v>
      </c>
      <c r="E34" s="122">
        <f>+SUM(E6:E11,E15:E17,E18)</f>
        <v>522.95595164799249</v>
      </c>
      <c r="F34" s="37"/>
      <c r="G34" s="37"/>
      <c r="H34" s="37"/>
      <c r="I34" s="57"/>
      <c r="J34" s="49"/>
      <c r="K34" s="11"/>
      <c r="N34" s="49" t="s">
        <v>6870</v>
      </c>
      <c r="P34" s="602"/>
      <c r="Q34" s="602" t="str">
        <f>Sc.Table!A21</f>
        <v>Shallow pit, pull plug, lagoon, irrigation + drag hose</v>
      </c>
      <c r="R34" s="100" t="s">
        <v>485</v>
      </c>
      <c r="S34" s="9"/>
      <c r="T34" s="37">
        <f>AE185/T1</f>
        <v>1.0376448510810798</v>
      </c>
      <c r="U34" s="37">
        <f>AF185*U1</f>
        <v>7.684443676179778E-2</v>
      </c>
      <c r="V34" s="37">
        <f>AG185*V1</f>
        <v>-110.81289561583787</v>
      </c>
      <c r="W34" s="37">
        <f>AH185*W1</f>
        <v>49.845253245811165</v>
      </c>
      <c r="X34" s="37">
        <f>AJ185*X1</f>
        <v>22.045474350928309</v>
      </c>
      <c r="Y34" s="37">
        <f>AK185*Y1</f>
        <v>7.1497920442978291</v>
      </c>
      <c r="AA34" s="3040"/>
      <c r="AB34" s="49"/>
      <c r="AC34" s="49"/>
      <c r="AD34" s="18" t="s">
        <v>6869</v>
      </c>
      <c r="AE34" s="122">
        <f>+SUM(AE6:AE11,AE15:AE17,AE18)</f>
        <v>527.20513840328692</v>
      </c>
      <c r="AF34" s="37"/>
      <c r="AG34" s="37"/>
      <c r="AH34" s="37"/>
      <c r="AI34" s="57"/>
      <c r="AJ34" s="49"/>
      <c r="AK34" s="11"/>
    </row>
    <row r="35" spans="1:37" x14ac:dyDescent="0.3">
      <c r="A35" s="3050"/>
      <c r="B35" s="118" t="s">
        <v>6871</v>
      </c>
      <c r="C35" s="119" t="s">
        <v>4815</v>
      </c>
      <c r="D35" s="1708" t="s">
        <v>630</v>
      </c>
      <c r="E35" s="1281">
        <f>+SUM(E13:E18,E11)</f>
        <v>518.12538167062132</v>
      </c>
      <c r="F35" s="1281">
        <f>+SUM(F13:F18)</f>
        <v>618.78900303722276</v>
      </c>
      <c r="G35" s="1281">
        <f>+SUM(G13:G18)</f>
        <v>0</v>
      </c>
      <c r="H35" s="2267">
        <f>+SUM(H6,H13:H18)</f>
        <v>0</v>
      </c>
      <c r="I35" s="641">
        <f>I6</f>
        <v>0</v>
      </c>
      <c r="J35" s="1281">
        <f>+J18</f>
        <v>4.0281806458574962</v>
      </c>
      <c r="K35" s="1282">
        <f>+K18</f>
        <v>2.4998750825013691</v>
      </c>
      <c r="N35" s="49" t="s">
        <v>6872</v>
      </c>
      <c r="P35" s="602" t="s">
        <v>6873</v>
      </c>
      <c r="Q35" s="602" t="str">
        <f>Sc.Table!A22</f>
        <v>Shallow pit, flush, AD, lagoon, irrigation + tanker</v>
      </c>
      <c r="R35" s="105" t="s">
        <v>431</v>
      </c>
      <c r="S35" s="37"/>
      <c r="T35" s="37">
        <f>E220/T1</f>
        <v>0.60230640615119579</v>
      </c>
      <c r="U35" s="37">
        <f>F220*U1</f>
        <v>6.9338568404963649E-2</v>
      </c>
      <c r="V35" s="37">
        <f>G220*V1</f>
        <v>0</v>
      </c>
      <c r="W35" s="37">
        <f>H220*W1</f>
        <v>113.06988860568426</v>
      </c>
      <c r="X35" s="37">
        <f>J220*X1</f>
        <v>23.863278621300225</v>
      </c>
      <c r="Y35" s="37">
        <f>K220*Y1</f>
        <v>10.175148340808599</v>
      </c>
      <c r="AA35" s="3040"/>
      <c r="AB35" s="118" t="s">
        <v>6871</v>
      </c>
      <c r="AC35" s="119" t="s">
        <v>4815</v>
      </c>
      <c r="AD35" s="1708" t="s">
        <v>630</v>
      </c>
      <c r="AE35" s="1281">
        <f>+SUM(AE13:AE18,AE11)</f>
        <v>520.71524780695563</v>
      </c>
      <c r="AF35" s="1281">
        <f>+SUM(AF13:AF18)</f>
        <v>618.78900303722276</v>
      </c>
      <c r="AG35" s="1281">
        <f>+SUM(AG13:AG18)</f>
        <v>0</v>
      </c>
      <c r="AH35" s="2267">
        <f>+SUM(AH6,AH13:AH18)</f>
        <v>0</v>
      </c>
      <c r="AI35" s="641">
        <f>AI6</f>
        <v>0</v>
      </c>
      <c r="AJ35" s="1281">
        <f>+AJ18</f>
        <v>4.0281806458574962</v>
      </c>
      <c r="AK35" s="1282">
        <f>+AK18</f>
        <v>2.4998750825013691</v>
      </c>
    </row>
    <row r="36" spans="1:37" x14ac:dyDescent="0.3">
      <c r="A36" s="3050"/>
      <c r="B36" s="118" t="s">
        <v>6874</v>
      </c>
      <c r="C36" s="118"/>
      <c r="D36" s="1709" t="s">
        <v>6875</v>
      </c>
      <c r="E36" s="922">
        <f>+SUM(E6:E10,E20:E22)</f>
        <v>-13.061437652166777</v>
      </c>
      <c r="F36" s="922">
        <f>+SUM(F6:F11,F20:F22)</f>
        <v>0</v>
      </c>
      <c r="G36" s="922">
        <f>+SUM(G6:G11,G20:G22)</f>
        <v>-633.04838763648274</v>
      </c>
      <c r="H36" s="2268">
        <f>+SUM(H7:H11,H20:H22)</f>
        <v>2.9703035297630725E-3</v>
      </c>
      <c r="I36" s="1283">
        <v>0</v>
      </c>
      <c r="J36" s="922"/>
      <c r="K36" s="1284"/>
      <c r="N36" s="49"/>
      <c r="P36" s="602"/>
      <c r="Q36" s="602" t="str">
        <f>Sc.Table!A22</f>
        <v>Shallow pit, flush, AD, lagoon, irrigation + tanker</v>
      </c>
      <c r="R36" s="104" t="s">
        <v>6810</v>
      </c>
      <c r="S36" s="9"/>
      <c r="T36" s="37">
        <f>E221/T1</f>
        <v>-2.88042334257075E-3</v>
      </c>
      <c r="U36" s="37">
        <f>F221*U1</f>
        <v>0</v>
      </c>
      <c r="V36" s="37">
        <f>G221*V1</f>
        <v>-70.434143935533896</v>
      </c>
      <c r="W36" s="37">
        <f>H221*W1</f>
        <v>3.8936391959060268</v>
      </c>
      <c r="X36" s="37">
        <f>J221*X1</f>
        <v>0</v>
      </c>
      <c r="Y36" s="37">
        <f>K221*Y1</f>
        <v>0</v>
      </c>
      <c r="AA36" s="3040"/>
      <c r="AB36" s="118" t="s">
        <v>6874</v>
      </c>
      <c r="AC36" s="118"/>
      <c r="AD36" s="1709" t="s">
        <v>6875</v>
      </c>
      <c r="AE36" s="922">
        <f>+SUM(AE6:AE10,AE20:AE22)</f>
        <v>-11.402117033206725</v>
      </c>
      <c r="AF36" s="922">
        <f>+SUM(AF6:AF11,AF20:AF22)</f>
        <v>0</v>
      </c>
      <c r="AG36" s="922">
        <f>+SUM(AG6:AG11,AG20:AG22)</f>
        <v>-573.29923892484544</v>
      </c>
      <c r="AH36" s="2268">
        <f>+SUM(AH7:AH11,AH20:AH22)</f>
        <v>1.9563509719363603E-2</v>
      </c>
      <c r="AI36" s="1283">
        <v>0</v>
      </c>
      <c r="AJ36" s="922"/>
      <c r="AK36" s="1284"/>
    </row>
    <row r="37" spans="1:37" ht="15" thickBot="1" x14ac:dyDescent="0.35">
      <c r="A37" s="3051"/>
      <c r="B37" s="22"/>
      <c r="C37" s="1291"/>
      <c r="D37" s="1710" t="s">
        <v>6876</v>
      </c>
      <c r="E37" s="1285">
        <f>E35+E36</f>
        <v>505.06394401845455</v>
      </c>
      <c r="F37" s="1285">
        <f>F35+F36</f>
        <v>618.78900303722276</v>
      </c>
      <c r="G37" s="1285">
        <f>G35+G36</f>
        <v>-633.04838763648274</v>
      </c>
      <c r="H37" s="2269">
        <f t="shared" ref="H37" si="8">H35+H36</f>
        <v>2.9703035297630725E-3</v>
      </c>
      <c r="I37" s="1285">
        <f>I35+I36</f>
        <v>0</v>
      </c>
      <c r="J37" s="1285">
        <f>J35+J36</f>
        <v>4.0281806458574962</v>
      </c>
      <c r="K37" s="1286">
        <f>K35+K36</f>
        <v>2.4998750825013691</v>
      </c>
      <c r="N37" s="49" t="s">
        <v>6877</v>
      </c>
      <c r="P37" s="602"/>
      <c r="Q37" s="602" t="str">
        <f>Sc.Table!A22</f>
        <v>Shallow pit, flush, AD, lagoon, irrigation + tanker</v>
      </c>
      <c r="R37" s="100" t="s">
        <v>485</v>
      </c>
      <c r="S37" s="9"/>
      <c r="T37" s="37">
        <f>E222/T1</f>
        <v>0.59942598280862502</v>
      </c>
      <c r="U37" s="37">
        <f>F222*U1</f>
        <v>6.9338568404963649E-2</v>
      </c>
      <c r="V37" s="37">
        <f>G222*V1</f>
        <v>-70.434143935533896</v>
      </c>
      <c r="W37" s="37">
        <f>H222*W1</f>
        <v>116.96352780159027</v>
      </c>
      <c r="X37" s="37">
        <f>J222*X1</f>
        <v>23.863278621300225</v>
      </c>
      <c r="Y37" s="37">
        <f>K222*Y1</f>
        <v>10.175148340808599</v>
      </c>
      <c r="AA37" s="3041"/>
      <c r="AB37" s="22"/>
      <c r="AC37" s="1291"/>
      <c r="AD37" s="1710" t="s">
        <v>6876</v>
      </c>
      <c r="AE37" s="1285">
        <f>AE35+AE36</f>
        <v>509.31313077374892</v>
      </c>
      <c r="AF37" s="1285">
        <f>AF35+AF36</f>
        <v>618.78900303722276</v>
      </c>
      <c r="AG37" s="1285">
        <f>AG35+AG36</f>
        <v>-573.29923892484544</v>
      </c>
      <c r="AH37" s="2269">
        <f t="shared" ref="AH37" si="9">AH35+AH36</f>
        <v>1.9563509719363603E-2</v>
      </c>
      <c r="AI37" s="1285">
        <f>AI35+AI36</f>
        <v>0</v>
      </c>
      <c r="AJ37" s="1285">
        <f>AJ35+AJ36</f>
        <v>4.0281806458574962</v>
      </c>
      <c r="AK37" s="1286">
        <f>AK35+AK36</f>
        <v>2.4998750825013691</v>
      </c>
    </row>
    <row r="38" spans="1:37" ht="15" thickBot="1" x14ac:dyDescent="0.35">
      <c r="P38" s="602" t="s">
        <v>6878</v>
      </c>
      <c r="Q38" s="602" t="str">
        <f>Sc.Table!A23</f>
        <v>Shallow pit, flush, AD, lagoon, irrigation + drag hose</v>
      </c>
      <c r="R38" s="105" t="s">
        <v>431</v>
      </c>
      <c r="S38" s="37"/>
      <c r="T38" s="37">
        <f>AE220/T1</f>
        <v>0.60019347551690072</v>
      </c>
      <c r="U38" s="37">
        <f>AF220*U1</f>
        <v>6.9338568404963649E-2</v>
      </c>
      <c r="V38" s="37">
        <f>AG220*V1</f>
        <v>0</v>
      </c>
      <c r="W38" s="37">
        <f>AH220*W1</f>
        <v>113.06988860568426</v>
      </c>
      <c r="X38" s="37">
        <f>AJ220*X1</f>
        <v>23.863278621300225</v>
      </c>
      <c r="Y38" s="37">
        <f>AK220*Y1</f>
        <v>10.175148340808599</v>
      </c>
    </row>
    <row r="39" spans="1:37" x14ac:dyDescent="0.3">
      <c r="A39" s="3039" t="s">
        <v>6879</v>
      </c>
      <c r="B39" s="49"/>
      <c r="C39" s="49"/>
      <c r="D39" s="9"/>
      <c r="E39" s="565"/>
      <c r="F39" s="565"/>
      <c r="G39" s="565"/>
      <c r="H39" s="565"/>
      <c r="I39" s="1297"/>
      <c r="J39" s="3038" t="s">
        <v>6791</v>
      </c>
      <c r="K39" s="3038"/>
      <c r="P39" s="602"/>
      <c r="Q39" s="602" t="str">
        <f>Sc.Table!A23</f>
        <v>Shallow pit, flush, AD, lagoon, irrigation + drag hose</v>
      </c>
      <c r="R39" s="104" t="s">
        <v>6810</v>
      </c>
      <c r="S39" s="9"/>
      <c r="T39" s="37">
        <f>AE221/T1</f>
        <v>-4.2341726034806114E-3</v>
      </c>
      <c r="U39" s="37">
        <f>AF221*U1</f>
        <v>0</v>
      </c>
      <c r="V39" s="37">
        <f>AG221*V1</f>
        <v>-83.974721167861787</v>
      </c>
      <c r="W39" s="37">
        <f>AH221*W1</f>
        <v>0.3174126983752264</v>
      </c>
      <c r="X39" s="37">
        <f>AJ221*X1</f>
        <v>0</v>
      </c>
      <c r="Y39" s="37">
        <f>AK221*Y1</f>
        <v>0</v>
      </c>
      <c r="AA39" s="3039" t="s">
        <v>6880</v>
      </c>
      <c r="AB39" s="49"/>
      <c r="AC39" s="49"/>
      <c r="AD39" s="9"/>
      <c r="AE39" s="565"/>
      <c r="AF39" s="565"/>
      <c r="AG39" s="565"/>
      <c r="AH39" s="565"/>
      <c r="AI39" s="1297"/>
      <c r="AJ39" s="3038" t="s">
        <v>6791</v>
      </c>
      <c r="AK39" s="3038"/>
    </row>
    <row r="40" spans="1:37" ht="26.25" customHeight="1" x14ac:dyDescent="0.3">
      <c r="A40" s="3040"/>
      <c r="B40" s="566"/>
      <c r="C40" s="566" t="s">
        <v>6795</v>
      </c>
      <c r="D40" s="567" t="s">
        <v>6796</v>
      </c>
      <c r="E40" s="567" t="s">
        <v>4824</v>
      </c>
      <c r="F40" s="567" t="s">
        <v>447</v>
      </c>
      <c r="G40" s="567" t="s">
        <v>446</v>
      </c>
      <c r="H40" s="567" t="s">
        <v>2599</v>
      </c>
      <c r="I40" s="1279" t="s">
        <v>6797</v>
      </c>
      <c r="J40" s="567" t="s">
        <v>4832</v>
      </c>
      <c r="K40" s="567" t="s">
        <v>6798</v>
      </c>
      <c r="P40" s="602"/>
      <c r="Q40" s="602" t="str">
        <f>Sc.Table!A23</f>
        <v>Shallow pit, flush, AD, lagoon, irrigation + drag hose</v>
      </c>
      <c r="R40" s="100" t="s">
        <v>485</v>
      </c>
      <c r="S40" s="9"/>
      <c r="T40" s="37">
        <f>AE222/T1</f>
        <v>0.59595930291342014</v>
      </c>
      <c r="U40" s="37">
        <f>AF222*U1</f>
        <v>6.9338568404963649E-2</v>
      </c>
      <c r="V40" s="37">
        <f>AG222*V1</f>
        <v>-83.974721167861787</v>
      </c>
      <c r="W40" s="37">
        <f>AH222*W1</f>
        <v>113.38730130405948</v>
      </c>
      <c r="X40" s="37">
        <f>AJ222*X1</f>
        <v>23.863278621300225</v>
      </c>
      <c r="Y40" s="37">
        <f>AK222*Y1</f>
        <v>10.175148340808599</v>
      </c>
      <c r="AA40" s="3040"/>
      <c r="AB40" s="566"/>
      <c r="AC40" s="566" t="s">
        <v>6795</v>
      </c>
      <c r="AD40" s="567" t="s">
        <v>6796</v>
      </c>
      <c r="AE40" s="567" t="s">
        <v>4824</v>
      </c>
      <c r="AF40" s="567" t="s">
        <v>447</v>
      </c>
      <c r="AG40" s="567" t="s">
        <v>446</v>
      </c>
      <c r="AH40" s="567" t="s">
        <v>2599</v>
      </c>
      <c r="AI40" s="1279" t="s">
        <v>6797</v>
      </c>
      <c r="AJ40" s="567" t="s">
        <v>4832</v>
      </c>
      <c r="AK40" s="567" t="s">
        <v>6798</v>
      </c>
    </row>
    <row r="41" spans="1:37" ht="16.8" x14ac:dyDescent="0.35">
      <c r="A41" s="3040"/>
      <c r="B41" s="568"/>
      <c r="C41" s="568"/>
      <c r="D41" s="569"/>
      <c r="E41" s="570" t="s">
        <v>6799</v>
      </c>
      <c r="F41" s="570" t="s">
        <v>6800</v>
      </c>
      <c r="G41" s="570" t="s">
        <v>2435</v>
      </c>
      <c r="H41" s="570" t="s">
        <v>6801</v>
      </c>
      <c r="I41" s="1280" t="s">
        <v>2478</v>
      </c>
      <c r="J41" s="569" t="s">
        <v>6802</v>
      </c>
      <c r="K41" s="569" t="s">
        <v>6803</v>
      </c>
      <c r="P41" s="602" t="s">
        <v>6881</v>
      </c>
      <c r="Q41" s="602" t="str">
        <f>Sc.Table!A24</f>
        <v>Shallow pit, scrape auto, AD, lagoon, irrigation + tanker</v>
      </c>
      <c r="R41" s="105" t="s">
        <v>431</v>
      </c>
      <c r="S41" s="37"/>
      <c r="T41" s="37">
        <f>E257/T1</f>
        <v>0.59870568071677921</v>
      </c>
      <c r="U41" s="37">
        <f>F257*U1</f>
        <v>7.5798715687205531E-2</v>
      </c>
      <c r="V41" s="37">
        <f>G257*V1</f>
        <v>0</v>
      </c>
      <c r="W41" s="37">
        <f>H257*W1</f>
        <v>113.06988860568426</v>
      </c>
      <c r="X41" s="37">
        <f>J257*X1</f>
        <v>22.240794409908446</v>
      </c>
      <c r="Y41" s="37">
        <f>K257*Y1</f>
        <v>9.3512244571365475</v>
      </c>
      <c r="AA41" s="3040"/>
      <c r="AB41" s="568"/>
      <c r="AC41" s="568"/>
      <c r="AD41" s="569"/>
      <c r="AE41" s="570" t="s">
        <v>6799</v>
      </c>
      <c r="AF41" s="570" t="s">
        <v>6800</v>
      </c>
      <c r="AG41" s="570" t="s">
        <v>2435</v>
      </c>
      <c r="AH41" s="570" t="s">
        <v>6801</v>
      </c>
      <c r="AI41" s="1280" t="s">
        <v>2478</v>
      </c>
      <c r="AJ41" s="569" t="s">
        <v>6802</v>
      </c>
      <c r="AK41" s="569" t="s">
        <v>6803</v>
      </c>
    </row>
    <row r="42" spans="1:37" x14ac:dyDescent="0.3">
      <c r="A42" s="3040"/>
      <c r="B42" s="116" t="s">
        <v>6805</v>
      </c>
      <c r="C42" s="118"/>
      <c r="D42" s="1292"/>
      <c r="E42" s="1293"/>
      <c r="F42" s="1293"/>
      <c r="G42" s="1292"/>
      <c r="H42" s="1293"/>
      <c r="I42" s="1294"/>
      <c r="J42" s="1293"/>
      <c r="K42" s="1295"/>
      <c r="P42" s="602"/>
      <c r="Q42" s="602" t="str">
        <f>Sc.Table!A24</f>
        <v>Shallow pit, scrape auto, AD, lagoon, irrigation + tanker</v>
      </c>
      <c r="R42" s="104" t="s">
        <v>6810</v>
      </c>
      <c r="S42" s="9"/>
      <c r="T42" s="37">
        <f>E258/T1</f>
        <v>-2.643571408812273E-3</v>
      </c>
      <c r="U42" s="37">
        <f>F258*U1</f>
        <v>0</v>
      </c>
      <c r="V42" s="37">
        <f>G258*V1</f>
        <v>-83.705964130451889</v>
      </c>
      <c r="W42" s="37">
        <f>H258*W1</f>
        <v>4.6908849091741898</v>
      </c>
      <c r="X42" s="37">
        <f>J258*X1</f>
        <v>0</v>
      </c>
      <c r="Y42" s="37">
        <f>K258*Y1</f>
        <v>0</v>
      </c>
      <c r="AA42" s="3040"/>
      <c r="AB42" s="116" t="s">
        <v>6805</v>
      </c>
      <c r="AC42" s="118"/>
      <c r="AD42" s="1292"/>
      <c r="AE42" s="1293"/>
      <c r="AF42" s="1293"/>
      <c r="AG42" s="1292"/>
      <c r="AH42" s="1293"/>
      <c r="AI42" s="1294"/>
      <c r="AJ42" s="1293"/>
      <c r="AK42" s="1295"/>
    </row>
    <row r="43" spans="1:37" x14ac:dyDescent="0.3">
      <c r="A43" s="3040"/>
      <c r="B43" s="49" t="s">
        <v>415</v>
      </c>
      <c r="C43" s="49" t="s">
        <v>2358</v>
      </c>
      <c r="D43" s="37">
        <f>'Sc2'!C5*1000</f>
        <v>0</v>
      </c>
      <c r="E43" s="2326">
        <f>+D43*UDV.lca.water_gwp</f>
        <v>0</v>
      </c>
      <c r="F43" s="2327"/>
      <c r="G43" s="2327">
        <f>+D43*UDV.lca.water_ef*UDV.lca.MJ_per_kg_oil_eq</f>
        <v>0</v>
      </c>
      <c r="H43" s="1711">
        <f>+D43*UDV.lca.water_wf</f>
        <v>0</v>
      </c>
      <c r="I43" s="1296">
        <f>D43/1000</f>
        <v>0</v>
      </c>
      <c r="J43" s="574"/>
      <c r="K43" s="1290"/>
      <c r="P43" s="602"/>
      <c r="Q43" s="602" t="str">
        <f>Sc.Table!A24</f>
        <v>Shallow pit, scrape auto, AD, lagoon, irrigation + tanker</v>
      </c>
      <c r="R43" s="100" t="s">
        <v>485</v>
      </c>
      <c r="S43" s="9"/>
      <c r="T43" s="37">
        <f>E259/T1</f>
        <v>0.59606210930796688</v>
      </c>
      <c r="U43" s="37">
        <f>F259*U1</f>
        <v>7.5798715687205531E-2</v>
      </c>
      <c r="V43" s="37">
        <f>G259*V1</f>
        <v>-83.705964130451889</v>
      </c>
      <c r="W43" s="37">
        <f>H259*W1</f>
        <v>117.76077351485844</v>
      </c>
      <c r="X43" s="37">
        <f>J259*X1</f>
        <v>22.240794409908446</v>
      </c>
      <c r="Y43" s="37">
        <f>K259*Y1</f>
        <v>9.3512244571365475</v>
      </c>
      <c r="AA43" s="3040"/>
      <c r="AB43" s="49" t="s">
        <v>415</v>
      </c>
      <c r="AC43" s="49" t="s">
        <v>2358</v>
      </c>
      <c r="AD43" s="50">
        <f>D43</f>
        <v>0</v>
      </c>
      <c r="AE43" s="2326">
        <f>+AD43*UDV.lca.water_gwp</f>
        <v>0</v>
      </c>
      <c r="AF43" s="2327"/>
      <c r="AG43" s="2327">
        <f>+AD43*UDV.lca.water_ef*UDV.lca.MJ_per_kg_oil_eq</f>
        <v>0</v>
      </c>
      <c r="AH43" s="1711">
        <f>+AD43*UDV.lca.water_wf</f>
        <v>0</v>
      </c>
      <c r="AI43" s="1296">
        <f>AD43/1000</f>
        <v>0</v>
      </c>
      <c r="AJ43" s="574"/>
      <c r="AK43" s="1290"/>
    </row>
    <row r="44" spans="1:37" x14ac:dyDescent="0.3">
      <c r="A44" s="3040"/>
      <c r="B44" s="49" t="s">
        <v>409</v>
      </c>
      <c r="C44" s="49" t="s">
        <v>2556</v>
      </c>
      <c r="D44" s="37">
        <f>'Sc2'!C6</f>
        <v>34.839097926400008</v>
      </c>
      <c r="E44" s="2326">
        <f>+D44*UDV.lca.electricity_gwp</f>
        <v>12.489084337849979</v>
      </c>
      <c r="F44" s="2327"/>
      <c r="G44" s="2327">
        <f>+D44*UDV.lca.electricity_ef*UDV.lca.MJ_per_kg_oil_eq</f>
        <v>66.809056782169264</v>
      </c>
      <c r="H44" s="2327">
        <f>+D44*UDV.lca.electricity_wf</f>
        <v>5.5742556682240013E-2</v>
      </c>
      <c r="I44" s="1296"/>
      <c r="J44" s="574"/>
      <c r="K44" s="1290"/>
      <c r="L44" s="42">
        <f>'Sc2'!L39</f>
        <v>0</v>
      </c>
      <c r="P44" s="602" t="s">
        <v>6882</v>
      </c>
      <c r="Q44" s="602" t="str">
        <f>Sc.Table!A25</f>
        <v>Shallow pit, scrape auto, AD, lagoon, irrigation + drag hose</v>
      </c>
      <c r="R44" s="105" t="s">
        <v>431</v>
      </c>
      <c r="S44" s="37"/>
      <c r="T44" s="37">
        <f>AE257/T1</f>
        <v>0.59671709068499101</v>
      </c>
      <c r="U44" s="37">
        <f>AF257*U1</f>
        <v>7.5798715687205531E-2</v>
      </c>
      <c r="V44" s="37">
        <f>AG257*V1</f>
        <v>0</v>
      </c>
      <c r="W44" s="37">
        <f>AH257*W1</f>
        <v>113.06988860568426</v>
      </c>
      <c r="X44" s="37">
        <f>AJ257*X1</f>
        <v>22.240794409908446</v>
      </c>
      <c r="Y44" s="37">
        <f>AK257*Y1</f>
        <v>9.3512244571365475</v>
      </c>
      <c r="AA44" s="3040"/>
      <c r="AB44" s="49" t="s">
        <v>409</v>
      </c>
      <c r="AC44" s="49" t="s">
        <v>2556</v>
      </c>
      <c r="AD44" s="50">
        <f>D44</f>
        <v>34.839097926400008</v>
      </c>
      <c r="AE44" s="2326">
        <f>+AD44*UDV.lca.electricity_gwp</f>
        <v>12.489084337849979</v>
      </c>
      <c r="AF44" s="2327"/>
      <c r="AG44" s="2327">
        <f>+AD44*UDV.lca.electricity_ef*UDV.lca.MJ_per_kg_oil_eq</f>
        <v>66.809056782169264</v>
      </c>
      <c r="AH44" s="2327">
        <f>+AD44*UDV.lca.electricity_wf</f>
        <v>5.5742556682240013E-2</v>
      </c>
      <c r="AI44" s="1296"/>
      <c r="AJ44" s="574"/>
      <c r="AK44" s="1290"/>
    </row>
    <row r="45" spans="1:37" x14ac:dyDescent="0.3">
      <c r="A45" s="3040"/>
      <c r="B45" s="49" t="s">
        <v>6812</v>
      </c>
      <c r="C45" s="49" t="s">
        <v>2435</v>
      </c>
      <c r="D45" s="37">
        <f>'Sc2'!C38*UDV.lca.MJ_per_gal_diesel</f>
        <v>62.009231167410775</v>
      </c>
      <c r="E45" s="2326">
        <f>+D45*UDV.lca.diesel_gwp</f>
        <v>2.7904154025334846</v>
      </c>
      <c r="F45" s="2327"/>
      <c r="G45" s="2326">
        <f>+D45*UDV.lca.diesel_ef*UDV.lca.MJ_per_kg_oil_eq</f>
        <v>100.47783589750622</v>
      </c>
      <c r="H45" s="2327">
        <f>+D45*UDV.lca.diesel_wf</f>
        <v>2.7904154025334846E-2</v>
      </c>
      <c r="I45" s="1296"/>
      <c r="J45" s="574"/>
      <c r="K45" s="1290"/>
      <c r="L45" s="7">
        <f>'Sc2'!L105</f>
        <v>0</v>
      </c>
      <c r="P45" s="602"/>
      <c r="Q45" s="602" t="str">
        <f>Sc.Table!A25</f>
        <v>Shallow pit, scrape auto, AD, lagoon, irrigation + drag hose</v>
      </c>
      <c r="R45" s="104" t="s">
        <v>6810</v>
      </c>
      <c r="S45" s="9"/>
      <c r="T45" s="37">
        <f>AE258/T1</f>
        <v>-3.9176559632653216E-3</v>
      </c>
      <c r="U45" s="37">
        <f>AF258*U1</f>
        <v>0</v>
      </c>
      <c r="V45" s="37">
        <f>AG258*V1</f>
        <v>-96.449712775967328</v>
      </c>
      <c r="W45" s="37">
        <f>AH258*W1</f>
        <v>1.3251102599844817</v>
      </c>
      <c r="X45" s="37">
        <f>AJ258*X1</f>
        <v>0</v>
      </c>
      <c r="Y45" s="37">
        <f>AK258*Y1</f>
        <v>0</v>
      </c>
      <c r="AA45" s="3040"/>
      <c r="AB45" s="49" t="s">
        <v>6812</v>
      </c>
      <c r="AC45" s="49" t="s">
        <v>2435</v>
      </c>
      <c r="AD45" s="53">
        <f>'Sc2'!C39*UDV.lca.MJ_per_gal_diesel</f>
        <v>79.910562707854268</v>
      </c>
      <c r="AE45" s="2326">
        <f>+AD45*UDV.lca.diesel_gwp</f>
        <v>3.5959753218534418</v>
      </c>
      <c r="AF45" s="2327"/>
      <c r="AG45" s="2326">
        <f>+AD45*UDV.lca.diesel_ef*UDV.lca.MJ_per_kg_oil_eq</f>
        <v>129.48459858436311</v>
      </c>
      <c r="AH45" s="2327">
        <f>+AD45*UDV.lca.diesel_wf</f>
        <v>3.5959753218534417E-2</v>
      </c>
      <c r="AI45" s="1296"/>
      <c r="AJ45" s="574"/>
      <c r="AK45" s="1290"/>
    </row>
    <row r="46" spans="1:37" x14ac:dyDescent="0.3">
      <c r="A46" s="3040"/>
      <c r="B46" s="49" t="s">
        <v>6814</v>
      </c>
      <c r="C46" s="49" t="s">
        <v>2358</v>
      </c>
      <c r="D46" s="37"/>
      <c r="E46" s="2326">
        <f>+D46*UDV.lca.sand_gwp</f>
        <v>0</v>
      </c>
      <c r="F46" s="2327"/>
      <c r="G46" s="2327">
        <f>+D46*UDV.lca.sand_ef*UDV.lca.MJ_per_kg_oil_eq</f>
        <v>0</v>
      </c>
      <c r="H46" s="2327">
        <f>+D46*UDV.lca.sand_wf</f>
        <v>0</v>
      </c>
      <c r="I46" s="1296"/>
      <c r="J46" s="574"/>
      <c r="K46" s="1290"/>
      <c r="P46" s="602"/>
      <c r="Q46" s="602" t="str">
        <f>Sc.Table!A25</f>
        <v>Shallow pit, scrape auto, AD, lagoon, irrigation + drag hose</v>
      </c>
      <c r="R46" s="100" t="s">
        <v>485</v>
      </c>
      <c r="S46" s="9"/>
      <c r="T46" s="37">
        <f>AE259/T1</f>
        <v>0.59279943472172569</v>
      </c>
      <c r="U46" s="37">
        <f>AF259*U1</f>
        <v>7.5798715687205531E-2</v>
      </c>
      <c r="V46" s="37">
        <f>AG259*V1</f>
        <v>-96.449712775967328</v>
      </c>
      <c r="W46" s="37">
        <f>AH259*W1</f>
        <v>114.39499886566874</v>
      </c>
      <c r="X46" s="37">
        <f>AJ259*X1</f>
        <v>22.240794409908446</v>
      </c>
      <c r="Y46" s="37">
        <f>AK259*Y1</f>
        <v>9.3512244571365475</v>
      </c>
      <c r="AA46" s="3040"/>
      <c r="AB46" s="49" t="s">
        <v>6814</v>
      </c>
      <c r="AC46" s="49" t="s">
        <v>2358</v>
      </c>
      <c r="AD46" s="9">
        <f>D46</f>
        <v>0</v>
      </c>
      <c r="AE46" s="2326">
        <f>+AD46*UDV.lca.sand_gwp</f>
        <v>0</v>
      </c>
      <c r="AF46" s="2327"/>
      <c r="AG46" s="2327">
        <f>+AD46*UDV.lca.sand_ef*UDV.lca.MJ_per_kg_oil_eq</f>
        <v>0</v>
      </c>
      <c r="AH46" s="2327">
        <f>+AD46*UDV.lca.sand_wf</f>
        <v>0</v>
      </c>
      <c r="AI46" s="1296"/>
      <c r="AJ46" s="574"/>
      <c r="AK46" s="1290"/>
    </row>
    <row r="47" spans="1:37" x14ac:dyDescent="0.3">
      <c r="A47" s="3040"/>
      <c r="B47" s="49"/>
      <c r="C47" s="49"/>
      <c r="D47" s="37"/>
      <c r="E47" s="2327"/>
      <c r="F47" s="2327"/>
      <c r="G47" s="2327"/>
      <c r="H47" s="2327"/>
      <c r="I47" s="1296"/>
      <c r="J47" s="574"/>
      <c r="K47" s="1290"/>
      <c r="P47" s="602" t="s">
        <v>6883</v>
      </c>
      <c r="Q47" s="602" t="str">
        <f>Sc.Table!A26</f>
        <v>Shallow pit, pull plug, AD, lagoon, irrigation + tanker</v>
      </c>
      <c r="R47" s="105" t="s">
        <v>431</v>
      </c>
      <c r="S47" s="37"/>
      <c r="T47" s="37">
        <f>E294/T1</f>
        <v>0.61375810152268584</v>
      </c>
      <c r="U47" s="37">
        <f>F294*U1</f>
        <v>7.270816474920358E-2</v>
      </c>
      <c r="V47" s="37">
        <f>G294*V1</f>
        <v>0</v>
      </c>
      <c r="W47" s="37">
        <f>H294*W1</f>
        <v>113.06988860568426</v>
      </c>
      <c r="X47" s="37">
        <f>J294*X1</f>
        <v>23.052036515604335</v>
      </c>
      <c r="Y47" s="37">
        <f>K294*Y1</f>
        <v>9.9885044704561494</v>
      </c>
      <c r="AA47" s="3040"/>
      <c r="AB47" s="49"/>
      <c r="AC47" s="49"/>
      <c r="AD47" s="9"/>
      <c r="AE47" s="2327"/>
      <c r="AF47" s="2327"/>
      <c r="AG47" s="2327"/>
      <c r="AH47" s="2327"/>
      <c r="AI47" s="1296"/>
      <c r="AJ47" s="574"/>
      <c r="AK47" s="1290"/>
    </row>
    <row r="48" spans="1:37" x14ac:dyDescent="0.3">
      <c r="A48" s="3040"/>
      <c r="B48" s="1089" t="s">
        <v>6819</v>
      </c>
      <c r="C48" s="1089" t="s">
        <v>4885</v>
      </c>
      <c r="D48" s="1711">
        <f>'Sc2'!C38</f>
        <v>0.42782690194156736</v>
      </c>
      <c r="E48" s="1711">
        <f>D48*UDV.lca.diesel_combustion_gwp</f>
        <v>4.3552778617651553</v>
      </c>
      <c r="F48" s="1296"/>
      <c r="G48" s="1296"/>
      <c r="H48" s="1296"/>
      <c r="I48" s="1296"/>
      <c r="J48" s="574"/>
      <c r="K48" s="1290"/>
      <c r="P48" s="602"/>
      <c r="Q48" s="602" t="str">
        <f>Sc.Table!A26</f>
        <v>Shallow pit, pull plug, AD, lagoon, irrigation + tanker</v>
      </c>
      <c r="R48" s="104" t="s">
        <v>6810</v>
      </c>
      <c r="S48" s="9"/>
      <c r="T48" s="37">
        <f>E295/T1</f>
        <v>-5.0149728304306578E-3</v>
      </c>
      <c r="U48" s="37">
        <f>F295*U1</f>
        <v>0</v>
      </c>
      <c r="V48" s="37">
        <f>G295*V1</f>
        <v>-79.439714928053931</v>
      </c>
      <c r="W48" s="37">
        <f>H295*W1</f>
        <v>1.626854771044248</v>
      </c>
      <c r="X48" s="37">
        <f>J295*X1</f>
        <v>0</v>
      </c>
      <c r="Y48" s="37">
        <f>K295*Y1</f>
        <v>0</v>
      </c>
      <c r="AA48" s="3040"/>
      <c r="AB48" s="1089" t="s">
        <v>6819</v>
      </c>
      <c r="AC48" s="1089" t="s">
        <v>4885</v>
      </c>
      <c r="AD48" s="2323">
        <f>'Sc2'!C39</f>
        <v>0.5513354678339607</v>
      </c>
      <c r="AE48" s="1711">
        <f>AD48*UDV.lca.diesel_combustion_gwp</f>
        <v>5.6125950625497198</v>
      </c>
      <c r="AF48" s="1296"/>
      <c r="AG48" s="1296"/>
      <c r="AH48" s="1296"/>
      <c r="AI48" s="1296"/>
      <c r="AJ48" s="574"/>
      <c r="AK48" s="1290"/>
    </row>
    <row r="49" spans="1:37" x14ac:dyDescent="0.3">
      <c r="A49" s="3040"/>
      <c r="B49" s="118" t="s">
        <v>6822</v>
      </c>
      <c r="C49" s="118"/>
      <c r="D49" s="1292"/>
      <c r="E49" s="1712"/>
      <c r="F49" s="1712"/>
      <c r="G49" s="1712"/>
      <c r="H49" s="1712"/>
      <c r="I49" s="1298"/>
      <c r="J49" s="1298"/>
      <c r="K49" s="1713"/>
      <c r="P49" s="602"/>
      <c r="Q49" s="602" t="str">
        <f>Sc.Table!A26</f>
        <v>Shallow pit, pull plug, AD, lagoon, irrigation + tanker</v>
      </c>
      <c r="R49" s="100" t="s">
        <v>485</v>
      </c>
      <c r="S49" s="9"/>
      <c r="T49" s="37">
        <f>E296/T1</f>
        <v>0.60874312869225511</v>
      </c>
      <c r="U49" s="37">
        <f>F296*U1</f>
        <v>7.270816474920358E-2</v>
      </c>
      <c r="V49" s="37">
        <f>G296*V1</f>
        <v>-79.439714928053931</v>
      </c>
      <c r="W49" s="37">
        <f>H296*W1</f>
        <v>114.69674337672851</v>
      </c>
      <c r="X49" s="37">
        <f>J296*X1</f>
        <v>23.052036515604335</v>
      </c>
      <c r="Y49" s="37">
        <f>K296*Y1</f>
        <v>9.9885044704561494</v>
      </c>
      <c r="AA49" s="3040"/>
      <c r="AB49" s="118" t="s">
        <v>6822</v>
      </c>
      <c r="AC49" s="118"/>
      <c r="AD49" s="1292"/>
      <c r="AE49" s="1712"/>
      <c r="AF49" s="1712"/>
      <c r="AG49" s="1712"/>
      <c r="AH49" s="1712"/>
      <c r="AI49" s="1298"/>
      <c r="AJ49" s="1298"/>
      <c r="AK49" s="1713"/>
    </row>
    <row r="50" spans="1:37" x14ac:dyDescent="0.3">
      <c r="A50" s="3040"/>
      <c r="B50" s="49" t="s">
        <v>6786</v>
      </c>
      <c r="C50" s="49" t="s">
        <v>2268</v>
      </c>
      <c r="D50" s="50">
        <f>'Sc2'!C36</f>
        <v>371.29422948373366</v>
      </c>
      <c r="E50" s="578"/>
      <c r="F50" s="1711">
        <f>+D50</f>
        <v>371.29422948373366</v>
      </c>
      <c r="G50" s="578"/>
      <c r="H50" s="578"/>
      <c r="I50" s="1299"/>
      <c r="J50" s="574"/>
      <c r="K50" s="1290"/>
      <c r="P50" s="602" t="s">
        <v>6884</v>
      </c>
      <c r="Q50" s="602" t="str">
        <f>Sc.Table!A27</f>
        <v>Shallow pit, pull plug, AD, lagoon, irrigation + drag hose</v>
      </c>
      <c r="R50" s="105" t="s">
        <v>431</v>
      </c>
      <c r="S50" s="37"/>
      <c r="T50" s="37">
        <f>AE294/T1</f>
        <v>0.61164517088839077</v>
      </c>
      <c r="U50" s="37">
        <f>AF294*U1</f>
        <v>7.270816474920358E-2</v>
      </c>
      <c r="V50" s="37">
        <f>AG294*V1</f>
        <v>0</v>
      </c>
      <c r="W50" s="37">
        <f>AH294*W1</f>
        <v>113.06988860568426</v>
      </c>
      <c r="X50" s="37">
        <f>AJ294*X1</f>
        <v>23.052036515604335</v>
      </c>
      <c r="Y50" s="37">
        <f>AK294*Y1</f>
        <v>9.9885044704561494</v>
      </c>
      <c r="AA50" s="3040"/>
      <c r="AB50" s="49" t="s">
        <v>6786</v>
      </c>
      <c r="AC50" s="49" t="s">
        <v>2268</v>
      </c>
      <c r="AD50" s="50">
        <f>D50</f>
        <v>371.29422948373366</v>
      </c>
      <c r="AE50" s="578"/>
      <c r="AF50" s="1711">
        <f>+AD50</f>
        <v>371.29422948373366</v>
      </c>
      <c r="AG50" s="578"/>
      <c r="AH50" s="578"/>
      <c r="AI50" s="1299"/>
      <c r="AJ50" s="574"/>
      <c r="AK50" s="1290"/>
    </row>
    <row r="51" spans="1:37" x14ac:dyDescent="0.3">
      <c r="A51" s="3040"/>
      <c r="B51" s="76" t="s">
        <v>6826</v>
      </c>
      <c r="C51" s="76"/>
      <c r="D51" s="9"/>
      <c r="E51" s="578"/>
      <c r="F51" s="578"/>
      <c r="G51" s="578"/>
      <c r="H51" s="578"/>
      <c r="I51" s="1299"/>
      <c r="J51" s="574"/>
      <c r="K51" s="1290"/>
      <c r="P51" s="602"/>
      <c r="Q51" s="602" t="str">
        <f>Sc.Table!A27</f>
        <v>Shallow pit, pull plug, AD, lagoon, irrigation + drag hose</v>
      </c>
      <c r="R51" s="104" t="s">
        <v>6810</v>
      </c>
      <c r="S51" s="9"/>
      <c r="T51" s="37">
        <f>AE295/T1</f>
        <v>-6.3687220913405196E-3</v>
      </c>
      <c r="U51" s="37">
        <f>AF295*U1</f>
        <v>0</v>
      </c>
      <c r="V51" s="37">
        <f>AG295*V1</f>
        <v>-92.980292160381822</v>
      </c>
      <c r="W51" s="37">
        <f>AH295*W1</f>
        <v>-1.9493717264865522</v>
      </c>
      <c r="X51" s="37">
        <f>AJ295*X1</f>
        <v>0</v>
      </c>
      <c r="Y51" s="37">
        <f>AK295*Y1</f>
        <v>0</v>
      </c>
      <c r="AA51" s="3040"/>
      <c r="AB51" s="76" t="s">
        <v>6826</v>
      </c>
      <c r="AC51" s="76"/>
      <c r="AD51" s="9"/>
      <c r="AE51" s="578"/>
      <c r="AF51" s="578"/>
      <c r="AG51" s="578"/>
      <c r="AH51" s="578"/>
      <c r="AI51" s="1299"/>
      <c r="AJ51" s="574"/>
      <c r="AK51" s="1290"/>
    </row>
    <row r="52" spans="1:37" x14ac:dyDescent="0.3">
      <c r="A52" s="3040"/>
      <c r="B52" s="117" t="s">
        <v>6828</v>
      </c>
      <c r="C52" s="49" t="s">
        <v>2358</v>
      </c>
      <c r="D52" s="37">
        <f>+D65*1</f>
        <v>0.21257581411492363</v>
      </c>
      <c r="E52" s="1711">
        <f>+D52*UDV.emit_N2O_direct.CO2e_cf</f>
        <v>65.898502375626322</v>
      </c>
      <c r="F52" s="578"/>
      <c r="G52" s="578"/>
      <c r="H52" s="578"/>
      <c r="I52" s="1299"/>
      <c r="J52" s="574"/>
      <c r="K52" s="1290"/>
      <c r="P52" s="602"/>
      <c r="Q52" s="602" t="str">
        <f>Sc.Table!A27</f>
        <v>Shallow pit, pull plug, AD, lagoon, irrigation + drag hose</v>
      </c>
      <c r="R52" s="100" t="s">
        <v>485</v>
      </c>
      <c r="S52" s="9"/>
      <c r="T52" s="37">
        <f>AE296/T1</f>
        <v>0.60527644879705034</v>
      </c>
      <c r="U52" s="37">
        <f>AF296*U1</f>
        <v>7.270816474920358E-2</v>
      </c>
      <c r="V52" s="37">
        <f>AG296*V1</f>
        <v>-92.980292160381822</v>
      </c>
      <c r="W52" s="37">
        <f>AH296*W1</f>
        <v>111.12051687919769</v>
      </c>
      <c r="X52" s="37">
        <f>AJ296*X1</f>
        <v>23.052036515604335</v>
      </c>
      <c r="Y52" s="37">
        <f>AK296*Y1</f>
        <v>9.9885044704561494</v>
      </c>
      <c r="AA52" s="3040"/>
      <c r="AB52" s="117" t="s">
        <v>6828</v>
      </c>
      <c r="AC52" s="49" t="s">
        <v>2358</v>
      </c>
      <c r="AD52" s="37">
        <f>D52</f>
        <v>0.21257581411492363</v>
      </c>
      <c r="AE52" s="1711">
        <f>+AD52*UDV.emit_N2O_direct.CO2e_cf</f>
        <v>65.898502375626322</v>
      </c>
      <c r="AF52" s="578"/>
      <c r="AG52" s="578"/>
      <c r="AH52" s="578"/>
      <c r="AI52" s="1299"/>
      <c r="AJ52" s="574"/>
      <c r="AK52" s="1290"/>
    </row>
    <row r="53" spans="1:37" x14ac:dyDescent="0.3">
      <c r="A53" s="3040"/>
      <c r="B53" s="117" t="s">
        <v>4894</v>
      </c>
      <c r="C53" s="49" t="s">
        <v>2358</v>
      </c>
      <c r="D53" s="37">
        <f>'Sc2'!C18</f>
        <v>7.9704160112144384</v>
      </c>
      <c r="E53" s="1711">
        <f>+D53*UDV.emit_CH4.CO2e_cf</f>
        <v>239.11248033643315</v>
      </c>
      <c r="F53" s="578"/>
      <c r="G53" s="578"/>
      <c r="H53" s="578"/>
      <c r="I53" s="1299"/>
      <c r="J53" s="574"/>
      <c r="K53" s="1290"/>
      <c r="P53" s="602" t="s">
        <v>6885</v>
      </c>
      <c r="Q53" s="602" t="str">
        <f>Sc.Table!A28</f>
        <v>Shallow pit, flush, covered digestion basin, lagoon, irrigation + tanker</v>
      </c>
      <c r="R53" s="105" t="s">
        <v>431</v>
      </c>
      <c r="S53" s="37"/>
      <c r="T53" s="37">
        <f>E331/T1</f>
        <v>0.66065717907263055</v>
      </c>
      <c r="U53" s="37">
        <f>F331*U1</f>
        <v>0.13241149635989077</v>
      </c>
      <c r="V53" s="37">
        <f>G331*V1</f>
        <v>0</v>
      </c>
      <c r="W53" s="37">
        <f>H331*W1</f>
        <v>124.45685847661997</v>
      </c>
      <c r="X53" s="37">
        <f>J331*X1</f>
        <v>24.301826128654703</v>
      </c>
      <c r="Y53" s="37">
        <f>K331*Y1</f>
        <v>10.329250070956935</v>
      </c>
      <c r="AA53" s="3040"/>
      <c r="AB53" s="117" t="s">
        <v>4894</v>
      </c>
      <c r="AC53" s="49" t="s">
        <v>2358</v>
      </c>
      <c r="AD53" s="37">
        <f t="shared" ref="AD53:AD54" si="10">D53</f>
        <v>7.9704160112144384</v>
      </c>
      <c r="AE53" s="1711">
        <f>+AD53*UDV.emit_CH4.CO2e_cf</f>
        <v>239.11248033643315</v>
      </c>
      <c r="AF53" s="578"/>
      <c r="AG53" s="578"/>
      <c r="AH53" s="578"/>
      <c r="AI53" s="1299"/>
      <c r="AJ53" s="574"/>
      <c r="AK53" s="1290"/>
    </row>
    <row r="54" spans="1:37" x14ac:dyDescent="0.3">
      <c r="A54" s="3040"/>
      <c r="B54" s="117" t="s">
        <v>6833</v>
      </c>
      <c r="C54" s="49" t="s">
        <v>2358</v>
      </c>
      <c r="D54" s="9">
        <v>0</v>
      </c>
      <c r="E54" s="1711">
        <f>D54*UDV.lca.CO2_toggle</f>
        <v>0</v>
      </c>
      <c r="F54" s="578"/>
      <c r="G54" s="578"/>
      <c r="H54" s="578"/>
      <c r="I54" s="1299"/>
      <c r="J54" s="574"/>
      <c r="K54" s="1290"/>
      <c r="P54" s="602"/>
      <c r="Q54" s="602" t="str">
        <f>Sc.Table!A28</f>
        <v>Shallow pit, flush, covered digestion basin, lagoon, irrigation + tanker</v>
      </c>
      <c r="R54" s="104" t="s">
        <v>6810</v>
      </c>
      <c r="S54" s="9"/>
      <c r="T54" s="37">
        <f>E332/T1</f>
        <v>-2.783508764128256E-3</v>
      </c>
      <c r="U54" s="37">
        <f>F332*U1</f>
        <v>0</v>
      </c>
      <c r="V54" s="37">
        <f>G332*V1</f>
        <v>-69.130017849226007</v>
      </c>
      <c r="W54" s="37">
        <f>H332*W1</f>
        <v>3.6093098462282032</v>
      </c>
      <c r="X54" s="37">
        <f>J332*X1</f>
        <v>0</v>
      </c>
      <c r="Y54" s="37">
        <f>K332*Y1</f>
        <v>0</v>
      </c>
      <c r="AA54" s="3040"/>
      <c r="AB54" s="117" t="s">
        <v>6833</v>
      </c>
      <c r="AC54" s="49" t="s">
        <v>2358</v>
      </c>
      <c r="AD54" s="37">
        <f t="shared" si="10"/>
        <v>0</v>
      </c>
      <c r="AE54" s="1711">
        <f>AD54*UDV.lca.CO2_toggle</f>
        <v>0</v>
      </c>
      <c r="AF54" s="578"/>
      <c r="AG54" s="578"/>
      <c r="AH54" s="578"/>
      <c r="AI54" s="1299"/>
      <c r="AJ54" s="574"/>
      <c r="AK54" s="1290"/>
    </row>
    <row r="55" spans="1:37" x14ac:dyDescent="0.3">
      <c r="A55" s="3040"/>
      <c r="B55" s="117"/>
      <c r="C55" s="49"/>
      <c r="D55" s="50"/>
      <c r="E55" s="1300"/>
      <c r="F55" s="1300"/>
      <c r="G55" s="1300"/>
      <c r="H55" s="1300"/>
      <c r="I55" s="1300"/>
      <c r="J55" s="1711">
        <f>+SUM(D65:D67)</f>
        <v>8.8422848101205052</v>
      </c>
      <c r="K55" s="2328">
        <f>+SUM(D70)</f>
        <v>4.025601501677988</v>
      </c>
      <c r="P55" s="602"/>
      <c r="Q55" s="602" t="str">
        <f>Sc.Table!A28</f>
        <v>Shallow pit, flush, covered digestion basin, lagoon, irrigation + tanker</v>
      </c>
      <c r="R55" s="100" t="s">
        <v>485</v>
      </c>
      <c r="S55" s="9"/>
      <c r="T55" s="37">
        <f>E333/T1</f>
        <v>0.65787367030850241</v>
      </c>
      <c r="U55" s="37">
        <f>F333*U1</f>
        <v>0.13241149635989077</v>
      </c>
      <c r="V55" s="37">
        <f>G333*V1</f>
        <v>-69.130017849226007</v>
      </c>
      <c r="W55" s="37">
        <f>H333*W1</f>
        <v>128.06616832284817</v>
      </c>
      <c r="X55" s="37">
        <f>J333*X1</f>
        <v>24.301826128654703</v>
      </c>
      <c r="Y55" s="37">
        <f>K333*Y1</f>
        <v>10.329250070956935</v>
      </c>
      <c r="AA55" s="3040"/>
      <c r="AB55" s="117"/>
      <c r="AC55" s="49"/>
      <c r="AD55" s="50"/>
      <c r="AE55" s="1300"/>
      <c r="AF55" s="1300"/>
      <c r="AG55" s="1300"/>
      <c r="AH55" s="1300"/>
      <c r="AI55" s="1300"/>
      <c r="AJ55" s="1711">
        <f>+SUM(AD65:AD67)</f>
        <v>8.8422848101205052</v>
      </c>
      <c r="AK55" s="2328">
        <f>+SUM(AD70)</f>
        <v>4.025601501677988</v>
      </c>
    </row>
    <row r="56" spans="1:37" x14ac:dyDescent="0.3">
      <c r="A56" s="3040"/>
      <c r="B56" s="116" t="s">
        <v>6838</v>
      </c>
      <c r="C56" s="118"/>
      <c r="D56" s="1292"/>
      <c r="E56" s="1712"/>
      <c r="F56" s="1712"/>
      <c r="G56" s="1712"/>
      <c r="H56" s="1712"/>
      <c r="I56" s="1298"/>
      <c r="J56" s="1293"/>
      <c r="K56" s="1295"/>
      <c r="P56" s="602" t="s">
        <v>6886</v>
      </c>
      <c r="Q56" s="602" t="str">
        <f>Sc.Table!A29</f>
        <v>Shallow pit, flush, covered digestion basin, lagoon, irrigation + drag hose</v>
      </c>
      <c r="R56" s="105" t="s">
        <v>431</v>
      </c>
      <c r="S56" s="37"/>
      <c r="T56" s="37">
        <f>AE331/T1</f>
        <v>0.65871550594575989</v>
      </c>
      <c r="U56" s="37">
        <f>AF331*U1</f>
        <v>0.13241149635989077</v>
      </c>
      <c r="V56" s="37">
        <f>AG331*V1</f>
        <v>0</v>
      </c>
      <c r="W56" s="37">
        <f>AH331*W1</f>
        <v>124.45685847661997</v>
      </c>
      <c r="X56" s="37">
        <f>AJ331*X1</f>
        <v>24.301826128654703</v>
      </c>
      <c r="Y56" s="37">
        <f>AK331*Y1</f>
        <v>10.329250070956935</v>
      </c>
      <c r="AA56" s="3040"/>
      <c r="AB56" s="116" t="s">
        <v>6838</v>
      </c>
      <c r="AC56" s="118"/>
      <c r="AD56" s="1292"/>
      <c r="AE56" s="1712"/>
      <c r="AF56" s="1712"/>
      <c r="AG56" s="1712"/>
      <c r="AH56" s="1712"/>
      <c r="AI56" s="1298"/>
      <c r="AJ56" s="1293"/>
      <c r="AK56" s="1295"/>
    </row>
    <row r="57" spans="1:37" x14ac:dyDescent="0.3">
      <c r="A57" s="3040"/>
      <c r="B57" s="49" t="s">
        <v>6839</v>
      </c>
      <c r="C57" s="49" t="s">
        <v>2358</v>
      </c>
      <c r="D57" s="588">
        <f>+D61*UDV.lca.urea_n_content</f>
        <v>5.9703468718542041</v>
      </c>
      <c r="E57" s="2327">
        <f>-D57*UDV.lca.urea_gwp</f>
        <v>-7.1584458993531914</v>
      </c>
      <c r="F57" s="2327"/>
      <c r="G57" s="2327">
        <f>-D57*UDV.lca.urea_ef*UDV.lca.MJ_per_kg_oil_eq</f>
        <v>-407.05345936514317</v>
      </c>
      <c r="H57" s="2327">
        <f>-D57*UDV.lca.urea_wf</f>
        <v>-1.7876766704978828E-2</v>
      </c>
      <c r="I57" s="574"/>
      <c r="J57" s="574"/>
      <c r="K57" s="1290"/>
      <c r="P57" s="602"/>
      <c r="Q57" s="602" t="str">
        <f>Sc.Table!A29</f>
        <v>Shallow pit, flush, covered digestion basin, lagoon, irrigation + drag hose</v>
      </c>
      <c r="R57" s="104" t="s">
        <v>6810</v>
      </c>
      <c r="S57" s="9"/>
      <c r="T57" s="37">
        <f>AE332/T1</f>
        <v>-4.0275337774277348E-3</v>
      </c>
      <c r="U57" s="37">
        <f>AF332*U1</f>
        <v>0</v>
      </c>
      <c r="V57" s="37">
        <f>AG332*V1</f>
        <v>-81.573102590197806</v>
      </c>
      <c r="W57" s="37">
        <f>AH332*W1</f>
        <v>0.32294408809470138</v>
      </c>
      <c r="X57" s="37">
        <f>AJ332*X1</f>
        <v>0</v>
      </c>
      <c r="Y57" s="37">
        <f>AK332*Y1</f>
        <v>0</v>
      </c>
      <c r="AA57" s="3040"/>
      <c r="AB57" s="49" t="s">
        <v>6839</v>
      </c>
      <c r="AC57" s="49" t="s">
        <v>2358</v>
      </c>
      <c r="AD57" s="588">
        <f>D57</f>
        <v>5.9703468718542041</v>
      </c>
      <c r="AE57" s="2327">
        <f>-AD57*UDV.lca.urea_gwp</f>
        <v>-7.1584458993531914</v>
      </c>
      <c r="AF57" s="2327"/>
      <c r="AG57" s="2327">
        <f>-AD57*UDV.lca.urea_ef*UDV.lca.MJ_per_kg_oil_eq</f>
        <v>-407.05345936514317</v>
      </c>
      <c r="AH57" s="2327">
        <f>-AD57*UDV.lca.urea_wf</f>
        <v>-1.7876766704978828E-2</v>
      </c>
      <c r="AI57" s="574"/>
      <c r="AJ57" s="574"/>
      <c r="AK57" s="1290"/>
    </row>
    <row r="58" spans="1:37" x14ac:dyDescent="0.3">
      <c r="A58" s="3040"/>
      <c r="B58" s="49" t="s">
        <v>6842</v>
      </c>
      <c r="C58" s="49" t="s">
        <v>2358</v>
      </c>
      <c r="D58" s="588">
        <f>+D62*UDV.lca.P2O5_TSP</f>
        <v>2.3557571984898105</v>
      </c>
      <c r="E58" s="2327">
        <f>-D58*UDV.lca.P2O5_gwp</f>
        <v>-2.0400857338921758</v>
      </c>
      <c r="F58" s="2327"/>
      <c r="G58" s="2327">
        <f>-D58*UDV.lca.P2O5_ef*UDV.lca.MJ_per_kg_oil_eq</f>
        <v>-50.454770391455078</v>
      </c>
      <c r="H58" s="2327">
        <f>-D58*UDV.lca.P2O5_wf</f>
        <v>-8.7391567196006068E-4</v>
      </c>
      <c r="I58" s="574"/>
      <c r="J58" s="574"/>
      <c r="K58" s="1290"/>
      <c r="P58" s="602"/>
      <c r="Q58" s="602" t="str">
        <f>Sc.Table!A29</f>
        <v>Shallow pit, flush, covered digestion basin, lagoon, irrigation + drag hose</v>
      </c>
      <c r="R58" s="100" t="s">
        <v>485</v>
      </c>
      <c r="S58" s="9"/>
      <c r="T58" s="37">
        <f>AE333/T1</f>
        <v>0.65468797216833219</v>
      </c>
      <c r="U58" s="37">
        <f>AF333*U1</f>
        <v>0.13241149635989077</v>
      </c>
      <c r="V58" s="37">
        <f>AG333*V1</f>
        <v>-81.573102590197806</v>
      </c>
      <c r="W58" s="37">
        <f>AH333*W1</f>
        <v>124.77980256471469</v>
      </c>
      <c r="X58" s="37">
        <f>AJ333*X1</f>
        <v>24.301826128654703</v>
      </c>
      <c r="Y58" s="37">
        <f>AK333*Y1</f>
        <v>10.329250070956935</v>
      </c>
      <c r="AA58" s="3040"/>
      <c r="AB58" s="49" t="s">
        <v>6842</v>
      </c>
      <c r="AC58" s="49" t="s">
        <v>2358</v>
      </c>
      <c r="AD58" s="588">
        <f t="shared" ref="AD58:AD59" si="11">D58</f>
        <v>2.3557571984898105</v>
      </c>
      <c r="AE58" s="2327">
        <f>-AD58*UDV.lca.P2O5_gwp</f>
        <v>-2.0400857338921758</v>
      </c>
      <c r="AF58" s="2327"/>
      <c r="AG58" s="2327">
        <f>-AD58*UDV.lca.P2O5_ef*UDV.lca.MJ_per_kg_oil_eq</f>
        <v>-50.454770391455078</v>
      </c>
      <c r="AH58" s="2327">
        <f>-AD58*UDV.lca.P2O5_wf</f>
        <v>-8.7391567196006068E-4</v>
      </c>
      <c r="AI58" s="574"/>
      <c r="AJ58" s="574"/>
      <c r="AK58" s="1290"/>
    </row>
    <row r="59" spans="1:37" x14ac:dyDescent="0.3">
      <c r="A59" s="3040"/>
      <c r="B59" s="49" t="s">
        <v>6844</v>
      </c>
      <c r="C59" s="49" t="s">
        <v>2358</v>
      </c>
      <c r="D59" s="588">
        <f>+D63*UDV.lca.K2O_KCI</f>
        <v>3.7396677804538276</v>
      </c>
      <c r="E59" s="2327">
        <f>-D59*UDV.lca.K2O_gwp</f>
        <v>-1.6342348200583228</v>
      </c>
      <c r="F59" s="2327"/>
      <c r="G59" s="2327">
        <f>-D59*UDV.lca.K2O_ef*UDV.lca.MJ_per_kg_oil_eq</f>
        <v>-28.973915245319148</v>
      </c>
      <c r="H59" s="2327">
        <f>-D59*UDV.lca.K2O_wf</f>
        <v>-8.4795493118718247E-3</v>
      </c>
      <c r="I59" s="574"/>
      <c r="J59" s="574"/>
      <c r="K59" s="1290"/>
      <c r="P59" s="602" t="s">
        <v>6887</v>
      </c>
      <c r="Q59" s="602" t="str">
        <f>Sc.Table!A30</f>
        <v>Shallow pit, scrape auto, covered digestion basin, lagoon, irrigation + tanker</v>
      </c>
      <c r="R59" s="105" t="s">
        <v>431</v>
      </c>
      <c r="S59" s="37"/>
      <c r="T59" s="37">
        <f>E368/T1</f>
        <v>0.65982502043884361</v>
      </c>
      <c r="U59" s="37">
        <f>F368*U1</f>
        <v>7.5126022104209253E-2</v>
      </c>
      <c r="V59" s="37">
        <f>G368*V1</f>
        <v>0</v>
      </c>
      <c r="W59" s="37">
        <f>H368*W1</f>
        <v>124.45685847661997</v>
      </c>
      <c r="X59" s="37">
        <f>J368*X1</f>
        <v>22.742048578904839</v>
      </c>
      <c r="Y59" s="37">
        <f>K368*Y1</f>
        <v>9.6665204603754411</v>
      </c>
      <c r="AA59" s="3040"/>
      <c r="AB59" s="49" t="s">
        <v>6844</v>
      </c>
      <c r="AC59" s="49" t="s">
        <v>2358</v>
      </c>
      <c r="AD59" s="588">
        <f t="shared" si="11"/>
        <v>3.7396677804538276</v>
      </c>
      <c r="AE59" s="2327">
        <f>-AD59*UDV.lca.K2O_gwp</f>
        <v>-1.6342348200583228</v>
      </c>
      <c r="AF59" s="2327"/>
      <c r="AG59" s="2327">
        <f>-AD59*UDV.lca.K2O_ef*UDV.lca.MJ_per_kg_oil_eq</f>
        <v>-28.973915245319148</v>
      </c>
      <c r="AH59" s="2327">
        <f>-AD59*UDV.lca.K2O_wf</f>
        <v>-8.4795493118718247E-3</v>
      </c>
      <c r="AI59" s="574"/>
      <c r="AJ59" s="574"/>
      <c r="AK59" s="1290"/>
    </row>
    <row r="60" spans="1:37" x14ac:dyDescent="0.3">
      <c r="A60" s="3040"/>
      <c r="B60" s="116" t="s">
        <v>6847</v>
      </c>
      <c r="C60" s="118"/>
      <c r="D60" s="1292"/>
      <c r="E60" s="1712"/>
      <c r="F60" s="1712"/>
      <c r="G60" s="1712"/>
      <c r="H60" s="1712"/>
      <c r="I60" s="1298"/>
      <c r="J60" s="1293"/>
      <c r="K60" s="1295"/>
      <c r="P60" s="49"/>
      <c r="Q60" s="602" t="str">
        <f>Sc.Table!A30</f>
        <v>Shallow pit, scrape auto, covered digestion basin, lagoon, irrigation + tanker</v>
      </c>
      <c r="R60" s="104" t="s">
        <v>6810</v>
      </c>
      <c r="S60" s="9"/>
      <c r="T60" s="37">
        <f>E369/T1</f>
        <v>-2.3909802598109644E-3</v>
      </c>
      <c r="U60" s="37">
        <f>F369*U1</f>
        <v>0</v>
      </c>
      <c r="V60" s="37">
        <f>G369*V1</f>
        <v>-81.027351321831873</v>
      </c>
      <c r="W60" s="37">
        <f>H369*W1</f>
        <v>4.6005090530759531</v>
      </c>
      <c r="X60" s="37">
        <f>J369*X1</f>
        <v>0</v>
      </c>
      <c r="Y60" s="37">
        <f>K369*Y1</f>
        <v>0</v>
      </c>
      <c r="AA60" s="3040"/>
      <c r="AB60" s="116" t="s">
        <v>6847</v>
      </c>
      <c r="AC60" s="118"/>
      <c r="AD60" s="1292"/>
      <c r="AE60" s="1712"/>
      <c r="AF60" s="1712"/>
      <c r="AG60" s="1712"/>
      <c r="AH60" s="1712"/>
      <c r="AI60" s="1298"/>
      <c r="AJ60" s="1293"/>
      <c r="AK60" s="1295"/>
    </row>
    <row r="61" spans="1:37" x14ac:dyDescent="0.3">
      <c r="A61" s="3040"/>
      <c r="B61" s="49" t="s">
        <v>84</v>
      </c>
      <c r="C61" s="49" t="s">
        <v>2358</v>
      </c>
      <c r="D61" s="50">
        <f>'Sc2'!C41-'Sc2'!C45</f>
        <v>8.5290669597917201</v>
      </c>
      <c r="E61" s="578"/>
      <c r="F61" s="578"/>
      <c r="G61" s="578"/>
      <c r="H61" s="578"/>
      <c r="I61" s="1299"/>
      <c r="J61" s="574"/>
      <c r="K61" s="1290"/>
      <c r="P61" s="49"/>
      <c r="Q61" s="602" t="str">
        <f>Sc.Table!A30</f>
        <v>Shallow pit, scrape auto, covered digestion basin, lagoon, irrigation + tanker</v>
      </c>
      <c r="R61" s="100" t="s">
        <v>485</v>
      </c>
      <c r="S61" s="9"/>
      <c r="T61" s="37">
        <f>E370/T1</f>
        <v>0.65743404017903262</v>
      </c>
      <c r="U61" s="37">
        <f>F370*U1</f>
        <v>7.5126022104209253E-2</v>
      </c>
      <c r="V61" s="37">
        <f>G370*V1</f>
        <v>-81.027351321831873</v>
      </c>
      <c r="W61" s="37">
        <f>H370*W1</f>
        <v>129.05736752969594</v>
      </c>
      <c r="X61" s="37">
        <f>J370*X1</f>
        <v>22.742048578904839</v>
      </c>
      <c r="Y61" s="37">
        <f>K370*Y1</f>
        <v>9.6665204603754411</v>
      </c>
      <c r="AA61" s="3040"/>
      <c r="AB61" s="49" t="s">
        <v>84</v>
      </c>
      <c r="AC61" s="49" t="s">
        <v>2358</v>
      </c>
      <c r="AD61" s="50">
        <f>D61</f>
        <v>8.5290669597917201</v>
      </c>
      <c r="AE61" s="578"/>
      <c r="AF61" s="578"/>
      <c r="AG61" s="578"/>
      <c r="AH61" s="578"/>
      <c r="AI61" s="1299"/>
      <c r="AJ61" s="574"/>
      <c r="AK61" s="1290"/>
    </row>
    <row r="62" spans="1:37" x14ac:dyDescent="0.3">
      <c r="A62" s="3040"/>
      <c r="B62" s="49" t="s">
        <v>941</v>
      </c>
      <c r="C62" s="49" t="s">
        <v>2358</v>
      </c>
      <c r="D62" s="50">
        <f>'Sc2'!C42-'Sc2'!C46</f>
        <v>2.6175079983220115</v>
      </c>
      <c r="E62" s="578"/>
      <c r="F62" s="578"/>
      <c r="G62" s="578"/>
      <c r="H62" s="578"/>
      <c r="I62" s="1299"/>
      <c r="J62" s="574"/>
      <c r="K62" s="1290"/>
      <c r="P62" s="49" t="s">
        <v>6888</v>
      </c>
      <c r="Q62" s="602" t="str">
        <f>Sc.Table!A31</f>
        <v>Shallow pit, scrape auto, covered digestion basin, lagoon, irrigation + drag hose</v>
      </c>
      <c r="R62" s="105" t="s">
        <v>431</v>
      </c>
      <c r="S62" s="37"/>
      <c r="T62" s="37">
        <f>AE368/T1</f>
        <v>0.65803002614922201</v>
      </c>
      <c r="U62" s="37">
        <f>AF368*U1</f>
        <v>7.5126022104209253E-2</v>
      </c>
      <c r="V62" s="37">
        <f>AG368*V1</f>
        <v>0</v>
      </c>
      <c r="W62" s="37">
        <f>AH368*W1</f>
        <v>124.45685847661997</v>
      </c>
      <c r="X62" s="37">
        <f>AJ368*X1</f>
        <v>22.742048578904839</v>
      </c>
      <c r="Y62" s="37">
        <f>AK368*Y1</f>
        <v>9.6665204603754411</v>
      </c>
      <c r="AA62" s="3040"/>
      <c r="AB62" s="49" t="s">
        <v>941</v>
      </c>
      <c r="AC62" s="49" t="s">
        <v>2358</v>
      </c>
      <c r="AD62" s="50">
        <f t="shared" ref="AD62:AD63" si="12">D62</f>
        <v>2.6175079983220115</v>
      </c>
      <c r="AE62" s="578"/>
      <c r="AF62" s="578"/>
      <c r="AG62" s="578"/>
      <c r="AH62" s="578"/>
      <c r="AI62" s="1299"/>
      <c r="AJ62" s="574"/>
      <c r="AK62" s="1290"/>
    </row>
    <row r="63" spans="1:37" x14ac:dyDescent="0.3">
      <c r="A63" s="3040"/>
      <c r="B63" s="49" t="s">
        <v>934</v>
      </c>
      <c r="C63" s="49" t="s">
        <v>2358</v>
      </c>
      <c r="D63" s="50">
        <f>'Sc2'!C43-'Sc2'!C47</f>
        <v>3.7396677804538276</v>
      </c>
      <c r="E63" s="578"/>
      <c r="F63" s="578"/>
      <c r="G63" s="578"/>
      <c r="H63" s="578"/>
      <c r="I63" s="1299"/>
      <c r="J63" s="574"/>
      <c r="K63" s="1290"/>
      <c r="P63" s="49"/>
      <c r="Q63" s="602" t="str">
        <f>Sc.Table!A31</f>
        <v>Shallow pit, scrape auto, covered digestion basin, lagoon, irrigation + drag hose</v>
      </c>
      <c r="R63" s="104" t="s">
        <v>6810</v>
      </c>
      <c r="S63" s="9"/>
      <c r="T63" s="37">
        <f>AE369/T1</f>
        <v>-3.5410285167066869E-3</v>
      </c>
      <c r="U63" s="37">
        <f>AF369*U1</f>
        <v>0</v>
      </c>
      <c r="V63" s="37">
        <f>AG369*V1</f>
        <v>-92.530454365400203</v>
      </c>
      <c r="W63" s="37">
        <f>AH369*W1</f>
        <v>1.5624035718693841</v>
      </c>
      <c r="X63" s="37">
        <f>AJ369*X1</f>
        <v>0</v>
      </c>
      <c r="Y63" s="37">
        <f>AK369*Y1</f>
        <v>0</v>
      </c>
      <c r="AA63" s="3040"/>
      <c r="AB63" s="49" t="s">
        <v>934</v>
      </c>
      <c r="AC63" s="49" t="s">
        <v>2358</v>
      </c>
      <c r="AD63" s="50">
        <f t="shared" si="12"/>
        <v>3.7396677804538276</v>
      </c>
      <c r="AE63" s="578"/>
      <c r="AF63" s="578"/>
      <c r="AG63" s="578"/>
      <c r="AH63" s="578"/>
      <c r="AI63" s="1299"/>
      <c r="AJ63" s="574"/>
      <c r="AK63" s="1290"/>
    </row>
    <row r="64" spans="1:37" x14ac:dyDescent="0.3">
      <c r="A64" s="3040"/>
      <c r="B64" s="116" t="s">
        <v>6856</v>
      </c>
      <c r="C64" s="118"/>
      <c r="D64" s="1292"/>
      <c r="E64" s="1712"/>
      <c r="F64" s="1712"/>
      <c r="G64" s="1712"/>
      <c r="H64" s="1712"/>
      <c r="I64" s="1298"/>
      <c r="J64" s="1293"/>
      <c r="K64" s="1295"/>
      <c r="P64" s="49"/>
      <c r="Q64" s="602" t="str">
        <f>Sc.Table!A31</f>
        <v>Shallow pit, scrape auto, covered digestion basin, lagoon, irrigation + drag hose</v>
      </c>
      <c r="R64" s="100" t="s">
        <v>485</v>
      </c>
      <c r="S64" s="9"/>
      <c r="T64" s="37">
        <f>AE370/T1</f>
        <v>0.65448899763251545</v>
      </c>
      <c r="U64" s="37">
        <f>AF370*U1</f>
        <v>7.5126022104209253E-2</v>
      </c>
      <c r="V64" s="37">
        <f>AG370*V1</f>
        <v>-92.530454365400203</v>
      </c>
      <c r="W64" s="37">
        <f>AH370*W1</f>
        <v>126.01926204848935</v>
      </c>
      <c r="X64" s="37">
        <f>AJ370*X1</f>
        <v>22.742048578904839</v>
      </c>
      <c r="Y64" s="37">
        <f>AK370*Y1</f>
        <v>9.6665204603754411</v>
      </c>
      <c r="AA64" s="3040"/>
      <c r="AB64" s="116" t="s">
        <v>6856</v>
      </c>
      <c r="AC64" s="118"/>
      <c r="AD64" s="1292"/>
      <c r="AE64" s="1712"/>
      <c r="AF64" s="1712"/>
      <c r="AG64" s="1712"/>
      <c r="AH64" s="1712"/>
      <c r="AI64" s="1298"/>
      <c r="AJ64" s="1293"/>
      <c r="AK64" s="1295"/>
    </row>
    <row r="65" spans="1:37" x14ac:dyDescent="0.3">
      <c r="A65" s="3040"/>
      <c r="B65" s="49" t="s">
        <v>6859</v>
      </c>
      <c r="C65" s="49" t="s">
        <v>2358</v>
      </c>
      <c r="D65" s="37">
        <f>'Sc2'!C27</f>
        <v>0.21257581411492363</v>
      </c>
      <c r="E65" s="578"/>
      <c r="F65" s="578"/>
      <c r="G65" s="578"/>
      <c r="H65" s="578"/>
      <c r="I65" s="1299"/>
      <c r="J65" s="571"/>
      <c r="K65" s="1290"/>
      <c r="P65" s="49" t="s">
        <v>6889</v>
      </c>
      <c r="Q65" s="602" t="str">
        <f>Sc.Table!A32</f>
        <v>Shallow pit, pull plug, covered digestion basin, lagoon, irrigation + tanker</v>
      </c>
      <c r="R65" s="105" t="s">
        <v>431</v>
      </c>
      <c r="S65" s="37"/>
      <c r="T65" s="37">
        <f>E405/T1</f>
        <v>0.67345190886709994</v>
      </c>
      <c r="U65" s="37">
        <f>F405*U1</f>
        <v>7.1463234135458201E-2</v>
      </c>
      <c r="V65" s="37">
        <f>G405*V1</f>
        <v>0</v>
      </c>
      <c r="W65" s="37">
        <f>H405*W1</f>
        <v>124.45685847661997</v>
      </c>
      <c r="X65" s="37">
        <f>J405*X1</f>
        <v>23.521937353779773</v>
      </c>
      <c r="Y65" s="37">
        <f>K405*Y1</f>
        <v>10.097568776505975</v>
      </c>
      <c r="AA65" s="3040"/>
      <c r="AB65" s="49" t="s">
        <v>6859</v>
      </c>
      <c r="AC65" s="49" t="s">
        <v>2358</v>
      </c>
      <c r="AD65" s="37">
        <f>D65</f>
        <v>0.21257581411492363</v>
      </c>
      <c r="AE65" s="578"/>
      <c r="AF65" s="578"/>
      <c r="AG65" s="578"/>
      <c r="AH65" s="578"/>
      <c r="AI65" s="1299"/>
      <c r="AJ65" s="571"/>
      <c r="AK65" s="1290"/>
    </row>
    <row r="66" spans="1:37" x14ac:dyDescent="0.3">
      <c r="A66" s="3040"/>
      <c r="B66" s="49" t="s">
        <v>6861</v>
      </c>
      <c r="C66" s="49" t="s">
        <v>2358</v>
      </c>
      <c r="D66" s="37">
        <f>'Sc2'!C28</f>
        <v>8.5969723205882342</v>
      </c>
      <c r="E66" s="578"/>
      <c r="F66" s="578"/>
      <c r="G66" s="578"/>
      <c r="H66" s="578"/>
      <c r="I66" s="1299"/>
      <c r="J66" s="571"/>
      <c r="K66" s="1290"/>
      <c r="P66" s="49"/>
      <c r="Q66" s="602" t="str">
        <f>Sc.Table!A32</f>
        <v>Shallow pit, pull plug, covered digestion basin, lagoon, irrigation + tanker</v>
      </c>
      <c r="R66" s="104" t="s">
        <v>6810</v>
      </c>
      <c r="S66" s="9"/>
      <c r="T66" s="37">
        <f>E406/T1</f>
        <v>-4.938074653581241E-3</v>
      </c>
      <c r="U66" s="37">
        <f>F406*U1</f>
        <v>0</v>
      </c>
      <c r="V66" s="37">
        <f>G406*V1</f>
        <v>-78.150842425804186</v>
      </c>
      <c r="W66" s="37">
        <f>H406*W1</f>
        <v>1.3276361110083128</v>
      </c>
      <c r="X66" s="37">
        <f>J406*X1</f>
        <v>0</v>
      </c>
      <c r="Y66" s="37">
        <f>K406*Y1</f>
        <v>0</v>
      </c>
      <c r="AA66" s="3040"/>
      <c r="AB66" s="49" t="s">
        <v>6861</v>
      </c>
      <c r="AC66" s="49" t="s">
        <v>2358</v>
      </c>
      <c r="AD66" s="37">
        <f t="shared" ref="AD66:AD67" si="13">D66</f>
        <v>8.5969723205882342</v>
      </c>
      <c r="AE66" s="578"/>
      <c r="AF66" s="578"/>
      <c r="AG66" s="578"/>
      <c r="AH66" s="578"/>
      <c r="AI66" s="1299"/>
      <c r="AJ66" s="571"/>
      <c r="AK66" s="1290"/>
    </row>
    <row r="67" spans="1:37" x14ac:dyDescent="0.3">
      <c r="A67" s="3040"/>
      <c r="B67" s="49" t="s">
        <v>6864</v>
      </c>
      <c r="C67" s="49" t="s">
        <v>2358</v>
      </c>
      <c r="D67" s="37">
        <f>'Sc2'!C29</f>
        <v>3.2736675417347143E-2</v>
      </c>
      <c r="E67" s="578"/>
      <c r="F67" s="578"/>
      <c r="G67" s="578"/>
      <c r="H67" s="578"/>
      <c r="I67" s="1299"/>
      <c r="J67" s="571"/>
      <c r="K67" s="1290"/>
      <c r="P67" s="49"/>
      <c r="Q67" s="602" t="str">
        <f>Sc.Table!A32</f>
        <v>Shallow pit, pull plug, covered digestion basin, lagoon, irrigation + tanker</v>
      </c>
      <c r="R67" s="100" t="s">
        <v>485</v>
      </c>
      <c r="S67" s="9"/>
      <c r="T67" s="37">
        <f>E407/T1</f>
        <v>0.66851383421351873</v>
      </c>
      <c r="U67" s="37">
        <f>F407*U1</f>
        <v>7.1463234135458201E-2</v>
      </c>
      <c r="V67" s="37">
        <f>G407*V1</f>
        <v>-78.150842425804186</v>
      </c>
      <c r="W67" s="37">
        <f>H407*W1</f>
        <v>125.78449458762829</v>
      </c>
      <c r="X67" s="37">
        <f>J407*X1</f>
        <v>23.521937353779773</v>
      </c>
      <c r="Y67" s="37">
        <f>K407*Y1</f>
        <v>10.097568776505975</v>
      </c>
      <c r="AA67" s="3040"/>
      <c r="AB67" s="49" t="s">
        <v>6864</v>
      </c>
      <c r="AC67" s="49" t="s">
        <v>2358</v>
      </c>
      <c r="AD67" s="37">
        <f t="shared" si="13"/>
        <v>3.2736675417347143E-2</v>
      </c>
      <c r="AE67" s="578"/>
      <c r="AF67" s="578"/>
      <c r="AG67" s="578"/>
      <c r="AH67" s="578"/>
      <c r="AI67" s="1299"/>
      <c r="AJ67" s="571"/>
      <c r="AK67" s="1290"/>
    </row>
    <row r="68" spans="1:37" x14ac:dyDescent="0.3">
      <c r="A68" s="3040"/>
      <c r="B68" s="49"/>
      <c r="C68" s="49"/>
      <c r="D68" s="37"/>
      <c r="E68" s="578"/>
      <c r="F68" s="578"/>
      <c r="G68" s="578"/>
      <c r="H68" s="578"/>
      <c r="I68" s="1299"/>
      <c r="J68" s="571"/>
      <c r="K68" s="1290"/>
      <c r="P68" s="49" t="s">
        <v>6890</v>
      </c>
      <c r="Q68" s="602" t="str">
        <f>Sc.Table!A33</f>
        <v>Shallow pit, pull plug, covered digestion basin, lagoon, irrigation + drag hose</v>
      </c>
      <c r="R68" s="105" t="s">
        <v>431</v>
      </c>
      <c r="S68" s="37"/>
      <c r="T68" s="37">
        <f>AE405/T1</f>
        <v>0.67157095630865415</v>
      </c>
      <c r="U68" s="37">
        <f>AF405*U1</f>
        <v>7.1463234135458201E-2</v>
      </c>
      <c r="V68" s="37">
        <f>AG405*V1</f>
        <v>0</v>
      </c>
      <c r="W68" s="37">
        <f>AH405*W1</f>
        <v>124.45685847661997</v>
      </c>
      <c r="X68" s="37">
        <f>AJ405*X1</f>
        <v>23.521937353779773</v>
      </c>
      <c r="Y68" s="37">
        <f>AK405*Y1</f>
        <v>10.097568776505975</v>
      </c>
      <c r="AA68" s="3040"/>
      <c r="AB68" s="49"/>
      <c r="AC68" s="49"/>
      <c r="AD68" s="37"/>
      <c r="AE68" s="578"/>
      <c r="AF68" s="578"/>
      <c r="AG68" s="578"/>
      <c r="AH68" s="578"/>
      <c r="AI68" s="1299"/>
      <c r="AJ68" s="571"/>
      <c r="AK68" s="1290"/>
    </row>
    <row r="69" spans="1:37" x14ac:dyDescent="0.3">
      <c r="A69" s="3040"/>
      <c r="B69" s="116" t="s">
        <v>6865</v>
      </c>
      <c r="C69" s="118"/>
      <c r="D69" s="1292"/>
      <c r="E69" s="1712"/>
      <c r="F69" s="1712"/>
      <c r="G69" s="1712"/>
      <c r="H69" s="1712"/>
      <c r="I69" s="1298"/>
      <c r="J69" s="1293"/>
      <c r="K69" s="1295"/>
      <c r="P69" s="49"/>
      <c r="Q69" s="602" t="str">
        <f>Sc.Table!A33</f>
        <v>Shallow pit, pull plug, covered digestion basin, lagoon, irrigation + drag hose</v>
      </c>
      <c r="R69" s="104" t="s">
        <v>6810</v>
      </c>
      <c r="S69" s="9"/>
      <c r="T69" s="37">
        <f>AE406/T1</f>
        <v>-6.143196153772925E-3</v>
      </c>
      <c r="U69" s="37">
        <f>AF406*U1</f>
        <v>0</v>
      </c>
      <c r="V69" s="37">
        <f>AG406*V1</f>
        <v>-90.204803391010486</v>
      </c>
      <c r="W69" s="37">
        <f>AH406*W1</f>
        <v>-1.8559574584780645</v>
      </c>
      <c r="X69" s="37">
        <f>AJ406*X1</f>
        <v>0</v>
      </c>
      <c r="Y69" s="37">
        <f>AK406*Y1</f>
        <v>0</v>
      </c>
      <c r="AA69" s="3040"/>
      <c r="AB69" s="116" t="s">
        <v>6865</v>
      </c>
      <c r="AC69" s="118"/>
      <c r="AD69" s="1292"/>
      <c r="AE69" s="1712"/>
      <c r="AF69" s="1712"/>
      <c r="AG69" s="1712"/>
      <c r="AH69" s="1712"/>
      <c r="AI69" s="1298"/>
      <c r="AJ69" s="1293"/>
      <c r="AK69" s="1295"/>
    </row>
    <row r="70" spans="1:37" x14ac:dyDescent="0.3">
      <c r="A70" s="3040"/>
      <c r="B70" s="49" t="s">
        <v>6867</v>
      </c>
      <c r="C70" s="49" t="s">
        <v>2358</v>
      </c>
      <c r="D70" s="37">
        <f>'Sc2'!C46</f>
        <v>4.025601501677988</v>
      </c>
      <c r="E70" s="578"/>
      <c r="F70" s="578"/>
      <c r="G70" s="578"/>
      <c r="H70" s="578"/>
      <c r="I70" s="1299"/>
      <c r="J70" s="571"/>
      <c r="K70" s="1290"/>
      <c r="P70" s="49"/>
      <c r="Q70" s="602" t="str">
        <f>Sc.Table!A33</f>
        <v>Shallow pit, pull plug, covered digestion basin, lagoon, irrigation + drag hose</v>
      </c>
      <c r="R70" s="100" t="s">
        <v>485</v>
      </c>
      <c r="S70" s="9"/>
      <c r="T70" s="37">
        <f>AE407/T1</f>
        <v>0.66542776015488114</v>
      </c>
      <c r="U70" s="37">
        <f>AF407*U1</f>
        <v>7.1463234135458201E-2</v>
      </c>
      <c r="V70" s="37">
        <f>AG407*V1</f>
        <v>-90.204803391010486</v>
      </c>
      <c r="W70" s="37">
        <f>AH407*W1</f>
        <v>122.60090101814191</v>
      </c>
      <c r="X70" s="37">
        <f>AJ407*X1</f>
        <v>23.521937353779773</v>
      </c>
      <c r="Y70" s="37">
        <f>AK407*Y1</f>
        <v>10.097568776505975</v>
      </c>
      <c r="AA70" s="3040"/>
      <c r="AB70" s="49" t="s">
        <v>6867</v>
      </c>
      <c r="AC70" s="49" t="s">
        <v>2358</v>
      </c>
      <c r="AD70" s="37">
        <f>D70</f>
        <v>4.025601501677988</v>
      </c>
      <c r="AE70" s="578"/>
      <c r="AF70" s="578"/>
      <c r="AG70" s="578"/>
      <c r="AH70" s="578"/>
      <c r="AI70" s="1299"/>
      <c r="AJ70" s="571"/>
      <c r="AK70" s="1290"/>
    </row>
    <row r="71" spans="1:37" x14ac:dyDescent="0.3">
      <c r="A71" s="3040"/>
      <c r="B71" s="49"/>
      <c r="C71" s="49"/>
      <c r="D71" s="18" t="s">
        <v>6869</v>
      </c>
      <c r="E71" s="122">
        <f>+SUM(E43:E48,E52:E54,E55)</f>
        <v>324.64576031420808</v>
      </c>
      <c r="F71" s="37"/>
      <c r="G71" s="37"/>
      <c r="H71" s="37"/>
      <c r="I71" s="57"/>
      <c r="J71" s="49"/>
      <c r="K71" s="11"/>
      <c r="P71" s="49" t="s">
        <v>6891</v>
      </c>
      <c r="Q71" s="602" t="str">
        <f>Sc.Table!A34</f>
        <v>Shallow pit, scrape auto, above ground storage tank, tanker</v>
      </c>
      <c r="R71" s="105" t="s">
        <v>431</v>
      </c>
      <c r="S71" s="37"/>
      <c r="T71" s="37">
        <f>E442/T1</f>
        <v>0.4664414768785583</v>
      </c>
      <c r="U71" s="37">
        <f>F442*U1</f>
        <v>0.14242017044617569</v>
      </c>
      <c r="V71" s="37">
        <f>G442*V1</f>
        <v>0</v>
      </c>
      <c r="W71" s="37">
        <f>H442*W1</f>
        <v>1090.6718347104595</v>
      </c>
      <c r="X71" s="37">
        <f>J442*X1</f>
        <v>17.906077950763731</v>
      </c>
      <c r="Y71" s="37">
        <f>K442*Y1</f>
        <v>6.0825871396905526</v>
      </c>
      <c r="AA71" s="3040"/>
      <c r="AB71" s="49"/>
      <c r="AC71" s="49"/>
      <c r="AD71" s="18" t="s">
        <v>6869</v>
      </c>
      <c r="AE71" s="122">
        <f>+SUM(AE43:AE48,AE52:AE54,AE55)</f>
        <v>326.70863743431261</v>
      </c>
      <c r="AF71" s="37"/>
      <c r="AG71" s="37"/>
      <c r="AH71" s="37"/>
      <c r="AI71" s="57"/>
      <c r="AJ71" s="49"/>
      <c r="AK71" s="11"/>
    </row>
    <row r="72" spans="1:37" x14ac:dyDescent="0.3">
      <c r="A72" s="3040"/>
      <c r="B72" s="118" t="s">
        <v>6871</v>
      </c>
      <c r="C72" s="119" t="s">
        <v>4815</v>
      </c>
      <c r="D72" s="1708" t="s">
        <v>630</v>
      </c>
      <c r="E72" s="1281">
        <f>+SUM(E50:E55,E48)</f>
        <v>309.3662605738246</v>
      </c>
      <c r="F72" s="1281">
        <f>+SUM(F50:F55)</f>
        <v>371.29422948373366</v>
      </c>
      <c r="G72" s="1281">
        <f>+SUM(G50:G55)</f>
        <v>0</v>
      </c>
      <c r="H72" s="2267">
        <f>+SUM(H43,H50:H55)</f>
        <v>0</v>
      </c>
      <c r="I72" s="641">
        <f>I43</f>
        <v>0</v>
      </c>
      <c r="J72" s="1281">
        <f>+J55</f>
        <v>8.8422848101205052</v>
      </c>
      <c r="K72" s="1282">
        <f>+K55</f>
        <v>4.025601501677988</v>
      </c>
      <c r="P72" s="49"/>
      <c r="Q72" s="602" t="str">
        <f>Sc.Table!A34</f>
        <v>Shallow pit, scrape auto, above ground storage tank, tanker</v>
      </c>
      <c r="R72" s="104" t="s">
        <v>6810</v>
      </c>
      <c r="S72" s="9"/>
      <c r="T72" s="37">
        <f>E443/T1</f>
        <v>2.7842313146007238E-3</v>
      </c>
      <c r="U72" s="37">
        <f>F443*U1</f>
        <v>0</v>
      </c>
      <c r="V72" s="37">
        <f>G443*V1</f>
        <v>-54.531532236052428</v>
      </c>
      <c r="W72" s="37">
        <f>H443*W1</f>
        <v>30.334787939523551</v>
      </c>
      <c r="X72" s="37">
        <f>J443*X1</f>
        <v>0</v>
      </c>
      <c r="Y72" s="37">
        <f>K443*Y1</f>
        <v>0</v>
      </c>
      <c r="AA72" s="3040"/>
      <c r="AB72" s="118" t="s">
        <v>6871</v>
      </c>
      <c r="AC72" s="119" t="s">
        <v>4815</v>
      </c>
      <c r="AD72" s="1708" t="s">
        <v>630</v>
      </c>
      <c r="AE72" s="1281">
        <f>+SUM(AE50:AE55,AE48)</f>
        <v>310.62357777460915</v>
      </c>
      <c r="AF72" s="1281">
        <f>+SUM(AF50:AF55)</f>
        <v>371.29422948373366</v>
      </c>
      <c r="AG72" s="1281">
        <f>+SUM(AG50:AG55)</f>
        <v>0</v>
      </c>
      <c r="AH72" s="2267">
        <f>+SUM(AH43,AH50:AH55)</f>
        <v>0</v>
      </c>
      <c r="AI72" s="641">
        <f>AI43</f>
        <v>0</v>
      </c>
      <c r="AJ72" s="1281">
        <f>+AJ55</f>
        <v>8.8422848101205052</v>
      </c>
      <c r="AK72" s="1282">
        <f>+AK55</f>
        <v>4.025601501677988</v>
      </c>
    </row>
    <row r="73" spans="1:37" x14ac:dyDescent="0.3">
      <c r="A73" s="3040"/>
      <c r="B73" s="118" t="s">
        <v>6874</v>
      </c>
      <c r="C73" s="118"/>
      <c r="D73" s="1709" t="s">
        <v>6875</v>
      </c>
      <c r="E73" s="922">
        <f>+SUM(E43:E47,E57:E59)</f>
        <v>4.4467332870797742</v>
      </c>
      <c r="F73" s="922">
        <f>+SUM(F43:F48,F57:F59)</f>
        <v>0</v>
      </c>
      <c r="G73" s="922">
        <f>+SUM(G43:G48,G57:G59)</f>
        <v>-319.19525232224191</v>
      </c>
      <c r="H73" s="2268">
        <f>+SUM(H44:H48,H57:H59)</f>
        <v>5.6416479018764149E-2</v>
      </c>
      <c r="I73" s="1283">
        <v>0</v>
      </c>
      <c r="J73" s="922"/>
      <c r="K73" s="1284"/>
      <c r="P73" s="49"/>
      <c r="Q73" s="602" t="str">
        <f>Sc.Table!A34</f>
        <v>Shallow pit, scrape auto, above ground storage tank, tanker</v>
      </c>
      <c r="R73" s="100" t="s">
        <v>485</v>
      </c>
      <c r="S73" s="9"/>
      <c r="T73" s="37">
        <f>E444/T1</f>
        <v>0.46922570819315906</v>
      </c>
      <c r="U73" s="37">
        <f>F444*U1</f>
        <v>0.14242017044617569</v>
      </c>
      <c r="V73" s="37">
        <f>G444*V1</f>
        <v>-54.531532236052428</v>
      </c>
      <c r="W73" s="37">
        <f>H444*W1</f>
        <v>1121.0066226499832</v>
      </c>
      <c r="X73" s="37">
        <f>J444*X1</f>
        <v>17.906077950763731</v>
      </c>
      <c r="Y73" s="37">
        <f>K444*Y1</f>
        <v>6.0825871396905526</v>
      </c>
      <c r="AA73" s="3040"/>
      <c r="AB73" s="118" t="s">
        <v>6874</v>
      </c>
      <c r="AC73" s="118"/>
      <c r="AD73" s="1709" t="s">
        <v>6875</v>
      </c>
      <c r="AE73" s="922">
        <f>+SUM(AE43:AE47,AE57:AE59)</f>
        <v>5.2522932063997319</v>
      </c>
      <c r="AF73" s="922">
        <f>+SUM(AF43:AF48,AF57:AF59)</f>
        <v>0</v>
      </c>
      <c r="AG73" s="922">
        <f>+SUM(AG43:AG48,AG57:AG59)</f>
        <v>-290.18848963538505</v>
      </c>
      <c r="AH73" s="2268">
        <f>+SUM(AH44:AH48,AH57:AH59)</f>
        <v>6.4472078211963726E-2</v>
      </c>
      <c r="AI73" s="1283">
        <v>0</v>
      </c>
      <c r="AJ73" s="922"/>
      <c r="AK73" s="1284"/>
    </row>
    <row r="74" spans="1:37" ht="15" thickBot="1" x14ac:dyDescent="0.35">
      <c r="A74" s="3041"/>
      <c r="B74" s="22"/>
      <c r="C74" s="1291"/>
      <c r="D74" s="1710" t="s">
        <v>6876</v>
      </c>
      <c r="E74" s="1285">
        <f>E72+E73</f>
        <v>313.81299386090438</v>
      </c>
      <c r="F74" s="1285">
        <f>F72+F73</f>
        <v>371.29422948373366</v>
      </c>
      <c r="G74" s="1285">
        <f>G72+G73</f>
        <v>-319.19525232224191</v>
      </c>
      <c r="H74" s="2269">
        <f t="shared" ref="H74" si="14">H72+H73</f>
        <v>5.6416479018764149E-2</v>
      </c>
      <c r="I74" s="1285">
        <f>I72+I73</f>
        <v>0</v>
      </c>
      <c r="J74" s="1285">
        <f>J72+J73</f>
        <v>8.8422848101205052</v>
      </c>
      <c r="K74" s="1286">
        <f>K72+K73</f>
        <v>4.025601501677988</v>
      </c>
      <c r="P74" s="49" t="s">
        <v>6892</v>
      </c>
      <c r="Q74" s="602" t="str">
        <f>Sc.Table!A35</f>
        <v>Shallow pit, scrape auto, above ground storage tank, drag hose</v>
      </c>
      <c r="R74" s="105" t="s">
        <v>431</v>
      </c>
      <c r="S74" s="37"/>
      <c r="T74" s="37">
        <f>AE442/T1</f>
        <v>0.45377004850133928</v>
      </c>
      <c r="U74" s="37">
        <f>AF442*U1</f>
        <v>0.14242017044617569</v>
      </c>
      <c r="V74" s="37">
        <f>AG442*V1</f>
        <v>0</v>
      </c>
      <c r="W74" s="37">
        <f>AH442*W1</f>
        <v>1090.6718347104595</v>
      </c>
      <c r="X74" s="37">
        <f>AJ442*X1</f>
        <v>17.906077950763731</v>
      </c>
      <c r="Y74" s="37">
        <f>AK442*Y1</f>
        <v>6.0825871396905526</v>
      </c>
      <c r="AA74" s="3041"/>
      <c r="AB74" s="22"/>
      <c r="AC74" s="1291"/>
      <c r="AD74" s="1710" t="s">
        <v>6876</v>
      </c>
      <c r="AE74" s="1285">
        <f>AE72+AE73</f>
        <v>315.87587098100886</v>
      </c>
      <c r="AF74" s="1285">
        <f>AF72+AF73</f>
        <v>371.29422948373366</v>
      </c>
      <c r="AG74" s="1285">
        <f>AG72+AG73</f>
        <v>-290.18848963538505</v>
      </c>
      <c r="AH74" s="2269">
        <f t="shared" ref="AH74" si="15">AH72+AH73</f>
        <v>6.4472078211963726E-2</v>
      </c>
      <c r="AI74" s="1285">
        <f>AI72+AI73</f>
        <v>0</v>
      </c>
      <c r="AJ74" s="1285">
        <f>AJ72+AJ73</f>
        <v>8.8422848101205052</v>
      </c>
      <c r="AK74" s="1286">
        <f>AK72+AK73</f>
        <v>4.025601501677988</v>
      </c>
    </row>
    <row r="75" spans="1:37" ht="15" thickBot="1" x14ac:dyDescent="0.35">
      <c r="P75" s="49"/>
      <c r="Q75" s="602" t="str">
        <f>Sc.Table!A35</f>
        <v>Shallow pit, scrape auto, above ground storage tank, drag hose</v>
      </c>
      <c r="R75" s="104" t="s">
        <v>6810</v>
      </c>
      <c r="S75" s="9"/>
      <c r="T75" s="37">
        <f>AE443/T1</f>
        <v>-5.3343204835069212E-3</v>
      </c>
      <c r="U75" s="37">
        <f>AF443*U1</f>
        <v>0</v>
      </c>
      <c r="V75" s="37">
        <f t="shared" ref="V75" si="16">AG443</f>
        <v>-488.64793720132843</v>
      </c>
      <c r="W75" s="37">
        <f>AH443*W1</f>
        <v>8.8878472834266216</v>
      </c>
      <c r="X75" s="37">
        <f>AJ443*X1</f>
        <v>0</v>
      </c>
      <c r="Y75" s="37">
        <f>AK443*Y1</f>
        <v>0</v>
      </c>
    </row>
    <row r="76" spans="1:37" x14ac:dyDescent="0.3">
      <c r="A76" s="3039" t="s">
        <v>6893</v>
      </c>
      <c r="B76" s="49"/>
      <c r="C76" s="49"/>
      <c r="D76" s="9"/>
      <c r="E76" s="565"/>
      <c r="F76" s="565"/>
      <c r="G76" s="565"/>
      <c r="H76" s="565"/>
      <c r="I76" s="1297"/>
      <c r="J76" s="3038" t="s">
        <v>6791</v>
      </c>
      <c r="K76" s="3038"/>
      <c r="P76" s="49"/>
      <c r="Q76" s="602" t="str">
        <f>Sc.Table!A35</f>
        <v>Shallow pit, scrape auto, above ground storage tank, drag hose</v>
      </c>
      <c r="R76" s="100" t="s">
        <v>485</v>
      </c>
      <c r="S76" s="9"/>
      <c r="T76" s="37">
        <f>AE444/T1</f>
        <v>0.44843572801783232</v>
      </c>
      <c r="U76" s="37">
        <f>AF444*U1</f>
        <v>0.14242017044617569</v>
      </c>
      <c r="V76" s="37">
        <f t="shared" ref="V76" si="17">AG444</f>
        <v>-488.64793720132843</v>
      </c>
      <c r="W76" s="37">
        <f>AH444*W1</f>
        <v>1099.5596819938862</v>
      </c>
      <c r="X76" s="37">
        <f>AJ444*X1</f>
        <v>17.906077950763731</v>
      </c>
      <c r="Y76" s="37">
        <f>AK444*Y1</f>
        <v>6.0825871396905526</v>
      </c>
      <c r="AA76" s="3039" t="s">
        <v>6894</v>
      </c>
      <c r="AB76" s="49"/>
      <c r="AC76" s="49"/>
      <c r="AD76" s="9"/>
      <c r="AE76" s="565"/>
      <c r="AF76" s="565"/>
      <c r="AG76" s="565"/>
      <c r="AH76" s="565"/>
      <c r="AI76" s="1297"/>
      <c r="AJ76" s="3038" t="s">
        <v>6791</v>
      </c>
      <c r="AK76" s="3038"/>
    </row>
    <row r="77" spans="1:37" ht="72" x14ac:dyDescent="0.3">
      <c r="A77" s="3040"/>
      <c r="B77" s="566"/>
      <c r="C77" s="566" t="s">
        <v>6795</v>
      </c>
      <c r="D77" s="567" t="s">
        <v>6796</v>
      </c>
      <c r="E77" s="567" t="s">
        <v>4824</v>
      </c>
      <c r="F77" s="567" t="s">
        <v>447</v>
      </c>
      <c r="G77" s="567" t="s">
        <v>446</v>
      </c>
      <c r="H77" s="567" t="s">
        <v>2599</v>
      </c>
      <c r="I77" s="1279" t="s">
        <v>6797</v>
      </c>
      <c r="J77" s="567" t="s">
        <v>4832</v>
      </c>
      <c r="K77" s="567" t="s">
        <v>6798</v>
      </c>
      <c r="P77" s="49" t="s">
        <v>6895</v>
      </c>
      <c r="Q77" s="602" t="str">
        <f>Sc.Table!A36</f>
        <v>Shallow pit, scrape auto, compost, tanker</v>
      </c>
      <c r="R77" s="105" t="s">
        <v>431</v>
      </c>
      <c r="S77" s="37"/>
      <c r="T77" s="37">
        <f>E479/T1</f>
        <v>0.20601696077171924</v>
      </c>
      <c r="U77" s="37">
        <f>F479*U1</f>
        <v>5.7802218726595654E-2</v>
      </c>
      <c r="V77" s="37">
        <f>G479*V1</f>
        <v>0</v>
      </c>
      <c r="W77" s="37">
        <f>H479*W1</f>
        <v>0</v>
      </c>
      <c r="X77" s="37">
        <f>J479*X1</f>
        <v>26.944599054478342</v>
      </c>
      <c r="Y77" s="37">
        <f>K479*Y1</f>
        <v>12.023927466590823</v>
      </c>
      <c r="AA77" s="3040"/>
      <c r="AB77" s="566"/>
      <c r="AC77" s="566" t="s">
        <v>6795</v>
      </c>
      <c r="AD77" s="567" t="s">
        <v>6796</v>
      </c>
      <c r="AE77" s="567" t="s">
        <v>4824</v>
      </c>
      <c r="AF77" s="567" t="s">
        <v>447</v>
      </c>
      <c r="AG77" s="567" t="s">
        <v>446</v>
      </c>
      <c r="AH77" s="567" t="s">
        <v>2599</v>
      </c>
      <c r="AI77" s="1279" t="s">
        <v>6797</v>
      </c>
      <c r="AJ77" s="567" t="s">
        <v>4832</v>
      </c>
      <c r="AK77" s="567" t="s">
        <v>6798</v>
      </c>
    </row>
    <row r="78" spans="1:37" ht="16.8" x14ac:dyDescent="0.35">
      <c r="A78" s="3040"/>
      <c r="B78" s="568"/>
      <c r="C78" s="568"/>
      <c r="D78" s="569"/>
      <c r="E78" s="570" t="s">
        <v>6799</v>
      </c>
      <c r="F78" s="570" t="s">
        <v>6800</v>
      </c>
      <c r="G78" s="570" t="s">
        <v>2435</v>
      </c>
      <c r="H78" s="570" t="s">
        <v>6801</v>
      </c>
      <c r="I78" s="1280" t="s">
        <v>2478</v>
      </c>
      <c r="J78" s="569" t="s">
        <v>6802</v>
      </c>
      <c r="K78" s="569" t="s">
        <v>6803</v>
      </c>
      <c r="P78" s="49"/>
      <c r="Q78" s="602" t="str">
        <f>Sc.Table!A36</f>
        <v>Shallow pit, scrape auto, compost, tanker</v>
      </c>
      <c r="R78" s="104" t="s">
        <v>6810</v>
      </c>
      <c r="S78" s="9"/>
      <c r="T78" s="37">
        <f>E480/T1</f>
        <v>3.158968434154235E-2</v>
      </c>
      <c r="U78" s="37">
        <f>F480*U1</f>
        <v>0</v>
      </c>
      <c r="V78" s="37">
        <f>G480*V1</f>
        <v>125.43329596187918</v>
      </c>
      <c r="W78" s="37">
        <f>H480*W1</f>
        <v>65.827835769432468</v>
      </c>
      <c r="X78" s="37">
        <f>J480*X1</f>
        <v>0</v>
      </c>
      <c r="Y78" s="37">
        <f>K480*Y1</f>
        <v>0</v>
      </c>
      <c r="AA78" s="3040"/>
      <c r="AB78" s="568"/>
      <c r="AC78" s="568"/>
      <c r="AD78" s="569"/>
      <c r="AE78" s="570" t="s">
        <v>6799</v>
      </c>
      <c r="AF78" s="570" t="s">
        <v>6800</v>
      </c>
      <c r="AG78" s="570" t="s">
        <v>2435</v>
      </c>
      <c r="AH78" s="570" t="s">
        <v>6801</v>
      </c>
      <c r="AI78" s="1280" t="s">
        <v>2478</v>
      </c>
      <c r="AJ78" s="569" t="s">
        <v>6802</v>
      </c>
      <c r="AK78" s="569" t="s">
        <v>6803</v>
      </c>
    </row>
    <row r="79" spans="1:37" x14ac:dyDescent="0.3">
      <c r="A79" s="3040"/>
      <c r="B79" s="116" t="s">
        <v>6805</v>
      </c>
      <c r="C79" s="118"/>
      <c r="D79" s="1292"/>
      <c r="E79" s="1293"/>
      <c r="F79" s="1293"/>
      <c r="G79" s="1292"/>
      <c r="H79" s="1293"/>
      <c r="I79" s="1294"/>
      <c r="J79" s="1293"/>
      <c r="K79" s="1295"/>
      <c r="P79" s="49"/>
      <c r="Q79" s="602" t="str">
        <f>Sc.Table!A36</f>
        <v>Shallow pit, scrape auto, compost, tanker</v>
      </c>
      <c r="R79" s="100" t="s">
        <v>485</v>
      </c>
      <c r="S79" s="9"/>
      <c r="T79" s="37">
        <f>E481/T1</f>
        <v>0.2376066451132616</v>
      </c>
      <c r="U79" s="37">
        <f>F481*U1</f>
        <v>5.7802218726595654E-2</v>
      </c>
      <c r="V79" s="37">
        <f>G481*V1</f>
        <v>125.43329596187918</v>
      </c>
      <c r="W79" s="37">
        <f>H481*W1</f>
        <v>65.827835769432468</v>
      </c>
      <c r="X79" s="37">
        <f>J481*X1</f>
        <v>26.944599054478342</v>
      </c>
      <c r="Y79" s="37">
        <f>K481*Y1</f>
        <v>12.023927466590823</v>
      </c>
      <c r="AA79" s="3040"/>
      <c r="AB79" s="116" t="s">
        <v>6805</v>
      </c>
      <c r="AC79" s="118"/>
      <c r="AD79" s="1292"/>
      <c r="AE79" s="1293"/>
      <c r="AF79" s="1293"/>
      <c r="AG79" s="1292"/>
      <c r="AH79" s="1293"/>
      <c r="AI79" s="1294"/>
      <c r="AJ79" s="1293"/>
      <c r="AK79" s="1295"/>
    </row>
    <row r="80" spans="1:37" x14ac:dyDescent="0.3">
      <c r="A80" s="3040"/>
      <c r="B80" s="49" t="s">
        <v>415</v>
      </c>
      <c r="C80" s="49" t="s">
        <v>2358</v>
      </c>
      <c r="D80" s="50">
        <f>'Sc3'!C5*1000</f>
        <v>113.03227729987384</v>
      </c>
      <c r="E80" s="2326">
        <f>+D80*UDV.lca.water_gwp</f>
        <v>5.086452478494323E-2</v>
      </c>
      <c r="F80" s="2327"/>
      <c r="G80" s="2327">
        <f>+D80*UDV.lca.water_ef*UDV.lca.MJ_per_kg_oil_eq</f>
        <v>0.75722583208731487</v>
      </c>
      <c r="H80" s="1711">
        <f>+D80*UDV.lca.water_wf</f>
        <v>0.11317243732372569</v>
      </c>
      <c r="I80" s="1296">
        <f>D80/1000</f>
        <v>0.11303227729987383</v>
      </c>
      <c r="J80" s="574"/>
      <c r="K80" s="1290"/>
      <c r="P80" s="49" t="s">
        <v>6896</v>
      </c>
      <c r="Q80" s="602" t="str">
        <f>Sc.Table!A37</f>
        <v>Shallow pit, scrape auto, slope screen, lagoon, irrigation + tanker</v>
      </c>
      <c r="R80" s="105" t="s">
        <v>431</v>
      </c>
      <c r="S80" s="37"/>
      <c r="T80" s="37">
        <f>E516/T1</f>
        <v>0.86333845509777418</v>
      </c>
      <c r="U80" s="37">
        <f>F516*U1</f>
        <v>1.9166736367290372E-2</v>
      </c>
      <c r="V80" s="37">
        <f>G516*V1</f>
        <v>0</v>
      </c>
      <c r="W80" s="37">
        <f>H516*W1</f>
        <v>1028.3562299881364</v>
      </c>
      <c r="X80" s="37">
        <f>J516*X1</f>
        <v>20.963404352126762</v>
      </c>
      <c r="Y80" s="37">
        <f>K516*Y1</f>
        <v>9.0335631405029186</v>
      </c>
      <c r="AA80" s="3040"/>
      <c r="AB80" s="49" t="s">
        <v>415</v>
      </c>
      <c r="AC80" s="49" t="s">
        <v>2358</v>
      </c>
      <c r="AD80" s="50">
        <f>D80</f>
        <v>113.03227729987384</v>
      </c>
      <c r="AE80" s="2326">
        <f>+AD80*UDV.lca.water_gwp</f>
        <v>5.086452478494323E-2</v>
      </c>
      <c r="AF80" s="2327"/>
      <c r="AG80" s="2327">
        <f>+AD80*UDV.lca.water_ef*UDV.lca.MJ_per_kg_oil_eq</f>
        <v>0.75722583208731487</v>
      </c>
      <c r="AH80" s="1711">
        <f>+AD80*UDV.lca.water_wf</f>
        <v>0.11317243732372569</v>
      </c>
      <c r="AI80" s="1296">
        <f>AD80/1000</f>
        <v>0.11303227729987383</v>
      </c>
      <c r="AJ80" s="574"/>
      <c r="AK80" s="1290"/>
    </row>
    <row r="81" spans="1:37" x14ac:dyDescent="0.3">
      <c r="A81" s="3040"/>
      <c r="B81" s="49" t="s">
        <v>409</v>
      </c>
      <c r="C81" s="49" t="s">
        <v>2556</v>
      </c>
      <c r="D81" s="50">
        <f>'Sc3'!C6</f>
        <v>1.8929253454118953</v>
      </c>
      <c r="E81" s="2326">
        <f>+D81*UDV.lca.electricity_gwp</f>
        <v>0.67857394970575868</v>
      </c>
      <c r="F81" s="2327"/>
      <c r="G81" s="2327">
        <f>+D81*UDV.lca.electricity_ef*UDV.lca.MJ_per_kg_oil_eq</f>
        <v>3.629960716927739</v>
      </c>
      <c r="H81" s="2327">
        <f>+D81*UDV.lca.electricity_wf</f>
        <v>3.0286805526590324E-3</v>
      </c>
      <c r="I81" s="1296"/>
      <c r="J81" s="574"/>
      <c r="K81" s="1290"/>
      <c r="P81" s="49"/>
      <c r="Q81" s="602" t="str">
        <f>Sc.Table!A37</f>
        <v>Shallow pit, scrape auto, slope screen, lagoon, irrigation + tanker</v>
      </c>
      <c r="R81" s="104" t="s">
        <v>6810</v>
      </c>
      <c r="S81" s="9"/>
      <c r="T81" s="37">
        <f>E517/T1</f>
        <v>4.0491498003032084E-3</v>
      </c>
      <c r="U81" s="37">
        <f>F517*U1</f>
        <v>0</v>
      </c>
      <c r="V81" s="37">
        <f>G517*V1</f>
        <v>-31.360274686162601</v>
      </c>
      <c r="W81" s="37">
        <f>H517*W1</f>
        <v>19.384453526264764</v>
      </c>
      <c r="X81" s="37">
        <f>J517*X1</f>
        <v>0</v>
      </c>
      <c r="Y81" s="37">
        <f>K517*Y1</f>
        <v>0</v>
      </c>
      <c r="AA81" s="3040"/>
      <c r="AB81" s="49" t="s">
        <v>409</v>
      </c>
      <c r="AC81" s="49" t="s">
        <v>2556</v>
      </c>
      <c r="AD81" s="50">
        <f>D81</f>
        <v>1.8929253454118953</v>
      </c>
      <c r="AE81" s="2326">
        <f>+AD81*UDV.lca.electricity_gwp</f>
        <v>0.67857394970575868</v>
      </c>
      <c r="AF81" s="2327"/>
      <c r="AG81" s="2327">
        <f>+AD81*UDV.lca.electricity_ef*UDV.lca.MJ_per_kg_oil_eq</f>
        <v>3.629960716927739</v>
      </c>
      <c r="AH81" s="2327">
        <f>+AD81*UDV.lca.electricity_wf</f>
        <v>3.0286805526590324E-3</v>
      </c>
      <c r="AI81" s="1296"/>
      <c r="AJ81" s="574"/>
      <c r="AK81" s="1290"/>
    </row>
    <row r="82" spans="1:37" x14ac:dyDescent="0.3">
      <c r="A82" s="3040"/>
      <c r="B82" s="49" t="s">
        <v>6812</v>
      </c>
      <c r="C82" s="49" t="s">
        <v>2435</v>
      </c>
      <c r="D82" s="50">
        <f>'Sc3'!C42*UDV.lca.MJ_per_gal_diesel</f>
        <v>51.793479074625196</v>
      </c>
      <c r="E82" s="2326">
        <f>+D82*UDV.lca.diesel_gwp</f>
        <v>2.3307065583581337</v>
      </c>
      <c r="F82" s="2327"/>
      <c r="G82" s="2326">
        <f>+D82*UDV.lca.diesel_ef*UDV.lca.MJ_per_kg_oil_eq</f>
        <v>83.924547894671349</v>
      </c>
      <c r="H82" s="2327">
        <f>+D82*UDV.lca.diesel_wf</f>
        <v>2.3307065583581334E-2</v>
      </c>
      <c r="I82" s="1296"/>
      <c r="J82" s="574"/>
      <c r="K82" s="1290"/>
      <c r="P82" s="49"/>
      <c r="Q82" s="602" t="str">
        <f>Sc.Table!A37</f>
        <v>Shallow pit, scrape auto, slope screen, lagoon, irrigation + tanker</v>
      </c>
      <c r="R82" s="100" t="s">
        <v>485</v>
      </c>
      <c r="S82" s="9"/>
      <c r="T82" s="37">
        <f>E518/T1</f>
        <v>0.86738760489807742</v>
      </c>
      <c r="U82" s="37">
        <f>F518*U1</f>
        <v>1.9166736367290372E-2</v>
      </c>
      <c r="V82" s="37">
        <f>G518*V1</f>
        <v>-31.360274686162601</v>
      </c>
      <c r="W82" s="37">
        <f>H518*W1</f>
        <v>1047.7406835144011</v>
      </c>
      <c r="X82" s="37">
        <f>J518*X1</f>
        <v>20.963404352126762</v>
      </c>
      <c r="Y82" s="37">
        <f>K518*Y1</f>
        <v>9.0335631405029186</v>
      </c>
      <c r="AA82" s="3040"/>
      <c r="AB82" s="49" t="s">
        <v>6812</v>
      </c>
      <c r="AC82" s="49" t="s">
        <v>2435</v>
      </c>
      <c r="AD82" s="53">
        <f>'Sc3'!C43*UDV.lca.MJ_per_gal_diesel</f>
        <v>21.505811361494565</v>
      </c>
      <c r="AE82" s="2326">
        <f>+AD82*UDV.lca.diesel_gwp</f>
        <v>0.9677615112672554</v>
      </c>
      <c r="AF82" s="2327"/>
      <c r="AG82" s="2326">
        <f>+AD82*UDV.lca.diesel_ef*UDV.lca.MJ_per_kg_oil_eq</f>
        <v>34.847350050013588</v>
      </c>
      <c r="AH82" s="2327">
        <f>+AD82*UDV.lca.diesel_wf</f>
        <v>9.6776151126725524E-3</v>
      </c>
      <c r="AI82" s="1296"/>
      <c r="AJ82" s="574"/>
      <c r="AK82" s="1290"/>
    </row>
    <row r="83" spans="1:37" x14ac:dyDescent="0.3">
      <c r="A83" s="3040"/>
      <c r="B83" s="49" t="s">
        <v>6814</v>
      </c>
      <c r="C83" s="49" t="s">
        <v>2358</v>
      </c>
      <c r="D83" s="9"/>
      <c r="E83" s="2326">
        <f>+D83*UDV.lca.sand_gwp</f>
        <v>0</v>
      </c>
      <c r="F83" s="2327"/>
      <c r="G83" s="2327">
        <f>+D83*UDV.lca.sand_ef*UDV.lca.MJ_per_kg_oil_eq</f>
        <v>0</v>
      </c>
      <c r="H83" s="2327">
        <f>+D83*UDV.lca.sand_wf</f>
        <v>0</v>
      </c>
      <c r="I83" s="1296"/>
      <c r="J83" s="574"/>
      <c r="K83" s="1290"/>
      <c r="P83" s="49" t="s">
        <v>6897</v>
      </c>
      <c r="Q83" s="602" t="str">
        <f>Sc.Table!A38</f>
        <v>Shallow pit, scrape auto, slope screen, lagoon, irrigation + drag hose</v>
      </c>
      <c r="R83" s="105" t="s">
        <v>431</v>
      </c>
      <c r="S83" s="37"/>
      <c r="T83" s="37">
        <f>AE516/T1</f>
        <v>0.86158246585614884</v>
      </c>
      <c r="U83" s="37">
        <f>AF516*U1</f>
        <v>1.9166736367290372E-2</v>
      </c>
      <c r="V83" s="37">
        <f>AG516*V1</f>
        <v>0</v>
      </c>
      <c r="W83" s="37">
        <f>AH516*W1</f>
        <v>1028.3562299881364</v>
      </c>
      <c r="X83" s="37">
        <f>AJ516*X1</f>
        <v>20.963404352126762</v>
      </c>
      <c r="Y83" s="37">
        <f>AK516*Y1</f>
        <v>9.0335631405029186</v>
      </c>
      <c r="AA83" s="3040"/>
      <c r="AB83" s="49" t="s">
        <v>6814</v>
      </c>
      <c r="AC83" s="49" t="s">
        <v>2358</v>
      </c>
      <c r="AD83" s="9"/>
      <c r="AE83" s="2326">
        <f>+AD83*UDV.lca.sand_gwp</f>
        <v>0</v>
      </c>
      <c r="AF83" s="2327"/>
      <c r="AG83" s="2327">
        <f>+AD83*UDV.lca.sand_ef*UDV.lca.MJ_per_kg_oil_eq</f>
        <v>0</v>
      </c>
      <c r="AH83" s="2327">
        <f>+AD83*UDV.lca.sand_wf</f>
        <v>0</v>
      </c>
      <c r="AI83" s="1296"/>
      <c r="AJ83" s="574"/>
      <c r="AK83" s="1290"/>
    </row>
    <row r="84" spans="1:37" x14ac:dyDescent="0.3">
      <c r="A84" s="3040"/>
      <c r="B84" s="49"/>
      <c r="C84" s="49"/>
      <c r="D84" s="9"/>
      <c r="E84" s="2327"/>
      <c r="F84" s="2327"/>
      <c r="G84" s="2327"/>
      <c r="H84" s="2327"/>
      <c r="I84" s="1296"/>
      <c r="J84" s="574"/>
      <c r="K84" s="1290"/>
      <c r="P84" s="49"/>
      <c r="Q84" s="602" t="str">
        <f>Sc.Table!A38</f>
        <v>Shallow pit, scrape auto, slope screen, lagoon, irrigation + drag hose</v>
      </c>
      <c r="R84" s="104" t="s">
        <v>6810</v>
      </c>
      <c r="S84" s="9"/>
      <c r="T84" s="37">
        <f>AE517/T1</f>
        <v>2.924091978038668E-3</v>
      </c>
      <c r="U84" s="37">
        <f>AF517*U1</f>
        <v>0</v>
      </c>
      <c r="V84" s="37">
        <f>AG517*V1</f>
        <v>-42.613416440765548</v>
      </c>
      <c r="W84" s="37">
        <f>AH517*W1</f>
        <v>16.41236577603209</v>
      </c>
      <c r="X84" s="37">
        <f>AJ517*X1</f>
        <v>0</v>
      </c>
      <c r="Y84" s="37">
        <f>AK517*Y1</f>
        <v>0</v>
      </c>
      <c r="AA84" s="3040"/>
      <c r="AB84" s="49"/>
      <c r="AC84" s="49"/>
      <c r="AD84" s="9"/>
      <c r="AE84" s="2327"/>
      <c r="AF84" s="2327"/>
      <c r="AG84" s="2327"/>
      <c r="AH84" s="2327"/>
      <c r="AI84" s="1296"/>
      <c r="AJ84" s="574"/>
      <c r="AK84" s="1290"/>
    </row>
    <row r="85" spans="1:37" x14ac:dyDescent="0.3">
      <c r="A85" s="3040"/>
      <c r="B85" s="1089" t="s">
        <v>6819</v>
      </c>
      <c r="C85" s="1089" t="s">
        <v>4885</v>
      </c>
      <c r="D85" s="1711">
        <f>'Sc3'!C42</f>
        <v>0.35734427400734925</v>
      </c>
      <c r="E85" s="1711">
        <f>D85*UDV.lca.diesel_combustion_gwp</f>
        <v>3.6377647093948151</v>
      </c>
      <c r="F85" s="1296"/>
      <c r="G85" s="1296"/>
      <c r="H85" s="1296"/>
      <c r="I85" s="1296"/>
      <c r="J85" s="574"/>
      <c r="K85" s="1290"/>
      <c r="P85" s="49"/>
      <c r="Q85" s="602" t="str">
        <f>Sc.Table!A38</f>
        <v>Shallow pit, scrape auto, slope screen, lagoon, irrigation + drag hose</v>
      </c>
      <c r="R85" s="100" t="s">
        <v>485</v>
      </c>
      <c r="S85" s="9"/>
      <c r="T85" s="37">
        <f>AE518/T1</f>
        <v>0.86450655783418739</v>
      </c>
      <c r="U85" s="37">
        <f>AF518*U1</f>
        <v>1.9166736367290372E-2</v>
      </c>
      <c r="V85" s="37">
        <f>AG518*V1</f>
        <v>-42.613416440765548</v>
      </c>
      <c r="W85" s="37">
        <f>AH518*W1</f>
        <v>1044.7685957641686</v>
      </c>
      <c r="X85" s="37">
        <f>AJ518*X1</f>
        <v>20.963404352126762</v>
      </c>
      <c r="Y85" s="37">
        <f>AK518*Y1</f>
        <v>9.0335631405029186</v>
      </c>
      <c r="AA85" s="3040"/>
      <c r="AB85" s="1089" t="s">
        <v>6819</v>
      </c>
      <c r="AC85" s="1089" t="s">
        <v>4885</v>
      </c>
      <c r="AD85" s="2322">
        <f>'Sc3'!C43</f>
        <v>0.14837733794324939</v>
      </c>
      <c r="AE85" s="1711">
        <f>AD85*UDV.lca.diesel_combustion_gwp</f>
        <v>1.5104813002622788</v>
      </c>
      <c r="AF85" s="1296"/>
      <c r="AG85" s="1296"/>
      <c r="AH85" s="1296"/>
      <c r="AI85" s="1296"/>
      <c r="AJ85" s="574"/>
      <c r="AK85" s="1290"/>
    </row>
    <row r="86" spans="1:37" x14ac:dyDescent="0.3">
      <c r="A86" s="3040"/>
      <c r="B86" s="118" t="s">
        <v>6822</v>
      </c>
      <c r="C86" s="118"/>
      <c r="D86" s="1292"/>
      <c r="E86" s="1712"/>
      <c r="F86" s="1712"/>
      <c r="G86" s="1712"/>
      <c r="H86" s="1712"/>
      <c r="I86" s="1298"/>
      <c r="J86" s="1298"/>
      <c r="K86" s="1713"/>
      <c r="AA86" s="3040"/>
      <c r="AB86" s="118" t="s">
        <v>6822</v>
      </c>
      <c r="AC86" s="118"/>
      <c r="AD86" s="1292"/>
      <c r="AE86" s="1712"/>
      <c r="AF86" s="1712"/>
      <c r="AG86" s="1712"/>
      <c r="AH86" s="1712"/>
      <c r="AI86" s="1298"/>
      <c r="AJ86" s="1298"/>
      <c r="AK86" s="1713"/>
    </row>
    <row r="87" spans="1:37" x14ac:dyDescent="0.3">
      <c r="A87" s="3040"/>
      <c r="B87" s="49" t="s">
        <v>6786</v>
      </c>
      <c r="C87" s="49" t="s">
        <v>2268</v>
      </c>
      <c r="D87" s="50">
        <f>'Sc3'!C8</f>
        <v>297.77768402078482</v>
      </c>
      <c r="E87" s="578"/>
      <c r="F87" s="1711">
        <f>+D87</f>
        <v>297.77768402078482</v>
      </c>
      <c r="G87" s="578"/>
      <c r="H87" s="578"/>
      <c r="I87" s="1299"/>
      <c r="J87" s="574"/>
      <c r="K87" s="1290"/>
      <c r="AA87" s="3040"/>
      <c r="AB87" s="49" t="s">
        <v>6786</v>
      </c>
      <c r="AC87" s="49" t="s">
        <v>2268</v>
      </c>
      <c r="AD87" s="50">
        <f>D87</f>
        <v>297.77768402078482</v>
      </c>
      <c r="AE87" s="578"/>
      <c r="AF87" s="1711">
        <f>+AD87</f>
        <v>297.77768402078482</v>
      </c>
      <c r="AG87" s="578"/>
      <c r="AH87" s="578"/>
      <c r="AI87" s="1299"/>
      <c r="AJ87" s="574"/>
      <c r="AK87" s="1290"/>
    </row>
    <row r="88" spans="1:37" x14ac:dyDescent="0.3">
      <c r="A88" s="3040"/>
      <c r="B88" s="76" t="s">
        <v>6826</v>
      </c>
      <c r="C88" s="76"/>
      <c r="D88" s="9"/>
      <c r="E88" s="578"/>
      <c r="F88" s="578"/>
      <c r="G88" s="578"/>
      <c r="H88" s="578"/>
      <c r="I88" s="1299"/>
      <c r="J88" s="574"/>
      <c r="K88" s="1290"/>
      <c r="AA88" s="3040"/>
      <c r="AB88" s="76" t="s">
        <v>6826</v>
      </c>
      <c r="AC88" s="76"/>
      <c r="AD88" s="9"/>
      <c r="AE88" s="578"/>
      <c r="AF88" s="578"/>
      <c r="AG88" s="578"/>
      <c r="AH88" s="578"/>
      <c r="AI88" s="1299"/>
      <c r="AJ88" s="574"/>
      <c r="AK88" s="1290"/>
    </row>
    <row r="89" spans="1:37" x14ac:dyDescent="0.3">
      <c r="A89" s="3040"/>
      <c r="B89" s="117" t="s">
        <v>6828</v>
      </c>
      <c r="C89" s="49" t="s">
        <v>2358</v>
      </c>
      <c r="D89" s="37">
        <f>+D102*1</f>
        <v>0.21059325125571848</v>
      </c>
      <c r="E89" s="1711">
        <f>+D89*UDV.emit_N2O_direct.CO2e_cf</f>
        <v>65.283907889272726</v>
      </c>
      <c r="F89" s="578"/>
      <c r="G89" s="578"/>
      <c r="H89" s="578"/>
      <c r="I89" s="1299"/>
      <c r="J89" s="574"/>
      <c r="K89" s="1290"/>
      <c r="AA89" s="3040"/>
      <c r="AB89" s="117" t="s">
        <v>6828</v>
      </c>
      <c r="AC89" s="49" t="s">
        <v>2358</v>
      </c>
      <c r="AD89" s="37">
        <f>D89</f>
        <v>0.21059325125571848</v>
      </c>
      <c r="AE89" s="1711">
        <f>+AD89*UDV.emit_N2O_direct.CO2e_cf</f>
        <v>65.283907889272726</v>
      </c>
      <c r="AF89" s="578"/>
      <c r="AG89" s="578"/>
      <c r="AH89" s="578"/>
      <c r="AI89" s="1299"/>
      <c r="AJ89" s="574"/>
      <c r="AK89" s="1290"/>
    </row>
    <row r="90" spans="1:37" x14ac:dyDescent="0.3">
      <c r="A90" s="3040"/>
      <c r="B90" s="117" t="s">
        <v>4894</v>
      </c>
      <c r="C90" s="49" t="s">
        <v>2358</v>
      </c>
      <c r="D90" s="37">
        <f>'Sc3'!C18</f>
        <v>32.282819354552089</v>
      </c>
      <c r="E90" s="1711">
        <f>+D90*UDV.emit_CH4.CO2e_cf</f>
        <v>968.48458063656267</v>
      </c>
      <c r="F90" s="578"/>
      <c r="G90" s="578"/>
      <c r="H90" s="578"/>
      <c r="I90" s="1299"/>
      <c r="J90" s="574"/>
      <c r="K90" s="1290"/>
      <c r="AA90" s="3040"/>
      <c r="AB90" s="117" t="s">
        <v>4894</v>
      </c>
      <c r="AC90" s="49" t="s">
        <v>2358</v>
      </c>
      <c r="AD90" s="37">
        <f t="shared" ref="AD90:AD91" si="18">D90</f>
        <v>32.282819354552089</v>
      </c>
      <c r="AE90" s="1711">
        <f>+AD90*UDV.emit_CH4.CO2e_cf</f>
        <v>968.48458063656267</v>
      </c>
      <c r="AF90" s="578"/>
      <c r="AG90" s="578"/>
      <c r="AH90" s="578"/>
      <c r="AI90" s="1299"/>
      <c r="AJ90" s="574"/>
      <c r="AK90" s="1290"/>
    </row>
    <row r="91" spans="1:37" x14ac:dyDescent="0.3">
      <c r="A91" s="3040"/>
      <c r="B91" s="117" t="s">
        <v>6833</v>
      </c>
      <c r="C91" s="49" t="s">
        <v>2358</v>
      </c>
      <c r="D91" s="9">
        <v>0</v>
      </c>
      <c r="E91" s="1711">
        <f>D91*UDV.lca.CO2_toggle</f>
        <v>0</v>
      </c>
      <c r="F91" s="578"/>
      <c r="G91" s="578"/>
      <c r="H91" s="578"/>
      <c r="I91" s="1299"/>
      <c r="J91" s="574"/>
      <c r="K91" s="1290"/>
      <c r="AA91" s="3040"/>
      <c r="AB91" s="117" t="s">
        <v>6833</v>
      </c>
      <c r="AC91" s="49" t="s">
        <v>2358</v>
      </c>
      <c r="AD91" s="37">
        <f t="shared" si="18"/>
        <v>0</v>
      </c>
      <c r="AE91" s="1711">
        <f>AD91*UDV.lca.CO2_toggle</f>
        <v>0</v>
      </c>
      <c r="AF91" s="578"/>
      <c r="AG91" s="578"/>
      <c r="AH91" s="578"/>
      <c r="AI91" s="1299"/>
      <c r="AJ91" s="574"/>
      <c r="AK91" s="1290"/>
    </row>
    <row r="92" spans="1:37" x14ac:dyDescent="0.3">
      <c r="A92" s="3040"/>
      <c r="B92" s="117"/>
      <c r="C92" s="49"/>
      <c r="D92" s="50"/>
      <c r="E92" s="1300"/>
      <c r="F92" s="1300"/>
      <c r="G92" s="1300"/>
      <c r="H92" s="1300"/>
      <c r="I92" s="1300"/>
      <c r="J92" s="1711">
        <f>+SUM(D102:D104)</f>
        <v>10.39810833514187</v>
      </c>
      <c r="K92" s="2328">
        <f>+SUM(D107)</f>
        <v>3.3676512059024866</v>
      </c>
      <c r="AA92" s="3040"/>
      <c r="AB92" s="117"/>
      <c r="AC92" s="49"/>
      <c r="AD92" s="50"/>
      <c r="AE92" s="1300"/>
      <c r="AF92" s="1300"/>
      <c r="AG92" s="1300"/>
      <c r="AH92" s="1300"/>
      <c r="AI92" s="1300"/>
      <c r="AJ92" s="1711">
        <f>+SUM(AD102:AD104)</f>
        <v>10.39810833514187</v>
      </c>
      <c r="AK92" s="2328">
        <f>+SUM(AD107)</f>
        <v>3.3676512059024866</v>
      </c>
    </row>
    <row r="93" spans="1:37" x14ac:dyDescent="0.3">
      <c r="A93" s="3040"/>
      <c r="B93" s="116" t="s">
        <v>6838</v>
      </c>
      <c r="C93" s="118"/>
      <c r="D93" s="1292"/>
      <c r="E93" s="1712"/>
      <c r="F93" s="1712"/>
      <c r="G93" s="1712"/>
      <c r="H93" s="1712"/>
      <c r="I93" s="1298"/>
      <c r="J93" s="1293"/>
      <c r="K93" s="1295"/>
      <c r="AA93" s="3040"/>
      <c r="AB93" s="116" t="s">
        <v>6838</v>
      </c>
      <c r="AC93" s="118"/>
      <c r="AD93" s="1292"/>
      <c r="AE93" s="1712"/>
      <c r="AF93" s="1712"/>
      <c r="AG93" s="1712"/>
      <c r="AH93" s="1712"/>
      <c r="AI93" s="1298"/>
      <c r="AJ93" s="1293"/>
      <c r="AK93" s="1295"/>
    </row>
    <row r="94" spans="1:37" x14ac:dyDescent="0.3">
      <c r="A94" s="3040"/>
      <c r="B94" s="49" t="s">
        <v>6839</v>
      </c>
      <c r="C94" s="49" t="s">
        <v>2358</v>
      </c>
      <c r="D94" s="588">
        <f>+D98*UDV.lca.urea_n_content</f>
        <v>4.6459521796771019</v>
      </c>
      <c r="E94" s="2327">
        <f>-D94*UDV.lca.urea_gwp</f>
        <v>-5.5704966634328459</v>
      </c>
      <c r="F94" s="2327"/>
      <c r="G94" s="2327">
        <f>-D94*UDV.lca.urea_ef*UDV.lca.MJ_per_kg_oil_eq</f>
        <v>-316.75729189169522</v>
      </c>
      <c r="H94" s="2327">
        <f>-D94*UDV.lca.urea_wf</f>
        <v>-1.3911185567812956E-2</v>
      </c>
      <c r="I94" s="574"/>
      <c r="J94" s="574"/>
      <c r="K94" s="1290"/>
      <c r="AA94" s="3040"/>
      <c r="AB94" s="49" t="s">
        <v>6839</v>
      </c>
      <c r="AC94" s="49" t="s">
        <v>2358</v>
      </c>
      <c r="AD94" s="588">
        <f>D94</f>
        <v>4.6459521796771019</v>
      </c>
      <c r="AE94" s="2327">
        <f>-AD94*UDV.lca.urea_gwp</f>
        <v>-5.5704966634328459</v>
      </c>
      <c r="AF94" s="2327"/>
      <c r="AG94" s="2327">
        <f>-AD94*UDV.lca.urea_ef*UDV.lca.MJ_per_kg_oil_eq</f>
        <v>-316.75729189169522</v>
      </c>
      <c r="AH94" s="2327">
        <f>-AD94*UDV.lca.urea_wf</f>
        <v>-1.3911185567812956E-2</v>
      </c>
      <c r="AI94" s="574"/>
      <c r="AJ94" s="574"/>
      <c r="AK94" s="1290"/>
    </row>
    <row r="95" spans="1:37" x14ac:dyDescent="0.3">
      <c r="A95" s="3040"/>
      <c r="B95" s="49" t="s">
        <v>6842</v>
      </c>
      <c r="C95" s="49" t="s">
        <v>2358</v>
      </c>
      <c r="D95" s="588">
        <f>+D99*UDV.lca.P2O5_TSP</f>
        <v>2.9479124646877621</v>
      </c>
      <c r="E95" s="2327">
        <f>-D95*UDV.lca.P2O5_gwp</f>
        <v>-2.5528921944196021</v>
      </c>
      <c r="F95" s="2327"/>
      <c r="G95" s="2327">
        <f>-D95*UDV.lca.P2O5_ef*UDV.lca.MJ_per_kg_oil_eq</f>
        <v>-63.137341418410529</v>
      </c>
      <c r="H95" s="2327">
        <f>-D95*UDV.lca.P2O5_wf</f>
        <v>-1.0935876176494626E-3</v>
      </c>
      <c r="I95" s="574"/>
      <c r="J95" s="574"/>
      <c r="K95" s="1290"/>
      <c r="AA95" s="3040"/>
      <c r="AB95" s="49" t="s">
        <v>6842</v>
      </c>
      <c r="AC95" s="49" t="s">
        <v>2358</v>
      </c>
      <c r="AD95" s="588">
        <f t="shared" ref="AD95:AD96" si="19">D95</f>
        <v>2.9479124646877621</v>
      </c>
      <c r="AE95" s="2327">
        <f>-AD95*UDV.lca.P2O5_gwp</f>
        <v>-2.5528921944196021</v>
      </c>
      <c r="AF95" s="2327"/>
      <c r="AG95" s="2327">
        <f>-AD95*UDV.lca.P2O5_ef*UDV.lca.MJ_per_kg_oil_eq</f>
        <v>-63.137341418410529</v>
      </c>
      <c r="AH95" s="2327">
        <f>-AD95*UDV.lca.P2O5_wf</f>
        <v>-1.0935876176494626E-3</v>
      </c>
      <c r="AI95" s="574"/>
      <c r="AJ95" s="574"/>
      <c r="AK95" s="1290"/>
    </row>
    <row r="96" spans="1:37" x14ac:dyDescent="0.3">
      <c r="A96" s="3040"/>
      <c r="B96" s="49" t="s">
        <v>6844</v>
      </c>
      <c r="C96" s="49" t="s">
        <v>2358</v>
      </c>
      <c r="D96" s="588">
        <f>+D100*UDV.lca.K2O_KCI</f>
        <v>4.1453416844062367</v>
      </c>
      <c r="E96" s="2327">
        <f>-D96*UDV.lca.K2O_gwp</f>
        <v>-1.8115143160855254</v>
      </c>
      <c r="F96" s="2327"/>
      <c r="G96" s="2327">
        <f>-D96*UDV.lca.K2O_ef*UDV.lca.MJ_per_kg_oil_eq</f>
        <v>-32.116964842342021</v>
      </c>
      <c r="H96" s="2327">
        <f>-D96*UDV.lca.K2O_wf</f>
        <v>-9.3993989014753577E-3</v>
      </c>
      <c r="I96" s="574"/>
      <c r="J96" s="574"/>
      <c r="K96" s="1290"/>
      <c r="AA96" s="3040"/>
      <c r="AB96" s="49" t="s">
        <v>6844</v>
      </c>
      <c r="AC96" s="49" t="s">
        <v>2358</v>
      </c>
      <c r="AD96" s="588">
        <f t="shared" si="19"/>
        <v>4.1453416844062367</v>
      </c>
      <c r="AE96" s="2327">
        <f>-AD96*UDV.lca.K2O_gwp</f>
        <v>-1.8115143160855254</v>
      </c>
      <c r="AF96" s="2327"/>
      <c r="AG96" s="2327">
        <f>-AD96*UDV.lca.K2O_ef*UDV.lca.MJ_per_kg_oil_eq</f>
        <v>-32.116964842342021</v>
      </c>
      <c r="AH96" s="2327">
        <f>-AD96*UDV.lca.K2O_wf</f>
        <v>-9.3993989014753577E-3</v>
      </c>
      <c r="AI96" s="574"/>
      <c r="AJ96" s="574"/>
      <c r="AK96" s="1290"/>
    </row>
    <row r="97" spans="1:37" x14ac:dyDescent="0.3">
      <c r="A97" s="3040"/>
      <c r="B97" s="116" t="s">
        <v>6847</v>
      </c>
      <c r="C97" s="118"/>
      <c r="D97" s="1292"/>
      <c r="E97" s="1712"/>
      <c r="F97" s="1712"/>
      <c r="G97" s="1712"/>
      <c r="H97" s="1712"/>
      <c r="I97" s="1298"/>
      <c r="J97" s="1293"/>
      <c r="K97" s="1295"/>
      <c r="AA97" s="3040"/>
      <c r="AB97" s="116" t="s">
        <v>6847</v>
      </c>
      <c r="AC97" s="118"/>
      <c r="AD97" s="1292"/>
      <c r="AE97" s="1712"/>
      <c r="AF97" s="1712"/>
      <c r="AG97" s="1712"/>
      <c r="AH97" s="1712"/>
      <c r="AI97" s="1298"/>
      <c r="AJ97" s="1293"/>
      <c r="AK97" s="1295"/>
    </row>
    <row r="98" spans="1:37" x14ac:dyDescent="0.3">
      <c r="A98" s="3040"/>
      <c r="B98" s="49" t="s">
        <v>84</v>
      </c>
      <c r="C98" s="49" t="s">
        <v>2358</v>
      </c>
      <c r="D98" s="37">
        <f>'Sc3'!C10+'Sc3'!C14-'Sc3'!C53-'Sc3'!C57</f>
        <v>6.6370745423958599</v>
      </c>
      <c r="E98" s="578"/>
      <c r="F98" s="578"/>
      <c r="G98" s="578"/>
      <c r="H98" s="578"/>
      <c r="I98" s="1299"/>
      <c r="J98" s="574"/>
      <c r="K98" s="1290"/>
      <c r="AA98" s="3040"/>
      <c r="AB98" s="49" t="s">
        <v>84</v>
      </c>
      <c r="AC98" s="49" t="s">
        <v>2358</v>
      </c>
      <c r="AD98" s="50">
        <f>D98</f>
        <v>6.6370745423958599</v>
      </c>
      <c r="AE98" s="578"/>
      <c r="AF98" s="578"/>
      <c r="AG98" s="578"/>
      <c r="AH98" s="578"/>
      <c r="AI98" s="1299"/>
      <c r="AJ98" s="574"/>
      <c r="AK98" s="1290"/>
    </row>
    <row r="99" spans="1:37" x14ac:dyDescent="0.3">
      <c r="A99" s="3040"/>
      <c r="B99" s="49" t="s">
        <v>941</v>
      </c>
      <c r="C99" s="49" t="s">
        <v>2358</v>
      </c>
      <c r="D99" s="37">
        <f>'Sc3'!C11+'Sc3'!C15-'Sc3'!C54-'Sc3'!C58</f>
        <v>3.2754582940975134</v>
      </c>
      <c r="E99" s="578"/>
      <c r="F99" s="578"/>
      <c r="G99" s="578"/>
      <c r="H99" s="578"/>
      <c r="I99" s="1299"/>
      <c r="J99" s="574"/>
      <c r="K99" s="1290"/>
      <c r="AA99" s="3040"/>
      <c r="AB99" s="49" t="s">
        <v>941</v>
      </c>
      <c r="AC99" s="49" t="s">
        <v>2358</v>
      </c>
      <c r="AD99" s="50">
        <f t="shared" ref="AD99:AD100" si="20">D99</f>
        <v>3.2754582940975134</v>
      </c>
      <c r="AE99" s="578"/>
      <c r="AF99" s="578"/>
      <c r="AG99" s="578"/>
      <c r="AH99" s="578"/>
      <c r="AI99" s="1299"/>
      <c r="AJ99" s="574"/>
      <c r="AK99" s="1290"/>
    </row>
    <row r="100" spans="1:37" x14ac:dyDescent="0.3">
      <c r="A100" s="3040"/>
      <c r="B100" s="49" t="s">
        <v>934</v>
      </c>
      <c r="C100" s="49" t="s">
        <v>2358</v>
      </c>
      <c r="D100" s="37">
        <f>'Sc3'!C12+'Sc3'!C16-'Sc3'!C55-'Sc3'!C59</f>
        <v>4.1453416844062367</v>
      </c>
      <c r="E100" s="578"/>
      <c r="F100" s="578"/>
      <c r="G100" s="578"/>
      <c r="H100" s="578"/>
      <c r="I100" s="1299"/>
      <c r="J100" s="574"/>
      <c r="K100" s="1290"/>
      <c r="AA100" s="3040"/>
      <c r="AB100" s="49" t="s">
        <v>934</v>
      </c>
      <c r="AC100" s="49" t="s">
        <v>2358</v>
      </c>
      <c r="AD100" s="50">
        <f t="shared" si="20"/>
        <v>4.1453416844062367</v>
      </c>
      <c r="AE100" s="578"/>
      <c r="AF100" s="578"/>
      <c r="AG100" s="578"/>
      <c r="AH100" s="578"/>
      <c r="AI100" s="1299"/>
      <c r="AJ100" s="574"/>
      <c r="AK100" s="1290"/>
    </row>
    <row r="101" spans="1:37" x14ac:dyDescent="0.3">
      <c r="A101" s="3040"/>
      <c r="B101" s="116" t="s">
        <v>6856</v>
      </c>
      <c r="C101" s="118"/>
      <c r="D101" s="1292"/>
      <c r="E101" s="1712"/>
      <c r="F101" s="1712"/>
      <c r="G101" s="1712"/>
      <c r="H101" s="1712"/>
      <c r="I101" s="1298"/>
      <c r="J101" s="1293"/>
      <c r="K101" s="1295"/>
      <c r="AA101" s="3040"/>
      <c r="AB101" s="116" t="s">
        <v>6856</v>
      </c>
      <c r="AC101" s="118"/>
      <c r="AD101" s="1292"/>
      <c r="AE101" s="1712"/>
      <c r="AF101" s="1712"/>
      <c r="AG101" s="1712"/>
      <c r="AH101" s="1712"/>
      <c r="AI101" s="1298"/>
      <c r="AJ101" s="1293"/>
      <c r="AK101" s="1295"/>
    </row>
    <row r="102" spans="1:37" x14ac:dyDescent="0.3">
      <c r="A102" s="3040"/>
      <c r="B102" s="49" t="s">
        <v>6859</v>
      </c>
      <c r="C102" s="49" t="s">
        <v>2358</v>
      </c>
      <c r="D102" s="37">
        <f>'Sc3'!C27</f>
        <v>0.21059325125571848</v>
      </c>
      <c r="E102" s="578"/>
      <c r="F102" s="578"/>
      <c r="G102" s="578"/>
      <c r="H102" s="578"/>
      <c r="I102" s="1299"/>
      <c r="J102" s="571"/>
      <c r="K102" s="1290"/>
      <c r="AA102" s="3040"/>
      <c r="AB102" s="49" t="s">
        <v>6859</v>
      </c>
      <c r="AC102" s="49" t="s">
        <v>2358</v>
      </c>
      <c r="AD102" s="37">
        <f>D102</f>
        <v>0.21059325125571848</v>
      </c>
      <c r="AE102" s="578"/>
      <c r="AF102" s="578"/>
      <c r="AG102" s="578"/>
      <c r="AH102" s="578"/>
      <c r="AI102" s="1299"/>
      <c r="AJ102" s="571"/>
      <c r="AK102" s="1290"/>
    </row>
    <row r="103" spans="1:37" x14ac:dyDescent="0.3">
      <c r="A103" s="3040"/>
      <c r="B103" s="49" t="s">
        <v>6861</v>
      </c>
      <c r="C103" s="49" t="s">
        <v>2358</v>
      </c>
      <c r="D103" s="37">
        <f>'Sc3'!C28</f>
        <v>10.155083723149531</v>
      </c>
      <c r="E103" s="578"/>
      <c r="F103" s="578"/>
      <c r="G103" s="578"/>
      <c r="H103" s="578"/>
      <c r="I103" s="1299"/>
      <c r="J103" s="571"/>
      <c r="K103" s="1290"/>
      <c r="AA103" s="3040"/>
      <c r="AB103" s="49" t="s">
        <v>6861</v>
      </c>
      <c r="AC103" s="49" t="s">
        <v>2358</v>
      </c>
      <c r="AD103" s="37">
        <f t="shared" ref="AD103:AD104" si="21">D103</f>
        <v>10.155083723149531</v>
      </c>
      <c r="AE103" s="578"/>
      <c r="AF103" s="578"/>
      <c r="AG103" s="578"/>
      <c r="AH103" s="578"/>
      <c r="AI103" s="1299"/>
      <c r="AJ103" s="571"/>
      <c r="AK103" s="1290"/>
    </row>
    <row r="104" spans="1:37" x14ac:dyDescent="0.3">
      <c r="A104" s="3040"/>
      <c r="B104" s="49" t="s">
        <v>6864</v>
      </c>
      <c r="C104" s="49" t="s">
        <v>2358</v>
      </c>
      <c r="D104" s="37">
        <f>'Sc3'!C29</f>
        <v>3.2431360736622457E-2</v>
      </c>
      <c r="E104" s="578"/>
      <c r="F104" s="578"/>
      <c r="G104" s="578"/>
      <c r="H104" s="578"/>
      <c r="I104" s="1299"/>
      <c r="J104" s="571"/>
      <c r="K104" s="1290"/>
      <c r="AA104" s="3040"/>
      <c r="AB104" s="49" t="s">
        <v>6864</v>
      </c>
      <c r="AC104" s="49" t="s">
        <v>2358</v>
      </c>
      <c r="AD104" s="37">
        <f t="shared" si="21"/>
        <v>3.2431360736622457E-2</v>
      </c>
      <c r="AE104" s="578"/>
      <c r="AF104" s="578"/>
      <c r="AG104" s="578"/>
      <c r="AH104" s="578"/>
      <c r="AI104" s="1299"/>
      <c r="AJ104" s="571"/>
      <c r="AK104" s="1290"/>
    </row>
    <row r="105" spans="1:37" x14ac:dyDescent="0.3">
      <c r="A105" s="3040"/>
      <c r="B105" s="49"/>
      <c r="C105" s="49"/>
      <c r="D105" s="37"/>
      <c r="E105" s="578"/>
      <c r="F105" s="578"/>
      <c r="G105" s="578"/>
      <c r="H105" s="578"/>
      <c r="I105" s="1299"/>
      <c r="J105" s="571"/>
      <c r="K105" s="1290"/>
      <c r="AA105" s="3040"/>
      <c r="AB105" s="49"/>
      <c r="AC105" s="49"/>
      <c r="AD105" s="37"/>
      <c r="AE105" s="578"/>
      <c r="AF105" s="578"/>
      <c r="AG105" s="578"/>
      <c r="AH105" s="578"/>
      <c r="AI105" s="1299"/>
      <c r="AJ105" s="571"/>
      <c r="AK105" s="1290"/>
    </row>
    <row r="106" spans="1:37" x14ac:dyDescent="0.3">
      <c r="A106" s="3040"/>
      <c r="B106" s="116" t="s">
        <v>6865</v>
      </c>
      <c r="C106" s="118"/>
      <c r="D106" s="1292"/>
      <c r="E106" s="1712"/>
      <c r="F106" s="1712"/>
      <c r="G106" s="1712"/>
      <c r="H106" s="1712"/>
      <c r="I106" s="1298"/>
      <c r="J106" s="1293"/>
      <c r="K106" s="1295"/>
      <c r="AA106" s="3040"/>
      <c r="AB106" s="116" t="s">
        <v>6865</v>
      </c>
      <c r="AC106" s="118"/>
      <c r="AD106" s="1292"/>
      <c r="AE106" s="1712"/>
      <c r="AF106" s="1712"/>
      <c r="AG106" s="1712"/>
      <c r="AH106" s="1712"/>
      <c r="AI106" s="1298"/>
      <c r="AJ106" s="1293"/>
      <c r="AK106" s="1295"/>
    </row>
    <row r="107" spans="1:37" x14ac:dyDescent="0.3">
      <c r="A107" s="3040"/>
      <c r="B107" s="49" t="s">
        <v>6867</v>
      </c>
      <c r="C107" s="49" t="s">
        <v>2358</v>
      </c>
      <c r="D107" s="37">
        <f>'Sc3'!C54+'Sc3'!C58</f>
        <v>3.3676512059024866</v>
      </c>
      <c r="E107" s="578"/>
      <c r="F107" s="578"/>
      <c r="G107" s="578"/>
      <c r="H107" s="578"/>
      <c r="I107" s="1299"/>
      <c r="J107" s="571"/>
      <c r="K107" s="1290"/>
      <c r="AA107" s="3040"/>
      <c r="AB107" s="49" t="s">
        <v>6867</v>
      </c>
      <c r="AC107" s="49" t="s">
        <v>2358</v>
      </c>
      <c r="AD107" s="37">
        <f>D107</f>
        <v>3.3676512059024866</v>
      </c>
      <c r="AE107" s="578"/>
      <c r="AF107" s="578"/>
      <c r="AG107" s="578"/>
      <c r="AH107" s="578"/>
      <c r="AI107" s="1299"/>
      <c r="AJ107" s="571"/>
      <c r="AK107" s="1290"/>
    </row>
    <row r="108" spans="1:37" x14ac:dyDescent="0.3">
      <c r="A108" s="3040"/>
      <c r="B108" s="49"/>
      <c r="C108" s="49"/>
      <c r="D108" s="18" t="s">
        <v>6869</v>
      </c>
      <c r="E108" s="122">
        <f>+SUM(E80:E85,E89:E91,E92)</f>
        <v>1040.466398268079</v>
      </c>
      <c r="F108" s="37"/>
      <c r="G108" s="37"/>
      <c r="H108" s="37"/>
      <c r="I108" s="57"/>
      <c r="J108" s="49"/>
      <c r="K108" s="11"/>
      <c r="AA108" s="3040"/>
      <c r="AB108" s="49"/>
      <c r="AC108" s="49"/>
      <c r="AD108" s="18" t="s">
        <v>6869</v>
      </c>
      <c r="AE108" s="122">
        <f>+SUM(AE80:AE85,AE89:AE91,AE92)</f>
        <v>1036.9761698118557</v>
      </c>
      <c r="AF108" s="37"/>
      <c r="AG108" s="37"/>
      <c r="AH108" s="37"/>
      <c r="AI108" s="57"/>
      <c r="AJ108" s="49"/>
      <c r="AK108" s="11"/>
    </row>
    <row r="109" spans="1:37" x14ac:dyDescent="0.3">
      <c r="A109" s="3040"/>
      <c r="B109" s="118" t="s">
        <v>6871</v>
      </c>
      <c r="C109" s="119" t="s">
        <v>4815</v>
      </c>
      <c r="D109" s="1708" t="s">
        <v>630</v>
      </c>
      <c r="E109" s="1281">
        <f>+SUM(E87:E92,E85)</f>
        <v>1037.4062532352302</v>
      </c>
      <c r="F109" s="1281">
        <f>+SUM(F87:F92)</f>
        <v>297.77768402078482</v>
      </c>
      <c r="G109" s="1281">
        <f>+SUM(G87:G92)</f>
        <v>0</v>
      </c>
      <c r="H109" s="2267">
        <f>+SUM(H80,H87:H92)</f>
        <v>0.11317243732372569</v>
      </c>
      <c r="I109" s="641">
        <f>I80</f>
        <v>0.11303227729987383</v>
      </c>
      <c r="J109" s="1281">
        <f>+J92</f>
        <v>10.39810833514187</v>
      </c>
      <c r="K109" s="1282">
        <f>+K92</f>
        <v>3.3676512059024866</v>
      </c>
      <c r="AA109" s="3040"/>
      <c r="AB109" s="118" t="s">
        <v>6871</v>
      </c>
      <c r="AC109" s="119" t="s">
        <v>4815</v>
      </c>
      <c r="AD109" s="1708" t="s">
        <v>630</v>
      </c>
      <c r="AE109" s="1281">
        <f>+SUM(AE87:AE92,AE85)</f>
        <v>1035.2789698260976</v>
      </c>
      <c r="AF109" s="1281">
        <f>+SUM(AF87:AF92)</f>
        <v>297.77768402078482</v>
      </c>
      <c r="AG109" s="1281">
        <f>+SUM(AG87:AG92)</f>
        <v>0</v>
      </c>
      <c r="AH109" s="2267">
        <f>+SUM(AH80,AH87:AH92)</f>
        <v>0.11317243732372569</v>
      </c>
      <c r="AI109" s="641">
        <f>AI80</f>
        <v>0.11303227729987383</v>
      </c>
      <c r="AJ109" s="1281">
        <f>+AJ92</f>
        <v>10.39810833514187</v>
      </c>
      <c r="AK109" s="1282">
        <f>+AK92</f>
        <v>3.3676512059024866</v>
      </c>
    </row>
    <row r="110" spans="1:37" x14ac:dyDescent="0.3">
      <c r="A110" s="3040"/>
      <c r="B110" s="118" t="s">
        <v>6874</v>
      </c>
      <c r="C110" s="118"/>
      <c r="D110" s="1709" t="s">
        <v>6875</v>
      </c>
      <c r="E110" s="922">
        <f>+SUM(E80:E84,E94:E96)</f>
        <v>-6.8747581410891376</v>
      </c>
      <c r="F110" s="922">
        <f>+SUM(F80:F85,F94:F96)</f>
        <v>0</v>
      </c>
      <c r="G110" s="922">
        <f>+SUM(G80:G85,G94:G96)</f>
        <v>-323.69986370876137</v>
      </c>
      <c r="H110" s="2268">
        <f>+SUM(H81:H85,H94:H96)</f>
        <v>1.9315740493025899E-3</v>
      </c>
      <c r="I110" s="1283">
        <v>0</v>
      </c>
      <c r="J110" s="922"/>
      <c r="K110" s="1284"/>
      <c r="AA110" s="3040"/>
      <c r="AB110" s="118" t="s">
        <v>6874</v>
      </c>
      <c r="AC110" s="118"/>
      <c r="AD110" s="1709" t="s">
        <v>6875</v>
      </c>
      <c r="AE110" s="922">
        <f>+SUM(AE80:AE84,AE94:AE96)</f>
        <v>-8.2377031881800153</v>
      </c>
      <c r="AF110" s="922">
        <f>+SUM(AF80:AF85,AF94:AF96)</f>
        <v>0</v>
      </c>
      <c r="AG110" s="922">
        <f>+SUM(AG80:AG85,AG94:AG96)</f>
        <v>-372.77706155341917</v>
      </c>
      <c r="AH110" s="2268">
        <f>+SUM(AH81:AH85,AH94:AH96)</f>
        <v>-1.1697876421606192E-2</v>
      </c>
      <c r="AI110" s="1283">
        <v>0</v>
      </c>
      <c r="AJ110" s="922"/>
      <c r="AK110" s="1284"/>
    </row>
    <row r="111" spans="1:37" ht="15" thickBot="1" x14ac:dyDescent="0.35">
      <c r="A111" s="3041"/>
      <c r="B111" s="22"/>
      <c r="C111" s="1291"/>
      <c r="D111" s="1710" t="s">
        <v>6876</v>
      </c>
      <c r="E111" s="1285">
        <f>E109+E110</f>
        <v>1030.5314950941411</v>
      </c>
      <c r="F111" s="1285">
        <f>F109+F110</f>
        <v>297.77768402078482</v>
      </c>
      <c r="G111" s="1285">
        <f>G109+G110</f>
        <v>-323.69986370876137</v>
      </c>
      <c r="H111" s="2269">
        <f t="shared" ref="H111" si="22">H109+H110</f>
        <v>0.11510401137302828</v>
      </c>
      <c r="I111" s="1285">
        <f>I109+I110</f>
        <v>0.11303227729987383</v>
      </c>
      <c r="J111" s="1285">
        <f>J109+J110</f>
        <v>10.39810833514187</v>
      </c>
      <c r="K111" s="1286">
        <f>K109+K110</f>
        <v>3.3676512059024866</v>
      </c>
      <c r="AA111" s="3041"/>
      <c r="AB111" s="22"/>
      <c r="AC111" s="1291"/>
      <c r="AD111" s="1710" t="s">
        <v>6876</v>
      </c>
      <c r="AE111" s="1285">
        <f>AE109+AE110</f>
        <v>1027.0412666379177</v>
      </c>
      <c r="AF111" s="1285">
        <f>AF109+AF110</f>
        <v>297.77768402078482</v>
      </c>
      <c r="AG111" s="1285">
        <f>AG109+AG110</f>
        <v>-372.77706155341917</v>
      </c>
      <c r="AH111" s="2269">
        <f t="shared" ref="AH111" si="23">AH109+AH110</f>
        <v>0.1014745609021195</v>
      </c>
      <c r="AI111" s="1285">
        <f>AI109+AI110</f>
        <v>0.11303227729987383</v>
      </c>
      <c r="AJ111" s="1285">
        <f>AJ109+AJ110</f>
        <v>10.39810833514187</v>
      </c>
      <c r="AK111" s="1286">
        <f>AK109+AK110</f>
        <v>3.3676512059024866</v>
      </c>
    </row>
    <row r="112" spans="1:37" ht="15" thickBot="1" x14ac:dyDescent="0.35"/>
    <row r="113" spans="1:37" x14ac:dyDescent="0.3">
      <c r="A113" s="3039" t="s">
        <v>6898</v>
      </c>
      <c r="B113" s="49"/>
      <c r="C113" s="49"/>
      <c r="D113" s="9"/>
      <c r="E113" s="565"/>
      <c r="F113" s="565"/>
      <c r="G113" s="565"/>
      <c r="H113" s="565"/>
      <c r="I113" s="1297"/>
      <c r="J113" s="3038" t="s">
        <v>6791</v>
      </c>
      <c r="K113" s="3038"/>
      <c r="AA113" s="3039" t="s">
        <v>6899</v>
      </c>
      <c r="AB113" s="49"/>
      <c r="AC113" s="49"/>
      <c r="AD113" s="9"/>
      <c r="AE113" s="565"/>
      <c r="AF113" s="565"/>
      <c r="AG113" s="565"/>
      <c r="AH113" s="565"/>
      <c r="AI113" s="1297"/>
      <c r="AJ113" s="3038" t="s">
        <v>6791</v>
      </c>
      <c r="AK113" s="3038"/>
    </row>
    <row r="114" spans="1:37" ht="72" x14ac:dyDescent="0.3">
      <c r="A114" s="3040"/>
      <c r="B114" s="566"/>
      <c r="C114" s="566" t="s">
        <v>6795</v>
      </c>
      <c r="D114" s="567" t="s">
        <v>6796</v>
      </c>
      <c r="E114" s="567" t="s">
        <v>4824</v>
      </c>
      <c r="F114" s="567" t="s">
        <v>447</v>
      </c>
      <c r="G114" s="567" t="s">
        <v>446</v>
      </c>
      <c r="H114" s="567" t="s">
        <v>2599</v>
      </c>
      <c r="I114" s="1279" t="s">
        <v>6797</v>
      </c>
      <c r="J114" s="567" t="s">
        <v>4832</v>
      </c>
      <c r="K114" s="567" t="s">
        <v>6798</v>
      </c>
      <c r="AA114" s="3040"/>
      <c r="AB114" s="566"/>
      <c r="AC114" s="566" t="s">
        <v>6795</v>
      </c>
      <c r="AD114" s="567" t="s">
        <v>6796</v>
      </c>
      <c r="AE114" s="567" t="s">
        <v>4824</v>
      </c>
      <c r="AF114" s="567" t="s">
        <v>447</v>
      </c>
      <c r="AG114" s="567" t="s">
        <v>446</v>
      </c>
      <c r="AH114" s="567" t="s">
        <v>2599</v>
      </c>
      <c r="AI114" s="1279" t="s">
        <v>6797</v>
      </c>
      <c r="AJ114" s="567" t="s">
        <v>4832</v>
      </c>
      <c r="AK114" s="567" t="s">
        <v>6798</v>
      </c>
    </row>
    <row r="115" spans="1:37" ht="16.8" x14ac:dyDescent="0.35">
      <c r="A115" s="3040"/>
      <c r="B115" s="568"/>
      <c r="C115" s="568"/>
      <c r="D115" s="569"/>
      <c r="E115" s="570" t="s">
        <v>6799</v>
      </c>
      <c r="F115" s="570" t="s">
        <v>6800</v>
      </c>
      <c r="G115" s="570" t="s">
        <v>2435</v>
      </c>
      <c r="H115" s="570" t="s">
        <v>6801</v>
      </c>
      <c r="I115" s="1280" t="s">
        <v>2478</v>
      </c>
      <c r="J115" s="569" t="s">
        <v>6802</v>
      </c>
      <c r="K115" s="569" t="s">
        <v>6803</v>
      </c>
      <c r="AA115" s="3040"/>
      <c r="AB115" s="568"/>
      <c r="AC115" s="568"/>
      <c r="AD115" s="569"/>
      <c r="AE115" s="570" t="s">
        <v>6799</v>
      </c>
      <c r="AF115" s="570" t="s">
        <v>6800</v>
      </c>
      <c r="AG115" s="570" t="s">
        <v>2435</v>
      </c>
      <c r="AH115" s="570" t="s">
        <v>6801</v>
      </c>
      <c r="AI115" s="1280" t="s">
        <v>2478</v>
      </c>
      <c r="AJ115" s="569" t="s">
        <v>6802</v>
      </c>
      <c r="AK115" s="569" t="s">
        <v>6803</v>
      </c>
    </row>
    <row r="116" spans="1:37" x14ac:dyDescent="0.3">
      <c r="A116" s="3040"/>
      <c r="B116" s="116" t="s">
        <v>6805</v>
      </c>
      <c r="C116" s="118"/>
      <c r="D116" s="1292"/>
      <c r="E116" s="1293"/>
      <c r="F116" s="1293"/>
      <c r="G116" s="1292"/>
      <c r="H116" s="1293"/>
      <c r="I116" s="1294"/>
      <c r="J116" s="1293"/>
      <c r="K116" s="1295"/>
      <c r="AA116" s="3040"/>
      <c r="AB116" s="116" t="s">
        <v>6805</v>
      </c>
      <c r="AC116" s="118"/>
      <c r="AD116" s="1292"/>
      <c r="AE116" s="1293"/>
      <c r="AF116" s="1293"/>
      <c r="AG116" s="1292"/>
      <c r="AH116" s="1293"/>
      <c r="AI116" s="1294"/>
      <c r="AJ116" s="1293"/>
      <c r="AK116" s="1295"/>
    </row>
    <row r="117" spans="1:37" x14ac:dyDescent="0.3">
      <c r="A117" s="3040"/>
      <c r="B117" s="49" t="s">
        <v>415</v>
      </c>
      <c r="C117" s="49" t="s">
        <v>2358</v>
      </c>
      <c r="D117" s="50">
        <f>'Sc4'!C5*1000</f>
        <v>113.03227729987384</v>
      </c>
      <c r="E117" s="2326">
        <f>+D117*UDV.lca.water_gwp</f>
        <v>5.086452478494323E-2</v>
      </c>
      <c r="F117" s="2327"/>
      <c r="G117" s="2327">
        <f>+D117*UDV.lca.water_ef*UDV.lca.MJ_per_kg_oil_eq</f>
        <v>0.75722583208731487</v>
      </c>
      <c r="H117" s="1711">
        <f>+D117*UDV.lca.water_wf</f>
        <v>0.11317243732372569</v>
      </c>
      <c r="I117" s="1296">
        <f>D117/1000</f>
        <v>0.11303227729987383</v>
      </c>
      <c r="J117" s="574"/>
      <c r="K117" s="1290"/>
      <c r="AA117" s="3040"/>
      <c r="AB117" s="49" t="s">
        <v>415</v>
      </c>
      <c r="AC117" s="49" t="s">
        <v>2358</v>
      </c>
      <c r="AD117" s="50">
        <f>D117</f>
        <v>113.03227729987384</v>
      </c>
      <c r="AE117" s="2326">
        <f>+AD117*UDV.lca.water_gwp</f>
        <v>5.086452478494323E-2</v>
      </c>
      <c r="AF117" s="2327"/>
      <c r="AG117" s="2327">
        <f>+AD117*UDV.lca.water_ef*UDV.lca.MJ_per_kg_oil_eq</f>
        <v>0.75722583208731487</v>
      </c>
      <c r="AH117" s="1711">
        <f>+AD117*UDV.lca.water_wf</f>
        <v>0.11317243732372569</v>
      </c>
      <c r="AI117" s="1296">
        <f>AD117/1000</f>
        <v>0.11303227729987383</v>
      </c>
      <c r="AJ117" s="574"/>
      <c r="AK117" s="1290"/>
    </row>
    <row r="118" spans="1:37" x14ac:dyDescent="0.3">
      <c r="A118" s="3040"/>
      <c r="B118" s="49" t="s">
        <v>409</v>
      </c>
      <c r="C118" s="49" t="s">
        <v>2556</v>
      </c>
      <c r="D118" s="50">
        <f>'Sc4'!C6</f>
        <v>11.252044620952608</v>
      </c>
      <c r="E118" s="2326">
        <f>+D118*UDV.lca.electricity_gwp</f>
        <v>4.0336214944830902</v>
      </c>
      <c r="F118" s="2327"/>
      <c r="G118" s="2327">
        <f>+D118*UDV.lca.electricity_ef*UDV.lca.MJ_per_kg_oil_eq</f>
        <v>21.577438359191284</v>
      </c>
      <c r="H118" s="2327">
        <f>+D118*UDV.lca.electricity_wf</f>
        <v>1.8003271393524173E-2</v>
      </c>
      <c r="I118" s="1296"/>
      <c r="J118" s="574"/>
      <c r="K118" s="1290"/>
      <c r="AA118" s="3040"/>
      <c r="AB118" s="49" t="s">
        <v>409</v>
      </c>
      <c r="AC118" s="49" t="s">
        <v>2556</v>
      </c>
      <c r="AD118" s="50">
        <f>D118</f>
        <v>11.252044620952608</v>
      </c>
      <c r="AE118" s="2326">
        <f>+AD118*UDV.lca.electricity_gwp</f>
        <v>4.0336214944830902</v>
      </c>
      <c r="AF118" s="2327"/>
      <c r="AG118" s="2327">
        <f>+AD118*UDV.lca.electricity_ef*UDV.lca.MJ_per_kg_oil_eq</f>
        <v>21.577438359191284</v>
      </c>
      <c r="AH118" s="2327">
        <f>+AD118*UDV.lca.electricity_wf</f>
        <v>1.8003271393524173E-2</v>
      </c>
      <c r="AI118" s="1296"/>
      <c r="AJ118" s="574"/>
      <c r="AK118" s="1290"/>
    </row>
    <row r="119" spans="1:37" x14ac:dyDescent="0.3">
      <c r="A119" s="3040"/>
      <c r="B119" s="49" t="s">
        <v>6812</v>
      </c>
      <c r="C119" s="49" t="s">
        <v>2435</v>
      </c>
      <c r="D119" s="50">
        <f>'Sc4'!C56*UDV.lca.MJ_per_gal_diesel</f>
        <v>50.348655655742355</v>
      </c>
      <c r="E119" s="2326">
        <f>+D119*UDV.lca.diesel_gwp</f>
        <v>2.2656895045084058</v>
      </c>
      <c r="F119" s="2327"/>
      <c r="G119" s="2326">
        <f>+D119*UDV.lca.diesel_ef*UDV.lca.MJ_per_kg_oil_eq</f>
        <v>81.583400816239575</v>
      </c>
      <c r="H119" s="2327">
        <f>+D119*UDV.lca.diesel_wf</f>
        <v>2.2656895045084058E-2</v>
      </c>
      <c r="I119" s="1296"/>
      <c r="J119" s="574"/>
      <c r="K119" s="1290"/>
      <c r="AA119" s="3040"/>
      <c r="AB119" s="49" t="s">
        <v>6812</v>
      </c>
      <c r="AC119" s="49" t="s">
        <v>2435</v>
      </c>
      <c r="AD119" s="53">
        <f>'Sc4'!C57*UDV.lca.MJ_per_gal_diesel</f>
        <v>20.79671924893545</v>
      </c>
      <c r="AE119" s="2326">
        <f>+AD119*UDV.lca.diesel_gwp</f>
        <v>0.93585236620209522</v>
      </c>
      <c r="AF119" s="2327"/>
      <c r="AG119" s="2326">
        <f>+AD119*UDV.lca.diesel_ef*UDV.lca.MJ_per_kg_oil_eq</f>
        <v>33.698359172678281</v>
      </c>
      <c r="AH119" s="2327">
        <f>+AD119*UDV.lca.diesel_wf</f>
        <v>9.3585236620209507E-3</v>
      </c>
      <c r="AI119" s="1296"/>
      <c r="AJ119" s="574"/>
      <c r="AK119" s="1290"/>
    </row>
    <row r="120" spans="1:37" x14ac:dyDescent="0.3">
      <c r="A120" s="3040"/>
      <c r="B120" s="49" t="s">
        <v>6814</v>
      </c>
      <c r="C120" s="49" t="s">
        <v>2358</v>
      </c>
      <c r="D120" s="9"/>
      <c r="E120" s="2326">
        <f>+D120*UDV.lca.sand_gwp</f>
        <v>0</v>
      </c>
      <c r="F120" s="2327"/>
      <c r="G120" s="2327">
        <f>+D120*UDV.lca.sand_ef*UDV.lca.MJ_per_kg_oil_eq</f>
        <v>0</v>
      </c>
      <c r="H120" s="2327">
        <f>+D120*UDV.lca.sand_wf</f>
        <v>0</v>
      </c>
      <c r="I120" s="1296"/>
      <c r="J120" s="574"/>
      <c r="K120" s="1290"/>
      <c r="AA120" s="3040"/>
      <c r="AB120" s="49" t="s">
        <v>6814</v>
      </c>
      <c r="AC120" s="49" t="s">
        <v>2358</v>
      </c>
      <c r="AD120" s="9">
        <f>D120</f>
        <v>0</v>
      </c>
      <c r="AE120" s="2326">
        <f>+AD120*UDV.lca.sand_gwp</f>
        <v>0</v>
      </c>
      <c r="AF120" s="2327"/>
      <c r="AG120" s="2327">
        <f>+AD120*UDV.lca.sand_ef*UDV.lca.MJ_per_kg_oil_eq</f>
        <v>0</v>
      </c>
      <c r="AH120" s="2327">
        <f>+AD120*UDV.lca.sand_wf</f>
        <v>0</v>
      </c>
      <c r="AI120" s="1296"/>
      <c r="AJ120" s="574"/>
      <c r="AK120" s="1290"/>
    </row>
    <row r="121" spans="1:37" x14ac:dyDescent="0.3">
      <c r="A121" s="3040"/>
      <c r="B121" s="49"/>
      <c r="C121" s="49"/>
      <c r="D121" s="9"/>
      <c r="E121" s="2327"/>
      <c r="F121" s="2327"/>
      <c r="G121" s="2327"/>
      <c r="H121" s="2327"/>
      <c r="I121" s="1296"/>
      <c r="J121" s="574"/>
      <c r="K121" s="1290"/>
      <c r="AA121" s="3040"/>
      <c r="AB121" s="49"/>
      <c r="AC121" s="49"/>
      <c r="AD121" s="9"/>
      <c r="AE121" s="2327"/>
      <c r="AF121" s="2327"/>
      <c r="AG121" s="2327"/>
      <c r="AH121" s="2327"/>
      <c r="AI121" s="1296"/>
      <c r="AJ121" s="574"/>
      <c r="AK121" s="1290"/>
    </row>
    <row r="122" spans="1:37" x14ac:dyDescent="0.3">
      <c r="A122" s="3040"/>
      <c r="B122" s="1089" t="s">
        <v>6819</v>
      </c>
      <c r="C122" s="1089" t="s">
        <v>4885</v>
      </c>
      <c r="D122" s="1711">
        <f>'Sc4'!C56</f>
        <v>0.34737584970154795</v>
      </c>
      <c r="E122" s="1711">
        <f>D122*UDV.lca.diesel_combustion_gwp</f>
        <v>3.5362861499617582</v>
      </c>
      <c r="F122" s="1296"/>
      <c r="G122" s="1296"/>
      <c r="H122" s="1296"/>
      <c r="I122" s="1296"/>
      <c r="J122" s="574"/>
      <c r="K122" s="1290"/>
      <c r="AA122" s="3040"/>
      <c r="AB122" s="1089" t="s">
        <v>6819</v>
      </c>
      <c r="AC122" s="1089" t="s">
        <v>4885</v>
      </c>
      <c r="AD122" s="2322">
        <f>'Sc4'!C57</f>
        <v>0.14348502310566752</v>
      </c>
      <c r="AE122" s="1711">
        <f>AD122*UDV.lca.diesel_combustion_gwp</f>
        <v>1.4606775352156953</v>
      </c>
      <c r="AF122" s="1296"/>
      <c r="AG122" s="1296"/>
      <c r="AH122" s="1296"/>
      <c r="AI122" s="1296"/>
      <c r="AJ122" s="574"/>
      <c r="AK122" s="1290"/>
    </row>
    <row r="123" spans="1:37" x14ac:dyDescent="0.3">
      <c r="A123" s="3040"/>
      <c r="B123" s="118" t="s">
        <v>6822</v>
      </c>
      <c r="C123" s="118"/>
      <c r="D123" s="1292"/>
      <c r="E123" s="1712"/>
      <c r="F123" s="1712"/>
      <c r="G123" s="1712"/>
      <c r="H123" s="1712"/>
      <c r="I123" s="1298"/>
      <c r="J123" s="1298"/>
      <c r="K123" s="1713"/>
      <c r="AA123" s="3040"/>
      <c r="AB123" s="118" t="s">
        <v>6822</v>
      </c>
      <c r="AC123" s="118"/>
      <c r="AD123" s="1292"/>
      <c r="AE123" s="1712"/>
      <c r="AF123" s="1712"/>
      <c r="AG123" s="1712"/>
      <c r="AH123" s="1712"/>
      <c r="AI123" s="1298"/>
      <c r="AJ123" s="1298"/>
      <c r="AK123" s="1713"/>
    </row>
    <row r="124" spans="1:37" x14ac:dyDescent="0.3">
      <c r="A124" s="3040"/>
      <c r="B124" s="49" t="s">
        <v>6786</v>
      </c>
      <c r="C124" s="49" t="s">
        <v>2268</v>
      </c>
      <c r="D124" s="50">
        <f>'Sc4'!C8</f>
        <v>325.10280265821331</v>
      </c>
      <c r="E124" s="578"/>
      <c r="F124" s="1711">
        <f>+D124</f>
        <v>325.10280265821331</v>
      </c>
      <c r="G124" s="578"/>
      <c r="H124" s="578"/>
      <c r="I124" s="1299"/>
      <c r="J124" s="574"/>
      <c r="K124" s="1290"/>
      <c r="AA124" s="3040"/>
      <c r="AB124" s="49" t="s">
        <v>6786</v>
      </c>
      <c r="AC124" s="49" t="s">
        <v>2268</v>
      </c>
      <c r="AD124" s="50">
        <f>D124</f>
        <v>325.10280265821331</v>
      </c>
      <c r="AE124" s="578"/>
      <c r="AF124" s="1711">
        <f>+AD124</f>
        <v>325.10280265821331</v>
      </c>
      <c r="AG124" s="578"/>
      <c r="AH124" s="578"/>
      <c r="AI124" s="1299"/>
      <c r="AJ124" s="574"/>
      <c r="AK124" s="1290"/>
    </row>
    <row r="125" spans="1:37" x14ac:dyDescent="0.3">
      <c r="A125" s="3040"/>
      <c r="B125" s="76" t="s">
        <v>6826</v>
      </c>
      <c r="C125" s="76"/>
      <c r="D125" s="9"/>
      <c r="E125" s="578"/>
      <c r="F125" s="578"/>
      <c r="G125" s="578"/>
      <c r="H125" s="578"/>
      <c r="I125" s="1299"/>
      <c r="J125" s="574"/>
      <c r="K125" s="1290"/>
      <c r="AA125" s="3040"/>
      <c r="AB125" s="76" t="s">
        <v>6826</v>
      </c>
      <c r="AC125" s="76"/>
      <c r="AD125" s="9"/>
      <c r="AE125" s="578"/>
      <c r="AF125" s="578"/>
      <c r="AG125" s="578"/>
      <c r="AH125" s="578"/>
      <c r="AI125" s="1299"/>
      <c r="AJ125" s="574"/>
      <c r="AK125" s="1290"/>
    </row>
    <row r="126" spans="1:37" x14ac:dyDescent="0.3">
      <c r="A126" s="3040"/>
      <c r="B126" s="117" t="s">
        <v>6828</v>
      </c>
      <c r="C126" s="49" t="s">
        <v>2358</v>
      </c>
      <c r="D126" s="37">
        <f>+D139*1</f>
        <v>0.19730726287353581</v>
      </c>
      <c r="E126" s="1711">
        <f>+D126*UDV.emit_N2O_direct.CO2e_cf</f>
        <v>61.165251490796102</v>
      </c>
      <c r="F126" s="578"/>
      <c r="G126" s="578"/>
      <c r="H126" s="578"/>
      <c r="I126" s="1299"/>
      <c r="J126" s="574"/>
      <c r="K126" s="1290"/>
      <c r="AA126" s="3040"/>
      <c r="AB126" s="117" t="s">
        <v>6828</v>
      </c>
      <c r="AC126" s="49" t="s">
        <v>2358</v>
      </c>
      <c r="AD126" s="37">
        <f>D126</f>
        <v>0.19730726287353581</v>
      </c>
      <c r="AE126" s="1711">
        <f>+AD126*UDV.emit_N2O_direct.CO2e_cf</f>
        <v>61.165251490796102</v>
      </c>
      <c r="AF126" s="578"/>
      <c r="AG126" s="578"/>
      <c r="AH126" s="578"/>
      <c r="AI126" s="1299"/>
      <c r="AJ126" s="574"/>
      <c r="AK126" s="1290"/>
    </row>
    <row r="127" spans="1:37" x14ac:dyDescent="0.3">
      <c r="A127" s="3040"/>
      <c r="B127" s="117" t="s">
        <v>4894</v>
      </c>
      <c r="C127" s="49" t="s">
        <v>2358</v>
      </c>
      <c r="D127" s="37">
        <f>'Sc4'!C18</f>
        <v>32.282819354552089</v>
      </c>
      <c r="E127" s="1711">
        <f>+D127*UDV.emit_CH4.CO2e_cf</f>
        <v>968.48458063656267</v>
      </c>
      <c r="F127" s="578"/>
      <c r="G127" s="578"/>
      <c r="H127" s="578"/>
      <c r="I127" s="1299"/>
      <c r="J127" s="574"/>
      <c r="K127" s="1290"/>
      <c r="AA127" s="3040"/>
      <c r="AB127" s="117" t="s">
        <v>4894</v>
      </c>
      <c r="AC127" s="49" t="s">
        <v>2358</v>
      </c>
      <c r="AD127" s="37">
        <f t="shared" ref="AD127:AD128" si="24">D127</f>
        <v>32.282819354552089</v>
      </c>
      <c r="AE127" s="1711">
        <f>+AD127*UDV.emit_CH4.CO2e_cf</f>
        <v>968.48458063656267</v>
      </c>
      <c r="AF127" s="578"/>
      <c r="AG127" s="578"/>
      <c r="AH127" s="578"/>
      <c r="AI127" s="1299"/>
      <c r="AJ127" s="574"/>
      <c r="AK127" s="1290"/>
    </row>
    <row r="128" spans="1:37" x14ac:dyDescent="0.3">
      <c r="A128" s="3040"/>
      <c r="B128" s="117" t="s">
        <v>6833</v>
      </c>
      <c r="C128" s="49" t="s">
        <v>2358</v>
      </c>
      <c r="D128" s="9">
        <v>0</v>
      </c>
      <c r="E128" s="1711">
        <f>D128*UDV.lca.CO2_toggle</f>
        <v>0</v>
      </c>
      <c r="F128" s="578"/>
      <c r="G128" s="578"/>
      <c r="H128" s="578"/>
      <c r="I128" s="1299"/>
      <c r="J128" s="574"/>
      <c r="K128" s="1290"/>
      <c r="AA128" s="3040"/>
      <c r="AB128" s="117" t="s">
        <v>6833</v>
      </c>
      <c r="AC128" s="49" t="s">
        <v>2358</v>
      </c>
      <c r="AD128" s="37">
        <f t="shared" si="24"/>
        <v>0</v>
      </c>
      <c r="AE128" s="1711">
        <f>AD128*UDV.lca.CO2_toggle</f>
        <v>0</v>
      </c>
      <c r="AF128" s="578"/>
      <c r="AG128" s="578"/>
      <c r="AH128" s="578"/>
      <c r="AI128" s="1299"/>
      <c r="AJ128" s="574"/>
      <c r="AK128" s="1290"/>
    </row>
    <row r="129" spans="1:37" x14ac:dyDescent="0.3">
      <c r="A129" s="3040"/>
      <c r="B129" s="117"/>
      <c r="C129" s="49"/>
      <c r="D129" s="50"/>
      <c r="E129" s="1300"/>
      <c r="F129" s="1300"/>
      <c r="G129" s="1300"/>
      <c r="H129" s="1300"/>
      <c r="I129" s="1300"/>
      <c r="J129" s="1711">
        <f>+SUM(D139:D141)</f>
        <v>9.6012333663108134</v>
      </c>
      <c r="K129" s="2328">
        <f>+SUM(D144)</f>
        <v>3.1097984823217155</v>
      </c>
      <c r="AA129" s="3040"/>
      <c r="AB129" s="117"/>
      <c r="AC129" s="49"/>
      <c r="AD129" s="50"/>
      <c r="AE129" s="1300"/>
      <c r="AF129" s="1300"/>
      <c r="AG129" s="1300"/>
      <c r="AH129" s="1300"/>
      <c r="AI129" s="1300"/>
      <c r="AJ129" s="1711">
        <f>+SUM(AD139:AD141)</f>
        <v>9.6012333663108134</v>
      </c>
      <c r="AK129" s="2328">
        <f>+SUM(AD144)</f>
        <v>3.1097984823217155</v>
      </c>
    </row>
    <row r="130" spans="1:37" x14ac:dyDescent="0.3">
      <c r="A130" s="3040"/>
      <c r="B130" s="116" t="s">
        <v>6838</v>
      </c>
      <c r="C130" s="118"/>
      <c r="D130" s="1292"/>
      <c r="E130" s="1712"/>
      <c r="F130" s="1712"/>
      <c r="G130" s="1712"/>
      <c r="H130" s="1712"/>
      <c r="I130" s="1298"/>
      <c r="J130" s="1293"/>
      <c r="K130" s="1295"/>
      <c r="AA130" s="3040"/>
      <c r="AB130" s="116" t="s">
        <v>6838</v>
      </c>
      <c r="AC130" s="118"/>
      <c r="AD130" s="1292"/>
      <c r="AE130" s="1712"/>
      <c r="AF130" s="1712"/>
      <c r="AG130" s="1712"/>
      <c r="AH130" s="1712"/>
      <c r="AI130" s="1298"/>
      <c r="AJ130" s="1293"/>
      <c r="AK130" s="1295"/>
    </row>
    <row r="131" spans="1:37" x14ac:dyDescent="0.3">
      <c r="A131" s="3040"/>
      <c r="B131" s="49" t="s">
        <v>6839</v>
      </c>
      <c r="C131" s="49" t="s">
        <v>2358</v>
      </c>
      <c r="D131" s="588">
        <f>+D135*UDV.lca.urea_n_content</f>
        <v>5.3102636771771028</v>
      </c>
      <c r="E131" s="2327">
        <f>-D131*UDV.lca.urea_gwp</f>
        <v>-6.3670061489353467</v>
      </c>
      <c r="F131" s="2327"/>
      <c r="G131" s="2327">
        <f>-D131*UDV.lca.urea_ef*UDV.lca.MJ_per_kg_oil_eq</f>
        <v>-362.04951677534473</v>
      </c>
      <c r="H131" s="2327">
        <f>-D131*UDV.lca.urea_wf</f>
        <v>-1.5900306453942376E-2</v>
      </c>
      <c r="I131" s="574"/>
      <c r="J131" s="574"/>
      <c r="K131" s="1290"/>
      <c r="AA131" s="3040"/>
      <c r="AB131" s="49" t="s">
        <v>6839</v>
      </c>
      <c r="AC131" s="49" t="s">
        <v>2358</v>
      </c>
      <c r="AD131" s="588">
        <f>D131</f>
        <v>5.3102636771771028</v>
      </c>
      <c r="AE131" s="2327">
        <f>-AD131*UDV.lca.urea_gwp</f>
        <v>-6.3670061489353467</v>
      </c>
      <c r="AF131" s="2327"/>
      <c r="AG131" s="2327">
        <f>-AD131*UDV.lca.urea_ef*UDV.lca.MJ_per_kg_oil_eq</f>
        <v>-362.04951677534473</v>
      </c>
      <c r="AH131" s="2327">
        <f>-AD131*UDV.lca.urea_wf</f>
        <v>-1.5900306453942376E-2</v>
      </c>
      <c r="AI131" s="574"/>
      <c r="AJ131" s="574"/>
      <c r="AK131" s="1290"/>
    </row>
    <row r="132" spans="1:37" x14ac:dyDescent="0.3">
      <c r="A132" s="3040"/>
      <c r="B132" s="49" t="s">
        <v>6842</v>
      </c>
      <c r="C132" s="49" t="s">
        <v>2358</v>
      </c>
      <c r="D132" s="588">
        <f>+D136*UDV.lca.P2O5_TSP</f>
        <v>3.1799799159104563</v>
      </c>
      <c r="E132" s="2327">
        <f>-D132*UDV.lca.P2O5_gwp</f>
        <v>-2.7538626071784549</v>
      </c>
      <c r="F132" s="2327"/>
      <c r="G132" s="2327">
        <f>-D132*UDV.lca.P2O5_ef*UDV.lca.MJ_per_kg_oil_eq</f>
        <v>-68.107679607030903</v>
      </c>
      <c r="H132" s="2327">
        <f>-D132*UDV.lca.P2O5_wf</f>
        <v>-1.1796777218016866E-3</v>
      </c>
      <c r="I132" s="574"/>
      <c r="J132" s="574"/>
      <c r="K132" s="1290"/>
      <c r="AA132" s="3040"/>
      <c r="AB132" s="49" t="s">
        <v>6842</v>
      </c>
      <c r="AC132" s="49" t="s">
        <v>2358</v>
      </c>
      <c r="AD132" s="588">
        <f t="shared" ref="AD132:AD133" si="25">D132</f>
        <v>3.1799799159104563</v>
      </c>
      <c r="AE132" s="2327">
        <f>-AD132*UDV.lca.P2O5_gwp</f>
        <v>-2.7538626071784549</v>
      </c>
      <c r="AF132" s="2327"/>
      <c r="AG132" s="2327">
        <f>-AD132*UDV.lca.P2O5_ef*UDV.lca.MJ_per_kg_oil_eq</f>
        <v>-68.107679607030903</v>
      </c>
      <c r="AH132" s="2327">
        <f>-AD132*UDV.lca.P2O5_wf</f>
        <v>-1.1796777218016866E-3</v>
      </c>
      <c r="AI132" s="574"/>
      <c r="AJ132" s="574"/>
      <c r="AK132" s="1290"/>
    </row>
    <row r="133" spans="1:37" x14ac:dyDescent="0.3">
      <c r="A133" s="3040"/>
      <c r="B133" s="49" t="s">
        <v>6844</v>
      </c>
      <c r="C133" s="49" t="s">
        <v>2358</v>
      </c>
      <c r="D133" s="588">
        <f>+D137*UDV.lca.K2O_KCI</f>
        <v>4.5152083729173818</v>
      </c>
      <c r="E133" s="2327">
        <f>-D133*UDV.lca.K2O_gwp</f>
        <v>-1.9731460589648959</v>
      </c>
      <c r="F133" s="2327"/>
      <c r="G133" s="2327">
        <f>-D133*UDV.lca.K2O_ef*UDV.lca.MJ_per_kg_oil_eq</f>
        <v>-34.982590003218817</v>
      </c>
      <c r="H133" s="2327">
        <f>-D133*UDV.lca.K2O_wf</f>
        <v>-1.0238057041228184E-2</v>
      </c>
      <c r="I133" s="574"/>
      <c r="J133" s="574"/>
      <c r="K133" s="1290"/>
      <c r="AA133" s="3040"/>
      <c r="AB133" s="49" t="s">
        <v>6844</v>
      </c>
      <c r="AC133" s="49" t="s">
        <v>2358</v>
      </c>
      <c r="AD133" s="588">
        <f t="shared" si="25"/>
        <v>4.5152083729173818</v>
      </c>
      <c r="AE133" s="2327">
        <f>-AD133*UDV.lca.K2O_gwp</f>
        <v>-1.9731460589648959</v>
      </c>
      <c r="AF133" s="2327"/>
      <c r="AG133" s="2327">
        <f>-AD133*UDV.lca.K2O_ef*UDV.lca.MJ_per_kg_oil_eq</f>
        <v>-34.982590003218817</v>
      </c>
      <c r="AH133" s="2327">
        <f>-AD133*UDV.lca.K2O_wf</f>
        <v>-1.0238057041228184E-2</v>
      </c>
      <c r="AI133" s="574"/>
      <c r="AJ133" s="574"/>
      <c r="AK133" s="1290"/>
    </row>
    <row r="134" spans="1:37" x14ac:dyDescent="0.3">
      <c r="A134" s="3040"/>
      <c r="B134" s="116" t="s">
        <v>6847</v>
      </c>
      <c r="C134" s="118"/>
      <c r="D134" s="1292"/>
      <c r="E134" s="1712"/>
      <c r="F134" s="1712"/>
      <c r="G134" s="1712"/>
      <c r="H134" s="1712"/>
      <c r="I134" s="1298"/>
      <c r="J134" s="1293"/>
      <c r="K134" s="1295"/>
      <c r="AA134" s="3040"/>
      <c r="AB134" s="116" t="s">
        <v>6847</v>
      </c>
      <c r="AC134" s="118"/>
      <c r="AD134" s="1292"/>
      <c r="AE134" s="1712"/>
      <c r="AF134" s="1712"/>
      <c r="AG134" s="1712"/>
      <c r="AH134" s="1712"/>
      <c r="AI134" s="1298"/>
      <c r="AJ134" s="1293"/>
      <c r="AK134" s="1295"/>
    </row>
    <row r="135" spans="1:37" x14ac:dyDescent="0.3">
      <c r="A135" s="3040"/>
      <c r="B135" s="49" t="s">
        <v>84</v>
      </c>
      <c r="C135" s="49" t="s">
        <v>2358</v>
      </c>
      <c r="D135" s="37">
        <f>'Sc4'!C10+'Sc4'!C14-'Sc4'!C67-'Sc4'!C71</f>
        <v>7.5860909673958616</v>
      </c>
      <c r="E135" s="578"/>
      <c r="F135" s="578"/>
      <c r="G135" s="578"/>
      <c r="H135" s="578"/>
      <c r="I135" s="1299"/>
      <c r="J135" s="574"/>
      <c r="K135" s="1290"/>
      <c r="AA135" s="3040"/>
      <c r="AB135" s="49" t="s">
        <v>84</v>
      </c>
      <c r="AC135" s="49" t="s">
        <v>2358</v>
      </c>
      <c r="AD135" s="50">
        <f>D135</f>
        <v>7.5860909673958616</v>
      </c>
      <c r="AE135" s="578"/>
      <c r="AF135" s="578"/>
      <c r="AG135" s="578"/>
      <c r="AH135" s="578"/>
      <c r="AI135" s="1299"/>
      <c r="AJ135" s="574"/>
      <c r="AK135" s="1290"/>
    </row>
    <row r="136" spans="1:37" x14ac:dyDescent="0.3">
      <c r="A136" s="3040"/>
      <c r="B136" s="49" t="s">
        <v>941</v>
      </c>
      <c r="C136" s="49" t="s">
        <v>2358</v>
      </c>
      <c r="D136" s="37">
        <f>'Sc4'!C11+'Sc4'!C15-'Sc4'!C68-'Sc4'!C72</f>
        <v>3.5333110176782845</v>
      </c>
      <c r="E136" s="578"/>
      <c r="F136" s="578"/>
      <c r="G136" s="578"/>
      <c r="H136" s="578"/>
      <c r="I136" s="1299"/>
      <c r="J136" s="574"/>
      <c r="K136" s="1290"/>
      <c r="AA136" s="3040"/>
      <c r="AB136" s="49" t="s">
        <v>941</v>
      </c>
      <c r="AC136" s="49" t="s">
        <v>2358</v>
      </c>
      <c r="AD136" s="50">
        <f t="shared" ref="AD136:AD137" si="26">D136</f>
        <v>3.5333110176782845</v>
      </c>
      <c r="AE136" s="578"/>
      <c r="AF136" s="578"/>
      <c r="AG136" s="578"/>
      <c r="AH136" s="578"/>
      <c r="AI136" s="1299"/>
      <c r="AJ136" s="574"/>
      <c r="AK136" s="1290"/>
    </row>
    <row r="137" spans="1:37" x14ac:dyDescent="0.3">
      <c r="A137" s="3040"/>
      <c r="B137" s="49" t="s">
        <v>934</v>
      </c>
      <c r="C137" s="49" t="s">
        <v>2358</v>
      </c>
      <c r="D137" s="37">
        <f>'Sc4'!C12+'Sc4'!C16-'Sc4'!C69-'Sc4'!C73</f>
        <v>4.5152083729173818</v>
      </c>
      <c r="E137" s="578"/>
      <c r="F137" s="578"/>
      <c r="G137" s="578"/>
      <c r="H137" s="578"/>
      <c r="I137" s="1299"/>
      <c r="J137" s="574"/>
      <c r="K137" s="1290"/>
      <c r="AA137" s="3040"/>
      <c r="AB137" s="49" t="s">
        <v>934</v>
      </c>
      <c r="AC137" s="49" t="s">
        <v>2358</v>
      </c>
      <c r="AD137" s="50">
        <f t="shared" si="26"/>
        <v>4.5152083729173818</v>
      </c>
      <c r="AE137" s="578"/>
      <c r="AF137" s="578"/>
      <c r="AG137" s="578"/>
      <c r="AH137" s="578"/>
      <c r="AI137" s="1299"/>
      <c r="AJ137" s="574"/>
      <c r="AK137" s="1290"/>
    </row>
    <row r="138" spans="1:37" x14ac:dyDescent="0.3">
      <c r="A138" s="3040"/>
      <c r="B138" s="116" t="s">
        <v>6856</v>
      </c>
      <c r="C138" s="118"/>
      <c r="D138" s="1292"/>
      <c r="E138" s="1712"/>
      <c r="F138" s="1712"/>
      <c r="G138" s="1712"/>
      <c r="H138" s="1712"/>
      <c r="I138" s="1298"/>
      <c r="J138" s="1293"/>
      <c r="K138" s="1295"/>
      <c r="AA138" s="3040"/>
      <c r="AB138" s="116" t="s">
        <v>6856</v>
      </c>
      <c r="AC138" s="118"/>
      <c r="AD138" s="1292"/>
      <c r="AE138" s="1712"/>
      <c r="AF138" s="1712"/>
      <c r="AG138" s="1712"/>
      <c r="AH138" s="1712"/>
      <c r="AI138" s="1298"/>
      <c r="AJ138" s="1293"/>
      <c r="AK138" s="1295"/>
    </row>
    <row r="139" spans="1:37" x14ac:dyDescent="0.3">
      <c r="A139" s="3040"/>
      <c r="B139" s="49" t="s">
        <v>6859</v>
      </c>
      <c r="C139" s="49" t="s">
        <v>2358</v>
      </c>
      <c r="D139" s="37">
        <f>'Sc4'!C27</f>
        <v>0.19730726287353581</v>
      </c>
      <c r="E139" s="578"/>
      <c r="F139" s="578"/>
      <c r="G139" s="578"/>
      <c r="H139" s="578"/>
      <c r="I139" s="1299"/>
      <c r="J139" s="571"/>
      <c r="K139" s="1290"/>
      <c r="AA139" s="3040"/>
      <c r="AB139" s="49" t="s">
        <v>6859</v>
      </c>
      <c r="AC139" s="49" t="s">
        <v>2358</v>
      </c>
      <c r="AD139" s="37">
        <f>D139</f>
        <v>0.19730726287353581</v>
      </c>
      <c r="AE139" s="578"/>
      <c r="AF139" s="578"/>
      <c r="AG139" s="578"/>
      <c r="AH139" s="578"/>
      <c r="AI139" s="1299"/>
      <c r="AJ139" s="571"/>
      <c r="AK139" s="1290"/>
    </row>
    <row r="140" spans="1:37" x14ac:dyDescent="0.3">
      <c r="A140" s="3040"/>
      <c r="B140" s="49" t="s">
        <v>6861</v>
      </c>
      <c r="C140" s="49" t="s">
        <v>2358</v>
      </c>
      <c r="D140" s="37">
        <f>'Sc4'!C28</f>
        <v>9.3735407849142387</v>
      </c>
      <c r="E140" s="578"/>
      <c r="F140" s="578"/>
      <c r="G140" s="578"/>
      <c r="H140" s="578"/>
      <c r="I140" s="1299"/>
      <c r="J140" s="571"/>
      <c r="K140" s="1290"/>
      <c r="AA140" s="3040"/>
      <c r="AB140" s="49" t="s">
        <v>6861</v>
      </c>
      <c r="AC140" s="49" t="s">
        <v>2358</v>
      </c>
      <c r="AD140" s="37">
        <f t="shared" ref="AD140:AD141" si="27">D140</f>
        <v>9.3735407849142387</v>
      </c>
      <c r="AE140" s="578"/>
      <c r="AF140" s="578"/>
      <c r="AG140" s="578"/>
      <c r="AH140" s="578"/>
      <c r="AI140" s="1299"/>
      <c r="AJ140" s="571"/>
      <c r="AK140" s="1290"/>
    </row>
    <row r="141" spans="1:37" x14ac:dyDescent="0.3">
      <c r="A141" s="3040"/>
      <c r="B141" s="49" t="s">
        <v>6864</v>
      </c>
      <c r="C141" s="49" t="s">
        <v>2358</v>
      </c>
      <c r="D141" s="37">
        <f>'Sc4'!C29</f>
        <v>3.0385318523038274E-2</v>
      </c>
      <c r="E141" s="578"/>
      <c r="F141" s="578"/>
      <c r="G141" s="578"/>
      <c r="H141" s="578"/>
      <c r="I141" s="1299"/>
      <c r="J141" s="571"/>
      <c r="K141" s="1290"/>
      <c r="AA141" s="3040"/>
      <c r="AB141" s="49" t="s">
        <v>6864</v>
      </c>
      <c r="AC141" s="49" t="s">
        <v>2358</v>
      </c>
      <c r="AD141" s="37">
        <f t="shared" si="27"/>
        <v>3.0385318523038274E-2</v>
      </c>
      <c r="AE141" s="578"/>
      <c r="AF141" s="578"/>
      <c r="AG141" s="578"/>
      <c r="AH141" s="578"/>
      <c r="AI141" s="1299"/>
      <c r="AJ141" s="571"/>
      <c r="AK141" s="1290"/>
    </row>
    <row r="142" spans="1:37" x14ac:dyDescent="0.3">
      <c r="A142" s="3040"/>
      <c r="B142" s="49"/>
      <c r="C142" s="49"/>
      <c r="D142" s="37"/>
      <c r="E142" s="578"/>
      <c r="F142" s="578"/>
      <c r="G142" s="578"/>
      <c r="H142" s="578"/>
      <c r="I142" s="1299"/>
      <c r="J142" s="571"/>
      <c r="K142" s="1290"/>
      <c r="AA142" s="3040"/>
      <c r="AB142" s="49"/>
      <c r="AC142" s="49"/>
      <c r="AD142" s="37"/>
      <c r="AE142" s="578"/>
      <c r="AF142" s="578"/>
      <c r="AG142" s="578"/>
      <c r="AH142" s="578"/>
      <c r="AI142" s="1299"/>
      <c r="AJ142" s="571"/>
      <c r="AK142" s="1290"/>
    </row>
    <row r="143" spans="1:37" x14ac:dyDescent="0.3">
      <c r="A143" s="3040"/>
      <c r="B143" s="116" t="s">
        <v>6865</v>
      </c>
      <c r="C143" s="118"/>
      <c r="D143" s="1292"/>
      <c r="E143" s="1712"/>
      <c r="F143" s="1712"/>
      <c r="G143" s="1712"/>
      <c r="H143" s="1712"/>
      <c r="I143" s="1298"/>
      <c r="J143" s="1293"/>
      <c r="K143" s="1295"/>
      <c r="AA143" s="3040"/>
      <c r="AB143" s="116" t="s">
        <v>6865</v>
      </c>
      <c r="AC143" s="118"/>
      <c r="AD143" s="1292"/>
      <c r="AE143" s="1712"/>
      <c r="AF143" s="1712"/>
      <c r="AG143" s="1712"/>
      <c r="AH143" s="1712"/>
      <c r="AI143" s="1298"/>
      <c r="AJ143" s="1293"/>
      <c r="AK143" s="1295"/>
    </row>
    <row r="144" spans="1:37" x14ac:dyDescent="0.3">
      <c r="A144" s="3040"/>
      <c r="B144" s="49" t="s">
        <v>6867</v>
      </c>
      <c r="C144" s="49" t="s">
        <v>2358</v>
      </c>
      <c r="D144" s="37">
        <f>'Sc4'!C68+'Sc4'!C72</f>
        <v>3.1097984823217155</v>
      </c>
      <c r="E144" s="578"/>
      <c r="F144" s="578"/>
      <c r="G144" s="578"/>
      <c r="H144" s="578"/>
      <c r="I144" s="1299"/>
      <c r="J144" s="571"/>
      <c r="K144" s="1290"/>
      <c r="AA144" s="3040"/>
      <c r="AB144" s="49" t="s">
        <v>6867</v>
      </c>
      <c r="AC144" s="49" t="s">
        <v>2358</v>
      </c>
      <c r="AD144" s="37">
        <f>D144</f>
        <v>3.1097984823217155</v>
      </c>
      <c r="AE144" s="578"/>
      <c r="AF144" s="578"/>
      <c r="AG144" s="578"/>
      <c r="AH144" s="578"/>
      <c r="AI144" s="1299"/>
      <c r="AJ144" s="571"/>
      <c r="AK144" s="1290"/>
    </row>
    <row r="145" spans="1:37" x14ac:dyDescent="0.3">
      <c r="A145" s="3040"/>
      <c r="B145" s="49"/>
      <c r="C145" s="49"/>
      <c r="D145" s="18" t="s">
        <v>6869</v>
      </c>
      <c r="E145" s="122">
        <f>+SUM(E117:E122,E126:E128,E129)</f>
        <v>1039.5362938010969</v>
      </c>
      <c r="F145" s="37"/>
      <c r="G145" s="37"/>
      <c r="H145" s="37"/>
      <c r="I145" s="57"/>
      <c r="J145" s="49"/>
      <c r="K145" s="11"/>
      <c r="AA145" s="3040"/>
      <c r="AB145" s="49"/>
      <c r="AC145" s="49"/>
      <c r="AD145" s="18" t="s">
        <v>6869</v>
      </c>
      <c r="AE145" s="122">
        <f>+SUM(AE117:AE122,AE126:AE128,AE129)</f>
        <v>1036.1308480480445</v>
      </c>
      <c r="AF145" s="37"/>
      <c r="AG145" s="37"/>
      <c r="AH145" s="37"/>
      <c r="AI145" s="57"/>
      <c r="AJ145" s="49"/>
      <c r="AK145" s="11"/>
    </row>
    <row r="146" spans="1:37" x14ac:dyDescent="0.3">
      <c r="A146" s="3040"/>
      <c r="B146" s="118" t="s">
        <v>6871</v>
      </c>
      <c r="C146" s="119" t="s">
        <v>4815</v>
      </c>
      <c r="D146" s="1708" t="s">
        <v>630</v>
      </c>
      <c r="E146" s="1281">
        <f>+SUM(E124:E129,E122)</f>
        <v>1033.1861182773207</v>
      </c>
      <c r="F146" s="1281">
        <f>+SUM(F124:F129)</f>
        <v>325.10280265821331</v>
      </c>
      <c r="G146" s="1281">
        <f>+SUM(G124:G129)</f>
        <v>0</v>
      </c>
      <c r="H146" s="2267">
        <f>+SUM(H117,H124:H129)</f>
        <v>0.11317243732372569</v>
      </c>
      <c r="I146" s="641">
        <f>I117</f>
        <v>0.11303227729987383</v>
      </c>
      <c r="J146" s="1281">
        <f>+J129</f>
        <v>9.6012333663108134</v>
      </c>
      <c r="K146" s="1282">
        <f>+K129</f>
        <v>3.1097984823217155</v>
      </c>
      <c r="AA146" s="3040"/>
      <c r="AB146" s="118" t="s">
        <v>6871</v>
      </c>
      <c r="AC146" s="119" t="s">
        <v>4815</v>
      </c>
      <c r="AD146" s="1708" t="s">
        <v>630</v>
      </c>
      <c r="AE146" s="1281">
        <f>+SUM(AE124:AE129,AE122)</f>
        <v>1031.1105096625745</v>
      </c>
      <c r="AF146" s="1281">
        <f>+SUM(AF124:AF129)</f>
        <v>325.10280265821331</v>
      </c>
      <c r="AG146" s="1281">
        <f>+SUM(AG124:AG129)</f>
        <v>0</v>
      </c>
      <c r="AH146" s="2267">
        <f>+SUM(AH117,AH124:AH129)</f>
        <v>0.11317243732372569</v>
      </c>
      <c r="AI146" s="641">
        <f>AI117</f>
        <v>0.11303227729987383</v>
      </c>
      <c r="AJ146" s="1281">
        <f>+AJ129</f>
        <v>9.6012333663108134</v>
      </c>
      <c r="AK146" s="1282">
        <f>+AK129</f>
        <v>3.1097984823217155</v>
      </c>
    </row>
    <row r="147" spans="1:37" x14ac:dyDescent="0.3">
      <c r="A147" s="3040"/>
      <c r="B147" s="118" t="s">
        <v>6874</v>
      </c>
      <c r="C147" s="118"/>
      <c r="D147" s="1709" t="s">
        <v>6875</v>
      </c>
      <c r="E147" s="922">
        <f>+SUM(E117:E121,E131:E133)</f>
        <v>-4.7438392913022582</v>
      </c>
      <c r="F147" s="922">
        <f>+SUM(F117:F122,F131:F133)</f>
        <v>0</v>
      </c>
      <c r="G147" s="922">
        <f>+SUM(G117:G122,G131:G133)</f>
        <v>-361.22172137807627</v>
      </c>
      <c r="H147" s="2268">
        <f>+SUM(H118:H122,H131:H133)</f>
        <v>1.3342125221635982E-2</v>
      </c>
      <c r="I147" s="1283">
        <v>0</v>
      </c>
      <c r="J147" s="922"/>
      <c r="K147" s="1284"/>
      <c r="AA147" s="3040"/>
      <c r="AB147" s="118" t="s">
        <v>6874</v>
      </c>
      <c r="AC147" s="118"/>
      <c r="AD147" s="1709" t="s">
        <v>6875</v>
      </c>
      <c r="AE147" s="922">
        <f>+SUM(AE117:AE121,AE131:AE133)</f>
        <v>-6.073676429608569</v>
      </c>
      <c r="AF147" s="922">
        <f>+SUM(AF117:AF122,AF131:AF133)</f>
        <v>0</v>
      </c>
      <c r="AG147" s="922">
        <f>+SUM(AG117:AG122,AG131:AG133)</f>
        <v>-409.10676302163756</v>
      </c>
      <c r="AH147" s="2268">
        <f>+SUM(AH118:AH122,AH131:AH133)</f>
        <v>4.3753838572878345E-5</v>
      </c>
      <c r="AI147" s="1283">
        <v>0</v>
      </c>
      <c r="AJ147" s="922"/>
      <c r="AK147" s="1284"/>
    </row>
    <row r="148" spans="1:37" ht="15" thickBot="1" x14ac:dyDescent="0.35">
      <c r="A148" s="3041"/>
      <c r="B148" s="22"/>
      <c r="C148" s="1291"/>
      <c r="D148" s="1710" t="s">
        <v>6876</v>
      </c>
      <c r="E148" s="1285">
        <f>E146+E147</f>
        <v>1028.4422789860184</v>
      </c>
      <c r="F148" s="1285">
        <f>F146+F147</f>
        <v>325.10280265821331</v>
      </c>
      <c r="G148" s="1285">
        <f>G146+G147</f>
        <v>-361.22172137807627</v>
      </c>
      <c r="H148" s="2269">
        <f t="shared" ref="H148" si="28">H146+H147</f>
        <v>0.12651456254536167</v>
      </c>
      <c r="I148" s="1285">
        <f>I146+I147</f>
        <v>0.11303227729987383</v>
      </c>
      <c r="J148" s="1285">
        <f>J146+J147</f>
        <v>9.6012333663108134</v>
      </c>
      <c r="K148" s="1286">
        <f>K146+K147</f>
        <v>3.1097984823217155</v>
      </c>
      <c r="AA148" s="3041"/>
      <c r="AB148" s="22"/>
      <c r="AC148" s="1291"/>
      <c r="AD148" s="1710" t="s">
        <v>6876</v>
      </c>
      <c r="AE148" s="1285">
        <f>AE146+AE147</f>
        <v>1025.0368332329658</v>
      </c>
      <c r="AF148" s="1285">
        <f>AF146+AF147</f>
        <v>325.10280265821331</v>
      </c>
      <c r="AG148" s="1285">
        <f>AG146+AG147</f>
        <v>-409.10676302163756</v>
      </c>
      <c r="AH148" s="2269">
        <f t="shared" ref="AH148" si="29">AH146+AH147</f>
        <v>0.11321619116229856</v>
      </c>
      <c r="AI148" s="1285">
        <f>AI146+AI147</f>
        <v>0.11303227729987383</v>
      </c>
      <c r="AJ148" s="1285">
        <f>AJ146+AJ147</f>
        <v>9.6012333663108134</v>
      </c>
      <c r="AK148" s="1286">
        <f>AK146+AK147</f>
        <v>3.1097984823217155</v>
      </c>
    </row>
    <row r="149" spans="1:37" ht="15" thickBot="1" x14ac:dyDescent="0.35"/>
    <row r="150" spans="1:37" x14ac:dyDescent="0.3">
      <c r="A150" s="3039" t="s">
        <v>6900</v>
      </c>
      <c r="B150" s="49"/>
      <c r="C150" s="49"/>
      <c r="D150" s="9"/>
      <c r="E150" s="565"/>
      <c r="F150" s="565"/>
      <c r="G150" s="565"/>
      <c r="H150" s="565"/>
      <c r="I150" s="1297"/>
      <c r="J150" s="3038" t="s">
        <v>6791</v>
      </c>
      <c r="K150" s="3038"/>
      <c r="AA150" s="3039" t="s">
        <v>6901</v>
      </c>
      <c r="AB150" s="49"/>
      <c r="AC150" s="49"/>
      <c r="AD150" s="9"/>
      <c r="AE150" s="565"/>
      <c r="AF150" s="565"/>
      <c r="AG150" s="565"/>
      <c r="AH150" s="565"/>
      <c r="AI150" s="1297"/>
      <c r="AJ150" s="3038" t="s">
        <v>6791</v>
      </c>
      <c r="AK150" s="3038"/>
    </row>
    <row r="151" spans="1:37" ht="72" x14ac:dyDescent="0.3">
      <c r="A151" s="3040"/>
      <c r="B151" s="566"/>
      <c r="C151" s="566" t="s">
        <v>6795</v>
      </c>
      <c r="D151" s="567" t="s">
        <v>6796</v>
      </c>
      <c r="E151" s="567" t="s">
        <v>4824</v>
      </c>
      <c r="F151" s="567" t="s">
        <v>447</v>
      </c>
      <c r="G151" s="567" t="s">
        <v>446</v>
      </c>
      <c r="H151" s="567" t="s">
        <v>2599</v>
      </c>
      <c r="I151" s="1279" t="s">
        <v>6797</v>
      </c>
      <c r="J151" s="567" t="s">
        <v>4832</v>
      </c>
      <c r="K151" s="567" t="s">
        <v>6798</v>
      </c>
      <c r="AA151" s="3040"/>
      <c r="AB151" s="566"/>
      <c r="AC151" s="566" t="s">
        <v>6795</v>
      </c>
      <c r="AD151" s="567" t="s">
        <v>6796</v>
      </c>
      <c r="AE151" s="567" t="s">
        <v>4824</v>
      </c>
      <c r="AF151" s="567" t="s">
        <v>447</v>
      </c>
      <c r="AG151" s="567" t="s">
        <v>446</v>
      </c>
      <c r="AH151" s="567" t="s">
        <v>2599</v>
      </c>
      <c r="AI151" s="1279" t="s">
        <v>6797</v>
      </c>
      <c r="AJ151" s="567" t="s">
        <v>4832</v>
      </c>
      <c r="AK151" s="567" t="s">
        <v>6798</v>
      </c>
    </row>
    <row r="152" spans="1:37" ht="16.8" x14ac:dyDescent="0.35">
      <c r="A152" s="3040"/>
      <c r="B152" s="568"/>
      <c r="C152" s="568"/>
      <c r="D152" s="569"/>
      <c r="E152" s="570" t="s">
        <v>6799</v>
      </c>
      <c r="F152" s="570" t="s">
        <v>6800</v>
      </c>
      <c r="G152" s="570" t="s">
        <v>2435</v>
      </c>
      <c r="H152" s="570" t="s">
        <v>6801</v>
      </c>
      <c r="I152" s="1280" t="s">
        <v>2478</v>
      </c>
      <c r="J152" s="569" t="s">
        <v>6802</v>
      </c>
      <c r="K152" s="569" t="s">
        <v>6803</v>
      </c>
      <c r="AA152" s="3040"/>
      <c r="AB152" s="568"/>
      <c r="AC152" s="568"/>
      <c r="AD152" s="569"/>
      <c r="AE152" s="570" t="s">
        <v>6799</v>
      </c>
      <c r="AF152" s="570" t="s">
        <v>6800</v>
      </c>
      <c r="AG152" s="570" t="s">
        <v>2435</v>
      </c>
      <c r="AH152" s="570" t="s">
        <v>6801</v>
      </c>
      <c r="AI152" s="1280" t="s">
        <v>2478</v>
      </c>
      <c r="AJ152" s="569" t="s">
        <v>6802</v>
      </c>
      <c r="AK152" s="569" t="s">
        <v>6803</v>
      </c>
    </row>
    <row r="153" spans="1:37" x14ac:dyDescent="0.3">
      <c r="A153" s="3040"/>
      <c r="B153" s="116" t="s">
        <v>6805</v>
      </c>
      <c r="C153" s="118"/>
      <c r="D153" s="1292"/>
      <c r="E153" s="1293"/>
      <c r="F153" s="1293"/>
      <c r="G153" s="1292"/>
      <c r="H153" s="1293"/>
      <c r="I153" s="1294"/>
      <c r="J153" s="1293"/>
      <c r="K153" s="1295"/>
      <c r="AA153" s="3040"/>
      <c r="AB153" s="116" t="s">
        <v>6805</v>
      </c>
      <c r="AC153" s="118"/>
      <c r="AD153" s="1292"/>
      <c r="AE153" s="1293"/>
      <c r="AF153" s="1293"/>
      <c r="AG153" s="1292"/>
      <c r="AH153" s="1293"/>
      <c r="AI153" s="1294"/>
      <c r="AJ153" s="1293"/>
      <c r="AK153" s="1295"/>
    </row>
    <row r="154" spans="1:37" x14ac:dyDescent="0.3">
      <c r="A154" s="3040"/>
      <c r="B154" s="49" t="s">
        <v>415</v>
      </c>
      <c r="C154" s="49" t="s">
        <v>2358</v>
      </c>
      <c r="D154" s="50">
        <f>'Sc5'!C5*1000</f>
        <v>201.47702075242208</v>
      </c>
      <c r="E154" s="2326">
        <f>+D154*UDV.lca.water_gwp</f>
        <v>9.0664659338589929E-2</v>
      </c>
      <c r="F154" s="2327"/>
      <c r="G154" s="2327">
        <f>+D154*UDV.lca.water_ef*UDV.lca.MJ_per_kg_oil_eq</f>
        <v>1.349734857424626</v>
      </c>
      <c r="H154" s="1711">
        <f>+D154*UDV.lca.water_wf</f>
        <v>0.20172685225815509</v>
      </c>
      <c r="I154" s="1296">
        <f>D154/1000</f>
        <v>0.20147702075242208</v>
      </c>
      <c r="J154" s="574"/>
      <c r="K154" s="1290"/>
      <c r="AA154" s="3040"/>
      <c r="AB154" s="49" t="s">
        <v>415</v>
      </c>
      <c r="AC154" s="49" t="s">
        <v>2358</v>
      </c>
      <c r="AD154" s="50">
        <f>D154</f>
        <v>201.47702075242208</v>
      </c>
      <c r="AE154" s="2326">
        <f>+AD154*UDV.lca.water_gwp</f>
        <v>9.0664659338589929E-2</v>
      </c>
      <c r="AF154" s="2327"/>
      <c r="AG154" s="2327">
        <f>+AD154*UDV.lca.water_ef*UDV.lca.MJ_per_kg_oil_eq</f>
        <v>1.349734857424626</v>
      </c>
      <c r="AH154" s="1711">
        <f>+AD154*UDV.lca.water_wf</f>
        <v>0.20172685225815509</v>
      </c>
      <c r="AI154" s="1296">
        <f>AD154/1000</f>
        <v>0.20147702075242208</v>
      </c>
      <c r="AJ154" s="574"/>
      <c r="AK154" s="1290"/>
    </row>
    <row r="155" spans="1:37" x14ac:dyDescent="0.3">
      <c r="A155" s="3040"/>
      <c r="B155" s="49" t="s">
        <v>409</v>
      </c>
      <c r="C155" s="49" t="s">
        <v>2556</v>
      </c>
      <c r="D155" s="37">
        <f>'Sc5'!C6</f>
        <v>2.0647162832032113</v>
      </c>
      <c r="E155" s="2326">
        <f>+D155*UDV.lca.electricity_gwp</f>
        <v>0.74015739010041603</v>
      </c>
      <c r="F155" s="2327"/>
      <c r="G155" s="2327">
        <f>+D155*UDV.lca.electricity_ef*UDV.lca.MJ_per_kg_oil_eq</f>
        <v>3.9593949216195048</v>
      </c>
      <c r="H155" s="2327">
        <f>+D155*UDV.lca.electricity_wf</f>
        <v>3.3035460531251385E-3</v>
      </c>
      <c r="I155" s="1296"/>
      <c r="J155" s="574"/>
      <c r="K155" s="1290"/>
      <c r="AA155" s="3040"/>
      <c r="AB155" s="49" t="s">
        <v>409</v>
      </c>
      <c r="AC155" s="49" t="s">
        <v>2556</v>
      </c>
      <c r="AD155" s="50">
        <f>D155</f>
        <v>2.0647162832032113</v>
      </c>
      <c r="AE155" s="2326">
        <f>+AD155*UDV.lca.electricity_gwp</f>
        <v>0.74015739010041603</v>
      </c>
      <c r="AF155" s="2327"/>
      <c r="AG155" s="2327">
        <f>+AD155*UDV.lca.electricity_ef*UDV.lca.MJ_per_kg_oil_eq</f>
        <v>3.9593949216195048</v>
      </c>
      <c r="AH155" s="2327">
        <f>+AD155*UDV.lca.electricity_wf</f>
        <v>3.3035460531251385E-3</v>
      </c>
      <c r="AI155" s="1296"/>
      <c r="AJ155" s="574"/>
      <c r="AK155" s="1290"/>
    </row>
    <row r="156" spans="1:37" x14ac:dyDescent="0.3">
      <c r="A156" s="3040"/>
      <c r="B156" s="49" t="s">
        <v>6812</v>
      </c>
      <c r="C156" s="49" t="s">
        <v>2435</v>
      </c>
      <c r="D156" s="50">
        <f>'Sc5'!C49*UDV.lca.MJ_per_gal_diesel</f>
        <v>50.936899337060524</v>
      </c>
      <c r="E156" s="2326">
        <f>+D156*UDV.lca.diesel_gwp</f>
        <v>2.2921604701677234</v>
      </c>
      <c r="F156" s="2327"/>
      <c r="G156" s="2326">
        <f>+D156*UDV.lca.diesel_ef*UDV.lca.MJ_per_kg_oil_eq</f>
        <v>82.536572641893414</v>
      </c>
      <c r="H156" s="2327">
        <f>+D156*UDV.lca.diesel_wf</f>
        <v>2.2921604701677232E-2</v>
      </c>
      <c r="I156" s="1296"/>
      <c r="J156" s="574"/>
      <c r="K156" s="1290"/>
      <c r="AA156" s="3040"/>
      <c r="AB156" s="49" t="s">
        <v>6812</v>
      </c>
      <c r="AC156" s="49" t="s">
        <v>2435</v>
      </c>
      <c r="AD156" s="53">
        <f>'Sc5'!C50*UDV.lca.MJ_per_gal_diesel</f>
        <v>21.110848805782588</v>
      </c>
      <c r="AE156" s="2326">
        <f>+AD156*UDV.lca.diesel_gwp</f>
        <v>0.94998819626021647</v>
      </c>
      <c r="AF156" s="2327"/>
      <c r="AG156" s="2326">
        <f>+AD156*UDV.lca.diesel_ef*UDV.lca.MJ_per_kg_oil_eq</f>
        <v>34.207364968577124</v>
      </c>
      <c r="AH156" s="2327">
        <f>+AD156*UDV.lca.diesel_wf</f>
        <v>9.4998819626021629E-3</v>
      </c>
      <c r="AI156" s="1296"/>
      <c r="AJ156" s="574"/>
      <c r="AK156" s="1290"/>
    </row>
    <row r="157" spans="1:37" x14ac:dyDescent="0.3">
      <c r="A157" s="3040"/>
      <c r="B157" s="49" t="s">
        <v>6814</v>
      </c>
      <c r="C157" s="49" t="s">
        <v>2358</v>
      </c>
      <c r="D157" s="9"/>
      <c r="E157" s="2326">
        <f>+D157*UDV.lca.sand_gwp</f>
        <v>0</v>
      </c>
      <c r="F157" s="2327"/>
      <c r="G157" s="2327">
        <f>+D157*UDV.lca.sand_ef*UDV.lca.MJ_per_kg_oil_eq</f>
        <v>0</v>
      </c>
      <c r="H157" s="2327">
        <f>+D157*UDV.lca.sand_wf</f>
        <v>0</v>
      </c>
      <c r="I157" s="1296"/>
      <c r="J157" s="574"/>
      <c r="K157" s="1290"/>
      <c r="AA157" s="3040"/>
      <c r="AB157" s="49" t="s">
        <v>6814</v>
      </c>
      <c r="AC157" s="49" t="s">
        <v>2358</v>
      </c>
      <c r="AD157" s="9">
        <f>D157</f>
        <v>0</v>
      </c>
      <c r="AE157" s="2326">
        <f>+AD157*UDV.lca.sand_gwp</f>
        <v>0</v>
      </c>
      <c r="AF157" s="2327"/>
      <c r="AG157" s="2327">
        <f>+AD157*UDV.lca.sand_ef*UDV.lca.MJ_per_kg_oil_eq</f>
        <v>0</v>
      </c>
      <c r="AH157" s="2327">
        <f>+AD157*UDV.lca.sand_wf</f>
        <v>0</v>
      </c>
      <c r="AI157" s="1296"/>
      <c r="AJ157" s="574"/>
      <c r="AK157" s="1290"/>
    </row>
    <row r="158" spans="1:37" x14ac:dyDescent="0.3">
      <c r="A158" s="3040"/>
      <c r="B158" s="49"/>
      <c r="C158" s="49"/>
      <c r="D158" s="9"/>
      <c r="E158" s="2327"/>
      <c r="F158" s="2327"/>
      <c r="G158" s="2327"/>
      <c r="H158" s="2327"/>
      <c r="I158" s="1296"/>
      <c r="J158" s="574"/>
      <c r="K158" s="1290"/>
      <c r="AA158" s="3040"/>
      <c r="AB158" s="49"/>
      <c r="AC158" s="49"/>
      <c r="AD158" s="9"/>
      <c r="AE158" s="2327"/>
      <c r="AF158" s="2327"/>
      <c r="AG158" s="2327"/>
      <c r="AH158" s="2327"/>
      <c r="AI158" s="1296"/>
      <c r="AJ158" s="574"/>
      <c r="AK158" s="1290"/>
    </row>
    <row r="159" spans="1:37" x14ac:dyDescent="0.3">
      <c r="A159" s="3040"/>
      <c r="B159" s="1089" t="s">
        <v>6819</v>
      </c>
      <c r="C159" s="1089" t="s">
        <v>4885</v>
      </c>
      <c r="D159" s="1711">
        <f>'Sc5'!C49</f>
        <v>0.35143438206885969</v>
      </c>
      <c r="E159" s="1711">
        <f>D159*UDV.lca.diesel_combustion_gwp</f>
        <v>3.5776020094609917</v>
      </c>
      <c r="F159" s="1296"/>
      <c r="G159" s="1296"/>
      <c r="H159" s="1296"/>
      <c r="I159" s="1296"/>
      <c r="J159" s="574"/>
      <c r="K159" s="1290"/>
      <c r="AA159" s="3040"/>
      <c r="AB159" s="1089" t="s">
        <v>6819</v>
      </c>
      <c r="AC159" s="1089" t="s">
        <v>4885</v>
      </c>
      <c r="AD159" s="2322">
        <f>'Sc5'!C50</f>
        <v>0.14565233065946315</v>
      </c>
      <c r="AE159" s="1711">
        <f>AD159*UDV.lca.diesel_combustion_gwp</f>
        <v>1.4827407261133347</v>
      </c>
      <c r="AF159" s="1296"/>
      <c r="AG159" s="1296"/>
      <c r="AH159" s="1296"/>
      <c r="AI159" s="1296"/>
      <c r="AJ159" s="574"/>
      <c r="AK159" s="1290"/>
    </row>
    <row r="160" spans="1:37" x14ac:dyDescent="0.3">
      <c r="A160" s="3040"/>
      <c r="B160" s="118" t="s">
        <v>6822</v>
      </c>
      <c r="C160" s="118"/>
      <c r="D160" s="1292"/>
      <c r="E160" s="1712"/>
      <c r="F160" s="1712"/>
      <c r="G160" s="1712"/>
      <c r="H160" s="1712"/>
      <c r="I160" s="1298"/>
      <c r="J160" s="1298"/>
      <c r="K160" s="1713"/>
      <c r="AA160" s="3040"/>
      <c r="AB160" s="118" t="s">
        <v>6822</v>
      </c>
      <c r="AC160" s="118"/>
      <c r="AD160" s="1292"/>
      <c r="AE160" s="1712"/>
      <c r="AF160" s="1712"/>
      <c r="AG160" s="1712"/>
      <c r="AH160" s="1712"/>
      <c r="AI160" s="1298"/>
      <c r="AJ160" s="1298"/>
      <c r="AK160" s="1713"/>
    </row>
    <row r="161" spans="1:37" x14ac:dyDescent="0.3">
      <c r="A161" s="3040"/>
      <c r="B161" s="49" t="s">
        <v>6786</v>
      </c>
      <c r="C161" s="49" t="s">
        <v>2268</v>
      </c>
      <c r="D161" s="50">
        <f>'Sc5'!C8</f>
        <v>310.97888250661771</v>
      </c>
      <c r="E161" s="578"/>
      <c r="F161" s="1711">
        <f>+D161</f>
        <v>310.97888250661771</v>
      </c>
      <c r="G161" s="578"/>
      <c r="H161" s="578"/>
      <c r="I161" s="1299"/>
      <c r="J161" s="574"/>
      <c r="K161" s="1290"/>
      <c r="AA161" s="3040"/>
      <c r="AB161" s="49" t="s">
        <v>6786</v>
      </c>
      <c r="AC161" s="49" t="s">
        <v>2268</v>
      </c>
      <c r="AD161" s="50">
        <f>D161</f>
        <v>310.97888250661771</v>
      </c>
      <c r="AE161" s="578"/>
      <c r="AF161" s="1711">
        <f>+AD161</f>
        <v>310.97888250661771</v>
      </c>
      <c r="AG161" s="578"/>
      <c r="AH161" s="578"/>
      <c r="AI161" s="1299"/>
      <c r="AJ161" s="574"/>
      <c r="AK161" s="1290"/>
    </row>
    <row r="162" spans="1:37" x14ac:dyDescent="0.3">
      <c r="A162" s="3040"/>
      <c r="B162" s="76" t="s">
        <v>6826</v>
      </c>
      <c r="C162" s="76"/>
      <c r="D162" s="9"/>
      <c r="E162" s="578"/>
      <c r="F162" s="578"/>
      <c r="G162" s="578"/>
      <c r="H162" s="578"/>
      <c r="I162" s="1299"/>
      <c r="J162" s="574"/>
      <c r="K162" s="1290"/>
      <c r="AA162" s="3040"/>
      <c r="AB162" s="76" t="s">
        <v>6826</v>
      </c>
      <c r="AC162" s="76"/>
      <c r="AD162" s="9"/>
      <c r="AE162" s="578"/>
      <c r="AF162" s="578"/>
      <c r="AG162" s="578"/>
      <c r="AH162" s="578"/>
      <c r="AI162" s="1299"/>
      <c r="AJ162" s="574"/>
      <c r="AK162" s="1290"/>
    </row>
    <row r="163" spans="1:37" x14ac:dyDescent="0.3">
      <c r="A163" s="3040"/>
      <c r="B163" s="117" t="s">
        <v>6828</v>
      </c>
      <c r="C163" s="49" t="s">
        <v>2358</v>
      </c>
      <c r="D163" s="37">
        <f>+D176*1</f>
        <v>0.20395025706462719</v>
      </c>
      <c r="E163" s="1711">
        <f>+D163*UDV.emit_N2O_direct.CO2e_cf</f>
        <v>63.224579690034432</v>
      </c>
      <c r="F163" s="578"/>
      <c r="G163" s="578"/>
      <c r="H163" s="578"/>
      <c r="I163" s="1299"/>
      <c r="J163" s="574"/>
      <c r="K163" s="1290"/>
      <c r="AA163" s="3040"/>
      <c r="AB163" s="117" t="s">
        <v>6828</v>
      </c>
      <c r="AC163" s="49" t="s">
        <v>2358</v>
      </c>
      <c r="AD163" s="37">
        <f>D163</f>
        <v>0.20395025706462719</v>
      </c>
      <c r="AE163" s="1711">
        <f>+AD163*UDV.emit_N2O_direct.CO2e_cf</f>
        <v>63.224579690034432</v>
      </c>
      <c r="AF163" s="578"/>
      <c r="AG163" s="578"/>
      <c r="AH163" s="578"/>
      <c r="AI163" s="1299"/>
      <c r="AJ163" s="574"/>
      <c r="AK163" s="1290"/>
    </row>
    <row r="164" spans="1:37" x14ac:dyDescent="0.3">
      <c r="A164" s="3040"/>
      <c r="B164" s="117" t="s">
        <v>4894</v>
      </c>
      <c r="C164" s="49" t="s">
        <v>2358</v>
      </c>
      <c r="D164" s="37">
        <f>'Sc5'!C18</f>
        <v>32.722167799057068</v>
      </c>
      <c r="E164" s="1711">
        <f>+D164*UDV.emit_CH4.CO2e_cf</f>
        <v>981.66503397171209</v>
      </c>
      <c r="F164" s="578"/>
      <c r="G164" s="578"/>
      <c r="H164" s="578"/>
      <c r="I164" s="1299"/>
      <c r="J164" s="574"/>
      <c r="K164" s="1290"/>
      <c r="AA164" s="3040"/>
      <c r="AB164" s="117" t="s">
        <v>4894</v>
      </c>
      <c r="AC164" s="49" t="s">
        <v>2358</v>
      </c>
      <c r="AD164" s="37">
        <f t="shared" ref="AD164:AD165" si="30">D164</f>
        <v>32.722167799057068</v>
      </c>
      <c r="AE164" s="1711">
        <f>+AD164*UDV.emit_CH4.CO2e_cf</f>
        <v>981.66503397171209</v>
      </c>
      <c r="AF164" s="578"/>
      <c r="AG164" s="578"/>
      <c r="AH164" s="578"/>
      <c r="AI164" s="1299"/>
      <c r="AJ164" s="574"/>
      <c r="AK164" s="1290"/>
    </row>
    <row r="165" spans="1:37" x14ac:dyDescent="0.3">
      <c r="A165" s="3040"/>
      <c r="B165" s="117" t="s">
        <v>6833</v>
      </c>
      <c r="C165" s="49" t="s">
        <v>2358</v>
      </c>
      <c r="D165" s="9">
        <v>0</v>
      </c>
      <c r="E165" s="1711">
        <f>D165*UDV.lca.CO2_toggle</f>
        <v>0</v>
      </c>
      <c r="F165" s="578"/>
      <c r="G165" s="578"/>
      <c r="H165" s="578"/>
      <c r="I165" s="1299"/>
      <c r="J165" s="574"/>
      <c r="K165" s="1290"/>
      <c r="AA165" s="3040"/>
      <c r="AB165" s="117" t="s">
        <v>6833</v>
      </c>
      <c r="AC165" s="49" t="s">
        <v>2358</v>
      </c>
      <c r="AD165" s="37">
        <f t="shared" si="30"/>
        <v>0</v>
      </c>
      <c r="AE165" s="1711">
        <f>AD165*UDV.lca.CO2_toggle</f>
        <v>0</v>
      </c>
      <c r="AF165" s="578"/>
      <c r="AG165" s="578"/>
      <c r="AH165" s="578"/>
      <c r="AI165" s="1299"/>
      <c r="AJ165" s="574"/>
      <c r="AK165" s="1290"/>
    </row>
    <row r="166" spans="1:37" x14ac:dyDescent="0.3">
      <c r="A166" s="3040"/>
      <c r="B166" s="117"/>
      <c r="C166" s="49"/>
      <c r="D166" s="50"/>
      <c r="E166" s="1300"/>
      <c r="F166" s="1300"/>
      <c r="G166" s="1300"/>
      <c r="H166" s="1300"/>
      <c r="I166" s="1300"/>
      <c r="J166" s="1711">
        <f>+SUM(D176:D178)</f>
        <v>9.9996708507263428</v>
      </c>
      <c r="K166" s="2328">
        <f>+SUM(D181)</f>
        <v>3.2430949752328426</v>
      </c>
      <c r="AA166" s="3040"/>
      <c r="AB166" s="117"/>
      <c r="AC166" s="49"/>
      <c r="AD166" s="50"/>
      <c r="AE166" s="1300"/>
      <c r="AF166" s="1300"/>
      <c r="AG166" s="1300"/>
      <c r="AH166" s="1300"/>
      <c r="AI166" s="1300"/>
      <c r="AJ166" s="1711">
        <f>+SUM(AD176:AD178)</f>
        <v>9.9996708507263428</v>
      </c>
      <c r="AK166" s="2328">
        <f>+SUM(AD181)</f>
        <v>3.2430949752328426</v>
      </c>
    </row>
    <row r="167" spans="1:37" x14ac:dyDescent="0.3">
      <c r="A167" s="3040"/>
      <c r="B167" s="116" t="s">
        <v>6838</v>
      </c>
      <c r="C167" s="118"/>
      <c r="D167" s="1292"/>
      <c r="E167" s="1712"/>
      <c r="F167" s="1712"/>
      <c r="G167" s="1712"/>
      <c r="H167" s="1712"/>
      <c r="I167" s="1298"/>
      <c r="J167" s="1293"/>
      <c r="K167" s="1295"/>
      <c r="AA167" s="3040"/>
      <c r="AB167" s="116" t="s">
        <v>6838</v>
      </c>
      <c r="AC167" s="118"/>
      <c r="AD167" s="1292"/>
      <c r="AE167" s="1712"/>
      <c r="AF167" s="1712"/>
      <c r="AG167" s="1712"/>
      <c r="AH167" s="1712"/>
      <c r="AI167" s="1298"/>
      <c r="AJ167" s="1293"/>
      <c r="AK167" s="1295"/>
    </row>
    <row r="168" spans="1:37" x14ac:dyDescent="0.3">
      <c r="A168" s="3040"/>
      <c r="B168" s="49" t="s">
        <v>6839</v>
      </c>
      <c r="C168" s="49" t="s">
        <v>2358</v>
      </c>
      <c r="D168" s="588">
        <f>+D172*UDV.lca.urea_n_content</f>
        <v>4.9781079284271028</v>
      </c>
      <c r="E168" s="2327">
        <f>-D168*UDV.lca.urea_gwp</f>
        <v>-5.9687514061840963</v>
      </c>
      <c r="F168" s="2327"/>
      <c r="G168" s="2327">
        <f>-D168*UDV.lca.urea_ef*UDV.lca.MJ_per_kg_oil_eq</f>
        <v>-339.40340433351997</v>
      </c>
      <c r="H168" s="2327">
        <f>-D168*UDV.lca.urea_wf</f>
        <v>-1.4905746010877666E-2</v>
      </c>
      <c r="I168" s="574"/>
      <c r="J168" s="574"/>
      <c r="K168" s="1290"/>
      <c r="AA168" s="3040"/>
      <c r="AB168" s="49" t="s">
        <v>6839</v>
      </c>
      <c r="AC168" s="49" t="s">
        <v>2358</v>
      </c>
      <c r="AD168" s="588">
        <f>D168</f>
        <v>4.9781079284271028</v>
      </c>
      <c r="AE168" s="2327">
        <f>-AD168*UDV.lca.urea_gwp</f>
        <v>-5.9687514061840963</v>
      </c>
      <c r="AF168" s="2327"/>
      <c r="AG168" s="2327">
        <f>-AD168*UDV.lca.urea_ef*UDV.lca.MJ_per_kg_oil_eq</f>
        <v>-339.40340433351997</v>
      </c>
      <c r="AH168" s="2327">
        <f>-AD168*UDV.lca.urea_wf</f>
        <v>-1.4905746010877666E-2</v>
      </c>
      <c r="AI168" s="574"/>
      <c r="AJ168" s="574"/>
      <c r="AK168" s="1290"/>
    </row>
    <row r="169" spans="1:37" x14ac:dyDescent="0.3">
      <c r="A169" s="3040"/>
      <c r="B169" s="49" t="s">
        <v>6842</v>
      </c>
      <c r="C169" s="49" t="s">
        <v>2358</v>
      </c>
      <c r="D169" s="588">
        <f>+D173*UDV.lca.P2O5_TSP</f>
        <v>3.0600130722904408</v>
      </c>
      <c r="E169" s="2327">
        <f>-D169*UDV.lca.P2O5_gwp</f>
        <v>-2.6499713206035218</v>
      </c>
      <c r="F169" s="2327"/>
      <c r="G169" s="2327">
        <f>-D169*UDV.lca.P2O5_ef*UDV.lca.MJ_per_kg_oil_eq</f>
        <v>-65.53827238912416</v>
      </c>
      <c r="H169" s="2327">
        <f>-D169*UDV.lca.P2O5_wf</f>
        <v>-1.1351736002299378E-3</v>
      </c>
      <c r="I169" s="574"/>
      <c r="J169" s="574"/>
      <c r="K169" s="1290"/>
      <c r="AA169" s="3040"/>
      <c r="AB169" s="49" t="s">
        <v>6842</v>
      </c>
      <c r="AC169" s="49" t="s">
        <v>2358</v>
      </c>
      <c r="AD169" s="588">
        <f t="shared" ref="AD169:AD170" si="31">D169</f>
        <v>3.0600130722904408</v>
      </c>
      <c r="AE169" s="2327">
        <f>-AD169*UDV.lca.P2O5_gwp</f>
        <v>-2.6499713206035218</v>
      </c>
      <c r="AF169" s="2327"/>
      <c r="AG169" s="2327">
        <f>-AD169*UDV.lca.P2O5_ef*UDV.lca.MJ_per_kg_oil_eq</f>
        <v>-65.53827238912416</v>
      </c>
      <c r="AH169" s="2327">
        <f>-AD169*UDV.lca.P2O5_wf</f>
        <v>-1.1351736002299378E-3</v>
      </c>
      <c r="AI169" s="574"/>
      <c r="AJ169" s="574"/>
      <c r="AK169" s="1290"/>
    </row>
    <row r="170" spans="1:37" x14ac:dyDescent="0.3">
      <c r="A170" s="3040"/>
      <c r="B170" s="49" t="s">
        <v>6844</v>
      </c>
      <c r="C170" s="49" t="s">
        <v>2358</v>
      </c>
      <c r="D170" s="588">
        <f>+D174*UDV.lca.K2O_KCI</f>
        <v>4.3240064661136159</v>
      </c>
      <c r="E170" s="2327">
        <f>-D170*UDV.lca.K2O_gwp</f>
        <v>-1.8895908256916503</v>
      </c>
      <c r="F170" s="2327"/>
      <c r="G170" s="2327">
        <f>-D170*UDV.lca.K2O_ef*UDV.lca.MJ_per_kg_oil_eq</f>
        <v>-33.501210327882141</v>
      </c>
      <c r="H170" s="2327">
        <f>-D170*UDV.lca.K2O_wf</f>
        <v>-9.804514252817793E-3</v>
      </c>
      <c r="I170" s="574"/>
      <c r="J170" s="574"/>
      <c r="K170" s="1290"/>
      <c r="AA170" s="3040"/>
      <c r="AB170" s="49" t="s">
        <v>6844</v>
      </c>
      <c r="AC170" s="49" t="s">
        <v>2358</v>
      </c>
      <c r="AD170" s="588">
        <f t="shared" si="31"/>
        <v>4.3240064661136159</v>
      </c>
      <c r="AE170" s="2327">
        <f>-AD170*UDV.lca.K2O_gwp</f>
        <v>-1.8895908256916503</v>
      </c>
      <c r="AF170" s="2327"/>
      <c r="AG170" s="2327">
        <f>-AD170*UDV.lca.K2O_ef*UDV.lca.MJ_per_kg_oil_eq</f>
        <v>-33.501210327882141</v>
      </c>
      <c r="AH170" s="2327">
        <f>-AD170*UDV.lca.K2O_wf</f>
        <v>-9.804514252817793E-3</v>
      </c>
      <c r="AI170" s="574"/>
      <c r="AJ170" s="574"/>
      <c r="AK170" s="1290"/>
    </row>
    <row r="171" spans="1:37" x14ac:dyDescent="0.3">
      <c r="A171" s="3040"/>
      <c r="B171" s="116" t="s">
        <v>6847</v>
      </c>
      <c r="C171" s="118"/>
      <c r="D171" s="1292"/>
      <c r="E171" s="1712"/>
      <c r="F171" s="1712"/>
      <c r="G171" s="1712"/>
      <c r="H171" s="1712"/>
      <c r="I171" s="1298"/>
      <c r="J171" s="1293"/>
      <c r="K171" s="1295"/>
      <c r="AA171" s="3040"/>
      <c r="AB171" s="116" t="s">
        <v>6847</v>
      </c>
      <c r="AC171" s="118"/>
      <c r="AD171" s="1292"/>
      <c r="AE171" s="1712"/>
      <c r="AF171" s="1712"/>
      <c r="AG171" s="1712"/>
      <c r="AH171" s="1712"/>
      <c r="AI171" s="1298"/>
      <c r="AJ171" s="1293"/>
      <c r="AK171" s="1295"/>
    </row>
    <row r="172" spans="1:37" x14ac:dyDescent="0.3">
      <c r="A172" s="3040"/>
      <c r="B172" s="49" t="s">
        <v>84</v>
      </c>
      <c r="C172" s="49" t="s">
        <v>2358</v>
      </c>
      <c r="D172" s="37">
        <f>'Sc5'!C10+'Sc5'!C14-'Sc5'!C60-'Sc5'!C64</f>
        <v>7.1115827548958617</v>
      </c>
      <c r="E172" s="578"/>
      <c r="F172" s="578"/>
      <c r="G172" s="578"/>
      <c r="H172" s="578"/>
      <c r="I172" s="1299"/>
      <c r="J172" s="574"/>
      <c r="K172" s="1290"/>
      <c r="AA172" s="3040"/>
      <c r="AB172" s="49" t="s">
        <v>84</v>
      </c>
      <c r="AC172" s="49" t="s">
        <v>2358</v>
      </c>
      <c r="AD172" s="50">
        <f>D172</f>
        <v>7.1115827548958617</v>
      </c>
      <c r="AE172" s="578"/>
      <c r="AF172" s="578"/>
      <c r="AG172" s="578"/>
      <c r="AH172" s="578"/>
      <c r="AI172" s="1299"/>
      <c r="AJ172" s="574"/>
      <c r="AK172" s="1290"/>
    </row>
    <row r="173" spans="1:37" x14ac:dyDescent="0.3">
      <c r="A173" s="3040"/>
      <c r="B173" s="49" t="s">
        <v>941</v>
      </c>
      <c r="C173" s="49" t="s">
        <v>2358</v>
      </c>
      <c r="D173" s="37">
        <f>'Sc5'!C11+'Sc5'!C15-'Sc5'!C61-'Sc5'!C65</f>
        <v>3.4000145247671565</v>
      </c>
      <c r="E173" s="578"/>
      <c r="F173" s="578"/>
      <c r="G173" s="578"/>
      <c r="H173" s="578"/>
      <c r="I173" s="1299"/>
      <c r="J173" s="574"/>
      <c r="K173" s="1290"/>
      <c r="AA173" s="3040"/>
      <c r="AB173" s="49" t="s">
        <v>941</v>
      </c>
      <c r="AC173" s="49" t="s">
        <v>2358</v>
      </c>
      <c r="AD173" s="50">
        <f t="shared" ref="AD173:AD174" si="32">D173</f>
        <v>3.4000145247671565</v>
      </c>
      <c r="AE173" s="578"/>
      <c r="AF173" s="578"/>
      <c r="AG173" s="578"/>
      <c r="AH173" s="578"/>
      <c r="AI173" s="1299"/>
      <c r="AJ173" s="574"/>
      <c r="AK173" s="1290"/>
    </row>
    <row r="174" spans="1:37" x14ac:dyDescent="0.3">
      <c r="A174" s="3040"/>
      <c r="B174" s="49" t="s">
        <v>934</v>
      </c>
      <c r="C174" s="49" t="s">
        <v>2358</v>
      </c>
      <c r="D174" s="37">
        <f>'Sc5'!C12+'Sc5'!C16-'Sc5'!C62-'Sc5'!C66</f>
        <v>4.3240064661136159</v>
      </c>
      <c r="E174" s="578"/>
      <c r="F174" s="578"/>
      <c r="G174" s="578"/>
      <c r="H174" s="578"/>
      <c r="I174" s="1299"/>
      <c r="J174" s="574"/>
      <c r="K174" s="1290"/>
      <c r="AA174" s="3040"/>
      <c r="AB174" s="49" t="s">
        <v>934</v>
      </c>
      <c r="AC174" s="49" t="s">
        <v>2358</v>
      </c>
      <c r="AD174" s="50">
        <f t="shared" si="32"/>
        <v>4.3240064661136159</v>
      </c>
      <c r="AE174" s="578"/>
      <c r="AF174" s="578"/>
      <c r="AG174" s="578"/>
      <c r="AH174" s="578"/>
      <c r="AI174" s="1299"/>
      <c r="AJ174" s="574"/>
      <c r="AK174" s="1290"/>
    </row>
    <row r="175" spans="1:37" x14ac:dyDescent="0.3">
      <c r="A175" s="3040"/>
      <c r="B175" s="116" t="s">
        <v>6856</v>
      </c>
      <c r="C175" s="118"/>
      <c r="D175" s="1292"/>
      <c r="E175" s="1712"/>
      <c r="F175" s="1712"/>
      <c r="G175" s="1712"/>
      <c r="H175" s="1712"/>
      <c r="I175" s="1298"/>
      <c r="J175" s="1293"/>
      <c r="K175" s="1295"/>
      <c r="AA175" s="3040"/>
      <c r="AB175" s="116" t="s">
        <v>6856</v>
      </c>
      <c r="AC175" s="118"/>
      <c r="AD175" s="1292"/>
      <c r="AE175" s="1712"/>
      <c r="AF175" s="1712"/>
      <c r="AG175" s="1712"/>
      <c r="AH175" s="1712"/>
      <c r="AI175" s="1298"/>
      <c r="AJ175" s="1293"/>
      <c r="AK175" s="1295"/>
    </row>
    <row r="176" spans="1:37" x14ac:dyDescent="0.3">
      <c r="A176" s="3040"/>
      <c r="B176" s="49" t="s">
        <v>6859</v>
      </c>
      <c r="C176" s="49" t="s">
        <v>2358</v>
      </c>
      <c r="D176" s="37">
        <f>'Sc5'!C27</f>
        <v>0.20395025706462719</v>
      </c>
      <c r="E176" s="578"/>
      <c r="F176" s="578"/>
      <c r="G176" s="578"/>
      <c r="H176" s="578"/>
      <c r="I176" s="1299"/>
      <c r="J176" s="571"/>
      <c r="K176" s="1290"/>
      <c r="AA176" s="3040"/>
      <c r="AB176" s="49" t="s">
        <v>6859</v>
      </c>
      <c r="AC176" s="49" t="s">
        <v>2358</v>
      </c>
      <c r="AD176" s="37">
        <f>D176</f>
        <v>0.20395025706462719</v>
      </c>
      <c r="AE176" s="578"/>
      <c r="AF176" s="578"/>
      <c r="AG176" s="578"/>
      <c r="AH176" s="578"/>
      <c r="AI176" s="1299"/>
      <c r="AJ176" s="571"/>
      <c r="AK176" s="1290"/>
    </row>
    <row r="177" spans="1:37" x14ac:dyDescent="0.3">
      <c r="A177" s="3040"/>
      <c r="B177" s="49" t="s">
        <v>6861</v>
      </c>
      <c r="C177" s="49" t="s">
        <v>2358</v>
      </c>
      <c r="D177" s="37">
        <f>'Sc5'!C28</f>
        <v>9.7643122540318856</v>
      </c>
      <c r="E177" s="578"/>
      <c r="F177" s="578"/>
      <c r="G177" s="578"/>
      <c r="H177" s="578"/>
      <c r="I177" s="1299"/>
      <c r="J177" s="571"/>
      <c r="K177" s="1290"/>
      <c r="AA177" s="3040"/>
      <c r="AB177" s="49" t="s">
        <v>6861</v>
      </c>
      <c r="AC177" s="49" t="s">
        <v>2358</v>
      </c>
      <c r="AD177" s="37">
        <f t="shared" ref="AD177:AD178" si="33">D177</f>
        <v>9.7643122540318856</v>
      </c>
      <c r="AE177" s="578"/>
      <c r="AF177" s="578"/>
      <c r="AG177" s="578"/>
      <c r="AH177" s="578"/>
      <c r="AI177" s="1299"/>
      <c r="AJ177" s="571"/>
      <c r="AK177" s="1290"/>
    </row>
    <row r="178" spans="1:37" x14ac:dyDescent="0.3">
      <c r="A178" s="3040"/>
      <c r="B178" s="49" t="s">
        <v>6864</v>
      </c>
      <c r="C178" s="49" t="s">
        <v>2358</v>
      </c>
      <c r="D178" s="37">
        <f>'Sc5'!C29</f>
        <v>3.1408339629830376E-2</v>
      </c>
      <c r="E178" s="578"/>
      <c r="F178" s="578"/>
      <c r="G178" s="578"/>
      <c r="H178" s="578"/>
      <c r="I178" s="1299"/>
      <c r="J178" s="571"/>
      <c r="K178" s="1290"/>
      <c r="AA178" s="3040"/>
      <c r="AB178" s="49" t="s">
        <v>6864</v>
      </c>
      <c r="AC178" s="49" t="s">
        <v>2358</v>
      </c>
      <c r="AD178" s="37">
        <f t="shared" si="33"/>
        <v>3.1408339629830376E-2</v>
      </c>
      <c r="AE178" s="578"/>
      <c r="AF178" s="578"/>
      <c r="AG178" s="578"/>
      <c r="AH178" s="578"/>
      <c r="AI178" s="1299"/>
      <c r="AJ178" s="571"/>
      <c r="AK178" s="1290"/>
    </row>
    <row r="179" spans="1:37" x14ac:dyDescent="0.3">
      <c r="A179" s="3040"/>
      <c r="B179" s="49"/>
      <c r="C179" s="49"/>
      <c r="D179" s="37"/>
      <c r="E179" s="578"/>
      <c r="F179" s="578"/>
      <c r="G179" s="578"/>
      <c r="H179" s="578"/>
      <c r="I179" s="1299"/>
      <c r="J179" s="571"/>
      <c r="K179" s="1290"/>
      <c r="AA179" s="3040"/>
      <c r="AB179" s="49"/>
      <c r="AC179" s="49"/>
      <c r="AD179" s="37"/>
      <c r="AE179" s="578"/>
      <c r="AF179" s="578"/>
      <c r="AG179" s="578"/>
      <c r="AH179" s="578"/>
      <c r="AI179" s="1299"/>
      <c r="AJ179" s="571"/>
      <c r="AK179" s="1290"/>
    </row>
    <row r="180" spans="1:37" x14ac:dyDescent="0.3">
      <c r="A180" s="3040"/>
      <c r="B180" s="116" t="s">
        <v>6865</v>
      </c>
      <c r="C180" s="118"/>
      <c r="D180" s="1292"/>
      <c r="E180" s="1712"/>
      <c r="F180" s="1712"/>
      <c r="G180" s="1712"/>
      <c r="H180" s="1712"/>
      <c r="I180" s="1298"/>
      <c r="J180" s="1293"/>
      <c r="K180" s="1295"/>
      <c r="AA180" s="3040"/>
      <c r="AB180" s="116" t="s">
        <v>6865</v>
      </c>
      <c r="AC180" s="118"/>
      <c r="AD180" s="1292"/>
      <c r="AE180" s="1712"/>
      <c r="AF180" s="1712"/>
      <c r="AG180" s="1712"/>
      <c r="AH180" s="1712"/>
      <c r="AI180" s="1298"/>
      <c r="AJ180" s="1293"/>
      <c r="AK180" s="1295"/>
    </row>
    <row r="181" spans="1:37" x14ac:dyDescent="0.3">
      <c r="A181" s="3040"/>
      <c r="B181" s="49" t="s">
        <v>6867</v>
      </c>
      <c r="C181" s="49" t="s">
        <v>2358</v>
      </c>
      <c r="D181" s="37">
        <f>'Sc5'!C61+'Sc5'!C65</f>
        <v>3.2430949752328426</v>
      </c>
      <c r="E181" s="578"/>
      <c r="F181" s="578"/>
      <c r="G181" s="578"/>
      <c r="H181" s="578"/>
      <c r="I181" s="1299"/>
      <c r="J181" s="571"/>
      <c r="K181" s="1290"/>
      <c r="AA181" s="3040"/>
      <c r="AB181" s="49" t="s">
        <v>6867</v>
      </c>
      <c r="AC181" s="49" t="s">
        <v>2358</v>
      </c>
      <c r="AD181" s="37">
        <f>D181</f>
        <v>3.2430949752328426</v>
      </c>
      <c r="AE181" s="578"/>
      <c r="AF181" s="578"/>
      <c r="AG181" s="578"/>
      <c r="AH181" s="578"/>
      <c r="AI181" s="1299"/>
      <c r="AJ181" s="571"/>
      <c r="AK181" s="1290"/>
    </row>
    <row r="182" spans="1:37" x14ac:dyDescent="0.3">
      <c r="A182" s="3040"/>
      <c r="B182" s="49"/>
      <c r="C182" s="49"/>
      <c r="D182" s="18" t="s">
        <v>6869</v>
      </c>
      <c r="E182" s="122">
        <f>+SUM(E154:E159,E163:E165,E166)</f>
        <v>1051.5901981908141</v>
      </c>
      <c r="F182" s="37"/>
      <c r="G182" s="37"/>
      <c r="H182" s="37"/>
      <c r="I182" s="57"/>
      <c r="J182" s="49"/>
      <c r="K182" s="11"/>
      <c r="AA182" s="3040"/>
      <c r="AB182" s="49"/>
      <c r="AC182" s="49"/>
      <c r="AD182" s="18" t="s">
        <v>6869</v>
      </c>
      <c r="AE182" s="122">
        <f>+SUM(AE154:AE159,AE163:AE165,AE166)</f>
        <v>1048.1531646335591</v>
      </c>
      <c r="AF182" s="37"/>
      <c r="AG182" s="37"/>
      <c r="AH182" s="37"/>
      <c r="AI182" s="57"/>
      <c r="AJ182" s="49"/>
      <c r="AK182" s="11"/>
    </row>
    <row r="183" spans="1:37" x14ac:dyDescent="0.3">
      <c r="A183" s="3040"/>
      <c r="B183" s="118" t="s">
        <v>6871</v>
      </c>
      <c r="C183" s="119" t="s">
        <v>4815</v>
      </c>
      <c r="D183" s="1708" t="s">
        <v>630</v>
      </c>
      <c r="E183" s="1281">
        <f>+SUM(E161:E166,E159)</f>
        <v>1048.4672156712077</v>
      </c>
      <c r="F183" s="1281">
        <f>+SUM(F161:F166)</f>
        <v>310.97888250661771</v>
      </c>
      <c r="G183" s="1281">
        <f>+SUM(G161:G166)</f>
        <v>0</v>
      </c>
      <c r="H183" s="2267">
        <f>+SUM(H154,H161:H166)</f>
        <v>0.20172685225815509</v>
      </c>
      <c r="I183" s="641">
        <f>I154</f>
        <v>0.20147702075242208</v>
      </c>
      <c r="J183" s="1281">
        <f>+J166</f>
        <v>9.9996708507263428</v>
      </c>
      <c r="K183" s="1282">
        <f>+K166</f>
        <v>3.2430949752328426</v>
      </c>
      <c r="AA183" s="3040"/>
      <c r="AB183" s="118" t="s">
        <v>6871</v>
      </c>
      <c r="AC183" s="119" t="s">
        <v>4815</v>
      </c>
      <c r="AD183" s="1708" t="s">
        <v>630</v>
      </c>
      <c r="AE183" s="1281">
        <f>+SUM(AE161:AE166,AE159)</f>
        <v>1046.37235438786</v>
      </c>
      <c r="AF183" s="1281">
        <f>+SUM(AF161:AF166)</f>
        <v>310.97888250661771</v>
      </c>
      <c r="AG183" s="1281">
        <f>+SUM(AG161:AG166)</f>
        <v>0</v>
      </c>
      <c r="AH183" s="2267">
        <f>+SUM(AH154,AH161:AH166)</f>
        <v>0.20172685225815509</v>
      </c>
      <c r="AI183" s="641">
        <f>AI154</f>
        <v>0.20147702075242208</v>
      </c>
      <c r="AJ183" s="1281">
        <f>+AJ166</f>
        <v>9.9996708507263428</v>
      </c>
      <c r="AK183" s="1282">
        <f>+AK166</f>
        <v>3.2430949752328426</v>
      </c>
    </row>
    <row r="184" spans="1:37" x14ac:dyDescent="0.3">
      <c r="A184" s="3040"/>
      <c r="B184" s="118" t="s">
        <v>6874</v>
      </c>
      <c r="C184" s="118"/>
      <c r="D184" s="1709" t="s">
        <v>6875</v>
      </c>
      <c r="E184" s="922">
        <f>+SUM(E154:E158,E168:E170)</f>
        <v>-7.3853310328725392</v>
      </c>
      <c r="F184" s="922">
        <f>+SUM(F154:F159,F168:F170)</f>
        <v>0</v>
      </c>
      <c r="G184" s="922">
        <f>+SUM(G154:G159,G168:G170)</f>
        <v>-350.59718462958875</v>
      </c>
      <c r="H184" s="2268">
        <f>+SUM(H155:H159,H168:H170)</f>
        <v>3.7971689087697158E-4</v>
      </c>
      <c r="I184" s="1283">
        <v>0</v>
      </c>
      <c r="J184" s="922"/>
      <c r="K184" s="1284"/>
      <c r="AA184" s="3040"/>
      <c r="AB184" s="118" t="s">
        <v>6874</v>
      </c>
      <c r="AC184" s="118"/>
      <c r="AD184" s="1709" t="s">
        <v>6875</v>
      </c>
      <c r="AE184" s="922">
        <f>+SUM(AE154:AE158,AE168:AE170)</f>
        <v>-8.7275033067800454</v>
      </c>
      <c r="AF184" s="922">
        <f>+SUM(AF154:AF159,AF168:AF170)</f>
        <v>0</v>
      </c>
      <c r="AG184" s="922">
        <f>+SUM(AG154:AG159,AG168:AG170)</f>
        <v>-398.92639230290496</v>
      </c>
      <c r="AH184" s="2268">
        <f>+SUM(AH155:AH159,AH168:AH170)</f>
        <v>-1.3042005848198094E-2</v>
      </c>
      <c r="AI184" s="1283">
        <v>0</v>
      </c>
      <c r="AJ184" s="922"/>
      <c r="AK184" s="1284"/>
    </row>
    <row r="185" spans="1:37" ht="15" thickBot="1" x14ac:dyDescent="0.35">
      <c r="A185" s="3041"/>
      <c r="B185" s="22"/>
      <c r="C185" s="1291"/>
      <c r="D185" s="1710" t="s">
        <v>6876</v>
      </c>
      <c r="E185" s="1285">
        <f>E183+E184</f>
        <v>1041.0818846383352</v>
      </c>
      <c r="F185" s="1285">
        <f>F183+F184</f>
        <v>310.97888250661771</v>
      </c>
      <c r="G185" s="1285">
        <f>G183+G184</f>
        <v>-350.59718462958875</v>
      </c>
      <c r="H185" s="2269">
        <f t="shared" ref="H185" si="34">H183+H184</f>
        <v>0.20210656914903208</v>
      </c>
      <c r="I185" s="1285">
        <f>I183+I184</f>
        <v>0.20147702075242208</v>
      </c>
      <c r="J185" s="1285">
        <f>J183+J184</f>
        <v>9.9996708507263428</v>
      </c>
      <c r="K185" s="1286">
        <f>K183+K184</f>
        <v>3.2430949752328426</v>
      </c>
      <c r="AA185" s="3041"/>
      <c r="AB185" s="22"/>
      <c r="AC185" s="1291"/>
      <c r="AD185" s="1710" t="s">
        <v>6876</v>
      </c>
      <c r="AE185" s="1285">
        <f>AE183+AE184</f>
        <v>1037.6448510810799</v>
      </c>
      <c r="AF185" s="1285">
        <f>AF183+AF184</f>
        <v>310.97888250661771</v>
      </c>
      <c r="AG185" s="1285">
        <f>AG183+AG184</f>
        <v>-398.92639230290496</v>
      </c>
      <c r="AH185" s="2269">
        <f t="shared" ref="AH185" si="35">AH183+AH184</f>
        <v>0.188684846409957</v>
      </c>
      <c r="AI185" s="1285">
        <f>AI183+AI184</f>
        <v>0.20147702075242208</v>
      </c>
      <c r="AJ185" s="1285">
        <f>AJ183+AJ184</f>
        <v>9.9996708507263428</v>
      </c>
      <c r="AK185" s="1286">
        <f>AK183+AK184</f>
        <v>3.2430949752328426</v>
      </c>
    </row>
    <row r="186" spans="1:37" ht="15" thickBot="1" x14ac:dyDescent="0.35"/>
    <row r="187" spans="1:37" x14ac:dyDescent="0.3">
      <c r="A187" s="3039" t="s">
        <v>6902</v>
      </c>
      <c r="B187" s="49"/>
      <c r="C187" s="49"/>
      <c r="D187" s="9"/>
      <c r="E187" s="565"/>
      <c r="F187" s="565"/>
      <c r="G187" s="565"/>
      <c r="H187" s="565"/>
      <c r="I187" s="1297"/>
      <c r="J187" s="3038" t="s">
        <v>6791</v>
      </c>
      <c r="K187" s="3038"/>
      <c r="AA187" s="3039" t="s">
        <v>6903</v>
      </c>
      <c r="AB187" s="49"/>
      <c r="AC187" s="49"/>
      <c r="AD187" s="9"/>
      <c r="AE187" s="565"/>
      <c r="AF187" s="565"/>
      <c r="AG187" s="565"/>
      <c r="AH187" s="565"/>
      <c r="AI187" s="1297"/>
      <c r="AJ187" s="3038" t="s">
        <v>6791</v>
      </c>
      <c r="AK187" s="3038"/>
    </row>
    <row r="188" spans="1:37" ht="72" x14ac:dyDescent="0.3">
      <c r="A188" s="3040"/>
      <c r="B188" s="566"/>
      <c r="C188" s="566" t="s">
        <v>6795</v>
      </c>
      <c r="D188" s="567" t="s">
        <v>6796</v>
      </c>
      <c r="E188" s="567" t="s">
        <v>4824</v>
      </c>
      <c r="F188" s="567" t="s">
        <v>447</v>
      </c>
      <c r="G188" s="567" t="s">
        <v>446</v>
      </c>
      <c r="H188" s="567" t="s">
        <v>2599</v>
      </c>
      <c r="I188" s="1279" t="s">
        <v>6797</v>
      </c>
      <c r="J188" s="567" t="s">
        <v>4832</v>
      </c>
      <c r="K188" s="567" t="s">
        <v>6798</v>
      </c>
      <c r="AA188" s="3040"/>
      <c r="AB188" s="566"/>
      <c r="AC188" s="566" t="s">
        <v>6795</v>
      </c>
      <c r="AD188" s="567" t="s">
        <v>6796</v>
      </c>
      <c r="AE188" s="567" t="s">
        <v>4824</v>
      </c>
      <c r="AF188" s="567" t="s">
        <v>447</v>
      </c>
      <c r="AG188" s="567" t="s">
        <v>446</v>
      </c>
      <c r="AH188" s="567" t="s">
        <v>2599</v>
      </c>
      <c r="AI188" s="1279" t="s">
        <v>6797</v>
      </c>
      <c r="AJ188" s="567" t="s">
        <v>4832</v>
      </c>
      <c r="AK188" s="567" t="s">
        <v>6798</v>
      </c>
    </row>
    <row r="189" spans="1:37" ht="16.8" x14ac:dyDescent="0.35">
      <c r="A189" s="3040"/>
      <c r="B189" s="568"/>
      <c r="C189" s="568"/>
      <c r="D189" s="569"/>
      <c r="E189" s="570" t="s">
        <v>6799</v>
      </c>
      <c r="F189" s="570" t="s">
        <v>6800</v>
      </c>
      <c r="G189" s="570" t="s">
        <v>2435</v>
      </c>
      <c r="H189" s="570" t="s">
        <v>6801</v>
      </c>
      <c r="I189" s="1280" t="s">
        <v>2478</v>
      </c>
      <c r="J189" s="569" t="s">
        <v>6802</v>
      </c>
      <c r="K189" s="569" t="s">
        <v>6803</v>
      </c>
      <c r="AA189" s="3040"/>
      <c r="AB189" s="568"/>
      <c r="AC189" s="568"/>
      <c r="AD189" s="569"/>
      <c r="AE189" s="570" t="s">
        <v>6799</v>
      </c>
      <c r="AF189" s="570" t="s">
        <v>6800</v>
      </c>
      <c r="AG189" s="570" t="s">
        <v>2435</v>
      </c>
      <c r="AH189" s="570" t="s">
        <v>6801</v>
      </c>
      <c r="AI189" s="1280" t="s">
        <v>2478</v>
      </c>
      <c r="AJ189" s="569" t="s">
        <v>6802</v>
      </c>
      <c r="AK189" s="569" t="s">
        <v>6803</v>
      </c>
    </row>
    <row r="190" spans="1:37" x14ac:dyDescent="0.3">
      <c r="A190" s="3040"/>
      <c r="B190" s="116" t="s">
        <v>6805</v>
      </c>
      <c r="C190" s="118"/>
      <c r="D190" s="1292"/>
      <c r="E190" s="1293"/>
      <c r="F190" s="1293"/>
      <c r="G190" s="1292"/>
      <c r="H190" s="1293"/>
      <c r="I190" s="1294"/>
      <c r="J190" s="1293"/>
      <c r="K190" s="1295"/>
      <c r="AA190" s="3040"/>
      <c r="AB190" s="116" t="s">
        <v>6805</v>
      </c>
      <c r="AC190" s="118"/>
      <c r="AD190" s="1292"/>
      <c r="AE190" s="1293"/>
      <c r="AF190" s="1293"/>
      <c r="AG190" s="1292"/>
      <c r="AH190" s="1293"/>
      <c r="AI190" s="1294"/>
      <c r="AJ190" s="1293"/>
      <c r="AK190" s="1295"/>
    </row>
    <row r="191" spans="1:37" x14ac:dyDescent="0.3">
      <c r="A191" s="3040"/>
      <c r="B191" s="49" t="s">
        <v>415</v>
      </c>
      <c r="C191" s="49" t="s">
        <v>2358</v>
      </c>
      <c r="D191" s="50">
        <f>'Sc6'!C5*1000</f>
        <v>427.48609082249118</v>
      </c>
      <c r="E191" s="2326">
        <f>+D191*UDV.lca.water_gwp</f>
        <v>0.19236874087012101</v>
      </c>
      <c r="F191" s="2327"/>
      <c r="G191" s="2327">
        <f>+D191*UDV.lca.water_ef*UDV.lca.MJ_per_kg_oil_eq</f>
        <v>2.8638148196380331</v>
      </c>
      <c r="H191" s="1711">
        <f>+D191*UDV.lca.water_wf</f>
        <v>0.42801617357511107</v>
      </c>
      <c r="I191" s="1296">
        <f>D191/1000</f>
        <v>0.42748609082249117</v>
      </c>
      <c r="J191" s="574"/>
      <c r="K191" s="1290"/>
      <c r="AA191" s="3040"/>
      <c r="AB191" s="49" t="s">
        <v>415</v>
      </c>
      <c r="AC191" s="49" t="s">
        <v>2358</v>
      </c>
      <c r="AD191" s="50">
        <f>D191</f>
        <v>427.48609082249118</v>
      </c>
      <c r="AE191" s="2326">
        <f>+AD191*UDV.lca.water_gwp</f>
        <v>0.19236874087012101</v>
      </c>
      <c r="AF191" s="2327"/>
      <c r="AG191" s="2327">
        <f>+AD191*UDV.lca.water_ef*UDV.lca.MJ_per_kg_oil_eq</f>
        <v>2.8638148196380331</v>
      </c>
      <c r="AH191" s="1711">
        <f>+AD191*UDV.lca.water_wf</f>
        <v>0.42801617357511107</v>
      </c>
      <c r="AI191" s="1296">
        <f>AD191/1000</f>
        <v>0.42748609082249117</v>
      </c>
      <c r="AJ191" s="574"/>
      <c r="AK191" s="1290"/>
    </row>
    <row r="192" spans="1:37" x14ac:dyDescent="0.3">
      <c r="A192" s="3040"/>
      <c r="B192" s="49" t="s">
        <v>409</v>
      </c>
      <c r="C192" s="49" t="s">
        <v>2556</v>
      </c>
      <c r="D192" s="37">
        <f>'Sc6'!C6</f>
        <v>7.1267710411645808</v>
      </c>
      <c r="E192" s="2326">
        <f>+D192*UDV.lca.electricity_gwp</f>
        <v>2.5547976235689118</v>
      </c>
      <c r="F192" s="2327"/>
      <c r="G192" s="2327">
        <f>+D192*UDV.lca.electricity_ef*UDV.lca.MJ_per_kg_oil_eq</f>
        <v>13.666623980005092</v>
      </c>
      <c r="H192" s="2327">
        <f>+D192*UDV.lca.electricity_wf</f>
        <v>1.1402833665863329E-2</v>
      </c>
      <c r="I192" s="1296"/>
      <c r="J192" s="574"/>
      <c r="K192" s="1290"/>
      <c r="AA192" s="3040"/>
      <c r="AB192" s="49" t="s">
        <v>409</v>
      </c>
      <c r="AC192" s="49" t="s">
        <v>2556</v>
      </c>
      <c r="AD192" s="50">
        <f>D192</f>
        <v>7.1267710411645808</v>
      </c>
      <c r="AE192" s="2326">
        <f>+AD192*UDV.lca.electricity_gwp</f>
        <v>2.5547976235689118</v>
      </c>
      <c r="AF192" s="2327"/>
      <c r="AG192" s="2327">
        <f>+AD192*UDV.lca.electricity_ef*UDV.lca.MJ_per_kg_oil_eq</f>
        <v>13.666623980005092</v>
      </c>
      <c r="AH192" s="2327">
        <f>+AD192*UDV.lca.electricity_wf</f>
        <v>1.1402833665863329E-2</v>
      </c>
      <c r="AI192" s="1296"/>
      <c r="AJ192" s="574"/>
      <c r="AK192" s="1290"/>
    </row>
    <row r="193" spans="1:37" x14ac:dyDescent="0.3">
      <c r="A193" s="3040"/>
      <c r="B193" s="49" t="s">
        <v>6812</v>
      </c>
      <c r="C193" s="49" t="s">
        <v>2435</v>
      </c>
      <c r="D193" s="50">
        <f>'Sc6'!C53*UDV.lca.MJ_per_gal_diesel</f>
        <v>51.488116525347891</v>
      </c>
      <c r="E193" s="2326">
        <f>+D193*UDV.lca.diesel_gwp</f>
        <v>2.3169652436406549</v>
      </c>
      <c r="F193" s="2327"/>
      <c r="G193" s="2326">
        <f>+D193*UDV.lca.diesel_ef*UDV.lca.MJ_per_kg_oil_eq</f>
        <v>83.429747886061421</v>
      </c>
      <c r="H193" s="2327">
        <f>+D193*UDV.lca.diesel_wf</f>
        <v>2.3169652436406549E-2</v>
      </c>
      <c r="I193" s="1296"/>
      <c r="J193" s="574"/>
      <c r="K193" s="1290"/>
      <c r="AA193" s="3040"/>
      <c r="AB193" s="49" t="s">
        <v>6812</v>
      </c>
      <c r="AC193" s="49" t="s">
        <v>2435</v>
      </c>
      <c r="AD193" s="53">
        <f>'Sc6'!C54*UDV.lca.MJ_per_gal_diesel</f>
        <v>21.404799616239849</v>
      </c>
      <c r="AE193" s="2326">
        <f>+AD193*UDV.lca.diesel_gwp</f>
        <v>0.96321598273079312</v>
      </c>
      <c r="AF193" s="2327"/>
      <c r="AG193" s="2326">
        <f>+AD193*UDV.lca.diesel_ef*UDV.lca.MJ_per_kg_oil_eq</f>
        <v>34.683673749366946</v>
      </c>
      <c r="AH193" s="2327">
        <f>+AD193*UDV.lca.diesel_wf</f>
        <v>9.63215982730793E-3</v>
      </c>
      <c r="AI193" s="1296"/>
      <c r="AJ193" s="574"/>
      <c r="AK193" s="1290"/>
    </row>
    <row r="194" spans="1:37" x14ac:dyDescent="0.3">
      <c r="A194" s="3040"/>
      <c r="B194" s="49" t="s">
        <v>6814</v>
      </c>
      <c r="C194" s="49" t="s">
        <v>2358</v>
      </c>
      <c r="D194" s="9"/>
      <c r="E194" s="2326">
        <f>+D194*UDV.lca.sand_gwp</f>
        <v>0</v>
      </c>
      <c r="F194" s="2327"/>
      <c r="G194" s="2327">
        <f>+D194*UDV.lca.sand_ef*UDV.lca.MJ_per_kg_oil_eq</f>
        <v>0</v>
      </c>
      <c r="H194" s="2327">
        <f>+D194*UDV.lca.sand_wf</f>
        <v>0</v>
      </c>
      <c r="I194" s="1296"/>
      <c r="J194" s="574"/>
      <c r="K194" s="1290"/>
      <c r="AA194" s="3040"/>
      <c r="AB194" s="49" t="s">
        <v>6814</v>
      </c>
      <c r="AC194" s="49" t="s">
        <v>2358</v>
      </c>
      <c r="AD194" s="9"/>
      <c r="AE194" s="2326">
        <f>+AD194*UDV.lca.sand_gwp</f>
        <v>0</v>
      </c>
      <c r="AF194" s="2327"/>
      <c r="AG194" s="2327">
        <f>+AD194*UDV.lca.sand_ef*UDV.lca.MJ_per_kg_oil_eq</f>
        <v>0</v>
      </c>
      <c r="AH194" s="2327">
        <f>+AD194*UDV.lca.sand_wf</f>
        <v>0</v>
      </c>
      <c r="AI194" s="1296"/>
      <c r="AJ194" s="574"/>
      <c r="AK194" s="1290"/>
    </row>
    <row r="195" spans="1:37" x14ac:dyDescent="0.3">
      <c r="A195" s="3040"/>
      <c r="B195" s="49"/>
      <c r="C195" s="49"/>
      <c r="D195" s="9"/>
      <c r="E195" s="2327"/>
      <c r="F195" s="2327"/>
      <c r="G195" s="2327"/>
      <c r="H195" s="2327"/>
      <c r="I195" s="1296"/>
      <c r="J195" s="574"/>
      <c r="K195" s="1290"/>
      <c r="AA195" s="3040"/>
      <c r="AB195" s="49"/>
      <c r="AC195" s="49"/>
      <c r="AD195" s="9"/>
      <c r="AE195" s="2327"/>
      <c r="AF195" s="2327"/>
      <c r="AG195" s="2327"/>
      <c r="AH195" s="2327"/>
      <c r="AI195" s="1296"/>
      <c r="AJ195" s="574"/>
      <c r="AK195" s="1290"/>
    </row>
    <row r="196" spans="1:37" x14ac:dyDescent="0.3">
      <c r="A196" s="3040"/>
      <c r="B196" s="1089" t="s">
        <v>6819</v>
      </c>
      <c r="C196" s="1089" t="s">
        <v>4885</v>
      </c>
      <c r="D196" s="1711">
        <f>'Sc6'!C53</f>
        <v>0.35523745360389053</v>
      </c>
      <c r="E196" s="1711">
        <f>D196*UDV.lca.diesel_combustion_gwp</f>
        <v>3.6163172776876054</v>
      </c>
      <c r="F196" s="1296"/>
      <c r="G196" s="1296"/>
      <c r="H196" s="1296"/>
      <c r="I196" s="1296"/>
      <c r="J196" s="574"/>
      <c r="K196" s="1290"/>
      <c r="AA196" s="3040"/>
      <c r="AB196" s="1089" t="s">
        <v>6819</v>
      </c>
      <c r="AC196" s="1089" t="s">
        <v>4885</v>
      </c>
      <c r="AD196" s="2322">
        <f>'Sc6'!C54</f>
        <v>0.14768041683620706</v>
      </c>
      <c r="AE196" s="1711">
        <f>AD196*UDV.lca.diesel_combustion_gwp</f>
        <v>1.5033866433925878</v>
      </c>
      <c r="AF196" s="1296"/>
      <c r="AG196" s="1296"/>
      <c r="AH196" s="1296"/>
      <c r="AI196" s="1296"/>
      <c r="AJ196" s="574"/>
      <c r="AK196" s="1290"/>
    </row>
    <row r="197" spans="1:37" x14ac:dyDescent="0.3">
      <c r="A197" s="3040"/>
      <c r="B197" s="118" t="s">
        <v>6822</v>
      </c>
      <c r="C197" s="118"/>
      <c r="D197" s="1292"/>
      <c r="E197" s="1712"/>
      <c r="F197" s="1712"/>
      <c r="G197" s="1712"/>
      <c r="H197" s="1712"/>
      <c r="I197" s="1298"/>
      <c r="J197" s="1298"/>
      <c r="K197" s="1713"/>
      <c r="AA197" s="3040"/>
      <c r="AB197" s="118" t="s">
        <v>6822</v>
      </c>
      <c r="AC197" s="118"/>
      <c r="AD197" s="1292"/>
      <c r="AE197" s="1712"/>
      <c r="AF197" s="1712"/>
      <c r="AG197" s="1712"/>
      <c r="AH197" s="1712"/>
      <c r="AI197" s="1298"/>
      <c r="AJ197" s="1298"/>
      <c r="AK197" s="1713"/>
    </row>
    <row r="198" spans="1:37" x14ac:dyDescent="0.3">
      <c r="A198" s="3040"/>
      <c r="B198" s="49" t="s">
        <v>6786</v>
      </c>
      <c r="C198" s="49" t="s">
        <v>2268</v>
      </c>
      <c r="D198" s="50">
        <f>'Sc6'!C8</f>
        <v>280.60366404954834</v>
      </c>
      <c r="E198" s="578"/>
      <c r="F198" s="1711">
        <f>+D198</f>
        <v>280.60366404954834</v>
      </c>
      <c r="G198" s="578"/>
      <c r="H198" s="578"/>
      <c r="I198" s="1299"/>
      <c r="J198" s="574"/>
      <c r="K198" s="1290"/>
      <c r="AA198" s="3040"/>
      <c r="AB198" s="49" t="s">
        <v>6786</v>
      </c>
      <c r="AC198" s="49" t="s">
        <v>2268</v>
      </c>
      <c r="AD198" s="50">
        <f>D198</f>
        <v>280.60366404954834</v>
      </c>
      <c r="AE198" s="578"/>
      <c r="AF198" s="1711">
        <f>+AD198</f>
        <v>280.60366404954834</v>
      </c>
      <c r="AG198" s="578"/>
      <c r="AH198" s="578"/>
      <c r="AI198" s="1299"/>
      <c r="AJ198" s="574"/>
      <c r="AK198" s="1290"/>
    </row>
    <row r="199" spans="1:37" x14ac:dyDescent="0.3">
      <c r="A199" s="3040"/>
      <c r="B199" s="76" t="s">
        <v>6826</v>
      </c>
      <c r="C199" s="76"/>
      <c r="D199" s="9"/>
      <c r="E199" s="578"/>
      <c r="F199" s="578"/>
      <c r="G199" s="578"/>
      <c r="H199" s="578"/>
      <c r="I199" s="1299"/>
      <c r="J199" s="574"/>
      <c r="K199" s="1290"/>
      <c r="AA199" s="3040"/>
      <c r="AB199" s="76" t="s">
        <v>6826</v>
      </c>
      <c r="AC199" s="76"/>
      <c r="AD199" s="9"/>
      <c r="AE199" s="578"/>
      <c r="AF199" s="578"/>
      <c r="AG199" s="578"/>
      <c r="AH199" s="578"/>
      <c r="AI199" s="1299"/>
      <c r="AJ199" s="574"/>
      <c r="AK199" s="1290"/>
    </row>
    <row r="200" spans="1:37" x14ac:dyDescent="0.3">
      <c r="A200" s="3040"/>
      <c r="B200" s="117" t="s">
        <v>6828</v>
      </c>
      <c r="C200" s="49" t="s">
        <v>2358</v>
      </c>
      <c r="D200" s="37">
        <f>+D213*1</f>
        <v>0.22550865505789844</v>
      </c>
      <c r="E200" s="1711">
        <f>+D200*UDV.emit_N2O_direct.CO2e_cf</f>
        <v>69.907683067948511</v>
      </c>
      <c r="F200" s="578"/>
      <c r="G200" s="578"/>
      <c r="H200" s="578"/>
      <c r="I200" s="1299"/>
      <c r="J200" s="574"/>
      <c r="K200" s="1290"/>
      <c r="AA200" s="3040"/>
      <c r="AB200" s="117" t="s">
        <v>6828</v>
      </c>
      <c r="AC200" s="49" t="s">
        <v>2358</v>
      </c>
      <c r="AD200" s="37">
        <f>D200</f>
        <v>0.22550865505789844</v>
      </c>
      <c r="AE200" s="1711">
        <f>+AD200*UDV.emit_N2O_direct.CO2e_cf</f>
        <v>69.907683067948511</v>
      </c>
      <c r="AF200" s="578"/>
      <c r="AG200" s="578"/>
      <c r="AH200" s="578"/>
      <c r="AI200" s="1299"/>
      <c r="AJ200" s="574"/>
      <c r="AK200" s="1290"/>
    </row>
    <row r="201" spans="1:37" x14ac:dyDescent="0.3">
      <c r="A201" s="3040"/>
      <c r="B201" s="117" t="s">
        <v>4894</v>
      </c>
      <c r="C201" s="49" t="s">
        <v>2358</v>
      </c>
      <c r="D201" s="37">
        <f>'Sc6'!C18</f>
        <v>17.626080193518657</v>
      </c>
      <c r="E201" s="1711">
        <f>+D201*UDV.emit_CH4.CO2e_cf</f>
        <v>528.78240580555973</v>
      </c>
      <c r="F201" s="578"/>
      <c r="G201" s="578"/>
      <c r="H201" s="578"/>
      <c r="I201" s="1299"/>
      <c r="J201" s="574"/>
      <c r="K201" s="1290"/>
      <c r="AA201" s="3040"/>
      <c r="AB201" s="117" t="s">
        <v>4894</v>
      </c>
      <c r="AC201" s="49" t="s">
        <v>2358</v>
      </c>
      <c r="AD201" s="37">
        <f t="shared" ref="AD201:AD202" si="36">D201</f>
        <v>17.626080193518657</v>
      </c>
      <c r="AE201" s="1711">
        <f>+AD201*UDV.emit_CH4.CO2e_cf</f>
        <v>528.78240580555973</v>
      </c>
      <c r="AF201" s="578"/>
      <c r="AG201" s="578"/>
      <c r="AH201" s="578"/>
      <c r="AI201" s="1299"/>
      <c r="AJ201" s="574"/>
      <c r="AK201" s="1290"/>
    </row>
    <row r="202" spans="1:37" x14ac:dyDescent="0.3">
      <c r="A202" s="3040"/>
      <c r="B202" s="117" t="s">
        <v>6833</v>
      </c>
      <c r="C202" s="49" t="s">
        <v>2358</v>
      </c>
      <c r="D202" s="77">
        <f>'Sc6'!C22</f>
        <v>36.27284479979874</v>
      </c>
      <c r="E202" s="1711">
        <f>D202*UDV.lca.CO2_toggle</f>
        <v>0</v>
      </c>
      <c r="F202" s="578"/>
      <c r="G202" s="578"/>
      <c r="H202" s="578"/>
      <c r="I202" s="1299"/>
      <c r="J202" s="574"/>
      <c r="K202" s="1290"/>
      <c r="AA202" s="3040"/>
      <c r="AB202" s="117" t="s">
        <v>6833</v>
      </c>
      <c r="AC202" s="49" t="s">
        <v>2358</v>
      </c>
      <c r="AD202" s="37">
        <f t="shared" si="36"/>
        <v>36.27284479979874</v>
      </c>
      <c r="AE202" s="1711">
        <f>AD202*UDV.lca.CO2_toggle</f>
        <v>0</v>
      </c>
      <c r="AF202" s="578"/>
      <c r="AG202" s="578"/>
      <c r="AH202" s="578"/>
      <c r="AI202" s="1299"/>
      <c r="AJ202" s="574"/>
      <c r="AK202" s="1290"/>
    </row>
    <row r="203" spans="1:37" x14ac:dyDescent="0.3">
      <c r="A203" s="3040"/>
      <c r="B203" s="117"/>
      <c r="C203" s="49"/>
      <c r="D203" s="50"/>
      <c r="E203" s="1300"/>
      <c r="F203" s="1300"/>
      <c r="G203" s="1300"/>
      <c r="H203" s="1300"/>
      <c r="I203" s="1300"/>
      <c r="J203" s="1711">
        <f>+SUM(D213:D215)</f>
        <v>10.824213978508871</v>
      </c>
      <c r="K203" s="2328">
        <f>+SUM(D218)</f>
        <v>4.615375139846595</v>
      </c>
      <c r="AA203" s="3040"/>
      <c r="AB203" s="117"/>
      <c r="AC203" s="49"/>
      <c r="AD203" s="50"/>
      <c r="AE203" s="1300"/>
      <c r="AF203" s="1300"/>
      <c r="AG203" s="1300"/>
      <c r="AH203" s="1300"/>
      <c r="AI203" s="1300"/>
      <c r="AJ203" s="1711">
        <f>+SUM(AD213:AD215)</f>
        <v>10.824213978508871</v>
      </c>
      <c r="AK203" s="2328">
        <f>+SUM(AD218)</f>
        <v>4.615375139846595</v>
      </c>
    </row>
    <row r="204" spans="1:37" x14ac:dyDescent="0.3">
      <c r="A204" s="3040"/>
      <c r="B204" s="116" t="s">
        <v>6838</v>
      </c>
      <c r="C204" s="118"/>
      <c r="D204" s="1292"/>
      <c r="E204" s="1712"/>
      <c r="F204" s="1712"/>
      <c r="G204" s="1712"/>
      <c r="H204" s="1712"/>
      <c r="I204" s="1298"/>
      <c r="J204" s="1293"/>
      <c r="K204" s="1295"/>
      <c r="AA204" s="3040"/>
      <c r="AB204" s="116" t="s">
        <v>6838</v>
      </c>
      <c r="AC204" s="118"/>
      <c r="AD204" s="1292"/>
      <c r="AE204" s="1712"/>
      <c r="AF204" s="1712"/>
      <c r="AG204" s="1712"/>
      <c r="AH204" s="1712"/>
      <c r="AI204" s="1298"/>
      <c r="AJ204" s="1293"/>
      <c r="AK204" s="1295"/>
    </row>
    <row r="205" spans="1:37" x14ac:dyDescent="0.3">
      <c r="A205" s="3040"/>
      <c r="B205" s="49" t="s">
        <v>6839</v>
      </c>
      <c r="C205" s="49" t="s">
        <v>2358</v>
      </c>
      <c r="D205" s="588">
        <f>+D209*UDV.lca.urea_n_content</f>
        <v>4.2966186299953231</v>
      </c>
      <c r="E205" s="2327">
        <f>-D205*UDV.lca.urea_gwp</f>
        <v>-5.1516457373643929</v>
      </c>
      <c r="F205" s="2327"/>
      <c r="G205" s="2327">
        <f>-D205*UDV.lca.urea_ef*UDV.lca.MJ_per_kg_oil_eq</f>
        <v>-292.94001076509443</v>
      </c>
      <c r="H205" s="2327">
        <f>-D205*UDV.lca.urea_wf</f>
        <v>-1.2865190334382942E-2</v>
      </c>
      <c r="I205" s="574"/>
      <c r="J205" s="574"/>
      <c r="K205" s="1290"/>
      <c r="AA205" s="3040"/>
      <c r="AB205" s="49" t="s">
        <v>6839</v>
      </c>
      <c r="AC205" s="49" t="s">
        <v>2358</v>
      </c>
      <c r="AD205" s="588">
        <f>D205</f>
        <v>4.2966186299953231</v>
      </c>
      <c r="AE205" s="2327">
        <f>-AD205*UDV.lca.urea_gwp</f>
        <v>-5.1516457373643929</v>
      </c>
      <c r="AF205" s="2327"/>
      <c r="AG205" s="2327">
        <f>-AD205*UDV.lca.urea_ef*UDV.lca.MJ_per_kg_oil_eq</f>
        <v>-292.94001076509443</v>
      </c>
      <c r="AH205" s="2327">
        <f>-AD205*UDV.lca.urea_wf</f>
        <v>-1.2865190334382942E-2</v>
      </c>
      <c r="AI205" s="574"/>
      <c r="AJ205" s="574"/>
      <c r="AK205" s="1290"/>
    </row>
    <row r="206" spans="1:37" x14ac:dyDescent="0.3">
      <c r="A206" s="3040"/>
      <c r="B206" s="49" t="s">
        <v>6842</v>
      </c>
      <c r="C206" s="49" t="s">
        <v>2358</v>
      </c>
      <c r="D206" s="588">
        <f>+D210*UDV.lca.P2O5_TSP</f>
        <v>1.8249609241380642</v>
      </c>
      <c r="E206" s="2327">
        <f>-D206*UDV.lca.P2O5_gwp</f>
        <v>-1.5804161603035636</v>
      </c>
      <c r="F206" s="2327"/>
      <c r="G206" s="2327">
        <f>-D206*UDV.lca.P2O5_ef*UDV.lca.MJ_per_kg_oil_eq</f>
        <v>-39.086364443581672</v>
      </c>
      <c r="H206" s="2327">
        <f>-D206*UDV.lca.P2O5_wf</f>
        <v>-6.7700608252046395E-4</v>
      </c>
      <c r="I206" s="574"/>
      <c r="J206" s="574"/>
      <c r="K206" s="1290"/>
      <c r="AA206" s="3040"/>
      <c r="AB206" s="49" t="s">
        <v>6842</v>
      </c>
      <c r="AC206" s="49" t="s">
        <v>2358</v>
      </c>
      <c r="AD206" s="588">
        <f t="shared" ref="AD206:AD207" si="37">D206</f>
        <v>1.8249609241380642</v>
      </c>
      <c r="AE206" s="2327">
        <f>-AD206*UDV.lca.P2O5_gwp</f>
        <v>-1.5804161603035636</v>
      </c>
      <c r="AF206" s="2327"/>
      <c r="AG206" s="2327">
        <f>-AD206*UDV.lca.P2O5_ef*UDV.lca.MJ_per_kg_oil_eq</f>
        <v>-39.086364443581672</v>
      </c>
      <c r="AH206" s="2327">
        <f>-AD206*UDV.lca.P2O5_wf</f>
        <v>-6.7700608252046395E-4</v>
      </c>
      <c r="AI206" s="574"/>
      <c r="AJ206" s="574"/>
      <c r="AK206" s="1290"/>
    </row>
    <row r="207" spans="1:37" x14ac:dyDescent="0.3">
      <c r="A207" s="3040"/>
      <c r="B207" s="49" t="s">
        <v>6844</v>
      </c>
      <c r="C207" s="49" t="s">
        <v>2358</v>
      </c>
      <c r="D207" s="588">
        <f>+D211*UDV.lca.K2O_KCI</f>
        <v>2.7745836452688355</v>
      </c>
      <c r="E207" s="2327">
        <f>-D207*UDV.lca.K2O_gwp</f>
        <v>-1.2124930529824811</v>
      </c>
      <c r="F207" s="2327"/>
      <c r="G207" s="2327">
        <f>-D207*UDV.lca.K2O_ef*UDV.lca.MJ_per_kg_oil_eq</f>
        <v>-21.496709359918619</v>
      </c>
      <c r="H207" s="2327">
        <f>-D207*UDV.lca.K2O_wf</f>
        <v>-6.2912590693056233E-3</v>
      </c>
      <c r="I207" s="574"/>
      <c r="J207" s="574"/>
      <c r="K207" s="1290"/>
      <c r="AA207" s="3040"/>
      <c r="AB207" s="49" t="s">
        <v>6844</v>
      </c>
      <c r="AC207" s="49" t="s">
        <v>2358</v>
      </c>
      <c r="AD207" s="588">
        <f t="shared" si="37"/>
        <v>2.7745836452688355</v>
      </c>
      <c r="AE207" s="2327">
        <f>-AD207*UDV.lca.K2O_gwp</f>
        <v>-1.2124930529824811</v>
      </c>
      <c r="AF207" s="2327"/>
      <c r="AG207" s="2327">
        <f>-AD207*UDV.lca.K2O_ef*UDV.lca.MJ_per_kg_oil_eq</f>
        <v>-21.496709359918619</v>
      </c>
      <c r="AH207" s="2327">
        <f>-AD207*UDV.lca.K2O_wf</f>
        <v>-6.2912590693056233E-3</v>
      </c>
      <c r="AI207" s="574"/>
      <c r="AJ207" s="574"/>
      <c r="AK207" s="1290"/>
    </row>
    <row r="208" spans="1:37" x14ac:dyDescent="0.3">
      <c r="A208" s="3040"/>
      <c r="B208" s="116" t="s">
        <v>6847</v>
      </c>
      <c r="C208" s="118"/>
      <c r="D208" s="1292"/>
      <c r="E208" s="1712"/>
      <c r="F208" s="1712"/>
      <c r="G208" s="1712"/>
      <c r="H208" s="1712"/>
      <c r="I208" s="1298"/>
      <c r="J208" s="1293"/>
      <c r="K208" s="1295"/>
      <c r="AA208" s="3040"/>
      <c r="AB208" s="116" t="s">
        <v>6847</v>
      </c>
      <c r="AC208" s="118"/>
      <c r="AD208" s="1292"/>
      <c r="AE208" s="1712"/>
      <c r="AF208" s="1712"/>
      <c r="AG208" s="1712"/>
      <c r="AH208" s="1712"/>
      <c r="AI208" s="1298"/>
      <c r="AJ208" s="1293"/>
      <c r="AK208" s="1295"/>
    </row>
    <row r="209" spans="1:37" x14ac:dyDescent="0.3">
      <c r="A209" s="3040"/>
      <c r="B209" s="49" t="s">
        <v>84</v>
      </c>
      <c r="C209" s="49" t="s">
        <v>2358</v>
      </c>
      <c r="D209" s="37">
        <f>'Sc6'!C10+'Sc6'!C14-'Sc6'!C64-'Sc6'!C68</f>
        <v>6.1380266142790338</v>
      </c>
      <c r="E209" s="578"/>
      <c r="F209" s="578"/>
      <c r="G209" s="578"/>
      <c r="H209" s="578"/>
      <c r="I209" s="1299"/>
      <c r="J209" s="574"/>
      <c r="K209" s="1290"/>
      <c r="AA209" s="3040"/>
      <c r="AB209" s="49" t="s">
        <v>84</v>
      </c>
      <c r="AC209" s="49" t="s">
        <v>2358</v>
      </c>
      <c r="AD209" s="50">
        <f>D209</f>
        <v>6.1380266142790338</v>
      </c>
      <c r="AE209" s="578"/>
      <c r="AF209" s="578"/>
      <c r="AG209" s="578"/>
      <c r="AH209" s="578"/>
      <c r="AI209" s="1299"/>
      <c r="AJ209" s="574"/>
      <c r="AK209" s="1290"/>
    </row>
    <row r="210" spans="1:37" x14ac:dyDescent="0.3">
      <c r="A210" s="3040"/>
      <c r="B210" s="49" t="s">
        <v>941</v>
      </c>
      <c r="C210" s="49" t="s">
        <v>2358</v>
      </c>
      <c r="D210" s="37">
        <f>'Sc6'!C11+'Sc6'!C15-'Sc6'!C65-'Sc6'!C69</f>
        <v>2.0277343601534046</v>
      </c>
      <c r="E210" s="578"/>
      <c r="F210" s="578"/>
      <c r="G210" s="578"/>
      <c r="H210" s="578"/>
      <c r="I210" s="1299"/>
      <c r="J210" s="574"/>
      <c r="K210" s="1290"/>
      <c r="AA210" s="3040"/>
      <c r="AB210" s="49" t="s">
        <v>941</v>
      </c>
      <c r="AC210" s="49" t="s">
        <v>2358</v>
      </c>
      <c r="AD210" s="50">
        <f t="shared" ref="AD210:AD211" si="38">D210</f>
        <v>2.0277343601534046</v>
      </c>
      <c r="AE210" s="578"/>
      <c r="AF210" s="578"/>
      <c r="AG210" s="578"/>
      <c r="AH210" s="578"/>
      <c r="AI210" s="1299"/>
      <c r="AJ210" s="574"/>
      <c r="AK210" s="1290"/>
    </row>
    <row r="211" spans="1:37" x14ac:dyDescent="0.3">
      <c r="A211" s="3040"/>
      <c r="B211" s="49" t="s">
        <v>934</v>
      </c>
      <c r="C211" s="49" t="s">
        <v>2358</v>
      </c>
      <c r="D211" s="37">
        <f>'Sc6'!C12+'Sc6'!C16-'Sc6'!C66-'Sc6'!C70</f>
        <v>2.7745836452688355</v>
      </c>
      <c r="E211" s="578"/>
      <c r="F211" s="578"/>
      <c r="G211" s="578"/>
      <c r="H211" s="578"/>
      <c r="I211" s="1299"/>
      <c r="J211" s="574"/>
      <c r="K211" s="1290"/>
      <c r="AA211" s="3040"/>
      <c r="AB211" s="49" t="s">
        <v>934</v>
      </c>
      <c r="AC211" s="49" t="s">
        <v>2358</v>
      </c>
      <c r="AD211" s="50">
        <f t="shared" si="38"/>
        <v>2.7745836452688355</v>
      </c>
      <c r="AE211" s="578"/>
      <c r="AF211" s="578"/>
      <c r="AG211" s="578"/>
      <c r="AH211" s="578"/>
      <c r="AI211" s="1299"/>
      <c r="AJ211" s="574"/>
      <c r="AK211" s="1290"/>
    </row>
    <row r="212" spans="1:37" x14ac:dyDescent="0.3">
      <c r="A212" s="3040"/>
      <c r="B212" s="116" t="s">
        <v>6856</v>
      </c>
      <c r="C212" s="118"/>
      <c r="D212" s="1292"/>
      <c r="E212" s="1712"/>
      <c r="F212" s="1712"/>
      <c r="G212" s="1712"/>
      <c r="H212" s="1712"/>
      <c r="I212" s="1298"/>
      <c r="J212" s="1293"/>
      <c r="K212" s="1295"/>
      <c r="AA212" s="3040"/>
      <c r="AB212" s="116" t="s">
        <v>6856</v>
      </c>
      <c r="AC212" s="118"/>
      <c r="AD212" s="1292"/>
      <c r="AE212" s="1712"/>
      <c r="AF212" s="1712"/>
      <c r="AG212" s="1712"/>
      <c r="AH212" s="1712"/>
      <c r="AI212" s="1298"/>
      <c r="AJ212" s="1293"/>
      <c r="AK212" s="1295"/>
    </row>
    <row r="213" spans="1:37" x14ac:dyDescent="0.3">
      <c r="A213" s="3040"/>
      <c r="B213" s="49" t="s">
        <v>6859</v>
      </c>
      <c r="C213" s="49" t="s">
        <v>2358</v>
      </c>
      <c r="D213" s="37">
        <f>'Sc6'!C27</f>
        <v>0.22550865505789844</v>
      </c>
      <c r="E213" s="578"/>
      <c r="F213" s="578"/>
      <c r="G213" s="578"/>
      <c r="H213" s="578"/>
      <c r="I213" s="1299"/>
      <c r="J213" s="571"/>
      <c r="K213" s="1290"/>
      <c r="AA213" s="3040"/>
      <c r="AB213" s="49" t="s">
        <v>6859</v>
      </c>
      <c r="AC213" s="49" t="s">
        <v>2358</v>
      </c>
      <c r="AD213" s="37">
        <f>D213</f>
        <v>0.22550865505789844</v>
      </c>
      <c r="AE213" s="578"/>
      <c r="AF213" s="578"/>
      <c r="AG213" s="578"/>
      <c r="AH213" s="578"/>
      <c r="AI213" s="1299"/>
      <c r="AJ213" s="571"/>
      <c r="AK213" s="1290"/>
    </row>
    <row r="214" spans="1:37" x14ac:dyDescent="0.3">
      <c r="A214" s="3040"/>
      <c r="B214" s="49" t="s">
        <v>6861</v>
      </c>
      <c r="C214" s="49" t="s">
        <v>2358</v>
      </c>
      <c r="D214" s="37">
        <f>'Sc6'!C28</f>
        <v>10.563976990525751</v>
      </c>
      <c r="E214" s="578"/>
      <c r="F214" s="578"/>
      <c r="G214" s="578"/>
      <c r="H214" s="578"/>
      <c r="I214" s="1299"/>
      <c r="J214" s="571"/>
      <c r="K214" s="1290"/>
      <c r="AA214" s="3040"/>
      <c r="AB214" s="49" t="s">
        <v>6861</v>
      </c>
      <c r="AC214" s="49" t="s">
        <v>2358</v>
      </c>
      <c r="AD214" s="37">
        <f t="shared" ref="AD214:AD215" si="39">D214</f>
        <v>10.563976990525751</v>
      </c>
      <c r="AE214" s="578"/>
      <c r="AF214" s="578"/>
      <c r="AG214" s="578"/>
      <c r="AH214" s="578"/>
      <c r="AI214" s="1299"/>
      <c r="AJ214" s="571"/>
      <c r="AK214" s="1290"/>
    </row>
    <row r="215" spans="1:37" x14ac:dyDescent="0.3">
      <c r="A215" s="3040"/>
      <c r="B215" s="49" t="s">
        <v>6864</v>
      </c>
      <c r="C215" s="49" t="s">
        <v>2358</v>
      </c>
      <c r="D215" s="37">
        <f>'Sc6'!C29</f>
        <v>3.4728332925220803E-2</v>
      </c>
      <c r="E215" s="578"/>
      <c r="F215" s="578"/>
      <c r="G215" s="578"/>
      <c r="H215" s="578"/>
      <c r="I215" s="1299"/>
      <c r="J215" s="571"/>
      <c r="K215" s="1290"/>
      <c r="AA215" s="3040"/>
      <c r="AB215" s="49" t="s">
        <v>6864</v>
      </c>
      <c r="AC215" s="49" t="s">
        <v>2358</v>
      </c>
      <c r="AD215" s="37">
        <f t="shared" si="39"/>
        <v>3.4728332925220803E-2</v>
      </c>
      <c r="AE215" s="578"/>
      <c r="AF215" s="578"/>
      <c r="AG215" s="578"/>
      <c r="AH215" s="578"/>
      <c r="AI215" s="1299"/>
      <c r="AJ215" s="571"/>
      <c r="AK215" s="1290"/>
    </row>
    <row r="216" spans="1:37" x14ac:dyDescent="0.3">
      <c r="A216" s="3040"/>
      <c r="B216" s="49"/>
      <c r="C216" s="49"/>
      <c r="D216" s="37"/>
      <c r="E216" s="578"/>
      <c r="F216" s="578"/>
      <c r="G216" s="578"/>
      <c r="H216" s="578"/>
      <c r="I216" s="1299"/>
      <c r="J216" s="571"/>
      <c r="K216" s="1290"/>
      <c r="AA216" s="3040"/>
      <c r="AB216" s="49"/>
      <c r="AC216" s="49"/>
      <c r="AD216" s="37"/>
      <c r="AE216" s="578"/>
      <c r="AF216" s="578"/>
      <c r="AG216" s="578"/>
      <c r="AH216" s="578"/>
      <c r="AI216" s="1299"/>
      <c r="AJ216" s="571"/>
      <c r="AK216" s="1290"/>
    </row>
    <row r="217" spans="1:37" x14ac:dyDescent="0.3">
      <c r="A217" s="3040"/>
      <c r="B217" s="116" t="s">
        <v>6865</v>
      </c>
      <c r="C217" s="118"/>
      <c r="D217" s="1292"/>
      <c r="E217" s="1712"/>
      <c r="F217" s="1712"/>
      <c r="G217" s="1712"/>
      <c r="H217" s="1712"/>
      <c r="I217" s="1298"/>
      <c r="J217" s="1293"/>
      <c r="K217" s="1295"/>
      <c r="AA217" s="3040"/>
      <c r="AB217" s="116" t="s">
        <v>6865</v>
      </c>
      <c r="AC217" s="118"/>
      <c r="AD217" s="1292"/>
      <c r="AE217" s="1712"/>
      <c r="AF217" s="1712"/>
      <c r="AG217" s="1712"/>
      <c r="AH217" s="1712"/>
      <c r="AI217" s="1298"/>
      <c r="AJ217" s="1293"/>
      <c r="AK217" s="1295"/>
    </row>
    <row r="218" spans="1:37" x14ac:dyDescent="0.3">
      <c r="A218" s="3040"/>
      <c r="B218" s="49" t="s">
        <v>6867</v>
      </c>
      <c r="C218" s="49" t="s">
        <v>2358</v>
      </c>
      <c r="D218" s="37">
        <f>'Sc6'!C65+'Sc6'!C69</f>
        <v>4.615375139846595</v>
      </c>
      <c r="E218" s="578"/>
      <c r="F218" s="578"/>
      <c r="G218" s="578"/>
      <c r="H218" s="578"/>
      <c r="I218" s="1299"/>
      <c r="J218" s="571"/>
      <c r="K218" s="1290"/>
      <c r="AA218" s="3040"/>
      <c r="AB218" s="49" t="s">
        <v>6867</v>
      </c>
      <c r="AC218" s="49" t="s">
        <v>2358</v>
      </c>
      <c r="AD218" s="37">
        <f>D218</f>
        <v>4.615375139846595</v>
      </c>
      <c r="AE218" s="578"/>
      <c r="AF218" s="578"/>
      <c r="AG218" s="578"/>
      <c r="AH218" s="578"/>
      <c r="AI218" s="1299"/>
      <c r="AJ218" s="571"/>
      <c r="AK218" s="1290"/>
    </row>
    <row r="219" spans="1:37" x14ac:dyDescent="0.3">
      <c r="A219" s="3040"/>
      <c r="B219" s="49"/>
      <c r="C219" s="49"/>
      <c r="D219" s="18" t="s">
        <v>6869</v>
      </c>
      <c r="E219" s="122">
        <f>+SUM(E191:E196,E200:E202,E203)</f>
        <v>607.37053775927552</v>
      </c>
      <c r="F219" s="37"/>
      <c r="G219" s="37"/>
      <c r="H219" s="37"/>
      <c r="I219" s="57"/>
      <c r="J219" s="49"/>
      <c r="K219" s="11"/>
      <c r="AA219" s="3040"/>
      <c r="AB219" s="49"/>
      <c r="AC219" s="49"/>
      <c r="AD219" s="18" t="s">
        <v>6869</v>
      </c>
      <c r="AE219" s="122">
        <f>+SUM(AE191:AE196,AE200:AE202,AE203)</f>
        <v>603.90385786407069</v>
      </c>
      <c r="AF219" s="37"/>
      <c r="AG219" s="37"/>
      <c r="AH219" s="37"/>
      <c r="AI219" s="57"/>
      <c r="AJ219" s="49"/>
      <c r="AK219" s="11"/>
    </row>
    <row r="220" spans="1:37" x14ac:dyDescent="0.3">
      <c r="A220" s="3040"/>
      <c r="B220" s="118" t="s">
        <v>6871</v>
      </c>
      <c r="C220" s="119" t="s">
        <v>4815</v>
      </c>
      <c r="D220" s="1708" t="s">
        <v>630</v>
      </c>
      <c r="E220" s="1281">
        <f>+SUM(E198:E203,E196)</f>
        <v>602.3064061511958</v>
      </c>
      <c r="F220" s="1281">
        <f>+SUM(F198:F203)</f>
        <v>280.60366404954834</v>
      </c>
      <c r="G220" s="1281">
        <f>+SUM(G198:G203)</f>
        <v>0</v>
      </c>
      <c r="H220" s="2267">
        <f>+SUM(H191,H198:H203)</f>
        <v>0.42801617357511107</v>
      </c>
      <c r="I220" s="641">
        <f>I191</f>
        <v>0.42748609082249117</v>
      </c>
      <c r="J220" s="1281">
        <f>+J203</f>
        <v>10.824213978508871</v>
      </c>
      <c r="K220" s="1282">
        <f>+K203</f>
        <v>4.615375139846595</v>
      </c>
      <c r="AA220" s="3040"/>
      <c r="AB220" s="118" t="s">
        <v>6871</v>
      </c>
      <c r="AC220" s="119" t="s">
        <v>4815</v>
      </c>
      <c r="AD220" s="1708" t="s">
        <v>630</v>
      </c>
      <c r="AE220" s="1281">
        <f>+SUM(AE198:AE203,AE196)</f>
        <v>600.19347551690078</v>
      </c>
      <c r="AF220" s="1281">
        <f>+SUM(AF198:AF203)</f>
        <v>280.60366404954834</v>
      </c>
      <c r="AG220" s="1281">
        <f>+SUM(AG198:AG203)</f>
        <v>0</v>
      </c>
      <c r="AH220" s="2267">
        <f>+SUM(AH191,AH198:AH203)</f>
        <v>0.42801617357511107</v>
      </c>
      <c r="AI220" s="641">
        <f>AI191</f>
        <v>0.42748609082249117</v>
      </c>
      <c r="AJ220" s="1281">
        <f>+AJ203</f>
        <v>10.824213978508871</v>
      </c>
      <c r="AK220" s="1282">
        <f>+AK203</f>
        <v>4.615375139846595</v>
      </c>
    </row>
    <row r="221" spans="1:37" x14ac:dyDescent="0.3">
      <c r="A221" s="3040"/>
      <c r="B221" s="118" t="s">
        <v>6874</v>
      </c>
      <c r="C221" s="118"/>
      <c r="D221" s="1709" t="s">
        <v>6875</v>
      </c>
      <c r="E221" s="922">
        <f>+SUM(E191:E195,E205:E207)</f>
        <v>-2.8804233425707499</v>
      </c>
      <c r="F221" s="922">
        <f>+SUM(F191:F196,F205:F207)</f>
        <v>0</v>
      </c>
      <c r="G221" s="922">
        <f>+SUM(G191:G196,G205:G207)</f>
        <v>-253.56289788289018</v>
      </c>
      <c r="H221" s="2268">
        <f>+SUM(H192:H196,H205:H207)</f>
        <v>1.4739030616060848E-2</v>
      </c>
      <c r="I221" s="1283">
        <v>0</v>
      </c>
      <c r="J221" s="922"/>
      <c r="K221" s="1284"/>
      <c r="AA221" s="3040"/>
      <c r="AB221" s="118" t="s">
        <v>6874</v>
      </c>
      <c r="AC221" s="118"/>
      <c r="AD221" s="1709" t="s">
        <v>6875</v>
      </c>
      <c r="AE221" s="922">
        <f>+SUM(AE191:AE195,AE205:AE207)</f>
        <v>-4.2341726034806113</v>
      </c>
      <c r="AF221" s="922">
        <f>+SUM(AF191:AF196,AF205:AF207)</f>
        <v>0</v>
      </c>
      <c r="AG221" s="922">
        <f>+SUM(AG191:AG196,AG205:AG207)</f>
        <v>-302.30897201958464</v>
      </c>
      <c r="AH221" s="2268">
        <f>+SUM(AH192:AH196,AH205:AH207)</f>
        <v>1.2015380069622305E-3</v>
      </c>
      <c r="AI221" s="1283">
        <v>0</v>
      </c>
      <c r="AJ221" s="922"/>
      <c r="AK221" s="1284"/>
    </row>
    <row r="222" spans="1:37" ht="15" thickBot="1" x14ac:dyDescent="0.35">
      <c r="A222" s="3041"/>
      <c r="B222" s="22"/>
      <c r="C222" s="1291"/>
      <c r="D222" s="1710" t="s">
        <v>6876</v>
      </c>
      <c r="E222" s="1285">
        <f>E220+E221</f>
        <v>599.42598280862501</v>
      </c>
      <c r="F222" s="1285">
        <f>F220+F221</f>
        <v>280.60366404954834</v>
      </c>
      <c r="G222" s="1285">
        <f>G220+G221</f>
        <v>-253.56289788289018</v>
      </c>
      <c r="H222" s="2269">
        <f t="shared" ref="H222" si="40">H220+H221</f>
        <v>0.44275520419117192</v>
      </c>
      <c r="I222" s="1285">
        <f>I220+I221</f>
        <v>0.42748609082249117</v>
      </c>
      <c r="J222" s="1285">
        <f>J220+J221</f>
        <v>10.824213978508871</v>
      </c>
      <c r="K222" s="1286">
        <f>K220+K221</f>
        <v>4.615375139846595</v>
      </c>
      <c r="AA222" s="3041"/>
      <c r="AB222" s="22"/>
      <c r="AC222" s="1291"/>
      <c r="AD222" s="1710" t="s">
        <v>6876</v>
      </c>
      <c r="AE222" s="1285">
        <f>AE220+AE221</f>
        <v>595.95930291342017</v>
      </c>
      <c r="AF222" s="1285">
        <f>AF220+AF221</f>
        <v>280.60366404954834</v>
      </c>
      <c r="AG222" s="1285">
        <f>AG220+AG221</f>
        <v>-302.30897201958464</v>
      </c>
      <c r="AH222" s="2269">
        <f t="shared" ref="AH222" si="41">AH220+AH221</f>
        <v>0.42921771158207328</v>
      </c>
      <c r="AI222" s="1285">
        <f>AI220+AI221</f>
        <v>0.42748609082249117</v>
      </c>
      <c r="AJ222" s="1285">
        <f>AJ220+AJ221</f>
        <v>10.824213978508871</v>
      </c>
      <c r="AK222" s="1286">
        <f>AK220+AK221</f>
        <v>4.615375139846595</v>
      </c>
    </row>
    <row r="224" spans="1:37" x14ac:dyDescent="0.3">
      <c r="A224" s="3039" t="s">
        <v>6904</v>
      </c>
      <c r="B224" s="49"/>
      <c r="C224" s="49"/>
      <c r="D224" s="9"/>
      <c r="E224" s="565"/>
      <c r="F224" s="565"/>
      <c r="G224" s="565"/>
      <c r="H224" s="565"/>
      <c r="I224" s="1297"/>
      <c r="J224" s="3038" t="s">
        <v>6791</v>
      </c>
      <c r="K224" s="3038"/>
      <c r="AA224" s="3039" t="s">
        <v>6905</v>
      </c>
      <c r="AB224" s="49"/>
      <c r="AC224" s="49"/>
      <c r="AD224" s="9"/>
      <c r="AE224" s="565"/>
      <c r="AF224" s="565"/>
      <c r="AG224" s="565"/>
      <c r="AH224" s="565"/>
      <c r="AI224" s="1297"/>
      <c r="AJ224" s="3038" t="s">
        <v>6791</v>
      </c>
      <c r="AK224" s="3038"/>
    </row>
    <row r="225" spans="1:37" ht="72" x14ac:dyDescent="0.3">
      <c r="A225" s="3040"/>
      <c r="B225" s="566"/>
      <c r="C225" s="566" t="s">
        <v>6795</v>
      </c>
      <c r="D225" s="567" t="s">
        <v>6796</v>
      </c>
      <c r="E225" s="567" t="s">
        <v>4824</v>
      </c>
      <c r="F225" s="567" t="s">
        <v>447</v>
      </c>
      <c r="G225" s="567" t="s">
        <v>446</v>
      </c>
      <c r="H225" s="567" t="s">
        <v>2599</v>
      </c>
      <c r="I225" s="1279" t="s">
        <v>6797</v>
      </c>
      <c r="J225" s="567" t="s">
        <v>4832</v>
      </c>
      <c r="K225" s="567" t="s">
        <v>6798</v>
      </c>
      <c r="AA225" s="3040"/>
      <c r="AB225" s="566"/>
      <c r="AC225" s="566" t="s">
        <v>6795</v>
      </c>
      <c r="AD225" s="567" t="s">
        <v>6796</v>
      </c>
      <c r="AE225" s="567" t="s">
        <v>4824</v>
      </c>
      <c r="AF225" s="567" t="s">
        <v>447</v>
      </c>
      <c r="AG225" s="567" t="s">
        <v>446</v>
      </c>
      <c r="AH225" s="567" t="s">
        <v>2599</v>
      </c>
      <c r="AI225" s="1279" t="s">
        <v>6797</v>
      </c>
      <c r="AJ225" s="567" t="s">
        <v>4832</v>
      </c>
      <c r="AK225" s="567" t="s">
        <v>6798</v>
      </c>
    </row>
    <row r="226" spans="1:37" ht="16.8" x14ac:dyDescent="0.35">
      <c r="A226" s="3040"/>
      <c r="B226" s="568"/>
      <c r="C226" s="568"/>
      <c r="D226" s="569"/>
      <c r="E226" s="570" t="s">
        <v>6799</v>
      </c>
      <c r="F226" s="570" t="s">
        <v>6800</v>
      </c>
      <c r="G226" s="570" t="s">
        <v>2435</v>
      </c>
      <c r="H226" s="570" t="s">
        <v>6801</v>
      </c>
      <c r="I226" s="1280" t="s">
        <v>2478</v>
      </c>
      <c r="J226" s="569" t="s">
        <v>6802</v>
      </c>
      <c r="K226" s="569" t="s">
        <v>6803</v>
      </c>
      <c r="AA226" s="3040"/>
      <c r="AB226" s="568"/>
      <c r="AC226" s="568"/>
      <c r="AD226" s="569"/>
      <c r="AE226" s="570" t="s">
        <v>6799</v>
      </c>
      <c r="AF226" s="570" t="s">
        <v>6800</v>
      </c>
      <c r="AG226" s="570" t="s">
        <v>2435</v>
      </c>
      <c r="AH226" s="570" t="s">
        <v>6801</v>
      </c>
      <c r="AI226" s="1280" t="s">
        <v>2478</v>
      </c>
      <c r="AJ226" s="569" t="s">
        <v>6802</v>
      </c>
      <c r="AK226" s="569" t="s">
        <v>6803</v>
      </c>
    </row>
    <row r="227" spans="1:37" x14ac:dyDescent="0.3">
      <c r="A227" s="3040"/>
      <c r="B227" s="116" t="s">
        <v>6805</v>
      </c>
      <c r="C227" s="118"/>
      <c r="D227" s="1292"/>
      <c r="E227" s="1293"/>
      <c r="F227" s="1293"/>
      <c r="G227" s="1292"/>
      <c r="H227" s="1293"/>
      <c r="I227" s="1294"/>
      <c r="J227" s="1293"/>
      <c r="K227" s="1295"/>
      <c r="AA227" s="3040"/>
      <c r="AB227" s="116" t="s">
        <v>6805</v>
      </c>
      <c r="AC227" s="118"/>
      <c r="AD227" s="1292"/>
      <c r="AE227" s="1293"/>
      <c r="AF227" s="1293"/>
      <c r="AG227" s="1292"/>
      <c r="AH227" s="1293"/>
      <c r="AI227" s="1294"/>
      <c r="AJ227" s="1293"/>
      <c r="AK227" s="1295"/>
    </row>
    <row r="228" spans="1:37" x14ac:dyDescent="0.3">
      <c r="A228" s="3040"/>
      <c r="B228" s="49" t="s">
        <v>415</v>
      </c>
      <c r="C228" s="49" t="s">
        <v>2358</v>
      </c>
      <c r="D228" s="50">
        <f>'Sc7'!C5*1000</f>
        <v>427.48609082249118</v>
      </c>
      <c r="E228" s="2326">
        <f>+D228*UDV.lca.water_gwp</f>
        <v>0.19236874087012101</v>
      </c>
      <c r="F228" s="2327"/>
      <c r="G228" s="2327">
        <f>+D228*UDV.lca.water_ef*UDV.lca.MJ_per_kg_oil_eq</f>
        <v>2.8638148196380331</v>
      </c>
      <c r="H228" s="1711">
        <f>+D228*UDV.lca.water_wf</f>
        <v>0.42801617357511107</v>
      </c>
      <c r="I228" s="1296">
        <f>D228/1000</f>
        <v>0.42748609082249117</v>
      </c>
      <c r="J228" s="574"/>
      <c r="K228" s="1290"/>
      <c r="AA228" s="3040"/>
      <c r="AB228" s="49" t="s">
        <v>415</v>
      </c>
      <c r="AC228" s="49" t="s">
        <v>2358</v>
      </c>
      <c r="AD228" s="50">
        <f>D228</f>
        <v>427.48609082249118</v>
      </c>
      <c r="AE228" s="2326">
        <f>+AD228*UDV.lca.water_gwp</f>
        <v>0.19236874087012101</v>
      </c>
      <c r="AF228" s="2327"/>
      <c r="AG228" s="2327">
        <f>+AD228*UDV.lca.water_ef*UDV.lca.MJ_per_kg_oil_eq</f>
        <v>2.8638148196380331</v>
      </c>
      <c r="AH228" s="1711">
        <f>+AD228*UDV.lca.water_wf</f>
        <v>0.42801617357511107</v>
      </c>
      <c r="AI228" s="1296">
        <f>AD228/1000</f>
        <v>0.42748609082249117</v>
      </c>
      <c r="AJ228" s="574"/>
      <c r="AK228" s="1290"/>
    </row>
    <row r="229" spans="1:37" x14ac:dyDescent="0.3">
      <c r="A229" s="3040"/>
      <c r="B229" s="49" t="s">
        <v>409</v>
      </c>
      <c r="C229" s="49" t="s">
        <v>2556</v>
      </c>
      <c r="D229" s="37">
        <f>'Sc7'!C6</f>
        <v>11.505836204393461</v>
      </c>
      <c r="E229" s="2326">
        <f>+D229*UDV.lca.electricity_gwp</f>
        <v>4.1246004428050398</v>
      </c>
      <c r="F229" s="2327"/>
      <c r="G229" s="2327">
        <f>+D229*UDV.lca.electricity_ef*UDV.lca.MJ_per_kg_oil_eq</f>
        <v>22.064120774010298</v>
      </c>
      <c r="H229" s="2327">
        <f>+D229*UDV.lca.electricity_wf</f>
        <v>1.8409337927029538E-2</v>
      </c>
      <c r="I229" s="1296"/>
      <c r="J229" s="574"/>
      <c r="K229" s="1290"/>
      <c r="AA229" s="3040"/>
      <c r="AB229" s="49" t="s">
        <v>409</v>
      </c>
      <c r="AC229" s="49" t="s">
        <v>2556</v>
      </c>
      <c r="AD229" s="50">
        <f>D229</f>
        <v>11.505836204393461</v>
      </c>
      <c r="AE229" s="2326">
        <f>+AD229*UDV.lca.electricity_gwp</f>
        <v>4.1246004428050398</v>
      </c>
      <c r="AF229" s="2327"/>
      <c r="AG229" s="2327">
        <f>+AD229*UDV.lca.electricity_ef*UDV.lca.MJ_per_kg_oil_eq</f>
        <v>22.064120774010298</v>
      </c>
      <c r="AH229" s="2327">
        <f>+AD229*UDV.lca.electricity_wf</f>
        <v>1.8409337927029538E-2</v>
      </c>
      <c r="AI229" s="1296"/>
      <c r="AJ229" s="574"/>
      <c r="AK229" s="1290"/>
    </row>
    <row r="230" spans="1:37" x14ac:dyDescent="0.3">
      <c r="A230" s="3040"/>
      <c r="B230" s="49" t="s">
        <v>6812</v>
      </c>
      <c r="C230" s="49" t="s">
        <v>2435</v>
      </c>
      <c r="D230" s="50">
        <f>'Sc7'!C61*UDV.lca.MJ_per_gal_diesel</f>
        <v>49.449139515643481</v>
      </c>
      <c r="E230" s="2326">
        <f>+D230*UDV.lca.diesel_gwp</f>
        <v>2.2252112782039566</v>
      </c>
      <c r="F230" s="2327"/>
      <c r="G230" s="2326">
        <f>+D230*UDV.lca.diesel_ef*UDV.lca.MJ_per_kg_oil_eq</f>
        <v>80.1258527478237</v>
      </c>
      <c r="H230" s="2327">
        <f>+D230*UDV.lca.diesel_wf</f>
        <v>2.2252112782039563E-2</v>
      </c>
      <c r="I230" s="1296"/>
      <c r="J230" s="574"/>
      <c r="K230" s="1290"/>
      <c r="AA230" s="3040"/>
      <c r="AB230" s="49" t="s">
        <v>6812</v>
      </c>
      <c r="AC230" s="49" t="s">
        <v>2435</v>
      </c>
      <c r="AD230" s="53">
        <f>'Sc7'!C62*UDV.lca.MJ_per_gal_diesel</f>
        <v>21.136149416686841</v>
      </c>
      <c r="AE230" s="2326">
        <f>+AD230*UDV.lca.diesel_gwp</f>
        <v>0.95112672375090779</v>
      </c>
      <c r="AF230" s="2327"/>
      <c r="AG230" s="2326">
        <f>+AD230*UDV.lca.diesel_ef*UDV.lca.MJ_per_kg_oil_eq</f>
        <v>34.248361294167438</v>
      </c>
      <c r="AH230" s="2327">
        <f>+AD230*UDV.lca.diesel_wf</f>
        <v>9.511267237509077E-3</v>
      </c>
      <c r="AI230" s="1296"/>
      <c r="AJ230" s="574"/>
      <c r="AK230" s="1290"/>
    </row>
    <row r="231" spans="1:37" x14ac:dyDescent="0.3">
      <c r="A231" s="3040"/>
      <c r="B231" s="49" t="s">
        <v>6814</v>
      </c>
      <c r="C231" s="49" t="s">
        <v>2358</v>
      </c>
      <c r="D231" s="9"/>
      <c r="E231" s="2326">
        <f>+D231*UDV.lca.sand_gwp</f>
        <v>0</v>
      </c>
      <c r="F231" s="2327"/>
      <c r="G231" s="2327">
        <f>+D231*UDV.lca.sand_ef*UDV.lca.MJ_per_kg_oil_eq</f>
        <v>0</v>
      </c>
      <c r="H231" s="2327">
        <f>+D231*UDV.lca.sand_wf</f>
        <v>0</v>
      </c>
      <c r="I231" s="1296"/>
      <c r="J231" s="574"/>
      <c r="K231" s="1290"/>
      <c r="AA231" s="3040"/>
      <c r="AB231" s="49" t="s">
        <v>6814</v>
      </c>
      <c r="AC231" s="49" t="s">
        <v>2358</v>
      </c>
      <c r="AD231" s="9"/>
      <c r="AE231" s="2326">
        <f>+AD231*UDV.lca.sand_gwp</f>
        <v>0</v>
      </c>
      <c r="AF231" s="2327"/>
      <c r="AG231" s="2327">
        <f>+AD231*UDV.lca.sand_ef*UDV.lca.MJ_per_kg_oil_eq</f>
        <v>0</v>
      </c>
      <c r="AH231" s="2327">
        <f>+AD231*UDV.lca.sand_wf</f>
        <v>0</v>
      </c>
      <c r="AI231" s="1296"/>
      <c r="AJ231" s="574"/>
      <c r="AK231" s="1290"/>
    </row>
    <row r="232" spans="1:37" x14ac:dyDescent="0.3">
      <c r="A232" s="3040"/>
      <c r="B232" s="49"/>
      <c r="C232" s="49"/>
      <c r="D232" s="50"/>
      <c r="E232" s="2327"/>
      <c r="F232" s="2327"/>
      <c r="G232" s="2327"/>
      <c r="H232" s="2327"/>
      <c r="I232" s="1296"/>
      <c r="J232" s="574"/>
      <c r="K232" s="1290"/>
      <c r="AA232" s="3040"/>
      <c r="AB232" s="49"/>
      <c r="AC232" s="49"/>
      <c r="AD232" s="9"/>
      <c r="AE232" s="2327"/>
      <c r="AF232" s="2327"/>
      <c r="AG232" s="2327"/>
      <c r="AH232" s="2327"/>
      <c r="AI232" s="1296"/>
      <c r="AJ232" s="574"/>
      <c r="AK232" s="1290"/>
    </row>
    <row r="233" spans="1:37" x14ac:dyDescent="0.3">
      <c r="A233" s="3040"/>
      <c r="B233" s="1089" t="s">
        <v>6819</v>
      </c>
      <c r="C233" s="1089" t="s">
        <v>4885</v>
      </c>
      <c r="D233" s="1711">
        <f>'Sc7'!C61</f>
        <v>0.34116972206184271</v>
      </c>
      <c r="E233" s="1711">
        <f>D233*UDV.lca.diesel_combustion_gwp</f>
        <v>3.4731077705895586</v>
      </c>
      <c r="F233" s="1296"/>
      <c r="G233" s="1296"/>
      <c r="H233" s="1296"/>
      <c r="I233" s="1296"/>
      <c r="J233" s="574"/>
      <c r="K233" s="1290"/>
      <c r="AA233" s="3040"/>
      <c r="AB233" s="1089" t="s">
        <v>6819</v>
      </c>
      <c r="AC233" s="1089" t="s">
        <v>4885</v>
      </c>
      <c r="AD233" s="2322">
        <f>'Sc7'!C62</f>
        <v>0.14582688986261103</v>
      </c>
      <c r="AE233" s="1711">
        <f>AD233*UDV.lca.diesel_combustion_gwp</f>
        <v>1.4845177388013802</v>
      </c>
      <c r="AF233" s="1296"/>
      <c r="AG233" s="1296"/>
      <c r="AH233" s="1296"/>
      <c r="AI233" s="1296"/>
      <c r="AJ233" s="574"/>
      <c r="AK233" s="1290"/>
    </row>
    <row r="234" spans="1:37" x14ac:dyDescent="0.3">
      <c r="A234" s="3040"/>
      <c r="B234" s="118" t="s">
        <v>6822</v>
      </c>
      <c r="C234" s="118"/>
      <c r="D234" s="1292"/>
      <c r="E234" s="1712"/>
      <c r="F234" s="1712"/>
      <c r="G234" s="1712"/>
      <c r="H234" s="1712"/>
      <c r="I234" s="1298"/>
      <c r="J234" s="1298"/>
      <c r="K234" s="1713"/>
      <c r="AA234" s="3040"/>
      <c r="AB234" s="118" t="s">
        <v>6822</v>
      </c>
      <c r="AC234" s="118"/>
      <c r="AD234" s="1292"/>
      <c r="AE234" s="1712"/>
      <c r="AF234" s="1712"/>
      <c r="AG234" s="1712"/>
      <c r="AH234" s="1712"/>
      <c r="AI234" s="1298"/>
      <c r="AJ234" s="1298"/>
      <c r="AK234" s="1713"/>
    </row>
    <row r="235" spans="1:37" x14ac:dyDescent="0.3">
      <c r="A235" s="3040"/>
      <c r="B235" s="49" t="s">
        <v>6786</v>
      </c>
      <c r="C235" s="49" t="s">
        <v>2268</v>
      </c>
      <c r="D235" s="50">
        <f>'Sc7'!C8</f>
        <v>306.74699292691577</v>
      </c>
      <c r="E235" s="578"/>
      <c r="F235" s="1711">
        <f>+D235</f>
        <v>306.74699292691577</v>
      </c>
      <c r="G235" s="578"/>
      <c r="H235" s="578"/>
      <c r="I235" s="1299"/>
      <c r="J235" s="574"/>
      <c r="K235" s="1290"/>
      <c r="AA235" s="3040"/>
      <c r="AB235" s="49" t="s">
        <v>6786</v>
      </c>
      <c r="AC235" s="49" t="s">
        <v>2268</v>
      </c>
      <c r="AD235" s="50">
        <f>D235</f>
        <v>306.74699292691577</v>
      </c>
      <c r="AE235" s="578"/>
      <c r="AF235" s="1711">
        <f>+AD235</f>
        <v>306.74699292691577</v>
      </c>
      <c r="AG235" s="578"/>
      <c r="AH235" s="578"/>
      <c r="AI235" s="1299"/>
      <c r="AJ235" s="574"/>
      <c r="AK235" s="1290"/>
    </row>
    <row r="236" spans="1:37" x14ac:dyDescent="0.3">
      <c r="A236" s="3040"/>
      <c r="B236" s="76" t="s">
        <v>6826</v>
      </c>
      <c r="C236" s="76"/>
      <c r="D236" s="9"/>
      <c r="E236" s="578"/>
      <c r="F236" s="578"/>
      <c r="G236" s="578"/>
      <c r="H236" s="578"/>
      <c r="I236" s="1299"/>
      <c r="J236" s="574"/>
      <c r="K236" s="1290"/>
      <c r="AA236" s="3040"/>
      <c r="AB236" s="76" t="s">
        <v>6826</v>
      </c>
      <c r="AC236" s="76"/>
      <c r="AD236" s="9"/>
      <c r="AE236" s="578"/>
      <c r="AF236" s="578"/>
      <c r="AG236" s="578"/>
      <c r="AH236" s="578"/>
      <c r="AI236" s="1299"/>
      <c r="AJ236" s="574"/>
      <c r="AK236" s="1290"/>
    </row>
    <row r="237" spans="1:37" x14ac:dyDescent="0.3">
      <c r="A237" s="3040"/>
      <c r="B237" s="117" t="s">
        <v>6828</v>
      </c>
      <c r="C237" s="49" t="s">
        <v>2358</v>
      </c>
      <c r="D237" s="37">
        <f>+D250*1</f>
        <v>0.21435537787299971</v>
      </c>
      <c r="E237" s="1711">
        <f>+D237*UDV.emit_N2O_direct.CO2e_cf</f>
        <v>66.450167140629915</v>
      </c>
      <c r="F237" s="578"/>
      <c r="G237" s="578"/>
      <c r="H237" s="578"/>
      <c r="I237" s="1299"/>
      <c r="J237" s="574"/>
      <c r="K237" s="1290"/>
      <c r="AA237" s="3040"/>
      <c r="AB237" s="117" t="s">
        <v>6828</v>
      </c>
      <c r="AC237" s="49" t="s">
        <v>2358</v>
      </c>
      <c r="AD237" s="37">
        <f>D237</f>
        <v>0.21435537787299971</v>
      </c>
      <c r="AE237" s="1711">
        <f>+AD237*UDV.emit_N2O_direct.CO2e_cf</f>
        <v>66.450167140629915</v>
      </c>
      <c r="AF237" s="578"/>
      <c r="AG237" s="578"/>
      <c r="AH237" s="578"/>
      <c r="AI237" s="1299"/>
      <c r="AJ237" s="574"/>
      <c r="AK237" s="1290"/>
    </row>
    <row r="238" spans="1:37" x14ac:dyDescent="0.3">
      <c r="A238" s="3040"/>
      <c r="B238" s="117" t="s">
        <v>4894</v>
      </c>
      <c r="C238" s="49" t="s">
        <v>2358</v>
      </c>
      <c r="D238" s="37">
        <f>'Sc7'!C18</f>
        <v>17.626080193518657</v>
      </c>
      <c r="E238" s="1711">
        <f>+D238*UDV.emit_CH4.CO2e_cf</f>
        <v>528.78240580555973</v>
      </c>
      <c r="F238" s="578"/>
      <c r="G238" s="578"/>
      <c r="H238" s="578"/>
      <c r="I238" s="1299"/>
      <c r="J238" s="574"/>
      <c r="K238" s="1290"/>
      <c r="AA238" s="3040"/>
      <c r="AB238" s="117" t="s">
        <v>4894</v>
      </c>
      <c r="AC238" s="49" t="s">
        <v>2358</v>
      </c>
      <c r="AD238" s="37">
        <f t="shared" ref="AD238:AD239" si="42">D238</f>
        <v>17.626080193518657</v>
      </c>
      <c r="AE238" s="1711">
        <f>+AD238*UDV.emit_CH4.CO2e_cf</f>
        <v>528.78240580555973</v>
      </c>
      <c r="AF238" s="578"/>
      <c r="AG238" s="578"/>
      <c r="AH238" s="578"/>
      <c r="AI238" s="1299"/>
      <c r="AJ238" s="574"/>
      <c r="AK238" s="1290"/>
    </row>
    <row r="239" spans="1:37" x14ac:dyDescent="0.3">
      <c r="A239" s="3040"/>
      <c r="B239" s="117" t="s">
        <v>6833</v>
      </c>
      <c r="C239" s="49" t="s">
        <v>2358</v>
      </c>
      <c r="D239" s="77">
        <f>'Sc7'!C22</f>
        <v>36.27284479979874</v>
      </c>
      <c r="E239" s="1711">
        <f>D239*UDV.lca.CO2_toggle</f>
        <v>0</v>
      </c>
      <c r="F239" s="578"/>
      <c r="G239" s="578"/>
      <c r="H239" s="578"/>
      <c r="I239" s="1299"/>
      <c r="J239" s="574"/>
      <c r="K239" s="1290"/>
      <c r="AA239" s="3040"/>
      <c r="AB239" s="117" t="s">
        <v>6833</v>
      </c>
      <c r="AC239" s="49" t="s">
        <v>2358</v>
      </c>
      <c r="AD239" s="37">
        <f t="shared" si="42"/>
        <v>36.27284479979874</v>
      </c>
      <c r="AE239" s="1711">
        <f>AD239*UDV.lca.CO2_toggle</f>
        <v>0</v>
      </c>
      <c r="AF239" s="578"/>
      <c r="AG239" s="578"/>
      <c r="AH239" s="578"/>
      <c r="AI239" s="1299"/>
      <c r="AJ239" s="574"/>
      <c r="AK239" s="1290"/>
    </row>
    <row r="240" spans="1:37" x14ac:dyDescent="0.3">
      <c r="A240" s="3040"/>
      <c r="B240" s="117"/>
      <c r="C240" s="49"/>
      <c r="D240" s="50"/>
      <c r="E240" s="1300"/>
      <c r="F240" s="1300"/>
      <c r="G240" s="1300"/>
      <c r="H240" s="1300"/>
      <c r="I240" s="1300"/>
      <c r="J240" s="1711">
        <f>+SUM(D250:D252)</f>
        <v>10.088266644550284</v>
      </c>
      <c r="K240" s="2328">
        <f>+SUM(D255)</f>
        <v>4.2416491082982777</v>
      </c>
      <c r="AA240" s="3040"/>
      <c r="AB240" s="117"/>
      <c r="AC240" s="49"/>
      <c r="AD240" s="50"/>
      <c r="AE240" s="1300"/>
      <c r="AF240" s="1300"/>
      <c r="AG240" s="1300"/>
      <c r="AH240" s="1300"/>
      <c r="AI240" s="1300"/>
      <c r="AJ240" s="1711">
        <f>+SUM(AD250:AD252)</f>
        <v>10.088266644550284</v>
      </c>
      <c r="AK240" s="2328">
        <f>+SUM(AD255)</f>
        <v>4.2416491082982777</v>
      </c>
    </row>
    <row r="241" spans="1:37" x14ac:dyDescent="0.3">
      <c r="A241" s="3040"/>
      <c r="B241" s="116" t="s">
        <v>6838</v>
      </c>
      <c r="C241" s="118"/>
      <c r="D241" s="1292"/>
      <c r="E241" s="1712"/>
      <c r="F241" s="1712"/>
      <c r="G241" s="1712"/>
      <c r="H241" s="1712"/>
      <c r="I241" s="1298"/>
      <c r="J241" s="1293"/>
      <c r="K241" s="1295"/>
      <c r="AA241" s="3040"/>
      <c r="AB241" s="116" t="s">
        <v>6838</v>
      </c>
      <c r="AC241" s="118"/>
      <c r="AD241" s="1292"/>
      <c r="AE241" s="1712"/>
      <c r="AF241" s="1712"/>
      <c r="AG241" s="1712"/>
      <c r="AH241" s="1712"/>
      <c r="AI241" s="1298"/>
      <c r="AJ241" s="1293"/>
      <c r="AK241" s="1295"/>
    </row>
    <row r="242" spans="1:37" x14ac:dyDescent="0.3">
      <c r="A242" s="3040"/>
      <c r="B242" s="49" t="s">
        <v>6839</v>
      </c>
      <c r="C242" s="49" t="s">
        <v>2358</v>
      </c>
      <c r="D242" s="588">
        <f>+D246*UDV.lca.urea_n_content</f>
        <v>4.910979916098138</v>
      </c>
      <c r="E242" s="2327">
        <f>-D242*UDV.lca.urea_gwp</f>
        <v>-5.8882649194016681</v>
      </c>
      <c r="F242" s="2327"/>
      <c r="G242" s="2327">
        <f>-D242*UDV.lca.urea_ef*UDV.lca.MJ_per_kg_oil_eq</f>
        <v>-334.82667031365474</v>
      </c>
      <c r="H242" s="2327">
        <f>-D242*UDV.lca.urea_wf</f>
        <v>-1.4704747334999869E-2</v>
      </c>
      <c r="I242" s="574"/>
      <c r="J242" s="574"/>
      <c r="K242" s="1290"/>
      <c r="AA242" s="3040"/>
      <c r="AB242" s="49" t="s">
        <v>6839</v>
      </c>
      <c r="AC242" s="49" t="s">
        <v>2358</v>
      </c>
      <c r="AD242" s="588">
        <f>D242</f>
        <v>4.910979916098138</v>
      </c>
      <c r="AE242" s="2327">
        <f>-AD242*UDV.lca.urea_gwp</f>
        <v>-5.8882649194016681</v>
      </c>
      <c r="AF242" s="2327"/>
      <c r="AG242" s="2327">
        <f>-AD242*UDV.lca.urea_ef*UDV.lca.MJ_per_kg_oil_eq</f>
        <v>-334.82667031365474</v>
      </c>
      <c r="AH242" s="2327">
        <f>-AD242*UDV.lca.urea_wf</f>
        <v>-1.4704747334999869E-2</v>
      </c>
      <c r="AI242" s="574"/>
      <c r="AJ242" s="574"/>
      <c r="AK242" s="1290"/>
    </row>
    <row r="243" spans="1:37" x14ac:dyDescent="0.3">
      <c r="A243" s="3040"/>
      <c r="B243" s="49" t="s">
        <v>6842</v>
      </c>
      <c r="C243" s="49" t="s">
        <v>2358</v>
      </c>
      <c r="D243" s="588">
        <f>+D247*UDV.lca.P2O5_TSP</f>
        <v>2.1613143525315492</v>
      </c>
      <c r="E243" s="2327">
        <f>-D243*UDV.lca.P2O5_gwp</f>
        <v>-1.8716982292923217</v>
      </c>
      <c r="F243" s="2327"/>
      <c r="G243" s="2327">
        <f>-D243*UDV.lca.P2O5_ef*UDV.lca.MJ_per_kg_oil_eq</f>
        <v>-46.290262625809987</v>
      </c>
      <c r="H243" s="2327">
        <f>-D243*UDV.lca.P2O5_wf</f>
        <v>-8.0178317439521217E-4</v>
      </c>
      <c r="I243" s="574"/>
      <c r="J243" s="574"/>
      <c r="K243" s="1290"/>
      <c r="AA243" s="3040"/>
      <c r="AB243" s="49" t="s">
        <v>6842</v>
      </c>
      <c r="AC243" s="49" t="s">
        <v>2358</v>
      </c>
      <c r="AD243" s="588">
        <f t="shared" ref="AD243:AD244" si="43">D243</f>
        <v>2.1613143525315492</v>
      </c>
      <c r="AE243" s="2327">
        <f>-AD243*UDV.lca.P2O5_gwp</f>
        <v>-1.8716982292923217</v>
      </c>
      <c r="AF243" s="2327"/>
      <c r="AG243" s="2327">
        <f>-AD243*UDV.lca.P2O5_ef*UDV.lca.MJ_per_kg_oil_eq</f>
        <v>-46.290262625809987</v>
      </c>
      <c r="AH243" s="2327">
        <f>-AD243*UDV.lca.P2O5_wf</f>
        <v>-8.0178317439521217E-4</v>
      </c>
      <c r="AI243" s="574"/>
      <c r="AJ243" s="574"/>
      <c r="AK243" s="1290"/>
    </row>
    <row r="244" spans="1:37" x14ac:dyDescent="0.3">
      <c r="A244" s="3040"/>
      <c r="B244" s="49" t="s">
        <v>6844</v>
      </c>
      <c r="C244" s="49" t="s">
        <v>2358</v>
      </c>
      <c r="D244" s="588">
        <f>+D248*UDV.lca.K2O_KCI</f>
        <v>3.2626744210466834</v>
      </c>
      <c r="E244" s="2327">
        <f>-D244*UDV.lca.K2O_gwp</f>
        <v>-1.4257887219974006</v>
      </c>
      <c r="F244" s="2327"/>
      <c r="G244" s="2327">
        <f>-D244*UDV.lca.K2O_ef*UDV.lca.MJ_per_kg_oil_eq</f>
        <v>-25.278302164318276</v>
      </c>
      <c r="H244" s="2327">
        <f>-D244*UDV.lca.K2O_wf</f>
        <v>-7.3979856677244202E-3</v>
      </c>
      <c r="I244" s="574"/>
      <c r="J244" s="574"/>
      <c r="K244" s="1290"/>
      <c r="AA244" s="3040"/>
      <c r="AB244" s="49" t="s">
        <v>6844</v>
      </c>
      <c r="AC244" s="49" t="s">
        <v>2358</v>
      </c>
      <c r="AD244" s="588">
        <f t="shared" si="43"/>
        <v>3.2626744210466834</v>
      </c>
      <c r="AE244" s="2327">
        <f>-AD244*UDV.lca.K2O_gwp</f>
        <v>-1.4257887219974006</v>
      </c>
      <c r="AF244" s="2327"/>
      <c r="AG244" s="2327">
        <f>-AD244*UDV.lca.K2O_ef*UDV.lca.MJ_per_kg_oil_eq</f>
        <v>-25.278302164318276</v>
      </c>
      <c r="AH244" s="2327">
        <f>-AD244*UDV.lca.K2O_wf</f>
        <v>-7.3979856677244202E-3</v>
      </c>
      <c r="AI244" s="574"/>
      <c r="AJ244" s="574"/>
      <c r="AK244" s="1290"/>
    </row>
    <row r="245" spans="1:37" x14ac:dyDescent="0.3">
      <c r="A245" s="3040"/>
      <c r="B245" s="116" t="s">
        <v>6847</v>
      </c>
      <c r="C245" s="118"/>
      <c r="D245" s="1292"/>
      <c r="E245" s="1712"/>
      <c r="F245" s="1712"/>
      <c r="G245" s="1712"/>
      <c r="H245" s="1712"/>
      <c r="I245" s="1298"/>
      <c r="J245" s="1293"/>
      <c r="K245" s="1295"/>
      <c r="AA245" s="3040"/>
      <c r="AB245" s="116" t="s">
        <v>6847</v>
      </c>
      <c r="AC245" s="118"/>
      <c r="AD245" s="1292"/>
      <c r="AE245" s="1712"/>
      <c r="AF245" s="1712"/>
      <c r="AG245" s="1712"/>
      <c r="AH245" s="1712"/>
      <c r="AI245" s="1298"/>
      <c r="AJ245" s="1293"/>
      <c r="AK245" s="1295"/>
    </row>
    <row r="246" spans="1:37" x14ac:dyDescent="0.3">
      <c r="A246" s="3040"/>
      <c r="B246" s="49" t="s">
        <v>84</v>
      </c>
      <c r="C246" s="49" t="s">
        <v>2358</v>
      </c>
      <c r="D246" s="37">
        <f>'Sc7'!C10+'Sc7'!C14-'Sc7'!C72-'Sc7'!C76</f>
        <v>7.0156855944259124</v>
      </c>
      <c r="E246" s="578"/>
      <c r="F246" s="578"/>
      <c r="G246" s="578"/>
      <c r="H246" s="578"/>
      <c r="I246" s="1299"/>
      <c r="J246" s="574"/>
      <c r="K246" s="1290"/>
      <c r="AA246" s="3040"/>
      <c r="AB246" s="49" t="s">
        <v>84</v>
      </c>
      <c r="AC246" s="49" t="s">
        <v>2358</v>
      </c>
      <c r="AD246" s="50">
        <f>D246</f>
        <v>7.0156855944259124</v>
      </c>
      <c r="AE246" s="578"/>
      <c r="AF246" s="578"/>
      <c r="AG246" s="578"/>
      <c r="AH246" s="578"/>
      <c r="AI246" s="1299"/>
      <c r="AJ246" s="574"/>
      <c r="AK246" s="1290"/>
    </row>
    <row r="247" spans="1:37" x14ac:dyDescent="0.3">
      <c r="A247" s="3040"/>
      <c r="B247" s="49" t="s">
        <v>941</v>
      </c>
      <c r="C247" s="49" t="s">
        <v>2358</v>
      </c>
      <c r="D247" s="37">
        <f>'Sc7'!C11+'Sc7'!C15-'Sc7'!C73-'Sc7'!C77</f>
        <v>2.4014603917017214</v>
      </c>
      <c r="E247" s="578"/>
      <c r="F247" s="578"/>
      <c r="G247" s="578"/>
      <c r="H247" s="578"/>
      <c r="I247" s="1299"/>
      <c r="J247" s="574"/>
      <c r="K247" s="1290"/>
      <c r="AA247" s="3040"/>
      <c r="AB247" s="49" t="s">
        <v>941</v>
      </c>
      <c r="AC247" s="49" t="s">
        <v>2358</v>
      </c>
      <c r="AD247" s="50">
        <f t="shared" ref="AD247:AD248" si="44">D247</f>
        <v>2.4014603917017214</v>
      </c>
      <c r="AE247" s="578"/>
      <c r="AF247" s="578"/>
      <c r="AG247" s="578"/>
      <c r="AH247" s="578"/>
      <c r="AI247" s="1299"/>
      <c r="AJ247" s="574"/>
      <c r="AK247" s="1290"/>
    </row>
    <row r="248" spans="1:37" x14ac:dyDescent="0.3">
      <c r="A248" s="3040"/>
      <c r="B248" s="49" t="s">
        <v>934</v>
      </c>
      <c r="C248" s="49" t="s">
        <v>2358</v>
      </c>
      <c r="D248" s="37">
        <f>'Sc7'!C12+'Sc7'!C16-'Sc7'!C74-'Sc7'!C78</f>
        <v>3.2626744210466834</v>
      </c>
      <c r="E248" s="578"/>
      <c r="F248" s="578"/>
      <c r="G248" s="578"/>
      <c r="H248" s="578"/>
      <c r="I248" s="1299"/>
      <c r="J248" s="574"/>
      <c r="K248" s="1290"/>
      <c r="AA248" s="3040"/>
      <c r="AB248" s="49" t="s">
        <v>934</v>
      </c>
      <c r="AC248" s="49" t="s">
        <v>2358</v>
      </c>
      <c r="AD248" s="50">
        <f t="shared" si="44"/>
        <v>3.2626744210466834</v>
      </c>
      <c r="AE248" s="578"/>
      <c r="AF248" s="578"/>
      <c r="AG248" s="578"/>
      <c r="AH248" s="578"/>
      <c r="AI248" s="1299"/>
      <c r="AJ248" s="574"/>
      <c r="AK248" s="1290"/>
    </row>
    <row r="249" spans="1:37" x14ac:dyDescent="0.3">
      <c r="A249" s="3040"/>
      <c r="B249" s="116" t="s">
        <v>6856</v>
      </c>
      <c r="C249" s="118"/>
      <c r="D249" s="1292"/>
      <c r="E249" s="1712"/>
      <c r="F249" s="1712"/>
      <c r="G249" s="1712"/>
      <c r="H249" s="1712"/>
      <c r="I249" s="1298"/>
      <c r="J249" s="1293"/>
      <c r="K249" s="1295"/>
      <c r="AA249" s="3040"/>
      <c r="AB249" s="116" t="s">
        <v>6856</v>
      </c>
      <c r="AC249" s="118"/>
      <c r="AD249" s="1292"/>
      <c r="AE249" s="1712"/>
      <c r="AF249" s="1712"/>
      <c r="AG249" s="1712"/>
      <c r="AH249" s="1712"/>
      <c r="AI249" s="1298"/>
      <c r="AJ249" s="1293"/>
      <c r="AK249" s="1295"/>
    </row>
    <row r="250" spans="1:37" x14ac:dyDescent="0.3">
      <c r="A250" s="3040"/>
      <c r="B250" s="49" t="s">
        <v>6859</v>
      </c>
      <c r="C250" s="49" t="s">
        <v>2358</v>
      </c>
      <c r="D250" s="37">
        <f>'Sc7'!C27</f>
        <v>0.21435537787299971</v>
      </c>
      <c r="E250" s="578"/>
      <c r="F250" s="578"/>
      <c r="G250" s="578"/>
      <c r="H250" s="578"/>
      <c r="I250" s="1299"/>
      <c r="J250" s="571"/>
      <c r="K250" s="1290"/>
      <c r="AA250" s="3040"/>
      <c r="AB250" s="49" t="s">
        <v>6859</v>
      </c>
      <c r="AC250" s="49" t="s">
        <v>2358</v>
      </c>
      <c r="AD250" s="37">
        <f>D250</f>
        <v>0.21435537787299971</v>
      </c>
      <c r="AE250" s="578"/>
      <c r="AF250" s="578"/>
      <c r="AG250" s="578"/>
      <c r="AH250" s="578"/>
      <c r="AI250" s="1299"/>
      <c r="AJ250" s="571"/>
      <c r="AK250" s="1290"/>
    </row>
    <row r="251" spans="1:37" x14ac:dyDescent="0.3">
      <c r="A251" s="3040"/>
      <c r="B251" s="49" t="s">
        <v>6861</v>
      </c>
      <c r="C251" s="49" t="s">
        <v>2358</v>
      </c>
      <c r="D251" s="37">
        <f>'Sc7'!C28</f>
        <v>9.8409005384408275</v>
      </c>
      <c r="E251" s="578"/>
      <c r="F251" s="578"/>
      <c r="G251" s="578"/>
      <c r="H251" s="578"/>
      <c r="I251" s="1299"/>
      <c r="J251" s="571"/>
      <c r="K251" s="1290"/>
      <c r="AA251" s="3040"/>
      <c r="AB251" s="49" t="s">
        <v>6861</v>
      </c>
      <c r="AC251" s="49" t="s">
        <v>2358</v>
      </c>
      <c r="AD251" s="37">
        <f t="shared" ref="AD251:AD252" si="45">D251</f>
        <v>9.8409005384408275</v>
      </c>
      <c r="AE251" s="578"/>
      <c r="AF251" s="578"/>
      <c r="AG251" s="578"/>
      <c r="AH251" s="578"/>
      <c r="AI251" s="1299"/>
      <c r="AJ251" s="571"/>
      <c r="AK251" s="1290"/>
    </row>
    <row r="252" spans="1:37" x14ac:dyDescent="0.3">
      <c r="A252" s="3040"/>
      <c r="B252" s="49" t="s">
        <v>6864</v>
      </c>
      <c r="C252" s="49" t="s">
        <v>2358</v>
      </c>
      <c r="D252" s="37">
        <f>'Sc7'!C29</f>
        <v>3.301072823645626E-2</v>
      </c>
      <c r="E252" s="578"/>
      <c r="F252" s="578"/>
      <c r="G252" s="578"/>
      <c r="H252" s="578"/>
      <c r="I252" s="1299"/>
      <c r="J252" s="571"/>
      <c r="K252" s="1290"/>
      <c r="AA252" s="3040"/>
      <c r="AB252" s="49" t="s">
        <v>6864</v>
      </c>
      <c r="AC252" s="49" t="s">
        <v>2358</v>
      </c>
      <c r="AD252" s="37">
        <f t="shared" si="45"/>
        <v>3.301072823645626E-2</v>
      </c>
      <c r="AE252" s="578"/>
      <c r="AF252" s="578"/>
      <c r="AG252" s="578"/>
      <c r="AH252" s="578"/>
      <c r="AI252" s="1299"/>
      <c r="AJ252" s="571"/>
      <c r="AK252" s="1290"/>
    </row>
    <row r="253" spans="1:37" x14ac:dyDescent="0.3">
      <c r="A253" s="3040"/>
      <c r="B253" s="49"/>
      <c r="C253" s="49"/>
      <c r="D253" s="37"/>
      <c r="E253" s="578"/>
      <c r="F253" s="578"/>
      <c r="G253" s="578"/>
      <c r="H253" s="578"/>
      <c r="I253" s="1299"/>
      <c r="J253" s="571"/>
      <c r="K253" s="1290"/>
      <c r="AA253" s="3040"/>
      <c r="AB253" s="49"/>
      <c r="AC253" s="49"/>
      <c r="AD253" s="37"/>
      <c r="AE253" s="578"/>
      <c r="AF253" s="578"/>
      <c r="AG253" s="578"/>
      <c r="AH253" s="578"/>
      <c r="AI253" s="1299"/>
      <c r="AJ253" s="571"/>
      <c r="AK253" s="1290"/>
    </row>
    <row r="254" spans="1:37" x14ac:dyDescent="0.3">
      <c r="A254" s="3040"/>
      <c r="B254" s="116" t="s">
        <v>6865</v>
      </c>
      <c r="C254" s="118"/>
      <c r="D254" s="1292"/>
      <c r="E254" s="1712"/>
      <c r="F254" s="1712"/>
      <c r="G254" s="1712"/>
      <c r="H254" s="1712"/>
      <c r="I254" s="1298"/>
      <c r="J254" s="1293"/>
      <c r="K254" s="1295"/>
      <c r="AA254" s="3040"/>
      <c r="AB254" s="116" t="s">
        <v>6865</v>
      </c>
      <c r="AC254" s="118"/>
      <c r="AD254" s="1292"/>
      <c r="AE254" s="1712"/>
      <c r="AF254" s="1712"/>
      <c r="AG254" s="1712"/>
      <c r="AH254" s="1712"/>
      <c r="AI254" s="1298"/>
      <c r="AJ254" s="1293"/>
      <c r="AK254" s="1295"/>
    </row>
    <row r="255" spans="1:37" x14ac:dyDescent="0.3">
      <c r="A255" s="3040"/>
      <c r="B255" s="49" t="s">
        <v>6867</v>
      </c>
      <c r="C255" s="49" t="s">
        <v>2358</v>
      </c>
      <c r="D255" s="37">
        <f>'Sc7'!C73+'Sc7'!C77</f>
        <v>4.2416491082982777</v>
      </c>
      <c r="E255" s="578"/>
      <c r="F255" s="578"/>
      <c r="G255" s="578"/>
      <c r="H255" s="578"/>
      <c r="I255" s="1299"/>
      <c r="J255" s="571"/>
      <c r="K255" s="1290"/>
      <c r="AA255" s="3040"/>
      <c r="AB255" s="49" t="s">
        <v>6867</v>
      </c>
      <c r="AC255" s="49" t="s">
        <v>2358</v>
      </c>
      <c r="AD255" s="37">
        <f>D255</f>
        <v>4.2416491082982777</v>
      </c>
      <c r="AE255" s="578"/>
      <c r="AF255" s="578"/>
      <c r="AG255" s="578"/>
      <c r="AH255" s="578"/>
      <c r="AI255" s="1299"/>
      <c r="AJ255" s="571"/>
      <c r="AK255" s="1290"/>
    </row>
    <row r="256" spans="1:37" x14ac:dyDescent="0.3">
      <c r="A256" s="3040"/>
      <c r="B256" s="49"/>
      <c r="C256" s="49"/>
      <c r="D256" s="18" t="s">
        <v>6869</v>
      </c>
      <c r="E256" s="122">
        <f>+SUM(E228:E233,E237:E239,E240)</f>
        <v>605.24786117865835</v>
      </c>
      <c r="F256" s="37"/>
      <c r="G256" s="37"/>
      <c r="H256" s="37"/>
      <c r="I256" s="57"/>
      <c r="J256" s="49"/>
      <c r="K256" s="11"/>
      <c r="AA256" s="3040"/>
      <c r="AB256" s="49"/>
      <c r="AC256" s="49"/>
      <c r="AD256" s="18" t="s">
        <v>6869</v>
      </c>
      <c r="AE256" s="122">
        <f>+SUM(AE228:AE233,AE237:AE239,AE240)</f>
        <v>601.98518659241711</v>
      </c>
      <c r="AF256" s="37"/>
      <c r="AG256" s="37"/>
      <c r="AH256" s="37"/>
      <c r="AI256" s="57"/>
      <c r="AJ256" s="49"/>
      <c r="AK256" s="11"/>
    </row>
    <row r="257" spans="1:37" x14ac:dyDescent="0.3">
      <c r="A257" s="3040"/>
      <c r="B257" s="118" t="s">
        <v>6871</v>
      </c>
      <c r="C257" s="119" t="s">
        <v>4815</v>
      </c>
      <c r="D257" s="1708" t="s">
        <v>630</v>
      </c>
      <c r="E257" s="1281">
        <f>+SUM(E235:E240,E233)</f>
        <v>598.70568071677917</v>
      </c>
      <c r="F257" s="1281">
        <f>+SUM(F235:F240)</f>
        <v>306.74699292691577</v>
      </c>
      <c r="G257" s="1281">
        <f>+SUM(G235:G240)</f>
        <v>0</v>
      </c>
      <c r="H257" s="2267">
        <f>+SUM(H228,H235:H240)</f>
        <v>0.42801617357511107</v>
      </c>
      <c r="I257" s="641">
        <f>I228</f>
        <v>0.42748609082249117</v>
      </c>
      <c r="J257" s="1281">
        <f>+J240</f>
        <v>10.088266644550284</v>
      </c>
      <c r="K257" s="1282">
        <f>+K240</f>
        <v>4.2416491082982777</v>
      </c>
      <c r="AA257" s="3040"/>
      <c r="AB257" s="118" t="s">
        <v>6871</v>
      </c>
      <c r="AC257" s="119" t="s">
        <v>4815</v>
      </c>
      <c r="AD257" s="1708" t="s">
        <v>630</v>
      </c>
      <c r="AE257" s="1281">
        <f>+SUM(AE235:AE240,AE233)</f>
        <v>596.71709068499104</v>
      </c>
      <c r="AF257" s="1281">
        <f>+SUM(AF235:AF240)</f>
        <v>306.74699292691577</v>
      </c>
      <c r="AG257" s="1281">
        <f>+SUM(AG235:AG240)</f>
        <v>0</v>
      </c>
      <c r="AH257" s="2267">
        <f>+SUM(AH228,AH235:AH240)</f>
        <v>0.42801617357511107</v>
      </c>
      <c r="AI257" s="641">
        <f>AI228</f>
        <v>0.42748609082249117</v>
      </c>
      <c r="AJ257" s="1281">
        <f>+AJ240</f>
        <v>10.088266644550284</v>
      </c>
      <c r="AK257" s="1282">
        <f>+AK240</f>
        <v>4.2416491082982777</v>
      </c>
    </row>
    <row r="258" spans="1:37" x14ac:dyDescent="0.3">
      <c r="A258" s="3040"/>
      <c r="B258" s="118" t="s">
        <v>6874</v>
      </c>
      <c r="C258" s="118"/>
      <c r="D258" s="1709" t="s">
        <v>6875</v>
      </c>
      <c r="E258" s="922">
        <f>+SUM(E228:E232,E242:E244)</f>
        <v>-2.643571408812273</v>
      </c>
      <c r="F258" s="922">
        <f>+SUM(F228:F233,F242:F244)</f>
        <v>0</v>
      </c>
      <c r="G258" s="922">
        <f>+SUM(G228:G233,G242:G244)</f>
        <v>-301.34144676231102</v>
      </c>
      <c r="H258" s="2268">
        <f>+SUM(H229:H233,H242:H244)</f>
        <v>1.7756934531949597E-2</v>
      </c>
      <c r="I258" s="1283">
        <v>0</v>
      </c>
      <c r="J258" s="922"/>
      <c r="K258" s="1284"/>
      <c r="AA258" s="3040"/>
      <c r="AB258" s="118" t="s">
        <v>6874</v>
      </c>
      <c r="AC258" s="118"/>
      <c r="AD258" s="1709" t="s">
        <v>6875</v>
      </c>
      <c r="AE258" s="922">
        <f>+SUM(AE228:AE232,AE242:AE244)</f>
        <v>-3.9176559632653216</v>
      </c>
      <c r="AF258" s="922">
        <f>+SUM(AF228:AF233,AF242:AF244)</f>
        <v>0</v>
      </c>
      <c r="AG258" s="922">
        <f>+SUM(AG228:AG233,AG242:AG244)</f>
        <v>-347.21893821596728</v>
      </c>
      <c r="AH258" s="2268">
        <f>+SUM(AH229:AH233,AH242:AH244)</f>
        <v>5.0160889874191119E-3</v>
      </c>
      <c r="AI258" s="1283">
        <v>0</v>
      </c>
      <c r="AJ258" s="922"/>
      <c r="AK258" s="1284"/>
    </row>
    <row r="259" spans="1:37" ht="15" thickBot="1" x14ac:dyDescent="0.35">
      <c r="A259" s="3041"/>
      <c r="B259" s="22"/>
      <c r="C259" s="1291"/>
      <c r="D259" s="1710" t="s">
        <v>6876</v>
      </c>
      <c r="E259" s="1285">
        <f>E257+E258</f>
        <v>596.06210930796692</v>
      </c>
      <c r="F259" s="1285">
        <f>F257+F258</f>
        <v>306.74699292691577</v>
      </c>
      <c r="G259" s="1285">
        <f>G257+G258</f>
        <v>-301.34144676231102</v>
      </c>
      <c r="H259" s="2269">
        <f t="shared" ref="H259" si="46">H257+H258</f>
        <v>0.44577310810706067</v>
      </c>
      <c r="I259" s="1285">
        <f>I257+I258</f>
        <v>0.42748609082249117</v>
      </c>
      <c r="J259" s="1285">
        <f>J257+J258</f>
        <v>10.088266644550284</v>
      </c>
      <c r="K259" s="1286">
        <f>K257+K258</f>
        <v>4.2416491082982777</v>
      </c>
      <c r="AA259" s="3041"/>
      <c r="AB259" s="22"/>
      <c r="AC259" s="1291"/>
      <c r="AD259" s="1710" t="s">
        <v>6876</v>
      </c>
      <c r="AE259" s="1285">
        <f>AE257+AE258</f>
        <v>592.79943472172567</v>
      </c>
      <c r="AF259" s="1285">
        <f>AF257+AF258</f>
        <v>306.74699292691577</v>
      </c>
      <c r="AG259" s="1285">
        <f>AG257+AG258</f>
        <v>-347.21893821596728</v>
      </c>
      <c r="AH259" s="2269">
        <f t="shared" ref="AH259" si="47">AH257+AH258</f>
        <v>0.43303226256253019</v>
      </c>
      <c r="AI259" s="1285">
        <f>AI257+AI258</f>
        <v>0.42748609082249117</v>
      </c>
      <c r="AJ259" s="1285">
        <f>AJ257+AJ258</f>
        <v>10.088266644550284</v>
      </c>
      <c r="AK259" s="1286">
        <f>AK257+AK258</f>
        <v>4.2416491082982777</v>
      </c>
    </row>
    <row r="260" spans="1:37" ht="15" thickBot="1" x14ac:dyDescent="0.35"/>
    <row r="261" spans="1:37" x14ac:dyDescent="0.3">
      <c r="A261" s="3039" t="s">
        <v>6906</v>
      </c>
      <c r="B261" s="49"/>
      <c r="C261" s="49"/>
      <c r="D261" s="9"/>
      <c r="E261" s="565"/>
      <c r="F261" s="565"/>
      <c r="G261" s="565"/>
      <c r="H261" s="565"/>
      <c r="I261" s="1297"/>
      <c r="J261" s="3038" t="s">
        <v>6791</v>
      </c>
      <c r="K261" s="3038"/>
      <c r="AA261" s="3039" t="s">
        <v>6907</v>
      </c>
      <c r="AB261" s="49"/>
      <c r="AC261" s="49"/>
      <c r="AD261" s="9"/>
      <c r="AE261" s="565"/>
      <c r="AF261" s="565"/>
      <c r="AG261" s="565"/>
      <c r="AH261" s="565"/>
      <c r="AI261" s="1297"/>
      <c r="AJ261" s="3038" t="s">
        <v>6791</v>
      </c>
      <c r="AK261" s="3038"/>
    </row>
    <row r="262" spans="1:37" ht="72" x14ac:dyDescent="0.3">
      <c r="A262" s="3040"/>
      <c r="B262" s="566"/>
      <c r="C262" s="566" t="s">
        <v>6795</v>
      </c>
      <c r="D262" s="567" t="s">
        <v>6796</v>
      </c>
      <c r="E262" s="567" t="s">
        <v>4824</v>
      </c>
      <c r="F262" s="567" t="s">
        <v>447</v>
      </c>
      <c r="G262" s="567" t="s">
        <v>446</v>
      </c>
      <c r="H262" s="567" t="s">
        <v>2599</v>
      </c>
      <c r="I262" s="1279" t="s">
        <v>6797</v>
      </c>
      <c r="J262" s="567" t="s">
        <v>4832</v>
      </c>
      <c r="K262" s="567" t="s">
        <v>6798</v>
      </c>
      <c r="AA262" s="3040"/>
      <c r="AB262" s="566"/>
      <c r="AC262" s="566" t="s">
        <v>6795</v>
      </c>
      <c r="AD262" s="567" t="s">
        <v>6796</v>
      </c>
      <c r="AE262" s="567" t="s">
        <v>4824</v>
      </c>
      <c r="AF262" s="567" t="s">
        <v>447</v>
      </c>
      <c r="AG262" s="567" t="s">
        <v>446</v>
      </c>
      <c r="AH262" s="567" t="s">
        <v>2599</v>
      </c>
      <c r="AI262" s="1279" t="s">
        <v>6797</v>
      </c>
      <c r="AJ262" s="567" t="s">
        <v>4832</v>
      </c>
      <c r="AK262" s="567" t="s">
        <v>6798</v>
      </c>
    </row>
    <row r="263" spans="1:37" ht="16.8" x14ac:dyDescent="0.35">
      <c r="A263" s="3040"/>
      <c r="B263" s="568"/>
      <c r="C263" s="568"/>
      <c r="D263" s="569"/>
      <c r="E263" s="570" t="s">
        <v>6799</v>
      </c>
      <c r="F263" s="570" t="s">
        <v>6800</v>
      </c>
      <c r="G263" s="570" t="s">
        <v>2435</v>
      </c>
      <c r="H263" s="570" t="s">
        <v>6801</v>
      </c>
      <c r="I263" s="1280" t="s">
        <v>2478</v>
      </c>
      <c r="J263" s="569" t="s">
        <v>6802</v>
      </c>
      <c r="K263" s="569" t="s">
        <v>6803</v>
      </c>
      <c r="AA263" s="3040"/>
      <c r="AB263" s="568"/>
      <c r="AC263" s="568"/>
      <c r="AD263" s="569"/>
      <c r="AE263" s="570" t="s">
        <v>6799</v>
      </c>
      <c r="AF263" s="570" t="s">
        <v>6800</v>
      </c>
      <c r="AG263" s="570" t="s">
        <v>2435</v>
      </c>
      <c r="AH263" s="570" t="s">
        <v>6801</v>
      </c>
      <c r="AI263" s="1280" t="s">
        <v>2478</v>
      </c>
      <c r="AJ263" s="569" t="s">
        <v>6802</v>
      </c>
      <c r="AK263" s="569" t="s">
        <v>6803</v>
      </c>
    </row>
    <row r="264" spans="1:37" x14ac:dyDescent="0.3">
      <c r="A264" s="3040"/>
      <c r="B264" s="116" t="s">
        <v>6805</v>
      </c>
      <c r="C264" s="118"/>
      <c r="D264" s="1292"/>
      <c r="E264" s="1293"/>
      <c r="F264" s="1293"/>
      <c r="G264" s="1292"/>
      <c r="H264" s="1293"/>
      <c r="I264" s="1294"/>
      <c r="J264" s="1293"/>
      <c r="K264" s="1295"/>
      <c r="AA264" s="3040"/>
      <c r="AB264" s="116" t="s">
        <v>6805</v>
      </c>
      <c r="AC264" s="118"/>
      <c r="AD264" s="1292"/>
      <c r="AE264" s="1293"/>
      <c r="AF264" s="1293"/>
      <c r="AG264" s="1292"/>
      <c r="AH264" s="1293"/>
      <c r="AI264" s="1294"/>
      <c r="AJ264" s="1293"/>
      <c r="AK264" s="1295"/>
    </row>
    <row r="265" spans="1:37" x14ac:dyDescent="0.3">
      <c r="A265" s="3040"/>
      <c r="B265" s="49" t="s">
        <v>415</v>
      </c>
      <c r="C265" s="49" t="s">
        <v>2358</v>
      </c>
      <c r="D265" s="50">
        <f>'Sc8'!C5*1000</f>
        <v>427.48609082249118</v>
      </c>
      <c r="E265" s="2326">
        <f>+D265*UDV.lca.water_gwp</f>
        <v>0.19236874087012101</v>
      </c>
      <c r="F265" s="2327"/>
      <c r="G265" s="2327">
        <f>+D265*UDV.lca.water_ef*UDV.lca.MJ_per_kg_oil_eq</f>
        <v>2.8638148196380331</v>
      </c>
      <c r="H265" s="1711">
        <f>+D265*UDV.lca.water_wf</f>
        <v>0.42801617357511107</v>
      </c>
      <c r="I265" s="1296">
        <f>D265/1000</f>
        <v>0.42748609082249117</v>
      </c>
      <c r="J265" s="574"/>
      <c r="K265" s="1290"/>
      <c r="AA265" s="3040"/>
      <c r="AB265" s="49" t="s">
        <v>415</v>
      </c>
      <c r="AC265" s="49" t="s">
        <v>2358</v>
      </c>
      <c r="AD265" s="50">
        <f>D265</f>
        <v>427.48609082249118</v>
      </c>
      <c r="AE265" s="2326">
        <f>+AD265*UDV.lca.water_gwp</f>
        <v>0.19236874087012101</v>
      </c>
      <c r="AF265" s="2327"/>
      <c r="AG265" s="2327">
        <f>+AD265*UDV.lca.water_ef*UDV.lca.MJ_per_kg_oil_eq</f>
        <v>2.8638148196380331</v>
      </c>
      <c r="AH265" s="1711">
        <f>+AD265*UDV.lca.water_wf</f>
        <v>0.42801617357511107</v>
      </c>
      <c r="AI265" s="1296">
        <f>AD265/1000</f>
        <v>0.42748609082249117</v>
      </c>
      <c r="AJ265" s="574"/>
      <c r="AK265" s="1290"/>
    </row>
    <row r="266" spans="1:37" x14ac:dyDescent="0.3">
      <c r="A266" s="3040"/>
      <c r="B266" s="49" t="s">
        <v>409</v>
      </c>
      <c r="C266" s="49" t="s">
        <v>2556</v>
      </c>
      <c r="D266" s="37">
        <f>'Sc8'!C6</f>
        <v>2.5526791721952309</v>
      </c>
      <c r="E266" s="2326">
        <f>+D266*UDV.lca.electricity_gwp</f>
        <v>0.91508182951146788</v>
      </c>
      <c r="F266" s="2327"/>
      <c r="G266" s="2327">
        <f>+D266*UDV.lca.electricity_ef*UDV.lca.MJ_per_kg_oil_eq</f>
        <v>4.8951350038434951</v>
      </c>
      <c r="H266" s="2327">
        <f>+D266*UDV.lca.electricity_wf</f>
        <v>4.0842866755123695E-3</v>
      </c>
      <c r="I266" s="1296"/>
      <c r="J266" s="574"/>
      <c r="K266" s="1290"/>
      <c r="AA266" s="3040"/>
      <c r="AB266" s="49" t="s">
        <v>409</v>
      </c>
      <c r="AC266" s="49" t="s">
        <v>2556</v>
      </c>
      <c r="AD266" s="50">
        <f>D266</f>
        <v>2.5526791721952309</v>
      </c>
      <c r="AE266" s="2326">
        <f>+AD266*UDV.lca.electricity_gwp</f>
        <v>0.91508182951146788</v>
      </c>
      <c r="AF266" s="2327"/>
      <c r="AG266" s="2327">
        <f>+AD266*UDV.lca.electricity_ef*UDV.lca.MJ_per_kg_oil_eq</f>
        <v>4.8951350038434951</v>
      </c>
      <c r="AH266" s="2327">
        <f>+AD266*UDV.lca.electricity_wf</f>
        <v>4.0842866755123695E-3</v>
      </c>
      <c r="AI266" s="1296"/>
      <c r="AJ266" s="574"/>
      <c r="AK266" s="1290"/>
    </row>
    <row r="267" spans="1:37" x14ac:dyDescent="0.3">
      <c r="A267" s="3040"/>
      <c r="B267" s="49" t="s">
        <v>6812</v>
      </c>
      <c r="C267" s="49" t="s">
        <v>2435</v>
      </c>
      <c r="D267" s="50">
        <f>'Sc8'!C56*UDV.lca.MJ_per_gal_diesel</f>
        <v>51.488116525347891</v>
      </c>
      <c r="E267" s="2326">
        <f>+D267*UDV.lca.diesel_gwp</f>
        <v>2.3169652436406549</v>
      </c>
      <c r="F267" s="2327"/>
      <c r="G267" s="2326">
        <f>+D267*UDV.lca.diesel_ef*UDV.lca.MJ_per_kg_oil_eq</f>
        <v>83.429747886061421</v>
      </c>
      <c r="H267" s="2327">
        <f>+D267*UDV.lca.diesel_wf</f>
        <v>2.3169652436406549E-2</v>
      </c>
      <c r="I267" s="1296"/>
      <c r="J267" s="574"/>
      <c r="K267" s="1290"/>
      <c r="AA267" s="3040"/>
      <c r="AB267" s="49" t="s">
        <v>6812</v>
      </c>
      <c r="AC267" s="49" t="s">
        <v>2435</v>
      </c>
      <c r="AD267" s="53">
        <f>'Sc8'!C57*UDV.lca.MJ_per_gal_diesel</f>
        <v>21.404799616239849</v>
      </c>
      <c r="AE267" s="2326">
        <f>+AD267*UDV.lca.diesel_gwp</f>
        <v>0.96321598273079312</v>
      </c>
      <c r="AF267" s="2327"/>
      <c r="AG267" s="2326">
        <f>+AD267*UDV.lca.diesel_ef*UDV.lca.MJ_per_kg_oil_eq</f>
        <v>34.683673749366946</v>
      </c>
      <c r="AH267" s="2327">
        <f>+AD267*UDV.lca.diesel_wf</f>
        <v>9.63215982730793E-3</v>
      </c>
      <c r="AI267" s="1296"/>
      <c r="AJ267" s="574"/>
      <c r="AK267" s="1290"/>
    </row>
    <row r="268" spans="1:37" x14ac:dyDescent="0.3">
      <c r="A268" s="3040"/>
      <c r="B268" s="49" t="s">
        <v>6814</v>
      </c>
      <c r="C268" s="49" t="s">
        <v>2358</v>
      </c>
      <c r="D268" s="9"/>
      <c r="E268" s="2326">
        <f>+D268*UDV.lca.sand_gwp</f>
        <v>0</v>
      </c>
      <c r="F268" s="2327"/>
      <c r="G268" s="2327">
        <f>+D268*UDV.lca.sand_ef*UDV.lca.MJ_per_kg_oil_eq</f>
        <v>0</v>
      </c>
      <c r="H268" s="2327">
        <f>+D268*UDV.lca.sand_wf</f>
        <v>0</v>
      </c>
      <c r="I268" s="1296"/>
      <c r="J268" s="574"/>
      <c r="K268" s="1290"/>
      <c r="AA268" s="3040"/>
      <c r="AB268" s="49" t="s">
        <v>6814</v>
      </c>
      <c r="AC268" s="49" t="s">
        <v>2358</v>
      </c>
      <c r="AD268" s="9"/>
      <c r="AE268" s="2326">
        <f>+AD268*UDV.lca.sand_gwp</f>
        <v>0</v>
      </c>
      <c r="AF268" s="2327"/>
      <c r="AG268" s="2327">
        <f>+AD268*UDV.lca.sand_ef*UDV.lca.MJ_per_kg_oil_eq</f>
        <v>0</v>
      </c>
      <c r="AH268" s="2327">
        <f>+AD268*UDV.lca.sand_wf</f>
        <v>0</v>
      </c>
      <c r="AI268" s="1296"/>
      <c r="AJ268" s="574"/>
      <c r="AK268" s="1290"/>
    </row>
    <row r="269" spans="1:37" x14ac:dyDescent="0.3">
      <c r="A269" s="3040"/>
      <c r="B269" s="49"/>
      <c r="C269" s="49"/>
      <c r="D269" s="50"/>
      <c r="E269" s="2327"/>
      <c r="F269" s="2327"/>
      <c r="G269" s="2327"/>
      <c r="H269" s="2327"/>
      <c r="I269" s="1296"/>
      <c r="J269" s="574"/>
      <c r="K269" s="1290"/>
      <c r="AA269" s="3040"/>
      <c r="AB269" s="49"/>
      <c r="AC269" s="49"/>
      <c r="AD269" s="9"/>
      <c r="AE269" s="2327"/>
      <c r="AF269" s="2327"/>
      <c r="AG269" s="2327"/>
      <c r="AH269" s="2327"/>
      <c r="AI269" s="1296"/>
      <c r="AJ269" s="574"/>
      <c r="AK269" s="1290"/>
    </row>
    <row r="270" spans="1:37" x14ac:dyDescent="0.3">
      <c r="A270" s="3040"/>
      <c r="B270" s="1089" t="s">
        <v>6819</v>
      </c>
      <c r="C270" s="1089" t="s">
        <v>4885</v>
      </c>
      <c r="D270" s="1711">
        <f>'Sc8'!C56</f>
        <v>0.35523745360389053</v>
      </c>
      <c r="E270" s="1711">
        <f>D270*UDV.lca.diesel_combustion_gwp</f>
        <v>3.6163172776876054</v>
      </c>
      <c r="F270" s="1296"/>
      <c r="G270" s="1296"/>
      <c r="H270" s="1296"/>
      <c r="I270" s="1296"/>
      <c r="J270" s="574"/>
      <c r="K270" s="1290"/>
      <c r="AA270" s="3040"/>
      <c r="AB270" s="1089" t="s">
        <v>6819</v>
      </c>
      <c r="AC270" s="1089" t="s">
        <v>4885</v>
      </c>
      <c r="AD270" s="2322">
        <f>'Sc8'!C57</f>
        <v>0.14768041683620706</v>
      </c>
      <c r="AE270" s="1711">
        <f>AD270*UDV.lca.diesel_combustion_gwp</f>
        <v>1.5033866433925878</v>
      </c>
      <c r="AF270" s="1296"/>
      <c r="AG270" s="1296"/>
      <c r="AH270" s="1296"/>
      <c r="AI270" s="1296"/>
      <c r="AJ270" s="574"/>
      <c r="AK270" s="1290"/>
    </row>
    <row r="271" spans="1:37" x14ac:dyDescent="0.3">
      <c r="A271" s="3040"/>
      <c r="B271" s="118" t="s">
        <v>6822</v>
      </c>
      <c r="C271" s="118"/>
      <c r="D271" s="1292"/>
      <c r="E271" s="1712"/>
      <c r="F271" s="1712"/>
      <c r="G271" s="1712"/>
      <c r="H271" s="1712"/>
      <c r="I271" s="1298"/>
      <c r="J271" s="1298"/>
      <c r="K271" s="1713"/>
      <c r="AA271" s="3040"/>
      <c r="AB271" s="118" t="s">
        <v>6822</v>
      </c>
      <c r="AC271" s="118"/>
      <c r="AD271" s="1292"/>
      <c r="AE271" s="1712"/>
      <c r="AF271" s="1712"/>
      <c r="AG271" s="1712"/>
      <c r="AH271" s="1712"/>
      <c r="AI271" s="1298"/>
      <c r="AJ271" s="1298"/>
      <c r="AK271" s="1713"/>
    </row>
    <row r="272" spans="1:37" x14ac:dyDescent="0.3">
      <c r="A272" s="3040"/>
      <c r="B272" s="49" t="s">
        <v>6786</v>
      </c>
      <c r="C272" s="49" t="s">
        <v>2268</v>
      </c>
      <c r="D272" s="50">
        <f>'Sc8'!C8</f>
        <v>294.2399577070621</v>
      </c>
      <c r="E272" s="578"/>
      <c r="F272" s="1711">
        <f>+D272</f>
        <v>294.2399577070621</v>
      </c>
      <c r="G272" s="578"/>
      <c r="H272" s="578"/>
      <c r="I272" s="1299"/>
      <c r="J272" s="574"/>
      <c r="K272" s="1290"/>
      <c r="AA272" s="3040"/>
      <c r="AB272" s="49" t="s">
        <v>6786</v>
      </c>
      <c r="AC272" s="49" t="s">
        <v>2268</v>
      </c>
      <c r="AD272" s="50">
        <f>D272</f>
        <v>294.2399577070621</v>
      </c>
      <c r="AE272" s="578"/>
      <c r="AF272" s="1711">
        <f>+AD272</f>
        <v>294.2399577070621</v>
      </c>
      <c r="AG272" s="578"/>
      <c r="AH272" s="578"/>
      <c r="AI272" s="1299"/>
      <c r="AJ272" s="574"/>
      <c r="AK272" s="1290"/>
    </row>
    <row r="273" spans="1:37" x14ac:dyDescent="0.3">
      <c r="A273" s="3040"/>
      <c r="B273" s="76" t="s">
        <v>6826</v>
      </c>
      <c r="C273" s="76"/>
      <c r="D273" s="9"/>
      <c r="E273" s="578"/>
      <c r="F273" s="578"/>
      <c r="G273" s="578"/>
      <c r="H273" s="578"/>
      <c r="I273" s="1299"/>
      <c r="J273" s="574"/>
      <c r="K273" s="1290"/>
      <c r="AA273" s="3040"/>
      <c r="AB273" s="76" t="s">
        <v>6826</v>
      </c>
      <c r="AC273" s="76"/>
      <c r="AD273" s="9"/>
      <c r="AE273" s="578"/>
      <c r="AF273" s="578"/>
      <c r="AG273" s="578"/>
      <c r="AH273" s="578"/>
      <c r="AI273" s="1299"/>
      <c r="AJ273" s="574"/>
      <c r="AK273" s="1290"/>
    </row>
    <row r="274" spans="1:37" x14ac:dyDescent="0.3">
      <c r="A274" s="3040"/>
      <c r="B274" s="117" t="s">
        <v>6828</v>
      </c>
      <c r="C274" s="49" t="s">
        <v>2358</v>
      </c>
      <c r="D274" s="37">
        <f>+D287*1</f>
        <v>0.2199320164654491</v>
      </c>
      <c r="E274" s="1711">
        <f>+D274*UDV.emit_N2O_direct.CO2e_cf</f>
        <v>68.17892510428922</v>
      </c>
      <c r="F274" s="578"/>
      <c r="G274" s="578"/>
      <c r="H274" s="578"/>
      <c r="I274" s="1299"/>
      <c r="J274" s="574"/>
      <c r="K274" s="1290"/>
      <c r="AA274" s="3040"/>
      <c r="AB274" s="117" t="s">
        <v>6828</v>
      </c>
      <c r="AC274" s="49" t="s">
        <v>2358</v>
      </c>
      <c r="AD274" s="37">
        <f>D274</f>
        <v>0.2199320164654491</v>
      </c>
      <c r="AE274" s="1711">
        <f>+AD274*UDV.emit_N2O_direct.CO2e_cf</f>
        <v>68.17892510428922</v>
      </c>
      <c r="AF274" s="578"/>
      <c r="AG274" s="578"/>
      <c r="AH274" s="578"/>
      <c r="AI274" s="1299"/>
      <c r="AJ274" s="574"/>
      <c r="AK274" s="1290"/>
    </row>
    <row r="275" spans="1:37" x14ac:dyDescent="0.3">
      <c r="A275" s="3040"/>
      <c r="B275" s="117" t="s">
        <v>4894</v>
      </c>
      <c r="C275" s="49" t="s">
        <v>2358</v>
      </c>
      <c r="D275" s="37">
        <f>'Sc8'!C18</f>
        <v>18.065428638023633</v>
      </c>
      <c r="E275" s="1711">
        <f>+D275*UDV.emit_CH4.CO2e_cf</f>
        <v>541.96285914070904</v>
      </c>
      <c r="F275" s="578"/>
      <c r="G275" s="578"/>
      <c r="H275" s="578"/>
      <c r="I275" s="1299"/>
      <c r="J275" s="574"/>
      <c r="K275" s="1290"/>
      <c r="AA275" s="3040"/>
      <c r="AB275" s="117" t="s">
        <v>4894</v>
      </c>
      <c r="AC275" s="49" t="s">
        <v>2358</v>
      </c>
      <c r="AD275" s="37">
        <f t="shared" ref="AD275:AD276" si="48">D275</f>
        <v>18.065428638023633</v>
      </c>
      <c r="AE275" s="1711">
        <f>+AD275*UDV.emit_CH4.CO2e_cf</f>
        <v>541.96285914070904</v>
      </c>
      <c r="AF275" s="578"/>
      <c r="AG275" s="578"/>
      <c r="AH275" s="578"/>
      <c r="AI275" s="1299"/>
      <c r="AJ275" s="574"/>
      <c r="AK275" s="1290"/>
    </row>
    <row r="276" spans="1:37" x14ac:dyDescent="0.3">
      <c r="A276" s="3040"/>
      <c r="B276" s="117" t="s">
        <v>6833</v>
      </c>
      <c r="C276" s="49" t="s">
        <v>2358</v>
      </c>
      <c r="D276" s="77">
        <f>'Sc8'!C22</f>
        <v>36.27284479979874</v>
      </c>
      <c r="E276" s="1711">
        <f>D276*UDV.lca.CO2_toggle</f>
        <v>0</v>
      </c>
      <c r="F276" s="578"/>
      <c r="G276" s="578"/>
      <c r="H276" s="578"/>
      <c r="I276" s="1299"/>
      <c r="J276" s="574"/>
      <c r="K276" s="1290"/>
      <c r="AA276" s="3040"/>
      <c r="AB276" s="117" t="s">
        <v>6833</v>
      </c>
      <c r="AC276" s="49" t="s">
        <v>2358</v>
      </c>
      <c r="AD276" s="37">
        <f t="shared" si="48"/>
        <v>36.27284479979874</v>
      </c>
      <c r="AE276" s="1711">
        <f>AD276*UDV.lca.CO2_toggle</f>
        <v>0</v>
      </c>
      <c r="AF276" s="578"/>
      <c r="AG276" s="578"/>
      <c r="AH276" s="578"/>
      <c r="AI276" s="1299"/>
      <c r="AJ276" s="574"/>
      <c r="AK276" s="1290"/>
    </row>
    <row r="277" spans="1:37" x14ac:dyDescent="0.3">
      <c r="A277" s="3040"/>
      <c r="B277" s="117"/>
      <c r="C277" s="49"/>
      <c r="D277" s="50"/>
      <c r="E277" s="1300"/>
      <c r="F277" s="1300"/>
      <c r="G277" s="1300"/>
      <c r="H277" s="1300"/>
      <c r="I277" s="1300"/>
      <c r="J277" s="1711">
        <f>+SUM(D287:D289)</f>
        <v>10.456240311529578</v>
      </c>
      <c r="K277" s="2328">
        <f>+SUM(D292)</f>
        <v>4.5307148036650986</v>
      </c>
      <c r="AA277" s="3040"/>
      <c r="AB277" s="117"/>
      <c r="AC277" s="49"/>
      <c r="AD277" s="50"/>
      <c r="AE277" s="1300"/>
      <c r="AF277" s="1300"/>
      <c r="AG277" s="1300"/>
      <c r="AH277" s="1300"/>
      <c r="AI277" s="1300"/>
      <c r="AJ277" s="1711">
        <f>+SUM(AD287:AD289)</f>
        <v>10.456240311529578</v>
      </c>
      <c r="AK277" s="2328">
        <f>+SUM(AD292)</f>
        <v>4.5307148036650986</v>
      </c>
    </row>
    <row r="278" spans="1:37" x14ac:dyDescent="0.3">
      <c r="A278" s="3040"/>
      <c r="B278" s="116" t="s">
        <v>6838</v>
      </c>
      <c r="C278" s="118"/>
      <c r="D278" s="1292"/>
      <c r="E278" s="1712"/>
      <c r="F278" s="1712"/>
      <c r="G278" s="1712"/>
      <c r="H278" s="1712"/>
      <c r="I278" s="1298"/>
      <c r="J278" s="1293"/>
      <c r="K278" s="1295"/>
      <c r="AA278" s="3040"/>
      <c r="AB278" s="116" t="s">
        <v>6838</v>
      </c>
      <c r="AC278" s="118"/>
      <c r="AD278" s="1292"/>
      <c r="AE278" s="1712"/>
      <c r="AF278" s="1712"/>
      <c r="AG278" s="1712"/>
      <c r="AH278" s="1712"/>
      <c r="AI278" s="1298"/>
      <c r="AJ278" s="1293"/>
      <c r="AK278" s="1295"/>
    </row>
    <row r="279" spans="1:37" x14ac:dyDescent="0.3">
      <c r="A279" s="3040"/>
      <c r="B279" s="49" t="s">
        <v>6839</v>
      </c>
      <c r="C279" s="49" t="s">
        <v>2358</v>
      </c>
      <c r="D279" s="588">
        <f>+D283*UDV.lca.urea_n_content</f>
        <v>4.6037992730467305</v>
      </c>
      <c r="E279" s="2327">
        <f>-D279*UDV.lca.urea_gwp</f>
        <v>-5.5199553283830305</v>
      </c>
      <c r="F279" s="2327"/>
      <c r="G279" s="2327">
        <f>-D279*UDV.lca.urea_ef*UDV.lca.MJ_per_kg_oil_eq</f>
        <v>-313.88334053937461</v>
      </c>
      <c r="H279" s="2327">
        <f>-D279*UDV.lca.urea_wf</f>
        <v>-1.3784968834691404E-2</v>
      </c>
      <c r="I279" s="574"/>
      <c r="J279" s="574"/>
      <c r="K279" s="1290"/>
      <c r="AA279" s="3040"/>
      <c r="AB279" s="49" t="s">
        <v>6839</v>
      </c>
      <c r="AC279" s="49" t="s">
        <v>2358</v>
      </c>
      <c r="AD279" s="588">
        <f>D279</f>
        <v>4.6037992730467305</v>
      </c>
      <c r="AE279" s="2327">
        <f>-AD279*UDV.lca.urea_gwp</f>
        <v>-5.5199553283830305</v>
      </c>
      <c r="AF279" s="2327"/>
      <c r="AG279" s="2327">
        <f>-AD279*UDV.lca.urea_ef*UDV.lca.MJ_per_kg_oil_eq</f>
        <v>-313.88334053937461</v>
      </c>
      <c r="AH279" s="2327">
        <f>-AD279*UDV.lca.urea_wf</f>
        <v>-1.3784968834691404E-2</v>
      </c>
      <c r="AI279" s="574"/>
      <c r="AJ279" s="574"/>
      <c r="AK279" s="1290"/>
    </row>
    <row r="280" spans="1:37" x14ac:dyDescent="0.3">
      <c r="A280" s="3040"/>
      <c r="B280" s="49" t="s">
        <v>6842</v>
      </c>
      <c r="C280" s="49" t="s">
        <v>2358</v>
      </c>
      <c r="D280" s="588">
        <f>+D284*UDV.lca.P2O5_TSP</f>
        <v>1.9011552267014109</v>
      </c>
      <c r="E280" s="2327">
        <f>-D280*UDV.lca.P2O5_gwp</f>
        <v>-1.6464004263234218</v>
      </c>
      <c r="F280" s="2327"/>
      <c r="G280" s="2327">
        <f>-D280*UDV.lca.P2O5_ef*UDV.lca.MJ_per_kg_oil_eq</f>
        <v>-40.718266934821095</v>
      </c>
      <c r="H280" s="2327">
        <f>-D280*UDV.lca.P2O5_wf</f>
        <v>-7.052718966573631E-4</v>
      </c>
      <c r="I280" s="574"/>
      <c r="J280" s="574"/>
      <c r="K280" s="1290"/>
      <c r="AA280" s="3040"/>
      <c r="AB280" s="49" t="s">
        <v>6842</v>
      </c>
      <c r="AC280" s="49" t="s">
        <v>2358</v>
      </c>
      <c r="AD280" s="588">
        <f t="shared" ref="AD280:AD281" si="49">D280</f>
        <v>1.9011552267014109</v>
      </c>
      <c r="AE280" s="2327">
        <f>-AD280*UDV.lca.P2O5_gwp</f>
        <v>-1.6464004263234218</v>
      </c>
      <c r="AF280" s="2327"/>
      <c r="AG280" s="2327">
        <f>-AD280*UDV.lca.P2O5_ef*UDV.lca.MJ_per_kg_oil_eq</f>
        <v>-40.718266934821095</v>
      </c>
      <c r="AH280" s="2327">
        <f>-AD280*UDV.lca.P2O5_wf</f>
        <v>-7.052718966573631E-4</v>
      </c>
      <c r="AI280" s="574"/>
      <c r="AJ280" s="574"/>
      <c r="AK280" s="1290"/>
    </row>
    <row r="281" spans="1:37" x14ac:dyDescent="0.3">
      <c r="A281" s="3040"/>
      <c r="B281" s="49" t="s">
        <v>6844</v>
      </c>
      <c r="C281" s="49" t="s">
        <v>2358</v>
      </c>
      <c r="D281" s="588">
        <f>+D285*UDV.lca.K2O_KCI</f>
        <v>2.9131187408385575</v>
      </c>
      <c r="E281" s="2327">
        <f>-D281*UDV.lca.K2O_gwp</f>
        <v>-1.2730328897464496</v>
      </c>
      <c r="F281" s="2327"/>
      <c r="G281" s="2327">
        <f>-D281*UDV.lca.K2O_ef*UDV.lca.MJ_per_kg_oil_eq</f>
        <v>-22.570041097705285</v>
      </c>
      <c r="H281" s="2327">
        <f>-D281*UDV.lca.K2O_wf</f>
        <v>-6.6053819388418511E-3</v>
      </c>
      <c r="I281" s="574"/>
      <c r="J281" s="574"/>
      <c r="K281" s="1290"/>
      <c r="AA281" s="3040"/>
      <c r="AB281" s="49" t="s">
        <v>6844</v>
      </c>
      <c r="AC281" s="49" t="s">
        <v>2358</v>
      </c>
      <c r="AD281" s="588">
        <f t="shared" si="49"/>
        <v>2.9131187408385575</v>
      </c>
      <c r="AE281" s="2327">
        <f>-AD281*UDV.lca.K2O_gwp</f>
        <v>-1.2730328897464496</v>
      </c>
      <c r="AF281" s="2327"/>
      <c r="AG281" s="2327">
        <f>-AD281*UDV.lca.K2O_ef*UDV.lca.MJ_per_kg_oil_eq</f>
        <v>-22.570041097705285</v>
      </c>
      <c r="AH281" s="2327">
        <f>-AD281*UDV.lca.K2O_wf</f>
        <v>-6.6053819388418511E-3</v>
      </c>
      <c r="AI281" s="574"/>
      <c r="AJ281" s="574"/>
      <c r="AK281" s="1290"/>
    </row>
    <row r="282" spans="1:37" x14ac:dyDescent="0.3">
      <c r="A282" s="3040"/>
      <c r="B282" s="116" t="s">
        <v>6847</v>
      </c>
      <c r="C282" s="118"/>
      <c r="D282" s="1292"/>
      <c r="E282" s="1712"/>
      <c r="F282" s="1712"/>
      <c r="G282" s="1712"/>
      <c r="H282" s="1712"/>
      <c r="I282" s="1298"/>
      <c r="J282" s="1293"/>
      <c r="K282" s="1295"/>
      <c r="AA282" s="3040"/>
      <c r="AB282" s="116" t="s">
        <v>6847</v>
      </c>
      <c r="AC282" s="118"/>
      <c r="AD282" s="1292"/>
      <c r="AE282" s="1712"/>
      <c r="AF282" s="1712"/>
      <c r="AG282" s="1712"/>
      <c r="AH282" s="1712"/>
      <c r="AI282" s="1298"/>
      <c r="AJ282" s="1293"/>
      <c r="AK282" s="1295"/>
    </row>
    <row r="283" spans="1:37" x14ac:dyDescent="0.3">
      <c r="A283" s="3040"/>
      <c r="B283" s="49" t="s">
        <v>84</v>
      </c>
      <c r="C283" s="49" t="s">
        <v>2358</v>
      </c>
      <c r="D283" s="37">
        <f>'Sc8'!C10+'Sc8'!C14-'Sc8'!C67-'Sc8'!C71</f>
        <v>6.5768561043524727</v>
      </c>
      <c r="E283" s="578"/>
      <c r="F283" s="578"/>
      <c r="G283" s="578"/>
      <c r="H283" s="578"/>
      <c r="I283" s="1299"/>
      <c r="J283" s="574"/>
      <c r="K283" s="1290"/>
      <c r="AA283" s="3040"/>
      <c r="AB283" s="49" t="s">
        <v>84</v>
      </c>
      <c r="AC283" s="49" t="s">
        <v>2358</v>
      </c>
      <c r="AD283" s="50">
        <f>D283</f>
        <v>6.5768561043524727</v>
      </c>
      <c r="AE283" s="578"/>
      <c r="AF283" s="578"/>
      <c r="AG283" s="578"/>
      <c r="AH283" s="578"/>
      <c r="AI283" s="1299"/>
      <c r="AJ283" s="574"/>
      <c r="AK283" s="1290"/>
    </row>
    <row r="284" spans="1:37" x14ac:dyDescent="0.3">
      <c r="A284" s="3040"/>
      <c r="B284" s="49" t="s">
        <v>941</v>
      </c>
      <c r="C284" s="49" t="s">
        <v>2358</v>
      </c>
      <c r="D284" s="37">
        <f>'Sc8'!C11+'Sc8'!C15-'Sc8'!C68-'Sc8'!C72</f>
        <v>2.112394696334901</v>
      </c>
      <c r="E284" s="578"/>
      <c r="F284" s="578"/>
      <c r="G284" s="578"/>
      <c r="H284" s="578"/>
      <c r="I284" s="1299"/>
      <c r="J284" s="574"/>
      <c r="K284" s="1290"/>
      <c r="AA284" s="3040"/>
      <c r="AB284" s="49" t="s">
        <v>941</v>
      </c>
      <c r="AC284" s="49" t="s">
        <v>2358</v>
      </c>
      <c r="AD284" s="50">
        <f t="shared" ref="AD284:AD285" si="50">D284</f>
        <v>2.112394696334901</v>
      </c>
      <c r="AE284" s="578"/>
      <c r="AF284" s="578"/>
      <c r="AG284" s="578"/>
      <c r="AH284" s="578"/>
      <c r="AI284" s="1299"/>
      <c r="AJ284" s="574"/>
      <c r="AK284" s="1290"/>
    </row>
    <row r="285" spans="1:37" x14ac:dyDescent="0.3">
      <c r="A285" s="3040"/>
      <c r="B285" s="49" t="s">
        <v>934</v>
      </c>
      <c r="C285" s="49" t="s">
        <v>2358</v>
      </c>
      <c r="D285" s="37">
        <f>'Sc8'!C12+'Sc8'!C16-'Sc8'!C69-'Sc8'!C73</f>
        <v>2.9131187408385575</v>
      </c>
      <c r="E285" s="578"/>
      <c r="F285" s="578"/>
      <c r="G285" s="578"/>
      <c r="H285" s="578"/>
      <c r="I285" s="1299"/>
      <c r="J285" s="574"/>
      <c r="K285" s="1290"/>
      <c r="AA285" s="3040"/>
      <c r="AB285" s="49" t="s">
        <v>934</v>
      </c>
      <c r="AC285" s="49" t="s">
        <v>2358</v>
      </c>
      <c r="AD285" s="50">
        <f t="shared" si="50"/>
        <v>2.9131187408385575</v>
      </c>
      <c r="AE285" s="578"/>
      <c r="AF285" s="578"/>
      <c r="AG285" s="578"/>
      <c r="AH285" s="578"/>
      <c r="AI285" s="1299"/>
      <c r="AJ285" s="574"/>
      <c r="AK285" s="1290"/>
    </row>
    <row r="286" spans="1:37" x14ac:dyDescent="0.3">
      <c r="A286" s="3040"/>
      <c r="B286" s="116" t="s">
        <v>6856</v>
      </c>
      <c r="C286" s="118"/>
      <c r="D286" s="1292"/>
      <c r="E286" s="1712"/>
      <c r="F286" s="1712"/>
      <c r="G286" s="1712"/>
      <c r="H286" s="1712"/>
      <c r="I286" s="1298"/>
      <c r="J286" s="1293"/>
      <c r="K286" s="1295"/>
      <c r="AA286" s="3040"/>
      <c r="AB286" s="116" t="s">
        <v>6856</v>
      </c>
      <c r="AC286" s="118"/>
      <c r="AD286" s="1292"/>
      <c r="AE286" s="1712"/>
      <c r="AF286" s="1712"/>
      <c r="AG286" s="1712"/>
      <c r="AH286" s="1712"/>
      <c r="AI286" s="1298"/>
      <c r="AJ286" s="1293"/>
      <c r="AK286" s="1295"/>
    </row>
    <row r="287" spans="1:37" x14ac:dyDescent="0.3">
      <c r="A287" s="3040"/>
      <c r="B287" s="49" t="s">
        <v>6859</v>
      </c>
      <c r="C287" s="49" t="s">
        <v>2358</v>
      </c>
      <c r="D287" s="37">
        <f>'Sc8'!C27</f>
        <v>0.2199320164654491</v>
      </c>
      <c r="E287" s="578"/>
      <c r="F287" s="578"/>
      <c r="G287" s="578"/>
      <c r="H287" s="578"/>
      <c r="I287" s="1299"/>
      <c r="J287" s="571"/>
      <c r="K287" s="1290"/>
      <c r="AA287" s="3040"/>
      <c r="AB287" s="49" t="s">
        <v>6859</v>
      </c>
      <c r="AC287" s="49" t="s">
        <v>2358</v>
      </c>
      <c r="AD287" s="37">
        <f>D287</f>
        <v>0.2199320164654491</v>
      </c>
      <c r="AE287" s="578"/>
      <c r="AF287" s="578"/>
      <c r="AG287" s="578"/>
      <c r="AH287" s="578"/>
      <c r="AI287" s="1299"/>
      <c r="AJ287" s="571"/>
      <c r="AK287" s="1290"/>
    </row>
    <row r="288" spans="1:37" x14ac:dyDescent="0.3">
      <c r="A288" s="3040"/>
      <c r="B288" s="49" t="s">
        <v>6861</v>
      </c>
      <c r="C288" s="49" t="s">
        <v>2358</v>
      </c>
      <c r="D288" s="37">
        <f>'Sc8'!C28</f>
        <v>10.20243876448329</v>
      </c>
      <c r="E288" s="578"/>
      <c r="F288" s="578"/>
      <c r="G288" s="578"/>
      <c r="H288" s="578"/>
      <c r="I288" s="1299"/>
      <c r="J288" s="571"/>
      <c r="K288" s="1290"/>
      <c r="AA288" s="3040"/>
      <c r="AB288" s="49" t="s">
        <v>6861</v>
      </c>
      <c r="AC288" s="49" t="s">
        <v>2358</v>
      </c>
      <c r="AD288" s="37">
        <f t="shared" ref="AD288:AD289" si="51">D288</f>
        <v>10.20243876448329</v>
      </c>
      <c r="AE288" s="578"/>
      <c r="AF288" s="578"/>
      <c r="AG288" s="578"/>
      <c r="AH288" s="578"/>
      <c r="AI288" s="1299"/>
      <c r="AJ288" s="571"/>
      <c r="AK288" s="1290"/>
    </row>
    <row r="289" spans="1:37" x14ac:dyDescent="0.3">
      <c r="A289" s="3040"/>
      <c r="B289" s="49" t="s">
        <v>6864</v>
      </c>
      <c r="C289" s="49" t="s">
        <v>2358</v>
      </c>
      <c r="D289" s="37">
        <f>'Sc8'!C29</f>
        <v>3.3869530580838539E-2</v>
      </c>
      <c r="E289" s="578"/>
      <c r="F289" s="578"/>
      <c r="G289" s="578"/>
      <c r="H289" s="578"/>
      <c r="I289" s="1299"/>
      <c r="J289" s="571"/>
      <c r="K289" s="1290"/>
      <c r="AA289" s="3040"/>
      <c r="AB289" s="49" t="s">
        <v>6864</v>
      </c>
      <c r="AC289" s="49" t="s">
        <v>2358</v>
      </c>
      <c r="AD289" s="37">
        <f t="shared" si="51"/>
        <v>3.3869530580838539E-2</v>
      </c>
      <c r="AE289" s="578"/>
      <c r="AF289" s="578"/>
      <c r="AG289" s="578"/>
      <c r="AH289" s="578"/>
      <c r="AI289" s="1299"/>
      <c r="AJ289" s="571"/>
      <c r="AK289" s="1290"/>
    </row>
    <row r="290" spans="1:37" x14ac:dyDescent="0.3">
      <c r="A290" s="3040"/>
      <c r="B290" s="49"/>
      <c r="C290" s="49"/>
      <c r="D290" s="37"/>
      <c r="E290" s="578"/>
      <c r="F290" s="578"/>
      <c r="G290" s="578"/>
      <c r="H290" s="578"/>
      <c r="I290" s="1299"/>
      <c r="J290" s="571"/>
      <c r="K290" s="1290"/>
      <c r="AA290" s="3040"/>
      <c r="AB290" s="49"/>
      <c r="AC290" s="49"/>
      <c r="AD290" s="37"/>
      <c r="AE290" s="578"/>
      <c r="AF290" s="578"/>
      <c r="AG290" s="578"/>
      <c r="AH290" s="578"/>
      <c r="AI290" s="1299"/>
      <c r="AJ290" s="571"/>
      <c r="AK290" s="1290"/>
    </row>
    <row r="291" spans="1:37" x14ac:dyDescent="0.3">
      <c r="A291" s="3040"/>
      <c r="B291" s="116" t="s">
        <v>6865</v>
      </c>
      <c r="C291" s="118"/>
      <c r="D291" s="1292"/>
      <c r="E291" s="1712"/>
      <c r="F291" s="1712"/>
      <c r="G291" s="1712"/>
      <c r="H291" s="1712"/>
      <c r="I291" s="1298"/>
      <c r="J291" s="1293"/>
      <c r="K291" s="1295"/>
      <c r="AA291" s="3040"/>
      <c r="AB291" s="116" t="s">
        <v>6865</v>
      </c>
      <c r="AC291" s="118"/>
      <c r="AD291" s="1292"/>
      <c r="AE291" s="1712"/>
      <c r="AF291" s="1712"/>
      <c r="AG291" s="1712"/>
      <c r="AH291" s="1712"/>
      <c r="AI291" s="1298"/>
      <c r="AJ291" s="1293"/>
      <c r="AK291" s="1295"/>
    </row>
    <row r="292" spans="1:37" x14ac:dyDescent="0.3">
      <c r="A292" s="3040"/>
      <c r="B292" s="49" t="s">
        <v>6867</v>
      </c>
      <c r="C292" s="49" t="s">
        <v>2358</v>
      </c>
      <c r="D292" s="37">
        <f>'Sc8'!C68+'Sc8'!C72</f>
        <v>4.5307148036650986</v>
      </c>
      <c r="E292" s="578"/>
      <c r="F292" s="578"/>
      <c r="G292" s="578"/>
      <c r="H292" s="578"/>
      <c r="I292" s="1299"/>
      <c r="J292" s="571"/>
      <c r="K292" s="1290"/>
      <c r="AA292" s="3040"/>
      <c r="AB292" s="49" t="s">
        <v>6867</v>
      </c>
      <c r="AC292" s="49" t="s">
        <v>2358</v>
      </c>
      <c r="AD292" s="37">
        <f>D292</f>
        <v>4.5307148036650986</v>
      </c>
      <c r="AE292" s="578"/>
      <c r="AF292" s="578"/>
      <c r="AG292" s="578"/>
      <c r="AH292" s="578"/>
      <c r="AI292" s="1299"/>
      <c r="AJ292" s="571"/>
      <c r="AK292" s="1290"/>
    </row>
    <row r="293" spans="1:37" x14ac:dyDescent="0.3">
      <c r="A293" s="3040"/>
      <c r="B293" s="49"/>
      <c r="C293" s="49"/>
      <c r="D293" s="18" t="s">
        <v>6869</v>
      </c>
      <c r="E293" s="122">
        <f>+SUM(E265:E270,E274:E276,E277)</f>
        <v>617.18251733670809</v>
      </c>
      <c r="F293" s="37"/>
      <c r="G293" s="37"/>
      <c r="H293" s="37"/>
      <c r="I293" s="57"/>
      <c r="J293" s="49"/>
      <c r="K293" s="11"/>
      <c r="AA293" s="3040"/>
      <c r="AB293" s="49"/>
      <c r="AC293" s="49"/>
      <c r="AD293" s="18" t="s">
        <v>6869</v>
      </c>
      <c r="AE293" s="122">
        <f>+SUM(AE265:AE270,AE274:AE276,AE277)</f>
        <v>613.71583744150325</v>
      </c>
      <c r="AF293" s="37"/>
      <c r="AG293" s="37"/>
      <c r="AH293" s="37"/>
      <c r="AI293" s="57"/>
      <c r="AJ293" s="49"/>
      <c r="AK293" s="11"/>
    </row>
    <row r="294" spans="1:37" x14ac:dyDescent="0.3">
      <c r="A294" s="3040"/>
      <c r="B294" s="118" t="s">
        <v>6871</v>
      </c>
      <c r="C294" s="119" t="s">
        <v>4815</v>
      </c>
      <c r="D294" s="1708" t="s">
        <v>630</v>
      </c>
      <c r="E294" s="1281">
        <f>+SUM(E272:E277,E270)</f>
        <v>613.75810152268582</v>
      </c>
      <c r="F294" s="1281">
        <f>+SUM(F272:F277)</f>
        <v>294.2399577070621</v>
      </c>
      <c r="G294" s="1281">
        <f>+SUM(G272:G277)</f>
        <v>0</v>
      </c>
      <c r="H294" s="2267">
        <f>+SUM(H265,H272:H277)</f>
        <v>0.42801617357511107</v>
      </c>
      <c r="I294" s="641">
        <f>I265</f>
        <v>0.42748609082249117</v>
      </c>
      <c r="J294" s="1281">
        <f>+J277</f>
        <v>10.456240311529578</v>
      </c>
      <c r="K294" s="1282">
        <f>+K277</f>
        <v>4.5307148036650986</v>
      </c>
      <c r="AA294" s="3040"/>
      <c r="AB294" s="118" t="s">
        <v>6871</v>
      </c>
      <c r="AC294" s="119" t="s">
        <v>4815</v>
      </c>
      <c r="AD294" s="1708" t="s">
        <v>630</v>
      </c>
      <c r="AE294" s="1281">
        <f>+SUM(AE272:AE277,AE270)</f>
        <v>611.64517088839079</v>
      </c>
      <c r="AF294" s="1281">
        <f>+SUM(AF272:AF277)</f>
        <v>294.2399577070621</v>
      </c>
      <c r="AG294" s="1281">
        <f>+SUM(AG272:AG277)</f>
        <v>0</v>
      </c>
      <c r="AH294" s="2267">
        <f>+SUM(AH265,AH272:AH277)</f>
        <v>0.42801617357511107</v>
      </c>
      <c r="AI294" s="641">
        <f>AI265</f>
        <v>0.42748609082249117</v>
      </c>
      <c r="AJ294" s="1281">
        <f>+AJ277</f>
        <v>10.456240311529578</v>
      </c>
      <c r="AK294" s="1282">
        <f>+AK277</f>
        <v>4.5307148036650986</v>
      </c>
    </row>
    <row r="295" spans="1:37" x14ac:dyDescent="0.3">
      <c r="A295" s="3040"/>
      <c r="B295" s="118" t="s">
        <v>6874</v>
      </c>
      <c r="C295" s="118"/>
      <c r="D295" s="1709" t="s">
        <v>6875</v>
      </c>
      <c r="E295" s="922">
        <f>+SUM(E265:E269,E279:E281)</f>
        <v>-5.0149728304306578</v>
      </c>
      <c r="F295" s="922">
        <f>+SUM(F265:F270,F279:F281)</f>
        <v>0</v>
      </c>
      <c r="G295" s="922">
        <f>+SUM(G265:G270,G279:G281)</f>
        <v>-285.98295086235805</v>
      </c>
      <c r="H295" s="2268">
        <f>+SUM(H266:H270,H279:H281)</f>
        <v>6.1583164417282977E-3</v>
      </c>
      <c r="I295" s="1283">
        <v>0</v>
      </c>
      <c r="J295" s="922"/>
      <c r="K295" s="1284"/>
      <c r="AA295" s="3040"/>
      <c r="AB295" s="118" t="s">
        <v>6874</v>
      </c>
      <c r="AC295" s="118"/>
      <c r="AD295" s="1709" t="s">
        <v>6875</v>
      </c>
      <c r="AE295" s="922">
        <f>+SUM(AE265:AE269,AE279:AE281)</f>
        <v>-6.36872209134052</v>
      </c>
      <c r="AF295" s="922">
        <f>+SUM(AF265:AF270,AF279:AF281)</f>
        <v>0</v>
      </c>
      <c r="AG295" s="922">
        <f>+SUM(AG265:AG270,AG279:AG281)</f>
        <v>-334.72902499905251</v>
      </c>
      <c r="AH295" s="2268">
        <f>+SUM(AH266:AH270,AH279:AH281)</f>
        <v>-7.3791761673703193E-3</v>
      </c>
      <c r="AI295" s="1283">
        <v>0</v>
      </c>
      <c r="AJ295" s="922"/>
      <c r="AK295" s="1284"/>
    </row>
    <row r="296" spans="1:37" ht="15" thickBot="1" x14ac:dyDescent="0.35">
      <c r="A296" s="3041"/>
      <c r="B296" s="22"/>
      <c r="C296" s="1291"/>
      <c r="D296" s="1710" t="s">
        <v>6876</v>
      </c>
      <c r="E296" s="1285">
        <f>E294+E295</f>
        <v>608.74312869225514</v>
      </c>
      <c r="F296" s="1285">
        <f>F294+F295</f>
        <v>294.2399577070621</v>
      </c>
      <c r="G296" s="1285">
        <f>G294+G295</f>
        <v>-285.98295086235805</v>
      </c>
      <c r="H296" s="2269">
        <f t="shared" ref="H296" si="52">H294+H295</f>
        <v>0.43417449001683939</v>
      </c>
      <c r="I296" s="1285">
        <f>I294+I295</f>
        <v>0.42748609082249117</v>
      </c>
      <c r="J296" s="1285">
        <f>J294+J295</f>
        <v>10.456240311529578</v>
      </c>
      <c r="K296" s="1286">
        <f>K294+K295</f>
        <v>4.5307148036650986</v>
      </c>
      <c r="AA296" s="3041"/>
      <c r="AB296" s="22"/>
      <c r="AC296" s="1291"/>
      <c r="AD296" s="1710" t="s">
        <v>6876</v>
      </c>
      <c r="AE296" s="1285">
        <f>AE294+AE295</f>
        <v>605.27644879705031</v>
      </c>
      <c r="AF296" s="1285">
        <f>AF294+AF295</f>
        <v>294.2399577070621</v>
      </c>
      <c r="AG296" s="1285">
        <f>AG294+AG295</f>
        <v>-334.72902499905251</v>
      </c>
      <c r="AH296" s="2269">
        <f t="shared" ref="AH296" si="53">AH294+AH295</f>
        <v>0.42063699740774074</v>
      </c>
      <c r="AI296" s="1285">
        <f>AI294+AI295</f>
        <v>0.42748609082249117</v>
      </c>
      <c r="AJ296" s="1285">
        <f>AJ294+AJ295</f>
        <v>10.456240311529578</v>
      </c>
      <c r="AK296" s="1286">
        <f>AK294+AK295</f>
        <v>4.5307148036650986</v>
      </c>
    </row>
    <row r="297" spans="1:37" ht="15" thickBot="1" x14ac:dyDescent="0.35"/>
    <row r="298" spans="1:37" x14ac:dyDescent="0.3">
      <c r="A298" s="3039" t="s">
        <v>6908</v>
      </c>
      <c r="B298" s="49"/>
      <c r="C298" s="49"/>
      <c r="D298" s="9"/>
      <c r="E298" s="565"/>
      <c r="F298" s="565"/>
      <c r="G298" s="565"/>
      <c r="H298" s="565"/>
      <c r="I298" s="1297"/>
      <c r="J298" s="3038" t="s">
        <v>6791</v>
      </c>
      <c r="K298" s="3038"/>
      <c r="AA298" s="3039" t="s">
        <v>6909</v>
      </c>
      <c r="AB298" s="49"/>
      <c r="AC298" s="49"/>
      <c r="AD298" s="9"/>
      <c r="AE298" s="565"/>
      <c r="AF298" s="565"/>
      <c r="AG298" s="565"/>
      <c r="AH298" s="565"/>
      <c r="AI298" s="1297"/>
      <c r="AJ298" s="3038" t="s">
        <v>6791</v>
      </c>
      <c r="AK298" s="3038"/>
    </row>
    <row r="299" spans="1:37" ht="72" x14ac:dyDescent="0.3">
      <c r="A299" s="3040"/>
      <c r="B299" s="566"/>
      <c r="C299" s="566" t="s">
        <v>6795</v>
      </c>
      <c r="D299" s="567" t="s">
        <v>6796</v>
      </c>
      <c r="E299" s="567" t="s">
        <v>4824</v>
      </c>
      <c r="F299" s="567" t="s">
        <v>447</v>
      </c>
      <c r="G299" s="567" t="s">
        <v>446</v>
      </c>
      <c r="H299" s="567" t="s">
        <v>2599</v>
      </c>
      <c r="I299" s="1279" t="s">
        <v>6797</v>
      </c>
      <c r="J299" s="567" t="s">
        <v>4832</v>
      </c>
      <c r="K299" s="567" t="s">
        <v>6798</v>
      </c>
      <c r="AA299" s="3040"/>
      <c r="AB299" s="566"/>
      <c r="AC299" s="566" t="s">
        <v>6795</v>
      </c>
      <c r="AD299" s="567" t="s">
        <v>6796</v>
      </c>
      <c r="AE299" s="567" t="s">
        <v>4824</v>
      </c>
      <c r="AF299" s="567" t="s">
        <v>447</v>
      </c>
      <c r="AG299" s="567" t="s">
        <v>446</v>
      </c>
      <c r="AH299" s="567" t="s">
        <v>2599</v>
      </c>
      <c r="AI299" s="1279" t="s">
        <v>6797</v>
      </c>
      <c r="AJ299" s="567" t="s">
        <v>4832</v>
      </c>
      <c r="AK299" s="567" t="s">
        <v>6798</v>
      </c>
    </row>
    <row r="300" spans="1:37" ht="16.8" x14ac:dyDescent="0.35">
      <c r="A300" s="3040"/>
      <c r="B300" s="568"/>
      <c r="C300" s="568"/>
      <c r="D300" s="569"/>
      <c r="E300" s="570" t="s">
        <v>6799</v>
      </c>
      <c r="F300" s="570" t="s">
        <v>6800</v>
      </c>
      <c r="G300" s="570" t="s">
        <v>2435</v>
      </c>
      <c r="H300" s="570" t="s">
        <v>6801</v>
      </c>
      <c r="I300" s="1280" t="s">
        <v>2478</v>
      </c>
      <c r="J300" s="569" t="s">
        <v>6802</v>
      </c>
      <c r="K300" s="569" t="s">
        <v>6803</v>
      </c>
      <c r="AA300" s="3040"/>
      <c r="AB300" s="568"/>
      <c r="AC300" s="568"/>
      <c r="AD300" s="569"/>
      <c r="AE300" s="570" t="s">
        <v>6799</v>
      </c>
      <c r="AF300" s="570" t="s">
        <v>6800</v>
      </c>
      <c r="AG300" s="570" t="s">
        <v>2435</v>
      </c>
      <c r="AH300" s="570" t="s">
        <v>6801</v>
      </c>
      <c r="AI300" s="1280" t="s">
        <v>2478</v>
      </c>
      <c r="AJ300" s="569" t="s">
        <v>6802</v>
      </c>
      <c r="AK300" s="569" t="s">
        <v>6803</v>
      </c>
    </row>
    <row r="301" spans="1:37" x14ac:dyDescent="0.3">
      <c r="A301" s="3040"/>
      <c r="B301" s="116" t="s">
        <v>6805</v>
      </c>
      <c r="C301" s="118"/>
      <c r="D301" s="1292"/>
      <c r="E301" s="1293"/>
      <c r="F301" s="1293"/>
      <c r="G301" s="1292"/>
      <c r="H301" s="1293"/>
      <c r="I301" s="1294"/>
      <c r="J301" s="1293"/>
      <c r="K301" s="1295"/>
      <c r="AA301" s="3040"/>
      <c r="AB301" s="116" t="s">
        <v>6805</v>
      </c>
      <c r="AC301" s="118"/>
      <c r="AD301" s="1292"/>
      <c r="AE301" s="1293"/>
      <c r="AF301" s="1293"/>
      <c r="AG301" s="1292"/>
      <c r="AH301" s="1293"/>
      <c r="AI301" s="1294"/>
      <c r="AJ301" s="1293"/>
      <c r="AK301" s="1295"/>
    </row>
    <row r="302" spans="1:37" x14ac:dyDescent="0.3">
      <c r="A302" s="3040"/>
      <c r="B302" s="49" t="s">
        <v>415</v>
      </c>
      <c r="C302" s="49" t="s">
        <v>2358</v>
      </c>
      <c r="D302" s="50">
        <f>'Sc9'!C5*1000</f>
        <v>470.53708606504847</v>
      </c>
      <c r="E302" s="2326">
        <f>+D302*UDV.lca.water_gwp</f>
        <v>0.21174168872927179</v>
      </c>
      <c r="F302" s="2327"/>
      <c r="G302" s="2327">
        <f>+D302*UDV.lca.water_ef*UDV.lca.MJ_per_kg_oil_eq</f>
        <v>3.1522220469669731</v>
      </c>
      <c r="H302" s="1711">
        <f>+D302*UDV.lca.water_wf</f>
        <v>0.47112055205176917</v>
      </c>
      <c r="I302" s="1296">
        <f>D302/1000</f>
        <v>0.47053708606504846</v>
      </c>
      <c r="J302" s="574"/>
      <c r="K302" s="1290"/>
      <c r="AA302" s="3040"/>
      <c r="AB302" s="49" t="s">
        <v>415</v>
      </c>
      <c r="AC302" s="49" t="s">
        <v>2358</v>
      </c>
      <c r="AD302" s="50">
        <f>D302</f>
        <v>470.53708606504847</v>
      </c>
      <c r="AE302" s="2326">
        <f>+AD302*UDV.lca.water_gwp</f>
        <v>0.21174168872927179</v>
      </c>
      <c r="AF302" s="2327"/>
      <c r="AG302" s="2327">
        <f>+AD302*UDV.lca.water_ef*UDV.lca.MJ_per_kg_oil_eq</f>
        <v>3.1522220469669731</v>
      </c>
      <c r="AH302" s="1711">
        <f>+AD302*UDV.lca.water_wf</f>
        <v>0.47112055205176917</v>
      </c>
      <c r="AI302" s="1296">
        <f>AD302/1000</f>
        <v>0.47053708606504846</v>
      </c>
      <c r="AJ302" s="574"/>
      <c r="AK302" s="1290"/>
    </row>
    <row r="303" spans="1:37" x14ac:dyDescent="0.3">
      <c r="A303" s="3040"/>
      <c r="B303" s="49" t="s">
        <v>409</v>
      </c>
      <c r="C303" s="49" t="s">
        <v>2556</v>
      </c>
      <c r="D303" s="37">
        <f>'Sc9'!C6</f>
        <v>7.1199205470333897</v>
      </c>
      <c r="E303" s="2326">
        <f>+D303*UDV.lca.electricity_gwp</f>
        <v>2.5523418654106171</v>
      </c>
      <c r="F303" s="2327"/>
      <c r="G303" s="2327">
        <f>+D303*UDV.lca.electricity_ef*UDV.lca.MJ_per_kg_oil_eq</f>
        <v>13.653487157336391</v>
      </c>
      <c r="H303" s="2327">
        <f>+D303*UDV.lca.electricity_wf</f>
        <v>1.1391872875253424E-2</v>
      </c>
      <c r="I303" s="1296"/>
      <c r="J303" s="574"/>
      <c r="K303" s="1290"/>
      <c r="AA303" s="3040"/>
      <c r="AB303" s="49" t="s">
        <v>409</v>
      </c>
      <c r="AC303" s="49" t="s">
        <v>2556</v>
      </c>
      <c r="AD303" s="50">
        <f>D303</f>
        <v>7.1199205470333897</v>
      </c>
      <c r="AE303" s="2326">
        <f>+AD303*UDV.lca.electricity_gwp</f>
        <v>2.5523418654106171</v>
      </c>
      <c r="AF303" s="2327"/>
      <c r="AG303" s="2327">
        <f>+AD303*UDV.lca.electricity_ef*UDV.lca.MJ_per_kg_oil_eq</f>
        <v>13.653487157336391</v>
      </c>
      <c r="AH303" s="2327">
        <f>+AD303*UDV.lca.electricity_wf</f>
        <v>1.1391872875253424E-2</v>
      </c>
      <c r="AI303" s="1296"/>
      <c r="AJ303" s="574"/>
      <c r="AK303" s="1290"/>
    </row>
    <row r="304" spans="1:37" x14ac:dyDescent="0.3">
      <c r="A304" s="3040"/>
      <c r="B304" s="49" t="s">
        <v>6812</v>
      </c>
      <c r="C304" s="49" t="s">
        <v>2435</v>
      </c>
      <c r="D304" s="50">
        <f>'Sc9'!C56*UDV.lca.MJ_per_gal_diesel</f>
        <v>47.676351713220264</v>
      </c>
      <c r="E304" s="2326">
        <f>+D304*UDV.lca.diesel_gwp</f>
        <v>2.1454358270949117</v>
      </c>
      <c r="F304" s="2327"/>
      <c r="G304" s="2326">
        <f>+D304*UDV.lca.diesel_ef*UDV.lca.MJ_per_kg_oil_eq</f>
        <v>77.253282349198997</v>
      </c>
      <c r="H304" s="2327">
        <f>+D304*UDV.lca.diesel_wf</f>
        <v>2.1454358270949117E-2</v>
      </c>
      <c r="I304" s="1296"/>
      <c r="J304" s="574"/>
      <c r="K304" s="1290"/>
      <c r="AA304" s="3040"/>
      <c r="AB304" s="49" t="s">
        <v>6812</v>
      </c>
      <c r="AC304" s="49" t="s">
        <v>2435</v>
      </c>
      <c r="AD304" s="53">
        <f>'Sc9'!C57*UDV.lca.MJ_per_gal_diesel</f>
        <v>20.031351417676273</v>
      </c>
      <c r="AE304" s="2326">
        <f>+AD304*UDV.lca.diesel_gwp</f>
        <v>0.9014108137954322</v>
      </c>
      <c r="AF304" s="2327"/>
      <c r="AG304" s="2326">
        <f>+AD304*UDV.lca.diesel_ef*UDV.lca.MJ_per_kg_oil_eq</f>
        <v>32.458180865308684</v>
      </c>
      <c r="AH304" s="2327">
        <f>+AD304*UDV.lca.diesel_wf</f>
        <v>9.0141081379543214E-3</v>
      </c>
      <c r="AI304" s="1296"/>
      <c r="AJ304" s="574"/>
      <c r="AK304" s="1290"/>
    </row>
    <row r="305" spans="1:37" x14ac:dyDescent="0.3">
      <c r="A305" s="3040"/>
      <c r="B305" s="49" t="s">
        <v>6814</v>
      </c>
      <c r="C305" s="49" t="s">
        <v>2358</v>
      </c>
      <c r="D305" s="9"/>
      <c r="E305" s="2326">
        <f>+D305*UDV.lca.sand_gwp</f>
        <v>0</v>
      </c>
      <c r="F305" s="2327"/>
      <c r="G305" s="2327">
        <f>+D305*UDV.lca.sand_ef*UDV.lca.MJ_per_kg_oil_eq</f>
        <v>0</v>
      </c>
      <c r="H305" s="2327">
        <f>+D305*UDV.lca.sand_wf</f>
        <v>0</v>
      </c>
      <c r="I305" s="1296"/>
      <c r="J305" s="574"/>
      <c r="K305" s="1290"/>
      <c r="AA305" s="3040"/>
      <c r="AB305" s="49" t="s">
        <v>6814</v>
      </c>
      <c r="AC305" s="49" t="s">
        <v>2358</v>
      </c>
      <c r="AD305" s="9"/>
      <c r="AE305" s="2326">
        <f>+AD305*UDV.lca.sand_gwp</f>
        <v>0</v>
      </c>
      <c r="AF305" s="2327"/>
      <c r="AG305" s="2327">
        <f>+AD305*UDV.lca.sand_ef*UDV.lca.MJ_per_kg_oil_eq</f>
        <v>0</v>
      </c>
      <c r="AH305" s="2327">
        <f>+AD305*UDV.lca.sand_wf</f>
        <v>0</v>
      </c>
      <c r="AI305" s="1296"/>
      <c r="AJ305" s="574"/>
      <c r="AK305" s="1290"/>
    </row>
    <row r="306" spans="1:37" x14ac:dyDescent="0.3">
      <c r="A306" s="3040"/>
      <c r="B306" s="49"/>
      <c r="C306" s="49"/>
      <c r="D306" s="50"/>
      <c r="E306" s="2327"/>
      <c r="F306" s="2327"/>
      <c r="G306" s="2327"/>
      <c r="H306" s="2327"/>
      <c r="I306" s="1296"/>
      <c r="J306" s="574"/>
      <c r="K306" s="1290"/>
      <c r="AA306" s="3040"/>
      <c r="AB306" s="49"/>
      <c r="AC306" s="49"/>
      <c r="AD306" s="9"/>
      <c r="AE306" s="2327"/>
      <c r="AF306" s="2327"/>
      <c r="AG306" s="2327"/>
      <c r="AH306" s="2327"/>
      <c r="AI306" s="1296"/>
      <c r="AJ306" s="574"/>
      <c r="AK306" s="1290"/>
    </row>
    <row r="307" spans="1:37" x14ac:dyDescent="0.3">
      <c r="A307" s="3040"/>
      <c r="B307" s="1089" t="s">
        <v>6819</v>
      </c>
      <c r="C307" s="1089" t="s">
        <v>4885</v>
      </c>
      <c r="D307" s="1711">
        <f>'Sc9'!C56</f>
        <v>0.32893853810694262</v>
      </c>
      <c r="E307" s="1711">
        <f>D307*UDV.lca.diesel_combustion_gwp</f>
        <v>3.3485943179286757</v>
      </c>
      <c r="F307" s="1296"/>
      <c r="G307" s="1296"/>
      <c r="H307" s="1296"/>
      <c r="I307" s="1296"/>
      <c r="J307" s="574"/>
      <c r="K307" s="1290"/>
      <c r="AA307" s="3040"/>
      <c r="AB307" s="1089" t="s">
        <v>6819</v>
      </c>
      <c r="AC307" s="1089" t="s">
        <v>4885</v>
      </c>
      <c r="AD307" s="2322">
        <f>'Sc9'!C57</f>
        <v>0.13820443920019507</v>
      </c>
      <c r="AE307" s="1711">
        <f>AD307*UDV.lca.diesel_combustion_gwp</f>
        <v>1.4069211910579857</v>
      </c>
      <c r="AF307" s="1296"/>
      <c r="AG307" s="1296"/>
      <c r="AH307" s="1296"/>
      <c r="AI307" s="1296"/>
      <c r="AJ307" s="574"/>
      <c r="AK307" s="1290"/>
    </row>
    <row r="308" spans="1:37" x14ac:dyDescent="0.3">
      <c r="A308" s="3040"/>
      <c r="B308" s="118" t="s">
        <v>6822</v>
      </c>
      <c r="C308" s="118"/>
      <c r="D308" s="1292"/>
      <c r="E308" s="1712"/>
      <c r="F308" s="1712"/>
      <c r="G308" s="1712"/>
      <c r="H308" s="1712"/>
      <c r="I308" s="1298"/>
      <c r="J308" s="1298"/>
      <c r="K308" s="1713"/>
      <c r="AA308" s="3040"/>
      <c r="AB308" s="118" t="s">
        <v>6822</v>
      </c>
      <c r="AC308" s="118"/>
      <c r="AD308" s="1292"/>
      <c r="AE308" s="1712"/>
      <c r="AF308" s="1712"/>
      <c r="AG308" s="1712"/>
      <c r="AH308" s="1712"/>
      <c r="AI308" s="1298"/>
      <c r="AJ308" s="1298"/>
      <c r="AK308" s="1713"/>
    </row>
    <row r="309" spans="1:37" x14ac:dyDescent="0.3">
      <c r="A309" s="3040"/>
      <c r="B309" s="49" t="s">
        <v>6786</v>
      </c>
      <c r="C309" s="49" t="s">
        <v>2268</v>
      </c>
      <c r="D309" s="50">
        <f>'Sc9'!C8</f>
        <v>535.85114165998573</v>
      </c>
      <c r="E309" s="578"/>
      <c r="F309" s="1711">
        <f>+D309</f>
        <v>535.85114165998573</v>
      </c>
      <c r="G309" s="578"/>
      <c r="H309" s="578"/>
      <c r="I309" s="1299"/>
      <c r="J309" s="574"/>
      <c r="K309" s="1290"/>
      <c r="AA309" s="3040"/>
      <c r="AB309" s="49" t="s">
        <v>6786</v>
      </c>
      <c r="AC309" s="49" t="s">
        <v>2268</v>
      </c>
      <c r="AD309" s="50">
        <f>D309</f>
        <v>535.85114165998573</v>
      </c>
      <c r="AE309" s="578"/>
      <c r="AF309" s="1711">
        <f>+AD309</f>
        <v>535.85114165998573</v>
      </c>
      <c r="AG309" s="578"/>
      <c r="AH309" s="578"/>
      <c r="AI309" s="1299"/>
      <c r="AJ309" s="574"/>
      <c r="AK309" s="1290"/>
    </row>
    <row r="310" spans="1:37" x14ac:dyDescent="0.3">
      <c r="A310" s="3040"/>
      <c r="B310" s="76" t="s">
        <v>6826</v>
      </c>
      <c r="C310" s="76"/>
      <c r="D310" s="9"/>
      <c r="E310" s="578"/>
      <c r="F310" s="578"/>
      <c r="G310" s="578"/>
      <c r="H310" s="578"/>
      <c r="I310" s="1299"/>
      <c r="J310" s="574"/>
      <c r="K310" s="1290"/>
      <c r="AA310" s="3040"/>
      <c r="AB310" s="76" t="s">
        <v>6826</v>
      </c>
      <c r="AC310" s="76"/>
      <c r="AD310" s="9"/>
      <c r="AE310" s="578"/>
      <c r="AF310" s="578"/>
      <c r="AG310" s="578"/>
      <c r="AH310" s="578"/>
      <c r="AI310" s="1299"/>
      <c r="AJ310" s="574"/>
      <c r="AK310" s="1290"/>
    </row>
    <row r="311" spans="1:37" x14ac:dyDescent="0.3">
      <c r="A311" s="3040"/>
      <c r="B311" s="117" t="s">
        <v>6828</v>
      </c>
      <c r="C311" s="49" t="s">
        <v>2358</v>
      </c>
      <c r="D311" s="37">
        <f>+D324*1</f>
        <v>0.28610667200844875</v>
      </c>
      <c r="E311" s="1711">
        <f>+D311*UDV.emit_N2O_direct.CO2e_cf</f>
        <v>88.693068322619112</v>
      </c>
      <c r="F311" s="578"/>
      <c r="G311" s="578"/>
      <c r="H311" s="578"/>
      <c r="I311" s="1299"/>
      <c r="J311" s="574"/>
      <c r="K311" s="1290"/>
      <c r="AA311" s="3040"/>
      <c r="AB311" s="117" t="s">
        <v>6828</v>
      </c>
      <c r="AC311" s="49" t="s">
        <v>2358</v>
      </c>
      <c r="AD311" s="37">
        <f>D311</f>
        <v>0.28610667200844875</v>
      </c>
      <c r="AE311" s="1711">
        <f>+AD311*UDV.emit_N2O_direct.CO2e_cf</f>
        <v>88.693068322619112</v>
      </c>
      <c r="AF311" s="578"/>
      <c r="AG311" s="578"/>
      <c r="AH311" s="578"/>
      <c r="AI311" s="1299"/>
      <c r="AJ311" s="574"/>
      <c r="AK311" s="1290"/>
    </row>
    <row r="312" spans="1:37" x14ac:dyDescent="0.3">
      <c r="A312" s="3040"/>
      <c r="B312" s="117" t="s">
        <v>4894</v>
      </c>
      <c r="C312" s="49" t="s">
        <v>2358</v>
      </c>
      <c r="D312" s="37">
        <f>'Sc9'!C18</f>
        <v>18.953850547736096</v>
      </c>
      <c r="E312" s="1711">
        <f>+D312*UDV.emit_CH4.CO2e_cf</f>
        <v>568.61551643208281</v>
      </c>
      <c r="F312" s="578"/>
      <c r="G312" s="578"/>
      <c r="H312" s="578"/>
      <c r="I312" s="1299"/>
      <c r="J312" s="574"/>
      <c r="K312" s="1290"/>
      <c r="AA312" s="3040"/>
      <c r="AB312" s="117" t="s">
        <v>4894</v>
      </c>
      <c r="AC312" s="49" t="s">
        <v>2358</v>
      </c>
      <c r="AD312" s="37">
        <f t="shared" ref="AD312:AD313" si="54">D312</f>
        <v>18.953850547736096</v>
      </c>
      <c r="AE312" s="1711">
        <f>+AD312*UDV.emit_CH4.CO2e_cf</f>
        <v>568.61551643208281</v>
      </c>
      <c r="AF312" s="578"/>
      <c r="AG312" s="578"/>
      <c r="AH312" s="578"/>
      <c r="AI312" s="1299"/>
      <c r="AJ312" s="574"/>
      <c r="AK312" s="1290"/>
    </row>
    <row r="313" spans="1:37" x14ac:dyDescent="0.3">
      <c r="A313" s="3040"/>
      <c r="B313" s="117" t="s">
        <v>6833</v>
      </c>
      <c r="C313" s="49" t="s">
        <v>2358</v>
      </c>
      <c r="D313" s="77">
        <f>'Sc9'!C22</f>
        <v>37.007112913154977</v>
      </c>
      <c r="E313" s="1711">
        <f>D313*UDV.lca.CO2_toggle</f>
        <v>0</v>
      </c>
      <c r="F313" s="578"/>
      <c r="G313" s="578"/>
      <c r="H313" s="578"/>
      <c r="I313" s="1299"/>
      <c r="J313" s="574"/>
      <c r="K313" s="1290"/>
      <c r="AA313" s="3040"/>
      <c r="AB313" s="117" t="s">
        <v>6833</v>
      </c>
      <c r="AC313" s="49" t="s">
        <v>2358</v>
      </c>
      <c r="AD313" s="37">
        <f t="shared" si="54"/>
        <v>37.007112913154977</v>
      </c>
      <c r="AE313" s="1711">
        <f>AD313*UDV.lca.CO2_toggle</f>
        <v>0</v>
      </c>
      <c r="AF313" s="578"/>
      <c r="AG313" s="578"/>
      <c r="AH313" s="578"/>
      <c r="AI313" s="1299"/>
      <c r="AJ313" s="574"/>
      <c r="AK313" s="1290"/>
    </row>
    <row r="314" spans="1:37" x14ac:dyDescent="0.3">
      <c r="A314" s="3040"/>
      <c r="B314" s="117"/>
      <c r="C314" s="49"/>
      <c r="D314" s="50"/>
      <c r="E314" s="1300"/>
      <c r="F314" s="1300"/>
      <c r="G314" s="1300"/>
      <c r="H314" s="1300"/>
      <c r="I314" s="1300"/>
      <c r="J314" s="1711">
        <f>+SUM(D324:D326)</f>
        <v>11.023136018295537</v>
      </c>
      <c r="K314" s="2328">
        <f>+SUM(D329)</f>
        <v>4.685274591973644</v>
      </c>
      <c r="AA314" s="3040"/>
      <c r="AB314" s="117"/>
      <c r="AC314" s="49"/>
      <c r="AD314" s="50"/>
      <c r="AE314" s="1300"/>
      <c r="AF314" s="1300"/>
      <c r="AG314" s="1300"/>
      <c r="AH314" s="1300"/>
      <c r="AI314" s="1300"/>
      <c r="AJ314" s="1711">
        <f>+SUM(AD324:AD326)</f>
        <v>11.023136018295537</v>
      </c>
      <c r="AK314" s="2328">
        <f>+SUM(AD329)</f>
        <v>4.685274591973644</v>
      </c>
    </row>
    <row r="315" spans="1:37" x14ac:dyDescent="0.3">
      <c r="A315" s="3040"/>
      <c r="B315" s="116" t="s">
        <v>6838</v>
      </c>
      <c r="C315" s="118"/>
      <c r="D315" s="1292"/>
      <c r="E315" s="1712"/>
      <c r="F315" s="1712"/>
      <c r="G315" s="1712"/>
      <c r="H315" s="1712"/>
      <c r="I315" s="1298"/>
      <c r="J315" s="1293"/>
      <c r="K315" s="1295"/>
      <c r="AA315" s="3040"/>
      <c r="AB315" s="116" t="s">
        <v>6838</v>
      </c>
      <c r="AC315" s="118"/>
      <c r="AD315" s="1292"/>
      <c r="AE315" s="1712"/>
      <c r="AF315" s="1712"/>
      <c r="AG315" s="1712"/>
      <c r="AH315" s="1712"/>
      <c r="AI315" s="1298"/>
      <c r="AJ315" s="1293"/>
      <c r="AK315" s="1295"/>
    </row>
    <row r="316" spans="1:37" x14ac:dyDescent="0.3">
      <c r="A316" s="3040"/>
      <c r="B316" s="49" t="s">
        <v>6839</v>
      </c>
      <c r="C316" s="49" t="s">
        <v>2358</v>
      </c>
      <c r="D316" s="588">
        <f>+D320*UDV.lca.urea_n_content</f>
        <v>4.1739641599927628</v>
      </c>
      <c r="E316" s="2327">
        <f>-D316*UDV.lca.urea_gwp</f>
        <v>-5.0045830278313232</v>
      </c>
      <c r="F316" s="2327"/>
      <c r="G316" s="2327">
        <f>-D316*UDV.lca.urea_ef*UDV.lca.MJ_per_kg_oil_eq</f>
        <v>-284.57752741316239</v>
      </c>
      <c r="H316" s="2327">
        <f>-D316*UDV.lca.urea_wf</f>
        <v>-1.249793104566466E-2</v>
      </c>
      <c r="I316" s="574"/>
      <c r="J316" s="574"/>
      <c r="K316" s="1290"/>
      <c r="AA316" s="3040"/>
      <c r="AB316" s="49" t="s">
        <v>6839</v>
      </c>
      <c r="AC316" s="49" t="s">
        <v>2358</v>
      </c>
      <c r="AD316" s="588">
        <f>D316</f>
        <v>4.1739641599927628</v>
      </c>
      <c r="AE316" s="2327">
        <f>-AD316*UDV.lca.urea_gwp</f>
        <v>-5.0045830278313232</v>
      </c>
      <c r="AF316" s="2327"/>
      <c r="AG316" s="2327">
        <f>-AD316*UDV.lca.urea_ef*UDV.lca.MJ_per_kg_oil_eq</f>
        <v>-284.57752741316239</v>
      </c>
      <c r="AH316" s="2327">
        <f>-AD316*UDV.lca.urea_wf</f>
        <v>-1.249793104566466E-2</v>
      </c>
      <c r="AI316" s="574"/>
      <c r="AJ316" s="574"/>
      <c r="AK316" s="1290"/>
    </row>
    <row r="317" spans="1:37" x14ac:dyDescent="0.3">
      <c r="A317" s="3040"/>
      <c r="B317" s="49" t="s">
        <v>6842</v>
      </c>
      <c r="C317" s="49" t="s">
        <v>2358</v>
      </c>
      <c r="D317" s="588">
        <f>+D321*UDV.lca.P2O5_TSP</f>
        <v>1.7620514172237196</v>
      </c>
      <c r="E317" s="2327">
        <f>-D317*UDV.lca.P2O5_gwp</f>
        <v>-1.5259365273157413</v>
      </c>
      <c r="F317" s="2327"/>
      <c r="G317" s="2327">
        <f>-D317*UDV.lca.P2O5_ef*UDV.lca.MJ_per_kg_oil_eq</f>
        <v>-37.738990983855984</v>
      </c>
      <c r="H317" s="2327">
        <f>-D317*UDV.lca.P2O5_wf</f>
        <v>-6.5366853141673835E-4</v>
      </c>
      <c r="I317" s="574"/>
      <c r="J317" s="574"/>
      <c r="K317" s="1290"/>
      <c r="AA317" s="3040"/>
      <c r="AB317" s="49" t="s">
        <v>6842</v>
      </c>
      <c r="AC317" s="49" t="s">
        <v>2358</v>
      </c>
      <c r="AD317" s="588">
        <f t="shared" ref="AD317:AD318" si="55">D317</f>
        <v>1.7620514172237196</v>
      </c>
      <c r="AE317" s="2327">
        <f>-AD317*UDV.lca.P2O5_gwp</f>
        <v>-1.5259365273157413</v>
      </c>
      <c r="AF317" s="2327"/>
      <c r="AG317" s="2327">
        <f>-AD317*UDV.lca.P2O5_ef*UDV.lca.MJ_per_kg_oil_eq</f>
        <v>-37.738990983855984</v>
      </c>
      <c r="AH317" s="2327">
        <f>-AD317*UDV.lca.P2O5_wf</f>
        <v>-6.5366853141673835E-4</v>
      </c>
      <c r="AI317" s="574"/>
      <c r="AJ317" s="574"/>
      <c r="AK317" s="1290"/>
    </row>
    <row r="318" spans="1:37" x14ac:dyDescent="0.3">
      <c r="A318" s="3040"/>
      <c r="B318" s="49" t="s">
        <v>6844</v>
      </c>
      <c r="C318" s="49" t="s">
        <v>2358</v>
      </c>
      <c r="D318" s="588">
        <f>+D322*UDV.lca.K2O_KCI</f>
        <v>2.660202723606389</v>
      </c>
      <c r="E318" s="2327">
        <f>-D318*UDV.lca.K2O_gwp</f>
        <v>-1.162508590215992</v>
      </c>
      <c r="F318" s="2327"/>
      <c r="G318" s="2327">
        <f>-D318*UDV.lca.K2O_ef*UDV.lca.MJ_per_kg_oil_eq</f>
        <v>-20.610517504254094</v>
      </c>
      <c r="H318" s="2327">
        <f>-D318*UDV.lca.K2O_wf</f>
        <v>-6.0319048371881489E-3</v>
      </c>
      <c r="I318" s="574"/>
      <c r="J318" s="574"/>
      <c r="K318" s="1290"/>
      <c r="AA318" s="3040"/>
      <c r="AB318" s="49" t="s">
        <v>6844</v>
      </c>
      <c r="AC318" s="49" t="s">
        <v>2358</v>
      </c>
      <c r="AD318" s="588">
        <f t="shared" si="55"/>
        <v>2.660202723606389</v>
      </c>
      <c r="AE318" s="2327">
        <f>-AD318*UDV.lca.K2O_gwp</f>
        <v>-1.162508590215992</v>
      </c>
      <c r="AF318" s="2327"/>
      <c r="AG318" s="2327">
        <f>-AD318*UDV.lca.K2O_ef*UDV.lca.MJ_per_kg_oil_eq</f>
        <v>-20.610517504254094</v>
      </c>
      <c r="AH318" s="2327">
        <f>-AD318*UDV.lca.K2O_wf</f>
        <v>-6.0319048371881489E-3</v>
      </c>
      <c r="AI318" s="574"/>
      <c r="AJ318" s="574"/>
      <c r="AK318" s="1290"/>
    </row>
    <row r="319" spans="1:37" x14ac:dyDescent="0.3">
      <c r="A319" s="3040"/>
      <c r="B319" s="116" t="s">
        <v>6847</v>
      </c>
      <c r="C319" s="118"/>
      <c r="D319" s="1292"/>
      <c r="E319" s="1712"/>
      <c r="F319" s="1712"/>
      <c r="G319" s="1712"/>
      <c r="H319" s="1712"/>
      <c r="I319" s="1298"/>
      <c r="J319" s="1293"/>
      <c r="K319" s="1295"/>
      <c r="AA319" s="3040"/>
      <c r="AB319" s="116" t="s">
        <v>6847</v>
      </c>
      <c r="AC319" s="118"/>
      <c r="AD319" s="1292"/>
      <c r="AE319" s="1712"/>
      <c r="AF319" s="1712"/>
      <c r="AG319" s="1712"/>
      <c r="AH319" s="1712"/>
      <c r="AI319" s="1298"/>
      <c r="AJ319" s="1293"/>
      <c r="AK319" s="1295"/>
    </row>
    <row r="320" spans="1:37" x14ac:dyDescent="0.3">
      <c r="A320" s="3040"/>
      <c r="B320" s="49" t="s">
        <v>84</v>
      </c>
      <c r="C320" s="49" t="s">
        <v>2358</v>
      </c>
      <c r="D320" s="37">
        <f>'Sc9'!C10+'Sc9'!C14-'Sc9'!C67-'Sc9'!C71</f>
        <v>5.9628059428468045</v>
      </c>
      <c r="E320" s="578"/>
      <c r="F320" s="578"/>
      <c r="G320" s="578"/>
      <c r="H320" s="578"/>
      <c r="I320" s="1299"/>
      <c r="J320" s="574"/>
      <c r="K320" s="1290"/>
      <c r="AA320" s="3040"/>
      <c r="AB320" s="49" t="s">
        <v>84</v>
      </c>
      <c r="AC320" s="49" t="s">
        <v>2358</v>
      </c>
      <c r="AD320" s="50">
        <f>D320</f>
        <v>5.9628059428468045</v>
      </c>
      <c r="AE320" s="578"/>
      <c r="AF320" s="578"/>
      <c r="AG320" s="578"/>
      <c r="AH320" s="578"/>
      <c r="AI320" s="1299"/>
      <c r="AJ320" s="574"/>
      <c r="AK320" s="1290"/>
    </row>
    <row r="321" spans="1:37" x14ac:dyDescent="0.3">
      <c r="A321" s="3040"/>
      <c r="B321" s="49" t="s">
        <v>941</v>
      </c>
      <c r="C321" s="49" t="s">
        <v>2358</v>
      </c>
      <c r="D321" s="37">
        <f>'Sc9'!C11+'Sc9'!C15-'Sc9'!C68-'Sc9'!C72</f>
        <v>1.9578349080263551</v>
      </c>
      <c r="E321" s="578"/>
      <c r="F321" s="578"/>
      <c r="G321" s="578"/>
      <c r="H321" s="578"/>
      <c r="I321" s="1299"/>
      <c r="J321" s="574"/>
      <c r="K321" s="1290"/>
      <c r="AA321" s="3040"/>
      <c r="AB321" s="49" t="s">
        <v>941</v>
      </c>
      <c r="AC321" s="49" t="s">
        <v>2358</v>
      </c>
      <c r="AD321" s="50">
        <f t="shared" ref="AD321:AD322" si="56">D321</f>
        <v>1.9578349080263551</v>
      </c>
      <c r="AE321" s="578"/>
      <c r="AF321" s="578"/>
      <c r="AG321" s="578"/>
      <c r="AH321" s="578"/>
      <c r="AI321" s="1299"/>
      <c r="AJ321" s="574"/>
      <c r="AK321" s="1290"/>
    </row>
    <row r="322" spans="1:37" x14ac:dyDescent="0.3">
      <c r="A322" s="3040"/>
      <c r="B322" s="49" t="s">
        <v>934</v>
      </c>
      <c r="C322" s="49" t="s">
        <v>2358</v>
      </c>
      <c r="D322" s="37">
        <f>'Sc9'!C12+'Sc9'!C16-'Sc9'!C69-'Sc9'!C73</f>
        <v>2.660202723606389</v>
      </c>
      <c r="E322" s="578"/>
      <c r="F322" s="578"/>
      <c r="G322" s="578"/>
      <c r="H322" s="578"/>
      <c r="I322" s="1299"/>
      <c r="J322" s="574"/>
      <c r="K322" s="1290"/>
      <c r="AA322" s="3040"/>
      <c r="AB322" s="49" t="s">
        <v>934</v>
      </c>
      <c r="AC322" s="49" t="s">
        <v>2358</v>
      </c>
      <c r="AD322" s="50">
        <f t="shared" si="56"/>
        <v>2.660202723606389</v>
      </c>
      <c r="AE322" s="578"/>
      <c r="AF322" s="578"/>
      <c r="AG322" s="578"/>
      <c r="AH322" s="578"/>
      <c r="AI322" s="1299"/>
      <c r="AJ322" s="574"/>
      <c r="AK322" s="1290"/>
    </row>
    <row r="323" spans="1:37" x14ac:dyDescent="0.3">
      <c r="A323" s="3040"/>
      <c r="B323" s="116" t="s">
        <v>6856</v>
      </c>
      <c r="C323" s="118"/>
      <c r="D323" s="1292"/>
      <c r="E323" s="1712"/>
      <c r="F323" s="1712"/>
      <c r="G323" s="1712"/>
      <c r="H323" s="1712"/>
      <c r="I323" s="1298"/>
      <c r="J323" s="1293"/>
      <c r="K323" s="1295"/>
      <c r="AA323" s="3040"/>
      <c r="AB323" s="116" t="s">
        <v>6856</v>
      </c>
      <c r="AC323" s="118"/>
      <c r="AD323" s="1292"/>
      <c r="AE323" s="1712"/>
      <c r="AF323" s="1712"/>
      <c r="AG323" s="1712"/>
      <c r="AH323" s="1712"/>
      <c r="AI323" s="1298"/>
      <c r="AJ323" s="1293"/>
      <c r="AK323" s="1295"/>
    </row>
    <row r="324" spans="1:37" x14ac:dyDescent="0.3">
      <c r="A324" s="3040"/>
      <c r="B324" s="49" t="s">
        <v>6859</v>
      </c>
      <c r="C324" s="49" t="s">
        <v>2358</v>
      </c>
      <c r="D324" s="37">
        <f>'Sc9'!C27</f>
        <v>0.28610667200844875</v>
      </c>
      <c r="E324" s="578"/>
      <c r="F324" s="578"/>
      <c r="G324" s="578"/>
      <c r="H324" s="578"/>
      <c r="I324" s="1299"/>
      <c r="J324" s="571"/>
      <c r="K324" s="1290"/>
      <c r="AA324" s="3040"/>
      <c r="AB324" s="49" t="s">
        <v>6859</v>
      </c>
      <c r="AC324" s="49" t="s">
        <v>2358</v>
      </c>
      <c r="AD324" s="37">
        <f>D324</f>
        <v>0.28610667200844875</v>
      </c>
      <c r="AE324" s="578"/>
      <c r="AF324" s="578"/>
      <c r="AG324" s="578"/>
      <c r="AH324" s="578"/>
      <c r="AI324" s="1299"/>
      <c r="AJ324" s="571"/>
      <c r="AK324" s="1290"/>
    </row>
    <row r="325" spans="1:37" x14ac:dyDescent="0.3">
      <c r="A325" s="3040"/>
      <c r="B325" s="49" t="s">
        <v>6861</v>
      </c>
      <c r="C325" s="49" t="s">
        <v>2358</v>
      </c>
      <c r="D325" s="37">
        <f>'Sc9'!C28</f>
        <v>10.692968918739039</v>
      </c>
      <c r="E325" s="578"/>
      <c r="F325" s="578"/>
      <c r="G325" s="578"/>
      <c r="H325" s="578"/>
      <c r="I325" s="1299"/>
      <c r="J325" s="571"/>
      <c r="K325" s="1290"/>
      <c r="AA325" s="3040"/>
      <c r="AB325" s="49" t="s">
        <v>6861</v>
      </c>
      <c r="AC325" s="49" t="s">
        <v>2358</v>
      </c>
      <c r="AD325" s="37">
        <f t="shared" ref="AD325:AD326" si="57">D325</f>
        <v>10.692968918739039</v>
      </c>
      <c r="AE325" s="578"/>
      <c r="AF325" s="578"/>
      <c r="AG325" s="578"/>
      <c r="AH325" s="578"/>
      <c r="AI325" s="1299"/>
      <c r="AJ325" s="571"/>
      <c r="AK325" s="1290"/>
    </row>
    <row r="326" spans="1:37" x14ac:dyDescent="0.3">
      <c r="A326" s="3040"/>
      <c r="B326" s="49" t="s">
        <v>6864</v>
      </c>
      <c r="C326" s="49" t="s">
        <v>2358</v>
      </c>
      <c r="D326" s="37">
        <f>'Sc9'!C29</f>
        <v>4.4060427548048349E-2</v>
      </c>
      <c r="E326" s="578"/>
      <c r="F326" s="578"/>
      <c r="G326" s="578"/>
      <c r="H326" s="578"/>
      <c r="I326" s="1299"/>
      <c r="J326" s="571"/>
      <c r="K326" s="1290"/>
      <c r="AA326" s="3040"/>
      <c r="AB326" s="49" t="s">
        <v>6864</v>
      </c>
      <c r="AC326" s="49" t="s">
        <v>2358</v>
      </c>
      <c r="AD326" s="37">
        <f t="shared" si="57"/>
        <v>4.4060427548048349E-2</v>
      </c>
      <c r="AE326" s="578"/>
      <c r="AF326" s="578"/>
      <c r="AG326" s="578"/>
      <c r="AH326" s="578"/>
      <c r="AI326" s="1299"/>
      <c r="AJ326" s="571"/>
      <c r="AK326" s="1290"/>
    </row>
    <row r="327" spans="1:37" x14ac:dyDescent="0.3">
      <c r="A327" s="3040"/>
      <c r="B327" s="49"/>
      <c r="C327" s="49"/>
      <c r="D327" s="37"/>
      <c r="E327" s="578"/>
      <c r="F327" s="578"/>
      <c r="G327" s="578"/>
      <c r="H327" s="578"/>
      <c r="I327" s="1299"/>
      <c r="J327" s="571"/>
      <c r="K327" s="1290"/>
      <c r="AA327" s="3040"/>
      <c r="AB327" s="49"/>
      <c r="AC327" s="49"/>
      <c r="AD327" s="37"/>
      <c r="AE327" s="578"/>
      <c r="AF327" s="578"/>
      <c r="AG327" s="578"/>
      <c r="AH327" s="578"/>
      <c r="AI327" s="1299"/>
      <c r="AJ327" s="571"/>
      <c r="AK327" s="1290"/>
    </row>
    <row r="328" spans="1:37" x14ac:dyDescent="0.3">
      <c r="A328" s="3040"/>
      <c r="B328" s="116" t="s">
        <v>6865</v>
      </c>
      <c r="C328" s="118"/>
      <c r="D328" s="1292"/>
      <c r="E328" s="1712"/>
      <c r="F328" s="1712"/>
      <c r="G328" s="1712"/>
      <c r="H328" s="1712"/>
      <c r="I328" s="1298"/>
      <c r="J328" s="1293"/>
      <c r="K328" s="1295"/>
      <c r="AA328" s="3040"/>
      <c r="AB328" s="116" t="s">
        <v>6865</v>
      </c>
      <c r="AC328" s="118"/>
      <c r="AD328" s="1292"/>
      <c r="AE328" s="1712"/>
      <c r="AF328" s="1712"/>
      <c r="AG328" s="1712"/>
      <c r="AH328" s="1712"/>
      <c r="AI328" s="1298"/>
      <c r="AJ328" s="1293"/>
      <c r="AK328" s="1295"/>
    </row>
    <row r="329" spans="1:37" x14ac:dyDescent="0.3">
      <c r="A329" s="3040"/>
      <c r="B329" s="49" t="s">
        <v>6867</v>
      </c>
      <c r="C329" s="49" t="s">
        <v>2358</v>
      </c>
      <c r="D329" s="37">
        <f>'Sc9'!C68+'Sc9'!C72</f>
        <v>4.685274591973644</v>
      </c>
      <c r="E329" s="578"/>
      <c r="F329" s="578"/>
      <c r="G329" s="578"/>
      <c r="H329" s="578"/>
      <c r="I329" s="1299"/>
      <c r="J329" s="571"/>
      <c r="K329" s="1290"/>
      <c r="AA329" s="3040"/>
      <c r="AB329" s="49" t="s">
        <v>6867</v>
      </c>
      <c r="AC329" s="49" t="s">
        <v>2358</v>
      </c>
      <c r="AD329" s="37">
        <f>D329</f>
        <v>4.685274591973644</v>
      </c>
      <c r="AE329" s="578"/>
      <c r="AF329" s="578"/>
      <c r="AG329" s="578"/>
      <c r="AH329" s="578"/>
      <c r="AI329" s="1299"/>
      <c r="AJ329" s="571"/>
      <c r="AK329" s="1290"/>
    </row>
    <row r="330" spans="1:37" x14ac:dyDescent="0.3">
      <c r="A330" s="3040"/>
      <c r="B330" s="49"/>
      <c r="C330" s="49"/>
      <c r="D330" s="18" t="s">
        <v>6869</v>
      </c>
      <c r="E330" s="122">
        <f>+SUM(E302:E307,E311:E313,E314)</f>
        <v>665.56669845386546</v>
      </c>
      <c r="F330" s="37"/>
      <c r="G330" s="37"/>
      <c r="H330" s="37"/>
      <c r="I330" s="57"/>
      <c r="J330" s="49"/>
      <c r="K330" s="11"/>
      <c r="AA330" s="3040"/>
      <c r="AB330" s="49"/>
      <c r="AC330" s="49"/>
      <c r="AD330" s="18" t="s">
        <v>6869</v>
      </c>
      <c r="AE330" s="122">
        <f>+SUM(AE302:AE307,AE311:AE313,AE314)</f>
        <v>662.38100031369527</v>
      </c>
      <c r="AF330" s="37"/>
      <c r="AG330" s="37"/>
      <c r="AH330" s="37"/>
      <c r="AI330" s="57"/>
      <c r="AJ330" s="49"/>
      <c r="AK330" s="11"/>
    </row>
    <row r="331" spans="1:37" x14ac:dyDescent="0.3">
      <c r="A331" s="3040"/>
      <c r="B331" s="118" t="s">
        <v>6871</v>
      </c>
      <c r="C331" s="119" t="s">
        <v>4815</v>
      </c>
      <c r="D331" s="1708" t="s">
        <v>630</v>
      </c>
      <c r="E331" s="1281">
        <f>+SUM(E309:E314,E307)</f>
        <v>660.65717907263058</v>
      </c>
      <c r="F331" s="1281">
        <f>+SUM(F309:F314)</f>
        <v>535.85114165998573</v>
      </c>
      <c r="G331" s="1281">
        <f>+SUM(G309:G314)</f>
        <v>0</v>
      </c>
      <c r="H331" s="2267">
        <f>+SUM(H302,H309:H314)</f>
        <v>0.47112055205176917</v>
      </c>
      <c r="I331" s="641">
        <f>I302</f>
        <v>0.47053708606504846</v>
      </c>
      <c r="J331" s="1281">
        <f>+J314</f>
        <v>11.023136018295537</v>
      </c>
      <c r="K331" s="1282">
        <f>+K314</f>
        <v>4.685274591973644</v>
      </c>
      <c r="AA331" s="3040"/>
      <c r="AB331" s="118" t="s">
        <v>6871</v>
      </c>
      <c r="AC331" s="119" t="s">
        <v>4815</v>
      </c>
      <c r="AD331" s="1708" t="s">
        <v>630</v>
      </c>
      <c r="AE331" s="1281">
        <f>+SUM(AE309:AE314,AE307)</f>
        <v>658.7155059457599</v>
      </c>
      <c r="AF331" s="1281">
        <f>+SUM(AF309:AF314)</f>
        <v>535.85114165998573</v>
      </c>
      <c r="AG331" s="1281">
        <f>+SUM(AG309:AG314)</f>
        <v>0</v>
      </c>
      <c r="AH331" s="2267">
        <f>+SUM(AH302,AH309:AH314)</f>
        <v>0.47112055205176917</v>
      </c>
      <c r="AI331" s="641">
        <f>AI302</f>
        <v>0.47053708606504846</v>
      </c>
      <c r="AJ331" s="1281">
        <f>+AJ314</f>
        <v>11.023136018295537</v>
      </c>
      <c r="AK331" s="1282">
        <f>+AK314</f>
        <v>4.685274591973644</v>
      </c>
    </row>
    <row r="332" spans="1:37" x14ac:dyDescent="0.3">
      <c r="A332" s="3040"/>
      <c r="B332" s="118" t="s">
        <v>6874</v>
      </c>
      <c r="C332" s="118"/>
      <c r="D332" s="1709" t="s">
        <v>6875</v>
      </c>
      <c r="E332" s="922">
        <f>+SUM(E302:E306,E316:E318)</f>
        <v>-2.7835087641282561</v>
      </c>
      <c r="F332" s="922">
        <f>+SUM(F302:F307,F316:F318)</f>
        <v>0</v>
      </c>
      <c r="G332" s="922">
        <f>+SUM(G302:G307,G316:G318)</f>
        <v>-248.86804434777008</v>
      </c>
      <c r="H332" s="2268">
        <f>+SUM(H303:H307,H316:H318)</f>
        <v>1.3662726731932993E-2</v>
      </c>
      <c r="I332" s="1283">
        <v>0</v>
      </c>
      <c r="J332" s="922"/>
      <c r="K332" s="1284"/>
      <c r="AA332" s="3040"/>
      <c r="AB332" s="118" t="s">
        <v>6874</v>
      </c>
      <c r="AC332" s="118"/>
      <c r="AD332" s="1709" t="s">
        <v>6875</v>
      </c>
      <c r="AE332" s="922">
        <f>+SUM(AE302:AE306,AE316:AE318)</f>
        <v>-4.0275337774277347</v>
      </c>
      <c r="AF332" s="922">
        <f>+SUM(AF302:AF307,AF316:AF318)</f>
        <v>0</v>
      </c>
      <c r="AG332" s="922">
        <f>+SUM(AG302:AG307,AG316:AG318)</f>
        <v>-293.66314583166042</v>
      </c>
      <c r="AH332" s="2268">
        <f>+SUM(AH303:AH307,AH316:AH318)</f>
        <v>1.2224765989381969E-3</v>
      </c>
      <c r="AI332" s="1283">
        <v>0</v>
      </c>
      <c r="AJ332" s="922"/>
      <c r="AK332" s="1284"/>
    </row>
    <row r="333" spans="1:37" ht="15" thickBot="1" x14ac:dyDescent="0.35">
      <c r="A333" s="3041"/>
      <c r="B333" s="22"/>
      <c r="C333" s="1291"/>
      <c r="D333" s="1710" t="s">
        <v>6876</v>
      </c>
      <c r="E333" s="1285">
        <f>E331+E332</f>
        <v>657.87367030850237</v>
      </c>
      <c r="F333" s="1285">
        <f>F331+F332</f>
        <v>535.85114165998573</v>
      </c>
      <c r="G333" s="1285">
        <f>G331+G332</f>
        <v>-248.86804434777008</v>
      </c>
      <c r="H333" s="2269">
        <f t="shared" ref="H333" si="58">H331+H332</f>
        <v>0.48478327878370214</v>
      </c>
      <c r="I333" s="1285">
        <f>I331+I332</f>
        <v>0.47053708606504846</v>
      </c>
      <c r="J333" s="1285">
        <f>J331+J332</f>
        <v>11.023136018295537</v>
      </c>
      <c r="K333" s="1286">
        <f>K331+K332</f>
        <v>4.685274591973644</v>
      </c>
      <c r="AA333" s="3041"/>
      <c r="AB333" s="22"/>
      <c r="AC333" s="1291"/>
      <c r="AD333" s="1710" t="s">
        <v>6876</v>
      </c>
      <c r="AE333" s="1285">
        <f>AE331+AE332</f>
        <v>654.68797216833218</v>
      </c>
      <c r="AF333" s="1285">
        <f>AF331+AF332</f>
        <v>535.85114165998573</v>
      </c>
      <c r="AG333" s="1285">
        <f>AG331+AG332</f>
        <v>-293.66314583166042</v>
      </c>
      <c r="AH333" s="2269">
        <f t="shared" ref="AH333" si="59">AH331+AH332</f>
        <v>0.47234302865070737</v>
      </c>
      <c r="AI333" s="1285">
        <f>AI331+AI332</f>
        <v>0.47053708606504846</v>
      </c>
      <c r="AJ333" s="1285">
        <f>AJ331+AJ332</f>
        <v>11.023136018295537</v>
      </c>
      <c r="AK333" s="1286">
        <f>AK331+AK332</f>
        <v>4.685274591973644</v>
      </c>
    </row>
    <row r="335" spans="1:37" x14ac:dyDescent="0.3">
      <c r="A335" s="3039" t="s">
        <v>6910</v>
      </c>
      <c r="B335" s="49"/>
      <c r="C335" s="49"/>
      <c r="D335" s="9"/>
      <c r="E335" s="565"/>
      <c r="F335" s="565"/>
      <c r="G335" s="565"/>
      <c r="H335" s="565"/>
      <c r="I335" s="1297"/>
      <c r="J335" s="3038" t="s">
        <v>6791</v>
      </c>
      <c r="K335" s="3038"/>
      <c r="AA335" s="3039" t="s">
        <v>6911</v>
      </c>
      <c r="AB335" s="49"/>
      <c r="AC335" s="49"/>
      <c r="AD335" s="9"/>
      <c r="AE335" s="565"/>
      <c r="AF335" s="565"/>
      <c r="AG335" s="565"/>
      <c r="AH335" s="565"/>
      <c r="AI335" s="1297"/>
      <c r="AJ335" s="3038" t="s">
        <v>6791</v>
      </c>
      <c r="AK335" s="3038"/>
    </row>
    <row r="336" spans="1:37" ht="72" x14ac:dyDescent="0.3">
      <c r="A336" s="3040"/>
      <c r="B336" s="566"/>
      <c r="C336" s="566" t="s">
        <v>6795</v>
      </c>
      <c r="D336" s="567" t="s">
        <v>6796</v>
      </c>
      <c r="E336" s="567" t="s">
        <v>4824</v>
      </c>
      <c r="F336" s="567" t="s">
        <v>447</v>
      </c>
      <c r="G336" s="567" t="s">
        <v>446</v>
      </c>
      <c r="H336" s="567" t="s">
        <v>2599</v>
      </c>
      <c r="I336" s="1279" t="s">
        <v>6797</v>
      </c>
      <c r="J336" s="567" t="s">
        <v>4832</v>
      </c>
      <c r="K336" s="567" t="s">
        <v>6798</v>
      </c>
      <c r="AA336" s="3040"/>
      <c r="AB336" s="566"/>
      <c r="AC336" s="566" t="s">
        <v>6795</v>
      </c>
      <c r="AD336" s="567" t="s">
        <v>6796</v>
      </c>
      <c r="AE336" s="567" t="s">
        <v>4824</v>
      </c>
      <c r="AF336" s="567" t="s">
        <v>447</v>
      </c>
      <c r="AG336" s="567" t="s">
        <v>446</v>
      </c>
      <c r="AH336" s="567" t="s">
        <v>2599</v>
      </c>
      <c r="AI336" s="1279" t="s">
        <v>6797</v>
      </c>
      <c r="AJ336" s="567" t="s">
        <v>4832</v>
      </c>
      <c r="AK336" s="567" t="s">
        <v>6798</v>
      </c>
    </row>
    <row r="337" spans="1:37" ht="16.8" x14ac:dyDescent="0.35">
      <c r="A337" s="3040"/>
      <c r="B337" s="568"/>
      <c r="C337" s="568"/>
      <c r="D337" s="569"/>
      <c r="E337" s="570" t="s">
        <v>6799</v>
      </c>
      <c r="F337" s="570" t="s">
        <v>6800</v>
      </c>
      <c r="G337" s="570" t="s">
        <v>2435</v>
      </c>
      <c r="H337" s="570" t="s">
        <v>6801</v>
      </c>
      <c r="I337" s="1280" t="s">
        <v>2478</v>
      </c>
      <c r="J337" s="569" t="s">
        <v>6802</v>
      </c>
      <c r="K337" s="569" t="s">
        <v>6803</v>
      </c>
      <c r="AA337" s="3040"/>
      <c r="AB337" s="568"/>
      <c r="AC337" s="568"/>
      <c r="AD337" s="569"/>
      <c r="AE337" s="570" t="s">
        <v>6799</v>
      </c>
      <c r="AF337" s="570" t="s">
        <v>6800</v>
      </c>
      <c r="AG337" s="570" t="s">
        <v>2435</v>
      </c>
      <c r="AH337" s="570" t="s">
        <v>6801</v>
      </c>
      <c r="AI337" s="1280" t="s">
        <v>2478</v>
      </c>
      <c r="AJ337" s="569" t="s">
        <v>6802</v>
      </c>
      <c r="AK337" s="569" t="s">
        <v>6803</v>
      </c>
    </row>
    <row r="338" spans="1:37" x14ac:dyDescent="0.3">
      <c r="A338" s="3040"/>
      <c r="B338" s="116" t="s">
        <v>6805</v>
      </c>
      <c r="C338" s="118"/>
      <c r="D338" s="1292"/>
      <c r="E338" s="1293"/>
      <c r="F338" s="1293"/>
      <c r="G338" s="1292"/>
      <c r="H338" s="1293"/>
      <c r="I338" s="1294"/>
      <c r="J338" s="1293"/>
      <c r="K338" s="1295"/>
      <c r="AA338" s="3040"/>
      <c r="AB338" s="116" t="s">
        <v>6805</v>
      </c>
      <c r="AC338" s="118"/>
      <c r="AD338" s="1292"/>
      <c r="AE338" s="1293"/>
      <c r="AF338" s="1293"/>
      <c r="AG338" s="1292"/>
      <c r="AH338" s="1293"/>
      <c r="AI338" s="1294"/>
      <c r="AJ338" s="1293"/>
      <c r="AK338" s="1295"/>
    </row>
    <row r="339" spans="1:37" x14ac:dyDescent="0.3">
      <c r="A339" s="3040"/>
      <c r="B339" s="49" t="s">
        <v>415</v>
      </c>
      <c r="C339" s="49" t="s">
        <v>2358</v>
      </c>
      <c r="D339" s="50">
        <f>'Sc10'!C5*1000</f>
        <v>470.53708606504847</v>
      </c>
      <c r="E339" s="2326">
        <f>+D339*UDV.lca.water_gwp</f>
        <v>0.21174168872927179</v>
      </c>
      <c r="F339" s="2327"/>
      <c r="G339" s="2327">
        <f>+D339*UDV.lca.water_ef*UDV.lca.MJ_per_kg_oil_eq</f>
        <v>3.1522220469669731</v>
      </c>
      <c r="H339" s="1711">
        <f>+D339*UDV.lca.water_wf</f>
        <v>0.47112055205176917</v>
      </c>
      <c r="I339" s="1296">
        <f>D339/1000</f>
        <v>0.47053708606504846</v>
      </c>
      <c r="J339" s="574"/>
      <c r="K339" s="1290"/>
      <c r="AA339" s="3040"/>
      <c r="AB339" s="49" t="s">
        <v>415</v>
      </c>
      <c r="AC339" s="49" t="s">
        <v>2358</v>
      </c>
      <c r="AD339" s="50">
        <f>D339</f>
        <v>470.53708606504847</v>
      </c>
      <c r="AE339" s="2326">
        <f>+AD339*UDV.lca.water_gwp</f>
        <v>0.21174168872927179</v>
      </c>
      <c r="AF339" s="2327"/>
      <c r="AG339" s="2327">
        <f>+AD339*UDV.lca.water_ef*UDV.lca.MJ_per_kg_oil_eq</f>
        <v>3.1522220469669731</v>
      </c>
      <c r="AH339" s="1711">
        <f>+AD339*UDV.lca.water_wf</f>
        <v>0.47112055205176917</v>
      </c>
      <c r="AI339" s="1296">
        <f>AD339/1000</f>
        <v>0.47053708606504846</v>
      </c>
      <c r="AJ339" s="574"/>
      <c r="AK339" s="1290"/>
    </row>
    <row r="340" spans="1:37" x14ac:dyDescent="0.3">
      <c r="A340" s="3040"/>
      <c r="B340" s="49" t="s">
        <v>409</v>
      </c>
      <c r="C340" s="49" t="s">
        <v>2556</v>
      </c>
      <c r="D340" s="37">
        <f>'Sc10'!C6</f>
        <v>11.49898571026227</v>
      </c>
      <c r="E340" s="2326">
        <f>+D340*UDV.lca.electricity_gwp</f>
        <v>4.1221446846467451</v>
      </c>
      <c r="F340" s="2327"/>
      <c r="G340" s="2327">
        <f>+D340*UDV.lca.electricity_ef*UDV.lca.MJ_per_kg_oil_eq</f>
        <v>22.0509839513416</v>
      </c>
      <c r="H340" s="2327">
        <f>+D340*UDV.lca.electricity_wf</f>
        <v>1.8398377136419633E-2</v>
      </c>
      <c r="I340" s="1296"/>
      <c r="J340" s="574"/>
      <c r="K340" s="1290"/>
      <c r="AA340" s="3040"/>
      <c r="AB340" s="49" t="s">
        <v>409</v>
      </c>
      <c r="AC340" s="49" t="s">
        <v>2556</v>
      </c>
      <c r="AD340" s="50">
        <f>D340</f>
        <v>11.49898571026227</v>
      </c>
      <c r="AE340" s="2326">
        <f>+AD340*UDV.lca.electricity_gwp</f>
        <v>4.1221446846467451</v>
      </c>
      <c r="AF340" s="2327"/>
      <c r="AG340" s="2327">
        <f>+AD340*UDV.lca.electricity_ef*UDV.lca.MJ_per_kg_oil_eq</f>
        <v>22.0509839513416</v>
      </c>
      <c r="AH340" s="2327">
        <f>+AD340*UDV.lca.electricity_wf</f>
        <v>1.8398377136419633E-2</v>
      </c>
      <c r="AI340" s="1296"/>
      <c r="AJ340" s="574"/>
      <c r="AK340" s="1290"/>
    </row>
    <row r="341" spans="1:37" x14ac:dyDescent="0.3">
      <c r="A341" s="3040"/>
      <c r="B341" s="49" t="s">
        <v>6812</v>
      </c>
      <c r="C341" s="49" t="s">
        <v>2435</v>
      </c>
      <c r="D341" s="50">
        <f>'Sc10'!C56*UDV.lca.MJ_per_gal_diesel</f>
        <v>46.811957566973334</v>
      </c>
      <c r="E341" s="2326">
        <f>+D341*UDV.lca.diesel_gwp</f>
        <v>2.1065380905138</v>
      </c>
      <c r="F341" s="2327"/>
      <c r="G341" s="2326">
        <f>+D341*UDV.lca.diesel_ef*UDV.lca.MJ_per_kg_oil_eq</f>
        <v>75.852644870839015</v>
      </c>
      <c r="H341" s="2327">
        <f>+D341*UDV.lca.diesel_wf</f>
        <v>2.1065380905137997E-2</v>
      </c>
      <c r="I341" s="1296"/>
      <c r="J341" s="574"/>
      <c r="K341" s="1290"/>
      <c r="AA341" s="3040"/>
      <c r="AB341" s="49" t="s">
        <v>6812</v>
      </c>
      <c r="AC341" s="49" t="s">
        <v>2435</v>
      </c>
      <c r="AD341" s="53">
        <f>'Sc10'!C57*UDV.lca.MJ_per_gal_diesel</f>
        <v>21.255329635957285</v>
      </c>
      <c r="AE341" s="2326">
        <f>+AD341*UDV.lca.diesel_gwp</f>
        <v>0.95648983361807782</v>
      </c>
      <c r="AF341" s="2327"/>
      <c r="AG341" s="2326">
        <f>+AD341*UDV.lca.diesel_ef*UDV.lca.MJ_per_kg_oil_eq</f>
        <v>34.44147722688647</v>
      </c>
      <c r="AH341" s="2327">
        <f>+AD341*UDV.lca.diesel_wf</f>
        <v>9.5648983361807764E-3</v>
      </c>
      <c r="AI341" s="1296"/>
      <c r="AJ341" s="574"/>
      <c r="AK341" s="1290"/>
    </row>
    <row r="342" spans="1:37" x14ac:dyDescent="0.3">
      <c r="A342" s="3040"/>
      <c r="B342" s="49" t="s">
        <v>6814</v>
      </c>
      <c r="C342" s="49" t="s">
        <v>2358</v>
      </c>
      <c r="D342" s="9"/>
      <c r="E342" s="2326">
        <f>+D342*UDV.lca.sand_gwp</f>
        <v>0</v>
      </c>
      <c r="F342" s="2327"/>
      <c r="G342" s="2327">
        <f>+D342*UDV.lca.sand_ef*UDV.lca.MJ_per_kg_oil_eq</f>
        <v>0</v>
      </c>
      <c r="H342" s="2327">
        <f>+D342*UDV.lca.sand_wf</f>
        <v>0</v>
      </c>
      <c r="I342" s="1296"/>
      <c r="J342" s="574"/>
      <c r="K342" s="1290"/>
      <c r="AA342" s="3040"/>
      <c r="AB342" s="49" t="s">
        <v>6814</v>
      </c>
      <c r="AC342" s="49" t="s">
        <v>2358</v>
      </c>
      <c r="AD342" s="9"/>
      <c r="AE342" s="2326">
        <f>+AD342*UDV.lca.sand_gwp</f>
        <v>0</v>
      </c>
      <c r="AF342" s="2327"/>
      <c r="AG342" s="2327">
        <f>+AD342*UDV.lca.sand_ef*UDV.lca.MJ_per_kg_oil_eq</f>
        <v>0</v>
      </c>
      <c r="AH342" s="2327">
        <f>+AD342*UDV.lca.sand_wf</f>
        <v>0</v>
      </c>
      <c r="AI342" s="1296"/>
      <c r="AJ342" s="574"/>
      <c r="AK342" s="1290"/>
    </row>
    <row r="343" spans="1:37" x14ac:dyDescent="0.3">
      <c r="A343" s="3040"/>
      <c r="B343" s="49"/>
      <c r="C343" s="49"/>
      <c r="D343" s="9"/>
      <c r="E343" s="2327"/>
      <c r="F343" s="2327"/>
      <c r="G343" s="2327"/>
      <c r="H343" s="2327"/>
      <c r="I343" s="1296"/>
      <c r="J343" s="574"/>
      <c r="K343" s="1290"/>
      <c r="AA343" s="3040"/>
      <c r="AB343" s="49"/>
      <c r="AC343" s="49"/>
      <c r="AD343" s="9"/>
      <c r="AE343" s="2327"/>
      <c r="AF343" s="2327"/>
      <c r="AG343" s="2327"/>
      <c r="AH343" s="2327"/>
      <c r="AI343" s="1296"/>
      <c r="AJ343" s="574"/>
      <c r="AK343" s="1290"/>
    </row>
    <row r="344" spans="1:37" x14ac:dyDescent="0.3">
      <c r="A344" s="3040"/>
      <c r="B344" s="1089" t="s">
        <v>6819</v>
      </c>
      <c r="C344" s="1089" t="s">
        <v>4885</v>
      </c>
      <c r="D344" s="1711">
        <f>'Sc10'!C56</f>
        <v>0.32297473138521687</v>
      </c>
      <c r="E344" s="1711">
        <f>D344*UDV.lca.diesel_combustion_gwp</f>
        <v>3.2878827655015077</v>
      </c>
      <c r="F344" s="1296"/>
      <c r="G344" s="1296"/>
      <c r="H344" s="1296"/>
      <c r="I344" s="1296"/>
      <c r="J344" s="574"/>
      <c r="K344" s="1290"/>
      <c r="AA344" s="3040"/>
      <c r="AB344" s="1089" t="s">
        <v>6819</v>
      </c>
      <c r="AC344" s="1089" t="s">
        <v>4885</v>
      </c>
      <c r="AD344" s="2322">
        <f>'Sc10'!C57</f>
        <v>0.14664916266011649</v>
      </c>
      <c r="AE344" s="1711">
        <f>AD344*UDV.lca.diesel_combustion_gwp</f>
        <v>1.4928884758799859</v>
      </c>
      <c r="AF344" s="1296"/>
      <c r="AG344" s="1296"/>
      <c r="AH344" s="1296"/>
      <c r="AI344" s="1296"/>
      <c r="AJ344" s="574"/>
      <c r="AK344" s="1290"/>
    </row>
    <row r="345" spans="1:37" x14ac:dyDescent="0.3">
      <c r="A345" s="3040"/>
      <c r="B345" s="118" t="s">
        <v>6822</v>
      </c>
      <c r="C345" s="118"/>
      <c r="D345" s="1292"/>
      <c r="E345" s="1712"/>
      <c r="F345" s="1712"/>
      <c r="G345" s="1712"/>
      <c r="H345" s="1712"/>
      <c r="I345" s="1298"/>
      <c r="J345" s="1298"/>
      <c r="K345" s="1713"/>
      <c r="AA345" s="3040"/>
      <c r="AB345" s="118" t="s">
        <v>6822</v>
      </c>
      <c r="AC345" s="118"/>
      <c r="AD345" s="1292"/>
      <c r="AE345" s="1712"/>
      <c r="AF345" s="1712"/>
      <c r="AG345" s="1712"/>
      <c r="AH345" s="1712"/>
      <c r="AI345" s="1298"/>
      <c r="AJ345" s="1298"/>
      <c r="AK345" s="1713"/>
    </row>
    <row r="346" spans="1:37" x14ac:dyDescent="0.3">
      <c r="A346" s="3040"/>
      <c r="B346" s="49" t="s">
        <v>6786</v>
      </c>
      <c r="C346" s="49" t="s">
        <v>2268</v>
      </c>
      <c r="D346" s="50">
        <f>'Sc10'!C8</f>
        <v>304.02469437773112</v>
      </c>
      <c r="E346" s="578"/>
      <c r="F346" s="1711">
        <f>+D346</f>
        <v>304.02469437773112</v>
      </c>
      <c r="G346" s="578"/>
      <c r="H346" s="578"/>
      <c r="I346" s="1299"/>
      <c r="J346" s="574"/>
      <c r="K346" s="1290"/>
      <c r="AA346" s="3040"/>
      <c r="AB346" s="49" t="s">
        <v>6786</v>
      </c>
      <c r="AC346" s="49" t="s">
        <v>2268</v>
      </c>
      <c r="AD346" s="50">
        <f>D346</f>
        <v>304.02469437773112</v>
      </c>
      <c r="AE346" s="578"/>
      <c r="AF346" s="1711">
        <f>+AD346</f>
        <v>304.02469437773112</v>
      </c>
      <c r="AG346" s="578"/>
      <c r="AH346" s="578"/>
      <c r="AI346" s="1299"/>
      <c r="AJ346" s="574"/>
      <c r="AK346" s="1290"/>
    </row>
    <row r="347" spans="1:37" x14ac:dyDescent="0.3">
      <c r="A347" s="3040"/>
      <c r="B347" s="76" t="s">
        <v>6826</v>
      </c>
      <c r="C347" s="76"/>
      <c r="D347" s="9"/>
      <c r="E347" s="578"/>
      <c r="F347" s="578"/>
      <c r="G347" s="578"/>
      <c r="H347" s="578"/>
      <c r="I347" s="1299"/>
      <c r="J347" s="574"/>
      <c r="K347" s="1290"/>
      <c r="AA347" s="3040"/>
      <c r="AB347" s="76" t="s">
        <v>6826</v>
      </c>
      <c r="AC347" s="76"/>
      <c r="AD347" s="9"/>
      <c r="AE347" s="578"/>
      <c r="AF347" s="578"/>
      <c r="AG347" s="578"/>
      <c r="AH347" s="578"/>
      <c r="AI347" s="1299"/>
      <c r="AJ347" s="574"/>
      <c r="AK347" s="1290"/>
    </row>
    <row r="348" spans="1:37" x14ac:dyDescent="0.3">
      <c r="A348" s="3040"/>
      <c r="B348" s="117" t="s">
        <v>6828</v>
      </c>
      <c r="C348" s="49" t="s">
        <v>2358</v>
      </c>
      <c r="D348" s="37">
        <f>+D361*1</f>
        <v>0.28361813303632011</v>
      </c>
      <c r="E348" s="1711">
        <f>+D348*UDV.emit_N2O_direct.CO2e_cf</f>
        <v>87.921621241259231</v>
      </c>
      <c r="F348" s="578"/>
      <c r="G348" s="578"/>
      <c r="H348" s="578"/>
      <c r="I348" s="1299"/>
      <c r="J348" s="574"/>
      <c r="K348" s="1290"/>
      <c r="AA348" s="3040"/>
      <c r="AB348" s="117" t="s">
        <v>6828</v>
      </c>
      <c r="AC348" s="49" t="s">
        <v>2358</v>
      </c>
      <c r="AD348" s="37">
        <f>D348</f>
        <v>0.28361813303632011</v>
      </c>
      <c r="AE348" s="1711">
        <f>+AD348*UDV.emit_N2O_direct.CO2e_cf</f>
        <v>87.921621241259231</v>
      </c>
      <c r="AF348" s="578"/>
      <c r="AG348" s="578"/>
      <c r="AH348" s="578"/>
      <c r="AI348" s="1299"/>
      <c r="AJ348" s="574"/>
      <c r="AK348" s="1290"/>
    </row>
    <row r="349" spans="1:37" x14ac:dyDescent="0.3">
      <c r="A349" s="3040"/>
      <c r="B349" s="117" t="s">
        <v>4894</v>
      </c>
      <c r="C349" s="49" t="s">
        <v>2358</v>
      </c>
      <c r="D349" s="37">
        <f>'Sc10'!C18</f>
        <v>18.953850547736096</v>
      </c>
      <c r="E349" s="1711">
        <f>+D349*UDV.emit_CH4.CO2e_cf</f>
        <v>568.61551643208281</v>
      </c>
      <c r="F349" s="578"/>
      <c r="G349" s="578"/>
      <c r="H349" s="578"/>
      <c r="I349" s="1299"/>
      <c r="J349" s="574"/>
      <c r="K349" s="1290"/>
      <c r="AA349" s="3040"/>
      <c r="AB349" s="117" t="s">
        <v>4894</v>
      </c>
      <c r="AC349" s="49" t="s">
        <v>2358</v>
      </c>
      <c r="AD349" s="37">
        <f t="shared" ref="AD349:AD350" si="60">D349</f>
        <v>18.953850547736096</v>
      </c>
      <c r="AE349" s="1711">
        <f>+AD349*UDV.emit_CH4.CO2e_cf</f>
        <v>568.61551643208281</v>
      </c>
      <c r="AF349" s="578"/>
      <c r="AG349" s="578"/>
      <c r="AH349" s="578"/>
      <c r="AI349" s="1299"/>
      <c r="AJ349" s="574"/>
      <c r="AK349" s="1290"/>
    </row>
    <row r="350" spans="1:37" x14ac:dyDescent="0.3">
      <c r="A350" s="3040"/>
      <c r="B350" s="117" t="s">
        <v>6833</v>
      </c>
      <c r="C350" s="49" t="s">
        <v>2358</v>
      </c>
      <c r="D350" s="77">
        <f>'Sc10'!C22</f>
        <v>37.007112913154977</v>
      </c>
      <c r="E350" s="1711">
        <f>D350*UDV.lca.CO2_toggle</f>
        <v>0</v>
      </c>
      <c r="F350" s="578"/>
      <c r="G350" s="578"/>
      <c r="H350" s="578"/>
      <c r="I350" s="1299"/>
      <c r="J350" s="574"/>
      <c r="K350" s="1290"/>
      <c r="AA350" s="3040"/>
      <c r="AB350" s="117" t="s">
        <v>6833</v>
      </c>
      <c r="AC350" s="49" t="s">
        <v>2358</v>
      </c>
      <c r="AD350" s="37">
        <f t="shared" si="60"/>
        <v>37.007112913154977</v>
      </c>
      <c r="AE350" s="1711">
        <f>AD350*UDV.lca.CO2_toggle</f>
        <v>0</v>
      </c>
      <c r="AF350" s="578"/>
      <c r="AG350" s="578"/>
      <c r="AH350" s="578"/>
      <c r="AI350" s="1299"/>
      <c r="AJ350" s="574"/>
      <c r="AK350" s="1290"/>
    </row>
    <row r="351" spans="1:37" x14ac:dyDescent="0.3">
      <c r="A351" s="3040"/>
      <c r="B351" s="117"/>
      <c r="C351" s="49"/>
      <c r="D351" s="50"/>
      <c r="E351" s="1300"/>
      <c r="F351" s="1300"/>
      <c r="G351" s="1300"/>
      <c r="H351" s="1300"/>
      <c r="I351" s="1300"/>
      <c r="J351" s="1711">
        <f>+SUM(D361:D363)</f>
        <v>10.315631981432102</v>
      </c>
      <c r="K351" s="2328">
        <f>+SUM(D366)</f>
        <v>4.3846651397408358</v>
      </c>
      <c r="AA351" s="3040"/>
      <c r="AB351" s="117"/>
      <c r="AC351" s="49"/>
      <c r="AD351" s="50"/>
      <c r="AE351" s="1300"/>
      <c r="AF351" s="1300"/>
      <c r="AG351" s="1300"/>
      <c r="AH351" s="1300"/>
      <c r="AI351" s="1300"/>
      <c r="AJ351" s="1711">
        <f>+SUM(AD361:AD363)</f>
        <v>10.315631981432102</v>
      </c>
      <c r="AK351" s="2328">
        <f>+SUM(AD366)</f>
        <v>4.3846651397408358</v>
      </c>
    </row>
    <row r="352" spans="1:37" x14ac:dyDescent="0.3">
      <c r="A352" s="3040"/>
      <c r="B352" s="116" t="s">
        <v>6838</v>
      </c>
      <c r="C352" s="118"/>
      <c r="D352" s="1292"/>
      <c r="E352" s="1712"/>
      <c r="F352" s="1712"/>
      <c r="G352" s="1712"/>
      <c r="H352" s="1712"/>
      <c r="I352" s="1298"/>
      <c r="J352" s="1293"/>
      <c r="K352" s="1295"/>
      <c r="AA352" s="3040"/>
      <c r="AB352" s="116" t="s">
        <v>6838</v>
      </c>
      <c r="AC352" s="118"/>
      <c r="AD352" s="1292"/>
      <c r="AE352" s="1712"/>
      <c r="AF352" s="1712"/>
      <c r="AG352" s="1712"/>
      <c r="AH352" s="1712"/>
      <c r="AI352" s="1298"/>
      <c r="AJ352" s="1293"/>
      <c r="AK352" s="1295"/>
    </row>
    <row r="353" spans="1:37" x14ac:dyDescent="0.3">
      <c r="A353" s="3040"/>
      <c r="B353" s="49" t="s">
        <v>6839</v>
      </c>
      <c r="C353" s="49" t="s">
        <v>2358</v>
      </c>
      <c r="D353" s="588">
        <f>+D357*UDV.lca.urea_n_content</f>
        <v>4.7707874320370394</v>
      </c>
      <c r="E353" s="2327">
        <f>-D353*UDV.lca.urea_gwp</f>
        <v>-5.7201741310124108</v>
      </c>
      <c r="F353" s="2327"/>
      <c r="G353" s="2327">
        <f>-D353*UDV.lca.urea_ef*UDV.lca.MJ_per_kg_oil_eq</f>
        <v>-325.26845923498422</v>
      </c>
      <c r="H353" s="2327">
        <f>-D353*UDV.lca.urea_wf</f>
        <v>-1.4284974684407897E-2</v>
      </c>
      <c r="I353" s="574"/>
      <c r="J353" s="574"/>
      <c r="K353" s="1290"/>
      <c r="AA353" s="3040"/>
      <c r="AB353" s="49" t="s">
        <v>6839</v>
      </c>
      <c r="AC353" s="49" t="s">
        <v>2358</v>
      </c>
      <c r="AD353" s="588">
        <f>D353</f>
        <v>4.7707874320370394</v>
      </c>
      <c r="AE353" s="2327">
        <f>-AD353*UDV.lca.urea_gwp</f>
        <v>-5.7201741310124108</v>
      </c>
      <c r="AF353" s="2327"/>
      <c r="AG353" s="2327">
        <f>-AD353*UDV.lca.urea_ef*UDV.lca.MJ_per_kg_oil_eq</f>
        <v>-325.26845923498422</v>
      </c>
      <c r="AH353" s="2327">
        <f>-AD353*UDV.lca.urea_wf</f>
        <v>-1.4284974684407897E-2</v>
      </c>
      <c r="AI353" s="574"/>
      <c r="AJ353" s="574"/>
      <c r="AK353" s="1290"/>
    </row>
    <row r="354" spans="1:37" x14ac:dyDescent="0.3">
      <c r="A354" s="3040"/>
      <c r="B354" s="49" t="s">
        <v>6842</v>
      </c>
      <c r="C354" s="49" t="s">
        <v>2358</v>
      </c>
      <c r="D354" s="588">
        <f>+D358*UDV.lca.P2O5_TSP</f>
        <v>2.0325999242332475</v>
      </c>
      <c r="E354" s="2327">
        <f>-D354*UDV.lca.P2O5_gwp</f>
        <v>-1.7602315343859924</v>
      </c>
      <c r="F354" s="2327"/>
      <c r="G354" s="2327">
        <f>-D354*UDV.lca.P2O5_ef*UDV.lca.MJ_per_kg_oil_eq</f>
        <v>-43.533502748339835</v>
      </c>
      <c r="H354" s="2327">
        <f>-D354*UDV.lca.P2O5_wf</f>
        <v>-7.5403395976079415E-4</v>
      </c>
      <c r="I354" s="574"/>
      <c r="J354" s="574"/>
      <c r="K354" s="1290"/>
      <c r="AA354" s="3040"/>
      <c r="AB354" s="49" t="s">
        <v>6842</v>
      </c>
      <c r="AC354" s="49" t="s">
        <v>2358</v>
      </c>
      <c r="AD354" s="588">
        <f t="shared" ref="AD354:AD355" si="61">D354</f>
        <v>2.0325999242332475</v>
      </c>
      <c r="AE354" s="2327">
        <f>-AD354*UDV.lca.P2O5_gwp</f>
        <v>-1.7602315343859924</v>
      </c>
      <c r="AF354" s="2327"/>
      <c r="AG354" s="2327">
        <f>-AD354*UDV.lca.P2O5_ef*UDV.lca.MJ_per_kg_oil_eq</f>
        <v>-43.533502748339835</v>
      </c>
      <c r="AH354" s="2327">
        <f>-AD354*UDV.lca.P2O5_wf</f>
        <v>-7.5403395976079415E-4</v>
      </c>
      <c r="AI354" s="574"/>
      <c r="AJ354" s="574"/>
      <c r="AK354" s="1290"/>
    </row>
    <row r="355" spans="1:37" x14ac:dyDescent="0.3">
      <c r="A355" s="3040"/>
      <c r="B355" s="49" t="s">
        <v>6844</v>
      </c>
      <c r="C355" s="49" t="s">
        <v>2358</v>
      </c>
      <c r="D355" s="588">
        <f>+D359*UDV.lca.K2O_KCI</f>
        <v>3.0915310258635667</v>
      </c>
      <c r="E355" s="2327">
        <f>-D355*UDV.lca.K2O_gwp</f>
        <v>-1.3509990583023785</v>
      </c>
      <c r="F355" s="2327"/>
      <c r="G355" s="2327">
        <f>-D355*UDV.lca.K2O_ef*UDV.lca.MJ_per_kg_oil_eq</f>
        <v>-23.952330308542887</v>
      </c>
      <c r="H355" s="2327">
        <f>-D355*UDV.lca.K2O_wf</f>
        <v>-7.0099247639079073E-3</v>
      </c>
      <c r="I355" s="574"/>
      <c r="J355" s="574"/>
      <c r="K355" s="1290"/>
      <c r="AA355" s="3040"/>
      <c r="AB355" s="49" t="s">
        <v>6844</v>
      </c>
      <c r="AC355" s="49" t="s">
        <v>2358</v>
      </c>
      <c r="AD355" s="588">
        <f t="shared" si="61"/>
        <v>3.0915310258635667</v>
      </c>
      <c r="AE355" s="2327">
        <f>-AD355*UDV.lca.K2O_gwp</f>
        <v>-1.3509990583023785</v>
      </c>
      <c r="AF355" s="2327"/>
      <c r="AG355" s="2327">
        <f>-AD355*UDV.lca.K2O_ef*UDV.lca.MJ_per_kg_oil_eq</f>
        <v>-23.952330308542887</v>
      </c>
      <c r="AH355" s="2327">
        <f>-AD355*UDV.lca.K2O_wf</f>
        <v>-7.0099247639079073E-3</v>
      </c>
      <c r="AI355" s="574"/>
      <c r="AJ355" s="574"/>
      <c r="AK355" s="1290"/>
    </row>
    <row r="356" spans="1:37" x14ac:dyDescent="0.3">
      <c r="A356" s="3040"/>
      <c r="B356" s="116" t="s">
        <v>6847</v>
      </c>
      <c r="C356" s="118"/>
      <c r="D356" s="1292"/>
      <c r="E356" s="1712"/>
      <c r="F356" s="1712"/>
      <c r="G356" s="1712"/>
      <c r="H356" s="1712"/>
      <c r="I356" s="1298"/>
      <c r="J356" s="1293"/>
      <c r="K356" s="1295"/>
      <c r="AA356" s="3040"/>
      <c r="AB356" s="116" t="s">
        <v>6847</v>
      </c>
      <c r="AC356" s="118"/>
      <c r="AD356" s="1292"/>
      <c r="AE356" s="1712"/>
      <c r="AF356" s="1712"/>
      <c r="AG356" s="1712"/>
      <c r="AH356" s="1712"/>
      <c r="AI356" s="1298"/>
      <c r="AJ356" s="1293"/>
      <c r="AK356" s="1295"/>
    </row>
    <row r="357" spans="1:37" x14ac:dyDescent="0.3">
      <c r="A357" s="3040"/>
      <c r="B357" s="49" t="s">
        <v>84</v>
      </c>
      <c r="C357" s="49" t="s">
        <v>2358</v>
      </c>
      <c r="D357" s="37">
        <f>'Sc10'!C10+'Sc10'!C14-'Sc10'!C67-'Sc10'!C71</f>
        <v>6.8154106171957709</v>
      </c>
      <c r="E357" s="578"/>
      <c r="F357" s="578"/>
      <c r="G357" s="578"/>
      <c r="H357" s="578"/>
      <c r="I357" s="1299"/>
      <c r="J357" s="574"/>
      <c r="K357" s="1290"/>
      <c r="AA357" s="3040"/>
      <c r="AB357" s="49" t="s">
        <v>84</v>
      </c>
      <c r="AC357" s="49" t="s">
        <v>2358</v>
      </c>
      <c r="AD357" s="50">
        <f>D357</f>
        <v>6.8154106171957709</v>
      </c>
      <c r="AE357" s="578"/>
      <c r="AF357" s="578"/>
      <c r="AG357" s="578"/>
      <c r="AH357" s="578"/>
      <c r="AI357" s="1299"/>
      <c r="AJ357" s="574"/>
      <c r="AK357" s="1290"/>
    </row>
    <row r="358" spans="1:37" x14ac:dyDescent="0.3">
      <c r="A358" s="3040"/>
      <c r="B358" s="49" t="s">
        <v>941</v>
      </c>
      <c r="C358" s="49" t="s">
        <v>2358</v>
      </c>
      <c r="D358" s="37">
        <f>'Sc10'!C11+'Sc10'!C15-'Sc10'!C68-'Sc10'!C72</f>
        <v>2.2584443602591637</v>
      </c>
      <c r="E358" s="578"/>
      <c r="F358" s="578"/>
      <c r="G358" s="578"/>
      <c r="H358" s="578"/>
      <c r="I358" s="1299"/>
      <c r="J358" s="574"/>
      <c r="K358" s="1290"/>
      <c r="AA358" s="3040"/>
      <c r="AB358" s="49" t="s">
        <v>941</v>
      </c>
      <c r="AC358" s="49" t="s">
        <v>2358</v>
      </c>
      <c r="AD358" s="50">
        <f t="shared" ref="AD358:AD359" si="62">D358</f>
        <v>2.2584443602591637</v>
      </c>
      <c r="AE358" s="578"/>
      <c r="AF358" s="578"/>
      <c r="AG358" s="578"/>
      <c r="AH358" s="578"/>
      <c r="AI358" s="1299"/>
      <c r="AJ358" s="574"/>
      <c r="AK358" s="1290"/>
    </row>
    <row r="359" spans="1:37" x14ac:dyDescent="0.3">
      <c r="A359" s="3040"/>
      <c r="B359" s="49" t="s">
        <v>934</v>
      </c>
      <c r="C359" s="49" t="s">
        <v>2358</v>
      </c>
      <c r="D359" s="37">
        <f>'Sc10'!C12+'Sc10'!C16-'Sc10'!C69-'Sc10'!C73</f>
        <v>3.0915310258635667</v>
      </c>
      <c r="E359" s="578"/>
      <c r="F359" s="578"/>
      <c r="G359" s="578"/>
      <c r="H359" s="578"/>
      <c r="I359" s="1299"/>
      <c r="J359" s="574"/>
      <c r="K359" s="1290"/>
      <c r="AA359" s="3040"/>
      <c r="AB359" s="49" t="s">
        <v>934</v>
      </c>
      <c r="AC359" s="49" t="s">
        <v>2358</v>
      </c>
      <c r="AD359" s="50">
        <f t="shared" si="62"/>
        <v>3.0915310258635667</v>
      </c>
      <c r="AE359" s="578"/>
      <c r="AF359" s="578"/>
      <c r="AG359" s="578"/>
      <c r="AH359" s="578"/>
      <c r="AI359" s="1299"/>
      <c r="AJ359" s="574"/>
      <c r="AK359" s="1290"/>
    </row>
    <row r="360" spans="1:37" x14ac:dyDescent="0.3">
      <c r="A360" s="3040"/>
      <c r="B360" s="116" t="s">
        <v>6856</v>
      </c>
      <c r="C360" s="118"/>
      <c r="D360" s="1292"/>
      <c r="E360" s="1712"/>
      <c r="F360" s="1712"/>
      <c r="G360" s="1712"/>
      <c r="H360" s="1712"/>
      <c r="I360" s="1298"/>
      <c r="J360" s="1293"/>
      <c r="K360" s="1295"/>
      <c r="AA360" s="3040"/>
      <c r="AB360" s="116" t="s">
        <v>6856</v>
      </c>
      <c r="AC360" s="118"/>
      <c r="AD360" s="1292"/>
      <c r="AE360" s="1712"/>
      <c r="AF360" s="1712"/>
      <c r="AG360" s="1712"/>
      <c r="AH360" s="1712"/>
      <c r="AI360" s="1298"/>
      <c r="AJ360" s="1293"/>
      <c r="AK360" s="1295"/>
    </row>
    <row r="361" spans="1:37" x14ac:dyDescent="0.3">
      <c r="A361" s="3040"/>
      <c r="B361" s="49" t="s">
        <v>6859</v>
      </c>
      <c r="C361" s="49" t="s">
        <v>2358</v>
      </c>
      <c r="D361" s="37">
        <f>'Sc10'!C27</f>
        <v>0.28361813303632011</v>
      </c>
      <c r="E361" s="578"/>
      <c r="F361" s="578"/>
      <c r="G361" s="578"/>
      <c r="H361" s="578"/>
      <c r="I361" s="1299"/>
      <c r="J361" s="571"/>
      <c r="K361" s="1290"/>
      <c r="AA361" s="3040"/>
      <c r="AB361" s="49" t="s">
        <v>6859</v>
      </c>
      <c r="AC361" s="49" t="s">
        <v>2358</v>
      </c>
      <c r="AD361" s="37">
        <f>D361</f>
        <v>0.28361813303632011</v>
      </c>
      <c r="AE361" s="578"/>
      <c r="AF361" s="578"/>
      <c r="AG361" s="578"/>
      <c r="AH361" s="578"/>
      <c r="AI361" s="1299"/>
      <c r="AJ361" s="571"/>
      <c r="AK361" s="1290"/>
    </row>
    <row r="362" spans="1:37" x14ac:dyDescent="0.3">
      <c r="A362" s="3040"/>
      <c r="B362" s="49" t="s">
        <v>6861</v>
      </c>
      <c r="C362" s="49" t="s">
        <v>2358</v>
      </c>
      <c r="D362" s="37">
        <f>'Sc10'!C28</f>
        <v>9.9883366558499525</v>
      </c>
      <c r="E362" s="578"/>
      <c r="F362" s="578"/>
      <c r="G362" s="578"/>
      <c r="H362" s="578"/>
      <c r="I362" s="1299"/>
      <c r="J362" s="571"/>
      <c r="K362" s="1290"/>
      <c r="AA362" s="3040"/>
      <c r="AB362" s="49" t="s">
        <v>6861</v>
      </c>
      <c r="AC362" s="49" t="s">
        <v>2358</v>
      </c>
      <c r="AD362" s="37">
        <f t="shared" ref="AD362:AD363" si="63">D362</f>
        <v>9.9883366558499525</v>
      </c>
      <c r="AE362" s="578"/>
      <c r="AF362" s="578"/>
      <c r="AG362" s="578"/>
      <c r="AH362" s="578"/>
      <c r="AI362" s="1299"/>
      <c r="AJ362" s="571"/>
      <c r="AK362" s="1290"/>
    </row>
    <row r="363" spans="1:37" x14ac:dyDescent="0.3">
      <c r="A363" s="3040"/>
      <c r="B363" s="49" t="s">
        <v>6864</v>
      </c>
      <c r="C363" s="49" t="s">
        <v>2358</v>
      </c>
      <c r="D363" s="37">
        <f>'Sc10'!C29</f>
        <v>4.3677192545829552E-2</v>
      </c>
      <c r="E363" s="578"/>
      <c r="F363" s="578"/>
      <c r="G363" s="578"/>
      <c r="H363" s="578"/>
      <c r="I363" s="1299"/>
      <c r="J363" s="571"/>
      <c r="K363" s="1290"/>
      <c r="AA363" s="3040"/>
      <c r="AB363" s="49" t="s">
        <v>6864</v>
      </c>
      <c r="AC363" s="49" t="s">
        <v>2358</v>
      </c>
      <c r="AD363" s="37">
        <f t="shared" si="63"/>
        <v>4.3677192545829552E-2</v>
      </c>
      <c r="AE363" s="578"/>
      <c r="AF363" s="578"/>
      <c r="AG363" s="578"/>
      <c r="AH363" s="578"/>
      <c r="AI363" s="1299"/>
      <c r="AJ363" s="571"/>
      <c r="AK363" s="1290"/>
    </row>
    <row r="364" spans="1:37" x14ac:dyDescent="0.3">
      <c r="A364" s="3040"/>
      <c r="B364" s="49"/>
      <c r="C364" s="49"/>
      <c r="D364" s="37"/>
      <c r="E364" s="578"/>
      <c r="F364" s="578"/>
      <c r="G364" s="578"/>
      <c r="H364" s="578"/>
      <c r="I364" s="1299"/>
      <c r="J364" s="571"/>
      <c r="K364" s="1290"/>
      <c r="AA364" s="3040"/>
      <c r="AB364" s="49"/>
      <c r="AC364" s="49"/>
      <c r="AD364" s="37"/>
      <c r="AE364" s="578"/>
      <c r="AF364" s="578"/>
      <c r="AG364" s="578"/>
      <c r="AH364" s="578"/>
      <c r="AI364" s="1299"/>
      <c r="AJ364" s="571"/>
      <c r="AK364" s="1290"/>
    </row>
    <row r="365" spans="1:37" x14ac:dyDescent="0.3">
      <c r="A365" s="3040"/>
      <c r="B365" s="116" t="s">
        <v>6865</v>
      </c>
      <c r="C365" s="118"/>
      <c r="D365" s="1292"/>
      <c r="E365" s="1712"/>
      <c r="F365" s="1712"/>
      <c r="G365" s="1712"/>
      <c r="H365" s="1712"/>
      <c r="I365" s="1298"/>
      <c r="J365" s="1293"/>
      <c r="K365" s="1295"/>
      <c r="AA365" s="3040"/>
      <c r="AB365" s="116" t="s">
        <v>6865</v>
      </c>
      <c r="AC365" s="118"/>
      <c r="AD365" s="1292"/>
      <c r="AE365" s="1712"/>
      <c r="AF365" s="1712"/>
      <c r="AG365" s="1712"/>
      <c r="AH365" s="1712"/>
      <c r="AI365" s="1298"/>
      <c r="AJ365" s="1293"/>
      <c r="AK365" s="1295"/>
    </row>
    <row r="366" spans="1:37" x14ac:dyDescent="0.3">
      <c r="A366" s="3040"/>
      <c r="B366" s="49" t="s">
        <v>6867</v>
      </c>
      <c r="C366" s="49" t="s">
        <v>2358</v>
      </c>
      <c r="D366" s="37">
        <f>'Sc10'!C68+'Sc10'!C72</f>
        <v>4.3846651397408358</v>
      </c>
      <c r="E366" s="578"/>
      <c r="F366" s="578"/>
      <c r="G366" s="578"/>
      <c r="H366" s="578"/>
      <c r="I366" s="1299"/>
      <c r="J366" s="571"/>
      <c r="K366" s="1290"/>
      <c r="AA366" s="3040"/>
      <c r="AB366" s="49" t="s">
        <v>6867</v>
      </c>
      <c r="AC366" s="49" t="s">
        <v>2358</v>
      </c>
      <c r="AD366" s="37">
        <f>D366</f>
        <v>4.3846651397408358</v>
      </c>
      <c r="AE366" s="578"/>
      <c r="AF366" s="578"/>
      <c r="AG366" s="578"/>
      <c r="AH366" s="578"/>
      <c r="AI366" s="1299"/>
      <c r="AJ366" s="571"/>
      <c r="AK366" s="1290"/>
    </row>
    <row r="367" spans="1:37" x14ac:dyDescent="0.3">
      <c r="A367" s="3040"/>
      <c r="B367" s="49"/>
      <c r="C367" s="49"/>
      <c r="D367" s="18" t="s">
        <v>6869</v>
      </c>
      <c r="E367" s="122">
        <f>+SUM(E339:E344,E348:E350,E351)</f>
        <v>666.26544490273341</v>
      </c>
      <c r="F367" s="37"/>
      <c r="G367" s="37"/>
      <c r="H367" s="37"/>
      <c r="I367" s="57"/>
      <c r="J367" s="49"/>
      <c r="K367" s="11"/>
      <c r="AA367" s="3040"/>
      <c r="AB367" s="49"/>
      <c r="AC367" s="49"/>
      <c r="AD367" s="18" t="s">
        <v>6869</v>
      </c>
      <c r="AE367" s="122">
        <f>+SUM(AE339:AE344,AE348:AE350,AE351)</f>
        <v>663.32040235621616</v>
      </c>
      <c r="AF367" s="37"/>
      <c r="AG367" s="37"/>
      <c r="AH367" s="37"/>
      <c r="AI367" s="57"/>
      <c r="AJ367" s="49"/>
      <c r="AK367" s="11"/>
    </row>
    <row r="368" spans="1:37" x14ac:dyDescent="0.3">
      <c r="A368" s="3040"/>
      <c r="B368" s="118" t="s">
        <v>6871</v>
      </c>
      <c r="C368" s="119" t="s">
        <v>4815</v>
      </c>
      <c r="D368" s="1708" t="s">
        <v>630</v>
      </c>
      <c r="E368" s="1281">
        <f>+SUM(E346:E351,E344)</f>
        <v>659.82502043884358</v>
      </c>
      <c r="F368" s="1281">
        <f>+SUM(F346:F351)</f>
        <v>304.02469437773112</v>
      </c>
      <c r="G368" s="1281">
        <f>+SUM(G346:G351)</f>
        <v>0</v>
      </c>
      <c r="H368" s="2267">
        <f>+SUM(H339,H346:H351)</f>
        <v>0.47112055205176917</v>
      </c>
      <c r="I368" s="641">
        <f>I339</f>
        <v>0.47053708606504846</v>
      </c>
      <c r="J368" s="1281">
        <f>+J351</f>
        <v>10.315631981432102</v>
      </c>
      <c r="K368" s="1282">
        <f>+K351</f>
        <v>4.3846651397408358</v>
      </c>
      <c r="AA368" s="3040"/>
      <c r="AB368" s="118" t="s">
        <v>6871</v>
      </c>
      <c r="AC368" s="119" t="s">
        <v>4815</v>
      </c>
      <c r="AD368" s="1708" t="s">
        <v>630</v>
      </c>
      <c r="AE368" s="1281">
        <f>+SUM(AE346:AE351,AE344)</f>
        <v>658.03002614922207</v>
      </c>
      <c r="AF368" s="1281">
        <f>+SUM(AF346:AF351)</f>
        <v>304.02469437773112</v>
      </c>
      <c r="AG368" s="1281">
        <f>+SUM(AG346:AG351)</f>
        <v>0</v>
      </c>
      <c r="AH368" s="2267">
        <f>+SUM(AH339,AH346:AH351)</f>
        <v>0.47112055205176917</v>
      </c>
      <c r="AI368" s="641">
        <f>AI339</f>
        <v>0.47053708606504846</v>
      </c>
      <c r="AJ368" s="1281">
        <f>+AJ351</f>
        <v>10.315631981432102</v>
      </c>
      <c r="AK368" s="1282">
        <f>+AK351</f>
        <v>4.3846651397408358</v>
      </c>
    </row>
    <row r="369" spans="1:37" x14ac:dyDescent="0.3">
      <c r="A369" s="3040"/>
      <c r="B369" s="118" t="s">
        <v>6874</v>
      </c>
      <c r="C369" s="118"/>
      <c r="D369" s="1709" t="s">
        <v>6875</v>
      </c>
      <c r="E369" s="922">
        <f>+SUM(E339:E343,E353:E355)</f>
        <v>-2.3909802598109646</v>
      </c>
      <c r="F369" s="922">
        <f>+SUM(F339:F344,F353:F355)</f>
        <v>0</v>
      </c>
      <c r="G369" s="922">
        <f>+SUM(G339:G344,G353:G355)</f>
        <v>-291.69844142271938</v>
      </c>
      <c r="H369" s="2268">
        <f>+SUM(H340:H344,H353:H355)</f>
        <v>1.7414824633481037E-2</v>
      </c>
      <c r="I369" s="1283">
        <v>0</v>
      </c>
      <c r="J369" s="922"/>
      <c r="K369" s="1284"/>
      <c r="AA369" s="3040"/>
      <c r="AB369" s="118" t="s">
        <v>6874</v>
      </c>
      <c r="AC369" s="118"/>
      <c r="AD369" s="1709" t="s">
        <v>6875</v>
      </c>
      <c r="AE369" s="922">
        <f>+SUM(AE339:AE343,AE353:AE355)</f>
        <v>-3.5410285167066871</v>
      </c>
      <c r="AF369" s="922">
        <f>+SUM(AF339:AF344,AF353:AF355)</f>
        <v>0</v>
      </c>
      <c r="AG369" s="922">
        <f>+SUM(AG339:AG344,AG353:AG355)</f>
        <v>-333.10960906667196</v>
      </c>
      <c r="AH369" s="2268">
        <f>+SUM(AH340:AH344,AH353:AH355)</f>
        <v>5.9143420645238103E-3</v>
      </c>
      <c r="AI369" s="1283">
        <v>0</v>
      </c>
      <c r="AJ369" s="922"/>
      <c r="AK369" s="1284"/>
    </row>
    <row r="370" spans="1:37" ht="15" thickBot="1" x14ac:dyDescent="0.35">
      <c r="A370" s="3041"/>
      <c r="B370" s="22"/>
      <c r="C370" s="1291"/>
      <c r="D370" s="1710" t="s">
        <v>6876</v>
      </c>
      <c r="E370" s="1285">
        <f>E368+E369</f>
        <v>657.43404017903265</v>
      </c>
      <c r="F370" s="1285">
        <f>F368+F369</f>
        <v>304.02469437773112</v>
      </c>
      <c r="G370" s="1285">
        <f>G368+G369</f>
        <v>-291.69844142271938</v>
      </c>
      <c r="H370" s="2269">
        <f t="shared" ref="H370" si="64">H368+H369</f>
        <v>0.48853537668525021</v>
      </c>
      <c r="I370" s="1285">
        <f>I368+I369</f>
        <v>0.47053708606504846</v>
      </c>
      <c r="J370" s="1285">
        <f>J368+J369</f>
        <v>10.315631981432102</v>
      </c>
      <c r="K370" s="1286">
        <f>K368+K369</f>
        <v>4.3846651397408358</v>
      </c>
      <c r="AA370" s="3041"/>
      <c r="AB370" s="22"/>
      <c r="AC370" s="1291"/>
      <c r="AD370" s="1710" t="s">
        <v>6876</v>
      </c>
      <c r="AE370" s="1285">
        <f>AE368+AE369</f>
        <v>654.48899763251541</v>
      </c>
      <c r="AF370" s="1285">
        <f>AF368+AF369</f>
        <v>304.02469437773112</v>
      </c>
      <c r="AG370" s="1285">
        <f>AG368+AG369</f>
        <v>-333.10960906667196</v>
      </c>
      <c r="AH370" s="2269">
        <f t="shared" ref="AH370" si="65">AH368+AH369</f>
        <v>0.47703489411629296</v>
      </c>
      <c r="AI370" s="1285">
        <f>AI368+AI369</f>
        <v>0.47053708606504846</v>
      </c>
      <c r="AJ370" s="1285">
        <f>AJ368+AJ369</f>
        <v>10.315631981432102</v>
      </c>
      <c r="AK370" s="1286">
        <f>AK368+AK369</f>
        <v>4.3846651397408358</v>
      </c>
    </row>
    <row r="371" spans="1:37" ht="15" thickBot="1" x14ac:dyDescent="0.35"/>
    <row r="372" spans="1:37" x14ac:dyDescent="0.3">
      <c r="A372" s="3039" t="s">
        <v>6912</v>
      </c>
      <c r="B372" s="49"/>
      <c r="C372" s="49"/>
      <c r="D372" s="9"/>
      <c r="E372" s="565"/>
      <c r="F372" s="565"/>
      <c r="G372" s="565"/>
      <c r="H372" s="565"/>
      <c r="I372" s="1297"/>
      <c r="J372" s="3038" t="s">
        <v>6791</v>
      </c>
      <c r="K372" s="3038"/>
      <c r="AA372" s="3039" t="s">
        <v>6913</v>
      </c>
      <c r="AB372" s="49"/>
      <c r="AC372" s="49"/>
      <c r="AD372" s="9"/>
      <c r="AE372" s="565"/>
      <c r="AF372" s="565"/>
      <c r="AG372" s="565"/>
      <c r="AH372" s="565"/>
      <c r="AI372" s="1297"/>
      <c r="AJ372" s="3038" t="s">
        <v>6791</v>
      </c>
      <c r="AK372" s="3038"/>
    </row>
    <row r="373" spans="1:37" ht="72" x14ac:dyDescent="0.3">
      <c r="A373" s="3040"/>
      <c r="B373" s="566"/>
      <c r="C373" s="566" t="s">
        <v>6795</v>
      </c>
      <c r="D373" s="567" t="s">
        <v>6796</v>
      </c>
      <c r="E373" s="567" t="s">
        <v>4824</v>
      </c>
      <c r="F373" s="567" t="s">
        <v>447</v>
      </c>
      <c r="G373" s="567" t="s">
        <v>446</v>
      </c>
      <c r="H373" s="567" t="s">
        <v>2599</v>
      </c>
      <c r="I373" s="1279" t="s">
        <v>6797</v>
      </c>
      <c r="J373" s="567" t="s">
        <v>4832</v>
      </c>
      <c r="K373" s="567" t="s">
        <v>6798</v>
      </c>
      <c r="AA373" s="3040"/>
      <c r="AB373" s="566"/>
      <c r="AC373" s="566" t="s">
        <v>6795</v>
      </c>
      <c r="AD373" s="567" t="s">
        <v>6796</v>
      </c>
      <c r="AE373" s="567" t="s">
        <v>4824</v>
      </c>
      <c r="AF373" s="567" t="s">
        <v>447</v>
      </c>
      <c r="AG373" s="567" t="s">
        <v>446</v>
      </c>
      <c r="AH373" s="567" t="s">
        <v>2599</v>
      </c>
      <c r="AI373" s="1279" t="s">
        <v>6797</v>
      </c>
      <c r="AJ373" s="567" t="s">
        <v>4832</v>
      </c>
      <c r="AK373" s="567" t="s">
        <v>6798</v>
      </c>
    </row>
    <row r="374" spans="1:37" ht="16.8" x14ac:dyDescent="0.35">
      <c r="A374" s="3040"/>
      <c r="B374" s="568"/>
      <c r="C374" s="568"/>
      <c r="D374" s="569"/>
      <c r="E374" s="570" t="s">
        <v>6799</v>
      </c>
      <c r="F374" s="570" t="s">
        <v>6800</v>
      </c>
      <c r="G374" s="570" t="s">
        <v>2435</v>
      </c>
      <c r="H374" s="570" t="s">
        <v>6801</v>
      </c>
      <c r="I374" s="1280" t="s">
        <v>2478</v>
      </c>
      <c r="J374" s="569" t="s">
        <v>6802</v>
      </c>
      <c r="K374" s="569" t="s">
        <v>6803</v>
      </c>
      <c r="AA374" s="3040"/>
      <c r="AB374" s="568"/>
      <c r="AC374" s="568"/>
      <c r="AD374" s="569"/>
      <c r="AE374" s="570" t="s">
        <v>6799</v>
      </c>
      <c r="AF374" s="570" t="s">
        <v>6800</v>
      </c>
      <c r="AG374" s="570" t="s">
        <v>2435</v>
      </c>
      <c r="AH374" s="570" t="s">
        <v>6801</v>
      </c>
      <c r="AI374" s="1280" t="s">
        <v>2478</v>
      </c>
      <c r="AJ374" s="569" t="s">
        <v>6802</v>
      </c>
      <c r="AK374" s="569" t="s">
        <v>6803</v>
      </c>
    </row>
    <row r="375" spans="1:37" x14ac:dyDescent="0.3">
      <c r="A375" s="3040"/>
      <c r="B375" s="116" t="s">
        <v>6805</v>
      </c>
      <c r="C375" s="118"/>
      <c r="D375" s="1292"/>
      <c r="E375" s="1293"/>
      <c r="F375" s="1293"/>
      <c r="G375" s="1292"/>
      <c r="H375" s="1293"/>
      <c r="I375" s="1294"/>
      <c r="J375" s="1293"/>
      <c r="K375" s="1295"/>
      <c r="AA375" s="3040"/>
      <c r="AB375" s="116" t="s">
        <v>6805</v>
      </c>
      <c r="AC375" s="118"/>
      <c r="AD375" s="1292"/>
      <c r="AE375" s="1293"/>
      <c r="AF375" s="1293"/>
      <c r="AG375" s="1292"/>
      <c r="AH375" s="1293"/>
      <c r="AI375" s="1294"/>
      <c r="AJ375" s="1293"/>
      <c r="AK375" s="1295"/>
    </row>
    <row r="376" spans="1:37" x14ac:dyDescent="0.3">
      <c r="A376" s="3040"/>
      <c r="B376" s="49" t="s">
        <v>415</v>
      </c>
      <c r="C376" s="49" t="s">
        <v>2358</v>
      </c>
      <c r="D376" s="50">
        <f>'Sc11'!C5*1000</f>
        <v>470.53708606504847</v>
      </c>
      <c r="E376" s="2326">
        <f>+D376*UDV.lca.water_gwp</f>
        <v>0.21174168872927179</v>
      </c>
      <c r="F376" s="2327"/>
      <c r="G376" s="2327">
        <f>+D376*UDV.lca.water_ef*UDV.lca.MJ_per_kg_oil_eq</f>
        <v>3.1522220469669731</v>
      </c>
      <c r="H376" s="1711">
        <f>+D376*UDV.lca.water_wf</f>
        <v>0.47112055205176917</v>
      </c>
      <c r="I376" s="1296">
        <f>D376/1000</f>
        <v>0.47053708606504846</v>
      </c>
      <c r="J376" s="574"/>
      <c r="K376" s="1290"/>
      <c r="AA376" s="3040"/>
      <c r="AB376" s="49" t="s">
        <v>415</v>
      </c>
      <c r="AC376" s="49" t="s">
        <v>2358</v>
      </c>
      <c r="AD376" s="50">
        <f>D376</f>
        <v>470.53708606504847</v>
      </c>
      <c r="AE376" s="2326">
        <f>+AD376*UDV.lca.water_gwp</f>
        <v>0.21174168872927179</v>
      </c>
      <c r="AF376" s="2327"/>
      <c r="AG376" s="2327">
        <f>+AD376*UDV.lca.water_ef*UDV.lca.MJ_per_kg_oil_eq</f>
        <v>3.1522220469669731</v>
      </c>
      <c r="AH376" s="1711">
        <f>+AD376*UDV.lca.water_wf</f>
        <v>0.47112055205176917</v>
      </c>
      <c r="AI376" s="1296">
        <f>AD376/1000</f>
        <v>0.47053708606504846</v>
      </c>
      <c r="AJ376" s="574"/>
      <c r="AK376" s="1290"/>
    </row>
    <row r="377" spans="1:37" x14ac:dyDescent="0.3">
      <c r="A377" s="3040"/>
      <c r="B377" s="49" t="s">
        <v>409</v>
      </c>
      <c r="C377" s="49" t="s">
        <v>2556</v>
      </c>
      <c r="D377" s="37">
        <f>'Sc11'!C6</f>
        <v>2.5458286780640407</v>
      </c>
      <c r="E377" s="2326">
        <f>+D377*UDV.lca.electricity_gwp</f>
        <v>0.91262607135317331</v>
      </c>
      <c r="F377" s="2327"/>
      <c r="G377" s="2327">
        <f>+D377*UDV.lca.electricity_ef*UDV.lca.MJ_per_kg_oil_eq</f>
        <v>4.8819981811747954</v>
      </c>
      <c r="H377" s="2327">
        <f>+D377*UDV.lca.electricity_wf</f>
        <v>4.0733258849024656E-3</v>
      </c>
      <c r="I377" s="1296"/>
      <c r="J377" s="574"/>
      <c r="K377" s="1290"/>
      <c r="AA377" s="3040"/>
      <c r="AB377" s="49" t="s">
        <v>409</v>
      </c>
      <c r="AC377" s="49" t="s">
        <v>2556</v>
      </c>
      <c r="AD377" s="50">
        <f>D377</f>
        <v>2.5458286780640407</v>
      </c>
      <c r="AE377" s="2326">
        <f>+AD377*UDV.lca.electricity_gwp</f>
        <v>0.91262607135317331</v>
      </c>
      <c r="AF377" s="2327"/>
      <c r="AG377" s="2327">
        <f>+AD377*UDV.lca.electricity_ef*UDV.lca.MJ_per_kg_oil_eq</f>
        <v>4.8819981811747954</v>
      </c>
      <c r="AH377" s="2327">
        <f>+AD377*UDV.lca.electricity_wf</f>
        <v>4.0733258849024656E-3</v>
      </c>
      <c r="AI377" s="1296"/>
      <c r="AJ377" s="574"/>
      <c r="AK377" s="1290"/>
    </row>
    <row r="378" spans="1:37" x14ac:dyDescent="0.3">
      <c r="A378" s="3040"/>
      <c r="B378" s="49" t="s">
        <v>6812</v>
      </c>
      <c r="C378" s="49" t="s">
        <v>2435</v>
      </c>
      <c r="D378" s="50">
        <f>'Sc11'!C56*UDV.lca.MJ_per_gal_diesel</f>
        <v>47.676351713220313</v>
      </c>
      <c r="E378" s="2326">
        <f>+D378*UDV.lca.diesel_gwp</f>
        <v>2.1454358270949139</v>
      </c>
      <c r="F378" s="2327"/>
      <c r="G378" s="2326">
        <f>+D378*UDV.lca.diesel_ef*UDV.lca.MJ_per_kg_oil_eq</f>
        <v>77.253282349199068</v>
      </c>
      <c r="H378" s="2327">
        <f>+D378*UDV.lca.diesel_wf</f>
        <v>2.1454358270949138E-2</v>
      </c>
      <c r="I378" s="1296"/>
      <c r="J378" s="574"/>
      <c r="K378" s="1290"/>
      <c r="AA378" s="3040"/>
      <c r="AB378" s="49" t="s">
        <v>6812</v>
      </c>
      <c r="AC378" s="49" t="s">
        <v>2435</v>
      </c>
      <c r="AD378" s="53">
        <f>'Sc11'!C57*UDV.lca.MJ_per_gal_diesel</f>
        <v>20.895873931182873</v>
      </c>
      <c r="AE378" s="2326">
        <f>+AD378*UDV.lca.diesel_gwp</f>
        <v>0.94031432690322925</v>
      </c>
      <c r="AF378" s="2327"/>
      <c r="AG378" s="2326">
        <f>+AD378*UDV.lca.diesel_ef*UDV.lca.MJ_per_kg_oil_eq</f>
        <v>33.85902634599686</v>
      </c>
      <c r="AH378" s="2327">
        <f>+AD378*UDV.lca.diesel_wf</f>
        <v>9.4031432690322922E-3</v>
      </c>
      <c r="AI378" s="1296"/>
      <c r="AJ378" s="574"/>
      <c r="AK378" s="1290"/>
    </row>
    <row r="379" spans="1:37" x14ac:dyDescent="0.3">
      <c r="A379" s="3040"/>
      <c r="B379" s="49" t="s">
        <v>6814</v>
      </c>
      <c r="C379" s="49" t="s">
        <v>2358</v>
      </c>
      <c r="D379" s="9"/>
      <c r="E379" s="2326">
        <f>+D379*UDV.lca.sand_gwp</f>
        <v>0</v>
      </c>
      <c r="F379" s="2327"/>
      <c r="G379" s="2327">
        <f>+D379*UDV.lca.sand_ef*UDV.lca.MJ_per_kg_oil_eq</f>
        <v>0</v>
      </c>
      <c r="H379" s="2327">
        <f>+D379*UDV.lca.sand_wf</f>
        <v>0</v>
      </c>
      <c r="I379" s="1296"/>
      <c r="J379" s="574"/>
      <c r="K379" s="1290"/>
      <c r="AA379" s="3040"/>
      <c r="AB379" s="49" t="s">
        <v>6814</v>
      </c>
      <c r="AC379" s="49" t="s">
        <v>2358</v>
      </c>
      <c r="AD379" s="9"/>
      <c r="AE379" s="2326">
        <f>+AD379*UDV.lca.sand_gwp</f>
        <v>0</v>
      </c>
      <c r="AF379" s="2327"/>
      <c r="AG379" s="2327">
        <f>+AD379*UDV.lca.sand_ef*UDV.lca.MJ_per_kg_oil_eq</f>
        <v>0</v>
      </c>
      <c r="AH379" s="2327">
        <f>+AD379*UDV.lca.sand_wf</f>
        <v>0</v>
      </c>
      <c r="AI379" s="1296"/>
      <c r="AJ379" s="574"/>
      <c r="AK379" s="1290"/>
    </row>
    <row r="380" spans="1:37" x14ac:dyDescent="0.3">
      <c r="A380" s="3040"/>
      <c r="B380" s="49"/>
      <c r="C380" s="49"/>
      <c r="D380" s="9"/>
      <c r="E380" s="2327"/>
      <c r="F380" s="2327"/>
      <c r="G380" s="2327"/>
      <c r="H380" s="2327"/>
      <c r="I380" s="1296"/>
      <c r="J380" s="574"/>
      <c r="K380" s="1290"/>
      <c r="AA380" s="3040"/>
      <c r="AB380" s="49"/>
      <c r="AC380" s="49"/>
      <c r="AD380" s="9"/>
      <c r="AE380" s="2327"/>
      <c r="AF380" s="2327"/>
      <c r="AG380" s="2327"/>
      <c r="AH380" s="2327"/>
      <c r="AI380" s="1296"/>
      <c r="AJ380" s="574"/>
      <c r="AK380" s="1290"/>
    </row>
    <row r="381" spans="1:37" x14ac:dyDescent="0.3">
      <c r="A381" s="3040"/>
      <c r="B381" s="1089" t="s">
        <v>6819</v>
      </c>
      <c r="C381" s="1089" t="s">
        <v>4885</v>
      </c>
      <c r="D381" s="1711">
        <f>'Sc11'!C56</f>
        <v>0.32893853810694296</v>
      </c>
      <c r="E381" s="1711">
        <f>D381*UDV.lca.diesel_combustion_gwp</f>
        <v>3.3485943179286792</v>
      </c>
      <c r="F381" s="1296"/>
      <c r="G381" s="1296"/>
      <c r="H381" s="1296"/>
      <c r="I381" s="1296"/>
      <c r="J381" s="574"/>
      <c r="K381" s="1290"/>
      <c r="AA381" s="3040"/>
      <c r="AB381" s="1089" t="s">
        <v>6819</v>
      </c>
      <c r="AC381" s="1089" t="s">
        <v>4885</v>
      </c>
      <c r="AD381" s="2322">
        <f>'Sc11'!C57</f>
        <v>0.14416913157984595</v>
      </c>
      <c r="AE381" s="1711">
        <f>AD381*UDV.lca.diesel_combustion_gwp</f>
        <v>1.4676417594828317</v>
      </c>
      <c r="AF381" s="1296"/>
      <c r="AG381" s="1296"/>
      <c r="AH381" s="1296"/>
      <c r="AI381" s="1296"/>
      <c r="AJ381" s="574"/>
      <c r="AK381" s="1290"/>
    </row>
    <row r="382" spans="1:37" x14ac:dyDescent="0.3">
      <c r="A382" s="3040"/>
      <c r="B382" s="118" t="s">
        <v>6822</v>
      </c>
      <c r="C382" s="118"/>
      <c r="D382" s="1292"/>
      <c r="E382" s="1712"/>
      <c r="F382" s="1712"/>
      <c r="G382" s="1712"/>
      <c r="H382" s="1712"/>
      <c r="I382" s="1298"/>
      <c r="J382" s="1298"/>
      <c r="K382" s="1713"/>
      <c r="AA382" s="3040"/>
      <c r="AB382" s="118" t="s">
        <v>6822</v>
      </c>
      <c r="AC382" s="118"/>
      <c r="AD382" s="1292"/>
      <c r="AE382" s="1712"/>
      <c r="AF382" s="1712"/>
      <c r="AG382" s="1712"/>
      <c r="AH382" s="1712"/>
      <c r="AI382" s="1298"/>
      <c r="AJ382" s="1298"/>
      <c r="AK382" s="1713"/>
    </row>
    <row r="383" spans="1:37" x14ac:dyDescent="0.3">
      <c r="A383" s="3040"/>
      <c r="B383" s="49" t="s">
        <v>6786</v>
      </c>
      <c r="C383" s="49" t="s">
        <v>2268</v>
      </c>
      <c r="D383" s="50">
        <f>'Sc11'!C8</f>
        <v>289.20189447991015</v>
      </c>
      <c r="E383" s="578"/>
      <c r="F383" s="1711">
        <f>+D383</f>
        <v>289.20189447991015</v>
      </c>
      <c r="G383" s="578"/>
      <c r="H383" s="578"/>
      <c r="I383" s="1299"/>
      <c r="J383" s="574"/>
      <c r="K383" s="1290"/>
      <c r="AA383" s="3040"/>
      <c r="AB383" s="49" t="s">
        <v>6786</v>
      </c>
      <c r="AC383" s="49" t="s">
        <v>2268</v>
      </c>
      <c r="AD383" s="50">
        <f>D383</f>
        <v>289.20189447991015</v>
      </c>
      <c r="AE383" s="578"/>
      <c r="AF383" s="1711">
        <f>+AD383</f>
        <v>289.20189447991015</v>
      </c>
      <c r="AG383" s="578"/>
      <c r="AH383" s="578"/>
      <c r="AI383" s="1299"/>
      <c r="AJ383" s="574"/>
      <c r="AK383" s="1290"/>
    </row>
    <row r="384" spans="1:37" x14ac:dyDescent="0.3">
      <c r="A384" s="3040"/>
      <c r="B384" s="76" t="s">
        <v>6826</v>
      </c>
      <c r="C384" s="76"/>
      <c r="D384" s="9"/>
      <c r="E384" s="578"/>
      <c r="F384" s="578"/>
      <c r="G384" s="578"/>
      <c r="H384" s="578"/>
      <c r="I384" s="1299"/>
      <c r="J384" s="574"/>
      <c r="K384" s="1290"/>
      <c r="AA384" s="3040"/>
      <c r="AB384" s="76" t="s">
        <v>6826</v>
      </c>
      <c r="AC384" s="76"/>
      <c r="AD384" s="9"/>
      <c r="AE384" s="578"/>
      <c r="AF384" s="578"/>
      <c r="AG384" s="578"/>
      <c r="AH384" s="578"/>
      <c r="AI384" s="1299"/>
      <c r="AJ384" s="574"/>
      <c r="AK384" s="1290"/>
    </row>
    <row r="385" spans="1:37" x14ac:dyDescent="0.3">
      <c r="A385" s="3040"/>
      <c r="B385" s="117" t="s">
        <v>6828</v>
      </c>
      <c r="C385" s="49" t="s">
        <v>2358</v>
      </c>
      <c r="D385" s="37">
        <f>+D398*1</f>
        <v>0.28486240252238443</v>
      </c>
      <c r="E385" s="1711">
        <f>+D385*UDV.emit_N2O_direct.CO2e_cf</f>
        <v>88.307344781939179</v>
      </c>
      <c r="F385" s="578"/>
      <c r="G385" s="578"/>
      <c r="H385" s="578"/>
      <c r="I385" s="1299"/>
      <c r="J385" s="574"/>
      <c r="K385" s="1290"/>
      <c r="AA385" s="3040"/>
      <c r="AB385" s="117" t="s">
        <v>6828</v>
      </c>
      <c r="AC385" s="49" t="s">
        <v>2358</v>
      </c>
      <c r="AD385" s="37">
        <f>D385</f>
        <v>0.28486240252238443</v>
      </c>
      <c r="AE385" s="1711">
        <f>+AD385*UDV.emit_N2O_direct.CO2e_cf</f>
        <v>88.307344781939179</v>
      </c>
      <c r="AF385" s="578"/>
      <c r="AG385" s="578"/>
      <c r="AH385" s="578"/>
      <c r="AI385" s="1299"/>
      <c r="AJ385" s="574"/>
      <c r="AK385" s="1290"/>
    </row>
    <row r="386" spans="1:37" x14ac:dyDescent="0.3">
      <c r="A386" s="3040"/>
      <c r="B386" s="117" t="s">
        <v>4894</v>
      </c>
      <c r="C386" s="49" t="s">
        <v>2358</v>
      </c>
      <c r="D386" s="37">
        <f>'Sc11'!C18</f>
        <v>19.393198992241071</v>
      </c>
      <c r="E386" s="1711">
        <f>+D386*UDV.emit_CH4.CO2e_cf</f>
        <v>581.79596976723212</v>
      </c>
      <c r="F386" s="578"/>
      <c r="G386" s="578"/>
      <c r="H386" s="578"/>
      <c r="I386" s="1299"/>
      <c r="J386" s="574"/>
      <c r="K386" s="1290"/>
      <c r="AA386" s="3040"/>
      <c r="AB386" s="117" t="s">
        <v>4894</v>
      </c>
      <c r="AC386" s="49" t="s">
        <v>2358</v>
      </c>
      <c r="AD386" s="37">
        <f t="shared" ref="AD386:AD387" si="66">D386</f>
        <v>19.393198992241071</v>
      </c>
      <c r="AE386" s="1711">
        <f>+AD386*UDV.emit_CH4.CO2e_cf</f>
        <v>581.79596976723212</v>
      </c>
      <c r="AF386" s="578"/>
      <c r="AG386" s="578"/>
      <c r="AH386" s="578"/>
      <c r="AI386" s="1299"/>
      <c r="AJ386" s="574"/>
      <c r="AK386" s="1290"/>
    </row>
    <row r="387" spans="1:37" x14ac:dyDescent="0.3">
      <c r="A387" s="3040"/>
      <c r="B387" s="117" t="s">
        <v>6833</v>
      </c>
      <c r="C387" s="49" t="s">
        <v>2358</v>
      </c>
      <c r="D387" s="77">
        <f>'Sc11'!C22</f>
        <v>37.007112913154977</v>
      </c>
      <c r="E387" s="1711">
        <f>D387*UDV.lca.CO2_toggle</f>
        <v>0</v>
      </c>
      <c r="F387" s="578"/>
      <c r="G387" s="578"/>
      <c r="H387" s="578"/>
      <c r="I387" s="1299"/>
      <c r="J387" s="574"/>
      <c r="K387" s="1290"/>
      <c r="AA387" s="3040"/>
      <c r="AB387" s="117" t="s">
        <v>6833</v>
      </c>
      <c r="AC387" s="49" t="s">
        <v>2358</v>
      </c>
      <c r="AD387" s="37">
        <f t="shared" si="66"/>
        <v>37.007112913154977</v>
      </c>
      <c r="AE387" s="1711">
        <f>AD387*UDV.lca.CO2_toggle</f>
        <v>0</v>
      </c>
      <c r="AF387" s="578"/>
      <c r="AG387" s="578"/>
      <c r="AH387" s="578"/>
      <c r="AI387" s="1299"/>
      <c r="AJ387" s="574"/>
      <c r="AK387" s="1290"/>
    </row>
    <row r="388" spans="1:37" x14ac:dyDescent="0.3">
      <c r="A388" s="3040"/>
      <c r="B388" s="117"/>
      <c r="C388" s="49"/>
      <c r="D388" s="50"/>
      <c r="E388" s="1300"/>
      <c r="F388" s="1300"/>
      <c r="G388" s="1300"/>
      <c r="H388" s="1300"/>
      <c r="I388" s="1300"/>
      <c r="J388" s="1711">
        <f>+SUM(D398:D400)</f>
        <v>10.66938399986382</v>
      </c>
      <c r="K388" s="2328">
        <f>+SUM(D403)</f>
        <v>4.5801855995618181</v>
      </c>
      <c r="AA388" s="3040"/>
      <c r="AB388" s="117"/>
      <c r="AC388" s="49"/>
      <c r="AD388" s="50"/>
      <c r="AE388" s="1300"/>
      <c r="AF388" s="1300"/>
      <c r="AG388" s="1300"/>
      <c r="AH388" s="1300"/>
      <c r="AI388" s="1300"/>
      <c r="AJ388" s="1711">
        <f>+SUM(AD398:AD400)</f>
        <v>10.66938399986382</v>
      </c>
      <c r="AK388" s="2328">
        <f>+SUM(AD403)</f>
        <v>4.5801855995618181</v>
      </c>
    </row>
    <row r="389" spans="1:37" x14ac:dyDescent="0.3">
      <c r="A389" s="3040"/>
      <c r="B389" s="116" t="s">
        <v>6838</v>
      </c>
      <c r="C389" s="118"/>
      <c r="D389" s="1292"/>
      <c r="E389" s="1712"/>
      <c r="F389" s="1712"/>
      <c r="G389" s="1712"/>
      <c r="H389" s="1712"/>
      <c r="I389" s="1298"/>
      <c r="J389" s="1293"/>
      <c r="K389" s="1295"/>
      <c r="AA389" s="3040"/>
      <c r="AB389" s="116" t="s">
        <v>6838</v>
      </c>
      <c r="AC389" s="118"/>
      <c r="AD389" s="1292"/>
      <c r="AE389" s="1712"/>
      <c r="AF389" s="1712"/>
      <c r="AG389" s="1712"/>
      <c r="AH389" s="1712"/>
      <c r="AI389" s="1298"/>
      <c r="AJ389" s="1293"/>
      <c r="AK389" s="1295"/>
    </row>
    <row r="390" spans="1:37" x14ac:dyDescent="0.3">
      <c r="A390" s="3040"/>
      <c r="B390" s="49" t="s">
        <v>6839</v>
      </c>
      <c r="C390" s="49" t="s">
        <v>2358</v>
      </c>
      <c r="D390" s="588">
        <f>+D394*UDV.lca.urea_n_content</f>
        <v>4.4723757960149024</v>
      </c>
      <c r="E390" s="2327">
        <f>-D390*UDV.lca.urea_gwp</f>
        <v>-5.3623785794218684</v>
      </c>
      <c r="F390" s="2327"/>
      <c r="G390" s="2327">
        <f>-D390*UDV.lca.urea_ef*UDV.lca.MJ_per_kg_oil_eq</f>
        <v>-304.92299332407339</v>
      </c>
      <c r="H390" s="2327">
        <f>-D390*UDV.lca.urea_wf</f>
        <v>-1.3391452865036282E-2</v>
      </c>
      <c r="I390" s="574"/>
      <c r="J390" s="574"/>
      <c r="K390" s="1290"/>
      <c r="AA390" s="3040"/>
      <c r="AB390" s="49" t="s">
        <v>6839</v>
      </c>
      <c r="AC390" s="49" t="s">
        <v>2358</v>
      </c>
      <c r="AD390" s="588">
        <f>D390</f>
        <v>4.4723757960149024</v>
      </c>
      <c r="AE390" s="2327">
        <f>-AD390*UDV.lca.urea_gwp</f>
        <v>-5.3623785794218684</v>
      </c>
      <c r="AF390" s="2327"/>
      <c r="AG390" s="2327">
        <f>-AD390*UDV.lca.urea_ef*UDV.lca.MJ_per_kg_oil_eq</f>
        <v>-304.92299332407339</v>
      </c>
      <c r="AH390" s="2327">
        <f>-AD390*UDV.lca.urea_wf</f>
        <v>-1.3391452865036282E-2</v>
      </c>
      <c r="AI390" s="574"/>
      <c r="AJ390" s="574"/>
      <c r="AK390" s="1290"/>
    </row>
    <row r="391" spans="1:37" x14ac:dyDescent="0.3">
      <c r="A391" s="3040"/>
      <c r="B391" s="49" t="s">
        <v>6842</v>
      </c>
      <c r="C391" s="49" t="s">
        <v>2358</v>
      </c>
      <c r="D391" s="588">
        <f>+D395*UDV.lca.P2O5_TSP</f>
        <v>1.8566315103943629</v>
      </c>
      <c r="E391" s="2327">
        <f>-D391*UDV.lca.P2O5_gwp</f>
        <v>-1.6078428880015183</v>
      </c>
      <c r="F391" s="2327"/>
      <c r="G391" s="2327">
        <f>-D391*UDV.lca.P2O5_ef*UDV.lca.MJ_per_kg_oil_eq</f>
        <v>-39.764673803624682</v>
      </c>
      <c r="H391" s="2327">
        <f>-D391*UDV.lca.P2O5_wf</f>
        <v>-6.8875492560466862E-4</v>
      </c>
      <c r="I391" s="574"/>
      <c r="J391" s="574"/>
      <c r="K391" s="1290"/>
      <c r="AA391" s="3040"/>
      <c r="AB391" s="49" t="s">
        <v>6842</v>
      </c>
      <c r="AC391" s="49" t="s">
        <v>2358</v>
      </c>
      <c r="AD391" s="588">
        <f t="shared" ref="AD391:AD392" si="67">D391</f>
        <v>1.8566315103943629</v>
      </c>
      <c r="AE391" s="2327">
        <f>-AD391*UDV.lca.P2O5_gwp</f>
        <v>-1.6078428880015183</v>
      </c>
      <c r="AF391" s="2327"/>
      <c r="AG391" s="2327">
        <f>-AD391*UDV.lca.P2O5_ef*UDV.lca.MJ_per_kg_oil_eq</f>
        <v>-39.764673803624682</v>
      </c>
      <c r="AH391" s="2327">
        <f>-AD391*UDV.lca.P2O5_wf</f>
        <v>-6.8875492560466862E-4</v>
      </c>
      <c r="AI391" s="574"/>
      <c r="AJ391" s="574"/>
      <c r="AK391" s="1290"/>
    </row>
    <row r="392" spans="1:37" x14ac:dyDescent="0.3">
      <c r="A392" s="3040"/>
      <c r="B392" s="49" t="s">
        <v>6844</v>
      </c>
      <c r="C392" s="49" t="s">
        <v>2358</v>
      </c>
      <c r="D392" s="588">
        <f>+D396*UDV.lca.K2O_KCI</f>
        <v>2.8321665293711957</v>
      </c>
      <c r="E392" s="2327">
        <f>-D392*UDV.lca.K2O_gwp</f>
        <v>-1.2376567733352126</v>
      </c>
      <c r="F392" s="2327"/>
      <c r="G392" s="2327">
        <f>-D392*UDV.lca.K2O_ef*UDV.lca.MJ_per_kg_oil_eq</f>
        <v>-21.942845675096954</v>
      </c>
      <c r="H392" s="2327">
        <f>-D392*UDV.lca.K2O_wf</f>
        <v>-6.4218259896662629E-3</v>
      </c>
      <c r="I392" s="574"/>
      <c r="J392" s="574"/>
      <c r="K392" s="1290"/>
      <c r="AA392" s="3040"/>
      <c r="AB392" s="49" t="s">
        <v>6844</v>
      </c>
      <c r="AC392" s="49" t="s">
        <v>2358</v>
      </c>
      <c r="AD392" s="588">
        <f t="shared" si="67"/>
        <v>2.8321665293711957</v>
      </c>
      <c r="AE392" s="2327">
        <f>-AD392*UDV.lca.K2O_gwp</f>
        <v>-1.2376567733352126</v>
      </c>
      <c r="AF392" s="2327"/>
      <c r="AG392" s="2327">
        <f>-AD392*UDV.lca.K2O_ef*UDV.lca.MJ_per_kg_oil_eq</f>
        <v>-21.942845675096954</v>
      </c>
      <c r="AH392" s="2327">
        <f>-AD392*UDV.lca.K2O_wf</f>
        <v>-6.4218259896662629E-3</v>
      </c>
      <c r="AI392" s="574"/>
      <c r="AJ392" s="574"/>
      <c r="AK392" s="1290"/>
    </row>
    <row r="393" spans="1:37" x14ac:dyDescent="0.3">
      <c r="A393" s="3040"/>
      <c r="B393" s="116" t="s">
        <v>6847</v>
      </c>
      <c r="C393" s="118"/>
      <c r="D393" s="1292"/>
      <c r="E393" s="1712"/>
      <c r="F393" s="1712"/>
      <c r="G393" s="1712"/>
      <c r="H393" s="1712"/>
      <c r="I393" s="1298"/>
      <c r="J393" s="1293"/>
      <c r="K393" s="1295"/>
      <c r="AA393" s="3040"/>
      <c r="AB393" s="116" t="s">
        <v>6847</v>
      </c>
      <c r="AC393" s="118"/>
      <c r="AD393" s="1292"/>
      <c r="AE393" s="1712"/>
      <c r="AF393" s="1712"/>
      <c r="AG393" s="1712"/>
      <c r="AH393" s="1712"/>
      <c r="AI393" s="1298"/>
      <c r="AJ393" s="1293"/>
      <c r="AK393" s="1295"/>
    </row>
    <row r="394" spans="1:37" x14ac:dyDescent="0.3">
      <c r="A394" s="3040"/>
      <c r="B394" s="49" t="s">
        <v>84</v>
      </c>
      <c r="C394" s="49" t="s">
        <v>2358</v>
      </c>
      <c r="D394" s="37">
        <f>'Sc11'!C10+'Sc11'!C14-'Sc11'!C67-'Sc11'!C71</f>
        <v>6.3891082800212891</v>
      </c>
      <c r="E394" s="578"/>
      <c r="F394" s="578"/>
      <c r="G394" s="578"/>
      <c r="H394" s="578"/>
      <c r="I394" s="1299"/>
      <c r="J394" s="574"/>
      <c r="K394" s="1290"/>
      <c r="AA394" s="3040"/>
      <c r="AB394" s="49" t="s">
        <v>84</v>
      </c>
      <c r="AC394" s="49" t="s">
        <v>2358</v>
      </c>
      <c r="AD394" s="50">
        <f>D394</f>
        <v>6.3891082800212891</v>
      </c>
      <c r="AE394" s="578"/>
      <c r="AF394" s="578"/>
      <c r="AG394" s="578"/>
      <c r="AH394" s="578"/>
      <c r="AI394" s="1299"/>
      <c r="AJ394" s="574"/>
      <c r="AK394" s="1290"/>
    </row>
    <row r="395" spans="1:37" x14ac:dyDescent="0.3">
      <c r="A395" s="3040"/>
      <c r="B395" s="49" t="s">
        <v>941</v>
      </c>
      <c r="C395" s="49" t="s">
        <v>2358</v>
      </c>
      <c r="D395" s="37">
        <f>'Sc11'!C11+'Sc11'!C15-'Sc11'!C68-'Sc11'!C72</f>
        <v>2.062923900438181</v>
      </c>
      <c r="E395" s="578"/>
      <c r="F395" s="578"/>
      <c r="G395" s="578"/>
      <c r="H395" s="578"/>
      <c r="I395" s="1299"/>
      <c r="J395" s="574"/>
      <c r="K395" s="1290"/>
      <c r="AA395" s="3040"/>
      <c r="AB395" s="49" t="s">
        <v>941</v>
      </c>
      <c r="AC395" s="49" t="s">
        <v>2358</v>
      </c>
      <c r="AD395" s="50">
        <f t="shared" ref="AD395:AD396" si="68">D395</f>
        <v>2.062923900438181</v>
      </c>
      <c r="AE395" s="578"/>
      <c r="AF395" s="578"/>
      <c r="AG395" s="578"/>
      <c r="AH395" s="578"/>
      <c r="AI395" s="1299"/>
      <c r="AJ395" s="574"/>
      <c r="AK395" s="1290"/>
    </row>
    <row r="396" spans="1:37" x14ac:dyDescent="0.3">
      <c r="A396" s="3040"/>
      <c r="B396" s="49" t="s">
        <v>934</v>
      </c>
      <c r="C396" s="49" t="s">
        <v>2358</v>
      </c>
      <c r="D396" s="37">
        <f>'Sc11'!C12+'Sc11'!C16-'Sc11'!C69-'Sc11'!C73</f>
        <v>2.8321665293711957</v>
      </c>
      <c r="E396" s="578"/>
      <c r="F396" s="578"/>
      <c r="G396" s="578"/>
      <c r="H396" s="578"/>
      <c r="I396" s="1299"/>
      <c r="J396" s="574"/>
      <c r="K396" s="1290"/>
      <c r="AA396" s="3040"/>
      <c r="AB396" s="49" t="s">
        <v>934</v>
      </c>
      <c r="AC396" s="49" t="s">
        <v>2358</v>
      </c>
      <c r="AD396" s="50">
        <f t="shared" si="68"/>
        <v>2.8321665293711957</v>
      </c>
      <c r="AE396" s="578"/>
      <c r="AF396" s="578"/>
      <c r="AG396" s="578"/>
      <c r="AH396" s="578"/>
      <c r="AI396" s="1299"/>
      <c r="AJ396" s="574"/>
      <c r="AK396" s="1290"/>
    </row>
    <row r="397" spans="1:37" x14ac:dyDescent="0.3">
      <c r="A397" s="3040"/>
      <c r="B397" s="116" t="s">
        <v>6856</v>
      </c>
      <c r="C397" s="118"/>
      <c r="D397" s="1292"/>
      <c r="E397" s="1712"/>
      <c r="F397" s="1712"/>
      <c r="G397" s="1712"/>
      <c r="H397" s="1712"/>
      <c r="I397" s="1298"/>
      <c r="J397" s="1293"/>
      <c r="K397" s="1295"/>
      <c r="AA397" s="3040"/>
      <c r="AB397" s="116" t="s">
        <v>6856</v>
      </c>
      <c r="AC397" s="118"/>
      <c r="AD397" s="1292"/>
      <c r="AE397" s="1712"/>
      <c r="AF397" s="1712"/>
      <c r="AG397" s="1712"/>
      <c r="AH397" s="1712"/>
      <c r="AI397" s="1298"/>
      <c r="AJ397" s="1293"/>
      <c r="AK397" s="1295"/>
    </row>
    <row r="398" spans="1:37" x14ac:dyDescent="0.3">
      <c r="A398" s="3040"/>
      <c r="B398" s="49" t="s">
        <v>6859</v>
      </c>
      <c r="C398" s="49" t="s">
        <v>2358</v>
      </c>
      <c r="D398" s="37">
        <f>'Sc11'!C27</f>
        <v>0.28486240252238443</v>
      </c>
      <c r="E398" s="578"/>
      <c r="F398" s="578"/>
      <c r="G398" s="578"/>
      <c r="H398" s="578"/>
      <c r="I398" s="1299"/>
      <c r="J398" s="571"/>
      <c r="K398" s="1290"/>
      <c r="AA398" s="3040"/>
      <c r="AB398" s="49" t="s">
        <v>6859</v>
      </c>
      <c r="AC398" s="49" t="s">
        <v>2358</v>
      </c>
      <c r="AD398" s="37">
        <f>D398</f>
        <v>0.28486240252238443</v>
      </c>
      <c r="AE398" s="578"/>
      <c r="AF398" s="578"/>
      <c r="AG398" s="578"/>
      <c r="AH398" s="578"/>
      <c r="AI398" s="1299"/>
      <c r="AJ398" s="571"/>
      <c r="AK398" s="1290"/>
    </row>
    <row r="399" spans="1:37" x14ac:dyDescent="0.3">
      <c r="A399" s="3040"/>
      <c r="B399" s="49" t="s">
        <v>6861</v>
      </c>
      <c r="C399" s="49" t="s">
        <v>2358</v>
      </c>
      <c r="D399" s="37">
        <f>'Sc11'!C28</f>
        <v>10.340652787294497</v>
      </c>
      <c r="E399" s="578"/>
      <c r="F399" s="578"/>
      <c r="G399" s="578"/>
      <c r="H399" s="578"/>
      <c r="I399" s="1299"/>
      <c r="J399" s="571"/>
      <c r="K399" s="1290"/>
      <c r="AA399" s="3040"/>
      <c r="AB399" s="49" t="s">
        <v>6861</v>
      </c>
      <c r="AC399" s="49" t="s">
        <v>2358</v>
      </c>
      <c r="AD399" s="37">
        <f t="shared" ref="AD399:AD400" si="69">D399</f>
        <v>10.340652787294497</v>
      </c>
      <c r="AE399" s="578"/>
      <c r="AF399" s="578"/>
      <c r="AG399" s="578"/>
      <c r="AH399" s="578"/>
      <c r="AI399" s="1299"/>
      <c r="AJ399" s="571"/>
      <c r="AK399" s="1290"/>
    </row>
    <row r="400" spans="1:37" x14ac:dyDescent="0.3">
      <c r="A400" s="3040"/>
      <c r="B400" s="49" t="s">
        <v>6864</v>
      </c>
      <c r="C400" s="49" t="s">
        <v>2358</v>
      </c>
      <c r="D400" s="37">
        <f>'Sc11'!C29</f>
        <v>4.3868810046938947E-2</v>
      </c>
      <c r="E400" s="578"/>
      <c r="F400" s="578"/>
      <c r="G400" s="578"/>
      <c r="H400" s="578"/>
      <c r="I400" s="1299"/>
      <c r="J400" s="571"/>
      <c r="K400" s="1290"/>
      <c r="AA400" s="3040"/>
      <c r="AB400" s="49" t="s">
        <v>6864</v>
      </c>
      <c r="AC400" s="49" t="s">
        <v>2358</v>
      </c>
      <c r="AD400" s="37">
        <f t="shared" si="69"/>
        <v>4.3868810046938947E-2</v>
      </c>
      <c r="AE400" s="578"/>
      <c r="AF400" s="578"/>
      <c r="AG400" s="578"/>
      <c r="AH400" s="578"/>
      <c r="AI400" s="1299"/>
      <c r="AJ400" s="571"/>
      <c r="AK400" s="1290"/>
    </row>
    <row r="401" spans="1:37" x14ac:dyDescent="0.3">
      <c r="A401" s="3040"/>
      <c r="B401" s="49"/>
      <c r="C401" s="49"/>
      <c r="D401" s="37"/>
      <c r="E401" s="578"/>
      <c r="F401" s="578"/>
      <c r="G401" s="578"/>
      <c r="H401" s="578"/>
      <c r="I401" s="1299"/>
      <c r="J401" s="571"/>
      <c r="K401" s="1290"/>
      <c r="AA401" s="3040"/>
      <c r="AB401" s="49"/>
      <c r="AC401" s="49"/>
      <c r="AD401" s="37"/>
      <c r="AE401" s="578"/>
      <c r="AF401" s="578"/>
      <c r="AG401" s="578"/>
      <c r="AH401" s="578"/>
      <c r="AI401" s="1299"/>
      <c r="AJ401" s="571"/>
      <c r="AK401" s="1290"/>
    </row>
    <row r="402" spans="1:37" x14ac:dyDescent="0.3">
      <c r="A402" s="3040"/>
      <c r="B402" s="116" t="s">
        <v>6865</v>
      </c>
      <c r="C402" s="118"/>
      <c r="D402" s="1292"/>
      <c r="E402" s="1712"/>
      <c r="F402" s="1712"/>
      <c r="G402" s="1712"/>
      <c r="H402" s="1712"/>
      <c r="I402" s="1298"/>
      <c r="J402" s="1293"/>
      <c r="K402" s="1295"/>
      <c r="AA402" s="3040"/>
      <c r="AB402" s="116" t="s">
        <v>6865</v>
      </c>
      <c r="AC402" s="118"/>
      <c r="AD402" s="1292"/>
      <c r="AE402" s="1712"/>
      <c r="AF402" s="1712"/>
      <c r="AG402" s="1712"/>
      <c r="AH402" s="1712"/>
      <c r="AI402" s="1298"/>
      <c r="AJ402" s="1293"/>
      <c r="AK402" s="1295"/>
    </row>
    <row r="403" spans="1:37" x14ac:dyDescent="0.3">
      <c r="A403" s="3040"/>
      <c r="B403" s="49" t="s">
        <v>6867</v>
      </c>
      <c r="C403" s="49" t="s">
        <v>2358</v>
      </c>
      <c r="D403" s="37">
        <f>'Sc11'!C68+'Sc11'!C72</f>
        <v>4.5801855995618181</v>
      </c>
      <c r="E403" s="578"/>
      <c r="F403" s="578"/>
      <c r="G403" s="578"/>
      <c r="H403" s="578"/>
      <c r="I403" s="1299"/>
      <c r="J403" s="571"/>
      <c r="K403" s="1290"/>
      <c r="AA403" s="3040"/>
      <c r="AB403" s="49" t="s">
        <v>6867</v>
      </c>
      <c r="AC403" s="49" t="s">
        <v>2358</v>
      </c>
      <c r="AD403" s="37">
        <f>D403</f>
        <v>4.5801855995618181</v>
      </c>
      <c r="AE403" s="578"/>
      <c r="AF403" s="578"/>
      <c r="AG403" s="578"/>
      <c r="AH403" s="578"/>
      <c r="AI403" s="1299"/>
      <c r="AJ403" s="571"/>
      <c r="AK403" s="1290"/>
    </row>
    <row r="404" spans="1:37" x14ac:dyDescent="0.3">
      <c r="A404" s="3040"/>
      <c r="B404" s="49"/>
      <c r="C404" s="49"/>
      <c r="D404" s="18" t="s">
        <v>6869</v>
      </c>
      <c r="E404" s="122">
        <f>+SUM(E376:E381,E385:E387,E388)</f>
        <v>676.72171245427739</v>
      </c>
      <c r="F404" s="37"/>
      <c r="G404" s="37"/>
      <c r="H404" s="37"/>
      <c r="I404" s="57"/>
      <c r="J404" s="49"/>
      <c r="K404" s="11"/>
      <c r="AA404" s="3040"/>
      <c r="AB404" s="49"/>
      <c r="AC404" s="49"/>
      <c r="AD404" s="18" t="s">
        <v>6869</v>
      </c>
      <c r="AE404" s="122">
        <f>+SUM(AE376:AE381,AE385:AE387,AE388)</f>
        <v>673.63563839563983</v>
      </c>
      <c r="AF404" s="37"/>
      <c r="AG404" s="37"/>
      <c r="AH404" s="37"/>
      <c r="AI404" s="57"/>
      <c r="AJ404" s="49"/>
      <c r="AK404" s="11"/>
    </row>
    <row r="405" spans="1:37" x14ac:dyDescent="0.3">
      <c r="A405" s="3040"/>
      <c r="B405" s="118" t="s">
        <v>6871</v>
      </c>
      <c r="C405" s="119" t="s">
        <v>4815</v>
      </c>
      <c r="D405" s="1708" t="s">
        <v>630</v>
      </c>
      <c r="E405" s="1281">
        <f>+SUM(E383:E388,E381)</f>
        <v>673.45190886709997</v>
      </c>
      <c r="F405" s="1281">
        <f>+SUM(F383:F388)</f>
        <v>289.20189447991015</v>
      </c>
      <c r="G405" s="1281">
        <f>+SUM(G383:G388)</f>
        <v>0</v>
      </c>
      <c r="H405" s="2267">
        <f>+SUM(H376,H383:H388)</f>
        <v>0.47112055205176917</v>
      </c>
      <c r="I405" s="641">
        <f>I376</f>
        <v>0.47053708606504846</v>
      </c>
      <c r="J405" s="1281">
        <f>+J388</f>
        <v>10.66938399986382</v>
      </c>
      <c r="K405" s="1282">
        <f>+K388</f>
        <v>4.5801855995618181</v>
      </c>
      <c r="AA405" s="3040"/>
      <c r="AB405" s="118" t="s">
        <v>6871</v>
      </c>
      <c r="AC405" s="119" t="s">
        <v>4815</v>
      </c>
      <c r="AD405" s="1708" t="s">
        <v>630</v>
      </c>
      <c r="AE405" s="1281">
        <f>+SUM(AE383:AE388,AE381)</f>
        <v>671.5709563086541</v>
      </c>
      <c r="AF405" s="1281">
        <f>+SUM(AF383:AF388)</f>
        <v>289.20189447991015</v>
      </c>
      <c r="AG405" s="1281">
        <f>+SUM(AG383:AG388)</f>
        <v>0</v>
      </c>
      <c r="AH405" s="2267">
        <f>+SUM(AH376,AH383:AH388)</f>
        <v>0.47112055205176917</v>
      </c>
      <c r="AI405" s="641">
        <f>AI376</f>
        <v>0.47053708606504846</v>
      </c>
      <c r="AJ405" s="1281">
        <f>+AJ388</f>
        <v>10.66938399986382</v>
      </c>
      <c r="AK405" s="1282">
        <f>+AK388</f>
        <v>4.5801855995618181</v>
      </c>
    </row>
    <row r="406" spans="1:37" x14ac:dyDescent="0.3">
      <c r="A406" s="3040"/>
      <c r="B406" s="118" t="s">
        <v>6874</v>
      </c>
      <c r="C406" s="118"/>
      <c r="D406" s="1709" t="s">
        <v>6875</v>
      </c>
      <c r="E406" s="922">
        <f>+SUM(E376:E380,E390:E392)</f>
        <v>-4.938074653581241</v>
      </c>
      <c r="F406" s="922">
        <f>+SUM(F376:F381,F390:F392)</f>
        <v>0</v>
      </c>
      <c r="G406" s="922">
        <f>+SUM(G376:G381,G390:G392)</f>
        <v>-281.34301022545424</v>
      </c>
      <c r="H406" s="2268">
        <f>+SUM(H377:H381,H390:H392)</f>
        <v>5.0256503755443903E-3</v>
      </c>
      <c r="I406" s="1283">
        <v>0</v>
      </c>
      <c r="J406" s="922"/>
      <c r="K406" s="1284"/>
      <c r="AA406" s="3040"/>
      <c r="AB406" s="118" t="s">
        <v>6874</v>
      </c>
      <c r="AC406" s="118"/>
      <c r="AD406" s="1709" t="s">
        <v>6875</v>
      </c>
      <c r="AE406" s="922">
        <f>+SUM(AE376:AE380,AE390:AE392)</f>
        <v>-6.1431961537729247</v>
      </c>
      <c r="AF406" s="922">
        <f>+SUM(AF376:AF381,AF390:AF392)</f>
        <v>0</v>
      </c>
      <c r="AG406" s="922">
        <f>+SUM(AG376:AG381,AG390:AG392)</f>
        <v>-324.73726622865644</v>
      </c>
      <c r="AH406" s="2268">
        <f>+SUM(AH377:AH381,AH390:AH392)</f>
        <v>-7.0255646263724554E-3</v>
      </c>
      <c r="AI406" s="1283">
        <v>0</v>
      </c>
      <c r="AJ406" s="922"/>
      <c r="AK406" s="1284"/>
    </row>
    <row r="407" spans="1:37" ht="15" thickBot="1" x14ac:dyDescent="0.35">
      <c r="A407" s="3041"/>
      <c r="B407" s="22"/>
      <c r="C407" s="1291"/>
      <c r="D407" s="1710" t="s">
        <v>6876</v>
      </c>
      <c r="E407" s="1285">
        <f>E405+E406</f>
        <v>668.51383421351875</v>
      </c>
      <c r="F407" s="1285">
        <f>F405+F406</f>
        <v>289.20189447991015</v>
      </c>
      <c r="G407" s="1285">
        <f>G405+G406</f>
        <v>-281.34301022545424</v>
      </c>
      <c r="H407" s="2269">
        <f t="shared" ref="H407" si="70">H405+H406</f>
        <v>0.47614620242731354</v>
      </c>
      <c r="I407" s="1285">
        <f>I405+I406</f>
        <v>0.47053708606504846</v>
      </c>
      <c r="J407" s="1285">
        <f>J405+J406</f>
        <v>10.66938399986382</v>
      </c>
      <c r="K407" s="1286">
        <f>K405+K406</f>
        <v>4.5801855995618181</v>
      </c>
      <c r="AA407" s="3041"/>
      <c r="AB407" s="22"/>
      <c r="AC407" s="1291"/>
      <c r="AD407" s="1710" t="s">
        <v>6876</v>
      </c>
      <c r="AE407" s="1285">
        <f>AE405+AE406</f>
        <v>665.42776015488118</v>
      </c>
      <c r="AF407" s="1285">
        <f>AF405+AF406</f>
        <v>289.20189447991015</v>
      </c>
      <c r="AG407" s="1285">
        <f>AG405+AG406</f>
        <v>-324.73726622865644</v>
      </c>
      <c r="AH407" s="2269">
        <f t="shared" ref="AH407" si="71">AH405+AH406</f>
        <v>0.46409498742539673</v>
      </c>
      <c r="AI407" s="1285">
        <f>AI405+AI406</f>
        <v>0.47053708606504846</v>
      </c>
      <c r="AJ407" s="1285">
        <f>AJ405+AJ406</f>
        <v>10.66938399986382</v>
      </c>
      <c r="AK407" s="1286">
        <f>AK405+AK406</f>
        <v>4.5801855995618181</v>
      </c>
    </row>
    <row r="408" spans="1:37" ht="15" thickBot="1" x14ac:dyDescent="0.35"/>
    <row r="409" spans="1:37" x14ac:dyDescent="0.3">
      <c r="A409" s="3039" t="s">
        <v>6914</v>
      </c>
      <c r="B409" s="49"/>
      <c r="C409" s="49"/>
      <c r="D409" s="9"/>
      <c r="E409" s="565"/>
      <c r="F409" s="565"/>
      <c r="G409" s="565"/>
      <c r="H409" s="565"/>
      <c r="I409" s="1297"/>
      <c r="J409" s="3038" t="s">
        <v>6791</v>
      </c>
      <c r="K409" s="3038"/>
      <c r="AA409" s="3039" t="s">
        <v>6915</v>
      </c>
      <c r="AB409" s="49"/>
      <c r="AC409" s="49"/>
      <c r="AD409" s="9"/>
      <c r="AE409" s="565"/>
      <c r="AF409" s="565"/>
      <c r="AG409" s="565"/>
      <c r="AH409" s="565"/>
      <c r="AI409" s="1297"/>
      <c r="AJ409" s="3038" t="s">
        <v>6791</v>
      </c>
      <c r="AK409" s="3038"/>
    </row>
    <row r="410" spans="1:37" ht="72" x14ac:dyDescent="0.3">
      <c r="A410" s="3040"/>
      <c r="B410" s="566"/>
      <c r="C410" s="566" t="s">
        <v>6795</v>
      </c>
      <c r="D410" s="567" t="s">
        <v>6796</v>
      </c>
      <c r="E410" s="567" t="s">
        <v>4824</v>
      </c>
      <c r="F410" s="567" t="s">
        <v>447</v>
      </c>
      <c r="G410" s="567" t="s">
        <v>446</v>
      </c>
      <c r="H410" s="567" t="s">
        <v>2599</v>
      </c>
      <c r="I410" s="1279" t="s">
        <v>6797</v>
      </c>
      <c r="J410" s="567" t="s">
        <v>4832</v>
      </c>
      <c r="K410" s="567" t="s">
        <v>6798</v>
      </c>
      <c r="AA410" s="3040"/>
      <c r="AB410" s="566"/>
      <c r="AC410" s="566" t="s">
        <v>6795</v>
      </c>
      <c r="AD410" s="567" t="s">
        <v>6796</v>
      </c>
      <c r="AE410" s="567" t="s">
        <v>4824</v>
      </c>
      <c r="AF410" s="567" t="s">
        <v>447</v>
      </c>
      <c r="AG410" s="567" t="s">
        <v>446</v>
      </c>
      <c r="AH410" s="567" t="s">
        <v>2599</v>
      </c>
      <c r="AI410" s="1279" t="s">
        <v>6797</v>
      </c>
      <c r="AJ410" s="567" t="s">
        <v>4832</v>
      </c>
      <c r="AK410" s="567" t="s">
        <v>6798</v>
      </c>
    </row>
    <row r="411" spans="1:37" ht="16.8" x14ac:dyDescent="0.35">
      <c r="A411" s="3040"/>
      <c r="B411" s="568"/>
      <c r="C411" s="568"/>
      <c r="D411" s="569"/>
      <c r="E411" s="570" t="s">
        <v>6799</v>
      </c>
      <c r="F411" s="570" t="s">
        <v>6800</v>
      </c>
      <c r="G411" s="570" t="s">
        <v>2435</v>
      </c>
      <c r="H411" s="570" t="s">
        <v>6801</v>
      </c>
      <c r="I411" s="1280" t="s">
        <v>2478</v>
      </c>
      <c r="J411" s="569" t="s">
        <v>6802</v>
      </c>
      <c r="K411" s="569" t="s">
        <v>6803</v>
      </c>
      <c r="AA411" s="3040"/>
      <c r="AB411" s="568"/>
      <c r="AC411" s="568"/>
      <c r="AD411" s="569"/>
      <c r="AE411" s="570" t="s">
        <v>6799</v>
      </c>
      <c r="AF411" s="570" t="s">
        <v>6800</v>
      </c>
      <c r="AG411" s="570" t="s">
        <v>2435</v>
      </c>
      <c r="AH411" s="570" t="s">
        <v>6801</v>
      </c>
      <c r="AI411" s="1280" t="s">
        <v>2478</v>
      </c>
      <c r="AJ411" s="569" t="s">
        <v>6802</v>
      </c>
      <c r="AK411" s="569" t="s">
        <v>6803</v>
      </c>
    </row>
    <row r="412" spans="1:37" x14ac:dyDescent="0.3">
      <c r="A412" s="3040"/>
      <c r="B412" s="116" t="s">
        <v>6805</v>
      </c>
      <c r="C412" s="118"/>
      <c r="D412" s="1292"/>
      <c r="E412" s="1293"/>
      <c r="F412" s="1293"/>
      <c r="G412" s="1292"/>
      <c r="H412" s="1293"/>
      <c r="I412" s="1294"/>
      <c r="J412" s="1293"/>
      <c r="K412" s="1295"/>
      <c r="AA412" s="3040"/>
      <c r="AB412" s="116" t="s">
        <v>6805</v>
      </c>
      <c r="AC412" s="118"/>
      <c r="AD412" s="1292"/>
      <c r="AE412" s="1293"/>
      <c r="AF412" s="1293"/>
      <c r="AG412" s="1292"/>
      <c r="AH412" s="1293"/>
      <c r="AI412" s="1294"/>
      <c r="AJ412" s="1293"/>
      <c r="AK412" s="1295"/>
    </row>
    <row r="413" spans="1:37" x14ac:dyDescent="0.3">
      <c r="A413" s="3040"/>
      <c r="B413" s="49" t="s">
        <v>415</v>
      </c>
      <c r="C413" s="49" t="s">
        <v>2358</v>
      </c>
      <c r="D413" s="50">
        <f>'Sc12'!C5*1000</f>
        <v>4123.52965710032</v>
      </c>
      <c r="E413" s="2326">
        <f>+D413*UDV.lca.water_gwp</f>
        <v>1.8555883456951439</v>
      </c>
      <c r="F413" s="2327"/>
      <c r="G413" s="2327">
        <f>+D413*UDV.lca.water_ef*UDV.lca.MJ_per_kg_oil_eq</f>
        <v>27.624349878846463</v>
      </c>
      <c r="H413" s="1711">
        <f>+D413*UDV.lca.water_wf</f>
        <v>4.1286428338751247</v>
      </c>
      <c r="I413" s="1296">
        <f>D413/1000</f>
        <v>4.1235296571003204</v>
      </c>
      <c r="J413" s="574"/>
      <c r="K413" s="1290"/>
      <c r="AA413" s="3040"/>
      <c r="AB413" s="49" t="s">
        <v>415</v>
      </c>
      <c r="AC413" s="49" t="s">
        <v>2358</v>
      </c>
      <c r="AD413" s="50">
        <f>D413</f>
        <v>4123.52965710032</v>
      </c>
      <c r="AE413" s="2326">
        <f>+AD413*UDV.lca.water_gwp</f>
        <v>1.8555883456951439</v>
      </c>
      <c r="AF413" s="2327"/>
      <c r="AG413" s="2327">
        <f>+AD413*UDV.lca.water_ef*UDV.lca.MJ_per_kg_oil_eq</f>
        <v>27.624349878846463</v>
      </c>
      <c r="AH413" s="1711">
        <f>+AD413*UDV.lca.water_wf</f>
        <v>4.1286428338751247</v>
      </c>
      <c r="AI413" s="1296">
        <f>AD413/1000</f>
        <v>4.1235296571003204</v>
      </c>
      <c r="AJ413" s="574"/>
      <c r="AK413" s="1290"/>
    </row>
    <row r="414" spans="1:37" x14ac:dyDescent="0.3">
      <c r="A414" s="3040"/>
      <c r="B414" s="49" t="s">
        <v>409</v>
      </c>
      <c r="C414" s="49" t="s">
        <v>2556</v>
      </c>
      <c r="D414" s="37">
        <f>'Sc12'!C6</f>
        <v>9.6365416077124788</v>
      </c>
      <c r="E414" s="2326">
        <f>+D414*UDV.lca.electricity_gwp</f>
        <v>3.4544976198342612</v>
      </c>
      <c r="F414" s="2327"/>
      <c r="G414" s="2327">
        <f>+D414*UDV.lca.electricity_ef*UDV.lca.MJ_per_kg_oil_eq</f>
        <v>18.479475467863406</v>
      </c>
      <c r="H414" s="2327">
        <f>+D414*UDV.lca.electricity_wf</f>
        <v>1.5418466572339968E-2</v>
      </c>
      <c r="I414" s="1296"/>
      <c r="J414" s="574"/>
      <c r="K414" s="1290"/>
      <c r="AA414" s="3040"/>
      <c r="AB414" s="49" t="s">
        <v>409</v>
      </c>
      <c r="AC414" s="49" t="s">
        <v>2556</v>
      </c>
      <c r="AD414" s="50">
        <f>D414</f>
        <v>9.6365416077124788</v>
      </c>
      <c r="AE414" s="2326">
        <f>+AD414*UDV.lca.electricity_gwp</f>
        <v>3.4544976198342612</v>
      </c>
      <c r="AF414" s="2327"/>
      <c r="AG414" s="2327">
        <f>+AD414*UDV.lca.electricity_ef*UDV.lca.MJ_per_kg_oil_eq</f>
        <v>18.479475467863406</v>
      </c>
      <c r="AH414" s="2327">
        <f>+AD414*UDV.lca.electricity_wf</f>
        <v>1.5418466572339968E-2</v>
      </c>
      <c r="AI414" s="1296"/>
      <c r="AJ414" s="574"/>
      <c r="AK414" s="1290"/>
    </row>
    <row r="415" spans="1:37" x14ac:dyDescent="0.3">
      <c r="A415" s="3040"/>
      <c r="B415" s="49" t="s">
        <v>6812</v>
      </c>
      <c r="C415" s="49" t="s">
        <v>2435</v>
      </c>
      <c r="D415" s="50">
        <f>'Sc12'!C56*UDV.lca.MJ_per_gal_diesel</f>
        <v>314.82548798453581</v>
      </c>
      <c r="E415" s="2326">
        <f>+D415*UDV.lca.diesel_gwp</f>
        <v>14.167146959304111</v>
      </c>
      <c r="F415" s="2327"/>
      <c r="G415" s="2326">
        <f>+D415*UDV.lca.diesel_ef*UDV.lca.MJ_per_kg_oil_eq</f>
        <v>510.13346114001428</v>
      </c>
      <c r="H415" s="2327">
        <f>+D415*UDV.lca.diesel_wf</f>
        <v>0.14167146959304108</v>
      </c>
      <c r="I415" s="1296"/>
      <c r="J415" s="574"/>
      <c r="K415" s="1290"/>
      <c r="AA415" s="3040"/>
      <c r="AB415" s="49" t="s">
        <v>6812</v>
      </c>
      <c r="AC415" s="49" t="s">
        <v>2435</v>
      </c>
      <c r="AD415" s="53">
        <f>'Sc12'!C57*UDV.lca.MJ_per_gal_diesel</f>
        <v>134.41322580436591</v>
      </c>
      <c r="AE415" s="2326">
        <f>+AD415*UDV.lca.diesel_gwp</f>
        <v>6.0485951611964657</v>
      </c>
      <c r="AF415" s="2327"/>
      <c r="AG415" s="2326">
        <f>+AD415*UDV.lca.diesel_ef*UDV.lca.MJ_per_kg_oil_eq</f>
        <v>217.79902428339454</v>
      </c>
      <c r="AH415" s="2327">
        <f>+AD415*UDV.lca.diesel_wf</f>
        <v>6.0485951611964649E-2</v>
      </c>
      <c r="AI415" s="1296"/>
      <c r="AJ415" s="574"/>
      <c r="AK415" s="1290"/>
    </row>
    <row r="416" spans="1:37" x14ac:dyDescent="0.3">
      <c r="A416" s="3040"/>
      <c r="B416" s="49" t="s">
        <v>6814</v>
      </c>
      <c r="C416" s="49" t="s">
        <v>2358</v>
      </c>
      <c r="D416" s="9"/>
      <c r="E416" s="2326">
        <f>+D416*UDV.lca.sand_gwp</f>
        <v>0</v>
      </c>
      <c r="F416" s="2327"/>
      <c r="G416" s="2327">
        <f>+D416*UDV.lca.sand_ef*UDV.lca.MJ_per_kg_oil_eq</f>
        <v>0</v>
      </c>
      <c r="H416" s="2327">
        <f>+D416*UDV.lca.sand_wf</f>
        <v>0</v>
      </c>
      <c r="I416" s="1296"/>
      <c r="J416" s="574"/>
      <c r="K416" s="1290"/>
      <c r="AA416" s="3040"/>
      <c r="AB416" s="49" t="s">
        <v>6814</v>
      </c>
      <c r="AC416" s="49" t="s">
        <v>2358</v>
      </c>
      <c r="AD416" s="9"/>
      <c r="AE416" s="2326">
        <f>+AD416*UDV.lca.sand_gwp</f>
        <v>0</v>
      </c>
      <c r="AF416" s="2327"/>
      <c r="AG416" s="2327">
        <f>+AD416*UDV.lca.sand_ef*UDV.lca.MJ_per_kg_oil_eq</f>
        <v>0</v>
      </c>
      <c r="AH416" s="2327">
        <f>+AD416*UDV.lca.sand_wf</f>
        <v>0</v>
      </c>
      <c r="AI416" s="1296"/>
      <c r="AJ416" s="574"/>
      <c r="AK416" s="1290"/>
    </row>
    <row r="417" spans="1:37" x14ac:dyDescent="0.3">
      <c r="A417" s="3040"/>
      <c r="B417" s="49"/>
      <c r="C417" s="49"/>
      <c r="D417" s="9"/>
      <c r="E417" s="2327"/>
      <c r="F417" s="2327"/>
      <c r="G417" s="2327"/>
      <c r="H417" s="2327"/>
      <c r="I417" s="1296"/>
      <c r="J417" s="574"/>
      <c r="K417" s="1290"/>
      <c r="AA417" s="3040"/>
      <c r="AB417" s="49"/>
      <c r="AC417" s="49"/>
      <c r="AD417" s="9"/>
      <c r="AE417" s="2327"/>
      <c r="AF417" s="2327"/>
      <c r="AG417" s="2327"/>
      <c r="AH417" s="2327"/>
      <c r="AI417" s="1296"/>
      <c r="AJ417" s="574"/>
      <c r="AK417" s="1290"/>
    </row>
    <row r="418" spans="1:37" x14ac:dyDescent="0.3">
      <c r="A418" s="3040"/>
      <c r="B418" s="1089" t="s">
        <v>6819</v>
      </c>
      <c r="C418" s="1089" t="s">
        <v>4885</v>
      </c>
      <c r="D418" s="1711">
        <f>'Sc12'!C56</f>
        <v>2.1721090657136459</v>
      </c>
      <c r="E418" s="1711">
        <f>D418*UDV.lca.diesel_combustion_gwp</f>
        <v>22.112070288964915</v>
      </c>
      <c r="F418" s="1296"/>
      <c r="G418" s="1296"/>
      <c r="H418" s="1296"/>
      <c r="I418" s="1296"/>
      <c r="J418" s="574"/>
      <c r="K418" s="1290"/>
      <c r="AA418" s="3040"/>
      <c r="AB418" s="1089" t="s">
        <v>6819</v>
      </c>
      <c r="AC418" s="1089" t="s">
        <v>4885</v>
      </c>
      <c r="AD418" s="2322">
        <f>'Sc12'!C57</f>
        <v>0.92737150410077218</v>
      </c>
      <c r="AE418" s="1711">
        <f>AD418*UDV.lca.diesel_combustion_gwp</f>
        <v>9.4406419117458604</v>
      </c>
      <c r="AF418" s="1296"/>
      <c r="AG418" s="1296"/>
      <c r="AH418" s="1296"/>
      <c r="AI418" s="1296"/>
      <c r="AJ418" s="574"/>
      <c r="AK418" s="1290"/>
    </row>
    <row r="419" spans="1:37" x14ac:dyDescent="0.3">
      <c r="A419" s="3040"/>
      <c r="B419" s="118" t="s">
        <v>6822</v>
      </c>
      <c r="C419" s="118"/>
      <c r="D419" s="1292"/>
      <c r="E419" s="1712"/>
      <c r="F419" s="1712"/>
      <c r="G419" s="1712"/>
      <c r="H419" s="1712"/>
      <c r="I419" s="1298"/>
      <c r="J419" s="1298"/>
      <c r="K419" s="1713"/>
      <c r="AA419" s="3040"/>
      <c r="AB419" s="118" t="s">
        <v>6822</v>
      </c>
      <c r="AC419" s="118"/>
      <c r="AD419" s="1292"/>
      <c r="AE419" s="1712"/>
      <c r="AF419" s="1712"/>
      <c r="AG419" s="1712"/>
      <c r="AH419" s="1712"/>
      <c r="AI419" s="1298"/>
      <c r="AJ419" s="1298"/>
      <c r="AK419" s="1713"/>
    </row>
    <row r="420" spans="1:37" x14ac:dyDescent="0.3">
      <c r="A420" s="3040"/>
      <c r="B420" s="49" t="s">
        <v>6786</v>
      </c>
      <c r="C420" s="49" t="s">
        <v>2268</v>
      </c>
      <c r="D420" s="50">
        <f>'Sc12'!C8</f>
        <v>576.35487119311904</v>
      </c>
      <c r="E420" s="578"/>
      <c r="F420" s="1711">
        <f>+D420</f>
        <v>576.35487119311904</v>
      </c>
      <c r="G420" s="578"/>
      <c r="H420" s="578"/>
      <c r="I420" s="1299"/>
      <c r="J420" s="574"/>
      <c r="K420" s="1290"/>
      <c r="AA420" s="3040"/>
      <c r="AB420" s="49" t="s">
        <v>6786</v>
      </c>
      <c r="AC420" s="49" t="s">
        <v>2268</v>
      </c>
      <c r="AD420" s="50">
        <f>D420</f>
        <v>576.35487119311904</v>
      </c>
      <c r="AE420" s="578"/>
      <c r="AF420" s="1711">
        <f>+AD420</f>
        <v>576.35487119311904</v>
      </c>
      <c r="AG420" s="578"/>
      <c r="AH420" s="578"/>
      <c r="AI420" s="1299"/>
      <c r="AJ420" s="574"/>
      <c r="AK420" s="1290"/>
    </row>
    <row r="421" spans="1:37" x14ac:dyDescent="0.3">
      <c r="A421" s="3040"/>
      <c r="B421" s="76" t="s">
        <v>6826</v>
      </c>
      <c r="C421" s="76"/>
      <c r="D421" s="9"/>
      <c r="E421" s="578"/>
      <c r="F421" s="578"/>
      <c r="G421" s="578"/>
      <c r="H421" s="578"/>
      <c r="I421" s="1299"/>
      <c r="J421" s="574"/>
      <c r="K421" s="1290"/>
      <c r="AA421" s="3040"/>
      <c r="AB421" s="76" t="s">
        <v>6826</v>
      </c>
      <c r="AC421" s="76"/>
      <c r="AD421" s="9"/>
      <c r="AE421" s="578"/>
      <c r="AF421" s="578"/>
      <c r="AG421" s="578"/>
      <c r="AH421" s="578"/>
      <c r="AI421" s="1299"/>
      <c r="AJ421" s="574"/>
      <c r="AK421" s="1290"/>
    </row>
    <row r="422" spans="1:37" x14ac:dyDescent="0.3">
      <c r="A422" s="3040"/>
      <c r="B422" s="117" t="s">
        <v>6828</v>
      </c>
      <c r="C422" s="49" t="s">
        <v>2358</v>
      </c>
      <c r="D422" s="37">
        <f>+D435*1</f>
        <v>0.26571976764365451</v>
      </c>
      <c r="E422" s="1711">
        <f>+D422*UDV.emit_N2O_direct.CO2e_cf</f>
        <v>82.373127969532902</v>
      </c>
      <c r="F422" s="578"/>
      <c r="G422" s="578"/>
      <c r="H422" s="578"/>
      <c r="I422" s="1299"/>
      <c r="J422" s="574"/>
      <c r="K422" s="1290"/>
      <c r="AA422" s="3040"/>
      <c r="AB422" s="117" t="s">
        <v>6828</v>
      </c>
      <c r="AC422" s="49" t="s">
        <v>2358</v>
      </c>
      <c r="AD422" s="37">
        <f>D422</f>
        <v>0.26571976764365451</v>
      </c>
      <c r="AE422" s="1711">
        <f>+AD422*UDV.emit_N2O_direct.CO2e_cf</f>
        <v>82.373127969532902</v>
      </c>
      <c r="AF422" s="578"/>
      <c r="AG422" s="578"/>
      <c r="AH422" s="578"/>
      <c r="AI422" s="1299"/>
      <c r="AJ422" s="574"/>
      <c r="AK422" s="1290"/>
    </row>
    <row r="423" spans="1:37" x14ac:dyDescent="0.3">
      <c r="A423" s="3040"/>
      <c r="B423" s="117" t="s">
        <v>4894</v>
      </c>
      <c r="C423" s="49" t="s">
        <v>2358</v>
      </c>
      <c r="D423" s="37">
        <f>'Sc12'!C18</f>
        <v>12.06520928733535</v>
      </c>
      <c r="E423" s="1711">
        <f>+D423*UDV.emit_CH4.CO2e_cf</f>
        <v>361.95627862006052</v>
      </c>
      <c r="F423" s="578"/>
      <c r="G423" s="578"/>
      <c r="H423" s="578"/>
      <c r="I423" s="1299"/>
      <c r="J423" s="574"/>
      <c r="K423" s="1290"/>
      <c r="AA423" s="3040"/>
      <c r="AB423" s="117" t="s">
        <v>4894</v>
      </c>
      <c r="AC423" s="49" t="s">
        <v>2358</v>
      </c>
      <c r="AD423" s="37">
        <f t="shared" ref="AD423:AD424" si="72">D423</f>
        <v>12.06520928733535</v>
      </c>
      <c r="AE423" s="1711">
        <f>+AD423*UDV.emit_CH4.CO2e_cf</f>
        <v>361.95627862006052</v>
      </c>
      <c r="AF423" s="578"/>
      <c r="AG423" s="578"/>
      <c r="AH423" s="578"/>
      <c r="AI423" s="1299"/>
      <c r="AJ423" s="574"/>
      <c r="AK423" s="1290"/>
    </row>
    <row r="424" spans="1:37" x14ac:dyDescent="0.3">
      <c r="A424" s="3040"/>
      <c r="B424" s="117" t="s">
        <v>6833</v>
      </c>
      <c r="C424" s="49" t="s">
        <v>2358</v>
      </c>
      <c r="D424" s="9">
        <v>0</v>
      </c>
      <c r="E424" s="1711">
        <f>D424*UDV.lca.CO2_toggle</f>
        <v>0</v>
      </c>
      <c r="F424" s="578"/>
      <c r="G424" s="578"/>
      <c r="H424" s="578"/>
      <c r="I424" s="1299"/>
      <c r="J424" s="574"/>
      <c r="K424" s="1290"/>
      <c r="AA424" s="3040"/>
      <c r="AB424" s="117" t="s">
        <v>6833</v>
      </c>
      <c r="AC424" s="49" t="s">
        <v>2358</v>
      </c>
      <c r="AD424" s="37">
        <f t="shared" si="72"/>
        <v>0</v>
      </c>
      <c r="AE424" s="1711">
        <f>AD424*UDV.lca.CO2_toggle</f>
        <v>0</v>
      </c>
      <c r="AF424" s="578"/>
      <c r="AG424" s="578"/>
      <c r="AH424" s="578"/>
      <c r="AI424" s="1299"/>
      <c r="AJ424" s="574"/>
      <c r="AK424" s="1290"/>
    </row>
    <row r="425" spans="1:37" x14ac:dyDescent="0.3">
      <c r="A425" s="3040"/>
      <c r="B425" s="117"/>
      <c r="C425" s="49"/>
      <c r="D425" s="50"/>
      <c r="E425" s="1300"/>
      <c r="F425" s="1300"/>
      <c r="G425" s="1300"/>
      <c r="H425" s="1300"/>
      <c r="I425" s="1300"/>
      <c r="J425" s="1711">
        <f>+SUM(D435:D437)</f>
        <v>8.1220699942682781</v>
      </c>
      <c r="K425" s="2328">
        <f>+SUM(D440)</f>
        <v>2.759018397588044</v>
      </c>
      <c r="AA425" s="3040"/>
      <c r="AB425" s="117"/>
      <c r="AC425" s="49"/>
      <c r="AD425" s="50"/>
      <c r="AE425" s="1300"/>
      <c r="AF425" s="1300"/>
      <c r="AG425" s="1300"/>
      <c r="AH425" s="1300"/>
      <c r="AI425" s="1300"/>
      <c r="AJ425" s="1711">
        <f>+SUM(AD435:AD437)</f>
        <v>8.1220699942682781</v>
      </c>
      <c r="AK425" s="2328">
        <f>+SUM(AD440)</f>
        <v>2.759018397588044</v>
      </c>
    </row>
    <row r="426" spans="1:37" x14ac:dyDescent="0.3">
      <c r="A426" s="3040"/>
      <c r="B426" s="116" t="s">
        <v>6838</v>
      </c>
      <c r="C426" s="118"/>
      <c r="D426" s="1292"/>
      <c r="E426" s="1712"/>
      <c r="F426" s="1712"/>
      <c r="G426" s="1712"/>
      <c r="H426" s="1712"/>
      <c r="I426" s="1298"/>
      <c r="J426" s="1293"/>
      <c r="K426" s="1295"/>
      <c r="AA426" s="3040"/>
      <c r="AB426" s="116" t="s">
        <v>6838</v>
      </c>
      <c r="AC426" s="118"/>
      <c r="AD426" s="1292"/>
      <c r="AE426" s="1712"/>
      <c r="AF426" s="1712"/>
      <c r="AG426" s="1712"/>
      <c r="AH426" s="1712"/>
      <c r="AI426" s="1298"/>
      <c r="AJ426" s="1293"/>
      <c r="AK426" s="1295"/>
    </row>
    <row r="427" spans="1:37" x14ac:dyDescent="0.3">
      <c r="A427" s="3040"/>
      <c r="B427" s="49" t="s">
        <v>6839</v>
      </c>
      <c r="C427" s="49" t="s">
        <v>2358</v>
      </c>
      <c r="D427" s="588">
        <f>+D431*UDV.lca.urea_n_content</f>
        <v>9.2792194508855097</v>
      </c>
      <c r="E427" s="2327">
        <f>-D427*UDV.lca.urea_gwp</f>
        <v>-11.125784121611726</v>
      </c>
      <c r="F427" s="2327"/>
      <c r="G427" s="2327">
        <f>-D427*UDV.lca.urea_ef*UDV.lca.MJ_per_kg_oil_eq</f>
        <v>-632.64973690183751</v>
      </c>
      <c r="H427" s="2327">
        <f>-D427*UDV.lca.urea_wf</f>
        <v>-2.7784389230347026E-2</v>
      </c>
      <c r="I427" s="574"/>
      <c r="J427" s="574"/>
      <c r="K427" s="1290"/>
      <c r="AA427" s="3040"/>
      <c r="AB427" s="49" t="s">
        <v>6839</v>
      </c>
      <c r="AC427" s="49" t="s">
        <v>2358</v>
      </c>
      <c r="AD427" s="588">
        <f>D427</f>
        <v>9.2792194508855097</v>
      </c>
      <c r="AE427" s="2327">
        <f>-AD427*UDV.lca.urea_gwp</f>
        <v>-11.125784121611726</v>
      </c>
      <c r="AF427" s="2327"/>
      <c r="AG427" s="2327">
        <f>-AD427*UDV.lca.urea_ef*UDV.lca.MJ_per_kg_oil_eq</f>
        <v>-632.64973690183751</v>
      </c>
      <c r="AH427" s="2327">
        <f>-AD427*UDV.lca.urea_wf</f>
        <v>-2.7784389230347026E-2</v>
      </c>
      <c r="AI427" s="574"/>
      <c r="AJ427" s="574"/>
      <c r="AK427" s="1290"/>
    </row>
    <row r="428" spans="1:37" x14ac:dyDescent="0.3">
      <c r="A428" s="3040"/>
      <c r="B428" s="49" t="s">
        <v>6842</v>
      </c>
      <c r="C428" s="49" t="s">
        <v>2358</v>
      </c>
      <c r="D428" s="588">
        <f>+D432*UDV.lca.P2O5_TSP</f>
        <v>3.4956819921707591</v>
      </c>
      <c r="E428" s="2327">
        <f>-D428*UDV.lca.P2O5_gwp</f>
        <v>-3.0272606052198774</v>
      </c>
      <c r="F428" s="2327"/>
      <c r="G428" s="2327">
        <f>-D428*UDV.lca.P2O5_ef*UDV.lca.MJ_per_kg_oil_eq</f>
        <v>-74.869274469196881</v>
      </c>
      <c r="H428" s="2327">
        <f>-D428*UDV.lca.P2O5_wf</f>
        <v>-1.2967937778583451E-3</v>
      </c>
      <c r="I428" s="574"/>
      <c r="J428" s="574"/>
      <c r="K428" s="1290"/>
      <c r="AA428" s="3040"/>
      <c r="AB428" s="49" t="s">
        <v>6842</v>
      </c>
      <c r="AC428" s="49" t="s">
        <v>2358</v>
      </c>
      <c r="AD428" s="588">
        <f t="shared" ref="AD428:AD429" si="73">D428</f>
        <v>3.4956819921707591</v>
      </c>
      <c r="AE428" s="2327">
        <f>-AD428*UDV.lca.P2O5_gwp</f>
        <v>-3.0272606052198774</v>
      </c>
      <c r="AF428" s="2327"/>
      <c r="AG428" s="2327">
        <f>-AD428*UDV.lca.P2O5_ef*UDV.lca.MJ_per_kg_oil_eq</f>
        <v>-74.869274469196881</v>
      </c>
      <c r="AH428" s="2327">
        <f>-AD428*UDV.lca.P2O5_wf</f>
        <v>-1.2967937778583451E-3</v>
      </c>
      <c r="AI428" s="574"/>
      <c r="AJ428" s="574"/>
      <c r="AK428" s="1290"/>
    </row>
    <row r="429" spans="1:37" x14ac:dyDescent="0.3">
      <c r="A429" s="3040"/>
      <c r="B429" s="49" t="s">
        <v>6844</v>
      </c>
      <c r="C429" s="49" t="s">
        <v>2358</v>
      </c>
      <c r="D429" s="588">
        <f>+D433*UDV.lca.K2O_KCI</f>
        <v>5.8122583144191928</v>
      </c>
      <c r="E429" s="2327">
        <f>-D429*UDV.lca.K2O_gwp</f>
        <v>-2.5399568834011874</v>
      </c>
      <c r="F429" s="2327"/>
      <c r="G429" s="2327">
        <f>-D429*UDV.lca.K2O_ef*UDV.lca.MJ_per_kg_oil_eq</f>
        <v>-45.031775460398393</v>
      </c>
      <c r="H429" s="2327">
        <f>-D429*UDV.lca.K2O_wf</f>
        <v>-1.3179066666845346E-2</v>
      </c>
      <c r="I429" s="574"/>
      <c r="J429" s="574"/>
      <c r="K429" s="1290"/>
      <c r="AA429" s="3040"/>
      <c r="AB429" s="49" t="s">
        <v>6844</v>
      </c>
      <c r="AC429" s="49" t="s">
        <v>2358</v>
      </c>
      <c r="AD429" s="588">
        <f t="shared" si="73"/>
        <v>5.8122583144191928</v>
      </c>
      <c r="AE429" s="2327">
        <f>-AD429*UDV.lca.K2O_gwp</f>
        <v>-2.5399568834011874</v>
      </c>
      <c r="AF429" s="2327"/>
      <c r="AG429" s="2327">
        <f>-AD429*UDV.lca.K2O_ef*UDV.lca.MJ_per_kg_oil_eq</f>
        <v>-45.031775460398393</v>
      </c>
      <c r="AH429" s="2327">
        <f>-AD429*UDV.lca.K2O_wf</f>
        <v>-1.3179066666845346E-2</v>
      </c>
      <c r="AI429" s="574"/>
      <c r="AJ429" s="574"/>
      <c r="AK429" s="1290"/>
    </row>
    <row r="430" spans="1:37" x14ac:dyDescent="0.3">
      <c r="A430" s="3040"/>
      <c r="B430" s="116" t="s">
        <v>6847</v>
      </c>
      <c r="C430" s="118"/>
      <c r="D430" s="1292"/>
      <c r="E430" s="1712"/>
      <c r="F430" s="1712"/>
      <c r="G430" s="1712"/>
      <c r="H430" s="1712"/>
      <c r="I430" s="1298"/>
      <c r="J430" s="1293"/>
      <c r="K430" s="1295"/>
      <c r="AA430" s="3040"/>
      <c r="AB430" s="116" t="s">
        <v>6847</v>
      </c>
      <c r="AC430" s="118"/>
      <c r="AD430" s="1292"/>
      <c r="AE430" s="1712"/>
      <c r="AF430" s="1712"/>
      <c r="AG430" s="1712"/>
      <c r="AH430" s="1712"/>
      <c r="AI430" s="1298"/>
      <c r="AJ430" s="1293"/>
      <c r="AK430" s="1295"/>
    </row>
    <row r="431" spans="1:37" x14ac:dyDescent="0.3">
      <c r="A431" s="3040"/>
      <c r="B431" s="49" t="s">
        <v>84</v>
      </c>
      <c r="C431" s="49" t="s">
        <v>2358</v>
      </c>
      <c r="D431" s="37">
        <f>'Sc12'!C10+'Sc12'!C14-'Sc12'!C67</f>
        <v>13.256027786979301</v>
      </c>
      <c r="E431" s="578"/>
      <c r="F431" s="578"/>
      <c r="G431" s="578"/>
      <c r="H431" s="578"/>
      <c r="I431" s="1299"/>
      <c r="J431" s="574"/>
      <c r="K431" s="1290"/>
      <c r="AA431" s="3040"/>
      <c r="AB431" s="49" t="s">
        <v>84</v>
      </c>
      <c r="AC431" s="49" t="s">
        <v>2358</v>
      </c>
      <c r="AD431" s="50">
        <f>D431</f>
        <v>13.256027786979301</v>
      </c>
      <c r="AE431" s="578"/>
      <c r="AF431" s="578"/>
      <c r="AG431" s="578"/>
      <c r="AH431" s="578"/>
      <c r="AI431" s="1299"/>
      <c r="AJ431" s="574"/>
      <c r="AK431" s="1290"/>
    </row>
    <row r="432" spans="1:37" x14ac:dyDescent="0.3">
      <c r="A432" s="3040"/>
      <c r="B432" s="49" t="s">
        <v>941</v>
      </c>
      <c r="C432" s="49" t="s">
        <v>2358</v>
      </c>
      <c r="D432" s="37">
        <f>'Sc12'!C11+'Sc12'!C15-'Sc12'!C68</f>
        <v>3.8840911024119547</v>
      </c>
      <c r="E432" s="578"/>
      <c r="F432" s="578"/>
      <c r="G432" s="578"/>
      <c r="H432" s="578"/>
      <c r="I432" s="1299"/>
      <c r="J432" s="574"/>
      <c r="K432" s="1290"/>
      <c r="AA432" s="3040"/>
      <c r="AB432" s="49" t="s">
        <v>941</v>
      </c>
      <c r="AC432" s="49" t="s">
        <v>2358</v>
      </c>
      <c r="AD432" s="50">
        <f t="shared" ref="AD432:AD433" si="74">D432</f>
        <v>3.8840911024119547</v>
      </c>
      <c r="AE432" s="578"/>
      <c r="AF432" s="578"/>
      <c r="AG432" s="578"/>
      <c r="AH432" s="578"/>
      <c r="AI432" s="1299"/>
      <c r="AJ432" s="574"/>
      <c r="AK432" s="1290"/>
    </row>
    <row r="433" spans="1:37" x14ac:dyDescent="0.3">
      <c r="A433" s="3040"/>
      <c r="B433" s="49" t="s">
        <v>934</v>
      </c>
      <c r="C433" s="49" t="s">
        <v>2358</v>
      </c>
      <c r="D433" s="37">
        <f>'Sc12'!C12+'Sc12'!C16-'Sc12'!C69</f>
        <v>5.8122583144191928</v>
      </c>
      <c r="E433" s="578"/>
      <c r="F433" s="578"/>
      <c r="G433" s="578"/>
      <c r="H433" s="578"/>
      <c r="I433" s="1299"/>
      <c r="J433" s="574"/>
      <c r="K433" s="1290"/>
      <c r="AA433" s="3040"/>
      <c r="AB433" s="49" t="s">
        <v>934</v>
      </c>
      <c r="AC433" s="49" t="s">
        <v>2358</v>
      </c>
      <c r="AD433" s="50">
        <f t="shared" si="74"/>
        <v>5.8122583144191928</v>
      </c>
      <c r="AE433" s="578"/>
      <c r="AF433" s="578"/>
      <c r="AG433" s="578"/>
      <c r="AH433" s="578"/>
      <c r="AI433" s="1299"/>
      <c r="AJ433" s="574"/>
      <c r="AK433" s="1290"/>
    </row>
    <row r="434" spans="1:37" x14ac:dyDescent="0.3">
      <c r="A434" s="3040"/>
      <c r="B434" s="116" t="s">
        <v>6856</v>
      </c>
      <c r="C434" s="118"/>
      <c r="D434" s="1292"/>
      <c r="E434" s="1712"/>
      <c r="F434" s="1712"/>
      <c r="G434" s="1712"/>
      <c r="H434" s="1712"/>
      <c r="I434" s="1298"/>
      <c r="J434" s="1293"/>
      <c r="K434" s="1295"/>
      <c r="AA434" s="3040"/>
      <c r="AB434" s="116" t="s">
        <v>6856</v>
      </c>
      <c r="AC434" s="118"/>
      <c r="AD434" s="1292"/>
      <c r="AE434" s="1712"/>
      <c r="AF434" s="1712"/>
      <c r="AG434" s="1712"/>
      <c r="AH434" s="1712"/>
      <c r="AI434" s="1298"/>
      <c r="AJ434" s="1293"/>
      <c r="AK434" s="1295"/>
    </row>
    <row r="435" spans="1:37" x14ac:dyDescent="0.3">
      <c r="A435" s="3040"/>
      <c r="B435" s="49" t="s">
        <v>6859</v>
      </c>
      <c r="C435" s="49" t="s">
        <v>2358</v>
      </c>
      <c r="D435" s="37">
        <f>'Sc12'!C27</f>
        <v>0.26571976764365451</v>
      </c>
      <c r="E435" s="578"/>
      <c r="F435" s="578"/>
      <c r="G435" s="578"/>
      <c r="H435" s="578"/>
      <c r="I435" s="1299"/>
      <c r="J435" s="571"/>
      <c r="K435" s="1290"/>
      <c r="AA435" s="3040"/>
      <c r="AB435" s="49" t="s">
        <v>6859</v>
      </c>
      <c r="AC435" s="49" t="s">
        <v>2358</v>
      </c>
      <c r="AD435" s="37">
        <f>D435</f>
        <v>0.26571976764365451</v>
      </c>
      <c r="AE435" s="578"/>
      <c r="AF435" s="578"/>
      <c r="AG435" s="578"/>
      <c r="AH435" s="578"/>
      <c r="AI435" s="1299"/>
      <c r="AJ435" s="571"/>
      <c r="AK435" s="1290"/>
    </row>
    <row r="436" spans="1:37" x14ac:dyDescent="0.3">
      <c r="A436" s="3040"/>
      <c r="B436" s="49" t="s">
        <v>6861</v>
      </c>
      <c r="C436" s="49" t="s">
        <v>2358</v>
      </c>
      <c r="D436" s="37">
        <f>'Sc12'!C28</f>
        <v>7.8154293823529404</v>
      </c>
      <c r="E436" s="578"/>
      <c r="F436" s="578"/>
      <c r="G436" s="578"/>
      <c r="H436" s="578"/>
      <c r="I436" s="1299"/>
      <c r="J436" s="571"/>
      <c r="K436" s="1290"/>
      <c r="AA436" s="3040"/>
      <c r="AB436" s="49" t="s">
        <v>6861</v>
      </c>
      <c r="AC436" s="49" t="s">
        <v>2358</v>
      </c>
      <c r="AD436" s="37">
        <f t="shared" ref="AD436:AD437" si="75">D436</f>
        <v>7.8154293823529404</v>
      </c>
      <c r="AE436" s="578"/>
      <c r="AF436" s="578"/>
      <c r="AG436" s="578"/>
      <c r="AH436" s="578"/>
      <c r="AI436" s="1299"/>
      <c r="AJ436" s="571"/>
      <c r="AK436" s="1290"/>
    </row>
    <row r="437" spans="1:37" x14ac:dyDescent="0.3">
      <c r="A437" s="3040"/>
      <c r="B437" s="49" t="s">
        <v>6864</v>
      </c>
      <c r="C437" s="49" t="s">
        <v>2358</v>
      </c>
      <c r="D437" s="37">
        <f>'Sc12'!C29</f>
        <v>4.0920844271683923E-2</v>
      </c>
      <c r="E437" s="578"/>
      <c r="F437" s="578"/>
      <c r="G437" s="578"/>
      <c r="H437" s="578"/>
      <c r="I437" s="1299"/>
      <c r="J437" s="571"/>
      <c r="K437" s="1290"/>
      <c r="AA437" s="3040"/>
      <c r="AB437" s="49" t="s">
        <v>6864</v>
      </c>
      <c r="AC437" s="49" t="s">
        <v>2358</v>
      </c>
      <c r="AD437" s="37">
        <f t="shared" si="75"/>
        <v>4.0920844271683923E-2</v>
      </c>
      <c r="AE437" s="578"/>
      <c r="AF437" s="578"/>
      <c r="AG437" s="578"/>
      <c r="AH437" s="578"/>
      <c r="AI437" s="1299"/>
      <c r="AJ437" s="571"/>
      <c r="AK437" s="1290"/>
    </row>
    <row r="438" spans="1:37" x14ac:dyDescent="0.3">
      <c r="A438" s="3040"/>
      <c r="B438" s="49"/>
      <c r="C438" s="49"/>
      <c r="D438" s="37"/>
      <c r="E438" s="578"/>
      <c r="F438" s="578"/>
      <c r="G438" s="578"/>
      <c r="H438" s="578"/>
      <c r="I438" s="1299"/>
      <c r="J438" s="571"/>
      <c r="K438" s="1290"/>
      <c r="AA438" s="3040"/>
      <c r="AB438" s="49"/>
      <c r="AC438" s="49"/>
      <c r="AD438" s="37"/>
      <c r="AE438" s="578"/>
      <c r="AF438" s="578"/>
      <c r="AG438" s="578"/>
      <c r="AH438" s="578"/>
      <c r="AI438" s="1299"/>
      <c r="AJ438" s="571"/>
      <c r="AK438" s="1290"/>
    </row>
    <row r="439" spans="1:37" x14ac:dyDescent="0.3">
      <c r="A439" s="3040"/>
      <c r="B439" s="116" t="s">
        <v>6865</v>
      </c>
      <c r="C439" s="118"/>
      <c r="D439" s="1292"/>
      <c r="E439" s="1712"/>
      <c r="F439" s="1712"/>
      <c r="G439" s="1712"/>
      <c r="H439" s="1712"/>
      <c r="I439" s="1298"/>
      <c r="J439" s="1293"/>
      <c r="K439" s="1295"/>
      <c r="AA439" s="3040"/>
      <c r="AB439" s="116" t="s">
        <v>6865</v>
      </c>
      <c r="AC439" s="118"/>
      <c r="AD439" s="1292"/>
      <c r="AE439" s="1712"/>
      <c r="AF439" s="1712"/>
      <c r="AG439" s="1712"/>
      <c r="AH439" s="1712"/>
      <c r="AI439" s="1298"/>
      <c r="AJ439" s="1293"/>
      <c r="AK439" s="1295"/>
    </row>
    <row r="440" spans="1:37" x14ac:dyDescent="0.3">
      <c r="A440" s="3040"/>
      <c r="B440" s="49" t="s">
        <v>6867</v>
      </c>
      <c r="C440" s="49" t="s">
        <v>2358</v>
      </c>
      <c r="D440" s="37">
        <f>'Sc12'!C68</f>
        <v>2.759018397588044</v>
      </c>
      <c r="E440" s="578"/>
      <c r="F440" s="578"/>
      <c r="G440" s="578"/>
      <c r="H440" s="578"/>
      <c r="I440" s="1299"/>
      <c r="J440" s="571"/>
      <c r="K440" s="1290"/>
      <c r="AA440" s="3040"/>
      <c r="AB440" s="49" t="s">
        <v>6867</v>
      </c>
      <c r="AC440" s="49" t="s">
        <v>2358</v>
      </c>
      <c r="AD440" s="37">
        <f>D440</f>
        <v>2.759018397588044</v>
      </c>
      <c r="AE440" s="578"/>
      <c r="AF440" s="578"/>
      <c r="AG440" s="578"/>
      <c r="AH440" s="578"/>
      <c r="AI440" s="1299"/>
      <c r="AJ440" s="571"/>
      <c r="AK440" s="1290"/>
    </row>
    <row r="441" spans="1:37" x14ac:dyDescent="0.3">
      <c r="A441" s="3040"/>
      <c r="B441" s="49"/>
      <c r="C441" s="49"/>
      <c r="D441" s="18" t="s">
        <v>6869</v>
      </c>
      <c r="E441" s="122">
        <f>+SUM(E413:E418,E422:E424,E425)</f>
        <v>485.91870980339183</v>
      </c>
      <c r="F441" s="37"/>
      <c r="G441" s="37"/>
      <c r="H441" s="37"/>
      <c r="I441" s="57"/>
      <c r="J441" s="49"/>
      <c r="K441" s="11"/>
      <c r="AA441" s="3040"/>
      <c r="AB441" s="49"/>
      <c r="AC441" s="49"/>
      <c r="AD441" s="18" t="s">
        <v>6869</v>
      </c>
      <c r="AE441" s="122">
        <f>+SUM(AE413:AE418,AE422:AE424,AE425)</f>
        <v>465.12872962806512</v>
      </c>
      <c r="AF441" s="37"/>
      <c r="AG441" s="37"/>
      <c r="AH441" s="37"/>
      <c r="AI441" s="57"/>
      <c r="AJ441" s="49"/>
      <c r="AK441" s="11"/>
    </row>
    <row r="442" spans="1:37" x14ac:dyDescent="0.3">
      <c r="A442" s="3040"/>
      <c r="B442" s="118" t="s">
        <v>6871</v>
      </c>
      <c r="C442" s="119" t="s">
        <v>4815</v>
      </c>
      <c r="D442" s="1708" t="s">
        <v>630</v>
      </c>
      <c r="E442" s="1281">
        <f>+SUM(E420:E425,E418)</f>
        <v>466.44147687855832</v>
      </c>
      <c r="F442" s="1281">
        <f>+SUM(F420:F425)</f>
        <v>576.35487119311904</v>
      </c>
      <c r="G442" s="1281">
        <f>+SUM(G420:G425)</f>
        <v>0</v>
      </c>
      <c r="H442" s="2267">
        <f>+SUM(H413,H420:H425)</f>
        <v>4.1286428338751247</v>
      </c>
      <c r="I442" s="641">
        <f>I413</f>
        <v>4.1235296571003204</v>
      </c>
      <c r="J442" s="1281">
        <f>+J425</f>
        <v>8.1220699942682781</v>
      </c>
      <c r="K442" s="1282">
        <f>+K425</f>
        <v>2.759018397588044</v>
      </c>
      <c r="AA442" s="3040"/>
      <c r="AB442" s="118" t="s">
        <v>6871</v>
      </c>
      <c r="AC442" s="119" t="s">
        <v>4815</v>
      </c>
      <c r="AD442" s="1708" t="s">
        <v>630</v>
      </c>
      <c r="AE442" s="1281">
        <f>+SUM(AE420:AE425,AE418)</f>
        <v>453.77004850133926</v>
      </c>
      <c r="AF442" s="1281">
        <f>+SUM(AF420:AF425)</f>
        <v>576.35487119311904</v>
      </c>
      <c r="AG442" s="1281">
        <f>+SUM(AG420:AG425)</f>
        <v>0</v>
      </c>
      <c r="AH442" s="2267">
        <f>+SUM(AH413,AH420:AH425)</f>
        <v>4.1286428338751247</v>
      </c>
      <c r="AI442" s="641">
        <f>AI413</f>
        <v>4.1235296571003204</v>
      </c>
      <c r="AJ442" s="1281">
        <f>+AJ425</f>
        <v>8.1220699942682781</v>
      </c>
      <c r="AK442" s="1282">
        <f>+AK425</f>
        <v>2.759018397588044</v>
      </c>
    </row>
    <row r="443" spans="1:37" x14ac:dyDescent="0.3">
      <c r="A443" s="3040"/>
      <c r="B443" s="118" t="s">
        <v>6874</v>
      </c>
      <c r="C443" s="118"/>
      <c r="D443" s="1709" t="s">
        <v>6875</v>
      </c>
      <c r="E443" s="922">
        <f>+SUM(E413:E417,E427:E429)</f>
        <v>2.7842313146007238</v>
      </c>
      <c r="F443" s="922">
        <f>+SUM(F413:F418,F427:F429)</f>
        <v>0</v>
      </c>
      <c r="G443" s="922">
        <f>+SUM(G413:G418,G427:G429)</f>
        <v>-196.3135003447087</v>
      </c>
      <c r="H443" s="2268">
        <f>+SUM(H414:H418,H427:H429)</f>
        <v>0.11482968649033035</v>
      </c>
      <c r="I443" s="1283">
        <v>0</v>
      </c>
      <c r="J443" s="922"/>
      <c r="K443" s="1284"/>
      <c r="AA443" s="3040"/>
      <c r="AB443" s="118" t="s">
        <v>6874</v>
      </c>
      <c r="AC443" s="118"/>
      <c r="AD443" s="1709" t="s">
        <v>6875</v>
      </c>
      <c r="AE443" s="922">
        <f>+SUM(AE413:AE417,AE427:AE429)</f>
        <v>-5.3343204835069216</v>
      </c>
      <c r="AF443" s="922">
        <f>+SUM(AF413:AF418,AF427:AF429)</f>
        <v>0</v>
      </c>
      <c r="AG443" s="922">
        <f>+SUM(AG413:AG418,AG427:AG429)</f>
        <v>-488.64793720132843</v>
      </c>
      <c r="AH443" s="2268">
        <f>+SUM(AH414:AH418,AH427:AH429)</f>
        <v>3.3644168509253898E-2</v>
      </c>
      <c r="AI443" s="1283">
        <v>0</v>
      </c>
      <c r="AJ443" s="922"/>
      <c r="AK443" s="1284"/>
    </row>
    <row r="444" spans="1:37" ht="15" thickBot="1" x14ac:dyDescent="0.35">
      <c r="A444" s="3041"/>
      <c r="B444" s="22"/>
      <c r="C444" s="1291"/>
      <c r="D444" s="1710" t="s">
        <v>6876</v>
      </c>
      <c r="E444" s="1285">
        <f>E442+E443</f>
        <v>469.22570819315905</v>
      </c>
      <c r="F444" s="1285">
        <f>F442+F443</f>
        <v>576.35487119311904</v>
      </c>
      <c r="G444" s="1285">
        <f>G442+G443</f>
        <v>-196.3135003447087</v>
      </c>
      <c r="H444" s="2269">
        <f t="shared" ref="H444" si="76">H442+H443</f>
        <v>4.2434725203654553</v>
      </c>
      <c r="I444" s="1285">
        <f>I442+I443</f>
        <v>4.1235296571003204</v>
      </c>
      <c r="J444" s="1285">
        <f>J442+J443</f>
        <v>8.1220699942682781</v>
      </c>
      <c r="K444" s="1286">
        <f>K442+K443</f>
        <v>2.759018397588044</v>
      </c>
      <c r="AA444" s="3041"/>
      <c r="AB444" s="22"/>
      <c r="AC444" s="1291"/>
      <c r="AD444" s="1710" t="s">
        <v>6876</v>
      </c>
      <c r="AE444" s="1285">
        <f>AE442+AE443</f>
        <v>448.43572801783233</v>
      </c>
      <c r="AF444" s="1285">
        <f>AF442+AF443</f>
        <v>576.35487119311904</v>
      </c>
      <c r="AG444" s="1285">
        <f>AG442+AG443</f>
        <v>-488.64793720132843</v>
      </c>
      <c r="AH444" s="2269">
        <f t="shared" ref="AH444" si="77">AH442+AH443</f>
        <v>4.162287002384379</v>
      </c>
      <c r="AI444" s="1285">
        <f>AI442+AI443</f>
        <v>4.1235296571003204</v>
      </c>
      <c r="AJ444" s="1285">
        <f>AJ442+AJ443</f>
        <v>8.1220699942682781</v>
      </c>
      <c r="AK444" s="1286">
        <f>AK442+AK443</f>
        <v>2.759018397588044</v>
      </c>
    </row>
    <row r="445" spans="1:37" ht="15" thickBot="1" x14ac:dyDescent="0.35"/>
    <row r="446" spans="1:37" x14ac:dyDescent="0.3">
      <c r="A446" s="3039" t="s">
        <v>6916</v>
      </c>
      <c r="B446" s="49"/>
      <c r="C446" s="49"/>
      <c r="D446" s="9"/>
      <c r="E446" s="565"/>
      <c r="F446" s="565"/>
      <c r="G446" s="565"/>
      <c r="H446" s="565"/>
      <c r="I446" s="1297"/>
      <c r="J446" s="3038" t="s">
        <v>6791</v>
      </c>
      <c r="K446" s="3038"/>
    </row>
    <row r="447" spans="1:37" ht="72" x14ac:dyDescent="0.3">
      <c r="A447" s="3040"/>
      <c r="B447" s="566"/>
      <c r="C447" s="566" t="s">
        <v>6795</v>
      </c>
      <c r="D447" s="567" t="s">
        <v>6796</v>
      </c>
      <c r="E447" s="567" t="s">
        <v>4824</v>
      </c>
      <c r="F447" s="567" t="s">
        <v>447</v>
      </c>
      <c r="G447" s="567" t="s">
        <v>446</v>
      </c>
      <c r="H447" s="567" t="s">
        <v>2599</v>
      </c>
      <c r="I447" s="1279" t="s">
        <v>6797</v>
      </c>
      <c r="J447" s="567" t="s">
        <v>4832</v>
      </c>
      <c r="K447" s="567" t="s">
        <v>6798</v>
      </c>
    </row>
    <row r="448" spans="1:37" ht="16.8" x14ac:dyDescent="0.35">
      <c r="A448" s="3040"/>
      <c r="B448" s="568"/>
      <c r="C448" s="568"/>
      <c r="D448" s="569"/>
      <c r="E448" s="570" t="s">
        <v>6799</v>
      </c>
      <c r="F448" s="570" t="s">
        <v>6800</v>
      </c>
      <c r="G448" s="570" t="s">
        <v>2435</v>
      </c>
      <c r="H448" s="570" t="s">
        <v>6801</v>
      </c>
      <c r="I448" s="1280" t="s">
        <v>2478</v>
      </c>
      <c r="J448" s="569" t="s">
        <v>6802</v>
      </c>
      <c r="K448" s="569" t="s">
        <v>6803</v>
      </c>
    </row>
    <row r="449" spans="1:11" x14ac:dyDescent="0.3">
      <c r="A449" s="3040"/>
      <c r="B449" s="116" t="s">
        <v>6805</v>
      </c>
      <c r="C449" s="118"/>
      <c r="D449" s="1292"/>
      <c r="E449" s="1293"/>
      <c r="F449" s="1293"/>
      <c r="G449" s="1292"/>
      <c r="H449" s="1293"/>
      <c r="I449" s="1294"/>
      <c r="J449" s="1293"/>
      <c r="K449" s="1295"/>
    </row>
    <row r="450" spans="1:11" x14ac:dyDescent="0.3">
      <c r="A450" s="3040"/>
      <c r="B450" s="49" t="s">
        <v>415</v>
      </c>
      <c r="C450" s="49" t="s">
        <v>2358</v>
      </c>
      <c r="D450" s="50">
        <f>'Sc13'!C5*1000</f>
        <v>0</v>
      </c>
      <c r="E450" s="2326">
        <f>+D450*UDV.lca.water_gwp</f>
        <v>0</v>
      </c>
      <c r="F450" s="2327"/>
      <c r="G450" s="2327">
        <f>+D450*UDV.lca.water_ef*UDV.lca.MJ_per_kg_oil_eq</f>
        <v>0</v>
      </c>
      <c r="H450" s="1711">
        <f>+D450*UDV.lca.water_wf</f>
        <v>0</v>
      </c>
      <c r="I450" s="1296">
        <f>D450/1000</f>
        <v>0</v>
      </c>
      <c r="J450" s="574"/>
      <c r="K450" s="1290"/>
    </row>
    <row r="451" spans="1:11" x14ac:dyDescent="0.3">
      <c r="A451" s="3040"/>
      <c r="B451" s="49" t="s">
        <v>409</v>
      </c>
      <c r="C451" s="49" t="s">
        <v>2556</v>
      </c>
      <c r="D451" s="37">
        <f>'Sc13'!C6</f>
        <v>57.540301329326212</v>
      </c>
      <c r="E451" s="2326">
        <f>+D451*UDV.lca.electricity_gwp</f>
        <v>20.626988610480172</v>
      </c>
      <c r="F451" s="2327"/>
      <c r="G451" s="2327">
        <f>+D451*UDV.lca.electricity_ef*UDV.lca.MJ_per_kg_oil_eq</f>
        <v>110.3419286829771</v>
      </c>
      <c r="H451" s="2327">
        <f>+D451*UDV.lca.electricity_wf</f>
        <v>9.2064482126921948E-2</v>
      </c>
      <c r="I451" s="1296"/>
      <c r="J451" s="574"/>
      <c r="K451" s="1290"/>
    </row>
    <row r="452" spans="1:11" x14ac:dyDescent="0.3">
      <c r="A452" s="3040"/>
      <c r="B452" s="49" t="s">
        <v>6812</v>
      </c>
      <c r="C452" s="49" t="s">
        <v>2435</v>
      </c>
      <c r="D452" s="50">
        <f>'Sc13'!C7*UDV.lca.MJ_per_gal_diesel</f>
        <v>383.79413673658405</v>
      </c>
      <c r="E452" s="2326">
        <f>+D452*UDV.lca.diesel_gwp</f>
        <v>17.270736153146281</v>
      </c>
      <c r="F452" s="2327"/>
      <c r="G452" s="2326">
        <f>+D452*UDV.lca.diesel_ef*UDV.lca.MJ_per_kg_oil_eq</f>
        <v>621.88812154972186</v>
      </c>
      <c r="H452" s="2327">
        <f>+D452*UDV.lca.diesel_wf</f>
        <v>0.17270736153146279</v>
      </c>
      <c r="I452" s="1296"/>
      <c r="J452" s="574"/>
      <c r="K452" s="1290"/>
    </row>
    <row r="453" spans="1:11" x14ac:dyDescent="0.3">
      <c r="A453" s="3040"/>
      <c r="B453" s="49" t="s">
        <v>6814</v>
      </c>
      <c r="C453" s="49" t="s">
        <v>2358</v>
      </c>
      <c r="D453" s="9"/>
      <c r="E453" s="2326">
        <f>+D453*UDV.lca.sand_gwp</f>
        <v>0</v>
      </c>
      <c r="F453" s="2327"/>
      <c r="G453" s="2327">
        <f>+D453*UDV.lca.sand_ef*UDV.lca.MJ_per_kg_oil_eq</f>
        <v>0</v>
      </c>
      <c r="H453" s="2327">
        <f>+D453*UDV.lca.sand_wf</f>
        <v>0</v>
      </c>
      <c r="I453" s="1296"/>
      <c r="J453" s="574"/>
      <c r="K453" s="1290"/>
    </row>
    <row r="454" spans="1:11" x14ac:dyDescent="0.3">
      <c r="A454" s="3040"/>
      <c r="B454" s="49"/>
      <c r="C454" s="49"/>
      <c r="D454" s="9"/>
      <c r="E454" s="2327"/>
      <c r="F454" s="2327"/>
      <c r="G454" s="2327"/>
      <c r="H454" s="2327"/>
      <c r="I454" s="1296"/>
      <c r="J454" s="574"/>
      <c r="K454" s="1290"/>
    </row>
    <row r="455" spans="1:11" x14ac:dyDescent="0.3">
      <c r="A455" s="3040"/>
      <c r="B455" s="1089" t="s">
        <v>6819</v>
      </c>
      <c r="C455" s="1089" t="s">
        <v>4885</v>
      </c>
      <c r="D455" s="1711">
        <f>'Sc13'!C7</f>
        <v>2.6479518196259422</v>
      </c>
      <c r="E455" s="1711">
        <f>D455*UDV.lca.diesel_combustion_gwp</f>
        <v>26.956149523792092</v>
      </c>
      <c r="F455" s="1296"/>
      <c r="G455" s="1296"/>
      <c r="H455" s="1296"/>
      <c r="I455" s="1296"/>
      <c r="J455" s="574"/>
      <c r="K455" s="1290"/>
    </row>
    <row r="456" spans="1:11" x14ac:dyDescent="0.3">
      <c r="A456" s="3040"/>
      <c r="B456" s="118" t="s">
        <v>6822</v>
      </c>
      <c r="C456" s="118"/>
      <c r="D456" s="1292"/>
      <c r="E456" s="1712"/>
      <c r="F456" s="1712"/>
      <c r="G456" s="1712"/>
      <c r="H456" s="1712"/>
      <c r="I456" s="1298"/>
      <c r="J456" s="1298"/>
      <c r="K456" s="1713"/>
    </row>
    <row r="457" spans="1:11" x14ac:dyDescent="0.3">
      <c r="A457" s="3040"/>
      <c r="B457" s="49" t="s">
        <v>6786</v>
      </c>
      <c r="C457" s="49" t="s">
        <v>2268</v>
      </c>
      <c r="D457" s="50">
        <f>'Sc13'!C8</f>
        <v>233.91764119137878</v>
      </c>
      <c r="E457" s="578"/>
      <c r="F457" s="1711">
        <f>+D457</f>
        <v>233.91764119137878</v>
      </c>
      <c r="G457" s="578"/>
      <c r="H457" s="578"/>
      <c r="I457" s="1299"/>
      <c r="J457" s="574"/>
      <c r="K457" s="1290"/>
    </row>
    <row r="458" spans="1:11" x14ac:dyDescent="0.3">
      <c r="A458" s="3040"/>
      <c r="B458" s="76" t="s">
        <v>6826</v>
      </c>
      <c r="C458" s="76"/>
      <c r="D458" s="9"/>
      <c r="E458" s="578"/>
      <c r="F458" s="578"/>
      <c r="G458" s="578"/>
      <c r="H458" s="578"/>
      <c r="I458" s="1299"/>
      <c r="J458" s="574"/>
      <c r="K458" s="1290"/>
    </row>
    <row r="459" spans="1:11" x14ac:dyDescent="0.3">
      <c r="A459" s="3040"/>
      <c r="B459" s="117" t="s">
        <v>6828</v>
      </c>
      <c r="C459" s="49" t="s">
        <v>2358</v>
      </c>
      <c r="D459" s="37">
        <f>+D472*1</f>
        <v>0.32093128271349469</v>
      </c>
      <c r="E459" s="1711">
        <f>+D459*UDV.emit_N2O_direct.CO2e_cf</f>
        <v>99.48869764118335</v>
      </c>
      <c r="F459" s="578"/>
      <c r="G459" s="578"/>
      <c r="H459" s="578"/>
      <c r="I459" s="1299"/>
      <c r="J459" s="574"/>
      <c r="K459" s="1290"/>
    </row>
    <row r="460" spans="1:11" x14ac:dyDescent="0.3">
      <c r="A460" s="3040"/>
      <c r="B460" s="117" t="s">
        <v>4894</v>
      </c>
      <c r="C460" s="49" t="s">
        <v>2358</v>
      </c>
      <c r="D460" s="37">
        <f>'Sc13'!C18</f>
        <v>2.6524037868914601</v>
      </c>
      <c r="E460" s="1711">
        <f>+D460*UDV.emit_CH4.CO2e_cf</f>
        <v>79.572113606743798</v>
      </c>
      <c r="F460" s="578"/>
      <c r="G460" s="578"/>
      <c r="H460" s="578"/>
      <c r="I460" s="1299"/>
      <c r="J460" s="574"/>
      <c r="K460" s="1290"/>
    </row>
    <row r="461" spans="1:11" x14ac:dyDescent="0.3">
      <c r="A461" s="3040"/>
      <c r="B461" s="117" t="s">
        <v>6833</v>
      </c>
      <c r="C461" s="49" t="s">
        <v>2358</v>
      </c>
      <c r="D461" s="37">
        <f>'Sc13'!C22</f>
        <v>87.689205999999956</v>
      </c>
      <c r="E461" s="1711">
        <f>D461*UDV.lca.CO2_toggle</f>
        <v>0</v>
      </c>
      <c r="F461" s="578"/>
      <c r="G461" s="578"/>
      <c r="H461" s="578"/>
      <c r="I461" s="1299"/>
      <c r="J461" s="574"/>
      <c r="K461" s="1290"/>
    </row>
    <row r="462" spans="1:11" x14ac:dyDescent="0.3">
      <c r="A462" s="3040"/>
      <c r="B462" s="117"/>
      <c r="C462" s="49"/>
      <c r="D462" s="50"/>
      <c r="E462" s="1300"/>
      <c r="F462" s="1300"/>
      <c r="G462" s="1300"/>
      <c r="H462" s="1300"/>
      <c r="I462" s="1300"/>
      <c r="J462" s="1711">
        <f>+SUM(D472:D474)</f>
        <v>12.221879078697619</v>
      </c>
      <c r="K462" s="2328">
        <f>+SUM(D477)</f>
        <v>5.4539682424140326</v>
      </c>
    </row>
    <row r="463" spans="1:11" x14ac:dyDescent="0.3">
      <c r="A463" s="3040"/>
      <c r="B463" s="116" t="s">
        <v>6838</v>
      </c>
      <c r="C463" s="118"/>
      <c r="D463" s="1292"/>
      <c r="E463" s="1712"/>
      <c r="F463" s="1712"/>
      <c r="G463" s="1712"/>
      <c r="H463" s="1712"/>
      <c r="I463" s="1298"/>
      <c r="J463" s="1293"/>
      <c r="K463" s="1295"/>
    </row>
    <row r="464" spans="1:11" x14ac:dyDescent="0.3">
      <c r="A464" s="3040"/>
      <c r="B464" s="49" t="s">
        <v>6839</v>
      </c>
      <c r="C464" s="49" t="s">
        <v>2358</v>
      </c>
      <c r="D464" s="588">
        <f>+D468*UDV.lca.urea_n_content</f>
        <v>3.4052035366322571</v>
      </c>
      <c r="E464" s="2327">
        <f>-D464*UDV.lca.urea_gwp</f>
        <v>-4.0828390404220762</v>
      </c>
      <c r="F464" s="2327"/>
      <c r="G464" s="2327">
        <f>-D464*UDV.lca.urea_ef*UDV.lca.MJ_per_kg_oil_eq</f>
        <v>-232.16404493397562</v>
      </c>
      <c r="H464" s="2327">
        <f>-D464*UDV.lca.urea_wf</f>
        <v>-1.0196062392006062E-2</v>
      </c>
      <c r="I464" s="574"/>
      <c r="J464" s="574"/>
      <c r="K464" s="1290"/>
    </row>
    <row r="465" spans="1:11" x14ac:dyDescent="0.3">
      <c r="A465" s="3040"/>
      <c r="B465" s="49" t="s">
        <v>6842</v>
      </c>
      <c r="C465" s="49" t="s">
        <v>2358</v>
      </c>
      <c r="D465" s="588">
        <f>+D469*UDV.lca.P2O5_TSP</f>
        <v>1.493199893882091</v>
      </c>
      <c r="E465" s="2327">
        <f>-D465*UDV.lca.P2O5_gwp</f>
        <v>-1.2931111081018907</v>
      </c>
      <c r="F465" s="2327"/>
      <c r="G465" s="2327">
        <f>-D465*UDV.lca.P2O5_ef*UDV.lca.MJ_per_kg_oil_eq</f>
        <v>-31.980824612427419</v>
      </c>
      <c r="H465" s="2327">
        <f>-D465*UDV.lca.P2O5_wf</f>
        <v>-5.5393263340942011E-4</v>
      </c>
      <c r="I465" s="574"/>
      <c r="J465" s="574"/>
      <c r="K465" s="1290"/>
    </row>
    <row r="466" spans="1:11" x14ac:dyDescent="0.3">
      <c r="A466" s="3040"/>
      <c r="B466" s="49" t="s">
        <v>6844</v>
      </c>
      <c r="C466" s="49" t="s">
        <v>2358</v>
      </c>
      <c r="D466" s="588">
        <f>+D470*UDV.lca.K2O_KCI</f>
        <v>2.1329296877806447</v>
      </c>
      <c r="E466" s="2327">
        <f>-D466*UDV.lca.K2O_gwp</f>
        <v>-0.93209027356014174</v>
      </c>
      <c r="F466" s="2327"/>
      <c r="G466" s="2327">
        <f>-D466*UDV.lca.K2O_ef*UDV.lca.MJ_per_kg_oil_eq</f>
        <v>-16.525351348317301</v>
      </c>
      <c r="H466" s="2327">
        <f>-D466*UDV.lca.K2O_wf</f>
        <v>-4.8363340082836154E-3</v>
      </c>
      <c r="I466" s="574"/>
      <c r="J466" s="574"/>
      <c r="K466" s="1290"/>
    </row>
    <row r="467" spans="1:11" x14ac:dyDescent="0.3">
      <c r="A467" s="3040"/>
      <c r="B467" s="116" t="s">
        <v>6847</v>
      </c>
      <c r="C467" s="118"/>
      <c r="D467" s="1292"/>
      <c r="E467" s="1712"/>
      <c r="F467" s="1712"/>
      <c r="G467" s="1712"/>
      <c r="H467" s="1712"/>
      <c r="I467" s="1298"/>
      <c r="J467" s="1293"/>
      <c r="K467" s="1295"/>
    </row>
    <row r="468" spans="1:11" x14ac:dyDescent="0.3">
      <c r="A468" s="3040"/>
      <c r="B468" s="49" t="s">
        <v>84</v>
      </c>
      <c r="C468" s="49" t="s">
        <v>2358</v>
      </c>
      <c r="D468" s="37">
        <f>'Sc13'!C68-'Sc13'!C72</f>
        <v>4.8645764809032244</v>
      </c>
      <c r="E468" s="578"/>
      <c r="F468" s="578"/>
      <c r="G468" s="578"/>
      <c r="H468" s="578"/>
      <c r="I468" s="1299"/>
      <c r="J468" s="574"/>
      <c r="K468" s="1290"/>
    </row>
    <row r="469" spans="1:11" x14ac:dyDescent="0.3">
      <c r="A469" s="3040"/>
      <c r="B469" s="49" t="s">
        <v>941</v>
      </c>
      <c r="C469" s="49" t="s">
        <v>2358</v>
      </c>
      <c r="D469" s="37">
        <f>'Sc13'!C69-'Sc13'!C73</f>
        <v>1.6591109932023231</v>
      </c>
      <c r="E469" s="578"/>
      <c r="F469" s="578"/>
      <c r="G469" s="578"/>
      <c r="H469" s="578"/>
      <c r="I469" s="1299"/>
      <c r="J469" s="574"/>
      <c r="K469" s="1290"/>
    </row>
    <row r="470" spans="1:11" x14ac:dyDescent="0.3">
      <c r="A470" s="3040"/>
      <c r="B470" s="49" t="s">
        <v>934</v>
      </c>
      <c r="C470" s="49" t="s">
        <v>2358</v>
      </c>
      <c r="D470" s="37">
        <f>'Sc13'!C70-'Sc13'!C74</f>
        <v>2.1329296877806447</v>
      </c>
      <c r="E470" s="578"/>
      <c r="F470" s="578"/>
      <c r="G470" s="578"/>
      <c r="H470" s="578"/>
      <c r="I470" s="1299"/>
      <c r="J470" s="574"/>
      <c r="K470" s="1290"/>
    </row>
    <row r="471" spans="1:11" x14ac:dyDescent="0.3">
      <c r="A471" s="3040"/>
      <c r="B471" s="116" t="s">
        <v>6856</v>
      </c>
      <c r="C471" s="118"/>
      <c r="D471" s="1292"/>
      <c r="E471" s="1712"/>
      <c r="F471" s="1712"/>
      <c r="G471" s="1712"/>
      <c r="H471" s="1712"/>
      <c r="I471" s="1298"/>
      <c r="J471" s="1293"/>
      <c r="K471" s="1295"/>
    </row>
    <row r="472" spans="1:11" x14ac:dyDescent="0.3">
      <c r="A472" s="3040"/>
      <c r="B472" s="49" t="s">
        <v>6859</v>
      </c>
      <c r="C472" s="49" t="s">
        <v>2358</v>
      </c>
      <c r="D472" s="37">
        <f>'Sc13'!C27</f>
        <v>0.32093128271349469</v>
      </c>
      <c r="E472" s="578"/>
      <c r="F472" s="578"/>
      <c r="G472" s="578"/>
      <c r="H472" s="578"/>
      <c r="I472" s="1299"/>
      <c r="J472" s="571"/>
      <c r="K472" s="1290"/>
    </row>
    <row r="473" spans="1:11" x14ac:dyDescent="0.3">
      <c r="A473" s="3040"/>
      <c r="B473" s="49" t="s">
        <v>6861</v>
      </c>
      <c r="C473" s="49" t="s">
        <v>2358</v>
      </c>
      <c r="D473" s="37">
        <f>'Sc13'!C28</f>
        <v>11.851524378380347</v>
      </c>
      <c r="E473" s="578"/>
      <c r="F473" s="578"/>
      <c r="G473" s="578"/>
      <c r="H473" s="578"/>
      <c r="I473" s="1299"/>
      <c r="J473" s="571"/>
      <c r="K473" s="1290"/>
    </row>
    <row r="474" spans="1:11" x14ac:dyDescent="0.3">
      <c r="A474" s="3040"/>
      <c r="B474" s="49" t="s">
        <v>6864</v>
      </c>
      <c r="C474" s="49" t="s">
        <v>2358</v>
      </c>
      <c r="D474" s="37">
        <f>'Sc13'!C29</f>
        <v>4.9423417603776082E-2</v>
      </c>
      <c r="E474" s="578"/>
      <c r="F474" s="578"/>
      <c r="G474" s="578"/>
      <c r="H474" s="578"/>
      <c r="I474" s="1299"/>
      <c r="J474" s="571"/>
      <c r="K474" s="1290"/>
    </row>
    <row r="475" spans="1:11" x14ac:dyDescent="0.3">
      <c r="A475" s="3040"/>
      <c r="B475" s="49"/>
      <c r="C475" s="49"/>
      <c r="D475" s="37"/>
      <c r="E475" s="578"/>
      <c r="F475" s="578"/>
      <c r="G475" s="578"/>
      <c r="H475" s="578"/>
      <c r="I475" s="1299"/>
      <c r="J475" s="571"/>
      <c r="K475" s="1290"/>
    </row>
    <row r="476" spans="1:11" x14ac:dyDescent="0.3">
      <c r="A476" s="3040"/>
      <c r="B476" s="116" t="s">
        <v>6865</v>
      </c>
      <c r="C476" s="118"/>
      <c r="D476" s="1292"/>
      <c r="E476" s="1712"/>
      <c r="F476" s="1712"/>
      <c r="G476" s="1712"/>
      <c r="H476" s="1712"/>
      <c r="I476" s="1298"/>
      <c r="J476" s="1293"/>
      <c r="K476" s="1295"/>
    </row>
    <row r="477" spans="1:11" x14ac:dyDescent="0.3">
      <c r="A477" s="3040"/>
      <c r="B477" s="49" t="s">
        <v>6867</v>
      </c>
      <c r="C477" s="49" t="s">
        <v>2358</v>
      </c>
      <c r="D477" s="37">
        <f>'Sc13'!C73</f>
        <v>5.4539682424140326</v>
      </c>
      <c r="E477" s="578"/>
      <c r="F477" s="578"/>
      <c r="G477" s="578"/>
      <c r="H477" s="578"/>
      <c r="I477" s="1299"/>
      <c r="J477" s="571"/>
      <c r="K477" s="1290"/>
    </row>
    <row r="478" spans="1:11" x14ac:dyDescent="0.3">
      <c r="A478" s="3040"/>
      <c r="B478" s="49"/>
      <c r="C478" s="49"/>
      <c r="D478" s="18" t="s">
        <v>6869</v>
      </c>
      <c r="E478" s="122">
        <f>+SUM(E450:E455,E459:E461,E462)</f>
        <v>243.91468553534571</v>
      </c>
      <c r="F478" s="37"/>
      <c r="G478" s="37"/>
      <c r="H478" s="37"/>
      <c r="I478" s="57"/>
      <c r="J478" s="49"/>
      <c r="K478" s="11"/>
    </row>
    <row r="479" spans="1:11" x14ac:dyDescent="0.3">
      <c r="A479" s="3040"/>
      <c r="B479" s="118" t="s">
        <v>6871</v>
      </c>
      <c r="C479" s="119" t="s">
        <v>4815</v>
      </c>
      <c r="D479" s="1708" t="s">
        <v>630</v>
      </c>
      <c r="E479" s="1281">
        <f>+SUM(E457:E462,E455)</f>
        <v>206.01696077171925</v>
      </c>
      <c r="F479" s="1281">
        <f>+SUM(F457:F462)</f>
        <v>233.91764119137878</v>
      </c>
      <c r="G479" s="1281">
        <f>+SUM(G457:G462)</f>
        <v>0</v>
      </c>
      <c r="H479" s="2267">
        <f>+SUM(H450,H457:H462)</f>
        <v>0</v>
      </c>
      <c r="I479" s="641">
        <f>I450</f>
        <v>0</v>
      </c>
      <c r="J479" s="1281">
        <f>+J462</f>
        <v>12.221879078697619</v>
      </c>
      <c r="K479" s="1282">
        <f>+K462</f>
        <v>5.4539682424140326</v>
      </c>
    </row>
    <row r="480" spans="1:11" x14ac:dyDescent="0.3">
      <c r="A480" s="3040"/>
      <c r="B480" s="118" t="s">
        <v>6874</v>
      </c>
      <c r="C480" s="118"/>
      <c r="D480" s="1709" t="s">
        <v>6875</v>
      </c>
      <c r="E480" s="922">
        <f>+SUM(E450:E454,E464:E466)</f>
        <v>31.589684341542352</v>
      </c>
      <c r="F480" s="922">
        <f>+SUM(F450:F455,F464:F466)</f>
        <v>0</v>
      </c>
      <c r="G480" s="922">
        <f>+SUM(G450:G455,G464:G466)</f>
        <v>451.55982933797867</v>
      </c>
      <c r="H480" s="2268">
        <f>+SUM(H451:H455,H464:H466)</f>
        <v>0.24918551462468566</v>
      </c>
      <c r="I480" s="1283">
        <v>0</v>
      </c>
      <c r="J480" s="922"/>
      <c r="K480" s="1284"/>
    </row>
    <row r="481" spans="1:37" ht="15" thickBot="1" x14ac:dyDescent="0.35">
      <c r="A481" s="3041"/>
      <c r="B481" s="22"/>
      <c r="C481" s="1291"/>
      <c r="D481" s="1710" t="s">
        <v>6876</v>
      </c>
      <c r="E481" s="1285">
        <f>E479+E480</f>
        <v>237.60664511326161</v>
      </c>
      <c r="F481" s="1285">
        <f>F479+F480</f>
        <v>233.91764119137878</v>
      </c>
      <c r="G481" s="1285">
        <f>G479+G480</f>
        <v>451.55982933797867</v>
      </c>
      <c r="H481" s="2269">
        <f t="shared" ref="H481" si="78">H479+H480</f>
        <v>0.24918551462468566</v>
      </c>
      <c r="I481" s="1285">
        <f>I479+I480</f>
        <v>0</v>
      </c>
      <c r="J481" s="1285">
        <f>J479+J480</f>
        <v>12.221879078697619</v>
      </c>
      <c r="K481" s="1286">
        <f>K479+K480</f>
        <v>5.4539682424140326</v>
      </c>
    </row>
    <row r="482" spans="1:37" ht="15" thickBot="1" x14ac:dyDescent="0.35"/>
    <row r="483" spans="1:37" x14ac:dyDescent="0.3">
      <c r="A483" s="3039" t="s">
        <v>6917</v>
      </c>
      <c r="B483" s="49"/>
      <c r="C483" s="49"/>
      <c r="D483" s="9"/>
      <c r="E483" s="565"/>
      <c r="F483" s="565"/>
      <c r="G483" s="565"/>
      <c r="H483" s="565"/>
      <c r="I483" s="1297"/>
      <c r="J483" s="3038" t="s">
        <v>6791</v>
      </c>
      <c r="K483" s="3038"/>
      <c r="AA483" s="3039" t="s">
        <v>6918</v>
      </c>
      <c r="AB483" s="49"/>
      <c r="AC483" s="49"/>
      <c r="AD483" s="9"/>
      <c r="AE483" s="565"/>
      <c r="AF483" s="565"/>
      <c r="AG483" s="565"/>
      <c r="AH483" s="565"/>
      <c r="AI483" s="1297"/>
      <c r="AJ483" s="3038" t="s">
        <v>6791</v>
      </c>
      <c r="AK483" s="3038"/>
    </row>
    <row r="484" spans="1:37" ht="72" x14ac:dyDescent="0.3">
      <c r="A484" s="3040"/>
      <c r="B484" s="566"/>
      <c r="C484" s="566" t="s">
        <v>6795</v>
      </c>
      <c r="D484" s="567" t="s">
        <v>6796</v>
      </c>
      <c r="E484" s="567" t="s">
        <v>4824</v>
      </c>
      <c r="F484" s="567" t="s">
        <v>447</v>
      </c>
      <c r="G484" s="567" t="s">
        <v>446</v>
      </c>
      <c r="H484" s="567" t="s">
        <v>2599</v>
      </c>
      <c r="I484" s="1279" t="s">
        <v>6797</v>
      </c>
      <c r="J484" s="567" t="s">
        <v>4832</v>
      </c>
      <c r="K484" s="567" t="s">
        <v>6798</v>
      </c>
      <c r="AA484" s="3040"/>
      <c r="AB484" s="566"/>
      <c r="AC484" s="566" t="s">
        <v>6795</v>
      </c>
      <c r="AD484" s="567" t="s">
        <v>6796</v>
      </c>
      <c r="AE484" s="567" t="s">
        <v>4824</v>
      </c>
      <c r="AF484" s="567" t="s">
        <v>447</v>
      </c>
      <c r="AG484" s="567" t="s">
        <v>446</v>
      </c>
      <c r="AH484" s="567" t="s">
        <v>2599</v>
      </c>
      <c r="AI484" s="1279" t="s">
        <v>6797</v>
      </c>
      <c r="AJ484" s="567" t="s">
        <v>4832</v>
      </c>
      <c r="AK484" s="567" t="s">
        <v>6798</v>
      </c>
    </row>
    <row r="485" spans="1:37" ht="16.8" x14ac:dyDescent="0.35">
      <c r="A485" s="3040"/>
      <c r="B485" s="568"/>
      <c r="C485" s="568"/>
      <c r="D485" s="569"/>
      <c r="E485" s="570" t="s">
        <v>6799</v>
      </c>
      <c r="F485" s="570" t="s">
        <v>6800</v>
      </c>
      <c r="G485" s="570" t="s">
        <v>2435</v>
      </c>
      <c r="H485" s="570" t="s">
        <v>6801</v>
      </c>
      <c r="I485" s="1280" t="s">
        <v>2478</v>
      </c>
      <c r="J485" s="569" t="s">
        <v>6802</v>
      </c>
      <c r="K485" s="569" t="s">
        <v>6803</v>
      </c>
      <c r="AA485" s="3040"/>
      <c r="AB485" s="568"/>
      <c r="AC485" s="568"/>
      <c r="AD485" s="569"/>
      <c r="AE485" s="570" t="s">
        <v>6799</v>
      </c>
      <c r="AF485" s="570" t="s">
        <v>6800</v>
      </c>
      <c r="AG485" s="570" t="s">
        <v>2435</v>
      </c>
      <c r="AH485" s="570" t="s">
        <v>6801</v>
      </c>
      <c r="AI485" s="1280" t="s">
        <v>2478</v>
      </c>
      <c r="AJ485" s="569" t="s">
        <v>6802</v>
      </c>
      <c r="AK485" s="569" t="s">
        <v>6803</v>
      </c>
    </row>
    <row r="486" spans="1:37" x14ac:dyDescent="0.3">
      <c r="A486" s="3040"/>
      <c r="B486" s="116" t="s">
        <v>6805</v>
      </c>
      <c r="C486" s="118"/>
      <c r="D486" s="1292"/>
      <c r="E486" s="1293"/>
      <c r="F486" s="1293"/>
      <c r="G486" s="1292"/>
      <c r="H486" s="1293"/>
      <c r="I486" s="1294"/>
      <c r="J486" s="1293"/>
      <c r="K486" s="1295"/>
      <c r="AA486" s="3040"/>
      <c r="AB486" s="116" t="s">
        <v>6805</v>
      </c>
      <c r="AC486" s="1292"/>
      <c r="AD486" s="1292"/>
      <c r="AE486" s="1292"/>
      <c r="AF486" s="1292"/>
      <c r="AG486" s="1292"/>
      <c r="AH486" s="1292"/>
      <c r="AI486" s="1294"/>
      <c r="AJ486" s="571"/>
      <c r="AK486" s="571"/>
    </row>
    <row r="487" spans="1:37" x14ac:dyDescent="0.3">
      <c r="A487" s="3040"/>
      <c r="B487" s="49" t="s">
        <v>415</v>
      </c>
      <c r="C487" s="49" t="s">
        <v>2358</v>
      </c>
      <c r="D487" s="50">
        <f>'Sc14'!C5*1000</f>
        <v>3887.9315275851709</v>
      </c>
      <c r="E487" s="2326">
        <f>+D487*UDV.lca.water_gwp</f>
        <v>1.7495691874133268</v>
      </c>
      <c r="F487" s="2327"/>
      <c r="G487" s="2327">
        <f>+D487*UDV.lca.water_ef*UDV.lca.MJ_per_kg_oil_eq</f>
        <v>26.04603088959858</v>
      </c>
      <c r="H487" s="1711">
        <f>+D487*UDV.lca.water_wf</f>
        <v>3.8927525626793766</v>
      </c>
      <c r="I487" s="1296">
        <f>D487/1000</f>
        <v>3.8879315275851707</v>
      </c>
      <c r="J487" s="574"/>
      <c r="K487" s="1290"/>
      <c r="AA487" s="3040"/>
      <c r="AB487" s="49" t="s">
        <v>415</v>
      </c>
      <c r="AC487" s="49" t="s">
        <v>2358</v>
      </c>
      <c r="AD487" s="50">
        <f>D487</f>
        <v>3887.9315275851709</v>
      </c>
      <c r="AE487" s="2326">
        <f>+AD487*UDV.lca.water_gwp</f>
        <v>1.7495691874133268</v>
      </c>
      <c r="AF487" s="2327"/>
      <c r="AG487" s="2327">
        <f>+AD487*UDV.lca.water_ef*UDV.lca.MJ_per_kg_oil_eq</f>
        <v>26.04603088959858</v>
      </c>
      <c r="AH487" s="1711">
        <f>+AD487*UDV.lca.water_wf</f>
        <v>3.8927525626793766</v>
      </c>
      <c r="AI487" s="1296">
        <f>AD487/1000</f>
        <v>3.8879315275851707</v>
      </c>
      <c r="AJ487" s="574"/>
      <c r="AK487" s="1290"/>
    </row>
    <row r="488" spans="1:37" x14ac:dyDescent="0.3">
      <c r="A488" s="3040"/>
      <c r="B488" s="49" t="s">
        <v>409</v>
      </c>
      <c r="C488" s="49" t="s">
        <v>2556</v>
      </c>
      <c r="D488" s="37">
        <f>'Sc14'!C6</f>
        <v>12.529848027425757</v>
      </c>
      <c r="E488" s="2326">
        <f>+D488*UDV.lca.electricity_gwp</f>
        <v>4.4916871580760098</v>
      </c>
      <c r="F488" s="2327"/>
      <c r="G488" s="2327">
        <f>+D488*UDV.lca.electricity_ef*UDV.lca.MJ_per_kg_oil_eq</f>
        <v>24.027812950400889</v>
      </c>
      <c r="H488" s="2327">
        <f>+D488*UDV.lca.electricity_wf</f>
        <v>2.0047756843881211E-2</v>
      </c>
      <c r="I488" s="1296"/>
      <c r="J488" s="574"/>
      <c r="K488" s="1290"/>
      <c r="AA488" s="3040"/>
      <c r="AB488" s="49" t="s">
        <v>409</v>
      </c>
      <c r="AC488" s="49" t="s">
        <v>2556</v>
      </c>
      <c r="AD488" s="50">
        <f>D488</f>
        <v>12.529848027425757</v>
      </c>
      <c r="AE488" s="2326">
        <f>+AD488*UDV.lca.electricity_gwp</f>
        <v>4.4916871580760098</v>
      </c>
      <c r="AF488" s="2327"/>
      <c r="AG488" s="2327">
        <f>+AD488*UDV.lca.electricity_ef*UDV.lca.MJ_per_kg_oil_eq</f>
        <v>24.027812950400889</v>
      </c>
      <c r="AH488" s="2327">
        <f>+AD488*UDV.lca.electricity_wf</f>
        <v>2.0047756843881211E-2</v>
      </c>
      <c r="AI488" s="1296"/>
      <c r="AJ488" s="574"/>
      <c r="AK488" s="1290"/>
    </row>
    <row r="489" spans="1:37" x14ac:dyDescent="0.3">
      <c r="A489" s="3040"/>
      <c r="B489" s="49" t="s">
        <v>6812</v>
      </c>
      <c r="C489" s="49" t="s">
        <v>2435</v>
      </c>
      <c r="D489" s="50">
        <f>'Sc14'!C69*UDV.lca.MJ_per_gal_diesel</f>
        <v>174.60280375069797</v>
      </c>
      <c r="E489" s="2326">
        <f>+D489*UDV.lca.diesel_gwp</f>
        <v>7.8571261687814085</v>
      </c>
      <c r="F489" s="2327"/>
      <c r="G489" s="2326">
        <f>+D489*UDV.lca.diesel_ef*UDV.lca.MJ_per_kg_oil_eq</f>
        <v>282.92097051071471</v>
      </c>
      <c r="H489" s="2327">
        <f>+D489*UDV.lca.diesel_wf</f>
        <v>7.8571261687814073E-2</v>
      </c>
      <c r="I489" s="1296"/>
      <c r="J489" s="574"/>
      <c r="K489" s="1290"/>
      <c r="AA489" s="3040"/>
      <c r="AB489" s="49" t="s">
        <v>6812</v>
      </c>
      <c r="AC489" s="49" t="s">
        <v>2435</v>
      </c>
      <c r="AD489" s="53">
        <f>'Sc14'!C70*UDV.lca.MJ_per_gal_diesel</f>
        <v>149.60151881148599</v>
      </c>
      <c r="AE489" s="2326">
        <f>+AD489*UDV.lca.diesel_gwp</f>
        <v>6.7320683465168694</v>
      </c>
      <c r="AF489" s="2327"/>
      <c r="AG489" s="2326">
        <f>+AD489*UDV.lca.diesel_ef*UDV.lca.MJ_per_kg_oil_eq</f>
        <v>242.40966343504871</v>
      </c>
      <c r="AH489" s="2327">
        <f>+AD489*UDV.lca.diesel_wf</f>
        <v>6.7320683465168688E-2</v>
      </c>
      <c r="AI489" s="1296"/>
      <c r="AJ489" s="574"/>
      <c r="AK489" s="1290"/>
    </row>
    <row r="490" spans="1:37" x14ac:dyDescent="0.3">
      <c r="A490" s="3040"/>
      <c r="B490" s="49" t="s">
        <v>6814</v>
      </c>
      <c r="C490" s="49" t="s">
        <v>2358</v>
      </c>
      <c r="D490" s="9"/>
      <c r="E490" s="2326">
        <f>+D490*UDV.lca.sand_gwp</f>
        <v>0</v>
      </c>
      <c r="F490" s="2327"/>
      <c r="G490" s="2327">
        <f>+D490*UDV.lca.sand_ef*UDV.lca.MJ_per_kg_oil_eq</f>
        <v>0</v>
      </c>
      <c r="H490" s="2327">
        <f>+D490*UDV.lca.sand_wf</f>
        <v>0</v>
      </c>
      <c r="I490" s="1296"/>
      <c r="J490" s="574"/>
      <c r="K490" s="1290"/>
      <c r="AA490" s="3040"/>
      <c r="AB490" s="49" t="s">
        <v>6814</v>
      </c>
      <c r="AC490" s="49" t="s">
        <v>2358</v>
      </c>
      <c r="AD490" s="9">
        <f>D490</f>
        <v>0</v>
      </c>
      <c r="AE490" s="2326">
        <f>+AD490*UDV.lca.sand_gwp</f>
        <v>0</v>
      </c>
      <c r="AF490" s="2327"/>
      <c r="AG490" s="2327">
        <f>+AD490*UDV.lca.sand_ef*UDV.lca.MJ_per_kg_oil_eq</f>
        <v>0</v>
      </c>
      <c r="AH490" s="2327">
        <f>+AD490*UDV.lca.sand_wf</f>
        <v>0</v>
      </c>
      <c r="AI490" s="1296"/>
      <c r="AJ490" s="574"/>
      <c r="AK490" s="1290"/>
    </row>
    <row r="491" spans="1:37" x14ac:dyDescent="0.3">
      <c r="A491" s="3040"/>
      <c r="B491" s="49"/>
      <c r="C491" s="49"/>
      <c r="D491" s="9"/>
      <c r="E491" s="2327"/>
      <c r="F491" s="2327"/>
      <c r="G491" s="2327"/>
      <c r="H491" s="2327"/>
      <c r="I491" s="1296"/>
      <c r="J491" s="574"/>
      <c r="K491" s="1290"/>
      <c r="AA491" s="3040"/>
      <c r="AB491" s="49" t="s">
        <v>6919</v>
      </c>
      <c r="AC491" s="49" t="s">
        <v>2358</v>
      </c>
      <c r="AD491" s="9">
        <f>D491</f>
        <v>0</v>
      </c>
      <c r="AE491" s="2327"/>
      <c r="AF491" s="2327"/>
      <c r="AG491" s="2327"/>
      <c r="AH491" s="2327"/>
      <c r="AI491" s="1296"/>
      <c r="AJ491" s="574"/>
      <c r="AK491" s="1290"/>
    </row>
    <row r="492" spans="1:37" x14ac:dyDescent="0.3">
      <c r="A492" s="3040"/>
      <c r="B492" s="1089" t="s">
        <v>6819</v>
      </c>
      <c r="C492" s="1089" t="s">
        <v>4885</v>
      </c>
      <c r="D492" s="1711">
        <f>'Sc14'!C69</f>
        <v>1.2046557454857043</v>
      </c>
      <c r="E492" s="1711">
        <f>D492*UDV.lca.diesel_combustion_gwp</f>
        <v>12.26339548904447</v>
      </c>
      <c r="F492" s="1296"/>
      <c r="G492" s="1296"/>
      <c r="H492" s="1296"/>
      <c r="I492" s="1296"/>
      <c r="J492" s="574"/>
      <c r="K492" s="1290"/>
      <c r="AA492" s="3040"/>
      <c r="AB492" s="1089" t="s">
        <v>6819</v>
      </c>
      <c r="AC492" s="1089" t="s">
        <v>4885</v>
      </c>
      <c r="AD492" s="2322">
        <f>'Sc14'!C70</f>
        <v>1.0321617138918586</v>
      </c>
      <c r="AE492" s="1711">
        <f>AD492*UDV.lca.diesel_combustion_gwp</f>
        <v>10.507406247419121</v>
      </c>
      <c r="AF492" s="1296"/>
      <c r="AG492" s="1296"/>
      <c r="AH492" s="1296"/>
      <c r="AI492" s="1296"/>
      <c r="AJ492" s="574"/>
      <c r="AK492" s="1290"/>
    </row>
    <row r="493" spans="1:37" x14ac:dyDescent="0.3">
      <c r="A493" s="3040"/>
      <c r="B493" s="118" t="s">
        <v>6822</v>
      </c>
      <c r="C493" s="118"/>
      <c r="D493" s="1292"/>
      <c r="E493" s="1712"/>
      <c r="F493" s="1712"/>
      <c r="G493" s="1712"/>
      <c r="H493" s="1712"/>
      <c r="I493" s="1298"/>
      <c r="J493" s="1298"/>
      <c r="K493" s="1713"/>
      <c r="AA493" s="3040"/>
      <c r="AB493" s="118" t="s">
        <v>6822</v>
      </c>
      <c r="AC493" s="118"/>
      <c r="AD493" s="1292"/>
      <c r="AE493" s="1712"/>
      <c r="AF493" s="1712"/>
      <c r="AG493" s="1712"/>
      <c r="AH493" s="1712"/>
      <c r="AI493" s="1298"/>
      <c r="AJ493" s="1298"/>
      <c r="AK493" s="1713"/>
    </row>
    <row r="494" spans="1:37" x14ac:dyDescent="0.3">
      <c r="A494" s="3040"/>
      <c r="B494" s="49" t="s">
        <v>6786</v>
      </c>
      <c r="C494" s="49" t="s">
        <v>2268</v>
      </c>
      <c r="D494" s="50">
        <f>'Sc14'!C8</f>
        <v>77.5651499050621</v>
      </c>
      <c r="E494" s="578"/>
      <c r="F494" s="1711">
        <f>+D494</f>
        <v>77.5651499050621</v>
      </c>
      <c r="G494" s="578"/>
      <c r="H494" s="578"/>
      <c r="I494" s="1299"/>
      <c r="J494" s="574"/>
      <c r="K494" s="1290"/>
      <c r="AA494" s="3040"/>
      <c r="AB494" s="49" t="s">
        <v>6786</v>
      </c>
      <c r="AC494" s="49" t="s">
        <v>2268</v>
      </c>
      <c r="AD494" s="50">
        <f>D494</f>
        <v>77.5651499050621</v>
      </c>
      <c r="AE494" s="578"/>
      <c r="AF494" s="1711">
        <f>+AD494</f>
        <v>77.5651499050621</v>
      </c>
      <c r="AG494" s="578"/>
      <c r="AH494" s="578"/>
      <c r="AI494" s="1299"/>
      <c r="AJ494" s="574"/>
      <c r="AK494" s="1290"/>
    </row>
    <row r="495" spans="1:37" x14ac:dyDescent="0.3">
      <c r="A495" s="3040"/>
      <c r="B495" s="76" t="s">
        <v>6826</v>
      </c>
      <c r="C495" s="76"/>
      <c r="D495" s="9"/>
      <c r="E495" s="578"/>
      <c r="F495" s="578"/>
      <c r="G495" s="578"/>
      <c r="H495" s="578"/>
      <c r="I495" s="1299"/>
      <c r="J495" s="574"/>
      <c r="K495" s="1290"/>
      <c r="AA495" s="3040"/>
      <c r="AB495" s="76" t="s">
        <v>6826</v>
      </c>
      <c r="AC495" s="76"/>
      <c r="AD495" s="9"/>
      <c r="AE495" s="578"/>
      <c r="AF495" s="578"/>
      <c r="AG495" s="578"/>
      <c r="AH495" s="578"/>
      <c r="AI495" s="1299"/>
      <c r="AJ495" s="574"/>
      <c r="AK495" s="1290"/>
    </row>
    <row r="496" spans="1:37" x14ac:dyDescent="0.3">
      <c r="A496" s="3040"/>
      <c r="B496" s="117" t="s">
        <v>6828</v>
      </c>
      <c r="C496" s="49" t="s">
        <v>2358</v>
      </c>
      <c r="D496" s="37">
        <f>+D509*1</f>
        <v>0.22552700817664117</v>
      </c>
      <c r="E496" s="1711">
        <f>+D496*UDV.emit_N2O_direct.CO2e_cf</f>
        <v>69.913372534758764</v>
      </c>
      <c r="F496" s="578"/>
      <c r="G496" s="578"/>
      <c r="H496" s="578"/>
      <c r="I496" s="1299"/>
      <c r="J496" s="574"/>
      <c r="K496" s="1290"/>
      <c r="AA496" s="3040"/>
      <c r="AB496" s="117" t="s">
        <v>6828</v>
      </c>
      <c r="AC496" s="49" t="s">
        <v>2358</v>
      </c>
      <c r="AD496" s="37">
        <f>D496</f>
        <v>0.22552700817664117</v>
      </c>
      <c r="AE496" s="1711">
        <f>+AD496*UDV.emit_N2O_direct.CO2e_cf</f>
        <v>69.913372534758764</v>
      </c>
      <c r="AF496" s="578"/>
      <c r="AG496" s="578"/>
      <c r="AH496" s="578"/>
      <c r="AI496" s="1299"/>
      <c r="AJ496" s="574"/>
      <c r="AK496" s="1290"/>
    </row>
    <row r="497" spans="1:37" x14ac:dyDescent="0.3">
      <c r="A497" s="3040"/>
      <c r="B497" s="117" t="s">
        <v>4894</v>
      </c>
      <c r="C497" s="49" t="s">
        <v>2358</v>
      </c>
      <c r="D497" s="37">
        <f>'Sc14'!C18</f>
        <v>26.038722902465697</v>
      </c>
      <c r="E497" s="1711">
        <f>+D497*UDV.emit_CH4.CO2e_cf</f>
        <v>781.16168707397094</v>
      </c>
      <c r="F497" s="578"/>
      <c r="G497" s="578"/>
      <c r="H497" s="578"/>
      <c r="I497" s="1299"/>
      <c r="J497" s="574"/>
      <c r="K497" s="1290"/>
      <c r="AA497" s="3040"/>
      <c r="AB497" s="117" t="s">
        <v>4894</v>
      </c>
      <c r="AC497" s="49" t="s">
        <v>2358</v>
      </c>
      <c r="AD497" s="37">
        <f t="shared" ref="AD497:AD498" si="79">D497</f>
        <v>26.038722902465697</v>
      </c>
      <c r="AE497" s="1711">
        <f>+AD497*UDV.emit_CH4.CO2e_cf</f>
        <v>781.16168707397094</v>
      </c>
      <c r="AF497" s="578"/>
      <c r="AG497" s="578"/>
      <c r="AH497" s="578"/>
      <c r="AI497" s="1299"/>
      <c r="AJ497" s="574"/>
      <c r="AK497" s="1290"/>
    </row>
    <row r="498" spans="1:37" x14ac:dyDescent="0.3">
      <c r="A498" s="3040"/>
      <c r="B498" s="117" t="s">
        <v>6833</v>
      </c>
      <c r="C498" s="49" t="s">
        <v>2358</v>
      </c>
      <c r="D498" s="9">
        <v>0</v>
      </c>
      <c r="E498" s="1711">
        <f>D498*UDV.lca.CO2_toggle</f>
        <v>0</v>
      </c>
      <c r="F498" s="578"/>
      <c r="G498" s="578"/>
      <c r="H498" s="578"/>
      <c r="I498" s="1299"/>
      <c r="J498" s="574"/>
      <c r="K498" s="1290"/>
      <c r="AA498" s="3040"/>
      <c r="AB498" s="117" t="s">
        <v>6833</v>
      </c>
      <c r="AC498" s="49" t="s">
        <v>2358</v>
      </c>
      <c r="AD498" s="37">
        <f t="shared" si="79"/>
        <v>0</v>
      </c>
      <c r="AE498" s="1711">
        <f>AD498*UDV.lca.CO2_toggle</f>
        <v>0</v>
      </c>
      <c r="AF498" s="578"/>
      <c r="AG498" s="578"/>
      <c r="AH498" s="578"/>
      <c r="AI498" s="1299"/>
      <c r="AJ498" s="574"/>
      <c r="AK498" s="1290"/>
    </row>
    <row r="499" spans="1:37" x14ac:dyDescent="0.3">
      <c r="A499" s="3040"/>
      <c r="B499" s="117"/>
      <c r="C499" s="49"/>
      <c r="D499" s="50"/>
      <c r="E499" s="1300"/>
      <c r="F499" s="1300"/>
      <c r="G499" s="1300"/>
      <c r="H499" s="1300"/>
      <c r="I499" s="1300"/>
      <c r="J499" s="1711">
        <f>+SUM(D509:D511)</f>
        <v>9.5088515717569297</v>
      </c>
      <c r="K499" s="2328">
        <f>+SUM(D514)</f>
        <v>4.0975601874712737</v>
      </c>
      <c r="AA499" s="3040"/>
      <c r="AB499" s="117"/>
      <c r="AC499" s="49"/>
      <c r="AD499" s="50"/>
      <c r="AE499" s="1300"/>
      <c r="AF499" s="1300"/>
      <c r="AG499" s="1300"/>
      <c r="AH499" s="1300"/>
      <c r="AI499" s="1300"/>
      <c r="AJ499" s="1711">
        <f>+SUM(AD509:AD511)</f>
        <v>9.5088515717569297</v>
      </c>
      <c r="AK499" s="2328">
        <f>+SUM(AD514)</f>
        <v>4.0975601874712737</v>
      </c>
    </row>
    <row r="500" spans="1:37" x14ac:dyDescent="0.3">
      <c r="A500" s="3040"/>
      <c r="B500" s="116" t="s">
        <v>6838</v>
      </c>
      <c r="C500" s="118"/>
      <c r="D500" s="1292"/>
      <c r="E500" s="1712"/>
      <c r="F500" s="1712"/>
      <c r="G500" s="1712"/>
      <c r="H500" s="1712"/>
      <c r="I500" s="1298"/>
      <c r="J500" s="1293"/>
      <c r="K500" s="1295"/>
      <c r="AA500" s="3040"/>
      <c r="AB500" s="116" t="s">
        <v>6838</v>
      </c>
      <c r="AC500" s="116"/>
      <c r="AD500" s="1292"/>
      <c r="AE500" s="1712"/>
      <c r="AF500" s="1712"/>
      <c r="AG500" s="1712"/>
      <c r="AH500" s="1712"/>
      <c r="AI500" s="1298"/>
      <c r="AJ500" s="1293"/>
      <c r="AK500" s="1295"/>
    </row>
    <row r="501" spans="1:37" x14ac:dyDescent="0.3">
      <c r="A501" s="3040"/>
      <c r="B501" s="49" t="s">
        <v>6839</v>
      </c>
      <c r="C501" s="49" t="s">
        <v>2358</v>
      </c>
      <c r="D501" s="588">
        <f>+D505*UDV.lca.urea_n_content</f>
        <v>5.4097090497567839</v>
      </c>
      <c r="E501" s="2327">
        <f>-D501*UDV.lca.urea_gwp</f>
        <v>-6.4862411506583841</v>
      </c>
      <c r="F501" s="2327"/>
      <c r="G501" s="2327">
        <f>-D501*UDV.lca.urea_ef*UDV.lca.MJ_per_kg_oil_eq</f>
        <v>-368.8296224869988</v>
      </c>
      <c r="H501" s="2327">
        <f>-D501*UDV.lca.urea_wf</f>
        <v>-1.6198071686625504E-2</v>
      </c>
      <c r="I501" s="574"/>
      <c r="J501" s="574"/>
      <c r="K501" s="1290"/>
      <c r="AA501" s="3040"/>
      <c r="AB501" s="49" t="s">
        <v>6839</v>
      </c>
      <c r="AC501" s="49" t="s">
        <v>2358</v>
      </c>
      <c r="AD501" s="588">
        <f>D501</f>
        <v>5.4097090497567839</v>
      </c>
      <c r="AE501" s="2327">
        <f>-AD501*UDV.lca.urea_gwp</f>
        <v>-6.4862411506583841</v>
      </c>
      <c r="AF501" s="2327"/>
      <c r="AG501" s="2327">
        <f>-AD501*UDV.lca.urea_ef*UDV.lca.MJ_per_kg_oil_eq</f>
        <v>-368.8296224869988</v>
      </c>
      <c r="AH501" s="2327">
        <f>-AD501*UDV.lca.urea_wf</f>
        <v>-1.6198071686625504E-2</v>
      </c>
      <c r="AI501" s="574"/>
      <c r="AJ501" s="574"/>
      <c r="AK501" s="1290"/>
    </row>
    <row r="502" spans="1:37" x14ac:dyDescent="0.3">
      <c r="A502" s="3040"/>
      <c r="B502" s="49" t="s">
        <v>6842</v>
      </c>
      <c r="C502" s="49" t="s">
        <v>2358</v>
      </c>
      <c r="D502" s="588">
        <f>+D506*UDV.lca.P2O5_TSP</f>
        <v>2.2909943830306698</v>
      </c>
      <c r="E502" s="2327">
        <f>-D502*UDV.lca.P2O5_gwp</f>
        <v>-1.9840011357045602</v>
      </c>
      <c r="F502" s="2327"/>
      <c r="G502" s="2327">
        <f>-D502*UDV.lca.P2O5_ef*UDV.lca.MJ_per_kg_oil_eq</f>
        <v>-49.067703428021893</v>
      </c>
      <c r="H502" s="2327">
        <f>-D502*UDV.lca.P2O5_wf</f>
        <v>-8.498905986518764E-4</v>
      </c>
      <c r="I502" s="574"/>
      <c r="J502" s="574"/>
      <c r="K502" s="1290"/>
      <c r="AA502" s="3040"/>
      <c r="AB502" s="49" t="s">
        <v>6842</v>
      </c>
      <c r="AC502" s="49" t="s">
        <v>2358</v>
      </c>
      <c r="AD502" s="588">
        <f t="shared" ref="AD502:AD503" si="80">D502</f>
        <v>2.2909943830306698</v>
      </c>
      <c r="AE502" s="2327">
        <f>-AD502*UDV.lca.P2O5_gwp</f>
        <v>-1.9840011357045602</v>
      </c>
      <c r="AF502" s="2327"/>
      <c r="AG502" s="2327">
        <f>-AD502*UDV.lca.P2O5_ef*UDV.lca.MJ_per_kg_oil_eq</f>
        <v>-49.067703428021893</v>
      </c>
      <c r="AH502" s="2327">
        <f>-AD502*UDV.lca.P2O5_wf</f>
        <v>-8.498905986518764E-4</v>
      </c>
      <c r="AI502" s="574"/>
      <c r="AJ502" s="574"/>
      <c r="AK502" s="1290"/>
    </row>
    <row r="503" spans="1:37" x14ac:dyDescent="0.3">
      <c r="A503" s="3040"/>
      <c r="B503" s="49" t="s">
        <v>6844</v>
      </c>
      <c r="C503" s="49" t="s">
        <v>2358</v>
      </c>
      <c r="D503" s="588">
        <f>+D507*UDV.lca.K2O_KCI</f>
        <v>3.6132504064178312</v>
      </c>
      <c r="E503" s="2327">
        <f>-D503*UDV.lca.K2O_gwp</f>
        <v>-1.5789904276045923</v>
      </c>
      <c r="F503" s="2327"/>
      <c r="G503" s="2327">
        <f>-D503*UDV.lca.K2O_ef*UDV.lca.MJ_per_kg_oil_eq</f>
        <v>-27.994468274120472</v>
      </c>
      <c r="H503" s="2327">
        <f>-D503*UDV.lca.K2O_wf</f>
        <v>-8.192902898353914E-3</v>
      </c>
      <c r="I503" s="574"/>
      <c r="J503" s="574"/>
      <c r="K503" s="1290"/>
      <c r="AA503" s="3040"/>
      <c r="AB503" s="49" t="s">
        <v>6844</v>
      </c>
      <c r="AC503" s="49" t="s">
        <v>2358</v>
      </c>
      <c r="AD503" s="588">
        <f t="shared" si="80"/>
        <v>3.6132504064178312</v>
      </c>
      <c r="AE503" s="2327">
        <f>-AD503*UDV.lca.K2O_gwp</f>
        <v>-1.5789904276045923</v>
      </c>
      <c r="AF503" s="2327"/>
      <c r="AG503" s="2327">
        <f>-AD503*UDV.lca.K2O_ef*UDV.lca.MJ_per_kg_oil_eq</f>
        <v>-27.994468274120472</v>
      </c>
      <c r="AH503" s="2327">
        <f>-AD503*UDV.lca.K2O_wf</f>
        <v>-8.192902898353914E-3</v>
      </c>
      <c r="AI503" s="574"/>
      <c r="AJ503" s="574"/>
      <c r="AK503" s="1290"/>
    </row>
    <row r="504" spans="1:37" x14ac:dyDescent="0.3">
      <c r="A504" s="3040"/>
      <c r="B504" s="116" t="s">
        <v>6847</v>
      </c>
      <c r="C504" s="118"/>
      <c r="D504" s="1292"/>
      <c r="E504" s="1712"/>
      <c r="F504" s="1712"/>
      <c r="G504" s="1712"/>
      <c r="H504" s="1712"/>
      <c r="I504" s="1298"/>
      <c r="J504" s="1293"/>
      <c r="K504" s="1295"/>
      <c r="AA504" s="3040"/>
      <c r="AB504" s="116" t="s">
        <v>6847</v>
      </c>
      <c r="AC504" s="116"/>
      <c r="AD504" s="1292"/>
      <c r="AE504" s="1712"/>
      <c r="AF504" s="1712"/>
      <c r="AG504" s="1712"/>
      <c r="AH504" s="1712"/>
      <c r="AI504" s="1298"/>
      <c r="AJ504" s="1293"/>
      <c r="AK504" s="1295"/>
    </row>
    <row r="505" spans="1:37" x14ac:dyDescent="0.3">
      <c r="A505" s="3040"/>
      <c r="B505" s="49" t="s">
        <v>84</v>
      </c>
      <c r="C505" s="49" t="s">
        <v>2358</v>
      </c>
      <c r="D505" s="37">
        <f>'Sc14'!C72+'Sc14'!C76+'Sc14'!C88-'Sc14'!C80-'Sc14'!C84-'Sc14'!C92</f>
        <v>7.7281557853668348</v>
      </c>
      <c r="E505" s="578"/>
      <c r="F505" s="578"/>
      <c r="G505" s="578"/>
      <c r="H505" s="578"/>
      <c r="I505" s="1299"/>
      <c r="J505" s="574"/>
      <c r="K505" s="1290"/>
      <c r="AA505" s="3040"/>
      <c r="AB505" s="49" t="s">
        <v>84</v>
      </c>
      <c r="AC505" s="49" t="s">
        <v>2358</v>
      </c>
      <c r="AD505" s="50">
        <f>D505</f>
        <v>7.7281557853668348</v>
      </c>
      <c r="AE505" s="578"/>
      <c r="AF505" s="578"/>
      <c r="AG505" s="578"/>
      <c r="AH505" s="578"/>
      <c r="AI505" s="1299"/>
      <c r="AJ505" s="574"/>
      <c r="AK505" s="1290"/>
    </row>
    <row r="506" spans="1:37" x14ac:dyDescent="0.3">
      <c r="A506" s="3040"/>
      <c r="B506" s="49" t="s">
        <v>941</v>
      </c>
      <c r="C506" s="49" t="s">
        <v>2358</v>
      </c>
      <c r="D506" s="37">
        <f>'Sc14'!C73+'Sc14'!C77+'Sc14'!C89-'Sc14'!C81-'Sc14'!C85-'Sc14'!C93</f>
        <v>2.5455493144785222</v>
      </c>
      <c r="E506" s="578"/>
      <c r="F506" s="578"/>
      <c r="G506" s="578"/>
      <c r="H506" s="578"/>
      <c r="I506" s="1299"/>
      <c r="J506" s="574"/>
      <c r="K506" s="1290"/>
      <c r="AA506" s="3040"/>
      <c r="AB506" s="49" t="s">
        <v>941</v>
      </c>
      <c r="AC506" s="49" t="s">
        <v>2358</v>
      </c>
      <c r="AD506" s="50">
        <f t="shared" ref="AD506:AD507" si="81">D506</f>
        <v>2.5455493144785222</v>
      </c>
      <c r="AE506" s="578"/>
      <c r="AF506" s="578"/>
      <c r="AG506" s="578"/>
      <c r="AH506" s="578"/>
      <c r="AI506" s="1299"/>
      <c r="AJ506" s="574"/>
      <c r="AK506" s="1290"/>
    </row>
    <row r="507" spans="1:37" x14ac:dyDescent="0.3">
      <c r="A507" s="3040"/>
      <c r="B507" s="49" t="s">
        <v>934</v>
      </c>
      <c r="C507" s="49" t="s">
        <v>2358</v>
      </c>
      <c r="D507" s="37">
        <f>'Sc14'!C74+'Sc14'!C78+'Sc14'!C90-'Sc14'!C82-'Sc14'!C86-'Sc14'!C94</f>
        <v>3.6132504064178312</v>
      </c>
      <c r="E507" s="578"/>
      <c r="F507" s="578"/>
      <c r="G507" s="578"/>
      <c r="H507" s="578"/>
      <c r="I507" s="1299"/>
      <c r="J507" s="574"/>
      <c r="K507" s="1290"/>
      <c r="AA507" s="3040"/>
      <c r="AB507" s="49" t="s">
        <v>934</v>
      </c>
      <c r="AC507" s="49" t="s">
        <v>2358</v>
      </c>
      <c r="AD507" s="50">
        <f t="shared" si="81"/>
        <v>3.6132504064178312</v>
      </c>
      <c r="AE507" s="578"/>
      <c r="AF507" s="578"/>
      <c r="AG507" s="578"/>
      <c r="AH507" s="578"/>
      <c r="AI507" s="1299"/>
      <c r="AJ507" s="574"/>
      <c r="AK507" s="1290"/>
    </row>
    <row r="508" spans="1:37" x14ac:dyDescent="0.3">
      <c r="A508" s="3040"/>
      <c r="B508" s="116" t="s">
        <v>6856</v>
      </c>
      <c r="C508" s="118"/>
      <c r="D508" s="1292"/>
      <c r="E508" s="1712"/>
      <c r="F508" s="1712"/>
      <c r="G508" s="1712"/>
      <c r="H508" s="1712"/>
      <c r="I508" s="1298"/>
      <c r="J508" s="1293"/>
      <c r="K508" s="1295"/>
      <c r="AA508" s="3040"/>
      <c r="AB508" s="116" t="s">
        <v>6856</v>
      </c>
      <c r="AC508" s="116"/>
      <c r="AD508" s="1292"/>
      <c r="AE508" s="1712"/>
      <c r="AF508" s="1712"/>
      <c r="AG508" s="1712"/>
      <c r="AH508" s="1712"/>
      <c r="AI508" s="1298"/>
      <c r="AJ508" s="1293"/>
      <c r="AK508" s="1295"/>
    </row>
    <row r="509" spans="1:37" x14ac:dyDescent="0.3">
      <c r="A509" s="3040"/>
      <c r="B509" s="49" t="s">
        <v>6859</v>
      </c>
      <c r="C509" s="49" t="s">
        <v>2358</v>
      </c>
      <c r="D509" s="37">
        <f>'Sc14'!C27</f>
        <v>0.22552700817664117</v>
      </c>
      <c r="E509" s="578"/>
      <c r="F509" s="578"/>
      <c r="G509" s="578"/>
      <c r="H509" s="578"/>
      <c r="I509" s="1299"/>
      <c r="J509" s="571"/>
      <c r="K509" s="1290"/>
      <c r="AA509" s="3040"/>
      <c r="AB509" s="49" t="s">
        <v>6859</v>
      </c>
      <c r="AC509" s="49" t="s">
        <v>2358</v>
      </c>
      <c r="AD509" s="37">
        <f>D509</f>
        <v>0.22552700817664117</v>
      </c>
      <c r="AE509" s="578"/>
      <c r="AF509" s="578"/>
      <c r="AG509" s="578"/>
      <c r="AH509" s="578"/>
      <c r="AI509" s="1299"/>
      <c r="AJ509" s="571"/>
      <c r="AK509" s="1290"/>
    </row>
    <row r="510" spans="1:37" x14ac:dyDescent="0.3">
      <c r="A510" s="3040"/>
      <c r="B510" s="49" t="s">
        <v>6861</v>
      </c>
      <c r="C510" s="49" t="s">
        <v>2358</v>
      </c>
      <c r="D510" s="37">
        <f>'Sc14'!C28</f>
        <v>9.2485934042747768</v>
      </c>
      <c r="E510" s="578"/>
      <c r="F510" s="578"/>
      <c r="G510" s="578"/>
      <c r="H510" s="578"/>
      <c r="I510" s="1299"/>
      <c r="J510" s="571"/>
      <c r="K510" s="1290"/>
      <c r="AA510" s="3040"/>
      <c r="AB510" s="49" t="s">
        <v>6861</v>
      </c>
      <c r="AC510" s="49" t="s">
        <v>2358</v>
      </c>
      <c r="AD510" s="37">
        <f t="shared" ref="AD510:AD511" si="82">D510</f>
        <v>9.2485934042747768</v>
      </c>
      <c r="AE510" s="578"/>
      <c r="AF510" s="578"/>
      <c r="AG510" s="578"/>
      <c r="AH510" s="578"/>
      <c r="AI510" s="1299"/>
      <c r="AJ510" s="571"/>
      <c r="AK510" s="1290"/>
    </row>
    <row r="511" spans="1:37" x14ac:dyDescent="0.3">
      <c r="A511" s="3040"/>
      <c r="B511" s="49" t="s">
        <v>6864</v>
      </c>
      <c r="C511" s="49" t="s">
        <v>2358</v>
      </c>
      <c r="D511" s="37">
        <f>'Sc14'!C29</f>
        <v>3.4731159305510954E-2</v>
      </c>
      <c r="E511" s="578"/>
      <c r="F511" s="578"/>
      <c r="G511" s="578"/>
      <c r="H511" s="578"/>
      <c r="I511" s="1299"/>
      <c r="J511" s="571"/>
      <c r="K511" s="1290"/>
      <c r="AA511" s="3040"/>
      <c r="AB511" s="49" t="s">
        <v>6864</v>
      </c>
      <c r="AC511" s="49" t="s">
        <v>2358</v>
      </c>
      <c r="AD511" s="37">
        <f t="shared" si="82"/>
        <v>3.4731159305510954E-2</v>
      </c>
      <c r="AE511" s="578"/>
      <c r="AF511" s="578"/>
      <c r="AG511" s="578"/>
      <c r="AH511" s="578"/>
      <c r="AI511" s="1299"/>
      <c r="AJ511" s="571"/>
      <c r="AK511" s="1290"/>
    </row>
    <row r="512" spans="1:37" x14ac:dyDescent="0.3">
      <c r="A512" s="3040"/>
      <c r="B512" s="49"/>
      <c r="C512" s="49"/>
      <c r="D512" s="37"/>
      <c r="E512" s="578"/>
      <c r="F512" s="578"/>
      <c r="G512" s="578"/>
      <c r="H512" s="578"/>
      <c r="I512" s="1299"/>
      <c r="J512" s="571"/>
      <c r="K512" s="1290"/>
      <c r="AA512" s="3040"/>
      <c r="AB512" s="49"/>
      <c r="AC512" s="49"/>
      <c r="AD512" s="37"/>
      <c r="AE512" s="578"/>
      <c r="AF512" s="578"/>
      <c r="AG512" s="578"/>
      <c r="AH512" s="578"/>
      <c r="AI512" s="1299"/>
      <c r="AJ512" s="571"/>
      <c r="AK512" s="1290"/>
    </row>
    <row r="513" spans="1:37" x14ac:dyDescent="0.3">
      <c r="A513" s="3040"/>
      <c r="B513" s="116" t="s">
        <v>6865</v>
      </c>
      <c r="C513" s="118"/>
      <c r="D513" s="1292"/>
      <c r="E513" s="1712"/>
      <c r="F513" s="1712"/>
      <c r="G513" s="1712"/>
      <c r="H513" s="1712"/>
      <c r="I513" s="1298"/>
      <c r="J513" s="1293"/>
      <c r="K513" s="1295"/>
      <c r="AA513" s="3040"/>
      <c r="AB513" s="116" t="s">
        <v>6865</v>
      </c>
      <c r="AC513" s="116"/>
      <c r="AD513" s="1292"/>
      <c r="AE513" s="1712"/>
      <c r="AF513" s="1712"/>
      <c r="AG513" s="1712"/>
      <c r="AH513" s="1712"/>
      <c r="AI513" s="1298"/>
      <c r="AJ513" s="1293"/>
      <c r="AK513" s="1295"/>
    </row>
    <row r="514" spans="1:37" x14ac:dyDescent="0.3">
      <c r="A514" s="3040"/>
      <c r="B514" s="49" t="s">
        <v>6867</v>
      </c>
      <c r="C514" s="49" t="s">
        <v>2358</v>
      </c>
      <c r="D514" s="37">
        <f>'Sc14'!C81+'Sc14'!C85+'Sc14'!C93</f>
        <v>4.0975601874712737</v>
      </c>
      <c r="E514" s="578"/>
      <c r="F514" s="578"/>
      <c r="G514" s="578"/>
      <c r="H514" s="578"/>
      <c r="I514" s="1299"/>
      <c r="J514" s="571"/>
      <c r="K514" s="1290"/>
      <c r="AA514" s="3040"/>
      <c r="AB514" s="49" t="s">
        <v>6867</v>
      </c>
      <c r="AC514" s="49" t="s">
        <v>2358</v>
      </c>
      <c r="AD514" s="37">
        <f>D514</f>
        <v>4.0975601874712737</v>
      </c>
      <c r="AE514" s="578"/>
      <c r="AF514" s="578"/>
      <c r="AG514" s="578"/>
      <c r="AH514" s="578"/>
      <c r="AI514" s="1299"/>
      <c r="AJ514" s="571"/>
      <c r="AK514" s="1290"/>
    </row>
    <row r="515" spans="1:37" x14ac:dyDescent="0.3">
      <c r="A515" s="3040"/>
      <c r="B515" s="49"/>
      <c r="C515" s="49"/>
      <c r="D515" s="18" t="s">
        <v>6869</v>
      </c>
      <c r="E515" s="122">
        <f>+SUM(E487:E492,E496:E498,E499)</f>
        <v>877.43683761204488</v>
      </c>
      <c r="F515" s="37"/>
      <c r="G515" s="37"/>
      <c r="H515" s="37"/>
      <c r="I515" s="57"/>
      <c r="J515" s="49"/>
      <c r="K515" s="11"/>
      <c r="AA515" s="3040"/>
      <c r="AB515" s="49"/>
      <c r="AC515" s="49"/>
      <c r="AD515" s="18" t="s">
        <v>6869</v>
      </c>
      <c r="AE515" s="122">
        <f>+SUM(AE487:AE492,AE496:AE498,AE499)</f>
        <v>874.55579054815507</v>
      </c>
      <c r="AF515" s="37"/>
      <c r="AG515" s="37"/>
      <c r="AH515" s="37"/>
      <c r="AI515" s="57"/>
      <c r="AJ515" s="49"/>
      <c r="AK515" s="11"/>
    </row>
    <row r="516" spans="1:37" x14ac:dyDescent="0.3">
      <c r="A516" s="3040"/>
      <c r="B516" s="118" t="s">
        <v>6871</v>
      </c>
      <c r="C516" s="119" t="s">
        <v>4815</v>
      </c>
      <c r="D516" s="1708" t="s">
        <v>630</v>
      </c>
      <c r="E516" s="1281">
        <f>+SUM(E494:E499,E492)</f>
        <v>863.33845509777416</v>
      </c>
      <c r="F516" s="1281">
        <f>+SUM(F494:F499)</f>
        <v>77.5651499050621</v>
      </c>
      <c r="G516" s="1281">
        <f>+SUM(G494:G499)</f>
        <v>0</v>
      </c>
      <c r="H516" s="2267">
        <f>+SUM(H487,H494:H499)</f>
        <v>3.8927525626793766</v>
      </c>
      <c r="I516" s="641">
        <f>I487</f>
        <v>3.8879315275851707</v>
      </c>
      <c r="J516" s="1281">
        <f>+J499</f>
        <v>9.5088515717569297</v>
      </c>
      <c r="K516" s="1282">
        <f>+K499</f>
        <v>4.0975601874712737</v>
      </c>
      <c r="AA516" s="3040"/>
      <c r="AB516" s="118" t="s">
        <v>6871</v>
      </c>
      <c r="AC516" s="119" t="s">
        <v>4815</v>
      </c>
      <c r="AD516" s="1708" t="s">
        <v>630</v>
      </c>
      <c r="AE516" s="1281">
        <f>+SUM(AE494:AE499,AE492)</f>
        <v>861.58246585614881</v>
      </c>
      <c r="AF516" s="1281">
        <f>+SUM(AF494:AF499)</f>
        <v>77.5651499050621</v>
      </c>
      <c r="AG516" s="1281">
        <f>+SUM(AG494:AG499)</f>
        <v>0</v>
      </c>
      <c r="AH516" s="2267">
        <f>+SUM(AH487,AH494:AH499)</f>
        <v>3.8927525626793766</v>
      </c>
      <c r="AI516" s="641">
        <f>AI487</f>
        <v>3.8879315275851707</v>
      </c>
      <c r="AJ516" s="1281">
        <f>+AJ499</f>
        <v>9.5088515717569297</v>
      </c>
      <c r="AK516" s="1282">
        <f>+AK499</f>
        <v>4.0975601874712737</v>
      </c>
    </row>
    <row r="517" spans="1:37" x14ac:dyDescent="0.3">
      <c r="A517" s="3040"/>
      <c r="B517" s="118" t="s">
        <v>6874</v>
      </c>
      <c r="C517" s="118"/>
      <c r="D517" s="1709" t="s">
        <v>6875</v>
      </c>
      <c r="E517" s="922">
        <f>+SUM(E487:E491,E501:E503)</f>
        <v>4.0491498003032085</v>
      </c>
      <c r="F517" s="922">
        <f>+SUM(F487:F492,F501:F503)</f>
        <v>0</v>
      </c>
      <c r="G517" s="922">
        <f>+SUM(G487:G492,G501:G503)</f>
        <v>-112.89697983842697</v>
      </c>
      <c r="H517" s="2268">
        <f>+SUM(H488:H492,H501:H503)</f>
        <v>7.3378153348063996E-2</v>
      </c>
      <c r="I517" s="1283">
        <v>0</v>
      </c>
      <c r="J517" s="922"/>
      <c r="K517" s="1284"/>
      <c r="AA517" s="3040"/>
      <c r="AB517" s="118" t="s">
        <v>6874</v>
      </c>
      <c r="AC517" s="118"/>
      <c r="AD517" s="1709" t="s">
        <v>6875</v>
      </c>
      <c r="AE517" s="922">
        <f>+SUM(AE487:AE491,AE501:AE503)</f>
        <v>2.924091978038668</v>
      </c>
      <c r="AF517" s="922">
        <f>+SUM(AF487:AF492,AF501:AF503)</f>
        <v>0</v>
      </c>
      <c r="AG517" s="922">
        <f>+SUM(AG487:AG492,AG501:AG503)</f>
        <v>-153.408286914093</v>
      </c>
      <c r="AH517" s="2268">
        <f>+SUM(AH488:AH492,AH501:AH503)</f>
        <v>6.2127575125418617E-2</v>
      </c>
      <c r="AI517" s="1283">
        <v>0</v>
      </c>
      <c r="AJ517" s="922"/>
      <c r="AK517" s="1284"/>
    </row>
    <row r="518" spans="1:37" ht="15" thickBot="1" x14ac:dyDescent="0.35">
      <c r="A518" s="3041"/>
      <c r="B518" s="22"/>
      <c r="C518" s="1291"/>
      <c r="D518" s="1710" t="s">
        <v>6876</v>
      </c>
      <c r="E518" s="1285">
        <f>E516+E517</f>
        <v>867.38760489807737</v>
      </c>
      <c r="F518" s="1285">
        <f>F516+F517</f>
        <v>77.5651499050621</v>
      </c>
      <c r="G518" s="1285">
        <f>G516+G517</f>
        <v>-112.89697983842697</v>
      </c>
      <c r="H518" s="2269">
        <f t="shared" ref="H518" si="83">H516+H517</f>
        <v>3.9661307160274406</v>
      </c>
      <c r="I518" s="1285">
        <f>I516+I517</f>
        <v>3.8879315275851707</v>
      </c>
      <c r="J518" s="1285">
        <f>J516+J517</f>
        <v>9.5088515717569297</v>
      </c>
      <c r="K518" s="1286">
        <f>K516+K517</f>
        <v>4.0975601874712737</v>
      </c>
      <c r="AA518" s="3041"/>
      <c r="AB518" s="22"/>
      <c r="AC518" s="1291"/>
      <c r="AD518" s="1710" t="s">
        <v>6876</v>
      </c>
      <c r="AE518" s="1285">
        <f>AE516+AE517</f>
        <v>864.50655783418745</v>
      </c>
      <c r="AF518" s="1285">
        <f>AF516+AF517</f>
        <v>77.5651499050621</v>
      </c>
      <c r="AG518" s="1285">
        <f>AG516+AG517</f>
        <v>-153.408286914093</v>
      </c>
      <c r="AH518" s="2269">
        <f t="shared" ref="AH518" si="84">AH516+AH517</f>
        <v>3.9548801378047953</v>
      </c>
      <c r="AI518" s="1285">
        <f>AI516+AI517</f>
        <v>3.8879315275851707</v>
      </c>
      <c r="AJ518" s="1285">
        <f>AJ516+AJ517</f>
        <v>9.5088515717569297</v>
      </c>
      <c r="AK518" s="1286">
        <f>AK516+AK517</f>
        <v>4.0975601874712737</v>
      </c>
    </row>
  </sheetData>
  <mergeCells count="59">
    <mergeCell ref="AA409:AA444"/>
    <mergeCell ref="AJ409:AK409"/>
    <mergeCell ref="AA298:AA333"/>
    <mergeCell ref="AJ298:AK298"/>
    <mergeCell ref="AA335:AA370"/>
    <mergeCell ref="AJ335:AK335"/>
    <mergeCell ref="AA372:AA407"/>
    <mergeCell ref="AJ372:AK372"/>
    <mergeCell ref="AA187:AA222"/>
    <mergeCell ref="AJ187:AK187"/>
    <mergeCell ref="AA224:AA259"/>
    <mergeCell ref="AJ224:AK224"/>
    <mergeCell ref="AA261:AA296"/>
    <mergeCell ref="AJ261:AK261"/>
    <mergeCell ref="AA76:AA111"/>
    <mergeCell ref="AJ76:AK76"/>
    <mergeCell ref="AA113:AA148"/>
    <mergeCell ref="AJ113:AK113"/>
    <mergeCell ref="AA150:AA185"/>
    <mergeCell ref="AJ150:AK150"/>
    <mergeCell ref="A409:A444"/>
    <mergeCell ref="J409:K409"/>
    <mergeCell ref="A298:A333"/>
    <mergeCell ref="J298:K298"/>
    <mergeCell ref="A335:A370"/>
    <mergeCell ref="J335:K335"/>
    <mergeCell ref="A372:A407"/>
    <mergeCell ref="J372:K372"/>
    <mergeCell ref="A187:A222"/>
    <mergeCell ref="J187:K187"/>
    <mergeCell ref="A224:A259"/>
    <mergeCell ref="J224:K224"/>
    <mergeCell ref="A261:A296"/>
    <mergeCell ref="J261:K261"/>
    <mergeCell ref="A76:A111"/>
    <mergeCell ref="J76:K76"/>
    <mergeCell ref="A113:A148"/>
    <mergeCell ref="J113:K113"/>
    <mergeCell ref="A150:A185"/>
    <mergeCell ref="J150:K150"/>
    <mergeCell ref="J1:K1"/>
    <mergeCell ref="L1:L4"/>
    <mergeCell ref="A2:A37"/>
    <mergeCell ref="J2:K2"/>
    <mergeCell ref="P2:P4"/>
    <mergeCell ref="AA2:AA37"/>
    <mergeCell ref="AJ2:AK2"/>
    <mergeCell ref="A39:A74"/>
    <mergeCell ref="J39:K39"/>
    <mergeCell ref="R2:R4"/>
    <mergeCell ref="T2:Y2"/>
    <mergeCell ref="AA39:AA74"/>
    <mergeCell ref="AJ39:AK39"/>
    <mergeCell ref="AJ483:AK483"/>
    <mergeCell ref="A446:A481"/>
    <mergeCell ref="J446:K446"/>
    <mergeCell ref="A483:A518"/>
    <mergeCell ref="J483:K483"/>
    <mergeCell ref="AA483:AA518"/>
  </mergeCells>
  <phoneticPr fontId="51" type="noConversion"/>
  <pageMargins left="0.7" right="0.7" top="0.75" bottom="0.75" header="0.3" footer="0.3"/>
  <pageSetup orientation="portrait" r:id="rId1"/>
  <ignoredErrors>
    <ignoredError sqref="V75:V76" formula="1"/>
  </ignoredError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tabColor rgb="FF92D050"/>
  </sheetPr>
  <dimension ref="A1:Y577"/>
  <sheetViews>
    <sheetView topLeftCell="A434" workbookViewId="0"/>
  </sheetViews>
  <sheetFormatPr defaultColWidth="9.44140625" defaultRowHeight="14.4" x14ac:dyDescent="0.3"/>
  <cols>
    <col min="1" max="1" width="31.5546875" customWidth="1"/>
    <col min="2" max="2" width="51" customWidth="1"/>
    <col min="3" max="3" width="13.6640625" customWidth="1"/>
    <col min="4" max="5" width="13.6640625" style="66" customWidth="1"/>
    <col min="6" max="6" width="16.33203125" style="19" customWidth="1"/>
    <col min="7" max="7" width="33" style="42" customWidth="1"/>
    <col min="8" max="8" width="22.44140625" style="3" customWidth="1"/>
    <col min="9" max="10" width="9.33203125" customWidth="1"/>
    <col min="11" max="12" width="9.33203125" style="42" customWidth="1"/>
    <col min="13" max="13" width="16.44140625" customWidth="1"/>
    <col min="14" max="14" width="16.5546875" customWidth="1"/>
    <col min="15" max="15" width="12.6640625" customWidth="1"/>
    <col min="16" max="16" width="14.5546875" customWidth="1"/>
    <col min="17" max="17" width="27.6640625" customWidth="1"/>
    <col min="18" max="18" width="44.33203125" style="20" customWidth="1"/>
    <col min="19" max="19" width="19.88671875" customWidth="1"/>
    <col min="20" max="20" width="25.33203125" customWidth="1"/>
    <col min="21" max="21" width="21" customWidth="1"/>
    <col min="22" max="22" width="31.5546875" customWidth="1"/>
    <col min="23" max="23" width="38" style="42" customWidth="1"/>
    <col min="24" max="24" width="57.5546875" bestFit="1" customWidth="1"/>
    <col min="25" max="25" width="38" style="36" customWidth="1"/>
    <col min="26" max="26" width="30.44140625" customWidth="1"/>
    <col min="28" max="29" width="14.5546875" bestFit="1" customWidth="1"/>
    <col min="30" max="30" width="20.5546875" bestFit="1" customWidth="1"/>
    <col min="36" max="36" width="14.44140625" bestFit="1" customWidth="1"/>
    <col min="37" max="37" width="20.5546875" bestFit="1" customWidth="1"/>
    <col min="38" max="38" width="15.5546875" bestFit="1" customWidth="1"/>
  </cols>
  <sheetData>
    <row r="1" spans="1:21" ht="18" x14ac:dyDescent="0.35">
      <c r="A1" s="522" t="s">
        <v>6920</v>
      </c>
      <c r="B1" s="1"/>
      <c r="C1" s="1"/>
      <c r="D1" s="5"/>
      <c r="E1" s="5"/>
      <c r="F1" s="4"/>
      <c r="G1" s="46"/>
      <c r="H1" s="93"/>
      <c r="I1" s="93"/>
      <c r="J1" s="93"/>
      <c r="K1" s="93"/>
      <c r="L1" s="93"/>
      <c r="M1" s="93"/>
      <c r="N1" s="93"/>
      <c r="O1" s="93"/>
      <c r="P1" s="93"/>
      <c r="R1" s="14"/>
      <c r="S1" s="2"/>
      <c r="T1" s="2"/>
      <c r="U1" s="2"/>
    </row>
    <row r="2" spans="1:21" x14ac:dyDescent="0.3">
      <c r="A2" s="86"/>
      <c r="B2" s="1660" t="s">
        <v>6921</v>
      </c>
      <c r="C2" s="1804"/>
      <c r="D2" s="1661"/>
      <c r="H2" s="93"/>
      <c r="I2" s="93"/>
      <c r="J2" s="93"/>
      <c r="K2" s="93"/>
      <c r="L2" s="93"/>
      <c r="M2" s="93"/>
      <c r="N2" s="93"/>
      <c r="O2" s="93"/>
      <c r="P2" s="93"/>
      <c r="R2" s="47"/>
      <c r="S2" s="39"/>
      <c r="T2" s="39"/>
      <c r="U2" s="2"/>
    </row>
    <row r="3" spans="1:21" x14ac:dyDescent="0.3">
      <c r="A3" s="86"/>
      <c r="B3" s="1668" t="s">
        <v>6922</v>
      </c>
      <c r="C3" s="1670"/>
      <c r="D3" s="1670"/>
      <c r="H3" s="93"/>
      <c r="I3" s="93"/>
      <c r="J3" s="93"/>
      <c r="K3" s="93"/>
      <c r="L3" s="93"/>
      <c r="M3" s="93"/>
      <c r="N3" s="93"/>
      <c r="O3" s="93"/>
      <c r="P3" s="93"/>
      <c r="Q3" s="1803" t="s">
        <v>6923</v>
      </c>
      <c r="R3" s="1705"/>
      <c r="S3" s="1664"/>
      <c r="T3" s="1719"/>
      <c r="U3" s="1720"/>
    </row>
    <row r="4" spans="1:21" x14ac:dyDescent="0.3">
      <c r="A4" s="86"/>
      <c r="B4" s="1577" t="s">
        <v>6924</v>
      </c>
      <c r="C4" s="1805">
        <f>UDV.animal.manure*UC.year_to_day/UDV.animal.total/UDV.density.manure</f>
        <v>2.0526696680080483</v>
      </c>
      <c r="D4" s="1806" t="s">
        <v>5838</v>
      </c>
      <c r="H4" s="93"/>
      <c r="I4" s="93"/>
      <c r="J4" s="93"/>
      <c r="K4" s="93"/>
      <c r="L4" s="93"/>
      <c r="M4" s="93"/>
      <c r="N4" s="93"/>
      <c r="O4" s="93"/>
      <c r="P4" s="93"/>
      <c r="Q4" s="49" t="s">
        <v>1901</v>
      </c>
      <c r="R4" s="49" t="s">
        <v>6925</v>
      </c>
      <c r="S4" s="49"/>
      <c r="T4" s="61">
        <v>0</v>
      </c>
      <c r="U4" s="49" t="s">
        <v>2521</v>
      </c>
    </row>
    <row r="5" spans="1:21" x14ac:dyDescent="0.3">
      <c r="A5" s="86"/>
      <c r="B5" s="1577" t="s">
        <v>415</v>
      </c>
      <c r="C5" s="1807">
        <v>0</v>
      </c>
      <c r="D5" s="1806" t="s">
        <v>5838</v>
      </c>
      <c r="H5" s="93"/>
      <c r="I5" s="93"/>
      <c r="J5" s="93"/>
      <c r="K5" s="93"/>
      <c r="L5" s="93"/>
      <c r="M5" s="93"/>
      <c r="N5" s="93"/>
      <c r="O5" s="93"/>
      <c r="P5" s="93"/>
      <c r="Q5" s="1847" t="str">
        <f>PT.deep_pit!B247</f>
        <v>Deep pit properties</v>
      </c>
      <c r="R5" s="1600"/>
      <c r="S5" s="1601"/>
      <c r="T5" s="1602"/>
      <c r="U5" s="1601"/>
    </row>
    <row r="6" spans="1:21" x14ac:dyDescent="0.3">
      <c r="A6" s="86"/>
      <c r="B6" s="1577" t="s">
        <v>409</v>
      </c>
      <c r="C6" s="2258">
        <v>0</v>
      </c>
      <c r="D6" s="1806" t="s">
        <v>5769</v>
      </c>
      <c r="H6" s="93"/>
      <c r="I6" s="93"/>
      <c r="J6" s="93"/>
      <c r="K6" s="93"/>
      <c r="L6" s="93"/>
      <c r="M6" s="93"/>
      <c r="N6" s="93"/>
      <c r="O6" s="93"/>
      <c r="P6" s="93"/>
      <c r="Q6" s="1599"/>
      <c r="R6" s="1353" t="str">
        <f>PT.deep_pit!B248</f>
        <v>Pit constructed size</v>
      </c>
      <c r="S6" s="1352"/>
      <c r="T6" s="299">
        <f>PT.deep_pit!G248</f>
        <v>1056.2130751340239</v>
      </c>
      <c r="U6" s="1352" t="str">
        <f>PT.deep_pit!C248</f>
        <v>m3</v>
      </c>
    </row>
    <row r="7" spans="1:21" x14ac:dyDescent="0.3">
      <c r="A7" s="86"/>
      <c r="B7" s="1577" t="s">
        <v>6926</v>
      </c>
      <c r="C7" s="1353" t="s">
        <v>6927</v>
      </c>
      <c r="D7" s="1806"/>
      <c r="H7" s="93"/>
      <c r="I7" s="93"/>
      <c r="J7" s="93"/>
      <c r="K7" s="93"/>
      <c r="L7" s="93"/>
      <c r="M7" s="93"/>
      <c r="N7" s="93"/>
      <c r="O7" s="93"/>
      <c r="P7" s="93"/>
      <c r="Q7" s="1599"/>
      <c r="R7" s="1353" t="str">
        <f>PT.deep_pit!B249</f>
        <v>Deep pit footprint area</v>
      </c>
      <c r="S7" s="1352"/>
      <c r="T7" s="299">
        <f>PT.deep_pit!G249</f>
        <v>288.58280741366775</v>
      </c>
      <c r="U7" s="1352" t="str">
        <f>PT.deep_pit!C249</f>
        <v>m2</v>
      </c>
    </row>
    <row r="8" spans="1:21" x14ac:dyDescent="0.3">
      <c r="A8" s="86"/>
      <c r="B8" s="1577" t="s">
        <v>6928</v>
      </c>
      <c r="C8" s="1360">
        <f>C36</f>
        <v>618.78900303722276</v>
      </c>
      <c r="D8" s="1353" t="s">
        <v>2270</v>
      </c>
      <c r="H8" s="93"/>
      <c r="I8" s="93"/>
      <c r="J8" s="93"/>
      <c r="K8" s="93"/>
      <c r="L8" s="93"/>
      <c r="M8" s="93"/>
      <c r="N8" s="93"/>
      <c r="O8" s="93"/>
      <c r="P8" s="93"/>
      <c r="Q8" s="49"/>
      <c r="R8" s="1353" t="str">
        <f>PT.deep_pit!B250</f>
        <v>Interval between slurry removal</v>
      </c>
      <c r="S8" s="1352"/>
      <c r="T8" s="299">
        <f>PT.deep_pit!G250</f>
        <v>182.5</v>
      </c>
      <c r="U8" s="1352" t="str">
        <f>PT.deep_pit!C250</f>
        <v>days</v>
      </c>
    </row>
    <row r="9" spans="1:21" x14ac:dyDescent="0.3">
      <c r="A9" s="86"/>
      <c r="B9" s="1810" t="s">
        <v>6929</v>
      </c>
      <c r="C9" s="1807"/>
      <c r="D9" s="1806"/>
      <c r="H9" s="93"/>
      <c r="I9" s="93"/>
      <c r="J9" s="93"/>
      <c r="K9" s="93"/>
      <c r="L9" s="93"/>
      <c r="M9" s="93"/>
      <c r="N9" s="93"/>
      <c r="O9" s="93"/>
      <c r="P9" s="93"/>
      <c r="Q9" s="49"/>
      <c r="R9" s="1353" t="str">
        <f>PT.deep_pit!B251</f>
        <v>Number of removal events per year</v>
      </c>
      <c r="S9" s="1352"/>
      <c r="T9" s="299">
        <f>PT.deep_pit!G251</f>
        <v>2</v>
      </c>
      <c r="U9" s="1352" t="str">
        <f>PT.deep_pit!C251</f>
        <v>quantity/year</v>
      </c>
    </row>
    <row r="10" spans="1:21" x14ac:dyDescent="0.3">
      <c r="A10" s="86"/>
      <c r="B10" s="1577" t="s">
        <v>6163</v>
      </c>
      <c r="C10" s="1807">
        <f>C41</f>
        <v>14.223165509791722</v>
      </c>
      <c r="D10" s="1806" t="s">
        <v>2385</v>
      </c>
      <c r="H10" s="93"/>
      <c r="I10" s="93"/>
      <c r="J10" s="93"/>
      <c r="K10" s="93"/>
      <c r="L10" s="93"/>
      <c r="M10" s="93"/>
      <c r="N10" s="93"/>
      <c r="O10" s="93"/>
      <c r="P10" s="93"/>
      <c r="Q10" s="1603"/>
      <c r="R10" s="1353" t="str">
        <f>PT.deep_pit!B252</f>
        <v>Manure slurry removed, deep pit</v>
      </c>
      <c r="S10" s="1352"/>
      <c r="T10" s="299">
        <f>PT.deep_pit!G252</f>
        <v>1056.2125759268704</v>
      </c>
      <c r="U10" s="1352" t="str">
        <f>PT.deep_pit!C252</f>
        <v>m3/year</v>
      </c>
    </row>
    <row r="11" spans="1:21" x14ac:dyDescent="0.3">
      <c r="A11" s="1800"/>
      <c r="B11" s="1577" t="s">
        <v>6164</v>
      </c>
      <c r="C11" s="1807">
        <f>C42</f>
        <v>6.6431094999999996</v>
      </c>
      <c r="D11" s="1806" t="s">
        <v>2385</v>
      </c>
      <c r="H11" s="93"/>
      <c r="I11" s="93"/>
      <c r="J11" s="93"/>
      <c r="K11" s="93"/>
      <c r="L11" s="93"/>
      <c r="M11" s="93"/>
      <c r="N11" s="93"/>
      <c r="O11" s="93"/>
      <c r="P11" s="93"/>
      <c r="Q11" s="1599"/>
      <c r="R11" s="1353" t="str">
        <f>PT.deep_pit!B253</f>
        <v>N removed, deep pit</v>
      </c>
      <c r="S11" s="1352"/>
      <c r="T11" s="299">
        <f>PT.deep_pit!G253</f>
        <v>6.7330947914969377</v>
      </c>
      <c r="U11" s="1352" t="str">
        <f>PT.deep_pit!C253</f>
        <v>g/L</v>
      </c>
    </row>
    <row r="12" spans="1:21" x14ac:dyDescent="0.3">
      <c r="A12" s="1795"/>
      <c r="B12" s="1577" t="s">
        <v>6165</v>
      </c>
      <c r="C12" s="1807">
        <f>C43</f>
        <v>8.5411824999999997</v>
      </c>
      <c r="D12" s="1806" t="s">
        <v>2385</v>
      </c>
      <c r="H12" s="93"/>
      <c r="I12" s="93"/>
      <c r="J12" s="93"/>
      <c r="K12" s="93"/>
      <c r="L12" s="93"/>
      <c r="M12" s="93"/>
      <c r="N12" s="93"/>
      <c r="O12" s="93"/>
      <c r="P12" s="93"/>
      <c r="Q12" s="1599"/>
      <c r="R12" s="1353" t="str">
        <f>PT.deep_pit!B254</f>
        <v>P2O5 removed, deep pit</v>
      </c>
      <c r="S12" s="1352"/>
      <c r="T12" s="299">
        <f>PT.deep_pit!G254</f>
        <v>3.1447771554792809</v>
      </c>
      <c r="U12" s="1352" t="str">
        <f>PT.deep_pit!C254</f>
        <v>g/L</v>
      </c>
    </row>
    <row r="13" spans="1:21" x14ac:dyDescent="0.3">
      <c r="A13" s="1795"/>
      <c r="B13" s="1810" t="s">
        <v>6930</v>
      </c>
      <c r="C13" s="1811"/>
      <c r="D13" s="1806"/>
      <c r="H13" s="93"/>
      <c r="I13" s="93"/>
      <c r="J13" s="93"/>
      <c r="K13" s="93"/>
      <c r="L13" s="93"/>
      <c r="M13" s="93"/>
      <c r="N13" s="93"/>
      <c r="O13" s="93"/>
      <c r="P13" s="93"/>
      <c r="Q13" s="1599"/>
      <c r="R13" s="1353" t="str">
        <f>PT.deep_pit!B255</f>
        <v>K2O removed, deep pit</v>
      </c>
      <c r="S13" s="1352"/>
      <c r="T13" s="299">
        <f>PT.deep_pit!G255</f>
        <v>4.0433046612854131</v>
      </c>
      <c r="U13" s="1352" t="str">
        <f>PT.deep_pit!C255</f>
        <v>g/L</v>
      </c>
    </row>
    <row r="14" spans="1:21" ht="28.8" x14ac:dyDescent="0.3">
      <c r="A14" s="1795"/>
      <c r="B14" s="1577" t="s">
        <v>6163</v>
      </c>
      <c r="C14" s="1807">
        <v>0</v>
      </c>
      <c r="D14" s="1806" t="s">
        <v>2385</v>
      </c>
      <c r="H14" s="93"/>
      <c r="I14" s="93"/>
      <c r="J14" s="93"/>
      <c r="K14" s="93"/>
      <c r="L14" s="93"/>
      <c r="M14" s="93"/>
      <c r="N14" s="93"/>
      <c r="O14" s="93"/>
      <c r="P14" s="93"/>
      <c r="Q14" s="1847" t="str">
        <f>PT.deep_pit!B256</f>
        <v>Tanker application during non-sludge years</v>
      </c>
      <c r="R14" s="1600"/>
      <c r="S14" s="1601"/>
      <c r="T14" s="1602"/>
      <c r="U14" s="1601"/>
    </row>
    <row r="15" spans="1:21" x14ac:dyDescent="0.3">
      <c r="A15" s="86"/>
      <c r="B15" s="1577" t="s">
        <v>6164</v>
      </c>
      <c r="C15" s="1807">
        <v>0</v>
      </c>
      <c r="D15" s="1806" t="s">
        <v>2385</v>
      </c>
      <c r="H15" s="93"/>
      <c r="I15" s="93"/>
      <c r="J15" s="93"/>
      <c r="K15" s="93"/>
      <c r="L15" s="93"/>
      <c r="M15" s="93"/>
      <c r="N15" s="93"/>
      <c r="O15" s="93"/>
      <c r="P15" s="93"/>
      <c r="Q15" s="91"/>
      <c r="R15" s="91" t="str">
        <f>PT.deep_pit!B257</f>
        <v>Tanker, size</v>
      </c>
      <c r="S15" s="52"/>
      <c r="T15" s="98">
        <f>PT.deep_pit!G257</f>
        <v>6000</v>
      </c>
      <c r="U15" s="52" t="str">
        <f>PT.deep_pit!C257</f>
        <v>gal</v>
      </c>
    </row>
    <row r="16" spans="1:21" x14ac:dyDescent="0.3">
      <c r="A16" s="86"/>
      <c r="B16" s="1577" t="s">
        <v>6165</v>
      </c>
      <c r="C16" s="1807">
        <v>0</v>
      </c>
      <c r="D16" s="1806" t="s">
        <v>2385</v>
      </c>
      <c r="H16" s="93"/>
      <c r="I16" s="93"/>
      <c r="J16" s="93"/>
      <c r="K16" s="93"/>
      <c r="L16" s="93"/>
      <c r="M16" s="93"/>
      <c r="N16" s="93"/>
      <c r="O16" s="93"/>
      <c r="P16" s="93"/>
      <c r="Q16" s="1599"/>
      <c r="R16" s="91" t="str">
        <f>PT.deep_pit!B258</f>
        <v>Tractor for tanker, size</v>
      </c>
      <c r="S16" s="52"/>
      <c r="T16" s="98">
        <f>PT.deep_pit!G258</f>
        <v>250</v>
      </c>
      <c r="U16" s="52" t="str">
        <f>PT.deep_pit!C258</f>
        <v>PTO hp</v>
      </c>
    </row>
    <row r="17" spans="1:21" x14ac:dyDescent="0.3">
      <c r="A17" s="1795"/>
      <c r="B17" s="1808" t="s">
        <v>5271</v>
      </c>
      <c r="C17" s="1809"/>
      <c r="D17" s="1806"/>
      <c r="H17" s="93"/>
      <c r="I17" s="93"/>
      <c r="J17" s="93"/>
      <c r="K17" s="93"/>
      <c r="L17" s="93"/>
      <c r="M17" s="93"/>
      <c r="N17" s="93"/>
      <c r="O17" s="93"/>
      <c r="P17" s="93"/>
      <c r="Q17" s="1599"/>
      <c r="R17" s="91" t="str">
        <f>PT.deep_pit!B259</f>
        <v>Application by broadcast or injection?</v>
      </c>
      <c r="S17" s="52"/>
      <c r="T17" s="98" t="str">
        <f>PT.deep_pit!G259</f>
        <v>Injection</v>
      </c>
      <c r="U17" s="52" t="str">
        <f>PT.deep_pit!C259</f>
        <v>type</v>
      </c>
    </row>
    <row r="18" spans="1:21" ht="15.6" x14ac:dyDescent="0.3">
      <c r="A18" s="1795"/>
      <c r="B18" s="1577" t="s">
        <v>6782</v>
      </c>
      <c r="C18" s="1812">
        <f>C49</f>
        <v>15.940832022428877</v>
      </c>
      <c r="D18" s="1806" t="s">
        <v>2385</v>
      </c>
      <c r="H18" s="93"/>
      <c r="I18" s="93"/>
      <c r="J18" s="93"/>
      <c r="K18" s="93"/>
      <c r="L18" s="93"/>
      <c r="M18" s="93"/>
      <c r="N18" s="93"/>
      <c r="O18" s="93"/>
      <c r="P18" s="93"/>
      <c r="Q18" s="1599"/>
      <c r="R18" s="91" t="str">
        <f>PT.deep_pit!B260</f>
        <v>Operation time for tractor with tanker</v>
      </c>
      <c r="S18" s="52"/>
      <c r="T18" s="98">
        <f>PT.deep_pit!G260</f>
        <v>8.8862727542680116</v>
      </c>
      <c r="U18" s="52" t="str">
        <f>PT.deep_pit!C260</f>
        <v>hrs/event</v>
      </c>
    </row>
    <row r="19" spans="1:21" ht="15.6" x14ac:dyDescent="0.3">
      <c r="A19" s="86"/>
      <c r="B19" s="1577" t="s">
        <v>6783</v>
      </c>
      <c r="C19" s="1812">
        <f>C51</f>
        <v>5.9651376409799999E-2</v>
      </c>
      <c r="D19" s="1806" t="s">
        <v>2385</v>
      </c>
      <c r="H19" s="93"/>
      <c r="I19" s="93"/>
      <c r="J19" s="93"/>
      <c r="K19" s="93"/>
      <c r="L19" s="93"/>
      <c r="M19" s="93"/>
      <c r="N19" s="93"/>
      <c r="O19" s="93"/>
      <c r="P19" s="93"/>
      <c r="Q19" s="89"/>
      <c r="R19" s="91" t="str">
        <f>PT.deep_pit!B261</f>
        <v>Fuel needed for tractor with tank and applicator</v>
      </c>
      <c r="S19" s="52"/>
      <c r="T19" s="98">
        <f>PT.deep_pit!G261</f>
        <v>97.749000296948125</v>
      </c>
      <c r="U19" s="52" t="str">
        <f>PT.deep_pit!C261</f>
        <v>gal/event</v>
      </c>
    </row>
    <row r="20" spans="1:21" ht="15.6" x14ac:dyDescent="0.3">
      <c r="A20" s="86"/>
      <c r="B20" s="1577" t="s">
        <v>6784</v>
      </c>
      <c r="C20" s="1812">
        <f>C52</f>
        <v>0.10438990871715</v>
      </c>
      <c r="D20" s="1806" t="s">
        <v>2385</v>
      </c>
      <c r="H20" s="93"/>
      <c r="I20" s="93"/>
      <c r="J20" s="93"/>
      <c r="K20" s="93"/>
      <c r="L20" s="93"/>
      <c r="M20" s="93"/>
      <c r="N20" s="93"/>
      <c r="O20" s="93"/>
      <c r="P20" s="93"/>
      <c r="Q20" s="494"/>
      <c r="R20" s="91" t="str">
        <f>PT.deep_pit!B262</f>
        <v>Number of tractors with tanker needed</v>
      </c>
      <c r="S20" s="52"/>
      <c r="T20" s="98">
        <f>PT.deep_pit!G262</f>
        <v>1</v>
      </c>
      <c r="U20" s="52" t="str">
        <f>PT.deep_pit!C262</f>
        <v>quantity</v>
      </c>
    </row>
    <row r="21" spans="1:21" ht="15.6" x14ac:dyDescent="0.3">
      <c r="A21" s="86"/>
      <c r="B21" s="1577" t="s">
        <v>6785</v>
      </c>
      <c r="C21" s="1812">
        <f>C50</f>
        <v>4.7450821249999997</v>
      </c>
      <c r="D21" s="1806" t="s">
        <v>2385</v>
      </c>
      <c r="E21" s="90"/>
      <c r="H21" s="93"/>
      <c r="I21" s="93"/>
      <c r="J21" s="93"/>
      <c r="K21" s="93"/>
      <c r="L21" s="93"/>
      <c r="M21" s="93"/>
      <c r="N21" s="93"/>
      <c r="O21" s="93"/>
      <c r="P21" s="93"/>
      <c r="Q21" s="89"/>
      <c r="R21" s="91" t="str">
        <f>PT.deep_pit!B263</f>
        <v>Tractor for agitator, size</v>
      </c>
      <c r="S21" s="52"/>
      <c r="T21" s="98">
        <f>PT.deep_pit!G263</f>
        <v>160</v>
      </c>
      <c r="U21" s="52" t="str">
        <f>PT.deep_pit!C263</f>
        <v>PTO hp</v>
      </c>
    </row>
    <row r="22" spans="1:21" x14ac:dyDescent="0.3">
      <c r="A22" s="86"/>
      <c r="E22" s="1814"/>
      <c r="H22" s="93"/>
      <c r="I22" s="93"/>
      <c r="J22" s="93"/>
      <c r="K22" s="93"/>
      <c r="L22" s="93"/>
      <c r="M22" s="93"/>
      <c r="N22" s="93"/>
      <c r="O22" s="93"/>
      <c r="P22" s="93"/>
      <c r="Q22" s="1599"/>
      <c r="R22" s="91" t="str">
        <f>PT.deep_pit!B264</f>
        <v>Number of tractors for agitating needed</v>
      </c>
      <c r="S22" s="52"/>
      <c r="T22" s="98">
        <f>PT.deep_pit!G264</f>
        <v>1</v>
      </c>
      <c r="U22" s="52" t="str">
        <f>PT.deep_pit!C264</f>
        <v>quantity</v>
      </c>
    </row>
    <row r="23" spans="1:21" x14ac:dyDescent="0.3">
      <c r="A23" s="86"/>
      <c r="E23" s="90"/>
      <c r="H23" s="93"/>
      <c r="I23" s="93"/>
      <c r="J23" s="93"/>
      <c r="K23" s="93"/>
      <c r="L23" s="93"/>
      <c r="M23" s="93"/>
      <c r="N23" s="93"/>
      <c r="O23" s="93"/>
      <c r="P23" s="93"/>
      <c r="Q23" s="91"/>
      <c r="R23" s="91" t="str">
        <f>PT.deep_pit!B265</f>
        <v>Operation time for tractor agitating</v>
      </c>
      <c r="S23" s="52"/>
      <c r="T23" s="98">
        <f>PT.deep_pit!G265</f>
        <v>11.107840942835015</v>
      </c>
      <c r="U23" s="52" t="str">
        <f>PT.deep_pit!C265</f>
        <v>hr/event</v>
      </c>
    </row>
    <row r="24" spans="1:21" x14ac:dyDescent="0.3">
      <c r="A24" s="86"/>
      <c r="B24" s="1668" t="s">
        <v>6931</v>
      </c>
      <c r="C24" s="1680"/>
      <c r="D24" s="1815"/>
      <c r="E24" s="90"/>
      <c r="H24" s="93"/>
      <c r="I24" s="93"/>
      <c r="J24" s="93"/>
      <c r="K24" s="93"/>
      <c r="L24" s="93"/>
      <c r="M24" s="93"/>
      <c r="N24" s="93"/>
      <c r="O24" s="93"/>
      <c r="P24" s="93"/>
      <c r="Q24" s="91"/>
      <c r="R24" s="91" t="str">
        <f>PT.deep_pit!B266</f>
        <v>Fuel needed for tractor for agitating</v>
      </c>
      <c r="S24" s="52"/>
      <c r="T24" s="98">
        <f>PT.deep_pit!G266</f>
        <v>78.1992002375585</v>
      </c>
      <c r="U24" s="52" t="str">
        <f>PT.deep_pit!C266</f>
        <v>gal/event</v>
      </c>
    </row>
    <row r="25" spans="1:21" x14ac:dyDescent="0.3">
      <c r="A25" s="86"/>
      <c r="B25" s="510" t="s">
        <v>6932</v>
      </c>
      <c r="C25" s="1378">
        <v>0.21</v>
      </c>
      <c r="D25" s="510" t="s">
        <v>1694</v>
      </c>
      <c r="E25" s="90"/>
      <c r="H25" s="93"/>
      <c r="I25" s="93"/>
      <c r="J25" s="93"/>
      <c r="K25" s="93"/>
      <c r="L25" s="93"/>
      <c r="M25" s="93"/>
      <c r="N25" s="93"/>
      <c r="O25" s="93"/>
      <c r="P25" s="93"/>
      <c r="Q25" s="91"/>
      <c r="R25" s="91" t="str">
        <f>PT.deep_pit!B267</f>
        <v>Number of tractors for pumping needed</v>
      </c>
      <c r="S25" s="52"/>
      <c r="T25" s="98">
        <f>PT.deep_pit!G267</f>
        <v>1</v>
      </c>
      <c r="U25" s="52" t="str">
        <f>PT.deep_pit!C267</f>
        <v>quantity</v>
      </c>
    </row>
    <row r="26" spans="1:21" x14ac:dyDescent="0.3">
      <c r="A26" s="86"/>
      <c r="B26" s="1813" t="s">
        <v>6933</v>
      </c>
      <c r="C26" s="1414">
        <v>2.1428571399999998</v>
      </c>
      <c r="D26" s="510" t="s">
        <v>6934</v>
      </c>
      <c r="E26" s="1785"/>
      <c r="F26" s="536"/>
      <c r="G26" s="86"/>
      <c r="H26" s="93"/>
      <c r="I26" s="93"/>
      <c r="J26" s="93"/>
      <c r="K26" s="93"/>
      <c r="L26" s="93"/>
      <c r="M26" s="93"/>
      <c r="N26" s="93"/>
      <c r="O26" s="93"/>
      <c r="P26" s="93"/>
      <c r="Q26" s="91"/>
      <c r="R26" s="91" t="str">
        <f>PT.deep_pit!B268</f>
        <v>Tractor for pumping, size</v>
      </c>
      <c r="S26" s="52"/>
      <c r="T26" s="98">
        <f>PT.deep_pit!G268</f>
        <v>180</v>
      </c>
      <c r="U26" s="52" t="str">
        <f>PT.deep_pit!C268</f>
        <v>PTO hp</v>
      </c>
    </row>
    <row r="27" spans="1:21" x14ac:dyDescent="0.3">
      <c r="A27" s="86"/>
      <c r="B27" s="91" t="s">
        <v>6935</v>
      </c>
      <c r="C27" s="1403">
        <f>(C19+C20)*(28/44)</f>
        <v>0.10438990871715</v>
      </c>
      <c r="D27" s="510" t="s">
        <v>2358</v>
      </c>
      <c r="E27" s="1799"/>
      <c r="F27" s="1799"/>
      <c r="G27" s="1799"/>
      <c r="H27" s="93"/>
      <c r="I27" s="93"/>
      <c r="J27" s="93"/>
      <c r="K27" s="93"/>
      <c r="L27" s="93"/>
      <c r="M27" s="93"/>
      <c r="N27" s="93"/>
      <c r="O27" s="93"/>
      <c r="P27" s="93"/>
      <c r="Q27" s="91"/>
      <c r="R27" s="91" t="str">
        <f>PT.deep_pit!B269</f>
        <v>Operation time for tractor pumping</v>
      </c>
      <c r="S27" s="52"/>
      <c r="T27" s="98">
        <f>PT.deep_pit!G269</f>
        <v>1.1625915641974387</v>
      </c>
      <c r="U27" s="52" t="str">
        <f>PT.deep_pit!C269</f>
        <v>hr/event</v>
      </c>
    </row>
    <row r="28" spans="1:21" x14ac:dyDescent="0.3">
      <c r="A28" s="86"/>
      <c r="B28" s="91" t="s">
        <v>6936</v>
      </c>
      <c r="C28" s="1380">
        <f>C21*(14/17)</f>
        <v>3.9077146911764702</v>
      </c>
      <c r="D28" s="510" t="s">
        <v>2358</v>
      </c>
      <c r="E28" s="1799"/>
      <c r="F28" s="1799"/>
      <c r="G28" s="1799"/>
      <c r="H28" s="93"/>
      <c r="I28" s="93"/>
      <c r="J28" s="93"/>
      <c r="K28" s="93"/>
      <c r="L28" s="93"/>
      <c r="M28" s="93"/>
      <c r="N28" s="93"/>
      <c r="O28" s="93"/>
      <c r="P28" s="93"/>
      <c r="Q28" s="1599"/>
      <c r="R28" s="91" t="str">
        <f>PT.deep_pit!B270</f>
        <v>Fuel needed for tractor for pumping</v>
      </c>
      <c r="S28" s="52"/>
      <c r="T28" s="98">
        <f>PT.deep_pit!G270</f>
        <v>9.2077251884437139</v>
      </c>
      <c r="U28" s="52" t="str">
        <f>PT.deep_pit!C270</f>
        <v>gal/event</v>
      </c>
    </row>
    <row r="29" spans="1:21" x14ac:dyDescent="0.3">
      <c r="A29" s="86"/>
      <c r="B29" s="91" t="s">
        <v>6937</v>
      </c>
      <c r="C29" s="1404">
        <f>C25*C27*(44/28)/C26</f>
        <v>1.6076045963875827E-2</v>
      </c>
      <c r="D29" s="510" t="s">
        <v>2358</v>
      </c>
      <c r="E29" s="1793"/>
      <c r="F29" s="1791"/>
      <c r="G29" s="921"/>
      <c r="H29" s="93"/>
      <c r="I29" s="93"/>
      <c r="J29" s="93"/>
      <c r="K29" s="93"/>
      <c r="L29" s="93"/>
      <c r="M29" s="93"/>
      <c r="N29" s="93"/>
      <c r="O29" s="93"/>
      <c r="P29" s="93"/>
      <c r="Q29" s="1601" t="str">
        <f>PT.deep_pit!B271</f>
        <v>Drag hose application during non-sludge years</v>
      </c>
      <c r="R29" s="1628"/>
      <c r="S29" s="1602"/>
      <c r="T29" s="1786"/>
      <c r="U29" s="1602"/>
    </row>
    <row r="30" spans="1:21" x14ac:dyDescent="0.3">
      <c r="A30" s="86"/>
      <c r="B30" s="86"/>
      <c r="C30" s="1819"/>
      <c r="D30" s="1785"/>
      <c r="E30" s="1785"/>
      <c r="F30" s="536"/>
      <c r="G30" s="86"/>
      <c r="H30" s="93"/>
      <c r="I30" s="93"/>
      <c r="J30" s="93"/>
      <c r="K30" s="93"/>
      <c r="L30" s="93"/>
      <c r="M30" s="93"/>
      <c r="N30" s="93"/>
      <c r="O30" s="93"/>
      <c r="P30" s="93"/>
      <c r="Q30" s="91"/>
      <c r="R30" s="91" t="str">
        <f>PT.deep_pit!B272</f>
        <v>Size of tractor for pulling hose reel and applicator</v>
      </c>
      <c r="S30" s="52"/>
      <c r="T30" s="98">
        <f>PT.deep_pit!G272</f>
        <v>580</v>
      </c>
      <c r="U30" s="52" t="str">
        <f>PT.deep_pit!C272</f>
        <v>PTO hp</v>
      </c>
    </row>
    <row r="31" spans="1:21" x14ac:dyDescent="0.3">
      <c r="A31" s="86"/>
      <c r="B31" s="1816" t="str">
        <f>PT.deep_pit!B302</f>
        <v>Land footprint</v>
      </c>
      <c r="C31" s="1820"/>
      <c r="D31" s="1817"/>
      <c r="E31" s="1799"/>
      <c r="F31" s="1799"/>
      <c r="G31" s="1799"/>
      <c r="H31" s="93"/>
      <c r="I31" s="93"/>
      <c r="J31" s="93"/>
      <c r="K31" s="93"/>
      <c r="L31" s="93"/>
      <c r="M31" s="93"/>
      <c r="N31" s="93"/>
      <c r="O31" s="93"/>
      <c r="P31" s="93"/>
      <c r="Q31" s="1599"/>
      <c r="R31" s="91" t="str">
        <f>PT.deep_pit!B273</f>
        <v>Number of tractors for pulling hose reel and applicator</v>
      </c>
      <c r="S31" s="52"/>
      <c r="T31" s="98">
        <f>PT.deep_pit!G273</f>
        <v>1</v>
      </c>
      <c r="U31" s="52" t="str">
        <f>PT.deep_pit!C273</f>
        <v>quantity</v>
      </c>
    </row>
    <row r="32" spans="1:21" x14ac:dyDescent="0.3">
      <c r="A32" s="86"/>
      <c r="B32" s="1818" t="str">
        <f>PT.deep_pit!B303</f>
        <v>Land required for deep pit system</v>
      </c>
      <c r="C32" s="2273">
        <f>PT.deep_pit!G303</f>
        <v>288.58280741366775</v>
      </c>
      <c r="D32" s="1818" t="str">
        <f>PT.deep_pit!C303</f>
        <v>m2</v>
      </c>
      <c r="E32" s="1799"/>
      <c r="F32" s="1799"/>
      <c r="G32" s="1799"/>
      <c r="H32" s="93"/>
      <c r="I32" s="93"/>
      <c r="J32" s="93"/>
      <c r="K32" s="93"/>
      <c r="L32" s="93"/>
      <c r="M32" s="93"/>
      <c r="N32" s="93"/>
      <c r="O32" s="93"/>
      <c r="P32" s="93"/>
      <c r="Q32" s="1599"/>
      <c r="R32" s="91" t="str">
        <f>PT.deep_pit!B274</f>
        <v>Number of tractors for support with hose pulley</v>
      </c>
      <c r="S32" s="52"/>
      <c r="T32" s="98">
        <f>PT.deep_pit!G274</f>
        <v>1</v>
      </c>
      <c r="U32" s="52" t="str">
        <f>PT.deep_pit!C274</f>
        <v>quantity</v>
      </c>
    </row>
    <row r="33" spans="2:21" x14ac:dyDescent="0.3">
      <c r="B33" s="1818" t="str">
        <f>PT.deep_pit!B304</f>
        <v>Land for slurry application</v>
      </c>
      <c r="C33" s="2273">
        <f>PT.deep_pit!G304</f>
        <v>309105.91871119774</v>
      </c>
      <c r="D33" s="1818" t="str">
        <f>PT.deep_pit!C304</f>
        <v>m2</v>
      </c>
      <c r="E33" s="1785"/>
      <c r="F33" s="536"/>
      <c r="G33" s="921"/>
      <c r="H33" s="93"/>
      <c r="I33" s="93"/>
      <c r="J33" s="93"/>
      <c r="K33" s="93"/>
      <c r="L33" s="93"/>
      <c r="M33" s="93"/>
      <c r="N33" s="93"/>
      <c r="O33" s="93"/>
      <c r="P33" s="93"/>
      <c r="Q33" s="1599"/>
      <c r="R33" s="91" t="str">
        <f>PT.deep_pit!B275</f>
        <v>Size of tractor for support with hose pulley</v>
      </c>
      <c r="S33" s="52"/>
      <c r="T33" s="98">
        <f>PT.deep_pit!G275</f>
        <v>340</v>
      </c>
      <c r="U33" s="52" t="str">
        <f>PT.deep_pit!C275</f>
        <v>PTO hp</v>
      </c>
    </row>
    <row r="34" spans="2:21" x14ac:dyDescent="0.3">
      <c r="B34" s="1818" t="str">
        <f>PT.deep_pit!B305</f>
        <v>Total land area of facilities</v>
      </c>
      <c r="C34" s="2273">
        <f>PT.deep_pit!G305</f>
        <v>288.58280741366775</v>
      </c>
      <c r="D34" s="1818" t="str">
        <f>PT.deep_pit!C305</f>
        <v>m2</v>
      </c>
      <c r="E34" s="1785"/>
      <c r="F34" s="536"/>
      <c r="G34" s="921"/>
      <c r="H34" s="93"/>
      <c r="I34" s="93"/>
      <c r="J34" s="93"/>
      <c r="K34" s="93"/>
      <c r="L34" s="93"/>
      <c r="M34" s="93"/>
      <c r="N34" s="93"/>
      <c r="O34" s="93"/>
      <c r="P34" s="93"/>
      <c r="Q34" s="1599"/>
      <c r="R34" s="91" t="str">
        <f>PT.deep_pit!B276</f>
        <v>Distance from storage to field</v>
      </c>
      <c r="S34" s="52"/>
      <c r="T34" s="98">
        <f>PT.deep_pit!G276</f>
        <v>2</v>
      </c>
      <c r="U34" s="52" t="str">
        <f>PT.deep_pit!C276</f>
        <v>miles</v>
      </c>
    </row>
    <row r="35" spans="2:21" x14ac:dyDescent="0.3">
      <c r="B35" s="1818" t="str">
        <f>PT.deep_pit!B306</f>
        <v>Total land area of application</v>
      </c>
      <c r="C35" s="2273">
        <f>PT.deep_pit!G306</f>
        <v>309105.91871119774</v>
      </c>
      <c r="D35" s="1818" t="str">
        <f>PT.deep_pit!C306</f>
        <v>m2</v>
      </c>
      <c r="E35" s="1785"/>
      <c r="F35" s="536"/>
      <c r="G35" s="921"/>
      <c r="H35" s="93"/>
      <c r="I35" s="93"/>
      <c r="J35" s="93"/>
      <c r="K35" s="93"/>
      <c r="L35" s="93"/>
      <c r="M35" s="93"/>
      <c r="N35" s="93"/>
      <c r="O35" s="93"/>
      <c r="P35" s="93"/>
      <c r="Q35" s="49"/>
      <c r="R35" s="91" t="str">
        <f>PT.deep_pit!B277</f>
        <v>Fuel needed for tractor for pulling hose reel and applicator</v>
      </c>
      <c r="S35" s="52"/>
      <c r="T35" s="98">
        <f>PT.deep_pit!G277</f>
        <v>25.52</v>
      </c>
      <c r="U35" s="52" t="str">
        <f>PT.deep_pit!C277</f>
        <v>gal/hr</v>
      </c>
    </row>
    <row r="36" spans="2:21" x14ac:dyDescent="0.3">
      <c r="B36" s="1818" t="str">
        <f>PT.deep_pit!B307</f>
        <v>Total land area required</v>
      </c>
      <c r="C36" s="2273">
        <f>PT.deep_pit!G307</f>
        <v>618.78900303722276</v>
      </c>
      <c r="D36" s="1818" t="str">
        <f>PT.deep_pit!C307</f>
        <v>m2/head</v>
      </c>
      <c r="E36" s="1785"/>
      <c r="F36" s="536"/>
      <c r="G36" s="921"/>
      <c r="H36" s="93"/>
      <c r="I36" s="93"/>
      <c r="J36" s="93"/>
      <c r="K36" s="93"/>
      <c r="L36" s="93"/>
      <c r="M36" s="93"/>
      <c r="N36" s="93"/>
      <c r="O36" s="93"/>
      <c r="P36" s="93"/>
      <c r="Q36" s="494"/>
      <c r="R36" s="91" t="str">
        <f>PT.deep_pit!B278</f>
        <v>Fuel needed for support tractor with hose pulley</v>
      </c>
      <c r="S36" s="52"/>
      <c r="T36" s="98">
        <f>PT.deep_pit!G278</f>
        <v>14.959999999999999</v>
      </c>
      <c r="U36" s="52" t="str">
        <f>PT.deep_pit!C278</f>
        <v>gal/hr</v>
      </c>
    </row>
    <row r="37" spans="2:21" x14ac:dyDescent="0.3">
      <c r="B37" s="1816" t="str">
        <f>PT.deep_pit!B308</f>
        <v>Fuel</v>
      </c>
      <c r="C37" s="1820"/>
      <c r="D37" s="1821"/>
      <c r="E37" s="1785"/>
      <c r="F37" s="536"/>
      <c r="G37" s="921"/>
      <c r="H37" s="93"/>
      <c r="I37" s="93"/>
      <c r="J37" s="93"/>
      <c r="K37" s="93"/>
      <c r="L37" s="93"/>
      <c r="M37" s="93"/>
      <c r="N37" s="93"/>
      <c r="O37" s="93"/>
      <c r="P37" s="93"/>
      <c r="Q37" s="49"/>
      <c r="R37" s="91" t="str">
        <f>PT.deep_pit!B279</f>
        <v>Diesel powered pump(s), size</v>
      </c>
      <c r="S37" s="52"/>
      <c r="T37" s="98">
        <f>PT.deep_pit!G279</f>
        <v>3000</v>
      </c>
      <c r="U37" s="52" t="str">
        <f>PT.deep_pit!C279</f>
        <v>gal/min</v>
      </c>
    </row>
    <row r="38" spans="2:21" x14ac:dyDescent="0.3">
      <c r="B38" s="1818" t="str">
        <f>PT.deep_pit!B309</f>
        <v>Diesel fuel used for tanker land application of slurry</v>
      </c>
      <c r="C38" s="1877">
        <f>PT.deep_pit!G309</f>
        <v>0.74062370289180135</v>
      </c>
      <c r="D38" s="1818" t="str">
        <f>PT.deep_pit!C309</f>
        <v>gal/head/year</v>
      </c>
      <c r="E38" s="1793"/>
      <c r="F38" s="536"/>
      <c r="G38" s="86"/>
      <c r="H38" s="93"/>
      <c r="I38" s="93"/>
      <c r="J38" s="93"/>
      <c r="K38" s="93"/>
      <c r="L38" s="93"/>
      <c r="M38" s="93"/>
      <c r="N38" s="93"/>
      <c r="O38" s="93"/>
      <c r="P38" s="93"/>
      <c r="Q38" s="49"/>
      <c r="R38" s="91" t="str">
        <f>PT.deep_pit!B280</f>
        <v>Number of diesel powered lead pumps needed</v>
      </c>
      <c r="S38" s="52"/>
      <c r="T38" s="98">
        <f>PT.deep_pit!G280</f>
        <v>1</v>
      </c>
      <c r="U38" s="52" t="str">
        <f>PT.deep_pit!C280</f>
        <v>quantity</v>
      </c>
    </row>
    <row r="39" spans="2:21" x14ac:dyDescent="0.3">
      <c r="B39" s="1818" t="str">
        <f>PT.deep_pit!B310</f>
        <v>Diesel fuel used for drag hose land application of slurry</v>
      </c>
      <c r="C39" s="1877">
        <f>PT.deep_pit!G310</f>
        <v>0.99503098543937696</v>
      </c>
      <c r="D39" s="1818" t="str">
        <f>PT.deep_pit!C310</f>
        <v>gal/head/year</v>
      </c>
      <c r="E39" s="1785"/>
      <c r="F39" s="536"/>
      <c r="G39" s="86"/>
      <c r="H39" s="93"/>
      <c r="I39" s="93"/>
      <c r="J39" s="93"/>
      <c r="K39" s="93"/>
      <c r="L39" s="93"/>
      <c r="M39" s="93"/>
      <c r="N39" s="93"/>
      <c r="O39" s="93"/>
      <c r="P39" s="93"/>
      <c r="Q39" s="49"/>
      <c r="R39" s="91" t="str">
        <f>PT.deep_pit!B281</f>
        <v>Number of diesel powered agitation trailers needed</v>
      </c>
      <c r="S39" s="52"/>
      <c r="T39" s="98">
        <f>PT.deep_pit!G281</f>
        <v>1</v>
      </c>
      <c r="U39" s="52" t="str">
        <f>PT.deep_pit!C281</f>
        <v>quantity</v>
      </c>
    </row>
    <row r="40" spans="2:21" x14ac:dyDescent="0.3">
      <c r="B40" s="1816" t="str">
        <f>PT.deep_pit!B311</f>
        <v>Slurry nutrient contents</v>
      </c>
      <c r="C40" s="1820"/>
      <c r="D40" s="1821"/>
      <c r="E40" s="1799"/>
      <c r="F40" s="1799"/>
      <c r="G40" s="1799"/>
      <c r="H40" s="93"/>
      <c r="I40" s="93"/>
      <c r="J40" s="93"/>
      <c r="K40" s="93"/>
      <c r="L40" s="93"/>
      <c r="M40" s="93"/>
      <c r="N40" s="93"/>
      <c r="O40" s="93"/>
      <c r="P40" s="93"/>
      <c r="Q40" s="49"/>
      <c r="R40" s="91" t="str">
        <f>PT.deep_pit!B282</f>
        <v>Number of booster pumps needed</v>
      </c>
      <c r="S40" s="52"/>
      <c r="T40" s="98">
        <f>PT.deep_pit!G282</f>
        <v>1</v>
      </c>
      <c r="U40" s="52" t="str">
        <f>PT.deep_pit!C282</f>
        <v>quantity</v>
      </c>
    </row>
    <row r="41" spans="2:21" x14ac:dyDescent="0.3">
      <c r="B41" s="1818" t="str">
        <f>PT.deep_pit!B312</f>
        <v>Total N accumulated in liquids</v>
      </c>
      <c r="C41" s="1426">
        <f>PT.deep_pit!G312</f>
        <v>14.223165509791722</v>
      </c>
      <c r="D41" s="1818" t="str">
        <f>PT.deep_pit!C312</f>
        <v>kg/head/year</v>
      </c>
      <c r="E41" s="1799"/>
      <c r="F41" s="1799"/>
      <c r="G41" s="1799"/>
      <c r="H41" s="93"/>
      <c r="I41" s="93"/>
      <c r="J41" s="93"/>
      <c r="K41" s="93"/>
      <c r="L41" s="93"/>
      <c r="M41" s="93"/>
      <c r="N41" s="93"/>
      <c r="O41" s="93"/>
      <c r="P41" s="93"/>
      <c r="Q41" s="49"/>
      <c r="R41" s="91" t="str">
        <f>PT.deep_pit!B283</f>
        <v>Operation time for pumping</v>
      </c>
      <c r="S41" s="52"/>
      <c r="T41" s="98">
        <f>PT.deep_pit!G283</f>
        <v>3.1507466100902355</v>
      </c>
      <c r="U41" s="52" t="str">
        <f>PT.deep_pit!C283</f>
        <v>hr</v>
      </c>
    </row>
    <row r="42" spans="2:21" x14ac:dyDescent="0.3">
      <c r="B42" s="1818" t="str">
        <f>PT.deep_pit!B313</f>
        <v>Total P2O5 accumulated in liquids</v>
      </c>
      <c r="C42" s="1426">
        <f>PT.deep_pit!G313</f>
        <v>6.6431094999999996</v>
      </c>
      <c r="D42" s="1818" t="str">
        <f>PT.deep_pit!C313</f>
        <v>kg/head/year</v>
      </c>
      <c r="E42" s="1788"/>
      <c r="F42" s="1785"/>
      <c r="G42" s="921"/>
      <c r="H42" s="93"/>
      <c r="I42" s="93"/>
      <c r="J42" s="93"/>
      <c r="K42" s="93"/>
      <c r="L42" s="93"/>
      <c r="M42" s="93"/>
      <c r="N42" s="93"/>
      <c r="O42" s="93"/>
      <c r="P42" s="93"/>
      <c r="Q42" s="49"/>
      <c r="R42" s="91" t="str">
        <f>PT.deep_pit!B284</f>
        <v>Fuel needed for diesel powered lead pump</v>
      </c>
      <c r="S42" s="52"/>
      <c r="T42" s="98">
        <f>PT.deep_pit!G284</f>
        <v>56.713438981624236</v>
      </c>
      <c r="U42" s="52" t="str">
        <f>PT.deep_pit!C284</f>
        <v>gal/event</v>
      </c>
    </row>
    <row r="43" spans="2:21" x14ac:dyDescent="0.3">
      <c r="B43" s="1818" t="str">
        <f>PT.deep_pit!B314</f>
        <v>Total K2O accumulated in liquids</v>
      </c>
      <c r="C43" s="1426">
        <f>PT.deep_pit!G314</f>
        <v>8.5411824999999997</v>
      </c>
      <c r="D43" s="1818" t="str">
        <f>PT.deep_pit!C314</f>
        <v>kg/head/year</v>
      </c>
      <c r="E43" s="1793"/>
      <c r="F43" s="1788"/>
      <c r="G43" s="921"/>
      <c r="H43" s="93"/>
      <c r="I43" s="93"/>
      <c r="J43" s="93"/>
      <c r="K43" s="93"/>
      <c r="L43" s="93"/>
      <c r="M43" s="93"/>
      <c r="N43" s="93"/>
      <c r="O43" s="93"/>
      <c r="P43" s="93"/>
      <c r="Q43" s="49"/>
      <c r="R43" s="91" t="str">
        <f>PT.deep_pit!B285</f>
        <v>Fuel needed for diesel powered booster pump</v>
      </c>
      <c r="S43" s="52"/>
      <c r="T43" s="98">
        <f>PT.deep_pit!G285</f>
        <v>23.630599575676765</v>
      </c>
      <c r="U43" s="52" t="str">
        <f>PT.deep_pit!C285</f>
        <v>gal/event</v>
      </c>
    </row>
    <row r="44" spans="2:21" x14ac:dyDescent="0.3">
      <c r="B44" s="1816" t="str">
        <f>PT.deep_pit!B315</f>
        <v>Excess slurry nutrient application</v>
      </c>
      <c r="C44" s="1820"/>
      <c r="D44" s="1821"/>
      <c r="E44" s="1794"/>
      <c r="F44" s="1788"/>
      <c r="G44" s="1795"/>
      <c r="H44" s="93"/>
      <c r="I44" s="93"/>
      <c r="J44" s="93"/>
      <c r="K44" s="93"/>
      <c r="L44" s="93"/>
      <c r="M44" s="93"/>
      <c r="N44" s="93"/>
      <c r="O44" s="93"/>
      <c r="P44" s="93"/>
      <c r="Q44" s="49"/>
      <c r="R44" s="91" t="str">
        <f>PT.deep_pit!B286</f>
        <v>Fuel needed for diesel powered agitation trailer</v>
      </c>
      <c r="S44" s="52"/>
      <c r="T44" s="98">
        <f>PT.deep_pit!G286</f>
        <v>18.904479660541412</v>
      </c>
      <c r="U44" s="52" t="str">
        <f>PT.deep_pit!C286</f>
        <v>gal/event</v>
      </c>
    </row>
    <row r="45" spans="2:21" x14ac:dyDescent="0.3">
      <c r="B45" s="1818" t="str">
        <f>PT.deep_pit!B316</f>
        <v>Excess N applied due to slurry</v>
      </c>
      <c r="C45" s="1426">
        <f>PT.deep_pit!G316</f>
        <v>0</v>
      </c>
      <c r="D45" s="1818" t="str">
        <f>PT.deep_pit!C316</f>
        <v>kg/head/year</v>
      </c>
      <c r="E45" s="1785"/>
      <c r="F45" s="1788"/>
      <c r="G45" s="921"/>
      <c r="H45" s="93"/>
      <c r="I45" s="93"/>
      <c r="J45" s="93"/>
      <c r="K45" s="93"/>
      <c r="L45" s="93"/>
      <c r="M45" s="93"/>
      <c r="N45" s="93"/>
      <c r="O45" s="93"/>
      <c r="P45" s="93"/>
      <c r="Q45" s="49"/>
      <c r="R45" s="91" t="str">
        <f>PT.deep_pit!B287</f>
        <v>Fuel needed for pickup truck</v>
      </c>
      <c r="S45" s="52"/>
      <c r="T45" s="98">
        <f>PT.deep_pit!G287</f>
        <v>2.8356719490812115</v>
      </c>
      <c r="U45" s="52" t="str">
        <f>PT.deep_pit!C287</f>
        <v>gal/event</v>
      </c>
    </row>
    <row r="46" spans="2:21" x14ac:dyDescent="0.3">
      <c r="B46" s="1818" t="str">
        <f>PT.deep_pit!B317</f>
        <v>Excess P2O5 applied due to slurry</v>
      </c>
      <c r="C46" s="1426">
        <f>PT.deep_pit!G317</f>
        <v>2.4998750825013691</v>
      </c>
      <c r="D46" s="1818" t="str">
        <f>PT.deep_pit!C317</f>
        <v>kg/head/year</v>
      </c>
      <c r="E46" s="1794"/>
      <c r="F46" s="1788"/>
      <c r="G46" s="1795"/>
      <c r="H46" s="93"/>
      <c r="I46" s="93"/>
      <c r="J46" s="93"/>
      <c r="K46" s="93"/>
      <c r="L46" s="93"/>
      <c r="M46" s="93"/>
      <c r="N46" s="93"/>
      <c r="O46" s="93"/>
      <c r="P46" s="93"/>
      <c r="Q46" s="1601" t="str">
        <f>PT.deep_pit!B288</f>
        <v>Manure costs and excess</v>
      </c>
      <c r="R46" s="1628"/>
      <c r="S46" s="1602"/>
      <c r="T46" s="1786"/>
      <c r="U46" s="1602"/>
    </row>
    <row r="47" spans="2:21" x14ac:dyDescent="0.3">
      <c r="B47" s="1818" t="str">
        <f>PT.deep_pit!B318</f>
        <v>Excess K2O applied due to slurry</v>
      </c>
      <c r="C47" s="1426">
        <f>PT.deep_pit!G318</f>
        <v>2.3048714881662491</v>
      </c>
      <c r="D47" s="1818" t="str">
        <f>PT.deep_pit!C318</f>
        <v>kg/head/year</v>
      </c>
      <c r="E47" s="1794"/>
      <c r="F47" s="1788"/>
      <c r="G47" s="1795"/>
      <c r="H47" s="93"/>
      <c r="I47" s="93"/>
      <c r="J47" s="93"/>
      <c r="K47" s="93"/>
      <c r="L47" s="93"/>
      <c r="M47" s="93"/>
      <c r="N47" s="93"/>
      <c r="O47" s="93"/>
      <c r="P47" s="93"/>
      <c r="Q47" s="49"/>
      <c r="R47" s="91" t="str">
        <f>PT.deep_pit!B289</f>
        <v>Excess volume, deep pit slurry manure</v>
      </c>
      <c r="S47" s="52"/>
      <c r="T47" s="98">
        <f>PT.deep_pit!G289</f>
        <v>279.0219754073853</v>
      </c>
      <c r="U47" s="52" t="str">
        <f>PT.deep_pit!C289</f>
        <v>1000 gal/year</v>
      </c>
    </row>
    <row r="48" spans="2:21" x14ac:dyDescent="0.3">
      <c r="B48" s="1816" t="str">
        <f>PT.deep_pit!B319</f>
        <v>Emissions</v>
      </c>
      <c r="C48" s="1820"/>
      <c r="D48" s="1821"/>
      <c r="E48" s="1794"/>
      <c r="F48" s="1788"/>
      <c r="G48" s="1795"/>
      <c r="H48" s="93"/>
      <c r="I48" s="93"/>
      <c r="J48" s="93"/>
      <c r="K48" s="93"/>
      <c r="L48" s="93"/>
      <c r="M48" s="93"/>
      <c r="N48" s="93"/>
      <c r="O48" s="93"/>
      <c r="P48" s="93"/>
      <c r="Q48" s="49"/>
      <c r="R48" s="91" t="str">
        <f>PT.deep_pit!B290</f>
        <v>Fertilizer value for on-farm use, slurry</v>
      </c>
      <c r="S48" s="52"/>
      <c r="T48" s="98">
        <f>PT.deep_pit!G290</f>
        <v>13214.040328378442</v>
      </c>
      <c r="U48" s="52" t="str">
        <f>PT.deep_pit!C290</f>
        <v>$/year</v>
      </c>
    </row>
    <row r="49" spans="2:4" x14ac:dyDescent="0.3">
      <c r="B49" s="1818" t="str">
        <f>PT.deep_pit!B320</f>
        <v>CH4 from deep pit</v>
      </c>
      <c r="C49" s="1426">
        <f>PT.deep_pit!G320</f>
        <v>15.940832022428877</v>
      </c>
      <c r="D49" s="1818" t="str">
        <f>PT.deep_pit!C320</f>
        <v>kg/head/year</v>
      </c>
    </row>
    <row r="50" spans="2:4" x14ac:dyDescent="0.3">
      <c r="B50" s="1818" t="str">
        <f>PT.deep_pit!B321</f>
        <v>NH3 from deep pit</v>
      </c>
      <c r="C50" s="1426">
        <f>PT.deep_pit!G321</f>
        <v>4.7450821249999997</v>
      </c>
      <c r="D50" s="1818" t="str">
        <f>PT.deep_pit!C321</f>
        <v>kg/head/year</v>
      </c>
    </row>
    <row r="51" spans="2:4" x14ac:dyDescent="0.3">
      <c r="B51" s="1818" t="str">
        <f>PT.deep_pit!B322</f>
        <v>N2O direct from deep pit</v>
      </c>
      <c r="C51" s="1426">
        <f>PT.deep_pit!G322</f>
        <v>5.9651376409799999E-2</v>
      </c>
      <c r="D51" s="1818" t="str">
        <f>PT.deep_pit!C322</f>
        <v>kg/head/year</v>
      </c>
    </row>
    <row r="52" spans="2:4" x14ac:dyDescent="0.3">
      <c r="B52" s="1818" t="str">
        <f>PT.deep_pit!B323</f>
        <v>N2O indirect from deep pit</v>
      </c>
      <c r="C52" s="1426">
        <f>PT.deep_pit!G323</f>
        <v>0.10438990871715</v>
      </c>
      <c r="D52" s="1818" t="str">
        <f>PT.deep_pit!C323</f>
        <v>kg/head/year</v>
      </c>
    </row>
    <row r="160" spans="18:18" x14ac:dyDescent="0.3">
      <c r="R160"/>
    </row>
    <row r="161" spans="18:18" x14ac:dyDescent="0.3">
      <c r="R161"/>
    </row>
    <row r="162" spans="18:18" x14ac:dyDescent="0.3">
      <c r="R162"/>
    </row>
    <row r="163" spans="18:18" x14ac:dyDescent="0.3">
      <c r="R163"/>
    </row>
    <row r="164" spans="18:18" x14ac:dyDescent="0.3">
      <c r="R164"/>
    </row>
    <row r="165" spans="18:18" x14ac:dyDescent="0.3">
      <c r="R165"/>
    </row>
    <row r="166" spans="18:18" x14ac:dyDescent="0.3">
      <c r="R166"/>
    </row>
    <row r="167" spans="18:18" x14ac:dyDescent="0.3">
      <c r="R167"/>
    </row>
    <row r="168" spans="18:18" x14ac:dyDescent="0.3">
      <c r="R168"/>
    </row>
    <row r="169" spans="18:18" x14ac:dyDescent="0.3">
      <c r="R169"/>
    </row>
    <row r="170" spans="18:18" x14ac:dyDescent="0.3">
      <c r="R170"/>
    </row>
    <row r="171" spans="18:18" x14ac:dyDescent="0.3">
      <c r="R171"/>
    </row>
    <row r="172" spans="18:18" x14ac:dyDescent="0.3">
      <c r="R172"/>
    </row>
    <row r="173" spans="18:18" x14ac:dyDescent="0.3">
      <c r="R173"/>
    </row>
    <row r="174" spans="18:18" x14ac:dyDescent="0.3">
      <c r="R174"/>
    </row>
    <row r="175" spans="18:18" x14ac:dyDescent="0.3">
      <c r="R175"/>
    </row>
    <row r="301" spans="1:15" x14ac:dyDescent="0.3">
      <c r="B301" s="82" t="s">
        <v>6938</v>
      </c>
    </row>
    <row r="302" spans="1:15" x14ac:dyDescent="0.3">
      <c r="B302" t="s">
        <v>6939</v>
      </c>
      <c r="C302" t="s">
        <v>6940</v>
      </c>
    </row>
    <row r="303" spans="1:15" ht="15" thickBot="1" x14ac:dyDescent="0.35">
      <c r="A303" s="137"/>
      <c r="B303" s="137"/>
      <c r="C303" s="137"/>
      <c r="D303" s="137"/>
      <c r="E303" s="137"/>
      <c r="F303" s="137"/>
      <c r="G303" s="137"/>
      <c r="H303" s="137"/>
      <c r="I303" s="137"/>
      <c r="J303" s="137"/>
      <c r="K303" s="137"/>
      <c r="L303" s="137"/>
      <c r="M303" s="137"/>
      <c r="N303" s="137"/>
      <c r="O303" s="137"/>
    </row>
    <row r="304" spans="1:15" x14ac:dyDescent="0.3">
      <c r="D304"/>
      <c r="E304"/>
      <c r="F304"/>
      <c r="G304"/>
      <c r="H304"/>
      <c r="K304"/>
      <c r="L304"/>
    </row>
    <row r="305" spans="1:15" ht="18" x14ac:dyDescent="0.35">
      <c r="B305" s="138" t="s">
        <v>6941</v>
      </c>
      <c r="C305" s="34"/>
      <c r="D305"/>
      <c r="E305"/>
      <c r="F305"/>
      <c r="G305"/>
      <c r="H305" s="355"/>
      <c r="K305"/>
      <c r="L305"/>
    </row>
    <row r="306" spans="1:15" x14ac:dyDescent="0.3">
      <c r="D306"/>
      <c r="E306"/>
      <c r="F306"/>
      <c r="G306"/>
      <c r="H306"/>
      <c r="K306"/>
      <c r="L306"/>
    </row>
    <row r="307" spans="1:15" x14ac:dyDescent="0.3">
      <c r="B307" s="139" t="s">
        <v>6942</v>
      </c>
      <c r="C307" s="140"/>
      <c r="D307" s="140"/>
      <c r="E307" s="139"/>
      <c r="F307" s="141"/>
      <c r="G307"/>
      <c r="H307"/>
      <c r="K307"/>
      <c r="L307"/>
    </row>
    <row r="308" spans="1:15" x14ac:dyDescent="0.3">
      <c r="B308" s="143" t="s">
        <v>2663</v>
      </c>
      <c r="C308" s="144" t="s">
        <v>565</v>
      </c>
      <c r="D308" s="144" t="s">
        <v>6943</v>
      </c>
      <c r="E308" s="143" t="s">
        <v>565</v>
      </c>
      <c r="F308" s="145" t="s">
        <v>6944</v>
      </c>
      <c r="G308"/>
      <c r="H308"/>
      <c r="K308"/>
      <c r="L308"/>
    </row>
    <row r="309" spans="1:15" x14ac:dyDescent="0.3">
      <c r="A309" t="s">
        <v>6945</v>
      </c>
      <c r="B309" s="149" t="s">
        <v>5724</v>
      </c>
      <c r="C309" s="295">
        <f>VLOOKUP(B309,R1:U300,3,FALSE)</f>
        <v>1056.2130751340239</v>
      </c>
      <c r="D309" s="151" t="s">
        <v>2478</v>
      </c>
      <c r="E309" s="359">
        <f>CONVERT(C309,"m^3","ft^3")</f>
        <v>37299.812735236643</v>
      </c>
      <c r="F309" s="151" t="s">
        <v>2479</v>
      </c>
      <c r="G309"/>
      <c r="H309"/>
      <c r="K309"/>
      <c r="L309"/>
    </row>
    <row r="310" spans="1:15" x14ac:dyDescent="0.3">
      <c r="D310"/>
      <c r="E310"/>
      <c r="F310"/>
      <c r="G310"/>
      <c r="H310"/>
      <c r="K310"/>
      <c r="L310"/>
    </row>
    <row r="311" spans="1:15" s="369" customFormat="1" ht="43.2" x14ac:dyDescent="0.3">
      <c r="B311" s="370" t="s">
        <v>6946</v>
      </c>
      <c r="C311" s="362" t="s">
        <v>6947</v>
      </c>
      <c r="D311" s="371" t="s">
        <v>6948</v>
      </c>
      <c r="E311" s="362" t="s">
        <v>6949</v>
      </c>
      <c r="F311" s="362" t="s">
        <v>6950</v>
      </c>
      <c r="G311" s="362" t="s">
        <v>6951</v>
      </c>
      <c r="H311" s="362" t="s">
        <v>6952</v>
      </c>
      <c r="I311" s="371" t="s">
        <v>6953</v>
      </c>
      <c r="J311" s="371" t="s">
        <v>6954</v>
      </c>
      <c r="K311" s="362" t="s">
        <v>6955</v>
      </c>
      <c r="L311" s="362" t="s">
        <v>6956</v>
      </c>
      <c r="M311" s="362" t="s">
        <v>6957</v>
      </c>
      <c r="N311" s="362" t="s">
        <v>6958</v>
      </c>
      <c r="O311" s="363" t="s">
        <v>6959</v>
      </c>
    </row>
    <row r="312" spans="1:15" x14ac:dyDescent="0.3">
      <c r="A312" t="s">
        <v>6960</v>
      </c>
      <c r="B312" s="99" t="s">
        <v>6961</v>
      </c>
      <c r="C312" s="153">
        <f>VLOOKUP("Deep and shallow pit constructiona",Econ.Equations!C:E,2,FALSE)*E309^VLOOKUP("Deep and shallow pit constructionb",Econ.Equations!$C:$E,2,FALSE)*E309</f>
        <v>96391.333118209659</v>
      </c>
      <c r="D312">
        <f>VLOOKUP("CAPEXLifetimeBuildings and constructionDefault",Econ.inputsTable!$E:$I,2,FALSE)</f>
        <v>20</v>
      </c>
      <c r="E312" t="s">
        <v>2852</v>
      </c>
      <c r="F312" t="s">
        <v>2852</v>
      </c>
      <c r="G312" s="154">
        <f>VLOOKUP("CAPEXAnnual usage on activityItems that are used only on the given activityDefault",Econ.inputsTable!$E:$I,2,FALSE)</f>
        <v>1</v>
      </c>
      <c r="H312" s="503">
        <f>UDV.econ_capital.interest_rate</f>
        <v>5.0999999999999997E-2</v>
      </c>
      <c r="I312" s="155">
        <f>VLOOKUP("CAPEXSalvageBuildings and constructionDefault",Econ.inputsTable!$E:$J,2,FALSE)</f>
        <v>0</v>
      </c>
      <c r="J312" s="156">
        <f>C312*I312</f>
        <v>0</v>
      </c>
      <c r="K312" s="154">
        <f>VLOOKUP("CAPEXFinanced amountNADefault",Econ.inputsTable!$E:$G,2,FALSE)</f>
        <v>1</v>
      </c>
      <c r="L312" s="364">
        <f>H312*K312</f>
        <v>5.0999999999999997E-2</v>
      </c>
      <c r="M312" s="351">
        <f>L312/(1-(1+L312)^-D312)</f>
        <v>8.0924368970045152E-2</v>
      </c>
      <c r="N312" s="153">
        <f>((C312-J312)*M312)+(J312*L312)</f>
        <v>7800.4078067725313</v>
      </c>
      <c r="O312" s="372">
        <f>N312*G312</f>
        <v>7800.4078067725313</v>
      </c>
    </row>
    <row r="313" spans="1:15" x14ac:dyDescent="0.3">
      <c r="B313" s="99"/>
      <c r="D313"/>
      <c r="E313"/>
      <c r="F313"/>
      <c r="G313"/>
      <c r="H313"/>
      <c r="K313"/>
      <c r="L313"/>
      <c r="O313" s="146"/>
    </row>
    <row r="314" spans="1:15" x14ac:dyDescent="0.3">
      <c r="B314" s="99"/>
      <c r="C314" s="82" t="s">
        <v>6962</v>
      </c>
      <c r="D314" s="82" t="s">
        <v>6963</v>
      </c>
      <c r="E314"/>
      <c r="F314"/>
      <c r="G314"/>
      <c r="H314"/>
      <c r="K314"/>
      <c r="L314"/>
      <c r="O314" s="146"/>
    </row>
    <row r="315" spans="1:15" x14ac:dyDescent="0.3">
      <c r="A315" t="s">
        <v>6945</v>
      </c>
      <c r="B315" s="99" t="s">
        <v>6964</v>
      </c>
      <c r="C315" s="153">
        <f>SUM(C312:C312)</f>
        <v>96391.333118209659</v>
      </c>
      <c r="D315" s="158">
        <f>SUMPRODUCT(C312:C312,G312:G312)</f>
        <v>96391.333118209659</v>
      </c>
      <c r="E315"/>
      <c r="F315"/>
      <c r="G315"/>
      <c r="H315"/>
      <c r="K315"/>
      <c r="L315"/>
      <c r="O315" s="146"/>
    </row>
    <row r="316" spans="1:15" x14ac:dyDescent="0.3">
      <c r="A316" t="s">
        <v>6945</v>
      </c>
      <c r="B316" s="149" t="s">
        <v>6965</v>
      </c>
      <c r="C316" s="159">
        <f>SUM(N312:N312)</f>
        <v>7800.4078067725313</v>
      </c>
      <c r="D316" s="159">
        <f>SUMPRODUCT(N312:N312,G312:G312)</f>
        <v>7800.4078067725313</v>
      </c>
      <c r="E316" s="150"/>
      <c r="F316" s="150"/>
      <c r="G316" s="150"/>
      <c r="H316" s="150"/>
      <c r="I316" s="150"/>
      <c r="J316" s="150"/>
      <c r="K316" s="150"/>
      <c r="L316" s="150"/>
      <c r="M316" s="150"/>
      <c r="N316" s="150"/>
      <c r="O316" s="151"/>
    </row>
    <row r="317" spans="1:15" x14ac:dyDescent="0.3">
      <c r="B317" s="262"/>
      <c r="C317" s="142"/>
      <c r="D317" s="142"/>
      <c r="E317" s="142"/>
      <c r="F317" s="142"/>
      <c r="G317" s="142"/>
      <c r="H317" s="142"/>
      <c r="I317" s="142"/>
      <c r="J317" s="142"/>
      <c r="K317" s="142"/>
      <c r="L317" s="142"/>
      <c r="M317" s="142"/>
      <c r="N317" s="142"/>
      <c r="O317" s="141"/>
    </row>
    <row r="318" spans="1:15" ht="57.6" x14ac:dyDescent="0.3">
      <c r="B318" s="160" t="s">
        <v>6966</v>
      </c>
      <c r="C318" s="152" t="s">
        <v>6967</v>
      </c>
      <c r="D318" s="152" t="s">
        <v>6968</v>
      </c>
      <c r="E318" s="152" t="s">
        <v>6969</v>
      </c>
      <c r="F318" s="152" t="s">
        <v>6970</v>
      </c>
      <c r="G318" s="152" t="s">
        <v>6971</v>
      </c>
      <c r="H318" s="152" t="s">
        <v>6972</v>
      </c>
      <c r="I318" s="152" t="s">
        <v>6973</v>
      </c>
      <c r="J318" s="152" t="s">
        <v>6974</v>
      </c>
      <c r="K318" s="152" t="s">
        <v>6975</v>
      </c>
      <c r="L318" s="152" t="s">
        <v>6976</v>
      </c>
      <c r="M318" s="152" t="s">
        <v>6977</v>
      </c>
      <c r="N318" s="152" t="s">
        <v>6978</v>
      </c>
      <c r="O318" s="161" t="s">
        <v>6979</v>
      </c>
    </row>
    <row r="319" spans="1:15" x14ac:dyDescent="0.3">
      <c r="B319" s="99" t="s">
        <v>6945</v>
      </c>
      <c r="C319" s="155">
        <f>VLOOKUP("OPEXInsuranceEverythingDefault",Econ.inputsTable!$E$1:$J$213,2,FALSE)</f>
        <v>5.0000000000000001E-3</v>
      </c>
      <c r="D319" s="155">
        <f>VLOOKUP("OPEXRepair and maintenanceBuildings and constructionDefault",Econ.inputsTable!$E$1:$J$503,2,FALSE)</f>
        <v>0.01</v>
      </c>
      <c r="E319"/>
      <c r="F319"/>
      <c r="G319"/>
      <c r="H319"/>
      <c r="K319"/>
      <c r="L319"/>
      <c r="O319" s="157">
        <f>(SUM(C319:D319)*SUMPRODUCT(C312:C312,G312:G312))+SUM(E319,G319,I319,J319,L319,N319)</f>
        <v>1445.8699967731447</v>
      </c>
    </row>
    <row r="320" spans="1:15" x14ac:dyDescent="0.3">
      <c r="A320" t="s">
        <v>6945</v>
      </c>
      <c r="B320" s="162" t="s">
        <v>5203</v>
      </c>
      <c r="C320" s="241"/>
      <c r="D320" s="241"/>
      <c r="E320" s="367">
        <f t="shared" ref="E320:O320" si="0">SUM(E319)</f>
        <v>0</v>
      </c>
      <c r="F320" s="537">
        <f t="shared" si="0"/>
        <v>0</v>
      </c>
      <c r="G320" s="367">
        <f t="shared" si="0"/>
        <v>0</v>
      </c>
      <c r="H320" s="537">
        <f t="shared" si="0"/>
        <v>0</v>
      </c>
      <c r="I320" s="367">
        <f t="shared" si="0"/>
        <v>0</v>
      </c>
      <c r="J320" s="367">
        <f t="shared" si="0"/>
        <v>0</v>
      </c>
      <c r="K320" s="537">
        <f t="shared" si="0"/>
        <v>0</v>
      </c>
      <c r="L320" s="367">
        <f t="shared" si="0"/>
        <v>0</v>
      </c>
      <c r="M320" s="537">
        <f t="shared" si="0"/>
        <v>0</v>
      </c>
      <c r="N320" s="367">
        <f t="shared" si="0"/>
        <v>0</v>
      </c>
      <c r="O320" s="169">
        <f t="shared" si="0"/>
        <v>1445.8699967731447</v>
      </c>
    </row>
    <row r="321" spans="1:15" x14ac:dyDescent="0.3">
      <c r="B321" s="99"/>
      <c r="C321" s="155"/>
      <c r="D321" s="155"/>
      <c r="E321" s="155"/>
      <c r="F321" s="158"/>
      <c r="G321" s="154"/>
      <c r="H321" s="156"/>
      <c r="I321" s="153"/>
      <c r="K321"/>
      <c r="L321"/>
      <c r="O321" s="146"/>
    </row>
    <row r="322" spans="1:15" x14ac:dyDescent="0.3">
      <c r="A322" t="s">
        <v>6945</v>
      </c>
      <c r="B322" s="149" t="s">
        <v>6980</v>
      </c>
      <c r="C322" s="159">
        <f>O320</f>
        <v>1445.8699967731447</v>
      </c>
      <c r="D322" s="150"/>
      <c r="E322" s="150"/>
      <c r="F322" s="150"/>
      <c r="G322" s="150"/>
      <c r="H322" s="150"/>
      <c r="I322" s="150"/>
      <c r="J322" s="150"/>
      <c r="K322" s="150"/>
      <c r="L322" s="150"/>
      <c r="M322" s="150"/>
      <c r="N322" s="150"/>
      <c r="O322" s="151"/>
    </row>
    <row r="323" spans="1:15" ht="15" thickBot="1" x14ac:dyDescent="0.35">
      <c r="A323" s="137"/>
      <c r="B323" s="137"/>
      <c r="C323" s="137"/>
      <c r="D323" s="137"/>
      <c r="E323" s="137"/>
      <c r="F323" s="137"/>
      <c r="G323" s="137"/>
      <c r="H323" s="137"/>
      <c r="I323" s="137"/>
      <c r="J323" s="137"/>
      <c r="K323" s="137"/>
      <c r="L323" s="137"/>
      <c r="M323" s="137"/>
      <c r="N323" s="137"/>
      <c r="O323" s="137"/>
    </row>
    <row r="324" spans="1:15" x14ac:dyDescent="0.3">
      <c r="D324"/>
      <c r="E324"/>
      <c r="F324"/>
      <c r="G324"/>
      <c r="H324"/>
      <c r="K324"/>
      <c r="L324"/>
    </row>
    <row r="325" spans="1:15" ht="15.6" x14ac:dyDescent="0.3">
      <c r="B325" s="138" t="s">
        <v>6981</v>
      </c>
      <c r="C325" s="170" t="s">
        <v>6982</v>
      </c>
      <c r="D325"/>
      <c r="E325"/>
      <c r="F325"/>
    </row>
    <row r="326" spans="1:15" ht="15.6" x14ac:dyDescent="0.3">
      <c r="B326" s="138"/>
      <c r="D326"/>
      <c r="E326"/>
      <c r="F326"/>
    </row>
    <row r="327" spans="1:15" x14ac:dyDescent="0.3">
      <c r="B327" s="139" t="s">
        <v>6983</v>
      </c>
      <c r="C327" s="140" t="s">
        <v>565</v>
      </c>
      <c r="D327" s="140" t="s">
        <v>38</v>
      </c>
      <c r="E327" s="142"/>
      <c r="F327" s="141"/>
    </row>
    <row r="328" spans="1:15" x14ac:dyDescent="0.3">
      <c r="B328" s="99" t="s">
        <v>6984</v>
      </c>
      <c r="C328">
        <f>UDV.crops.acres_available</f>
        <v>100</v>
      </c>
      <c r="D328" t="s">
        <v>5385</v>
      </c>
      <c r="E328" s="34"/>
      <c r="F328" s="146"/>
    </row>
    <row r="329" spans="1:15" x14ac:dyDescent="0.3">
      <c r="B329" s="99" t="s">
        <v>6985</v>
      </c>
      <c r="C329" s="166">
        <f>UDV.econ_manure.liquid_sell_pct*VLOOKUP("Excess volume, deep pit slurry manure",$R$1:$T$300, 3, FALSE)</f>
        <v>0</v>
      </c>
      <c r="D329" t="s">
        <v>5246</v>
      </c>
      <c r="E329"/>
      <c r="F329" s="146"/>
    </row>
    <row r="330" spans="1:15" x14ac:dyDescent="0.3">
      <c r="B330" s="99" t="s">
        <v>6986</v>
      </c>
      <c r="C330" s="166">
        <f>UDV.econ_manure.liquid_give_pct*VLOOKUP("Excess volume, deep pit slurry manure",$R$1:$T$300, 3, FALSE)</f>
        <v>279.0219754073853</v>
      </c>
      <c r="D330" t="s">
        <v>5246</v>
      </c>
      <c r="E330"/>
      <c r="F330" s="146"/>
    </row>
    <row r="331" spans="1:15" x14ac:dyDescent="0.3">
      <c r="B331" s="99" t="s">
        <v>6987</v>
      </c>
      <c r="C331" s="757">
        <f>UDV.econ_manure.liquid_export_pct*VLOOKUP("Excess volume, deep pit slurry manure",$R$1:$T$300, 3, FALSE)</f>
        <v>0</v>
      </c>
      <c r="D331" t="s">
        <v>5246</v>
      </c>
      <c r="E331"/>
      <c r="F331" s="146"/>
    </row>
    <row r="332" spans="1:15" x14ac:dyDescent="0.3">
      <c r="B332" s="99"/>
      <c r="D332"/>
      <c r="E332"/>
      <c r="F332" s="146"/>
    </row>
    <row r="333" spans="1:15" x14ac:dyDescent="0.3">
      <c r="B333" s="92" t="s">
        <v>6942</v>
      </c>
      <c r="D333"/>
      <c r="E333" s="139" t="s">
        <v>6988</v>
      </c>
      <c r="F333" s="141"/>
    </row>
    <row r="334" spans="1:15" x14ac:dyDescent="0.3">
      <c r="B334" s="175" t="s">
        <v>2908</v>
      </c>
      <c r="D334"/>
      <c r="E334" s="99"/>
      <c r="F334" s="146"/>
    </row>
    <row r="335" spans="1:15" x14ac:dyDescent="0.3">
      <c r="B335" s="143" t="s">
        <v>2663</v>
      </c>
      <c r="C335" s="144" t="s">
        <v>565</v>
      </c>
      <c r="D335" s="144" t="s">
        <v>6943</v>
      </c>
      <c r="E335" s="143" t="s">
        <v>565</v>
      </c>
      <c r="F335" s="145" t="s">
        <v>6944</v>
      </c>
    </row>
    <row r="336" spans="1:15" x14ac:dyDescent="0.3">
      <c r="B336" s="99" t="s">
        <v>5676</v>
      </c>
      <c r="C336" s="147">
        <f>VLOOKUP(B336,$R$1:$U$300,3,FALSE)</f>
        <v>160</v>
      </c>
      <c r="D336" t="s">
        <v>5689</v>
      </c>
      <c r="E336" s="99">
        <f>C336</f>
        <v>160</v>
      </c>
      <c r="F336" s="146" t="s">
        <v>5689</v>
      </c>
    </row>
    <row r="337" spans="2:10" x14ac:dyDescent="0.3">
      <c r="B337" s="99" t="s">
        <v>6989</v>
      </c>
      <c r="C337" s="147"/>
      <c r="D337" t="s">
        <v>2442</v>
      </c>
      <c r="E337" s="178">
        <f>E338</f>
        <v>1</v>
      </c>
      <c r="F337" s="146" t="s">
        <v>2442</v>
      </c>
    </row>
    <row r="338" spans="2:10" x14ac:dyDescent="0.3">
      <c r="B338" s="99" t="s">
        <v>5735</v>
      </c>
      <c r="C338" s="147">
        <f>VLOOKUP(B338,$R$1:$U$300,3,FALSE)</f>
        <v>1</v>
      </c>
      <c r="D338" t="s">
        <v>2442</v>
      </c>
      <c r="E338" s="178">
        <f>C338</f>
        <v>1</v>
      </c>
      <c r="F338" s="146" t="s">
        <v>2442</v>
      </c>
    </row>
    <row r="339" spans="2:10" x14ac:dyDescent="0.3">
      <c r="B339" s="99" t="s">
        <v>5663</v>
      </c>
      <c r="C339" s="147">
        <f>VLOOKUP(B339,$R$1:$U$300,3,FALSE)</f>
        <v>180</v>
      </c>
      <c r="D339" t="s">
        <v>5689</v>
      </c>
      <c r="E339" s="99">
        <f>C339</f>
        <v>180</v>
      </c>
      <c r="F339" s="146" t="s">
        <v>5689</v>
      </c>
    </row>
    <row r="340" spans="2:10" x14ac:dyDescent="0.3">
      <c r="B340" s="99" t="s">
        <v>6990</v>
      </c>
      <c r="C340" s="297"/>
      <c r="D340" t="s">
        <v>2442</v>
      </c>
      <c r="E340" s="178">
        <f>E341</f>
        <v>1</v>
      </c>
      <c r="F340" s="146" t="s">
        <v>2442</v>
      </c>
    </row>
    <row r="341" spans="2:10" x14ac:dyDescent="0.3">
      <c r="B341" s="99" t="s">
        <v>5736</v>
      </c>
      <c r="C341" s="147">
        <f>VLOOKUP(B341,$R$1:$U$300,3,FALSE)</f>
        <v>1</v>
      </c>
      <c r="D341" t="s">
        <v>2442</v>
      </c>
      <c r="E341" s="178">
        <f>C341</f>
        <v>1</v>
      </c>
      <c r="F341" s="146" t="s">
        <v>2442</v>
      </c>
      <c r="G341"/>
      <c r="H341"/>
    </row>
    <row r="342" spans="2:10" x14ac:dyDescent="0.3">
      <c r="B342" s="99" t="s">
        <v>5638</v>
      </c>
      <c r="C342" s="147">
        <f>VLOOKUP(B342,$R$1:$U$300,3,FALSE)</f>
        <v>250</v>
      </c>
      <c r="D342" t="s">
        <v>5689</v>
      </c>
      <c r="E342" s="99">
        <f>C342</f>
        <v>250</v>
      </c>
      <c r="F342" s="146" t="s">
        <v>5689</v>
      </c>
      <c r="G342"/>
      <c r="H342"/>
    </row>
    <row r="343" spans="2:10" x14ac:dyDescent="0.3">
      <c r="B343" s="99" t="s">
        <v>5637</v>
      </c>
      <c r="C343" s="147">
        <f>VLOOKUP(B343,$R$1:$U$300,3,FALSE)</f>
        <v>6000</v>
      </c>
      <c r="D343" t="s">
        <v>2480</v>
      </c>
      <c r="E343" s="99">
        <f>C343</f>
        <v>6000</v>
      </c>
      <c r="F343" s="146" t="s">
        <v>2480</v>
      </c>
      <c r="G343"/>
      <c r="H343"/>
    </row>
    <row r="344" spans="2:10" x14ac:dyDescent="0.3">
      <c r="B344" s="99" t="s">
        <v>6991</v>
      </c>
      <c r="C344" s="147"/>
      <c r="D344" s="146" t="s">
        <v>2442</v>
      </c>
      <c r="E344" s="178">
        <f>E345</f>
        <v>1</v>
      </c>
      <c r="F344" s="146" t="s">
        <v>2442</v>
      </c>
      <c r="G344"/>
      <c r="H344"/>
    </row>
    <row r="345" spans="2:10" x14ac:dyDescent="0.3">
      <c r="B345" s="99" t="s">
        <v>5734</v>
      </c>
      <c r="C345" s="147">
        <f>VLOOKUP(B345,$R$1:$U$300,3,FALSE)</f>
        <v>1</v>
      </c>
      <c r="D345" t="s">
        <v>2442</v>
      </c>
      <c r="E345" s="178">
        <f>C345</f>
        <v>1</v>
      </c>
      <c r="F345" s="146" t="s">
        <v>2442</v>
      </c>
      <c r="G345"/>
      <c r="H345"/>
    </row>
    <row r="346" spans="2:10" x14ac:dyDescent="0.3">
      <c r="B346" s="99" t="s">
        <v>5732</v>
      </c>
      <c r="C346" s="147" t="str">
        <f>VLOOKUP(B346,$R$1:$U$300,3,FALSE)</f>
        <v>Injection</v>
      </c>
      <c r="D346" t="s">
        <v>6992</v>
      </c>
      <c r="E346" s="99" t="str">
        <f>C346</f>
        <v>Injection</v>
      </c>
      <c r="F346" s="146" t="s">
        <v>6992</v>
      </c>
      <c r="G346"/>
      <c r="H346" s="1052"/>
    </row>
    <row r="347" spans="2:10" x14ac:dyDescent="0.3">
      <c r="B347" s="99"/>
      <c r="D347"/>
      <c r="E347" s="99"/>
      <c r="F347" s="146"/>
      <c r="G347"/>
      <c r="H347"/>
    </row>
    <row r="348" spans="2:10" x14ac:dyDescent="0.3">
      <c r="B348" s="175" t="s">
        <v>262</v>
      </c>
      <c r="D348"/>
      <c r="E348" s="99"/>
      <c r="F348" s="146"/>
      <c r="G348"/>
      <c r="H348"/>
    </row>
    <row r="349" spans="2:10" x14ac:dyDescent="0.3">
      <c r="B349" s="143" t="s">
        <v>2663</v>
      </c>
      <c r="C349" s="144" t="s">
        <v>565</v>
      </c>
      <c r="D349" s="144" t="s">
        <v>6943</v>
      </c>
      <c r="E349" s="143" t="s">
        <v>565</v>
      </c>
      <c r="F349" s="145" t="s">
        <v>6944</v>
      </c>
      <c r="G349" s="1222" t="s">
        <v>6392</v>
      </c>
      <c r="H349" s="1215" t="s">
        <v>6993</v>
      </c>
      <c r="I349" s="142"/>
      <c r="J349" s="141"/>
    </row>
    <row r="350" spans="2:10" x14ac:dyDescent="0.3">
      <c r="B350" s="99" t="s">
        <v>5528</v>
      </c>
      <c r="C350" s="147">
        <f t="shared" ref="C350:C360" si="1">VLOOKUP(B350,$R$1:$U$300,3,FALSE)</f>
        <v>182.5</v>
      </c>
      <c r="D350" t="s">
        <v>5121</v>
      </c>
      <c r="E350" s="201">
        <f>UC.year_to_day/C350</f>
        <v>2</v>
      </c>
      <c r="F350" s="146" t="s">
        <v>6994</v>
      </c>
      <c r="G350" s="42" t="str">
        <f>_xlfn.CONCAT($G$349," ",H350)</f>
        <v>Tanker Non-sludge year labor</v>
      </c>
      <c r="H350" s="92" t="s">
        <v>5443</v>
      </c>
      <c r="I350" s="1216" t="s">
        <v>2710</v>
      </c>
      <c r="J350" s="285">
        <f>(SUM(E351:E352)*UDV.OPEX_labor.tractor_stationary)+(E353*UDV.OPEX_labor.tractor_active)</f>
        <v>22.003886560796118</v>
      </c>
    </row>
    <row r="351" spans="2:10" x14ac:dyDescent="0.3">
      <c r="B351" s="99" t="s">
        <v>5679</v>
      </c>
      <c r="C351" s="147">
        <f t="shared" si="1"/>
        <v>11.107840942835015</v>
      </c>
      <c r="D351" t="s">
        <v>6085</v>
      </c>
      <c r="E351" s="178">
        <f>C351*E350</f>
        <v>22.21568188567003</v>
      </c>
      <c r="F351" s="146" t="s">
        <v>2710</v>
      </c>
      <c r="G351" s="42" t="str">
        <f t="shared" ref="G351:G353" si="2">_xlfn.CONCAT($G$349," ",H351)</f>
        <v>Tanker Sludge labor</v>
      </c>
      <c r="H351" s="1217" t="s">
        <v>5444</v>
      </c>
      <c r="I351" s="1216" t="s">
        <v>6085</v>
      </c>
      <c r="J351" s="285"/>
    </row>
    <row r="352" spans="2:10" x14ac:dyDescent="0.3">
      <c r="B352" s="99" t="s">
        <v>5667</v>
      </c>
      <c r="C352" s="147">
        <f t="shared" si="1"/>
        <v>1.1625915641974387</v>
      </c>
      <c r="D352" t="s">
        <v>6085</v>
      </c>
      <c r="E352" s="178">
        <f>C352*E350</f>
        <v>2.3251831283948774</v>
      </c>
      <c r="F352" s="146" t="s">
        <v>2710</v>
      </c>
      <c r="G352" s="42" t="str">
        <f t="shared" si="2"/>
        <v>Tanker Sum non-sludge + sludge year labor</v>
      </c>
      <c r="H352" s="1218" t="s">
        <v>5445</v>
      </c>
      <c r="I352" s="1216" t="s">
        <v>6995</v>
      </c>
      <c r="J352" s="285">
        <f>SUM(J350:J351)</f>
        <v>22.003886560796118</v>
      </c>
    </row>
    <row r="353" spans="1:15" x14ac:dyDescent="0.3">
      <c r="B353" s="99" t="s">
        <v>5654</v>
      </c>
      <c r="C353" s="147">
        <f t="shared" si="1"/>
        <v>8.8862727542680116</v>
      </c>
      <c r="D353" t="s">
        <v>6085</v>
      </c>
      <c r="E353" s="178">
        <f>C353*E350</f>
        <v>17.772545508536023</v>
      </c>
      <c r="F353" s="146" t="s">
        <v>2710</v>
      </c>
      <c r="G353" s="42" t="str">
        <f t="shared" si="2"/>
        <v>Tanker Average non-sludge + sludge labor</v>
      </c>
      <c r="H353" s="1219" t="s">
        <v>5446</v>
      </c>
      <c r="I353" s="1220" t="s">
        <v>5447</v>
      </c>
      <c r="J353" s="1221">
        <f>J350+(J351/UDV.anaer_lagoon.sludge_time)</f>
        <v>22.003886560796118</v>
      </c>
    </row>
    <row r="354" spans="1:15" x14ac:dyDescent="0.3">
      <c r="B354" s="99" t="s">
        <v>5682</v>
      </c>
      <c r="C354" s="147">
        <f t="shared" si="1"/>
        <v>78.1992002375585</v>
      </c>
      <c r="D354" t="s">
        <v>2489</v>
      </c>
      <c r="E354" s="178">
        <f>C354*E350</f>
        <v>156.398400475117</v>
      </c>
      <c r="F354" s="146" t="s">
        <v>5324</v>
      </c>
    </row>
    <row r="355" spans="1:15" x14ac:dyDescent="0.3">
      <c r="B355" s="99" t="s">
        <v>5672</v>
      </c>
      <c r="C355" s="147">
        <f t="shared" si="1"/>
        <v>9.2077251884437139</v>
      </c>
      <c r="D355" t="s">
        <v>2489</v>
      </c>
      <c r="E355" s="178">
        <f>C355*E350</f>
        <v>18.415450376887428</v>
      </c>
      <c r="F355" s="146" t="s">
        <v>5324</v>
      </c>
      <c r="G355"/>
      <c r="H355"/>
    </row>
    <row r="356" spans="1:15" x14ac:dyDescent="0.3">
      <c r="B356" s="99" t="s">
        <v>5660</v>
      </c>
      <c r="C356" s="147">
        <f t="shared" si="1"/>
        <v>97.749000296948125</v>
      </c>
      <c r="D356" t="s">
        <v>2489</v>
      </c>
      <c r="E356" s="178">
        <f>C356*E350</f>
        <v>195.49800059389625</v>
      </c>
      <c r="F356" s="146" t="s">
        <v>5324</v>
      </c>
      <c r="G356"/>
      <c r="H356"/>
    </row>
    <row r="357" spans="1:15" x14ac:dyDescent="0.3">
      <c r="B357" s="99" t="s">
        <v>5726</v>
      </c>
      <c r="C357" s="147">
        <f t="shared" si="1"/>
        <v>1056.2125759268704</v>
      </c>
      <c r="D357" t="s">
        <v>5910</v>
      </c>
      <c r="E357" s="200">
        <f>CONVERT(C357,"m^3","gal")*E350</f>
        <v>558043.687818176</v>
      </c>
      <c r="F357" s="146" t="s">
        <v>5324</v>
      </c>
      <c r="G357"/>
      <c r="H357"/>
      <c r="K357"/>
      <c r="L357"/>
    </row>
    <row r="358" spans="1:15" x14ac:dyDescent="0.3">
      <c r="A358" t="str">
        <f>_xlfn.CONCAT("Slurry",B358)</f>
        <v>SlurryN removed, deep pit</v>
      </c>
      <c r="B358" s="99" t="s">
        <v>5728</v>
      </c>
      <c r="C358" s="205">
        <f t="shared" si="1"/>
        <v>6.7330947914969377</v>
      </c>
      <c r="D358" t="s">
        <v>2413</v>
      </c>
      <c r="E358" s="201">
        <f>C358*UC.g_to_lb/UC.L_to_gal*1000</f>
        <v>56.190399750413853</v>
      </c>
      <c r="F358" s="146" t="s">
        <v>2414</v>
      </c>
      <c r="H358"/>
      <c r="K358"/>
      <c r="L358"/>
    </row>
    <row r="359" spans="1:15" x14ac:dyDescent="0.3">
      <c r="A359" t="str">
        <f t="shared" ref="A359:A360" si="3">_xlfn.CONCAT("Slurry",B359)</f>
        <v>SlurryP2O5 removed, deep pit</v>
      </c>
      <c r="B359" s="99" t="s">
        <v>5729</v>
      </c>
      <c r="C359" s="205">
        <f t="shared" si="1"/>
        <v>3.1447771554792809</v>
      </c>
      <c r="D359" t="s">
        <v>2413</v>
      </c>
      <c r="E359" s="201">
        <f>C359*UC.g_to_lb/UC.L_to_gal*1000</f>
        <v>26.244437508218105</v>
      </c>
      <c r="F359" s="146" t="s">
        <v>2414</v>
      </c>
      <c r="H359"/>
      <c r="K359"/>
      <c r="L359"/>
    </row>
    <row r="360" spans="1:15" x14ac:dyDescent="0.3">
      <c r="A360" t="str">
        <f t="shared" si="3"/>
        <v>SlurryK2O removed, deep pit</v>
      </c>
      <c r="B360" s="99" t="s">
        <v>5730</v>
      </c>
      <c r="C360" s="78">
        <f t="shared" si="1"/>
        <v>4.0433046612854131</v>
      </c>
      <c r="D360" t="s">
        <v>2413</v>
      </c>
      <c r="E360" s="201">
        <f>C360*UC.g_to_lb/UC.L_to_gal*1000</f>
        <v>33.743013022370924</v>
      </c>
      <c r="F360" s="146" t="s">
        <v>2414</v>
      </c>
      <c r="H360"/>
      <c r="K360"/>
      <c r="L360"/>
    </row>
    <row r="361" spans="1:15" x14ac:dyDescent="0.3">
      <c r="B361" s="99"/>
      <c r="D361" s="146"/>
      <c r="E361" s="99"/>
      <c r="F361" s="146"/>
      <c r="G361"/>
      <c r="H361"/>
      <c r="K361"/>
      <c r="L361"/>
    </row>
    <row r="362" spans="1:15" x14ac:dyDescent="0.3">
      <c r="B362" s="92" t="s">
        <v>6996</v>
      </c>
      <c r="D362"/>
      <c r="E362" s="99"/>
      <c r="F362" s="146"/>
      <c r="G362"/>
      <c r="H362"/>
      <c r="K362"/>
      <c r="L362"/>
    </row>
    <row r="363" spans="1:15" x14ac:dyDescent="0.3">
      <c r="B363" s="143" t="s">
        <v>2663</v>
      </c>
      <c r="C363" s="144" t="s">
        <v>565</v>
      </c>
      <c r="D363" s="144" t="s">
        <v>6943</v>
      </c>
      <c r="E363" s="143" t="s">
        <v>565</v>
      </c>
      <c r="F363" s="145" t="s">
        <v>6944</v>
      </c>
      <c r="G363"/>
      <c r="H363"/>
      <c r="K363"/>
      <c r="L363"/>
    </row>
    <row r="364" spans="1:15" x14ac:dyDescent="0.3">
      <c r="B364" s="99" t="s">
        <v>6997</v>
      </c>
      <c r="D364" s="146"/>
      <c r="E364" s="813">
        <f>UDV.fuel.diesel_avg_cost</f>
        <v>3.6964905660377356</v>
      </c>
      <c r="F364" s="146" t="s">
        <v>2315</v>
      </c>
      <c r="G364"/>
      <c r="H364"/>
      <c r="K364"/>
      <c r="L364"/>
    </row>
    <row r="365" spans="1:15" x14ac:dyDescent="0.3">
      <c r="B365" s="149" t="s">
        <v>6998</v>
      </c>
      <c r="C365" s="150"/>
      <c r="D365" s="150"/>
      <c r="E365" s="347">
        <f>UDV.labor.non_specialized_cost</f>
        <v>23.66</v>
      </c>
      <c r="F365" s="151" t="s">
        <v>3659</v>
      </c>
      <c r="G365"/>
      <c r="H365"/>
      <c r="K365"/>
      <c r="L365"/>
    </row>
    <row r="366" spans="1:15" x14ac:dyDescent="0.3">
      <c r="D366"/>
      <c r="E366"/>
      <c r="F366"/>
      <c r="G366"/>
      <c r="H366"/>
      <c r="K366"/>
      <c r="L366"/>
    </row>
    <row r="367" spans="1:15" x14ac:dyDescent="0.3">
      <c r="B367" s="206" t="s">
        <v>6982</v>
      </c>
      <c r="C367" s="140"/>
      <c r="D367" s="207"/>
      <c r="E367" s="207"/>
      <c r="F367" s="207"/>
      <c r="G367" s="207"/>
      <c r="H367" s="207"/>
      <c r="I367" s="207"/>
      <c r="J367" s="142"/>
      <c r="K367" s="142"/>
      <c r="L367" s="142"/>
      <c r="M367" s="142"/>
      <c r="N367" s="142"/>
      <c r="O367" s="208"/>
    </row>
    <row r="368" spans="1:15" ht="43.2" x14ac:dyDescent="0.3">
      <c r="B368" s="210" t="s">
        <v>6946</v>
      </c>
      <c r="C368" s="152" t="s">
        <v>6947</v>
      </c>
      <c r="D368" s="152" t="s">
        <v>6948</v>
      </c>
      <c r="E368" s="152" t="s">
        <v>6999</v>
      </c>
      <c r="F368" s="152" t="s">
        <v>7000</v>
      </c>
      <c r="G368" s="152" t="s">
        <v>6951</v>
      </c>
      <c r="H368" s="152" t="s">
        <v>6952</v>
      </c>
      <c r="I368" s="152" t="s">
        <v>7001</v>
      </c>
      <c r="J368" s="152" t="s">
        <v>6954</v>
      </c>
      <c r="K368" s="152" t="s">
        <v>6955</v>
      </c>
      <c r="L368" s="152" t="s">
        <v>6956</v>
      </c>
      <c r="M368" s="82" t="s">
        <v>6957</v>
      </c>
      <c r="N368" s="152" t="s">
        <v>7002</v>
      </c>
      <c r="O368" s="161" t="s">
        <v>6959</v>
      </c>
    </row>
    <row r="369" spans="1:15" x14ac:dyDescent="0.3">
      <c r="A369" t="s">
        <v>7003</v>
      </c>
      <c r="B369" s="99" t="s">
        <v>7004</v>
      </c>
      <c r="C369" s="153">
        <f>VLOOKUP(_xlfn.CONCAT("Tractor",E336," hp"),Econ.Tables!C:E,2,FALSE)*E338</f>
        <v>283300</v>
      </c>
      <c r="D369" s="79">
        <f>VLOOKUP("CAPEXLifetimeTractor, 4 wheel drive and crawlerDefault",Econ.inputsTable!$E:$H,2,FALSE)/E369</f>
        <v>16</v>
      </c>
      <c r="E369" s="213" cm="1">
        <f t="array" ref="E369">IF(F369&gt;UDV.tractor.min_usage_yearly,F369,UDV.tractor.min_usage_yearly)</f>
        <v>1000</v>
      </c>
      <c r="F369" s="214">
        <f>IF(E338=0,0,E351/E338)</f>
        <v>22.21568188567003</v>
      </c>
      <c r="G369" s="215">
        <f>F369/E369</f>
        <v>2.2215681885670031E-2</v>
      </c>
      <c r="H369" s="216">
        <f t="shared" ref="H369:H376" si="4">UDV.econ_capital.interest_rate</f>
        <v>5.0999999999999997E-2</v>
      </c>
      <c r="I369" s="216">
        <f>VLOOKUP("CAPEXSalvageEquipmentDefault",Econ.inputsTable!$E:$H,2,FALSE)</f>
        <v>0.2</v>
      </c>
      <c r="J369" s="153">
        <f t="shared" ref="J369:J376" si="5">C369*I369</f>
        <v>56660</v>
      </c>
      <c r="K369" s="217">
        <f>VLOOKUP("CAPEXFinanced amountNADefault",Econ.inputsTable!$E:$H,2,FALSE)</f>
        <v>1</v>
      </c>
      <c r="L369" s="218">
        <f t="shared" ref="L369:L376" si="6">H369*K369</f>
        <v>5.0999999999999997E-2</v>
      </c>
      <c r="M369">
        <f t="shared" ref="M369:M376" si="7">L369/(1-(1+L369)^-D369)</f>
        <v>9.2927821836826949E-2</v>
      </c>
      <c r="N369" s="153">
        <f t="shared" ref="N369:N376" si="8">((C369-J369)*M369)+(J369*L369)</f>
        <v>23950.821541098459</v>
      </c>
      <c r="O369" s="157">
        <f t="shared" ref="O369:O376" si="9">N369*G369</f>
        <v>532.08383225749662</v>
      </c>
    </row>
    <row r="370" spans="1:15" x14ac:dyDescent="0.3">
      <c r="A370" t="s">
        <v>7003</v>
      </c>
      <c r="B370" s="99" t="s">
        <v>1226</v>
      </c>
      <c r="C370" s="153">
        <f>VLOOKUP("Agitator, ptoDefault",Econ.Tables!$C:$E,2,FALSE)*E337</f>
        <v>43500</v>
      </c>
      <c r="D370" s="79">
        <f>VLOOKUP("CAPEXLifetimeAgitator, ptoDefault",Econ.inputsTable!$E:$H,2,FALSE)</f>
        <v>15</v>
      </c>
      <c r="E370" s="42"/>
      <c r="F370" s="214">
        <f>F369</f>
        <v>22.21568188567003</v>
      </c>
      <c r="G370" s="220">
        <f>VLOOKUP("CAPEXAnnual usage on activityItems that are used only on the given activityDefault",Econ.inputsTable!$E:$H,2,FALSE)</f>
        <v>1</v>
      </c>
      <c r="H370" s="216">
        <f t="shared" si="4"/>
        <v>5.0999999999999997E-2</v>
      </c>
      <c r="I370" s="216">
        <f>VLOOKUP("CAPEXSalvageEquipmentDefault",Econ.inputsTable!$E:$H,2,FALSE)</f>
        <v>0.2</v>
      </c>
      <c r="J370" s="153">
        <f t="shared" si="5"/>
        <v>8700</v>
      </c>
      <c r="K370" s="217">
        <f>VLOOKUP("CAPEXFinanced amountNADefault",Econ.inputsTable!$E:$H,2,FALSE)</f>
        <v>1</v>
      </c>
      <c r="L370" s="218">
        <f t="shared" si="6"/>
        <v>5.0999999999999997E-2</v>
      </c>
      <c r="M370">
        <f t="shared" si="7"/>
        <v>9.6994593888520206E-2</v>
      </c>
      <c r="N370" s="153">
        <f t="shared" si="8"/>
        <v>3819.1118673205028</v>
      </c>
      <c r="O370" s="157">
        <f t="shared" si="9"/>
        <v>3819.1118673205028</v>
      </c>
    </row>
    <row r="371" spans="1:15" x14ac:dyDescent="0.3">
      <c r="A371" t="s">
        <v>7003</v>
      </c>
      <c r="B371" s="99" t="s">
        <v>7005</v>
      </c>
      <c r="C371" s="153">
        <f>VLOOKUP(_xlfn.CONCAT("Tractor",E339," hp"),Econ.Tables!$C:$E,2,FALSE)*E341</f>
        <v>313600</v>
      </c>
      <c r="D371" s="79">
        <f>VLOOKUP("CAPEXLifetimeTractor, 4 wheel drive and crawlerDefault",Econ.inputsTable!$E:$H,2,FALSE)/E371</f>
        <v>16</v>
      </c>
      <c r="E371" s="213">
        <f>IF(F371&gt;UDV.tractor.min_usage_yearly,F371,UDV.tractor.min_usage_yearly)</f>
        <v>1000</v>
      </c>
      <c r="F371" s="214">
        <f>IF(E341=0,0,E352/E341)</f>
        <v>2.3251831283948774</v>
      </c>
      <c r="G371" s="215">
        <f>F371/E371</f>
        <v>2.3251831283948774E-3</v>
      </c>
      <c r="H371" s="216">
        <f t="shared" si="4"/>
        <v>5.0999999999999997E-2</v>
      </c>
      <c r="I371" s="216">
        <f>VLOOKUP("CAPEXSalvageEquipmentDefault",Econ.inputsTable!$E:$H,2,FALSE)</f>
        <v>0.2</v>
      </c>
      <c r="J371" s="153">
        <f t="shared" si="5"/>
        <v>62720</v>
      </c>
      <c r="K371" s="217">
        <f>VLOOKUP("CAPEXFinanced amountNADefault",Econ.inputsTable!$E:$H,2,FALSE)</f>
        <v>1</v>
      </c>
      <c r="L371" s="218">
        <f t="shared" si="6"/>
        <v>5.0999999999999997E-2</v>
      </c>
      <c r="M371">
        <f t="shared" si="7"/>
        <v>9.2927821836826949E-2</v>
      </c>
      <c r="N371" s="153">
        <f t="shared" si="8"/>
        <v>26512.451942423148</v>
      </c>
      <c r="O371" s="157">
        <f t="shared" si="9"/>
        <v>61.646305948902295</v>
      </c>
    </row>
    <row r="372" spans="1:15" x14ac:dyDescent="0.3">
      <c r="A372" t="s">
        <v>7003</v>
      </c>
      <c r="B372" s="222" t="s">
        <v>3021</v>
      </c>
      <c r="C372" s="223">
        <f>IF(E340=0,0,VLOOKUP("Pump, tractor ptoDefault",Econ.Tables!$C:$E,2,FALSE)*E340)</f>
        <v>26500</v>
      </c>
      <c r="D372" s="79">
        <f>VLOOKUP("CAPEXLifetimePump, tractor ptoDefault",Econ.inputsTable!$E:$H,2,FALSE)</f>
        <v>15</v>
      </c>
      <c r="E372" s="42"/>
      <c r="F372" s="214">
        <f>F371</f>
        <v>2.3251831283948774</v>
      </c>
      <c r="G372" s="220">
        <f>VLOOKUP("CAPEXAnnual usage on activityItems that are used only on the given activityDefault",Econ.inputsTable!$E:$H,2,FALSE)</f>
        <v>1</v>
      </c>
      <c r="H372" s="216">
        <f t="shared" si="4"/>
        <v>5.0999999999999997E-2</v>
      </c>
      <c r="I372" s="216">
        <f>VLOOKUP("CAPEXSalvageEquipmentDefault",Econ.inputsTable!$E:$H,2,FALSE)</f>
        <v>0.2</v>
      </c>
      <c r="J372" s="153">
        <f t="shared" si="5"/>
        <v>5300</v>
      </c>
      <c r="K372" s="217">
        <f>VLOOKUP("CAPEXFinanced amountNADefault",Econ.inputsTable!$E:$H,2,FALSE)</f>
        <v>1</v>
      </c>
      <c r="L372" s="218">
        <f t="shared" si="6"/>
        <v>5.0999999999999997E-2</v>
      </c>
      <c r="M372">
        <f t="shared" si="7"/>
        <v>9.6994593888520206E-2</v>
      </c>
      <c r="N372" s="153">
        <f t="shared" si="8"/>
        <v>2326.5853904366286</v>
      </c>
      <c r="O372" s="157">
        <f t="shared" si="9"/>
        <v>2326.5853904366286</v>
      </c>
    </row>
    <row r="373" spans="1:15" x14ac:dyDescent="0.3">
      <c r="A373" t="s">
        <v>7003</v>
      </c>
      <c r="B373" s="99" t="s">
        <v>7006</v>
      </c>
      <c r="C373" s="153">
        <f>VLOOKUP(_xlfn.CONCAT("Tractor",E342," hp"),Econ.Tables!$C:$E,2,FALSE)*E344</f>
        <v>404700</v>
      </c>
      <c r="D373" s="79">
        <f>VLOOKUP("CAPEXLifetimeTractor, 4 wheel drive and crawlerDefault",Econ.inputsTable!$E:$H,2,FALSE)/E373</f>
        <v>16</v>
      </c>
      <c r="E373" s="213">
        <f>IF(F373&gt;UDV.tractor.min_usage_yearly,F373,UDV.tractor.min_usage_yearly)</f>
        <v>1000</v>
      </c>
      <c r="F373" s="79">
        <f>IF(E345=0,0,E353/E345)</f>
        <v>17.772545508536023</v>
      </c>
      <c r="G373" s="215">
        <f>F373/E373</f>
        <v>1.7772545508536023E-2</v>
      </c>
      <c r="H373" s="216">
        <f t="shared" si="4"/>
        <v>5.0999999999999997E-2</v>
      </c>
      <c r="I373" s="216">
        <f>VLOOKUP("CAPEXSalvageEquipmentDefault",Econ.inputsTable!$E:$H,2,FALSE)</f>
        <v>0.2</v>
      </c>
      <c r="J373" s="153">
        <f t="shared" si="5"/>
        <v>80940</v>
      </c>
      <c r="K373" s="217">
        <f>VLOOKUP("CAPEXFinanced amountNADefault",Econ.inputsTable!$E:$H,2,FALSE)</f>
        <v>1</v>
      </c>
      <c r="L373" s="218">
        <f t="shared" si="6"/>
        <v>5.0999999999999997E-2</v>
      </c>
      <c r="M373">
        <f t="shared" si="7"/>
        <v>9.2927821836826949E-2</v>
      </c>
      <c r="N373" s="153">
        <f t="shared" si="8"/>
        <v>34214.251597891096</v>
      </c>
      <c r="O373" s="157">
        <f t="shared" si="9"/>
        <v>608.07434356402086</v>
      </c>
    </row>
    <row r="374" spans="1:15" x14ac:dyDescent="0.3">
      <c r="A374" t="s">
        <v>7003</v>
      </c>
      <c r="B374" s="99" t="s">
        <v>6392</v>
      </c>
      <c r="C374" s="153">
        <f>UDV.econ_tanker.cost*E344</f>
        <v>136600</v>
      </c>
      <c r="D374" s="42">
        <f>VLOOKUP("CAPEXLifetimeEquipmentDefault",Econ.inputsTable!$E:$H,2,FALSE)</f>
        <v>10</v>
      </c>
      <c r="E374" s="42"/>
      <c r="F374" s="79">
        <f>F373</f>
        <v>17.772545508536023</v>
      </c>
      <c r="G374" s="220">
        <f>VLOOKUP("CAPEXAnnual usage on activityItems that are used only on the given activityDefault",Econ.inputsTable!$E:$H,2,FALSE)</f>
        <v>1</v>
      </c>
      <c r="H374" s="216">
        <f t="shared" si="4"/>
        <v>5.0999999999999997E-2</v>
      </c>
      <c r="I374" s="216">
        <f>VLOOKUP("CAPEXSalvageEquipmentDefault",Econ.inputsTable!$E:$H,2,FALSE)</f>
        <v>0.2</v>
      </c>
      <c r="J374" s="153">
        <f t="shared" si="5"/>
        <v>27320</v>
      </c>
      <c r="K374" s="217">
        <f>VLOOKUP("CAPEXFinanced amountNADefault",Econ.inputsTable!$E:$H,2,FALSE)</f>
        <v>1</v>
      </c>
      <c r="L374" s="218">
        <f t="shared" si="6"/>
        <v>5.0999999999999997E-2</v>
      </c>
      <c r="M374">
        <f t="shared" si="7"/>
        <v>0.13013423257204779</v>
      </c>
      <c r="N374" s="153">
        <f t="shared" si="8"/>
        <v>15614.388935473382</v>
      </c>
      <c r="O374" s="157">
        <f t="shared" si="9"/>
        <v>15614.388935473382</v>
      </c>
    </row>
    <row r="375" spans="1:15" x14ac:dyDescent="0.3">
      <c r="A375" t="s">
        <v>7003</v>
      </c>
      <c r="B375" s="99" t="s">
        <v>7007</v>
      </c>
      <c r="C375" s="229">
        <f>IF(E346="Broadcast",VLOOKUP("BoomDefault", Econ.Tables!$C:$E,2,FALSE),0)*E344</f>
        <v>0</v>
      </c>
      <c r="D375" s="42">
        <f>VLOOKUP("CAPEXLifetimeEquipmentDefault",Econ.inputsTable!$E:$H,2,FALSE)</f>
        <v>10</v>
      </c>
      <c r="E375" s="230"/>
      <c r="F375" s="350">
        <f>IF(C346="Broadcast",F373,0)</f>
        <v>0</v>
      </c>
      <c r="G375" s="220">
        <f>VLOOKUP("CAPEXAnnual usage on activityItems that are used only on the given activityDefault",Econ.inputsTable!$E:$H,2,FALSE)</f>
        <v>1</v>
      </c>
      <c r="H375" s="216">
        <f t="shared" si="4"/>
        <v>5.0999999999999997E-2</v>
      </c>
      <c r="I375" s="216">
        <f>VLOOKUP("CAPEXSalvageEquipmentDefault",Econ.inputsTable!$E:$H,2,FALSE)</f>
        <v>0.2</v>
      </c>
      <c r="J375" s="153">
        <f t="shared" si="5"/>
        <v>0</v>
      </c>
      <c r="K375" s="217">
        <f>VLOOKUP("CAPEXFinanced amountNADefault",Econ.inputsTable!$E:$H,2,FALSE)</f>
        <v>1</v>
      </c>
      <c r="L375" s="218">
        <f t="shared" si="6"/>
        <v>5.0999999999999997E-2</v>
      </c>
      <c r="M375">
        <f t="shared" si="7"/>
        <v>0.13013423257204779</v>
      </c>
      <c r="N375" s="153">
        <f t="shared" si="8"/>
        <v>0</v>
      </c>
      <c r="O375" s="157">
        <f t="shared" si="9"/>
        <v>0</v>
      </c>
    </row>
    <row r="376" spans="1:15" x14ac:dyDescent="0.3">
      <c r="A376" t="s">
        <v>7003</v>
      </c>
      <c r="B376" s="99" t="s">
        <v>7008</v>
      </c>
      <c r="C376" s="229">
        <f>IF(E346="Injection",VLOOKUP("InjectionDefault",Econ.Tables!$C:$E,2,FALSE),0)*E344</f>
        <v>80900</v>
      </c>
      <c r="D376" s="42">
        <f>VLOOKUP("CAPEXLifetimeEquipmentDefault",Econ.inputsTable!$E:$H,2,FALSE)</f>
        <v>10</v>
      </c>
      <c r="E376" s="230"/>
      <c r="F376" s="231">
        <f>IF(C346="Injection",F374,0)</f>
        <v>17.772545508536023</v>
      </c>
      <c r="G376" s="220">
        <f>VLOOKUP("CAPEXAnnual usage on activityItems that are used only on the given activityDefault",Econ.inputsTable!$E:$H,2,FALSE)</f>
        <v>1</v>
      </c>
      <c r="H376" s="216">
        <f t="shared" si="4"/>
        <v>5.0999999999999997E-2</v>
      </c>
      <c r="I376" s="216">
        <f>VLOOKUP("CAPEXSalvageEquipmentDefault",Econ.inputsTable!$E:$H,2,FALSE)</f>
        <v>0.2</v>
      </c>
      <c r="J376" s="153">
        <f t="shared" si="5"/>
        <v>16180</v>
      </c>
      <c r="K376" s="217">
        <f>VLOOKUP("CAPEXFinanced amountNADefault",Econ.inputsTable!$E:$H,2,FALSE)</f>
        <v>1</v>
      </c>
      <c r="L376" s="218">
        <f t="shared" si="6"/>
        <v>5.0999999999999997E-2</v>
      </c>
      <c r="M376">
        <f t="shared" si="7"/>
        <v>0.13013423257204779</v>
      </c>
      <c r="N376" s="153">
        <f t="shared" si="8"/>
        <v>9247.4675320629322</v>
      </c>
      <c r="O376" s="157">
        <f t="shared" si="9"/>
        <v>9247.4675320629322</v>
      </c>
    </row>
    <row r="377" spans="1:15" x14ac:dyDescent="0.3">
      <c r="B377" s="99"/>
      <c r="C377" s="229"/>
      <c r="D377" s="42"/>
      <c r="E377" s="42"/>
      <c r="F377" s="42"/>
      <c r="H377" s="42"/>
      <c r="I377" s="152"/>
      <c r="J377" s="231"/>
      <c r="K377" s="220"/>
      <c r="L377" s="216"/>
      <c r="M377" s="216"/>
      <c r="N377" s="216"/>
      <c r="O377" s="232"/>
    </row>
    <row r="378" spans="1:15" x14ac:dyDescent="0.3">
      <c r="B378" s="99"/>
      <c r="C378" s="82" t="s">
        <v>7009</v>
      </c>
      <c r="D378" s="82" t="s">
        <v>6963</v>
      </c>
      <c r="E378"/>
      <c r="F378"/>
      <c r="G378"/>
      <c r="H378"/>
      <c r="K378"/>
      <c r="L378"/>
      <c r="O378" s="146"/>
    </row>
    <row r="379" spans="1:15" x14ac:dyDescent="0.3">
      <c r="A379" t="s">
        <v>5202</v>
      </c>
      <c r="B379" s="99" t="s">
        <v>6964</v>
      </c>
      <c r="C379" s="153">
        <f>SUM(C369:C376)</f>
        <v>1289100</v>
      </c>
      <c r="D379" s="233">
        <f>SUMPRODUCT(C369:C376,G369:G376)</f>
        <v>301715.42927457951</v>
      </c>
      <c r="E379"/>
      <c r="F379"/>
      <c r="G379"/>
      <c r="H379"/>
      <c r="K379"/>
      <c r="L379"/>
      <c r="O379" s="146"/>
    </row>
    <row r="380" spans="1:15" x14ac:dyDescent="0.3">
      <c r="A380" t="s">
        <v>5202</v>
      </c>
      <c r="B380" s="149" t="s">
        <v>6965</v>
      </c>
      <c r="C380" s="159">
        <f>SUM(N369:N376)</f>
        <v>115685.07880670615</v>
      </c>
      <c r="D380" s="234">
        <f>SUMPRODUCT(N369:N376,G369:G376)</f>
        <v>32209.358207063866</v>
      </c>
      <c r="E380" s="159"/>
      <c r="F380" s="150"/>
      <c r="G380" s="150"/>
      <c r="H380" s="150"/>
      <c r="I380" s="150"/>
      <c r="J380" s="150"/>
      <c r="K380" s="150"/>
      <c r="L380" s="150"/>
      <c r="M380" s="150"/>
      <c r="N380" s="150"/>
      <c r="O380" s="151"/>
    </row>
    <row r="381" spans="1:15" x14ac:dyDescent="0.3">
      <c r="B381" s="99"/>
      <c r="C381" s="153"/>
      <c r="D381" s="233"/>
      <c r="E381" s="153"/>
      <c r="F381"/>
      <c r="G381"/>
      <c r="H381"/>
      <c r="K381"/>
      <c r="L381"/>
      <c r="O381" s="141"/>
    </row>
    <row r="382" spans="1:15" ht="57.6" x14ac:dyDescent="0.3">
      <c r="B382" s="160" t="s">
        <v>6966</v>
      </c>
      <c r="C382" s="152" t="s">
        <v>6967</v>
      </c>
      <c r="D382" s="152" t="s">
        <v>6968</v>
      </c>
      <c r="E382" s="152" t="s">
        <v>6969</v>
      </c>
      <c r="F382" s="152" t="s">
        <v>6970</v>
      </c>
      <c r="G382" s="152" t="s">
        <v>6971</v>
      </c>
      <c r="H382" s="152" t="s">
        <v>6972</v>
      </c>
      <c r="I382" s="152" t="s">
        <v>6973</v>
      </c>
      <c r="J382" s="152" t="s">
        <v>6974</v>
      </c>
      <c r="K382" s="152" t="s">
        <v>6975</v>
      </c>
      <c r="L382" s="152" t="s">
        <v>6976</v>
      </c>
      <c r="M382" s="152" t="s">
        <v>6977</v>
      </c>
      <c r="N382" s="152" t="s">
        <v>6978</v>
      </c>
      <c r="O382" s="161" t="s">
        <v>6979</v>
      </c>
    </row>
    <row r="383" spans="1:15" x14ac:dyDescent="0.3">
      <c r="B383" s="235" t="s">
        <v>7004</v>
      </c>
      <c r="C383" s="236">
        <f>VLOOKUP("OPEXInsuranceEverythingDefault",Econ.inputsTable!$E:$H,2,FALSE)</f>
        <v>5.0000000000000001E-3</v>
      </c>
      <c r="D383" s="237">
        <f>VLOOKUP("OPEXRepair and maintenanceEquipmentDefault",Econ.inputsTable!$E:$H,2,FALSE)</f>
        <v>0.03</v>
      </c>
      <c r="E383"/>
      <c r="F383"/>
      <c r="G383"/>
      <c r="H383" s="147">
        <f>E354</f>
        <v>156.398400475117</v>
      </c>
      <c r="I383" s="233">
        <f>H383*E364</f>
        <v>578.12521189966174</v>
      </c>
      <c r="J383" s="238">
        <f>I383*VLOOKUP("OPEXLubeLubeDefault",Econ.inputsTable!$E:$H,2,FALSE)</f>
        <v>57.812521189966176</v>
      </c>
      <c r="K383" s="205">
        <f>E351*UDV.OPEX_labor.tractor_stationary</f>
        <v>2.2215681885670029</v>
      </c>
      <c r="L383" s="239">
        <f>K383*E365</f>
        <v>52.562303341495287</v>
      </c>
      <c r="O383" s="240">
        <f t="shared" ref="O383:O390" si="10">(SUM(C383:D383)*C369*G369)+SUM(E383,G383,I383,J383,L383,N383)</f>
        <v>908.77963016848435</v>
      </c>
    </row>
    <row r="384" spans="1:15" x14ac:dyDescent="0.3">
      <c r="B384" s="99" t="s">
        <v>1226</v>
      </c>
      <c r="C384" s="236">
        <f>VLOOKUP("OPEXInsuranceEverythingDefault",Econ.inputsTable!$E:$H,2,FALSE)</f>
        <v>5.0000000000000001E-3</v>
      </c>
      <c r="D384" s="237">
        <f>VLOOKUP("OPEXRepair and maintenanceEquipmentDefault",Econ.inputsTable!$E:$H,2,FALSE)</f>
        <v>0.03</v>
      </c>
      <c r="E384"/>
      <c r="F384"/>
      <c r="G384"/>
      <c r="H384" s="147"/>
      <c r="I384" s="233"/>
      <c r="J384" s="233"/>
      <c r="K384"/>
      <c r="L384" s="153"/>
      <c r="O384" s="240">
        <f t="shared" si="10"/>
        <v>1522.4999999999998</v>
      </c>
    </row>
    <row r="385" spans="1:15" x14ac:dyDescent="0.3">
      <c r="B385" s="99" t="s">
        <v>7005</v>
      </c>
      <c r="C385" s="236">
        <f>VLOOKUP("OPEXInsuranceEverythingDefault",Econ.inputsTable!$E:$H,2,FALSE)</f>
        <v>5.0000000000000001E-3</v>
      </c>
      <c r="D385" s="237">
        <f>VLOOKUP("OPEXRepair and maintenanceEquipmentDefault",Econ.inputsTable!$E:$H,2,FALSE)</f>
        <v>0.03</v>
      </c>
      <c r="E385"/>
      <c r="F385"/>
      <c r="G385"/>
      <c r="H385" s="147">
        <f>E355</f>
        <v>18.415450376887428</v>
      </c>
      <c r="I385" s="233">
        <f>H385*E364</f>
        <v>68.072538587500446</v>
      </c>
      <c r="J385" s="238">
        <f>I385*VLOOKUP("OPEXLubeLubeDefault",Econ.inputsTable!$E:$H,2,FALSE)</f>
        <v>6.8072538587500446</v>
      </c>
      <c r="K385" s="205">
        <f>E352*UDV.OPEX_labor.tractor_stationary</f>
        <v>0.23251831283948776</v>
      </c>
      <c r="L385" s="239">
        <f>K385*E365</f>
        <v>5.5013832817822808</v>
      </c>
      <c r="O385" s="240">
        <f t="shared" si="10"/>
        <v>105.90238574529494</v>
      </c>
    </row>
    <row r="386" spans="1:15" x14ac:dyDescent="0.3">
      <c r="B386" s="222" t="s">
        <v>3021</v>
      </c>
      <c r="C386" s="236">
        <f>VLOOKUP("OPEXInsuranceEverythingDefault",Econ.inputsTable!$E:$H,2,FALSE)</f>
        <v>5.0000000000000001E-3</v>
      </c>
      <c r="D386" s="237">
        <f>VLOOKUP("OPEXRepair and maintenancePump, tractor ptoDefault",Econ.inputsTable!$E:$H,2,FALSE)</f>
        <v>0.05</v>
      </c>
      <c r="E386"/>
      <c r="F386"/>
      <c r="G386"/>
      <c r="H386" s="147"/>
      <c r="I386" s="233"/>
      <c r="J386" s="233"/>
      <c r="K386"/>
      <c r="L386" s="153"/>
      <c r="O386" s="240">
        <f t="shared" si="10"/>
        <v>1457.5</v>
      </c>
    </row>
    <row r="387" spans="1:15" x14ac:dyDescent="0.3">
      <c r="B387" s="99" t="s">
        <v>7006</v>
      </c>
      <c r="C387" s="236">
        <f>VLOOKUP("OPEXInsuranceEverythingDefault",Econ.inputsTable!$E:$H,2,FALSE)</f>
        <v>5.0000000000000001E-3</v>
      </c>
      <c r="D387" s="237">
        <f>VLOOKUP("OPEXRepair and maintenanceEquipmentDefault",Econ.inputsTable!$E:$H,2,FALSE)</f>
        <v>0.03</v>
      </c>
      <c r="E387"/>
      <c r="F387"/>
      <c r="G387"/>
      <c r="H387" s="147">
        <f>E356</f>
        <v>195.49800059389625</v>
      </c>
      <c r="I387" s="233">
        <f>H387*E364</f>
        <v>722.65651487457717</v>
      </c>
      <c r="J387" s="238">
        <f>I387*VLOOKUP("OPEXLubeLubeDefault",Econ.inputsTable!$E:$H,2,FALSE)</f>
        <v>72.265651487457717</v>
      </c>
      <c r="K387" s="205">
        <f>E353*UDV.OPEX_labor.tractor_active</f>
        <v>19.549800059389629</v>
      </c>
      <c r="L387" s="239">
        <f>K387*E365</f>
        <v>462.54826940515863</v>
      </c>
      <c r="O387" s="240">
        <f t="shared" si="10"/>
        <v>1509.209656622852</v>
      </c>
    </row>
    <row r="388" spans="1:15" x14ac:dyDescent="0.3">
      <c r="B388" s="99" t="s">
        <v>6392</v>
      </c>
      <c r="C388" s="236">
        <f>VLOOKUP("OPEXInsuranceEverythingDefault",Econ.inputsTable!$E:$H,2,FALSE)</f>
        <v>5.0000000000000001E-3</v>
      </c>
      <c r="D388" s="237">
        <f>VLOOKUP("OPEXRepair and maintenanceEquipmentDefault",Econ.inputsTable!$E:$H,2,FALSE)</f>
        <v>0.03</v>
      </c>
      <c r="E388"/>
      <c r="F388"/>
      <c r="G388"/>
      <c r="H388"/>
      <c r="I388" s="233"/>
      <c r="J388" s="233"/>
      <c r="K388"/>
      <c r="L388" s="153"/>
      <c r="O388" s="240">
        <f t="shared" si="10"/>
        <v>4780.9999999999991</v>
      </c>
    </row>
    <row r="389" spans="1:15" s="42" customFormat="1" x14ac:dyDescent="0.3">
      <c r="A389"/>
      <c r="B389" s="99" t="s">
        <v>7007</v>
      </c>
      <c r="C389" s="236">
        <f>VLOOKUP("OPEXInsuranceEverythingDefault",Econ.inputsTable!$E:$H,2,FALSE)</f>
        <v>5.0000000000000001E-3</v>
      </c>
      <c r="D389" s="237">
        <f>VLOOKUP("OPEXRepair and maintenanceEquipmentDefault",Econ.inputsTable!$E:$H,2,FALSE)</f>
        <v>0.03</v>
      </c>
      <c r="I389" s="233"/>
      <c r="J389" s="233"/>
      <c r="K389"/>
      <c r="L389" s="153"/>
      <c r="M389"/>
      <c r="N389"/>
      <c r="O389" s="240">
        <f t="shared" si="10"/>
        <v>0</v>
      </c>
    </row>
    <row r="390" spans="1:15" x14ac:dyDescent="0.3">
      <c r="B390" s="99" t="s">
        <v>7008</v>
      </c>
      <c r="C390" s="236">
        <f>VLOOKUP("OPEXInsuranceEverythingDefault",Econ.inputsTable!$E:$H,2,FALSE)</f>
        <v>5.0000000000000001E-3</v>
      </c>
      <c r="D390" s="237">
        <f>VLOOKUP("OPEXRepair and maintenanceEquipmentDefault",Econ.inputsTable!$E:$H,2,FALSE)</f>
        <v>0.03</v>
      </c>
      <c r="E390"/>
      <c r="F390"/>
      <c r="G390"/>
      <c r="H390"/>
      <c r="I390" s="233"/>
      <c r="J390" s="233"/>
      <c r="K390"/>
      <c r="L390" s="153"/>
      <c r="O390" s="240">
        <f t="shared" si="10"/>
        <v>2831.4999999999995</v>
      </c>
    </row>
    <row r="391" spans="1:15" x14ac:dyDescent="0.3">
      <c r="A391" t="s">
        <v>5202</v>
      </c>
      <c r="B391" s="162" t="s">
        <v>5203</v>
      </c>
      <c r="C391" s="241"/>
      <c r="D391" s="241"/>
      <c r="E391" s="242">
        <f t="shared" ref="E391:O391" si="11">SUM(E383:E390)</f>
        <v>0</v>
      </c>
      <c r="F391" s="243">
        <f t="shared" si="11"/>
        <v>0</v>
      </c>
      <c r="G391" s="242">
        <f t="shared" si="11"/>
        <v>0</v>
      </c>
      <c r="H391" s="243">
        <f t="shared" si="11"/>
        <v>370.31185144590069</v>
      </c>
      <c r="I391" s="242">
        <f t="shared" si="11"/>
        <v>1368.8542653617394</v>
      </c>
      <c r="J391" s="242">
        <f t="shared" si="11"/>
        <v>136.88542653617395</v>
      </c>
      <c r="K391" s="243">
        <f t="shared" si="11"/>
        <v>22.003886560796118</v>
      </c>
      <c r="L391" s="242">
        <f t="shared" si="11"/>
        <v>520.61195602843623</v>
      </c>
      <c r="M391" s="243">
        <f t="shared" si="11"/>
        <v>0</v>
      </c>
      <c r="N391" s="242">
        <f t="shared" si="11"/>
        <v>0</v>
      </c>
      <c r="O391" s="169">
        <f t="shared" si="11"/>
        <v>13116.391672536629</v>
      </c>
    </row>
    <row r="392" spans="1:15" x14ac:dyDescent="0.3">
      <c r="B392" s="99"/>
      <c r="D392"/>
      <c r="E392"/>
      <c r="F392"/>
      <c r="G392"/>
      <c r="H392"/>
      <c r="K392"/>
      <c r="L392"/>
      <c r="O392" s="146"/>
    </row>
    <row r="393" spans="1:15" x14ac:dyDescent="0.3">
      <c r="A393" t="s">
        <v>5202</v>
      </c>
      <c r="B393" s="149" t="s">
        <v>6980</v>
      </c>
      <c r="C393" s="159">
        <f>O391</f>
        <v>13116.391672536629</v>
      </c>
      <c r="D393" s="150"/>
      <c r="E393" s="150"/>
      <c r="F393" s="150"/>
      <c r="G393" s="150"/>
      <c r="H393" s="150"/>
      <c r="I393" s="150"/>
      <c r="J393" s="150"/>
      <c r="K393" s="150"/>
      <c r="L393" s="150"/>
      <c r="M393" s="150"/>
      <c r="N393" s="150"/>
      <c r="O393" s="151"/>
    </row>
    <row r="394" spans="1:15" x14ac:dyDescent="0.3">
      <c r="C394" s="153"/>
      <c r="D394"/>
      <c r="E394"/>
      <c r="F394"/>
      <c r="G394"/>
      <c r="H394"/>
      <c r="K394"/>
      <c r="L394"/>
    </row>
    <row r="395" spans="1:15" x14ac:dyDescent="0.3">
      <c r="B395" s="244" t="s">
        <v>7010</v>
      </c>
      <c r="C395" s="245" t="s">
        <v>7011</v>
      </c>
      <c r="D395"/>
      <c r="E395"/>
      <c r="F395"/>
      <c r="G395"/>
      <c r="H395"/>
      <c r="K395"/>
      <c r="L395"/>
    </row>
    <row r="396" spans="1:15" x14ac:dyDescent="0.3">
      <c r="B396" s="246" t="s">
        <v>7012</v>
      </c>
      <c r="C396" s="173" t="s">
        <v>5181</v>
      </c>
      <c r="D396"/>
      <c r="E396"/>
      <c r="F396"/>
      <c r="G396"/>
      <c r="H396"/>
      <c r="K396"/>
      <c r="L396"/>
    </row>
    <row r="397" spans="1:15" x14ac:dyDescent="0.3">
      <c r="A397" t="s">
        <v>5202</v>
      </c>
      <c r="B397" s="99" t="s">
        <v>7013</v>
      </c>
      <c r="C397" s="167">
        <f>VLOOKUP("Fertilizer value for on-farm use, slurry",$R$1:$T$300,3, FALSE)</f>
        <v>13214.040328378442</v>
      </c>
      <c r="D397"/>
      <c r="E397"/>
      <c r="F397"/>
      <c r="G397"/>
      <c r="H397"/>
      <c r="K397"/>
      <c r="L397"/>
    </row>
    <row r="398" spans="1:15" x14ac:dyDescent="0.3">
      <c r="A398" t="s">
        <v>5202</v>
      </c>
      <c r="B398" s="99" t="s">
        <v>7014</v>
      </c>
      <c r="C398" s="157">
        <f>SUM(C397)</f>
        <v>13214.040328378442</v>
      </c>
      <c r="D398"/>
      <c r="E398"/>
      <c r="F398"/>
      <c r="G398"/>
      <c r="H398"/>
      <c r="K398"/>
      <c r="L398"/>
    </row>
    <row r="399" spans="1:15" x14ac:dyDescent="0.3">
      <c r="B399" s="99"/>
      <c r="C399" s="146"/>
      <c r="D399"/>
      <c r="E399"/>
      <c r="F399"/>
      <c r="G399"/>
      <c r="H399"/>
      <c r="K399"/>
      <c r="L399"/>
    </row>
    <row r="400" spans="1:15" x14ac:dyDescent="0.3">
      <c r="B400" s="247" t="s">
        <v>7015</v>
      </c>
      <c r="C400" s="173" t="s">
        <v>5181</v>
      </c>
      <c r="D400"/>
      <c r="E400"/>
      <c r="F400"/>
      <c r="G400"/>
      <c r="H400"/>
      <c r="K400"/>
      <c r="L400"/>
    </row>
    <row r="401" spans="1:12" x14ac:dyDescent="0.3">
      <c r="A401" t="s">
        <v>5202</v>
      </c>
      <c r="B401" s="99" t="s">
        <v>7016</v>
      </c>
      <c r="C401" s="167">
        <f>UDV.econ_manure.liquid_sell_price*C329</f>
        <v>0</v>
      </c>
      <c r="D401"/>
      <c r="E401"/>
      <c r="F401"/>
      <c r="G401"/>
      <c r="H401"/>
      <c r="K401"/>
      <c r="L401"/>
    </row>
    <row r="402" spans="1:12" x14ac:dyDescent="0.3">
      <c r="A402" t="s">
        <v>5202</v>
      </c>
      <c r="B402" s="99" t="s">
        <v>7017</v>
      </c>
      <c r="C402" s="157">
        <f>SUM(C401)</f>
        <v>0</v>
      </c>
      <c r="D402"/>
      <c r="E402"/>
      <c r="F402"/>
      <c r="G402"/>
      <c r="H402"/>
      <c r="K402"/>
      <c r="L402"/>
    </row>
    <row r="403" spans="1:12" x14ac:dyDescent="0.3">
      <c r="B403" s="99"/>
      <c r="C403" s="248"/>
      <c r="D403"/>
      <c r="E403"/>
      <c r="F403"/>
      <c r="G403"/>
      <c r="H403"/>
      <c r="K403"/>
      <c r="L403"/>
    </row>
    <row r="404" spans="1:12" x14ac:dyDescent="0.3">
      <c r="B404" s="249" t="s">
        <v>7018</v>
      </c>
      <c r="C404" s="173" t="s">
        <v>5181</v>
      </c>
      <c r="D404"/>
      <c r="E404"/>
      <c r="F404"/>
      <c r="G404"/>
      <c r="H404"/>
      <c r="K404"/>
      <c r="L404"/>
    </row>
    <row r="405" spans="1:12" x14ac:dyDescent="0.3">
      <c r="A405" t="s">
        <v>5202</v>
      </c>
      <c r="B405" s="99" t="s">
        <v>7019</v>
      </c>
      <c r="C405" s="167">
        <f>UDV.econ_manure.liquid_sell_price*C330</f>
        <v>976.57691392584854</v>
      </c>
      <c r="D405"/>
      <c r="E405"/>
    </row>
    <row r="406" spans="1:12" x14ac:dyDescent="0.3">
      <c r="A406" t="s">
        <v>5202</v>
      </c>
      <c r="B406" s="99" t="s">
        <v>7020</v>
      </c>
      <c r="C406" s="157">
        <f>SUM(C405)</f>
        <v>976.57691392584854</v>
      </c>
      <c r="D406"/>
      <c r="E406"/>
    </row>
    <row r="407" spans="1:12" x14ac:dyDescent="0.3">
      <c r="B407" s="99"/>
      <c r="C407" s="146"/>
      <c r="D407"/>
      <c r="E407"/>
    </row>
    <row r="408" spans="1:12" x14ac:dyDescent="0.3">
      <c r="B408" s="250" t="s">
        <v>7021</v>
      </c>
      <c r="C408" s="173" t="s">
        <v>5181</v>
      </c>
      <c r="D408"/>
      <c r="E408"/>
    </row>
    <row r="409" spans="1:12" x14ac:dyDescent="0.3">
      <c r="A409" t="s">
        <v>5202</v>
      </c>
      <c r="B409" s="99" t="s">
        <v>7022</v>
      </c>
      <c r="C409" s="167">
        <f>UDV.econ_manure.liquid_export_cost*C331</f>
        <v>0</v>
      </c>
      <c r="D409"/>
      <c r="E409"/>
    </row>
    <row r="410" spans="1:12" x14ac:dyDescent="0.3">
      <c r="A410" t="s">
        <v>5202</v>
      </c>
      <c r="B410" s="99" t="s">
        <v>7023</v>
      </c>
      <c r="C410" s="157">
        <f>SUM(C409)</f>
        <v>0</v>
      </c>
      <c r="D410"/>
      <c r="E410"/>
    </row>
    <row r="411" spans="1:12" x14ac:dyDescent="0.3">
      <c r="B411" s="99"/>
      <c r="C411" s="146"/>
      <c r="D411"/>
      <c r="E411"/>
    </row>
    <row r="412" spans="1:12" x14ac:dyDescent="0.3">
      <c r="B412" s="92" t="s">
        <v>7024</v>
      </c>
      <c r="C412" s="173" t="s">
        <v>7025</v>
      </c>
      <c r="D412"/>
      <c r="E412"/>
    </row>
    <row r="413" spans="1:12" x14ac:dyDescent="0.3">
      <c r="A413" t="s">
        <v>5202</v>
      </c>
      <c r="B413" s="149" t="s">
        <v>7026</v>
      </c>
      <c r="C413" s="251"/>
      <c r="D413"/>
      <c r="E413"/>
    </row>
    <row r="414" spans="1:12" ht="15" thickBot="1" x14ac:dyDescent="0.35">
      <c r="A414" s="137"/>
      <c r="B414" s="137"/>
      <c r="C414" s="137"/>
      <c r="D414" s="137"/>
      <c r="E414" s="137"/>
      <c r="F414" s="137"/>
      <c r="G414" s="137"/>
      <c r="H414" s="137"/>
      <c r="I414" s="137"/>
      <c r="J414" s="137"/>
    </row>
    <row r="415" spans="1:12" x14ac:dyDescent="0.3">
      <c r="D415"/>
      <c r="E415"/>
    </row>
    <row r="416" spans="1:12" x14ac:dyDescent="0.3">
      <c r="B416" s="82" t="s">
        <v>7027</v>
      </c>
      <c r="D416"/>
      <c r="E416"/>
    </row>
    <row r="417" spans="1:11" x14ac:dyDescent="0.3">
      <c r="D417"/>
      <c r="E417"/>
    </row>
    <row r="418" spans="1:11" x14ac:dyDescent="0.3">
      <c r="B418" s="139" t="s">
        <v>6983</v>
      </c>
      <c r="C418" s="140" t="s">
        <v>565</v>
      </c>
      <c r="D418" s="140" t="s">
        <v>38</v>
      </c>
      <c r="E418" s="142"/>
    </row>
    <row r="419" spans="1:11" x14ac:dyDescent="0.3">
      <c r="A419" s="292"/>
      <c r="B419" s="99" t="s">
        <v>7028</v>
      </c>
      <c r="C419">
        <f>UDV.crops.acres_available</f>
        <v>100</v>
      </c>
      <c r="D419" t="s">
        <v>7029</v>
      </c>
      <c r="E419" s="34" t="s">
        <v>7030</v>
      </c>
    </row>
    <row r="420" spans="1:11" x14ac:dyDescent="0.3">
      <c r="A420" s="292"/>
      <c r="B420" s="99" t="s">
        <v>6985</v>
      </c>
      <c r="C420" s="166">
        <f>UDV.econ_manure.liquid_sell_pct*VLOOKUP("Excess volume, deep pit slurry manure",$R$1:$T$300, 3, FALSE)</f>
        <v>0</v>
      </c>
      <c r="D420" t="s">
        <v>5249</v>
      </c>
      <c r="E420" s="34" t="s">
        <v>7031</v>
      </c>
    </row>
    <row r="421" spans="1:11" x14ac:dyDescent="0.3">
      <c r="B421" s="99" t="s">
        <v>6986</v>
      </c>
      <c r="C421" s="166">
        <f>UDV.econ_manure.liquid_give_pct*VLOOKUP("Excess volume, deep pit slurry manure",$R$1:$T$300, 3, FALSE)</f>
        <v>279.0219754073853</v>
      </c>
      <c r="D421" t="s">
        <v>5249</v>
      </c>
      <c r="E421" s="34" t="s">
        <v>7031</v>
      </c>
      <c r="F421" s="146"/>
      <c r="G421"/>
      <c r="H421"/>
    </row>
    <row r="422" spans="1:11" x14ac:dyDescent="0.3">
      <c r="B422" s="99" t="s">
        <v>6987</v>
      </c>
      <c r="C422" s="757">
        <f>UDV.econ_manure.liquid_export_pct*VLOOKUP("Excess volume, deep pit slurry manure",$R$1:$T$300, 3, FALSE)</f>
        <v>0</v>
      </c>
      <c r="D422" t="s">
        <v>5249</v>
      </c>
      <c r="E422" s="34" t="s">
        <v>7032</v>
      </c>
      <c r="F422" s="146"/>
      <c r="G422"/>
      <c r="H422"/>
    </row>
    <row r="423" spans="1:11" x14ac:dyDescent="0.3">
      <c r="B423" s="99"/>
      <c r="D423"/>
      <c r="E423"/>
      <c r="F423" s="151"/>
      <c r="G423"/>
      <c r="H423"/>
    </row>
    <row r="424" spans="1:11" x14ac:dyDescent="0.3">
      <c r="B424" s="92" t="s">
        <v>6942</v>
      </c>
      <c r="C424" s="82"/>
      <c r="D424" s="82"/>
      <c r="E424" s="139" t="s">
        <v>6988</v>
      </c>
      <c r="F424" s="141"/>
      <c r="G424"/>
      <c r="H424" s="139" t="s">
        <v>7033</v>
      </c>
      <c r="I424" s="142"/>
      <c r="J424" s="142"/>
      <c r="K424" s="272"/>
    </row>
    <row r="425" spans="1:11" x14ac:dyDescent="0.3">
      <c r="B425" s="175" t="s">
        <v>2908</v>
      </c>
      <c r="C425" s="82"/>
      <c r="D425" s="82"/>
      <c r="E425" s="92"/>
      <c r="F425" s="146"/>
      <c r="G425"/>
      <c r="H425" s="99" t="s">
        <v>7034</v>
      </c>
      <c r="K425" s="113"/>
    </row>
    <row r="426" spans="1:11" x14ac:dyDescent="0.3">
      <c r="B426" s="143" t="s">
        <v>2663</v>
      </c>
      <c r="C426" s="144" t="s">
        <v>565</v>
      </c>
      <c r="D426" s="144" t="s">
        <v>6943</v>
      </c>
      <c r="E426" s="143" t="s">
        <v>565</v>
      </c>
      <c r="F426" s="145" t="s">
        <v>6944</v>
      </c>
      <c r="G426"/>
      <c r="H426" s="99" t="s">
        <v>7035</v>
      </c>
      <c r="K426" s="113"/>
    </row>
    <row r="427" spans="1:11" x14ac:dyDescent="0.3">
      <c r="B427" s="99" t="s">
        <v>5708</v>
      </c>
      <c r="C427" s="147">
        <f t="shared" ref="C427:C436" si="12">VLOOKUP(B427,$R$1:$U$300,3,FALSE)</f>
        <v>3000</v>
      </c>
      <c r="D427" t="s">
        <v>2514</v>
      </c>
      <c r="E427" s="99">
        <f t="shared" ref="E427:E436" si="13">C427</f>
        <v>3000</v>
      </c>
      <c r="F427" s="146" t="s">
        <v>2514</v>
      </c>
      <c r="G427"/>
      <c r="H427" s="235" t="s">
        <v>7036</v>
      </c>
      <c r="K427" s="113"/>
    </row>
    <row r="428" spans="1:11" x14ac:dyDescent="0.3">
      <c r="B428" s="99" t="s">
        <v>5709</v>
      </c>
      <c r="C428" s="147">
        <f t="shared" si="12"/>
        <v>1</v>
      </c>
      <c r="D428" t="s">
        <v>2442</v>
      </c>
      <c r="E428" s="99">
        <f t="shared" si="13"/>
        <v>1</v>
      </c>
      <c r="F428" s="146" t="s">
        <v>2442</v>
      </c>
      <c r="G428"/>
      <c r="H428" s="235" t="s">
        <v>7037</v>
      </c>
      <c r="K428" s="113"/>
    </row>
    <row r="429" spans="1:11" x14ac:dyDescent="0.3">
      <c r="B429" s="99" t="s">
        <v>5712</v>
      </c>
      <c r="C429" s="147">
        <f t="shared" si="12"/>
        <v>1</v>
      </c>
      <c r="D429" t="s">
        <v>2442</v>
      </c>
      <c r="E429" s="178">
        <f>C429</f>
        <v>1</v>
      </c>
      <c r="F429" s="146" t="s">
        <v>2442</v>
      </c>
      <c r="G429"/>
      <c r="H429" s="235" t="s">
        <v>7038</v>
      </c>
      <c r="K429" s="113"/>
    </row>
    <row r="430" spans="1:11" x14ac:dyDescent="0.3">
      <c r="B430" s="99" t="s">
        <v>5710</v>
      </c>
      <c r="C430" s="147">
        <f t="shared" si="12"/>
        <v>1</v>
      </c>
      <c r="D430" t="s">
        <v>2442</v>
      </c>
      <c r="E430" s="99">
        <f t="shared" si="13"/>
        <v>1</v>
      </c>
      <c r="F430" s="146" t="s">
        <v>2442</v>
      </c>
      <c r="G430"/>
      <c r="H430" s="235" t="s">
        <v>7007</v>
      </c>
      <c r="K430" s="113"/>
    </row>
    <row r="431" spans="1:11" x14ac:dyDescent="0.3">
      <c r="B431" s="99" t="s">
        <v>5688</v>
      </c>
      <c r="C431" s="147">
        <f t="shared" si="12"/>
        <v>580</v>
      </c>
      <c r="D431" t="s">
        <v>5689</v>
      </c>
      <c r="E431" s="99">
        <f t="shared" si="13"/>
        <v>580</v>
      </c>
      <c r="F431" s="146" t="s">
        <v>5689</v>
      </c>
      <c r="G431"/>
      <c r="H431" s="235" t="s">
        <v>7008</v>
      </c>
      <c r="K431" s="113"/>
    </row>
    <row r="432" spans="1:11" x14ac:dyDescent="0.3">
      <c r="B432" s="99" t="s">
        <v>5701</v>
      </c>
      <c r="C432" s="147">
        <f t="shared" si="12"/>
        <v>340</v>
      </c>
      <c r="D432" t="s">
        <v>971</v>
      </c>
      <c r="E432" s="99">
        <f t="shared" si="13"/>
        <v>340</v>
      </c>
      <c r="F432" s="146" t="s">
        <v>971</v>
      </c>
      <c r="G432"/>
      <c r="H432" s="235" t="s">
        <v>7039</v>
      </c>
      <c r="K432" s="113"/>
    </row>
    <row r="433" spans="2:11" x14ac:dyDescent="0.3">
      <c r="B433" s="99" t="s">
        <v>5738</v>
      </c>
      <c r="C433" s="147">
        <f t="shared" si="12"/>
        <v>1</v>
      </c>
      <c r="D433"/>
      <c r="E433" s="178">
        <f t="shared" si="13"/>
        <v>1</v>
      </c>
      <c r="F433" s="146" t="s">
        <v>2442</v>
      </c>
      <c r="G433"/>
      <c r="H433" s="235" t="s">
        <v>1325</v>
      </c>
      <c r="K433" s="113"/>
    </row>
    <row r="434" spans="2:11" x14ac:dyDescent="0.3">
      <c r="B434" s="99" t="s">
        <v>5702</v>
      </c>
      <c r="C434" s="147">
        <f t="shared" si="12"/>
        <v>1</v>
      </c>
      <c r="D434"/>
      <c r="E434" s="178">
        <f t="shared" si="13"/>
        <v>1</v>
      </c>
      <c r="F434" s="146" t="s">
        <v>2442</v>
      </c>
      <c r="G434"/>
      <c r="H434" s="235" t="s">
        <v>7040</v>
      </c>
      <c r="K434" s="113"/>
    </row>
    <row r="435" spans="2:11" x14ac:dyDescent="0.3">
      <c r="B435" s="99" t="s">
        <v>5739</v>
      </c>
      <c r="C435" s="147">
        <f t="shared" si="12"/>
        <v>2</v>
      </c>
      <c r="D435" t="s">
        <v>2971</v>
      </c>
      <c r="E435" s="201">
        <f t="shared" si="13"/>
        <v>2</v>
      </c>
      <c r="F435" s="146" t="s">
        <v>2971</v>
      </c>
      <c r="G435"/>
      <c r="H435" s="235" t="s">
        <v>7041</v>
      </c>
      <c r="K435" s="113"/>
    </row>
    <row r="436" spans="2:11" x14ac:dyDescent="0.3">
      <c r="B436" s="99" t="s">
        <v>5732</v>
      </c>
      <c r="C436" s="147" t="str">
        <f t="shared" si="12"/>
        <v>Injection</v>
      </c>
      <c r="D436" t="s">
        <v>7042</v>
      </c>
      <c r="E436" s="165" t="str">
        <f t="shared" si="13"/>
        <v>Injection</v>
      </c>
      <c r="F436" s="146" t="s">
        <v>7042</v>
      </c>
      <c r="G436"/>
      <c r="H436" s="253" t="s">
        <v>1576</v>
      </c>
      <c r="I436" s="150"/>
      <c r="J436" s="150"/>
      <c r="K436" s="500"/>
    </row>
    <row r="437" spans="2:11" x14ac:dyDescent="0.3">
      <c r="B437" s="99"/>
      <c r="E437" s="2101"/>
      <c r="F437" s="2089"/>
    </row>
    <row r="438" spans="2:11" x14ac:dyDescent="0.3">
      <c r="B438" s="175" t="s">
        <v>262</v>
      </c>
      <c r="D438"/>
      <c r="E438" s="99"/>
      <c r="F438" s="146"/>
      <c r="G438"/>
      <c r="H438"/>
    </row>
    <row r="439" spans="2:11" x14ac:dyDescent="0.3">
      <c r="B439" s="143" t="s">
        <v>2663</v>
      </c>
      <c r="C439" s="144" t="s">
        <v>565</v>
      </c>
      <c r="D439" s="144" t="s">
        <v>6943</v>
      </c>
      <c r="E439" s="143" t="s">
        <v>565</v>
      </c>
      <c r="F439" s="145" t="s">
        <v>6944</v>
      </c>
      <c r="G439" s="1222" t="s">
        <v>3007</v>
      </c>
      <c r="H439" s="1215" t="s">
        <v>6993</v>
      </c>
      <c r="I439" s="142"/>
      <c r="J439" s="141"/>
    </row>
    <row r="440" spans="2:11" x14ac:dyDescent="0.3">
      <c r="B440" s="149" t="s">
        <v>5528</v>
      </c>
      <c r="C440" s="295">
        <f>VLOOKUP(B440,$R$1:$U$300,3,FALSE)</f>
        <v>182.5</v>
      </c>
      <c r="D440" s="150" t="s">
        <v>5121</v>
      </c>
      <c r="E440" s="201">
        <f>UC.year_to_day/C440</f>
        <v>2</v>
      </c>
      <c r="F440" s="151" t="s">
        <v>7043</v>
      </c>
      <c r="G440" s="42" t="str">
        <f>_xlfn.CONCAT($G$439," ",H440)</f>
        <v>Drag hose Non-sludge year labor</v>
      </c>
      <c r="H440" s="92" t="s">
        <v>5443</v>
      </c>
      <c r="I440" s="1216" t="s">
        <v>2710</v>
      </c>
      <c r="J440" s="285">
        <f>(SUM(E442:E444)*UDV.OPEX_labor.tractor_stationary)+(SUM(E445:E447)*UDV.OPEX_labor.tractor_active)</f>
        <v>16.100315177561104</v>
      </c>
    </row>
    <row r="441" spans="2:11" x14ac:dyDescent="0.3">
      <c r="B441" s="99" t="s">
        <v>5713</v>
      </c>
      <c r="C441" s="147">
        <f>VLOOKUP(B441,$R$1:$U$300,3,FALSE)</f>
        <v>3.1507466100902355</v>
      </c>
      <c r="D441" t="s">
        <v>6085</v>
      </c>
      <c r="E441" s="201">
        <f>C441*E440</f>
        <v>6.301493220180471</v>
      </c>
      <c r="F441" s="146" t="s">
        <v>2710</v>
      </c>
      <c r="G441" s="42" t="str">
        <f t="shared" ref="G441:G443" si="14">_xlfn.CONCAT($G$439," ",H441)</f>
        <v>Drag hose Sludge labor</v>
      </c>
      <c r="H441" s="1217" t="s">
        <v>5444</v>
      </c>
      <c r="I441" s="1216" t="s">
        <v>6085</v>
      </c>
      <c r="J441" s="285"/>
    </row>
    <row r="442" spans="2:11" x14ac:dyDescent="0.3">
      <c r="B442" s="99" t="s">
        <v>6543</v>
      </c>
      <c r="C442" s="147">
        <f>C441</f>
        <v>3.1507466100902355</v>
      </c>
      <c r="D442" t="s">
        <v>6085</v>
      </c>
      <c r="E442" s="201">
        <f>C442*E440</f>
        <v>6.301493220180471</v>
      </c>
      <c r="F442" s="146" t="s">
        <v>2710</v>
      </c>
      <c r="G442" s="42" t="str">
        <f t="shared" si="14"/>
        <v>Drag hose Sum non-sludge + sludge year labor</v>
      </c>
      <c r="H442" s="1218" t="s">
        <v>5445</v>
      </c>
      <c r="I442" s="1216" t="s">
        <v>6995</v>
      </c>
      <c r="J442" s="285">
        <f>SUM(J440:J441)</f>
        <v>16.100315177561104</v>
      </c>
    </row>
    <row r="443" spans="2:11" x14ac:dyDescent="0.3">
      <c r="B443" s="99" t="s">
        <v>6544</v>
      </c>
      <c r="C443" s="147">
        <f>C441</f>
        <v>3.1507466100902355</v>
      </c>
      <c r="D443" t="s">
        <v>6085</v>
      </c>
      <c r="E443" s="201">
        <f>C443*E440</f>
        <v>6.301493220180471</v>
      </c>
      <c r="F443" s="146" t="s">
        <v>2710</v>
      </c>
      <c r="G443" s="42" t="str">
        <f t="shared" si="14"/>
        <v>Drag hose Average non-sludge + sludge labor</v>
      </c>
      <c r="H443" s="1219" t="s">
        <v>5446</v>
      </c>
      <c r="I443" s="1220" t="s">
        <v>5447</v>
      </c>
      <c r="J443" s="1221">
        <f>J440+(J441/UDV.anaer_lagoon.sludge_time)</f>
        <v>16.100315177561104</v>
      </c>
    </row>
    <row r="444" spans="2:11" x14ac:dyDescent="0.3">
      <c r="B444" s="99" t="s">
        <v>6545</v>
      </c>
      <c r="C444" s="147">
        <f>C441</f>
        <v>3.1507466100902355</v>
      </c>
      <c r="D444" t="s">
        <v>6085</v>
      </c>
      <c r="E444" s="201">
        <f>C444*E440</f>
        <v>6.301493220180471</v>
      </c>
      <c r="F444" s="146" t="s">
        <v>2710</v>
      </c>
      <c r="G444"/>
      <c r="H444"/>
    </row>
    <row r="445" spans="2:11" x14ac:dyDescent="0.3">
      <c r="B445" s="99" t="s">
        <v>6546</v>
      </c>
      <c r="C445" s="147">
        <f>C441*UDV.dhl.application_maneuver_factor</f>
        <v>3.6233586016037704</v>
      </c>
      <c r="D445" t="s">
        <v>6085</v>
      </c>
      <c r="E445" s="201">
        <f>C445*E440</f>
        <v>7.2467172032075409</v>
      </c>
      <c r="F445" s="146" t="s">
        <v>2710</v>
      </c>
      <c r="G445"/>
      <c r="H445"/>
    </row>
    <row r="446" spans="2:11" x14ac:dyDescent="0.3">
      <c r="B446" s="99" t="s">
        <v>6547</v>
      </c>
      <c r="C446" s="147">
        <f>C441*UDV.dhl.hose_mover_utilization</f>
        <v>2.3630599575676765</v>
      </c>
      <c r="D446" t="s">
        <v>6085</v>
      </c>
      <c r="E446" s="201">
        <f>C446*E440</f>
        <v>4.726119915135353</v>
      </c>
      <c r="F446" s="146" t="s">
        <v>2710</v>
      </c>
      <c r="G446"/>
      <c r="H446"/>
    </row>
    <row r="447" spans="2:11" x14ac:dyDescent="0.3">
      <c r="B447" s="149" t="s">
        <v>6548</v>
      </c>
      <c r="C447" s="295">
        <f>C441*UDV.dhl.pickup_utilization</f>
        <v>0.47261199151353528</v>
      </c>
      <c r="D447" s="150" t="s">
        <v>6085</v>
      </c>
      <c r="E447" s="1167">
        <f>C447*E440</f>
        <v>0.94522398302707056</v>
      </c>
      <c r="F447" s="151" t="s">
        <v>2710</v>
      </c>
      <c r="G447"/>
      <c r="H447"/>
    </row>
    <row r="448" spans="2:11" x14ac:dyDescent="0.3">
      <c r="B448" s="99" t="s">
        <v>5714</v>
      </c>
      <c r="C448" s="147">
        <f t="shared" ref="C448:C453" si="15">VLOOKUP(B448,$R$1:$U$300,3,FALSE)</f>
        <v>56.713438981624236</v>
      </c>
      <c r="D448" t="s">
        <v>2489</v>
      </c>
      <c r="E448" s="178">
        <f>C448*E440</f>
        <v>113.42687796324847</v>
      </c>
      <c r="F448" s="146" t="s">
        <v>5324</v>
      </c>
      <c r="G448"/>
      <c r="H448"/>
    </row>
    <row r="449" spans="2:15" x14ac:dyDescent="0.3">
      <c r="B449" s="99" t="s">
        <v>5715</v>
      </c>
      <c r="C449" s="147">
        <f t="shared" si="15"/>
        <v>23.630599575676765</v>
      </c>
      <c r="D449" t="s">
        <v>2489</v>
      </c>
      <c r="E449" s="178">
        <f>C449*E440</f>
        <v>47.26119915135353</v>
      </c>
      <c r="F449" s="146" t="s">
        <v>5324</v>
      </c>
      <c r="G449"/>
      <c r="H449"/>
    </row>
    <row r="450" spans="2:15" x14ac:dyDescent="0.3">
      <c r="B450" s="99" t="s">
        <v>5716</v>
      </c>
      <c r="C450" s="147">
        <f t="shared" si="15"/>
        <v>18.904479660541412</v>
      </c>
      <c r="D450" t="s">
        <v>2489</v>
      </c>
      <c r="E450" s="178">
        <f>C450*E440</f>
        <v>37.808959321082824</v>
      </c>
      <c r="F450" s="146" t="s">
        <v>5324</v>
      </c>
      <c r="G450"/>
      <c r="H450"/>
    </row>
    <row r="451" spans="2:15" x14ac:dyDescent="0.3">
      <c r="B451" s="99" t="s">
        <v>5740</v>
      </c>
      <c r="C451" s="147">
        <f t="shared" si="15"/>
        <v>25.52</v>
      </c>
      <c r="D451" t="s">
        <v>6549</v>
      </c>
      <c r="E451" s="178">
        <f>C451*E445</f>
        <v>184.93622302585644</v>
      </c>
      <c r="F451" s="146" t="s">
        <v>5324</v>
      </c>
      <c r="G451"/>
      <c r="H451"/>
    </row>
    <row r="452" spans="2:15" x14ac:dyDescent="0.3">
      <c r="B452" s="99" t="s">
        <v>5741</v>
      </c>
      <c r="C452" s="147">
        <f t="shared" si="15"/>
        <v>14.959999999999999</v>
      </c>
      <c r="D452" t="s">
        <v>6549</v>
      </c>
      <c r="E452" s="178">
        <f>C452*E446</f>
        <v>70.702753930424876</v>
      </c>
      <c r="F452" s="146" t="s">
        <v>5324</v>
      </c>
      <c r="G452"/>
      <c r="H452"/>
    </row>
    <row r="453" spans="2:15" x14ac:dyDescent="0.3">
      <c r="B453" s="149" t="s">
        <v>5717</v>
      </c>
      <c r="C453" s="295">
        <f t="shared" si="15"/>
        <v>2.8356719490812115</v>
      </c>
      <c r="D453" s="150" t="s">
        <v>2489</v>
      </c>
      <c r="E453" s="718">
        <f>C453*E440</f>
        <v>5.6713438981624229</v>
      </c>
      <c r="F453" s="151" t="s">
        <v>5324</v>
      </c>
      <c r="G453"/>
      <c r="H453"/>
      <c r="K453"/>
      <c r="L453"/>
    </row>
    <row r="454" spans="2:15" x14ac:dyDescent="0.3">
      <c r="B454" s="99" t="s">
        <v>5726</v>
      </c>
      <c r="C454" s="147">
        <f t="shared" ref="C454:C457" si="16">VLOOKUP(B454,$R$1:$U$300,3,FALSE)</f>
        <v>1056.2125759268704</v>
      </c>
      <c r="D454" t="s">
        <v>5910</v>
      </c>
      <c r="E454" s="164">
        <f>CONVERT(C454,"m^3","gal")*E440</f>
        <v>558043.687818176</v>
      </c>
      <c r="F454" s="146" t="s">
        <v>5324</v>
      </c>
      <c r="G454"/>
      <c r="H454"/>
      <c r="K454"/>
      <c r="L454"/>
    </row>
    <row r="455" spans="2:15" x14ac:dyDescent="0.3">
      <c r="B455" s="99" t="s">
        <v>5728</v>
      </c>
      <c r="C455" s="205">
        <f t="shared" si="16"/>
        <v>6.7330947914969377</v>
      </c>
      <c r="D455" s="146" t="s">
        <v>2413</v>
      </c>
      <c r="E455" s="201">
        <f>C455*UC.g_to_lb/UC.L_to_gal*1000</f>
        <v>56.190399750413853</v>
      </c>
      <c r="F455" s="146" t="s">
        <v>2414</v>
      </c>
      <c r="G455"/>
      <c r="H455"/>
      <c r="K455"/>
      <c r="L455"/>
    </row>
    <row r="456" spans="2:15" x14ac:dyDescent="0.3">
      <c r="B456" s="99" t="s">
        <v>5729</v>
      </c>
      <c r="C456" s="205">
        <f t="shared" si="16"/>
        <v>3.1447771554792809</v>
      </c>
      <c r="D456" s="146" t="s">
        <v>2413</v>
      </c>
      <c r="E456" s="201">
        <f>C456*UC.g_to_lb/UC.L_to_gal*1000</f>
        <v>26.244437508218105</v>
      </c>
      <c r="F456" s="146" t="s">
        <v>2414</v>
      </c>
      <c r="G456"/>
      <c r="H456"/>
      <c r="K456"/>
      <c r="L456"/>
    </row>
    <row r="457" spans="2:15" x14ac:dyDescent="0.3">
      <c r="B457" s="99" t="s">
        <v>5730</v>
      </c>
      <c r="C457" s="205">
        <f t="shared" si="16"/>
        <v>4.0433046612854131</v>
      </c>
      <c r="D457" s="146" t="s">
        <v>2413</v>
      </c>
      <c r="E457" s="201">
        <f>C457*UC.g_to_lb/UC.L_to_gal*1000</f>
        <v>33.743013022370924</v>
      </c>
      <c r="F457" s="146" t="s">
        <v>2414</v>
      </c>
      <c r="G457"/>
      <c r="H457"/>
      <c r="K457"/>
      <c r="L457"/>
    </row>
    <row r="458" spans="2:15" x14ac:dyDescent="0.3">
      <c r="B458" s="99"/>
      <c r="D458"/>
      <c r="E458" s="99"/>
      <c r="F458" s="146"/>
      <c r="G458"/>
      <c r="H458"/>
      <c r="K458"/>
      <c r="L458"/>
    </row>
    <row r="459" spans="2:15" x14ac:dyDescent="0.3">
      <c r="B459" s="92" t="s">
        <v>6996</v>
      </c>
      <c r="D459"/>
      <c r="E459" s="99"/>
      <c r="F459" s="146"/>
      <c r="G459"/>
      <c r="H459"/>
      <c r="K459"/>
      <c r="L459"/>
    </row>
    <row r="460" spans="2:15" x14ac:dyDescent="0.3">
      <c r="B460" s="143" t="s">
        <v>2663</v>
      </c>
      <c r="C460" s="144" t="s">
        <v>565</v>
      </c>
      <c r="D460" s="144" t="s">
        <v>6943</v>
      </c>
      <c r="E460" s="143" t="s">
        <v>565</v>
      </c>
      <c r="F460" s="145" t="s">
        <v>6944</v>
      </c>
      <c r="G460"/>
      <c r="H460"/>
      <c r="K460"/>
      <c r="L460"/>
    </row>
    <row r="461" spans="2:15" x14ac:dyDescent="0.3">
      <c r="B461" s="99" t="s">
        <v>6997</v>
      </c>
      <c r="D461"/>
      <c r="E461" s="348">
        <f>UDV.fuel.diesel_avg_cost</f>
        <v>3.6964905660377356</v>
      </c>
      <c r="F461" s="146" t="s">
        <v>2315</v>
      </c>
      <c r="G461" s="254"/>
      <c r="H461"/>
      <c r="K461"/>
      <c r="L461"/>
    </row>
    <row r="462" spans="2:15" x14ac:dyDescent="0.3">
      <c r="B462" s="99" t="s">
        <v>7044</v>
      </c>
      <c r="C462">
        <f>UDV.land_application.max_distance</f>
        <v>2</v>
      </c>
      <c r="D462" t="s">
        <v>2971</v>
      </c>
      <c r="E462" s="178">
        <f>IF(E428=0,0,CONVERT(C462,"mi","ft"))</f>
        <v>10560</v>
      </c>
      <c r="F462" s="146" t="s">
        <v>2340</v>
      </c>
      <c r="G462"/>
      <c r="H462"/>
      <c r="K462"/>
      <c r="L462"/>
    </row>
    <row r="463" spans="2:15" x14ac:dyDescent="0.3">
      <c r="B463" s="149" t="s">
        <v>6998</v>
      </c>
      <c r="C463" s="150"/>
      <c r="D463" s="151"/>
      <c r="E463" s="349">
        <f>UDV.labor.non_specialized_cost</f>
        <v>23.66</v>
      </c>
      <c r="F463" s="151" t="s">
        <v>3659</v>
      </c>
      <c r="G463"/>
      <c r="H463"/>
      <c r="K463"/>
      <c r="L463"/>
    </row>
    <row r="464" spans="2:15" x14ac:dyDescent="0.3">
      <c r="C464" s="82"/>
      <c r="D464" s="82"/>
      <c r="E464" s="82"/>
      <c r="F464" s="82"/>
      <c r="G464"/>
      <c r="H464" s="82"/>
      <c r="I464" s="82"/>
      <c r="K464"/>
      <c r="L464"/>
      <c r="O464" s="82"/>
    </row>
    <row r="465" spans="1:15" x14ac:dyDescent="0.3">
      <c r="B465" s="206" t="s">
        <v>6982</v>
      </c>
      <c r="C465" s="142"/>
      <c r="D465" s="142"/>
      <c r="E465" s="142"/>
      <c r="F465" s="142"/>
      <c r="G465" s="142"/>
      <c r="H465" s="142"/>
      <c r="I465" s="142"/>
      <c r="J465" s="142"/>
      <c r="K465" s="142"/>
      <c r="L465" s="142"/>
      <c r="M465" s="142"/>
      <c r="N465" s="142"/>
      <c r="O465" s="141"/>
    </row>
    <row r="466" spans="1:15" ht="43.2" x14ac:dyDescent="0.3">
      <c r="B466" s="210" t="s">
        <v>6946</v>
      </c>
      <c r="C466" s="152" t="s">
        <v>6947</v>
      </c>
      <c r="D466" s="82" t="s">
        <v>6948</v>
      </c>
      <c r="E466" s="152" t="s">
        <v>6999</v>
      </c>
      <c r="F466" s="152" t="s">
        <v>7045</v>
      </c>
      <c r="G466" s="152" t="s">
        <v>6951</v>
      </c>
      <c r="H466" s="152" t="s">
        <v>6952</v>
      </c>
      <c r="I466" s="82" t="s">
        <v>6953</v>
      </c>
      <c r="J466" s="82" t="s">
        <v>6954</v>
      </c>
      <c r="K466" s="152" t="s">
        <v>6955</v>
      </c>
      <c r="L466" s="152" t="s">
        <v>6956</v>
      </c>
      <c r="M466" s="82" t="s">
        <v>6957</v>
      </c>
      <c r="N466" s="152" t="s">
        <v>7002</v>
      </c>
      <c r="O466" s="161" t="s">
        <v>6959</v>
      </c>
    </row>
    <row r="467" spans="1:15" x14ac:dyDescent="0.3">
      <c r="A467" t="s">
        <v>7046</v>
      </c>
      <c r="B467" s="99" t="s">
        <v>7034</v>
      </c>
      <c r="C467" s="153">
        <f>VLOOKUP("Diesel powered lead pumpDefault", Econ.Tables!$C:$E,2,FALSE)*E428</f>
        <v>293400</v>
      </c>
      <c r="D467" s="42">
        <f>VLOOKUP("CAPEXLifetimeDiesel-powered pump set package (at lagoon)Default",Econ.inputsTable!$E:$G,2,FALSE)</f>
        <v>17</v>
      </c>
      <c r="E467"/>
      <c r="F467" s="147">
        <f>IF(E428=0,0,E442/E428)</f>
        <v>6.301493220180471</v>
      </c>
      <c r="G467" s="255">
        <f>VLOOKUP("CAPEXAnnual usage on activityItems that are used only on the given activityDefault",Econ.inputsTable!$E:$G,2,FALSE)</f>
        <v>1</v>
      </c>
      <c r="H467" s="503">
        <f t="shared" ref="H467:H478" si="17">UDV.econ_capital.interest_rate</f>
        <v>5.0999999999999997E-2</v>
      </c>
      <c r="I467" s="236">
        <f>VLOOKUP("CAPEXSalvageEquipmentDefault",Econ.inputsTable!$E:$G,2,FALSE)</f>
        <v>0.2</v>
      </c>
      <c r="J467" s="153">
        <f t="shared" ref="J467:J478" si="18">$C467*I467</f>
        <v>58680</v>
      </c>
      <c r="K467" s="257">
        <f>VLOOKUP("CAPEXFinanced amountNADefault",Econ.inputsTable!$E:$G,2,FALSE)</f>
        <v>1</v>
      </c>
      <c r="L467" s="236">
        <f t="shared" ref="L467:L478" si="19">H467*K467</f>
        <v>5.0999999999999997E-2</v>
      </c>
      <c r="M467">
        <f t="shared" ref="M467:M478" si="20">L467/(1-(1+L467)^-D467)</f>
        <v>8.9362846108502439E-2</v>
      </c>
      <c r="N467" s="153">
        <f t="shared" ref="N467:N478" si="21">((C467-J467)*M467)+(J467*L467)</f>
        <v>23967.927238587694</v>
      </c>
      <c r="O467" s="157">
        <f t="shared" ref="O467:O478" si="22">N467*G467</f>
        <v>23967.927238587694</v>
      </c>
    </row>
    <row r="468" spans="1:15" x14ac:dyDescent="0.3">
      <c r="A468" t="s">
        <v>7046</v>
      </c>
      <c r="B468" s="99" t="s">
        <v>7035</v>
      </c>
      <c r="C468" s="153">
        <f>VLOOKUP("Diesel powered booster pumpDefault", Econ.Tables!$C:$E,2,FALSE)*E429</f>
        <v>197300</v>
      </c>
      <c r="D468" s="42">
        <f>VLOOKUP("CAPEXLifetimeDiesel-powered pump set package (at lagoon)Default",Econ.inputsTable!$E:$G,2,FALSE)</f>
        <v>17</v>
      </c>
      <c r="E468"/>
      <c r="F468" s="147">
        <f>E443</f>
        <v>6.301493220180471</v>
      </c>
      <c r="G468" s="255">
        <f>VLOOKUP("CAPEXAnnual usage on activityItems that are used only on the given activityDefault",Econ.inputsTable!$E:$G,2,FALSE)</f>
        <v>1</v>
      </c>
      <c r="H468" s="503">
        <f t="shared" si="17"/>
        <v>5.0999999999999997E-2</v>
      </c>
      <c r="I468" s="236">
        <f>VLOOKUP("CAPEXSalvageEquipmentDefault",Econ.inputsTable!$E:$G,2,FALSE)</f>
        <v>0.2</v>
      </c>
      <c r="J468" s="153">
        <f t="shared" si="18"/>
        <v>39460</v>
      </c>
      <c r="K468" s="257">
        <f>VLOOKUP("CAPEXFinanced amountNADefault",Econ.inputsTable!$E:$G,2,FALSE)</f>
        <v>1</v>
      </c>
      <c r="L468" s="236">
        <f t="shared" si="19"/>
        <v>5.0999999999999997E-2</v>
      </c>
      <c r="M468">
        <f t="shared" si="20"/>
        <v>8.9362846108502439E-2</v>
      </c>
      <c r="N468" s="153">
        <f t="shared" si="21"/>
        <v>16117.491629766024</v>
      </c>
      <c r="O468" s="157">
        <f t="shared" si="22"/>
        <v>16117.491629766024</v>
      </c>
    </row>
    <row r="469" spans="1:15" x14ac:dyDescent="0.3">
      <c r="A469" t="s">
        <v>7046</v>
      </c>
      <c r="B469" s="99" t="s">
        <v>7047</v>
      </c>
      <c r="C469" s="153">
        <f>VLOOKUP("Diesel powered agitation trailerDefault",Econ.Tables!$C:$E,2,FALSE)*E430</f>
        <v>131500</v>
      </c>
      <c r="D469" s="42">
        <f>VLOOKUP("CAPEXLifetimeEquipmentDefault",Econ.inputsTable!$E:$G,2,FALSE)</f>
        <v>10</v>
      </c>
      <c r="E469"/>
      <c r="F469" s="147">
        <f>E444</f>
        <v>6.301493220180471</v>
      </c>
      <c r="G469" s="255">
        <f>VLOOKUP("CAPEXAnnual usage on activityItems that are used only on the given activityDefault",Econ.inputsTable!$E:$G,2,FALSE)</f>
        <v>1</v>
      </c>
      <c r="H469" s="503">
        <f t="shared" si="17"/>
        <v>5.0999999999999997E-2</v>
      </c>
      <c r="I469" s="236">
        <f>VLOOKUP("CAPEXSalvageEquipmentDefault",Econ.inputsTable!$E:$G,2,FALSE)</f>
        <v>0.2</v>
      </c>
      <c r="J469" s="153">
        <f t="shared" si="18"/>
        <v>26300</v>
      </c>
      <c r="K469" s="257">
        <f>VLOOKUP("CAPEXFinanced amountNADefault",Econ.inputsTable!$E:$G,2,FALSE)</f>
        <v>1</v>
      </c>
      <c r="L469" s="236">
        <f t="shared" si="19"/>
        <v>5.0999999999999997E-2</v>
      </c>
      <c r="M469">
        <f t="shared" si="20"/>
        <v>0.13013423257204779</v>
      </c>
      <c r="N469" s="153">
        <f t="shared" si="21"/>
        <v>15031.421266579426</v>
      </c>
      <c r="O469" s="157">
        <f t="shared" si="22"/>
        <v>15031.421266579426</v>
      </c>
    </row>
    <row r="470" spans="1:15" x14ac:dyDescent="0.3">
      <c r="A470" t="s">
        <v>7046</v>
      </c>
      <c r="B470" s="99" t="s">
        <v>7037</v>
      </c>
      <c r="C470" s="153">
        <f>VLOOKUP(_xlfn.CONCAT("Tractor",E431," hp"),Econ.Tables!$C:$E,2,FALSE)*E433</f>
        <v>637400</v>
      </c>
      <c r="D470" s="79">
        <f>VLOOKUP("CAPEXLifetimeTractor, 4 wheel drive and crawlerDefault",Econ.inputsTable!$E:$H,2,FALSE)/E470</f>
        <v>16</v>
      </c>
      <c r="E470" s="213">
        <f>IF(F470&gt;UDV.tractor.min_usage_yearly,F470,UDV.tractor.min_usage_yearly)</f>
        <v>1000</v>
      </c>
      <c r="F470" s="147">
        <f>E445</f>
        <v>7.2467172032075409</v>
      </c>
      <c r="G470" s="258">
        <f>F470/E470</f>
        <v>7.2467172032075408E-3</v>
      </c>
      <c r="H470" s="503">
        <f t="shared" si="17"/>
        <v>5.0999999999999997E-2</v>
      </c>
      <c r="I470" s="236">
        <f>VLOOKUP("CAPEXSalvageEquipmentDefault", Econ.inputsTable!$E:$G,2,FALSE)</f>
        <v>0.2</v>
      </c>
      <c r="J470" s="153">
        <f t="shared" si="18"/>
        <v>127480</v>
      </c>
      <c r="K470" s="257">
        <f>VLOOKUP("CAPEXFinanced amountNADefault",Econ.inputsTable!$E:$G,2,FALSE)</f>
        <v>1</v>
      </c>
      <c r="L470" s="236">
        <f t="shared" si="19"/>
        <v>5.0999999999999997E-2</v>
      </c>
      <c r="M470">
        <f t="shared" si="20"/>
        <v>9.2927821836826949E-2</v>
      </c>
      <c r="N470" s="153">
        <f t="shared" si="21"/>
        <v>53887.2349110348</v>
      </c>
      <c r="O470" s="157">
        <f t="shared" si="22"/>
        <v>390.50555226308188</v>
      </c>
    </row>
    <row r="471" spans="1:15" x14ac:dyDescent="0.3">
      <c r="A471" t="s">
        <v>7046</v>
      </c>
      <c r="B471" s="99" t="s">
        <v>7048</v>
      </c>
      <c r="C471" s="229">
        <f>VLOOKUP("Hose reel, hydraulic,no specific sizeDefault", Econ.Tables!$C:$E,2,FALSE)*E433</f>
        <v>44500</v>
      </c>
      <c r="D471" s="42">
        <f>VLOOKUP("CAPEXLifetimeEquipmentDefault",Econ.inputsTable!$E:$G,2,FALSE)</f>
        <v>10</v>
      </c>
      <c r="E471" s="152"/>
      <c r="F471" s="259">
        <f>E445</f>
        <v>7.2467172032075409</v>
      </c>
      <c r="G471" s="255">
        <f>VLOOKUP("CAPEXAnnual usage on activityItems that are used only on the given activityDefault",Econ.inputsTable!$E:$G,2,FALSE)</f>
        <v>1</v>
      </c>
      <c r="H471" s="503">
        <f t="shared" si="17"/>
        <v>5.0999999999999997E-2</v>
      </c>
      <c r="I471" s="236">
        <f>VLOOKUP("CAPEXSalvageEquipmentDefault",Econ.inputsTable!$E:$G,2,FALSE)</f>
        <v>0.2</v>
      </c>
      <c r="J471" s="153">
        <f t="shared" si="18"/>
        <v>8900</v>
      </c>
      <c r="K471" s="257">
        <f>VLOOKUP("CAPEXFinanced amountNADefault",Econ.inputsTable!$E:$G,2,FALSE)</f>
        <v>1</v>
      </c>
      <c r="L471" s="236">
        <f t="shared" si="19"/>
        <v>5.0999999999999997E-2</v>
      </c>
      <c r="M471">
        <f t="shared" si="20"/>
        <v>0.13013423257204779</v>
      </c>
      <c r="N471" s="153">
        <f t="shared" si="21"/>
        <v>5086.6786795649004</v>
      </c>
      <c r="O471" s="157">
        <f t="shared" si="22"/>
        <v>5086.6786795649004</v>
      </c>
    </row>
    <row r="472" spans="1:15" x14ac:dyDescent="0.3">
      <c r="A472" t="s">
        <v>7046</v>
      </c>
      <c r="B472" s="99" t="s">
        <v>7007</v>
      </c>
      <c r="C472" s="229">
        <f>IF(E436="Broadcast",VLOOKUP("BoomDefault", Econ.Tables!$C:$E,2,FALSE),0)*E433</f>
        <v>0</v>
      </c>
      <c r="D472" s="42">
        <f>VLOOKUP("CAPEXLifetimeEquipmentDefault",Econ.inputsTable!$E:$G,2,FALSE)</f>
        <v>10</v>
      </c>
      <c r="E472" s="152"/>
      <c r="F472" s="259">
        <f>IF(C436="Broadcast",F470,0)</f>
        <v>0</v>
      </c>
      <c r="G472" s="255">
        <f>VLOOKUP("CAPEXAnnual usage on activityItems that are used only on the given activityDefault",Econ.inputsTable!$E:$G,2,FALSE)</f>
        <v>1</v>
      </c>
      <c r="H472" s="503">
        <f t="shared" si="17"/>
        <v>5.0999999999999997E-2</v>
      </c>
      <c r="I472" s="236">
        <f>VLOOKUP("CAPEXSalvageEquipmentDefault", Econ.inputsTable!$E:$G,2,FALSE)</f>
        <v>0.2</v>
      </c>
      <c r="J472" s="153">
        <f t="shared" si="18"/>
        <v>0</v>
      </c>
      <c r="K472" s="257">
        <f>VLOOKUP("CAPEXFinanced amountNADefault",Econ.inputsTable!$E:$G,2,FALSE)</f>
        <v>1</v>
      </c>
      <c r="L472" s="236">
        <f t="shared" si="19"/>
        <v>5.0999999999999997E-2</v>
      </c>
      <c r="M472">
        <f t="shared" si="20"/>
        <v>0.13013423257204779</v>
      </c>
      <c r="N472" s="153">
        <f t="shared" si="21"/>
        <v>0</v>
      </c>
      <c r="O472" s="157">
        <f t="shared" si="22"/>
        <v>0</v>
      </c>
    </row>
    <row r="473" spans="1:15" x14ac:dyDescent="0.3">
      <c r="A473" t="s">
        <v>7046</v>
      </c>
      <c r="B473" s="99" t="s">
        <v>7008</v>
      </c>
      <c r="C473" s="229">
        <f>IF(E436="Injection",VLOOKUP("InjectionDefault",Econ.Tables!$C:$E,2,FALSE),0)*E433</f>
        <v>80900</v>
      </c>
      <c r="D473" s="42">
        <f>VLOOKUP("CAPEXLifetimeEquipmentDefault",Econ.inputsTable!$E:$G,2,FALSE)</f>
        <v>10</v>
      </c>
      <c r="E473" s="152"/>
      <c r="F473" s="259">
        <f>IF(C436="Injection",F470,0)</f>
        <v>7.2467172032075409</v>
      </c>
      <c r="G473" s="255">
        <f>VLOOKUP("CAPEXAnnual usage on activityItems that are used only on the given activityDefault",Econ.inputsTable!$E:$G,2,FALSE)</f>
        <v>1</v>
      </c>
      <c r="H473" s="503">
        <f t="shared" si="17"/>
        <v>5.0999999999999997E-2</v>
      </c>
      <c r="I473" s="236">
        <f>VLOOKUP("CAPEXSalvageEquipmentDefault",Econ.inputsTable!$E:$G,2,FALSE)</f>
        <v>0.2</v>
      </c>
      <c r="J473" s="153">
        <f t="shared" si="18"/>
        <v>16180</v>
      </c>
      <c r="K473" s="257">
        <f>VLOOKUP("CAPEXFinanced amountNADefault",Econ.inputsTable!$E:$G,2,FALSE)</f>
        <v>1</v>
      </c>
      <c r="L473" s="236">
        <f t="shared" si="19"/>
        <v>5.0999999999999997E-2</v>
      </c>
      <c r="M473">
        <f t="shared" si="20"/>
        <v>0.13013423257204779</v>
      </c>
      <c r="N473" s="153">
        <f t="shared" si="21"/>
        <v>9247.4675320629322</v>
      </c>
      <c r="O473" s="157">
        <f t="shared" si="22"/>
        <v>9247.4675320629322</v>
      </c>
    </row>
    <row r="474" spans="1:15" x14ac:dyDescent="0.3">
      <c r="A474" t="s">
        <v>7046</v>
      </c>
      <c r="B474" s="99" t="s">
        <v>7039</v>
      </c>
      <c r="C474" s="153">
        <f>VLOOKUP(_xlfn.CONCAT("Tractor",E432," hp"),Econ.Tables!$C:$E,2,FALSE)*E434</f>
        <v>490700</v>
      </c>
      <c r="D474" s="79">
        <f>VLOOKUP("CAPEXLifetimeTractor, 4 wheel drive and crawlerDefault",Econ.inputsTable!$E:$H,2,FALSE)/E474</f>
        <v>16</v>
      </c>
      <c r="E474" s="213">
        <f>IF(F474&gt;UDV.tractor.min_usage_yearly,F474,UDV.tractor.min_usage_yearly)</f>
        <v>1000</v>
      </c>
      <c r="F474" s="147">
        <f>E446</f>
        <v>4.726119915135353</v>
      </c>
      <c r="G474" s="258">
        <f>F474/E474</f>
        <v>4.7261199151353529E-3</v>
      </c>
      <c r="H474" s="503">
        <f t="shared" si="17"/>
        <v>5.0999999999999997E-2</v>
      </c>
      <c r="I474" s="236">
        <f>VLOOKUP("CAPEXSalvageEquipmentDefault",Econ.inputsTable!$E:$G,2,FALSE)</f>
        <v>0.2</v>
      </c>
      <c r="J474" s="153">
        <f t="shared" si="18"/>
        <v>98140</v>
      </c>
      <c r="K474" s="257">
        <f>VLOOKUP("CAPEXFinanced amountNADefault",Econ.inputsTable!$E:$G,2,FALSE)</f>
        <v>1</v>
      </c>
      <c r="L474" s="236">
        <f t="shared" si="19"/>
        <v>5.0999999999999997E-2</v>
      </c>
      <c r="M474">
        <f t="shared" si="20"/>
        <v>9.2927821836826949E-2</v>
      </c>
      <c r="N474" s="153">
        <f t="shared" si="21"/>
        <v>41484.885740264785</v>
      </c>
      <c r="O474" s="157">
        <f t="shared" si="22"/>
        <v>196.06254467418</v>
      </c>
    </row>
    <row r="475" spans="1:15" x14ac:dyDescent="0.3">
      <c r="A475" t="s">
        <v>7046</v>
      </c>
      <c r="B475" s="99" t="s">
        <v>1325</v>
      </c>
      <c r="C475" s="229">
        <f>VLOOKUP("Hose pulleyDefault", Econ.Tables!$C:$E,2,FALSE)*E434</f>
        <v>13200</v>
      </c>
      <c r="D475" s="42">
        <f>VLOOKUP("CAPEXLifetimeEquipmentDefault",Econ.inputsTable!$E:$G,2,FALSE)</f>
        <v>10</v>
      </c>
      <c r="E475" s="152"/>
      <c r="F475" s="259">
        <f>F474</f>
        <v>4.726119915135353</v>
      </c>
      <c r="G475" s="255">
        <f>VLOOKUP("CAPEXAnnual usage on activityItems that are used only on the given activityDefault",Econ.inputsTable!$E:$G,2,FALSE)</f>
        <v>1</v>
      </c>
      <c r="H475" s="503">
        <f t="shared" si="17"/>
        <v>5.0999999999999997E-2</v>
      </c>
      <c r="I475" s="236">
        <f>VLOOKUP("CAPEXSalvageEquipmentDefault", Econ.inputsTable!$E:$G,2,FALSE)</f>
        <v>0.2</v>
      </c>
      <c r="J475" s="153">
        <f t="shared" si="18"/>
        <v>2640</v>
      </c>
      <c r="K475" s="257">
        <f>VLOOKUP("CAPEXFinanced amountNADefault",Econ.inputsTable!$E:$G,2,FALSE)</f>
        <v>1</v>
      </c>
      <c r="L475" s="236">
        <f t="shared" si="19"/>
        <v>5.0999999999999997E-2</v>
      </c>
      <c r="M475">
        <f t="shared" si="20"/>
        <v>0.13013423257204779</v>
      </c>
      <c r="N475" s="153">
        <f t="shared" si="21"/>
        <v>1508.8574959608245</v>
      </c>
      <c r="O475" s="157">
        <f t="shared" si="22"/>
        <v>1508.8574959608245</v>
      </c>
    </row>
    <row r="476" spans="1:15" x14ac:dyDescent="0.3">
      <c r="A476" t="s">
        <v>7046</v>
      </c>
      <c r="B476" s="235" t="s">
        <v>3007</v>
      </c>
      <c r="C476" s="260">
        <f>VLOOKUP("Flexible drag hose, 6in 660 ftDefault",Econ.Tables!$C:$E,2,FALSE)*E433</f>
        <v>15200</v>
      </c>
      <c r="D476" s="42">
        <f>VLOOKUP("CAPEXLifetimeDrag hoseDefault",Econ.inputsTable!$E:$G,2,FALSE)</f>
        <v>2.5</v>
      </c>
      <c r="E476" s="152"/>
      <c r="F476" s="259">
        <f>F470</f>
        <v>7.2467172032075409</v>
      </c>
      <c r="G476" s="255">
        <f>VLOOKUP("CAPEXAnnual usage on activityItems that are used only on the given activityDefault",Econ.inputsTable!$E:$G,2,FALSE)</f>
        <v>1</v>
      </c>
      <c r="H476" s="503">
        <f t="shared" si="17"/>
        <v>5.0999999999999997E-2</v>
      </c>
      <c r="I476" s="236">
        <f>VLOOKUP("CAPEXSalvageBuildings and constructionDefault",Econ.inputsTable!$E:$G,2,FALSE)</f>
        <v>0</v>
      </c>
      <c r="J476" s="153">
        <f t="shared" si="18"/>
        <v>0</v>
      </c>
      <c r="K476" s="257">
        <f>VLOOKUP("CAPEXFinanced amountNADefault",Econ.inputsTable!$E:$G,2,FALSE)</f>
        <v>1</v>
      </c>
      <c r="L476" s="236">
        <f t="shared" si="19"/>
        <v>5.0999999999999997E-2</v>
      </c>
      <c r="M476">
        <f t="shared" si="20"/>
        <v>0.43614381549069553</v>
      </c>
      <c r="N476" s="153">
        <f t="shared" si="21"/>
        <v>6629.3859954585723</v>
      </c>
      <c r="O476" s="157">
        <f t="shared" si="22"/>
        <v>6629.3859954585723</v>
      </c>
    </row>
    <row r="477" spans="1:15" x14ac:dyDescent="0.3">
      <c r="A477" t="s">
        <v>7046</v>
      </c>
      <c r="B477" s="235" t="s">
        <v>3465</v>
      </c>
      <c r="C477" s="260">
        <f>VLOOKUP("Manure piping to fieldDefault", Econ.Tables!$C:$E,2,FALSE)*E462</f>
        <v>95040</v>
      </c>
      <c r="D477" s="42">
        <f>VLOOKUP("CAPEXLifetimeBuildings and constructionDefault",Econ.inputsTable!$E:$G,2,FALSE)</f>
        <v>20</v>
      </c>
      <c r="E477" s="152"/>
      <c r="F477" s="259">
        <f>F470</f>
        <v>7.2467172032075409</v>
      </c>
      <c r="G477" s="255">
        <f>VLOOKUP("CAPEXAnnual usage on activityItems that are used only on the given activityDefault",Econ.inputsTable!$E:$G,2,FALSE)</f>
        <v>1</v>
      </c>
      <c r="H477" s="503">
        <f t="shared" si="17"/>
        <v>5.0999999999999997E-2</v>
      </c>
      <c r="I477" s="236">
        <f>VLOOKUP("CAPEXSalvageBuildings and constructionDefault",Econ.inputsTable!$E:$G,2,FALSE)</f>
        <v>0</v>
      </c>
      <c r="J477" s="153">
        <f t="shared" si="18"/>
        <v>0</v>
      </c>
      <c r="K477" s="257">
        <f>VLOOKUP("CAPEXFinanced amountNADefault",Econ.inputsTable!$E:$G,2,FALSE)</f>
        <v>1</v>
      </c>
      <c r="L477" s="236">
        <f t="shared" si="19"/>
        <v>5.0999999999999997E-2</v>
      </c>
      <c r="M477">
        <f t="shared" si="20"/>
        <v>8.0924368970045152E-2</v>
      </c>
      <c r="N477" s="153">
        <f t="shared" si="21"/>
        <v>7691.0520269130911</v>
      </c>
      <c r="O477" s="157">
        <f t="shared" si="22"/>
        <v>7691.0520269130911</v>
      </c>
    </row>
    <row r="478" spans="1:15" x14ac:dyDescent="0.3">
      <c r="A478" t="s">
        <v>7046</v>
      </c>
      <c r="B478" s="235" t="s">
        <v>349</v>
      </c>
      <c r="C478" s="153">
        <f>IF(E447&gt;0,VLOOKUP("Pick up truckDefault",Econ.Tables!$C:$E,2,FALSE),0)</f>
        <v>58700</v>
      </c>
      <c r="D478" s="42">
        <f>VLOOKUP("CAPEXLifetimeTruck, pickupDefault",Econ.inputsTable!$E:$G,2,FALSE)</f>
        <v>8</v>
      </c>
      <c r="E478" s="42">
        <f>VLOOKUP("CAPEXAnnual usage on farmTruck, pickupDefault",Econ.inputsTable!$E:$G,2,FALSE)</f>
        <v>250</v>
      </c>
      <c r="F478" s="259">
        <f>E447</f>
        <v>0.94522398302707056</v>
      </c>
      <c r="G478" s="258">
        <f>F478/E478</f>
        <v>3.7808959321082823E-3</v>
      </c>
      <c r="H478" s="503">
        <f t="shared" si="17"/>
        <v>5.0999999999999997E-2</v>
      </c>
      <c r="I478" s="236">
        <f>VLOOKUP("CAPEXSalvageEquipmentDefault", Econ.inputsTable!$E:$G,2,FALSE)</f>
        <v>0.2</v>
      </c>
      <c r="J478" s="153">
        <f t="shared" si="18"/>
        <v>11740</v>
      </c>
      <c r="K478" s="257">
        <f>VLOOKUP("CAPEXFinanced amountNADefault",Econ.inputsTable!$E:$G,2,FALSE)</f>
        <v>1</v>
      </c>
      <c r="L478" s="236">
        <f t="shared" si="19"/>
        <v>5.0999999999999997E-2</v>
      </c>
      <c r="M478">
        <f t="shared" si="20"/>
        <v>0.1553478599468672</v>
      </c>
      <c r="N478" s="153">
        <f t="shared" si="21"/>
        <v>7893.8755031048831</v>
      </c>
      <c r="O478" s="157">
        <f t="shared" si="22"/>
        <v>29.845921778258472</v>
      </c>
    </row>
    <row r="479" spans="1:15" x14ac:dyDescent="0.3">
      <c r="B479" s="99"/>
      <c r="C479" s="152"/>
      <c r="D479" s="82"/>
      <c r="E479" s="82"/>
      <c r="F479" s="82"/>
      <c r="G479" s="82"/>
      <c r="H479" s="82"/>
      <c r="I479" s="82"/>
      <c r="J479" s="152"/>
      <c r="K479" s="152"/>
      <c r="L479" s="152"/>
      <c r="M479" s="152"/>
      <c r="N479" s="82"/>
      <c r="O479" s="173"/>
    </row>
    <row r="480" spans="1:15" x14ac:dyDescent="0.3">
      <c r="B480" s="99"/>
      <c r="C480" s="82" t="s">
        <v>7009</v>
      </c>
      <c r="D480" s="82" t="s">
        <v>6963</v>
      </c>
      <c r="E480"/>
      <c r="F480"/>
      <c r="G480"/>
      <c r="H480"/>
      <c r="K480"/>
      <c r="L480"/>
      <c r="O480" s="146"/>
    </row>
    <row r="481" spans="1:15" x14ac:dyDescent="0.3">
      <c r="A481" t="s">
        <v>5205</v>
      </c>
      <c r="B481" s="99" t="s">
        <v>6964</v>
      </c>
      <c r="C481" s="153">
        <f>SUM(C467:C478)</f>
        <v>2057840</v>
      </c>
      <c r="D481" s="233">
        <f>SUMPRODUCT(C467:C478,G467:G478)</f>
        <v>878200.10317889601</v>
      </c>
      <c r="E481"/>
      <c r="F481"/>
      <c r="G481"/>
      <c r="H481"/>
      <c r="K481"/>
      <c r="L481"/>
      <c r="O481" s="146"/>
    </row>
    <row r="482" spans="1:15" x14ac:dyDescent="0.3">
      <c r="A482" t="s">
        <v>5205</v>
      </c>
      <c r="B482" s="149" t="s">
        <v>6965</v>
      </c>
      <c r="C482" s="159">
        <f>SUM(N467:N478)</f>
        <v>188546.27801929793</v>
      </c>
      <c r="D482" s="234">
        <f>SUMPRODUCT(N467:N478,G467:G478)</f>
        <v>85896.695883608991</v>
      </c>
      <c r="E482" s="234"/>
      <c r="F482" s="150"/>
      <c r="G482" s="261"/>
      <c r="H482" s="150"/>
      <c r="I482" s="150"/>
      <c r="J482" s="150"/>
      <c r="K482" s="150"/>
      <c r="L482" s="150"/>
      <c r="M482" s="150"/>
      <c r="N482" s="150"/>
      <c r="O482" s="151"/>
    </row>
    <row r="483" spans="1:15" x14ac:dyDescent="0.3">
      <c r="B483" s="262"/>
      <c r="C483" s="142"/>
      <c r="D483" s="142"/>
      <c r="E483" s="142"/>
      <c r="F483" s="142"/>
      <c r="G483" s="142"/>
      <c r="H483" s="142"/>
      <c r="I483" s="142"/>
      <c r="J483" s="142"/>
      <c r="K483" s="142"/>
      <c r="L483" s="142"/>
      <c r="M483" s="142"/>
      <c r="N483" s="142"/>
      <c r="O483" s="141"/>
    </row>
    <row r="484" spans="1:15" ht="57.6" x14ac:dyDescent="0.3">
      <c r="B484" s="160" t="s">
        <v>6966</v>
      </c>
      <c r="C484" s="152" t="s">
        <v>6967</v>
      </c>
      <c r="D484" s="152" t="s">
        <v>6968</v>
      </c>
      <c r="E484" s="152" t="s">
        <v>6969</v>
      </c>
      <c r="F484" s="152" t="s">
        <v>6970</v>
      </c>
      <c r="G484" s="152" t="s">
        <v>6971</v>
      </c>
      <c r="H484" s="152" t="s">
        <v>6972</v>
      </c>
      <c r="I484" s="152" t="s">
        <v>6973</v>
      </c>
      <c r="J484" s="152" t="s">
        <v>6974</v>
      </c>
      <c r="K484" s="152" t="s">
        <v>6975</v>
      </c>
      <c r="L484" s="152" t="s">
        <v>6976</v>
      </c>
      <c r="M484" s="152" t="s">
        <v>6977</v>
      </c>
      <c r="N484" s="152" t="s">
        <v>6978</v>
      </c>
      <c r="O484" s="161" t="s">
        <v>6979</v>
      </c>
    </row>
    <row r="485" spans="1:15" x14ac:dyDescent="0.3">
      <c r="B485" s="99" t="s">
        <v>7034</v>
      </c>
      <c r="C485" s="236">
        <f>VLOOKUP("OPEXInsuranceEverythingDefault",Econ.inputsTable!$E:$H,2,FALSE)</f>
        <v>5.0000000000000001E-3</v>
      </c>
      <c r="D485" s="237">
        <f>VLOOKUP("OPEXRepair and maintenanceEquipmentDefault",Econ.inputsTable!$E:$G,2,FALSE)</f>
        <v>0.03</v>
      </c>
      <c r="E485"/>
      <c r="F485"/>
      <c r="G485"/>
      <c r="H485" s="147">
        <f>E448</f>
        <v>113.42687796324847</v>
      </c>
      <c r="I485" s="259">
        <f>H485*E461</f>
        <v>419.2813843262615</v>
      </c>
      <c r="J485" s="259">
        <f>VLOOKUP("OPEXLubeLubeDefault",Econ.inputsTable!$E:$G,2,FALSE)*I485</f>
        <v>41.928138432626156</v>
      </c>
      <c r="K485" s="147">
        <f>E442*UDV.OPEX_labor.tractor_stationary</f>
        <v>0.63014932201804719</v>
      </c>
      <c r="L485" s="229">
        <f>K485*E463</f>
        <v>14.909332958946997</v>
      </c>
      <c r="N485" s="152"/>
      <c r="O485" s="264">
        <f t="shared" ref="O485:O496" si="23">(SUM(C485:D485)*C467*G467)+SUM(I485:J485)+L485</f>
        <v>10745.118855717832</v>
      </c>
    </row>
    <row r="486" spans="1:15" x14ac:dyDescent="0.3">
      <c r="B486" s="99" t="s">
        <v>7035</v>
      </c>
      <c r="C486" s="236">
        <f>VLOOKUP("OPEXInsuranceEverythingDefault",Econ.inputsTable!$E:$H,2,FALSE)</f>
        <v>5.0000000000000001E-3</v>
      </c>
      <c r="D486" s="237">
        <f>VLOOKUP("OPEXRepair and maintenanceEquipmentDefault",Econ.inputsTable!$E:$G,2,FALSE)</f>
        <v>0.03</v>
      </c>
      <c r="E486"/>
      <c r="F486"/>
      <c r="G486"/>
      <c r="H486" s="147">
        <f>E449</f>
        <v>47.26119915135353</v>
      </c>
      <c r="I486" s="259">
        <f>H486*E461</f>
        <v>174.70057680260896</v>
      </c>
      <c r="J486" s="259">
        <f>VLOOKUP("OPEXLubeLubeDefault",Econ.inputsTable!$E:$G,2,FALSE)*I486</f>
        <v>17.470057680260897</v>
      </c>
      <c r="K486" s="147">
        <f>E443*UDV.OPEX_labor.tractor_stationary</f>
        <v>0.63014932201804719</v>
      </c>
      <c r="L486" s="229">
        <f>K486*E463</f>
        <v>14.909332958946997</v>
      </c>
      <c r="N486" s="152"/>
      <c r="O486" s="264">
        <f t="shared" si="23"/>
        <v>7112.5799674418158</v>
      </c>
    </row>
    <row r="487" spans="1:15" x14ac:dyDescent="0.3">
      <c r="B487" s="99" t="s">
        <v>7047</v>
      </c>
      <c r="C487" s="236">
        <f>VLOOKUP("OPEXInsuranceEverythingDefault",Econ.inputsTable!$E:$H,2,FALSE)</f>
        <v>5.0000000000000001E-3</v>
      </c>
      <c r="D487" s="237">
        <f>VLOOKUP("OPEXRepair and maintenanceEquipmentDefault",Econ.inputsTable!$E:$G,2,FALSE)</f>
        <v>0.03</v>
      </c>
      <c r="E487"/>
      <c r="F487"/>
      <c r="G487"/>
      <c r="H487" s="147">
        <f>E450</f>
        <v>37.808959321082824</v>
      </c>
      <c r="I487" s="259">
        <f>H487*E461</f>
        <v>139.76046144208718</v>
      </c>
      <c r="J487" s="259">
        <f>VLOOKUP("OPEXLubeLubeDefault",Econ.inputsTable!$E:$G,2,FALSE)*I487</f>
        <v>13.976046144208718</v>
      </c>
      <c r="K487" s="147">
        <f>E444*UDV.OPEX_labor.tractor_stationary</f>
        <v>0.63014932201804719</v>
      </c>
      <c r="L487" s="229">
        <f>K487*E463</f>
        <v>14.909332958946997</v>
      </c>
      <c r="N487" s="152"/>
      <c r="O487" s="264">
        <f t="shared" si="23"/>
        <v>4771.1458405452422</v>
      </c>
    </row>
    <row r="488" spans="1:15" x14ac:dyDescent="0.3">
      <c r="B488" s="99" t="s">
        <v>7037</v>
      </c>
      <c r="C488" s="236">
        <f>VLOOKUP("OPEXInsuranceEverythingDefault",Econ.inputsTable!$E:$H,2,FALSE)</f>
        <v>5.0000000000000001E-3</v>
      </c>
      <c r="D488" s="237">
        <f>VLOOKUP("OPEXRepair and maintenanceEquipmentDefault",Econ.inputsTable!$E:$G,2,FALSE)</f>
        <v>0.03</v>
      </c>
      <c r="E488"/>
      <c r="F488"/>
      <c r="G488"/>
      <c r="H488" s="147">
        <f>E451</f>
        <v>184.93622302585644</v>
      </c>
      <c r="I488" s="259">
        <f>H488*E461</f>
        <v>683.61500373372894</v>
      </c>
      <c r="J488" s="259">
        <f>VLOOKUP("OPEXLubeLubeDefault",Econ.inputsTable!$E:$G,2,FALSE)*I488</f>
        <v>68.361500373372891</v>
      </c>
      <c r="K488" s="205">
        <f>UDV.OPEX_labor.tractor_active*C445*E440</f>
        <v>7.9713889235282958</v>
      </c>
      <c r="L488" s="229">
        <f>K488*E463</f>
        <v>188.60306193067947</v>
      </c>
      <c r="N488" s="152"/>
      <c r="O488" s="264">
        <f t="shared" si="23"/>
        <v>1102.2465801241383</v>
      </c>
    </row>
    <row r="489" spans="1:15" x14ac:dyDescent="0.3">
      <c r="B489" s="99" t="s">
        <v>7048</v>
      </c>
      <c r="C489" s="236">
        <f>VLOOKUP("OPEXInsuranceEverythingDefault",Econ.inputsTable!$E:$H,2,FALSE)</f>
        <v>5.0000000000000001E-3</v>
      </c>
      <c r="D489" s="237">
        <f>VLOOKUP("OPEXRepair and maintenanceEquipmentDefault",Econ.inputsTable!$E:$G,2,FALSE)</f>
        <v>0.03</v>
      </c>
      <c r="E489"/>
      <c r="F489"/>
      <c r="G489"/>
      <c r="H489" s="147"/>
      <c r="I489" s="259"/>
      <c r="J489" s="259"/>
      <c r="K489" s="205"/>
      <c r="L489" s="229"/>
      <c r="N489" s="152"/>
      <c r="O489" s="264">
        <f t="shared" si="23"/>
        <v>1557.4999999999998</v>
      </c>
    </row>
    <row r="490" spans="1:15" x14ac:dyDescent="0.3">
      <c r="B490" s="99" t="s">
        <v>7007</v>
      </c>
      <c r="C490" s="236">
        <f>VLOOKUP("OPEXInsuranceEverythingDefault",Econ.inputsTable!$E:$H,2,FALSE)</f>
        <v>5.0000000000000001E-3</v>
      </c>
      <c r="D490" s="237">
        <f>VLOOKUP("OPEXRepair and maintenanceEquipmentDefault",Econ.inputsTable!$E:$G,2,FALSE)</f>
        <v>0.03</v>
      </c>
      <c r="E490"/>
      <c r="F490"/>
      <c r="G490"/>
      <c r="H490" s="147"/>
      <c r="I490" s="259"/>
      <c r="J490" s="259"/>
      <c r="K490" s="205"/>
      <c r="L490" s="229"/>
      <c r="N490" s="152"/>
      <c r="O490" s="264">
        <f t="shared" si="23"/>
        <v>0</v>
      </c>
    </row>
    <row r="491" spans="1:15" x14ac:dyDescent="0.3">
      <c r="B491" s="99" t="s">
        <v>7008</v>
      </c>
      <c r="C491" s="236">
        <f>VLOOKUP("OPEXInsuranceEverythingDefault",Econ.inputsTable!$E:$H,2,FALSE)</f>
        <v>5.0000000000000001E-3</v>
      </c>
      <c r="D491" s="237">
        <f>VLOOKUP("OPEXRepair and maintenanceEquipmentDefault",Econ.inputsTable!$E:$G,2,FALSE)</f>
        <v>0.03</v>
      </c>
      <c r="E491"/>
      <c r="F491"/>
      <c r="G491"/>
      <c r="H491" s="147"/>
      <c r="I491" s="259"/>
      <c r="J491" s="259"/>
      <c r="K491" s="205"/>
      <c r="L491" s="229"/>
      <c r="N491" s="152"/>
      <c r="O491" s="264">
        <f t="shared" si="23"/>
        <v>2831.4999999999995</v>
      </c>
    </row>
    <row r="492" spans="1:15" x14ac:dyDescent="0.3">
      <c r="B492" s="99" t="s">
        <v>7039</v>
      </c>
      <c r="C492" s="236">
        <f>VLOOKUP("OPEXInsuranceEverythingDefault",Econ.inputsTable!$E:$H,2,FALSE)</f>
        <v>5.0000000000000001E-3</v>
      </c>
      <c r="D492" s="237">
        <f>VLOOKUP("OPEXRepair and maintenanceEquipmentDefault",Econ.inputsTable!$E:$G,2,FALSE)</f>
        <v>0.03</v>
      </c>
      <c r="E492"/>
      <c r="F492"/>
      <c r="G492"/>
      <c r="H492" s="147">
        <f>E452</f>
        <v>70.702753930424876</v>
      </c>
      <c r="I492" s="259">
        <f>H492*E461</f>
        <v>261.35206289670299</v>
      </c>
      <c r="J492" s="259">
        <f>VLOOKUP("OPEXLubeLubeDefault",Econ.inputsTable!$E:$G,2,FALSE)*I492</f>
        <v>26.1352062896703</v>
      </c>
      <c r="K492" s="205">
        <f>UDV.OPEX_labor.tractor_active*C446*E440</f>
        <v>5.1987319066488888</v>
      </c>
      <c r="L492" s="229">
        <f>K492*E463</f>
        <v>123.00199691131272</v>
      </c>
      <c r="N492" s="152"/>
      <c r="O492" s="264">
        <f t="shared" si="23"/>
        <v>491.65801258017814</v>
      </c>
    </row>
    <row r="493" spans="1:15" x14ac:dyDescent="0.3">
      <c r="B493" s="99" t="s">
        <v>1325</v>
      </c>
      <c r="C493" s="236">
        <f>VLOOKUP("OPEXInsuranceEverythingDefault",Econ.inputsTable!$E:$H,2,FALSE)</f>
        <v>5.0000000000000001E-3</v>
      </c>
      <c r="D493" s="237">
        <f>VLOOKUP("OPEXRepair and maintenanceEquipmentDefault",Econ.inputsTable!$E:$G,2,FALSE)</f>
        <v>0.03</v>
      </c>
      <c r="E493"/>
      <c r="F493"/>
      <c r="G493"/>
      <c r="H493" s="147"/>
      <c r="I493" s="259"/>
      <c r="J493" s="259"/>
      <c r="K493" s="205"/>
      <c r="L493" s="229"/>
      <c r="N493" s="152"/>
      <c r="O493" s="264">
        <f t="shared" si="23"/>
        <v>461.99999999999994</v>
      </c>
    </row>
    <row r="494" spans="1:15" x14ac:dyDescent="0.3">
      <c r="B494" s="99" t="s">
        <v>3007</v>
      </c>
      <c r="C494" s="236">
        <f>VLOOKUP("OPEXInsuranceEverythingDefault",Econ.inputsTable!$E:$H,2,FALSE)</f>
        <v>5.0000000000000001E-3</v>
      </c>
      <c r="D494" s="237">
        <f>VLOOKUP("OPEXRepair and maintenanceEquipmentDefault",Econ.inputsTable!$E:$G,2,FALSE)</f>
        <v>0.03</v>
      </c>
      <c r="E494"/>
      <c r="F494"/>
      <c r="G494"/>
      <c r="H494" s="147"/>
      <c r="I494" s="259"/>
      <c r="J494" s="259"/>
      <c r="K494" s="205"/>
      <c r="L494" s="229"/>
      <c r="N494" s="152"/>
      <c r="O494" s="264">
        <f t="shared" si="23"/>
        <v>532</v>
      </c>
    </row>
    <row r="495" spans="1:15" x14ac:dyDescent="0.3">
      <c r="B495" s="235" t="s">
        <v>3465</v>
      </c>
      <c r="C495" s="236">
        <f>VLOOKUP("OPEXInsuranceEverythingDefault",Econ.inputsTable!$E:$H,2,FALSE)</f>
        <v>5.0000000000000001E-3</v>
      </c>
      <c r="D495" s="237">
        <f>VLOOKUP("OPEXRepair and maintenanceBuildings and constructionDefault",Econ.inputsTable!$E:$G,2,FALSE)</f>
        <v>0.01</v>
      </c>
      <c r="E495"/>
      <c r="F495"/>
      <c r="G495"/>
      <c r="H495" s="147"/>
      <c r="I495" s="259"/>
      <c r="J495" s="259"/>
      <c r="K495" s="205"/>
      <c r="L495" s="229"/>
      <c r="N495" s="152"/>
      <c r="O495" s="264">
        <f t="shared" si="23"/>
        <v>1425.6</v>
      </c>
    </row>
    <row r="496" spans="1:15" x14ac:dyDescent="0.3">
      <c r="B496" s="99" t="s">
        <v>349</v>
      </c>
      <c r="C496" s="236">
        <f>VLOOKUP("OPEXInsuranceEverythingDefault",Econ.inputsTable!$E:$H,2,FALSE)</f>
        <v>5.0000000000000001E-3</v>
      </c>
      <c r="D496" s="237">
        <f>VLOOKUP("OPEXRepair and maintenanceEquipmentDefault",Econ.inputsTable!$E:$G,2,FALSE)</f>
        <v>0.03</v>
      </c>
      <c r="E496"/>
      <c r="F496"/>
      <c r="G496"/>
      <c r="H496" s="147">
        <f>E453</f>
        <v>5.6713438981624229</v>
      </c>
      <c r="I496" s="259">
        <f>H496*E461</f>
        <v>20.964069216313074</v>
      </c>
      <c r="J496" s="259">
        <f>VLOOKUP("OPEXLubeLubeDefault",Econ.inputsTable!$E:$G,2,FALSE)*I496</f>
        <v>2.0964069216313077</v>
      </c>
      <c r="K496" s="205">
        <f>UDV.OPEX_labor.tractor_active*C447*E440</f>
        <v>1.0397463813297776</v>
      </c>
      <c r="L496" s="229">
        <f>K496*E463</f>
        <v>24.600399382262538</v>
      </c>
      <c r="N496" s="152"/>
      <c r="O496" s="264">
        <f t="shared" si="23"/>
        <v>55.428726212723383</v>
      </c>
    </row>
    <row r="497" spans="1:15" x14ac:dyDescent="0.3">
      <c r="A497" t="s">
        <v>5205</v>
      </c>
      <c r="B497" s="162" t="s">
        <v>5203</v>
      </c>
      <c r="C497" s="241"/>
      <c r="D497" s="241"/>
      <c r="E497" s="242">
        <f t="shared" ref="E497:O497" si="24">SUM(E485:E496)</f>
        <v>0</v>
      </c>
      <c r="F497" s="163">
        <f t="shared" si="24"/>
        <v>0</v>
      </c>
      <c r="G497" s="242">
        <f t="shared" si="24"/>
        <v>0</v>
      </c>
      <c r="H497" s="168">
        <f t="shared" si="24"/>
        <v>459.80735729012861</v>
      </c>
      <c r="I497" s="242">
        <f t="shared" si="24"/>
        <v>1699.6735584177027</v>
      </c>
      <c r="J497" s="242">
        <f t="shared" si="24"/>
        <v>169.96735584177028</v>
      </c>
      <c r="K497" s="335">
        <f t="shared" si="24"/>
        <v>16.100315177561104</v>
      </c>
      <c r="L497" s="242">
        <f t="shared" si="24"/>
        <v>380.93345710109571</v>
      </c>
      <c r="M497" s="163">
        <f t="shared" si="24"/>
        <v>0</v>
      </c>
      <c r="N497" s="163">
        <f t="shared" si="24"/>
        <v>0</v>
      </c>
      <c r="O497" s="169">
        <f t="shared" si="24"/>
        <v>31086.777982621927</v>
      </c>
    </row>
    <row r="498" spans="1:15" x14ac:dyDescent="0.3">
      <c r="B498" s="99"/>
      <c r="D498"/>
      <c r="E498"/>
      <c r="F498"/>
      <c r="G498"/>
      <c r="H498"/>
      <c r="K498"/>
      <c r="L498"/>
      <c r="O498" s="146"/>
    </row>
    <row r="499" spans="1:15" x14ac:dyDescent="0.3">
      <c r="A499" t="s">
        <v>5205</v>
      </c>
      <c r="B499" s="149" t="s">
        <v>6980</v>
      </c>
      <c r="C499" s="159">
        <f>O497</f>
        <v>31086.777982621927</v>
      </c>
      <c r="D499" s="150"/>
      <c r="E499" s="150"/>
      <c r="F499" s="150"/>
      <c r="G499" s="150"/>
      <c r="H499" s="150"/>
      <c r="I499" s="150"/>
      <c r="J499" s="150"/>
      <c r="K499" s="150"/>
      <c r="L499" s="150"/>
      <c r="M499" s="150"/>
      <c r="N499" s="150"/>
      <c r="O499" s="151"/>
    </row>
    <row r="501" spans="1:15" x14ac:dyDescent="0.3">
      <c r="B501" s="244" t="s">
        <v>7010</v>
      </c>
      <c r="C501" s="245" t="s">
        <v>7049</v>
      </c>
    </row>
    <row r="502" spans="1:15" x14ac:dyDescent="0.3">
      <c r="B502" s="246" t="s">
        <v>7012</v>
      </c>
      <c r="C502" s="173" t="s">
        <v>5181</v>
      </c>
    </row>
    <row r="503" spans="1:15" x14ac:dyDescent="0.3">
      <c r="A503" t="s">
        <v>5205</v>
      </c>
      <c r="B503" s="99" t="s">
        <v>7013</v>
      </c>
      <c r="C503" s="167">
        <f>VLOOKUP("Fertilizer value for on-farm use, slurry",$R$1:$T$300,3, FALSE)</f>
        <v>13214.040328378442</v>
      </c>
    </row>
    <row r="504" spans="1:15" x14ac:dyDescent="0.3">
      <c r="A504" t="s">
        <v>5205</v>
      </c>
      <c r="B504" s="99" t="s">
        <v>7014</v>
      </c>
      <c r="C504" s="157">
        <f>SUM(C503)</f>
        <v>13214.040328378442</v>
      </c>
    </row>
    <row r="505" spans="1:15" x14ac:dyDescent="0.3">
      <c r="B505" s="99"/>
      <c r="C505" s="146"/>
    </row>
    <row r="506" spans="1:15" x14ac:dyDescent="0.3">
      <c r="B506" s="247" t="s">
        <v>7015</v>
      </c>
      <c r="C506" s="173" t="s">
        <v>5181</v>
      </c>
    </row>
    <row r="507" spans="1:15" x14ac:dyDescent="0.3">
      <c r="A507" t="s">
        <v>5205</v>
      </c>
      <c r="B507" s="99" t="s">
        <v>7016</v>
      </c>
      <c r="C507" s="167">
        <f>UDV.econ_manure.liquid_sell_price*C420</f>
        <v>0</v>
      </c>
    </row>
    <row r="508" spans="1:15" x14ac:dyDescent="0.3">
      <c r="A508" t="s">
        <v>5205</v>
      </c>
      <c r="B508" s="99" t="s">
        <v>7017</v>
      </c>
      <c r="C508" s="157">
        <f>SUM(C507)</f>
        <v>0</v>
      </c>
    </row>
    <row r="509" spans="1:15" x14ac:dyDescent="0.3">
      <c r="B509" s="99"/>
      <c r="C509" s="248"/>
    </row>
    <row r="510" spans="1:15" x14ac:dyDescent="0.3">
      <c r="B510" s="249" t="s">
        <v>7018</v>
      </c>
      <c r="C510" s="173" t="s">
        <v>5181</v>
      </c>
    </row>
    <row r="511" spans="1:15" x14ac:dyDescent="0.3">
      <c r="A511" t="s">
        <v>5205</v>
      </c>
      <c r="B511" s="99" t="s">
        <v>7019</v>
      </c>
      <c r="C511" s="167">
        <f>UDV.econ_manure.liquid_sell_price*C421</f>
        <v>976.57691392584854</v>
      </c>
    </row>
    <row r="512" spans="1:15" x14ac:dyDescent="0.3">
      <c r="A512" t="s">
        <v>5205</v>
      </c>
      <c r="B512" s="99" t="s">
        <v>7020</v>
      </c>
      <c r="C512" s="157">
        <f>SUM(C511)</f>
        <v>976.57691392584854</v>
      </c>
    </row>
    <row r="513" spans="1:23" x14ac:dyDescent="0.3">
      <c r="B513" s="99"/>
      <c r="C513" s="146"/>
    </row>
    <row r="514" spans="1:23" x14ac:dyDescent="0.3">
      <c r="B514" s="250" t="s">
        <v>7021</v>
      </c>
      <c r="C514" s="173" t="s">
        <v>5181</v>
      </c>
    </row>
    <row r="515" spans="1:23" x14ac:dyDescent="0.3">
      <c r="A515" t="s">
        <v>5205</v>
      </c>
      <c r="B515" s="99" t="s">
        <v>7022</v>
      </c>
      <c r="C515" s="167">
        <f>UDV.econ_manure.liquid_export_cost*C422</f>
        <v>0</v>
      </c>
    </row>
    <row r="516" spans="1:23" x14ac:dyDescent="0.3">
      <c r="A516" t="s">
        <v>5205</v>
      </c>
      <c r="B516" s="99" t="s">
        <v>7023</v>
      </c>
      <c r="C516" s="157">
        <f>SUM(C515)</f>
        <v>0</v>
      </c>
    </row>
    <row r="518" spans="1:23" x14ac:dyDescent="0.3">
      <c r="B518" s="92" t="s">
        <v>7024</v>
      </c>
      <c r="C518" s="173" t="s">
        <v>7025</v>
      </c>
      <c r="D518"/>
      <c r="E518"/>
      <c r="F518"/>
      <c r="G518"/>
      <c r="H518"/>
      <c r="K518"/>
      <c r="L518"/>
      <c r="R518"/>
      <c r="W518"/>
    </row>
    <row r="519" spans="1:23" x14ac:dyDescent="0.3">
      <c r="A519" t="s">
        <v>5205</v>
      </c>
      <c r="B519" s="149" t="s">
        <v>7026</v>
      </c>
      <c r="C519" s="251"/>
      <c r="D519"/>
      <c r="E519"/>
      <c r="F519"/>
      <c r="G519"/>
      <c r="H519"/>
      <c r="K519"/>
      <c r="L519"/>
      <c r="R519"/>
      <c r="W519"/>
    </row>
    <row r="520" spans="1:23" ht="15" thickBot="1" x14ac:dyDescent="0.35">
      <c r="A520" s="137"/>
      <c r="B520" s="137"/>
      <c r="C520" s="137"/>
      <c r="D520" s="137"/>
      <c r="E520" s="137"/>
      <c r="F520" s="137"/>
      <c r="G520" s="137"/>
      <c r="H520" s="137"/>
      <c r="I520" s="137"/>
      <c r="J520" s="137"/>
      <c r="K520" s="137"/>
      <c r="L520" s="137"/>
      <c r="M520" s="137"/>
      <c r="N520" s="137"/>
      <c r="O520" s="137"/>
      <c r="P520" s="137"/>
      <c r="Q520" s="137"/>
      <c r="R520"/>
      <c r="W520"/>
    </row>
    <row r="521" spans="1:23" x14ac:dyDescent="0.3">
      <c r="D521"/>
      <c r="E521"/>
      <c r="F521"/>
      <c r="G521"/>
      <c r="H521"/>
      <c r="K521"/>
      <c r="L521"/>
      <c r="R521"/>
      <c r="W521"/>
    </row>
    <row r="522" spans="1:23" x14ac:dyDescent="0.3">
      <c r="B522" s="139" t="s">
        <v>7050</v>
      </c>
      <c r="C522" s="142"/>
      <c r="D522" s="142"/>
      <c r="E522" s="267"/>
      <c r="F522" s="267"/>
      <c r="G522" s="267"/>
      <c r="H522" s="268"/>
      <c r="I522" s="269"/>
      <c r="J522" s="270"/>
      <c r="K522" s="142"/>
      <c r="L522" s="269"/>
      <c r="M522" s="142"/>
      <c r="N522" s="142"/>
      <c r="O522" s="142"/>
      <c r="P522" s="142"/>
      <c r="Q522" s="142"/>
      <c r="R522" s="142"/>
      <c r="S522" s="142"/>
      <c r="T522" s="271"/>
      <c r="U522" s="142"/>
      <c r="V522" s="142"/>
      <c r="W522" s="272"/>
    </row>
    <row r="523" spans="1:23" x14ac:dyDescent="0.3">
      <c r="B523" s="92" t="s">
        <v>7051</v>
      </c>
      <c r="D523"/>
      <c r="F523" s="66"/>
      <c r="G523" s="66"/>
      <c r="H523" s="19"/>
      <c r="I523" s="42"/>
      <c r="J523" s="3"/>
      <c r="K523"/>
      <c r="R523"/>
      <c r="T523" s="20"/>
      <c r="W523" s="113"/>
    </row>
    <row r="524" spans="1:23" x14ac:dyDescent="0.3">
      <c r="B524" s="99"/>
      <c r="F524" s="66"/>
      <c r="G524" s="19"/>
      <c r="H524" s="19"/>
      <c r="I524" s="42"/>
      <c r="J524" s="3"/>
      <c r="K524"/>
      <c r="R524"/>
      <c r="T524" s="20"/>
      <c r="W524" s="113"/>
    </row>
    <row r="525" spans="1:23" x14ac:dyDescent="0.3">
      <c r="B525" s="92" t="s">
        <v>7052</v>
      </c>
      <c r="C525" s="82" t="s">
        <v>565</v>
      </c>
      <c r="D525" s="82" t="s">
        <v>38</v>
      </c>
      <c r="F525"/>
      <c r="G525"/>
      <c r="H525" s="19"/>
      <c r="I525" s="42"/>
      <c r="J525" s="3"/>
      <c r="K525"/>
      <c r="R525"/>
      <c r="T525" s="20"/>
      <c r="W525" s="113"/>
    </row>
    <row r="526" spans="1:23" x14ac:dyDescent="0.3">
      <c r="B526" s="99" t="s">
        <v>5859</v>
      </c>
      <c r="C526">
        <f>UDV.animal.total</f>
        <v>500</v>
      </c>
      <c r="D526" t="s">
        <v>2442</v>
      </c>
      <c r="F526"/>
      <c r="G526"/>
      <c r="H526" s="19"/>
      <c r="I526" s="42"/>
      <c r="J526" s="3"/>
      <c r="K526"/>
      <c r="R526"/>
      <c r="T526" s="20"/>
      <c r="W526" s="113"/>
    </row>
    <row r="527" spans="1:23" x14ac:dyDescent="0.3">
      <c r="B527" s="174" t="s">
        <v>5386</v>
      </c>
      <c r="C527">
        <f>UDV.crops.acres_available</f>
        <v>100</v>
      </c>
      <c r="D527" t="s">
        <v>7029</v>
      </c>
      <c r="F527"/>
      <c r="G527"/>
      <c r="H527" s="19"/>
      <c r="I527" s="42"/>
      <c r="J527" s="3"/>
      <c r="K527"/>
      <c r="R527"/>
      <c r="T527" s="20"/>
      <c r="W527" s="113"/>
    </row>
    <row r="528" spans="1:23" x14ac:dyDescent="0.3">
      <c r="B528" s="99" t="s">
        <v>5114</v>
      </c>
      <c r="C528" t="str">
        <f>UDV.u.state</f>
        <v>Iowa</v>
      </c>
      <c r="D528" t="s">
        <v>2852</v>
      </c>
      <c r="F528"/>
      <c r="G528"/>
      <c r="H528" s="19"/>
      <c r="I528" s="42"/>
      <c r="J528" s="3"/>
      <c r="K528"/>
      <c r="R528"/>
      <c r="T528" s="20"/>
      <c r="W528" s="113"/>
    </row>
    <row r="529" spans="1:23" x14ac:dyDescent="0.3">
      <c r="B529" s="99"/>
      <c r="C529" s="166"/>
      <c r="D529"/>
      <c r="F529"/>
      <c r="G529"/>
      <c r="H529" s="19"/>
      <c r="I529" s="42"/>
      <c r="J529" s="3"/>
      <c r="K529"/>
      <c r="R529"/>
      <c r="T529" s="20"/>
      <c r="W529" s="113"/>
    </row>
    <row r="530" spans="1:23" x14ac:dyDescent="0.3">
      <c r="B530" s="99"/>
      <c r="F530" s="66"/>
      <c r="G530"/>
      <c r="H530" s="19"/>
      <c r="I530" s="42"/>
      <c r="J530" s="3"/>
      <c r="K530"/>
      <c r="R530"/>
      <c r="T530" s="20"/>
      <c r="W530" s="113"/>
    </row>
    <row r="531" spans="1:23" x14ac:dyDescent="0.3">
      <c r="A531" t="s">
        <v>4912</v>
      </c>
      <c r="B531" s="92" t="s">
        <v>7053</v>
      </c>
      <c r="C531" s="82" t="s">
        <v>5181</v>
      </c>
      <c r="D531" s="82" t="s">
        <v>7054</v>
      </c>
      <c r="J531" s="3"/>
      <c r="K531"/>
      <c r="R531"/>
      <c r="T531" s="20"/>
      <c r="W531" s="113"/>
    </row>
    <row r="532" spans="1:23" x14ac:dyDescent="0.3">
      <c r="A532" t="s">
        <v>4912</v>
      </c>
      <c r="B532" s="275" t="s">
        <v>2585</v>
      </c>
      <c r="C532" s="276">
        <f>F547</f>
        <v>40009.766013836401</v>
      </c>
      <c r="D532" s="153">
        <f>C532/C526</f>
        <v>80.019532027672795</v>
      </c>
      <c r="F532" s="66"/>
      <c r="G532" s="19"/>
      <c r="H532" s="19"/>
      <c r="I532" s="42"/>
      <c r="J532" s="3"/>
      <c r="K532"/>
      <c r="R532"/>
      <c r="T532" s="20"/>
      <c r="W532" s="113"/>
    </row>
    <row r="533" spans="1:23" x14ac:dyDescent="0.3">
      <c r="A533" t="s">
        <v>4912</v>
      </c>
      <c r="B533" s="275" t="s">
        <v>2588</v>
      </c>
      <c r="C533" s="276">
        <f>G547+L547</f>
        <v>14562.261669309773</v>
      </c>
      <c r="D533" s="153">
        <f>C533/C526</f>
        <v>29.124523338619547</v>
      </c>
      <c r="F533" s="66"/>
      <c r="G533" s="66"/>
      <c r="H533" s="19"/>
      <c r="I533" s="42"/>
      <c r="J533" s="3"/>
      <c r="K533"/>
      <c r="R533"/>
      <c r="T533" s="20"/>
      <c r="W533" s="113"/>
    </row>
    <row r="534" spans="1:23" x14ac:dyDescent="0.3">
      <c r="A534" t="s">
        <v>4912</v>
      </c>
      <c r="B534" s="275" t="s">
        <v>441</v>
      </c>
      <c r="C534" s="276">
        <f>I547</f>
        <v>0</v>
      </c>
      <c r="D534" s="153">
        <f>C534/C526</f>
        <v>0</v>
      </c>
      <c r="F534" s="66"/>
      <c r="G534" s="66"/>
      <c r="H534"/>
      <c r="I534" s="42"/>
      <c r="J534" s="3"/>
      <c r="K534"/>
      <c r="R534"/>
      <c r="T534" s="20"/>
      <c r="W534" s="113"/>
    </row>
    <row r="535" spans="1:23" x14ac:dyDescent="0.3">
      <c r="A535" t="s">
        <v>4912</v>
      </c>
      <c r="B535" s="275" t="s">
        <v>440</v>
      </c>
      <c r="C535" s="276">
        <f>J547</f>
        <v>13214.040328378442</v>
      </c>
      <c r="D535" s="153">
        <f>C535/C526</f>
        <v>26.428080656756883</v>
      </c>
      <c r="F535" s="66"/>
      <c r="G535" s="66"/>
      <c r="H535"/>
      <c r="I535" s="42"/>
      <c r="J535" s="3"/>
      <c r="K535"/>
      <c r="R535"/>
      <c r="T535" s="20"/>
      <c r="W535" s="113"/>
    </row>
    <row r="536" spans="1:23" x14ac:dyDescent="0.3">
      <c r="A536" t="s">
        <v>4912</v>
      </c>
      <c r="B536" s="275" t="s">
        <v>442</v>
      </c>
      <c r="C536" s="276">
        <f>K547</f>
        <v>0</v>
      </c>
      <c r="D536" s="153">
        <f>C536/C526</f>
        <v>0</v>
      </c>
      <c r="F536" s="66"/>
      <c r="G536" s="66"/>
      <c r="H536"/>
      <c r="I536" s="42"/>
      <c r="J536" s="3"/>
      <c r="K536"/>
      <c r="P536" s="277"/>
      <c r="R536"/>
      <c r="T536" s="20"/>
      <c r="W536" s="113"/>
    </row>
    <row r="537" spans="1:23" x14ac:dyDescent="0.3">
      <c r="A537" t="s">
        <v>4912</v>
      </c>
      <c r="B537" s="2270" t="s">
        <v>439</v>
      </c>
      <c r="C537" s="2271">
        <f>M547</f>
        <v>-54572.027683146167</v>
      </c>
      <c r="D537" s="159">
        <f>C537/C526</f>
        <v>-109.14405536629233</v>
      </c>
      <c r="E537" s="288"/>
      <c r="F537"/>
      <c r="G537" s="66"/>
      <c r="H537"/>
      <c r="I537" s="42"/>
      <c r="J537" s="3"/>
      <c r="K537"/>
      <c r="R537"/>
      <c r="T537" s="20"/>
      <c r="W537" s="113"/>
    </row>
    <row r="538" spans="1:23" x14ac:dyDescent="0.3">
      <c r="A538" t="s">
        <v>4912</v>
      </c>
      <c r="B538" s="99" t="s">
        <v>7055</v>
      </c>
      <c r="C538" s="276">
        <f>L547</f>
        <v>0</v>
      </c>
      <c r="D538" s="153">
        <f>C538/C526</f>
        <v>0</v>
      </c>
      <c r="E538" s="279" t="s">
        <v>7056</v>
      </c>
      <c r="F538" s="66"/>
      <c r="G538" s="66"/>
      <c r="H538"/>
      <c r="I538" s="42"/>
      <c r="J538" s="3"/>
      <c r="K538"/>
      <c r="R538"/>
      <c r="T538" s="20"/>
      <c r="W538" s="113"/>
    </row>
    <row r="539" spans="1:23" x14ac:dyDescent="0.3">
      <c r="A539" t="s">
        <v>4912</v>
      </c>
      <c r="B539" s="99" t="s">
        <v>7057</v>
      </c>
      <c r="C539" s="153">
        <f>C532+C533</f>
        <v>54572.027683146174</v>
      </c>
      <c r="D539" s="153">
        <f>C539/C526</f>
        <v>109.14405536629235</v>
      </c>
      <c r="F539" s="66"/>
      <c r="G539" s="66"/>
      <c r="H539"/>
      <c r="I539" s="42"/>
      <c r="J539" s="3"/>
      <c r="K539"/>
      <c r="R539"/>
      <c r="T539" s="20"/>
      <c r="W539" s="113"/>
    </row>
    <row r="540" spans="1:23" x14ac:dyDescent="0.3">
      <c r="A540" t="s">
        <v>4912</v>
      </c>
      <c r="B540" s="853" t="s">
        <v>5392</v>
      </c>
      <c r="C540" s="142"/>
      <c r="D540" s="854">
        <f>E547</f>
        <v>1385491.3331182096</v>
      </c>
      <c r="E540" s="271" t="s">
        <v>2284</v>
      </c>
      <c r="F540"/>
      <c r="G540" s="66"/>
      <c r="H540"/>
      <c r="I540" s="42"/>
      <c r="J540" s="3"/>
      <c r="K540"/>
      <c r="R540"/>
      <c r="T540" s="20"/>
      <c r="W540" s="113"/>
    </row>
    <row r="541" spans="1:23" x14ac:dyDescent="0.3">
      <c r="A541" t="s">
        <v>4912</v>
      </c>
      <c r="B541" s="852" t="s">
        <v>5393</v>
      </c>
      <c r="D541" s="274">
        <f>E547/C526</f>
        <v>2770.9826662364194</v>
      </c>
      <c r="E541" s="20" t="s">
        <v>7058</v>
      </c>
      <c r="F541"/>
      <c r="G541" s="66"/>
      <c r="H541"/>
      <c r="I541" s="42"/>
      <c r="J541" s="3"/>
      <c r="K541"/>
      <c r="R541"/>
      <c r="T541" s="20"/>
      <c r="W541" s="113"/>
    </row>
    <row r="542" spans="1:23" x14ac:dyDescent="0.3">
      <c r="B542" s="99"/>
      <c r="D542"/>
      <c r="F542"/>
      <c r="G542"/>
      <c r="H542" s="42"/>
      <c r="I542" s="3"/>
      <c r="L542"/>
      <c r="N542" s="273" t="s">
        <v>7059</v>
      </c>
      <c r="O542" s="90"/>
      <c r="P542" s="90"/>
      <c r="Q542" s="90"/>
      <c r="R542" s="90"/>
      <c r="S542" s="279"/>
      <c r="T542" s="90"/>
      <c r="U542" s="90"/>
      <c r="V542" s="66"/>
      <c r="W542" s="280"/>
    </row>
    <row r="543" spans="1:23" x14ac:dyDescent="0.3">
      <c r="B543" s="92" t="s">
        <v>7060</v>
      </c>
      <c r="D543"/>
      <c r="F543"/>
      <c r="G543"/>
      <c r="H543"/>
      <c r="K543"/>
      <c r="L543"/>
      <c r="M543" s="113"/>
      <c r="N543" s="90" t="s">
        <v>5323</v>
      </c>
      <c r="O543" s="90" t="s">
        <v>5181</v>
      </c>
      <c r="P543" s="90" t="s">
        <v>5324</v>
      </c>
      <c r="Q543" s="90" t="s">
        <v>5181</v>
      </c>
      <c r="R543" s="90" t="s">
        <v>2710</v>
      </c>
      <c r="S543" s="90" t="s">
        <v>5181</v>
      </c>
      <c r="T543" s="90" t="s">
        <v>2710</v>
      </c>
      <c r="U543" s="90" t="s">
        <v>5181</v>
      </c>
      <c r="V543" s="90" t="s">
        <v>2710</v>
      </c>
      <c r="W543" s="280" t="s">
        <v>5181</v>
      </c>
    </row>
    <row r="544" spans="1:23" ht="28.8" x14ac:dyDescent="0.3">
      <c r="B544" s="92" t="s">
        <v>5187</v>
      </c>
      <c r="C544" s="82" t="s">
        <v>7061</v>
      </c>
      <c r="D544" s="82" t="s">
        <v>7062</v>
      </c>
      <c r="E544" s="277" t="s">
        <v>7063</v>
      </c>
      <c r="F544" s="82" t="s">
        <v>7064</v>
      </c>
      <c r="G544" s="277" t="s">
        <v>2588</v>
      </c>
      <c r="H544" s="82" t="s">
        <v>5188</v>
      </c>
      <c r="I544" s="82" t="s">
        <v>5189</v>
      </c>
      <c r="J544" s="82" t="s">
        <v>5190</v>
      </c>
      <c r="K544" s="82" t="s">
        <v>442</v>
      </c>
      <c r="L544" s="82" t="s">
        <v>5191</v>
      </c>
      <c r="M544" s="173" t="s">
        <v>7065</v>
      </c>
      <c r="N544" s="281" t="s">
        <v>5192</v>
      </c>
      <c r="O544" s="281" t="s">
        <v>5193</v>
      </c>
      <c r="P544" s="281" t="s">
        <v>5194</v>
      </c>
      <c r="Q544" s="281" t="s">
        <v>5195</v>
      </c>
      <c r="R544" s="281" t="s">
        <v>5196</v>
      </c>
      <c r="S544" s="281" t="s">
        <v>5197</v>
      </c>
      <c r="T544" s="281" t="s">
        <v>5198</v>
      </c>
      <c r="U544" s="281" t="s">
        <v>5199</v>
      </c>
      <c r="V544" s="281" t="s">
        <v>5200</v>
      </c>
      <c r="W544" s="282" t="s">
        <v>5201</v>
      </c>
    </row>
    <row r="545" spans="1:23" x14ac:dyDescent="0.3">
      <c r="A545" t="s">
        <v>7066</v>
      </c>
      <c r="B545" s="99" t="s">
        <v>6945</v>
      </c>
      <c r="C545" s="233">
        <f>SUMIFS($C$300:$C$765,$A$300:$A$765,_xlfn.CONCAT(B545,"_construction"))</f>
        <v>96391.333118209659</v>
      </c>
      <c r="D545" s="233">
        <f>SUMIFS($C$300:$C$765,$A$300:$A$765,_xlfn.CONCAT(B545,"_equipment"))</f>
        <v>0</v>
      </c>
      <c r="E545" s="274">
        <f t="shared" ref="E545" si="25">SUM(C545:D545)</f>
        <v>96391.333118209659</v>
      </c>
      <c r="F545" s="233">
        <f>SUMIFS($D$300:$D$765,$A$300:$A$765,$B545,$B$300:$B$765,"Total capital recovery value")</f>
        <v>7800.4078067725313</v>
      </c>
      <c r="G545" s="233">
        <f>SUMIFS($C$300:$C$765,$A$300:$A$765,$B545,$B$300:$B$765,"Annual operational costs")</f>
        <v>1445.8699967731447</v>
      </c>
      <c r="H545" s="153">
        <f>SUM(F545:G545)</f>
        <v>9246.2778035456759</v>
      </c>
      <c r="I545" s="233">
        <f>SUMIFS($C$300:$C$765,$A$300:$A$765,$B545,$B$300:$B$765,"Annual cost savings")</f>
        <v>0</v>
      </c>
      <c r="J545" s="233">
        <f>SUMIFS($C$300:$C$765,$A$300:$A$765,$B545,$B$300:$B$765,"Annual fertilizer value for on-farm use")</f>
        <v>0</v>
      </c>
      <c r="K545" s="233">
        <f>SUMIFS($C$300:$C$765,$A$300:$A$765,$B545,$B$300:$B$765,"Annual revenues")</f>
        <v>0</v>
      </c>
      <c r="L545" s="233">
        <f>SUMIFS($C$300:$C$765,$A$300:$A$765,$B545,$B$300:$B$765,"Annual cost to export excess")</f>
        <v>0</v>
      </c>
      <c r="M545" s="283">
        <f>K545-F545-G545</f>
        <v>-9246.2778035456759</v>
      </c>
      <c r="N545">
        <f>SUMIFS($F$300:$F$765,$A$300:$A$765,$B545,$B$300:$B$765,"Totals")</f>
        <v>0</v>
      </c>
      <c r="O545">
        <f>SUMIFS($G$300:$G$765,$A$300:$A$765,$B545,$B$300:$B$765,"Totals")</f>
        <v>0</v>
      </c>
      <c r="P545" s="147">
        <f>SUMIFS($H$300:$H$765,$A$300:$A$765,$B545,$B$300:$B$765,"Totals")</f>
        <v>0</v>
      </c>
      <c r="Q545" s="147">
        <f>SUMIFS($I$300:$I$765,$A$300:$A$765,$B545,$B$300:$B$765,"Totals")</f>
        <v>0</v>
      </c>
      <c r="R545" s="284">
        <f>SUMIFS($K$300:$K$765,$A$300:$A$765,$B545,$B$300:$B$765,"Totals")</f>
        <v>0</v>
      </c>
      <c r="S545" s="284">
        <f>SUMIFS($L$300:$L$765,$A$300:$A$765,$B545,$B$300:$B$765,"Totals")</f>
        <v>0</v>
      </c>
      <c r="T545" s="284">
        <f>SUMIFS($M$300:$M$765,$A$300:$A$765,$B545,$B$300:$B$765,"Totals")</f>
        <v>0</v>
      </c>
      <c r="U545" s="284">
        <f>SUMIFS($N$300:$N$765,$A$300:$A$765,$B545,$B$300:$B$765,"Totals")</f>
        <v>0</v>
      </c>
      <c r="V545" s="147">
        <f t="shared" ref="V545:W545" si="26">R545+T545</f>
        <v>0</v>
      </c>
      <c r="W545" s="285">
        <f t="shared" si="26"/>
        <v>0</v>
      </c>
    </row>
    <row r="546" spans="1:23" x14ac:dyDescent="0.3">
      <c r="A546" t="s">
        <v>7067</v>
      </c>
      <c r="B546" s="99" t="s">
        <v>5202</v>
      </c>
      <c r="C546" s="158">
        <f>SUMIFS($C$300:$C$765,$A$300:$A$765,_xlfn.CONCAT(B546,"_construction"))</f>
        <v>0</v>
      </c>
      <c r="D546" s="158">
        <f>SUMIFS($C$300:$C$765,$A$300:$A$765,_xlfn.CONCAT(B546,"_equipment"))</f>
        <v>1289100</v>
      </c>
      <c r="E546" s="274">
        <f>SUM(C546:D546)</f>
        <v>1289100</v>
      </c>
      <c r="F546" s="158">
        <f>SUMIFS($D$300:$D$765,$A$300:$A$765,$B546,$B$300:$B$765,"Total capital recovery value")</f>
        <v>32209.358207063866</v>
      </c>
      <c r="G546" s="158">
        <f>SUMIFS($C$300:$C$765,$A$300:$A$765,$B546,$B$300:$B$765,"Annual operational costs")</f>
        <v>13116.391672536629</v>
      </c>
      <c r="H546" s="153">
        <f>SUM(F546:G546)</f>
        <v>45325.749879600495</v>
      </c>
      <c r="I546" s="158">
        <f>SUMIFS($C$300:$C$765,$A$300:$A$765,$B546,$B$300:$B$765,"Annual cost savings")</f>
        <v>0</v>
      </c>
      <c r="J546" s="158">
        <f>SUMIFS($C$300:$C$765,$A$300:$A$765,$B546,$B$300:$B$765,"Annual fertilizer value for on-farm use")</f>
        <v>13214.040328378442</v>
      </c>
      <c r="K546" s="158">
        <f>SUMIFS($C$300:$C$765,$A$300:$A$765,$B546,$B$300:$B$765,"Annual revenues")</f>
        <v>0</v>
      </c>
      <c r="L546" s="158">
        <f>SUMIFS($C$300:$C$765,$A$300:$A$765,$B546,$B$300:$B$765,"Annual cost to export excess")</f>
        <v>0</v>
      </c>
      <c r="M546" s="283">
        <f>K546-F546-G546</f>
        <v>-45325.749879600495</v>
      </c>
      <c r="N546">
        <f>SUMIFS($F$300:$F$765,$A$300:$A$765,$B546,$B$300:$B$765,"Totals")</f>
        <v>0</v>
      </c>
      <c r="O546">
        <f>SUMIFS($G$300:$G$765,$A$300:$A$765,$B546,$B$300:$B$765,"Totals")</f>
        <v>0</v>
      </c>
      <c r="P546" s="147">
        <f>SUMIFS($H$300:$H$765,$A$300:$A$765,$B546,$B$300:$B$765,"Totals")</f>
        <v>370.31185144590069</v>
      </c>
      <c r="Q546" s="147">
        <f>SUMIFS($I$300:$I$765,$A$300:$A$765,$B546,$B$300:$B$765,"Totals")</f>
        <v>1368.8542653617394</v>
      </c>
      <c r="R546" s="2315">
        <f>SUMIFS($K$300:$K$765,$A$300:$A$765,$B546,$B$300:$B$765,"Totals")</f>
        <v>22.003886560796118</v>
      </c>
      <c r="S546" s="2315">
        <f>SUMIFS($L$300:$L$765,$A$300:$A$765,$B546,$B$300:$B$765,"Totals")</f>
        <v>520.61195602843623</v>
      </c>
      <c r="T546" s="2315">
        <f>SUMIFS($M$300:$M$765,$A$300:$A$765,$B546,$B$300:$B$765,"Totals")</f>
        <v>0</v>
      </c>
      <c r="U546" s="2315">
        <f>SUMIFS($N$300:$N$765,$A$300:$A$765,$B546,$B$300:$B$765,"Totals")</f>
        <v>0</v>
      </c>
      <c r="V546" s="147">
        <f>R546+T546</f>
        <v>22.003886560796118</v>
      </c>
      <c r="W546" s="285">
        <f>S546+U546</f>
        <v>520.61195602843623</v>
      </c>
    </row>
    <row r="547" spans="1:23" x14ac:dyDescent="0.3">
      <c r="A547" t="s">
        <v>7068</v>
      </c>
      <c r="B547" s="162" t="s">
        <v>5203</v>
      </c>
      <c r="C547" s="242">
        <f t="shared" ref="C547:W547" si="27">SUM(C545:C546)</f>
        <v>96391.333118209659</v>
      </c>
      <c r="D547" s="242">
        <f t="shared" si="27"/>
        <v>1289100</v>
      </c>
      <c r="E547" s="367">
        <f t="shared" si="27"/>
        <v>1385491.3331182096</v>
      </c>
      <c r="F547" s="242">
        <f t="shared" si="27"/>
        <v>40009.766013836401</v>
      </c>
      <c r="G547" s="242">
        <f t="shared" si="27"/>
        <v>14562.261669309773</v>
      </c>
      <c r="H547" s="242">
        <f t="shared" si="27"/>
        <v>54572.027683146167</v>
      </c>
      <c r="I547" s="242">
        <f t="shared" si="27"/>
        <v>0</v>
      </c>
      <c r="J547" s="242">
        <f t="shared" si="27"/>
        <v>13214.040328378442</v>
      </c>
      <c r="K547" s="242">
        <f t="shared" si="27"/>
        <v>0</v>
      </c>
      <c r="L547" s="242">
        <f t="shared" si="27"/>
        <v>0</v>
      </c>
      <c r="M547" s="367">
        <f t="shared" si="27"/>
        <v>-54572.027683146167</v>
      </c>
      <c r="N547" s="544">
        <f t="shared" si="27"/>
        <v>0</v>
      </c>
      <c r="O547" s="544">
        <f t="shared" si="27"/>
        <v>0</v>
      </c>
      <c r="P547" s="544">
        <f t="shared" si="27"/>
        <v>370.31185144590069</v>
      </c>
      <c r="Q547" s="544">
        <f t="shared" si="27"/>
        <v>1368.8542653617394</v>
      </c>
      <c r="R547" s="544">
        <f t="shared" si="27"/>
        <v>22.003886560796118</v>
      </c>
      <c r="S547" s="544">
        <f t="shared" si="27"/>
        <v>520.61195602843623</v>
      </c>
      <c r="T547" s="544">
        <f t="shared" si="27"/>
        <v>0</v>
      </c>
      <c r="U547" s="544">
        <f t="shared" si="27"/>
        <v>0</v>
      </c>
      <c r="V547" s="544">
        <f t="shared" si="27"/>
        <v>22.003886560796118</v>
      </c>
      <c r="W547" s="544">
        <f t="shared" si="27"/>
        <v>520.61195602843623</v>
      </c>
    </row>
    <row r="548" spans="1:23" x14ac:dyDescent="0.3">
      <c r="A548" s="82"/>
      <c r="B548" s="287" t="s">
        <v>7069</v>
      </c>
      <c r="C548" s="150"/>
      <c r="D548" s="150"/>
      <c r="E548" s="288"/>
      <c r="F548" s="150"/>
      <c r="G548" s="150"/>
      <c r="H548" s="150"/>
      <c r="I548" s="150"/>
      <c r="J548" s="150"/>
      <c r="K548" s="150"/>
      <c r="L548" s="150"/>
      <c r="M548" s="289"/>
      <c r="N548" s="150"/>
      <c r="O548" s="150"/>
      <c r="P548" s="150"/>
      <c r="Q548" s="150"/>
      <c r="R548" s="290"/>
      <c r="S548" s="291"/>
      <c r="T548" s="150"/>
      <c r="U548" s="150"/>
      <c r="V548" s="150"/>
      <c r="W548" s="151"/>
    </row>
    <row r="551" spans="1:23" x14ac:dyDescent="0.3">
      <c r="B551" s="139" t="s">
        <v>7050</v>
      </c>
      <c r="C551" s="142"/>
      <c r="D551" s="142"/>
      <c r="E551" s="267"/>
      <c r="F551" s="267"/>
      <c r="G551" s="267"/>
      <c r="H551" s="268"/>
      <c r="I551" s="269"/>
      <c r="J551" s="270"/>
      <c r="K551" s="142"/>
      <c r="L551" s="269"/>
      <c r="M551" s="142"/>
      <c r="N551" s="142"/>
      <c r="O551" s="142"/>
      <c r="P551" s="142"/>
      <c r="Q551" s="142"/>
      <c r="R551" s="142"/>
      <c r="S551" s="142"/>
      <c r="T551" s="271"/>
      <c r="U551" s="142"/>
      <c r="V551" s="142"/>
      <c r="W551" s="272"/>
    </row>
    <row r="552" spans="1:23" x14ac:dyDescent="0.3">
      <c r="B552" s="92" t="s">
        <v>7070</v>
      </c>
      <c r="D552"/>
      <c r="F552" s="66"/>
      <c r="G552" s="66"/>
      <c r="H552" s="19"/>
      <c r="I552" s="42"/>
      <c r="J552" s="3"/>
      <c r="K552"/>
      <c r="R552"/>
      <c r="T552" s="20"/>
      <c r="W552" s="113"/>
    </row>
    <row r="553" spans="1:23" x14ac:dyDescent="0.3">
      <c r="B553" s="99"/>
      <c r="F553" s="66"/>
      <c r="G553" s="19"/>
      <c r="H553" s="19"/>
      <c r="I553" s="42"/>
      <c r="J553" s="3"/>
      <c r="K553"/>
      <c r="R553"/>
      <c r="T553" s="20"/>
      <c r="W553" s="113"/>
    </row>
    <row r="554" spans="1:23" x14ac:dyDescent="0.3">
      <c r="B554" s="92" t="s">
        <v>7052</v>
      </c>
      <c r="C554" s="82" t="s">
        <v>565</v>
      </c>
      <c r="D554" s="82" t="s">
        <v>38</v>
      </c>
      <c r="F554"/>
      <c r="G554"/>
      <c r="H554" s="19"/>
      <c r="I554" s="42"/>
      <c r="J554" s="3"/>
      <c r="K554"/>
      <c r="R554"/>
      <c r="T554" s="20"/>
      <c r="W554" s="113"/>
    </row>
    <row r="555" spans="1:23" x14ac:dyDescent="0.3">
      <c r="B555" s="99" t="s">
        <v>5859</v>
      </c>
      <c r="C555" s="148">
        <f>UDV.animal.total</f>
        <v>500</v>
      </c>
      <c r="D555" t="s">
        <v>2442</v>
      </c>
      <c r="F555"/>
      <c r="G555"/>
      <c r="H555" s="19"/>
      <c r="I555" s="42"/>
      <c r="J555" s="3"/>
      <c r="K555"/>
      <c r="R555"/>
      <c r="T555" s="20"/>
      <c r="W555" s="113"/>
    </row>
    <row r="556" spans="1:23" x14ac:dyDescent="0.3">
      <c r="B556" s="174" t="s">
        <v>5386</v>
      </c>
      <c r="C556" s="148">
        <f>UDV.crops.acres_available</f>
        <v>100</v>
      </c>
      <c r="D556" t="s">
        <v>7029</v>
      </c>
      <c r="F556"/>
      <c r="G556"/>
      <c r="H556" s="19"/>
      <c r="I556" s="42"/>
      <c r="J556" s="3"/>
      <c r="K556"/>
      <c r="R556"/>
      <c r="T556" s="20"/>
      <c r="W556" s="113"/>
    </row>
    <row r="557" spans="1:23" x14ac:dyDescent="0.3">
      <c r="B557" s="99" t="s">
        <v>5114</v>
      </c>
      <c r="C557" t="str">
        <f>UDV.u.state</f>
        <v>Iowa</v>
      </c>
      <c r="D557" t="s">
        <v>2852</v>
      </c>
      <c r="F557"/>
      <c r="G557"/>
      <c r="H557"/>
      <c r="K557"/>
      <c r="L557"/>
      <c r="R557"/>
      <c r="T557" s="20"/>
      <c r="W557" s="113"/>
    </row>
    <row r="558" spans="1:23" x14ac:dyDescent="0.3">
      <c r="A558" t="s">
        <v>4917</v>
      </c>
      <c r="B558" s="99"/>
      <c r="C558" s="166"/>
      <c r="D558"/>
      <c r="F558"/>
      <c r="G558"/>
      <c r="H558" s="19"/>
      <c r="I558" s="42"/>
      <c r="J558" s="3"/>
      <c r="K558"/>
      <c r="R558"/>
      <c r="T558" s="20"/>
      <c r="W558" s="113"/>
    </row>
    <row r="559" spans="1:23" x14ac:dyDescent="0.3">
      <c r="B559" s="99"/>
      <c r="F559" s="66"/>
      <c r="G559"/>
      <c r="H559" s="19"/>
      <c r="I559" s="42"/>
      <c r="J559" s="3"/>
      <c r="K559"/>
      <c r="R559"/>
      <c r="T559" s="20"/>
      <c r="W559" s="113"/>
    </row>
    <row r="560" spans="1:23" x14ac:dyDescent="0.3">
      <c r="A560" t="s">
        <v>4917</v>
      </c>
      <c r="B560" s="92" t="s">
        <v>7053</v>
      </c>
      <c r="C560" s="82" t="s">
        <v>5181</v>
      </c>
      <c r="D560" s="82" t="s">
        <v>7054</v>
      </c>
      <c r="F560"/>
      <c r="G560"/>
      <c r="H560"/>
      <c r="J560" s="3"/>
      <c r="K560"/>
      <c r="R560"/>
      <c r="T560" s="20"/>
      <c r="W560" s="113"/>
    </row>
    <row r="561" spans="1:23" x14ac:dyDescent="0.3">
      <c r="A561" t="s">
        <v>4917</v>
      </c>
      <c r="B561" s="275" t="s">
        <v>2585</v>
      </c>
      <c r="C561" s="276">
        <f>F576</f>
        <v>93697.103690381526</v>
      </c>
      <c r="D561" s="153">
        <f>C561/C555</f>
        <v>187.39420738076305</v>
      </c>
      <c r="F561" s="66"/>
      <c r="G561" s="66"/>
      <c r="H561" s="19"/>
      <c r="I561" s="42"/>
      <c r="J561" s="3"/>
      <c r="K561"/>
      <c r="R561"/>
      <c r="T561" s="20"/>
      <c r="W561" s="113"/>
    </row>
    <row r="562" spans="1:23" x14ac:dyDescent="0.3">
      <c r="A562" t="s">
        <v>4917</v>
      </c>
      <c r="B562" s="275" t="s">
        <v>2588</v>
      </c>
      <c r="C562" s="276">
        <f>G576+L576</f>
        <v>32532.647979395071</v>
      </c>
      <c r="D562" s="153">
        <f>C562/C555</f>
        <v>65.065295958790145</v>
      </c>
      <c r="F562" s="66"/>
      <c r="G562" s="66"/>
      <c r="H562" s="19"/>
      <c r="I562" s="42"/>
      <c r="J562" s="3"/>
      <c r="K562"/>
      <c r="R562"/>
      <c r="T562" s="20"/>
      <c r="W562" s="113"/>
    </row>
    <row r="563" spans="1:23" x14ac:dyDescent="0.3">
      <c r="A563" t="s">
        <v>4917</v>
      </c>
      <c r="B563" s="275" t="s">
        <v>441</v>
      </c>
      <c r="C563" s="276">
        <f>I576</f>
        <v>0</v>
      </c>
      <c r="D563" s="153">
        <f>C563/C555</f>
        <v>0</v>
      </c>
      <c r="F563" s="66"/>
      <c r="G563" s="66"/>
      <c r="H563"/>
      <c r="I563" s="42"/>
      <c r="J563" s="3"/>
      <c r="K563"/>
      <c r="R563"/>
      <c r="T563" s="20"/>
      <c r="W563" s="113"/>
    </row>
    <row r="564" spans="1:23" x14ac:dyDescent="0.3">
      <c r="A564" t="s">
        <v>4917</v>
      </c>
      <c r="B564" s="275" t="s">
        <v>440</v>
      </c>
      <c r="C564" s="276">
        <f>J576</f>
        <v>13214.040328378442</v>
      </c>
      <c r="D564" s="153">
        <f>C564/C555</f>
        <v>26.428080656756883</v>
      </c>
      <c r="F564" s="66"/>
      <c r="G564" s="66"/>
      <c r="H564"/>
      <c r="I564" s="42"/>
      <c r="J564" s="3"/>
      <c r="K564"/>
      <c r="R564"/>
      <c r="T564" s="20"/>
      <c r="W564" s="113"/>
    </row>
    <row r="565" spans="1:23" x14ac:dyDescent="0.3">
      <c r="A565" t="s">
        <v>4917</v>
      </c>
      <c r="B565" s="275" t="s">
        <v>442</v>
      </c>
      <c r="C565" s="276">
        <f>K576</f>
        <v>0</v>
      </c>
      <c r="D565" s="153">
        <f>C565/C555</f>
        <v>0</v>
      </c>
      <c r="F565" s="66"/>
      <c r="G565" s="66"/>
      <c r="H565"/>
      <c r="I565" s="42"/>
      <c r="J565" s="3"/>
      <c r="K565"/>
      <c r="P565" s="277"/>
      <c r="R565"/>
      <c r="T565" s="20"/>
      <c r="W565" s="113"/>
    </row>
    <row r="566" spans="1:23" x14ac:dyDescent="0.3">
      <c r="A566" t="s">
        <v>4917</v>
      </c>
      <c r="B566" s="2270" t="s">
        <v>439</v>
      </c>
      <c r="C566" s="2271">
        <f>M576</f>
        <v>-126229.7516697766</v>
      </c>
      <c r="D566" s="159">
        <f>C566/C555</f>
        <v>-252.45950333955318</v>
      </c>
      <c r="E566" s="288"/>
      <c r="F566" s="66"/>
      <c r="G566" s="66"/>
      <c r="H566"/>
      <c r="I566" s="42"/>
      <c r="J566" s="3"/>
      <c r="K566"/>
      <c r="R566"/>
      <c r="T566" s="20"/>
      <c r="W566" s="113"/>
    </row>
    <row r="567" spans="1:23" x14ac:dyDescent="0.3">
      <c r="A567" t="s">
        <v>4917</v>
      </c>
      <c r="B567" s="99" t="s">
        <v>7055</v>
      </c>
      <c r="C567" s="276">
        <f>L576</f>
        <v>0</v>
      </c>
      <c r="D567" s="153">
        <f>C567/C555</f>
        <v>0</v>
      </c>
      <c r="E567" s="279" t="s">
        <v>7056</v>
      </c>
      <c r="F567" s="66"/>
      <c r="G567" s="66"/>
      <c r="H567"/>
      <c r="I567" s="42"/>
      <c r="J567" s="3"/>
      <c r="K567"/>
      <c r="R567"/>
      <c r="T567" s="20"/>
      <c r="W567" s="113"/>
    </row>
    <row r="568" spans="1:23" x14ac:dyDescent="0.3">
      <c r="A568" t="s">
        <v>4917</v>
      </c>
      <c r="B568" s="99" t="s">
        <v>7057</v>
      </c>
      <c r="C568" s="153">
        <f>C561+C562</f>
        <v>126229.7516697766</v>
      </c>
      <c r="D568" s="153">
        <f>C568/C555</f>
        <v>252.45950333955318</v>
      </c>
      <c r="F568" s="66"/>
      <c r="G568" s="66"/>
      <c r="H568"/>
      <c r="I568" s="42"/>
      <c r="J568" s="3"/>
      <c r="K568"/>
      <c r="R568"/>
      <c r="T568" s="20"/>
      <c r="W568" s="113"/>
    </row>
    <row r="569" spans="1:23" x14ac:dyDescent="0.3">
      <c r="A569" t="s">
        <v>4917</v>
      </c>
      <c r="B569" s="853" t="s">
        <v>5392</v>
      </c>
      <c r="C569" s="142"/>
      <c r="D569" s="854">
        <f>E576</f>
        <v>2154231.3331182096</v>
      </c>
      <c r="E569" s="271" t="s">
        <v>2284</v>
      </c>
      <c r="F569"/>
      <c r="G569" s="66"/>
      <c r="H569"/>
      <c r="I569" s="42"/>
      <c r="J569" s="3"/>
      <c r="K569"/>
      <c r="R569"/>
      <c r="T569" s="20"/>
      <c r="W569" s="113"/>
    </row>
    <row r="570" spans="1:23" x14ac:dyDescent="0.3">
      <c r="A570" t="s">
        <v>4917</v>
      </c>
      <c r="B570" s="852" t="s">
        <v>5393</v>
      </c>
      <c r="D570" s="274">
        <f>E576/C555</f>
        <v>4308.462666236419</v>
      </c>
      <c r="E570" s="20" t="s">
        <v>7058</v>
      </c>
      <c r="F570"/>
      <c r="G570" s="66"/>
      <c r="H570"/>
      <c r="I570" s="42"/>
      <c r="J570" s="3"/>
      <c r="K570"/>
      <c r="R570"/>
      <c r="T570" s="20"/>
      <c r="W570" s="113"/>
    </row>
    <row r="571" spans="1:23" x14ac:dyDescent="0.3">
      <c r="B571" s="99"/>
      <c r="D571"/>
      <c r="F571"/>
      <c r="G571"/>
      <c r="H571" s="42"/>
      <c r="I571" s="3"/>
      <c r="L571"/>
      <c r="N571" s="273" t="s">
        <v>7059</v>
      </c>
      <c r="O571" s="90"/>
      <c r="P571" s="90"/>
      <c r="Q571" s="90"/>
      <c r="R571" s="90"/>
      <c r="S571" s="279"/>
      <c r="T571" s="90"/>
      <c r="U571" s="90"/>
      <c r="V571" s="66"/>
      <c r="W571" s="280"/>
    </row>
    <row r="572" spans="1:23" x14ac:dyDescent="0.3">
      <c r="B572" s="92" t="s">
        <v>7060</v>
      </c>
      <c r="D572"/>
      <c r="F572"/>
      <c r="G572"/>
      <c r="H572"/>
      <c r="K572"/>
      <c r="L572"/>
      <c r="M572" s="113"/>
      <c r="N572" s="90" t="s">
        <v>5323</v>
      </c>
      <c r="O572" s="90" t="s">
        <v>5181</v>
      </c>
      <c r="P572" s="90" t="s">
        <v>5324</v>
      </c>
      <c r="Q572" s="90" t="s">
        <v>5181</v>
      </c>
      <c r="R572" s="90" t="s">
        <v>2710</v>
      </c>
      <c r="S572" s="90" t="s">
        <v>5181</v>
      </c>
      <c r="T572" s="90" t="s">
        <v>2710</v>
      </c>
      <c r="U572" s="90" t="s">
        <v>5181</v>
      </c>
      <c r="V572" s="90" t="s">
        <v>2710</v>
      </c>
      <c r="W572" s="280" t="s">
        <v>5181</v>
      </c>
    </row>
    <row r="573" spans="1:23" ht="43.2" x14ac:dyDescent="0.3">
      <c r="B573" s="92" t="s">
        <v>5187</v>
      </c>
      <c r="C573" s="152" t="s">
        <v>7061</v>
      </c>
      <c r="D573" s="152" t="s">
        <v>7062</v>
      </c>
      <c r="E573" s="277" t="s">
        <v>7063</v>
      </c>
      <c r="F573" s="152" t="s">
        <v>7064</v>
      </c>
      <c r="G573" s="293" t="s">
        <v>2588</v>
      </c>
      <c r="H573" s="152" t="s">
        <v>5188</v>
      </c>
      <c r="I573" s="152" t="s">
        <v>5189</v>
      </c>
      <c r="J573" s="152" t="s">
        <v>5190</v>
      </c>
      <c r="K573" s="152" t="s">
        <v>442</v>
      </c>
      <c r="L573" s="152" t="s">
        <v>5191</v>
      </c>
      <c r="M573" s="161" t="s">
        <v>439</v>
      </c>
      <c r="N573" s="281" t="s">
        <v>5192</v>
      </c>
      <c r="O573" s="281" t="s">
        <v>5193</v>
      </c>
      <c r="P573" s="281" t="s">
        <v>5194</v>
      </c>
      <c r="Q573" s="281" t="s">
        <v>5195</v>
      </c>
      <c r="R573" s="281" t="s">
        <v>5196</v>
      </c>
      <c r="S573" s="281" t="s">
        <v>5197</v>
      </c>
      <c r="T573" s="281" t="s">
        <v>5198</v>
      </c>
      <c r="U573" s="281" t="s">
        <v>5199</v>
      </c>
      <c r="V573" s="281" t="s">
        <v>5200</v>
      </c>
      <c r="W573" s="282" t="s">
        <v>5201</v>
      </c>
    </row>
    <row r="574" spans="1:23" x14ac:dyDescent="0.3">
      <c r="A574" t="s">
        <v>7071</v>
      </c>
      <c r="B574" s="99" t="s">
        <v>6945</v>
      </c>
      <c r="C574" s="158">
        <f>SUMIFS($C$300:$C$765,$A$300:$A$765,_xlfn.CONCAT(B574,"_construction"))</f>
        <v>96391.333118209659</v>
      </c>
      <c r="D574" s="158">
        <f>SUMIFS($C$300:$C$765,$A$300:$A$765,_xlfn.CONCAT(B574,"_equipment"))</f>
        <v>0</v>
      </c>
      <c r="E574" s="274">
        <f>SUM(C574:D574)</f>
        <v>96391.333118209659</v>
      </c>
      <c r="F574" s="158">
        <f>SUMIFS($D$300:$D$765,$A$300:$A$765,$B574,$B$300:$B$765,"Total capital recovery value")</f>
        <v>7800.4078067725313</v>
      </c>
      <c r="G574" s="158">
        <f>SUMIFS($C$300:$C$765,$A$300:$A$765,$B574,$B$300:$B$765,"Annual operational costs")</f>
        <v>1445.8699967731447</v>
      </c>
      <c r="H574" s="153">
        <f>SUM(F574:G574)</f>
        <v>9246.2778035456759</v>
      </c>
      <c r="I574" s="158">
        <f>SUMIFS($C$300:$C$765,$A$300:$A$765,$B574,$B$300:$B$765,"Annual cost savings")</f>
        <v>0</v>
      </c>
      <c r="J574" s="158">
        <f>SUMIFS($C$300:$C$765,$A$300:$A$765,$B574,$B$300:$B$765,"Annual fertilizer value for on-farm use")</f>
        <v>0</v>
      </c>
      <c r="K574" s="158">
        <f>SUMIFS($C$300:$C$765,$A$300:$A$765,$B574,$B$300:$B$765,"Annual revenues")</f>
        <v>0</v>
      </c>
      <c r="L574" s="158">
        <f>SUMIFS($C$300:$C$765,$A$300:$A$765,$B574,$B$300:$B$765,"Annual cost to export excess")</f>
        <v>0</v>
      </c>
      <c r="M574" s="283">
        <f>K574-F574-G574</f>
        <v>-9246.2778035456759</v>
      </c>
      <c r="N574">
        <f>SUMIFS($F$300:$F$765,$A$300:$A$765,$B574,$B$300:$B$765,"Totals")</f>
        <v>0</v>
      </c>
      <c r="O574">
        <f>SUMIFS($G$300:$G$765,$A$300:$A$765,$B574,$B$300:$B$765,"Totals")</f>
        <v>0</v>
      </c>
      <c r="P574" s="147">
        <f>SUMIFS($H$300:$H$765,$A$300:$A$765,$B574,$B$300:$B$765,"Totals")</f>
        <v>0</v>
      </c>
      <c r="Q574" s="147">
        <f>SUMIFS($I$300:$I$765,$A$300:$A$765,$B574,$B$300:$B$765,"Totals")</f>
        <v>0</v>
      </c>
      <c r="R574" s="2315">
        <f>SUMIFS($K$300:$K$765,$A$300:$A$765,$B574,$B$300:$B$765,"Totals")</f>
        <v>0</v>
      </c>
      <c r="S574" s="2315">
        <f>SUMIFS($L$300:$L$765,$A$300:$A$765,$B574,$B$300:$B$765,"Totals")</f>
        <v>0</v>
      </c>
      <c r="T574" s="2315">
        <f>SUMIFS($M$300:$M$765,$A$300:$A$765,$B574,$B$300:$B$765,"Totals")</f>
        <v>0</v>
      </c>
      <c r="U574" s="2315">
        <f>SUMIFS($N$300:$N$765,$A$300:$A$765,$B574,$B$300:$B$765,"Totals")</f>
        <v>0</v>
      </c>
      <c r="V574" s="147">
        <f>R574+T574</f>
        <v>0</v>
      </c>
      <c r="W574" s="285">
        <f>S574+U574</f>
        <v>0</v>
      </c>
    </row>
    <row r="575" spans="1:23" x14ac:dyDescent="0.3">
      <c r="A575" t="s">
        <v>5310</v>
      </c>
      <c r="B575" s="99" t="s">
        <v>5205</v>
      </c>
      <c r="C575" s="233">
        <f>SUMIFS($C$300:$C$765,$A$300:$A$765,_xlfn.CONCAT(B575,"_construction"))</f>
        <v>0</v>
      </c>
      <c r="D575" s="233">
        <f>SUMIFS($C$300:$C$765,$A$300:$A$765,_xlfn.CONCAT(B575,"_equipment"))</f>
        <v>2057840</v>
      </c>
      <c r="E575" s="274">
        <f t="shared" ref="E575" si="28">SUM(C575:D575)</f>
        <v>2057840</v>
      </c>
      <c r="F575" s="233">
        <f>SUMIFS($D$300:$D$765,$A$300:$A$765,$B575,$B$300:$B$765,"Total capital recovery value")</f>
        <v>85896.695883608991</v>
      </c>
      <c r="G575" s="233">
        <f>SUMIFS($C$300:$C$765,$A$300:$A$765,$B575,$B$300:$B$765,"Annual operational costs")</f>
        <v>31086.777982621927</v>
      </c>
      <c r="H575" s="153">
        <f>SUM(F575:G575)</f>
        <v>116983.47386623092</v>
      </c>
      <c r="I575" s="233">
        <f>SUMIFS($C$300:$C$765,$A$300:$A$765,$B575,$B$300:$B$765,"Annual cost savings")</f>
        <v>0</v>
      </c>
      <c r="J575" s="233">
        <f>SUMIFS($C$300:$C$765,$A$300:$A$765,$B575,$B$300:$B$765,"Annual fertilizer value for on-farm use")</f>
        <v>13214.040328378442</v>
      </c>
      <c r="K575" s="233">
        <f>SUMIFS($C$300:$C$765,$A$300:$A$765,$B575,$B$300:$B$765,"Annual revenues")</f>
        <v>0</v>
      </c>
      <c r="L575" s="233">
        <f>SUMIFS($C$300:$C$765,$A$300:$A$765,$B575,$B$300:$B$765,"Annual cost to export excess")</f>
        <v>0</v>
      </c>
      <c r="M575" s="283">
        <f>K575-F575-G575</f>
        <v>-116983.47386623092</v>
      </c>
      <c r="N575">
        <f>SUMIFS($F$300:$F$765,$A$300:$A$765,$B575,$B$300:$B$765,"Totals")</f>
        <v>0</v>
      </c>
      <c r="O575">
        <f>SUMIFS($G$300:$G$765,$A$300:$A$765,$B575,$B$300:$B$765,"Totals")</f>
        <v>0</v>
      </c>
      <c r="P575" s="147">
        <f>SUMIFS($H$300:$H$765,$A$300:$A$765,$B575,$B$300:$B$765,"Totals")</f>
        <v>459.80735729012861</v>
      </c>
      <c r="Q575" s="147">
        <f>SUMIFS($I$300:$I$765,$A$300:$A$765,$B575,$B$300:$B$765,"Totals")</f>
        <v>1699.6735584177027</v>
      </c>
      <c r="R575" s="284">
        <f>SUMIFS($K$300:$K$765,$A$300:$A$765,$B575,$B$300:$B$765,"Totals")</f>
        <v>16.100315177561104</v>
      </c>
      <c r="S575" s="284">
        <f>SUMIFS($L$300:$L$765,$A$300:$A$765,$B575,$B$300:$B$765,"Totals")</f>
        <v>380.93345710109571</v>
      </c>
      <c r="T575" s="284">
        <f>SUMIFS($M$300:$M$765,$A$300:$A$765,$B575,$B$300:$B$765,"Totals")</f>
        <v>0</v>
      </c>
      <c r="U575" s="284">
        <f>SUMIFS($N$300:$N$765,$A$300:$A$765,$B575,$B$300:$B$765,"Totals")</f>
        <v>0</v>
      </c>
      <c r="V575" s="147">
        <f t="shared" ref="V575:W575" si="29">R575+T575</f>
        <v>16.100315177561104</v>
      </c>
      <c r="W575" s="285">
        <f t="shared" si="29"/>
        <v>380.93345710109571</v>
      </c>
    </row>
    <row r="576" spans="1:23" x14ac:dyDescent="0.3">
      <c r="A576" t="s">
        <v>7072</v>
      </c>
      <c r="B576" s="162" t="s">
        <v>5203</v>
      </c>
      <c r="C576" s="242">
        <f t="shared" ref="C576:W576" si="30">SUM(C574:C575)</f>
        <v>96391.333118209659</v>
      </c>
      <c r="D576" s="242">
        <f t="shared" si="30"/>
        <v>2057840</v>
      </c>
      <c r="E576" s="367">
        <f t="shared" si="30"/>
        <v>2154231.3331182096</v>
      </c>
      <c r="F576" s="242">
        <f t="shared" si="30"/>
        <v>93697.103690381526</v>
      </c>
      <c r="G576" s="242">
        <f t="shared" si="30"/>
        <v>32532.647979395071</v>
      </c>
      <c r="H576" s="242">
        <f t="shared" si="30"/>
        <v>126229.7516697766</v>
      </c>
      <c r="I576" s="242">
        <f t="shared" si="30"/>
        <v>0</v>
      </c>
      <c r="J576" s="242">
        <f t="shared" si="30"/>
        <v>13214.040328378442</v>
      </c>
      <c r="K576" s="242">
        <f t="shared" si="30"/>
        <v>0</v>
      </c>
      <c r="L576" s="242">
        <f t="shared" si="30"/>
        <v>0</v>
      </c>
      <c r="M576" s="367">
        <f t="shared" si="30"/>
        <v>-126229.7516697766</v>
      </c>
      <c r="N576" s="286">
        <f t="shared" si="30"/>
        <v>0</v>
      </c>
      <c r="O576" s="286">
        <f t="shared" si="30"/>
        <v>0</v>
      </c>
      <c r="P576" s="286">
        <f t="shared" si="30"/>
        <v>459.80735729012861</v>
      </c>
      <c r="Q576" s="286">
        <f t="shared" si="30"/>
        <v>1699.6735584177027</v>
      </c>
      <c r="R576" s="286">
        <f t="shared" si="30"/>
        <v>16.100315177561104</v>
      </c>
      <c r="S576" s="286">
        <f t="shared" si="30"/>
        <v>380.93345710109571</v>
      </c>
      <c r="T576" s="286">
        <f t="shared" si="30"/>
        <v>0</v>
      </c>
      <c r="U576" s="286">
        <f t="shared" si="30"/>
        <v>0</v>
      </c>
      <c r="V576" s="541">
        <f t="shared" si="30"/>
        <v>16.100315177561104</v>
      </c>
      <c r="W576" s="541">
        <f t="shared" si="30"/>
        <v>380.93345710109571</v>
      </c>
    </row>
    <row r="577" spans="1:23" x14ac:dyDescent="0.3">
      <c r="A577" s="82"/>
      <c r="B577" s="287" t="s">
        <v>7069</v>
      </c>
      <c r="C577" s="150"/>
      <c r="D577" s="150"/>
      <c r="E577" s="288"/>
      <c r="F577" s="150"/>
      <c r="G577" s="150"/>
      <c r="H577" s="150"/>
      <c r="I577" s="150"/>
      <c r="J577" s="150"/>
      <c r="K577" s="150"/>
      <c r="L577" s="150"/>
      <c r="M577" s="289"/>
      <c r="N577" s="150"/>
      <c r="O577" s="150"/>
      <c r="P577" s="150"/>
      <c r="Q577" s="150"/>
      <c r="R577" s="290"/>
      <c r="S577" s="291"/>
      <c r="T577" s="150"/>
      <c r="U577" s="150"/>
      <c r="V577" s="150"/>
      <c r="W577" s="151"/>
    </row>
  </sheetData>
  <dataConsolidate/>
  <pageMargins left="0.7" right="0.7" top="0.75" bottom="0.75" header="0.3" footer="0.3"/>
  <pageSetup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5618-FDF3-49A3-8631-C2263D410249}">
  <sheetPr codeName="Sheet26">
    <tabColor rgb="FF92D050"/>
  </sheetPr>
  <dimension ref="A1:Y611"/>
  <sheetViews>
    <sheetView topLeftCell="A456" workbookViewId="0"/>
  </sheetViews>
  <sheetFormatPr defaultRowHeight="14.25" customHeight="1" x14ac:dyDescent="0.3"/>
  <cols>
    <col min="1" max="1" width="17.109375" customWidth="1"/>
    <col min="2" max="2" width="45.33203125" customWidth="1"/>
    <col min="3" max="3" width="14.44140625" customWidth="1"/>
    <col min="4" max="4" width="21.33203125" customWidth="1"/>
    <col min="5" max="5" width="15.44140625" customWidth="1"/>
    <col min="6" max="9" width="18.6640625" customWidth="1"/>
    <col min="10" max="10" width="21.88671875" customWidth="1"/>
    <col min="11" max="11" width="17.5546875" customWidth="1"/>
    <col min="12" max="12" width="15.5546875" customWidth="1"/>
    <col min="13" max="13" width="15.44140625" customWidth="1"/>
    <col min="14" max="14" width="13" customWidth="1"/>
    <col min="15" max="15" width="10.44140625" bestFit="1" customWidth="1"/>
    <col min="17" max="17" width="37.5546875" customWidth="1"/>
    <col min="18" max="18" width="57.88671875" customWidth="1"/>
    <col min="19" max="19" width="20.44140625" bestFit="1" customWidth="1"/>
    <col min="20" max="20" width="35.6640625" customWidth="1"/>
    <col min="21" max="21" width="23.5546875" bestFit="1" customWidth="1"/>
    <col min="22" max="22" width="28" customWidth="1"/>
    <col min="23" max="23" width="30" customWidth="1"/>
    <col min="24" max="24" width="56.88671875" bestFit="1" customWidth="1"/>
    <col min="25" max="25" width="15.5546875" bestFit="1" customWidth="1"/>
    <col min="26" max="26" width="26.5546875" bestFit="1" customWidth="1"/>
    <col min="27" max="27" width="18.44140625" bestFit="1" customWidth="1"/>
    <col min="28" max="28" width="47.5546875" bestFit="1" customWidth="1"/>
    <col min="29" max="29" width="63.88671875" bestFit="1" customWidth="1"/>
    <col min="30" max="30" width="7.44140625" bestFit="1" customWidth="1"/>
    <col min="31" max="31" width="24.5546875" bestFit="1" customWidth="1"/>
    <col min="32" max="32" width="7" bestFit="1" customWidth="1"/>
    <col min="33" max="33" width="14.44140625" bestFit="1" customWidth="1"/>
    <col min="34" max="34" width="6.5546875" bestFit="1" customWidth="1"/>
    <col min="35" max="35" width="13.88671875" bestFit="1" customWidth="1"/>
    <col min="36" max="36" width="88.5546875" bestFit="1" customWidth="1"/>
  </cols>
  <sheetData>
    <row r="1" spans="1:21" ht="14.25" customHeight="1" x14ac:dyDescent="0.35">
      <c r="A1" s="522" t="s">
        <v>7073</v>
      </c>
      <c r="B1" s="1"/>
      <c r="C1" s="1"/>
      <c r="D1" s="5"/>
      <c r="E1" s="5"/>
      <c r="F1" s="4"/>
      <c r="G1" s="46"/>
      <c r="H1" s="3"/>
      <c r="I1" s="2"/>
      <c r="J1" s="2"/>
      <c r="K1" s="3"/>
      <c r="L1" s="3"/>
      <c r="M1" s="2"/>
      <c r="N1" s="2"/>
      <c r="O1" s="2"/>
      <c r="P1" s="2"/>
      <c r="Q1" s="2"/>
      <c r="R1" s="14"/>
      <c r="S1" s="2"/>
      <c r="T1" s="2"/>
      <c r="U1" s="2"/>
    </row>
    <row r="2" spans="1:21" ht="14.25" customHeight="1" x14ac:dyDescent="0.3">
      <c r="A2" s="38"/>
      <c r="B2" s="1660" t="s">
        <v>6921</v>
      </c>
      <c r="C2" s="1804"/>
      <c r="D2" s="1661"/>
      <c r="E2" s="86"/>
      <c r="F2" s="86"/>
      <c r="G2" s="86"/>
      <c r="H2" s="86"/>
      <c r="I2" s="1790"/>
      <c r="J2" s="1790"/>
      <c r="K2" s="1790"/>
      <c r="L2" s="1790"/>
      <c r="M2" s="1790"/>
      <c r="N2" s="1790"/>
      <c r="O2" s="1790"/>
      <c r="P2" s="1790"/>
      <c r="Q2" s="1803" t="s">
        <v>6923</v>
      </c>
      <c r="R2" s="1705"/>
      <c r="S2" s="1664"/>
      <c r="T2" s="1719"/>
      <c r="U2" s="1720"/>
    </row>
    <row r="3" spans="1:21" ht="14.25" customHeight="1" x14ac:dyDescent="0.3">
      <c r="A3" s="38"/>
      <c r="B3" s="1668" t="s">
        <v>6922</v>
      </c>
      <c r="C3" s="1670"/>
      <c r="D3" s="1670"/>
      <c r="E3" s="1785"/>
      <c r="F3" s="536"/>
      <c r="G3" s="1795"/>
      <c r="H3" s="86"/>
      <c r="I3" s="86"/>
      <c r="J3" s="86"/>
      <c r="K3" s="86"/>
      <c r="L3" s="86"/>
      <c r="M3" s="86"/>
      <c r="N3" s="86"/>
      <c r="O3" s="86"/>
      <c r="P3" s="86"/>
      <c r="Q3" s="49" t="s">
        <v>1901</v>
      </c>
      <c r="R3" s="49" t="s">
        <v>6925</v>
      </c>
      <c r="S3" s="49"/>
      <c r="T3" s="61">
        <v>0</v>
      </c>
      <c r="U3" s="49" t="s">
        <v>2521</v>
      </c>
    </row>
    <row r="4" spans="1:21" ht="14.25" customHeight="1" x14ac:dyDescent="0.3">
      <c r="A4" s="42"/>
      <c r="B4" s="1577" t="s">
        <v>6924</v>
      </c>
      <c r="C4" s="1805">
        <f>UDV.animal.manure*UC.year_to_day/UDV.animal.total/UDV.density.manure</f>
        <v>2.0526696680080483</v>
      </c>
      <c r="D4" s="1806" t="s">
        <v>5838</v>
      </c>
      <c r="E4" s="1787"/>
      <c r="F4" s="1787"/>
      <c r="G4" s="1787"/>
      <c r="H4" s="1787"/>
      <c r="I4" s="86"/>
      <c r="J4" s="86"/>
      <c r="K4" s="86"/>
      <c r="L4" s="86"/>
      <c r="M4" s="86"/>
      <c r="N4" s="86"/>
      <c r="O4" s="86"/>
      <c r="P4" s="86"/>
      <c r="Q4" s="1847" t="str">
        <f>PT.deep_pit!B247</f>
        <v>Deep pit properties</v>
      </c>
      <c r="R4" s="1600"/>
      <c r="S4" s="1601"/>
      <c r="T4" s="1602"/>
      <c r="U4" s="1601"/>
    </row>
    <row r="5" spans="1:21" ht="14.25" customHeight="1" x14ac:dyDescent="0.3">
      <c r="A5" s="42"/>
      <c r="B5" s="1577" t="s">
        <v>415</v>
      </c>
      <c r="C5" s="1807">
        <f>T3/UDV.animal.total</f>
        <v>0</v>
      </c>
      <c r="D5" s="1806" t="s">
        <v>5838</v>
      </c>
      <c r="E5" s="1787"/>
      <c r="F5" s="1787"/>
      <c r="G5" s="1787"/>
      <c r="H5" s="1787"/>
      <c r="I5" s="86"/>
      <c r="J5" s="86"/>
      <c r="K5" s="86"/>
      <c r="L5" s="86"/>
      <c r="M5" s="86"/>
      <c r="N5" s="86"/>
      <c r="O5" s="86"/>
      <c r="P5" s="86"/>
      <c r="Q5" s="1599"/>
      <c r="R5" s="1353" t="str">
        <f>PT.deep_pit!B248</f>
        <v>Pit constructed size</v>
      </c>
      <c r="S5" s="1352"/>
      <c r="T5" s="299">
        <f>PT.deep_pit!H248</f>
        <v>1056.2130751340239</v>
      </c>
      <c r="U5" s="1352" t="str">
        <f>PT.deep_pit!C248</f>
        <v>m3</v>
      </c>
    </row>
    <row r="6" spans="1:21" ht="14.25" customHeight="1" x14ac:dyDescent="0.3">
      <c r="A6" s="42"/>
      <c r="B6" s="1577" t="s">
        <v>409</v>
      </c>
      <c r="C6" s="1807">
        <f>C54</f>
        <v>34.839097926400008</v>
      </c>
      <c r="D6" s="1806" t="s">
        <v>5769</v>
      </c>
      <c r="E6" s="1802"/>
      <c r="F6" s="1788"/>
      <c r="G6" s="1789"/>
      <c r="H6" s="1787"/>
      <c r="I6" s="86"/>
      <c r="J6" s="86"/>
      <c r="K6" s="86"/>
      <c r="L6" s="86"/>
      <c r="M6" s="86"/>
      <c r="N6" s="86"/>
      <c r="O6" s="86"/>
      <c r="P6" s="86"/>
      <c r="Q6" s="49"/>
      <c r="R6" s="1353" t="str">
        <f>PT.deep_pit!B249</f>
        <v>Deep pit footprint area</v>
      </c>
      <c r="S6" s="1352"/>
      <c r="T6" s="299">
        <f>PT.deep_pit!H249</f>
        <v>288.58280741366775</v>
      </c>
      <c r="U6" s="1352" t="str">
        <f>PT.deep_pit!C249</f>
        <v>m2</v>
      </c>
    </row>
    <row r="7" spans="1:21" ht="14.25" customHeight="1" x14ac:dyDescent="0.3">
      <c r="A7" s="42"/>
      <c r="B7" s="1577" t="s">
        <v>6926</v>
      </c>
      <c r="C7" s="1353" t="s">
        <v>6927</v>
      </c>
      <c r="D7" s="1806"/>
      <c r="E7" s="86"/>
      <c r="F7" s="1785"/>
      <c r="G7" s="1785"/>
      <c r="H7" s="86"/>
      <c r="I7" s="86"/>
      <c r="J7" s="86"/>
      <c r="K7" s="86"/>
      <c r="L7" s="86"/>
      <c r="M7" s="86"/>
      <c r="N7" s="86"/>
      <c r="O7" s="86"/>
      <c r="P7" s="86"/>
      <c r="Q7" s="49"/>
      <c r="R7" s="1353" t="str">
        <f>PT.deep_pit!B250</f>
        <v>Interval between slurry removal</v>
      </c>
      <c r="S7" s="1352"/>
      <c r="T7" s="299">
        <f>PT.deep_pit!H250</f>
        <v>182.5</v>
      </c>
      <c r="U7" s="1352" t="str">
        <f>PT.deep_pit!C250</f>
        <v>days</v>
      </c>
    </row>
    <row r="8" spans="1:21" ht="14.25" customHeight="1" x14ac:dyDescent="0.3">
      <c r="A8" s="42"/>
      <c r="B8" s="1577" t="s">
        <v>6928</v>
      </c>
      <c r="C8" s="1360">
        <f>C36</f>
        <v>371.29422948373366</v>
      </c>
      <c r="D8" s="1353" t="s">
        <v>2270</v>
      </c>
      <c r="E8" s="86"/>
      <c r="F8" s="1785"/>
      <c r="G8" s="1827"/>
      <c r="H8" s="86"/>
      <c r="I8" s="86"/>
      <c r="J8" s="86"/>
      <c r="K8" s="86"/>
      <c r="L8" s="86"/>
      <c r="M8" s="86"/>
      <c r="N8" s="86"/>
      <c r="O8" s="86"/>
      <c r="P8" s="86"/>
      <c r="Q8" s="49"/>
      <c r="R8" s="1353" t="str">
        <f>PT.deep_pit!B251</f>
        <v>Number of removal events per year</v>
      </c>
      <c r="S8" s="1352"/>
      <c r="T8" s="299">
        <f>PT.deep_pit!H251</f>
        <v>2</v>
      </c>
      <c r="U8" s="1352" t="str">
        <f>PT.deep_pit!C251</f>
        <v>quantity/year</v>
      </c>
    </row>
    <row r="9" spans="1:21" ht="14.25" customHeight="1" x14ac:dyDescent="0.3">
      <c r="A9" s="42"/>
      <c r="B9" s="1810" t="s">
        <v>6929</v>
      </c>
      <c r="C9" s="1807"/>
      <c r="D9" s="1806"/>
      <c r="E9" s="86"/>
      <c r="F9" s="1785"/>
      <c r="G9" s="1827"/>
      <c r="H9" s="86"/>
      <c r="I9" s="86"/>
      <c r="J9" s="86"/>
      <c r="K9" s="86"/>
      <c r="L9" s="86"/>
      <c r="M9" s="86"/>
      <c r="N9" s="86"/>
      <c r="O9" s="86"/>
      <c r="P9" s="86"/>
      <c r="Q9" s="49"/>
      <c r="R9" s="1353" t="str">
        <f>PT.deep_pit!B252</f>
        <v>Manure slurry removed, deep pit</v>
      </c>
      <c r="S9" s="1352"/>
      <c r="T9" s="299">
        <f>PT.deep_pit!H252</f>
        <v>1056.2125759268704</v>
      </c>
      <c r="U9" s="1352" t="str">
        <f>PT.deep_pit!C252</f>
        <v>m3/year</v>
      </c>
    </row>
    <row r="10" spans="1:21" ht="14.25" customHeight="1" x14ac:dyDescent="0.3">
      <c r="A10" s="42"/>
      <c r="B10" s="1577" t="s">
        <v>6163</v>
      </c>
      <c r="C10" s="1807">
        <f>C41</f>
        <v>8.5290669597917201</v>
      </c>
      <c r="D10" s="1806" t="s">
        <v>2385</v>
      </c>
      <c r="E10" s="86"/>
      <c r="F10" s="1785"/>
      <c r="G10" s="1827"/>
      <c r="H10" s="86"/>
      <c r="I10" s="86"/>
      <c r="J10" s="86"/>
      <c r="K10" s="86"/>
      <c r="L10" s="86"/>
      <c r="M10" s="86"/>
      <c r="N10" s="86"/>
      <c r="O10" s="86"/>
      <c r="P10" s="86"/>
      <c r="Q10" s="49"/>
      <c r="R10" s="1353" t="str">
        <f>PT.deep_pit!B253</f>
        <v>N removed, deep pit</v>
      </c>
      <c r="S10" s="1352"/>
      <c r="T10" s="299">
        <f>PT.deep_pit!H253</f>
        <v>4.0375692938233412</v>
      </c>
      <c r="U10" s="1352" t="str">
        <f>PT.deep_pit!C253</f>
        <v>g/L</v>
      </c>
    </row>
    <row r="11" spans="1:21" ht="14.25" customHeight="1" x14ac:dyDescent="0.3">
      <c r="A11" s="42"/>
      <c r="B11" s="1577" t="s">
        <v>6164</v>
      </c>
      <c r="C11" s="1807">
        <f>C42</f>
        <v>6.6431094999999996</v>
      </c>
      <c r="D11" s="1806" t="s">
        <v>2385</v>
      </c>
      <c r="E11" s="86"/>
      <c r="F11" s="1785"/>
      <c r="G11" s="1827"/>
      <c r="H11" s="86"/>
      <c r="I11" s="1795"/>
      <c r="J11" s="86"/>
      <c r="K11" s="86"/>
      <c r="L11" s="86"/>
      <c r="M11" s="86"/>
      <c r="N11" s="86"/>
      <c r="O11" s="86"/>
      <c r="P11" s="86"/>
      <c r="Q11" s="49"/>
      <c r="R11" s="1353" t="str">
        <f>PT.deep_pit!B254</f>
        <v>P2O5 removed, deep pit</v>
      </c>
      <c r="S11" s="1352"/>
      <c r="T11" s="299">
        <f>PT.deep_pit!H254</f>
        <v>3.1447771554792809</v>
      </c>
      <c r="U11" s="1352" t="str">
        <f>PT.deep_pit!C254</f>
        <v>g/L</v>
      </c>
    </row>
    <row r="12" spans="1:21" ht="14.25" customHeight="1" x14ac:dyDescent="0.3">
      <c r="A12" s="42"/>
      <c r="B12" s="1577" t="s">
        <v>6165</v>
      </c>
      <c r="C12" s="1807">
        <f>C43</f>
        <v>8.5411824999999997</v>
      </c>
      <c r="D12" s="1806" t="s">
        <v>2385</v>
      </c>
      <c r="E12" s="86"/>
      <c r="F12" s="1785"/>
      <c r="G12" s="1827"/>
      <c r="H12" s="86"/>
      <c r="I12" s="1795"/>
      <c r="J12" s="1787"/>
      <c r="K12" s="86"/>
      <c r="L12" s="86"/>
      <c r="M12" s="921"/>
      <c r="N12" s="86"/>
      <c r="O12" s="86"/>
      <c r="P12" s="86"/>
      <c r="Q12" s="91"/>
      <c r="R12" s="1353" t="str">
        <f>PT.deep_pit!B255</f>
        <v>K2O removed, deep pit</v>
      </c>
      <c r="S12" s="1352"/>
      <c r="T12" s="299">
        <f>PT.deep_pit!H255</f>
        <v>4.0433046612854131</v>
      </c>
      <c r="U12" s="1352" t="str">
        <f>PT.deep_pit!C255</f>
        <v>g/L</v>
      </c>
    </row>
    <row r="13" spans="1:21" ht="14.25" customHeight="1" x14ac:dyDescent="0.3">
      <c r="A13" s="42"/>
      <c r="B13" s="1810" t="s">
        <v>6930</v>
      </c>
      <c r="C13" s="1811"/>
      <c r="D13" s="1806"/>
      <c r="E13" s="86"/>
      <c r="F13" s="1785"/>
      <c r="G13" s="1827"/>
      <c r="H13" s="86"/>
      <c r="I13" s="1795"/>
      <c r="J13" s="1787"/>
      <c r="K13" s="1787"/>
      <c r="L13" s="1787"/>
      <c r="M13" s="86"/>
      <c r="N13" s="86"/>
      <c r="O13" s="86"/>
      <c r="P13" s="86"/>
      <c r="Q13" s="1847" t="str">
        <f>PT.deep_pit!B256</f>
        <v>Tanker application during non-sludge years</v>
      </c>
      <c r="R13" s="1600"/>
      <c r="S13" s="1601"/>
      <c r="T13" s="1602"/>
      <c r="U13" s="1601"/>
    </row>
    <row r="14" spans="1:21" ht="14.25" customHeight="1" x14ac:dyDescent="0.3">
      <c r="A14" s="7"/>
      <c r="B14" s="1577" t="s">
        <v>6163</v>
      </c>
      <c r="C14" s="1807">
        <v>0</v>
      </c>
      <c r="D14" s="1806" t="s">
        <v>2385</v>
      </c>
      <c r="E14" s="86"/>
      <c r="F14" s="1785"/>
      <c r="G14" s="1827"/>
      <c r="H14" s="86"/>
      <c r="I14" s="1795"/>
      <c r="J14" s="921"/>
      <c r="K14" s="921"/>
      <c r="L14" s="921"/>
      <c r="M14" s="1828"/>
      <c r="N14" s="86"/>
      <c r="O14" s="86"/>
      <c r="P14" s="86"/>
      <c r="Q14" s="91"/>
      <c r="R14" s="1353" t="str">
        <f>PT.deep_pit!B257</f>
        <v>Tanker, size</v>
      </c>
      <c r="S14" s="1352"/>
      <c r="T14" s="299">
        <f>PT.deep_pit!H257</f>
        <v>6000</v>
      </c>
      <c r="U14" s="1352" t="str">
        <f>PT.deep_pit!C257</f>
        <v>gal</v>
      </c>
    </row>
    <row r="15" spans="1:21" ht="14.25" customHeight="1" x14ac:dyDescent="0.3">
      <c r="A15" s="7"/>
      <c r="B15" s="1577" t="s">
        <v>6164</v>
      </c>
      <c r="C15" s="1807">
        <v>0</v>
      </c>
      <c r="D15" s="1806" t="s">
        <v>2385</v>
      </c>
      <c r="E15" s="86"/>
      <c r="F15" s="1785"/>
      <c r="G15" s="1785"/>
      <c r="H15" s="86"/>
      <c r="I15" s="86"/>
      <c r="J15" s="921"/>
      <c r="K15" s="921"/>
      <c r="L15" s="921"/>
      <c r="M15" s="921"/>
      <c r="N15" s="86"/>
      <c r="O15" s="86"/>
      <c r="P15" s="86"/>
      <c r="Q15" s="91"/>
      <c r="R15" s="1353" t="str">
        <f>PT.deep_pit!B258</f>
        <v>Tractor for tanker, size</v>
      </c>
      <c r="S15" s="1352"/>
      <c r="T15" s="299">
        <f>PT.deep_pit!H258</f>
        <v>250</v>
      </c>
      <c r="U15" s="1352" t="str">
        <f>PT.deep_pit!C258</f>
        <v>PTO hp</v>
      </c>
    </row>
    <row r="16" spans="1:21" ht="14.25" customHeight="1" x14ac:dyDescent="0.3">
      <c r="A16" s="7"/>
      <c r="B16" s="1577" t="s">
        <v>6165</v>
      </c>
      <c r="C16" s="1807">
        <v>0</v>
      </c>
      <c r="D16" s="1806" t="s">
        <v>2385</v>
      </c>
      <c r="E16" s="1785"/>
      <c r="F16" s="1785"/>
      <c r="G16" s="1790"/>
      <c r="H16" s="86"/>
      <c r="I16" s="86"/>
      <c r="J16" s="921"/>
      <c r="K16" s="921"/>
      <c r="L16" s="921"/>
      <c r="M16" s="921"/>
      <c r="N16" s="86"/>
      <c r="O16" s="86"/>
      <c r="P16" s="86"/>
      <c r="Q16" s="1599"/>
      <c r="R16" s="1353" t="str">
        <f>PT.deep_pit!B259</f>
        <v>Application by broadcast or injection?</v>
      </c>
      <c r="S16" s="1352"/>
      <c r="T16" s="299" t="str">
        <f>PT.deep_pit!H259</f>
        <v>Injection</v>
      </c>
      <c r="U16" s="1352" t="str">
        <f>PT.deep_pit!C259</f>
        <v>type</v>
      </c>
    </row>
    <row r="17" spans="1:21" ht="14.25" customHeight="1" x14ac:dyDescent="0.3">
      <c r="A17" s="42"/>
      <c r="B17" s="1808" t="s">
        <v>5271</v>
      </c>
      <c r="C17" s="1809"/>
      <c r="D17" s="1806"/>
      <c r="E17" s="86"/>
      <c r="F17" s="1785"/>
      <c r="G17" s="921"/>
      <c r="H17" s="86"/>
      <c r="I17" s="86"/>
      <c r="J17" s="1829"/>
      <c r="K17" s="86"/>
      <c r="L17" s="86"/>
      <c r="M17" s="86"/>
      <c r="N17" s="86"/>
      <c r="O17" s="86"/>
      <c r="P17" s="86"/>
      <c r="Q17" s="1599"/>
      <c r="R17" s="1353" t="str">
        <f>PT.deep_pit!B260</f>
        <v>Operation time for tractor with tanker</v>
      </c>
      <c r="S17" s="1352"/>
      <c r="T17" s="299">
        <f>PT.deep_pit!H260</f>
        <v>8.8862727542680116</v>
      </c>
      <c r="U17" s="1352" t="str">
        <f>PT.deep_pit!C260</f>
        <v>hrs/event</v>
      </c>
    </row>
    <row r="18" spans="1:21" ht="14.25" customHeight="1" x14ac:dyDescent="0.3">
      <c r="A18" s="42"/>
      <c r="B18" s="1577" t="s">
        <v>6782</v>
      </c>
      <c r="C18" s="1812">
        <f>C49</f>
        <v>7.9704160112144384</v>
      </c>
      <c r="D18" s="1806" t="s">
        <v>2385</v>
      </c>
      <c r="E18" s="86"/>
      <c r="F18" s="1785"/>
      <c r="G18" s="921"/>
      <c r="H18" s="86"/>
      <c r="I18" s="86"/>
      <c r="J18" s="1830"/>
      <c r="K18" s="1831"/>
      <c r="L18" s="1832"/>
      <c r="M18" s="86"/>
      <c r="N18" s="86"/>
      <c r="O18" s="86"/>
      <c r="P18" s="86"/>
      <c r="Q18" s="1599"/>
      <c r="R18" s="1353" t="str">
        <f>PT.deep_pit!B261</f>
        <v>Fuel needed for tractor with tank and applicator</v>
      </c>
      <c r="S18" s="1352"/>
      <c r="T18" s="299">
        <f>PT.deep_pit!H261</f>
        <v>97.749000296948125</v>
      </c>
      <c r="U18" s="1352" t="str">
        <f>PT.deep_pit!C261</f>
        <v>gal/event</v>
      </c>
    </row>
    <row r="19" spans="1:21" ht="14.25" customHeight="1" x14ac:dyDescent="0.3">
      <c r="A19" s="42"/>
      <c r="B19" s="1577" t="s">
        <v>6783</v>
      </c>
      <c r="C19" s="1812">
        <f>C51</f>
        <v>0.10438990871715</v>
      </c>
      <c r="D19" s="1806" t="s">
        <v>2385</v>
      </c>
      <c r="E19" s="1785"/>
      <c r="F19" s="536"/>
      <c r="G19" s="86"/>
      <c r="H19" s="86"/>
      <c r="I19" s="86"/>
      <c r="J19" s="921"/>
      <c r="K19" s="1833"/>
      <c r="L19" s="1833"/>
      <c r="M19" s="86"/>
      <c r="N19" s="86"/>
      <c r="O19" s="86"/>
      <c r="P19" s="86"/>
      <c r="Q19" s="1599"/>
      <c r="R19" s="1353" t="str">
        <f>PT.deep_pit!B262</f>
        <v>Number of tractors with tanker needed</v>
      </c>
      <c r="S19" s="1352"/>
      <c r="T19" s="299">
        <f>PT.deep_pit!H262</f>
        <v>1</v>
      </c>
      <c r="U19" s="1352" t="str">
        <f>PT.deep_pit!C262</f>
        <v>quantity</v>
      </c>
    </row>
    <row r="20" spans="1:21" ht="14.25" customHeight="1" x14ac:dyDescent="0.3">
      <c r="A20" s="42"/>
      <c r="B20" s="1577" t="s">
        <v>6784</v>
      </c>
      <c r="C20" s="1812">
        <f>C52</f>
        <v>0.22965779917772999</v>
      </c>
      <c r="D20" s="1806" t="s">
        <v>2385</v>
      </c>
      <c r="E20" s="1785"/>
      <c r="F20" s="536"/>
      <c r="G20" s="86"/>
      <c r="H20" s="86"/>
      <c r="I20" s="86"/>
      <c r="J20" s="921"/>
      <c r="K20" s="1833"/>
      <c r="L20" s="1833"/>
      <c r="M20" s="86"/>
      <c r="N20" s="86"/>
      <c r="O20" s="86"/>
      <c r="P20" s="86"/>
      <c r="Q20" s="1822"/>
      <c r="R20" s="1353" t="str">
        <f>PT.deep_pit!B263</f>
        <v>Tractor for agitator, size</v>
      </c>
      <c r="S20" s="1352"/>
      <c r="T20" s="299">
        <f>PT.deep_pit!H263</f>
        <v>160</v>
      </c>
      <c r="U20" s="1352" t="str">
        <f>PT.deep_pit!C263</f>
        <v>PTO hp</v>
      </c>
    </row>
    <row r="21" spans="1:21" ht="14.25" customHeight="1" x14ac:dyDescent="0.3">
      <c r="A21" s="42"/>
      <c r="B21" s="1577" t="s">
        <v>6785</v>
      </c>
      <c r="C21" s="1812">
        <f>C50</f>
        <v>10.439180674999999</v>
      </c>
      <c r="D21" s="1806" t="s">
        <v>2385</v>
      </c>
      <c r="E21" s="1799"/>
      <c r="F21" s="1799"/>
      <c r="G21" s="1799"/>
      <c r="H21" s="1799"/>
      <c r="I21" s="86"/>
      <c r="J21" s="921"/>
      <c r="K21" s="1833"/>
      <c r="L21" s="1833"/>
      <c r="M21" s="86"/>
      <c r="N21" s="86"/>
      <c r="O21" s="86"/>
      <c r="P21" s="86"/>
      <c r="Q21" s="1599"/>
      <c r="R21" s="1353" t="str">
        <f>PT.deep_pit!B264</f>
        <v>Number of tractors for agitating needed</v>
      </c>
      <c r="S21" s="1352"/>
      <c r="T21" s="299">
        <f>PT.deep_pit!H264</f>
        <v>0</v>
      </c>
      <c r="U21" s="1352" t="str">
        <f>PT.deep_pit!C264</f>
        <v>quantity</v>
      </c>
    </row>
    <row r="22" spans="1:21" ht="14.25" customHeight="1" x14ac:dyDescent="0.3">
      <c r="A22" s="42"/>
      <c r="D22" s="66"/>
      <c r="E22" s="1799"/>
      <c r="F22" s="1799"/>
      <c r="G22" s="1799"/>
      <c r="H22" s="1799"/>
      <c r="I22" s="86"/>
      <c r="J22" s="86"/>
      <c r="K22" s="86"/>
      <c r="L22" s="1792"/>
      <c r="M22" s="86"/>
      <c r="N22" s="86"/>
      <c r="O22" s="86"/>
      <c r="P22" s="86"/>
      <c r="Q22" s="1599"/>
      <c r="R22" s="1353" t="str">
        <f>PT.deep_pit!B265</f>
        <v>Operation time for tractor agitating</v>
      </c>
      <c r="S22" s="1352"/>
      <c r="T22" s="299">
        <f>PT.deep_pit!H265</f>
        <v>0</v>
      </c>
      <c r="U22" s="1352" t="str">
        <f>PT.deep_pit!C265</f>
        <v>hr/event</v>
      </c>
    </row>
    <row r="23" spans="1:21" ht="14.25" customHeight="1" x14ac:dyDescent="0.3">
      <c r="A23" s="42"/>
      <c r="D23" s="66"/>
      <c r="E23" s="1785"/>
      <c r="F23" s="1788"/>
      <c r="G23" s="1792"/>
      <c r="H23" s="86"/>
      <c r="I23" s="86"/>
      <c r="J23" s="86"/>
      <c r="K23" s="86"/>
      <c r="L23" s="86"/>
      <c r="M23" s="86"/>
      <c r="N23" s="86"/>
      <c r="O23" s="86"/>
      <c r="P23" s="86"/>
      <c r="Q23" s="1599"/>
      <c r="R23" s="1353" t="str">
        <f>PT.deep_pit!B266</f>
        <v>Fuel needed for tractor for agitating</v>
      </c>
      <c r="S23" s="1352"/>
      <c r="T23" s="299">
        <f>PT.deep_pit!H266</f>
        <v>0</v>
      </c>
      <c r="U23" s="1352" t="str">
        <f>PT.deep_pit!C266</f>
        <v>gal/event</v>
      </c>
    </row>
    <row r="24" spans="1:21" ht="14.25" customHeight="1" x14ac:dyDescent="0.3">
      <c r="A24" s="42"/>
      <c r="B24" s="1668" t="s">
        <v>6931</v>
      </c>
      <c r="C24" s="1680"/>
      <c r="D24" s="1815"/>
      <c r="E24" s="1795"/>
      <c r="F24" s="1795"/>
      <c r="G24" s="1795"/>
      <c r="H24" s="1795"/>
      <c r="I24" s="86"/>
      <c r="J24" s="86"/>
      <c r="K24" s="86"/>
      <c r="L24" s="86"/>
      <c r="M24" s="86"/>
      <c r="N24" s="86"/>
      <c r="O24" s="86"/>
      <c r="P24" s="86"/>
      <c r="Q24" s="1599"/>
      <c r="R24" s="1353" t="str">
        <f>PT.deep_pit!B267</f>
        <v>Number of tractors for pumping needed</v>
      </c>
      <c r="S24" s="1352"/>
      <c r="T24" s="299">
        <f>PT.deep_pit!H267</f>
        <v>1</v>
      </c>
      <c r="U24" s="1352" t="str">
        <f>PT.deep_pit!C267</f>
        <v>quantity</v>
      </c>
    </row>
    <row r="25" spans="1:21" ht="14.25" customHeight="1" x14ac:dyDescent="0.3">
      <c r="A25" s="42"/>
      <c r="B25" s="510" t="s">
        <v>6932</v>
      </c>
      <c r="C25" s="1378">
        <v>0.21</v>
      </c>
      <c r="D25" s="510" t="s">
        <v>1694</v>
      </c>
      <c r="E25" s="1799"/>
      <c r="F25" s="1799"/>
      <c r="G25" s="1799"/>
      <c r="H25" s="1799"/>
      <c r="I25" s="86"/>
      <c r="J25" s="86"/>
      <c r="K25" s="86"/>
      <c r="L25" s="86"/>
      <c r="M25" s="86"/>
      <c r="N25" s="86"/>
      <c r="O25" s="86"/>
      <c r="P25" s="86"/>
      <c r="Q25" s="1603"/>
      <c r="R25" s="1353" t="str">
        <f>PT.deep_pit!B268</f>
        <v>Tractor for pumping, size</v>
      </c>
      <c r="S25" s="1352"/>
      <c r="T25" s="299">
        <f>PT.deep_pit!H268</f>
        <v>180</v>
      </c>
      <c r="U25" s="1352" t="str">
        <f>PT.deep_pit!C268</f>
        <v>PTO hp</v>
      </c>
    </row>
    <row r="26" spans="1:21" ht="14.25" customHeight="1" x14ac:dyDescent="0.3">
      <c r="A26" s="42"/>
      <c r="B26" s="1813" t="s">
        <v>6933</v>
      </c>
      <c r="C26" s="1414">
        <v>2.1428571399999998</v>
      </c>
      <c r="D26" s="510" t="s">
        <v>6934</v>
      </c>
      <c r="E26" s="1799"/>
      <c r="F26" s="1799"/>
      <c r="G26" s="1799"/>
      <c r="H26" s="1799"/>
      <c r="I26" s="86"/>
      <c r="J26" s="86"/>
      <c r="K26" s="86"/>
      <c r="L26" s="86"/>
      <c r="M26" s="86"/>
      <c r="N26" s="86"/>
      <c r="O26" s="86"/>
      <c r="P26" s="86"/>
      <c r="Q26" s="1599"/>
      <c r="R26" s="1353" t="str">
        <f>PT.deep_pit!B269</f>
        <v>Operation time for tractor pumping</v>
      </c>
      <c r="S26" s="1352"/>
      <c r="T26" s="299">
        <f>PT.deep_pit!H269</f>
        <v>1.1625915641974387</v>
      </c>
      <c r="U26" s="1352" t="str">
        <f>PT.deep_pit!C269</f>
        <v>hr/event</v>
      </c>
    </row>
    <row r="27" spans="1:21" ht="14.25" customHeight="1" x14ac:dyDescent="0.3">
      <c r="A27" s="42"/>
      <c r="B27" s="91" t="s">
        <v>6935</v>
      </c>
      <c r="C27" s="1403">
        <f>(C19+C20)*(28/44)</f>
        <v>0.21257581411492363</v>
      </c>
      <c r="D27" s="510" t="s">
        <v>2358</v>
      </c>
      <c r="E27" s="1785"/>
      <c r="F27" s="1788"/>
      <c r="G27" s="921"/>
      <c r="H27" s="86"/>
      <c r="I27" s="86"/>
      <c r="J27" s="86"/>
      <c r="K27" s="86"/>
      <c r="L27" s="86"/>
      <c r="M27" s="86"/>
      <c r="N27" s="86"/>
      <c r="O27" s="86"/>
      <c r="P27" s="86"/>
      <c r="Q27" s="1599"/>
      <c r="R27" s="1353" t="str">
        <f>PT.deep_pit!B270</f>
        <v>Fuel needed for tractor for pumping</v>
      </c>
      <c r="S27" s="1352"/>
      <c r="T27" s="299">
        <f>PT.deep_pit!H270</f>
        <v>9.2077251884437139</v>
      </c>
      <c r="U27" s="1352" t="str">
        <f>PT.deep_pit!C270</f>
        <v>gal/event</v>
      </c>
    </row>
    <row r="28" spans="1:21" ht="14.25" customHeight="1" x14ac:dyDescent="0.3">
      <c r="A28" s="42"/>
      <c r="B28" s="91" t="s">
        <v>6936</v>
      </c>
      <c r="C28" s="1380">
        <f>C21*(14/17)</f>
        <v>8.5969723205882342</v>
      </c>
      <c r="D28" s="510" t="s">
        <v>2358</v>
      </c>
      <c r="E28" s="1785"/>
      <c r="F28" s="536"/>
      <c r="G28" s="86"/>
      <c r="H28" s="86"/>
      <c r="I28" s="86"/>
      <c r="J28" s="86"/>
      <c r="K28" s="86"/>
      <c r="L28" s="86"/>
      <c r="M28" s="86"/>
      <c r="N28" s="86"/>
      <c r="O28" s="86"/>
      <c r="P28" s="86"/>
      <c r="Q28" s="1847" t="str">
        <f>PT.deep_pit!B271</f>
        <v>Drag hose application during non-sludge years</v>
      </c>
      <c r="R28" s="1600"/>
      <c r="S28" s="1601"/>
      <c r="T28" s="1602"/>
      <c r="U28" s="1601"/>
    </row>
    <row r="29" spans="1:21" ht="14.25" customHeight="1" x14ac:dyDescent="0.3">
      <c r="A29" s="42"/>
      <c r="B29" s="91" t="s">
        <v>6937</v>
      </c>
      <c r="C29" s="1404">
        <f>C25*C27*(44/28)/C26</f>
        <v>3.2736675417347143E-2</v>
      </c>
      <c r="D29" s="510" t="s">
        <v>2358</v>
      </c>
      <c r="E29" s="1799"/>
      <c r="F29" s="1799"/>
      <c r="G29" s="1799"/>
      <c r="H29" s="1799"/>
      <c r="I29" s="86"/>
      <c r="J29" s="86"/>
      <c r="K29" s="86"/>
      <c r="L29" s="86"/>
      <c r="M29" s="86"/>
      <c r="N29" s="86"/>
      <c r="O29" s="86"/>
      <c r="P29" s="86"/>
      <c r="Q29" s="91"/>
      <c r="R29" s="1353" t="str">
        <f>PT.deep_pit!B272</f>
        <v>Size of tractor for pulling hose reel and applicator</v>
      </c>
      <c r="S29" s="1352"/>
      <c r="T29" s="299">
        <f>PT.deep_pit!H272</f>
        <v>580</v>
      </c>
      <c r="U29" s="1352" t="str">
        <f>PT.deep_pit!C272</f>
        <v>PTO hp</v>
      </c>
    </row>
    <row r="30" spans="1:21" ht="14.25" customHeight="1" x14ac:dyDescent="0.3">
      <c r="A30" s="42"/>
      <c r="B30" s="86"/>
      <c r="C30" s="1819"/>
      <c r="D30" s="1785"/>
      <c r="E30" s="1799"/>
      <c r="F30" s="1799"/>
      <c r="G30" s="1799"/>
      <c r="H30" s="1799"/>
      <c r="I30" s="86"/>
      <c r="J30" s="86"/>
      <c r="K30" s="86"/>
      <c r="L30" s="86"/>
      <c r="M30" s="86"/>
      <c r="N30" s="86"/>
      <c r="O30" s="86"/>
      <c r="P30" s="86"/>
      <c r="Q30" s="91"/>
      <c r="R30" s="1353" t="str">
        <f>PT.deep_pit!B273</f>
        <v>Number of tractors for pulling hose reel and applicator</v>
      </c>
      <c r="S30" s="1352"/>
      <c r="T30" s="299">
        <f>PT.deep_pit!H273</f>
        <v>1</v>
      </c>
      <c r="U30" s="1352" t="str">
        <f>PT.deep_pit!C273</f>
        <v>quantity</v>
      </c>
    </row>
    <row r="31" spans="1:21" ht="14.25" customHeight="1" x14ac:dyDescent="0.3">
      <c r="A31" s="42"/>
      <c r="B31" s="1816" t="str">
        <f>PT.deep_pit!B302</f>
        <v>Land footprint</v>
      </c>
      <c r="C31" s="1820"/>
      <c r="D31" s="1817"/>
      <c r="E31" s="1793"/>
      <c r="F31" s="1788"/>
      <c r="G31" s="921"/>
      <c r="H31" s="86"/>
      <c r="I31" s="86"/>
      <c r="J31" s="86"/>
      <c r="K31" s="86"/>
      <c r="L31" s="86"/>
      <c r="M31" s="86"/>
      <c r="N31" s="86"/>
      <c r="O31" s="86"/>
      <c r="P31" s="86"/>
      <c r="Q31" s="1599"/>
      <c r="R31" s="1353" t="str">
        <f>PT.deep_pit!B274</f>
        <v>Number of tractors for support with hose pulley</v>
      </c>
      <c r="S31" s="1352"/>
      <c r="T31" s="299">
        <f>PT.deep_pit!H274</f>
        <v>1</v>
      </c>
      <c r="U31" s="1352" t="str">
        <f>PT.deep_pit!C274</f>
        <v>quantity</v>
      </c>
    </row>
    <row r="32" spans="1:21" ht="14.25" customHeight="1" x14ac:dyDescent="0.3">
      <c r="A32" s="42"/>
      <c r="B32" s="1818" t="str">
        <f>PT.deep_pit!B303</f>
        <v>Land required for deep pit system</v>
      </c>
      <c r="C32" s="1426">
        <f>PT.deep_pit!H303</f>
        <v>288.58280741366775</v>
      </c>
      <c r="D32" s="1818" t="str">
        <f>PT.deep_pit!C303</f>
        <v>m2</v>
      </c>
      <c r="E32" s="1785"/>
      <c r="F32" s="536"/>
      <c r="G32" s="86"/>
      <c r="H32" s="86"/>
      <c r="I32" s="86"/>
      <c r="J32" s="86"/>
      <c r="K32" s="86"/>
      <c r="L32" s="86"/>
      <c r="M32" s="86"/>
      <c r="N32" s="86"/>
      <c r="O32" s="86"/>
      <c r="P32" s="86"/>
      <c r="Q32" s="1599"/>
      <c r="R32" s="1353" t="str">
        <f>PT.deep_pit!B275</f>
        <v>Size of tractor for support with hose pulley</v>
      </c>
      <c r="S32" s="1352"/>
      <c r="T32" s="299">
        <f>PT.deep_pit!H275</f>
        <v>340</v>
      </c>
      <c r="U32" s="1352" t="str">
        <f>PT.deep_pit!C275</f>
        <v>PTO hp</v>
      </c>
    </row>
    <row r="33" spans="2:21" ht="14.25" customHeight="1" x14ac:dyDescent="0.3">
      <c r="B33" s="1818" t="str">
        <f>PT.deep_pit!B304</f>
        <v>Land for slurry application</v>
      </c>
      <c r="C33" s="1426">
        <f>PT.deep_pit!H304</f>
        <v>185358.53193445315</v>
      </c>
      <c r="D33" s="1818" t="str">
        <f>PT.deep_pit!C304</f>
        <v>m2</v>
      </c>
      <c r="E33" s="1799"/>
      <c r="F33" s="1799"/>
      <c r="G33" s="1799"/>
      <c r="H33" s="1799"/>
      <c r="I33" s="86"/>
      <c r="J33" s="86"/>
      <c r="K33" s="86"/>
      <c r="L33" s="86"/>
      <c r="M33" s="86"/>
      <c r="N33" s="86"/>
      <c r="O33" s="86"/>
      <c r="P33" s="86"/>
      <c r="Q33" s="1599"/>
      <c r="R33" s="1353" t="str">
        <f>PT.deep_pit!B276</f>
        <v>Distance from storage to field</v>
      </c>
      <c r="S33" s="1352"/>
      <c r="T33" s="299">
        <f>PT.deep_pit!H276</f>
        <v>2</v>
      </c>
      <c r="U33" s="1352" t="str">
        <f>PT.deep_pit!C276</f>
        <v>miles</v>
      </c>
    </row>
    <row r="34" spans="2:21" ht="14.25" customHeight="1" x14ac:dyDescent="0.3">
      <c r="B34" s="1818" t="str">
        <f>PT.deep_pit!B305</f>
        <v>Total land area of facilities</v>
      </c>
      <c r="C34" s="1426">
        <f>PT.deep_pit!H305</f>
        <v>288.58280741366775</v>
      </c>
      <c r="D34" s="1818" t="str">
        <f>PT.deep_pit!C305</f>
        <v>m2</v>
      </c>
      <c r="E34" s="1799"/>
      <c r="F34" s="1799"/>
      <c r="G34" s="1799"/>
      <c r="H34" s="1799"/>
      <c r="I34" s="86"/>
      <c r="J34" s="1834"/>
      <c r="K34" s="1834"/>
      <c r="L34" s="1834"/>
      <c r="M34" s="1834"/>
      <c r="N34" s="86"/>
      <c r="O34" s="86"/>
      <c r="P34" s="86"/>
      <c r="Q34" s="89"/>
      <c r="R34" s="1353" t="str">
        <f>PT.deep_pit!B277</f>
        <v>Fuel needed for tractor for pulling hose reel and applicator</v>
      </c>
      <c r="S34" s="1352"/>
      <c r="T34" s="299">
        <f>PT.deep_pit!H277</f>
        <v>25.52</v>
      </c>
      <c r="U34" s="1352" t="str">
        <f>PT.deep_pit!C277</f>
        <v>gal/hr</v>
      </c>
    </row>
    <row r="35" spans="2:21" ht="14.25" customHeight="1" x14ac:dyDescent="0.3">
      <c r="B35" s="1818" t="str">
        <f>PT.deep_pit!B306</f>
        <v>Total land area of application</v>
      </c>
      <c r="C35" s="1426">
        <f>PT.deep_pit!H306</f>
        <v>185358.53193445315</v>
      </c>
      <c r="D35" s="1818" t="str">
        <f>PT.deep_pit!C306</f>
        <v>m2</v>
      </c>
      <c r="E35" s="1785"/>
      <c r="F35" s="536"/>
      <c r="G35" s="921"/>
      <c r="H35" s="86"/>
      <c r="I35" s="86"/>
      <c r="J35" s="1834"/>
      <c r="K35" s="1834"/>
      <c r="L35" s="1834"/>
      <c r="M35" s="1834"/>
      <c r="N35" s="86"/>
      <c r="O35" s="86"/>
      <c r="P35" s="86"/>
      <c r="Q35" s="494"/>
      <c r="R35" s="1353" t="str">
        <f>PT.deep_pit!B278</f>
        <v>Fuel needed for support tractor with hose pulley</v>
      </c>
      <c r="S35" s="1352"/>
      <c r="T35" s="299">
        <f>PT.deep_pit!H278</f>
        <v>14.959999999999999</v>
      </c>
      <c r="U35" s="1352" t="str">
        <f>PT.deep_pit!C278</f>
        <v>gal/hr</v>
      </c>
    </row>
    <row r="36" spans="2:21" ht="14.25" customHeight="1" x14ac:dyDescent="0.3">
      <c r="B36" s="1818" t="str">
        <f>PT.deep_pit!B307</f>
        <v>Total land area required</v>
      </c>
      <c r="C36" s="1426">
        <f>PT.deep_pit!H307</f>
        <v>371.29422948373366</v>
      </c>
      <c r="D36" s="1818" t="str">
        <f>PT.deep_pit!C307</f>
        <v>m2/head</v>
      </c>
      <c r="E36" s="1785"/>
      <c r="F36" s="536"/>
      <c r="G36" s="921"/>
      <c r="H36" s="86"/>
      <c r="I36" s="86"/>
      <c r="J36" s="1835"/>
      <c r="K36" s="1829"/>
      <c r="L36" s="1829"/>
      <c r="M36" s="1829"/>
      <c r="N36" s="1829"/>
      <c r="O36" s="1787"/>
      <c r="P36" s="86"/>
      <c r="Q36" s="89"/>
      <c r="R36" s="1353" t="str">
        <f>PT.deep_pit!B279</f>
        <v>Diesel powered pump(s), size</v>
      </c>
      <c r="S36" s="1352"/>
      <c r="T36" s="299">
        <f>PT.deep_pit!H279</f>
        <v>3000</v>
      </c>
      <c r="U36" s="1352" t="str">
        <f>PT.deep_pit!C279</f>
        <v>gal/min</v>
      </c>
    </row>
    <row r="37" spans="2:21" ht="14.25" customHeight="1" x14ac:dyDescent="0.3">
      <c r="B37" s="1816" t="str">
        <f>PT.deep_pit!B308</f>
        <v>Fuel</v>
      </c>
      <c r="C37" s="1820"/>
      <c r="D37" s="1821"/>
      <c r="E37" s="1793"/>
      <c r="F37" s="536"/>
      <c r="G37" s="86"/>
      <c r="H37" s="86"/>
      <c r="I37" s="86"/>
      <c r="J37" s="1829"/>
      <c r="K37" s="1836"/>
      <c r="L37" s="1835"/>
      <c r="M37" s="86"/>
      <c r="N37" s="86"/>
      <c r="O37" s="86"/>
      <c r="P37" s="86"/>
      <c r="Q37" s="1599"/>
      <c r="R37" s="1353" t="str">
        <f>PT.deep_pit!B280</f>
        <v>Number of diesel powered lead pumps needed</v>
      </c>
      <c r="S37" s="1352"/>
      <c r="T37" s="299">
        <f>PT.deep_pit!H280</f>
        <v>1</v>
      </c>
      <c r="U37" s="1352" t="str">
        <f>PT.deep_pit!C280</f>
        <v>quantity</v>
      </c>
    </row>
    <row r="38" spans="2:21" ht="14.25" customHeight="1" x14ac:dyDescent="0.3">
      <c r="B38" s="1818" t="str">
        <f>PT.deep_pit!B309</f>
        <v>Diesel fuel used for tanker land application of slurry</v>
      </c>
      <c r="C38" s="1725">
        <f>PT.deep_pit!H309</f>
        <v>0.42782690194156736</v>
      </c>
      <c r="D38" s="1818" t="str">
        <f>PT.deep_pit!C309</f>
        <v>gal/head/year</v>
      </c>
      <c r="E38" s="1785"/>
      <c r="F38" s="536"/>
      <c r="G38" s="86"/>
      <c r="H38" s="86"/>
      <c r="I38" s="86"/>
      <c r="J38" s="1837"/>
      <c r="K38" s="1837"/>
      <c r="L38" s="1838"/>
      <c r="M38" s="1837"/>
      <c r="N38" s="1791"/>
      <c r="O38" s="86"/>
      <c r="P38" s="86"/>
      <c r="Q38" s="91"/>
      <c r="R38" s="1353" t="str">
        <f>PT.deep_pit!B281</f>
        <v>Number of diesel powered agitation trailers needed</v>
      </c>
      <c r="S38" s="1352"/>
      <c r="T38" s="299">
        <f>PT.deep_pit!H281</f>
        <v>0</v>
      </c>
      <c r="U38" s="1352" t="str">
        <f>PT.deep_pit!C281</f>
        <v>quantity</v>
      </c>
    </row>
    <row r="39" spans="2:21" ht="14.25" customHeight="1" x14ac:dyDescent="0.3">
      <c r="B39" s="1818" t="str">
        <f>PT.deep_pit!B310</f>
        <v>Diesel fuel used for drag hose land application of slurry</v>
      </c>
      <c r="C39" s="1725">
        <f>PT.deep_pit!H310</f>
        <v>0.5513354678339607</v>
      </c>
      <c r="D39" s="1818" t="str">
        <f>PT.deep_pit!C310</f>
        <v>gal/head/year</v>
      </c>
      <c r="E39" s="1799"/>
      <c r="F39" s="1799"/>
      <c r="G39" s="1799"/>
      <c r="H39" s="1799"/>
      <c r="I39" s="86"/>
      <c r="J39" s="1835"/>
      <c r="K39" s="1835"/>
      <c r="L39" s="1839"/>
      <c r="M39" s="1840"/>
      <c r="N39" s="1795"/>
      <c r="O39" s="86"/>
      <c r="P39" s="86"/>
      <c r="Q39" s="91"/>
      <c r="R39" s="1353" t="str">
        <f>PT.deep_pit!B282</f>
        <v>Number of booster pumps needed</v>
      </c>
      <c r="S39" s="1352"/>
      <c r="T39" s="299">
        <f>PT.deep_pit!H282</f>
        <v>1</v>
      </c>
      <c r="U39" s="1352" t="str">
        <f>PT.deep_pit!C282</f>
        <v>quantity</v>
      </c>
    </row>
    <row r="40" spans="2:21" ht="14.25" customHeight="1" x14ac:dyDescent="0.3">
      <c r="B40" s="1816" t="str">
        <f>PT.deep_pit!B311</f>
        <v>Slurry nutrient contents</v>
      </c>
      <c r="C40" s="1820"/>
      <c r="D40" s="1821"/>
      <c r="E40" s="1799"/>
      <c r="F40" s="1799"/>
      <c r="G40" s="1799"/>
      <c r="H40" s="1799"/>
      <c r="I40" s="86"/>
      <c r="J40" s="1835"/>
      <c r="K40" s="1835"/>
      <c r="L40" s="1841"/>
      <c r="M40" s="1840"/>
      <c r="N40" s="1795"/>
      <c r="O40" s="86"/>
      <c r="P40" s="86"/>
      <c r="Q40" s="91"/>
      <c r="R40" s="1353" t="str">
        <f>PT.deep_pit!B283</f>
        <v>Operation time for pumping</v>
      </c>
      <c r="S40" s="1352"/>
      <c r="T40" s="299">
        <f>PT.deep_pit!H283</f>
        <v>1.8893774942220938</v>
      </c>
      <c r="U40" s="1352" t="str">
        <f>PT.deep_pit!C283</f>
        <v>hr</v>
      </c>
    </row>
    <row r="41" spans="2:21" ht="14.25" customHeight="1" x14ac:dyDescent="0.3">
      <c r="B41" s="1818" t="str">
        <f>PT.deep_pit!B312</f>
        <v>Total N accumulated in liquids</v>
      </c>
      <c r="C41" s="1426">
        <f>PT.deep_pit!H312</f>
        <v>8.5290669597917201</v>
      </c>
      <c r="D41" s="1818" t="str">
        <f>PT.deep_pit!C312</f>
        <v>kg/head/year</v>
      </c>
      <c r="E41" s="1788"/>
      <c r="F41" s="1785"/>
      <c r="G41" s="921"/>
      <c r="H41" s="86"/>
      <c r="I41" s="86"/>
      <c r="J41" s="1829"/>
      <c r="K41" s="1835"/>
      <c r="L41" s="1840"/>
      <c r="M41" s="1840"/>
      <c r="N41" s="1795"/>
      <c r="O41" s="86"/>
      <c r="P41" s="86"/>
      <c r="Q41" s="91"/>
      <c r="R41" s="1353" t="str">
        <f>PT.deep_pit!B284</f>
        <v>Fuel needed for diesel powered lead pump</v>
      </c>
      <c r="S41" s="1352"/>
      <c r="T41" s="299">
        <f>PT.deep_pit!H284</f>
        <v>34.008794895997688</v>
      </c>
      <c r="U41" s="1352" t="str">
        <f>PT.deep_pit!C284</f>
        <v>gal/event</v>
      </c>
    </row>
    <row r="42" spans="2:21" ht="14.25" customHeight="1" x14ac:dyDescent="0.3">
      <c r="B42" s="1818" t="str">
        <f>PT.deep_pit!B313</f>
        <v>Total P2O5 accumulated in liquids</v>
      </c>
      <c r="C42" s="1426">
        <f>PT.deep_pit!H313</f>
        <v>6.6431094999999996</v>
      </c>
      <c r="D42" s="1818" t="str">
        <f>PT.deep_pit!C313</f>
        <v>kg/head/year</v>
      </c>
      <c r="E42" s="1793"/>
      <c r="F42" s="1788"/>
      <c r="G42" s="921"/>
      <c r="H42" s="86"/>
      <c r="I42" s="86"/>
      <c r="J42" s="1829"/>
      <c r="K42" s="1835"/>
      <c r="L42" s="1839"/>
      <c r="M42" s="1840"/>
      <c r="N42" s="1795"/>
      <c r="O42" s="86"/>
      <c r="P42" s="86"/>
      <c r="Q42" s="91"/>
      <c r="R42" s="1353" t="str">
        <f>PT.deep_pit!B285</f>
        <v>Fuel needed for diesel powered booster pump</v>
      </c>
      <c r="S42" s="1352"/>
      <c r="T42" s="299">
        <f>PT.deep_pit!H285</f>
        <v>14.170331206665704</v>
      </c>
      <c r="U42" s="1352" t="str">
        <f>PT.deep_pit!C285</f>
        <v>gal/event</v>
      </c>
    </row>
    <row r="43" spans="2:21" ht="14.25" customHeight="1" x14ac:dyDescent="0.3">
      <c r="B43" s="1818" t="str">
        <f>PT.deep_pit!B314</f>
        <v>Total K2O accumulated in liquids</v>
      </c>
      <c r="C43" s="1426">
        <f>PT.deep_pit!H314</f>
        <v>8.5411824999999997</v>
      </c>
      <c r="D43" s="1818" t="str">
        <f>PT.deep_pit!C314</f>
        <v>kg/head/year</v>
      </c>
      <c r="E43" s="1794"/>
      <c r="F43" s="1788"/>
      <c r="G43" s="1795"/>
      <c r="H43" s="86"/>
      <c r="I43" s="86"/>
      <c r="J43" s="1829"/>
      <c r="K43" s="1835"/>
      <c r="L43" s="1841"/>
      <c r="M43" s="1840"/>
      <c r="N43" s="1795"/>
      <c r="O43" s="86"/>
      <c r="P43" s="86"/>
      <c r="Q43" s="1599"/>
      <c r="R43" s="1353" t="str">
        <f>PT.deep_pit!B286</f>
        <v>Fuel needed for diesel powered agitation trailer</v>
      </c>
      <c r="S43" s="1352"/>
      <c r="T43" s="299">
        <f>PT.deep_pit!H286</f>
        <v>0</v>
      </c>
      <c r="U43" s="1352" t="str">
        <f>PT.deep_pit!C286</f>
        <v>gal/event</v>
      </c>
    </row>
    <row r="44" spans="2:21" ht="14.25" customHeight="1" x14ac:dyDescent="0.3">
      <c r="B44" s="1816" t="str">
        <f>PT.deep_pit!B315</f>
        <v>Excess slurry nutrient application</v>
      </c>
      <c r="C44" s="1821"/>
      <c r="D44" s="1821"/>
      <c r="E44" s="1785"/>
      <c r="F44" s="1788"/>
      <c r="G44" s="921"/>
      <c r="H44" s="86"/>
      <c r="I44" s="86"/>
      <c r="J44" s="1829"/>
      <c r="K44" s="1835"/>
      <c r="L44" s="1835"/>
      <c r="M44" s="1840"/>
      <c r="N44" s="1795"/>
      <c r="O44" s="86"/>
      <c r="P44" s="86"/>
      <c r="Q44" s="1599"/>
      <c r="R44" s="1353" t="str">
        <f>PT.deep_pit!B287</f>
        <v>Fuel needed for pickup truck</v>
      </c>
      <c r="S44" s="1352"/>
      <c r="T44" s="299">
        <f>PT.deep_pit!H287</f>
        <v>1.7004397447998842</v>
      </c>
      <c r="U44" s="1352" t="str">
        <f>PT.deep_pit!C287</f>
        <v>gal/event</v>
      </c>
    </row>
    <row r="45" spans="2:21" ht="14.25" customHeight="1" x14ac:dyDescent="0.3">
      <c r="B45" s="1818" t="str">
        <f>PT.deep_pit!B316</f>
        <v>Excess N applied due to slurry</v>
      </c>
      <c r="C45" s="1426">
        <f>PT.deep_pit!H316</f>
        <v>0</v>
      </c>
      <c r="D45" s="1818" t="str">
        <f>PT.deep_pit!C316</f>
        <v>kg/head/year</v>
      </c>
      <c r="E45" s="1794"/>
      <c r="F45" s="1788"/>
      <c r="G45" s="1795"/>
      <c r="H45" s="86"/>
      <c r="I45" s="86"/>
      <c r="J45" s="1835"/>
      <c r="K45" s="1835"/>
      <c r="L45" s="1835"/>
      <c r="M45" s="1840"/>
      <c r="N45" s="1795"/>
      <c r="O45" s="86"/>
      <c r="P45" s="86"/>
      <c r="Q45" s="1847" t="str">
        <f>PT.deep_pit!B288</f>
        <v>Manure costs and excess</v>
      </c>
      <c r="R45" s="1600"/>
      <c r="S45" s="1601"/>
      <c r="T45" s="1602"/>
      <c r="U45" s="1601"/>
    </row>
    <row r="46" spans="2:21" ht="14.25" customHeight="1" x14ac:dyDescent="0.3">
      <c r="B46" s="1818" t="str">
        <f>PT.deep_pit!B317</f>
        <v>Excess P2O5 applied due to slurry</v>
      </c>
      <c r="C46" s="1426">
        <f>PT.deep_pit!H317</f>
        <v>4.025601501677988</v>
      </c>
      <c r="D46" s="1818" t="str">
        <f>PT.deep_pit!C317</f>
        <v>kg/head/year</v>
      </c>
      <c r="E46" s="1794"/>
      <c r="F46" s="1788"/>
      <c r="G46" s="1795"/>
      <c r="H46" s="86"/>
      <c r="I46" s="86"/>
      <c r="J46" s="1835"/>
      <c r="K46" s="1835"/>
      <c r="L46" s="1835"/>
      <c r="M46" s="1840"/>
      <c r="N46" s="1795"/>
      <c r="O46" s="86"/>
      <c r="P46" s="86"/>
      <c r="Q46" s="1599"/>
      <c r="R46" s="1353" t="str">
        <f>PT.deep_pit!B289</f>
        <v>Excess volume, deep pit slurry manure</v>
      </c>
      <c r="S46" s="1352"/>
      <c r="T46" s="299">
        <f>PT.deep_pit!H289</f>
        <v>279.0219754073853</v>
      </c>
      <c r="U46" s="1352" t="str">
        <f>PT.deep_pit!C289</f>
        <v>1000 gal/year</v>
      </c>
    </row>
    <row r="47" spans="2:21" ht="14.25" customHeight="1" x14ac:dyDescent="0.3">
      <c r="B47" s="1818" t="str">
        <f>PT.deep_pit!B318</f>
        <v>Excess K2O applied due to slurry</v>
      </c>
      <c r="C47" s="1426">
        <f>PT.deep_pit!H318</f>
        <v>4.801514719546172</v>
      </c>
      <c r="D47" s="1818" t="str">
        <f>PT.deep_pit!C318</f>
        <v>kg/head/year</v>
      </c>
      <c r="E47" s="1794"/>
      <c r="F47" s="1788"/>
      <c r="G47" s="1795"/>
      <c r="H47" s="86"/>
      <c r="I47" s="86"/>
      <c r="J47" s="1829"/>
      <c r="K47" s="1835"/>
      <c r="L47" s="1835"/>
      <c r="M47" s="1840"/>
      <c r="N47" s="1795"/>
      <c r="O47" s="86"/>
      <c r="P47" s="86"/>
      <c r="Q47" s="1599"/>
      <c r="R47" s="1353" t="str">
        <f>PT.deep_pit!B290</f>
        <v>Fertilizer value for on-farm use, slurry</v>
      </c>
      <c r="S47" s="1352"/>
      <c r="T47" s="299">
        <f>PT.deep_pit!H290</f>
        <v>7923.9347030405379</v>
      </c>
      <c r="U47" s="1352" t="str">
        <f>PT.deep_pit!C290</f>
        <v>$/year</v>
      </c>
    </row>
    <row r="48" spans="2:21" ht="14.25" customHeight="1" x14ac:dyDescent="0.3">
      <c r="B48" s="1816" t="str">
        <f>PT.deep_pit!B319</f>
        <v>Emissions</v>
      </c>
      <c r="C48" s="1821"/>
      <c r="D48" s="1821"/>
      <c r="E48" s="1794"/>
      <c r="F48" s="1788"/>
      <c r="G48" s="1795"/>
      <c r="H48" s="86"/>
      <c r="I48" s="86"/>
      <c r="J48" s="1829"/>
      <c r="K48" s="1835"/>
      <c r="L48" s="1841"/>
      <c r="M48" s="1840"/>
      <c r="N48" s="1795"/>
      <c r="O48" s="86"/>
      <c r="P48" s="1801"/>
      <c r="Q48" s="1847" t="str">
        <f>PT.deep_pit!B291</f>
        <v>Deep pit with aeration</v>
      </c>
      <c r="R48" s="1600"/>
      <c r="S48" s="1601"/>
      <c r="T48" s="1602"/>
      <c r="U48" s="1601"/>
    </row>
    <row r="49" spans="2:21" ht="14.25" customHeight="1" x14ac:dyDescent="0.3">
      <c r="B49" s="1818" t="str">
        <f>PT.deep_pit!B320</f>
        <v>CH4 from deep pit</v>
      </c>
      <c r="C49" s="1426">
        <f>PT.deep_pit!H320</f>
        <v>7.9704160112144384</v>
      </c>
      <c r="D49" s="1818" t="str">
        <f>PT.deep_pit!C320</f>
        <v>kg/head/year</v>
      </c>
      <c r="Q49" s="1599"/>
      <c r="R49" s="1353" t="str">
        <f>PT.deep_pit!B292</f>
        <v>Number of drive units, pit aeration</v>
      </c>
      <c r="S49" s="1352"/>
      <c r="T49" s="299">
        <f>PT.deep_pit!H292</f>
        <v>1</v>
      </c>
      <c r="U49" s="1352" t="str">
        <f>PT.deep_pit!C292</f>
        <v>quantity</v>
      </c>
    </row>
    <row r="50" spans="2:21" ht="14.25" customHeight="1" x14ac:dyDescent="0.3">
      <c r="B50" s="1818" t="str">
        <f>PT.deep_pit!B321</f>
        <v>NH3 from deep pit</v>
      </c>
      <c r="C50" s="1426">
        <f>PT.deep_pit!H321</f>
        <v>10.439180674999999</v>
      </c>
      <c r="D50" s="1818" t="str">
        <f>PT.deep_pit!C321</f>
        <v>kg/head/year</v>
      </c>
      <c r="Q50" s="49"/>
      <c r="R50" s="1353" t="str">
        <f>PT.deep_pit!B293</f>
        <v>Number of motors/compressors, pit aeration</v>
      </c>
      <c r="S50" s="1352"/>
      <c r="T50" s="299">
        <f>PT.deep_pit!H293</f>
        <v>2</v>
      </c>
      <c r="U50" s="1352" t="str">
        <f>PT.deep_pit!C293</f>
        <v>quantity</v>
      </c>
    </row>
    <row r="51" spans="2:21" ht="14.25" customHeight="1" x14ac:dyDescent="0.3">
      <c r="B51" s="1818" t="str">
        <f>PT.deep_pit!B322</f>
        <v>N2O direct from deep pit</v>
      </c>
      <c r="C51" s="1426">
        <f>PT.deep_pit!H322</f>
        <v>0.10438990871715</v>
      </c>
      <c r="D51" s="1818" t="str">
        <f>PT.deep_pit!C322</f>
        <v>kg/head/year</v>
      </c>
      <c r="Q51" s="494"/>
      <c r="R51" s="1353" t="str">
        <f>PT.deep_pit!B294</f>
        <v>Size of motor(s)</v>
      </c>
      <c r="S51" s="1352"/>
      <c r="T51" s="299">
        <f>PT.deep_pit!H294</f>
        <v>2</v>
      </c>
      <c r="U51" s="1352" t="str">
        <f>PT.deep_pit!C294</f>
        <v>hp</v>
      </c>
    </row>
    <row r="52" spans="2:21" ht="14.25" customHeight="1" x14ac:dyDescent="0.3">
      <c r="B52" s="1818" t="str">
        <f>PT.deep_pit!B323</f>
        <v>N2O indirect from deep pit</v>
      </c>
      <c r="C52" s="1426">
        <f>PT.deep_pit!H323</f>
        <v>0.22965779917772999</v>
      </c>
      <c r="D52" s="1818" t="str">
        <f>PT.deep_pit!C323</f>
        <v>kg/head/year</v>
      </c>
      <c r="Q52" s="49"/>
      <c r="R52" s="1353" t="str">
        <f>PT.deep_pit!B295</f>
        <v>Pit aeration operation time</v>
      </c>
      <c r="S52" s="1352"/>
      <c r="T52" s="299">
        <f>PT.deep_pit!H295</f>
        <v>16</v>
      </c>
      <c r="U52" s="1352" t="str">
        <f>PT.deep_pit!C295</f>
        <v>hr/day</v>
      </c>
    </row>
    <row r="53" spans="2:21" ht="14.25" customHeight="1" x14ac:dyDescent="0.3">
      <c r="B53" s="1816" t="str">
        <f>PT.deep_pit!B324</f>
        <v>Electricity</v>
      </c>
      <c r="C53" s="1821"/>
      <c r="D53" s="1821"/>
      <c r="Q53" s="49"/>
      <c r="R53" s="1353" t="str">
        <f>PT.deep_pit!B296</f>
        <v>Electricity needed, total</v>
      </c>
      <c r="S53" s="1352"/>
      <c r="T53" s="299">
        <f>PT.deep_pit!H296</f>
        <v>17419.548963200003</v>
      </c>
      <c r="U53" s="1352" t="str">
        <f>PT.deep_pit!C296</f>
        <v>kWh/year</v>
      </c>
    </row>
    <row r="54" spans="2:21" ht="14.25" customHeight="1" x14ac:dyDescent="0.3">
      <c r="B54" s="1818" t="str">
        <f>PT.deep_pit!B325</f>
        <v>Electricity used by aeration system</v>
      </c>
      <c r="C54" s="1426">
        <f>PT.deep_pit!H325</f>
        <v>34.839097926400008</v>
      </c>
      <c r="D54" s="1818" t="str">
        <f>PT.deep_pit!C325</f>
        <v>kWh/head/year</v>
      </c>
    </row>
    <row r="298" spans="1:23" ht="14.25" customHeight="1" thickBot="1" x14ac:dyDescent="0.35">
      <c r="A298" s="137"/>
      <c r="B298" s="137"/>
      <c r="C298" s="137"/>
      <c r="D298" s="137"/>
      <c r="E298" s="137"/>
      <c r="F298" s="137"/>
      <c r="G298" s="137"/>
      <c r="H298" s="137"/>
      <c r="I298" s="137"/>
      <c r="J298" s="137"/>
      <c r="K298" s="137"/>
      <c r="L298" s="42"/>
      <c r="P298" s="20"/>
      <c r="U298" s="42"/>
      <c r="W298" s="36"/>
    </row>
    <row r="299" spans="1:23" ht="14.25" customHeight="1" x14ac:dyDescent="0.3">
      <c r="E299" s="2116"/>
      <c r="L299" s="42"/>
      <c r="P299" s="20"/>
      <c r="U299" s="42"/>
      <c r="W299" s="36"/>
    </row>
    <row r="300" spans="1:23" ht="14.4" x14ac:dyDescent="0.3">
      <c r="B300" s="82" t="s">
        <v>6938</v>
      </c>
    </row>
    <row r="301" spans="1:23" ht="14.4" x14ac:dyDescent="0.3">
      <c r="B301" t="s">
        <v>3652</v>
      </c>
    </row>
    <row r="302" spans="1:23" ht="14.4" x14ac:dyDescent="0.3">
      <c r="B302" t="s">
        <v>7074</v>
      </c>
      <c r="C302" t="s">
        <v>5205</v>
      </c>
    </row>
    <row r="303" spans="1:23" ht="14.25" customHeight="1" thickBot="1" x14ac:dyDescent="0.35">
      <c r="A303" s="137"/>
      <c r="B303" s="137"/>
      <c r="C303" s="137"/>
      <c r="D303" s="137"/>
      <c r="E303" s="137"/>
      <c r="F303" s="137"/>
      <c r="G303" s="137"/>
      <c r="H303" s="137"/>
      <c r="I303" s="137"/>
      <c r="J303" s="137"/>
      <c r="K303" s="137"/>
      <c r="L303" s="42"/>
      <c r="P303" s="20"/>
      <c r="U303" s="42"/>
      <c r="W303" s="36"/>
    </row>
    <row r="304" spans="1:23" ht="14.25" customHeight="1" x14ac:dyDescent="0.3">
      <c r="E304" s="2116"/>
      <c r="L304" s="42"/>
      <c r="P304" s="20"/>
      <c r="U304" s="42"/>
      <c r="W304" s="36"/>
    </row>
    <row r="305" spans="1:25" ht="14.25" customHeight="1" x14ac:dyDescent="0.35">
      <c r="B305" s="138" t="s">
        <v>6941</v>
      </c>
      <c r="C305" s="34"/>
      <c r="H305" s="355"/>
      <c r="R305" s="20"/>
      <c r="W305" s="42"/>
      <c r="Y305" s="36"/>
    </row>
    <row r="306" spans="1:25" ht="14.25" customHeight="1" x14ac:dyDescent="0.3">
      <c r="R306" s="20"/>
      <c r="W306" s="42"/>
      <c r="Y306" s="36"/>
    </row>
    <row r="307" spans="1:25" ht="14.25" customHeight="1" x14ac:dyDescent="0.3">
      <c r="B307" s="139" t="s">
        <v>6942</v>
      </c>
      <c r="C307" s="140"/>
      <c r="D307" s="140"/>
      <c r="E307" s="139"/>
      <c r="F307" s="141"/>
      <c r="R307" s="20"/>
      <c r="W307" s="42"/>
      <c r="Y307" s="36"/>
    </row>
    <row r="308" spans="1:25" ht="14.25" customHeight="1" x14ac:dyDescent="0.3">
      <c r="B308" s="143" t="s">
        <v>2663</v>
      </c>
      <c r="C308" s="144" t="s">
        <v>565</v>
      </c>
      <c r="D308" s="144" t="s">
        <v>6943</v>
      </c>
      <c r="E308" s="143" t="s">
        <v>565</v>
      </c>
      <c r="F308" s="145" t="s">
        <v>6944</v>
      </c>
      <c r="R308" s="20"/>
      <c r="W308" s="42"/>
      <c r="Y308" s="36"/>
    </row>
    <row r="309" spans="1:25" ht="14.25" customHeight="1" x14ac:dyDescent="0.3">
      <c r="A309" t="s">
        <v>6945</v>
      </c>
      <c r="B309" s="149" t="s">
        <v>5724</v>
      </c>
      <c r="C309" s="295">
        <f>VLOOKUP(B309,R1:U300,3,FALSE)</f>
        <v>1056.2130751340239</v>
      </c>
      <c r="D309" s="151" t="s">
        <v>2478</v>
      </c>
      <c r="E309" s="359">
        <f>CONVERT(C309,"m^3","ft^3")</f>
        <v>37299.812735236643</v>
      </c>
      <c r="F309" s="151" t="s">
        <v>2479</v>
      </c>
      <c r="R309" s="20"/>
      <c r="W309" s="42"/>
      <c r="Y309" s="36"/>
    </row>
    <row r="310" spans="1:25" ht="14.25" customHeight="1" x14ac:dyDescent="0.3">
      <c r="R310" s="20"/>
      <c r="W310" s="42"/>
      <c r="Y310" s="36"/>
    </row>
    <row r="311" spans="1:25" s="369" customFormat="1" ht="14.25" customHeight="1" x14ac:dyDescent="0.3">
      <c r="B311" s="370" t="s">
        <v>6946</v>
      </c>
      <c r="C311" s="362" t="s">
        <v>6947</v>
      </c>
      <c r="D311" s="371" t="s">
        <v>6948</v>
      </c>
      <c r="E311" s="362" t="s">
        <v>6949</v>
      </c>
      <c r="F311" s="362" t="s">
        <v>6950</v>
      </c>
      <c r="G311" s="362" t="s">
        <v>6951</v>
      </c>
      <c r="H311" s="362" t="s">
        <v>6952</v>
      </c>
      <c r="I311" s="371" t="s">
        <v>6953</v>
      </c>
      <c r="J311" s="371" t="s">
        <v>6954</v>
      </c>
      <c r="K311" s="362" t="s">
        <v>6955</v>
      </c>
      <c r="L311" s="362" t="s">
        <v>6956</v>
      </c>
      <c r="M311" s="362" t="s">
        <v>6957</v>
      </c>
      <c r="N311" s="362" t="s">
        <v>6958</v>
      </c>
      <c r="O311" s="363" t="s">
        <v>6959</v>
      </c>
    </row>
    <row r="312" spans="1:25" ht="14.25" customHeight="1" x14ac:dyDescent="0.3">
      <c r="A312" t="s">
        <v>6960</v>
      </c>
      <c r="B312" s="99" t="s">
        <v>6961</v>
      </c>
      <c r="C312" s="153">
        <f>VLOOKUP("Deep and shallow pit constructiona",Econ.Equations!C:E,2,FALSE)*E309^VLOOKUP("Deep and shallow pit constructionb",Econ.Equations!$C:$E,2,FALSE)*E309</f>
        <v>96391.333118209659</v>
      </c>
      <c r="D312">
        <f>VLOOKUP("CAPEXLifetimeBuildings and constructionDefault",Econ.inputsTable!$E:$I,2,FALSE)</f>
        <v>20</v>
      </c>
      <c r="E312" t="s">
        <v>2852</v>
      </c>
      <c r="F312" t="s">
        <v>2852</v>
      </c>
      <c r="G312" s="154">
        <f>VLOOKUP("CAPEXAnnual usage on activityItems that are used only on the given activityDefault",Econ.inputsTable!$E:$I,2,FALSE)</f>
        <v>1</v>
      </c>
      <c r="H312" s="503">
        <f>UDV.econ_capital.interest_rate</f>
        <v>5.0999999999999997E-2</v>
      </c>
      <c r="I312" s="155">
        <f>VLOOKUP("CAPEXSalvageBuildings and constructionDefault",Econ.inputsTable!$E:$J,2,FALSE)</f>
        <v>0</v>
      </c>
      <c r="J312" s="156">
        <f>C312*I312</f>
        <v>0</v>
      </c>
      <c r="K312" s="154">
        <f>VLOOKUP("CAPEXFinanced amountNADefault",Econ.inputsTable!$E:$G,2,FALSE)</f>
        <v>1</v>
      </c>
      <c r="L312" s="364">
        <f>H312*K312</f>
        <v>5.0999999999999997E-2</v>
      </c>
      <c r="M312" s="351">
        <f>L312/(1-(1+L312)^-D312)</f>
        <v>8.0924368970045152E-2</v>
      </c>
      <c r="N312" s="153">
        <f>((C312-J312)*M312)+(J312*L312)</f>
        <v>7800.4078067725313</v>
      </c>
      <c r="O312" s="372">
        <f>N312*G312</f>
        <v>7800.4078067725313</v>
      </c>
      <c r="R312" s="20"/>
      <c r="W312" s="42"/>
      <c r="Y312" s="36"/>
    </row>
    <row r="313" spans="1:25" ht="14.25" customHeight="1" x14ac:dyDescent="0.3">
      <c r="B313" s="99"/>
      <c r="O313" s="146"/>
      <c r="R313" s="20"/>
      <c r="W313" s="42"/>
      <c r="Y313" s="36"/>
    </row>
    <row r="314" spans="1:25" ht="14.25" customHeight="1" x14ac:dyDescent="0.3">
      <c r="B314" s="99"/>
      <c r="C314" s="82" t="s">
        <v>6962</v>
      </c>
      <c r="D314" s="82" t="s">
        <v>6963</v>
      </c>
      <c r="O314" s="146"/>
      <c r="R314" s="20"/>
      <c r="W314" s="42"/>
      <c r="Y314" s="36"/>
    </row>
    <row r="315" spans="1:25" ht="14.25" customHeight="1" x14ac:dyDescent="0.3">
      <c r="A315" t="s">
        <v>6945</v>
      </c>
      <c r="B315" s="99" t="s">
        <v>6964</v>
      </c>
      <c r="C315" s="153">
        <f>SUM(C312:C312)</f>
        <v>96391.333118209659</v>
      </c>
      <c r="D315" s="158">
        <f>SUMPRODUCT(C312:C312,G312:G312)</f>
        <v>96391.333118209659</v>
      </c>
      <c r="O315" s="146"/>
      <c r="R315" s="20"/>
      <c r="W315" s="42"/>
      <c r="Y315" s="36"/>
    </row>
    <row r="316" spans="1:25" ht="14.25" customHeight="1" x14ac:dyDescent="0.3">
      <c r="A316" t="s">
        <v>6945</v>
      </c>
      <c r="B316" s="149" t="s">
        <v>6965</v>
      </c>
      <c r="C316" s="159">
        <f>SUM(N312:N312)</f>
        <v>7800.4078067725313</v>
      </c>
      <c r="D316" s="159">
        <f>SUMPRODUCT(N312:N312,G312:G312)</f>
        <v>7800.4078067725313</v>
      </c>
      <c r="E316" s="150"/>
      <c r="F316" s="150"/>
      <c r="G316" s="150"/>
      <c r="H316" s="150"/>
      <c r="I316" s="150"/>
      <c r="J316" s="150"/>
      <c r="K316" s="150"/>
      <c r="L316" s="150"/>
      <c r="M316" s="150"/>
      <c r="N316" s="150"/>
      <c r="O316" s="151"/>
      <c r="R316" s="20"/>
      <c r="W316" s="42"/>
      <c r="Y316" s="36"/>
    </row>
    <row r="317" spans="1:25" ht="14.25" customHeight="1" x14ac:dyDescent="0.3">
      <c r="B317" s="262"/>
      <c r="C317" s="142"/>
      <c r="D317" s="142"/>
      <c r="E317" s="142"/>
      <c r="F317" s="142"/>
      <c r="G317" s="142"/>
      <c r="H317" s="142"/>
      <c r="I317" s="142"/>
      <c r="J317" s="142"/>
      <c r="K317" s="142"/>
      <c r="L317" s="142"/>
      <c r="M317" s="142"/>
      <c r="N317" s="142"/>
      <c r="O317" s="141"/>
      <c r="R317" s="20"/>
      <c r="W317" s="42"/>
      <c r="Y317" s="36"/>
    </row>
    <row r="318" spans="1:25" ht="14.25" customHeight="1" x14ac:dyDescent="0.3">
      <c r="B318" s="160" t="s">
        <v>6966</v>
      </c>
      <c r="C318" s="152" t="s">
        <v>6967</v>
      </c>
      <c r="D318" s="152" t="s">
        <v>6968</v>
      </c>
      <c r="E318" s="152" t="s">
        <v>6969</v>
      </c>
      <c r="F318" s="152" t="s">
        <v>6970</v>
      </c>
      <c r="G318" s="152" t="s">
        <v>6971</v>
      </c>
      <c r="H318" s="152" t="s">
        <v>6972</v>
      </c>
      <c r="I318" s="152" t="s">
        <v>6973</v>
      </c>
      <c r="J318" s="152" t="s">
        <v>6974</v>
      </c>
      <c r="K318" s="152" t="s">
        <v>6975</v>
      </c>
      <c r="L318" s="152" t="s">
        <v>6976</v>
      </c>
      <c r="M318" s="152" t="s">
        <v>6977</v>
      </c>
      <c r="N318" s="152" t="s">
        <v>6978</v>
      </c>
      <c r="O318" s="161" t="s">
        <v>6979</v>
      </c>
      <c r="R318" s="20"/>
      <c r="W318" s="42"/>
      <c r="Y318" s="36"/>
    </row>
    <row r="319" spans="1:25" ht="14.25" customHeight="1" x14ac:dyDescent="0.3">
      <c r="B319" s="99" t="s">
        <v>6945</v>
      </c>
      <c r="C319" s="155">
        <f>VLOOKUP("OPEXInsuranceEverythingDefault",Econ.inputsTable!$E$1:$J$213,2,FALSE)</f>
        <v>5.0000000000000001E-3</v>
      </c>
      <c r="D319" s="155">
        <f>VLOOKUP("OPEXRepair and maintenanceBuildings and constructionDefault",Econ.inputsTable!$E$1:$J$503,2,FALSE)</f>
        <v>0.01</v>
      </c>
      <c r="O319" s="157">
        <f>(SUM(C319:D319)*SUMPRODUCT(C312:C312,G312:G312))+SUM(E319,G319,I319,J319,L319,N319)</f>
        <v>1445.8699967731447</v>
      </c>
      <c r="R319" s="20"/>
      <c r="W319" s="42"/>
      <c r="Y319" s="36"/>
    </row>
    <row r="320" spans="1:25" ht="14.25" customHeight="1" x14ac:dyDescent="0.3">
      <c r="A320" t="s">
        <v>6945</v>
      </c>
      <c r="B320" s="162" t="s">
        <v>5203</v>
      </c>
      <c r="C320" s="241"/>
      <c r="D320" s="241"/>
      <c r="E320" s="367">
        <f t="shared" ref="E320:O320" si="0">SUM(E319)</f>
        <v>0</v>
      </c>
      <c r="F320" s="537">
        <f t="shared" si="0"/>
        <v>0</v>
      </c>
      <c r="G320" s="367">
        <f t="shared" si="0"/>
        <v>0</v>
      </c>
      <c r="H320" s="537">
        <f t="shared" si="0"/>
        <v>0</v>
      </c>
      <c r="I320" s="367">
        <f t="shared" si="0"/>
        <v>0</v>
      </c>
      <c r="J320" s="367">
        <f t="shared" si="0"/>
        <v>0</v>
      </c>
      <c r="K320" s="537">
        <f t="shared" si="0"/>
        <v>0</v>
      </c>
      <c r="L320" s="367">
        <f t="shared" si="0"/>
        <v>0</v>
      </c>
      <c r="M320" s="537">
        <f t="shared" si="0"/>
        <v>0</v>
      </c>
      <c r="N320" s="367">
        <f t="shared" si="0"/>
        <v>0</v>
      </c>
      <c r="O320" s="169">
        <f t="shared" si="0"/>
        <v>1445.8699967731447</v>
      </c>
      <c r="R320" s="20"/>
      <c r="W320" s="42"/>
      <c r="Y320" s="36"/>
    </row>
    <row r="321" spans="1:25" ht="14.25" customHeight="1" x14ac:dyDescent="0.3">
      <c r="B321" s="99"/>
      <c r="C321" s="155"/>
      <c r="D321" s="155"/>
      <c r="E321" s="155"/>
      <c r="F321" s="158"/>
      <c r="G321" s="154"/>
      <c r="H321" s="156"/>
      <c r="I321" s="153"/>
      <c r="O321" s="146"/>
      <c r="R321" s="20"/>
      <c r="W321" s="42"/>
      <c r="Y321" s="36"/>
    </row>
    <row r="322" spans="1:25" ht="14.25" customHeight="1" x14ac:dyDescent="0.3">
      <c r="A322" t="s">
        <v>6945</v>
      </c>
      <c r="B322" s="149" t="s">
        <v>6980</v>
      </c>
      <c r="C322" s="159">
        <f>O320</f>
        <v>1445.8699967731447</v>
      </c>
      <c r="D322" s="150"/>
      <c r="E322" s="150"/>
      <c r="F322" s="150"/>
      <c r="G322" s="150"/>
      <c r="H322" s="150"/>
      <c r="I322" s="150"/>
      <c r="J322" s="150"/>
      <c r="K322" s="150"/>
      <c r="L322" s="150"/>
      <c r="M322" s="150"/>
      <c r="N322" s="150"/>
      <c r="O322" s="151"/>
      <c r="R322" s="20"/>
      <c r="W322" s="42"/>
      <c r="Y322" s="36"/>
    </row>
    <row r="323" spans="1:25" ht="14.25" customHeight="1" thickBot="1" x14ac:dyDescent="0.35">
      <c r="A323" s="137"/>
      <c r="B323" s="137"/>
      <c r="C323" s="137"/>
      <c r="D323" s="137"/>
      <c r="E323" s="137"/>
      <c r="F323" s="137"/>
      <c r="G323" s="137"/>
      <c r="H323" s="137"/>
      <c r="I323" s="137"/>
      <c r="J323" s="137"/>
      <c r="K323" s="137"/>
      <c r="L323" s="137"/>
      <c r="M323" s="137"/>
      <c r="N323" s="137"/>
      <c r="O323" s="137"/>
      <c r="R323" s="20"/>
      <c r="W323" s="42"/>
      <c r="Y323" s="36"/>
    </row>
    <row r="324" spans="1:25" ht="14.25" customHeight="1" x14ac:dyDescent="0.3">
      <c r="R324" s="20"/>
      <c r="W324" s="42"/>
      <c r="Y324" s="36"/>
    </row>
    <row r="325" spans="1:25" ht="14.4" x14ac:dyDescent="0.3">
      <c r="B325" s="82" t="s">
        <v>3652</v>
      </c>
      <c r="C325" s="657"/>
      <c r="D325" s="34"/>
    </row>
    <row r="326" spans="1:25" ht="14.4" x14ac:dyDescent="0.3"/>
    <row r="327" spans="1:25" ht="14.4" x14ac:dyDescent="0.3">
      <c r="B327" s="139" t="s">
        <v>6942</v>
      </c>
      <c r="C327" s="140"/>
      <c r="D327" s="140"/>
      <c r="E327" s="139"/>
      <c r="F327" s="141"/>
    </row>
    <row r="328" spans="1:25" ht="14.4" x14ac:dyDescent="0.3">
      <c r="B328" s="143" t="s">
        <v>2663</v>
      </c>
      <c r="C328" s="144" t="s">
        <v>565</v>
      </c>
      <c r="D328" s="144" t="s">
        <v>6943</v>
      </c>
      <c r="E328" s="143" t="s">
        <v>565</v>
      </c>
      <c r="F328" s="145" t="s">
        <v>6944</v>
      </c>
    </row>
    <row r="329" spans="1:25" ht="14.4" x14ac:dyDescent="0.3">
      <c r="B329" s="99" t="s">
        <v>5540</v>
      </c>
      <c r="C329" s="148">
        <f t="shared" ref="C329:C334" si="1">VLOOKUP(B329,$R$1:$U$299,3,FALSE)</f>
        <v>288.58280741366775</v>
      </c>
      <c r="D329" t="s">
        <v>2268</v>
      </c>
      <c r="E329" s="164">
        <f>C329*UC.m2_to_ft2</f>
        <v>3106.2794819811756</v>
      </c>
      <c r="F329" s="146" t="s">
        <v>2267</v>
      </c>
    </row>
    <row r="330" spans="1:25" ht="14.4" x14ac:dyDescent="0.3">
      <c r="B330" s="99" t="s">
        <v>5547</v>
      </c>
      <c r="C330" s="147">
        <f t="shared" si="1"/>
        <v>1</v>
      </c>
      <c r="D330" t="s">
        <v>2442</v>
      </c>
      <c r="E330" s="99">
        <f>C330</f>
        <v>1</v>
      </c>
      <c r="F330" s="146" t="s">
        <v>2442</v>
      </c>
    </row>
    <row r="331" spans="1:25" ht="14.4" x14ac:dyDescent="0.3">
      <c r="B331" s="99" t="s">
        <v>5548</v>
      </c>
      <c r="C331" s="147">
        <f t="shared" si="1"/>
        <v>2</v>
      </c>
      <c r="D331" t="s">
        <v>2442</v>
      </c>
      <c r="E331" s="99">
        <f>C331</f>
        <v>2</v>
      </c>
      <c r="F331" s="146" t="s">
        <v>2442</v>
      </c>
    </row>
    <row r="332" spans="1:25" ht="14.4" x14ac:dyDescent="0.3">
      <c r="B332" s="99" t="s">
        <v>5545</v>
      </c>
      <c r="C332" s="147">
        <f t="shared" si="1"/>
        <v>2</v>
      </c>
      <c r="D332" t="s">
        <v>971</v>
      </c>
      <c r="E332" s="99">
        <f>C332</f>
        <v>2</v>
      </c>
      <c r="F332" s="146" t="s">
        <v>971</v>
      </c>
    </row>
    <row r="333" spans="1:25" ht="14.4" x14ac:dyDescent="0.3">
      <c r="B333" s="99" t="s">
        <v>5546</v>
      </c>
      <c r="C333" s="147">
        <f t="shared" si="1"/>
        <v>16</v>
      </c>
      <c r="D333" t="s">
        <v>7075</v>
      </c>
      <c r="E333" s="99">
        <f>C333*UC.year_to_day</f>
        <v>5840</v>
      </c>
      <c r="F333" s="146" t="s">
        <v>2710</v>
      </c>
    </row>
    <row r="334" spans="1:25" ht="14.4" x14ac:dyDescent="0.3">
      <c r="B334" s="99" t="s">
        <v>5550</v>
      </c>
      <c r="C334" s="147">
        <f t="shared" si="1"/>
        <v>17419.548963200003</v>
      </c>
      <c r="D334" t="s">
        <v>5323</v>
      </c>
      <c r="E334" s="178">
        <f>C334</f>
        <v>17419.548963200003</v>
      </c>
      <c r="F334" s="146" t="s">
        <v>5323</v>
      </c>
    </row>
    <row r="335" spans="1:25" ht="14.4" x14ac:dyDescent="0.3">
      <c r="B335" s="99"/>
      <c r="E335" s="99"/>
      <c r="F335" s="146"/>
    </row>
    <row r="336" spans="1:25" ht="14.4" x14ac:dyDescent="0.3">
      <c r="B336" s="92" t="s">
        <v>6996</v>
      </c>
      <c r="C336" s="78"/>
      <c r="E336" s="143" t="s">
        <v>565</v>
      </c>
      <c r="F336" s="145" t="s">
        <v>6944</v>
      </c>
    </row>
    <row r="337" spans="1:15" ht="14.4" x14ac:dyDescent="0.3">
      <c r="B337" s="99" t="s">
        <v>7076</v>
      </c>
      <c r="E337" s="358">
        <f>UDV.electricity.avg_cost</f>
        <v>6.8591666666666662E-2</v>
      </c>
      <c r="F337" s="146" t="s">
        <v>2306</v>
      </c>
    </row>
    <row r="338" spans="1:15" ht="14.4" x14ac:dyDescent="0.3">
      <c r="B338" s="99" t="s">
        <v>6998</v>
      </c>
      <c r="E338" s="813">
        <f>UDV.labor.non_specialized_cost</f>
        <v>23.66</v>
      </c>
      <c r="F338" s="146" t="s">
        <v>3659</v>
      </c>
    </row>
    <row r="339" spans="1:15" ht="14.4" x14ac:dyDescent="0.3">
      <c r="B339" s="149" t="s">
        <v>7077</v>
      </c>
      <c r="C339" s="150"/>
      <c r="D339" s="150"/>
      <c r="E339" s="659">
        <f>UDV.labor.specialized_cost</f>
        <v>48.82</v>
      </c>
      <c r="F339" s="151" t="s">
        <v>3659</v>
      </c>
    </row>
    <row r="341" spans="1:15" ht="57.6" x14ac:dyDescent="0.3">
      <c r="B341" s="361" t="s">
        <v>6946</v>
      </c>
      <c r="C341" s="362" t="s">
        <v>6947</v>
      </c>
      <c r="D341" s="362" t="s">
        <v>6948</v>
      </c>
      <c r="E341" s="362" t="s">
        <v>6949</v>
      </c>
      <c r="F341" s="362" t="s">
        <v>6950</v>
      </c>
      <c r="G341" s="362" t="s">
        <v>6951</v>
      </c>
      <c r="H341" s="362" t="s">
        <v>6952</v>
      </c>
      <c r="I341" s="362" t="s">
        <v>6953</v>
      </c>
      <c r="J341" s="362" t="s">
        <v>6954</v>
      </c>
      <c r="K341" s="362" t="s">
        <v>6955</v>
      </c>
      <c r="L341" s="362" t="s">
        <v>6956</v>
      </c>
      <c r="M341" s="140" t="s">
        <v>6957</v>
      </c>
      <c r="N341" s="140" t="s">
        <v>6958</v>
      </c>
      <c r="O341" s="363" t="s">
        <v>6959</v>
      </c>
    </row>
    <row r="342" spans="1:15" ht="14.4" x14ac:dyDescent="0.3">
      <c r="A342" t="s">
        <v>7078</v>
      </c>
      <c r="B342" s="99" t="s">
        <v>2928</v>
      </c>
      <c r="C342" s="233">
        <f>VLOOKUP("Pit aeration, complete systemDefault",Econ.Tables!C1:E300,2,FALSE)*E329</f>
        <v>17084.537150896467</v>
      </c>
      <c r="D342" s="42">
        <f>VLOOKUP("CAPEXLifetimeEquipmentDefault",Econ.inputsTable!$E:$G,2,FALSE)</f>
        <v>10</v>
      </c>
      <c r="E342" s="278">
        <f>E333</f>
        <v>5840</v>
      </c>
      <c r="F342" s="42" t="s">
        <v>2852</v>
      </c>
      <c r="G342" s="255">
        <f>VLOOKUP("CAPEXAnnual usage on activityItems that are used only on the given activityDefault",Econ.inputsTable!$E:$G,2,FALSE)</f>
        <v>1</v>
      </c>
      <c r="H342" s="503">
        <f>UDV.econ_capital.interest_rate</f>
        <v>5.0999999999999997E-2</v>
      </c>
      <c r="I342" s="257">
        <f>VLOOKUP("CAPEXSalvageBuildings and constructionDefault",Econ.inputsTable!$E:$G,2,FALSE)</f>
        <v>0</v>
      </c>
      <c r="J342" s="153">
        <f t="shared" ref="J342:J343" si="2">$C342*I342</f>
        <v>0</v>
      </c>
      <c r="K342" s="257">
        <f>VLOOKUP("CAPEXFinanced amountNADefault",Econ.inputsTable!$E:$G,2,FALSE)</f>
        <v>1</v>
      </c>
      <c r="L342" s="364">
        <f t="shared" ref="L342:L343" si="3">H342*K342</f>
        <v>5.0999999999999997E-2</v>
      </c>
      <c r="M342" s="351">
        <f t="shared" ref="M342:M343" si="4">L342/(1-(1+L342)^-D342)</f>
        <v>0.13013423257204779</v>
      </c>
      <c r="N342" s="153">
        <f t="shared" ref="N342:N343" si="5">((C342-J342)*M342)+(J342*L342)</f>
        <v>2223.2831309805515</v>
      </c>
      <c r="O342" s="157">
        <f t="shared" ref="O342:O343" si="6">G342*N342</f>
        <v>2223.2831309805515</v>
      </c>
    </row>
    <row r="343" spans="1:15" ht="14.4" x14ac:dyDescent="0.3">
      <c r="A343" t="s">
        <v>7079</v>
      </c>
      <c r="B343" s="99" t="s">
        <v>2910</v>
      </c>
      <c r="C343" s="153">
        <f>VLOOKUP("CAPEXInstallationPit aeration systemDefault",Econ.inputsTable!E:G,2,FALSE)*C342</f>
        <v>683.38148603585876</v>
      </c>
      <c r="D343" s="42">
        <f>VLOOKUP("CAPEXLifetimeEquipmentDefault",Econ.inputsTable!$E:$G,2,FALSE)</f>
        <v>10</v>
      </c>
      <c r="E343" s="278" t="s">
        <v>2852</v>
      </c>
      <c r="F343" s="42" t="s">
        <v>2852</v>
      </c>
      <c r="G343" s="255">
        <f>VLOOKUP("CAPEXAnnual usage on activityItems that are used only on the given activityDefault",Econ.inputsTable!$E:$G,2,FALSE)</f>
        <v>1</v>
      </c>
      <c r="H343" s="503">
        <f>UDV.econ_capital.interest_rate</f>
        <v>5.0999999999999997E-2</v>
      </c>
      <c r="I343" s="257">
        <f>VLOOKUP("CAPEXSalvageBuildings and constructionDefault",Econ.inputsTable!$E:$G,2,FALSE)</f>
        <v>0</v>
      </c>
      <c r="J343" s="153">
        <f t="shared" si="2"/>
        <v>0</v>
      </c>
      <c r="K343" s="257">
        <f>VLOOKUP("CAPEXFinanced amountNADefault",Econ.inputsTable!$E:$G,2,FALSE)</f>
        <v>1</v>
      </c>
      <c r="L343" s="364">
        <f t="shared" si="3"/>
        <v>5.0999999999999997E-2</v>
      </c>
      <c r="M343" s="351">
        <f t="shared" si="4"/>
        <v>0.13013423257204779</v>
      </c>
      <c r="N343" s="153">
        <f t="shared" si="5"/>
        <v>88.931325239222076</v>
      </c>
      <c r="O343" s="157">
        <f t="shared" si="6"/>
        <v>88.931325239222076</v>
      </c>
    </row>
    <row r="344" spans="1:15" ht="14.4" x14ac:dyDescent="0.3">
      <c r="B344" s="99"/>
      <c r="G344" s="292"/>
      <c r="O344" s="146"/>
    </row>
    <row r="345" spans="1:15" ht="14.4" x14ac:dyDescent="0.3">
      <c r="B345" s="99"/>
      <c r="C345" s="82" t="s">
        <v>7009</v>
      </c>
      <c r="D345" s="82" t="s">
        <v>6963</v>
      </c>
      <c r="G345" s="292"/>
      <c r="O345" s="146"/>
    </row>
    <row r="346" spans="1:15" ht="14.4" x14ac:dyDescent="0.3">
      <c r="A346" t="s">
        <v>3652</v>
      </c>
      <c r="B346" s="99" t="s">
        <v>6964</v>
      </c>
      <c r="C346" s="373">
        <f>SUM(C342:C343)</f>
        <v>17767.918636932325</v>
      </c>
      <c r="D346" s="233">
        <f>SUMPRODUCT(C342:C343,G342:G343)</f>
        <v>17767.918636932325</v>
      </c>
      <c r="O346" s="146"/>
    </row>
    <row r="347" spans="1:15" ht="14.4" x14ac:dyDescent="0.3">
      <c r="A347" t="s">
        <v>3652</v>
      </c>
      <c r="B347" s="149" t="s">
        <v>6965</v>
      </c>
      <c r="C347" s="159">
        <f>SUM(N342:N343)</f>
        <v>2312.2144562197736</v>
      </c>
      <c r="D347" s="159">
        <f>SUMPRODUCT(N342:N343,G342:G343)</f>
        <v>2312.2144562197736</v>
      </c>
      <c r="E347" s="150"/>
      <c r="F347" s="150"/>
      <c r="G347" s="660"/>
      <c r="H347" s="150"/>
      <c r="I347" s="150"/>
      <c r="J347" s="150"/>
      <c r="K347" s="150"/>
      <c r="L347" s="150"/>
      <c r="M347" s="150"/>
      <c r="N347" s="150"/>
      <c r="O347" s="151"/>
    </row>
    <row r="348" spans="1:15" ht="14.4" x14ac:dyDescent="0.3"/>
    <row r="349" spans="1:15" ht="43.2" x14ac:dyDescent="0.3">
      <c r="B349" s="498" t="s">
        <v>6966</v>
      </c>
      <c r="C349" s="362" t="s">
        <v>6967</v>
      </c>
      <c r="D349" s="362" t="s">
        <v>6968</v>
      </c>
      <c r="E349" s="362" t="s">
        <v>6969</v>
      </c>
      <c r="F349" s="362" t="s">
        <v>6970</v>
      </c>
      <c r="G349" s="362" t="s">
        <v>6971</v>
      </c>
      <c r="H349" s="362" t="s">
        <v>6972</v>
      </c>
      <c r="I349" s="362" t="s">
        <v>6973</v>
      </c>
      <c r="J349" s="362" t="s">
        <v>6974</v>
      </c>
      <c r="K349" s="362" t="s">
        <v>6975</v>
      </c>
      <c r="L349" s="362" t="s">
        <v>6976</v>
      </c>
      <c r="M349" s="362" t="s">
        <v>6977</v>
      </c>
      <c r="N349" s="362" t="s">
        <v>6978</v>
      </c>
      <c r="O349" s="363" t="s">
        <v>6979</v>
      </c>
    </row>
    <row r="350" spans="1:15" ht="14.4" x14ac:dyDescent="0.3">
      <c r="B350" s="99" t="s">
        <v>2928</v>
      </c>
      <c r="C350" s="236">
        <f>VLOOKUP("OPEXInsuranceEverythingDefault",Econ.inputsTable!$E:$H,2,FALSE)</f>
        <v>5.0000000000000001E-3</v>
      </c>
      <c r="D350" s="237">
        <f>VLOOKUP("OPEXRepair and maintenanceEquipmentDefault",Econ.inputsTable!$E:$G,2,FALSE)</f>
        <v>0.03</v>
      </c>
      <c r="E350" s="153"/>
      <c r="F350" s="148">
        <f>E334</f>
        <v>17419.548963200003</v>
      </c>
      <c r="G350" s="153">
        <f>F350*E337</f>
        <v>1194.8358959674933</v>
      </c>
      <c r="L350" s="156"/>
      <c r="O350" s="167">
        <f>(SUM(C350:D350)*C342*G342)+SUM(E350,G350,I350,J350,L350,N350)</f>
        <v>1792.7946962488695</v>
      </c>
    </row>
    <row r="351" spans="1:15" ht="14.4" x14ac:dyDescent="0.3">
      <c r="A351" t="s">
        <v>3652</v>
      </c>
      <c r="B351" s="162" t="s">
        <v>5203</v>
      </c>
      <c r="C351" s="241"/>
      <c r="D351" s="241"/>
      <c r="E351" s="242">
        <f t="shared" ref="E351:O351" si="7">SUM(E350:E350)</f>
        <v>0</v>
      </c>
      <c r="F351" s="286">
        <f t="shared" si="7"/>
        <v>17419.548963200003</v>
      </c>
      <c r="G351" s="242">
        <f t="shared" si="7"/>
        <v>1194.8358959674933</v>
      </c>
      <c r="H351" s="286">
        <f t="shared" si="7"/>
        <v>0</v>
      </c>
      <c r="I351" s="242">
        <f t="shared" si="7"/>
        <v>0</v>
      </c>
      <c r="J351" s="242">
        <f t="shared" si="7"/>
        <v>0</v>
      </c>
      <c r="K351" s="286">
        <f t="shared" si="7"/>
        <v>0</v>
      </c>
      <c r="L351" s="242">
        <f t="shared" si="7"/>
        <v>0</v>
      </c>
      <c r="M351" s="374">
        <f t="shared" si="7"/>
        <v>0</v>
      </c>
      <c r="N351" s="242">
        <f t="shared" si="7"/>
        <v>0</v>
      </c>
      <c r="O351" s="169">
        <f t="shared" si="7"/>
        <v>1792.7946962488695</v>
      </c>
    </row>
    <row r="352" spans="1:15" ht="14.4" x14ac:dyDescent="0.3">
      <c r="B352" s="99"/>
      <c r="C352" s="278"/>
      <c r="D352" s="236"/>
      <c r="E352" s="236"/>
      <c r="F352" s="233"/>
      <c r="G352" s="257"/>
      <c r="H352" s="156"/>
      <c r="I352" s="153"/>
      <c r="O352" s="146"/>
    </row>
    <row r="353" spans="1:23" ht="14.4" x14ac:dyDescent="0.3">
      <c r="A353" t="s">
        <v>3652</v>
      </c>
      <c r="B353" s="149" t="s">
        <v>6980</v>
      </c>
      <c r="C353" s="234">
        <f>O351</f>
        <v>1792.7946962488695</v>
      </c>
      <c r="D353" s="150"/>
      <c r="E353" s="150"/>
      <c r="F353" s="150"/>
      <c r="G353" s="150"/>
      <c r="H353" s="150"/>
      <c r="I353" s="150"/>
      <c r="J353" s="150"/>
      <c r="K353" s="150"/>
      <c r="L353" s="150"/>
      <c r="M353" s="150"/>
      <c r="N353" s="150"/>
      <c r="O353" s="151"/>
    </row>
    <row r="354" spans="1:23" ht="15" thickBot="1" x14ac:dyDescent="0.35">
      <c r="A354" s="137"/>
      <c r="B354" s="137"/>
      <c r="C354" s="137"/>
      <c r="D354" s="137"/>
      <c r="E354" s="137"/>
      <c r="F354" s="137"/>
      <c r="G354" s="137"/>
      <c r="H354" s="137"/>
      <c r="I354" s="137"/>
      <c r="J354" s="137"/>
      <c r="K354" s="137"/>
      <c r="L354" s="42"/>
      <c r="P354" s="20"/>
      <c r="U354" s="42"/>
      <c r="W354" s="36"/>
    </row>
    <row r="355" spans="1:23" ht="14.4" x14ac:dyDescent="0.3">
      <c r="E355" s="2116"/>
      <c r="L355" s="42"/>
      <c r="P355" s="20"/>
      <c r="U355" s="42"/>
      <c r="W355" s="36"/>
    </row>
    <row r="357" spans="1:23" ht="13.5" customHeight="1" x14ac:dyDescent="0.3">
      <c r="B357" s="138" t="s">
        <v>6981</v>
      </c>
      <c r="C357" s="170" t="s">
        <v>6982</v>
      </c>
    </row>
    <row r="358" spans="1:23" ht="13.5" customHeight="1" x14ac:dyDescent="0.3">
      <c r="B358" s="138"/>
    </row>
    <row r="359" spans="1:23" ht="13.5" customHeight="1" x14ac:dyDescent="0.3">
      <c r="B359" s="139" t="s">
        <v>6983</v>
      </c>
      <c r="C359" s="140" t="s">
        <v>565</v>
      </c>
      <c r="D359" s="140" t="s">
        <v>38</v>
      </c>
      <c r="E359" s="142"/>
      <c r="F359" s="141"/>
    </row>
    <row r="360" spans="1:23" ht="13.5" customHeight="1" x14ac:dyDescent="0.3">
      <c r="B360" s="99" t="s">
        <v>6984</v>
      </c>
      <c r="C360">
        <f>UDV.crops.acres_available</f>
        <v>100</v>
      </c>
      <c r="D360" t="s">
        <v>5385</v>
      </c>
      <c r="E360" s="34"/>
      <c r="F360" s="146"/>
    </row>
    <row r="361" spans="1:23" ht="13.5" customHeight="1" x14ac:dyDescent="0.3">
      <c r="B361" s="99" t="s">
        <v>6985</v>
      </c>
      <c r="C361" s="166">
        <f>UDV.econ_manure.liquid_sell_pct*VLOOKUP("Excess volume, deep pit slurry manure",$R$1:$T$299, 3, FALSE)</f>
        <v>0</v>
      </c>
      <c r="D361" t="s">
        <v>5246</v>
      </c>
      <c r="F361" s="146"/>
    </row>
    <row r="362" spans="1:23" ht="13.5" customHeight="1" x14ac:dyDescent="0.3">
      <c r="B362" s="99" t="s">
        <v>6986</v>
      </c>
      <c r="C362" s="166">
        <f>UDV.econ_manure.liquid_give_pct*VLOOKUP("Excess volume, deep pit slurry manure",$R$1:$T$299, 3, FALSE)</f>
        <v>279.0219754073853</v>
      </c>
      <c r="D362" t="s">
        <v>5246</v>
      </c>
      <c r="F362" s="146"/>
    </row>
    <row r="363" spans="1:23" ht="13.5" customHeight="1" x14ac:dyDescent="0.3">
      <c r="B363" s="99" t="s">
        <v>6987</v>
      </c>
      <c r="C363" s="757">
        <f>UDV.econ_manure.liquid_export_pct*VLOOKUP("Excess volume, deep pit slurry manure",$R$1:$T$299, 3, FALSE)</f>
        <v>0</v>
      </c>
      <c r="D363" t="s">
        <v>5246</v>
      </c>
      <c r="F363" s="146"/>
    </row>
    <row r="364" spans="1:23" ht="14.4" x14ac:dyDescent="0.3">
      <c r="B364" s="99"/>
      <c r="F364" s="146"/>
    </row>
    <row r="365" spans="1:23" ht="13.5" customHeight="1" x14ac:dyDescent="0.3">
      <c r="B365" s="92" t="s">
        <v>6942</v>
      </c>
      <c r="E365" s="139" t="s">
        <v>6988</v>
      </c>
      <c r="F365" s="141"/>
    </row>
    <row r="366" spans="1:23" ht="13.5" customHeight="1" x14ac:dyDescent="0.3">
      <c r="B366" s="175" t="s">
        <v>2908</v>
      </c>
      <c r="E366" s="99"/>
      <c r="F366" s="146"/>
    </row>
    <row r="367" spans="1:23" ht="13.5" customHeight="1" x14ac:dyDescent="0.3">
      <c r="B367" s="143" t="s">
        <v>2663</v>
      </c>
      <c r="C367" s="144" t="s">
        <v>565</v>
      </c>
      <c r="D367" s="144" t="s">
        <v>6943</v>
      </c>
      <c r="E367" s="143" t="s">
        <v>565</v>
      </c>
      <c r="F367" s="145" t="s">
        <v>6944</v>
      </c>
    </row>
    <row r="368" spans="1:23" ht="14.4" x14ac:dyDescent="0.3">
      <c r="B368" s="99" t="s">
        <v>5676</v>
      </c>
      <c r="C368" s="147">
        <f>VLOOKUP(B368,$R$1:$U$299,3,FALSE)</f>
        <v>160</v>
      </c>
      <c r="D368" t="s">
        <v>5689</v>
      </c>
      <c r="E368" s="99">
        <f>C368</f>
        <v>160</v>
      </c>
      <c r="F368" s="146" t="s">
        <v>5689</v>
      </c>
    </row>
    <row r="369" spans="2:10" ht="13.5" customHeight="1" x14ac:dyDescent="0.3">
      <c r="B369" s="99" t="s">
        <v>6989</v>
      </c>
      <c r="C369" s="147"/>
      <c r="D369" t="s">
        <v>2442</v>
      </c>
      <c r="E369" s="99">
        <f>E370</f>
        <v>0</v>
      </c>
      <c r="F369" s="146" t="s">
        <v>2442</v>
      </c>
    </row>
    <row r="370" spans="2:10" ht="13.5" customHeight="1" x14ac:dyDescent="0.3">
      <c r="B370" s="99" t="s">
        <v>5735</v>
      </c>
      <c r="C370" s="147">
        <f>VLOOKUP(B370,$R$1:$U$299,3,FALSE)</f>
        <v>0</v>
      </c>
      <c r="D370" t="s">
        <v>2442</v>
      </c>
      <c r="E370" s="178">
        <f>C370</f>
        <v>0</v>
      </c>
      <c r="F370" s="146" t="s">
        <v>2442</v>
      </c>
      <c r="G370" t="s">
        <v>7080</v>
      </c>
    </row>
    <row r="371" spans="2:10" ht="14.4" x14ac:dyDescent="0.3">
      <c r="B371" s="99" t="s">
        <v>5663</v>
      </c>
      <c r="C371" s="147">
        <f>VLOOKUP(B371,$R$1:$U$299,3,FALSE)</f>
        <v>180</v>
      </c>
      <c r="D371" t="s">
        <v>5689</v>
      </c>
      <c r="E371" s="99">
        <f>C371</f>
        <v>180</v>
      </c>
      <c r="F371" s="146" t="s">
        <v>5689</v>
      </c>
    </row>
    <row r="372" spans="2:10" ht="14.4" x14ac:dyDescent="0.3">
      <c r="B372" s="99" t="s">
        <v>6990</v>
      </c>
      <c r="C372" s="297"/>
      <c r="D372" t="s">
        <v>2442</v>
      </c>
      <c r="E372" s="99">
        <f>E373</f>
        <v>1</v>
      </c>
      <c r="F372" s="146" t="s">
        <v>2442</v>
      </c>
    </row>
    <row r="373" spans="2:10" ht="14.4" x14ac:dyDescent="0.3">
      <c r="B373" s="99" t="s">
        <v>5736</v>
      </c>
      <c r="C373" s="147">
        <f>VLOOKUP(B373,$R$1:$U$299,3,FALSE)</f>
        <v>1</v>
      </c>
      <c r="D373" t="s">
        <v>2442</v>
      </c>
      <c r="E373" s="178">
        <f>C373</f>
        <v>1</v>
      </c>
      <c r="F373" s="146" t="s">
        <v>2442</v>
      </c>
    </row>
    <row r="374" spans="2:10" ht="13.5" customHeight="1" x14ac:dyDescent="0.3">
      <c r="B374" s="99" t="s">
        <v>5638</v>
      </c>
      <c r="C374" s="147">
        <f>VLOOKUP(B374,$R$1:$U$299,3,FALSE)</f>
        <v>250</v>
      </c>
      <c r="D374" t="s">
        <v>5689</v>
      </c>
      <c r="E374" s="99">
        <f>C374</f>
        <v>250</v>
      </c>
      <c r="F374" s="146" t="s">
        <v>5689</v>
      </c>
    </row>
    <row r="375" spans="2:10" ht="14.4" x14ac:dyDescent="0.3">
      <c r="B375" s="99" t="s">
        <v>5637</v>
      </c>
      <c r="C375" s="147">
        <f>VLOOKUP(B375,$R$1:$U$299,3,FALSE)</f>
        <v>6000</v>
      </c>
      <c r="D375" t="s">
        <v>2480</v>
      </c>
      <c r="E375" s="99">
        <f>C375</f>
        <v>6000</v>
      </c>
      <c r="F375" s="146" t="s">
        <v>2480</v>
      </c>
    </row>
    <row r="376" spans="2:10" ht="14.4" x14ac:dyDescent="0.3">
      <c r="B376" s="99" t="s">
        <v>6991</v>
      </c>
      <c r="C376" s="147"/>
      <c r="D376" s="146" t="s">
        <v>2442</v>
      </c>
      <c r="E376" s="147">
        <f>E377</f>
        <v>1</v>
      </c>
      <c r="F376" s="146" t="s">
        <v>2442</v>
      </c>
    </row>
    <row r="377" spans="2:10" ht="14.4" x14ac:dyDescent="0.3">
      <c r="B377" s="99" t="s">
        <v>5734</v>
      </c>
      <c r="C377" s="147">
        <f>VLOOKUP(B377,$R$1:$U$299,3,FALSE)</f>
        <v>1</v>
      </c>
      <c r="D377" t="s">
        <v>2442</v>
      </c>
      <c r="E377" s="178">
        <f>C377</f>
        <v>1</v>
      </c>
      <c r="F377" s="146" t="s">
        <v>2442</v>
      </c>
    </row>
    <row r="378" spans="2:10" ht="14.4" x14ac:dyDescent="0.3">
      <c r="B378" s="99" t="s">
        <v>5732</v>
      </c>
      <c r="C378" s="147" t="str">
        <f>VLOOKUP(B378,$R$1:$U$299,3,FALSE)</f>
        <v>Injection</v>
      </c>
      <c r="D378" t="s">
        <v>6992</v>
      </c>
      <c r="E378" s="99" t="str">
        <f>C378</f>
        <v>Injection</v>
      </c>
      <c r="F378" s="146" t="s">
        <v>6992</v>
      </c>
    </row>
    <row r="379" spans="2:10" ht="14.4" x14ac:dyDescent="0.3">
      <c r="B379" s="99"/>
      <c r="E379" s="99"/>
      <c r="F379" s="146"/>
    </row>
    <row r="380" spans="2:10" ht="13.5" customHeight="1" x14ac:dyDescent="0.3">
      <c r="B380" s="175" t="s">
        <v>262</v>
      </c>
      <c r="E380" s="99"/>
      <c r="F380" s="146"/>
    </row>
    <row r="381" spans="2:10" ht="13.5" customHeight="1" x14ac:dyDescent="0.3">
      <c r="B381" s="143" t="s">
        <v>2663</v>
      </c>
      <c r="C381" s="144" t="s">
        <v>565</v>
      </c>
      <c r="D381" s="144" t="s">
        <v>6943</v>
      </c>
      <c r="E381" s="143" t="s">
        <v>565</v>
      </c>
      <c r="F381" s="145" t="s">
        <v>6944</v>
      </c>
      <c r="G381" s="1222" t="s">
        <v>6392</v>
      </c>
      <c r="H381" s="1215" t="s">
        <v>6993</v>
      </c>
      <c r="I381" s="142"/>
      <c r="J381" s="141"/>
    </row>
    <row r="382" spans="2:10" ht="14.4" x14ac:dyDescent="0.3">
      <c r="B382" s="99" t="s">
        <v>5528</v>
      </c>
      <c r="C382" s="147">
        <f t="shared" ref="C382:C392" si="8">VLOOKUP(B382,$R$1:$U$299,3,FALSE)</f>
        <v>182.5</v>
      </c>
      <c r="D382" t="s">
        <v>5121</v>
      </c>
      <c r="E382" s="201">
        <f>UC.year_to_day/C382</f>
        <v>2</v>
      </c>
      <c r="F382" s="146" t="s">
        <v>6994</v>
      </c>
      <c r="G382" s="42" t="str">
        <f>_xlfn.CONCAT($G$381," ",H382)</f>
        <v>Tanker Non-sludge year labor</v>
      </c>
      <c r="H382" s="92" t="s">
        <v>5443</v>
      </c>
      <c r="I382" s="1216" t="s">
        <v>2710</v>
      </c>
      <c r="J382" s="285">
        <f>(SUM(E383:E384)*UDV.OPEX_labor.tractor_stationary)+(E385*UDV.OPEX_labor.tractor_active)</f>
        <v>19.782318372229117</v>
      </c>
    </row>
    <row r="383" spans="2:10" ht="14.4" x14ac:dyDescent="0.3">
      <c r="B383" s="99" t="s">
        <v>5679</v>
      </c>
      <c r="C383" s="147">
        <f t="shared" si="8"/>
        <v>0</v>
      </c>
      <c r="D383" t="s">
        <v>6085</v>
      </c>
      <c r="E383" s="178">
        <f>C383*E382</f>
        <v>0</v>
      </c>
      <c r="F383" s="146" t="s">
        <v>2710</v>
      </c>
      <c r="G383" s="42" t="str">
        <f>_xlfn.CONCAT($G$381," ",H383)</f>
        <v>Tanker Sludge labor</v>
      </c>
      <c r="H383" s="1217" t="s">
        <v>5444</v>
      </c>
      <c r="I383" s="1216" t="s">
        <v>6085</v>
      </c>
      <c r="J383" s="285"/>
    </row>
    <row r="384" spans="2:10" ht="13.5" customHeight="1" x14ac:dyDescent="0.3">
      <c r="B384" s="99" t="s">
        <v>5667</v>
      </c>
      <c r="C384" s="147">
        <f t="shared" si="8"/>
        <v>1.1625915641974387</v>
      </c>
      <c r="D384" t="s">
        <v>6085</v>
      </c>
      <c r="E384" s="178">
        <f>C384*E382</f>
        <v>2.3251831283948774</v>
      </c>
      <c r="F384" s="146" t="s">
        <v>2710</v>
      </c>
      <c r="G384" s="42" t="str">
        <f>_xlfn.CONCAT($G$381," ",H384)</f>
        <v>Tanker Sum non-sludge + sludge year labor</v>
      </c>
      <c r="H384" s="1218" t="s">
        <v>5445</v>
      </c>
      <c r="I384" s="1216" t="s">
        <v>6995</v>
      </c>
      <c r="J384" s="285">
        <f>SUM(J382:J383)</f>
        <v>19.782318372229117</v>
      </c>
    </row>
    <row r="385" spans="1:15" ht="14.4" x14ac:dyDescent="0.3">
      <c r="B385" s="99" t="s">
        <v>5654</v>
      </c>
      <c r="C385" s="147">
        <f t="shared" si="8"/>
        <v>8.8862727542680116</v>
      </c>
      <c r="D385" t="s">
        <v>6085</v>
      </c>
      <c r="E385" s="178">
        <f>C385*E382</f>
        <v>17.772545508536023</v>
      </c>
      <c r="F385" s="146" t="s">
        <v>2710</v>
      </c>
      <c r="G385" s="42" t="str">
        <f>_xlfn.CONCAT($G$381," ",H385)</f>
        <v>Tanker Average non-sludge + sludge labor</v>
      </c>
      <c r="H385" s="1219" t="s">
        <v>5446</v>
      </c>
      <c r="I385" s="1220" t="s">
        <v>5447</v>
      </c>
      <c r="J385" s="1221">
        <f>J382+(J383/UDV.anaer_lagoon.sludge_time)</f>
        <v>19.782318372229117</v>
      </c>
    </row>
    <row r="386" spans="1:15" ht="13.5" customHeight="1" x14ac:dyDescent="0.3">
      <c r="B386" s="99" t="s">
        <v>5682</v>
      </c>
      <c r="C386" s="147">
        <f t="shared" si="8"/>
        <v>0</v>
      </c>
      <c r="D386" t="s">
        <v>2489</v>
      </c>
      <c r="E386" s="178">
        <f>C386*E382</f>
        <v>0</v>
      </c>
      <c r="F386" s="146" t="s">
        <v>5324</v>
      </c>
    </row>
    <row r="387" spans="1:15" ht="13.5" customHeight="1" x14ac:dyDescent="0.3">
      <c r="B387" s="99" t="s">
        <v>5672</v>
      </c>
      <c r="C387" s="147">
        <f t="shared" si="8"/>
        <v>9.2077251884437139</v>
      </c>
      <c r="D387" t="s">
        <v>2489</v>
      </c>
      <c r="E387" s="178">
        <f>C387*E382</f>
        <v>18.415450376887428</v>
      </c>
      <c r="F387" s="146" t="s">
        <v>5324</v>
      </c>
    </row>
    <row r="388" spans="1:15" ht="13.5" customHeight="1" x14ac:dyDescent="0.3">
      <c r="B388" s="99" t="s">
        <v>5660</v>
      </c>
      <c r="C388" s="147">
        <f t="shared" si="8"/>
        <v>97.749000296948125</v>
      </c>
      <c r="D388" t="s">
        <v>2489</v>
      </c>
      <c r="E388" s="178">
        <f>C388*E382</f>
        <v>195.49800059389625</v>
      </c>
      <c r="F388" s="146" t="s">
        <v>5324</v>
      </c>
    </row>
    <row r="389" spans="1:15" ht="14.4" x14ac:dyDescent="0.3">
      <c r="B389" s="99" t="s">
        <v>5726</v>
      </c>
      <c r="C389" s="147">
        <f t="shared" si="8"/>
        <v>1056.2125759268704</v>
      </c>
      <c r="D389" t="s">
        <v>5910</v>
      </c>
      <c r="E389" s="200">
        <f>CONVERT(C389,"m^3","gal")*E382</f>
        <v>558043.687818176</v>
      </c>
      <c r="F389" s="146" t="s">
        <v>5324</v>
      </c>
    </row>
    <row r="390" spans="1:15" ht="14.4" x14ac:dyDescent="0.3">
      <c r="A390" t="str">
        <f>_xlfn.CONCAT("Slurry",B390)</f>
        <v>SlurryN removed, deep pit</v>
      </c>
      <c r="B390" s="99" t="s">
        <v>5728</v>
      </c>
      <c r="C390" s="205">
        <f t="shared" si="8"/>
        <v>4.0375692938233412</v>
      </c>
      <c r="D390" t="s">
        <v>2413</v>
      </c>
      <c r="E390" s="201">
        <f>C390*UC.g_to_lb/UC.L_to_gal*1000</f>
        <v>33.695149060791728</v>
      </c>
      <c r="F390" s="146" t="s">
        <v>2414</v>
      </c>
    </row>
    <row r="391" spans="1:15" ht="13.5" customHeight="1" x14ac:dyDescent="0.3">
      <c r="A391" t="str">
        <f t="shared" ref="A391:A392" si="9">_xlfn.CONCAT("Slurry",B391)</f>
        <v>SlurryP2O5 removed, deep pit</v>
      </c>
      <c r="B391" s="99" t="s">
        <v>5729</v>
      </c>
      <c r="C391" s="205">
        <f t="shared" si="8"/>
        <v>3.1447771554792809</v>
      </c>
      <c r="D391" t="s">
        <v>2413</v>
      </c>
      <c r="E391" s="201">
        <f>C391*UC.g_to_lb/UC.L_to_gal*1000</f>
        <v>26.244437508218105</v>
      </c>
      <c r="F391" s="146" t="s">
        <v>2414</v>
      </c>
    </row>
    <row r="392" spans="1:15" ht="14.4" x14ac:dyDescent="0.3">
      <c r="A392" t="str">
        <f t="shared" si="9"/>
        <v>SlurryK2O removed, deep pit</v>
      </c>
      <c r="B392" s="99" t="s">
        <v>5730</v>
      </c>
      <c r="C392" s="205">
        <f t="shared" si="8"/>
        <v>4.0433046612854131</v>
      </c>
      <c r="D392" t="s">
        <v>2413</v>
      </c>
      <c r="E392" s="201">
        <f>C392*UC.g_to_lb/UC.L_to_gal*1000</f>
        <v>33.743013022370924</v>
      </c>
      <c r="F392" s="146" t="s">
        <v>2414</v>
      </c>
    </row>
    <row r="393" spans="1:15" ht="14.4" x14ac:dyDescent="0.3">
      <c r="B393" s="99"/>
      <c r="D393" s="146"/>
      <c r="F393" s="146"/>
    </row>
    <row r="394" spans="1:15" ht="13.5" customHeight="1" x14ac:dyDescent="0.3">
      <c r="B394" s="92" t="s">
        <v>6996</v>
      </c>
      <c r="E394" s="99"/>
      <c r="F394" s="146"/>
      <c r="H394" s="153"/>
    </row>
    <row r="395" spans="1:15" ht="13.5" customHeight="1" x14ac:dyDescent="0.3">
      <c r="B395" s="143" t="s">
        <v>2663</v>
      </c>
      <c r="C395" s="144" t="s">
        <v>565</v>
      </c>
      <c r="D395" s="144" t="s">
        <v>6943</v>
      </c>
      <c r="E395" s="143" t="s">
        <v>565</v>
      </c>
      <c r="F395" s="145" t="s">
        <v>6944</v>
      </c>
    </row>
    <row r="396" spans="1:15" ht="14.4" x14ac:dyDescent="0.3">
      <c r="B396" s="99" t="s">
        <v>6997</v>
      </c>
      <c r="D396" s="146"/>
      <c r="E396" s="346">
        <f>UDV.fuel.diesel_avg_cost</f>
        <v>3.6964905660377356</v>
      </c>
      <c r="F396" s="146" t="s">
        <v>2315</v>
      </c>
    </row>
    <row r="397" spans="1:15" ht="13.5" customHeight="1" x14ac:dyDescent="0.3">
      <c r="B397" s="149" t="s">
        <v>6998</v>
      </c>
      <c r="C397" s="150"/>
      <c r="D397" s="151"/>
      <c r="E397" s="347">
        <f>UDV.labor.non_specialized_cost</f>
        <v>23.66</v>
      </c>
      <c r="F397" s="151" t="s">
        <v>3659</v>
      </c>
    </row>
    <row r="398" spans="1:15" ht="13.5" customHeight="1" x14ac:dyDescent="0.3"/>
    <row r="399" spans="1:15" ht="13.5" customHeight="1" x14ac:dyDescent="0.3">
      <c r="B399" s="206" t="s">
        <v>6982</v>
      </c>
      <c r="C399" s="140"/>
      <c r="D399" s="207"/>
      <c r="E399" s="207"/>
      <c r="F399" s="207"/>
      <c r="G399" s="207"/>
      <c r="H399" s="207"/>
      <c r="I399" s="207"/>
      <c r="J399" s="142"/>
      <c r="K399" s="142"/>
      <c r="L399" s="142"/>
      <c r="M399" s="142"/>
      <c r="N399" s="142"/>
      <c r="O399" s="208"/>
    </row>
    <row r="400" spans="1:15" ht="13.5" customHeight="1" x14ac:dyDescent="0.3">
      <c r="B400" s="210" t="s">
        <v>6946</v>
      </c>
      <c r="C400" s="152" t="s">
        <v>6947</v>
      </c>
      <c r="D400" s="152" t="s">
        <v>6948</v>
      </c>
      <c r="E400" s="152" t="s">
        <v>6999</v>
      </c>
      <c r="F400" s="152" t="s">
        <v>7000</v>
      </c>
      <c r="G400" s="152" t="s">
        <v>6951</v>
      </c>
      <c r="H400" s="152" t="s">
        <v>6952</v>
      </c>
      <c r="I400" s="152" t="s">
        <v>7001</v>
      </c>
      <c r="J400" s="152" t="s">
        <v>6954</v>
      </c>
      <c r="K400" s="152" t="s">
        <v>6955</v>
      </c>
      <c r="L400" s="152" t="s">
        <v>6956</v>
      </c>
      <c r="M400" s="82" t="s">
        <v>6957</v>
      </c>
      <c r="N400" s="152" t="s">
        <v>7002</v>
      </c>
      <c r="O400" s="161" t="s">
        <v>6959</v>
      </c>
    </row>
    <row r="401" spans="1:15" ht="13.5" customHeight="1" x14ac:dyDescent="0.3">
      <c r="A401" t="s">
        <v>7003</v>
      </c>
      <c r="B401" s="99" t="s">
        <v>7004</v>
      </c>
      <c r="C401" s="153">
        <f>VLOOKUP(_xlfn.CONCAT("Tractor",E368," hp"),Econ.Tables!C:E,2,FALSE)*E370</f>
        <v>0</v>
      </c>
      <c r="D401" s="79">
        <f>VLOOKUP("CAPEXLifetimeTractor, 4 wheel drive and crawlerDefault",Econ.inputsTable!$E:$H,2,FALSE)/E401</f>
        <v>16</v>
      </c>
      <c r="E401" s="213" cm="1">
        <f t="array" ref="E401">IF(F401&gt;UDV.tractor.min_usage_yearly,F401,UDV.tractor.min_usage_yearly)</f>
        <v>1000</v>
      </c>
      <c r="F401" s="214">
        <f>IF(E383=0,0,E383/E370)</f>
        <v>0</v>
      </c>
      <c r="G401" s="215">
        <f>F401/E401</f>
        <v>0</v>
      </c>
      <c r="H401" s="216">
        <f t="shared" ref="H401:H402" si="10">UDV.econ_capital.interest_rate</f>
        <v>5.0999999999999997E-2</v>
      </c>
      <c r="I401" s="216">
        <f>VLOOKUP("CAPEXSalvageEquipmentDefault",Econ.inputsTable!$E:$H,2,FALSE)</f>
        <v>0.2</v>
      </c>
      <c r="J401" s="153">
        <f t="shared" ref="J401:J402" si="11">C401*I401</f>
        <v>0</v>
      </c>
      <c r="K401" s="217">
        <f>VLOOKUP("CAPEXFinanced amountNADefault",Econ.inputsTable!$E:$H,2,FALSE)</f>
        <v>1</v>
      </c>
      <c r="L401" s="218">
        <f t="shared" ref="L401:L402" si="12">H401*K401</f>
        <v>5.0999999999999997E-2</v>
      </c>
      <c r="M401">
        <f t="shared" ref="M401:M402" si="13">L401/(1-(1+L401)^-D401)</f>
        <v>9.2927821836826949E-2</v>
      </c>
      <c r="N401" s="153">
        <f t="shared" ref="N401:N402" si="14">((C401-J401)*M401)+(J401*L401)</f>
        <v>0</v>
      </c>
      <c r="O401" s="157">
        <f t="shared" ref="O401:O402" si="15">N401*G401</f>
        <v>0</v>
      </c>
    </row>
    <row r="402" spans="1:15" ht="14.4" x14ac:dyDescent="0.3">
      <c r="A402" t="s">
        <v>7003</v>
      </c>
      <c r="B402" s="99" t="s">
        <v>1226</v>
      </c>
      <c r="C402" s="153">
        <f>VLOOKUP("Agitator, ptoDefault",Econ.Tables!$C:$E,2,FALSE)*E369</f>
        <v>0</v>
      </c>
      <c r="D402" s="79">
        <f>VLOOKUP("CAPEXLifetimeAgitator, ptoDefault",Econ.inputsTable!$E:$H,2,FALSE)</f>
        <v>15</v>
      </c>
      <c r="E402" s="42"/>
      <c r="F402" s="214">
        <f>F401</f>
        <v>0</v>
      </c>
      <c r="G402" s="220">
        <f>VLOOKUP("CAPEXAnnual usage on activityItems that are used only on the given activityDefault",Econ.inputsTable!$E:$H,2,FALSE)</f>
        <v>1</v>
      </c>
      <c r="H402" s="216">
        <f t="shared" si="10"/>
        <v>5.0999999999999997E-2</v>
      </c>
      <c r="I402" s="216">
        <f>VLOOKUP("CAPEXSalvageEquipmentDefault",Econ.inputsTable!$E:$H,2,FALSE)</f>
        <v>0.2</v>
      </c>
      <c r="J402" s="153">
        <f t="shared" si="11"/>
        <v>0</v>
      </c>
      <c r="K402" s="217">
        <f>VLOOKUP("CAPEXFinanced amountNADefault",Econ.inputsTable!$E:$H,2,FALSE)</f>
        <v>1</v>
      </c>
      <c r="L402" s="218">
        <f t="shared" si="12"/>
        <v>5.0999999999999997E-2</v>
      </c>
      <c r="M402">
        <f t="shared" si="13"/>
        <v>9.6994593888520206E-2</v>
      </c>
      <c r="N402" s="153">
        <f t="shared" si="14"/>
        <v>0</v>
      </c>
      <c r="O402" s="157">
        <f t="shared" si="15"/>
        <v>0</v>
      </c>
    </row>
    <row r="403" spans="1:15" ht="13.5" customHeight="1" x14ac:dyDescent="0.3">
      <c r="A403" t="s">
        <v>7003</v>
      </c>
      <c r="B403" s="99" t="s">
        <v>7005</v>
      </c>
      <c r="C403" s="153">
        <f>VLOOKUP(_xlfn.CONCAT("Tractor",E371," hp"),Econ.Tables!$C:$E,2,FALSE)*E373</f>
        <v>313600</v>
      </c>
      <c r="D403" s="79">
        <f>VLOOKUP("CAPEXLifetimeTractor, 4 wheel drive and crawlerDefault",Econ.inputsTable!$E:$H,2,FALSE)/E403</f>
        <v>16</v>
      </c>
      <c r="E403" s="213">
        <f>IF(F403&gt;UDV.tractor.min_usage_yearly,F403,UDV.tractor.min_usage_yearly)</f>
        <v>1000</v>
      </c>
      <c r="F403" s="214">
        <f>IF(E373=0,0,E384/E373)</f>
        <v>2.3251831283948774</v>
      </c>
      <c r="G403" s="215">
        <f>F403/E403</f>
        <v>2.3251831283948774E-3</v>
      </c>
      <c r="H403" s="216">
        <f t="shared" ref="H403:H408" si="16">UDV.econ_capital.interest_rate</f>
        <v>5.0999999999999997E-2</v>
      </c>
      <c r="I403" s="216">
        <f>VLOOKUP("CAPEXSalvageEquipmentDefault",Econ.inputsTable!$E:$H,2,FALSE)</f>
        <v>0.2</v>
      </c>
      <c r="J403" s="153">
        <f t="shared" ref="J403:J408" si="17">C403*I403</f>
        <v>62720</v>
      </c>
      <c r="K403" s="217">
        <f>VLOOKUP("CAPEXFinanced amountNADefault",Econ.inputsTable!$E:$H,2,FALSE)</f>
        <v>1</v>
      </c>
      <c r="L403" s="218">
        <f t="shared" ref="L403:L408" si="18">H403*K403</f>
        <v>5.0999999999999997E-2</v>
      </c>
      <c r="M403">
        <f t="shared" ref="M403:M408" si="19">L403/(1-(1+L403)^-D403)</f>
        <v>9.2927821836826949E-2</v>
      </c>
      <c r="N403" s="153">
        <f t="shared" ref="N403:N408" si="20">((C403-J403)*M403)+(J403*L403)</f>
        <v>26512.451942423148</v>
      </c>
      <c r="O403" s="157">
        <f t="shared" ref="O403:O408" si="21">N403*G403</f>
        <v>61.646305948902295</v>
      </c>
    </row>
    <row r="404" spans="1:15" ht="13.5" customHeight="1" x14ac:dyDescent="0.3">
      <c r="A404" t="s">
        <v>7003</v>
      </c>
      <c r="B404" s="222" t="s">
        <v>3021</v>
      </c>
      <c r="C404" s="223">
        <f>IF(E372=0,0,VLOOKUP("Pump, tractor ptoDefault",Econ.Tables!$C:$E,2,FALSE)*E372)</f>
        <v>26500</v>
      </c>
      <c r="D404" s="79">
        <f>VLOOKUP("CAPEXLifetimePump, tractor ptoDefault",Econ.inputsTable!$E:$H,2,FALSE)</f>
        <v>15</v>
      </c>
      <c r="E404" s="42"/>
      <c r="F404" s="214">
        <f>F403</f>
        <v>2.3251831283948774</v>
      </c>
      <c r="G404" s="220">
        <f>VLOOKUP("CAPEXAnnual usage on activityItems that are used only on the given activityDefault",Econ.inputsTable!$E:$H,2,FALSE)</f>
        <v>1</v>
      </c>
      <c r="H404" s="216">
        <f t="shared" si="16"/>
        <v>5.0999999999999997E-2</v>
      </c>
      <c r="I404" s="216">
        <f>VLOOKUP("CAPEXSalvageEquipmentDefault",Econ.inputsTable!$E:$H,2,FALSE)</f>
        <v>0.2</v>
      </c>
      <c r="J404" s="153">
        <f t="shared" si="17"/>
        <v>5300</v>
      </c>
      <c r="K404" s="217">
        <f>VLOOKUP("CAPEXFinanced amountNADefault",Econ.inputsTable!$E:$H,2,FALSE)</f>
        <v>1</v>
      </c>
      <c r="L404" s="218">
        <f t="shared" si="18"/>
        <v>5.0999999999999997E-2</v>
      </c>
      <c r="M404">
        <f t="shared" si="19"/>
        <v>9.6994593888520206E-2</v>
      </c>
      <c r="N404" s="153">
        <f t="shared" si="20"/>
        <v>2326.5853904366286</v>
      </c>
      <c r="O404" s="157">
        <f t="shared" si="21"/>
        <v>2326.5853904366286</v>
      </c>
    </row>
    <row r="405" spans="1:15" ht="13.5" customHeight="1" x14ac:dyDescent="0.3">
      <c r="A405" t="s">
        <v>7003</v>
      </c>
      <c r="B405" s="99" t="s">
        <v>7006</v>
      </c>
      <c r="C405" s="153">
        <f>VLOOKUP(_xlfn.CONCAT("Tractor",E374," hp"),Econ.Tables!$C:$E,2,FALSE)*E377</f>
        <v>404700</v>
      </c>
      <c r="D405" s="79">
        <f>VLOOKUP("CAPEXLifetimeTractor, 4 wheel drive and crawlerDefault",Econ.inputsTable!$E:$H,2,FALSE)/E405</f>
        <v>16</v>
      </c>
      <c r="E405" s="213">
        <f>IF(F405&gt;UDV.tractor.min_usage_yearly,F405,UDV.tractor.min_usage_yearly)</f>
        <v>1000</v>
      </c>
      <c r="F405" s="79">
        <f>IF(E377=0,0,E385/E377)</f>
        <v>17.772545508536023</v>
      </c>
      <c r="G405" s="215">
        <f>F405/E405</f>
        <v>1.7772545508536023E-2</v>
      </c>
      <c r="H405" s="216">
        <f t="shared" si="16"/>
        <v>5.0999999999999997E-2</v>
      </c>
      <c r="I405" s="216">
        <f>VLOOKUP("CAPEXSalvageEquipmentDefault",Econ.inputsTable!$E:$H,2,FALSE)</f>
        <v>0.2</v>
      </c>
      <c r="J405" s="153">
        <f t="shared" si="17"/>
        <v>80940</v>
      </c>
      <c r="K405" s="217">
        <f>VLOOKUP("CAPEXFinanced amountNADefault",Econ.inputsTable!$E:$H,2,FALSE)</f>
        <v>1</v>
      </c>
      <c r="L405" s="218">
        <f t="shared" si="18"/>
        <v>5.0999999999999997E-2</v>
      </c>
      <c r="M405">
        <f t="shared" si="19"/>
        <v>9.2927821836826949E-2</v>
      </c>
      <c r="N405" s="153">
        <f t="shared" si="20"/>
        <v>34214.251597891096</v>
      </c>
      <c r="O405" s="157">
        <f t="shared" si="21"/>
        <v>608.07434356402086</v>
      </c>
    </row>
    <row r="406" spans="1:15" ht="14.4" x14ac:dyDescent="0.3">
      <c r="A406" t="s">
        <v>7003</v>
      </c>
      <c r="B406" s="99" t="s">
        <v>6392</v>
      </c>
      <c r="C406" s="153">
        <f>UDV.econ_tanker.cost*E376</f>
        <v>136600</v>
      </c>
      <c r="D406" s="42">
        <f>VLOOKUP("CAPEXLifetimeEquipmentDefault",Econ.inputsTable!$E:$H,2,FALSE)</f>
        <v>10</v>
      </c>
      <c r="E406" s="42"/>
      <c r="F406" s="79">
        <f>F405</f>
        <v>17.772545508536023</v>
      </c>
      <c r="G406" s="220">
        <f>VLOOKUP("CAPEXAnnual usage on activityItems that are used only on the given activityDefault",Econ.inputsTable!$E:$H,2,FALSE)</f>
        <v>1</v>
      </c>
      <c r="H406" s="216">
        <f t="shared" si="16"/>
        <v>5.0999999999999997E-2</v>
      </c>
      <c r="I406" s="216">
        <f>VLOOKUP("CAPEXSalvageEquipmentDefault",Econ.inputsTable!$E:$H,2,FALSE)</f>
        <v>0.2</v>
      </c>
      <c r="J406" s="153">
        <f t="shared" si="17"/>
        <v>27320</v>
      </c>
      <c r="K406" s="217">
        <f>VLOOKUP("CAPEXFinanced amountNADefault",Econ.inputsTable!$E:$H,2,FALSE)</f>
        <v>1</v>
      </c>
      <c r="L406" s="218">
        <f t="shared" si="18"/>
        <v>5.0999999999999997E-2</v>
      </c>
      <c r="M406">
        <f t="shared" si="19"/>
        <v>0.13013423257204779</v>
      </c>
      <c r="N406" s="153">
        <f t="shared" si="20"/>
        <v>15614.388935473382</v>
      </c>
      <c r="O406" s="157">
        <f t="shared" si="21"/>
        <v>15614.388935473382</v>
      </c>
    </row>
    <row r="407" spans="1:15" ht="13.5" customHeight="1" x14ac:dyDescent="0.3">
      <c r="A407" t="s">
        <v>7003</v>
      </c>
      <c r="B407" s="99" t="s">
        <v>7007</v>
      </c>
      <c r="C407" s="229">
        <f>IF(E378="Broadcast",VLOOKUP("BoomDefault", Econ.Tables!$C:$E,2,FALSE),0)*E376</f>
        <v>0</v>
      </c>
      <c r="D407" s="42">
        <f>VLOOKUP("CAPEXLifetimeEquipmentDefault",Econ.inputsTable!$E:$H,2,FALSE)</f>
        <v>10</v>
      </c>
      <c r="E407" s="230"/>
      <c r="F407" s="350">
        <f>IF(C378="Broadcast",F405,0)</f>
        <v>0</v>
      </c>
      <c r="G407" s="220">
        <f>VLOOKUP("CAPEXAnnual usage on activityItems that are used only on the given activityDefault",Econ.inputsTable!$E:$H,2,FALSE)</f>
        <v>1</v>
      </c>
      <c r="H407" s="216">
        <f t="shared" si="16"/>
        <v>5.0999999999999997E-2</v>
      </c>
      <c r="I407" s="216">
        <f>VLOOKUP("CAPEXSalvageEquipmentDefault",Econ.inputsTable!$E:$H,2,FALSE)</f>
        <v>0.2</v>
      </c>
      <c r="J407" s="153">
        <f t="shared" si="17"/>
        <v>0</v>
      </c>
      <c r="K407" s="217">
        <f>VLOOKUP("CAPEXFinanced amountNADefault",Econ.inputsTable!$E:$H,2,FALSE)</f>
        <v>1</v>
      </c>
      <c r="L407" s="218">
        <f t="shared" si="18"/>
        <v>5.0999999999999997E-2</v>
      </c>
      <c r="M407">
        <f t="shared" si="19"/>
        <v>0.13013423257204779</v>
      </c>
      <c r="N407" s="153">
        <f t="shared" si="20"/>
        <v>0</v>
      </c>
      <c r="O407" s="157">
        <f t="shared" si="21"/>
        <v>0</v>
      </c>
    </row>
    <row r="408" spans="1:15" ht="13.5" customHeight="1" x14ac:dyDescent="0.3">
      <c r="A408" t="s">
        <v>7003</v>
      </c>
      <c r="B408" s="99" t="s">
        <v>7008</v>
      </c>
      <c r="C408" s="229">
        <f>IF(E378="Injection",VLOOKUP("InjectionDefault",Econ.Tables!$C:$E,2,FALSE),0)*E376</f>
        <v>80900</v>
      </c>
      <c r="D408" s="42">
        <f>VLOOKUP("CAPEXLifetimeEquipmentDefault",Econ.inputsTable!$E:$H,2,FALSE)</f>
        <v>10</v>
      </c>
      <c r="E408" s="230"/>
      <c r="F408" s="231">
        <f>IF(C378="Injection",F406,0)</f>
        <v>17.772545508536023</v>
      </c>
      <c r="G408" s="220">
        <f>VLOOKUP("CAPEXAnnual usage on activityItems that are used only on the given activityDefault",Econ.inputsTable!$E:$H,2,FALSE)</f>
        <v>1</v>
      </c>
      <c r="H408" s="216">
        <f t="shared" si="16"/>
        <v>5.0999999999999997E-2</v>
      </c>
      <c r="I408" s="216">
        <f>VLOOKUP("CAPEXSalvageEquipmentDefault",Econ.inputsTable!$E:$H,2,FALSE)</f>
        <v>0.2</v>
      </c>
      <c r="J408" s="153">
        <f t="shared" si="17"/>
        <v>16180</v>
      </c>
      <c r="K408" s="217">
        <f>VLOOKUP("CAPEXFinanced amountNADefault",Econ.inputsTable!$E:$H,2,FALSE)</f>
        <v>1</v>
      </c>
      <c r="L408" s="218">
        <f t="shared" si="18"/>
        <v>5.0999999999999997E-2</v>
      </c>
      <c r="M408">
        <f t="shared" si="19"/>
        <v>0.13013423257204779</v>
      </c>
      <c r="N408" s="153">
        <f t="shared" si="20"/>
        <v>9247.4675320629322</v>
      </c>
      <c r="O408" s="157">
        <f t="shared" si="21"/>
        <v>9247.4675320629322</v>
      </c>
    </row>
    <row r="409" spans="1:15" ht="13.5" customHeight="1" x14ac:dyDescent="0.3">
      <c r="B409" s="99"/>
      <c r="C409" s="229"/>
      <c r="D409" s="42"/>
      <c r="E409" s="42"/>
      <c r="F409" s="42"/>
      <c r="G409" s="42"/>
      <c r="H409" s="42"/>
      <c r="I409" s="152"/>
      <c r="J409" s="231"/>
      <c r="K409" s="220"/>
      <c r="L409" s="216"/>
      <c r="M409" s="216"/>
      <c r="N409" s="216"/>
      <c r="O409" s="232"/>
    </row>
    <row r="410" spans="1:15" ht="13.5" customHeight="1" x14ac:dyDescent="0.3">
      <c r="B410" s="99"/>
      <c r="C410" s="82" t="s">
        <v>7009</v>
      </c>
      <c r="D410" s="82" t="s">
        <v>6963</v>
      </c>
      <c r="O410" s="146"/>
    </row>
    <row r="411" spans="1:15" ht="14.4" x14ac:dyDescent="0.3">
      <c r="A411" t="s">
        <v>5202</v>
      </c>
      <c r="B411" s="99" t="s">
        <v>6964</v>
      </c>
      <c r="C411" s="153">
        <f>SUM(C401:C408)</f>
        <v>962300</v>
      </c>
      <c r="D411" s="233">
        <f>SUMPRODUCT(C401:C408,G401:G408)</f>
        <v>251921.72659636918</v>
      </c>
      <c r="O411" s="146"/>
    </row>
    <row r="412" spans="1:15" ht="14.4" x14ac:dyDescent="0.3">
      <c r="A412" t="s">
        <v>5202</v>
      </c>
      <c r="B412" s="149" t="s">
        <v>6965</v>
      </c>
      <c r="C412" s="159">
        <f>SUM(N401:N408)</f>
        <v>87915.14539828719</v>
      </c>
      <c r="D412" s="234">
        <f>SUMPRODUCT(N401:N408,G401:G408)</f>
        <v>27858.162507485868</v>
      </c>
      <c r="E412" s="159"/>
      <c r="F412" s="150"/>
      <c r="G412" s="150"/>
      <c r="H412" s="150"/>
      <c r="I412" s="150"/>
      <c r="J412" s="150"/>
      <c r="K412" s="150"/>
      <c r="L412" s="150"/>
      <c r="M412" s="150"/>
      <c r="N412" s="150"/>
      <c r="O412" s="151"/>
    </row>
    <row r="413" spans="1:15" ht="14.4" x14ac:dyDescent="0.3">
      <c r="B413" s="99"/>
      <c r="C413" s="153"/>
      <c r="D413" s="233"/>
      <c r="E413" s="153"/>
      <c r="O413" s="141"/>
    </row>
    <row r="414" spans="1:15" ht="13.5" customHeight="1" x14ac:dyDescent="0.3">
      <c r="B414" s="160" t="s">
        <v>6966</v>
      </c>
      <c r="C414" s="152" t="s">
        <v>6967</v>
      </c>
      <c r="D414" s="152" t="s">
        <v>6968</v>
      </c>
      <c r="E414" s="152" t="s">
        <v>6969</v>
      </c>
      <c r="F414" s="152" t="s">
        <v>6970</v>
      </c>
      <c r="G414" s="152" t="s">
        <v>6971</v>
      </c>
      <c r="H414" s="152" t="s">
        <v>6972</v>
      </c>
      <c r="I414" s="152" t="s">
        <v>6973</v>
      </c>
      <c r="J414" s="152" t="s">
        <v>6974</v>
      </c>
      <c r="K414" s="152" t="s">
        <v>6975</v>
      </c>
      <c r="L414" s="152" t="s">
        <v>6976</v>
      </c>
      <c r="M414" s="152" t="s">
        <v>6977</v>
      </c>
      <c r="N414" s="152" t="s">
        <v>6978</v>
      </c>
      <c r="O414" s="161" t="s">
        <v>6979</v>
      </c>
    </row>
    <row r="415" spans="1:15" ht="13.5" customHeight="1" x14ac:dyDescent="0.3">
      <c r="B415" s="235" t="s">
        <v>7004</v>
      </c>
      <c r="C415" s="236">
        <f>VLOOKUP("OPEXInsuranceEverythingDefault",Econ.inputsTable!$E:$H,2,FALSE)</f>
        <v>5.0000000000000001E-3</v>
      </c>
      <c r="D415" s="237">
        <f>VLOOKUP("OPEXRepair and maintenanceEquipmentDefault",Econ.inputsTable!$E:$H,2,FALSE)</f>
        <v>0.03</v>
      </c>
      <c r="H415" s="147">
        <f>E386</f>
        <v>0</v>
      </c>
      <c r="I415" s="233">
        <f>H415*E396</f>
        <v>0</v>
      </c>
      <c r="J415" s="238">
        <f>I415*VLOOKUP("OPEXLubeLubeDefault",Econ.inputsTable!$E:$H,2,FALSE)</f>
        <v>0</v>
      </c>
      <c r="K415" s="205">
        <f>E383*UDV.OPEX_labor.tractor_stationary</f>
        <v>0</v>
      </c>
      <c r="L415" s="239">
        <f>K415*E397</f>
        <v>0</v>
      </c>
      <c r="O415" s="240">
        <f t="shared" ref="O415:O422" si="22">(SUM(C415:D415)*C401*G401)+SUM(E415,G415,I415,J415,L415,N415)</f>
        <v>0</v>
      </c>
    </row>
    <row r="416" spans="1:15" ht="13.5" customHeight="1" x14ac:dyDescent="0.3">
      <c r="B416" s="99" t="s">
        <v>1226</v>
      </c>
      <c r="C416" s="236">
        <f>VLOOKUP("OPEXInsuranceEverythingDefault",Econ.inputsTable!$E:$H,2,FALSE)</f>
        <v>5.0000000000000001E-3</v>
      </c>
      <c r="D416" s="237">
        <f>VLOOKUP("OPEXRepair and maintenanceEquipmentDefault",Econ.inputsTable!$E:$H,2,FALSE)</f>
        <v>0.03</v>
      </c>
      <c r="H416" s="147"/>
      <c r="I416" s="233"/>
      <c r="J416" s="233"/>
      <c r="L416" s="153"/>
      <c r="O416" s="240">
        <f t="shared" si="22"/>
        <v>0</v>
      </c>
    </row>
    <row r="417" spans="1:15" ht="13.5" customHeight="1" x14ac:dyDescent="0.3">
      <c r="B417" s="99" t="s">
        <v>7005</v>
      </c>
      <c r="C417" s="236">
        <f>VLOOKUP("OPEXInsuranceEverythingDefault",Econ.inputsTable!$E:$H,2,FALSE)</f>
        <v>5.0000000000000001E-3</v>
      </c>
      <c r="D417" s="237">
        <f>VLOOKUP("OPEXRepair and maintenanceEquipmentDefault",Econ.inputsTable!$E:$H,2,FALSE)</f>
        <v>0.03</v>
      </c>
      <c r="H417" s="147">
        <f>E387</f>
        <v>18.415450376887428</v>
      </c>
      <c r="I417" s="233">
        <f>H417*E396</f>
        <v>68.072538587500446</v>
      </c>
      <c r="J417" s="238">
        <f>I417*VLOOKUP("OPEXLubeLubeDefault",Econ.inputsTable!$E:$H,2,FALSE)</f>
        <v>6.8072538587500446</v>
      </c>
      <c r="K417" s="205">
        <f>E384*UDV.OPEX_labor.tractor_stationary</f>
        <v>0.23251831283948776</v>
      </c>
      <c r="L417" s="239">
        <f>K417*E397</f>
        <v>5.5013832817822808</v>
      </c>
      <c r="O417" s="240">
        <f t="shared" si="22"/>
        <v>105.90238574529494</v>
      </c>
    </row>
    <row r="418" spans="1:15" ht="13.5" customHeight="1" x14ac:dyDescent="0.3">
      <c r="B418" s="222" t="s">
        <v>3021</v>
      </c>
      <c r="C418" s="236">
        <f>VLOOKUP("OPEXInsuranceEverythingDefault",Econ.inputsTable!$E:$H,2,FALSE)</f>
        <v>5.0000000000000001E-3</v>
      </c>
      <c r="D418" s="237">
        <f>VLOOKUP("OPEXRepair and maintenancePump, tractor ptoDefault",Econ.inputsTable!$E:$H,2,FALSE)</f>
        <v>0.05</v>
      </c>
      <c r="H418" s="147"/>
      <c r="I418" s="233"/>
      <c r="J418" s="233"/>
      <c r="L418" s="153"/>
      <c r="O418" s="240">
        <f t="shared" si="22"/>
        <v>1457.5</v>
      </c>
    </row>
    <row r="419" spans="1:15" ht="13.5" customHeight="1" x14ac:dyDescent="0.3">
      <c r="B419" s="99" t="s">
        <v>7006</v>
      </c>
      <c r="C419" s="236">
        <f>VLOOKUP("OPEXInsuranceEverythingDefault",Econ.inputsTable!$E:$H,2,FALSE)</f>
        <v>5.0000000000000001E-3</v>
      </c>
      <c r="D419" s="237">
        <f>VLOOKUP("OPEXRepair and maintenanceEquipmentDefault",Econ.inputsTable!$E:$H,2,FALSE)</f>
        <v>0.03</v>
      </c>
      <c r="H419" s="147">
        <f>E388</f>
        <v>195.49800059389625</v>
      </c>
      <c r="I419" s="233">
        <f>H419*E396</f>
        <v>722.65651487457717</v>
      </c>
      <c r="J419" s="238">
        <f>I419*VLOOKUP("OPEXLubeLubeDefault",Econ.inputsTable!$E:$H,2,FALSE)</f>
        <v>72.265651487457717</v>
      </c>
      <c r="K419" s="205">
        <f>E385*UDV.OPEX_labor.tractor_active</f>
        <v>19.549800059389629</v>
      </c>
      <c r="L419" s="239">
        <f>K419*E397</f>
        <v>462.54826940515863</v>
      </c>
      <c r="O419" s="240">
        <f t="shared" si="22"/>
        <v>1509.209656622852</v>
      </c>
    </row>
    <row r="420" spans="1:15" ht="13.5" customHeight="1" x14ac:dyDescent="0.3">
      <c r="B420" s="99" t="s">
        <v>6392</v>
      </c>
      <c r="C420" s="236">
        <f>VLOOKUP("OPEXInsuranceEverythingDefault",Econ.inputsTable!$E:$H,2,FALSE)</f>
        <v>5.0000000000000001E-3</v>
      </c>
      <c r="D420" s="237">
        <f>VLOOKUP("OPEXRepair and maintenanceEquipmentDefault",Econ.inputsTable!$E:$H,2,FALSE)</f>
        <v>0.03</v>
      </c>
      <c r="I420" s="233"/>
      <c r="J420" s="233"/>
      <c r="L420" s="153"/>
      <c r="O420" s="240">
        <f t="shared" si="22"/>
        <v>4780.9999999999991</v>
      </c>
    </row>
    <row r="421" spans="1:15" s="42" customFormat="1" ht="13.5" customHeight="1" x14ac:dyDescent="0.3">
      <c r="A421"/>
      <c r="B421" s="99" t="s">
        <v>7007</v>
      </c>
      <c r="C421" s="236">
        <f>VLOOKUP("OPEXInsuranceEverythingDefault",Econ.inputsTable!$E:$H,2,FALSE)</f>
        <v>5.0000000000000001E-3</v>
      </c>
      <c r="D421" s="237">
        <f>VLOOKUP("OPEXRepair and maintenanceEquipmentDefault",Econ.inputsTable!$E:$H,2,FALSE)</f>
        <v>0.03</v>
      </c>
      <c r="I421" s="233"/>
      <c r="J421" s="233"/>
      <c r="K421"/>
      <c r="L421" s="153"/>
      <c r="M421"/>
      <c r="N421"/>
      <c r="O421" s="240">
        <f t="shared" si="22"/>
        <v>0</v>
      </c>
    </row>
    <row r="422" spans="1:15" ht="13.5" customHeight="1" x14ac:dyDescent="0.3">
      <c r="B422" s="99" t="s">
        <v>7008</v>
      </c>
      <c r="C422" s="236">
        <f>VLOOKUP("OPEXInsuranceEverythingDefault",Econ.inputsTable!$E:$H,2,FALSE)</f>
        <v>5.0000000000000001E-3</v>
      </c>
      <c r="D422" s="237">
        <f>VLOOKUP("OPEXRepair and maintenanceEquipmentDefault",Econ.inputsTable!$E:$H,2,FALSE)</f>
        <v>0.03</v>
      </c>
      <c r="I422" s="233"/>
      <c r="J422" s="233"/>
      <c r="L422" s="153"/>
      <c r="O422" s="240">
        <f t="shared" si="22"/>
        <v>2831.4999999999995</v>
      </c>
    </row>
    <row r="423" spans="1:15" ht="13.5" customHeight="1" x14ac:dyDescent="0.3">
      <c r="A423" t="s">
        <v>5202</v>
      </c>
      <c r="B423" s="162" t="s">
        <v>5203</v>
      </c>
      <c r="C423" s="241"/>
      <c r="D423" s="241"/>
      <c r="E423" s="242">
        <f t="shared" ref="E423:O423" si="23">SUM(E415:E422)</f>
        <v>0</v>
      </c>
      <c r="F423" s="243">
        <f t="shared" si="23"/>
        <v>0</v>
      </c>
      <c r="G423" s="242">
        <f t="shared" si="23"/>
        <v>0</v>
      </c>
      <c r="H423" s="243">
        <f t="shared" si="23"/>
        <v>213.91345097078369</v>
      </c>
      <c r="I423" s="242">
        <f t="shared" si="23"/>
        <v>790.72905346207767</v>
      </c>
      <c r="J423" s="242">
        <f t="shared" si="23"/>
        <v>79.072905346207762</v>
      </c>
      <c r="K423" s="243">
        <f t="shared" si="23"/>
        <v>19.782318372229117</v>
      </c>
      <c r="L423" s="242">
        <f t="shared" si="23"/>
        <v>468.04965268694093</v>
      </c>
      <c r="M423" s="243">
        <f t="shared" si="23"/>
        <v>0</v>
      </c>
      <c r="N423" s="242">
        <f t="shared" si="23"/>
        <v>0</v>
      </c>
      <c r="O423" s="169">
        <f t="shared" si="23"/>
        <v>10685.112042368146</v>
      </c>
    </row>
    <row r="424" spans="1:15" ht="14.4" x14ac:dyDescent="0.3">
      <c r="B424" s="99"/>
      <c r="O424" s="146"/>
    </row>
    <row r="425" spans="1:15" ht="14.4" x14ac:dyDescent="0.3">
      <c r="A425" t="s">
        <v>5202</v>
      </c>
      <c r="B425" s="149" t="s">
        <v>6980</v>
      </c>
      <c r="C425" s="159">
        <f>O423</f>
        <v>10685.112042368146</v>
      </c>
      <c r="D425" s="150"/>
      <c r="E425" s="150"/>
      <c r="F425" s="150"/>
      <c r="G425" s="150"/>
      <c r="H425" s="150"/>
      <c r="I425" s="150"/>
      <c r="J425" s="150"/>
      <c r="K425" s="150"/>
      <c r="L425" s="150"/>
      <c r="M425" s="150"/>
      <c r="N425" s="150"/>
      <c r="O425" s="151"/>
    </row>
    <row r="426" spans="1:15" ht="14.4" x14ac:dyDescent="0.3">
      <c r="C426" s="153"/>
    </row>
    <row r="427" spans="1:15" ht="13.5" customHeight="1" x14ac:dyDescent="0.3">
      <c r="B427" s="244" t="s">
        <v>7010</v>
      </c>
      <c r="C427" s="245" t="s">
        <v>7011</v>
      </c>
    </row>
    <row r="428" spans="1:15" ht="13.5" customHeight="1" x14ac:dyDescent="0.3">
      <c r="B428" s="246" t="s">
        <v>7012</v>
      </c>
      <c r="C428" s="173" t="s">
        <v>5181</v>
      </c>
    </row>
    <row r="429" spans="1:15" ht="14.4" x14ac:dyDescent="0.3">
      <c r="A429" t="s">
        <v>5202</v>
      </c>
      <c r="B429" s="99" t="s">
        <v>7013</v>
      </c>
      <c r="C429" s="167">
        <f>VLOOKUP("Fertilizer value for on-farm use, slurry",$R$1:$T$299,3, FALSE)</f>
        <v>7923.9347030405379</v>
      </c>
    </row>
    <row r="430" spans="1:15" ht="14.4" x14ac:dyDescent="0.3">
      <c r="A430" t="s">
        <v>5202</v>
      </c>
      <c r="B430" s="99" t="s">
        <v>7014</v>
      </c>
      <c r="C430" s="157">
        <f>SUM(C429)</f>
        <v>7923.9347030405379</v>
      </c>
    </row>
    <row r="431" spans="1:15" ht="14.4" x14ac:dyDescent="0.3">
      <c r="B431" s="99"/>
      <c r="C431" s="146"/>
    </row>
    <row r="432" spans="1:15" ht="13.5" customHeight="1" x14ac:dyDescent="0.3">
      <c r="B432" s="247" t="s">
        <v>7015</v>
      </c>
      <c r="C432" s="173" t="s">
        <v>5181</v>
      </c>
    </row>
    <row r="433" spans="1:10" ht="14.4" x14ac:dyDescent="0.3">
      <c r="A433" t="s">
        <v>5202</v>
      </c>
      <c r="B433" s="99" t="s">
        <v>7016</v>
      </c>
      <c r="C433" s="167">
        <f>UDV.econ_manure.liquid_sell_price*C361</f>
        <v>0</v>
      </c>
    </row>
    <row r="434" spans="1:10" ht="14.4" x14ac:dyDescent="0.3">
      <c r="A434" t="s">
        <v>5202</v>
      </c>
      <c r="B434" s="99" t="s">
        <v>7017</v>
      </c>
      <c r="C434" s="157">
        <f>SUM(C433)</f>
        <v>0</v>
      </c>
    </row>
    <row r="435" spans="1:10" ht="14.4" x14ac:dyDescent="0.3">
      <c r="B435" s="99"/>
      <c r="C435" s="248"/>
    </row>
    <row r="436" spans="1:10" ht="13.5" customHeight="1" x14ac:dyDescent="0.3">
      <c r="B436" s="249" t="s">
        <v>7018</v>
      </c>
      <c r="C436" s="173" t="s">
        <v>5181</v>
      </c>
    </row>
    <row r="437" spans="1:10" ht="14.4" x14ac:dyDescent="0.3">
      <c r="A437" t="s">
        <v>5202</v>
      </c>
      <c r="B437" s="99" t="s">
        <v>7019</v>
      </c>
      <c r="C437" s="167">
        <f>UDV.econ_manure.liquid_sell_price*C362</f>
        <v>976.57691392584854</v>
      </c>
    </row>
    <row r="438" spans="1:10" ht="14.4" x14ac:dyDescent="0.3">
      <c r="A438" t="s">
        <v>5202</v>
      </c>
      <c r="B438" s="99" t="s">
        <v>7020</v>
      </c>
      <c r="C438" s="157">
        <f>SUM(C437)</f>
        <v>976.57691392584854</v>
      </c>
    </row>
    <row r="439" spans="1:10" ht="14.4" x14ac:dyDescent="0.3">
      <c r="B439" s="99"/>
      <c r="C439" s="146"/>
    </row>
    <row r="440" spans="1:10" ht="13.5" customHeight="1" x14ac:dyDescent="0.3">
      <c r="B440" s="250" t="s">
        <v>7021</v>
      </c>
      <c r="C440" s="173" t="s">
        <v>5181</v>
      </c>
    </row>
    <row r="441" spans="1:10" ht="14.4" x14ac:dyDescent="0.3">
      <c r="A441" t="s">
        <v>5202</v>
      </c>
      <c r="B441" s="99" t="s">
        <v>7022</v>
      </c>
      <c r="C441" s="167">
        <f>UDV.econ_manure.liquid_export_cost*C363</f>
        <v>0</v>
      </c>
    </row>
    <row r="442" spans="1:10" ht="14.4" x14ac:dyDescent="0.3">
      <c r="A442" t="s">
        <v>5202</v>
      </c>
      <c r="B442" s="99" t="s">
        <v>7023</v>
      </c>
      <c r="C442" s="157">
        <f>SUM(C441)</f>
        <v>0</v>
      </c>
    </row>
    <row r="443" spans="1:10" ht="14.4" x14ac:dyDescent="0.3">
      <c r="B443" s="99"/>
      <c r="C443" s="146"/>
    </row>
    <row r="444" spans="1:10" ht="14.4" x14ac:dyDescent="0.3">
      <c r="B444" s="92" t="s">
        <v>7024</v>
      </c>
      <c r="C444" s="173" t="s">
        <v>7025</v>
      </c>
    </row>
    <row r="445" spans="1:10" ht="14.4" x14ac:dyDescent="0.3">
      <c r="A445" t="s">
        <v>5202</v>
      </c>
      <c r="B445" s="149" t="s">
        <v>7026</v>
      </c>
      <c r="C445" s="251"/>
    </row>
    <row r="446" spans="1:10" ht="15" thickBot="1" x14ac:dyDescent="0.35">
      <c r="A446" s="137"/>
      <c r="B446" s="137"/>
      <c r="C446" s="137"/>
      <c r="D446" s="137"/>
      <c r="E446" s="137"/>
      <c r="F446" s="137"/>
      <c r="G446" s="137"/>
      <c r="H446" s="137"/>
      <c r="I446" s="137"/>
      <c r="J446" s="137"/>
    </row>
    <row r="447" spans="1:10" ht="14.4" x14ac:dyDescent="0.3"/>
    <row r="448" spans="1:10" ht="13.5" customHeight="1" x14ac:dyDescent="0.3">
      <c r="B448" s="82" t="s">
        <v>7027</v>
      </c>
    </row>
    <row r="449" spans="1:10" ht="13.5" customHeight="1" x14ac:dyDescent="0.3"/>
    <row r="450" spans="1:10" ht="13.5" customHeight="1" x14ac:dyDescent="0.3">
      <c r="B450" s="139" t="s">
        <v>6983</v>
      </c>
      <c r="C450" s="140" t="s">
        <v>565</v>
      </c>
      <c r="D450" s="140" t="s">
        <v>38</v>
      </c>
      <c r="E450" s="142"/>
    </row>
    <row r="451" spans="1:10" ht="13.5" customHeight="1" x14ac:dyDescent="0.3">
      <c r="A451" s="292"/>
      <c r="B451" s="99" t="s">
        <v>7028</v>
      </c>
      <c r="C451">
        <f>UDV.crops.acres_available</f>
        <v>100</v>
      </c>
      <c r="D451" t="s">
        <v>7029</v>
      </c>
      <c r="E451" s="34" t="s">
        <v>7030</v>
      </c>
    </row>
    <row r="452" spans="1:10" ht="13.5" customHeight="1" x14ac:dyDescent="0.3">
      <c r="A452" s="292"/>
      <c r="B452" s="99" t="s">
        <v>6985</v>
      </c>
      <c r="C452" s="166">
        <f>UDV.econ_manure.liquid_sell_pct*VLOOKUP("Excess volume, deep pit slurry manure",$R$1:$T$299, 3, FALSE)</f>
        <v>0</v>
      </c>
      <c r="D452" t="s">
        <v>5249</v>
      </c>
      <c r="E452" s="34" t="s">
        <v>7031</v>
      </c>
    </row>
    <row r="453" spans="1:10" ht="13.5" customHeight="1" x14ac:dyDescent="0.3">
      <c r="B453" s="99" t="s">
        <v>6986</v>
      </c>
      <c r="C453" s="166">
        <f>UDV.econ_manure.liquid_give_pct*VLOOKUP("Excess volume, deep pit slurry manure",$R$1:$T$299, 3, FALSE)</f>
        <v>279.0219754073853</v>
      </c>
      <c r="D453" t="s">
        <v>5249</v>
      </c>
      <c r="E453" s="34" t="s">
        <v>7031</v>
      </c>
      <c r="F453" s="146"/>
    </row>
    <row r="454" spans="1:10" ht="13.5" customHeight="1" x14ac:dyDescent="0.3">
      <c r="B454" s="99" t="s">
        <v>6987</v>
      </c>
      <c r="C454" s="757">
        <f>UDV.econ_manure.liquid_export_pct*VLOOKUP("Excess volume, deep pit slurry manure",$R$1:$T$299, 3, FALSE)</f>
        <v>0</v>
      </c>
      <c r="D454" t="s">
        <v>5249</v>
      </c>
      <c r="E454" s="34" t="s">
        <v>7032</v>
      </c>
      <c r="F454" s="146"/>
    </row>
    <row r="455" spans="1:10" ht="14.4" x14ac:dyDescent="0.3">
      <c r="B455" s="99"/>
      <c r="F455" s="151"/>
    </row>
    <row r="456" spans="1:10" ht="13.5" customHeight="1" x14ac:dyDescent="0.3">
      <c r="B456" s="92" t="s">
        <v>6942</v>
      </c>
      <c r="C456" s="82"/>
      <c r="D456" s="82"/>
      <c r="E456" s="139" t="s">
        <v>6988</v>
      </c>
      <c r="F456" s="141"/>
      <c r="H456" s="139" t="s">
        <v>7033</v>
      </c>
      <c r="I456" s="142"/>
      <c r="J456" s="141"/>
    </row>
    <row r="457" spans="1:10" ht="13.5" customHeight="1" x14ac:dyDescent="0.3">
      <c r="B457" s="175" t="s">
        <v>2908</v>
      </c>
      <c r="C457" s="82"/>
      <c r="D457" s="82"/>
      <c r="E457" s="92"/>
      <c r="F457" s="146"/>
      <c r="H457" s="99" t="s">
        <v>7034</v>
      </c>
      <c r="J457" s="146"/>
    </row>
    <row r="458" spans="1:10" ht="13.5" customHeight="1" x14ac:dyDescent="0.3">
      <c r="B458" s="143" t="s">
        <v>2663</v>
      </c>
      <c r="C458" s="144" t="s">
        <v>565</v>
      </c>
      <c r="D458" s="144" t="s">
        <v>6943</v>
      </c>
      <c r="E458" s="143" t="s">
        <v>565</v>
      </c>
      <c r="F458" s="145" t="s">
        <v>6944</v>
      </c>
      <c r="H458" s="99" t="s">
        <v>7035</v>
      </c>
      <c r="J458" s="146"/>
    </row>
    <row r="459" spans="1:10" ht="13.5" customHeight="1" x14ac:dyDescent="0.3">
      <c r="B459" s="99" t="s">
        <v>5708</v>
      </c>
      <c r="C459" s="147">
        <f t="shared" ref="C459:C468" si="24">VLOOKUP(B459,$R$1:$U$299,3,FALSE)</f>
        <v>3000</v>
      </c>
      <c r="D459" t="s">
        <v>2514</v>
      </c>
      <c r="E459" s="99">
        <f t="shared" ref="E459:E464" si="25">C459</f>
        <v>3000</v>
      </c>
      <c r="F459" s="146" t="s">
        <v>2514</v>
      </c>
      <c r="H459" s="235" t="s">
        <v>7036</v>
      </c>
      <c r="J459" s="146"/>
    </row>
    <row r="460" spans="1:10" ht="13.5" customHeight="1" x14ac:dyDescent="0.3">
      <c r="B460" s="99" t="s">
        <v>5709</v>
      </c>
      <c r="C460" s="147">
        <f t="shared" si="24"/>
        <v>1</v>
      </c>
      <c r="D460" t="s">
        <v>2442</v>
      </c>
      <c r="E460" s="99">
        <f t="shared" si="25"/>
        <v>1</v>
      </c>
      <c r="F460" s="146" t="s">
        <v>2442</v>
      </c>
      <c r="H460" s="235" t="s">
        <v>7037</v>
      </c>
      <c r="J460" s="146"/>
    </row>
    <row r="461" spans="1:10" ht="13.5" customHeight="1" x14ac:dyDescent="0.3">
      <c r="B461" s="99" t="s">
        <v>5712</v>
      </c>
      <c r="C461" s="147">
        <f t="shared" si="24"/>
        <v>1</v>
      </c>
      <c r="D461" t="s">
        <v>2442</v>
      </c>
      <c r="E461" s="178">
        <f t="shared" si="25"/>
        <v>1</v>
      </c>
      <c r="F461" s="146" t="s">
        <v>2442</v>
      </c>
      <c r="H461" s="235" t="s">
        <v>7038</v>
      </c>
      <c r="J461" s="146"/>
    </row>
    <row r="462" spans="1:10" ht="13.5" customHeight="1" x14ac:dyDescent="0.3">
      <c r="B462" s="99" t="s">
        <v>5710</v>
      </c>
      <c r="C462" s="147">
        <f t="shared" si="24"/>
        <v>0</v>
      </c>
      <c r="D462" t="s">
        <v>2442</v>
      </c>
      <c r="E462" s="99">
        <f t="shared" si="25"/>
        <v>0</v>
      </c>
      <c r="F462" s="146" t="s">
        <v>2442</v>
      </c>
      <c r="H462" s="235" t="s">
        <v>7007</v>
      </c>
      <c r="J462" s="146"/>
    </row>
    <row r="463" spans="1:10" ht="13.5" customHeight="1" x14ac:dyDescent="0.3">
      <c r="B463" s="99" t="s">
        <v>5688</v>
      </c>
      <c r="C463" s="147">
        <f t="shared" si="24"/>
        <v>580</v>
      </c>
      <c r="D463" t="s">
        <v>5689</v>
      </c>
      <c r="E463" s="99">
        <f t="shared" si="25"/>
        <v>580</v>
      </c>
      <c r="F463" s="146" t="s">
        <v>5689</v>
      </c>
      <c r="H463" s="235" t="s">
        <v>7008</v>
      </c>
      <c r="J463" s="146"/>
    </row>
    <row r="464" spans="1:10" ht="13.5" customHeight="1" x14ac:dyDescent="0.3">
      <c r="B464" s="99" t="s">
        <v>5701</v>
      </c>
      <c r="C464" s="147">
        <f t="shared" si="24"/>
        <v>340</v>
      </c>
      <c r="D464" t="s">
        <v>971</v>
      </c>
      <c r="E464" s="99">
        <f t="shared" si="25"/>
        <v>340</v>
      </c>
      <c r="F464" s="146" t="s">
        <v>971</v>
      </c>
      <c r="H464" s="235" t="s">
        <v>7039</v>
      </c>
      <c r="J464" s="146"/>
    </row>
    <row r="465" spans="2:10" ht="13.5" customHeight="1" x14ac:dyDescent="0.3">
      <c r="B465" s="99" t="s">
        <v>5738</v>
      </c>
      <c r="C465" s="147">
        <f t="shared" si="24"/>
        <v>1</v>
      </c>
      <c r="E465" s="178">
        <f t="shared" ref="E465:E466" si="26">C465</f>
        <v>1</v>
      </c>
      <c r="F465" s="146" t="s">
        <v>2442</v>
      </c>
      <c r="H465" s="235" t="s">
        <v>1325</v>
      </c>
      <c r="J465" s="146"/>
    </row>
    <row r="466" spans="2:10" ht="13.5" customHeight="1" x14ac:dyDescent="0.3">
      <c r="B466" s="99" t="s">
        <v>5702</v>
      </c>
      <c r="C466" s="147">
        <f t="shared" si="24"/>
        <v>1</v>
      </c>
      <c r="E466" s="178">
        <f t="shared" si="26"/>
        <v>1</v>
      </c>
      <c r="F466" s="146" t="s">
        <v>2442</v>
      </c>
      <c r="H466" s="235" t="s">
        <v>7040</v>
      </c>
      <c r="J466" s="146"/>
    </row>
    <row r="467" spans="2:10" ht="13.5" customHeight="1" x14ac:dyDescent="0.3">
      <c r="B467" s="99" t="s">
        <v>5739</v>
      </c>
      <c r="C467" s="147">
        <f t="shared" si="24"/>
        <v>2</v>
      </c>
      <c r="D467" t="s">
        <v>2971</v>
      </c>
      <c r="E467" s="201">
        <f>C467</f>
        <v>2</v>
      </c>
      <c r="F467" s="146" t="s">
        <v>2971</v>
      </c>
      <c r="H467" s="235" t="s">
        <v>7041</v>
      </c>
      <c r="J467" s="146"/>
    </row>
    <row r="468" spans="2:10" ht="13.5" customHeight="1" x14ac:dyDescent="0.3">
      <c r="B468" s="99" t="s">
        <v>5732</v>
      </c>
      <c r="C468" s="147" t="str">
        <f t="shared" si="24"/>
        <v>Injection</v>
      </c>
      <c r="D468" t="s">
        <v>7042</v>
      </c>
      <c r="E468" s="165" t="str">
        <f>C468</f>
        <v>Injection</v>
      </c>
      <c r="F468" s="146" t="s">
        <v>7042</v>
      </c>
      <c r="H468" s="253" t="s">
        <v>1576</v>
      </c>
      <c r="I468" s="150"/>
      <c r="J468" s="151"/>
    </row>
    <row r="470" spans="2:10" ht="13.5" customHeight="1" x14ac:dyDescent="0.3">
      <c r="B470" s="175" t="s">
        <v>262</v>
      </c>
      <c r="E470" s="99"/>
      <c r="F470" s="146"/>
      <c r="G470" s="1224" t="s">
        <v>3007</v>
      </c>
      <c r="H470" s="1215" t="s">
        <v>6993</v>
      </c>
      <c r="I470" s="142"/>
      <c r="J470" s="141"/>
    </row>
    <row r="471" spans="2:10" ht="14.4" x14ac:dyDescent="0.3">
      <c r="B471" s="143" t="s">
        <v>2663</v>
      </c>
      <c r="C471" s="144" t="s">
        <v>565</v>
      </c>
      <c r="D471" s="144" t="s">
        <v>6943</v>
      </c>
      <c r="E471" s="143" t="s">
        <v>565</v>
      </c>
      <c r="F471" s="145" t="s">
        <v>6944</v>
      </c>
      <c r="G471" t="str">
        <f>_xlfn.CONCAT($G$470," ",H471)</f>
        <v>Drag hose Non-sludge year labor</v>
      </c>
      <c r="H471" s="92" t="s">
        <v>5443</v>
      </c>
      <c r="I471" s="1216" t="s">
        <v>2710</v>
      </c>
      <c r="J471" s="285">
        <f>(SUM(E474:E476)*UDV.OPEX_labor.tractor_stationary)+(SUM(E477:E479)*UDV.OPEX_labor.tractor_active)</f>
        <v>9.6547189954749015</v>
      </c>
    </row>
    <row r="472" spans="2:10" ht="14.4" x14ac:dyDescent="0.3">
      <c r="B472" s="99" t="s">
        <v>5528</v>
      </c>
      <c r="C472" s="147">
        <f>VLOOKUP(B472,$R$1:$U$299,3,FALSE)</f>
        <v>182.5</v>
      </c>
      <c r="D472" t="s">
        <v>5121</v>
      </c>
      <c r="E472" s="201">
        <f>UC.year_to_day/C472</f>
        <v>2</v>
      </c>
      <c r="F472" s="146" t="s">
        <v>7043</v>
      </c>
      <c r="G472" t="str">
        <f>_xlfn.CONCAT($G$470," ",H472)</f>
        <v>Drag hose Sludge labor</v>
      </c>
      <c r="H472" s="1217" t="s">
        <v>5444</v>
      </c>
      <c r="I472" s="1216" t="s">
        <v>6085</v>
      </c>
      <c r="J472" s="285"/>
    </row>
    <row r="473" spans="2:10" ht="14.4" x14ac:dyDescent="0.3">
      <c r="B473" s="99" t="s">
        <v>5713</v>
      </c>
      <c r="C473" s="205">
        <f>VLOOKUP(B473,$R$1:$U$299,3,FALSE)</f>
        <v>1.8893774942220938</v>
      </c>
      <c r="D473" t="s">
        <v>6085</v>
      </c>
      <c r="E473" s="201">
        <f>C473*E472</f>
        <v>3.7787549884441876</v>
      </c>
      <c r="F473" s="146" t="s">
        <v>2710</v>
      </c>
      <c r="G473" t="str">
        <f>_xlfn.CONCAT($G$470," ",H473)</f>
        <v>Drag hose Sum non-sludge + sludge year labor</v>
      </c>
      <c r="H473" s="1218" t="s">
        <v>5445</v>
      </c>
      <c r="I473" s="1216" t="s">
        <v>6995</v>
      </c>
      <c r="J473" s="285">
        <f>SUM(J471:J472)</f>
        <v>9.6547189954749015</v>
      </c>
    </row>
    <row r="474" spans="2:10" ht="14.4" x14ac:dyDescent="0.3">
      <c r="B474" s="99" t="s">
        <v>6543</v>
      </c>
      <c r="C474" s="205">
        <f>C473</f>
        <v>1.8893774942220938</v>
      </c>
      <c r="D474" t="s">
        <v>6085</v>
      </c>
      <c r="E474" s="201">
        <f>C474*E472</f>
        <v>3.7787549884441876</v>
      </c>
      <c r="F474" s="146" t="s">
        <v>2710</v>
      </c>
      <c r="G474" t="str">
        <f>_xlfn.CONCAT($G$470," ",H474)</f>
        <v>Drag hose Average non-sludge + sludge labor</v>
      </c>
      <c r="H474" s="1219" t="s">
        <v>5446</v>
      </c>
      <c r="I474" s="1220" t="s">
        <v>5447</v>
      </c>
      <c r="J474" s="1221">
        <f>J471+(J472/UDV.anaer_lagoon.sludge_time)</f>
        <v>9.6547189954749015</v>
      </c>
    </row>
    <row r="475" spans="2:10" ht="14.4" x14ac:dyDescent="0.3">
      <c r="B475" s="99" t="s">
        <v>6544</v>
      </c>
      <c r="C475" s="205">
        <f>C473</f>
        <v>1.8893774942220938</v>
      </c>
      <c r="D475" t="s">
        <v>6085</v>
      </c>
      <c r="E475" s="201">
        <f>C475*E472</f>
        <v>3.7787549884441876</v>
      </c>
      <c r="F475" s="146" t="s">
        <v>2710</v>
      </c>
    </row>
    <row r="476" spans="2:10" ht="14.4" x14ac:dyDescent="0.3">
      <c r="B476" s="99" t="s">
        <v>6545</v>
      </c>
      <c r="C476" s="205">
        <f>C473</f>
        <v>1.8893774942220938</v>
      </c>
      <c r="D476" t="s">
        <v>6085</v>
      </c>
      <c r="E476" s="201">
        <f>C476*E472</f>
        <v>3.7787549884441876</v>
      </c>
      <c r="F476" s="146" t="s">
        <v>2710</v>
      </c>
    </row>
    <row r="477" spans="2:10" ht="13.5" customHeight="1" x14ac:dyDescent="0.3">
      <c r="B477" s="99" t="s">
        <v>6546</v>
      </c>
      <c r="C477" s="205">
        <f>C473*UDV.dhl.application_maneuver_factor</f>
        <v>2.1727841183554077</v>
      </c>
      <c r="D477" t="s">
        <v>6085</v>
      </c>
      <c r="E477" s="201">
        <f>C477*E472</f>
        <v>4.3455682367108155</v>
      </c>
      <c r="F477" s="146" t="s">
        <v>2710</v>
      </c>
    </row>
    <row r="478" spans="2:10" ht="13.5" customHeight="1" x14ac:dyDescent="0.3">
      <c r="B478" s="99" t="s">
        <v>6547</v>
      </c>
      <c r="C478" s="205">
        <f>C473*UDV.dhl.hose_mover_utilization</f>
        <v>1.4170331206665703</v>
      </c>
      <c r="D478" t="s">
        <v>6085</v>
      </c>
      <c r="E478" s="201">
        <f>C478*E472</f>
        <v>2.8340662413331406</v>
      </c>
      <c r="F478" s="146" t="s">
        <v>2710</v>
      </c>
    </row>
    <row r="479" spans="2:10" ht="13.5" customHeight="1" x14ac:dyDescent="0.3">
      <c r="B479" s="149" t="s">
        <v>6548</v>
      </c>
      <c r="C479" s="209">
        <f>C473*UDV.dhl.pickup_utilization</f>
        <v>0.28340662413331408</v>
      </c>
      <c r="D479" s="150" t="s">
        <v>6085</v>
      </c>
      <c r="E479" s="1167">
        <f>C479*E472</f>
        <v>0.56681324826662816</v>
      </c>
      <c r="F479" s="151" t="s">
        <v>2710</v>
      </c>
    </row>
    <row r="480" spans="2:10" ht="14.4" x14ac:dyDescent="0.3">
      <c r="B480" s="99" t="s">
        <v>5714</v>
      </c>
      <c r="C480" s="147">
        <f t="shared" ref="C480:C489" si="27">VLOOKUP(B480,$R$1:$U$299,3,FALSE)</f>
        <v>34.008794895997688</v>
      </c>
      <c r="D480" t="s">
        <v>2489</v>
      </c>
      <c r="E480" s="178">
        <f>C480*E472</f>
        <v>68.017589791995377</v>
      </c>
      <c r="F480" s="146" t="s">
        <v>5324</v>
      </c>
    </row>
    <row r="481" spans="2:15" ht="14.4" x14ac:dyDescent="0.3">
      <c r="B481" s="99" t="s">
        <v>5715</v>
      </c>
      <c r="C481" s="147">
        <f t="shared" si="27"/>
        <v>14.170331206665704</v>
      </c>
      <c r="D481" t="s">
        <v>2489</v>
      </c>
      <c r="E481" s="178">
        <f>C481*E472</f>
        <v>28.340662413331408</v>
      </c>
      <c r="F481" s="146" t="s">
        <v>5324</v>
      </c>
    </row>
    <row r="482" spans="2:15" ht="14.4" x14ac:dyDescent="0.3">
      <c r="B482" s="99" t="s">
        <v>5716</v>
      </c>
      <c r="C482" s="147">
        <f t="shared" si="27"/>
        <v>0</v>
      </c>
      <c r="D482" t="s">
        <v>2489</v>
      </c>
      <c r="E482" s="178">
        <f>C482*E472</f>
        <v>0</v>
      </c>
      <c r="F482" s="146" t="s">
        <v>5324</v>
      </c>
    </row>
    <row r="483" spans="2:15" ht="14.4" x14ac:dyDescent="0.3">
      <c r="B483" s="99" t="s">
        <v>5740</v>
      </c>
      <c r="C483" s="147">
        <f t="shared" si="27"/>
        <v>25.52</v>
      </c>
      <c r="D483" t="s">
        <v>6549</v>
      </c>
      <c r="E483" s="178">
        <f>C483*E477</f>
        <v>110.89890140086001</v>
      </c>
      <c r="F483" s="146" t="s">
        <v>5324</v>
      </c>
    </row>
    <row r="484" spans="2:15" ht="14.4" x14ac:dyDescent="0.3">
      <c r="B484" s="99" t="s">
        <v>5741</v>
      </c>
      <c r="C484" s="147">
        <f t="shared" si="27"/>
        <v>14.959999999999999</v>
      </c>
      <c r="D484" t="s">
        <v>6549</v>
      </c>
      <c r="E484" s="178">
        <f>C484*E478</f>
        <v>42.397630970343783</v>
      </c>
      <c r="F484" s="146" t="s">
        <v>5324</v>
      </c>
    </row>
    <row r="485" spans="2:15" ht="14.4" x14ac:dyDescent="0.3">
      <c r="B485" s="149" t="s">
        <v>5717</v>
      </c>
      <c r="C485" s="295">
        <f t="shared" si="27"/>
        <v>1.7004397447998842</v>
      </c>
      <c r="D485" s="150" t="s">
        <v>2489</v>
      </c>
      <c r="E485" s="718">
        <f>C485*E472</f>
        <v>3.4008794895997685</v>
      </c>
      <c r="F485" s="151" t="s">
        <v>5324</v>
      </c>
    </row>
    <row r="486" spans="2:15" ht="14.4" x14ac:dyDescent="0.3">
      <c r="B486" s="99" t="s">
        <v>5726</v>
      </c>
      <c r="C486" s="147">
        <f t="shared" si="27"/>
        <v>1056.2125759268704</v>
      </c>
      <c r="D486" t="s">
        <v>5910</v>
      </c>
      <c r="E486" s="164">
        <f>CONVERT(C486,"m^3","gal")*E472</f>
        <v>558043.687818176</v>
      </c>
      <c r="F486" s="146" t="s">
        <v>5324</v>
      </c>
    </row>
    <row r="487" spans="2:15" ht="14.4" x14ac:dyDescent="0.3">
      <c r="B487" s="99" t="s">
        <v>5728</v>
      </c>
      <c r="C487" s="205">
        <f t="shared" si="27"/>
        <v>4.0375692938233412</v>
      </c>
      <c r="D487" s="146" t="s">
        <v>2413</v>
      </c>
      <c r="E487" s="201">
        <f>C487*UC.g_to_lb/UC.L_to_gal*1000</f>
        <v>33.695149060791728</v>
      </c>
      <c r="F487" s="146" t="s">
        <v>2414</v>
      </c>
    </row>
    <row r="488" spans="2:15" ht="13.5" customHeight="1" x14ac:dyDescent="0.3">
      <c r="B488" s="99" t="s">
        <v>5729</v>
      </c>
      <c r="C488" s="205">
        <f t="shared" si="27"/>
        <v>3.1447771554792809</v>
      </c>
      <c r="D488" s="146" t="s">
        <v>2413</v>
      </c>
      <c r="E488" s="201">
        <f>C488*UC.g_to_lb/UC.L_to_gal*1000</f>
        <v>26.244437508218105</v>
      </c>
      <c r="F488" s="146" t="s">
        <v>2414</v>
      </c>
    </row>
    <row r="489" spans="2:15" ht="13.5" customHeight="1" x14ac:dyDescent="0.3">
      <c r="B489" s="99" t="s">
        <v>5730</v>
      </c>
      <c r="C489" s="205">
        <f t="shared" si="27"/>
        <v>4.0433046612854131</v>
      </c>
      <c r="D489" s="146" t="s">
        <v>2413</v>
      </c>
      <c r="E489" s="201">
        <f>C489*UC.g_to_lb/UC.L_to_gal*1000</f>
        <v>33.743013022370924</v>
      </c>
      <c r="F489" s="146" t="s">
        <v>2414</v>
      </c>
    </row>
    <row r="490" spans="2:15" ht="13.5" customHeight="1" x14ac:dyDescent="0.3">
      <c r="B490" s="99"/>
      <c r="E490" s="99"/>
      <c r="F490" s="146"/>
    </row>
    <row r="491" spans="2:15" ht="13.5" customHeight="1" x14ac:dyDescent="0.3">
      <c r="B491" s="92" t="s">
        <v>6996</v>
      </c>
      <c r="E491" s="99"/>
      <c r="F491" s="146"/>
    </row>
    <row r="492" spans="2:15" ht="13.5" customHeight="1" x14ac:dyDescent="0.3">
      <c r="B492" s="143" t="s">
        <v>2663</v>
      </c>
      <c r="C492" s="144" t="s">
        <v>565</v>
      </c>
      <c r="D492" s="144" t="s">
        <v>6943</v>
      </c>
      <c r="E492" s="143" t="s">
        <v>565</v>
      </c>
      <c r="F492" s="145" t="s">
        <v>6944</v>
      </c>
    </row>
    <row r="493" spans="2:15" ht="13.5" customHeight="1" x14ac:dyDescent="0.3">
      <c r="B493" s="99" t="s">
        <v>6997</v>
      </c>
      <c r="E493" s="348">
        <f>UDV.fuel.diesel_avg_cost</f>
        <v>3.6964905660377356</v>
      </c>
      <c r="F493" s="146" t="s">
        <v>2315</v>
      </c>
      <c r="G493" s="254" t="s">
        <v>7081</v>
      </c>
    </row>
    <row r="494" spans="2:15" ht="14.4" x14ac:dyDescent="0.3">
      <c r="B494" s="99" t="s">
        <v>7044</v>
      </c>
      <c r="C494">
        <f>UDV.land_application.max_distance</f>
        <v>2</v>
      </c>
      <c r="D494" t="s">
        <v>2971</v>
      </c>
      <c r="E494" s="178">
        <f>IF(E460=0,0,CONVERT(C494,"mi","ft"))</f>
        <v>10560</v>
      </c>
      <c r="F494" s="146" t="s">
        <v>2340</v>
      </c>
    </row>
    <row r="495" spans="2:15" ht="13.5" customHeight="1" x14ac:dyDescent="0.3">
      <c r="B495" s="149" t="s">
        <v>6998</v>
      </c>
      <c r="C495" s="150"/>
      <c r="D495" s="151"/>
      <c r="E495" s="349">
        <f>UDV.labor.non_specialized_cost</f>
        <v>23.66</v>
      </c>
      <c r="F495" s="151" t="s">
        <v>3659</v>
      </c>
    </row>
    <row r="496" spans="2:15" ht="13.5" customHeight="1" x14ac:dyDescent="0.3">
      <c r="C496" s="82"/>
      <c r="D496" s="82"/>
      <c r="E496" s="82"/>
      <c r="F496" s="82"/>
      <c r="H496" s="82"/>
      <c r="I496" s="82"/>
      <c r="O496" s="82"/>
    </row>
    <row r="497" spans="1:15" ht="13.5" customHeight="1" x14ac:dyDescent="0.3">
      <c r="B497" s="206" t="s">
        <v>6982</v>
      </c>
      <c r="C497" s="142"/>
      <c r="D497" s="142"/>
      <c r="E497" s="142"/>
      <c r="F497" s="142"/>
      <c r="G497" s="142"/>
      <c r="H497" s="142"/>
      <c r="I497" s="142"/>
      <c r="J497" s="142"/>
      <c r="K497" s="142"/>
      <c r="L497" s="142"/>
      <c r="M497" s="142"/>
      <c r="N497" s="142"/>
      <c r="O497" s="141"/>
    </row>
    <row r="498" spans="1:15" ht="27.6" customHeight="1" x14ac:dyDescent="0.3">
      <c r="B498" s="210" t="s">
        <v>6946</v>
      </c>
      <c r="C498" s="152" t="s">
        <v>6947</v>
      </c>
      <c r="D498" s="82" t="s">
        <v>6948</v>
      </c>
      <c r="E498" s="152" t="s">
        <v>6999</v>
      </c>
      <c r="F498" s="152" t="s">
        <v>7045</v>
      </c>
      <c r="G498" s="152" t="s">
        <v>6951</v>
      </c>
      <c r="H498" s="152" t="s">
        <v>6952</v>
      </c>
      <c r="I498" s="82" t="s">
        <v>6953</v>
      </c>
      <c r="J498" s="82" t="s">
        <v>6954</v>
      </c>
      <c r="K498" s="152" t="s">
        <v>6955</v>
      </c>
      <c r="L498" s="152" t="s">
        <v>6956</v>
      </c>
      <c r="M498" s="82" t="s">
        <v>6957</v>
      </c>
      <c r="N498" s="152" t="s">
        <v>7002</v>
      </c>
      <c r="O498" s="161" t="s">
        <v>6959</v>
      </c>
    </row>
    <row r="499" spans="1:15" ht="14.4" x14ac:dyDescent="0.3">
      <c r="A499" t="s">
        <v>7046</v>
      </c>
      <c r="B499" s="99" t="s">
        <v>7034</v>
      </c>
      <c r="C499" s="153">
        <f>VLOOKUP("Diesel powered lead pumpDefault", Econ.Tables!$C:$E,2,FALSE)*E460</f>
        <v>293400</v>
      </c>
      <c r="D499" s="42">
        <f>VLOOKUP("CAPEXLifetimeDiesel-powered pump set package (at lagoon)Default",Econ.inputsTable!$E:$G,2,FALSE)</f>
        <v>17</v>
      </c>
      <c r="F499" s="147">
        <f>E474/E460</f>
        <v>3.7787549884441876</v>
      </c>
      <c r="G499" s="255">
        <f>VLOOKUP("CAPEXAnnual usage on activityItems that are used only on the given activityDefault",Econ.inputsTable!$E:$G,2,FALSE)</f>
        <v>1</v>
      </c>
      <c r="H499" s="503">
        <f t="shared" ref="H499:H510" si="28">UDV.econ_capital.interest_rate</f>
        <v>5.0999999999999997E-2</v>
      </c>
      <c r="I499" s="236">
        <f>VLOOKUP("CAPEXSalvageEquipmentDefault",Econ.inputsTable!$E:$G,2,FALSE)</f>
        <v>0.2</v>
      </c>
      <c r="J499" s="153">
        <f t="shared" ref="J499:J510" si="29">$C499*I499</f>
        <v>58680</v>
      </c>
      <c r="K499" s="257">
        <f>VLOOKUP("CAPEXFinanced amountNADefault",Econ.inputsTable!$E:$G,2,FALSE)</f>
        <v>1</v>
      </c>
      <c r="L499" s="236">
        <f t="shared" ref="L499:L510" si="30">H499*K499</f>
        <v>5.0999999999999997E-2</v>
      </c>
      <c r="M499">
        <f t="shared" ref="M499:M510" si="31">L499/(1-(1+L499)^-D499)</f>
        <v>8.9362846108502439E-2</v>
      </c>
      <c r="N499" s="153">
        <f t="shared" ref="N499:N510" si="32">((C499-J499)*M499)+(J499*L499)</f>
        <v>23967.927238587694</v>
      </c>
      <c r="O499" s="157">
        <f t="shared" ref="O499:O510" si="33">N499*G499</f>
        <v>23967.927238587694</v>
      </c>
    </row>
    <row r="500" spans="1:15" ht="14.4" x14ac:dyDescent="0.3">
      <c r="A500" t="s">
        <v>7046</v>
      </c>
      <c r="B500" s="99" t="s">
        <v>7035</v>
      </c>
      <c r="C500" s="153">
        <f>VLOOKUP("Diesel powered booster pumpDefault", Econ.Tables!$C:$E,2,FALSE)*E461</f>
        <v>197300</v>
      </c>
      <c r="D500" s="42">
        <f>VLOOKUP("CAPEXLifetimeDiesel-powered pump set package (at lagoon)Default",Econ.inputsTable!$E:$G,2,FALSE)</f>
        <v>17</v>
      </c>
      <c r="F500" s="147">
        <f>E475</f>
        <v>3.7787549884441876</v>
      </c>
      <c r="G500" s="255">
        <f>VLOOKUP("CAPEXAnnual usage on activityItems that are used only on the given activityDefault",Econ.inputsTable!$E:$G,2,FALSE)</f>
        <v>1</v>
      </c>
      <c r="H500" s="503">
        <f t="shared" si="28"/>
        <v>5.0999999999999997E-2</v>
      </c>
      <c r="I500" s="236">
        <f>VLOOKUP("CAPEXSalvageEquipmentDefault",Econ.inputsTable!$E:$G,2,FALSE)</f>
        <v>0.2</v>
      </c>
      <c r="J500" s="153">
        <f t="shared" si="29"/>
        <v>39460</v>
      </c>
      <c r="K500" s="257">
        <f>VLOOKUP("CAPEXFinanced amountNADefault",Econ.inputsTable!$E:$G,2,FALSE)</f>
        <v>1</v>
      </c>
      <c r="L500" s="236">
        <f t="shared" si="30"/>
        <v>5.0999999999999997E-2</v>
      </c>
      <c r="M500">
        <f t="shared" si="31"/>
        <v>8.9362846108502439E-2</v>
      </c>
      <c r="N500" s="153">
        <f t="shared" si="32"/>
        <v>16117.491629766024</v>
      </c>
      <c r="O500" s="157">
        <f t="shared" si="33"/>
        <v>16117.491629766024</v>
      </c>
    </row>
    <row r="501" spans="1:15" ht="14.4" x14ac:dyDescent="0.3">
      <c r="A501" t="s">
        <v>7046</v>
      </c>
      <c r="B501" s="99" t="s">
        <v>7047</v>
      </c>
      <c r="C501" s="153">
        <f>VLOOKUP("Diesel powered agitation trailerDefault",Econ.Tables!$C:$E,2,FALSE)*E462</f>
        <v>0</v>
      </c>
      <c r="D501" s="42">
        <f>VLOOKUP("CAPEXLifetimeEquipmentDefault",Econ.inputsTable!$E:$G,2,FALSE)</f>
        <v>10</v>
      </c>
      <c r="F501" s="147">
        <f>E476</f>
        <v>3.7787549884441876</v>
      </c>
      <c r="G501" s="255">
        <f>VLOOKUP("CAPEXAnnual usage on activityItems that are used only on the given activityDefault",Econ.inputsTable!$E:$G,2,FALSE)</f>
        <v>1</v>
      </c>
      <c r="H501" s="503">
        <f t="shared" si="28"/>
        <v>5.0999999999999997E-2</v>
      </c>
      <c r="I501" s="236">
        <f>VLOOKUP("CAPEXSalvageEquipmentDefault",Econ.inputsTable!$E:$G,2,FALSE)</f>
        <v>0.2</v>
      </c>
      <c r="J501" s="153">
        <f t="shared" si="29"/>
        <v>0</v>
      </c>
      <c r="K501" s="257">
        <f>VLOOKUP("CAPEXFinanced amountNADefault",Econ.inputsTable!$E:$G,2,FALSE)</f>
        <v>1</v>
      </c>
      <c r="L501" s="236">
        <f t="shared" si="30"/>
        <v>5.0999999999999997E-2</v>
      </c>
      <c r="M501">
        <f t="shared" si="31"/>
        <v>0.13013423257204779</v>
      </c>
      <c r="N501" s="153">
        <f t="shared" si="32"/>
        <v>0</v>
      </c>
      <c r="O501" s="157">
        <f t="shared" si="33"/>
        <v>0</v>
      </c>
    </row>
    <row r="502" spans="1:15" ht="13.5" customHeight="1" x14ac:dyDescent="0.3">
      <c r="A502" t="s">
        <v>7046</v>
      </c>
      <c r="B502" s="99" t="s">
        <v>7037</v>
      </c>
      <c r="C502" s="153">
        <f>VLOOKUP(_xlfn.CONCAT("Tractor",E463, " hp"),Econ.Tables!$C:$E,2,FALSE)*E465</f>
        <v>637400</v>
      </c>
      <c r="D502" s="79">
        <f>VLOOKUP("CAPEXLifetimeTractor, 4 wheel drive and crawlerDefault",Econ.inputsTable!$E:$H,2,FALSE)/E502</f>
        <v>16</v>
      </c>
      <c r="E502" s="213">
        <f>IF(F502&gt;UDV.tractor.min_usage_yearly,F502,UDV.tractor.min_usage_yearly)</f>
        <v>1000</v>
      </c>
      <c r="F502" s="147">
        <f>E477</f>
        <v>4.3455682367108155</v>
      </c>
      <c r="G502" s="258">
        <f>F502/E502</f>
        <v>4.3455682367108152E-3</v>
      </c>
      <c r="H502" s="503">
        <f t="shared" si="28"/>
        <v>5.0999999999999997E-2</v>
      </c>
      <c r="I502" s="236">
        <f>VLOOKUP("CAPEXSalvageEquipmentDefault", Econ.inputsTable!$E:$G,2,FALSE)</f>
        <v>0.2</v>
      </c>
      <c r="J502" s="153">
        <f t="shared" si="29"/>
        <v>127480</v>
      </c>
      <c r="K502" s="257">
        <f>VLOOKUP("CAPEXFinanced amountNADefault",Econ.inputsTable!$E:$G,2,FALSE)</f>
        <v>1</v>
      </c>
      <c r="L502" s="236">
        <f t="shared" si="30"/>
        <v>5.0999999999999997E-2</v>
      </c>
      <c r="M502">
        <f t="shared" si="31"/>
        <v>9.2927821836826949E-2</v>
      </c>
      <c r="N502" s="153">
        <f t="shared" si="32"/>
        <v>53887.2349110348</v>
      </c>
      <c r="O502" s="157">
        <f t="shared" si="33"/>
        <v>234.17065639356699</v>
      </c>
    </row>
    <row r="503" spans="1:15" ht="13.5" customHeight="1" x14ac:dyDescent="0.3">
      <c r="A503" t="s">
        <v>7046</v>
      </c>
      <c r="B503" s="99" t="s">
        <v>7048</v>
      </c>
      <c r="C503" s="229">
        <f>VLOOKUP("Hose reel, hydraulic,no specific sizeDefault", Econ.Tables!$C:$E,2,FALSE)*E465</f>
        <v>44500</v>
      </c>
      <c r="D503" s="42">
        <f>VLOOKUP("CAPEXLifetimeEquipmentDefault",Econ.inputsTable!$E:$G,2,FALSE)</f>
        <v>10</v>
      </c>
      <c r="E503" s="152"/>
      <c r="F503" s="259">
        <f>E477</f>
        <v>4.3455682367108155</v>
      </c>
      <c r="G503" s="255">
        <f>VLOOKUP("CAPEXAnnual usage on activityItems that are used only on the given activityDefault",Econ.inputsTable!$E:$G,2,FALSE)</f>
        <v>1</v>
      </c>
      <c r="H503" s="503">
        <f t="shared" si="28"/>
        <v>5.0999999999999997E-2</v>
      </c>
      <c r="I503" s="236">
        <f>VLOOKUP("CAPEXSalvageEquipmentDefault",Econ.inputsTable!$E:$G,2,FALSE)</f>
        <v>0.2</v>
      </c>
      <c r="J503" s="153">
        <f t="shared" si="29"/>
        <v>8900</v>
      </c>
      <c r="K503" s="257">
        <f>VLOOKUP("CAPEXFinanced amountNADefault",Econ.inputsTable!$E:$G,2,FALSE)</f>
        <v>1</v>
      </c>
      <c r="L503" s="236">
        <f t="shared" si="30"/>
        <v>5.0999999999999997E-2</v>
      </c>
      <c r="M503">
        <f t="shared" si="31"/>
        <v>0.13013423257204779</v>
      </c>
      <c r="N503" s="153">
        <f t="shared" si="32"/>
        <v>5086.6786795649004</v>
      </c>
      <c r="O503" s="157">
        <f t="shared" si="33"/>
        <v>5086.6786795649004</v>
      </c>
    </row>
    <row r="504" spans="1:15" ht="13.5" customHeight="1" x14ac:dyDescent="0.3">
      <c r="A504" t="s">
        <v>7046</v>
      </c>
      <c r="B504" s="99" t="s">
        <v>7007</v>
      </c>
      <c r="C504" s="229">
        <f>IF(E468="Broadcast",VLOOKUP("BoomDefault", Econ.Tables!$C:$E,2,FALSE),0)*E465</f>
        <v>0</v>
      </c>
      <c r="D504" s="42">
        <f>VLOOKUP("CAPEXLifetimeEquipmentDefault",Econ.inputsTable!$E:$G,2,FALSE)</f>
        <v>10</v>
      </c>
      <c r="E504" s="152"/>
      <c r="F504" s="259">
        <f>IF(C468="Broadcast",F502,0)</f>
        <v>0</v>
      </c>
      <c r="G504" s="255">
        <f>VLOOKUP("CAPEXAnnual usage on activityItems that are used only on the given activityDefault",Econ.inputsTable!$E:$G,2,FALSE)</f>
        <v>1</v>
      </c>
      <c r="H504" s="503">
        <f t="shared" si="28"/>
        <v>5.0999999999999997E-2</v>
      </c>
      <c r="I504" s="236">
        <f>VLOOKUP("CAPEXSalvageEquipmentDefault", Econ.inputsTable!$E:$G,2,FALSE)</f>
        <v>0.2</v>
      </c>
      <c r="J504" s="153">
        <f t="shared" si="29"/>
        <v>0</v>
      </c>
      <c r="K504" s="257">
        <f>VLOOKUP("CAPEXFinanced amountNADefault",Econ.inputsTable!$E:$G,2,FALSE)</f>
        <v>1</v>
      </c>
      <c r="L504" s="236">
        <f t="shared" si="30"/>
        <v>5.0999999999999997E-2</v>
      </c>
      <c r="M504">
        <f t="shared" si="31"/>
        <v>0.13013423257204779</v>
      </c>
      <c r="N504" s="153">
        <f t="shared" si="32"/>
        <v>0</v>
      </c>
      <c r="O504" s="157">
        <f t="shared" si="33"/>
        <v>0</v>
      </c>
    </row>
    <row r="505" spans="1:15" ht="13.5" customHeight="1" x14ac:dyDescent="0.3">
      <c r="A505" t="s">
        <v>7046</v>
      </c>
      <c r="B505" s="99" t="s">
        <v>7008</v>
      </c>
      <c r="C505" s="229">
        <f>IF(E468="Injection",VLOOKUP("InjectionDefault",Econ.Tables!$C:$E,2,FALSE),0)*E465</f>
        <v>80900</v>
      </c>
      <c r="D505" s="42">
        <f>VLOOKUP("CAPEXLifetimeEquipmentDefault",Econ.inputsTable!$E:$G,2,FALSE)</f>
        <v>10</v>
      </c>
      <c r="E505" s="152"/>
      <c r="F505" s="259">
        <f>IF(C468="Injection",F502,0)</f>
        <v>4.3455682367108155</v>
      </c>
      <c r="G505" s="255">
        <f>VLOOKUP("CAPEXAnnual usage on activityItems that are used only on the given activityDefault",Econ.inputsTable!$E:$G,2,FALSE)</f>
        <v>1</v>
      </c>
      <c r="H505" s="503">
        <f t="shared" si="28"/>
        <v>5.0999999999999997E-2</v>
      </c>
      <c r="I505" s="236">
        <f>VLOOKUP("CAPEXSalvageEquipmentDefault",Econ.inputsTable!$E:$G,2,FALSE)</f>
        <v>0.2</v>
      </c>
      <c r="J505" s="153">
        <f t="shared" si="29"/>
        <v>16180</v>
      </c>
      <c r="K505" s="257">
        <f>VLOOKUP("CAPEXFinanced amountNADefault",Econ.inputsTable!$E:$G,2,FALSE)</f>
        <v>1</v>
      </c>
      <c r="L505" s="236">
        <f t="shared" si="30"/>
        <v>5.0999999999999997E-2</v>
      </c>
      <c r="M505">
        <f t="shared" si="31"/>
        <v>0.13013423257204779</v>
      </c>
      <c r="N505" s="153">
        <f t="shared" si="32"/>
        <v>9247.4675320629322</v>
      </c>
      <c r="O505" s="157">
        <f t="shared" si="33"/>
        <v>9247.4675320629322</v>
      </c>
    </row>
    <row r="506" spans="1:15" ht="13.5" customHeight="1" x14ac:dyDescent="0.3">
      <c r="A506" t="s">
        <v>7046</v>
      </c>
      <c r="B506" s="99" t="s">
        <v>7039</v>
      </c>
      <c r="C506" s="153">
        <f>VLOOKUP(_xlfn.CONCAT("Tractor",E464, " hp"),Econ.Tables!$C:$E,2,FALSE)*E466</f>
        <v>490700</v>
      </c>
      <c r="D506" s="79">
        <f>VLOOKUP("CAPEXLifetimeTractor, 4 wheel drive and crawlerDefault",Econ.inputsTable!$E:$H,2,FALSE)/E506</f>
        <v>16</v>
      </c>
      <c r="E506" s="213">
        <f>IF(F506&gt;UDV.tractor.min_usage_yearly,F506,UDV.tractor.min_usage_yearly)</f>
        <v>1000</v>
      </c>
      <c r="F506" s="147">
        <f>E478</f>
        <v>2.8340662413331406</v>
      </c>
      <c r="G506" s="258">
        <f>F506/E506</f>
        <v>2.8340662413331406E-3</v>
      </c>
      <c r="H506" s="503">
        <f t="shared" si="28"/>
        <v>5.0999999999999997E-2</v>
      </c>
      <c r="I506" s="236">
        <f>VLOOKUP("CAPEXSalvageEquipmentDefault",Econ.inputsTable!$E:$G,2,FALSE)</f>
        <v>0.2</v>
      </c>
      <c r="J506" s="153">
        <f t="shared" si="29"/>
        <v>98140</v>
      </c>
      <c r="K506" s="257">
        <f>VLOOKUP("CAPEXFinanced amountNADefault",Econ.inputsTable!$E:$G,2,FALSE)</f>
        <v>1</v>
      </c>
      <c r="L506" s="236">
        <f t="shared" si="30"/>
        <v>5.0999999999999997E-2</v>
      </c>
      <c r="M506">
        <f t="shared" si="31"/>
        <v>9.2927821836826949E-2</v>
      </c>
      <c r="N506" s="153">
        <f t="shared" si="32"/>
        <v>41484.885740264785</v>
      </c>
      <c r="O506" s="157">
        <f t="shared" si="33"/>
        <v>117.57091420204702</v>
      </c>
    </row>
    <row r="507" spans="1:15" ht="13.5" customHeight="1" x14ac:dyDescent="0.3">
      <c r="A507" t="s">
        <v>7046</v>
      </c>
      <c r="B507" s="99" t="s">
        <v>1325</v>
      </c>
      <c r="C507" s="229">
        <f>VLOOKUP("Hose pulleyDefault", Econ.Tables!$C:$E,2,FALSE)*E466</f>
        <v>13200</v>
      </c>
      <c r="D507" s="42">
        <f>VLOOKUP("CAPEXLifetimeEquipmentDefault",Econ.inputsTable!$E:$G,2,FALSE)</f>
        <v>10</v>
      </c>
      <c r="E507" s="152"/>
      <c r="F507" s="259">
        <f>F506</f>
        <v>2.8340662413331406</v>
      </c>
      <c r="G507" s="255">
        <f>VLOOKUP("CAPEXAnnual usage on activityItems that are used only on the given activityDefault",Econ.inputsTable!$E:$G,2,FALSE)</f>
        <v>1</v>
      </c>
      <c r="H507" s="503">
        <f t="shared" si="28"/>
        <v>5.0999999999999997E-2</v>
      </c>
      <c r="I507" s="236">
        <f>VLOOKUP("CAPEXSalvageEquipmentDefault", Econ.inputsTable!$E:$G,2,FALSE)</f>
        <v>0.2</v>
      </c>
      <c r="J507" s="153">
        <f t="shared" si="29"/>
        <v>2640</v>
      </c>
      <c r="K507" s="257">
        <f>VLOOKUP("CAPEXFinanced amountNADefault",Econ.inputsTable!$E:$G,2,FALSE)</f>
        <v>1</v>
      </c>
      <c r="L507" s="236">
        <f t="shared" si="30"/>
        <v>5.0999999999999997E-2</v>
      </c>
      <c r="M507">
        <f t="shared" si="31"/>
        <v>0.13013423257204779</v>
      </c>
      <c r="N507" s="153">
        <f t="shared" si="32"/>
        <v>1508.8574959608245</v>
      </c>
      <c r="O507" s="157">
        <f t="shared" si="33"/>
        <v>1508.8574959608245</v>
      </c>
    </row>
    <row r="508" spans="1:15" ht="13.5" customHeight="1" x14ac:dyDescent="0.3">
      <c r="A508" t="s">
        <v>7046</v>
      </c>
      <c r="B508" s="235" t="s">
        <v>3007</v>
      </c>
      <c r="C508" s="260">
        <f>VLOOKUP("Flexible drag hose, 6in 660 ftDefault",Econ.Tables!$C:$E,2,FALSE)*E465</f>
        <v>15200</v>
      </c>
      <c r="D508" s="42">
        <f>VLOOKUP("CAPEXLifetimeDrag hoseDefault",Econ.inputsTable!$E:$G,2,FALSE)</f>
        <v>2.5</v>
      </c>
      <c r="E508" s="152"/>
      <c r="F508" s="259">
        <f>F502</f>
        <v>4.3455682367108155</v>
      </c>
      <c r="G508" s="255">
        <f>VLOOKUP("CAPEXAnnual usage on activityItems that are used only on the given activityDefault",Econ.inputsTable!$E:$G,2,FALSE)</f>
        <v>1</v>
      </c>
      <c r="H508" s="503">
        <f t="shared" si="28"/>
        <v>5.0999999999999997E-2</v>
      </c>
      <c r="I508" s="236">
        <f>VLOOKUP("CAPEXSalvageBuildings and constructionDefault",Econ.inputsTable!$E:$G,2,FALSE)</f>
        <v>0</v>
      </c>
      <c r="J508" s="153">
        <f t="shared" si="29"/>
        <v>0</v>
      </c>
      <c r="K508" s="257">
        <f>VLOOKUP("CAPEXFinanced amountNADefault",Econ.inputsTable!$E:$G,2,FALSE)</f>
        <v>1</v>
      </c>
      <c r="L508" s="236">
        <f t="shared" si="30"/>
        <v>5.0999999999999997E-2</v>
      </c>
      <c r="M508">
        <f t="shared" si="31"/>
        <v>0.43614381549069553</v>
      </c>
      <c r="N508" s="153">
        <f t="shared" si="32"/>
        <v>6629.3859954585723</v>
      </c>
      <c r="O508" s="157">
        <f t="shared" si="33"/>
        <v>6629.3859954585723</v>
      </c>
    </row>
    <row r="509" spans="1:15" ht="13.5" customHeight="1" x14ac:dyDescent="0.3">
      <c r="A509" t="s">
        <v>7046</v>
      </c>
      <c r="B509" s="235" t="s">
        <v>3465</v>
      </c>
      <c r="C509" s="260">
        <f>VLOOKUP("Manure piping to fieldDefault", Econ.Tables!$C:$E,2,FALSE)*E494</f>
        <v>95040</v>
      </c>
      <c r="D509" s="42">
        <f>VLOOKUP("CAPEXLifetimeBuildings and constructionDefault",Econ.inputsTable!$E:$G,2,FALSE)</f>
        <v>20</v>
      </c>
      <c r="E509" s="152"/>
      <c r="F509" s="259">
        <f>F502</f>
        <v>4.3455682367108155</v>
      </c>
      <c r="G509" s="255">
        <f>VLOOKUP("CAPEXAnnual usage on activityItems that are used only on the given activityDefault",Econ.inputsTable!$E:$G,2,FALSE)</f>
        <v>1</v>
      </c>
      <c r="H509" s="503">
        <f t="shared" si="28"/>
        <v>5.0999999999999997E-2</v>
      </c>
      <c r="I509" s="236">
        <f>VLOOKUP("CAPEXSalvageBuildings and constructionDefault",Econ.inputsTable!$E:$G,2,FALSE)</f>
        <v>0</v>
      </c>
      <c r="J509" s="153">
        <f t="shared" si="29"/>
        <v>0</v>
      </c>
      <c r="K509" s="257">
        <f>VLOOKUP("CAPEXFinanced amountNADefault",Econ.inputsTable!$E:$G,2,FALSE)</f>
        <v>1</v>
      </c>
      <c r="L509" s="236">
        <f t="shared" si="30"/>
        <v>5.0999999999999997E-2</v>
      </c>
      <c r="M509">
        <f t="shared" si="31"/>
        <v>8.0924368970045152E-2</v>
      </c>
      <c r="N509" s="153">
        <f t="shared" si="32"/>
        <v>7691.0520269130911</v>
      </c>
      <c r="O509" s="157">
        <f t="shared" si="33"/>
        <v>7691.0520269130911</v>
      </c>
    </row>
    <row r="510" spans="1:15" ht="13.5" customHeight="1" x14ac:dyDescent="0.3">
      <c r="A510" t="s">
        <v>7046</v>
      </c>
      <c r="B510" s="235" t="s">
        <v>349</v>
      </c>
      <c r="C510" s="153">
        <f>IF(E479&gt;0,VLOOKUP("Pick up truckDefault",Econ.Tables!$C:$E,2,FALSE),0)</f>
        <v>58700</v>
      </c>
      <c r="D510" s="42">
        <f>VLOOKUP("CAPEXLifetimeTruck, pickupDefault",Econ.inputsTable!$E:$G,2,FALSE)</f>
        <v>8</v>
      </c>
      <c r="E510" s="42">
        <f>VLOOKUP("CAPEXAnnual usage on farmTruck, pickupDefault",Econ.inputsTable!$E:$G,2,FALSE)</f>
        <v>250</v>
      </c>
      <c r="F510" s="259">
        <f>E479</f>
        <v>0.56681324826662816</v>
      </c>
      <c r="G510" s="258">
        <f>F510/E510</f>
        <v>2.2672529930665127E-3</v>
      </c>
      <c r="H510" s="503">
        <f t="shared" si="28"/>
        <v>5.0999999999999997E-2</v>
      </c>
      <c r="I510" s="236">
        <f>VLOOKUP("CAPEXSalvageEquipmentDefault", Econ.inputsTable!$E:$G,2,FALSE)</f>
        <v>0.2</v>
      </c>
      <c r="J510" s="153">
        <f t="shared" si="29"/>
        <v>11740</v>
      </c>
      <c r="K510" s="257">
        <f>VLOOKUP("CAPEXFinanced amountNADefault",Econ.inputsTable!$E:$G,2,FALSE)</f>
        <v>1</v>
      </c>
      <c r="L510" s="236">
        <f t="shared" si="30"/>
        <v>5.0999999999999997E-2</v>
      </c>
      <c r="M510">
        <f t="shared" si="31"/>
        <v>0.1553478599468672</v>
      </c>
      <c r="N510" s="153">
        <f t="shared" si="32"/>
        <v>7893.8755031048831</v>
      </c>
      <c r="O510" s="157">
        <f t="shared" si="33"/>
        <v>17.897412861308968</v>
      </c>
    </row>
    <row r="511" spans="1:15" ht="13.5" customHeight="1" x14ac:dyDescent="0.3">
      <c r="B511" s="99"/>
      <c r="C511" s="152"/>
      <c r="D511" s="82"/>
      <c r="E511" s="82"/>
      <c r="F511" s="82"/>
      <c r="G511" s="82"/>
      <c r="H511" s="82"/>
      <c r="I511" s="82"/>
      <c r="J511" s="152"/>
      <c r="K511" s="152"/>
      <c r="L511" s="152"/>
      <c r="M511" s="152"/>
      <c r="N511" s="82"/>
      <c r="O511" s="173"/>
    </row>
    <row r="512" spans="1:15" ht="13.5" customHeight="1" x14ac:dyDescent="0.3">
      <c r="B512" s="99"/>
      <c r="C512" s="82" t="s">
        <v>7009</v>
      </c>
      <c r="D512" s="82" t="s">
        <v>6963</v>
      </c>
      <c r="O512" s="146"/>
    </row>
    <row r="513" spans="1:15" ht="14.4" x14ac:dyDescent="0.3">
      <c r="A513" t="s">
        <v>5205</v>
      </c>
      <c r="B513" s="99" t="s">
        <v>6964</v>
      </c>
      <c r="C513" s="153">
        <f>SUM(C499:C510)</f>
        <v>1926340</v>
      </c>
      <c r="D513" s="233">
        <f>SUMPRODUCT(C499:C510,G499:G510)</f>
        <v>743833.62924939464</v>
      </c>
      <c r="O513" s="146"/>
    </row>
    <row r="514" spans="1:15" ht="14.4" x14ac:dyDescent="0.3">
      <c r="A514" t="s">
        <v>5205</v>
      </c>
      <c r="B514" s="149" t="s">
        <v>6965</v>
      </c>
      <c r="C514" s="159">
        <f>SUM(N499:N510)</f>
        <v>173514.85675271851</v>
      </c>
      <c r="D514" s="234">
        <f>SUMPRODUCT(N499:N510,G499:G510)</f>
        <v>70618.499581770957</v>
      </c>
      <c r="E514" s="234"/>
      <c r="F514" s="150"/>
      <c r="G514" s="261"/>
      <c r="H514" s="150"/>
      <c r="I514" s="150"/>
      <c r="J514" s="150"/>
      <c r="K514" s="150"/>
      <c r="L514" s="150"/>
      <c r="M514" s="150"/>
      <c r="N514" s="150"/>
      <c r="O514" s="151"/>
    </row>
    <row r="515" spans="1:15" ht="14.4" x14ac:dyDescent="0.3">
      <c r="B515" s="262"/>
      <c r="C515" s="142"/>
      <c r="D515" s="142"/>
      <c r="E515" s="142"/>
      <c r="F515" s="142"/>
      <c r="G515" s="142"/>
      <c r="H515" s="142"/>
      <c r="I515" s="142"/>
      <c r="J515" s="142"/>
      <c r="K515" s="142"/>
      <c r="L515" s="142"/>
      <c r="M515" s="142"/>
      <c r="N515" s="142"/>
      <c r="O515" s="141"/>
    </row>
    <row r="516" spans="1:15" ht="27.6" customHeight="1" x14ac:dyDescent="0.3">
      <c r="B516" s="160" t="s">
        <v>6966</v>
      </c>
      <c r="C516" s="152" t="s">
        <v>6967</v>
      </c>
      <c r="D516" s="152" t="s">
        <v>6968</v>
      </c>
      <c r="E516" s="152" t="s">
        <v>6969</v>
      </c>
      <c r="F516" s="152" t="s">
        <v>6970</v>
      </c>
      <c r="G516" s="152" t="s">
        <v>6971</v>
      </c>
      <c r="H516" s="152" t="s">
        <v>6972</v>
      </c>
      <c r="I516" s="152" t="s">
        <v>6973</v>
      </c>
      <c r="J516" s="152" t="s">
        <v>6974</v>
      </c>
      <c r="K516" s="152" t="s">
        <v>6975</v>
      </c>
      <c r="L516" s="152" t="s">
        <v>6976</v>
      </c>
      <c r="M516" s="152" t="s">
        <v>6977</v>
      </c>
      <c r="N516" s="152" t="s">
        <v>6978</v>
      </c>
      <c r="O516" s="161" t="s">
        <v>6979</v>
      </c>
    </row>
    <row r="517" spans="1:15" ht="13.5" customHeight="1" x14ac:dyDescent="0.3">
      <c r="B517" s="99" t="s">
        <v>7034</v>
      </c>
      <c r="C517" s="236">
        <f>VLOOKUP("OPEXInsuranceEverythingDefault",Econ.inputsTable!$E:$H,2,FALSE)</f>
        <v>5.0000000000000001E-3</v>
      </c>
      <c r="D517" s="237">
        <f>VLOOKUP("OPEXRepair and maintenanceEquipmentDefault",Econ.inputsTable!$E:$G,2,FALSE)</f>
        <v>0.03</v>
      </c>
      <c r="H517" s="147">
        <f>E480</f>
        <v>68.017589791995377</v>
      </c>
      <c r="I517" s="259">
        <f>H517*E493</f>
        <v>251.42637899073549</v>
      </c>
      <c r="J517" s="259">
        <f>VLOOKUP("OPEXLubeLubeDefault",Econ.inputsTable!$E:$G,2,FALSE)*I517</f>
        <v>25.142637899073549</v>
      </c>
      <c r="K517" s="147">
        <f>E474*UDV.OPEX_labor.tractor_stationary</f>
        <v>0.37787549884441879</v>
      </c>
      <c r="L517" s="229">
        <f>K517*E495</f>
        <v>8.9405343026589481</v>
      </c>
      <c r="N517" s="152"/>
      <c r="O517" s="264">
        <f t="shared" ref="O517:O528" si="34">(SUM(C517:D517)*C499*G499)+SUM(I517:J517)+L517</f>
        <v>10554.509551192466</v>
      </c>
    </row>
    <row r="518" spans="1:15" ht="13.5" customHeight="1" x14ac:dyDescent="0.3">
      <c r="B518" s="99" t="s">
        <v>7035</v>
      </c>
      <c r="C518" s="236">
        <f>VLOOKUP("OPEXInsuranceEverythingDefault",Econ.inputsTable!$E:$H,2,FALSE)</f>
        <v>5.0000000000000001E-3</v>
      </c>
      <c r="D518" s="237">
        <f>VLOOKUP("OPEXRepair and maintenanceEquipmentDefault",Econ.inputsTable!$E:$G,2,FALSE)</f>
        <v>0.03</v>
      </c>
      <c r="H518" s="147">
        <f>E481</f>
        <v>28.340662413331408</v>
      </c>
      <c r="I518" s="259">
        <f>H518*E493</f>
        <v>104.7609912461398</v>
      </c>
      <c r="J518" s="259">
        <f>VLOOKUP("OPEXLubeLubeDefault",Econ.inputsTable!$E:$G,2,FALSE)*I518</f>
        <v>10.476099124613981</v>
      </c>
      <c r="K518" s="147">
        <f>E475*UDV.OPEX_labor.tractor_stationary</f>
        <v>0.37787549884441879</v>
      </c>
      <c r="L518" s="229">
        <f>K518*E495</f>
        <v>8.9405343026589481</v>
      </c>
      <c r="N518" s="152"/>
      <c r="O518" s="264">
        <f t="shared" si="34"/>
        <v>7029.6776246734116</v>
      </c>
    </row>
    <row r="519" spans="1:15" ht="13.5" customHeight="1" x14ac:dyDescent="0.3">
      <c r="B519" s="99" t="s">
        <v>7047</v>
      </c>
      <c r="C519" s="236">
        <f>VLOOKUP("OPEXInsuranceEverythingDefault",Econ.inputsTable!$E:$H,2,FALSE)</f>
        <v>5.0000000000000001E-3</v>
      </c>
      <c r="D519" s="237">
        <f>VLOOKUP("OPEXRepair and maintenanceEquipmentDefault",Econ.inputsTable!$E:$G,2,FALSE)</f>
        <v>0.03</v>
      </c>
      <c r="H519" s="147">
        <f>E482</f>
        <v>0</v>
      </c>
      <c r="I519" s="259">
        <f>H519*E493</f>
        <v>0</v>
      </c>
      <c r="J519" s="259">
        <f>VLOOKUP("OPEXLubeLubeDefault",Econ.inputsTable!$E:$G,2,FALSE)*I519</f>
        <v>0</v>
      </c>
      <c r="K519" s="147">
        <f>E476*UDV.OPEX_labor.tractor_stationary</f>
        <v>0.37787549884441879</v>
      </c>
      <c r="L519" s="229">
        <f>K519*E495</f>
        <v>8.9405343026589481</v>
      </c>
      <c r="N519" s="152"/>
      <c r="O519" s="264">
        <f t="shared" si="34"/>
        <v>8.9405343026589481</v>
      </c>
    </row>
    <row r="520" spans="1:15" ht="13.5" customHeight="1" x14ac:dyDescent="0.3">
      <c r="B520" s="99" t="s">
        <v>7037</v>
      </c>
      <c r="C520" s="236">
        <f>VLOOKUP("OPEXInsuranceEverythingDefault",Econ.inputsTable!$E:$H,2,FALSE)</f>
        <v>5.0000000000000001E-3</v>
      </c>
      <c r="D520" s="237">
        <f>VLOOKUP("OPEXRepair and maintenanceEquipmentDefault",Econ.inputsTable!$E:$G,2,FALSE)</f>
        <v>0.03</v>
      </c>
      <c r="H520" s="147">
        <f>E483</f>
        <v>110.89890140086001</v>
      </c>
      <c r="I520" s="259">
        <f>H520*E493</f>
        <v>409.93674281222803</v>
      </c>
      <c r="J520" s="259">
        <f>VLOOKUP("OPEXLubeLubeDefault",Econ.inputsTable!$E:$G,2,FALSE)*I520</f>
        <v>40.993674281222809</v>
      </c>
      <c r="K520" s="205">
        <f>VLOOKUP("OPEXLaborTractorDefault",Econ.inputsTable!$E:$G,2,FALSE)*C477*E472</f>
        <v>4.7801250603818977</v>
      </c>
      <c r="L520" s="229">
        <f>K520*E495</f>
        <v>113.0977589286357</v>
      </c>
      <c r="N520" s="152"/>
      <c r="O520" s="264">
        <f t="shared" si="34"/>
        <v>660.97345781486808</v>
      </c>
    </row>
    <row r="521" spans="1:15" ht="13.5" customHeight="1" x14ac:dyDescent="0.3">
      <c r="B521" s="99" t="s">
        <v>7048</v>
      </c>
      <c r="C521" s="236">
        <f>VLOOKUP("OPEXInsuranceEverythingDefault",Econ.inputsTable!$E:$H,2,FALSE)</f>
        <v>5.0000000000000001E-3</v>
      </c>
      <c r="D521" s="237">
        <f>VLOOKUP("OPEXRepair and maintenanceEquipmentDefault",Econ.inputsTable!$E:$G,2,FALSE)</f>
        <v>0.03</v>
      </c>
      <c r="H521" s="147"/>
      <c r="I521" s="259"/>
      <c r="J521" s="259"/>
      <c r="K521" s="205"/>
      <c r="L521" s="229"/>
      <c r="N521" s="152"/>
      <c r="O521" s="264">
        <f t="shared" si="34"/>
        <v>1557.4999999999998</v>
      </c>
    </row>
    <row r="522" spans="1:15" ht="13.5" customHeight="1" x14ac:dyDescent="0.3">
      <c r="B522" s="99" t="s">
        <v>7007</v>
      </c>
      <c r="C522" s="236">
        <f>VLOOKUP("OPEXInsuranceEverythingDefault",Econ.inputsTable!$E:$H,2,FALSE)</f>
        <v>5.0000000000000001E-3</v>
      </c>
      <c r="D522" s="237">
        <f>VLOOKUP("OPEXRepair and maintenanceEquipmentDefault",Econ.inputsTable!$E:$G,2,FALSE)</f>
        <v>0.03</v>
      </c>
      <c r="H522" s="147"/>
      <c r="I522" s="259"/>
      <c r="J522" s="259"/>
      <c r="K522" s="205"/>
      <c r="L522" s="229"/>
      <c r="N522" s="152"/>
      <c r="O522" s="264">
        <f t="shared" si="34"/>
        <v>0</v>
      </c>
    </row>
    <row r="523" spans="1:15" ht="13.5" customHeight="1" x14ac:dyDescent="0.3">
      <c r="B523" s="99" t="s">
        <v>7008</v>
      </c>
      <c r="C523" s="236">
        <f>VLOOKUP("OPEXInsuranceEverythingDefault",Econ.inputsTable!$E:$H,2,FALSE)</f>
        <v>5.0000000000000001E-3</v>
      </c>
      <c r="D523" s="237">
        <f>VLOOKUP("OPEXRepair and maintenanceEquipmentDefault",Econ.inputsTable!$E:$G,2,FALSE)</f>
        <v>0.03</v>
      </c>
      <c r="H523" s="147"/>
      <c r="I523" s="259"/>
      <c r="J523" s="259"/>
      <c r="K523" s="205"/>
      <c r="L523" s="229"/>
      <c r="N523" s="152"/>
      <c r="O523" s="264">
        <f t="shared" si="34"/>
        <v>2831.4999999999995</v>
      </c>
    </row>
    <row r="524" spans="1:15" ht="13.5" customHeight="1" x14ac:dyDescent="0.3">
      <c r="B524" s="99" t="s">
        <v>7039</v>
      </c>
      <c r="C524" s="236">
        <f>VLOOKUP("OPEXInsuranceEverythingDefault",Econ.inputsTable!$E:$H,2,FALSE)</f>
        <v>5.0000000000000001E-3</v>
      </c>
      <c r="D524" s="237">
        <f>VLOOKUP("OPEXRepair and maintenanceEquipmentDefault",Econ.inputsTable!$E:$G,2,FALSE)</f>
        <v>0.03</v>
      </c>
      <c r="H524" s="147">
        <f>E484</f>
        <v>42.397630970343783</v>
      </c>
      <c r="I524" s="259">
        <f>H524*E493</f>
        <v>156.72244290422512</v>
      </c>
      <c r="J524" s="259">
        <f>VLOOKUP("OPEXLubeLubeDefault",Econ.inputsTable!$E:$G,2,FALSE)*I524</f>
        <v>15.672244290422512</v>
      </c>
      <c r="K524" s="205">
        <f>VLOOKUP("OPEXLaborTractorDefault",Econ.inputsTable!$E:$G,2,FALSE)*C478*E472</f>
        <v>3.1174728654664547</v>
      </c>
      <c r="L524" s="229">
        <f>K524*E495</f>
        <v>73.759407996936318</v>
      </c>
      <c r="N524" s="152"/>
      <c r="O524" s="264">
        <f t="shared" si="34"/>
        <v>294.82776585336001</v>
      </c>
    </row>
    <row r="525" spans="1:15" ht="13.5" customHeight="1" x14ac:dyDescent="0.3">
      <c r="B525" s="99" t="s">
        <v>1325</v>
      </c>
      <c r="C525" s="236">
        <f>VLOOKUP("OPEXInsuranceEverythingDefault",Econ.inputsTable!$E:$H,2,FALSE)</f>
        <v>5.0000000000000001E-3</v>
      </c>
      <c r="D525" s="237">
        <f>VLOOKUP("OPEXRepair and maintenanceEquipmentDefault",Econ.inputsTable!$E:$G,2,FALSE)</f>
        <v>0.03</v>
      </c>
      <c r="H525" s="147"/>
      <c r="I525" s="259"/>
      <c r="J525" s="259"/>
      <c r="K525" s="205"/>
      <c r="L525" s="229"/>
      <c r="N525" s="152"/>
      <c r="O525" s="264">
        <f t="shared" si="34"/>
        <v>461.99999999999994</v>
      </c>
    </row>
    <row r="526" spans="1:15" ht="13.5" customHeight="1" x14ac:dyDescent="0.3">
      <c r="B526" s="99" t="s">
        <v>3007</v>
      </c>
      <c r="C526" s="236">
        <f>VLOOKUP("OPEXInsuranceEverythingDefault",Econ.inputsTable!$E:$H,2,FALSE)</f>
        <v>5.0000000000000001E-3</v>
      </c>
      <c r="D526" s="237">
        <f>VLOOKUP("OPEXRepair and maintenanceEquipmentDefault",Econ.inputsTable!$E:$G,2,FALSE)</f>
        <v>0.03</v>
      </c>
      <c r="H526" s="147"/>
      <c r="I526" s="259"/>
      <c r="J526" s="259"/>
      <c r="K526" s="205"/>
      <c r="L526" s="229"/>
      <c r="N526" s="152"/>
      <c r="O526" s="264">
        <f t="shared" si="34"/>
        <v>532</v>
      </c>
    </row>
    <row r="527" spans="1:15" ht="13.5" customHeight="1" x14ac:dyDescent="0.3">
      <c r="B527" s="235" t="s">
        <v>3465</v>
      </c>
      <c r="C527" s="236">
        <f>VLOOKUP("OPEXInsuranceEverythingDefault",Econ.inputsTable!$E:$H,2,FALSE)</f>
        <v>5.0000000000000001E-3</v>
      </c>
      <c r="D527" s="237">
        <f>VLOOKUP("OPEXRepair and maintenanceBuildings and constructionDefault",Econ.inputsTable!$E:$G,2,FALSE)</f>
        <v>0.01</v>
      </c>
      <c r="H527" s="147"/>
      <c r="I527" s="259"/>
      <c r="J527" s="259"/>
      <c r="K527" s="205"/>
      <c r="L527" s="229"/>
      <c r="N527" s="152"/>
      <c r="O527" s="264">
        <f t="shared" si="34"/>
        <v>1425.6</v>
      </c>
    </row>
    <row r="528" spans="1:15" ht="13.5" customHeight="1" x14ac:dyDescent="0.3">
      <c r="B528" s="99" t="s">
        <v>349</v>
      </c>
      <c r="C528" s="236">
        <f>VLOOKUP("OPEXInsuranceEverythingDefault",Econ.inputsTable!$E:$H,2,FALSE)</f>
        <v>5.0000000000000001E-3</v>
      </c>
      <c r="D528" s="237">
        <f>VLOOKUP("OPEXRepair and maintenanceEquipmentDefault",Econ.inputsTable!$E:$G,2,FALSE)</f>
        <v>0.03</v>
      </c>
      <c r="H528" s="147">
        <f>E485</f>
        <v>3.4008794895997685</v>
      </c>
      <c r="I528" s="259">
        <f>H528*E493</f>
        <v>12.571318949536774</v>
      </c>
      <c r="J528" s="259">
        <f>VLOOKUP("OPEXLubeLubeDefault",Econ.inputsTable!$E:$G,2,FALSE)*I528</f>
        <v>1.2571318949536776</v>
      </c>
      <c r="K528" s="205">
        <f>VLOOKUP("OPEXLaborTractorDefault",Econ.inputsTable!$E:$G,2,FALSE)*C479*E472</f>
        <v>0.62349457309329104</v>
      </c>
      <c r="L528" s="229">
        <f>K528*E495</f>
        <v>14.751881599387266</v>
      </c>
      <c r="N528" s="152"/>
      <c r="O528" s="264">
        <f t="shared" si="34"/>
        <v>33.238403718132865</v>
      </c>
    </row>
    <row r="529" spans="1:15" ht="13.5" customHeight="1" x14ac:dyDescent="0.3">
      <c r="A529" t="s">
        <v>5205</v>
      </c>
      <c r="B529" s="162" t="s">
        <v>5203</v>
      </c>
      <c r="C529" s="241"/>
      <c r="D529" s="241"/>
      <c r="E529" s="242">
        <f t="shared" ref="E529:N529" si="35">SUM(E517:E528)</f>
        <v>0</v>
      </c>
      <c r="F529" s="163">
        <f t="shared" si="35"/>
        <v>0</v>
      </c>
      <c r="G529" s="242">
        <f t="shared" si="35"/>
        <v>0</v>
      </c>
      <c r="H529" s="168">
        <f t="shared" si="35"/>
        <v>253.05566406613033</v>
      </c>
      <c r="I529" s="242">
        <f t="shared" si="35"/>
        <v>935.41787490286515</v>
      </c>
      <c r="J529" s="242">
        <f t="shared" si="35"/>
        <v>93.541787490286524</v>
      </c>
      <c r="K529" s="335">
        <f t="shared" si="35"/>
        <v>9.6547189954748998</v>
      </c>
      <c r="L529" s="242">
        <f t="shared" si="35"/>
        <v>228.43065143293614</v>
      </c>
      <c r="M529" s="163">
        <f t="shared" si="35"/>
        <v>0</v>
      </c>
      <c r="N529" s="163">
        <f t="shared" si="35"/>
        <v>0</v>
      </c>
      <c r="O529" s="169">
        <f>SUM(O517:O528)</f>
        <v>25390.767337554895</v>
      </c>
    </row>
    <row r="530" spans="1:15" ht="14.4" x14ac:dyDescent="0.3">
      <c r="B530" s="99"/>
      <c r="O530" s="146"/>
    </row>
    <row r="531" spans="1:15" ht="14.4" x14ac:dyDescent="0.3">
      <c r="A531" t="s">
        <v>5205</v>
      </c>
      <c r="B531" s="149" t="s">
        <v>6980</v>
      </c>
      <c r="C531" s="159">
        <f>O529</f>
        <v>25390.767337554895</v>
      </c>
      <c r="D531" s="150"/>
      <c r="E531" s="150"/>
      <c r="F531" s="150"/>
      <c r="G531" s="150"/>
      <c r="H531" s="150"/>
      <c r="I531" s="150"/>
      <c r="J531" s="150"/>
      <c r="K531" s="150"/>
      <c r="L531" s="150"/>
      <c r="M531" s="150"/>
      <c r="N531" s="150"/>
      <c r="O531" s="151"/>
    </row>
    <row r="533" spans="1:15" ht="13.5" customHeight="1" x14ac:dyDescent="0.3">
      <c r="B533" s="244" t="s">
        <v>7010</v>
      </c>
      <c r="C533" s="245" t="s">
        <v>7049</v>
      </c>
    </row>
    <row r="534" spans="1:15" ht="13.5" customHeight="1" x14ac:dyDescent="0.3">
      <c r="B534" s="246" t="s">
        <v>7012</v>
      </c>
      <c r="C534" s="173" t="s">
        <v>5181</v>
      </c>
    </row>
    <row r="535" spans="1:15" ht="14.4" x14ac:dyDescent="0.3">
      <c r="A535" t="s">
        <v>5205</v>
      </c>
      <c r="B535" s="99" t="s">
        <v>7013</v>
      </c>
      <c r="C535" s="167">
        <f>VLOOKUP("Fertilizer value for on-farm use, slurry",$R$1:$T$299,3, FALSE)</f>
        <v>7923.9347030405379</v>
      </c>
    </row>
    <row r="536" spans="1:15" ht="14.4" x14ac:dyDescent="0.3">
      <c r="A536" t="s">
        <v>5205</v>
      </c>
      <c r="B536" s="99" t="s">
        <v>7014</v>
      </c>
      <c r="C536" s="157">
        <f>SUM(C535)</f>
        <v>7923.9347030405379</v>
      </c>
    </row>
    <row r="537" spans="1:15" ht="14.4" x14ac:dyDescent="0.3">
      <c r="B537" s="99"/>
      <c r="C537" s="146"/>
    </row>
    <row r="538" spans="1:15" ht="13.5" customHeight="1" x14ac:dyDescent="0.3">
      <c r="B538" s="247" t="s">
        <v>7015</v>
      </c>
      <c r="C538" s="173" t="s">
        <v>5181</v>
      </c>
    </row>
    <row r="539" spans="1:15" ht="14.4" x14ac:dyDescent="0.3">
      <c r="A539" t="s">
        <v>5205</v>
      </c>
      <c r="B539" s="99" t="s">
        <v>7016</v>
      </c>
      <c r="C539" s="167">
        <f>UDV.econ_manure.liquid_sell_price*C452</f>
        <v>0</v>
      </c>
    </row>
    <row r="540" spans="1:15" ht="14.4" x14ac:dyDescent="0.3">
      <c r="A540" t="s">
        <v>5205</v>
      </c>
      <c r="B540" s="99" t="s">
        <v>7017</v>
      </c>
      <c r="C540" s="157">
        <f>SUM(C539)</f>
        <v>0</v>
      </c>
    </row>
    <row r="541" spans="1:15" ht="14.4" x14ac:dyDescent="0.3">
      <c r="B541" s="99"/>
      <c r="C541" s="248"/>
    </row>
    <row r="542" spans="1:15" ht="13.5" customHeight="1" x14ac:dyDescent="0.3">
      <c r="B542" s="249" t="s">
        <v>7018</v>
      </c>
      <c r="C542" s="173" t="s">
        <v>5181</v>
      </c>
    </row>
    <row r="543" spans="1:15" ht="14.4" x14ac:dyDescent="0.3">
      <c r="A543" t="s">
        <v>5205</v>
      </c>
      <c r="B543" s="99" t="s">
        <v>7019</v>
      </c>
      <c r="C543" s="167">
        <f>UDV.econ_manure.liquid_sell_price*C453</f>
        <v>976.57691392584854</v>
      </c>
    </row>
    <row r="544" spans="1:15" ht="14.4" x14ac:dyDescent="0.3">
      <c r="A544" t="s">
        <v>5205</v>
      </c>
      <c r="B544" s="99" t="s">
        <v>7020</v>
      </c>
      <c r="C544" s="157">
        <f>SUM(C543)</f>
        <v>976.57691392584854</v>
      </c>
    </row>
    <row r="545" spans="1:23" ht="14.4" x14ac:dyDescent="0.3">
      <c r="B545" s="99"/>
      <c r="C545" s="146"/>
    </row>
    <row r="546" spans="1:23" ht="13.5" customHeight="1" x14ac:dyDescent="0.3">
      <c r="B546" s="250" t="s">
        <v>7021</v>
      </c>
      <c r="C546" s="173" t="s">
        <v>5181</v>
      </c>
    </row>
    <row r="547" spans="1:23" ht="14.4" x14ac:dyDescent="0.3">
      <c r="A547" t="s">
        <v>5205</v>
      </c>
      <c r="B547" s="99" t="s">
        <v>7022</v>
      </c>
      <c r="C547" s="167">
        <f>UDV.econ_manure.liquid_export_cost*C454</f>
        <v>0</v>
      </c>
    </row>
    <row r="548" spans="1:23" ht="14.4" x14ac:dyDescent="0.3">
      <c r="A548" t="s">
        <v>5205</v>
      </c>
      <c r="B548" s="99" t="s">
        <v>7023</v>
      </c>
      <c r="C548" s="157">
        <f>SUM(C547)</f>
        <v>0</v>
      </c>
    </row>
    <row r="550" spans="1:23" ht="14.4" x14ac:dyDescent="0.3">
      <c r="B550" s="92" t="s">
        <v>7024</v>
      </c>
      <c r="C550" s="173" t="s">
        <v>7025</v>
      </c>
    </row>
    <row r="551" spans="1:23" ht="14.4" x14ac:dyDescent="0.3">
      <c r="A551" t="s">
        <v>5205</v>
      </c>
      <c r="B551" s="149" t="s">
        <v>7026</v>
      </c>
      <c r="C551" s="251"/>
    </row>
    <row r="552" spans="1:23" ht="15" thickBot="1" x14ac:dyDescent="0.35">
      <c r="A552" s="137"/>
      <c r="B552" s="137"/>
      <c r="C552" s="137"/>
      <c r="D552" s="137"/>
      <c r="E552" s="137"/>
      <c r="F552" s="137"/>
      <c r="G552" s="137"/>
      <c r="H552" s="137"/>
      <c r="I552" s="137"/>
      <c r="J552" s="137"/>
      <c r="K552" s="137"/>
      <c r="L552" s="137"/>
      <c r="M552" s="137"/>
      <c r="N552" s="137"/>
      <c r="O552" s="137"/>
      <c r="P552" s="137"/>
      <c r="Q552" s="137"/>
    </row>
    <row r="553" spans="1:23" ht="14.4" x14ac:dyDescent="0.3">
      <c r="E553" s="266"/>
    </row>
    <row r="554" spans="1:23" ht="13.5" customHeight="1" x14ac:dyDescent="0.3">
      <c r="B554" s="139" t="s">
        <v>7050</v>
      </c>
      <c r="C554" s="142"/>
      <c r="D554" s="142"/>
      <c r="E554" s="66"/>
      <c r="F554" s="267"/>
      <c r="G554" s="267"/>
      <c r="H554" s="268"/>
      <c r="I554" s="269"/>
      <c r="J554" s="270"/>
      <c r="K554" s="142"/>
      <c r="L554" s="269"/>
      <c r="M554" s="142"/>
      <c r="N554" s="142"/>
      <c r="O554" s="142"/>
      <c r="P554" s="142"/>
      <c r="Q554" s="142"/>
      <c r="R554" s="142"/>
      <c r="S554" s="142"/>
      <c r="T554" s="271"/>
      <c r="U554" s="142"/>
      <c r="V554" s="142"/>
      <c r="W554" s="272"/>
    </row>
    <row r="555" spans="1:23" ht="13.5" customHeight="1" x14ac:dyDescent="0.3">
      <c r="B555" s="92" t="s">
        <v>7051</v>
      </c>
      <c r="E555" s="66"/>
      <c r="F555" s="66"/>
      <c r="G555" s="66"/>
      <c r="H555" s="19"/>
      <c r="I555" s="42"/>
      <c r="J555" s="3"/>
      <c r="L555" s="42"/>
      <c r="T555" s="20"/>
      <c r="W555" s="113"/>
    </row>
    <row r="556" spans="1:23" ht="13.5" customHeight="1" x14ac:dyDescent="0.3">
      <c r="B556" s="99"/>
      <c r="D556" s="66"/>
      <c r="E556" s="66"/>
      <c r="F556" s="66"/>
      <c r="G556" s="19"/>
      <c r="H556" s="19"/>
      <c r="I556" s="42"/>
      <c r="J556" s="3"/>
      <c r="L556" s="42"/>
      <c r="T556" s="20"/>
      <c r="W556" s="113"/>
    </row>
    <row r="557" spans="1:23" ht="13.5" customHeight="1" x14ac:dyDescent="0.3">
      <c r="B557" s="92" t="s">
        <v>7052</v>
      </c>
      <c r="C557" s="82" t="s">
        <v>565</v>
      </c>
      <c r="D557" s="82" t="s">
        <v>38</v>
      </c>
      <c r="E557" s="66"/>
      <c r="H557" s="19"/>
      <c r="I557" s="42"/>
      <c r="J557" s="3"/>
      <c r="L557" s="42"/>
      <c r="T557" s="20"/>
      <c r="W557" s="113"/>
    </row>
    <row r="558" spans="1:23" ht="13.5" customHeight="1" x14ac:dyDescent="0.3">
      <c r="B558" s="99" t="s">
        <v>5859</v>
      </c>
      <c r="C558">
        <f>UDV.animal.total</f>
        <v>500</v>
      </c>
      <c r="D558" t="s">
        <v>2442</v>
      </c>
      <c r="E558" s="66"/>
      <c r="H558" s="19"/>
      <c r="I558" s="42"/>
      <c r="J558" s="3"/>
      <c r="L558" s="42"/>
      <c r="T558" s="20"/>
      <c r="W558" s="113"/>
    </row>
    <row r="559" spans="1:23" ht="13.5" customHeight="1" x14ac:dyDescent="0.3">
      <c r="B559" s="174" t="s">
        <v>5386</v>
      </c>
      <c r="C559">
        <f>UDV.crops.acres_available</f>
        <v>100</v>
      </c>
      <c r="D559" t="s">
        <v>7029</v>
      </c>
      <c r="E559" s="66"/>
      <c r="H559" s="19"/>
      <c r="I559" s="42"/>
      <c r="J559" s="3"/>
      <c r="L559" s="42"/>
      <c r="T559" s="20"/>
      <c r="W559" s="113"/>
    </row>
    <row r="560" spans="1:23" ht="13.5" customHeight="1" x14ac:dyDescent="0.3">
      <c r="B560" s="99" t="s">
        <v>5114</v>
      </c>
      <c r="C560" t="str">
        <f>UDV.u.state</f>
        <v>Iowa</v>
      </c>
      <c r="D560" t="s">
        <v>2852</v>
      </c>
      <c r="E560" s="66"/>
      <c r="H560" s="19"/>
      <c r="I560" s="42"/>
      <c r="J560" s="3"/>
      <c r="L560" s="42"/>
      <c r="T560" s="20"/>
      <c r="W560" s="113"/>
    </row>
    <row r="561" spans="1:23" ht="13.5" customHeight="1" x14ac:dyDescent="0.3">
      <c r="B561" s="99"/>
      <c r="C561" s="166"/>
      <c r="E561" s="66"/>
      <c r="H561" s="19"/>
      <c r="I561" s="42"/>
      <c r="J561" s="3"/>
      <c r="L561" s="42"/>
      <c r="T561" s="20"/>
      <c r="W561" s="113"/>
    </row>
    <row r="562" spans="1:23" ht="13.5" customHeight="1" x14ac:dyDescent="0.3">
      <c r="B562" s="99"/>
      <c r="D562" s="66"/>
      <c r="E562" s="66"/>
      <c r="F562" s="66"/>
      <c r="H562" s="19"/>
      <c r="I562" s="42"/>
      <c r="J562" s="3"/>
      <c r="L562" s="42"/>
      <c r="T562" s="20"/>
      <c r="W562" s="113"/>
    </row>
    <row r="563" spans="1:23" ht="13.5" customHeight="1" x14ac:dyDescent="0.3">
      <c r="A563" t="s">
        <v>4912</v>
      </c>
      <c r="B563" s="92" t="s">
        <v>7053</v>
      </c>
      <c r="C563" s="82" t="s">
        <v>5181</v>
      </c>
      <c r="D563" s="82" t="s">
        <v>7054</v>
      </c>
      <c r="E563" s="66"/>
      <c r="J563" s="3"/>
      <c r="L563" s="42"/>
      <c r="T563" s="20"/>
      <c r="W563" s="113"/>
    </row>
    <row r="564" spans="1:23" ht="13.5" customHeight="1" x14ac:dyDescent="0.3">
      <c r="A564" t="s">
        <v>4912</v>
      </c>
      <c r="B564" s="275" t="s">
        <v>2585</v>
      </c>
      <c r="C564" s="276">
        <f>F580</f>
        <v>37970.784770478174</v>
      </c>
      <c r="D564" s="153">
        <f>C564/C558</f>
        <v>75.941569540956351</v>
      </c>
      <c r="E564" s="66"/>
      <c r="F564" s="66"/>
      <c r="G564" s="19"/>
      <c r="H564" s="19"/>
      <c r="I564" s="42"/>
      <c r="J564" s="3"/>
      <c r="L564" s="42"/>
      <c r="T564" s="20"/>
      <c r="W564" s="113"/>
    </row>
    <row r="565" spans="1:23" ht="13.5" customHeight="1" x14ac:dyDescent="0.3">
      <c r="A565" t="s">
        <v>4912</v>
      </c>
      <c r="B565" s="275" t="s">
        <v>2588</v>
      </c>
      <c r="C565" s="276">
        <f>SUM(G580,L580)</f>
        <v>13923.77673539016</v>
      </c>
      <c r="D565" s="153">
        <f>C565/C558</f>
        <v>27.847553470780319</v>
      </c>
      <c r="E565" s="66"/>
      <c r="F565" s="66"/>
      <c r="G565" s="66"/>
      <c r="H565" s="19"/>
      <c r="I565" s="42"/>
      <c r="J565" s="3"/>
      <c r="L565" s="42"/>
      <c r="T565" s="20"/>
      <c r="W565" s="113"/>
    </row>
    <row r="566" spans="1:23" ht="13.5" customHeight="1" x14ac:dyDescent="0.3">
      <c r="A566" t="s">
        <v>4912</v>
      </c>
      <c r="B566" s="275" t="s">
        <v>441</v>
      </c>
      <c r="C566" s="276">
        <f>I580</f>
        <v>0</v>
      </c>
      <c r="D566" s="153">
        <f>C566/C558</f>
        <v>0</v>
      </c>
      <c r="E566" s="66"/>
      <c r="F566" s="66"/>
      <c r="G566" s="66"/>
      <c r="I566" s="42"/>
      <c r="J566" s="3"/>
      <c r="L566" s="42"/>
      <c r="T566" s="20"/>
      <c r="W566" s="113"/>
    </row>
    <row r="567" spans="1:23" ht="13.5" customHeight="1" x14ac:dyDescent="0.3">
      <c r="A567" t="s">
        <v>4912</v>
      </c>
      <c r="B567" s="275" t="s">
        <v>440</v>
      </c>
      <c r="C567" s="276">
        <f>J580</f>
        <v>7923.9347030405379</v>
      </c>
      <c r="D567" s="153">
        <f>C567/C558</f>
        <v>15.847869406081076</v>
      </c>
      <c r="E567" s="66"/>
      <c r="F567" s="66"/>
      <c r="G567" s="66"/>
      <c r="I567" s="42"/>
      <c r="J567" s="3"/>
      <c r="L567" s="42"/>
      <c r="T567" s="20"/>
      <c r="W567" s="113"/>
    </row>
    <row r="568" spans="1:23" ht="13.5" customHeight="1" x14ac:dyDescent="0.3">
      <c r="A568" t="s">
        <v>4912</v>
      </c>
      <c r="B568" s="275" t="s">
        <v>442</v>
      </c>
      <c r="C568" s="276">
        <f>K580</f>
        <v>0</v>
      </c>
      <c r="D568" s="153">
        <f>C568/C558</f>
        <v>0</v>
      </c>
      <c r="E568" s="66"/>
      <c r="F568" s="66"/>
      <c r="G568" s="66"/>
      <c r="I568" s="42"/>
      <c r="J568" s="3"/>
      <c r="L568" s="42"/>
      <c r="P568" s="277"/>
      <c r="T568" s="20"/>
      <c r="W568" s="113"/>
    </row>
    <row r="569" spans="1:23" ht="13.5" customHeight="1" x14ac:dyDescent="0.3">
      <c r="A569" t="s">
        <v>4912</v>
      </c>
      <c r="B569" s="2270" t="s">
        <v>439</v>
      </c>
      <c r="C569" s="2271">
        <f>M580</f>
        <v>-51894.561505868332</v>
      </c>
      <c r="D569" s="261">
        <f>C569/C558</f>
        <v>-103.78912301173666</v>
      </c>
      <c r="E569" s="288"/>
      <c r="G569" s="66"/>
      <c r="I569" s="42"/>
      <c r="J569" s="3"/>
      <c r="L569" s="42"/>
      <c r="T569" s="20"/>
      <c r="W569" s="113"/>
    </row>
    <row r="570" spans="1:23" ht="13.5" customHeight="1" x14ac:dyDescent="0.3">
      <c r="A570" t="s">
        <v>4912</v>
      </c>
      <c r="B570" s="99" t="s">
        <v>7055</v>
      </c>
      <c r="C570" s="276">
        <f>L580</f>
        <v>0</v>
      </c>
      <c r="D570" s="153">
        <f>C570/C558</f>
        <v>0</v>
      </c>
      <c r="E570" s="279" t="s">
        <v>7056</v>
      </c>
      <c r="F570" s="66"/>
      <c r="G570" s="66"/>
      <c r="I570" s="42"/>
      <c r="J570" s="3"/>
      <c r="L570" s="42"/>
      <c r="T570" s="20"/>
      <c r="W570" s="113"/>
    </row>
    <row r="571" spans="1:23" ht="13.5" customHeight="1" x14ac:dyDescent="0.3">
      <c r="A571" t="s">
        <v>4912</v>
      </c>
      <c r="B571" s="99" t="s">
        <v>7057</v>
      </c>
      <c r="C571" s="153">
        <f>C564+C565</f>
        <v>51894.561505868332</v>
      </c>
      <c r="D571" s="153">
        <f>C571/C558</f>
        <v>103.78912301173666</v>
      </c>
      <c r="E571" s="66"/>
      <c r="F571" s="66"/>
      <c r="G571" s="66"/>
      <c r="I571" s="42"/>
      <c r="J571" s="3"/>
      <c r="L571" s="42"/>
      <c r="T571" s="20"/>
      <c r="W571" s="113"/>
    </row>
    <row r="572" spans="1:23" ht="13.5" customHeight="1" x14ac:dyDescent="0.3">
      <c r="A572" t="s">
        <v>4912</v>
      </c>
      <c r="B572" s="853" t="s">
        <v>5392</v>
      </c>
      <c r="C572" s="142"/>
      <c r="D572" s="854">
        <f>E580</f>
        <v>1076459.2517551419</v>
      </c>
      <c r="E572" s="271" t="s">
        <v>2284</v>
      </c>
      <c r="G572" s="66"/>
      <c r="I572" s="42"/>
      <c r="J572" s="3"/>
      <c r="L572" s="42"/>
      <c r="T572" s="20"/>
      <c r="W572" s="113"/>
    </row>
    <row r="573" spans="1:23" ht="13.5" customHeight="1" x14ac:dyDescent="0.3">
      <c r="A573" t="s">
        <v>4912</v>
      </c>
      <c r="B573" s="852" t="s">
        <v>5393</v>
      </c>
      <c r="D573" s="274">
        <f>E580/C558</f>
        <v>2152.9185035102837</v>
      </c>
      <c r="E573" s="20" t="s">
        <v>7058</v>
      </c>
      <c r="G573" s="66"/>
      <c r="I573" s="42"/>
      <c r="J573" s="3"/>
      <c r="L573" s="42"/>
      <c r="T573" s="20"/>
      <c r="W573" s="113"/>
    </row>
    <row r="574" spans="1:23" ht="13.5" customHeight="1" x14ac:dyDescent="0.3">
      <c r="B574" s="99"/>
      <c r="E574" s="66"/>
      <c r="H574" s="42"/>
      <c r="I574" s="3"/>
      <c r="K574" s="42"/>
      <c r="N574" s="273" t="s">
        <v>7059</v>
      </c>
      <c r="O574" s="90"/>
      <c r="P574" s="90"/>
      <c r="Q574" s="90"/>
      <c r="R574" s="90"/>
      <c r="S574" s="279"/>
      <c r="T574" s="90"/>
      <c r="U574" s="90"/>
      <c r="V574" s="66"/>
      <c r="W574" s="280"/>
    </row>
    <row r="575" spans="1:23" ht="13.5" customHeight="1" x14ac:dyDescent="0.3">
      <c r="B575" s="92" t="s">
        <v>7060</v>
      </c>
      <c r="E575" s="66"/>
      <c r="M575" s="113"/>
      <c r="N575" s="90" t="s">
        <v>5323</v>
      </c>
      <c r="O575" s="90" t="s">
        <v>5181</v>
      </c>
      <c r="P575" s="90" t="s">
        <v>5324</v>
      </c>
      <c r="Q575" s="90" t="s">
        <v>5181</v>
      </c>
      <c r="R575" s="90" t="s">
        <v>2710</v>
      </c>
      <c r="S575" s="90" t="s">
        <v>5181</v>
      </c>
      <c r="T575" s="90" t="s">
        <v>2710</v>
      </c>
      <c r="U575" s="90" t="s">
        <v>5181</v>
      </c>
      <c r="V575" s="90" t="s">
        <v>2710</v>
      </c>
      <c r="W575" s="280" t="s">
        <v>5181</v>
      </c>
    </row>
    <row r="576" spans="1:23" ht="13.5" customHeight="1" x14ac:dyDescent="0.3">
      <c r="B576" s="92" t="s">
        <v>5187</v>
      </c>
      <c r="C576" s="82" t="s">
        <v>7061</v>
      </c>
      <c r="D576" s="82" t="s">
        <v>7062</v>
      </c>
      <c r="E576" s="277" t="s">
        <v>7063</v>
      </c>
      <c r="F576" s="82" t="s">
        <v>7064</v>
      </c>
      <c r="G576" s="277" t="s">
        <v>2588</v>
      </c>
      <c r="H576" s="82" t="s">
        <v>5188</v>
      </c>
      <c r="I576" s="82" t="s">
        <v>5189</v>
      </c>
      <c r="J576" s="82" t="s">
        <v>5190</v>
      </c>
      <c r="K576" s="82" t="s">
        <v>442</v>
      </c>
      <c r="L576" s="82" t="s">
        <v>5191</v>
      </c>
      <c r="M576" s="173" t="s">
        <v>439</v>
      </c>
      <c r="N576" s="281" t="s">
        <v>5192</v>
      </c>
      <c r="O576" s="281" t="s">
        <v>5193</v>
      </c>
      <c r="P576" s="281" t="s">
        <v>5194</v>
      </c>
      <c r="Q576" s="281" t="s">
        <v>5195</v>
      </c>
      <c r="R576" s="281" t="s">
        <v>5196</v>
      </c>
      <c r="S576" s="281" t="s">
        <v>5197</v>
      </c>
      <c r="T576" s="281" t="s">
        <v>5198</v>
      </c>
      <c r="U576" s="281" t="s">
        <v>5199</v>
      </c>
      <c r="V576" s="281" t="s">
        <v>5200</v>
      </c>
      <c r="W576" s="282" t="s">
        <v>5201</v>
      </c>
    </row>
    <row r="577" spans="1:25" ht="13.5" customHeight="1" x14ac:dyDescent="0.3">
      <c r="A577" t="s">
        <v>7066</v>
      </c>
      <c r="B577" s="99" t="s">
        <v>6945</v>
      </c>
      <c r="C577" s="158">
        <f>SUMIFS($C$300:$C$766,$A$300:$A$766,_xlfn.CONCAT(B577,"_construction"))</f>
        <v>96391.333118209659</v>
      </c>
      <c r="D577" s="158">
        <f>SUMIFS($C$300:$C$766,$A$300:$A$766,_xlfn.CONCAT(B577,"_equipment"))</f>
        <v>0</v>
      </c>
      <c r="E577" s="274">
        <f>SUM(C577:D577)</f>
        <v>96391.333118209659</v>
      </c>
      <c r="F577" s="158">
        <f>SUMIFS($D$300:$D$766,$A$300:$A$766,$B577,$B$300:$B$766,"Total capital recovery value")</f>
        <v>7800.4078067725313</v>
      </c>
      <c r="G577" s="158">
        <f>SUMIFS($C$300:$C$766,$A$300:$A$766,$B577,$B$300:$B$766,"Annual operational costs")</f>
        <v>1445.8699967731447</v>
      </c>
      <c r="H577" s="153">
        <f>SUM(F577:G577)</f>
        <v>9246.2778035456759</v>
      </c>
      <c r="I577" s="158">
        <f>SUMIFS($C$300:$C$766,$A$300:$A$766,$B577,$B$300:$B$766,"Annual cost savings")</f>
        <v>0</v>
      </c>
      <c r="J577" s="158">
        <f>SUMIFS($C$300:$C$766,$A$300:$A$766,$B577,$B$300:$B$766,"Annual fertilizer value for on-farm use")</f>
        <v>0</v>
      </c>
      <c r="K577" s="158">
        <f>SUMIFS($C$300:$C$766,$A$300:$A$766,$B577,$B$300:$B$766,"Annual revenues")</f>
        <v>0</v>
      </c>
      <c r="L577" s="158">
        <f>SUMIFS($C$300:$C$766,$A$300:$A$766,$B577,$B$300:$B$766,"Annual cost to export excess")</f>
        <v>0</v>
      </c>
      <c r="M577" s="283">
        <f>K577-F577-G577</f>
        <v>-9246.2778035456759</v>
      </c>
      <c r="N577">
        <f>SUMIFS($F$300:$F$766,$A$300:$A$766,$B577,$B$300:$B$766,"Totals")</f>
        <v>0</v>
      </c>
      <c r="O577">
        <f>SUMIFS($G$300:$G$766,$A$300:$A$766,$B577,$B$300:$B$766,"Totals")</f>
        <v>0</v>
      </c>
      <c r="P577" s="147">
        <f>SUMIFS($H$300:$H$766,$A$300:$A$766,$B577,$B$300:$B$766,"Totals")</f>
        <v>0</v>
      </c>
      <c r="Q577" s="147">
        <f>SUMIFS($I$300:$I$766,$A$300:$A$766,$B577,$B$300:$B$766,"Totals")</f>
        <v>0</v>
      </c>
      <c r="R577" s="2315">
        <f>SUMIFS($K$300:$K$766,$A$300:$A$766,$B577,$B$300:$B$766,"Totals")</f>
        <v>0</v>
      </c>
      <c r="S577" s="2315">
        <f>SUMIFS($L$300:$L$766,$A$300:$A$766,$B577,$B$300:$B$766,"Totals")</f>
        <v>0</v>
      </c>
      <c r="T577" s="2315">
        <f>SUMIFS($M$300:$M$766,$A$300:$A$766,$B577,$B$300:$B$766,"Totals")</f>
        <v>0</v>
      </c>
      <c r="U577" s="2315">
        <f>SUMIFS($N$300:$N$766,$A$300:$A$766,$B577,$B$300:$B$766,"Totals")</f>
        <v>0</v>
      </c>
      <c r="V577" s="147">
        <f>R577+T577</f>
        <v>0</v>
      </c>
      <c r="W577" s="285">
        <f>S577+U577</f>
        <v>0</v>
      </c>
      <c r="Y577" s="36"/>
    </row>
    <row r="578" spans="1:25" ht="13.5" customHeight="1" x14ac:dyDescent="0.3">
      <c r="A578" t="s">
        <v>7082</v>
      </c>
      <c r="B578" s="99" t="s">
        <v>3652</v>
      </c>
      <c r="C578" s="233">
        <f>SUMIFS($C$299:$C$796,$A$299:$A$796,_xlfn.CONCAT(B578,"_construction"))</f>
        <v>683.38148603585876</v>
      </c>
      <c r="D578" s="233">
        <f>SUMIFS($C$299:$C$796,$A$299:$A$796,_xlfn.CONCAT(B578,"_equipment"))</f>
        <v>17084.537150896467</v>
      </c>
      <c r="E578" s="274">
        <f t="shared" ref="E578" si="36">SUM(C578:D578)</f>
        <v>17767.918636932325</v>
      </c>
      <c r="F578" s="233">
        <f>SUMIFS($D$299:$D$796,$A$299:$A$796,$B578,$B$299:$B$796,"Total capital recovery value")</f>
        <v>2312.2144562197736</v>
      </c>
      <c r="G578" s="233">
        <f>SUMIFS($C$299:$C$796,$A$299:$A$796,$B578,$B$299:$B$796,"Annual operational costs")</f>
        <v>1792.7946962488695</v>
      </c>
      <c r="H578" s="153">
        <f>SUM(F578:G578)</f>
        <v>4105.0091524686432</v>
      </c>
      <c r="I578" s="233">
        <f>SUMIFS($C$299:$C$796,$A$299:$A$796,$B578,$B$299:$B$796,"Annual cost savings")</f>
        <v>0</v>
      </c>
      <c r="J578" s="233">
        <f>SUMIFS($C$299:$C$796,$A$299:$A$796,$B578,$B$299:$B$796,"Annual fertilizer value for on-farm use")</f>
        <v>0</v>
      </c>
      <c r="K578" s="233">
        <f>SUMIFS($C$299:$C$796,$A$299:$A$796,$B578,$B$299:$B$796,"Annual revenues")</f>
        <v>0</v>
      </c>
      <c r="L578" s="233">
        <f>SUMIFS($C$299:$C$796,$A$299:$A$796,$B578,$B$299:$B$796,"Annual cost to export excess")</f>
        <v>0</v>
      </c>
      <c r="M578" s="283">
        <f>K578-F578-G578</f>
        <v>-4105.0091524686432</v>
      </c>
      <c r="N578">
        <f>SUMIFS($F$299:$F$796,$A$299:$A$796,$B578,$B$299:$B$796,"Totals")</f>
        <v>17419.548963200003</v>
      </c>
      <c r="O578" s="158">
        <f>SUMIFS($G$299:$G$796,$A$299:$A$796,$B578,$B$299:$B$796,"Totals")</f>
        <v>1194.8358959674933</v>
      </c>
      <c r="P578" s="147">
        <f>SUMIFS($H$299:$H$796,$A$299:$A$796,$B578,$B$299:$B$796,"Totals")</f>
        <v>0</v>
      </c>
      <c r="Q578" s="158">
        <f>SUMIFS($I$299:$I$796,$A$299:$A$796,$B578,$B$299:$B$796,"Totals")</f>
        <v>0</v>
      </c>
      <c r="R578" s="284">
        <f>SUMIFS($K$299:$K$796,$A$299:$A$796,$B578,$B$299:$B$796,"Totals")</f>
        <v>0</v>
      </c>
      <c r="S578" s="233">
        <f>SUMIFS($L$299:$L$796,$A$299:$A$796,$B578,$B$299:$B$796,"Totals")</f>
        <v>0</v>
      </c>
      <c r="T578" s="284">
        <f>SUMIFS($M$299:$M$796,$A$299:$A$796,$B578,$B$299:$B$796,"Totals")</f>
        <v>0</v>
      </c>
      <c r="U578" s="233">
        <f>SUMIFS($N$299:$N$796,$A$299:$A$796,$B578,$B$299:$B$796,"Totals")</f>
        <v>0</v>
      </c>
      <c r="V578" s="147">
        <f t="shared" ref="V578" si="37">R578+T578</f>
        <v>0</v>
      </c>
      <c r="W578" s="167">
        <f t="shared" ref="W578" si="38">S578+U578</f>
        <v>0</v>
      </c>
    </row>
    <row r="579" spans="1:25" ht="13.5" customHeight="1" x14ac:dyDescent="0.3">
      <c r="A579" t="s">
        <v>7067</v>
      </c>
      <c r="B579" s="99" t="s">
        <v>5202</v>
      </c>
      <c r="C579" s="233">
        <f>SUMIFS($C$299:$C$796,$A$299:$A$796,_xlfn.CONCAT(B579,"_construction"))</f>
        <v>0</v>
      </c>
      <c r="D579" s="233">
        <f>SUMIFS($C$299:$C$796,$A$299:$A$796,_xlfn.CONCAT(B579,"_equipment"))</f>
        <v>962300</v>
      </c>
      <c r="E579" s="274">
        <f t="shared" ref="E579" si="39">SUM(C579:D579)</f>
        <v>962300</v>
      </c>
      <c r="F579" s="233">
        <f>SUMIFS($D$299:$D$796,$A$299:$A$796,$B579,$B$299:$B$796,"Total capital recovery value")</f>
        <v>27858.162507485868</v>
      </c>
      <c r="G579" s="233">
        <f>SUMIFS($C$299:$C$796,$A$299:$A$796,$B579,$B$299:$B$796,"Annual operational costs")</f>
        <v>10685.112042368146</v>
      </c>
      <c r="H579" s="153">
        <f>SUM(F579:G579)</f>
        <v>38543.274549854017</v>
      </c>
      <c r="I579" s="233">
        <f>SUMIFS($C$299:$C$796,$A$299:$A$796,$B579,$B$299:$B$796,"Annual cost savings")</f>
        <v>0</v>
      </c>
      <c r="J579" s="233">
        <f>SUMIFS($C$299:$C$796,$A$299:$A$796,$B579,$B$299:$B$796,"Annual fertilizer value for on-farm use")</f>
        <v>7923.9347030405379</v>
      </c>
      <c r="K579" s="233">
        <f>SUMIFS($C$299:$C$796,$A$299:$A$796,$B579,$B$299:$B$796,"Annual revenues")</f>
        <v>0</v>
      </c>
      <c r="L579" s="233">
        <f>SUMIFS($C$299:$C$796,$A$299:$A$796,$B579,$B$299:$B$796,"Annual cost to export excess")</f>
        <v>0</v>
      </c>
      <c r="M579" s="283">
        <f>K579-F579-G579</f>
        <v>-38543.274549854017</v>
      </c>
      <c r="N579">
        <f>SUMIFS($F$299:$F$796,$A$299:$A$796,$B579,$B$299:$B$796,"Totals")</f>
        <v>0</v>
      </c>
      <c r="O579" s="158">
        <f>SUMIFS($G$299:$G$796,$A$299:$A$796,$B579,$B$299:$B$796,"Totals")</f>
        <v>0</v>
      </c>
      <c r="P579" s="147">
        <f>SUMIFS($H$299:$H$796,$A$299:$A$796,$B579,$B$299:$B$796,"Totals")</f>
        <v>213.91345097078369</v>
      </c>
      <c r="Q579" s="158">
        <f>SUMIFS($I$299:$I$796,$A$299:$A$796,$B579,$B$299:$B$796,"Totals")</f>
        <v>790.72905346207767</v>
      </c>
      <c r="R579" s="284">
        <f>SUMIFS($K$299:$K$796,$A$299:$A$796,$B579,$B$299:$B$796,"Totals")</f>
        <v>19.782318372229117</v>
      </c>
      <c r="S579" s="233">
        <f>SUMIFS($L$299:$L$796,$A$299:$A$796,$B579,$B$299:$B$796,"Totals")</f>
        <v>468.04965268694093</v>
      </c>
      <c r="T579" s="284">
        <f>SUMIFS($M$299:$M$796,$A$299:$A$796,$B579,$B$299:$B$796,"Totals")</f>
        <v>0</v>
      </c>
      <c r="U579" s="233">
        <f>SUMIFS($N$299:$N$796,$A$299:$A$796,$B579,$B$299:$B$796,"Totals")</f>
        <v>0</v>
      </c>
      <c r="V579" s="147">
        <f t="shared" ref="V579" si="40">R579+T579</f>
        <v>19.782318372229117</v>
      </c>
      <c r="W579" s="167">
        <f>S579+U579</f>
        <v>468.04965268694093</v>
      </c>
    </row>
    <row r="580" spans="1:25" ht="13.5" customHeight="1" x14ac:dyDescent="0.3">
      <c r="A580" t="s">
        <v>7068</v>
      </c>
      <c r="B580" s="162" t="s">
        <v>5203</v>
      </c>
      <c r="C580" s="242">
        <f t="shared" ref="C580:W580" si="41">SUM(C577:C579)</f>
        <v>97074.714604245513</v>
      </c>
      <c r="D580" s="242">
        <f t="shared" si="41"/>
        <v>979384.5371508965</v>
      </c>
      <c r="E580" s="367">
        <f t="shared" si="41"/>
        <v>1076459.2517551419</v>
      </c>
      <c r="F580" s="242">
        <f t="shared" si="41"/>
        <v>37970.784770478174</v>
      </c>
      <c r="G580" s="242">
        <f t="shared" si="41"/>
        <v>13923.77673539016</v>
      </c>
      <c r="H580" s="242">
        <f t="shared" si="41"/>
        <v>51894.561505868332</v>
      </c>
      <c r="I580" s="242">
        <f t="shared" si="41"/>
        <v>0</v>
      </c>
      <c r="J580" s="242">
        <f t="shared" si="41"/>
        <v>7923.9347030405379</v>
      </c>
      <c r="K580" s="242">
        <f t="shared" si="41"/>
        <v>0</v>
      </c>
      <c r="L580" s="242">
        <f t="shared" si="41"/>
        <v>0</v>
      </c>
      <c r="M580" s="367">
        <f t="shared" si="41"/>
        <v>-51894.561505868332</v>
      </c>
      <c r="N580" s="286">
        <f t="shared" si="41"/>
        <v>17419.548963200003</v>
      </c>
      <c r="O580" s="541">
        <f t="shared" si="41"/>
        <v>1194.8358959674933</v>
      </c>
      <c r="P580" s="286">
        <f t="shared" si="41"/>
        <v>213.91345097078369</v>
      </c>
      <c r="Q580" s="541">
        <f t="shared" si="41"/>
        <v>790.72905346207767</v>
      </c>
      <c r="R580" s="286">
        <f t="shared" si="41"/>
        <v>19.782318372229117</v>
      </c>
      <c r="S580" s="541">
        <f t="shared" si="41"/>
        <v>468.04965268694093</v>
      </c>
      <c r="T580" s="286">
        <f t="shared" si="41"/>
        <v>0</v>
      </c>
      <c r="U580" s="541">
        <f t="shared" si="41"/>
        <v>0</v>
      </c>
      <c r="V580" s="541">
        <f t="shared" si="41"/>
        <v>19.782318372229117</v>
      </c>
      <c r="W580" s="541">
        <f t="shared" si="41"/>
        <v>468.04965268694093</v>
      </c>
    </row>
    <row r="581" spans="1:25" ht="13.5" customHeight="1" x14ac:dyDescent="0.3">
      <c r="A581" s="82"/>
      <c r="B581" s="287" t="s">
        <v>7069</v>
      </c>
      <c r="C581" s="150"/>
      <c r="D581" s="150"/>
      <c r="E581" s="288"/>
      <c r="F581" s="150"/>
      <c r="G581" s="150"/>
      <c r="H581" s="150"/>
      <c r="I581" s="150"/>
      <c r="J581" s="150"/>
      <c r="K581" s="150"/>
      <c r="L581" s="150"/>
      <c r="M581" s="289"/>
      <c r="N581" s="150"/>
      <c r="O581" s="150"/>
      <c r="P581" s="150"/>
      <c r="Q581" s="150"/>
      <c r="R581" s="290"/>
      <c r="S581" s="291"/>
      <c r="T581" s="150"/>
      <c r="U581" s="150"/>
      <c r="V581" s="150"/>
      <c r="W581" s="151"/>
    </row>
    <row r="584" spans="1:25" ht="13.5" customHeight="1" x14ac:dyDescent="0.3">
      <c r="B584" s="139" t="s">
        <v>7050</v>
      </c>
      <c r="C584" s="142"/>
      <c r="D584" s="142"/>
      <c r="E584" s="267"/>
      <c r="F584" s="267"/>
      <c r="G584" s="267"/>
      <c r="H584" s="268"/>
      <c r="I584" s="269"/>
      <c r="J584" s="270"/>
      <c r="K584" s="142"/>
      <c r="L584" s="269"/>
      <c r="M584" s="142"/>
      <c r="N584" s="142"/>
      <c r="O584" s="142"/>
      <c r="P584" s="142"/>
      <c r="Q584" s="142"/>
      <c r="R584" s="142"/>
      <c r="S584" s="142"/>
      <c r="T584" s="271"/>
      <c r="U584" s="142"/>
      <c r="V584" s="142"/>
      <c r="W584" s="272"/>
    </row>
    <row r="585" spans="1:25" ht="13.5" customHeight="1" x14ac:dyDescent="0.3">
      <c r="B585" s="92" t="s">
        <v>7070</v>
      </c>
      <c r="E585" s="66"/>
      <c r="F585" s="66"/>
      <c r="G585" s="66"/>
      <c r="H585" s="19"/>
      <c r="I585" s="42"/>
      <c r="J585" s="3"/>
      <c r="L585" s="42"/>
      <c r="T585" s="20"/>
      <c r="W585" s="113"/>
    </row>
    <row r="586" spans="1:25" ht="13.5" customHeight="1" x14ac:dyDescent="0.3">
      <c r="B586" s="99"/>
      <c r="D586" s="66"/>
      <c r="E586" s="66"/>
      <c r="F586" s="66"/>
      <c r="G586" s="19"/>
      <c r="H586" s="19"/>
      <c r="I586" s="42"/>
      <c r="J586" s="3"/>
      <c r="L586" s="42"/>
      <c r="T586" s="20"/>
      <c r="W586" s="113"/>
    </row>
    <row r="587" spans="1:25" ht="13.5" customHeight="1" x14ac:dyDescent="0.3">
      <c r="B587" s="92" t="s">
        <v>7052</v>
      </c>
      <c r="C587" s="82" t="s">
        <v>565</v>
      </c>
      <c r="D587" s="82" t="s">
        <v>38</v>
      </c>
      <c r="E587" s="66"/>
      <c r="H587" s="19"/>
      <c r="I587" s="42"/>
      <c r="J587" s="3"/>
      <c r="L587" s="42"/>
      <c r="T587" s="20"/>
      <c r="W587" s="113"/>
    </row>
    <row r="588" spans="1:25" ht="13.5" customHeight="1" x14ac:dyDescent="0.3">
      <c r="B588" s="99" t="s">
        <v>5859</v>
      </c>
      <c r="C588">
        <f>UDV.animal.total</f>
        <v>500</v>
      </c>
      <c r="D588" t="s">
        <v>2442</v>
      </c>
      <c r="E588" s="66"/>
      <c r="H588" s="19"/>
      <c r="I588" s="42"/>
      <c r="J588" s="3"/>
      <c r="L588" s="42"/>
      <c r="T588" s="20"/>
      <c r="W588" s="113"/>
    </row>
    <row r="589" spans="1:25" ht="13.5" customHeight="1" x14ac:dyDescent="0.3">
      <c r="B589" s="174" t="s">
        <v>5386</v>
      </c>
      <c r="C589">
        <f>UDV.crops.acres_available</f>
        <v>100</v>
      </c>
      <c r="D589" t="s">
        <v>7029</v>
      </c>
      <c r="E589" s="66"/>
      <c r="H589" s="19"/>
      <c r="I589" s="42"/>
      <c r="J589" s="3"/>
      <c r="L589" s="42"/>
      <c r="T589" s="20"/>
      <c r="W589" s="113"/>
    </row>
    <row r="590" spans="1:25" ht="13.5" customHeight="1" x14ac:dyDescent="0.3">
      <c r="B590" s="99" t="s">
        <v>5114</v>
      </c>
      <c r="C590" t="str">
        <f>UDV.u.state</f>
        <v>Iowa</v>
      </c>
      <c r="D590" t="s">
        <v>2852</v>
      </c>
      <c r="E590" s="66"/>
      <c r="T590" s="20"/>
      <c r="W590" s="113"/>
    </row>
    <row r="591" spans="1:25" ht="13.5" customHeight="1" x14ac:dyDescent="0.3">
      <c r="B591" s="99"/>
      <c r="C591" s="166"/>
      <c r="E591" s="66"/>
      <c r="H591" s="19"/>
      <c r="I591" s="42"/>
      <c r="J591" s="3"/>
      <c r="L591" s="42"/>
      <c r="T591" s="20"/>
      <c r="W591" s="113"/>
    </row>
    <row r="592" spans="1:25" ht="13.5" customHeight="1" x14ac:dyDescent="0.3">
      <c r="B592" s="99"/>
      <c r="D592" s="66"/>
      <c r="E592" s="66"/>
      <c r="F592" s="66"/>
      <c r="H592" s="19"/>
      <c r="I592" s="42"/>
      <c r="J592" s="3"/>
      <c r="L592" s="42"/>
      <c r="T592" s="20"/>
      <c r="W592" s="113"/>
    </row>
    <row r="593" spans="1:25" ht="13.5" customHeight="1" x14ac:dyDescent="0.3">
      <c r="A593" t="s">
        <v>4917</v>
      </c>
      <c r="B593" s="92" t="s">
        <v>7053</v>
      </c>
      <c r="C593" s="82" t="s">
        <v>5181</v>
      </c>
      <c r="D593" s="82" t="s">
        <v>7054</v>
      </c>
      <c r="E593" s="66"/>
      <c r="J593" s="3"/>
      <c r="L593" s="42"/>
      <c r="T593" s="20"/>
      <c r="W593" s="113"/>
    </row>
    <row r="594" spans="1:25" ht="13.5" customHeight="1" x14ac:dyDescent="0.3">
      <c r="A594" t="s">
        <v>4917</v>
      </c>
      <c r="B594" s="275" t="s">
        <v>2585</v>
      </c>
      <c r="C594" s="276">
        <f>F610</f>
        <v>80731.121844763256</v>
      </c>
      <c r="D594" s="153">
        <f>C594/C588</f>
        <v>161.4622436895265</v>
      </c>
      <c r="E594" s="66"/>
      <c r="F594" s="66"/>
      <c r="G594" s="66"/>
      <c r="H594" s="19"/>
      <c r="I594" s="42"/>
      <c r="J594" s="3"/>
      <c r="L594" s="42"/>
      <c r="T594" s="20"/>
      <c r="W594" s="113"/>
    </row>
    <row r="595" spans="1:25" ht="13.5" customHeight="1" x14ac:dyDescent="0.3">
      <c r="A595" t="s">
        <v>4917</v>
      </c>
      <c r="B595" s="275" t="s">
        <v>2588</v>
      </c>
      <c r="C595" s="276">
        <f>SUM(G610,L610)</f>
        <v>28629.432030576907</v>
      </c>
      <c r="D595" s="153">
        <f>C595/C588</f>
        <v>57.258864061153815</v>
      </c>
      <c r="E595" s="66"/>
      <c r="F595" s="66"/>
      <c r="G595" s="66"/>
      <c r="H595" s="19"/>
      <c r="I595" s="42"/>
      <c r="J595" s="3"/>
      <c r="L595" s="42"/>
      <c r="T595" s="20"/>
      <c r="W595" s="113"/>
    </row>
    <row r="596" spans="1:25" ht="13.5" customHeight="1" x14ac:dyDescent="0.3">
      <c r="A596" t="s">
        <v>4917</v>
      </c>
      <c r="B596" s="275" t="s">
        <v>441</v>
      </c>
      <c r="C596" s="276">
        <f>I610</f>
        <v>0</v>
      </c>
      <c r="D596" s="153">
        <f>C596/C588</f>
        <v>0</v>
      </c>
      <c r="E596" s="66"/>
      <c r="F596" s="66"/>
      <c r="G596" s="66"/>
      <c r="I596" s="42"/>
      <c r="J596" s="3"/>
      <c r="L596" s="42"/>
      <c r="T596" s="20"/>
      <c r="W596" s="113"/>
    </row>
    <row r="597" spans="1:25" ht="13.5" customHeight="1" x14ac:dyDescent="0.3">
      <c r="A597" t="s">
        <v>4917</v>
      </c>
      <c r="B597" s="275" t="s">
        <v>440</v>
      </c>
      <c r="C597" s="276">
        <f>J610</f>
        <v>7923.9347030405379</v>
      </c>
      <c r="D597" s="153">
        <f>C597/C588</f>
        <v>15.847869406081076</v>
      </c>
      <c r="E597" s="66"/>
      <c r="F597" s="66"/>
      <c r="G597" s="66"/>
      <c r="I597" s="42"/>
      <c r="J597" s="3"/>
      <c r="L597" s="42"/>
      <c r="T597" s="20"/>
      <c r="W597" s="113"/>
    </row>
    <row r="598" spans="1:25" ht="13.5" customHeight="1" x14ac:dyDescent="0.3">
      <c r="A598" t="s">
        <v>4917</v>
      </c>
      <c r="B598" s="275" t="s">
        <v>442</v>
      </c>
      <c r="C598" s="276">
        <f>K610</f>
        <v>0</v>
      </c>
      <c r="D598" s="153">
        <f>C598/C588</f>
        <v>0</v>
      </c>
      <c r="E598" s="66"/>
      <c r="F598" s="66"/>
      <c r="G598" s="66"/>
      <c r="I598" s="42"/>
      <c r="J598" s="3"/>
      <c r="L598" s="42"/>
      <c r="P598" s="277"/>
      <c r="T598" s="20"/>
      <c r="W598" s="113"/>
    </row>
    <row r="599" spans="1:25" ht="13.5" customHeight="1" x14ac:dyDescent="0.3">
      <c r="A599" t="s">
        <v>4917</v>
      </c>
      <c r="B599" s="2270" t="s">
        <v>439</v>
      </c>
      <c r="C599" s="2271">
        <f>M610</f>
        <v>-109360.55387534016</v>
      </c>
      <c r="D599" s="159">
        <f>C599/C588</f>
        <v>-218.72110775068032</v>
      </c>
      <c r="E599" s="288"/>
      <c r="F599" s="66"/>
      <c r="G599" s="66"/>
      <c r="I599" s="42"/>
      <c r="J599" s="3"/>
      <c r="L599" s="42"/>
      <c r="T599" s="20"/>
      <c r="W599" s="113"/>
    </row>
    <row r="600" spans="1:25" ht="13.5" customHeight="1" x14ac:dyDescent="0.3">
      <c r="A600" t="s">
        <v>4917</v>
      </c>
      <c r="B600" s="99" t="s">
        <v>7055</v>
      </c>
      <c r="C600" s="276">
        <f>L610</f>
        <v>0</v>
      </c>
      <c r="D600" s="153">
        <f>C600/C588</f>
        <v>0</v>
      </c>
      <c r="E600" s="279" t="s">
        <v>7056</v>
      </c>
      <c r="F600" s="66"/>
      <c r="G600" s="66"/>
      <c r="I600" s="42"/>
      <c r="J600" s="3"/>
      <c r="L600" s="42"/>
      <c r="T600" s="20"/>
      <c r="W600" s="113"/>
    </row>
    <row r="601" spans="1:25" ht="13.5" customHeight="1" x14ac:dyDescent="0.3">
      <c r="A601" t="s">
        <v>4917</v>
      </c>
      <c r="B601" s="99" t="s">
        <v>7057</v>
      </c>
      <c r="C601" s="153">
        <f>C594+C595</f>
        <v>109360.55387534016</v>
      </c>
      <c r="D601" s="153">
        <f>C601/C588</f>
        <v>218.72110775068032</v>
      </c>
      <c r="E601" s="66"/>
      <c r="F601" s="66"/>
      <c r="G601" s="66"/>
      <c r="I601" s="42"/>
      <c r="J601" s="3"/>
      <c r="L601" s="42"/>
      <c r="T601" s="20"/>
      <c r="W601" s="113"/>
    </row>
    <row r="602" spans="1:25" ht="13.5" customHeight="1" x14ac:dyDescent="0.3">
      <c r="A602" t="s">
        <v>4917</v>
      </c>
      <c r="B602" s="853" t="s">
        <v>5392</v>
      </c>
      <c r="C602" s="142"/>
      <c r="D602" s="854">
        <f>E610</f>
        <v>2040499.2517551419</v>
      </c>
      <c r="E602" s="271" t="s">
        <v>2284</v>
      </c>
      <c r="G602" s="66"/>
      <c r="I602" s="42"/>
      <c r="J602" s="3"/>
      <c r="L602" s="42"/>
      <c r="T602" s="20"/>
      <c r="W602" s="113"/>
    </row>
    <row r="603" spans="1:25" ht="13.5" customHeight="1" x14ac:dyDescent="0.3">
      <c r="A603" t="s">
        <v>4917</v>
      </c>
      <c r="B603" s="852" t="s">
        <v>5393</v>
      </c>
      <c r="D603" s="274">
        <f>E610/C588</f>
        <v>4080.9985035102836</v>
      </c>
      <c r="E603" s="20" t="s">
        <v>7058</v>
      </c>
      <c r="G603" s="66"/>
      <c r="I603" s="42"/>
      <c r="J603" s="3"/>
      <c r="L603" s="42"/>
      <c r="T603" s="20"/>
      <c r="W603" s="113"/>
    </row>
    <row r="604" spans="1:25" ht="13.5" customHeight="1" x14ac:dyDescent="0.3">
      <c r="B604" s="99"/>
      <c r="E604" s="66"/>
      <c r="H604" s="42"/>
      <c r="I604" s="3"/>
      <c r="K604" s="42"/>
      <c r="N604" s="273" t="s">
        <v>7059</v>
      </c>
      <c r="O604" s="90"/>
      <c r="P604" s="90"/>
      <c r="Q604" s="90"/>
      <c r="R604" s="90"/>
      <c r="S604" s="279"/>
      <c r="T604" s="90"/>
      <c r="U604" s="90"/>
      <c r="V604" s="66"/>
      <c r="W604" s="280"/>
    </row>
    <row r="605" spans="1:25" ht="13.5" customHeight="1" x14ac:dyDescent="0.3">
      <c r="B605" s="92" t="s">
        <v>7060</v>
      </c>
      <c r="E605" s="66"/>
      <c r="M605" s="113"/>
      <c r="N605" s="90" t="s">
        <v>5323</v>
      </c>
      <c r="O605" s="90" t="s">
        <v>5181</v>
      </c>
      <c r="P605" s="90" t="s">
        <v>5324</v>
      </c>
      <c r="Q605" s="90" t="s">
        <v>5181</v>
      </c>
      <c r="R605" s="90" t="s">
        <v>2710</v>
      </c>
      <c r="S605" s="90" t="s">
        <v>5181</v>
      </c>
      <c r="T605" s="90" t="s">
        <v>2710</v>
      </c>
      <c r="U605" s="90" t="s">
        <v>5181</v>
      </c>
      <c r="V605" s="90" t="s">
        <v>2710</v>
      </c>
      <c r="W605" s="280" t="s">
        <v>5181</v>
      </c>
    </row>
    <row r="606" spans="1:25" ht="13.5" customHeight="1" x14ac:dyDescent="0.3">
      <c r="B606" s="92" t="s">
        <v>5187</v>
      </c>
      <c r="C606" s="152" t="s">
        <v>7061</v>
      </c>
      <c r="D606" s="152" t="s">
        <v>7062</v>
      </c>
      <c r="E606" s="277" t="s">
        <v>7063</v>
      </c>
      <c r="F606" s="152" t="s">
        <v>7064</v>
      </c>
      <c r="G606" s="293" t="s">
        <v>2588</v>
      </c>
      <c r="H606" s="152" t="s">
        <v>5188</v>
      </c>
      <c r="I606" s="152" t="s">
        <v>5189</v>
      </c>
      <c r="J606" s="152" t="s">
        <v>5190</v>
      </c>
      <c r="K606" s="152" t="s">
        <v>442</v>
      </c>
      <c r="L606" s="152" t="s">
        <v>5191</v>
      </c>
      <c r="M606" s="161" t="s">
        <v>439</v>
      </c>
      <c r="N606" s="281" t="s">
        <v>5192</v>
      </c>
      <c r="O606" s="281" t="s">
        <v>5193</v>
      </c>
      <c r="P606" s="281" t="s">
        <v>5194</v>
      </c>
      <c r="Q606" s="281" t="s">
        <v>5195</v>
      </c>
      <c r="R606" s="281" t="s">
        <v>5196</v>
      </c>
      <c r="S606" s="281" t="s">
        <v>5197</v>
      </c>
      <c r="T606" s="281" t="s">
        <v>5198</v>
      </c>
      <c r="U606" s="281" t="s">
        <v>5199</v>
      </c>
      <c r="V606" s="281" t="s">
        <v>5200</v>
      </c>
      <c r="W606" s="282" t="s">
        <v>5201</v>
      </c>
    </row>
    <row r="607" spans="1:25" ht="13.5" customHeight="1" x14ac:dyDescent="0.3">
      <c r="A607" t="s">
        <v>7071</v>
      </c>
      <c r="B607" s="99" t="s">
        <v>6945</v>
      </c>
      <c r="C607" s="158">
        <f>SUMIFS($C$300:$C$765,$A$300:$A$765,_xlfn.CONCAT(B607,"_construction"))</f>
        <v>96391.333118209659</v>
      </c>
      <c r="D607" s="158">
        <f>SUMIFS($C$300:$C$765,$A$300:$A$765,_xlfn.CONCAT(B607,"_equipment"))</f>
        <v>0</v>
      </c>
      <c r="E607" s="274">
        <f>SUM(C607:D607)</f>
        <v>96391.333118209659</v>
      </c>
      <c r="F607" s="158">
        <f>SUMIFS($D$300:$D$765,$A$300:$A$765,$B607,$B$300:$B$765,"Total capital recovery value")</f>
        <v>7800.4078067725313</v>
      </c>
      <c r="G607" s="158">
        <f>SUMIFS($C$300:$C$765,$A$300:$A$765,$B607,$B$300:$B$765,"Annual operational costs")</f>
        <v>1445.8699967731447</v>
      </c>
      <c r="H607" s="153">
        <f>SUM(F607:G607)</f>
        <v>9246.2778035456759</v>
      </c>
      <c r="I607" s="158">
        <f>SUMIFS($C$300:$C$765,$A$300:$A$765,$B607,$B$300:$B$765,"Annual cost savings")</f>
        <v>0</v>
      </c>
      <c r="J607" s="158">
        <f>SUMIFS($C$300:$C$765,$A$300:$A$765,$B607,$B$300:$B$765,"Annual fertilizer value for on-farm use")</f>
        <v>0</v>
      </c>
      <c r="K607" s="158">
        <f>SUMIFS($C$300:$C$765,$A$300:$A$765,$B607,$B$300:$B$765,"Annual revenues")</f>
        <v>0</v>
      </c>
      <c r="L607" s="158">
        <f>SUMIFS($C$300:$C$765,$A$300:$A$765,$B607,$B$300:$B$765,"Annual cost to export excess")</f>
        <v>0</v>
      </c>
      <c r="M607" s="283">
        <f>K607-F607-G607</f>
        <v>-9246.2778035456759</v>
      </c>
      <c r="N607">
        <f>SUMIFS($F$300:$F$765,$A$300:$A$765,$B607,$B$300:$B$765,"Totals")</f>
        <v>0</v>
      </c>
      <c r="O607">
        <f>SUMIFS($G$300:$G$765,$A$300:$A$765,$B607,$B$300:$B$765,"Totals")</f>
        <v>0</v>
      </c>
      <c r="P607" s="147">
        <f>SUMIFS($H$300:$H$765,$A$300:$A$765,$B607,$B$300:$B$765,"Totals")</f>
        <v>0</v>
      </c>
      <c r="Q607" s="147">
        <f>SUMIFS($I$300:$I$765,$A$300:$A$765,$B607,$B$300:$B$765,"Totals")</f>
        <v>0</v>
      </c>
      <c r="R607" s="2315">
        <f>SUMIFS($K$300:$K$765,$A$300:$A$765,$B607,$B$300:$B$765,"Totals")</f>
        <v>0</v>
      </c>
      <c r="S607" s="2315">
        <f>SUMIFS($L$300:$L$765,$A$300:$A$765,$B607,$B$300:$B$765,"Totals")</f>
        <v>0</v>
      </c>
      <c r="T607" s="2315">
        <f>SUMIFS($M$300:$M$765,$A$300:$A$765,$B607,$B$300:$B$765,"Totals")</f>
        <v>0</v>
      </c>
      <c r="U607" s="2315">
        <f>SUMIFS($N$300:$N$765,$A$300:$A$765,$B607,$B$300:$B$765,"Totals")</f>
        <v>0</v>
      </c>
      <c r="V607" s="147">
        <f>R607+T607</f>
        <v>0</v>
      </c>
      <c r="W607" s="285">
        <f>S607+U607</f>
        <v>0</v>
      </c>
      <c r="Y607" s="36"/>
    </row>
    <row r="608" spans="1:25" ht="13.5" customHeight="1" x14ac:dyDescent="0.3">
      <c r="A608" t="s">
        <v>7083</v>
      </c>
      <c r="B608" s="99" t="s">
        <v>3652</v>
      </c>
      <c r="C608" s="233">
        <f>SUMIFS($C$299:$C$796,$A$299:$A$796,_xlfn.CONCAT(B608,"_construction"))</f>
        <v>683.38148603585876</v>
      </c>
      <c r="D608" s="233">
        <f>SUMIFS($C$299:$C$796,$A$299:$A$796,_xlfn.CONCAT(B608,"_equipment"))</f>
        <v>17084.537150896467</v>
      </c>
      <c r="E608" s="274">
        <f t="shared" ref="E608" si="42">SUM(C608:D608)</f>
        <v>17767.918636932325</v>
      </c>
      <c r="F608" s="233">
        <f>SUMIFS($D$299:$D$796,$A$299:$A$796,$B608,$B$299:$B$796,"Total capital recovery value")</f>
        <v>2312.2144562197736</v>
      </c>
      <c r="G608" s="233">
        <f>SUMIFS($C$299:$C$796,$A$299:$A$796,$B608,$B$299:$B$796,"Annual operational costs")</f>
        <v>1792.7946962488695</v>
      </c>
      <c r="H608" s="153">
        <f>SUM(F608:G608)</f>
        <v>4105.0091524686432</v>
      </c>
      <c r="I608" s="233">
        <f>SUMIFS($C$299:$C$796,$A$299:$A$796,$B608,$B$299:$B$796,"Annual cost savings")</f>
        <v>0</v>
      </c>
      <c r="J608" s="233">
        <f>SUMIFS($C$299:$C$796,$A$299:$A$796,$B608,$B$299:$B$796,"Annual fertilizer value for on-farm use")</f>
        <v>0</v>
      </c>
      <c r="K608" s="233">
        <f>SUMIFS($C$299:$C$796,$A$299:$A$796,$B608,$B$299:$B$796,"Annual revenues")</f>
        <v>0</v>
      </c>
      <c r="L608" s="233">
        <f>SUMIFS($C$299:$C$796,$A$299:$A$796,$B608,$B$299:$B$796,"Annual cost to export excess")</f>
        <v>0</v>
      </c>
      <c r="M608" s="283">
        <f>K608-F608-G608</f>
        <v>-4105.0091524686432</v>
      </c>
      <c r="N608">
        <f>SUMIFS($F$299:$F$796,$A$299:$A$796,$B608,$B$299:$B$796,"Totals")</f>
        <v>17419.548963200003</v>
      </c>
      <c r="O608" s="158">
        <f>SUMIFS($G$299:$G$796,$A$299:$A$796,$B608,$B$299:$B$796,"Totals")</f>
        <v>1194.8358959674933</v>
      </c>
      <c r="P608" s="147">
        <f>SUMIFS($H$299:$H$796,$A$299:$A$796,$B608,$B$299:$B$796,"Totals")</f>
        <v>0</v>
      </c>
      <c r="Q608" s="158">
        <f>SUMIFS($I$299:$I$796,$A$299:$A$796,$B608,$B$299:$B$796,"Totals")</f>
        <v>0</v>
      </c>
      <c r="R608" s="284">
        <f>SUMIFS($K$299:$K$796,$A$299:$A$796,$B608,$B$299:$B$796,"Totals")</f>
        <v>0</v>
      </c>
      <c r="S608" s="233">
        <f>SUMIFS($L$299:$L$796,$A$299:$A$796,$B608,$B$299:$B$796,"Totals")</f>
        <v>0</v>
      </c>
      <c r="T608" s="284">
        <f>SUMIFS($M$299:$M$796,$A$299:$A$796,$B608,$B$299:$B$796,"Totals")</f>
        <v>0</v>
      </c>
      <c r="U608" s="322">
        <f>SUMIFS($N$299:$N$796,$A$299:$A$796,$B608,$B$299:$B$796,"Totals")</f>
        <v>0</v>
      </c>
      <c r="V608" s="147">
        <f t="shared" ref="V608" si="43">R608+T608</f>
        <v>0</v>
      </c>
      <c r="W608" s="167">
        <f t="shared" ref="W608" si="44">S608+U608</f>
        <v>0</v>
      </c>
    </row>
    <row r="609" spans="1:23" ht="13.5" customHeight="1" x14ac:dyDescent="0.3">
      <c r="A609" t="s">
        <v>5310</v>
      </c>
      <c r="B609" s="99" t="s">
        <v>5205</v>
      </c>
      <c r="C609" s="233">
        <f>SUMIFS($C$299:$C$796,$A$299:$A$796,_xlfn.CONCAT(B609,"_construction"))</f>
        <v>0</v>
      </c>
      <c r="D609" s="233">
        <f>SUMIFS($C$299:$C$796,$A$299:$A$796,_xlfn.CONCAT(B609,"_equipment"))</f>
        <v>1926340</v>
      </c>
      <c r="E609" s="274">
        <f t="shared" ref="E609" si="45">SUM(C609:D609)</f>
        <v>1926340</v>
      </c>
      <c r="F609" s="233">
        <f>SUMIFS($D$299:$D$796,$A$299:$A$796,$B609,$B$299:$B$796,"Total capital recovery value")</f>
        <v>70618.499581770957</v>
      </c>
      <c r="G609" s="233">
        <f>SUMIFS($C$299:$C$796,$A$299:$A$796,$B609,$B$299:$B$796,"Annual operational costs")</f>
        <v>25390.767337554895</v>
      </c>
      <c r="H609" s="153">
        <f>SUM(F609:G609)</f>
        <v>96009.266919325848</v>
      </c>
      <c r="I609" s="233">
        <f>SUMIFS($C$299:$C$796,$A$299:$A$796,$B609,$B$299:$B$796,"Annual cost savings")</f>
        <v>0</v>
      </c>
      <c r="J609" s="233">
        <f>SUMIFS($C$299:$C$796,$A$299:$A$796,$B609,$B$299:$B$796,"Annual fertilizer value for on-farm use")</f>
        <v>7923.9347030405379</v>
      </c>
      <c r="K609" s="233">
        <f>SUMIFS($C$299:$C$796,$A$299:$A$796,$B609,$B$299:$B$796,"Annual revenues")</f>
        <v>0</v>
      </c>
      <c r="L609" s="233">
        <f>SUMIFS($C$299:$C$796,$A$299:$A$796,$B609,$B$299:$B$796,"Annual cost to export excess")</f>
        <v>0</v>
      </c>
      <c r="M609" s="283">
        <f>K609-F609-G609</f>
        <v>-96009.266919325848</v>
      </c>
      <c r="N609">
        <f>SUMIFS($F$299:$F$796,$A$299:$A$796,$B609,$B$299:$B$796,"Totals")</f>
        <v>0</v>
      </c>
      <c r="O609" s="158">
        <f>SUMIFS($G$299:$G$796,$A$299:$A$796,$B609,$B$299:$B$796,"Totals")</f>
        <v>0</v>
      </c>
      <c r="P609" s="147">
        <f>SUMIFS($H$299:$H$796,$A$299:$A$796,$B609,$B$299:$B$796,"Totals")</f>
        <v>253.05566406613033</v>
      </c>
      <c r="Q609" s="158">
        <f>SUMIFS($I$299:$I$796,$A$299:$A$796,$B609,$B$299:$B$796,"Totals")</f>
        <v>935.41787490286515</v>
      </c>
      <c r="R609" s="284">
        <f>SUMIFS($K$299:$K$796,$A$299:$A$796,$B609,$B$299:$B$796,"Totals")</f>
        <v>9.6547189954748998</v>
      </c>
      <c r="S609" s="233">
        <f>SUMIFS($L$299:$L$796,$A$299:$A$796,$B609,$B$299:$B$796,"Totals")</f>
        <v>228.43065143293614</v>
      </c>
      <c r="T609" s="284">
        <f>SUMIFS($M$299:$M$796,$A$299:$A$796,$B609,$B$299:$B$796,"Totals")</f>
        <v>0</v>
      </c>
      <c r="U609" s="322">
        <f>SUMIFS($N$299:$N$796,$A$299:$A$796,$B609,$B$299:$B$796,"Totals")</f>
        <v>0</v>
      </c>
      <c r="V609" s="147">
        <f t="shared" ref="V609" si="46">R609+T609</f>
        <v>9.6547189954748998</v>
      </c>
      <c r="W609" s="167">
        <f>S609+U609</f>
        <v>228.43065143293614</v>
      </c>
    </row>
    <row r="610" spans="1:23" ht="13.5" customHeight="1" x14ac:dyDescent="0.3">
      <c r="A610" t="s">
        <v>7072</v>
      </c>
      <c r="B610" s="162" t="s">
        <v>5203</v>
      </c>
      <c r="C610" s="367">
        <f t="shared" ref="C610:W610" si="47">SUM(C607:C609)</f>
        <v>97074.714604245513</v>
      </c>
      <c r="D610" s="367">
        <f t="shared" si="47"/>
        <v>1943424.5371508964</v>
      </c>
      <c r="E610" s="367">
        <f t="shared" si="47"/>
        <v>2040499.2517551419</v>
      </c>
      <c r="F610" s="367">
        <f t="shared" si="47"/>
        <v>80731.121844763256</v>
      </c>
      <c r="G610" s="367">
        <f t="shared" si="47"/>
        <v>28629.432030576907</v>
      </c>
      <c r="H610" s="367">
        <f t="shared" si="47"/>
        <v>109360.55387534016</v>
      </c>
      <c r="I610" s="367">
        <f t="shared" si="47"/>
        <v>0</v>
      </c>
      <c r="J610" s="367">
        <f t="shared" si="47"/>
        <v>7923.9347030405379</v>
      </c>
      <c r="K610" s="367">
        <f t="shared" si="47"/>
        <v>0</v>
      </c>
      <c r="L610" s="367">
        <f t="shared" si="47"/>
        <v>0</v>
      </c>
      <c r="M610" s="367">
        <f t="shared" si="47"/>
        <v>-109360.55387534016</v>
      </c>
      <c r="N610" s="541">
        <f t="shared" si="47"/>
        <v>17419.548963200003</v>
      </c>
      <c r="O610" s="541">
        <f t="shared" si="47"/>
        <v>1194.8358959674933</v>
      </c>
      <c r="P610" s="541">
        <f t="shared" si="47"/>
        <v>253.05566406613033</v>
      </c>
      <c r="Q610" s="541">
        <f t="shared" si="47"/>
        <v>935.41787490286515</v>
      </c>
      <c r="R610" s="541">
        <f t="shared" si="47"/>
        <v>9.6547189954748998</v>
      </c>
      <c r="S610" s="541">
        <f t="shared" si="47"/>
        <v>228.43065143293614</v>
      </c>
      <c r="T610" s="541">
        <f t="shared" si="47"/>
        <v>0</v>
      </c>
      <c r="U610" s="541">
        <f t="shared" si="47"/>
        <v>0</v>
      </c>
      <c r="V610" s="541">
        <f t="shared" si="47"/>
        <v>9.6547189954748998</v>
      </c>
      <c r="W610" s="541">
        <f t="shared" si="47"/>
        <v>228.43065143293614</v>
      </c>
    </row>
    <row r="611" spans="1:23" ht="13.5" customHeight="1" x14ac:dyDescent="0.3">
      <c r="A611" s="82"/>
      <c r="B611" s="287" t="s">
        <v>7069</v>
      </c>
      <c r="C611" s="150"/>
      <c r="D611" s="150"/>
      <c r="E611" s="288"/>
      <c r="F611" s="150"/>
      <c r="G611" s="150"/>
      <c r="H611" s="150"/>
      <c r="I611" s="150"/>
      <c r="J611" s="150"/>
      <c r="K611" s="150"/>
      <c r="L611" s="150"/>
      <c r="M611" s="289"/>
      <c r="N611" s="150"/>
      <c r="O611" s="150"/>
      <c r="P611" s="150"/>
      <c r="Q611" s="150"/>
      <c r="R611" s="290"/>
      <c r="S611" s="291"/>
      <c r="T611" s="150"/>
      <c r="U611" s="150"/>
      <c r="V611" s="150"/>
      <c r="W611" s="151"/>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3AE2-6C38-4C48-920E-7B78A116C815}">
  <sheetPr codeName="Sheet37">
    <tabColor rgb="FF00B0F0"/>
  </sheetPr>
  <dimension ref="A1:BV184"/>
  <sheetViews>
    <sheetView workbookViewId="0">
      <selection activeCell="P2" sqref="P2:Q4"/>
    </sheetView>
  </sheetViews>
  <sheetFormatPr defaultColWidth="9.44140625" defaultRowHeight="14.4" x14ac:dyDescent="0.3"/>
  <cols>
    <col min="2" max="2" width="2.5546875" customWidth="1"/>
    <col min="21" max="21" width="2.5546875" customWidth="1"/>
    <col min="54" max="54" width="33.6640625" customWidth="1"/>
    <col min="56" max="56" width="18.6640625" bestFit="1" customWidth="1"/>
    <col min="57" max="57" width="15" customWidth="1"/>
    <col min="58" max="58" width="13.6640625" bestFit="1" customWidth="1"/>
    <col min="59" max="59" width="13.88671875" bestFit="1" customWidth="1"/>
    <col min="60" max="60" width="13.88671875" customWidth="1"/>
    <col min="61" max="61" width="15.44140625" customWidth="1"/>
    <col min="62" max="62" width="13.5546875" customWidth="1"/>
    <col min="63" max="63" width="19.5546875" bestFit="1" customWidth="1"/>
    <col min="64" max="64" width="25.88671875" bestFit="1" customWidth="1"/>
    <col min="65" max="65" width="18.44140625" bestFit="1" customWidth="1"/>
    <col min="66" max="66" width="43" bestFit="1" customWidth="1"/>
    <col min="67" max="67" width="13.33203125" bestFit="1" customWidth="1"/>
    <col min="69" max="69" width="16.88671875" bestFit="1"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62" t="s">
        <v>4</v>
      </c>
      <c r="O2" s="2363"/>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64"/>
      <c r="O3" s="2365"/>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66"/>
      <c r="O4" s="2367"/>
      <c r="P4" s="2349"/>
      <c r="Q4" s="2350"/>
      <c r="R4" s="926"/>
      <c r="S4" s="2356" t="s">
        <v>7</v>
      </c>
      <c r="T4" s="2357"/>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597" t="s">
        <v>253</v>
      </c>
      <c r="E11" s="2598"/>
      <c r="F11" s="2598"/>
      <c r="G11" s="2598"/>
      <c r="H11" s="2598"/>
      <c r="I11" s="2598"/>
      <c r="J11" s="2598"/>
      <c r="K11" s="2598"/>
      <c r="L11" s="2598"/>
      <c r="M11" s="2598"/>
      <c r="N11" s="2598"/>
      <c r="O11" s="2598"/>
      <c r="P11" s="2598"/>
      <c r="Q11" s="2598"/>
      <c r="R11" s="2598"/>
      <c r="S11" s="2599"/>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600"/>
      <c r="E12" s="2601"/>
      <c r="F12" s="2601"/>
      <c r="G12" s="2601"/>
      <c r="H12" s="2601"/>
      <c r="I12" s="2601"/>
      <c r="J12" s="2601"/>
      <c r="K12" s="2601"/>
      <c r="L12" s="2601"/>
      <c r="M12" s="2601"/>
      <c r="N12" s="2601"/>
      <c r="O12" s="2601"/>
      <c r="P12" s="2601"/>
      <c r="Q12" s="2601"/>
      <c r="R12" s="2601"/>
      <c r="S12" s="2602"/>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600"/>
      <c r="E13" s="2601"/>
      <c r="F13" s="2601"/>
      <c r="G13" s="2601"/>
      <c r="H13" s="2601"/>
      <c r="I13" s="2601"/>
      <c r="J13" s="2601"/>
      <c r="K13" s="2601"/>
      <c r="L13" s="2601"/>
      <c r="M13" s="2601"/>
      <c r="N13" s="2601"/>
      <c r="O13" s="2601"/>
      <c r="P13" s="2601"/>
      <c r="Q13" s="2601"/>
      <c r="R13" s="2601"/>
      <c r="S13" s="260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600"/>
      <c r="E14" s="2601"/>
      <c r="F14" s="2601"/>
      <c r="G14" s="2601"/>
      <c r="H14" s="2601"/>
      <c r="I14" s="2601"/>
      <c r="J14" s="2601"/>
      <c r="K14" s="2601"/>
      <c r="L14" s="2601"/>
      <c r="M14" s="2601"/>
      <c r="N14" s="2601"/>
      <c r="O14" s="2601"/>
      <c r="P14" s="2601"/>
      <c r="Q14" s="2601"/>
      <c r="R14" s="2601"/>
      <c r="S14" s="2602"/>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600"/>
      <c r="E15" s="2601"/>
      <c r="F15" s="2601"/>
      <c r="G15" s="2601"/>
      <c r="H15" s="2601"/>
      <c r="I15" s="2601"/>
      <c r="J15" s="2601"/>
      <c r="K15" s="2601"/>
      <c r="L15" s="2601"/>
      <c r="M15" s="2601"/>
      <c r="N15" s="2601"/>
      <c r="O15" s="2601"/>
      <c r="P15" s="2601"/>
      <c r="Q15" s="2601"/>
      <c r="R15" s="2601"/>
      <c r="S15" s="2602"/>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603"/>
      <c r="E16" s="2604"/>
      <c r="F16" s="2604"/>
      <c r="G16" s="2604"/>
      <c r="H16" s="2604"/>
      <c r="I16" s="2604"/>
      <c r="J16" s="2604"/>
      <c r="K16" s="2604"/>
      <c r="L16" s="2604"/>
      <c r="M16" s="2604"/>
      <c r="N16" s="2604"/>
      <c r="O16" s="2604"/>
      <c r="P16" s="2604"/>
      <c r="Q16" s="2604"/>
      <c r="R16" s="2604"/>
      <c r="S16" s="2605"/>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thickTop="1" x14ac:dyDescent="0.3">
      <c r="A18" s="926"/>
      <c r="B18" s="609"/>
      <c r="C18" s="962"/>
      <c r="D18" s="40"/>
      <c r="E18" s="40"/>
      <c r="F18" s="40"/>
      <c r="G18" s="2376" t="s">
        <v>254</v>
      </c>
      <c r="H18" s="2377"/>
      <c r="I18" s="2377"/>
      <c r="J18" s="2377"/>
      <c r="K18" s="2377"/>
      <c r="L18" s="2377"/>
      <c r="M18" s="2377"/>
      <c r="N18" s="2377"/>
      <c r="O18" s="2377"/>
      <c r="P18" s="2378"/>
      <c r="Q18" s="40"/>
      <c r="R18" s="40"/>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40"/>
      <c r="F19" s="40"/>
      <c r="G19" s="2379"/>
      <c r="H19" s="2380"/>
      <c r="I19" s="2380"/>
      <c r="J19" s="2380"/>
      <c r="K19" s="2380"/>
      <c r="L19" s="2380"/>
      <c r="M19" s="2380"/>
      <c r="N19" s="2380"/>
      <c r="O19" s="2380"/>
      <c r="P19" s="2381"/>
      <c r="Q19" s="40"/>
      <c r="R19" s="40"/>
      <c r="S19" s="4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40"/>
      <c r="E20" s="40"/>
      <c r="F20" s="40"/>
      <c r="G20" s="2379"/>
      <c r="H20" s="2380"/>
      <c r="I20" s="2380"/>
      <c r="J20" s="2380"/>
      <c r="K20" s="2380"/>
      <c r="L20" s="2380"/>
      <c r="M20" s="2380"/>
      <c r="N20" s="2380"/>
      <c r="O20" s="2380"/>
      <c r="P20" s="2381"/>
      <c r="Q20" s="40"/>
      <c r="R20" s="40"/>
      <c r="S20" s="4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40"/>
      <c r="E21" s="40"/>
      <c r="F21" s="40"/>
      <c r="G21" s="2379"/>
      <c r="H21" s="2380"/>
      <c r="I21" s="2380"/>
      <c r="J21" s="2380"/>
      <c r="K21" s="2380"/>
      <c r="L21" s="2380"/>
      <c r="M21" s="2380"/>
      <c r="N21" s="2380"/>
      <c r="O21" s="2380"/>
      <c r="P21" s="2381"/>
      <c r="Q21" s="40"/>
      <c r="R21" s="40"/>
      <c r="S21" s="4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40"/>
      <c r="E22" s="40"/>
      <c r="F22" s="40"/>
      <c r="G22" s="2379"/>
      <c r="H22" s="2380"/>
      <c r="I22" s="2380"/>
      <c r="J22" s="2380"/>
      <c r="K22" s="2380"/>
      <c r="L22" s="2380"/>
      <c r="M22" s="2380"/>
      <c r="N22" s="2380"/>
      <c r="O22" s="2380"/>
      <c r="P22" s="2381"/>
      <c r="Q22" s="40"/>
      <c r="R22" s="40"/>
      <c r="S22" s="40"/>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40"/>
      <c r="E23" s="40"/>
      <c r="F23" s="40"/>
      <c r="G23" s="2379"/>
      <c r="H23" s="2380"/>
      <c r="I23" s="2380"/>
      <c r="J23" s="2380"/>
      <c r="K23" s="2380"/>
      <c r="L23" s="2380"/>
      <c r="M23" s="2380"/>
      <c r="N23" s="2380"/>
      <c r="O23" s="2380"/>
      <c r="P23" s="2381"/>
      <c r="Q23" s="40"/>
      <c r="R23" s="40"/>
      <c r="S23" s="40"/>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40"/>
      <c r="E24" s="40"/>
      <c r="F24" s="40"/>
      <c r="G24" s="2379"/>
      <c r="H24" s="2380"/>
      <c r="I24" s="2380"/>
      <c r="J24" s="2380"/>
      <c r="K24" s="2380"/>
      <c r="L24" s="2380"/>
      <c r="M24" s="2380"/>
      <c r="N24" s="2380"/>
      <c r="O24" s="2380"/>
      <c r="P24" s="2381"/>
      <c r="Q24" s="40"/>
      <c r="R24" s="40"/>
      <c r="S24" s="40"/>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40"/>
      <c r="E25" s="40"/>
      <c r="F25" s="40"/>
      <c r="G25" s="2379"/>
      <c r="H25" s="2380"/>
      <c r="I25" s="2380"/>
      <c r="J25" s="2380"/>
      <c r="K25" s="2380"/>
      <c r="L25" s="2380"/>
      <c r="M25" s="2380"/>
      <c r="N25" s="2380"/>
      <c r="O25" s="2380"/>
      <c r="P25" s="2381"/>
      <c r="Q25" s="40"/>
      <c r="R25" s="40"/>
      <c r="S25" s="40"/>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40"/>
      <c r="E26" s="40"/>
      <c r="F26" s="40"/>
      <c r="G26" s="2379"/>
      <c r="H26" s="2380"/>
      <c r="I26" s="2380"/>
      <c r="J26" s="2380"/>
      <c r="K26" s="2380"/>
      <c r="L26" s="2380"/>
      <c r="M26" s="2380"/>
      <c r="N26" s="2380"/>
      <c r="O26" s="2380"/>
      <c r="P26" s="2381"/>
      <c r="Q26" s="40"/>
      <c r="R26" s="40"/>
      <c r="S26" s="40"/>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40"/>
      <c r="E27" s="40"/>
      <c r="F27" s="40"/>
      <c r="G27" s="2379"/>
      <c r="H27" s="2380"/>
      <c r="I27" s="2380"/>
      <c r="J27" s="2380"/>
      <c r="K27" s="2380"/>
      <c r="L27" s="2380"/>
      <c r="M27" s="2380"/>
      <c r="N27" s="2380"/>
      <c r="O27" s="2380"/>
      <c r="P27" s="2381"/>
      <c r="Q27" s="40"/>
      <c r="R27" s="40"/>
      <c r="S27" s="40"/>
      <c r="T27" s="963"/>
      <c r="U27" s="609"/>
      <c r="V27" s="926"/>
      <c r="W27" s="926"/>
      <c r="X27" s="926"/>
      <c r="Y27" s="926"/>
      <c r="Z27" s="926"/>
      <c r="AA27" s="926"/>
      <c r="AB27" s="926"/>
      <c r="AC27" s="926"/>
      <c r="AD27" s="926"/>
      <c r="AE27" s="926"/>
      <c r="AF27" s="926"/>
      <c r="AG27" s="926"/>
      <c r="AH27" s="926"/>
      <c r="AI27" s="926"/>
      <c r="AJ27" s="926"/>
    </row>
    <row r="28" spans="1:36" ht="15" customHeight="1" thickBot="1" x14ac:dyDescent="0.35">
      <c r="A28" s="926"/>
      <c r="B28" s="609"/>
      <c r="C28" s="962"/>
      <c r="D28" s="40"/>
      <c r="E28" s="40"/>
      <c r="F28" s="40"/>
      <c r="G28" s="2382"/>
      <c r="H28" s="2383"/>
      <c r="I28" s="2383"/>
      <c r="J28" s="2383"/>
      <c r="K28" s="2383"/>
      <c r="L28" s="2383"/>
      <c r="M28" s="2383"/>
      <c r="N28" s="2383"/>
      <c r="O28" s="2383"/>
      <c r="P28" s="2384"/>
      <c r="Q28" s="40"/>
      <c r="R28" s="40"/>
      <c r="S28" s="40"/>
      <c r="T28" s="963"/>
      <c r="U28" s="609"/>
      <c r="V28" s="926"/>
      <c r="W28" s="926"/>
      <c r="X28" s="926"/>
      <c r="Y28" s="926"/>
      <c r="Z28" s="926"/>
      <c r="AA28" s="926"/>
      <c r="AB28" s="926"/>
      <c r="AC28" s="926"/>
      <c r="AD28" s="926"/>
      <c r="AE28" s="926"/>
      <c r="AF28" s="926"/>
      <c r="AG28" s="926"/>
      <c r="AH28" s="926"/>
      <c r="AI28" s="926"/>
      <c r="AJ28" s="926"/>
    </row>
    <row r="29" spans="1:36" ht="15" customHeight="1" thickTop="1" thickBot="1" x14ac:dyDescent="0.35">
      <c r="A29" s="926"/>
      <c r="B29" s="609"/>
      <c r="C29" s="962"/>
      <c r="D29" s="40"/>
      <c r="E29" s="40"/>
      <c r="F29" s="970"/>
      <c r="G29" s="970"/>
      <c r="H29" s="971"/>
      <c r="I29" s="971"/>
      <c r="J29" s="971"/>
      <c r="K29" s="971"/>
      <c r="L29" s="971"/>
      <c r="M29" s="971"/>
      <c r="N29" s="972"/>
      <c r="O29" s="972"/>
      <c r="P29" s="972"/>
      <c r="Q29" s="972"/>
      <c r="R29" s="40"/>
      <c r="S29" s="4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40"/>
      <c r="E30" s="2562" t="s">
        <v>255</v>
      </c>
      <c r="F30" s="2563"/>
      <c r="G30" s="2563"/>
      <c r="H30" s="2563"/>
      <c r="I30" s="2563"/>
      <c r="J30" s="2563"/>
      <c r="K30" s="2563"/>
      <c r="L30" s="2563"/>
      <c r="M30" s="2563"/>
      <c r="N30" s="2563"/>
      <c r="O30" s="2563"/>
      <c r="P30" s="2563"/>
      <c r="Q30" s="2563"/>
      <c r="R30" s="2564"/>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2565"/>
      <c r="F31" s="2566"/>
      <c r="G31" s="2566"/>
      <c r="H31" s="2566"/>
      <c r="I31" s="2566"/>
      <c r="J31" s="2566"/>
      <c r="K31" s="2566"/>
      <c r="L31" s="2566"/>
      <c r="M31" s="2566"/>
      <c r="N31" s="2566"/>
      <c r="O31" s="2566"/>
      <c r="P31" s="2566"/>
      <c r="Q31" s="2566"/>
      <c r="R31" s="2567"/>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2565"/>
      <c r="F32" s="2566"/>
      <c r="G32" s="2566"/>
      <c r="H32" s="2566"/>
      <c r="I32" s="2566"/>
      <c r="J32" s="2566"/>
      <c r="K32" s="2566"/>
      <c r="L32" s="2566"/>
      <c r="M32" s="2566"/>
      <c r="N32" s="2566"/>
      <c r="O32" s="2566"/>
      <c r="P32" s="2566"/>
      <c r="Q32" s="2566"/>
      <c r="R32" s="2567"/>
      <c r="S32" s="40"/>
      <c r="T32" s="963"/>
      <c r="U32" s="609"/>
      <c r="V32" s="926"/>
      <c r="W32" s="926"/>
      <c r="X32" s="926"/>
      <c r="Y32" s="926"/>
      <c r="Z32" s="926"/>
      <c r="AA32" s="926"/>
      <c r="AB32" s="926"/>
      <c r="AC32" s="926"/>
      <c r="AD32" s="926"/>
      <c r="AE32" s="926"/>
      <c r="AF32" s="926"/>
      <c r="AG32" s="926"/>
      <c r="AH32" s="926"/>
      <c r="AI32" s="926"/>
      <c r="AJ32" s="926"/>
    </row>
    <row r="33" spans="1:36" ht="15" customHeight="1" thickBot="1" x14ac:dyDescent="0.35">
      <c r="A33" s="926"/>
      <c r="B33" s="609"/>
      <c r="C33" s="962"/>
      <c r="D33" s="40"/>
      <c r="E33" s="2568"/>
      <c r="F33" s="2569"/>
      <c r="G33" s="2569"/>
      <c r="H33" s="2569"/>
      <c r="I33" s="2569"/>
      <c r="J33" s="2569"/>
      <c r="K33" s="2569"/>
      <c r="L33" s="2569"/>
      <c r="M33" s="2569"/>
      <c r="N33" s="2569"/>
      <c r="O33" s="2569"/>
      <c r="P33" s="2569"/>
      <c r="Q33" s="2569"/>
      <c r="R33" s="2570"/>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2571" t="s">
        <v>256</v>
      </c>
      <c r="F34" s="2572"/>
      <c r="G34" s="2572" t="s">
        <v>39</v>
      </c>
      <c r="H34" s="2572"/>
      <c r="I34" s="2572" t="s">
        <v>257</v>
      </c>
      <c r="J34" s="2572"/>
      <c r="K34" s="2572" t="s">
        <v>258</v>
      </c>
      <c r="L34" s="2572"/>
      <c r="M34" s="2572" t="s">
        <v>259</v>
      </c>
      <c r="N34" s="2572"/>
      <c r="O34" s="2572" t="s">
        <v>260</v>
      </c>
      <c r="P34" s="2572"/>
      <c r="Q34" s="2572" t="s">
        <v>43</v>
      </c>
      <c r="R34" s="2573"/>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2500" t="s">
        <v>261</v>
      </c>
      <c r="F35" s="2410"/>
      <c r="G35" s="2583" t="str">
        <f>BR172</f>
        <v>0% - 100% - 0%</v>
      </c>
      <c r="H35" s="2583"/>
      <c r="I35" s="2586"/>
      <c r="J35" s="2586"/>
      <c r="K35" s="2586"/>
      <c r="L35" s="2586"/>
      <c r="M35" s="2586"/>
      <c r="N35" s="2586"/>
      <c r="O35" s="2535">
        <f>I35+K35+M35</f>
        <v>0</v>
      </c>
      <c r="P35" s="2535"/>
      <c r="Q35" s="2591" t="str">
        <f>BM172</f>
        <v>Sum is not 100%, using defaults</v>
      </c>
      <c r="R35" s="2592"/>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2500"/>
      <c r="F36" s="2410"/>
      <c r="G36" s="2583"/>
      <c r="H36" s="2583"/>
      <c r="I36" s="2586"/>
      <c r="J36" s="2586"/>
      <c r="K36" s="2586"/>
      <c r="L36" s="2586"/>
      <c r="M36" s="2586"/>
      <c r="N36" s="2586"/>
      <c r="O36" s="2535"/>
      <c r="P36" s="2535"/>
      <c r="Q36" s="2591"/>
      <c r="R36" s="2592"/>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2500"/>
      <c r="F37" s="2410"/>
      <c r="G37" s="2583"/>
      <c r="H37" s="2583"/>
      <c r="I37" s="2586"/>
      <c r="J37" s="2586"/>
      <c r="K37" s="2586"/>
      <c r="L37" s="2586"/>
      <c r="M37" s="2586"/>
      <c r="N37" s="2586"/>
      <c r="O37" s="2535"/>
      <c r="P37" s="2535"/>
      <c r="Q37" s="2591"/>
      <c r="R37" s="2592"/>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2500" t="s">
        <v>262</v>
      </c>
      <c r="F38" s="2410"/>
      <c r="G38" s="2583" t="str">
        <f>BR173</f>
        <v>0% - 100% - 0%</v>
      </c>
      <c r="H38" s="2583"/>
      <c r="I38" s="2586"/>
      <c r="J38" s="2586"/>
      <c r="K38" s="2586"/>
      <c r="L38" s="2586"/>
      <c r="M38" s="2586"/>
      <c r="N38" s="2586"/>
      <c r="O38" s="2535">
        <f>I38+K38+M38</f>
        <v>0</v>
      </c>
      <c r="P38" s="2535"/>
      <c r="Q38" s="2591" t="str">
        <f>BM173</f>
        <v>Sum is not 100%, using defaults</v>
      </c>
      <c r="R38" s="2592"/>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2500"/>
      <c r="F39" s="2410"/>
      <c r="G39" s="2583"/>
      <c r="H39" s="2583"/>
      <c r="I39" s="2586"/>
      <c r="J39" s="2586"/>
      <c r="K39" s="2586"/>
      <c r="L39" s="2586"/>
      <c r="M39" s="2586"/>
      <c r="N39" s="2586"/>
      <c r="O39" s="2535"/>
      <c r="P39" s="2535"/>
      <c r="Q39" s="2591"/>
      <c r="R39" s="2592"/>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2500"/>
      <c r="F40" s="2410"/>
      <c r="G40" s="2583"/>
      <c r="H40" s="2583"/>
      <c r="I40" s="2586"/>
      <c r="J40" s="2586"/>
      <c r="K40" s="2586"/>
      <c r="L40" s="2586"/>
      <c r="M40" s="2586"/>
      <c r="N40" s="2586"/>
      <c r="O40" s="2535"/>
      <c r="P40" s="2535"/>
      <c r="Q40" s="2591"/>
      <c r="R40" s="2592"/>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2500" t="s">
        <v>263</v>
      </c>
      <c r="F41" s="2410"/>
      <c r="G41" s="2583" t="str">
        <f>BR174</f>
        <v>0% - 100% - 0%</v>
      </c>
      <c r="H41" s="2583"/>
      <c r="I41" s="2586"/>
      <c r="J41" s="2586"/>
      <c r="K41" s="2586"/>
      <c r="L41" s="2586"/>
      <c r="M41" s="2586"/>
      <c r="N41" s="2586"/>
      <c r="O41" s="2535">
        <f>I41+K41+M41</f>
        <v>0</v>
      </c>
      <c r="P41" s="2535"/>
      <c r="Q41" s="2591" t="str">
        <f>BM174</f>
        <v>Sum is not 100%, using defaults</v>
      </c>
      <c r="R41" s="2592"/>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2500"/>
      <c r="F42" s="2410"/>
      <c r="G42" s="2583"/>
      <c r="H42" s="2583"/>
      <c r="I42" s="2586"/>
      <c r="J42" s="2586"/>
      <c r="K42" s="2586"/>
      <c r="L42" s="2586"/>
      <c r="M42" s="2586"/>
      <c r="N42" s="2586"/>
      <c r="O42" s="2535"/>
      <c r="P42" s="2535"/>
      <c r="Q42" s="2591"/>
      <c r="R42" s="2592"/>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E43" s="2500"/>
      <c r="F43" s="2410"/>
      <c r="G43" s="2583"/>
      <c r="H43" s="2583"/>
      <c r="I43" s="2586"/>
      <c r="J43" s="2586"/>
      <c r="K43" s="2586"/>
      <c r="L43" s="2586"/>
      <c r="M43" s="2586"/>
      <c r="N43" s="2586"/>
      <c r="O43" s="2535"/>
      <c r="P43" s="2535"/>
      <c r="Q43" s="2591"/>
      <c r="R43" s="2592"/>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2500" t="s">
        <v>264</v>
      </c>
      <c r="F44" s="2410"/>
      <c r="G44" s="2583" t="str">
        <f>BR175</f>
        <v>0% - 0% - 100%</v>
      </c>
      <c r="H44" s="2583"/>
      <c r="I44" s="2586"/>
      <c r="J44" s="2586"/>
      <c r="K44" s="2586"/>
      <c r="L44" s="2586"/>
      <c r="M44" s="2586"/>
      <c r="N44" s="2586"/>
      <c r="O44" s="2535">
        <f>I44+K44+M44</f>
        <v>0</v>
      </c>
      <c r="P44" s="2535"/>
      <c r="Q44" s="2591" t="str">
        <f>BM175</f>
        <v>Sum is not 100%, using defaults</v>
      </c>
      <c r="R44" s="2592"/>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2500"/>
      <c r="F45" s="2410"/>
      <c r="G45" s="2583"/>
      <c r="H45" s="2583"/>
      <c r="I45" s="2586"/>
      <c r="J45" s="2586"/>
      <c r="K45" s="2586"/>
      <c r="L45" s="2586"/>
      <c r="M45" s="2586"/>
      <c r="N45" s="2586"/>
      <c r="O45" s="2535"/>
      <c r="P45" s="2535"/>
      <c r="Q45" s="2591"/>
      <c r="R45" s="2592"/>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2500"/>
      <c r="F46" s="2410"/>
      <c r="G46" s="2583"/>
      <c r="H46" s="2583"/>
      <c r="I46" s="2586"/>
      <c r="J46" s="2586"/>
      <c r="K46" s="2586"/>
      <c r="L46" s="2586"/>
      <c r="M46" s="2586"/>
      <c r="N46" s="2586"/>
      <c r="O46" s="2535"/>
      <c r="P46" s="2535"/>
      <c r="Q46" s="2591"/>
      <c r="R46" s="2592"/>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2577" t="s">
        <v>265</v>
      </c>
      <c r="F47" s="2578"/>
      <c r="G47" s="2583" t="str">
        <f>BR176</f>
        <v>0% - 0% - 100%</v>
      </c>
      <c r="H47" s="2583"/>
      <c r="I47" s="2586"/>
      <c r="J47" s="2586"/>
      <c r="K47" s="2586"/>
      <c r="L47" s="2586"/>
      <c r="M47" s="2586"/>
      <c r="N47" s="2586"/>
      <c r="O47" s="2535">
        <f>I47+K47+M47</f>
        <v>0</v>
      </c>
      <c r="P47" s="2535"/>
      <c r="Q47" s="2591" t="str">
        <f>BM176</f>
        <v>Sum is not 100%, using defaults</v>
      </c>
      <c r="R47" s="2592"/>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2579"/>
      <c r="F48" s="2580"/>
      <c r="G48" s="2584"/>
      <c r="H48" s="2584"/>
      <c r="I48" s="2587"/>
      <c r="J48" s="2587"/>
      <c r="K48" s="2587"/>
      <c r="L48" s="2587"/>
      <c r="M48" s="2587"/>
      <c r="N48" s="2587"/>
      <c r="O48" s="2589"/>
      <c r="P48" s="2589"/>
      <c r="Q48" s="2593"/>
      <c r="R48" s="2594"/>
      <c r="S48" s="40"/>
      <c r="T48" s="963"/>
      <c r="U48" s="609"/>
      <c r="V48" s="926"/>
      <c r="W48" s="926"/>
      <c r="X48" s="926"/>
      <c r="Y48" s="926"/>
      <c r="Z48" s="926"/>
      <c r="AA48" s="926"/>
      <c r="AB48" s="926"/>
      <c r="AC48" s="926"/>
      <c r="AD48" s="926"/>
      <c r="AE48" s="926"/>
      <c r="AF48" s="926"/>
      <c r="AG48" s="926"/>
      <c r="AH48" s="926"/>
      <c r="AI48" s="926"/>
      <c r="AJ48" s="926"/>
    </row>
    <row r="49" spans="1:36" ht="15" customHeight="1" thickBot="1" x14ac:dyDescent="0.35">
      <c r="A49" s="926"/>
      <c r="B49" s="609"/>
      <c r="C49" s="962"/>
      <c r="D49" s="40"/>
      <c r="E49" s="2581"/>
      <c r="F49" s="2582"/>
      <c r="G49" s="2585"/>
      <c r="H49" s="2585"/>
      <c r="I49" s="2588"/>
      <c r="J49" s="2588"/>
      <c r="K49" s="2588"/>
      <c r="L49" s="2588"/>
      <c r="M49" s="2588"/>
      <c r="N49" s="2588"/>
      <c r="O49" s="2590"/>
      <c r="P49" s="2590"/>
      <c r="Q49" s="2595"/>
      <c r="R49" s="2596"/>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40"/>
      <c r="F50" s="40"/>
      <c r="G50" s="40"/>
      <c r="H50" s="40"/>
      <c r="I50" s="40"/>
      <c r="J50" s="40"/>
      <c r="K50" s="40"/>
      <c r="L50" s="40"/>
      <c r="M50" s="40"/>
      <c r="N50" s="40"/>
      <c r="O50" s="40"/>
      <c r="P50" s="40"/>
      <c r="Q50" s="40"/>
      <c r="R50" s="40"/>
      <c r="S50" s="40"/>
      <c r="T50" s="963"/>
      <c r="U50" s="609"/>
      <c r="V50" s="926"/>
      <c r="W50" s="926"/>
      <c r="X50" s="926"/>
      <c r="Y50" s="926"/>
      <c r="Z50" s="926"/>
      <c r="AA50" s="926"/>
      <c r="AB50" s="926"/>
      <c r="AC50" s="926"/>
      <c r="AD50" s="926"/>
      <c r="AE50" s="926"/>
      <c r="AF50" s="926"/>
      <c r="AG50" s="926"/>
      <c r="AH50" s="926"/>
      <c r="AI50" s="926"/>
      <c r="AJ50" s="926"/>
    </row>
    <row r="51" spans="1:36" ht="15" customHeight="1" thickBot="1" x14ac:dyDescent="0.35">
      <c r="A51" s="926"/>
      <c r="B51" s="609"/>
      <c r="C51" s="962"/>
      <c r="D51" s="40"/>
      <c r="E51" s="40"/>
      <c r="F51" s="40"/>
      <c r="G51" s="40"/>
      <c r="H51" s="40"/>
      <c r="I51" s="40"/>
      <c r="J51" s="40"/>
      <c r="K51" s="40"/>
      <c r="L51" s="40"/>
      <c r="M51" s="40"/>
      <c r="N51" s="40"/>
      <c r="O51" s="40"/>
      <c r="P51" s="40"/>
      <c r="Q51" s="40"/>
      <c r="R51" s="40"/>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2562" t="s">
        <v>266</v>
      </c>
      <c r="F52" s="2563"/>
      <c r="G52" s="2563"/>
      <c r="H52" s="2563"/>
      <c r="I52" s="2563"/>
      <c r="J52" s="2563"/>
      <c r="K52" s="2563"/>
      <c r="L52" s="2563"/>
      <c r="M52" s="2563"/>
      <c r="N52" s="2563"/>
      <c r="O52" s="2563"/>
      <c r="P52" s="2563"/>
      <c r="Q52" s="2563"/>
      <c r="R52" s="2564"/>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2565"/>
      <c r="F53" s="2566"/>
      <c r="G53" s="2566"/>
      <c r="H53" s="2566"/>
      <c r="I53" s="2566"/>
      <c r="J53" s="2566"/>
      <c r="K53" s="2566"/>
      <c r="L53" s="2566"/>
      <c r="M53" s="2566"/>
      <c r="N53" s="2566"/>
      <c r="O53" s="2566"/>
      <c r="P53" s="2566"/>
      <c r="Q53" s="2566"/>
      <c r="R53" s="2567"/>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2565"/>
      <c r="F54" s="2566"/>
      <c r="G54" s="2566"/>
      <c r="H54" s="2566"/>
      <c r="I54" s="2566"/>
      <c r="J54" s="2566"/>
      <c r="K54" s="2566"/>
      <c r="L54" s="2566"/>
      <c r="M54" s="2566"/>
      <c r="N54" s="2566"/>
      <c r="O54" s="2566"/>
      <c r="P54" s="2566"/>
      <c r="Q54" s="2566"/>
      <c r="R54" s="2567"/>
      <c r="S54" s="40"/>
      <c r="T54" s="963"/>
      <c r="U54" s="609"/>
      <c r="V54" s="926"/>
      <c r="W54" s="926"/>
      <c r="X54" s="926"/>
      <c r="Y54" s="926"/>
      <c r="Z54" s="926"/>
      <c r="AA54" s="926"/>
      <c r="AB54" s="926"/>
      <c r="AC54" s="926"/>
      <c r="AD54" s="926"/>
      <c r="AE54" s="926"/>
      <c r="AF54" s="926"/>
      <c r="AG54" s="926"/>
      <c r="AH54" s="926"/>
      <c r="AI54" s="926"/>
      <c r="AJ54" s="926"/>
    </row>
    <row r="55" spans="1:36" ht="15" customHeight="1" thickBot="1" x14ac:dyDescent="0.35">
      <c r="A55" s="926"/>
      <c r="B55" s="609"/>
      <c r="C55" s="962"/>
      <c r="D55" s="40"/>
      <c r="E55" s="2568"/>
      <c r="F55" s="2569"/>
      <c r="G55" s="2569"/>
      <c r="H55" s="2569"/>
      <c r="I55" s="2569"/>
      <c r="J55" s="2569"/>
      <c r="K55" s="2569"/>
      <c r="L55" s="2569"/>
      <c r="M55" s="2569"/>
      <c r="N55" s="2569"/>
      <c r="O55" s="2569"/>
      <c r="P55" s="2569"/>
      <c r="Q55" s="2569"/>
      <c r="R55" s="257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2571" t="s">
        <v>267</v>
      </c>
      <c r="F56" s="2572"/>
      <c r="G56" s="2572" t="s">
        <v>38</v>
      </c>
      <c r="H56" s="2572"/>
      <c r="I56" s="2572" t="s">
        <v>39</v>
      </c>
      <c r="J56" s="2572"/>
      <c r="K56" s="2572" t="s">
        <v>268</v>
      </c>
      <c r="L56" s="2572"/>
      <c r="M56" s="2572" t="s">
        <v>41</v>
      </c>
      <c r="N56" s="2572"/>
      <c r="O56" s="2572" t="s">
        <v>42</v>
      </c>
      <c r="P56" s="2572"/>
      <c r="Q56" s="2572" t="s">
        <v>43</v>
      </c>
      <c r="R56" s="2573"/>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2500" t="s">
        <v>261</v>
      </c>
      <c r="F57" s="2410"/>
      <c r="G57" s="2398" t="str">
        <f>BG156</f>
        <v>$/1000 gal</v>
      </c>
      <c r="H57" s="2398"/>
      <c r="I57" s="2553">
        <f>BE156</f>
        <v>16.7</v>
      </c>
      <c r="J57" s="2553"/>
      <c r="K57" s="2556"/>
      <c r="L57" s="2556"/>
      <c r="M57" s="2553">
        <f>BI156</f>
        <v>0</v>
      </c>
      <c r="N57" s="2553"/>
      <c r="O57" s="2553">
        <f>BJ156</f>
        <v>60.7</v>
      </c>
      <c r="P57" s="2553"/>
      <c r="Q57" s="2398" t="str">
        <f>BN156</f>
        <v>Using default</v>
      </c>
      <c r="R57" s="2511"/>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2500"/>
      <c r="F58" s="2410"/>
      <c r="G58" s="2398"/>
      <c r="H58" s="2398"/>
      <c r="I58" s="2553"/>
      <c r="J58" s="2553"/>
      <c r="K58" s="2556"/>
      <c r="L58" s="2556"/>
      <c r="M58" s="2553"/>
      <c r="N58" s="2553"/>
      <c r="O58" s="2553"/>
      <c r="P58" s="2553"/>
      <c r="Q58" s="2398"/>
      <c r="R58" s="2511"/>
      <c r="S58" s="40"/>
      <c r="T58" s="963"/>
      <c r="U58" s="609"/>
      <c r="V58" s="926"/>
      <c r="W58" s="926"/>
      <c r="X58" s="926"/>
      <c r="Y58" s="926"/>
      <c r="Z58" s="926"/>
      <c r="AA58" s="926"/>
      <c r="AB58" s="926"/>
      <c r="AC58" s="926"/>
      <c r="AD58" s="926"/>
      <c r="AE58" s="926"/>
      <c r="AF58" s="926"/>
      <c r="AG58" s="926"/>
      <c r="AH58" s="926"/>
      <c r="AI58" s="926"/>
      <c r="AJ58" s="926"/>
    </row>
    <row r="59" spans="1:36" ht="15" customHeight="1" x14ac:dyDescent="0.3">
      <c r="A59" s="926"/>
      <c r="B59" s="609"/>
      <c r="C59" s="962"/>
      <c r="D59" s="40"/>
      <c r="E59" s="2500"/>
      <c r="F59" s="2410"/>
      <c r="G59" s="2398"/>
      <c r="H59" s="2398"/>
      <c r="I59" s="2553"/>
      <c r="J59" s="2553"/>
      <c r="K59" s="2556"/>
      <c r="L59" s="2556"/>
      <c r="M59" s="2553"/>
      <c r="N59" s="2553"/>
      <c r="O59" s="2553"/>
      <c r="P59" s="2553"/>
      <c r="Q59" s="2398"/>
      <c r="R59" s="2511"/>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2500" t="s">
        <v>262</v>
      </c>
      <c r="F60" s="2410"/>
      <c r="G60" s="2398" t="str">
        <f>BG157</f>
        <v>$/1000 gal</v>
      </c>
      <c r="H60" s="2398"/>
      <c r="I60" s="2553">
        <f>BE157</f>
        <v>16.7</v>
      </c>
      <c r="J60" s="2553"/>
      <c r="K60" s="2576"/>
      <c r="L60" s="2556"/>
      <c r="M60" s="2553">
        <f>BI157</f>
        <v>0.01</v>
      </c>
      <c r="N60" s="2553"/>
      <c r="O60" s="2553">
        <f>BJ157</f>
        <v>60.7</v>
      </c>
      <c r="P60" s="2553"/>
      <c r="Q60" s="2398" t="str">
        <f>BN157</f>
        <v>Using default</v>
      </c>
      <c r="R60" s="2511"/>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40"/>
      <c r="E61" s="2500"/>
      <c r="F61" s="2410"/>
      <c r="G61" s="2398"/>
      <c r="H61" s="2398"/>
      <c r="I61" s="2553"/>
      <c r="J61" s="2553"/>
      <c r="K61" s="2556"/>
      <c r="L61" s="2556"/>
      <c r="M61" s="2553"/>
      <c r="N61" s="2553"/>
      <c r="O61" s="2553"/>
      <c r="P61" s="2553"/>
      <c r="Q61" s="2398"/>
      <c r="R61" s="2511"/>
      <c r="S61" s="4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40"/>
      <c r="E62" s="2500"/>
      <c r="F62" s="2410"/>
      <c r="G62" s="2398"/>
      <c r="H62" s="2398"/>
      <c r="I62" s="2553"/>
      <c r="J62" s="2553"/>
      <c r="K62" s="2556"/>
      <c r="L62" s="2556"/>
      <c r="M62" s="2553"/>
      <c r="N62" s="2553"/>
      <c r="O62" s="2553"/>
      <c r="P62" s="2553"/>
      <c r="Q62" s="2398"/>
      <c r="R62" s="2511"/>
      <c r="S62" s="40"/>
      <c r="T62" s="963"/>
      <c r="U62" s="609"/>
      <c r="V62" s="926"/>
      <c r="W62" s="926"/>
      <c r="X62" s="926"/>
      <c r="Y62" s="926"/>
      <c r="Z62" s="926"/>
      <c r="AA62" s="926"/>
      <c r="AB62" s="926"/>
      <c r="AC62" s="926"/>
      <c r="AD62" s="926"/>
      <c r="AE62" s="926"/>
      <c r="AF62" s="926"/>
      <c r="AG62" s="926"/>
      <c r="AH62" s="926"/>
      <c r="AI62" s="926"/>
      <c r="AJ62" s="926"/>
    </row>
    <row r="63" spans="1:36" ht="15" customHeight="1" x14ac:dyDescent="0.3">
      <c r="A63" s="926"/>
      <c r="B63" s="609"/>
      <c r="C63" s="962"/>
      <c r="D63" s="40"/>
      <c r="E63" s="2500" t="s">
        <v>263</v>
      </c>
      <c r="F63" s="2410"/>
      <c r="G63" s="2398" t="str">
        <f>BG158</f>
        <v>$/1000 gal</v>
      </c>
      <c r="H63" s="2398"/>
      <c r="I63" s="2553">
        <f>BE158</f>
        <v>16.7</v>
      </c>
      <c r="J63" s="2553"/>
      <c r="K63" s="2556"/>
      <c r="L63" s="2556"/>
      <c r="M63" s="2553">
        <f>BI158</f>
        <v>0.01</v>
      </c>
      <c r="N63" s="2553"/>
      <c r="O63" s="2553">
        <f>BJ158</f>
        <v>60.7</v>
      </c>
      <c r="P63" s="2553"/>
      <c r="Q63" s="2398" t="str">
        <f>BN158</f>
        <v>Using default</v>
      </c>
      <c r="R63" s="2511"/>
      <c r="S63" s="4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40"/>
      <c r="E64" s="2500"/>
      <c r="F64" s="2410"/>
      <c r="G64" s="2398"/>
      <c r="H64" s="2398"/>
      <c r="I64" s="2553"/>
      <c r="J64" s="2553"/>
      <c r="K64" s="2556"/>
      <c r="L64" s="2556"/>
      <c r="M64" s="2553"/>
      <c r="N64" s="2553"/>
      <c r="O64" s="2553"/>
      <c r="P64" s="2553"/>
      <c r="Q64" s="2398"/>
      <c r="R64" s="2511"/>
      <c r="S64" s="4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40"/>
      <c r="E65" s="2500"/>
      <c r="F65" s="2410"/>
      <c r="G65" s="2398"/>
      <c r="H65" s="2398"/>
      <c r="I65" s="2553"/>
      <c r="J65" s="2553"/>
      <c r="K65" s="2556"/>
      <c r="L65" s="2556"/>
      <c r="M65" s="2553"/>
      <c r="N65" s="2553"/>
      <c r="O65" s="2553"/>
      <c r="P65" s="2553"/>
      <c r="Q65" s="2398"/>
      <c r="R65" s="2511"/>
      <c r="S65" s="4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40"/>
      <c r="E66" s="2500" t="s">
        <v>264</v>
      </c>
      <c r="F66" s="2410"/>
      <c r="G66" s="2559" t="str">
        <f>BG159</f>
        <v>$/ton (2000 lb)</v>
      </c>
      <c r="H66" s="2559"/>
      <c r="I66" s="2553">
        <f>BE159</f>
        <v>41.5</v>
      </c>
      <c r="J66" s="2553"/>
      <c r="K66" s="2556"/>
      <c r="L66" s="2556"/>
      <c r="M66" s="2553">
        <f>BI159</f>
        <v>0.01</v>
      </c>
      <c r="N66" s="2553"/>
      <c r="O66" s="2553">
        <f>BJ159</f>
        <v>118.4</v>
      </c>
      <c r="P66" s="2553"/>
      <c r="Q66" s="2398" t="str">
        <f>BN159</f>
        <v>Using default</v>
      </c>
      <c r="R66" s="2511"/>
      <c r="S66" s="4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962"/>
      <c r="D67" s="40"/>
      <c r="E67" s="2500"/>
      <c r="F67" s="2410"/>
      <c r="G67" s="2559"/>
      <c r="H67" s="2559"/>
      <c r="I67" s="2553"/>
      <c r="J67" s="2553"/>
      <c r="K67" s="2556"/>
      <c r="L67" s="2556"/>
      <c r="M67" s="2553"/>
      <c r="N67" s="2553"/>
      <c r="O67" s="2553"/>
      <c r="P67" s="2553"/>
      <c r="Q67" s="2398"/>
      <c r="R67" s="2511"/>
      <c r="S67" s="4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962"/>
      <c r="D68" s="40"/>
      <c r="E68" s="2500"/>
      <c r="F68" s="2410"/>
      <c r="G68" s="2559"/>
      <c r="H68" s="2559"/>
      <c r="I68" s="2553"/>
      <c r="J68" s="2553"/>
      <c r="K68" s="2556"/>
      <c r="L68" s="2556"/>
      <c r="M68" s="2553"/>
      <c r="N68" s="2553"/>
      <c r="O68" s="2553"/>
      <c r="P68" s="2553"/>
      <c r="Q68" s="2398"/>
      <c r="R68" s="2511"/>
      <c r="S68" s="4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40"/>
      <c r="E69" s="2500" t="s">
        <v>265</v>
      </c>
      <c r="F69" s="2410"/>
      <c r="G69" s="2559" t="str">
        <f>BG160</f>
        <v>$/ton (2000 lb)</v>
      </c>
      <c r="H69" s="2559"/>
      <c r="I69" s="2553">
        <f>BE160</f>
        <v>41.5</v>
      </c>
      <c r="J69" s="2553"/>
      <c r="K69" s="2556"/>
      <c r="L69" s="2556"/>
      <c r="M69" s="2553">
        <f>BI160</f>
        <v>0.01</v>
      </c>
      <c r="N69" s="2553"/>
      <c r="O69" s="2553">
        <f>BJ160</f>
        <v>118.4</v>
      </c>
      <c r="P69" s="2553"/>
      <c r="Q69" s="2398" t="str">
        <f>BN160</f>
        <v>Using default</v>
      </c>
      <c r="R69" s="2511"/>
      <c r="S69" s="40"/>
      <c r="T69" s="963"/>
      <c r="U69" s="609"/>
      <c r="V69" s="926"/>
      <c r="W69" s="926"/>
      <c r="X69" s="926"/>
      <c r="Y69" s="926"/>
      <c r="Z69" s="926"/>
      <c r="AA69" s="926"/>
      <c r="AB69" s="926"/>
      <c r="AC69" s="926"/>
      <c r="AD69" s="926"/>
      <c r="AE69" s="926"/>
      <c r="AF69" s="926"/>
      <c r="AG69" s="926"/>
      <c r="AH69" s="926"/>
      <c r="AI69" s="926"/>
      <c r="AJ69" s="926"/>
    </row>
    <row r="70" spans="1:36" ht="15" customHeight="1" x14ac:dyDescent="0.3">
      <c r="A70" s="926"/>
      <c r="B70" s="609"/>
      <c r="C70" s="962"/>
      <c r="D70" s="40"/>
      <c r="E70" s="2551"/>
      <c r="F70" s="2552"/>
      <c r="G70" s="2560"/>
      <c r="H70" s="2560"/>
      <c r="I70" s="2554"/>
      <c r="J70" s="2554"/>
      <c r="K70" s="2557"/>
      <c r="L70" s="2557"/>
      <c r="M70" s="2554"/>
      <c r="N70" s="2554"/>
      <c r="O70" s="2554"/>
      <c r="P70" s="2554"/>
      <c r="Q70" s="2509"/>
      <c r="R70" s="2512"/>
      <c r="S70" s="40"/>
      <c r="T70" s="963"/>
      <c r="U70" s="609"/>
      <c r="V70" s="926"/>
      <c r="W70" s="926"/>
      <c r="X70" s="926"/>
      <c r="Y70" s="926"/>
      <c r="Z70" s="926"/>
      <c r="AA70" s="926"/>
      <c r="AB70" s="926"/>
      <c r="AC70" s="926"/>
      <c r="AD70" s="926"/>
      <c r="AE70" s="926"/>
      <c r="AF70" s="926"/>
      <c r="AG70" s="926"/>
      <c r="AH70" s="926"/>
      <c r="AI70" s="926"/>
      <c r="AJ70" s="926"/>
    </row>
    <row r="71" spans="1:36" ht="15" customHeight="1" thickBot="1" x14ac:dyDescent="0.35">
      <c r="A71" s="926"/>
      <c r="B71" s="609"/>
      <c r="C71" s="962"/>
      <c r="D71" s="40"/>
      <c r="E71" s="2501"/>
      <c r="F71" s="2502"/>
      <c r="G71" s="2561"/>
      <c r="H71" s="2561"/>
      <c r="I71" s="2555"/>
      <c r="J71" s="2555"/>
      <c r="K71" s="2558"/>
      <c r="L71" s="2558"/>
      <c r="M71" s="2555"/>
      <c r="N71" s="2555"/>
      <c r="O71" s="2555"/>
      <c r="P71" s="2555"/>
      <c r="Q71" s="2510"/>
      <c r="R71" s="2513"/>
      <c r="S71" s="40"/>
      <c r="T71" s="963"/>
      <c r="U71" s="609"/>
      <c r="V71" s="926"/>
      <c r="W71" s="926"/>
      <c r="X71" s="926"/>
      <c r="Y71" s="926"/>
      <c r="Z71" s="926"/>
      <c r="AA71" s="926"/>
      <c r="AB71" s="926"/>
      <c r="AC71" s="926"/>
      <c r="AD71" s="926"/>
      <c r="AE71" s="926"/>
      <c r="AF71" s="926"/>
      <c r="AG71" s="926"/>
      <c r="AH71" s="926"/>
      <c r="AI71" s="926"/>
      <c r="AJ71" s="926"/>
    </row>
    <row r="72" spans="1:36" ht="15" customHeight="1" x14ac:dyDescent="0.3">
      <c r="A72" s="926"/>
      <c r="B72" s="609"/>
      <c r="C72" s="962"/>
      <c r="D72" s="40"/>
      <c r="E72" s="40"/>
      <c r="F72" s="40"/>
      <c r="G72" s="40"/>
      <c r="H72" s="40"/>
      <c r="I72" s="40"/>
      <c r="J72" s="40"/>
      <c r="K72" s="40"/>
      <c r="L72" s="2574"/>
      <c r="M72" s="2574"/>
      <c r="N72" s="2574"/>
      <c r="O72" s="2574"/>
      <c r="P72" s="2574"/>
      <c r="Q72" s="2575"/>
      <c r="R72" s="2575"/>
      <c r="S72" s="40"/>
      <c r="T72" s="963"/>
      <c r="U72" s="609"/>
      <c r="V72" s="926"/>
      <c r="W72" s="926"/>
      <c r="X72" s="926"/>
      <c r="Y72" s="926"/>
      <c r="Z72" s="926"/>
      <c r="AA72" s="926"/>
      <c r="AB72" s="926"/>
      <c r="AC72" s="926"/>
      <c r="AD72" s="926"/>
      <c r="AE72" s="926"/>
      <c r="AF72" s="926"/>
      <c r="AG72" s="926"/>
      <c r="AH72" s="926"/>
      <c r="AI72" s="926"/>
      <c r="AJ72" s="926"/>
    </row>
    <row r="73" spans="1:36" ht="15" customHeight="1" thickBot="1" x14ac:dyDescent="0.35">
      <c r="A73" s="926"/>
      <c r="B73" s="609"/>
      <c r="C73" s="962"/>
      <c r="D73" s="40"/>
      <c r="E73" s="40"/>
      <c r="F73" s="40"/>
      <c r="G73" s="40"/>
      <c r="H73" s="40"/>
      <c r="I73" s="40"/>
      <c r="J73" s="40"/>
      <c r="K73" s="40"/>
      <c r="L73" s="40"/>
      <c r="M73" s="40"/>
      <c r="N73" s="40"/>
      <c r="O73" s="40"/>
      <c r="P73" s="40"/>
      <c r="Q73" s="1967"/>
      <c r="R73" s="1967"/>
      <c r="S73" s="40"/>
      <c r="T73" s="963"/>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40"/>
      <c r="E74" s="2562" t="s">
        <v>269</v>
      </c>
      <c r="F74" s="2563"/>
      <c r="G74" s="2563"/>
      <c r="H74" s="2563"/>
      <c r="I74" s="2563"/>
      <c r="J74" s="2563"/>
      <c r="K74" s="2563"/>
      <c r="L74" s="2563"/>
      <c r="M74" s="2563"/>
      <c r="N74" s="2563"/>
      <c r="O74" s="2563"/>
      <c r="P74" s="2563"/>
      <c r="Q74" s="2563"/>
      <c r="R74" s="2564"/>
      <c r="S74" s="40"/>
      <c r="T74" s="963"/>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962"/>
      <c r="D75" s="40"/>
      <c r="E75" s="2565"/>
      <c r="F75" s="2566"/>
      <c r="G75" s="2566"/>
      <c r="H75" s="2566"/>
      <c r="I75" s="2566"/>
      <c r="J75" s="2566"/>
      <c r="K75" s="2566"/>
      <c r="L75" s="2566"/>
      <c r="M75" s="2566"/>
      <c r="N75" s="2566"/>
      <c r="O75" s="2566"/>
      <c r="P75" s="2566"/>
      <c r="Q75" s="2566"/>
      <c r="R75" s="2567"/>
      <c r="S75" s="40"/>
      <c r="T75" s="963"/>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40"/>
      <c r="E76" s="2565"/>
      <c r="F76" s="2566"/>
      <c r="G76" s="2566"/>
      <c r="H76" s="2566"/>
      <c r="I76" s="2566"/>
      <c r="J76" s="2566"/>
      <c r="K76" s="2566"/>
      <c r="L76" s="2566"/>
      <c r="M76" s="2566"/>
      <c r="N76" s="2566"/>
      <c r="O76" s="2566"/>
      <c r="P76" s="2566"/>
      <c r="Q76" s="2566"/>
      <c r="R76" s="2567"/>
      <c r="S76" s="40"/>
      <c r="T76" s="963"/>
      <c r="U76" s="609"/>
      <c r="V76" s="926"/>
      <c r="W76" s="926"/>
      <c r="X76" s="926"/>
      <c r="Y76" s="926"/>
      <c r="Z76" s="926"/>
      <c r="AA76" s="926"/>
      <c r="AB76" s="926"/>
      <c r="AC76" s="926"/>
      <c r="AD76" s="926"/>
      <c r="AE76" s="926"/>
      <c r="AF76" s="926"/>
      <c r="AG76" s="926"/>
      <c r="AH76" s="926"/>
      <c r="AI76" s="926"/>
      <c r="AJ76" s="926"/>
    </row>
    <row r="77" spans="1:36" ht="15" customHeight="1" thickBot="1" x14ac:dyDescent="0.35">
      <c r="A77" s="926"/>
      <c r="B77" s="609"/>
      <c r="C77" s="962"/>
      <c r="D77" s="40"/>
      <c r="E77" s="2568"/>
      <c r="F77" s="2569"/>
      <c r="G77" s="2569"/>
      <c r="H77" s="2569"/>
      <c r="I77" s="2569"/>
      <c r="J77" s="2569"/>
      <c r="K77" s="2569"/>
      <c r="L77" s="2569"/>
      <c r="M77" s="2569"/>
      <c r="N77" s="2569"/>
      <c r="O77" s="2569"/>
      <c r="P77" s="2569"/>
      <c r="Q77" s="2569"/>
      <c r="R77" s="2570"/>
      <c r="S77" s="40"/>
      <c r="T77" s="963"/>
      <c r="U77" s="609"/>
      <c r="V77" s="926"/>
      <c r="W77" s="926"/>
      <c r="X77" s="926"/>
      <c r="Y77" s="926"/>
      <c r="Z77" s="926"/>
      <c r="AA77" s="926"/>
      <c r="AB77" s="926"/>
      <c r="AC77" s="926"/>
      <c r="AD77" s="926"/>
      <c r="AE77" s="926"/>
      <c r="AF77" s="926"/>
      <c r="AG77" s="926"/>
      <c r="AH77" s="926"/>
      <c r="AI77" s="926"/>
      <c r="AJ77" s="926"/>
    </row>
    <row r="78" spans="1:36" ht="15" customHeight="1" x14ac:dyDescent="0.3">
      <c r="A78" s="926"/>
      <c r="B78" s="609"/>
      <c r="C78" s="962"/>
      <c r="D78" s="40"/>
      <c r="E78" s="2571" t="s">
        <v>270</v>
      </c>
      <c r="F78" s="2572"/>
      <c r="G78" s="2572" t="s">
        <v>38</v>
      </c>
      <c r="H78" s="2572"/>
      <c r="I78" s="2572" t="s">
        <v>39</v>
      </c>
      <c r="J78" s="2572"/>
      <c r="K78" s="2572" t="s">
        <v>271</v>
      </c>
      <c r="L78" s="2572"/>
      <c r="M78" s="2572" t="s">
        <v>41</v>
      </c>
      <c r="N78" s="2572"/>
      <c r="O78" s="2572" t="s">
        <v>42</v>
      </c>
      <c r="P78" s="2572"/>
      <c r="Q78" s="2572" t="s">
        <v>43</v>
      </c>
      <c r="R78" s="2573"/>
      <c r="S78" s="40"/>
      <c r="T78" s="963"/>
      <c r="U78" s="609"/>
      <c r="V78" s="926"/>
      <c r="W78" s="926"/>
      <c r="X78" s="926"/>
      <c r="Y78" s="926"/>
      <c r="Z78" s="926"/>
      <c r="AA78" s="926"/>
      <c r="AB78" s="926"/>
      <c r="AC78" s="926"/>
      <c r="AD78" s="926"/>
      <c r="AE78" s="926"/>
      <c r="AF78" s="926"/>
      <c r="AG78" s="926"/>
      <c r="AH78" s="926"/>
      <c r="AI78" s="926"/>
      <c r="AJ78" s="926"/>
    </row>
    <row r="79" spans="1:36" ht="15" customHeight="1" x14ac:dyDescent="0.3">
      <c r="A79" s="926"/>
      <c r="B79" s="609"/>
      <c r="C79" s="962"/>
      <c r="D79" s="40"/>
      <c r="E79" s="2500" t="s">
        <v>261</v>
      </c>
      <c r="F79" s="2410"/>
      <c r="G79" s="2398" t="str">
        <f>BG161</f>
        <v>$/1000 gal</v>
      </c>
      <c r="H79" s="2398"/>
      <c r="I79" s="2553">
        <f>BE161</f>
        <v>3.5</v>
      </c>
      <c r="J79" s="2553"/>
      <c r="K79" s="2556"/>
      <c r="L79" s="2556"/>
      <c r="M79" s="2553">
        <f>BI161</f>
        <v>0.01</v>
      </c>
      <c r="N79" s="2553"/>
      <c r="O79" s="2553">
        <f>BJ161</f>
        <v>16</v>
      </c>
      <c r="P79" s="2553"/>
      <c r="Q79" s="2398" t="str">
        <f>BN161</f>
        <v>Using default</v>
      </c>
      <c r="R79" s="2511"/>
      <c r="S79" s="40"/>
      <c r="T79" s="963"/>
      <c r="U79" s="609"/>
      <c r="V79" s="926"/>
      <c r="W79" s="926"/>
      <c r="X79" s="926"/>
      <c r="Y79" s="926"/>
      <c r="Z79" s="926"/>
      <c r="AA79" s="926"/>
      <c r="AB79" s="926"/>
      <c r="AC79" s="926"/>
      <c r="AD79" s="926"/>
      <c r="AE79" s="926"/>
      <c r="AF79" s="926"/>
      <c r="AG79" s="926"/>
      <c r="AH79" s="926"/>
      <c r="AI79" s="926"/>
      <c r="AJ79" s="926"/>
    </row>
    <row r="80" spans="1:36" ht="15" customHeight="1" x14ac:dyDescent="0.3">
      <c r="A80" s="926"/>
      <c r="B80" s="609"/>
      <c r="C80" s="962"/>
      <c r="D80" s="40"/>
      <c r="E80" s="2500"/>
      <c r="F80" s="2410"/>
      <c r="G80" s="2398"/>
      <c r="H80" s="2398"/>
      <c r="I80" s="2553"/>
      <c r="J80" s="2553"/>
      <c r="K80" s="2556"/>
      <c r="L80" s="2556"/>
      <c r="M80" s="2553"/>
      <c r="N80" s="2553"/>
      <c r="O80" s="2553"/>
      <c r="P80" s="2553"/>
      <c r="Q80" s="2398"/>
      <c r="R80" s="2511"/>
      <c r="S80" s="40"/>
      <c r="T80" s="963"/>
      <c r="U80" s="609"/>
      <c r="V80" s="926"/>
      <c r="W80" s="926"/>
      <c r="X80" s="926"/>
      <c r="Y80" s="926"/>
      <c r="Z80" s="926"/>
      <c r="AA80" s="926"/>
      <c r="AB80" s="926"/>
      <c r="AC80" s="926"/>
      <c r="AD80" s="926"/>
      <c r="AE80" s="926"/>
      <c r="AF80" s="926"/>
      <c r="AG80" s="926"/>
      <c r="AH80" s="926"/>
      <c r="AI80" s="926"/>
      <c r="AJ80" s="926"/>
    </row>
    <row r="81" spans="1:36" ht="15" customHeight="1" x14ac:dyDescent="0.3">
      <c r="A81" s="926"/>
      <c r="B81" s="609"/>
      <c r="C81" s="962"/>
      <c r="D81" s="40"/>
      <c r="E81" s="2500"/>
      <c r="F81" s="2410"/>
      <c r="G81" s="2398"/>
      <c r="H81" s="2398"/>
      <c r="I81" s="2553"/>
      <c r="J81" s="2553"/>
      <c r="K81" s="2556"/>
      <c r="L81" s="2556"/>
      <c r="M81" s="2553"/>
      <c r="N81" s="2553"/>
      <c r="O81" s="2553"/>
      <c r="P81" s="2553"/>
      <c r="Q81" s="2398"/>
      <c r="R81" s="2511"/>
      <c r="S81" s="40"/>
      <c r="T81" s="963"/>
      <c r="U81" s="609"/>
      <c r="V81" s="926"/>
      <c r="W81" s="926"/>
      <c r="X81" s="926"/>
      <c r="Y81" s="926"/>
      <c r="Z81" s="926"/>
      <c r="AA81" s="926"/>
      <c r="AB81" s="926"/>
      <c r="AC81" s="926"/>
      <c r="AD81" s="926"/>
      <c r="AE81" s="926"/>
      <c r="AF81" s="926"/>
      <c r="AG81" s="926"/>
      <c r="AH81" s="926"/>
      <c r="AI81" s="926"/>
      <c r="AJ81" s="926"/>
    </row>
    <row r="82" spans="1:36" ht="15" customHeight="1" x14ac:dyDescent="0.3">
      <c r="A82" s="926"/>
      <c r="B82" s="609"/>
      <c r="C82" s="962"/>
      <c r="D82" s="40"/>
      <c r="E82" s="2500" t="s">
        <v>262</v>
      </c>
      <c r="F82" s="2410"/>
      <c r="G82" s="2398" t="str">
        <f>BG162</f>
        <v>$/1000 gal</v>
      </c>
      <c r="H82" s="2398"/>
      <c r="I82" s="2553">
        <f>BE162</f>
        <v>6</v>
      </c>
      <c r="J82" s="2553"/>
      <c r="K82" s="2556"/>
      <c r="L82" s="2556"/>
      <c r="M82" s="2553">
        <f>BI162</f>
        <v>0.01</v>
      </c>
      <c r="N82" s="2553"/>
      <c r="O82" s="2553">
        <f>BJ162</f>
        <v>30</v>
      </c>
      <c r="P82" s="2553"/>
      <c r="Q82" s="2398" t="str">
        <f>BN162</f>
        <v>Using default</v>
      </c>
      <c r="R82" s="2511"/>
      <c r="S82" s="40"/>
      <c r="T82" s="963"/>
      <c r="U82" s="609"/>
      <c r="V82" s="926"/>
      <c r="W82" s="926"/>
      <c r="X82" s="926"/>
      <c r="Y82" s="926"/>
      <c r="Z82" s="926"/>
      <c r="AA82" s="926"/>
      <c r="AB82" s="926"/>
      <c r="AC82" s="926"/>
      <c r="AD82" s="926"/>
      <c r="AE82" s="926"/>
      <c r="AF82" s="926"/>
      <c r="AG82" s="926"/>
      <c r="AH82" s="926"/>
      <c r="AI82" s="926"/>
      <c r="AJ82" s="926"/>
    </row>
    <row r="83" spans="1:36" ht="15" customHeight="1" x14ac:dyDescent="0.3">
      <c r="A83" s="926"/>
      <c r="B83" s="609"/>
      <c r="C83" s="962"/>
      <c r="D83" s="40"/>
      <c r="E83" s="2500"/>
      <c r="F83" s="2410"/>
      <c r="G83" s="2398"/>
      <c r="H83" s="2398"/>
      <c r="I83" s="2553"/>
      <c r="J83" s="2553"/>
      <c r="K83" s="2556"/>
      <c r="L83" s="2556"/>
      <c r="M83" s="2553"/>
      <c r="N83" s="2553"/>
      <c r="O83" s="2553"/>
      <c r="P83" s="2553"/>
      <c r="Q83" s="2398"/>
      <c r="R83" s="2511"/>
      <c r="S83" s="40"/>
      <c r="T83" s="963"/>
      <c r="U83" s="609"/>
      <c r="V83" s="926"/>
      <c r="W83" s="926"/>
      <c r="X83" s="926"/>
      <c r="Y83" s="926"/>
      <c r="Z83" s="926"/>
      <c r="AA83" s="926"/>
      <c r="AB83" s="926"/>
      <c r="AC83" s="926"/>
      <c r="AD83" s="926"/>
      <c r="AE83" s="926"/>
      <c r="AF83" s="926"/>
      <c r="AG83" s="926"/>
      <c r="AH83" s="926"/>
      <c r="AI83" s="926"/>
      <c r="AJ83" s="926"/>
    </row>
    <row r="84" spans="1:36" ht="15" customHeight="1" x14ac:dyDescent="0.3">
      <c r="A84" s="926"/>
      <c r="B84" s="609"/>
      <c r="C84" s="962"/>
      <c r="D84" s="40"/>
      <c r="E84" s="2500"/>
      <c r="F84" s="2410"/>
      <c r="G84" s="2398"/>
      <c r="H84" s="2398"/>
      <c r="I84" s="2553"/>
      <c r="J84" s="2553"/>
      <c r="K84" s="2556"/>
      <c r="L84" s="2556"/>
      <c r="M84" s="2553"/>
      <c r="N84" s="2553"/>
      <c r="O84" s="2553"/>
      <c r="P84" s="2553"/>
      <c r="Q84" s="2398"/>
      <c r="R84" s="2511"/>
      <c r="S84" s="40"/>
      <c r="T84" s="963"/>
      <c r="U84" s="609"/>
      <c r="V84" s="926"/>
      <c r="W84" s="926"/>
      <c r="X84" s="926"/>
      <c r="Y84" s="926"/>
      <c r="Z84" s="926"/>
      <c r="AA84" s="926"/>
      <c r="AB84" s="926"/>
      <c r="AC84" s="926"/>
      <c r="AD84" s="926"/>
      <c r="AE84" s="926"/>
      <c r="AF84" s="926"/>
      <c r="AG84" s="926"/>
      <c r="AH84" s="926"/>
      <c r="AI84" s="926"/>
      <c r="AJ84" s="926"/>
    </row>
    <row r="85" spans="1:36" ht="15" customHeight="1" x14ac:dyDescent="0.3">
      <c r="A85" s="926"/>
      <c r="B85" s="609"/>
      <c r="C85" s="962"/>
      <c r="D85" s="40"/>
      <c r="E85" s="2500" t="s">
        <v>263</v>
      </c>
      <c r="F85" s="2410"/>
      <c r="G85" s="2398" t="str">
        <f>BG163</f>
        <v>$/1000 gal</v>
      </c>
      <c r="H85" s="2398"/>
      <c r="I85" s="2553">
        <f>BE163</f>
        <v>40</v>
      </c>
      <c r="J85" s="2553"/>
      <c r="K85" s="2556"/>
      <c r="L85" s="2556"/>
      <c r="M85" s="2553">
        <f>BI163</f>
        <v>0.01</v>
      </c>
      <c r="N85" s="2553"/>
      <c r="O85" s="2553">
        <f>BJ163</f>
        <v>534</v>
      </c>
      <c r="P85" s="2553"/>
      <c r="Q85" s="2398" t="str">
        <f>BN163</f>
        <v>Using default</v>
      </c>
      <c r="R85" s="2511"/>
      <c r="S85" s="40"/>
      <c r="T85" s="963"/>
      <c r="U85" s="609"/>
      <c r="V85" s="926"/>
      <c r="W85" s="926"/>
      <c r="X85" s="926"/>
      <c r="Y85" s="926"/>
      <c r="Z85" s="926"/>
      <c r="AA85" s="926"/>
      <c r="AB85" s="926"/>
      <c r="AC85" s="926"/>
      <c r="AD85" s="926"/>
      <c r="AE85" s="926"/>
      <c r="AF85" s="926"/>
      <c r="AG85" s="926"/>
      <c r="AH85" s="926"/>
      <c r="AI85" s="926"/>
      <c r="AJ85" s="926"/>
    </row>
    <row r="86" spans="1:36" ht="15" customHeight="1" x14ac:dyDescent="0.3">
      <c r="A86" s="926"/>
      <c r="B86" s="609"/>
      <c r="C86" s="962"/>
      <c r="D86" s="40"/>
      <c r="E86" s="2500"/>
      <c r="F86" s="2410"/>
      <c r="G86" s="2398"/>
      <c r="H86" s="2398"/>
      <c r="I86" s="2553"/>
      <c r="J86" s="2553"/>
      <c r="K86" s="2556"/>
      <c r="L86" s="2556"/>
      <c r="M86" s="2553"/>
      <c r="N86" s="2553"/>
      <c r="O86" s="2553"/>
      <c r="P86" s="2553"/>
      <c r="Q86" s="2398"/>
      <c r="R86" s="2511"/>
      <c r="S86" s="40"/>
      <c r="T86" s="963"/>
      <c r="U86" s="609"/>
      <c r="V86" s="926"/>
      <c r="W86" s="926"/>
      <c r="X86" s="926"/>
      <c r="Y86" s="926"/>
      <c r="Z86" s="926"/>
      <c r="AA86" s="926"/>
      <c r="AB86" s="926"/>
      <c r="AC86" s="926"/>
      <c r="AD86" s="926"/>
      <c r="AE86" s="926"/>
      <c r="AF86" s="926"/>
      <c r="AG86" s="926"/>
      <c r="AH86" s="926"/>
      <c r="AI86" s="926"/>
      <c r="AJ86" s="926"/>
    </row>
    <row r="87" spans="1:36" ht="15" customHeight="1" x14ac:dyDescent="0.3">
      <c r="A87" s="926"/>
      <c r="B87" s="609"/>
      <c r="C87" s="962"/>
      <c r="D87" s="40"/>
      <c r="E87" s="2500"/>
      <c r="F87" s="2410"/>
      <c r="G87" s="2398"/>
      <c r="H87" s="2398"/>
      <c r="I87" s="2553"/>
      <c r="J87" s="2553"/>
      <c r="K87" s="2556"/>
      <c r="L87" s="2556"/>
      <c r="M87" s="2553"/>
      <c r="N87" s="2553"/>
      <c r="O87" s="2553"/>
      <c r="P87" s="2553"/>
      <c r="Q87" s="2398"/>
      <c r="R87" s="2511"/>
      <c r="S87" s="40"/>
      <c r="T87" s="963"/>
      <c r="U87" s="609"/>
      <c r="V87" s="926"/>
      <c r="W87" s="926"/>
      <c r="X87" s="926"/>
      <c r="Y87" s="926"/>
      <c r="Z87" s="926"/>
      <c r="AA87" s="926"/>
      <c r="AB87" s="926"/>
      <c r="AC87" s="926"/>
      <c r="AD87" s="926"/>
      <c r="AE87" s="926"/>
      <c r="AF87" s="926"/>
      <c r="AG87" s="926"/>
      <c r="AH87" s="926"/>
      <c r="AI87" s="926"/>
      <c r="AJ87" s="926"/>
    </row>
    <row r="88" spans="1:36" ht="15" customHeight="1" x14ac:dyDescent="0.3">
      <c r="A88" s="926"/>
      <c r="B88" s="609"/>
      <c r="C88" s="962"/>
      <c r="D88" s="40"/>
      <c r="E88" s="2500" t="s">
        <v>264</v>
      </c>
      <c r="F88" s="2410"/>
      <c r="G88" s="2559" t="str">
        <f>BG164</f>
        <v>$/ton (2000 lb)</v>
      </c>
      <c r="H88" s="2559"/>
      <c r="I88" s="2553">
        <f>BE164</f>
        <v>26.5</v>
      </c>
      <c r="J88" s="2553"/>
      <c r="K88" s="2556"/>
      <c r="L88" s="2556"/>
      <c r="M88" s="2553">
        <f>BI164</f>
        <v>0.01</v>
      </c>
      <c r="N88" s="2553"/>
      <c r="O88" s="2553">
        <f>BJ164</f>
        <v>188.5</v>
      </c>
      <c r="P88" s="2553"/>
      <c r="Q88" s="2398" t="str">
        <f>BN164</f>
        <v>Using default</v>
      </c>
      <c r="R88" s="2511"/>
      <c r="S88" s="40"/>
      <c r="T88" s="963"/>
      <c r="U88" s="609"/>
      <c r="V88" s="926"/>
      <c r="W88" s="926"/>
      <c r="X88" s="926"/>
      <c r="Y88" s="926"/>
      <c r="Z88" s="926"/>
      <c r="AA88" s="926"/>
      <c r="AB88" s="926"/>
      <c r="AC88" s="926"/>
      <c r="AD88" s="926"/>
      <c r="AE88" s="926"/>
      <c r="AF88" s="926"/>
      <c r="AG88" s="926"/>
      <c r="AH88" s="926"/>
      <c r="AI88" s="926"/>
      <c r="AJ88" s="926"/>
    </row>
    <row r="89" spans="1:36" ht="15" customHeight="1" x14ac:dyDescent="0.3">
      <c r="A89" s="926"/>
      <c r="B89" s="609"/>
      <c r="C89" s="962"/>
      <c r="D89" s="40"/>
      <c r="E89" s="2500"/>
      <c r="F89" s="2410"/>
      <c r="G89" s="2559"/>
      <c r="H89" s="2559"/>
      <c r="I89" s="2553"/>
      <c r="J89" s="2553"/>
      <c r="K89" s="2556"/>
      <c r="L89" s="2556"/>
      <c r="M89" s="2553"/>
      <c r="N89" s="2553"/>
      <c r="O89" s="2553"/>
      <c r="P89" s="2553"/>
      <c r="Q89" s="2398"/>
      <c r="R89" s="2511"/>
      <c r="S89" s="40"/>
      <c r="T89" s="963"/>
      <c r="U89" s="609"/>
      <c r="V89" s="926"/>
      <c r="W89" s="926"/>
      <c r="X89" s="926"/>
      <c r="Y89" s="926"/>
      <c r="Z89" s="926"/>
      <c r="AA89" s="926"/>
      <c r="AB89" s="926"/>
      <c r="AC89" s="926"/>
      <c r="AD89" s="926"/>
      <c r="AE89" s="926"/>
      <c r="AF89" s="926"/>
      <c r="AG89" s="926"/>
      <c r="AH89" s="926"/>
      <c r="AI89" s="926"/>
      <c r="AJ89" s="926"/>
    </row>
    <row r="90" spans="1:36" ht="15" customHeight="1" x14ac:dyDescent="0.3">
      <c r="A90" s="926"/>
      <c r="B90" s="609"/>
      <c r="C90" s="962"/>
      <c r="D90" s="40"/>
      <c r="E90" s="2500"/>
      <c r="F90" s="2410"/>
      <c r="G90" s="2559"/>
      <c r="H90" s="2559"/>
      <c r="I90" s="2553"/>
      <c r="J90" s="2553"/>
      <c r="K90" s="2556"/>
      <c r="L90" s="2556"/>
      <c r="M90" s="2553"/>
      <c r="N90" s="2553"/>
      <c r="O90" s="2553"/>
      <c r="P90" s="2553"/>
      <c r="Q90" s="2398"/>
      <c r="R90" s="2511"/>
      <c r="S90" s="40"/>
      <c r="T90" s="963"/>
      <c r="U90" s="609"/>
      <c r="V90" s="926"/>
      <c r="W90" s="926"/>
      <c r="X90" s="926"/>
      <c r="Y90" s="926"/>
      <c r="Z90" s="926"/>
      <c r="AA90" s="926"/>
      <c r="AB90" s="926"/>
      <c r="AC90" s="926"/>
      <c r="AD90" s="926"/>
      <c r="AE90" s="926"/>
      <c r="AF90" s="926"/>
      <c r="AG90" s="926"/>
      <c r="AH90" s="926"/>
      <c r="AI90" s="926"/>
      <c r="AJ90" s="926"/>
    </row>
    <row r="91" spans="1:36" ht="15" customHeight="1" x14ac:dyDescent="0.3">
      <c r="A91" s="926"/>
      <c r="B91" s="609"/>
      <c r="C91" s="962"/>
      <c r="D91" s="40"/>
      <c r="E91" s="2500" t="s">
        <v>265</v>
      </c>
      <c r="F91" s="2410"/>
      <c r="G91" s="2559" t="str">
        <f>BG165</f>
        <v>$/ton (2000 lb)</v>
      </c>
      <c r="H91" s="2559"/>
      <c r="I91" s="2553">
        <f>BE165</f>
        <v>45</v>
      </c>
      <c r="J91" s="2553"/>
      <c r="K91" s="2556"/>
      <c r="L91" s="2556"/>
      <c r="M91" s="2553">
        <f>BI165</f>
        <v>0.01</v>
      </c>
      <c r="N91" s="2553"/>
      <c r="O91" s="2553">
        <f>BJ165</f>
        <v>80</v>
      </c>
      <c r="P91" s="2553"/>
      <c r="Q91" s="2398" t="str">
        <f>BN165</f>
        <v>Using default</v>
      </c>
      <c r="R91" s="2511"/>
      <c r="S91" s="40"/>
      <c r="T91" s="963"/>
      <c r="U91" s="609"/>
      <c r="V91" s="926"/>
      <c r="W91" s="926"/>
      <c r="X91" s="926"/>
      <c r="Y91" s="926"/>
      <c r="Z91" s="926"/>
      <c r="AA91" s="926"/>
      <c r="AB91" s="926"/>
      <c r="AC91" s="926"/>
      <c r="AD91" s="926"/>
      <c r="AE91" s="926"/>
      <c r="AF91" s="926"/>
      <c r="AG91" s="926"/>
      <c r="AH91" s="926"/>
      <c r="AI91" s="926"/>
      <c r="AJ91" s="926"/>
    </row>
    <row r="92" spans="1:36" ht="15" customHeight="1" x14ac:dyDescent="0.3">
      <c r="A92" s="926"/>
      <c r="B92" s="609"/>
      <c r="C92" s="962"/>
      <c r="D92" s="40"/>
      <c r="E92" s="2551"/>
      <c r="F92" s="2552"/>
      <c r="G92" s="2560"/>
      <c r="H92" s="2560"/>
      <c r="I92" s="2554"/>
      <c r="J92" s="2554"/>
      <c r="K92" s="2557"/>
      <c r="L92" s="2557"/>
      <c r="M92" s="2554"/>
      <c r="N92" s="2554"/>
      <c r="O92" s="2554"/>
      <c r="P92" s="2554"/>
      <c r="Q92" s="2509"/>
      <c r="R92" s="2512"/>
      <c r="S92" s="40"/>
      <c r="T92" s="963"/>
      <c r="U92" s="609"/>
      <c r="V92" s="926"/>
      <c r="W92" s="926"/>
      <c r="X92" s="926"/>
      <c r="Y92" s="926"/>
      <c r="Z92" s="926"/>
      <c r="AA92" s="926"/>
      <c r="AB92" s="926"/>
      <c r="AC92" s="926"/>
      <c r="AD92" s="926"/>
      <c r="AE92" s="926"/>
      <c r="AF92" s="926"/>
      <c r="AG92" s="926"/>
      <c r="AH92" s="926"/>
      <c r="AI92" s="926"/>
      <c r="AJ92" s="926"/>
    </row>
    <row r="93" spans="1:36" ht="15" customHeight="1" thickBot="1" x14ac:dyDescent="0.35">
      <c r="A93" s="926"/>
      <c r="B93" s="609"/>
      <c r="C93" s="962"/>
      <c r="D93" s="40"/>
      <c r="E93" s="2501"/>
      <c r="F93" s="2502"/>
      <c r="G93" s="2561"/>
      <c r="H93" s="2561"/>
      <c r="I93" s="2555"/>
      <c r="J93" s="2555"/>
      <c r="K93" s="2558"/>
      <c r="L93" s="2558"/>
      <c r="M93" s="2555"/>
      <c r="N93" s="2555"/>
      <c r="O93" s="2555"/>
      <c r="P93" s="2555"/>
      <c r="Q93" s="2510"/>
      <c r="R93" s="2513"/>
      <c r="S93" s="40"/>
      <c r="T93" s="963"/>
      <c r="U93" s="609"/>
      <c r="V93" s="926"/>
      <c r="W93" s="926"/>
      <c r="X93" s="926"/>
      <c r="Y93" s="926"/>
      <c r="Z93" s="926"/>
      <c r="AA93" s="926"/>
      <c r="AB93" s="926"/>
      <c r="AC93" s="926"/>
      <c r="AD93" s="926"/>
      <c r="AE93" s="926"/>
      <c r="AF93" s="926"/>
      <c r="AG93" s="926"/>
      <c r="AH93" s="926"/>
      <c r="AI93" s="926"/>
      <c r="AJ93" s="926"/>
    </row>
    <row r="94" spans="1:36" ht="15" customHeight="1" x14ac:dyDescent="0.3">
      <c r="A94" s="926"/>
      <c r="B94" s="609"/>
      <c r="C94" s="962"/>
      <c r="D94" s="40"/>
      <c r="E94" s="40"/>
      <c r="F94" s="40"/>
      <c r="G94" s="40"/>
      <c r="H94" s="40"/>
      <c r="I94" s="40"/>
      <c r="J94" s="40"/>
      <c r="K94" s="40"/>
      <c r="L94" s="1966"/>
      <c r="M94" s="1966"/>
      <c r="N94" s="1966"/>
      <c r="O94" s="1966"/>
      <c r="P94" s="1966"/>
      <c r="Q94" s="1967"/>
      <c r="R94" s="1967"/>
      <c r="S94" s="40"/>
      <c r="T94" s="963"/>
      <c r="U94" s="609"/>
      <c r="V94" s="926"/>
      <c r="W94" s="926"/>
      <c r="X94" s="926"/>
      <c r="Y94" s="926"/>
      <c r="Z94" s="926"/>
      <c r="AA94" s="926"/>
      <c r="AB94" s="926"/>
      <c r="AC94" s="926"/>
      <c r="AD94" s="926"/>
      <c r="AE94" s="926"/>
      <c r="AF94" s="926"/>
      <c r="AG94" s="926"/>
      <c r="AH94" s="926"/>
      <c r="AI94" s="926"/>
      <c r="AJ94" s="926"/>
    </row>
    <row r="95" spans="1:36" ht="15" customHeight="1" thickBot="1" x14ac:dyDescent="0.35">
      <c r="A95" s="926"/>
      <c r="B95" s="609"/>
      <c r="C95" s="962"/>
      <c r="D95" s="40"/>
      <c r="E95" s="40"/>
      <c r="F95" s="40"/>
      <c r="G95" s="40"/>
      <c r="H95" s="40"/>
      <c r="I95" s="40"/>
      <c r="J95" s="40"/>
      <c r="K95" s="40"/>
      <c r="L95" s="1966"/>
      <c r="M95" s="1966"/>
      <c r="N95" s="1966"/>
      <c r="O95" s="1966"/>
      <c r="P95" s="1966"/>
      <c r="Q95" s="1967"/>
      <c r="R95" s="1967"/>
      <c r="S95" s="40"/>
      <c r="T95" s="963"/>
      <c r="U95" s="609"/>
      <c r="V95" s="926"/>
      <c r="W95" s="926"/>
      <c r="X95" s="926"/>
      <c r="Y95" s="926"/>
      <c r="Z95" s="926"/>
      <c r="AA95" s="926"/>
      <c r="AB95" s="926"/>
      <c r="AC95" s="926"/>
      <c r="AD95" s="926"/>
      <c r="AE95" s="926"/>
      <c r="AF95" s="926"/>
      <c r="AG95" s="926"/>
      <c r="AH95" s="926"/>
      <c r="AI95" s="926"/>
      <c r="AJ95" s="926"/>
    </row>
    <row r="96" spans="1:36" ht="15" customHeight="1" thickTop="1" x14ac:dyDescent="0.3">
      <c r="A96" s="926"/>
      <c r="B96" s="609"/>
      <c r="C96" s="962"/>
      <c r="D96" s="40"/>
      <c r="E96" s="40"/>
      <c r="F96" s="40"/>
      <c r="G96" s="2376" t="str">
        <f>BL184</f>
        <v>You have answered all of the questions for this page. Press the "Next page" button below to move to the tractor properties page.</v>
      </c>
      <c r="H96" s="2377"/>
      <c r="I96" s="2377"/>
      <c r="J96" s="2377"/>
      <c r="K96" s="2377"/>
      <c r="L96" s="2377"/>
      <c r="M96" s="2377"/>
      <c r="N96" s="2377"/>
      <c r="O96" s="2377"/>
      <c r="P96" s="2378"/>
      <c r="Q96" s="40"/>
      <c r="R96" s="40"/>
      <c r="S96" s="40"/>
      <c r="T96" s="963"/>
      <c r="U96" s="609"/>
      <c r="V96" s="926"/>
      <c r="W96" s="926"/>
      <c r="X96" s="926"/>
      <c r="Y96" s="926"/>
      <c r="Z96" s="926"/>
      <c r="AA96" s="926"/>
      <c r="AB96" s="926"/>
      <c r="AC96" s="926"/>
      <c r="AD96" s="926"/>
      <c r="AE96" s="926"/>
      <c r="AF96" s="926"/>
      <c r="AG96" s="926"/>
      <c r="AH96" s="926"/>
      <c r="AI96" s="926"/>
      <c r="AJ96" s="926"/>
    </row>
    <row r="97" spans="1:36" ht="15" customHeight="1" x14ac:dyDescent="0.3">
      <c r="A97" s="926"/>
      <c r="B97" s="609"/>
      <c r="C97" s="962"/>
      <c r="D97" s="40"/>
      <c r="E97" s="40"/>
      <c r="F97" s="40"/>
      <c r="G97" s="2379"/>
      <c r="H97" s="2380"/>
      <c r="I97" s="2380"/>
      <c r="J97" s="2380"/>
      <c r="K97" s="2380"/>
      <c r="L97" s="2380"/>
      <c r="M97" s="2380"/>
      <c r="N97" s="2380"/>
      <c r="O97" s="2380"/>
      <c r="P97" s="2381"/>
      <c r="Q97" s="40"/>
      <c r="R97" s="40"/>
      <c r="S97" s="40"/>
      <c r="T97" s="963"/>
      <c r="U97" s="609"/>
      <c r="V97" s="926"/>
      <c r="W97" s="926"/>
      <c r="X97" s="926"/>
      <c r="Y97" s="926"/>
      <c r="Z97" s="926"/>
      <c r="AA97" s="926"/>
      <c r="AB97" s="926"/>
      <c r="AC97" s="926"/>
      <c r="AD97" s="926"/>
      <c r="AE97" s="926"/>
      <c r="AF97" s="926"/>
      <c r="AG97" s="926"/>
      <c r="AH97" s="926"/>
      <c r="AI97" s="926"/>
      <c r="AJ97" s="926"/>
    </row>
    <row r="98" spans="1:36" ht="15" customHeight="1" x14ac:dyDescent="0.3">
      <c r="A98" s="926"/>
      <c r="B98" s="609"/>
      <c r="C98" s="962"/>
      <c r="D98" s="40"/>
      <c r="E98" s="40"/>
      <c r="F98" s="40"/>
      <c r="G98" s="2379"/>
      <c r="H98" s="2380"/>
      <c r="I98" s="2380"/>
      <c r="J98" s="2380"/>
      <c r="K98" s="2380"/>
      <c r="L98" s="2380"/>
      <c r="M98" s="2380"/>
      <c r="N98" s="2380"/>
      <c r="O98" s="2380"/>
      <c r="P98" s="2381"/>
      <c r="Q98" s="40"/>
      <c r="R98" s="40"/>
      <c r="S98" s="40"/>
      <c r="T98" s="963"/>
      <c r="U98" s="609"/>
      <c r="V98" s="926"/>
      <c r="W98" s="926"/>
      <c r="X98" s="926"/>
      <c r="Y98" s="926"/>
      <c r="Z98" s="926"/>
      <c r="AA98" s="926"/>
      <c r="AB98" s="926"/>
      <c r="AC98" s="926"/>
      <c r="AD98" s="926"/>
      <c r="AE98" s="926"/>
      <c r="AF98" s="926"/>
      <c r="AG98" s="926"/>
      <c r="AH98" s="926"/>
      <c r="AI98" s="926"/>
      <c r="AJ98" s="926"/>
    </row>
    <row r="99" spans="1:36" ht="15" customHeight="1" x14ac:dyDescent="0.3">
      <c r="A99" s="926"/>
      <c r="B99" s="609"/>
      <c r="C99" s="962"/>
      <c r="D99" s="40"/>
      <c r="E99" s="40"/>
      <c r="F99" s="40"/>
      <c r="G99" s="2379"/>
      <c r="H99" s="2380"/>
      <c r="I99" s="2380"/>
      <c r="J99" s="2380"/>
      <c r="K99" s="2380"/>
      <c r="L99" s="2380"/>
      <c r="M99" s="2380"/>
      <c r="N99" s="2380"/>
      <c r="O99" s="2380"/>
      <c r="P99" s="2381"/>
      <c r="Q99" s="40"/>
      <c r="R99" s="40"/>
      <c r="S99" s="40"/>
      <c r="T99" s="963"/>
      <c r="U99" s="609"/>
      <c r="V99" s="926"/>
      <c r="W99" s="926"/>
      <c r="X99" s="926"/>
      <c r="Y99" s="926"/>
      <c r="Z99" s="926"/>
      <c r="AA99" s="926"/>
      <c r="AB99" s="926"/>
      <c r="AC99" s="926"/>
      <c r="AD99" s="926"/>
      <c r="AE99" s="926"/>
      <c r="AF99" s="926"/>
      <c r="AG99" s="926"/>
      <c r="AH99" s="926"/>
      <c r="AI99" s="926"/>
      <c r="AJ99" s="926"/>
    </row>
    <row r="100" spans="1:36" ht="15" customHeight="1" x14ac:dyDescent="0.3">
      <c r="A100" s="926"/>
      <c r="B100" s="609"/>
      <c r="C100" s="962"/>
      <c r="D100" s="40"/>
      <c r="E100" s="40"/>
      <c r="F100" s="40"/>
      <c r="G100" s="2379"/>
      <c r="H100" s="2380"/>
      <c r="I100" s="2380"/>
      <c r="J100" s="2380"/>
      <c r="K100" s="2380"/>
      <c r="L100" s="2380"/>
      <c r="M100" s="2380"/>
      <c r="N100" s="2380"/>
      <c r="O100" s="2380"/>
      <c r="P100" s="2381"/>
      <c r="Q100" s="40"/>
      <c r="R100" s="40"/>
      <c r="S100" s="40"/>
      <c r="T100" s="963"/>
      <c r="U100" s="609"/>
      <c r="V100" s="926"/>
      <c r="W100" s="926"/>
      <c r="X100" s="926"/>
      <c r="Y100" s="926"/>
      <c r="Z100" s="926"/>
      <c r="AA100" s="926"/>
      <c r="AB100" s="926"/>
      <c r="AC100" s="926"/>
      <c r="AD100" s="926"/>
      <c r="AE100" s="926"/>
      <c r="AF100" s="926"/>
      <c r="AG100" s="926"/>
      <c r="AH100" s="926"/>
      <c r="AI100" s="926"/>
      <c r="AJ100" s="926"/>
    </row>
    <row r="101" spans="1:36" ht="15" customHeight="1" thickBot="1" x14ac:dyDescent="0.35">
      <c r="A101" s="926"/>
      <c r="B101" s="609"/>
      <c r="C101" s="962"/>
      <c r="D101" s="40"/>
      <c r="E101" s="40"/>
      <c r="F101" s="40"/>
      <c r="G101" s="2382"/>
      <c r="H101" s="2383"/>
      <c r="I101" s="2383"/>
      <c r="J101" s="2383"/>
      <c r="K101" s="2383"/>
      <c r="L101" s="2383"/>
      <c r="M101" s="2383"/>
      <c r="N101" s="2383"/>
      <c r="O101" s="2383"/>
      <c r="P101" s="2384"/>
      <c r="Q101" s="40"/>
      <c r="R101" s="40"/>
      <c r="S101" s="40"/>
      <c r="T101" s="963"/>
      <c r="U101" s="609"/>
      <c r="V101" s="926"/>
      <c r="W101" s="926"/>
      <c r="X101" s="926"/>
      <c r="Y101" s="926"/>
      <c r="Z101" s="926"/>
      <c r="AA101" s="926"/>
      <c r="AB101" s="926"/>
      <c r="AC101" s="926"/>
      <c r="AD101" s="926"/>
      <c r="AE101" s="926"/>
      <c r="AF101" s="926"/>
      <c r="AG101" s="926"/>
      <c r="AH101" s="926"/>
      <c r="AI101" s="926"/>
      <c r="AJ101" s="926"/>
    </row>
    <row r="102" spans="1:36" ht="15" customHeight="1" thickTop="1" x14ac:dyDescent="0.3">
      <c r="A102" s="926"/>
      <c r="B102" s="609"/>
      <c r="C102" s="962"/>
      <c r="D102" s="40"/>
      <c r="E102" s="40"/>
      <c r="F102" s="40"/>
      <c r="G102" s="40"/>
      <c r="H102" s="40"/>
      <c r="I102" s="40"/>
      <c r="J102" s="40"/>
      <c r="K102" s="40"/>
      <c r="L102" s="40"/>
      <c r="M102" s="40"/>
      <c r="N102" s="40"/>
      <c r="O102" s="40"/>
      <c r="P102" s="40"/>
      <c r="Q102" s="40"/>
      <c r="R102" s="40"/>
      <c r="S102" s="40"/>
      <c r="T102" s="963"/>
      <c r="U102" s="609"/>
      <c r="V102" s="926"/>
      <c r="W102" s="926"/>
      <c r="X102" s="926"/>
      <c r="Y102" s="926"/>
      <c r="Z102" s="926"/>
      <c r="AA102" s="926"/>
      <c r="AB102" s="926"/>
      <c r="AC102" s="926"/>
      <c r="AD102" s="926"/>
      <c r="AE102" s="926"/>
      <c r="AF102" s="926"/>
      <c r="AG102" s="926"/>
      <c r="AH102" s="926"/>
      <c r="AI102" s="926"/>
      <c r="AJ102" s="926"/>
    </row>
    <row r="103" spans="1:36" ht="15" customHeight="1" thickBot="1" x14ac:dyDescent="0.35">
      <c r="A103" s="926"/>
      <c r="B103" s="609"/>
      <c r="C103" s="964"/>
      <c r="D103" s="965"/>
      <c r="E103" s="965"/>
      <c r="F103" s="965"/>
      <c r="G103" s="965"/>
      <c r="H103" s="965"/>
      <c r="I103" s="965"/>
      <c r="J103" s="965"/>
      <c r="K103" s="965"/>
      <c r="L103" s="965"/>
      <c r="M103" s="965"/>
      <c r="N103" s="965"/>
      <c r="O103" s="965"/>
      <c r="P103" s="965"/>
      <c r="Q103" s="965"/>
      <c r="R103" s="965"/>
      <c r="S103" s="965"/>
      <c r="T103" s="966"/>
      <c r="U103" s="609"/>
      <c r="V103" s="926"/>
      <c r="W103" s="926"/>
      <c r="X103" s="926"/>
      <c r="Y103" s="926"/>
      <c r="Z103" s="926"/>
      <c r="AA103" s="926"/>
      <c r="AB103" s="926"/>
      <c r="AC103" s="926"/>
      <c r="AD103" s="926"/>
      <c r="AE103" s="926"/>
      <c r="AF103" s="926"/>
      <c r="AG103" s="926"/>
      <c r="AH103" s="926"/>
      <c r="AI103" s="926"/>
      <c r="AJ103" s="926"/>
    </row>
    <row r="104" spans="1:36" ht="15" customHeight="1" x14ac:dyDescent="0.3">
      <c r="A104" s="926"/>
      <c r="B104" s="609"/>
      <c r="C104" s="609"/>
      <c r="D104" s="609"/>
      <c r="E104" s="609"/>
      <c r="F104" s="609"/>
      <c r="G104" s="609"/>
      <c r="H104" s="609"/>
      <c r="I104" s="609"/>
      <c r="J104" s="609"/>
      <c r="K104" s="609"/>
      <c r="L104" s="609"/>
      <c r="M104" s="609"/>
      <c r="N104" s="609"/>
      <c r="O104" s="609"/>
      <c r="P104" s="609"/>
      <c r="Q104" s="609"/>
      <c r="R104" s="609"/>
      <c r="S104" s="609"/>
      <c r="T104" s="609"/>
      <c r="U104" s="609"/>
      <c r="V104" s="926"/>
      <c r="W104" s="926"/>
      <c r="X104" s="926"/>
      <c r="Y104" s="926"/>
      <c r="Z104" s="926"/>
      <c r="AA104" s="926"/>
      <c r="AB104" s="926"/>
      <c r="AC104" s="926"/>
      <c r="AD104" s="926"/>
      <c r="AE104" s="926"/>
      <c r="AF104" s="926"/>
      <c r="AG104" s="926"/>
      <c r="AH104" s="926"/>
      <c r="AI104" s="926"/>
      <c r="AJ104" s="926"/>
    </row>
    <row r="105" spans="1:36" ht="15.75" customHeight="1" thickBot="1" x14ac:dyDescent="0.35">
      <c r="A105" s="926"/>
      <c r="B105" s="926"/>
      <c r="C105" s="923"/>
      <c r="D105" s="923"/>
      <c r="E105" s="923"/>
      <c r="F105" s="923"/>
      <c r="G105" s="923"/>
      <c r="H105" s="923"/>
      <c r="I105" s="923"/>
      <c r="J105" s="923"/>
      <c r="K105" s="923"/>
      <c r="L105" s="923"/>
      <c r="M105" s="923"/>
      <c r="N105" s="923"/>
      <c r="O105" s="923"/>
      <c r="P105" s="923"/>
      <c r="Q105" s="923"/>
      <c r="R105" s="923"/>
      <c r="S105" s="923"/>
      <c r="T105" s="923"/>
      <c r="U105" s="926"/>
      <c r="V105" s="926"/>
      <c r="W105" s="926"/>
      <c r="X105" s="926"/>
      <c r="Y105" s="926"/>
      <c r="Z105" s="926"/>
      <c r="AA105" s="926"/>
      <c r="AB105" s="926"/>
      <c r="AC105" s="926"/>
      <c r="AD105" s="926"/>
      <c r="AE105" s="926"/>
      <c r="AF105" s="926"/>
      <c r="AG105" s="926"/>
      <c r="AH105" s="926"/>
      <c r="AI105" s="926"/>
      <c r="AJ105" s="926"/>
    </row>
    <row r="106" spans="1:36" ht="15.75" customHeight="1" thickBot="1" x14ac:dyDescent="0.35">
      <c r="A106" s="926"/>
      <c r="B106" s="926"/>
      <c r="C106" s="923"/>
      <c r="D106" s="923"/>
      <c r="E106" s="923"/>
      <c r="F106" s="2345" t="s">
        <v>0</v>
      </c>
      <c r="G106" s="2346"/>
      <c r="H106" s="2345" t="s">
        <v>1</v>
      </c>
      <c r="I106" s="2346"/>
      <c r="J106" s="2345" t="s">
        <v>2</v>
      </c>
      <c r="K106" s="2346"/>
      <c r="L106" s="2345" t="s">
        <v>3</v>
      </c>
      <c r="M106" s="2346"/>
      <c r="N106" s="2362" t="s">
        <v>4</v>
      </c>
      <c r="O106" s="2363"/>
      <c r="P106" s="2345" t="s">
        <v>5</v>
      </c>
      <c r="Q106" s="2346"/>
      <c r="R106" s="1739"/>
      <c r="S106" s="926"/>
      <c r="T106" s="926"/>
      <c r="U106" s="926"/>
      <c r="V106" s="926"/>
      <c r="W106" s="926"/>
      <c r="X106" s="926"/>
      <c r="Y106" s="926"/>
      <c r="Z106" s="926"/>
      <c r="AA106" s="926"/>
      <c r="AB106" s="926"/>
      <c r="AC106" s="926"/>
      <c r="AD106" s="926"/>
      <c r="AE106" s="926"/>
      <c r="AF106" s="926"/>
      <c r="AG106" s="926"/>
      <c r="AH106" s="926"/>
      <c r="AI106" s="926"/>
      <c r="AJ106" s="926"/>
    </row>
    <row r="107" spans="1:36" ht="16.8" thickTop="1" thickBot="1" x14ac:dyDescent="0.35">
      <c r="A107" s="926"/>
      <c r="B107" s="926"/>
      <c r="C107" s="923"/>
      <c r="D107" s="923"/>
      <c r="E107" s="923"/>
      <c r="F107" s="2347"/>
      <c r="G107" s="2348"/>
      <c r="H107" s="2347"/>
      <c r="I107" s="2348"/>
      <c r="J107" s="2347"/>
      <c r="K107" s="2348"/>
      <c r="L107" s="2347"/>
      <c r="M107" s="2348"/>
      <c r="N107" s="2364"/>
      <c r="O107" s="2365"/>
      <c r="P107" s="2347"/>
      <c r="Q107" s="2348"/>
      <c r="R107" s="1739"/>
      <c r="S107" s="926"/>
      <c r="T107" s="926"/>
      <c r="U107" s="926"/>
      <c r="V107" s="926"/>
      <c r="W107" s="926"/>
      <c r="X107" s="926"/>
      <c r="Y107" s="926"/>
      <c r="Z107" s="926"/>
      <c r="AA107" s="926"/>
      <c r="AB107" s="926"/>
      <c r="AC107" s="926"/>
      <c r="AD107" s="926"/>
      <c r="AE107" s="926"/>
      <c r="AF107" s="926"/>
      <c r="AG107" s="926"/>
      <c r="AH107" s="926"/>
      <c r="AI107" s="926"/>
      <c r="AJ107" s="926"/>
    </row>
    <row r="108" spans="1:36" ht="17.25" customHeight="1" thickTop="1" thickBot="1" x14ac:dyDescent="0.35">
      <c r="A108" s="926"/>
      <c r="B108" s="926"/>
      <c r="C108" s="2345" t="s">
        <v>6</v>
      </c>
      <c r="D108" s="2351"/>
      <c r="E108" s="923"/>
      <c r="F108" s="2349"/>
      <c r="G108" s="2350"/>
      <c r="H108" s="2349"/>
      <c r="I108" s="2350"/>
      <c r="J108" s="2349"/>
      <c r="K108" s="2350"/>
      <c r="L108" s="2349"/>
      <c r="M108" s="2350"/>
      <c r="N108" s="2366"/>
      <c r="O108" s="2367"/>
      <c r="P108" s="2349"/>
      <c r="Q108" s="2350"/>
      <c r="R108" s="926"/>
      <c r="S108" s="2356" t="s">
        <v>7</v>
      </c>
      <c r="T108" s="2357"/>
      <c r="U108" s="926"/>
      <c r="V108" s="926"/>
      <c r="W108" s="926"/>
      <c r="X108" s="926"/>
      <c r="Y108" s="926"/>
      <c r="Z108" s="926"/>
      <c r="AA108" s="926"/>
      <c r="AB108" s="926"/>
      <c r="AC108" s="926"/>
      <c r="AD108" s="926"/>
      <c r="AE108" s="926"/>
      <c r="AF108" s="926"/>
      <c r="AG108" s="926"/>
      <c r="AH108" s="926"/>
      <c r="AI108" s="926"/>
      <c r="AJ108" s="926"/>
    </row>
    <row r="109" spans="1:36" ht="15.75" customHeight="1" thickTop="1" thickBot="1" x14ac:dyDescent="0.35">
      <c r="A109" s="926"/>
      <c r="B109" s="926"/>
      <c r="C109" s="2352"/>
      <c r="D109" s="2353"/>
      <c r="E109" s="923"/>
      <c r="F109" s="926"/>
      <c r="G109" s="2345" t="s">
        <v>8</v>
      </c>
      <c r="H109" s="2346"/>
      <c r="I109" s="2345" t="s">
        <v>9</v>
      </c>
      <c r="J109" s="2346"/>
      <c r="K109" s="2345" t="s">
        <v>10</v>
      </c>
      <c r="L109" s="2346"/>
      <c r="M109" s="2345" t="s">
        <v>11</v>
      </c>
      <c r="N109" s="2346"/>
      <c r="O109" s="2345" t="s">
        <v>12</v>
      </c>
      <c r="P109" s="2346"/>
      <c r="Q109" s="926"/>
      <c r="R109" s="926"/>
      <c r="S109" s="2358"/>
      <c r="T109" s="2359"/>
      <c r="U109" s="926"/>
      <c r="V109" s="926"/>
      <c r="W109" s="926"/>
      <c r="X109" s="926"/>
      <c r="Y109" s="926"/>
      <c r="Z109" s="926"/>
      <c r="AA109" s="926"/>
      <c r="AB109" s="926"/>
      <c r="AC109" s="926"/>
      <c r="AD109" s="926"/>
      <c r="AE109" s="926"/>
      <c r="AF109" s="926"/>
      <c r="AG109" s="926"/>
      <c r="AH109" s="926"/>
      <c r="AI109" s="926"/>
      <c r="AJ109" s="926"/>
    </row>
    <row r="110" spans="1:36" ht="16.8" thickTop="1" thickBot="1" x14ac:dyDescent="0.35">
      <c r="A110" s="926"/>
      <c r="B110" s="926"/>
      <c r="C110" s="2354"/>
      <c r="D110" s="2355"/>
      <c r="E110" s="923"/>
      <c r="F110" s="926"/>
      <c r="G110" s="2347"/>
      <c r="H110" s="2348"/>
      <c r="I110" s="2347"/>
      <c r="J110" s="2348"/>
      <c r="K110" s="2347"/>
      <c r="L110" s="2348"/>
      <c r="M110" s="2347"/>
      <c r="N110" s="2348"/>
      <c r="O110" s="2347"/>
      <c r="P110" s="2348"/>
      <c r="Q110" s="926"/>
      <c r="R110" s="926"/>
      <c r="S110" s="2360"/>
      <c r="T110" s="2361"/>
      <c r="U110" s="926"/>
      <c r="V110" s="926"/>
      <c r="W110" s="926"/>
      <c r="X110" s="926"/>
      <c r="Y110" s="926"/>
      <c r="Z110" s="926"/>
      <c r="AA110" s="926"/>
      <c r="AB110" s="926"/>
      <c r="AC110" s="926"/>
      <c r="AD110" s="926"/>
      <c r="AE110" s="926"/>
      <c r="AF110" s="926"/>
      <c r="AG110" s="926"/>
      <c r="AH110" s="926"/>
      <c r="AI110" s="926"/>
      <c r="AJ110" s="926"/>
    </row>
    <row r="111" spans="1:36" ht="16.8" thickTop="1" thickBot="1" x14ac:dyDescent="0.35">
      <c r="A111" s="926"/>
      <c r="B111" s="926"/>
      <c r="C111" s="923"/>
      <c r="D111" s="923"/>
      <c r="E111" s="923"/>
      <c r="F111" s="926"/>
      <c r="G111" s="2349"/>
      <c r="H111" s="2350"/>
      <c r="I111" s="2349"/>
      <c r="J111" s="2350"/>
      <c r="K111" s="2349"/>
      <c r="L111" s="2350"/>
      <c r="M111" s="2349"/>
      <c r="N111" s="2350"/>
      <c r="O111" s="2349"/>
      <c r="P111" s="2350"/>
      <c r="Q111" s="923"/>
      <c r="R111" s="923"/>
      <c r="S111" s="926"/>
      <c r="T111" s="926"/>
      <c r="U111" s="926"/>
      <c r="V111" s="926"/>
      <c r="W111" s="926"/>
      <c r="X111" s="926"/>
      <c r="Y111" s="926"/>
      <c r="Z111" s="926"/>
      <c r="AA111" s="926"/>
      <c r="AB111" s="926"/>
      <c r="AC111" s="926"/>
      <c r="AD111" s="926"/>
      <c r="AE111" s="926"/>
      <c r="AF111" s="926"/>
      <c r="AG111" s="926"/>
      <c r="AH111" s="926"/>
      <c r="AI111" s="926"/>
      <c r="AJ111" s="926"/>
    </row>
    <row r="112" spans="1:36" x14ac:dyDescent="0.3">
      <c r="A112" s="926"/>
      <c r="B112" s="926"/>
      <c r="C112" s="926"/>
      <c r="D112" s="926"/>
      <c r="E112" s="926"/>
      <c r="F112" s="926"/>
      <c r="G112" s="926"/>
      <c r="H112" s="926"/>
      <c r="I112" s="926"/>
      <c r="J112" s="926"/>
      <c r="K112" s="926"/>
      <c r="L112" s="926"/>
      <c r="M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row>
    <row r="113" spans="1:36" x14ac:dyDescent="0.3">
      <c r="A113" s="926"/>
      <c r="B113" s="926"/>
      <c r="C113" s="926"/>
      <c r="D113" s="926"/>
      <c r="E113" s="926"/>
      <c r="F113" s="926"/>
      <c r="G113" s="926"/>
      <c r="H113" s="926"/>
      <c r="I113" s="926"/>
      <c r="J113" s="926"/>
      <c r="K113" s="926"/>
      <c r="L113" s="926"/>
      <c r="M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row>
    <row r="114" spans="1:36" x14ac:dyDescent="0.3">
      <c r="A114" s="926"/>
      <c r="B114" s="926"/>
      <c r="C114" s="926"/>
      <c r="D114" s="926"/>
      <c r="E114" s="926"/>
      <c r="F114" s="926"/>
      <c r="G114" s="926"/>
      <c r="H114" s="926"/>
      <c r="I114" s="926"/>
      <c r="J114" s="926"/>
      <c r="K114" s="926"/>
      <c r="L114" s="926"/>
      <c r="M114" s="926"/>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row>
    <row r="115" spans="1:36" x14ac:dyDescent="0.3">
      <c r="A115" s="926"/>
      <c r="B115" s="926"/>
      <c r="C115" s="926"/>
      <c r="D115" s="926"/>
      <c r="E115" s="926"/>
      <c r="F115" s="926"/>
      <c r="G115" s="926"/>
      <c r="H115" s="926"/>
      <c r="I115" s="926"/>
      <c r="J115" s="926"/>
      <c r="K115" s="926"/>
      <c r="L115" s="926"/>
      <c r="M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row>
    <row r="116" spans="1:36" x14ac:dyDescent="0.3">
      <c r="A116" s="926"/>
      <c r="B116" s="926"/>
      <c r="C116" s="926"/>
      <c r="D116" s="926"/>
      <c r="E116" s="926"/>
      <c r="F116" s="926"/>
      <c r="G116" s="926"/>
      <c r="H116" s="926"/>
      <c r="I116" s="926"/>
      <c r="J116" s="926"/>
      <c r="K116" s="926"/>
      <c r="L116" s="926"/>
      <c r="M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row>
    <row r="117" spans="1:36" x14ac:dyDescent="0.3">
      <c r="A117" s="926"/>
      <c r="B117" s="926"/>
      <c r="C117" s="926"/>
      <c r="D117" s="926"/>
      <c r="E117" s="926"/>
      <c r="F117" s="926"/>
      <c r="G117" s="926"/>
      <c r="H117" s="926"/>
      <c r="I117" s="926"/>
      <c r="J117" s="926"/>
      <c r="K117" s="926"/>
      <c r="L117" s="926"/>
      <c r="M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row>
    <row r="118" spans="1:36" x14ac:dyDescent="0.3">
      <c r="A118" s="926"/>
      <c r="B118" s="926"/>
      <c r="C118" s="926"/>
      <c r="D118" s="926"/>
      <c r="E118" s="926"/>
      <c r="F118" s="926"/>
      <c r="G118" s="926"/>
      <c r="H118" s="926"/>
      <c r="I118" s="926"/>
      <c r="J118" s="926"/>
      <c r="K118" s="926"/>
      <c r="L118" s="926"/>
      <c r="M118" s="926"/>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row>
    <row r="119" spans="1:36" x14ac:dyDescent="0.3">
      <c r="A119" s="926"/>
      <c r="B119" s="926"/>
      <c r="C119" s="926"/>
      <c r="D119" s="926"/>
      <c r="E119" s="926"/>
      <c r="F119" s="926"/>
      <c r="G119" s="926"/>
      <c r="H119" s="926"/>
      <c r="I119" s="926"/>
      <c r="J119" s="926"/>
      <c r="K119" s="926"/>
      <c r="L119" s="926"/>
      <c r="M119" s="926"/>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row>
    <row r="120" spans="1:36" x14ac:dyDescent="0.3">
      <c r="A120" s="926"/>
      <c r="B120" s="926"/>
      <c r="C120" s="926"/>
      <c r="D120" s="926"/>
      <c r="E120" s="926"/>
      <c r="F120" s="926"/>
      <c r="G120" s="926"/>
      <c r="H120" s="926"/>
      <c r="I120" s="926"/>
      <c r="J120" s="926"/>
      <c r="K120" s="926"/>
      <c r="L120" s="926"/>
      <c r="M120" s="926"/>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row>
    <row r="121" spans="1:36" x14ac:dyDescent="0.3">
      <c r="A121" s="926"/>
      <c r="B121" s="926"/>
      <c r="C121" s="926"/>
      <c r="D121" s="926"/>
      <c r="E121" s="926"/>
      <c r="F121" s="926"/>
      <c r="G121" s="926"/>
      <c r="H121" s="926"/>
      <c r="I121" s="926"/>
      <c r="J121" s="926"/>
      <c r="K121" s="926"/>
      <c r="L121" s="926"/>
      <c r="M121" s="926"/>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row>
    <row r="122" spans="1:36" x14ac:dyDescent="0.3">
      <c r="A122" s="926"/>
      <c r="B122" s="926"/>
      <c r="C122" s="926"/>
      <c r="D122" s="926"/>
      <c r="E122" s="926"/>
      <c r="F122" s="926"/>
      <c r="G122" s="926"/>
      <c r="H122" s="926"/>
      <c r="I122" s="926"/>
      <c r="J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row>
    <row r="123" spans="1:36" x14ac:dyDescent="0.3">
      <c r="A123" s="926"/>
      <c r="B123" s="926"/>
      <c r="C123" s="926"/>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row>
    <row r="124" spans="1:36" x14ac:dyDescent="0.3">
      <c r="A124" s="926"/>
      <c r="B124" s="926"/>
      <c r="C124" s="926"/>
      <c r="D124" s="926"/>
      <c r="E124" s="926"/>
      <c r="F124" s="926"/>
      <c r="G124" s="926"/>
      <c r="H124" s="926"/>
      <c r="I124" s="926"/>
      <c r="J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row>
    <row r="125" spans="1:36" x14ac:dyDescent="0.3">
      <c r="A125" s="926"/>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row>
    <row r="126" spans="1:36" x14ac:dyDescent="0.3">
      <c r="A126" s="926"/>
      <c r="B126" s="926"/>
      <c r="C126" s="926"/>
      <c r="D126" s="926"/>
      <c r="E126" s="926"/>
      <c r="F126" s="926"/>
      <c r="G126" s="926"/>
      <c r="H126" s="926"/>
      <c r="I126" s="926"/>
      <c r="J126" s="926"/>
      <c r="K126" s="926"/>
      <c r="L126" s="926"/>
      <c r="M126" s="926"/>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row>
    <row r="127" spans="1:36" x14ac:dyDescent="0.3">
      <c r="A127" s="926"/>
      <c r="B127" s="926"/>
      <c r="C127" s="926"/>
      <c r="D127" s="926"/>
      <c r="E127" s="926"/>
      <c r="F127" s="926"/>
      <c r="G127" s="926"/>
      <c r="H127" s="926"/>
      <c r="I127" s="926"/>
      <c r="J127" s="926"/>
      <c r="K127" s="926"/>
      <c r="L127" s="926"/>
      <c r="M127" s="926"/>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row>
    <row r="128" spans="1:36" x14ac:dyDescent="0.3">
      <c r="A128" s="926"/>
      <c r="B128" s="926"/>
      <c r="C128" s="926"/>
      <c r="D128" s="926"/>
      <c r="E128" s="926"/>
      <c r="F128" s="926"/>
      <c r="G128" s="926"/>
      <c r="H128" s="926"/>
      <c r="I128" s="926"/>
      <c r="J128" s="926"/>
      <c r="K128" s="926"/>
      <c r="L128" s="926"/>
      <c r="M128" s="926"/>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row>
    <row r="129" spans="1:66" x14ac:dyDescent="0.3">
      <c r="A129" s="926"/>
      <c r="B129" s="926"/>
      <c r="C129" s="926"/>
      <c r="D129" s="926"/>
      <c r="E129" s="926"/>
      <c r="F129" s="926"/>
      <c r="G129" s="926"/>
      <c r="H129" s="926"/>
      <c r="I129" s="926"/>
      <c r="J129" s="926"/>
      <c r="K129" s="926"/>
      <c r="L129" s="926"/>
      <c r="M129" s="926"/>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row>
    <row r="139" spans="1:66" x14ac:dyDescent="0.3">
      <c r="BB139" t="s">
        <v>98</v>
      </c>
    </row>
    <row r="140" spans="1:66" x14ac:dyDescent="0.3">
      <c r="BB140" s="82" t="s">
        <v>99</v>
      </c>
      <c r="BC140" s="82" t="s">
        <v>100</v>
      </c>
      <c r="BD140" s="82" t="s">
        <v>101</v>
      </c>
      <c r="BE140" s="82" t="s">
        <v>102</v>
      </c>
      <c r="BF140" s="82" t="s">
        <v>103</v>
      </c>
      <c r="BG140" s="82" t="s">
        <v>104</v>
      </c>
      <c r="BH140" s="82" t="s">
        <v>105</v>
      </c>
      <c r="BI140" s="82" t="s">
        <v>106</v>
      </c>
      <c r="BJ140" s="82" t="s">
        <v>107</v>
      </c>
      <c r="BK140" s="82" t="s">
        <v>108</v>
      </c>
      <c r="BL140" s="82" t="s">
        <v>109</v>
      </c>
      <c r="BM140" s="82" t="s">
        <v>110</v>
      </c>
      <c r="BN140" s="82" t="s">
        <v>111</v>
      </c>
    </row>
    <row r="141" spans="1:66" x14ac:dyDescent="0.3">
      <c r="BB141" s="1068" t="s">
        <v>272</v>
      </c>
      <c r="BC141" s="124">
        <f>IF(BK141=1,BD141,BE141)</f>
        <v>0</v>
      </c>
      <c r="BD141" s="1302">
        <f>BC172</f>
        <v>0</v>
      </c>
      <c r="BE141" s="124">
        <f t="shared" ref="BE141:BE165" si="0">INDEX(UDD,MATCH($BB141,UDN,0))</f>
        <v>0</v>
      </c>
      <c r="BF141" s="124"/>
      <c r="BG141" t="str">
        <f t="shared" ref="BG141:BG165" si="1">INDEX(UDUnit,MATCH($BB141,UDN,0))</f>
        <v>% of excess</v>
      </c>
      <c r="BH141" t="str">
        <f t="shared" ref="BH141:BH165" si="2">INDEX(UDF_Unit,MATCH($BB141,UDN,0))</f>
        <v>% of excess</v>
      </c>
      <c r="BI141">
        <f t="shared" ref="BI141:BI165" si="3">INDEX(UDMin,MATCH($BB141,UDN,0))</f>
        <v>0</v>
      </c>
      <c r="BJ141">
        <f t="shared" ref="BJ141:BJ165" si="4">INDEX(UDMax,MATCH($BB141,UDN,0))</f>
        <v>1</v>
      </c>
      <c r="BK141">
        <f>BL172</f>
        <v>0</v>
      </c>
      <c r="BL141" t="str">
        <f t="shared" ref="BL141:BL165" si="5">INDEX(UD_Desc,MATCH($BB141,UDN,0))</f>
        <v>Liquid manure, percentage to export at cost</v>
      </c>
      <c r="BM141" t="str">
        <f t="shared" ref="BM141:BM165" si="6">IF(BK141=1,"No", "Yes")</f>
        <v>Yes</v>
      </c>
      <c r="BN141" t="str">
        <f>IF(BF141,"Using default", IF(BK141=1,"Input accepted", "Input invalid, using default"))</f>
        <v>Input invalid, using default</v>
      </c>
    </row>
    <row r="142" spans="1:66" x14ac:dyDescent="0.3">
      <c r="BB142" s="1068" t="s">
        <v>273</v>
      </c>
      <c r="BC142" s="124">
        <f t="shared" ref="BC142:BC165" si="7">IF(BK142=1,BD142,BE142)</f>
        <v>0</v>
      </c>
      <c r="BD142" s="1302">
        <f>BC173</f>
        <v>0</v>
      </c>
      <c r="BE142" s="124">
        <f t="shared" si="0"/>
        <v>0</v>
      </c>
      <c r="BF142" s="124"/>
      <c r="BG142" t="str">
        <f t="shared" si="1"/>
        <v>% of excess</v>
      </c>
      <c r="BH142" t="str">
        <f t="shared" si="2"/>
        <v>% of excess</v>
      </c>
      <c r="BI142">
        <f t="shared" si="3"/>
        <v>0</v>
      </c>
      <c r="BJ142">
        <f t="shared" si="4"/>
        <v>1</v>
      </c>
      <c r="BK142">
        <f>BL173</f>
        <v>0</v>
      </c>
      <c r="BL142" t="str">
        <f t="shared" si="5"/>
        <v>Slurry manure, percentage to export at cost</v>
      </c>
      <c r="BM142" t="str">
        <f t="shared" si="6"/>
        <v>Yes</v>
      </c>
      <c r="BN142" t="str">
        <f t="shared" ref="BN142:BN165" si="8">IF(BF142,"Using default", IF(BK142=1,"Input accepted", "Input invalid, using default"))</f>
        <v>Input invalid, using default</v>
      </c>
    </row>
    <row r="143" spans="1:66" x14ac:dyDescent="0.3">
      <c r="BB143" s="1068" t="s">
        <v>274</v>
      </c>
      <c r="BC143" s="124">
        <f t="shared" si="7"/>
        <v>0</v>
      </c>
      <c r="BD143" s="1302">
        <f>BC174</f>
        <v>0</v>
      </c>
      <c r="BE143" s="124">
        <f t="shared" si="0"/>
        <v>0</v>
      </c>
      <c r="BF143" s="124"/>
      <c r="BG143" t="str">
        <f t="shared" si="1"/>
        <v>% of excess</v>
      </c>
      <c r="BH143" t="str">
        <f t="shared" si="2"/>
        <v>% of excess</v>
      </c>
      <c r="BI143">
        <f t="shared" si="3"/>
        <v>0</v>
      </c>
      <c r="BJ143">
        <f t="shared" si="4"/>
        <v>1</v>
      </c>
      <c r="BK143">
        <f>BL174</f>
        <v>0</v>
      </c>
      <c r="BL143" t="str">
        <f t="shared" si="5"/>
        <v>Sludge manure, percentage to export at cost</v>
      </c>
      <c r="BM143" t="str">
        <f t="shared" si="6"/>
        <v>Yes</v>
      </c>
      <c r="BN143" t="str">
        <f t="shared" si="8"/>
        <v>Input invalid, using default</v>
      </c>
    </row>
    <row r="144" spans="1:66" x14ac:dyDescent="0.3">
      <c r="BB144" s="1068" t="s">
        <v>275</v>
      </c>
      <c r="BC144" s="124">
        <f t="shared" si="7"/>
        <v>0</v>
      </c>
      <c r="BD144" s="1302">
        <f>BC175</f>
        <v>0</v>
      </c>
      <c r="BE144" s="124">
        <f t="shared" si="0"/>
        <v>0</v>
      </c>
      <c r="BF144" s="124"/>
      <c r="BG144" t="str">
        <f t="shared" si="1"/>
        <v>% of excess</v>
      </c>
      <c r="BH144" t="str">
        <f t="shared" si="2"/>
        <v>% of excess</v>
      </c>
      <c r="BI144">
        <f t="shared" si="3"/>
        <v>0</v>
      </c>
      <c r="BJ144">
        <f t="shared" si="4"/>
        <v>1</v>
      </c>
      <c r="BK144">
        <f>BL175</f>
        <v>0</v>
      </c>
      <c r="BL144" t="str">
        <f t="shared" si="5"/>
        <v>Separated solids manure, percentage to export at cost</v>
      </c>
      <c r="BM144" t="str">
        <f t="shared" si="6"/>
        <v>Yes</v>
      </c>
      <c r="BN144" t="str">
        <f t="shared" si="8"/>
        <v>Input invalid, using default</v>
      </c>
    </row>
    <row r="145" spans="54:66" x14ac:dyDescent="0.3">
      <c r="BB145" s="1068" t="s">
        <v>276</v>
      </c>
      <c r="BC145" s="124">
        <f t="shared" si="7"/>
        <v>0</v>
      </c>
      <c r="BD145" s="1302">
        <f t="shared" ref="BD145" si="9">BC176</f>
        <v>0</v>
      </c>
      <c r="BE145" s="124">
        <f t="shared" si="0"/>
        <v>0</v>
      </c>
      <c r="BF145" s="124"/>
      <c r="BG145" t="str">
        <f t="shared" si="1"/>
        <v>% of excess</v>
      </c>
      <c r="BH145" t="str">
        <f t="shared" si="2"/>
        <v>% of excess</v>
      </c>
      <c r="BI145">
        <f t="shared" si="3"/>
        <v>0</v>
      </c>
      <c r="BJ145">
        <f t="shared" si="4"/>
        <v>1</v>
      </c>
      <c r="BK145">
        <f>BL176</f>
        <v>0</v>
      </c>
      <c r="BL145" t="str">
        <f t="shared" si="5"/>
        <v>Compost manure, percentage to export at cost</v>
      </c>
      <c r="BM145" t="str">
        <f t="shared" si="6"/>
        <v>Yes</v>
      </c>
      <c r="BN145" t="str">
        <f t="shared" si="8"/>
        <v>Input invalid, using default</v>
      </c>
    </row>
    <row r="146" spans="54:66" x14ac:dyDescent="0.3">
      <c r="BB146" s="1305" t="s">
        <v>277</v>
      </c>
      <c r="BC146" s="849">
        <f t="shared" si="7"/>
        <v>1</v>
      </c>
      <c r="BD146" s="1303">
        <f>BD172</f>
        <v>0</v>
      </c>
      <c r="BE146" s="849">
        <f t="shared" si="0"/>
        <v>1</v>
      </c>
      <c r="BF146" s="849"/>
      <c r="BG146" t="str">
        <f t="shared" si="1"/>
        <v>% of excess</v>
      </c>
      <c r="BH146" t="str">
        <f t="shared" si="2"/>
        <v>% of excess</v>
      </c>
      <c r="BI146">
        <f t="shared" si="3"/>
        <v>0</v>
      </c>
      <c r="BJ146">
        <f t="shared" si="4"/>
        <v>1</v>
      </c>
      <c r="BK146">
        <f>BL172</f>
        <v>0</v>
      </c>
      <c r="BL146" t="str">
        <f t="shared" si="5"/>
        <v>Liquid manure, percentage to give away</v>
      </c>
      <c r="BM146" t="str">
        <f t="shared" si="6"/>
        <v>Yes</v>
      </c>
      <c r="BN146" t="str">
        <f t="shared" si="8"/>
        <v>Input invalid, using default</v>
      </c>
    </row>
    <row r="147" spans="54:66" x14ac:dyDescent="0.3">
      <c r="BB147" s="1305" t="s">
        <v>278</v>
      </c>
      <c r="BC147" s="849">
        <f t="shared" si="7"/>
        <v>1</v>
      </c>
      <c r="BD147" s="1303">
        <f>BD173</f>
        <v>0</v>
      </c>
      <c r="BE147" s="849">
        <f t="shared" si="0"/>
        <v>1</v>
      </c>
      <c r="BF147" s="849"/>
      <c r="BG147" t="str">
        <f t="shared" si="1"/>
        <v>% of excess</v>
      </c>
      <c r="BH147" t="str">
        <f t="shared" si="2"/>
        <v>% of excess</v>
      </c>
      <c r="BI147">
        <f t="shared" si="3"/>
        <v>0</v>
      </c>
      <c r="BJ147">
        <f t="shared" si="4"/>
        <v>1</v>
      </c>
      <c r="BK147">
        <f>BL173</f>
        <v>0</v>
      </c>
      <c r="BL147" t="str">
        <f t="shared" si="5"/>
        <v>Slurry manure, percentage to give away</v>
      </c>
      <c r="BM147" t="str">
        <f t="shared" si="6"/>
        <v>Yes</v>
      </c>
      <c r="BN147" t="str">
        <f t="shared" si="8"/>
        <v>Input invalid, using default</v>
      </c>
    </row>
    <row r="148" spans="54:66" x14ac:dyDescent="0.3">
      <c r="BB148" s="1305" t="s">
        <v>279</v>
      </c>
      <c r="BC148" s="849">
        <f t="shared" si="7"/>
        <v>1</v>
      </c>
      <c r="BD148" s="1303">
        <f>BD174</f>
        <v>0</v>
      </c>
      <c r="BE148" s="849">
        <f t="shared" si="0"/>
        <v>1</v>
      </c>
      <c r="BF148" s="849"/>
      <c r="BG148" t="str">
        <f t="shared" si="1"/>
        <v>% of excess</v>
      </c>
      <c r="BH148" t="str">
        <f t="shared" si="2"/>
        <v>% of excess</v>
      </c>
      <c r="BI148">
        <f t="shared" si="3"/>
        <v>0</v>
      </c>
      <c r="BJ148">
        <f t="shared" si="4"/>
        <v>1</v>
      </c>
      <c r="BK148">
        <f>BL174</f>
        <v>0</v>
      </c>
      <c r="BL148" t="str">
        <f t="shared" si="5"/>
        <v>Sludge manure, percentage to give away</v>
      </c>
      <c r="BM148" t="str">
        <f t="shared" si="6"/>
        <v>Yes</v>
      </c>
      <c r="BN148" t="str">
        <f t="shared" si="8"/>
        <v>Input invalid, using default</v>
      </c>
    </row>
    <row r="149" spans="54:66" x14ac:dyDescent="0.3">
      <c r="BB149" s="1305" t="s">
        <v>280</v>
      </c>
      <c r="BC149" s="849">
        <f t="shared" si="7"/>
        <v>0</v>
      </c>
      <c r="BD149" s="1303">
        <f>BD175</f>
        <v>0</v>
      </c>
      <c r="BE149" s="849">
        <f t="shared" si="0"/>
        <v>0</v>
      </c>
      <c r="BF149" s="849"/>
      <c r="BG149" t="str">
        <f t="shared" si="1"/>
        <v>% of excess</v>
      </c>
      <c r="BH149" t="str">
        <f t="shared" si="2"/>
        <v>% of excess</v>
      </c>
      <c r="BI149">
        <f t="shared" si="3"/>
        <v>0</v>
      </c>
      <c r="BJ149">
        <f t="shared" si="4"/>
        <v>1</v>
      </c>
      <c r="BK149">
        <f>BL175</f>
        <v>0</v>
      </c>
      <c r="BL149" t="str">
        <f t="shared" si="5"/>
        <v>Separated solids manure, percentage to give away</v>
      </c>
      <c r="BM149" t="str">
        <f t="shared" si="6"/>
        <v>Yes</v>
      </c>
      <c r="BN149" t="str">
        <f t="shared" si="8"/>
        <v>Input invalid, using default</v>
      </c>
    </row>
    <row r="150" spans="54:66" x14ac:dyDescent="0.3">
      <c r="BB150" s="1305" t="s">
        <v>281</v>
      </c>
      <c r="BC150" s="849">
        <f t="shared" si="7"/>
        <v>0</v>
      </c>
      <c r="BD150" s="1303">
        <f t="shared" ref="BD150" si="10">BD176</f>
        <v>0</v>
      </c>
      <c r="BE150" s="849">
        <f t="shared" si="0"/>
        <v>0</v>
      </c>
      <c r="BF150" s="849"/>
      <c r="BG150" t="str">
        <f t="shared" si="1"/>
        <v>% of excess</v>
      </c>
      <c r="BH150" t="str">
        <f t="shared" si="2"/>
        <v>% of excess</v>
      </c>
      <c r="BI150">
        <f t="shared" si="3"/>
        <v>0</v>
      </c>
      <c r="BJ150">
        <f t="shared" si="4"/>
        <v>1</v>
      </c>
      <c r="BK150">
        <f>BL176</f>
        <v>0</v>
      </c>
      <c r="BL150" t="str">
        <f t="shared" si="5"/>
        <v>Compost manure, percentage to give away</v>
      </c>
      <c r="BM150" t="str">
        <f t="shared" si="6"/>
        <v>Yes</v>
      </c>
      <c r="BN150" t="str">
        <f t="shared" si="8"/>
        <v>Input invalid, using default</v>
      </c>
    </row>
    <row r="151" spans="54:66" x14ac:dyDescent="0.3">
      <c r="BB151" s="1306" t="s">
        <v>282</v>
      </c>
      <c r="BC151" s="973">
        <f t="shared" si="7"/>
        <v>0</v>
      </c>
      <c r="BD151" s="1304">
        <f>BE172</f>
        <v>0</v>
      </c>
      <c r="BE151" s="973">
        <f t="shared" si="0"/>
        <v>0</v>
      </c>
      <c r="BF151" s="973"/>
      <c r="BG151" t="str">
        <f t="shared" si="1"/>
        <v>% of excess</v>
      </c>
      <c r="BH151" t="str">
        <f t="shared" si="2"/>
        <v>% of excess</v>
      </c>
      <c r="BI151">
        <f t="shared" si="3"/>
        <v>0</v>
      </c>
      <c r="BJ151">
        <f t="shared" si="4"/>
        <v>1</v>
      </c>
      <c r="BK151">
        <f>BL172</f>
        <v>0</v>
      </c>
      <c r="BL151" t="str">
        <f t="shared" si="5"/>
        <v>Liquid manure, percentage to sell</v>
      </c>
      <c r="BM151" t="str">
        <f t="shared" si="6"/>
        <v>Yes</v>
      </c>
      <c r="BN151" t="str">
        <f t="shared" si="8"/>
        <v>Input invalid, using default</v>
      </c>
    </row>
    <row r="152" spans="54:66" x14ac:dyDescent="0.3">
      <c r="BB152" s="1306" t="s">
        <v>283</v>
      </c>
      <c r="BC152" s="973">
        <f t="shared" si="7"/>
        <v>0</v>
      </c>
      <c r="BD152" s="1304">
        <f>BE173</f>
        <v>0</v>
      </c>
      <c r="BE152" s="973">
        <f t="shared" si="0"/>
        <v>0</v>
      </c>
      <c r="BF152" s="973"/>
      <c r="BG152" t="str">
        <f t="shared" si="1"/>
        <v>% of excess</v>
      </c>
      <c r="BH152" t="str">
        <f t="shared" si="2"/>
        <v>% of excess</v>
      </c>
      <c r="BI152">
        <f t="shared" si="3"/>
        <v>0</v>
      </c>
      <c r="BJ152">
        <f t="shared" si="4"/>
        <v>1</v>
      </c>
      <c r="BK152">
        <f>BL173</f>
        <v>0</v>
      </c>
      <c r="BL152" t="str">
        <f t="shared" si="5"/>
        <v>Slurry manure, percentage to sell</v>
      </c>
      <c r="BM152" t="str">
        <f t="shared" si="6"/>
        <v>Yes</v>
      </c>
      <c r="BN152" t="str">
        <f t="shared" si="8"/>
        <v>Input invalid, using default</v>
      </c>
    </row>
    <row r="153" spans="54:66" x14ac:dyDescent="0.3">
      <c r="BB153" s="1306" t="s">
        <v>284</v>
      </c>
      <c r="BC153" s="973">
        <f t="shared" si="7"/>
        <v>0</v>
      </c>
      <c r="BD153" s="1304">
        <f>BE174</f>
        <v>0</v>
      </c>
      <c r="BE153" s="973">
        <f t="shared" si="0"/>
        <v>0</v>
      </c>
      <c r="BF153" s="973"/>
      <c r="BG153" t="str">
        <f t="shared" si="1"/>
        <v>% of excess</v>
      </c>
      <c r="BH153" t="str">
        <f t="shared" si="2"/>
        <v>% of excess</v>
      </c>
      <c r="BI153">
        <f t="shared" si="3"/>
        <v>0</v>
      </c>
      <c r="BJ153">
        <f t="shared" si="4"/>
        <v>1</v>
      </c>
      <c r="BK153">
        <f>BL174</f>
        <v>0</v>
      </c>
      <c r="BL153" t="str">
        <f t="shared" si="5"/>
        <v>Sludge manure, percentage to sell</v>
      </c>
      <c r="BM153" t="str">
        <f t="shared" si="6"/>
        <v>Yes</v>
      </c>
      <c r="BN153" t="str">
        <f t="shared" si="8"/>
        <v>Input invalid, using default</v>
      </c>
    </row>
    <row r="154" spans="54:66" x14ac:dyDescent="0.3">
      <c r="BB154" s="1306" t="s">
        <v>285</v>
      </c>
      <c r="BC154" s="973">
        <f t="shared" si="7"/>
        <v>1</v>
      </c>
      <c r="BD154" s="1304">
        <f>BE175</f>
        <v>0</v>
      </c>
      <c r="BE154" s="973">
        <f t="shared" si="0"/>
        <v>1</v>
      </c>
      <c r="BF154" s="973"/>
      <c r="BG154" t="str">
        <f t="shared" si="1"/>
        <v>% of excess</v>
      </c>
      <c r="BH154" t="str">
        <f t="shared" si="2"/>
        <v>% of excess</v>
      </c>
      <c r="BI154">
        <f t="shared" si="3"/>
        <v>0</v>
      </c>
      <c r="BJ154">
        <f t="shared" si="4"/>
        <v>1</v>
      </c>
      <c r="BK154">
        <f>BL175</f>
        <v>0</v>
      </c>
      <c r="BL154" t="str">
        <f t="shared" si="5"/>
        <v>Separated solids manure, percentage to sell</v>
      </c>
      <c r="BM154" t="str">
        <f t="shared" si="6"/>
        <v>Yes</v>
      </c>
      <c r="BN154" t="str">
        <f t="shared" si="8"/>
        <v>Input invalid, using default</v>
      </c>
    </row>
    <row r="155" spans="54:66" x14ac:dyDescent="0.3">
      <c r="BB155" s="1306" t="s">
        <v>286</v>
      </c>
      <c r="BC155" s="973">
        <f t="shared" si="7"/>
        <v>1</v>
      </c>
      <c r="BD155" s="1304">
        <f t="shared" ref="BD155" si="11">BE176</f>
        <v>0</v>
      </c>
      <c r="BE155" s="973">
        <f t="shared" si="0"/>
        <v>1</v>
      </c>
      <c r="BF155" s="973"/>
      <c r="BG155" t="str">
        <f t="shared" si="1"/>
        <v>% of excess</v>
      </c>
      <c r="BH155" t="str">
        <f t="shared" si="2"/>
        <v>% of excess</v>
      </c>
      <c r="BI155">
        <f t="shared" si="3"/>
        <v>0</v>
      </c>
      <c r="BJ155">
        <f t="shared" si="4"/>
        <v>1</v>
      </c>
      <c r="BK155">
        <f>BL176</f>
        <v>0</v>
      </c>
      <c r="BL155" t="str">
        <f t="shared" si="5"/>
        <v>Compost manure, percentage to sell</v>
      </c>
      <c r="BM155" t="str">
        <f t="shared" si="6"/>
        <v>Yes</v>
      </c>
      <c r="BN155" t="str">
        <f t="shared" si="8"/>
        <v>Input invalid, using default</v>
      </c>
    </row>
    <row r="156" spans="54:66" x14ac:dyDescent="0.3">
      <c r="BB156" s="1307" t="s">
        <v>287</v>
      </c>
      <c r="BC156">
        <f t="shared" si="7"/>
        <v>16.7</v>
      </c>
      <c r="BD156">
        <f>K57</f>
        <v>0</v>
      </c>
      <c r="BE156">
        <f t="shared" si="0"/>
        <v>16.7</v>
      </c>
      <c r="BF156" t="b">
        <f>ISBLANK(K57)</f>
        <v>1</v>
      </c>
      <c r="BG156" t="str">
        <f t="shared" si="1"/>
        <v>$/1000 gal</v>
      </c>
      <c r="BH156" t="str">
        <f t="shared" si="2"/>
        <v>$/1000 gal</v>
      </c>
      <c r="BI156">
        <f t="shared" si="3"/>
        <v>0</v>
      </c>
      <c r="BJ156">
        <f t="shared" si="4"/>
        <v>60.7</v>
      </c>
      <c r="BK156">
        <f t="shared" ref="BK156:BK165" si="12">IF(AND(NOT(BF156),BD156&gt;=BI156,BD156&lt;=BJ156),1,0)</f>
        <v>0</v>
      </c>
      <c r="BL156" t="str">
        <f t="shared" si="5"/>
        <v>Liquid manure, cost to export</v>
      </c>
      <c r="BM156" t="str">
        <f t="shared" si="6"/>
        <v>Yes</v>
      </c>
      <c r="BN156" t="str">
        <f t="shared" si="8"/>
        <v>Using default</v>
      </c>
    </row>
    <row r="157" spans="54:66" x14ac:dyDescent="0.3">
      <c r="BB157" s="1307" t="s">
        <v>288</v>
      </c>
      <c r="BC157">
        <f t="shared" si="7"/>
        <v>16.7</v>
      </c>
      <c r="BD157">
        <f>K60</f>
        <v>0</v>
      </c>
      <c r="BE157">
        <f t="shared" si="0"/>
        <v>16.7</v>
      </c>
      <c r="BF157" t="b">
        <f>ISBLANK(K60)</f>
        <v>1</v>
      </c>
      <c r="BG157" t="str">
        <f t="shared" si="1"/>
        <v>$/1000 gal</v>
      </c>
      <c r="BH157" t="str">
        <f t="shared" si="2"/>
        <v>$/1000 gal</v>
      </c>
      <c r="BI157">
        <f t="shared" si="3"/>
        <v>0.01</v>
      </c>
      <c r="BJ157">
        <f t="shared" si="4"/>
        <v>60.7</v>
      </c>
      <c r="BK157">
        <f t="shared" si="12"/>
        <v>0</v>
      </c>
      <c r="BL157" t="str">
        <f t="shared" si="5"/>
        <v>Slurry manure, cost to export</v>
      </c>
      <c r="BM157" t="str">
        <f t="shared" si="6"/>
        <v>Yes</v>
      </c>
      <c r="BN157" t="str">
        <f t="shared" si="8"/>
        <v>Using default</v>
      </c>
    </row>
    <row r="158" spans="54:66" x14ac:dyDescent="0.3">
      <c r="BB158" s="1307" t="s">
        <v>289</v>
      </c>
      <c r="BC158">
        <f t="shared" si="7"/>
        <v>16.7</v>
      </c>
      <c r="BD158">
        <f>K63</f>
        <v>0</v>
      </c>
      <c r="BE158">
        <f t="shared" si="0"/>
        <v>16.7</v>
      </c>
      <c r="BF158" t="b">
        <f>ISBLANK(K63)</f>
        <v>1</v>
      </c>
      <c r="BG158" t="str">
        <f t="shared" si="1"/>
        <v>$/1000 gal</v>
      </c>
      <c r="BH158" t="str">
        <f t="shared" si="2"/>
        <v>$/1000 gal</v>
      </c>
      <c r="BI158">
        <f t="shared" si="3"/>
        <v>0.01</v>
      </c>
      <c r="BJ158">
        <f t="shared" si="4"/>
        <v>60.7</v>
      </c>
      <c r="BK158">
        <f t="shared" si="12"/>
        <v>0</v>
      </c>
      <c r="BL158" t="str">
        <f t="shared" si="5"/>
        <v>Sludge manure, cost to export</v>
      </c>
      <c r="BM158" t="str">
        <f t="shared" si="6"/>
        <v>Yes</v>
      </c>
      <c r="BN158" t="str">
        <f t="shared" si="8"/>
        <v>Using default</v>
      </c>
    </row>
    <row r="159" spans="54:66" x14ac:dyDescent="0.3">
      <c r="BB159" s="1307" t="s">
        <v>290</v>
      </c>
      <c r="BC159">
        <f t="shared" si="7"/>
        <v>41.5</v>
      </c>
      <c r="BD159">
        <f>K66</f>
        <v>0</v>
      </c>
      <c r="BE159">
        <f t="shared" si="0"/>
        <v>41.5</v>
      </c>
      <c r="BF159" t="b">
        <f>ISBLANK(K66)</f>
        <v>1</v>
      </c>
      <c r="BG159" t="str">
        <f t="shared" si="1"/>
        <v>$/ton (2000 lb)</v>
      </c>
      <c r="BH159" t="str">
        <f t="shared" si="2"/>
        <v>$/ton (2000 lb)</v>
      </c>
      <c r="BI159">
        <f t="shared" si="3"/>
        <v>0.01</v>
      </c>
      <c r="BJ159">
        <f t="shared" si="4"/>
        <v>118.4</v>
      </c>
      <c r="BK159">
        <f t="shared" si="12"/>
        <v>0</v>
      </c>
      <c r="BL159" t="str">
        <f t="shared" si="5"/>
        <v>Separated solids manure, cost to export</v>
      </c>
      <c r="BM159" t="str">
        <f t="shared" si="6"/>
        <v>Yes</v>
      </c>
      <c r="BN159" t="str">
        <f t="shared" si="8"/>
        <v>Using default</v>
      </c>
    </row>
    <row r="160" spans="54:66" x14ac:dyDescent="0.3">
      <c r="BB160" s="1307" t="s">
        <v>291</v>
      </c>
      <c r="BC160">
        <f t="shared" si="7"/>
        <v>41.5</v>
      </c>
      <c r="BD160">
        <f>K69</f>
        <v>0</v>
      </c>
      <c r="BE160">
        <f t="shared" si="0"/>
        <v>41.5</v>
      </c>
      <c r="BF160" t="b">
        <f>ISBLANK(K69)</f>
        <v>1</v>
      </c>
      <c r="BG160" t="str">
        <f t="shared" si="1"/>
        <v>$/ton (2000 lb)</v>
      </c>
      <c r="BH160" t="str">
        <f t="shared" si="2"/>
        <v>$/ton (2000 lb)</v>
      </c>
      <c r="BI160">
        <f t="shared" si="3"/>
        <v>0.01</v>
      </c>
      <c r="BJ160">
        <f t="shared" si="4"/>
        <v>118.4</v>
      </c>
      <c r="BK160">
        <f t="shared" si="12"/>
        <v>0</v>
      </c>
      <c r="BL160" t="str">
        <f t="shared" si="5"/>
        <v>Compost manure, cost to export</v>
      </c>
      <c r="BM160" t="str">
        <f t="shared" si="6"/>
        <v>Yes</v>
      </c>
      <c r="BN160" t="str">
        <f t="shared" si="8"/>
        <v>Using default</v>
      </c>
    </row>
    <row r="161" spans="54:74" x14ac:dyDescent="0.3">
      <c r="BB161" s="93" t="s">
        <v>292</v>
      </c>
      <c r="BC161">
        <f t="shared" si="7"/>
        <v>3.5</v>
      </c>
      <c r="BD161">
        <f>K79</f>
        <v>0</v>
      </c>
      <c r="BE161">
        <f t="shared" si="0"/>
        <v>3.5</v>
      </c>
      <c r="BF161" t="b">
        <f>ISBLANK(K79)</f>
        <v>1</v>
      </c>
      <c r="BG161" t="str">
        <f t="shared" si="1"/>
        <v>$/1000 gal</v>
      </c>
      <c r="BH161" t="str">
        <f t="shared" si="2"/>
        <v>$/1000 gal</v>
      </c>
      <c r="BI161">
        <f t="shared" si="3"/>
        <v>0.01</v>
      </c>
      <c r="BJ161">
        <f t="shared" si="4"/>
        <v>16</v>
      </c>
      <c r="BK161">
        <f t="shared" si="12"/>
        <v>0</v>
      </c>
      <c r="BL161" t="str">
        <f t="shared" si="5"/>
        <v>Liquid manure, price to sell</v>
      </c>
      <c r="BM161" t="str">
        <f t="shared" si="6"/>
        <v>Yes</v>
      </c>
      <c r="BN161" t="str">
        <f t="shared" si="8"/>
        <v>Using default</v>
      </c>
    </row>
    <row r="162" spans="54:74" x14ac:dyDescent="0.3">
      <c r="BB162" s="93" t="s">
        <v>293</v>
      </c>
      <c r="BC162">
        <f t="shared" si="7"/>
        <v>6</v>
      </c>
      <c r="BD162">
        <f>K82</f>
        <v>0</v>
      </c>
      <c r="BE162">
        <f t="shared" si="0"/>
        <v>6</v>
      </c>
      <c r="BF162" t="b">
        <f>ISBLANK(K82)</f>
        <v>1</v>
      </c>
      <c r="BG162" t="str">
        <f t="shared" si="1"/>
        <v>$/1000 gal</v>
      </c>
      <c r="BH162" t="str">
        <f t="shared" si="2"/>
        <v>$/1000 gal</v>
      </c>
      <c r="BI162">
        <f t="shared" si="3"/>
        <v>0.01</v>
      </c>
      <c r="BJ162">
        <f t="shared" si="4"/>
        <v>30</v>
      </c>
      <c r="BK162">
        <f t="shared" si="12"/>
        <v>0</v>
      </c>
      <c r="BL162" t="str">
        <f t="shared" si="5"/>
        <v>Slurry manure, price to sell</v>
      </c>
      <c r="BM162" t="str">
        <f t="shared" si="6"/>
        <v>Yes</v>
      </c>
      <c r="BN162" t="str">
        <f t="shared" si="8"/>
        <v>Using default</v>
      </c>
    </row>
    <row r="163" spans="54:74" x14ac:dyDescent="0.3">
      <c r="BB163" s="93" t="s">
        <v>294</v>
      </c>
      <c r="BC163">
        <f t="shared" si="7"/>
        <v>40</v>
      </c>
      <c r="BD163">
        <f>K85</f>
        <v>0</v>
      </c>
      <c r="BE163">
        <f t="shared" si="0"/>
        <v>40</v>
      </c>
      <c r="BF163" t="b">
        <f>ISBLANK(K85)</f>
        <v>1</v>
      </c>
      <c r="BG163" t="str">
        <f t="shared" si="1"/>
        <v>$/1000 gal</v>
      </c>
      <c r="BH163" t="str">
        <f t="shared" si="2"/>
        <v>$/1000 gal</v>
      </c>
      <c r="BI163">
        <f t="shared" si="3"/>
        <v>0.01</v>
      </c>
      <c r="BJ163">
        <f t="shared" si="4"/>
        <v>534</v>
      </c>
      <c r="BK163">
        <f t="shared" si="12"/>
        <v>0</v>
      </c>
      <c r="BL163" t="str">
        <f t="shared" si="5"/>
        <v>Sludge manure, price to sell</v>
      </c>
      <c r="BM163" t="str">
        <f t="shared" si="6"/>
        <v>Yes</v>
      </c>
      <c r="BN163" t="str">
        <f t="shared" si="8"/>
        <v>Using default</v>
      </c>
    </row>
    <row r="164" spans="54:74" x14ac:dyDescent="0.3">
      <c r="BB164" s="93" t="s">
        <v>295</v>
      </c>
      <c r="BC164">
        <f t="shared" si="7"/>
        <v>26.5</v>
      </c>
      <c r="BD164">
        <f>K88</f>
        <v>0</v>
      </c>
      <c r="BE164">
        <f t="shared" si="0"/>
        <v>26.5</v>
      </c>
      <c r="BF164" t="b">
        <f>ISBLANK(K88)</f>
        <v>1</v>
      </c>
      <c r="BG164" t="str">
        <f t="shared" si="1"/>
        <v>$/ton (2000 lb)</v>
      </c>
      <c r="BH164" t="str">
        <f t="shared" si="2"/>
        <v>$/ton (2000 lb)</v>
      </c>
      <c r="BI164">
        <f t="shared" si="3"/>
        <v>0.01</v>
      </c>
      <c r="BJ164">
        <f t="shared" si="4"/>
        <v>188.5</v>
      </c>
      <c r="BK164">
        <f t="shared" si="12"/>
        <v>0</v>
      </c>
      <c r="BL164" t="str">
        <f t="shared" si="5"/>
        <v>Separated solids manure, price to sell</v>
      </c>
      <c r="BM164" t="str">
        <f t="shared" si="6"/>
        <v>Yes</v>
      </c>
      <c r="BN164" t="str">
        <f t="shared" si="8"/>
        <v>Using default</v>
      </c>
    </row>
    <row r="165" spans="54:74" x14ac:dyDescent="0.3">
      <c r="BB165" s="93" t="s">
        <v>296</v>
      </c>
      <c r="BC165">
        <f t="shared" si="7"/>
        <v>45</v>
      </c>
      <c r="BD165">
        <f>K91</f>
        <v>0</v>
      </c>
      <c r="BE165">
        <f t="shared" si="0"/>
        <v>45</v>
      </c>
      <c r="BF165" t="b">
        <f>ISBLANK(K91)</f>
        <v>1</v>
      </c>
      <c r="BG165" t="str">
        <f t="shared" si="1"/>
        <v>$/ton (2000 lb)</v>
      </c>
      <c r="BH165" t="str">
        <f t="shared" si="2"/>
        <v>$/ton (2000 lb)</v>
      </c>
      <c r="BI165">
        <f t="shared" si="3"/>
        <v>0.01</v>
      </c>
      <c r="BJ165">
        <f t="shared" si="4"/>
        <v>80</v>
      </c>
      <c r="BK165">
        <f t="shared" si="12"/>
        <v>0</v>
      </c>
      <c r="BL165" t="str">
        <f t="shared" si="5"/>
        <v>Compost manure, price to sell</v>
      </c>
      <c r="BM165" t="str">
        <f t="shared" si="6"/>
        <v>Yes</v>
      </c>
      <c r="BN165" t="str">
        <f t="shared" si="8"/>
        <v>Using default</v>
      </c>
    </row>
    <row r="166" spans="54:74" x14ac:dyDescent="0.3">
      <c r="BB166" s="82" t="s">
        <v>99</v>
      </c>
      <c r="BC166" s="82" t="s">
        <v>100</v>
      </c>
      <c r="BD166" s="82" t="s">
        <v>101</v>
      </c>
      <c r="BE166" s="82" t="s">
        <v>39</v>
      </c>
      <c r="BF166" s="82"/>
      <c r="BG166" s="82" t="s">
        <v>104</v>
      </c>
      <c r="BH166" s="82" t="s">
        <v>105</v>
      </c>
      <c r="BI166" s="82" t="s">
        <v>41</v>
      </c>
      <c r="BJ166" s="82" t="s">
        <v>42</v>
      </c>
      <c r="BK166" s="82" t="s">
        <v>108</v>
      </c>
      <c r="BL166" s="82" t="s">
        <v>109</v>
      </c>
      <c r="BM166" s="82" t="s">
        <v>110</v>
      </c>
      <c r="BN166" s="82"/>
    </row>
    <row r="168" spans="54:74" x14ac:dyDescent="0.3">
      <c r="BR168" s="668" t="s">
        <v>297</v>
      </c>
      <c r="BS168" s="668" t="s">
        <v>298</v>
      </c>
      <c r="BT168" s="668" t="s">
        <v>299</v>
      </c>
    </row>
    <row r="170" spans="54:74" x14ac:dyDescent="0.3">
      <c r="BB170" s="608" t="s">
        <v>300</v>
      </c>
      <c r="BC170" s="2549" t="s">
        <v>301</v>
      </c>
      <c r="BD170" s="2549"/>
      <c r="BE170" s="2549"/>
      <c r="BI170" s="2550" t="s">
        <v>302</v>
      </c>
      <c r="BJ170" s="2550"/>
      <c r="BK170" s="2550"/>
      <c r="BT170" s="974"/>
      <c r="BU170" s="974" t="s">
        <v>303</v>
      </c>
      <c r="BV170" s="974"/>
    </row>
    <row r="171" spans="54:74" x14ac:dyDescent="0.3">
      <c r="BB171" s="668" t="s">
        <v>304</v>
      </c>
      <c r="BC171" s="668" t="s">
        <v>305</v>
      </c>
      <c r="BD171" s="668" t="s">
        <v>306</v>
      </c>
      <c r="BE171" s="668" t="s">
        <v>307</v>
      </c>
      <c r="BF171" s="1784" t="s">
        <v>308</v>
      </c>
      <c r="BG171" s="668" t="s">
        <v>309</v>
      </c>
      <c r="BH171" s="668" t="s">
        <v>310</v>
      </c>
      <c r="BI171" s="668" t="s">
        <v>311</v>
      </c>
      <c r="BJ171" s="668" t="s">
        <v>312</v>
      </c>
      <c r="BK171" s="668" t="s">
        <v>313</v>
      </c>
      <c r="BL171" s="668" t="s">
        <v>314</v>
      </c>
      <c r="BM171" s="668" t="s">
        <v>111</v>
      </c>
      <c r="BO171" s="668" t="s">
        <v>315</v>
      </c>
      <c r="BP171" s="608"/>
      <c r="BR171" s="668" t="s">
        <v>316</v>
      </c>
      <c r="BT171" s="668" t="s">
        <v>317</v>
      </c>
      <c r="BU171" s="668" t="s">
        <v>318</v>
      </c>
      <c r="BV171" s="668" t="s">
        <v>319</v>
      </c>
    </row>
    <row r="172" spans="54:74" x14ac:dyDescent="0.3">
      <c r="BB172" s="608" t="s">
        <v>261</v>
      </c>
      <c r="BC172" s="975">
        <f>I35</f>
        <v>0</v>
      </c>
      <c r="BD172" s="975">
        <f>K35</f>
        <v>0</v>
      </c>
      <c r="BE172" s="975">
        <f>M35</f>
        <v>0</v>
      </c>
      <c r="BF172" s="1783">
        <f>IF(SUM(BC172:BE172)=1,1,0)</f>
        <v>0</v>
      </c>
      <c r="BG172">
        <f>IF(OR(BC172&lt;0,BD172&lt;0,BE172&lt;0),0,1)</f>
        <v>1</v>
      </c>
      <c r="BH172">
        <f>IF(OR(BC172&gt;1,BD172&gt;1,BE172&gt;1),0,1)</f>
        <v>1</v>
      </c>
      <c r="BI172" s="608">
        <f>IF(AND(BC172&lt;=BJ141,BC172&gt;=BI141),1,0)</f>
        <v>1</v>
      </c>
      <c r="BJ172" s="608">
        <f>IF(AND(BD172&lt;=BJ146,BD172&gt;=BI146),1,0)</f>
        <v>1</v>
      </c>
      <c r="BK172" s="608">
        <f>IF(AND(BE172&lt;=BJ151,BE172&gt;=BI151),1,0)</f>
        <v>1</v>
      </c>
      <c r="BL172" s="608">
        <f>BF172*BG172*BH172*BI172*BJ172*BK172</f>
        <v>0</v>
      </c>
      <c r="BM172" t="str">
        <f>IF(BG172=0,"Fix negative value, using defaults",IF(BH172=0,"Fix value over 100, using defaults",IF(BF172=0,"Sum is not 100%, using defaults","Accepted")))</f>
        <v>Sum is not 100%, using defaults</v>
      </c>
      <c r="BO172" s="608">
        <f t="shared" ref="BO172:BO176" si="13">SUM(BI172:BK172)</f>
        <v>3</v>
      </c>
      <c r="BP172" s="608"/>
      <c r="BR172" t="str">
        <f t="shared" ref="BR172:BR176" si="14">_xlfn.CONCAT(TEXT(BT172,"0%")," - ",TEXT(BU172,"0%"), " - ", TEXT(BV172,"0%"))</f>
        <v>0% - 100% - 0%</v>
      </c>
      <c r="BT172" s="154">
        <f>BE141</f>
        <v>0</v>
      </c>
      <c r="BU172" s="154">
        <f>BE146</f>
        <v>1</v>
      </c>
      <c r="BV172" s="154">
        <f>BE151</f>
        <v>0</v>
      </c>
    </row>
    <row r="173" spans="54:74" x14ac:dyDescent="0.3">
      <c r="BB173" s="608" t="s">
        <v>262</v>
      </c>
      <c r="BC173" s="975">
        <f>I38</f>
        <v>0</v>
      </c>
      <c r="BD173" s="975">
        <f>K38</f>
        <v>0</v>
      </c>
      <c r="BE173" s="975">
        <f>M38</f>
        <v>0</v>
      </c>
      <c r="BF173" s="1783">
        <f t="shared" ref="BF173:BF176" si="15">IF(SUM(BC173:BE173)=1,1,0)</f>
        <v>0</v>
      </c>
      <c r="BG173">
        <f t="shared" ref="BG173:BG176" si="16">IF(OR(BC173&lt;0,BD173&lt;0,BE173&lt;0),0,1)</f>
        <v>1</v>
      </c>
      <c r="BH173">
        <f t="shared" ref="BH173:BH176" si="17">IF(OR(BC173&gt;1,BD173&gt;1,BE173&gt;1),0,1)</f>
        <v>1</v>
      </c>
      <c r="BI173" s="608">
        <f>IF(AND(BC173&lt;=BJ142,BC173&gt;=BI142),1,0)</f>
        <v>1</v>
      </c>
      <c r="BJ173" s="608">
        <f>IF(AND(BD173&lt;=BJ147,BD173&gt;=BI147),1,0)</f>
        <v>1</v>
      </c>
      <c r="BK173" s="608">
        <f>IF(AND(BE173&lt;=BJ152,BE173&gt;=BI152),1,0)</f>
        <v>1</v>
      </c>
      <c r="BL173" s="608">
        <f t="shared" ref="BL173:BL176" si="18">BF173*BG173*BH173*BI173*BJ173*BK173</f>
        <v>0</v>
      </c>
      <c r="BM173" t="str">
        <f t="shared" ref="BM173:BM176" si="19">IF(BG173=0,"Fix negative value, using defaults",IF(BH173=0,"Fix value over 100, using defaults",IF(BF173=0,"Sum is not 100%, using defaults","Accepted")))</f>
        <v>Sum is not 100%, using defaults</v>
      </c>
      <c r="BO173" s="608">
        <f t="shared" si="13"/>
        <v>3</v>
      </c>
      <c r="BP173" s="608"/>
      <c r="BR173" t="str">
        <f t="shared" si="14"/>
        <v>0% - 100% - 0%</v>
      </c>
      <c r="BT173" s="154">
        <f>BE142</f>
        <v>0</v>
      </c>
      <c r="BU173" s="154">
        <f>BE147</f>
        <v>1</v>
      </c>
      <c r="BV173" s="154">
        <f>BE152</f>
        <v>0</v>
      </c>
    </row>
    <row r="174" spans="54:74" x14ac:dyDescent="0.3">
      <c r="BB174" s="608" t="s">
        <v>263</v>
      </c>
      <c r="BC174" s="975">
        <f>I41</f>
        <v>0</v>
      </c>
      <c r="BD174" s="975">
        <f>K41</f>
        <v>0</v>
      </c>
      <c r="BE174" s="975">
        <f>M41</f>
        <v>0</v>
      </c>
      <c r="BF174" s="1783">
        <f t="shared" si="15"/>
        <v>0</v>
      </c>
      <c r="BG174">
        <f t="shared" si="16"/>
        <v>1</v>
      </c>
      <c r="BH174">
        <f t="shared" si="17"/>
        <v>1</v>
      </c>
      <c r="BI174" s="608">
        <f>IF(AND(BC174&lt;=BJ143,BC174&gt;=BI143),1,0)</f>
        <v>1</v>
      </c>
      <c r="BJ174" s="608">
        <f>IF(AND(BD174&lt;=BJ148,BD174&gt;=BI148),1,0)</f>
        <v>1</v>
      </c>
      <c r="BK174" s="608">
        <f>IF(AND(BE174&lt;=BJ153,BE174&gt;=BI153),1,0)</f>
        <v>1</v>
      </c>
      <c r="BL174" s="608">
        <f t="shared" si="18"/>
        <v>0</v>
      </c>
      <c r="BM174" t="str">
        <f t="shared" si="19"/>
        <v>Sum is not 100%, using defaults</v>
      </c>
      <c r="BO174" s="608">
        <f t="shared" si="13"/>
        <v>3</v>
      </c>
      <c r="BP174" s="608"/>
      <c r="BR174" t="str">
        <f t="shared" si="14"/>
        <v>0% - 100% - 0%</v>
      </c>
      <c r="BT174" s="154">
        <f>BE143</f>
        <v>0</v>
      </c>
      <c r="BU174" s="154">
        <f>BE148</f>
        <v>1</v>
      </c>
      <c r="BV174" s="154">
        <f>BE153</f>
        <v>0</v>
      </c>
    </row>
    <row r="175" spans="54:74" x14ac:dyDescent="0.3">
      <c r="BB175" s="608" t="s">
        <v>264</v>
      </c>
      <c r="BC175" s="975">
        <f>I44</f>
        <v>0</v>
      </c>
      <c r="BD175" s="975">
        <f>K44</f>
        <v>0</v>
      </c>
      <c r="BE175" s="975">
        <f>M44</f>
        <v>0</v>
      </c>
      <c r="BF175" s="1783">
        <f t="shared" si="15"/>
        <v>0</v>
      </c>
      <c r="BG175">
        <f t="shared" si="16"/>
        <v>1</v>
      </c>
      <c r="BH175">
        <f>IF(OR(BC175&gt;1,BD175&gt;1,BE175&gt;1),0,1)</f>
        <v>1</v>
      </c>
      <c r="BI175" s="608">
        <f>IF(AND(BC175&lt;=BJ144,BC175&gt;=BI144),1,0)</f>
        <v>1</v>
      </c>
      <c r="BJ175" s="608">
        <f>IF(AND(BD175&lt;=BJ149,BD175&gt;=BI149),1,0)</f>
        <v>1</v>
      </c>
      <c r="BK175" s="608">
        <f>IF(AND(BE175&lt;=BJ154,BE175&gt;=BI154),1,0)</f>
        <v>1</v>
      </c>
      <c r="BL175" s="608">
        <f t="shared" si="18"/>
        <v>0</v>
      </c>
      <c r="BM175" t="str">
        <f t="shared" si="19"/>
        <v>Sum is not 100%, using defaults</v>
      </c>
      <c r="BO175" s="608">
        <f>SUM(BI175:BK175)</f>
        <v>3</v>
      </c>
      <c r="BP175" s="608"/>
      <c r="BR175" t="str">
        <f t="shared" si="14"/>
        <v>0% - 0% - 100%</v>
      </c>
      <c r="BT175" s="154">
        <f>BE144</f>
        <v>0</v>
      </c>
      <c r="BU175" s="154">
        <f>BE149</f>
        <v>0</v>
      </c>
      <c r="BV175" s="154">
        <f>BE154</f>
        <v>1</v>
      </c>
    </row>
    <row r="176" spans="54:74" x14ac:dyDescent="0.3">
      <c r="BB176" s="608" t="s">
        <v>265</v>
      </c>
      <c r="BC176" s="975">
        <f>I47</f>
        <v>0</v>
      </c>
      <c r="BD176" s="975">
        <f>K47</f>
        <v>0</v>
      </c>
      <c r="BE176" s="975">
        <f>M47</f>
        <v>0</v>
      </c>
      <c r="BF176" s="1783">
        <f t="shared" si="15"/>
        <v>0</v>
      </c>
      <c r="BG176">
        <f t="shared" si="16"/>
        <v>1</v>
      </c>
      <c r="BH176">
        <f t="shared" si="17"/>
        <v>1</v>
      </c>
      <c r="BI176" s="608">
        <f>IF(AND(BC176&lt;=BJ145,BC176&gt;=BI145),1,0)</f>
        <v>1</v>
      </c>
      <c r="BJ176" s="608">
        <f>IF(AND(BD176&lt;=BJ150,BD176&gt;=BI150),1,0)</f>
        <v>1</v>
      </c>
      <c r="BK176" s="608">
        <f>IF(AND(BE176&lt;=BJ155,BE176&gt;=BI155),1,0)</f>
        <v>1</v>
      </c>
      <c r="BL176" s="608">
        <f t="shared" si="18"/>
        <v>0</v>
      </c>
      <c r="BM176" t="str">
        <f t="shared" si="19"/>
        <v>Sum is not 100%, using defaults</v>
      </c>
      <c r="BO176" s="608">
        <f t="shared" si="13"/>
        <v>3</v>
      </c>
      <c r="BP176" s="608"/>
      <c r="BR176" t="str">
        <f t="shared" si="14"/>
        <v>0% - 0% - 100%</v>
      </c>
      <c r="BT176" s="154">
        <f>BE145</f>
        <v>0</v>
      </c>
      <c r="BU176" s="154">
        <f>BE150</f>
        <v>0</v>
      </c>
      <c r="BV176" s="154">
        <f>BE155</f>
        <v>1</v>
      </c>
    </row>
    <row r="178" spans="54:66" x14ac:dyDescent="0.3">
      <c r="BB178" s="608" t="s">
        <v>320</v>
      </c>
    </row>
    <row r="179" spans="54:66" x14ac:dyDescent="0.3">
      <c r="BB179" s="608" t="s">
        <v>321</v>
      </c>
    </row>
    <row r="180" spans="54:66" x14ac:dyDescent="0.3">
      <c r="BL180" s="82" t="s">
        <v>127</v>
      </c>
      <c r="BN180" s="78">
        <f>COUNTIF(BN156:BN165,"Input invalid, using default")</f>
        <v>0</v>
      </c>
    </row>
    <row r="181" spans="54:66" x14ac:dyDescent="0.3">
      <c r="BL181" t="s">
        <v>322</v>
      </c>
    </row>
    <row r="182" spans="54:66" x14ac:dyDescent="0.3">
      <c r="BL182" t="s">
        <v>131</v>
      </c>
    </row>
    <row r="184" spans="54:66" x14ac:dyDescent="0.3">
      <c r="BL184" t="str">
        <f>IF(BN180&gt;0,BL182,BL181)</f>
        <v>You have answered all of the questions for this page. Press the "Next page" button below to move to the tractor properties page.</v>
      </c>
    </row>
  </sheetData>
  <mergeCells count="162">
    <mergeCell ref="C4:D6"/>
    <mergeCell ref="S4:T6"/>
    <mergeCell ref="D11:S16"/>
    <mergeCell ref="G18:P28"/>
    <mergeCell ref="E30:R33"/>
    <mergeCell ref="E34:F34"/>
    <mergeCell ref="G34:H34"/>
    <mergeCell ref="I34:J34"/>
    <mergeCell ref="K34:L34"/>
    <mergeCell ref="M34:N34"/>
    <mergeCell ref="O34:P34"/>
    <mergeCell ref="Q34:R34"/>
    <mergeCell ref="G5:H7"/>
    <mergeCell ref="I5:J7"/>
    <mergeCell ref="K5:L7"/>
    <mergeCell ref="M5:N7"/>
    <mergeCell ref="O5:P7"/>
    <mergeCell ref="F2:G4"/>
    <mergeCell ref="H2:I4"/>
    <mergeCell ref="J2:K4"/>
    <mergeCell ref="L2:M4"/>
    <mergeCell ref="N2:O4"/>
    <mergeCell ref="P2:Q4"/>
    <mergeCell ref="Q35:R37"/>
    <mergeCell ref="E38:F40"/>
    <mergeCell ref="G38:H40"/>
    <mergeCell ref="I38:J40"/>
    <mergeCell ref="K38:L40"/>
    <mergeCell ref="M38:N40"/>
    <mergeCell ref="O38:P40"/>
    <mergeCell ref="Q38:R40"/>
    <mergeCell ref="E35:F37"/>
    <mergeCell ref="G35:H37"/>
    <mergeCell ref="I35:J37"/>
    <mergeCell ref="K35:L37"/>
    <mergeCell ref="M35:N37"/>
    <mergeCell ref="O35:P37"/>
    <mergeCell ref="Q41:R43"/>
    <mergeCell ref="E44:F46"/>
    <mergeCell ref="G44:H46"/>
    <mergeCell ref="I44:J46"/>
    <mergeCell ref="K44:L46"/>
    <mergeCell ref="M44:N46"/>
    <mergeCell ref="O44:P46"/>
    <mergeCell ref="Q44:R46"/>
    <mergeCell ref="E41:F43"/>
    <mergeCell ref="G41:H43"/>
    <mergeCell ref="I41:J43"/>
    <mergeCell ref="K41:L43"/>
    <mergeCell ref="M41:N43"/>
    <mergeCell ref="O41:P43"/>
    <mergeCell ref="E52:R55"/>
    <mergeCell ref="E56:F56"/>
    <mergeCell ref="M56:N56"/>
    <mergeCell ref="O56:P56"/>
    <mergeCell ref="K56:L56"/>
    <mergeCell ref="I56:J56"/>
    <mergeCell ref="G56:H56"/>
    <mergeCell ref="Q56:R56"/>
    <mergeCell ref="E47:F49"/>
    <mergeCell ref="G47:H49"/>
    <mergeCell ref="I47:J49"/>
    <mergeCell ref="K47:L49"/>
    <mergeCell ref="M47:N49"/>
    <mergeCell ref="O47:P49"/>
    <mergeCell ref="Q47:R49"/>
    <mergeCell ref="Q57:R59"/>
    <mergeCell ref="E60:F62"/>
    <mergeCell ref="M60:N62"/>
    <mergeCell ref="O60:P62"/>
    <mergeCell ref="K60:L62"/>
    <mergeCell ref="I60:J62"/>
    <mergeCell ref="G60:H62"/>
    <mergeCell ref="Q60:R62"/>
    <mergeCell ref="E57:F59"/>
    <mergeCell ref="M57:N59"/>
    <mergeCell ref="O57:P59"/>
    <mergeCell ref="K57:L59"/>
    <mergeCell ref="I57:J59"/>
    <mergeCell ref="G57:H59"/>
    <mergeCell ref="Q63:R65"/>
    <mergeCell ref="E66:F68"/>
    <mergeCell ref="M66:N68"/>
    <mergeCell ref="O66:P68"/>
    <mergeCell ref="K66:L68"/>
    <mergeCell ref="I66:J68"/>
    <mergeCell ref="G66:H68"/>
    <mergeCell ref="Q66:R68"/>
    <mergeCell ref="E63:F65"/>
    <mergeCell ref="M63:N65"/>
    <mergeCell ref="O63:P65"/>
    <mergeCell ref="K63:L65"/>
    <mergeCell ref="I63:J65"/>
    <mergeCell ref="G63:H65"/>
    <mergeCell ref="E69:F71"/>
    <mergeCell ref="M69:N71"/>
    <mergeCell ref="O69:P71"/>
    <mergeCell ref="K69:L71"/>
    <mergeCell ref="I69:J71"/>
    <mergeCell ref="G69:H71"/>
    <mergeCell ref="Q69:R71"/>
    <mergeCell ref="L72:P72"/>
    <mergeCell ref="Q72:R72"/>
    <mergeCell ref="E74:R77"/>
    <mergeCell ref="E78:F78"/>
    <mergeCell ref="M78:N78"/>
    <mergeCell ref="O78:P78"/>
    <mergeCell ref="K78:L78"/>
    <mergeCell ref="I78:J78"/>
    <mergeCell ref="G78:H78"/>
    <mergeCell ref="Q78:R78"/>
    <mergeCell ref="Q79:R81"/>
    <mergeCell ref="E82:F84"/>
    <mergeCell ref="M82:N84"/>
    <mergeCell ref="O82:P84"/>
    <mergeCell ref="K82:L84"/>
    <mergeCell ref="I82:J84"/>
    <mergeCell ref="G82:H84"/>
    <mergeCell ref="Q82:R84"/>
    <mergeCell ref="E79:F81"/>
    <mergeCell ref="M79:N81"/>
    <mergeCell ref="O79:P81"/>
    <mergeCell ref="K79:L81"/>
    <mergeCell ref="I79:J81"/>
    <mergeCell ref="G79:H81"/>
    <mergeCell ref="Q85:R87"/>
    <mergeCell ref="E88:F90"/>
    <mergeCell ref="M88:N90"/>
    <mergeCell ref="O88:P90"/>
    <mergeCell ref="K88:L90"/>
    <mergeCell ref="I88:J90"/>
    <mergeCell ref="G88:H90"/>
    <mergeCell ref="Q88:R90"/>
    <mergeCell ref="E85:F87"/>
    <mergeCell ref="M85:N87"/>
    <mergeCell ref="O85:P87"/>
    <mergeCell ref="K85:L87"/>
    <mergeCell ref="I85:J87"/>
    <mergeCell ref="G85:H87"/>
    <mergeCell ref="C108:D110"/>
    <mergeCell ref="S108:T110"/>
    <mergeCell ref="G96:P101"/>
    <mergeCell ref="E91:F93"/>
    <mergeCell ref="M91:N93"/>
    <mergeCell ref="O91:P93"/>
    <mergeCell ref="K91:L93"/>
    <mergeCell ref="I91:J93"/>
    <mergeCell ref="G91:H93"/>
    <mergeCell ref="Q91:R93"/>
    <mergeCell ref="BC170:BE170"/>
    <mergeCell ref="BI170:BK170"/>
    <mergeCell ref="G109:H111"/>
    <mergeCell ref="I109:J111"/>
    <mergeCell ref="K109:L111"/>
    <mergeCell ref="M109:N111"/>
    <mergeCell ref="O109:P111"/>
    <mergeCell ref="F106:G108"/>
    <mergeCell ref="H106:I108"/>
    <mergeCell ref="J106:K108"/>
    <mergeCell ref="L106:M108"/>
    <mergeCell ref="N106:O108"/>
    <mergeCell ref="P106:Q108"/>
  </mergeCells>
  <conditionalFormatting sqref="E35:H49 O35:R49">
    <cfRule type="expression" dxfId="6" priority="2">
      <formula>$Q35&lt;&gt;"Accepted"</formula>
    </cfRule>
  </conditionalFormatting>
  <conditionalFormatting sqref="E57:J71 M57:R71 E79:J93 M79:R93">
    <cfRule type="expression" dxfId="5" priority="1">
      <formula>$Q57="Input invalid, using default"</formula>
    </cfRule>
  </conditionalFormatting>
  <hyperlinks>
    <hyperlink ref="F2:G4" location="UI.Welcome!A1" tooltip="Click to go to welcome page" display="Welcome Page" xr:uid="{1CA7C0B3-529E-47D0-BBED-80C3271DB69E}"/>
    <hyperlink ref="H2:I4" location="UI.Farm!A1" tooltip="Click to go to farm inputs page" display="Farm Info" xr:uid="{7BF13E04-16B1-4E00-9D8F-6960D932654B}"/>
    <hyperlink ref="I5:J7" location="UI.OpExpenses!A1" tooltip="Click to go to operational expenses page" display="Operational Expenses" xr:uid="{F399D5AC-B6A6-48F6-8419-FAE486D40EFD}"/>
    <hyperlink ref="K5:L7" location="UI.Priorities!A1" tooltip="Click to go to priorities page" display="Priorities" xr:uid="{FDE08EE1-5D4D-4399-B9F1-BA835030AAEB}"/>
    <hyperlink ref="J2:K4" location="UI.Animals!A1" tooltip="Click to go to animals input page" display="Animals" xr:uid="{2DE0B045-D762-4E33-9255-E2DF5A42CF6B}"/>
    <hyperlink ref="P2:Q4" location="UI.Tractor!A1" tooltip="Click to go to tractor properties" display="Tractor Properties" xr:uid="{63AEBE49-AF0D-4738-A80E-6031A6FA0847}"/>
    <hyperlink ref="G5:H7" location="UI.Cap!A1" tooltip="Click to go to capital expenses page" display="Capital Expenses" xr:uid="{298E4D25-2D89-46B9-B67E-A11643E7C37A}"/>
    <hyperlink ref="L2:M4" location="UI.Manure!A1" tooltip="Click to go to the manure characteristics page" display="Manure Characteristics" xr:uid="{72B6681D-526B-4EFE-AF39-DCC72F8F0316}"/>
    <hyperlink ref="O5:P7" location="UI.Inputs!A1" tooltip="Click to go to input results summary" display="Inputs Summary" xr:uid="{20889FBC-ED55-495E-BB8B-E52F95991002}"/>
    <hyperlink ref="C4:D6" location="Results.Summary!A1" tooltip="Click to go to results summary page" display="Results Summary" xr:uid="{285AA9E0-A34A-4635-A50C-F8DA5B9554AD}"/>
    <hyperlink ref="N2:O4" location="UI.Streams!A1" tooltip="Click to go to the excess manure page" display="Excess Manure Streams" xr:uid="{E7317F52-F4F8-4DD4-9DAC-B026088B324C}"/>
    <hyperlink ref="S4:T6" location="UI.Tractor!A1" tooltip="Click to go to tractor properties" display="Tractor Properties" xr:uid="{6DAC1F06-511D-4AF3-A03C-4870B3C95D9B}"/>
    <hyperlink ref="M5:N7" location="UI.Choice!A1" tooltip="Click to go to scenario choice page" display="Scenario Choices" xr:uid="{3CFFB12D-D200-4D71-A137-3A195EE6609E}"/>
    <hyperlink ref="F106:G108" location="UI.Welcome!A1" tooltip="Click to go to welcome page" display="Welcome Page" xr:uid="{2129DCF2-428E-4DA7-8E0D-752A0D0092E4}"/>
    <hyperlink ref="H106:I108" location="UI.Farm!A1" tooltip="Click to go to farm inputs page" display="Farm Info" xr:uid="{6A132C44-3E1F-42BB-8D95-98B996B7D8DC}"/>
    <hyperlink ref="I109:J111" location="UI.OpExpenses!A1" tooltip="Click to go to operational expenses page" display="Operational Expenses" xr:uid="{E445327C-D676-45F4-879B-BC02BECEADAA}"/>
    <hyperlink ref="K109:L111" location="UI.Priorities!A1" tooltip="Click to go to priorities page" display="Priorities" xr:uid="{E9A811B9-2242-4C65-979E-6F02D6E362C9}"/>
    <hyperlink ref="J106:K108" location="UI.Animals!A1" tooltip="Click to go to animals input page" display="Animals" xr:uid="{80962E24-B2F2-4481-BD86-326F9582BECB}"/>
    <hyperlink ref="P106:Q108" location="UI.Tractor!A1" tooltip="Click to go to tractor properties" display="Tractor Properties" xr:uid="{E088A234-47CF-4D31-9BE8-DD1D2C388D74}"/>
    <hyperlink ref="G109:H111" location="UI.Cap!A1" tooltip="Click to go to capital expenses page" display="Capital Expenses" xr:uid="{2E09546D-6844-4CF6-A9F3-ABC053630E7D}"/>
    <hyperlink ref="L106:M108" location="UI.Manure!A1" tooltip="Click to go to the manure characteristics page" display="Manure Characteristics" xr:uid="{DE400AAE-C11A-43D4-AE7D-640286BBBFEE}"/>
    <hyperlink ref="O109:P111" location="UI.Inputs!A1" tooltip="Click to go to input results summary" display="Inputs Summary" xr:uid="{C24A999D-3B71-4FD6-B317-CC6F0C741D3C}"/>
    <hyperlink ref="C108:D110" location="Results.Summary!A1" tooltip="Click to go to results summary page" display="Results Summary" xr:uid="{E2078435-2DD4-424C-A397-E1A84454D905}"/>
    <hyperlink ref="N106:O108" location="UI.Streams!A1" tooltip="Click to go to the excess manure page" display="Excess Manure Streams" xr:uid="{55B55E0C-935B-4FC5-B6F0-F65E9039D05C}"/>
    <hyperlink ref="S108:T110" location="UI.Tractor!A1" tooltip="Click to go to tractor properties" display="Tractor Properties" xr:uid="{740F680B-82BC-4166-8803-31522171C8FE}"/>
    <hyperlink ref="M109:N111" location="UI.Choice!A1" tooltip="Click to go to scenario choice page" display="Scenario Choices" xr:uid="{1DBBBEA1-B985-4106-B0F1-212B136E329C}"/>
  </hyperlinks>
  <printOptions horizontalCentered="1" verticalCentered="1"/>
  <pageMargins left="0.7" right="0.7" top="0.75" bottom="0.75" header="0.3" footer="0.3"/>
  <pageSetup scale="4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B019-E3AE-4C1D-B8DB-0151CE833868}">
  <sheetPr codeName="Sheet27">
    <tabColor rgb="FF92D050"/>
  </sheetPr>
  <dimension ref="A1:AA878"/>
  <sheetViews>
    <sheetView topLeftCell="A570" workbookViewId="0"/>
  </sheetViews>
  <sheetFormatPr defaultColWidth="9.44140625" defaultRowHeight="14.4" x14ac:dyDescent="0.3"/>
  <cols>
    <col min="1" max="1" width="29.33203125" customWidth="1"/>
    <col min="2" max="2" width="52" customWidth="1"/>
    <col min="3" max="3" width="18.5546875" customWidth="1"/>
    <col min="4" max="5" width="18.5546875" style="66" customWidth="1"/>
    <col min="6" max="6" width="18.5546875" style="19" customWidth="1"/>
    <col min="7" max="7" width="21" style="42" customWidth="1"/>
    <col min="8" max="8" width="11" style="3" customWidth="1"/>
    <col min="9" max="10" width="10.33203125" customWidth="1"/>
    <col min="11" max="11" width="9.88671875" style="42" customWidth="1"/>
    <col min="12" max="12" width="15.5546875" style="42" bestFit="1" customWidth="1"/>
    <col min="13" max="13" width="10.6640625" customWidth="1"/>
    <col min="14" max="14" width="11.109375" customWidth="1"/>
    <col min="15" max="15" width="15.44140625" customWidth="1"/>
    <col min="16" max="16" width="14.5546875" customWidth="1"/>
    <col min="17" max="17" width="37.44140625" customWidth="1"/>
    <col min="18" max="18" width="32.109375" style="20" customWidth="1"/>
    <col min="19" max="19" width="5" customWidth="1"/>
    <col min="20" max="20" width="14.5546875" customWidth="1"/>
    <col min="21" max="21" width="16.6640625" customWidth="1"/>
    <col min="22" max="22" width="6.5546875" customWidth="1"/>
    <col min="23" max="23" width="22.88671875" style="42" customWidth="1"/>
    <col min="24" max="24" width="38.6640625" customWidth="1"/>
    <col min="25" max="25" width="3.6640625" style="36" customWidth="1"/>
    <col min="26" max="26" width="11.33203125" customWidth="1"/>
    <col min="27" max="27" width="11.109375" customWidth="1"/>
    <col min="28" max="28" width="16.44140625" customWidth="1"/>
    <col min="29" max="29" width="30.44140625" customWidth="1"/>
    <col min="30" max="30" width="20.5546875" bestFit="1" customWidth="1"/>
    <col min="31" max="31" width="18.44140625" customWidth="1"/>
    <col min="32" max="32" width="11.5546875" customWidth="1"/>
    <col min="33" max="33" width="15.5546875" customWidth="1"/>
    <col min="34" max="34" width="13.88671875" customWidth="1"/>
    <col min="36" max="36" width="14.44140625" bestFit="1" customWidth="1"/>
    <col min="37" max="37" width="20.5546875" bestFit="1" customWidth="1"/>
    <col min="38" max="38" width="15.5546875" bestFit="1" customWidth="1"/>
  </cols>
  <sheetData>
    <row r="1" spans="1:27" ht="18" x14ac:dyDescent="0.35">
      <c r="A1" s="522" t="s">
        <v>7084</v>
      </c>
      <c r="B1" s="1"/>
      <c r="C1" s="1"/>
      <c r="D1" s="5"/>
      <c r="E1" s="5"/>
      <c r="F1" s="4"/>
      <c r="G1" s="46"/>
      <c r="I1" s="2"/>
      <c r="J1" s="2"/>
      <c r="K1" s="3"/>
      <c r="L1" s="3"/>
      <c r="M1" s="2"/>
      <c r="N1" s="2"/>
      <c r="R1"/>
      <c r="T1" s="2"/>
      <c r="U1" s="2"/>
    </row>
    <row r="2" spans="1:27" x14ac:dyDescent="0.3">
      <c r="A2" s="1785"/>
      <c r="B2" s="1660" t="s">
        <v>6921</v>
      </c>
      <c r="C2" s="1804"/>
      <c r="D2" s="1661"/>
      <c r="E2" s="90"/>
      <c r="F2" s="90"/>
      <c r="G2" s="90"/>
      <c r="H2" s="90"/>
      <c r="I2" s="1850"/>
      <c r="J2" s="1827"/>
      <c r="K2" s="1827"/>
      <c r="L2" s="1827"/>
      <c r="M2" s="1827"/>
      <c r="N2" s="1824"/>
      <c r="O2" s="90"/>
      <c r="Q2" s="1667" t="s">
        <v>6923</v>
      </c>
      <c r="R2" s="1705"/>
      <c r="S2" s="1664"/>
      <c r="T2" s="1719"/>
      <c r="U2" s="1720"/>
      <c r="V2" s="1721"/>
      <c r="W2" s="1664" t="s">
        <v>6102</v>
      </c>
      <c r="X2" s="1705"/>
      <c r="Y2" s="1664"/>
      <c r="Z2" s="1667"/>
      <c r="AA2" s="1664"/>
    </row>
    <row r="3" spans="1:27" x14ac:dyDescent="0.3">
      <c r="A3" s="1785"/>
      <c r="B3" s="1668" t="s">
        <v>6922</v>
      </c>
      <c r="C3" s="1670"/>
      <c r="D3" s="1670"/>
      <c r="F3" s="66"/>
      <c r="G3" s="1824"/>
      <c r="H3" s="66"/>
      <c r="I3" s="66"/>
      <c r="J3" s="213"/>
      <c r="K3" s="90"/>
      <c r="L3" s="1785"/>
      <c r="M3" s="1851"/>
      <c r="N3" s="1611"/>
      <c r="O3" s="90"/>
      <c r="Q3" s="49" t="s">
        <v>1901</v>
      </c>
      <c r="R3" s="49" t="s">
        <v>6925</v>
      </c>
      <c r="S3" s="49"/>
      <c r="T3" s="61">
        <f>C5*UDV.animal.total</f>
        <v>56.51613864993692</v>
      </c>
      <c r="U3" s="49" t="s">
        <v>2521</v>
      </c>
      <c r="W3" s="49" t="str">
        <f>PT.anaer_lagoon!C305</f>
        <v>Lagoon sludge</v>
      </c>
      <c r="X3" s="18" t="str">
        <f>PT.anaer_lagoon!B305</f>
        <v>Interval between sludge removal</v>
      </c>
      <c r="Y3" s="49"/>
      <c r="Z3" s="648">
        <f>PT.anaer_lagoon!G305</f>
        <v>10</v>
      </c>
      <c r="AA3" s="49" t="str">
        <f>PT.anaer_lagoon!F305</f>
        <v>year</v>
      </c>
    </row>
    <row r="4" spans="1:27" x14ac:dyDescent="0.3">
      <c r="A4" s="66"/>
      <c r="B4" s="1577" t="s">
        <v>6924</v>
      </c>
      <c r="C4" s="1879">
        <f>UDV.animal.manure*UC.year_to_day/UDV.animal.total/UDV.density.manure</f>
        <v>2.0526696680080483</v>
      </c>
      <c r="D4" s="1806" t="s">
        <v>5838</v>
      </c>
      <c r="E4" s="1825"/>
      <c r="F4" s="1825"/>
      <c r="G4" s="1825"/>
      <c r="H4" s="1825"/>
      <c r="I4" s="66"/>
      <c r="J4" s="1824"/>
      <c r="K4" s="1852"/>
      <c r="L4" s="90"/>
      <c r="M4" s="90"/>
      <c r="N4" s="279"/>
      <c r="O4" s="90"/>
      <c r="Q4" s="49" t="str">
        <f>PT.shallow_flush!C82</f>
        <v>Manure removal from shallow pit flush</v>
      </c>
      <c r="R4" s="18" t="s">
        <v>5829</v>
      </c>
      <c r="S4" s="49"/>
      <c r="T4" s="648">
        <f>PT.shallow_flush!G82</f>
        <v>28.39</v>
      </c>
      <c r="U4" s="648" t="str">
        <f>PT.shallow_flush!D82</f>
        <v>m3/day</v>
      </c>
      <c r="W4" s="49"/>
      <c r="X4" s="18" t="str">
        <f>PT.anaer_lagoon!B306</f>
        <v>Manure sludge removed, lagoon</v>
      </c>
      <c r="Y4" s="49"/>
      <c r="Z4" s="648">
        <f>PT.anaer_lagoon!G306</f>
        <v>4525.5947564400622</v>
      </c>
      <c r="AA4" s="49" t="str">
        <f>PT.anaer_lagoon!F306</f>
        <v>m3/event</v>
      </c>
    </row>
    <row r="5" spans="1:27" x14ac:dyDescent="0.3">
      <c r="A5" s="66"/>
      <c r="B5" s="1577" t="s">
        <v>415</v>
      </c>
      <c r="C5" s="1811">
        <f>SUM(C64:C66)</f>
        <v>0.11303227729987383</v>
      </c>
      <c r="D5" s="1806" t="s">
        <v>5838</v>
      </c>
      <c r="E5" s="1825"/>
      <c r="F5" s="1825"/>
      <c r="G5" s="1825"/>
      <c r="H5" s="1825"/>
      <c r="I5" s="66"/>
      <c r="J5" s="1824"/>
      <c r="K5" s="1852"/>
      <c r="L5" s="90"/>
      <c r="M5" s="90"/>
      <c r="N5" s="66"/>
      <c r="O5" s="277"/>
      <c r="P5" s="36"/>
      <c r="Q5" s="49"/>
      <c r="R5" s="18" t="s">
        <v>5831</v>
      </c>
      <c r="S5" s="49"/>
      <c r="T5" s="648">
        <f>PT.shallow_flush!G83</f>
        <v>3</v>
      </c>
      <c r="U5" s="648" t="str">
        <f>PT.shallow_flush!D83</f>
        <v>flush/day</v>
      </c>
      <c r="W5" s="49"/>
      <c r="X5" s="18" t="str">
        <f>PT.anaer_lagoon!B307</f>
        <v>Lagoon surface area</v>
      </c>
      <c r="Y5" s="49"/>
      <c r="Z5" s="648">
        <f>PT.anaer_lagoon!G307</f>
        <v>3368.7334385768968</v>
      </c>
      <c r="AA5" s="49" t="str">
        <f>PT.anaer_lagoon!F307</f>
        <v>m3</v>
      </c>
    </row>
    <row r="6" spans="1:27" x14ac:dyDescent="0.3">
      <c r="A6" s="66"/>
      <c r="B6" s="1577" t="s">
        <v>409</v>
      </c>
      <c r="C6" s="1811">
        <f>SUM(C61:C62)</f>
        <v>1.8929253454118953</v>
      </c>
      <c r="D6" s="1806" t="s">
        <v>5769</v>
      </c>
      <c r="E6" s="1825"/>
      <c r="F6" s="1802"/>
      <c r="G6" s="1853"/>
      <c r="H6" s="1802"/>
      <c r="I6" s="66"/>
      <c r="J6" s="1824"/>
      <c r="K6" s="1852"/>
      <c r="L6" s="90"/>
      <c r="M6" s="90"/>
      <c r="N6" s="90"/>
      <c r="O6" s="90"/>
      <c r="P6" s="36"/>
      <c r="Q6" s="49"/>
      <c r="R6" s="18" t="s">
        <v>5832</v>
      </c>
      <c r="S6" s="49"/>
      <c r="T6" s="648">
        <f>PT.shallow_flush!G84</f>
        <v>9.4633333333333329</v>
      </c>
      <c r="U6" s="648" t="str">
        <f>PT.shallow_flush!D84</f>
        <v>m3/flush</v>
      </c>
      <c r="W6" s="49"/>
      <c r="X6" s="18" t="str">
        <f>PT.anaer_lagoon!B308</f>
        <v>Lagoon constructed size</v>
      </c>
      <c r="Y6" s="49"/>
      <c r="Z6" s="648">
        <f>PT.anaer_lagoon!G308</f>
        <v>7731.3161327004527</v>
      </c>
      <c r="AA6" s="49" t="str">
        <f>PT.anaer_lagoon!F308</f>
        <v>m2</v>
      </c>
    </row>
    <row r="7" spans="1:27" x14ac:dyDescent="0.3">
      <c r="A7" s="66"/>
      <c r="B7" s="1577" t="s">
        <v>6926</v>
      </c>
      <c r="C7" s="1353" t="s">
        <v>6927</v>
      </c>
      <c r="D7" s="1806"/>
      <c r="E7" s="1785"/>
      <c r="F7" s="1785"/>
      <c r="G7" s="1785"/>
      <c r="H7" s="1785"/>
      <c r="I7" s="66"/>
      <c r="J7" s="1824"/>
      <c r="K7" s="1852"/>
      <c r="L7" s="90"/>
      <c r="M7" s="90"/>
      <c r="N7" s="90"/>
      <c r="O7" s="1854"/>
      <c r="P7" s="79"/>
      <c r="Q7" s="49"/>
      <c r="R7" s="18" t="s">
        <v>5833</v>
      </c>
      <c r="S7" s="49"/>
      <c r="T7" s="648">
        <f>PT.shallow_flush!G85</f>
        <v>28.39</v>
      </c>
      <c r="U7" s="648" t="str">
        <f>PT.shallow_flush!D85</f>
        <v>m3/day</v>
      </c>
      <c r="V7" s="79"/>
      <c r="W7" s="49"/>
      <c r="X7" s="18" t="str">
        <f>PT.anaer_lagoon!B309</f>
        <v>N removed, lagoon</v>
      </c>
      <c r="Y7" s="49"/>
      <c r="Z7" s="648">
        <f>PT.anaer_lagoon!G309</f>
        <v>1.4665640428699664</v>
      </c>
      <c r="AA7" s="49" t="str">
        <f>PT.anaer_lagoon!F309</f>
        <v>g/L</v>
      </c>
    </row>
    <row r="8" spans="1:27" x14ac:dyDescent="0.3">
      <c r="A8" s="66"/>
      <c r="B8" s="1577" t="s">
        <v>6928</v>
      </c>
      <c r="C8" s="1360">
        <f>SUM(C33:C36)/UDV.animal.total</f>
        <v>297.77768402078482</v>
      </c>
      <c r="D8" s="1353" t="s">
        <v>2270</v>
      </c>
      <c r="E8" s="1785"/>
      <c r="F8" s="1785"/>
      <c r="G8" s="1827"/>
      <c r="H8" s="1785"/>
      <c r="I8" s="66"/>
      <c r="J8" s="90"/>
      <c r="K8" s="90"/>
      <c r="L8" s="90"/>
      <c r="M8" s="90"/>
      <c r="N8" s="90"/>
      <c r="O8" s="1854"/>
      <c r="P8" s="79"/>
      <c r="Q8" s="49"/>
      <c r="R8" s="18" t="s">
        <v>5834</v>
      </c>
      <c r="S8" s="49"/>
      <c r="T8" s="648">
        <f>PT.shallow_flush!G86</f>
        <v>28.39</v>
      </c>
      <c r="U8" s="648" t="str">
        <f>PT.shallow_flush!D86</f>
        <v>m3/day</v>
      </c>
      <c r="V8" s="79"/>
      <c r="W8" s="49"/>
      <c r="X8" s="18" t="str">
        <f>PT.anaer_lagoon!B310</f>
        <v>P2O5 removed, lagoon</v>
      </c>
      <c r="Y8" s="49"/>
      <c r="Z8" s="648">
        <f>PT.anaer_lagoon!G310</f>
        <v>3.3027695097379093</v>
      </c>
      <c r="AA8" s="49" t="str">
        <f>PT.anaer_lagoon!F310</f>
        <v>g/L</v>
      </c>
    </row>
    <row r="9" spans="1:27" x14ac:dyDescent="0.3">
      <c r="A9" s="66"/>
      <c r="B9" s="1810" t="s">
        <v>6929</v>
      </c>
      <c r="C9" s="1807"/>
      <c r="D9" s="1806"/>
      <c r="E9" s="1785"/>
      <c r="F9" s="1785"/>
      <c r="G9" s="1827"/>
      <c r="H9" s="1785"/>
      <c r="I9" s="66"/>
      <c r="J9" s="1825"/>
      <c r="K9" s="1825"/>
      <c r="L9" s="1825"/>
      <c r="M9" s="1825"/>
      <c r="N9" s="66"/>
      <c r="O9" s="1854"/>
      <c r="P9" s="79"/>
      <c r="Q9" s="49"/>
      <c r="R9" s="18" t="s">
        <v>5791</v>
      </c>
      <c r="S9" s="49"/>
      <c r="T9" s="648">
        <f>PT.shallow_flush!G87</f>
        <v>9.4633333333333329</v>
      </c>
      <c r="U9" s="648" t="str">
        <f>PT.shallow_flush!D87</f>
        <v>m3/flush</v>
      </c>
      <c r="V9" s="79"/>
      <c r="W9" s="49"/>
      <c r="X9" s="18" t="str">
        <f>PT.anaer_lagoon!B311</f>
        <v>K2O removed, lagoon</v>
      </c>
      <c r="Y9" s="49"/>
      <c r="Z9" s="648">
        <f>PT.anaer_lagoon!G311</f>
        <v>3.3027856402144384</v>
      </c>
      <c r="AA9" s="49" t="str">
        <f>PT.anaer_lagoon!F311</f>
        <v>g/L</v>
      </c>
    </row>
    <row r="10" spans="1:27" x14ac:dyDescent="0.3">
      <c r="A10" s="66"/>
      <c r="B10" s="1577" t="s">
        <v>6163</v>
      </c>
      <c r="C10" s="1811">
        <f>C45</f>
        <v>5.3096596339166879</v>
      </c>
      <c r="D10" s="1806" t="s">
        <v>2385</v>
      </c>
      <c r="E10" s="1785"/>
      <c r="F10" s="1785"/>
      <c r="G10" s="1827"/>
      <c r="H10" s="1785"/>
      <c r="I10" s="66"/>
      <c r="J10" s="1825"/>
      <c r="K10" s="1825"/>
      <c r="L10" s="1825"/>
      <c r="M10" s="1825"/>
      <c r="N10" s="66"/>
      <c r="O10" s="66"/>
      <c r="P10" s="1642"/>
      <c r="Q10" s="49"/>
      <c r="R10" s="18" t="s">
        <v>5797</v>
      </c>
      <c r="S10" s="49"/>
      <c r="T10" s="648">
        <f>PT.shallow_flush!G88</f>
        <v>4.9783549783549788</v>
      </c>
      <c r="U10" s="648" t="str">
        <f>PT.shallow_flush!D88</f>
        <v>hp/pump</v>
      </c>
      <c r="W10" s="49" t="str">
        <f>PT.anaer_lagoon!C312</f>
        <v>Tanker application during sludge years</v>
      </c>
      <c r="X10" s="18" t="str">
        <f>PT.anaer_lagoon!B312</f>
        <v>Tanker, size</v>
      </c>
      <c r="Y10" s="49"/>
      <c r="Z10" s="648">
        <f>PT.anaer_lagoon!G312</f>
        <v>6000</v>
      </c>
      <c r="AA10" s="49" t="str">
        <f>PT.anaer_lagoon!F312</f>
        <v>gal</v>
      </c>
    </row>
    <row r="11" spans="1:27" ht="21.75" customHeight="1" x14ac:dyDescent="0.3">
      <c r="A11" s="66"/>
      <c r="B11" s="1577" t="s">
        <v>6164</v>
      </c>
      <c r="C11" s="1811">
        <f>C46</f>
        <v>3.6537102250000002</v>
      </c>
      <c r="D11" s="1806" t="s">
        <v>2385</v>
      </c>
      <c r="E11" s="1785"/>
      <c r="F11" s="1785"/>
      <c r="G11" s="1827"/>
      <c r="H11" s="1785"/>
      <c r="I11" s="1824"/>
      <c r="J11" s="1855"/>
      <c r="K11" s="1856"/>
      <c r="L11" s="1856"/>
      <c r="M11" s="1856"/>
      <c r="N11" s="1856"/>
      <c r="O11" s="1802"/>
      <c r="P11" s="987"/>
      <c r="Q11" s="49"/>
      <c r="R11" s="18" t="s">
        <v>5802</v>
      </c>
      <c r="S11" s="49"/>
      <c r="T11" s="648">
        <f>PT.shallow_flush!G89</f>
        <v>1</v>
      </c>
      <c r="U11" s="648" t="str">
        <f>PT.shallow_flush!D89</f>
        <v>pumps</v>
      </c>
      <c r="V11" s="36"/>
      <c r="W11" s="49"/>
      <c r="X11" s="18" t="str">
        <f>PT.anaer_lagoon!B313</f>
        <v>Tractor for tanker, size</v>
      </c>
      <c r="Y11" s="49"/>
      <c r="Z11" s="648">
        <f>PT.anaer_lagoon!G313</f>
        <v>250</v>
      </c>
      <c r="AA11" s="49" t="str">
        <f>PT.anaer_lagoon!F313</f>
        <v>PTO hp</v>
      </c>
    </row>
    <row r="12" spans="1:27" x14ac:dyDescent="0.3">
      <c r="A12" s="66"/>
      <c r="B12" s="1577" t="s">
        <v>6165</v>
      </c>
      <c r="C12" s="1811">
        <f>C47</f>
        <v>5.5517686249999993</v>
      </c>
      <c r="D12" s="1806" t="s">
        <v>2385</v>
      </c>
      <c r="E12" s="1785"/>
      <c r="F12" s="1785"/>
      <c r="G12" s="1827"/>
      <c r="H12" s="1785"/>
      <c r="I12" s="1824"/>
      <c r="J12" s="1857"/>
      <c r="K12" s="1858"/>
      <c r="L12" s="1855"/>
      <c r="M12" s="66"/>
      <c r="N12" s="90"/>
      <c r="O12" s="66"/>
      <c r="P12" s="1641"/>
      <c r="Q12" s="49"/>
      <c r="R12" s="18" t="s">
        <v>5804</v>
      </c>
      <c r="S12" s="49"/>
      <c r="T12" s="648">
        <f>PT.shallow_flush!G90</f>
        <v>0.83331606180888895</v>
      </c>
      <c r="U12" s="648" t="str">
        <f>PT.shallow_flush!D90</f>
        <v>hr/day/pump</v>
      </c>
      <c r="V12" s="1061"/>
      <c r="W12" s="49"/>
      <c r="X12" s="18" t="str">
        <f>PT.anaer_lagoon!B314</f>
        <v>Application by broadcast or injection?</v>
      </c>
      <c r="Y12" s="49"/>
      <c r="Z12" s="648" t="str">
        <f>PT.anaer_lagoon!G314</f>
        <v>Injection</v>
      </c>
      <c r="AA12" s="49" t="str">
        <f>PT.anaer_lagoon!F314</f>
        <v>type</v>
      </c>
    </row>
    <row r="13" spans="1:27" ht="18" customHeight="1" x14ac:dyDescent="0.3">
      <c r="A13" s="1859"/>
      <c r="B13" s="1810" t="s">
        <v>6930</v>
      </c>
      <c r="C13" s="1811"/>
      <c r="D13" s="1806"/>
      <c r="E13" s="1785"/>
      <c r="F13" s="1785"/>
      <c r="G13" s="1827"/>
      <c r="H13" s="1785"/>
      <c r="I13" s="1824"/>
      <c r="J13" s="1857"/>
      <c r="K13" s="1856"/>
      <c r="L13" s="1860"/>
      <c r="M13" s="1856"/>
      <c r="N13" s="1861"/>
      <c r="O13" s="90"/>
      <c r="P13" s="1641"/>
      <c r="Q13" s="49"/>
      <c r="R13" s="18" t="s">
        <v>5808</v>
      </c>
      <c r="S13" s="49"/>
      <c r="T13" s="648">
        <f>PT.shallow_flush!G91</f>
        <v>3.0935680987176215</v>
      </c>
      <c r="U13" s="648" t="str">
        <f>PT.shallow_flush!D91</f>
        <v>kWh/day</v>
      </c>
      <c r="V13" s="1061"/>
      <c r="W13" s="49"/>
      <c r="X13" s="18" t="str">
        <f>PT.anaer_lagoon!B315</f>
        <v>Operation time for tractor with tanker</v>
      </c>
      <c r="Y13" s="49"/>
      <c r="Z13" s="648">
        <f>PT.anaer_lagoon!G315</f>
        <v>45.328667467848561</v>
      </c>
      <c r="AA13" s="49" t="str">
        <f>PT.anaer_lagoon!F315</f>
        <v>hrs/event</v>
      </c>
    </row>
    <row r="14" spans="1:27" x14ac:dyDescent="0.3">
      <c r="A14" s="1824"/>
      <c r="B14" s="1577" t="s">
        <v>6163</v>
      </c>
      <c r="C14" s="1811">
        <f>C49</f>
        <v>1.3274149084791718</v>
      </c>
      <c r="D14" s="1806" t="s">
        <v>2385</v>
      </c>
      <c r="E14" s="1785"/>
      <c r="F14" s="1785"/>
      <c r="G14" s="1827"/>
      <c r="H14" s="1785"/>
      <c r="I14" s="1824"/>
      <c r="J14" s="1862"/>
      <c r="K14" s="1855"/>
      <c r="L14" s="1858"/>
      <c r="M14" s="1863"/>
      <c r="N14" s="1824"/>
      <c r="O14" s="90"/>
      <c r="P14" s="1641"/>
      <c r="Q14" s="49"/>
      <c r="R14" s="18" t="s">
        <v>5819</v>
      </c>
      <c r="S14" s="49"/>
      <c r="T14" s="648">
        <f>PT.shallow_flush!G92</f>
        <v>600</v>
      </c>
      <c r="U14" s="648" t="str">
        <f>PT.shallow_flush!D92</f>
        <v>ft</v>
      </c>
      <c r="V14" s="1061"/>
      <c r="W14" s="49"/>
      <c r="X14" s="18" t="str">
        <f>PT.anaer_lagoon!B316</f>
        <v>Fuel needed for tractor with tank and applicator</v>
      </c>
      <c r="Y14" s="49"/>
      <c r="Z14" s="648">
        <f>PT.anaer_lagoon!G316</f>
        <v>498.61534214633417</v>
      </c>
      <c r="AA14" s="49" t="str">
        <f>PT.anaer_lagoon!F316</f>
        <v>gal/event</v>
      </c>
    </row>
    <row r="15" spans="1:27" x14ac:dyDescent="0.3">
      <c r="A15" s="1824"/>
      <c r="B15" s="1577" t="s">
        <v>6164</v>
      </c>
      <c r="C15" s="1811">
        <f t="shared" ref="C15:C16" si="0">C50</f>
        <v>2.9893992749999998</v>
      </c>
      <c r="D15" s="1806" t="s">
        <v>2385</v>
      </c>
      <c r="E15" s="1785"/>
      <c r="F15" s="1785"/>
      <c r="G15" s="1785"/>
      <c r="H15" s="1785"/>
      <c r="I15" s="66"/>
      <c r="J15" s="1862"/>
      <c r="K15" s="1855"/>
      <c r="L15" s="1863"/>
      <c r="M15" s="1863"/>
      <c r="N15" s="1824"/>
      <c r="O15" s="90"/>
      <c r="P15" s="79"/>
      <c r="Q15" s="49"/>
      <c r="R15" s="18" t="s">
        <v>5820</v>
      </c>
      <c r="S15" s="49"/>
      <c r="T15" s="648">
        <f>PT.shallow_flush!G93</f>
        <v>200</v>
      </c>
      <c r="U15" s="648" t="str">
        <f>PT.shallow_flush!D93</f>
        <v>ft</v>
      </c>
      <c r="W15" s="49"/>
      <c r="X15" s="18" t="str">
        <f>PT.anaer_lagoon!B317</f>
        <v>Number of tractors with tanker needed</v>
      </c>
      <c r="Y15" s="49"/>
      <c r="Z15" s="648">
        <f>PT.anaer_lagoon!G317</f>
        <v>1</v>
      </c>
      <c r="AA15" s="49" t="str">
        <f>PT.anaer_lagoon!F317</f>
        <v>quantity</v>
      </c>
    </row>
    <row r="16" spans="1:27" x14ac:dyDescent="0.3">
      <c r="A16" s="1824"/>
      <c r="B16" s="1577" t="s">
        <v>6165</v>
      </c>
      <c r="C16" s="1811">
        <f t="shared" si="0"/>
        <v>2.9894138749999994</v>
      </c>
      <c r="D16" s="1806" t="s">
        <v>2385</v>
      </c>
      <c r="E16" s="1785"/>
      <c r="F16" s="1785"/>
      <c r="G16" s="1827"/>
      <c r="H16" s="1785"/>
      <c r="I16" s="66"/>
      <c r="J16" s="1857"/>
      <c r="K16" s="1855"/>
      <c r="L16" s="1863"/>
      <c r="M16" s="1863"/>
      <c r="N16" s="1824"/>
      <c r="O16" s="90"/>
      <c r="P16" s="79"/>
      <c r="Q16" s="49" t="str">
        <f>PT.anaer_lagoon!C260</f>
        <v>Lagoon liquids</v>
      </c>
      <c r="R16" s="18" t="s">
        <v>6401</v>
      </c>
      <c r="S16" s="49"/>
      <c r="T16" s="648">
        <f>PT.anaer_lagoon!G260</f>
        <v>182.5</v>
      </c>
      <c r="U16" s="49" t="str">
        <f>PT.anaer_lagoon!F260</f>
        <v>days</v>
      </c>
      <c r="W16" s="49"/>
      <c r="X16" s="18" t="str">
        <f>PT.anaer_lagoon!B318</f>
        <v>Tractor for agitator, size</v>
      </c>
      <c r="Y16" s="49"/>
      <c r="Z16" s="648">
        <f>PT.anaer_lagoon!G318</f>
        <v>160</v>
      </c>
      <c r="AA16" s="49" t="str">
        <f>PT.anaer_lagoon!F318</f>
        <v>PTO hp</v>
      </c>
    </row>
    <row r="17" spans="1:27" ht="15.75" customHeight="1" x14ac:dyDescent="0.3">
      <c r="A17" s="66"/>
      <c r="B17" s="1808" t="s">
        <v>5271</v>
      </c>
      <c r="C17" s="1809"/>
      <c r="D17" s="1806"/>
      <c r="E17" s="1785"/>
      <c r="F17" s="1785"/>
      <c r="G17" s="1823"/>
      <c r="H17" s="1785"/>
      <c r="I17" s="66"/>
      <c r="J17" s="1857"/>
      <c r="K17" s="1855"/>
      <c r="L17" s="1858"/>
      <c r="M17" s="1863"/>
      <c r="N17" s="1824"/>
      <c r="O17" s="90"/>
      <c r="Q17" s="49"/>
      <c r="R17" s="18" t="s">
        <v>6403</v>
      </c>
      <c r="S17" s="49"/>
      <c r="T17" s="648">
        <f>PT.anaer_lagoon!G261</f>
        <v>1201.1370470114557</v>
      </c>
      <c r="U17" s="49" t="str">
        <f>PT.anaer_lagoon!F261</f>
        <v>m3/event</v>
      </c>
      <c r="W17" s="49"/>
      <c r="X17" s="18" t="str">
        <f>PT.anaer_lagoon!B319</f>
        <v>Number of tractors for agitating needed</v>
      </c>
      <c r="Y17" s="49"/>
      <c r="Z17" s="648">
        <f>PT.anaer_lagoon!G319</f>
        <v>1</v>
      </c>
      <c r="AA17" s="49" t="str">
        <f>PT.anaer_lagoon!F319</f>
        <v>quantity</v>
      </c>
    </row>
    <row r="18" spans="1:27" ht="15.6" x14ac:dyDescent="0.3">
      <c r="A18" s="66"/>
      <c r="B18" s="1577" t="s">
        <v>6782</v>
      </c>
      <c r="C18" s="1812">
        <f>C70+C74</f>
        <v>32.282819354552089</v>
      </c>
      <c r="D18" s="1806" t="s">
        <v>2385</v>
      </c>
      <c r="E18" s="1785"/>
      <c r="F18" s="1785"/>
      <c r="G18" s="1823"/>
      <c r="H18" s="1785"/>
      <c r="I18" s="66"/>
      <c r="J18" s="1857"/>
      <c r="K18" s="1855"/>
      <c r="L18" s="1858"/>
      <c r="M18" s="1863"/>
      <c r="N18" s="1824"/>
      <c r="O18" s="90"/>
      <c r="P18" s="42"/>
      <c r="Q18" s="49"/>
      <c r="R18" s="18" t="s">
        <v>6343</v>
      </c>
      <c r="S18" s="49"/>
      <c r="T18" s="648">
        <f>PT.anaer_lagoon!G262</f>
        <v>3368.7334385768968</v>
      </c>
      <c r="U18" s="49" t="str">
        <f>PT.anaer_lagoon!F262</f>
        <v>m2</v>
      </c>
      <c r="W18" s="49"/>
      <c r="X18" s="18" t="str">
        <f>PT.anaer_lagoon!B320</f>
        <v>Operation time for tractor agitating</v>
      </c>
      <c r="Y18" s="49"/>
      <c r="Z18" s="648">
        <f>PT.anaer_lagoon!G320</f>
        <v>56.660834334810701</v>
      </c>
      <c r="AA18" s="49" t="str">
        <f>PT.anaer_lagoon!F320</f>
        <v>hr/year</v>
      </c>
    </row>
    <row r="19" spans="1:27" ht="14.25" customHeight="1" x14ac:dyDescent="0.3">
      <c r="A19" s="1824"/>
      <c r="B19" s="1577" t="s">
        <v>6783</v>
      </c>
      <c r="C19" s="1812">
        <f>C72+C76</f>
        <v>5.9651376409799999E-2</v>
      </c>
      <c r="D19" s="1806" t="s">
        <v>2385</v>
      </c>
      <c r="F19" s="66"/>
      <c r="G19" s="66"/>
      <c r="H19" s="66"/>
      <c r="I19" s="66"/>
      <c r="J19" s="1857"/>
      <c r="K19" s="1855"/>
      <c r="L19" s="1855"/>
      <c r="M19" s="1863"/>
      <c r="N19" s="1824"/>
      <c r="O19" s="90"/>
      <c r="P19" s="42"/>
      <c r="Q19" s="49"/>
      <c r="R19" s="18" t="s">
        <v>5437</v>
      </c>
      <c r="S19" s="49"/>
      <c r="T19" s="648">
        <f>PT.anaer_lagoon!G263</f>
        <v>7731.3161327004527</v>
      </c>
      <c r="U19" s="49" t="str">
        <f>PT.anaer_lagoon!F263</f>
        <v>m3</v>
      </c>
      <c r="W19" s="49"/>
      <c r="X19" s="18" t="str">
        <f>PT.anaer_lagoon!B321</f>
        <v>Fuel needed for tractor for agitating</v>
      </c>
      <c r="Y19" s="49"/>
      <c r="Z19" s="648">
        <f>PT.anaer_lagoon!G321</f>
        <v>398.89227371706727</v>
      </c>
      <c r="AA19" s="49" t="str">
        <f>PT.anaer_lagoon!F321</f>
        <v>gal/event</v>
      </c>
    </row>
    <row r="20" spans="1:27" ht="15.6" x14ac:dyDescent="0.3">
      <c r="A20" s="1824"/>
      <c r="B20" s="1577" t="s">
        <v>6784</v>
      </c>
      <c r="C20" s="1812">
        <f>C73+C77</f>
        <v>0.27128087556347191</v>
      </c>
      <c r="D20" s="1806" t="s">
        <v>2385</v>
      </c>
      <c r="E20" s="1864"/>
      <c r="F20" s="1864"/>
      <c r="G20" s="1864"/>
      <c r="H20" s="1864"/>
      <c r="I20" s="66"/>
      <c r="J20" s="1862"/>
      <c r="K20" s="1855"/>
      <c r="L20" s="1855"/>
      <c r="M20" s="1863"/>
      <c r="N20" s="1824"/>
      <c r="O20" s="90"/>
      <c r="P20" s="42"/>
      <c r="Q20" s="49"/>
      <c r="R20" s="18" t="s">
        <v>6404</v>
      </c>
      <c r="S20" s="49"/>
      <c r="T20" s="648">
        <f>PT.anaer_lagoon!G264</f>
        <v>1.1051319345963957</v>
      </c>
      <c r="U20" s="49" t="str">
        <f>PT.anaer_lagoon!F264</f>
        <v>g/L</v>
      </c>
      <c r="W20" s="49"/>
      <c r="X20" s="18" t="str">
        <f>PT.anaer_lagoon!B322</f>
        <v>Number of tractors for pumping needed</v>
      </c>
      <c r="Y20" s="49"/>
      <c r="Z20" s="648">
        <f>PT.anaer_lagoon!G322</f>
        <v>1</v>
      </c>
      <c r="AA20" s="49" t="str">
        <f>PT.anaer_lagoon!F322</f>
        <v>quantity</v>
      </c>
    </row>
    <row r="21" spans="1:27" ht="19.5" customHeight="1" x14ac:dyDescent="0.3">
      <c r="A21" s="66"/>
      <c r="B21" s="1577" t="s">
        <v>6785</v>
      </c>
      <c r="C21" s="1812">
        <f>C71+C75</f>
        <v>12.33117309239586</v>
      </c>
      <c r="D21" s="1806" t="s">
        <v>2385</v>
      </c>
      <c r="E21" s="1865"/>
      <c r="F21" s="1865"/>
      <c r="G21" s="1865"/>
      <c r="H21" s="1865"/>
      <c r="I21" s="90"/>
      <c r="J21" s="1862"/>
      <c r="K21" s="1855"/>
      <c r="L21" s="1855"/>
      <c r="M21" s="1863"/>
      <c r="N21" s="1824"/>
      <c r="O21" s="90"/>
      <c r="Q21" s="49"/>
      <c r="R21" s="18" t="s">
        <v>6405</v>
      </c>
      <c r="S21" s="49"/>
      <c r="T21" s="648">
        <f>PT.anaer_lagoon!G265</f>
        <v>0.76046905598548931</v>
      </c>
      <c r="U21" s="49" t="str">
        <f>PT.anaer_lagoon!F265</f>
        <v>g/L</v>
      </c>
      <c r="W21" s="49"/>
      <c r="X21" s="18" t="str">
        <f>PT.anaer_lagoon!B323</f>
        <v>Tractor for pumping, size</v>
      </c>
      <c r="Y21" s="49"/>
      <c r="Z21" s="648">
        <f>PT.anaer_lagoon!G323</f>
        <v>180</v>
      </c>
      <c r="AA21" s="49" t="str">
        <f>PT.anaer_lagoon!F323</f>
        <v>PTO hp</v>
      </c>
    </row>
    <row r="22" spans="1:27" x14ac:dyDescent="0.3">
      <c r="A22" s="66"/>
      <c r="E22" s="1785"/>
      <c r="F22" s="1802"/>
      <c r="G22" s="1823"/>
      <c r="H22" s="66"/>
      <c r="I22" s="90"/>
      <c r="J22" s="1857"/>
      <c r="K22" s="1855"/>
      <c r="L22" s="1855"/>
      <c r="M22" s="1863"/>
      <c r="N22" s="1824"/>
      <c r="O22" s="90"/>
      <c r="P22" s="79"/>
      <c r="Q22" s="49"/>
      <c r="R22" s="18" t="s">
        <v>6406</v>
      </c>
      <c r="S22" s="49"/>
      <c r="T22" s="648">
        <f>PT.anaer_lagoon!G266</f>
        <v>1.1555235596998139</v>
      </c>
      <c r="U22" s="49" t="str">
        <f>PT.anaer_lagoon!F266</f>
        <v>g/L</v>
      </c>
      <c r="W22" s="49"/>
      <c r="X22" s="18" t="str">
        <f>PT.anaer_lagoon!B324</f>
        <v>Operation time for tractor pumping</v>
      </c>
      <c r="Y22" s="49"/>
      <c r="Z22" s="648">
        <f>PT.anaer_lagoon!G324</f>
        <v>5.9303521140650117</v>
      </c>
      <c r="AA22" s="49" t="str">
        <f>PT.anaer_lagoon!F324</f>
        <v>hr/event</v>
      </c>
    </row>
    <row r="23" spans="1:27" x14ac:dyDescent="0.3">
      <c r="A23" s="66"/>
      <c r="F23" s="66"/>
      <c r="G23" s="90"/>
      <c r="H23" s="66"/>
      <c r="I23" s="90"/>
      <c r="J23" s="1857"/>
      <c r="K23" s="1855"/>
      <c r="L23" s="1858"/>
      <c r="M23" s="1863"/>
      <c r="N23" s="1824"/>
      <c r="O23" s="90"/>
      <c r="Q23" s="49" t="str">
        <f>PT.anaer_lagoon!C267</f>
        <v>Lagoon liquids irrigation</v>
      </c>
      <c r="R23" s="18" t="s">
        <v>6407</v>
      </c>
      <c r="S23" s="49"/>
      <c r="T23" s="648">
        <f>PT.anaer_lagoon!G267</f>
        <v>25.66270624679748</v>
      </c>
      <c r="U23" s="49" t="str">
        <f>PT.anaer_lagoon!F267</f>
        <v>ac/y</v>
      </c>
      <c r="W23" s="49"/>
      <c r="X23" s="18" t="str">
        <f>PT.anaer_lagoon!B325</f>
        <v>Fuel needed for tractor for pumping</v>
      </c>
      <c r="Y23" s="49"/>
      <c r="Z23" s="648">
        <f>PT.anaer_lagoon!G325</f>
        <v>46.96838874339489</v>
      </c>
      <c r="AA23" s="49" t="str">
        <f>PT.anaer_lagoon!F325</f>
        <v>gal/event</v>
      </c>
    </row>
    <row r="24" spans="1:27" x14ac:dyDescent="0.3">
      <c r="A24" s="66"/>
      <c r="B24" s="1668" t="s">
        <v>6931</v>
      </c>
      <c r="C24" s="1680"/>
      <c r="D24" s="1815"/>
      <c r="E24" s="1866"/>
      <c r="F24" s="1866"/>
      <c r="G24" s="1866"/>
      <c r="H24" s="1866"/>
      <c r="I24" s="1852"/>
      <c r="J24" s="1862"/>
      <c r="K24" s="1855"/>
      <c r="L24" s="1863"/>
      <c r="M24" s="1863"/>
      <c r="N24" s="1824"/>
      <c r="O24" s="90"/>
      <c r="Q24" s="49"/>
      <c r="R24" s="18" t="s">
        <v>6409</v>
      </c>
      <c r="S24" s="49"/>
      <c r="T24" s="648">
        <f>PT.anaer_lagoon!G268</f>
        <v>946.46267270594763</v>
      </c>
      <c r="U24" s="49" t="str">
        <f>PT.anaer_lagoon!F268</f>
        <v>kWh/y</v>
      </c>
      <c r="W24" s="49" t="str">
        <f>PT.anaer_lagoon!C326</f>
        <v>Drag hose application during sludge years</v>
      </c>
      <c r="X24" s="18" t="str">
        <f>PT.anaer_lagoon!B326</f>
        <v>Size of tractor for pulling hose reel and applicator toolbar</v>
      </c>
      <c r="Y24" s="49"/>
      <c r="Z24" s="648">
        <f>PT.anaer_lagoon!G326</f>
        <v>580</v>
      </c>
      <c r="AA24" s="49" t="str">
        <f>PT.anaer_lagoon!F326</f>
        <v>PTO hp</v>
      </c>
    </row>
    <row r="25" spans="1:27" x14ac:dyDescent="0.3">
      <c r="A25" s="66"/>
      <c r="B25" s="510" t="s">
        <v>6932</v>
      </c>
      <c r="C25" s="1378">
        <v>0.21</v>
      </c>
      <c r="D25" s="510" t="s">
        <v>1694</v>
      </c>
      <c r="E25" s="1865"/>
      <c r="F25" s="1865"/>
      <c r="G25" s="1865"/>
      <c r="H25" s="1865"/>
      <c r="I25" s="1852"/>
      <c r="J25" s="1862"/>
      <c r="K25" s="1855"/>
      <c r="L25" s="1863"/>
      <c r="M25" s="1863"/>
      <c r="N25" s="1824"/>
      <c r="O25" s="90"/>
      <c r="Q25" s="49"/>
      <c r="R25" s="18" t="s">
        <v>6390</v>
      </c>
      <c r="S25" s="49"/>
      <c r="T25" s="648">
        <f>PT.anaer_lagoon!G269</f>
        <v>7.6988118740392446</v>
      </c>
      <c r="U25" s="49" t="str">
        <f>PT.anaer_lagoon!F269</f>
        <v>hr/year</v>
      </c>
      <c r="W25" s="49"/>
      <c r="X25" s="18" t="str">
        <f>PT.anaer_lagoon!B327</f>
        <v>Number of tractors for pulling hose reel and applicator</v>
      </c>
      <c r="Y25" s="49"/>
      <c r="Z25" s="648">
        <f>PT.anaer_lagoon!G327</f>
        <v>1</v>
      </c>
      <c r="AA25" s="49" t="str">
        <f>PT.anaer_lagoon!F327</f>
        <v>quantity</v>
      </c>
    </row>
    <row r="26" spans="1:27" x14ac:dyDescent="0.3">
      <c r="A26" s="66"/>
      <c r="B26" s="1813" t="s">
        <v>6933</v>
      </c>
      <c r="C26" s="1414">
        <v>2.1428571399999998</v>
      </c>
      <c r="D26" s="510" t="s">
        <v>6934</v>
      </c>
      <c r="E26" s="1793"/>
      <c r="F26" s="1802"/>
      <c r="G26" s="1823"/>
      <c r="H26" s="66"/>
      <c r="I26" s="1852"/>
      <c r="J26" s="1862"/>
      <c r="K26" s="1855"/>
      <c r="L26" s="1863"/>
      <c r="M26" s="1863"/>
      <c r="N26" s="1824"/>
      <c r="O26" s="90"/>
      <c r="Q26" s="49" t="str">
        <f>PT.anaer_lagoon!C270</f>
        <v>Tanker application during non-sludge years</v>
      </c>
      <c r="R26" s="18" t="s">
        <v>5637</v>
      </c>
      <c r="S26" s="49"/>
      <c r="T26" s="648">
        <f>PT.anaer_lagoon!G270</f>
        <v>6000</v>
      </c>
      <c r="U26" s="49" t="str">
        <f>PT.anaer_lagoon!F270</f>
        <v>gal</v>
      </c>
      <c r="W26" s="49"/>
      <c r="X26" s="18" t="str">
        <f>PT.anaer_lagoon!B328</f>
        <v>Size of tractor for support with hose pulley</v>
      </c>
      <c r="Y26" s="49"/>
      <c r="Z26" s="648">
        <f>PT.anaer_lagoon!G328</f>
        <v>340</v>
      </c>
      <c r="AA26" s="49" t="str">
        <f>PT.anaer_lagoon!F328</f>
        <v>PTO hp</v>
      </c>
    </row>
    <row r="27" spans="1:27" x14ac:dyDescent="0.3">
      <c r="A27" s="66"/>
      <c r="B27" s="91" t="s">
        <v>6935</v>
      </c>
      <c r="C27" s="1403">
        <f>(C19+C20)*(28/44)</f>
        <v>0.21059325125571848</v>
      </c>
      <c r="D27" s="510" t="s">
        <v>2358</v>
      </c>
      <c r="F27" s="66"/>
      <c r="G27" s="90"/>
      <c r="H27" s="66"/>
      <c r="I27" s="66"/>
      <c r="J27" s="1857"/>
      <c r="K27" s="1855"/>
      <c r="L27" s="1863"/>
      <c r="M27" s="1863"/>
      <c r="N27" s="1824"/>
      <c r="O27" s="90"/>
      <c r="Q27" s="49"/>
      <c r="R27" s="18" t="s">
        <v>5638</v>
      </c>
      <c r="S27" s="49"/>
      <c r="T27" s="648">
        <f>PT.anaer_lagoon!G271</f>
        <v>250</v>
      </c>
      <c r="U27" s="49" t="str">
        <f>PT.anaer_lagoon!F271</f>
        <v>PTO hp</v>
      </c>
      <c r="W27" s="49"/>
      <c r="X27" s="18" t="str">
        <f>PT.anaer_lagoon!B329</f>
        <v>Distance from storage to field</v>
      </c>
      <c r="Y27" s="49"/>
      <c r="Z27" s="648">
        <f>PT.anaer_lagoon!G329</f>
        <v>2</v>
      </c>
      <c r="AA27" s="49" t="str">
        <f>PT.anaer_lagoon!F329</f>
        <v>miles</v>
      </c>
    </row>
    <row r="28" spans="1:27" x14ac:dyDescent="0.3">
      <c r="A28" s="66"/>
      <c r="B28" s="91" t="s">
        <v>6936</v>
      </c>
      <c r="C28" s="1380">
        <f>C21*(14/17)</f>
        <v>10.155083723149531</v>
      </c>
      <c r="D28" s="510" t="s">
        <v>2358</v>
      </c>
      <c r="E28" s="1865"/>
      <c r="F28" s="1865"/>
      <c r="G28" s="1865"/>
      <c r="H28" s="1865"/>
      <c r="I28" s="1852"/>
      <c r="J28" s="1862"/>
      <c r="K28" s="1855"/>
      <c r="L28" s="1863"/>
      <c r="M28" s="1863"/>
      <c r="N28" s="1824"/>
      <c r="O28" s="90"/>
      <c r="Q28" s="49"/>
      <c r="R28" s="18" t="s">
        <v>5732</v>
      </c>
      <c r="S28" s="49"/>
      <c r="T28" s="648" t="str">
        <f>PT.anaer_lagoon!G272</f>
        <v>Injection</v>
      </c>
      <c r="U28" s="49" t="str">
        <f>PT.anaer_lagoon!F272</f>
        <v>type</v>
      </c>
      <c r="W28" s="49"/>
      <c r="X28" s="18" t="str">
        <f>PT.anaer_lagoon!B330</f>
        <v>Application by broadcast or injection?</v>
      </c>
      <c r="Y28" s="49"/>
      <c r="Z28" s="648" t="str">
        <f>PT.anaer_lagoon!G330</f>
        <v>Injection</v>
      </c>
      <c r="AA28" s="49" t="str">
        <f>PT.anaer_lagoon!F330</f>
        <v>type</v>
      </c>
    </row>
    <row r="29" spans="1:27" x14ac:dyDescent="0.3">
      <c r="A29" s="66"/>
      <c r="B29" s="91" t="s">
        <v>6937</v>
      </c>
      <c r="C29" s="1404">
        <f>C25*C27*(44/28)/C26</f>
        <v>3.2431360736622457E-2</v>
      </c>
      <c r="D29" s="510" t="s">
        <v>2358</v>
      </c>
      <c r="E29" s="1865"/>
      <c r="F29" s="1865"/>
      <c r="G29" s="1865"/>
      <c r="H29" s="1865"/>
      <c r="I29" s="1852"/>
      <c r="J29" s="1862"/>
      <c r="K29" s="1855"/>
      <c r="L29" s="1863"/>
      <c r="M29" s="1863"/>
      <c r="N29" s="1824"/>
      <c r="O29" s="90"/>
      <c r="Q29" s="49"/>
      <c r="R29" s="18" t="s">
        <v>5654</v>
      </c>
      <c r="S29" s="49"/>
      <c r="T29" s="648">
        <f>PT.anaer_lagoon!G273</f>
        <v>2.0211132897868049</v>
      </c>
      <c r="U29" s="49" t="str">
        <f>PT.anaer_lagoon!F273</f>
        <v>hrs/event</v>
      </c>
      <c r="W29" s="49"/>
      <c r="X29" s="18" t="str">
        <f>PT.anaer_lagoon!B331</f>
        <v>Fuel needed for tractor for pulling hose reel and applicator</v>
      </c>
      <c r="Y29" s="49"/>
      <c r="Z29" s="648">
        <f>PT.anaer_lagoon!G331</f>
        <v>25.52</v>
      </c>
      <c r="AA29" s="49" t="str">
        <f>PT.anaer_lagoon!F331</f>
        <v>gal/hr</v>
      </c>
    </row>
    <row r="30" spans="1:27" ht="16.5" customHeight="1" x14ac:dyDescent="0.3">
      <c r="A30" s="66"/>
      <c r="B30" s="86"/>
      <c r="C30" s="1819"/>
      <c r="D30" s="1785"/>
      <c r="F30" s="66"/>
      <c r="G30" s="1823"/>
      <c r="H30" s="66"/>
      <c r="I30" s="1852"/>
      <c r="J30" s="1862"/>
      <c r="K30" s="1855"/>
      <c r="L30" s="1863"/>
      <c r="M30" s="1863"/>
      <c r="N30" s="1824"/>
      <c r="O30" s="90"/>
      <c r="Q30" s="49"/>
      <c r="R30" s="18" t="s">
        <v>5660</v>
      </c>
      <c r="S30" s="49"/>
      <c r="T30" s="648">
        <f>PT.anaer_lagoon!G274</f>
        <v>22.232246187654855</v>
      </c>
      <c r="U30" s="49" t="str">
        <f>PT.anaer_lagoon!F274</f>
        <v>gal/event</v>
      </c>
      <c r="W30" s="49"/>
      <c r="X30" s="18" t="str">
        <f>PT.anaer_lagoon!B332</f>
        <v>Fuel needed for support tractor with hose pulley</v>
      </c>
      <c r="Y30" s="49"/>
      <c r="Z30" s="648">
        <f>PT.anaer_lagoon!G332</f>
        <v>14.959999999999999</v>
      </c>
      <c r="AA30" s="49" t="str">
        <f>PT.anaer_lagoon!F332</f>
        <v>gal/hr</v>
      </c>
    </row>
    <row r="31" spans="1:27" ht="16.5" customHeight="1" x14ac:dyDescent="0.3">
      <c r="A31" s="66"/>
      <c r="F31" s="66"/>
      <c r="G31" s="1826"/>
      <c r="H31" s="66"/>
      <c r="I31" s="90"/>
      <c r="J31" s="1857"/>
      <c r="K31" s="1855"/>
      <c r="L31" s="1855"/>
      <c r="M31" s="1863"/>
      <c r="N31" s="1824"/>
      <c r="O31" s="90"/>
      <c r="Q31" s="49"/>
      <c r="R31" s="18" t="s">
        <v>5734</v>
      </c>
      <c r="S31" s="49"/>
      <c r="T31" s="648">
        <f>PT.anaer_lagoon!G275</f>
        <v>1</v>
      </c>
      <c r="U31" s="49" t="str">
        <f>PT.anaer_lagoon!F275</f>
        <v>quantity</v>
      </c>
      <c r="W31" s="49"/>
      <c r="X31" s="18" t="str">
        <f>PT.anaer_lagoon!B333</f>
        <v>Diesel powered pump(s), size</v>
      </c>
      <c r="Y31" s="49"/>
      <c r="Z31" s="648">
        <f>PT.anaer_lagoon!G333</f>
        <v>3000</v>
      </c>
      <c r="AA31" s="49" t="str">
        <f>PT.anaer_lagoon!F333</f>
        <v>gal/min</v>
      </c>
    </row>
    <row r="32" spans="1:27" x14ac:dyDescent="0.3">
      <c r="A32" s="66"/>
      <c r="B32" s="1816" t="s">
        <v>447</v>
      </c>
      <c r="C32" s="1820"/>
      <c r="D32" s="1817"/>
      <c r="E32" s="1849"/>
      <c r="F32" s="66"/>
      <c r="G32" s="66"/>
      <c r="H32" s="66"/>
      <c r="I32" s="90"/>
      <c r="J32" s="1857"/>
      <c r="K32" s="1855"/>
      <c r="L32" s="1863"/>
      <c r="M32" s="1863"/>
      <c r="N32" s="1824"/>
      <c r="O32" s="90"/>
      <c r="Q32" s="49"/>
      <c r="R32" s="18" t="s">
        <v>5676</v>
      </c>
      <c r="S32" s="49"/>
      <c r="T32" s="648">
        <f>PT.anaer_lagoon!G276</f>
        <v>160</v>
      </c>
      <c r="U32" s="49" t="str">
        <f>PT.anaer_lagoon!F276</f>
        <v>PTO hp</v>
      </c>
      <c r="W32" s="49"/>
      <c r="X32" s="18" t="str">
        <f>PT.anaer_lagoon!B334</f>
        <v>Number of diesel powered lead pumps needed</v>
      </c>
      <c r="Y32" s="49"/>
      <c r="Z32" s="648">
        <f>PT.anaer_lagoon!G334</f>
        <v>1</v>
      </c>
      <c r="AA32" s="49" t="str">
        <f>PT.anaer_lagoon!F334</f>
        <v>quantity</v>
      </c>
    </row>
    <row r="33" spans="2:27" x14ac:dyDescent="0.3">
      <c r="B33" s="1818" t="str">
        <f>PT.shallow_flush!B106</f>
        <v>Shallow pit land footprint</v>
      </c>
      <c r="C33" s="1426">
        <f>PT.shallow_flush!G106</f>
        <v>26.728648992831804</v>
      </c>
      <c r="D33" s="1818" t="str">
        <f>PT.shallow_flush!C106</f>
        <v>m2</v>
      </c>
      <c r="F33" s="66"/>
      <c r="G33" s="66"/>
      <c r="H33" s="66"/>
      <c r="I33" s="90"/>
      <c r="J33" s="1857"/>
      <c r="K33" s="1855"/>
      <c r="L33" s="1863"/>
      <c r="M33" s="1863"/>
      <c r="N33" s="1824"/>
      <c r="O33" s="90"/>
      <c r="Q33" s="49"/>
      <c r="R33" s="18" t="s">
        <v>5735</v>
      </c>
      <c r="S33" s="49"/>
      <c r="T33" s="648">
        <f>PT.anaer_lagoon!G277</f>
        <v>1</v>
      </c>
      <c r="U33" s="49" t="str">
        <f>PT.anaer_lagoon!F277</f>
        <v>quantity</v>
      </c>
      <c r="W33" s="49"/>
      <c r="X33" s="18" t="str">
        <f>PT.anaer_lagoon!B335</f>
        <v>Number of diesel powered agitation trailers needed</v>
      </c>
      <c r="Y33" s="49"/>
      <c r="Z33" s="648">
        <f>PT.anaer_lagoon!G335</f>
        <v>1</v>
      </c>
      <c r="AA33" s="49" t="str">
        <f>PT.anaer_lagoon!F335</f>
        <v>quantity</v>
      </c>
    </row>
    <row r="34" spans="2:27" x14ac:dyDescent="0.3">
      <c r="B34" s="1353" t="str">
        <f>PT.anaer_lagoon!B350</f>
        <v>Land for lagoon surface area</v>
      </c>
      <c r="C34" s="1394">
        <f>PT.anaer_lagoon!G350</f>
        <v>3368.7334385768968</v>
      </c>
      <c r="D34" s="1353" t="str">
        <f>PT.anaer_lagoon!F350</f>
        <v>m2</v>
      </c>
      <c r="E34" s="1865"/>
      <c r="F34" s="1865"/>
      <c r="G34" s="1865"/>
      <c r="H34" s="1865"/>
      <c r="I34" s="90"/>
      <c r="J34" s="1857"/>
      <c r="K34" s="1855"/>
      <c r="L34" s="1863"/>
      <c r="M34" s="1863"/>
      <c r="N34" s="1824"/>
      <c r="O34" s="90"/>
      <c r="Q34" s="49"/>
      <c r="R34" s="18" t="s">
        <v>5679</v>
      </c>
      <c r="S34" s="49"/>
      <c r="T34" s="648">
        <f>PT.anaer_lagoon!G278</f>
        <v>2.5263916122335059</v>
      </c>
      <c r="U34" s="49" t="str">
        <f>PT.anaer_lagoon!F278</f>
        <v>hr/year</v>
      </c>
      <c r="W34" s="49"/>
      <c r="X34" s="18" t="str">
        <f>PT.anaer_lagoon!B336</f>
        <v>Number of booster pumps needed</v>
      </c>
      <c r="Y34" s="49"/>
      <c r="Z34" s="648">
        <f>PT.anaer_lagoon!G336</f>
        <v>1</v>
      </c>
      <c r="AA34" s="49" t="str">
        <f>PT.anaer_lagoon!F336</f>
        <v>quantity</v>
      </c>
    </row>
    <row r="35" spans="2:27" x14ac:dyDescent="0.3">
      <c r="B35" s="1353" t="str">
        <f>PT.anaer_lagoon!B351</f>
        <v>Land for liquid application</v>
      </c>
      <c r="C35" s="1394">
        <f>PT.anaer_lagoon!G351</f>
        <v>116694.23969202518</v>
      </c>
      <c r="D35" s="1353" t="str">
        <f>PT.anaer_lagoon!F351</f>
        <v>m2</v>
      </c>
      <c r="E35" s="1864"/>
      <c r="F35" s="1864"/>
      <c r="G35" s="1864"/>
      <c r="H35" s="1864"/>
      <c r="I35" s="90"/>
      <c r="J35" s="1857"/>
      <c r="K35" s="1855"/>
      <c r="L35" s="1863"/>
      <c r="M35" s="1863"/>
      <c r="N35" s="1824"/>
      <c r="O35" s="66"/>
      <c r="P35" s="1060"/>
      <c r="Q35" s="49"/>
      <c r="R35" s="18" t="s">
        <v>5682</v>
      </c>
      <c r="S35" s="49"/>
      <c r="T35" s="648">
        <f>PT.anaer_lagoon!G279</f>
        <v>17.785796950123881</v>
      </c>
      <c r="U35" s="49" t="str">
        <f>PT.anaer_lagoon!F279</f>
        <v>gal/event</v>
      </c>
      <c r="W35" s="49"/>
      <c r="X35" s="18" t="str">
        <f>PT.anaer_lagoon!B337</f>
        <v>Operation time for pumping</v>
      </c>
      <c r="Y35" s="49"/>
      <c r="Z35" s="648">
        <f>PT.anaer_lagoon!G337</f>
        <v>5.8710485929243621</v>
      </c>
      <c r="AA35" s="49" t="str">
        <f>PT.anaer_lagoon!F337</f>
        <v>hr</v>
      </c>
    </row>
    <row r="36" spans="2:27" x14ac:dyDescent="0.3">
      <c r="B36" s="1353" t="str">
        <f>PT.anaer_lagoon!B352</f>
        <v>Land for sludge application</v>
      </c>
      <c r="C36" s="1394">
        <f>PT.anaer_lagoon!G352</f>
        <v>28799.140230797482</v>
      </c>
      <c r="D36" s="1353" t="str">
        <f>PT.anaer_lagoon!F352</f>
        <v>m2</v>
      </c>
      <c r="E36" s="1802"/>
      <c r="F36" s="1785"/>
      <c r="G36" s="1823"/>
      <c r="H36" s="1785"/>
      <c r="I36" s="1867"/>
      <c r="J36" s="1857"/>
      <c r="K36" s="1855"/>
      <c r="L36" s="1863"/>
      <c r="M36" s="1863"/>
      <c r="N36" s="1824"/>
      <c r="O36" s="66"/>
      <c r="P36" s="42"/>
      <c r="Q36" s="49"/>
      <c r="R36" s="18" t="s">
        <v>5736</v>
      </c>
      <c r="S36" s="49"/>
      <c r="T36" s="648">
        <f>PT.anaer_lagoon!G280</f>
        <v>1</v>
      </c>
      <c r="U36" s="49" t="str">
        <f>PT.anaer_lagoon!F280</f>
        <v>quantity</v>
      </c>
      <c r="W36" s="49"/>
      <c r="X36" s="18" t="str">
        <f>PT.anaer_lagoon!B338</f>
        <v>Fuel needed for diesel powered lead pump</v>
      </c>
      <c r="Y36" s="49"/>
      <c r="Z36" s="648">
        <f>PT.anaer_lagoon!G338</f>
        <v>105.67887467263851</v>
      </c>
      <c r="AA36" s="49" t="str">
        <f>PT.anaer_lagoon!F338</f>
        <v>gal/event</v>
      </c>
    </row>
    <row r="37" spans="2:27" x14ac:dyDescent="0.3">
      <c r="B37" s="1816" t="s">
        <v>5753</v>
      </c>
      <c r="C37" s="1820"/>
      <c r="D37" s="1821"/>
      <c r="E37" s="1785"/>
      <c r="F37" s="1868"/>
      <c r="G37" s="1823"/>
      <c r="H37" s="1785"/>
      <c r="I37" s="90"/>
      <c r="J37" s="1857"/>
      <c r="K37" s="1855"/>
      <c r="L37" s="1855"/>
      <c r="M37" s="1863"/>
      <c r="N37" s="1824"/>
      <c r="O37" s="66"/>
      <c r="Q37" s="49"/>
      <c r="R37" s="18" t="s">
        <v>5663</v>
      </c>
      <c r="S37" s="49"/>
      <c r="T37" s="648">
        <f>PT.anaer_lagoon!G281</f>
        <v>180</v>
      </c>
      <c r="U37" s="49" t="str">
        <f>PT.anaer_lagoon!F281</f>
        <v>PTO hp</v>
      </c>
      <c r="W37" s="49"/>
      <c r="X37" s="18" t="str">
        <f>PT.anaer_lagoon!B339</f>
        <v>Fuel needed for diesel powered booster pump</v>
      </c>
      <c r="Y37" s="49"/>
      <c r="Z37" s="648">
        <f>PT.anaer_lagoon!G339</f>
        <v>44.032864446932713</v>
      </c>
      <c r="AA37" s="49" t="str">
        <f>PT.anaer_lagoon!F339</f>
        <v>gal/event</v>
      </c>
    </row>
    <row r="38" spans="2:27" ht="18" customHeight="1" x14ac:dyDescent="0.3">
      <c r="B38" s="1353" t="str">
        <f>PT.anaer_lagoon!B354</f>
        <v>Diesel fuel used for tanker land application of liquids</v>
      </c>
      <c r="C38" s="1878">
        <f>PT.anaer_lagoon!G354</f>
        <v>0.16844907308599</v>
      </c>
      <c r="D38" s="1353" t="str">
        <f>PT.anaer_lagoon!F354</f>
        <v>gal/head/year</v>
      </c>
      <c r="E38" s="1794"/>
      <c r="F38" s="1868"/>
      <c r="G38" s="1794"/>
      <c r="H38" s="1785"/>
      <c r="I38" s="90"/>
      <c r="J38" s="1862"/>
      <c r="K38" s="1855"/>
      <c r="L38" s="1855"/>
      <c r="M38" s="1863"/>
      <c r="N38" s="213"/>
      <c r="O38" s="66"/>
      <c r="P38" s="42"/>
      <c r="Q38" s="49"/>
      <c r="R38" s="18" t="s">
        <v>5667</v>
      </c>
      <c r="S38" s="49"/>
      <c r="T38" s="648">
        <f>PT.anaer_lagoon!G282</f>
        <v>0.26442236536853042</v>
      </c>
      <c r="U38" s="49" t="str">
        <f>PT.anaer_lagoon!F282</f>
        <v>hr/event</v>
      </c>
      <c r="W38" s="49"/>
      <c r="X38" s="18" t="str">
        <f>PT.anaer_lagoon!B340</f>
        <v>Fuel needed for diesel powered agitation trailer</v>
      </c>
      <c r="Y38" s="49"/>
      <c r="Z38" s="648">
        <f>PT.anaer_lagoon!G340</f>
        <v>35.226291557546176</v>
      </c>
      <c r="AA38" s="49" t="str">
        <f>PT.anaer_lagoon!F340</f>
        <v>gal/event</v>
      </c>
    </row>
    <row r="39" spans="2:27" x14ac:dyDescent="0.3">
      <c r="B39" s="1353" t="str">
        <f>PT.anaer_lagoon!B355</f>
        <v>Diesel fuel used for tanker land application of sludge</v>
      </c>
      <c r="C39" s="1878">
        <f>PT.anaer_lagoon!G355</f>
        <v>0.18889520092135928</v>
      </c>
      <c r="D39" s="1353" t="str">
        <f>PT.anaer_lagoon!F355</f>
        <v>gal/head/year</v>
      </c>
      <c r="E39" s="1785"/>
      <c r="F39" s="1802"/>
      <c r="G39" s="1823"/>
      <c r="H39" s="1785"/>
      <c r="I39" s="213"/>
      <c r="J39" s="90"/>
      <c r="K39" s="90"/>
      <c r="L39" s="325"/>
      <c r="M39" s="1869"/>
      <c r="N39" s="1869"/>
      <c r="O39" s="1869"/>
      <c r="P39" s="42"/>
      <c r="Q39" s="49"/>
      <c r="R39" s="18" t="s">
        <v>5672</v>
      </c>
      <c r="S39" s="49"/>
      <c r="T39" s="648">
        <f>PT.anaer_lagoon!G283</f>
        <v>2.0942251337187607</v>
      </c>
      <c r="U39" s="49" t="str">
        <f>PT.anaer_lagoon!F283</f>
        <v>gal/event</v>
      </c>
      <c r="W39" s="49"/>
      <c r="X39" s="18" t="str">
        <f>PT.anaer_lagoon!B341</f>
        <v>Fuel needed for pickup truck</v>
      </c>
      <c r="Y39" s="49"/>
      <c r="Z39" s="648">
        <f>PT.anaer_lagoon!G341</f>
        <v>5.2839437336319257</v>
      </c>
      <c r="AA39" s="49" t="str">
        <f>PT.anaer_lagoon!F341</f>
        <v>gal/event</v>
      </c>
    </row>
    <row r="40" spans="2:27" x14ac:dyDescent="0.3">
      <c r="B40" s="1353" t="str">
        <f>PT.anaer_lagoon!B356</f>
        <v>Diesel fuel used for drag hose land application of liquids</v>
      </c>
      <c r="C40" s="1878">
        <f>PT.anaer_lagoon!G356</f>
        <v>5.5671132241536553E-2</v>
      </c>
      <c r="D40" s="1353" t="str">
        <f>PT.anaer_lagoon!F356</f>
        <v>gal/head/year</v>
      </c>
      <c r="E40" s="1794"/>
      <c r="F40" s="1802"/>
      <c r="G40" s="1794"/>
      <c r="H40" s="1785"/>
      <c r="I40" s="213"/>
      <c r="J40" s="90"/>
      <c r="K40" s="90"/>
      <c r="L40" s="90"/>
      <c r="M40" s="66"/>
      <c r="N40" s="325"/>
      <c r="O40" s="66"/>
      <c r="P40" s="42"/>
      <c r="Q40" s="49" t="str">
        <f>PT.anaer_lagoon!C284</f>
        <v>Drag hose application during non-sludge years</v>
      </c>
      <c r="R40" s="18" t="s">
        <v>5688</v>
      </c>
      <c r="S40" s="49"/>
      <c r="T40" s="648">
        <f>PT.anaer_lagoon!G284</f>
        <v>580</v>
      </c>
      <c r="U40" s="49" t="str">
        <f>PT.anaer_lagoon!F284</f>
        <v>PTO hp</v>
      </c>
      <c r="X40" s="18" t="str">
        <f>PT.anaer_lagoon!B342</f>
        <v>Number of tractors for support with hose pulley</v>
      </c>
      <c r="Y40" s="49"/>
      <c r="Z40" s="648">
        <f>PT.anaer_lagoon!G342</f>
        <v>1</v>
      </c>
      <c r="AA40" s="49" t="str">
        <f>PT.anaer_lagoon!F342</f>
        <v>quantity</v>
      </c>
    </row>
    <row r="41" spans="2:27" x14ac:dyDescent="0.3">
      <c r="B41" s="1353" t="str">
        <f>PT.anaer_lagoon!B357</f>
        <v>Diesel fuel used for drag hose land application of sludge</v>
      </c>
      <c r="C41" s="1878">
        <f>PT.anaer_lagoon!G357</f>
        <v>9.270620570171284E-2</v>
      </c>
      <c r="D41" s="1353" t="str">
        <f>PT.anaer_lagoon!F357</f>
        <v>gal/head/year</v>
      </c>
      <c r="E41" s="1794"/>
      <c r="F41" s="1802"/>
      <c r="G41" s="1794"/>
      <c r="H41" s="1785"/>
      <c r="I41" s="213"/>
      <c r="J41" s="90"/>
      <c r="K41" s="90"/>
      <c r="L41" s="90"/>
      <c r="M41" s="90"/>
      <c r="N41" s="66"/>
      <c r="O41" s="66"/>
      <c r="Q41" s="49"/>
      <c r="R41" s="18" t="s">
        <v>5738</v>
      </c>
      <c r="S41" s="49"/>
      <c r="T41" s="648">
        <f>PT.anaer_lagoon!G285</f>
        <v>1</v>
      </c>
      <c r="U41" s="49" t="str">
        <f>PT.anaer_lagoon!F285</f>
        <v>quantity</v>
      </c>
      <c r="V41" s="42"/>
    </row>
    <row r="42" spans="2:27" x14ac:dyDescent="0.3">
      <c r="B42" s="1880" t="s">
        <v>7085</v>
      </c>
      <c r="C42" s="1877">
        <f>C38+C39</f>
        <v>0.35734427400734925</v>
      </c>
      <c r="D42" s="1818" t="str">
        <f>PT.deep_pit!C309</f>
        <v>gal/head/year</v>
      </c>
      <c r="E42" s="1794"/>
      <c r="F42" s="1802"/>
      <c r="G42" s="1794"/>
      <c r="H42" s="1785"/>
      <c r="I42" s="213"/>
      <c r="J42" s="90"/>
      <c r="K42" s="90"/>
      <c r="L42" s="90"/>
      <c r="M42" s="90"/>
      <c r="N42" s="66"/>
      <c r="O42" s="90"/>
      <c r="P42" s="42"/>
      <c r="Q42" s="49"/>
      <c r="R42" s="18" t="s">
        <v>5702</v>
      </c>
      <c r="S42" s="49"/>
      <c r="T42" s="648">
        <f>PT.anaer_lagoon!G286</f>
        <v>1</v>
      </c>
      <c r="U42" s="49" t="str">
        <f>PT.anaer_lagoon!F286</f>
        <v>quantity</v>
      </c>
      <c r="V42" s="42"/>
    </row>
    <row r="43" spans="2:27" x14ac:dyDescent="0.3">
      <c r="B43" s="1880" t="s">
        <v>7086</v>
      </c>
      <c r="C43" s="1877">
        <f>C40+C41</f>
        <v>0.14837733794324939</v>
      </c>
      <c r="D43" s="1818" t="str">
        <f>PT.deep_pit!C310</f>
        <v>gal/head/year</v>
      </c>
      <c r="E43" s="1794"/>
      <c r="F43" s="1802"/>
      <c r="G43" s="1794"/>
      <c r="H43" s="1785"/>
      <c r="I43" s="213"/>
      <c r="J43" s="325"/>
      <c r="K43" s="325"/>
      <c r="L43" s="325"/>
      <c r="M43" s="90"/>
      <c r="N43" s="66"/>
      <c r="O43" s="66"/>
      <c r="P43" s="42"/>
      <c r="Q43" s="49"/>
      <c r="R43" s="18" t="s">
        <v>5701</v>
      </c>
      <c r="S43" s="49"/>
      <c r="T43" s="648">
        <f>PT.anaer_lagoon!G287</f>
        <v>340</v>
      </c>
      <c r="U43" s="49" t="str">
        <f>PT.anaer_lagoon!F287</f>
        <v>PTO hp</v>
      </c>
    </row>
    <row r="44" spans="2:27" ht="15" customHeight="1" x14ac:dyDescent="0.3">
      <c r="B44" s="1816" t="s">
        <v>5756</v>
      </c>
      <c r="C44" s="1820"/>
      <c r="D44" s="1821"/>
      <c r="E44" s="1785"/>
      <c r="F44" s="1802"/>
      <c r="G44" s="1794"/>
      <c r="H44" s="1785"/>
      <c r="I44" s="90"/>
      <c r="J44" s="1870"/>
      <c r="K44" s="1870"/>
      <c r="L44" s="1870"/>
      <c r="M44" s="90"/>
      <c r="N44" s="273"/>
      <c r="O44" s="66"/>
      <c r="P44" s="42"/>
      <c r="Q44" s="49"/>
      <c r="R44" s="18" t="s">
        <v>5739</v>
      </c>
      <c r="S44" s="49"/>
      <c r="T44" s="648">
        <f>PT.anaer_lagoon!G288</f>
        <v>2</v>
      </c>
      <c r="U44" s="49" t="str">
        <f>PT.anaer_lagoon!F288</f>
        <v>miles</v>
      </c>
    </row>
    <row r="45" spans="2:27" x14ac:dyDescent="0.3">
      <c r="B45" s="1353" t="str">
        <f>PT.anaer_lagoon!B362</f>
        <v>Total N accumulated in liquids</v>
      </c>
      <c r="C45" s="1878">
        <f>PT.anaer_lagoon!G362</f>
        <v>5.3096596339166879</v>
      </c>
      <c r="D45" s="1353" t="str">
        <f>PT.anaer_lagoon!F362</f>
        <v>kg/head/year</v>
      </c>
      <c r="E45" s="1785"/>
      <c r="F45" s="1802"/>
      <c r="G45" s="1794"/>
      <c r="H45" s="1785"/>
      <c r="I45" s="90"/>
      <c r="J45" s="279"/>
      <c r="K45" s="1871"/>
      <c r="L45" s="66"/>
      <c r="M45" s="90"/>
      <c r="N45" s="213"/>
      <c r="O45" s="66"/>
      <c r="Q45" s="49"/>
      <c r="R45" s="666" t="s">
        <v>5740</v>
      </c>
      <c r="S45" s="61"/>
      <c r="T45" s="667">
        <f>PT.anaer_lagoon!G289</f>
        <v>25.52</v>
      </c>
      <c r="U45" s="61" t="str">
        <f>PT.anaer_lagoon!F289</f>
        <v>gal/hr</v>
      </c>
    </row>
    <row r="46" spans="2:27" x14ac:dyDescent="0.3">
      <c r="B46" s="1353" t="str">
        <f>PT.anaer_lagoon!B363</f>
        <v>Total P2O5 accumulated in liquids</v>
      </c>
      <c r="C46" s="1878">
        <f>PT.anaer_lagoon!G363</f>
        <v>3.6537102250000002</v>
      </c>
      <c r="D46" s="1353" t="str">
        <f>PT.anaer_lagoon!F363</f>
        <v>kg/head/year</v>
      </c>
      <c r="E46" s="1785"/>
      <c r="F46" s="1802"/>
      <c r="G46" s="1794"/>
      <c r="H46" s="1785"/>
      <c r="I46" s="90"/>
      <c r="J46" s="1872"/>
      <c r="K46" s="1871"/>
      <c r="L46" s="66"/>
      <c r="M46" s="90"/>
      <c r="N46" s="213"/>
      <c r="O46" s="66"/>
      <c r="Q46" s="49"/>
      <c r="R46" s="666" t="s">
        <v>5741</v>
      </c>
      <c r="S46" s="61"/>
      <c r="T46" s="667">
        <f>PT.anaer_lagoon!G290</f>
        <v>14.959999999999999</v>
      </c>
      <c r="U46" s="61" t="str">
        <f>PT.anaer_lagoon!F290</f>
        <v>gal/hr</v>
      </c>
    </row>
    <row r="47" spans="2:27" x14ac:dyDescent="0.3">
      <c r="B47" s="1353" t="str">
        <f>PT.anaer_lagoon!B364</f>
        <v>Total K2O accumulated in liquids</v>
      </c>
      <c r="C47" s="1878">
        <f>PT.anaer_lagoon!G364</f>
        <v>5.5517686249999993</v>
      </c>
      <c r="D47" s="1353" t="str">
        <f>PT.anaer_lagoon!F364</f>
        <v>kg/head/year</v>
      </c>
      <c r="E47" s="1785"/>
      <c r="F47" s="1802"/>
      <c r="G47" s="1823"/>
      <c r="H47" s="1785"/>
      <c r="I47" s="90"/>
      <c r="J47" s="1872"/>
      <c r="K47" s="1871"/>
      <c r="L47" s="66"/>
      <c r="M47" s="1854"/>
      <c r="N47" s="213"/>
      <c r="O47" s="66"/>
      <c r="P47" s="42"/>
      <c r="Q47" s="49"/>
      <c r="R47" s="18" t="s">
        <v>5708</v>
      </c>
      <c r="S47" s="49"/>
      <c r="T47" s="648">
        <f>PT.anaer_lagoon!G291</f>
        <v>3000</v>
      </c>
      <c r="U47" s="49" t="str">
        <f>PT.anaer_lagoon!F291</f>
        <v>gal/min</v>
      </c>
    </row>
    <row r="48" spans="2:27" x14ac:dyDescent="0.3">
      <c r="B48" s="1816" t="str">
        <f>PT.anaer_lagoon!B365</f>
        <v>Sludge nutrient contents</v>
      </c>
      <c r="C48" s="1820"/>
      <c r="D48" s="1821"/>
      <c r="E48" s="1785"/>
      <c r="F48" s="1802"/>
      <c r="G48" s="1823"/>
      <c r="H48" s="1785"/>
      <c r="I48" s="66"/>
      <c r="J48" s="1872"/>
      <c r="K48" s="1871"/>
      <c r="L48" s="66"/>
      <c r="M48" s="1854"/>
      <c r="N48" s="213"/>
      <c r="O48" s="66"/>
      <c r="P48" s="42"/>
      <c r="Q48" s="49"/>
      <c r="R48" s="18" t="s">
        <v>5709</v>
      </c>
      <c r="S48" s="49"/>
      <c r="T48" s="648">
        <f>PT.anaer_lagoon!G292</f>
        <v>1</v>
      </c>
      <c r="U48" s="49" t="str">
        <f>PT.anaer_lagoon!F292</f>
        <v>quantity</v>
      </c>
    </row>
    <row r="49" spans="2:26" x14ac:dyDescent="0.3">
      <c r="B49" s="1353" t="str">
        <f>PT.anaer_lagoon!B366</f>
        <v>Total N accumulated in sludge</v>
      </c>
      <c r="C49" s="1878">
        <f>PT.anaer_lagoon!G366</f>
        <v>1.3274149084791718</v>
      </c>
      <c r="D49" s="1353" t="str">
        <f>PT.anaer_lagoon!F366</f>
        <v>kg/head/year</v>
      </c>
      <c r="E49" s="1785"/>
      <c r="F49" s="1802"/>
      <c r="G49" s="1823"/>
      <c r="H49" s="1785"/>
      <c r="I49" s="1823"/>
      <c r="J49" s="279"/>
      <c r="K49" s="66"/>
      <c r="L49" s="66"/>
      <c r="M49" s="90"/>
      <c r="N49" s="1861"/>
      <c r="O49" s="277"/>
      <c r="Q49" s="49"/>
      <c r="R49" s="18" t="s">
        <v>5710</v>
      </c>
      <c r="S49" s="49"/>
      <c r="T49" s="648">
        <f>PT.anaer_lagoon!G293</f>
        <v>1</v>
      </c>
      <c r="U49" s="49" t="str">
        <f>PT.anaer_lagoon!F293</f>
        <v>quantity</v>
      </c>
    </row>
    <row r="50" spans="2:26" x14ac:dyDescent="0.3">
      <c r="B50" s="1353" t="str">
        <f>PT.anaer_lagoon!B367</f>
        <v>Total P2O5 accumulated in sludge</v>
      </c>
      <c r="C50" s="1878">
        <f>PT.anaer_lagoon!G367</f>
        <v>2.9893992749999998</v>
      </c>
      <c r="D50" s="1353" t="str">
        <f>PT.anaer_lagoon!F367</f>
        <v>kg/head/year</v>
      </c>
      <c r="E50" s="1785"/>
      <c r="F50" s="1802"/>
      <c r="G50" s="1827"/>
      <c r="H50" s="1785"/>
      <c r="I50" s="1827"/>
      <c r="J50" s="279"/>
      <c r="K50" s="66"/>
      <c r="L50" s="66"/>
      <c r="M50" s="90"/>
      <c r="N50" s="90"/>
      <c r="O50" s="90"/>
      <c r="P50" s="42"/>
      <c r="Q50" s="49"/>
      <c r="R50" s="18" t="s">
        <v>5712</v>
      </c>
      <c r="S50" s="49"/>
      <c r="T50" s="648">
        <f>PT.anaer_lagoon!G294</f>
        <v>1</v>
      </c>
      <c r="U50" s="49" t="str">
        <f>PT.anaer_lagoon!F294</f>
        <v>quantity</v>
      </c>
    </row>
    <row r="51" spans="2:26" x14ac:dyDescent="0.3">
      <c r="B51" s="1353" t="str">
        <f>PT.anaer_lagoon!B368</f>
        <v>Total K2O accumulated in sludge</v>
      </c>
      <c r="C51" s="1878">
        <f>PT.anaer_lagoon!G368</f>
        <v>2.9894138749999994</v>
      </c>
      <c r="D51" s="1353" t="str">
        <f>PT.anaer_lagoon!F368</f>
        <v>kg/head/year</v>
      </c>
      <c r="E51" s="1785"/>
      <c r="F51" s="1802"/>
      <c r="G51" s="1827"/>
      <c r="H51" s="1785"/>
      <c r="I51" s="1827"/>
      <c r="J51" s="90"/>
      <c r="K51" s="66"/>
      <c r="L51" s="66"/>
      <c r="M51" s="90"/>
      <c r="N51" s="90"/>
      <c r="O51" s="90"/>
      <c r="P51" s="42"/>
      <c r="Q51" s="49"/>
      <c r="R51" s="18" t="s">
        <v>5713</v>
      </c>
      <c r="S51" s="49"/>
      <c r="T51" s="648">
        <f>PT.anaer_lagoon!G295</f>
        <v>0.1762815769123536</v>
      </c>
      <c r="U51" s="49" t="str">
        <f>PT.anaer_lagoon!F295</f>
        <v>hr</v>
      </c>
    </row>
    <row r="52" spans="2:26" x14ac:dyDescent="0.3">
      <c r="B52" s="1816" t="str">
        <f>PT.anaer_lagoon!B369</f>
        <v>Excess slurry nutrient application</v>
      </c>
      <c r="C52" s="1820"/>
      <c r="D52" s="1821"/>
      <c r="E52" s="1785"/>
      <c r="F52" s="1873"/>
      <c r="G52" s="1794"/>
      <c r="H52" s="1785"/>
      <c r="I52" s="1794"/>
      <c r="J52" s="90"/>
      <c r="K52" s="66"/>
      <c r="L52" s="66"/>
      <c r="M52" s="90"/>
      <c r="N52" s="90"/>
      <c r="O52" s="90"/>
      <c r="P52" s="42"/>
      <c r="Q52" s="49"/>
      <c r="R52" s="18" t="s">
        <v>5714</v>
      </c>
      <c r="S52" s="49"/>
      <c r="T52" s="648">
        <f>PT.anaer_lagoon!G296</f>
        <v>3.1730683844223648</v>
      </c>
      <c r="U52" s="49" t="str">
        <f>PT.anaer_lagoon!F296</f>
        <v>gal/event</v>
      </c>
    </row>
    <row r="53" spans="2:26" x14ac:dyDescent="0.3">
      <c r="B53" s="1353" t="str">
        <f>PT.anaer_lagoon!B370</f>
        <v>Excess N from liquids</v>
      </c>
      <c r="C53" s="1878">
        <f>PT.anaer_lagoon!G370</f>
        <v>0</v>
      </c>
      <c r="D53" s="1353" t="str">
        <f>PT.anaer_lagoon!F370</f>
        <v>kg/head/year</v>
      </c>
      <c r="E53" s="1785"/>
      <c r="F53" s="1802"/>
      <c r="G53" s="1794"/>
      <c r="H53" s="1785"/>
      <c r="I53" s="1794"/>
      <c r="J53" s="90"/>
      <c r="K53" s="66"/>
      <c r="L53" s="90"/>
      <c r="M53" s="66"/>
      <c r="N53" s="90"/>
      <c r="O53" s="1869"/>
      <c r="Q53" s="49"/>
      <c r="R53" s="18" t="s">
        <v>5715</v>
      </c>
      <c r="S53" s="49"/>
      <c r="T53" s="648">
        <f>PT.anaer_lagoon!G297</f>
        <v>1.3221118268426519</v>
      </c>
      <c r="U53" s="49" t="str">
        <f>PT.anaer_lagoon!F297</f>
        <v>gal/event</v>
      </c>
    </row>
    <row r="54" spans="2:26" x14ac:dyDescent="0.3">
      <c r="B54" s="1353" t="str">
        <f>PT.anaer_lagoon!B371</f>
        <v>Excess P2O5 from liquids</v>
      </c>
      <c r="C54" s="1878">
        <f>PT.anaer_lagoon!G371</f>
        <v>2.032259132599052</v>
      </c>
      <c r="D54" s="1353" t="str">
        <f>PT.anaer_lagoon!F371</f>
        <v>kg/head/year</v>
      </c>
      <c r="E54" s="1785"/>
      <c r="F54" s="1802"/>
      <c r="G54" s="1794"/>
      <c r="H54" s="1785"/>
      <c r="I54" s="1794"/>
      <c r="J54" s="90"/>
      <c r="K54" s="66"/>
      <c r="L54" s="66"/>
      <c r="M54" s="66"/>
      <c r="N54" s="90"/>
      <c r="O54" s="1824"/>
      <c r="P54" s="42"/>
      <c r="Q54" s="49"/>
      <c r="R54" s="18" t="s">
        <v>5716</v>
      </c>
      <c r="S54" s="49"/>
      <c r="T54" s="648">
        <f>PT.anaer_lagoon!G298</f>
        <v>1.0576894614741217</v>
      </c>
      <c r="U54" s="49" t="str">
        <f>PT.anaer_lagoon!F298</f>
        <v>gal/event</v>
      </c>
    </row>
    <row r="55" spans="2:26" x14ac:dyDescent="0.3">
      <c r="B55" s="1353" t="str">
        <f>PT.anaer_lagoon!B372</f>
        <v>Excess K2O from liquids</v>
      </c>
      <c r="C55" s="1878">
        <f>PT.anaer_lagoon!G372</f>
        <v>3.1974249456758326</v>
      </c>
      <c r="D55" s="1353" t="str">
        <f>PT.anaer_lagoon!F372</f>
        <v>kg/head/year</v>
      </c>
      <c r="E55" s="1785"/>
      <c r="F55" s="1802"/>
      <c r="G55" s="1794"/>
      <c r="H55" s="1785"/>
      <c r="I55" s="1794"/>
      <c r="J55" s="90"/>
      <c r="K55" s="66"/>
      <c r="L55" s="66"/>
      <c r="M55" s="90"/>
      <c r="N55" s="90"/>
      <c r="O55" s="1824"/>
      <c r="P55" s="42"/>
      <c r="Q55" s="49"/>
      <c r="R55" s="18" t="s">
        <v>5717</v>
      </c>
      <c r="S55" s="49"/>
      <c r="T55" s="648">
        <f>PT.anaer_lagoon!G299</f>
        <v>0.15865341922111822</v>
      </c>
      <c r="U55" s="49" t="str">
        <f>PT.anaer_lagoon!F299</f>
        <v>gal/event</v>
      </c>
    </row>
    <row r="56" spans="2:26" ht="19.5" customHeight="1" x14ac:dyDescent="0.3">
      <c r="B56" s="1816" t="str">
        <f>PT.anaer_lagoon!B373</f>
        <v>Excess sludge nutrient application</v>
      </c>
      <c r="C56" s="1820"/>
      <c r="D56" s="1821"/>
      <c r="F56" s="66"/>
      <c r="G56" s="1874"/>
      <c r="H56" s="66"/>
      <c r="I56" s="66"/>
      <c r="J56" s="1872"/>
      <c r="K56" s="1871"/>
      <c r="L56" s="66"/>
      <c r="M56" s="279"/>
      <c r="N56" s="90"/>
      <c r="O56" s="1869"/>
      <c r="P56" s="42"/>
      <c r="Q56" s="49" t="str">
        <f>PT.anaer_lagoon!C300</f>
        <v>Manure costs and excess</v>
      </c>
      <c r="R56" s="18" t="s">
        <v>6410</v>
      </c>
      <c r="S56" s="49"/>
      <c r="T56" s="648">
        <f>PT.anaer_lagoon!G300</f>
        <v>0</v>
      </c>
      <c r="U56" s="49" t="str">
        <f>PT.anaer_lagoon!F300</f>
        <v>1000 gal/year</v>
      </c>
    </row>
    <row r="57" spans="2:26" ht="19.5" customHeight="1" x14ac:dyDescent="0.3">
      <c r="B57" s="1353" t="str">
        <f>PT.anaer_lagoon!B374</f>
        <v>Excess N from sludge</v>
      </c>
      <c r="C57" s="1878">
        <f>PT.anaer_lagoon!G374</f>
        <v>0</v>
      </c>
      <c r="D57" s="1353" t="str">
        <f>PT.anaer_lagoon!F374</f>
        <v>kg/head/year</v>
      </c>
      <c r="E57" s="1864"/>
      <c r="F57" s="1864"/>
      <c r="G57" s="1864"/>
      <c r="H57" s="1864"/>
      <c r="I57" s="90"/>
      <c r="J57" s="1872"/>
      <c r="K57" s="1871"/>
      <c r="L57" s="66"/>
      <c r="M57" s="1611"/>
      <c r="N57" s="66"/>
      <c r="O57" s="66"/>
      <c r="Q57" s="49"/>
      <c r="R57" s="18" t="s">
        <v>6411</v>
      </c>
      <c r="S57" s="49"/>
      <c r="T57" s="648">
        <f>PT.anaer_lagoon!G301</f>
        <v>483.89339964141004</v>
      </c>
      <c r="U57" s="49" t="str">
        <f>PT.anaer_lagoon!F301</f>
        <v>1000 gal/event</v>
      </c>
      <c r="X57" s="20"/>
      <c r="Y57"/>
      <c r="Z57" s="147"/>
    </row>
    <row r="58" spans="2:26" ht="20.25" customHeight="1" x14ac:dyDescent="0.3">
      <c r="B58" s="1353" t="str">
        <f>PT.anaer_lagoon!B375</f>
        <v>Excess P2O5 from sludge</v>
      </c>
      <c r="C58" s="1878">
        <f>PT.anaer_lagoon!G375</f>
        <v>1.3353920733034346</v>
      </c>
      <c r="D58" s="1353" t="str">
        <f>PT.anaer_lagoon!F375</f>
        <v>kg/head/year</v>
      </c>
      <c r="F58" s="66"/>
      <c r="G58" s="1824"/>
      <c r="H58" s="66"/>
      <c r="I58" s="1824"/>
      <c r="J58" s="1872"/>
      <c r="K58" s="1871"/>
      <c r="L58" s="66"/>
      <c r="M58" s="90"/>
      <c r="N58" s="90"/>
      <c r="O58" s="66"/>
      <c r="P58" s="42"/>
      <c r="Q58" s="49"/>
      <c r="R58" s="18" t="s">
        <v>6412</v>
      </c>
      <c r="S58" s="49"/>
      <c r="T58" s="648">
        <f>PT.anaer_lagoon!G302</f>
        <v>4955.3458037383725</v>
      </c>
      <c r="U58" s="49" t="str">
        <f>PT.anaer_lagoon!F302</f>
        <v>$/year</v>
      </c>
    </row>
    <row r="59" spans="2:26" x14ac:dyDescent="0.3">
      <c r="B59" s="1353" t="str">
        <f>PT.anaer_lagoon!B376</f>
        <v>Excess K2O from sludge</v>
      </c>
      <c r="C59" s="1878">
        <f>PT.anaer_lagoon!G376</f>
        <v>1.1984158699179288</v>
      </c>
      <c r="D59" s="1353" t="str">
        <f>PT.anaer_lagoon!F376</f>
        <v>kg/head/year</v>
      </c>
      <c r="E59" s="1824"/>
      <c r="F59" s="66"/>
      <c r="G59" s="1824"/>
      <c r="H59" s="66"/>
      <c r="I59" s="1824"/>
      <c r="J59" s="90"/>
      <c r="K59" s="66"/>
      <c r="L59" s="66"/>
      <c r="M59" s="90"/>
      <c r="N59" s="90"/>
      <c r="O59" s="66"/>
      <c r="P59" s="42"/>
      <c r="Q59" s="877"/>
      <c r="R59" s="2135" t="s">
        <v>6413</v>
      </c>
      <c r="S59" s="877"/>
      <c r="T59" s="2313">
        <f>PT.anaer_lagoon!G303</f>
        <v>9341.9924859135917</v>
      </c>
      <c r="U59" s="877" t="str">
        <f>PT.anaer_lagoon!F303</f>
        <v>$/event</v>
      </c>
    </row>
    <row r="60" spans="2:26" x14ac:dyDescent="0.3">
      <c r="B60" s="1816" t="s">
        <v>409</v>
      </c>
      <c r="C60" s="1820"/>
      <c r="D60" s="1817"/>
      <c r="F60" s="66"/>
      <c r="G60" s="1824"/>
      <c r="H60" s="66"/>
      <c r="I60" s="1824"/>
      <c r="J60" s="273"/>
      <c r="K60" s="66"/>
      <c r="L60" s="90"/>
      <c r="M60" s="90"/>
      <c r="N60" s="66"/>
      <c r="O60" s="66"/>
      <c r="P60" s="42"/>
      <c r="Q60" s="49" t="s">
        <v>5925</v>
      </c>
      <c r="R60" s="18" t="s">
        <v>5724</v>
      </c>
      <c r="S60" s="49"/>
      <c r="T60" s="1360">
        <f>PT.shallow_flush!G16</f>
        <v>48.646141166953889</v>
      </c>
      <c r="U60" s="49" t="s">
        <v>2479</v>
      </c>
    </row>
    <row r="61" spans="2:26" x14ac:dyDescent="0.3">
      <c r="B61" s="1818" t="str">
        <f>PT.shallow_flush!B104</f>
        <v>Electricity for pumping to shallow pit</v>
      </c>
      <c r="C61" s="1426">
        <f>PT.shallow_flush!D104</f>
        <v>0</v>
      </c>
      <c r="D61" s="1818" t="str">
        <f>PT.shallow_flush!C104</f>
        <v>kWh/head/year</v>
      </c>
      <c r="F61" s="66"/>
      <c r="G61" s="213"/>
      <c r="H61" s="66"/>
      <c r="I61" s="1824"/>
      <c r="J61" s="279"/>
      <c r="K61" s="66"/>
      <c r="L61" s="1875"/>
      <c r="M61" s="90"/>
      <c r="N61" s="66"/>
      <c r="O61" s="90"/>
    </row>
    <row r="62" spans="2:26" ht="21.75" customHeight="1" x14ac:dyDescent="0.3">
      <c r="B62" s="1353" t="str">
        <f>PT.anaer_lagoon!B348</f>
        <v>Electricity for irrigation pump</v>
      </c>
      <c r="C62" s="1878">
        <f>PT.anaer_lagoon!G348</f>
        <v>1.8929253454118953</v>
      </c>
      <c r="D62" s="1353" t="str">
        <f>PT.anaer_lagoon!F348</f>
        <v>kWh/head/year</v>
      </c>
      <c r="E62" s="1824"/>
      <c r="F62" s="66"/>
      <c r="G62" s="1824"/>
      <c r="H62" s="66"/>
      <c r="I62" s="1824"/>
      <c r="J62" s="279"/>
      <c r="K62" s="66"/>
      <c r="L62" s="1875"/>
      <c r="M62" s="90"/>
      <c r="N62" s="66"/>
      <c r="O62" s="90"/>
      <c r="P62" s="42"/>
    </row>
    <row r="63" spans="2:26" ht="20.25" customHeight="1" x14ac:dyDescent="0.3">
      <c r="B63" s="1816" t="s">
        <v>415</v>
      </c>
      <c r="C63" s="1820"/>
      <c r="D63" s="1816"/>
      <c r="E63" s="1824"/>
      <c r="F63" s="66"/>
      <c r="G63" s="1824"/>
      <c r="H63" s="66"/>
      <c r="I63" s="1824"/>
      <c r="J63" s="279"/>
      <c r="K63" s="66"/>
      <c r="L63" s="1875"/>
      <c r="M63" s="1876"/>
      <c r="N63" s="66"/>
      <c r="O63" s="90"/>
      <c r="P63" s="42"/>
    </row>
    <row r="64" spans="2:26" x14ac:dyDescent="0.3">
      <c r="B64" s="1353" t="str">
        <f>PT.shallow_flush!B108</f>
        <v>Fresh water used for pumping to shallow pit</v>
      </c>
      <c r="C64" s="1521">
        <f>PT.shallow_flush!G108</f>
        <v>0</v>
      </c>
      <c r="D64" s="1353" t="str">
        <f>PT.shallow_flush!C108</f>
        <v>m3/head/year</v>
      </c>
      <c r="F64" s="66"/>
      <c r="G64" s="1824"/>
      <c r="H64" s="66"/>
      <c r="I64" s="1824"/>
      <c r="J64" s="279"/>
      <c r="K64" s="90"/>
      <c r="L64" s="1875"/>
      <c r="M64" s="90"/>
      <c r="N64" s="90"/>
      <c r="O64" s="90"/>
      <c r="P64" s="42"/>
    </row>
    <row r="65" spans="2:4" x14ac:dyDescent="0.3">
      <c r="B65" s="1353" t="str">
        <f>PT.anaer_lagoon!B359</f>
        <v>Fresh water used to supplement flow into storage structure</v>
      </c>
      <c r="C65" s="1878">
        <f>PT.anaer_lagoon!G359</f>
        <v>0</v>
      </c>
      <c r="D65" s="1353" t="str">
        <f>PT.anaer_lagoon!F359</f>
        <v>m3/head/year</v>
      </c>
    </row>
    <row r="66" spans="2:4" x14ac:dyDescent="0.3">
      <c r="B66" s="1353" t="str">
        <f>PT.anaer_lagoon!B360</f>
        <v>Fresh water used to supplement application liquid volume</v>
      </c>
      <c r="C66" s="1878">
        <f>PT.anaer_lagoon!G360</f>
        <v>0.11303227729987383</v>
      </c>
      <c r="D66" s="1353" t="str">
        <f>PT.anaer_lagoon!F360</f>
        <v>m3/head/year</v>
      </c>
    </row>
    <row r="67" spans="2:4" x14ac:dyDescent="0.3">
      <c r="B67" s="1353"/>
      <c r="C67" s="1878"/>
      <c r="D67" s="1353"/>
    </row>
    <row r="68" spans="2:4" x14ac:dyDescent="0.3">
      <c r="B68" s="1353"/>
      <c r="C68" s="1878"/>
      <c r="D68" s="1353"/>
    </row>
    <row r="69" spans="2:4" x14ac:dyDescent="0.3">
      <c r="B69" s="1816" t="s">
        <v>5271</v>
      </c>
      <c r="C69" s="1820"/>
      <c r="D69" s="1816"/>
    </row>
    <row r="70" spans="2:4" x14ac:dyDescent="0.3">
      <c r="B70" s="49" t="str">
        <f>PT.shallow_flush!B110</f>
        <v>CH4 from shallow flush</v>
      </c>
      <c r="C70" s="1209">
        <f>PT.shallow_flush!G110</f>
        <v>1.5236605695921037</v>
      </c>
      <c r="D70" s="52" t="str">
        <f>PT.shallow_flush!C110</f>
        <v>kg/head/year</v>
      </c>
    </row>
    <row r="71" spans="2:4" x14ac:dyDescent="0.3">
      <c r="B71" s="49" t="str">
        <f>PT.shallow_flush!B111</f>
        <v>NH3 from shallow flush</v>
      </c>
      <c r="C71" s="1209">
        <f>PT.shallow_flush!G111</f>
        <v>5.6940985499999996</v>
      </c>
      <c r="D71" s="52" t="str">
        <f>PT.shallow_flush!C111</f>
        <v>kg/head/year</v>
      </c>
    </row>
    <row r="72" spans="2:4" x14ac:dyDescent="0.3">
      <c r="B72" s="49" t="str">
        <f>PT.shallow_flush!B112</f>
        <v>Direct N2O from shallow flush</v>
      </c>
      <c r="C72" s="1209">
        <f>PT.shallow_flush!G112</f>
        <v>5.9651376409799999E-2</v>
      </c>
      <c r="D72" s="52" t="str">
        <f>PT.shallow_flush!C112</f>
        <v>kg/head/year</v>
      </c>
    </row>
    <row r="73" spans="2:4" x14ac:dyDescent="0.3">
      <c r="B73" s="49" t="str">
        <f>PT.shallow_flush!B113</f>
        <v>Indirect N2O from shallow flush</v>
      </c>
      <c r="C73" s="1209">
        <f>PT.shallow_flush!G113</f>
        <v>0.12526789046057998</v>
      </c>
      <c r="D73" s="52" t="str">
        <f>PT.shallow_flush!C113</f>
        <v>kg/head/year</v>
      </c>
    </row>
    <row r="74" spans="2:4" x14ac:dyDescent="0.3">
      <c r="B74" s="49" t="str">
        <f>PT.anaer_lagoon!B378</f>
        <v>CH4 from lagoon</v>
      </c>
      <c r="C74" s="1209">
        <f>PT.anaer_lagoon!G378</f>
        <v>30.759158784959986</v>
      </c>
      <c r="D74" s="52" t="str">
        <f>PT.anaer_lagoon!F378</f>
        <v>kg/head/year</v>
      </c>
    </row>
    <row r="75" spans="2:4" x14ac:dyDescent="0.3">
      <c r="B75" s="49" t="str">
        <f>PT.anaer_lagoon!B379</f>
        <v>NH3 from lagoon</v>
      </c>
      <c r="C75" s="1209">
        <f>PT.anaer_lagoon!G379</f>
        <v>6.6370745423958599</v>
      </c>
      <c r="D75" s="52" t="str">
        <f>PT.anaer_lagoon!F379</f>
        <v>kg/head/year</v>
      </c>
    </row>
    <row r="76" spans="2:4" x14ac:dyDescent="0.3">
      <c r="B76" s="49" t="str">
        <f>PT.anaer_lagoon!B380</f>
        <v>N2O direct from lagoon</v>
      </c>
      <c r="C76" s="1209">
        <f>PT.anaer_lagoon!G380</f>
        <v>0</v>
      </c>
      <c r="D76" s="52" t="str">
        <f>PT.anaer_lagoon!F380</f>
        <v>kg/head/year</v>
      </c>
    </row>
    <row r="77" spans="2:4" x14ac:dyDescent="0.3">
      <c r="B77" s="49" t="str">
        <f>PT.anaer_lagoon!B381</f>
        <v>N2O indirect from lagoon</v>
      </c>
      <c r="C77" s="1209">
        <f>PT.anaer_lagoon!G381</f>
        <v>0.14601298510289196</v>
      </c>
      <c r="D77" s="52" t="str">
        <f>PT.anaer_lagoon!F381</f>
        <v>kg/head/year</v>
      </c>
    </row>
    <row r="167" spans="18:23" x14ac:dyDescent="0.3">
      <c r="R167"/>
      <c r="W167"/>
    </row>
    <row r="168" spans="18:23" x14ac:dyDescent="0.3">
      <c r="R168"/>
      <c r="W168"/>
    </row>
    <row r="169" spans="18:23" x14ac:dyDescent="0.3">
      <c r="R169"/>
      <c r="W169"/>
    </row>
    <row r="170" spans="18:23" x14ac:dyDescent="0.3">
      <c r="R170"/>
      <c r="W170"/>
    </row>
    <row r="171" spans="18:23" x14ac:dyDescent="0.3">
      <c r="R171"/>
      <c r="W171"/>
    </row>
    <row r="172" spans="18:23" x14ac:dyDescent="0.3">
      <c r="R172"/>
      <c r="W172"/>
    </row>
    <row r="173" spans="18:23" x14ac:dyDescent="0.3">
      <c r="R173"/>
      <c r="W173"/>
    </row>
    <row r="174" spans="18:23" x14ac:dyDescent="0.3">
      <c r="R174"/>
      <c r="W174"/>
    </row>
    <row r="175" spans="18:23" x14ac:dyDescent="0.3">
      <c r="R175"/>
      <c r="W175"/>
    </row>
    <row r="176" spans="18:23" x14ac:dyDescent="0.3">
      <c r="R176"/>
      <c r="W176"/>
    </row>
    <row r="177" spans="18:23" x14ac:dyDescent="0.3">
      <c r="R177"/>
      <c r="W177"/>
    </row>
    <row r="178" spans="18:23" x14ac:dyDescent="0.3">
      <c r="R178"/>
      <c r="W178"/>
    </row>
    <row r="179" spans="18:23" x14ac:dyDescent="0.3">
      <c r="R179"/>
      <c r="W179"/>
    </row>
    <row r="180" spans="18:23" x14ac:dyDescent="0.3">
      <c r="R180"/>
      <c r="W180"/>
    </row>
    <row r="181" spans="18:23" x14ac:dyDescent="0.3">
      <c r="R181"/>
      <c r="W181"/>
    </row>
    <row r="182" spans="18:23" x14ac:dyDescent="0.3">
      <c r="R182"/>
      <c r="W182"/>
    </row>
    <row r="183" spans="18:23" x14ac:dyDescent="0.3">
      <c r="R183"/>
      <c r="W183"/>
    </row>
    <row r="298" spans="1:15" ht="15" thickBot="1" x14ac:dyDescent="0.35">
      <c r="A298" s="137"/>
      <c r="B298" s="137"/>
      <c r="C298" s="137"/>
      <c r="D298" s="137"/>
      <c r="E298" s="137"/>
      <c r="F298" s="137"/>
      <c r="G298" s="137"/>
      <c r="H298" s="137"/>
      <c r="I298" s="137"/>
      <c r="J298" s="137"/>
      <c r="K298" s="137"/>
      <c r="L298" s="137"/>
      <c r="M298" s="137"/>
      <c r="N298" s="137"/>
      <c r="O298" s="137"/>
    </row>
    <row r="299" spans="1:15" x14ac:dyDescent="0.3">
      <c r="D299"/>
      <c r="E299"/>
      <c r="F299"/>
      <c r="G299"/>
      <c r="H299"/>
      <c r="K299"/>
      <c r="L299"/>
    </row>
    <row r="300" spans="1:15" x14ac:dyDescent="0.3">
      <c r="B300" s="82" t="s">
        <v>6938</v>
      </c>
    </row>
    <row r="301" spans="1:15" x14ac:dyDescent="0.3">
      <c r="B301" t="s">
        <v>5209</v>
      </c>
    </row>
    <row r="302" spans="1:15" x14ac:dyDescent="0.3">
      <c r="B302" t="s">
        <v>7087</v>
      </c>
    </row>
    <row r="303" spans="1:15" x14ac:dyDescent="0.3">
      <c r="B303" t="s">
        <v>5210</v>
      </c>
    </row>
    <row r="304" spans="1:15" x14ac:dyDescent="0.3">
      <c r="B304" t="s">
        <v>7074</v>
      </c>
      <c r="C304" t="s">
        <v>5205</v>
      </c>
    </row>
    <row r="305" spans="1:15" ht="15" thickBot="1" x14ac:dyDescent="0.35">
      <c r="A305" s="137"/>
      <c r="B305" s="137"/>
      <c r="C305" s="137"/>
      <c r="D305" s="137"/>
      <c r="E305" s="137"/>
      <c r="F305" s="137"/>
      <c r="G305" s="137"/>
      <c r="H305" s="137"/>
      <c r="I305" s="137"/>
      <c r="J305" s="137"/>
      <c r="K305" s="137"/>
      <c r="L305" s="137"/>
      <c r="M305" s="137"/>
      <c r="N305" s="137"/>
      <c r="O305" s="137"/>
    </row>
    <row r="306" spans="1:15" x14ac:dyDescent="0.3">
      <c r="D306"/>
      <c r="E306"/>
      <c r="F306"/>
      <c r="G306"/>
      <c r="H306"/>
      <c r="K306"/>
      <c r="L306"/>
    </row>
    <row r="307" spans="1:15" ht="18" x14ac:dyDescent="0.35">
      <c r="B307" s="138" t="s">
        <v>6941</v>
      </c>
      <c r="C307" s="34"/>
      <c r="D307"/>
      <c r="E307"/>
      <c r="F307"/>
      <c r="G307"/>
      <c r="H307" s="355"/>
      <c r="K307"/>
      <c r="L307"/>
    </row>
    <row r="308" spans="1:15" x14ac:dyDescent="0.3">
      <c r="D308"/>
      <c r="E308"/>
      <c r="F308"/>
      <c r="G308"/>
      <c r="H308"/>
      <c r="K308"/>
      <c r="L308"/>
    </row>
    <row r="309" spans="1:15" x14ac:dyDescent="0.3">
      <c r="B309" s="139" t="s">
        <v>6942</v>
      </c>
      <c r="C309" s="140"/>
      <c r="D309" s="140"/>
      <c r="E309" s="139"/>
      <c r="F309" s="141"/>
      <c r="G309"/>
      <c r="H309"/>
      <c r="K309"/>
      <c r="L309"/>
    </row>
    <row r="310" spans="1:15" x14ac:dyDescent="0.3">
      <c r="B310" s="143" t="s">
        <v>2663</v>
      </c>
      <c r="C310" s="144" t="s">
        <v>565</v>
      </c>
      <c r="D310" s="144" t="s">
        <v>6943</v>
      </c>
      <c r="E310" s="143" t="s">
        <v>565</v>
      </c>
      <c r="F310" s="145" t="s">
        <v>6944</v>
      </c>
      <c r="G310"/>
      <c r="H310"/>
      <c r="K310"/>
      <c r="L310"/>
    </row>
    <row r="311" spans="1:15" x14ac:dyDescent="0.3">
      <c r="A311" t="s">
        <v>6945</v>
      </c>
      <c r="B311" s="149" t="s">
        <v>5724</v>
      </c>
      <c r="C311" s="295">
        <f>VLOOKUP(B311,R2:U301,3,FALSE)</f>
        <v>48.646141166953889</v>
      </c>
      <c r="D311" s="151" t="s">
        <v>2478</v>
      </c>
      <c r="E311" s="359">
        <f>CONVERT(C311,"m^3","ft^3")</f>
        <v>1717.9222625974626</v>
      </c>
      <c r="F311" s="151" t="s">
        <v>2479</v>
      </c>
      <c r="G311"/>
      <c r="H311"/>
      <c r="K311"/>
      <c r="L311"/>
    </row>
    <row r="312" spans="1:15" x14ac:dyDescent="0.3">
      <c r="D312"/>
      <c r="E312"/>
      <c r="F312"/>
      <c r="G312"/>
      <c r="H312"/>
      <c r="K312"/>
      <c r="L312"/>
    </row>
    <row r="313" spans="1:15" s="369" customFormat="1" ht="43.2" x14ac:dyDescent="0.3">
      <c r="B313" s="370" t="s">
        <v>6946</v>
      </c>
      <c r="C313" s="362" t="s">
        <v>6947</v>
      </c>
      <c r="D313" s="371" t="s">
        <v>6948</v>
      </c>
      <c r="E313" s="362" t="s">
        <v>6949</v>
      </c>
      <c r="F313" s="362" t="s">
        <v>6950</v>
      </c>
      <c r="G313" s="362" t="s">
        <v>6951</v>
      </c>
      <c r="H313" s="362" t="s">
        <v>6952</v>
      </c>
      <c r="I313" s="371" t="s">
        <v>6953</v>
      </c>
      <c r="J313" s="371" t="s">
        <v>6954</v>
      </c>
      <c r="K313" s="362" t="s">
        <v>6955</v>
      </c>
      <c r="L313" s="362" t="s">
        <v>6956</v>
      </c>
      <c r="M313" s="362" t="s">
        <v>6957</v>
      </c>
      <c r="N313" s="362" t="s">
        <v>6958</v>
      </c>
      <c r="O313" s="363" t="s">
        <v>6959</v>
      </c>
    </row>
    <row r="314" spans="1:15" x14ac:dyDescent="0.3">
      <c r="A314" t="s">
        <v>6960</v>
      </c>
      <c r="B314" s="99" t="s">
        <v>6961</v>
      </c>
      <c r="C314" s="153">
        <f>VLOOKUP("Deep and shallow pit constructiona",Econ.Equations!C:E,2,FALSE)*E311^VLOOKUP("Deep and shallow pit constructionb",Econ.Equations!$C:$E,2,FALSE)*E311</f>
        <v>13695.194157051748</v>
      </c>
      <c r="D314">
        <f>VLOOKUP("CAPEXLifetimeBuildings and constructionDefault",Econ.inputsTable!$E:$I,2,FALSE)</f>
        <v>20</v>
      </c>
      <c r="E314" t="s">
        <v>2852</v>
      </c>
      <c r="F314" t="s">
        <v>2852</v>
      </c>
      <c r="G314" s="154">
        <f>VLOOKUP("CAPEXAnnual usage on activityItems that are used only on the given activityDefault",Econ.inputsTable!$E:$I,2,FALSE)</f>
        <v>1</v>
      </c>
      <c r="H314" s="503">
        <f>UDV.econ_capital.interest_rate</f>
        <v>5.0999999999999997E-2</v>
      </c>
      <c r="I314" s="155">
        <f>VLOOKUP("CAPEXSalvageBuildings and constructionDefault",Econ.inputsTable!$E:$J,2,FALSE)</f>
        <v>0</v>
      </c>
      <c r="J314" s="156">
        <f>C314*I314</f>
        <v>0</v>
      </c>
      <c r="K314" s="154">
        <f>VLOOKUP("CAPEXFinanced amountNADefault",Econ.inputsTable!$E:$G,2,FALSE)</f>
        <v>1</v>
      </c>
      <c r="L314" s="364">
        <f>H314*K314</f>
        <v>5.0999999999999997E-2</v>
      </c>
      <c r="M314" s="351">
        <f>L314/(1-(1+L314)^-D314)</f>
        <v>8.0924368970045152E-2</v>
      </c>
      <c r="N314" s="153">
        <f>((C314-J314)*M314)+(J314*L314)</f>
        <v>1108.2749450816623</v>
      </c>
      <c r="O314" s="372">
        <f>N314*G314</f>
        <v>1108.2749450816623</v>
      </c>
    </row>
    <row r="315" spans="1:15" x14ac:dyDescent="0.3">
      <c r="B315" s="99"/>
      <c r="D315"/>
      <c r="E315"/>
      <c r="F315"/>
      <c r="G315"/>
      <c r="H315"/>
      <c r="K315"/>
      <c r="L315"/>
      <c r="O315" s="146"/>
    </row>
    <row r="316" spans="1:15" x14ac:dyDescent="0.3">
      <c r="B316" s="99"/>
      <c r="C316" s="82" t="s">
        <v>6962</v>
      </c>
      <c r="D316" s="82" t="s">
        <v>6963</v>
      </c>
      <c r="E316"/>
      <c r="F316"/>
      <c r="G316"/>
      <c r="H316"/>
      <c r="K316"/>
      <c r="L316"/>
      <c r="O316" s="146"/>
    </row>
    <row r="317" spans="1:15" x14ac:dyDescent="0.3">
      <c r="A317" t="s">
        <v>6945</v>
      </c>
      <c r="B317" s="99" t="s">
        <v>6964</v>
      </c>
      <c r="C317" s="153">
        <f>SUM(C314:C314)</f>
        <v>13695.194157051748</v>
      </c>
      <c r="D317" s="158">
        <f>SUMPRODUCT(C314:C314,G314:G314)</f>
        <v>13695.194157051748</v>
      </c>
      <c r="E317"/>
      <c r="F317"/>
      <c r="G317"/>
      <c r="H317"/>
      <c r="K317"/>
      <c r="L317"/>
      <c r="O317" s="146"/>
    </row>
    <row r="318" spans="1:15" x14ac:dyDescent="0.3">
      <c r="A318" t="s">
        <v>6945</v>
      </c>
      <c r="B318" s="149" t="s">
        <v>6965</v>
      </c>
      <c r="C318" s="159">
        <f>SUM(N314:N314)</f>
        <v>1108.2749450816623</v>
      </c>
      <c r="D318" s="159">
        <f>SUMPRODUCT(N314:N314,G314:G314)</f>
        <v>1108.2749450816623</v>
      </c>
      <c r="E318" s="150"/>
      <c r="F318" s="150"/>
      <c r="G318" s="150"/>
      <c r="H318" s="150"/>
      <c r="I318" s="150"/>
      <c r="J318" s="150"/>
      <c r="K318" s="150"/>
      <c r="L318" s="150"/>
      <c r="M318" s="150"/>
      <c r="N318" s="150"/>
      <c r="O318" s="151"/>
    </row>
    <row r="319" spans="1:15" x14ac:dyDescent="0.3">
      <c r="B319" s="262"/>
      <c r="C319" s="142"/>
      <c r="D319" s="142"/>
      <c r="E319" s="142"/>
      <c r="F319" s="142"/>
      <c r="G319" s="142"/>
      <c r="H319" s="142"/>
      <c r="I319" s="142"/>
      <c r="J319" s="142"/>
      <c r="K319" s="142"/>
      <c r="L319" s="142"/>
      <c r="M319" s="142"/>
      <c r="N319" s="142"/>
      <c r="O319" s="141"/>
    </row>
    <row r="320" spans="1:15" ht="57.6" x14ac:dyDescent="0.3">
      <c r="B320" s="160" t="s">
        <v>6966</v>
      </c>
      <c r="C320" s="152" t="s">
        <v>6967</v>
      </c>
      <c r="D320" s="152" t="s">
        <v>6968</v>
      </c>
      <c r="E320" s="152" t="s">
        <v>6969</v>
      </c>
      <c r="F320" s="152" t="s">
        <v>6970</v>
      </c>
      <c r="G320" s="152" t="s">
        <v>6971</v>
      </c>
      <c r="H320" s="152" t="s">
        <v>6972</v>
      </c>
      <c r="I320" s="152" t="s">
        <v>6973</v>
      </c>
      <c r="J320" s="152" t="s">
        <v>6974</v>
      </c>
      <c r="K320" s="152" t="s">
        <v>6975</v>
      </c>
      <c r="L320" s="152" t="s">
        <v>6976</v>
      </c>
      <c r="M320" s="152" t="s">
        <v>6977</v>
      </c>
      <c r="N320" s="152" t="s">
        <v>6978</v>
      </c>
      <c r="O320" s="161" t="s">
        <v>6979</v>
      </c>
    </row>
    <row r="321" spans="1:15" x14ac:dyDescent="0.3">
      <c r="B321" s="99" t="s">
        <v>6945</v>
      </c>
      <c r="C321" s="155">
        <f>VLOOKUP("OPEXInsuranceEverythingDefault",Econ.inputsTable!$E$1:$J$213,2,FALSE)</f>
        <v>5.0000000000000001E-3</v>
      </c>
      <c r="D321" s="155">
        <f>VLOOKUP("OPEXRepair and maintenanceBuildings and constructionDefault",Econ.inputsTable!$E$1:$J$503,2,FALSE)</f>
        <v>0.01</v>
      </c>
      <c r="E321"/>
      <c r="F321"/>
      <c r="G321"/>
      <c r="H321"/>
      <c r="K321"/>
      <c r="L321"/>
      <c r="O321" s="157">
        <f>(SUM(C321:D321)*SUMPRODUCT(C314:C314,G314:G314))+SUM(E321,G321,I321,J321,L321,N321)</f>
        <v>205.42791235577621</v>
      </c>
    </row>
    <row r="322" spans="1:15" x14ac:dyDescent="0.3">
      <c r="A322" t="s">
        <v>6945</v>
      </c>
      <c r="B322" s="162" t="s">
        <v>5203</v>
      </c>
      <c r="C322" s="241"/>
      <c r="D322" s="241"/>
      <c r="E322" s="367">
        <f t="shared" ref="E322:O322" si="1">SUM(E321)</f>
        <v>0</v>
      </c>
      <c r="F322" s="537">
        <f t="shared" si="1"/>
        <v>0</v>
      </c>
      <c r="G322" s="367">
        <f t="shared" si="1"/>
        <v>0</v>
      </c>
      <c r="H322" s="537">
        <f t="shared" si="1"/>
        <v>0</v>
      </c>
      <c r="I322" s="367">
        <f t="shared" si="1"/>
        <v>0</v>
      </c>
      <c r="J322" s="367">
        <f t="shared" si="1"/>
        <v>0</v>
      </c>
      <c r="K322" s="537">
        <f t="shared" si="1"/>
        <v>0</v>
      </c>
      <c r="L322" s="367">
        <f t="shared" si="1"/>
        <v>0</v>
      </c>
      <c r="M322" s="537">
        <f t="shared" si="1"/>
        <v>0</v>
      </c>
      <c r="N322" s="367">
        <f t="shared" si="1"/>
        <v>0</v>
      </c>
      <c r="O322" s="169">
        <f t="shared" si="1"/>
        <v>205.42791235577621</v>
      </c>
    </row>
    <row r="323" spans="1:15" x14ac:dyDescent="0.3">
      <c r="B323" s="99"/>
      <c r="C323" s="155"/>
      <c r="D323" s="155"/>
      <c r="E323" s="155"/>
      <c r="F323" s="158"/>
      <c r="G323" s="154"/>
      <c r="H323" s="156"/>
      <c r="I323" s="153"/>
      <c r="K323"/>
      <c r="L323"/>
      <c r="O323" s="146"/>
    </row>
    <row r="324" spans="1:15" x14ac:dyDescent="0.3">
      <c r="A324" t="s">
        <v>6945</v>
      </c>
      <c r="B324" s="149" t="s">
        <v>6980</v>
      </c>
      <c r="C324" s="159">
        <f>O322</f>
        <v>205.42791235577621</v>
      </c>
      <c r="D324" s="150"/>
      <c r="E324" s="150"/>
      <c r="F324" s="150"/>
      <c r="G324" s="150"/>
      <c r="H324" s="150"/>
      <c r="I324" s="150"/>
      <c r="J324" s="150"/>
      <c r="K324" s="150"/>
      <c r="L324" s="150"/>
      <c r="M324" s="150"/>
      <c r="N324" s="150"/>
      <c r="O324" s="151"/>
    </row>
    <row r="325" spans="1:15" ht="15" thickBot="1" x14ac:dyDescent="0.35">
      <c r="A325" s="137"/>
      <c r="B325" s="137"/>
      <c r="C325" s="137"/>
      <c r="D325" s="137"/>
      <c r="E325" s="137"/>
      <c r="F325" s="137"/>
      <c r="G325" s="137"/>
      <c r="H325" s="137"/>
      <c r="I325" s="137"/>
      <c r="J325" s="137"/>
      <c r="K325" s="137"/>
      <c r="L325" s="137"/>
      <c r="M325" s="137"/>
      <c r="N325" s="137"/>
      <c r="O325" s="137"/>
    </row>
    <row r="326" spans="1:15" x14ac:dyDescent="0.3">
      <c r="D326"/>
      <c r="E326"/>
      <c r="F326"/>
      <c r="G326"/>
      <c r="H326"/>
      <c r="K326"/>
      <c r="L326"/>
    </row>
    <row r="328" spans="1:15" ht="15.6" x14ac:dyDescent="0.3">
      <c r="A328" s="82" t="s">
        <v>7088</v>
      </c>
      <c r="B328" s="138" t="s">
        <v>7089</v>
      </c>
      <c r="D328"/>
      <c r="E328"/>
      <c r="F328"/>
    </row>
    <row r="329" spans="1:15" x14ac:dyDescent="0.3">
      <c r="D329"/>
      <c r="E329"/>
      <c r="F329"/>
    </row>
    <row r="330" spans="1:15" x14ac:dyDescent="0.3">
      <c r="B330" s="139" t="s">
        <v>6942</v>
      </c>
      <c r="C330" s="140"/>
      <c r="D330" s="140"/>
      <c r="E330" s="139" t="s">
        <v>6988</v>
      </c>
      <c r="F330" s="141"/>
    </row>
    <row r="331" spans="1:15" x14ac:dyDescent="0.3">
      <c r="B331" s="143" t="s">
        <v>2663</v>
      </c>
      <c r="C331" s="144" t="s">
        <v>565</v>
      </c>
      <c r="D331" s="144" t="s">
        <v>6943</v>
      </c>
      <c r="E331" s="143" t="s">
        <v>565</v>
      </c>
      <c r="F331" s="145" t="s">
        <v>6944</v>
      </c>
    </row>
    <row r="332" spans="1:15" x14ac:dyDescent="0.3">
      <c r="B332" s="99" t="s">
        <v>6925</v>
      </c>
      <c r="C332" s="205">
        <f>VLOOKUP(B332,$R:$U,3,FALSE)</f>
        <v>56.51613864993692</v>
      </c>
      <c r="D332" t="s">
        <v>7090</v>
      </c>
      <c r="E332" s="164">
        <f>CONVERT(C332,"m^3","gal")*365</f>
        <v>5449444.2835567016</v>
      </c>
      <c r="F332" s="146" t="s">
        <v>5324</v>
      </c>
    </row>
    <row r="333" spans="1:15" x14ac:dyDescent="0.3">
      <c r="B333" s="99" t="s">
        <v>5829</v>
      </c>
      <c r="C333" s="147">
        <f>VLOOKUP(B333,$R:$U,3,FALSE)</f>
        <v>28.39</v>
      </c>
      <c r="D333" t="s">
        <v>7090</v>
      </c>
      <c r="E333" s="164">
        <f>CONVERT(C333,"m^3","gal")*365</f>
        <v>2737443.2667534593</v>
      </c>
      <c r="F333" s="146" t="s">
        <v>5324</v>
      </c>
    </row>
    <row r="334" spans="1:15" x14ac:dyDescent="0.3">
      <c r="B334" s="99"/>
      <c r="D334" s="146"/>
      <c r="E334"/>
      <c r="F334" s="146"/>
    </row>
    <row r="335" spans="1:15" x14ac:dyDescent="0.3">
      <c r="B335" s="92" t="s">
        <v>6996</v>
      </c>
      <c r="D335"/>
      <c r="E335" s="143" t="s">
        <v>565</v>
      </c>
      <c r="F335" s="145" t="s">
        <v>6944</v>
      </c>
    </row>
    <row r="336" spans="1:15" x14ac:dyDescent="0.3">
      <c r="B336" s="149" t="s">
        <v>7091</v>
      </c>
      <c r="C336" s="150"/>
      <c r="D336" s="150"/>
      <c r="E336" s="497">
        <f>UDV.water.avg_cost/1000</f>
        <v>3.858144828221536E-3</v>
      </c>
      <c r="F336" s="151" t="s">
        <v>2315</v>
      </c>
    </row>
    <row r="337" spans="1:15" x14ac:dyDescent="0.3">
      <c r="D337"/>
      <c r="E337"/>
      <c r="F337"/>
    </row>
    <row r="338" spans="1:15" x14ac:dyDescent="0.3">
      <c r="B338" s="498" t="s">
        <v>6966</v>
      </c>
      <c r="C338" s="362" t="s">
        <v>6979</v>
      </c>
      <c r="D338" s="362"/>
      <c r="E338" s="362"/>
      <c r="F338" s="363"/>
    </row>
    <row r="339" spans="1:15" x14ac:dyDescent="0.3">
      <c r="B339" s="99" t="s">
        <v>7092</v>
      </c>
      <c r="C339" s="153">
        <f>E332*E336</f>
        <v>21024.745279285704</v>
      </c>
      <c r="D339" s="236"/>
      <c r="E339" s="236"/>
      <c r="F339" s="146"/>
    </row>
    <row r="340" spans="1:15" x14ac:dyDescent="0.3">
      <c r="B340" s="99"/>
      <c r="F340" s="2089"/>
    </row>
    <row r="341" spans="1:15" x14ac:dyDescent="0.3">
      <c r="A341" t="s">
        <v>5209</v>
      </c>
      <c r="B341" s="149" t="s">
        <v>6980</v>
      </c>
      <c r="C341" s="159">
        <f>SUM(C339:C339)</f>
        <v>21024.745279285704</v>
      </c>
      <c r="D341" s="150"/>
      <c r="E341" s="150"/>
      <c r="F341" s="151"/>
      <c r="G341"/>
      <c r="H341"/>
      <c r="K341"/>
      <c r="L341"/>
    </row>
    <row r="342" spans="1:15" ht="15" thickBot="1" x14ac:dyDescent="0.35">
      <c r="A342" s="137"/>
      <c r="B342" s="137"/>
      <c r="C342" s="137"/>
      <c r="D342" s="137"/>
      <c r="E342" s="137"/>
      <c r="F342" s="137"/>
      <c r="G342" s="137"/>
      <c r="H342" s="137"/>
      <c r="I342" s="137"/>
      <c r="J342" s="137"/>
      <c r="K342" s="137"/>
      <c r="L342" s="137"/>
      <c r="M342" s="137"/>
      <c r="N342" s="137"/>
      <c r="O342" s="137"/>
    </row>
    <row r="343" spans="1:15" x14ac:dyDescent="0.3">
      <c r="D343"/>
      <c r="E343"/>
      <c r="F343"/>
      <c r="G343"/>
      <c r="H343"/>
      <c r="K343"/>
      <c r="L343"/>
    </row>
    <row r="344" spans="1:15" ht="18" x14ac:dyDescent="0.35">
      <c r="B344" s="138" t="s">
        <v>5210</v>
      </c>
      <c r="C344" s="34"/>
      <c r="D344"/>
      <c r="E344"/>
      <c r="F344"/>
      <c r="G344"/>
      <c r="H344" s="355"/>
      <c r="K344"/>
      <c r="L344"/>
    </row>
    <row r="345" spans="1:15" x14ac:dyDescent="0.3">
      <c r="D345"/>
      <c r="E345"/>
      <c r="F345"/>
      <c r="G345"/>
      <c r="H345"/>
      <c r="K345"/>
      <c r="L345"/>
    </row>
    <row r="346" spans="1:15" x14ac:dyDescent="0.3">
      <c r="B346" s="139" t="s">
        <v>6942</v>
      </c>
      <c r="C346" s="140"/>
      <c r="D346" s="140"/>
      <c r="E346" s="139"/>
      <c r="F346" s="141"/>
      <c r="G346"/>
      <c r="H346"/>
      <c r="K346"/>
      <c r="L346"/>
    </row>
    <row r="347" spans="1:15" x14ac:dyDescent="0.3">
      <c r="B347" s="143" t="s">
        <v>2663</v>
      </c>
      <c r="C347" s="144" t="s">
        <v>565</v>
      </c>
      <c r="D347" s="144" t="s">
        <v>6943</v>
      </c>
      <c r="E347" s="143" t="s">
        <v>565</v>
      </c>
      <c r="F347" s="145" t="s">
        <v>6944</v>
      </c>
      <c r="G347"/>
      <c r="H347"/>
      <c r="K347"/>
      <c r="L347"/>
    </row>
    <row r="348" spans="1:15" x14ac:dyDescent="0.3">
      <c r="B348" s="99" t="s">
        <v>5437</v>
      </c>
      <c r="C348" s="147">
        <f>VLOOKUP(B348,$R:$U,3,FALSE)</f>
        <v>7731.3161327004527</v>
      </c>
      <c r="D348" s="146" t="s">
        <v>2478</v>
      </c>
      <c r="E348" s="278">
        <f>CONVERT(C348,"m^3","ft^3")</f>
        <v>273028.85254478455</v>
      </c>
      <c r="F348" s="146" t="s">
        <v>2479</v>
      </c>
      <c r="G348"/>
      <c r="H348"/>
      <c r="K348"/>
      <c r="L348"/>
    </row>
    <row r="349" spans="1:15" x14ac:dyDescent="0.3">
      <c r="B349" s="149" t="s">
        <v>6343</v>
      </c>
      <c r="C349" s="295">
        <f>VLOOKUP(B349,$R:$U,3,FALSE)</f>
        <v>3368.7334385768968</v>
      </c>
      <c r="D349" s="151" t="s">
        <v>2268</v>
      </c>
      <c r="E349" s="359">
        <f>CONVERT(C349,"m^2","ft^2")</f>
        <v>36260.744950616223</v>
      </c>
      <c r="F349" s="151" t="s">
        <v>2267</v>
      </c>
      <c r="G349"/>
      <c r="H349"/>
      <c r="K349"/>
      <c r="L349"/>
    </row>
    <row r="350" spans="1:15" x14ac:dyDescent="0.3">
      <c r="D350"/>
      <c r="E350"/>
      <c r="F350"/>
      <c r="G350"/>
      <c r="H350"/>
      <c r="K350"/>
      <c r="L350"/>
    </row>
    <row r="351" spans="1:15" s="369" customFormat="1" ht="43.2" x14ac:dyDescent="0.3">
      <c r="B351" s="370" t="s">
        <v>6946</v>
      </c>
      <c r="C351" s="362" t="s">
        <v>6947</v>
      </c>
      <c r="D351" s="371" t="s">
        <v>6948</v>
      </c>
      <c r="E351" s="362" t="s">
        <v>6949</v>
      </c>
      <c r="F351" s="362" t="s">
        <v>6950</v>
      </c>
      <c r="G351" s="362" t="s">
        <v>6951</v>
      </c>
      <c r="H351" s="362" t="s">
        <v>6952</v>
      </c>
      <c r="I351" s="371" t="s">
        <v>6953</v>
      </c>
      <c r="J351" s="371" t="s">
        <v>6954</v>
      </c>
      <c r="K351" s="362" t="s">
        <v>6955</v>
      </c>
      <c r="L351" s="362" t="s">
        <v>6956</v>
      </c>
      <c r="M351" s="362" t="s">
        <v>6957</v>
      </c>
      <c r="N351" s="362" t="s">
        <v>6958</v>
      </c>
      <c r="O351" s="363" t="s">
        <v>6959</v>
      </c>
    </row>
    <row r="352" spans="1:15" x14ac:dyDescent="0.3">
      <c r="A352" t="s">
        <v>7093</v>
      </c>
      <c r="B352" s="99" t="s">
        <v>7094</v>
      </c>
      <c r="C352" s="153">
        <f>VLOOKUP("Lagoon constructiona",Econ.Equations!C:E,2,FALSE)*E348^VLOOKUP("Lagoon constructionb",Econ.Equations!$C:$E,2,FALSE)*E348</f>
        <v>76429.607945140146</v>
      </c>
      <c r="D352">
        <f>VLOOKUP("CAPEXLifetimeBuildings and constructionDefault",Econ.inputsTable!$E:$I,2,FALSE)</f>
        <v>20</v>
      </c>
      <c r="E352" t="s">
        <v>2852</v>
      </c>
      <c r="F352" t="s">
        <v>2852</v>
      </c>
      <c r="G352" s="257">
        <f>VLOOKUP("CAPEXAnnual usage on activityItems that are used only on the given activityDefault",Econ.inputsTable!$E:$I,2,FALSE)</f>
        <v>1</v>
      </c>
      <c r="H352" s="503">
        <f>UDV.econ_capital.interest_rate</f>
        <v>5.0999999999999997E-2</v>
      </c>
      <c r="I352" s="155">
        <f>VLOOKUP("CAPEXSalvageBuildings and constructionDefault",Econ.inputsTable!$E:$J,2,FALSE)</f>
        <v>0</v>
      </c>
      <c r="J352" s="156">
        <f>C352*I352</f>
        <v>0</v>
      </c>
      <c r="K352" s="257">
        <f>VLOOKUP("CAPEXFinanced amountNADefault",Econ.inputsTable!$E:$G,2,FALSE)</f>
        <v>1</v>
      </c>
      <c r="L352" s="364">
        <f>H352*K352</f>
        <v>5.0999999999999997E-2</v>
      </c>
      <c r="M352" s="351">
        <f>L352/(1-(1+L352)^-D352)</f>
        <v>8.0924368970045152E-2</v>
      </c>
      <c r="N352" s="153">
        <f>((C352-J352)*M352)+(J352*L352)</f>
        <v>6185.0177935884158</v>
      </c>
      <c r="O352" s="372">
        <f>N352*G352</f>
        <v>6185.0177935884158</v>
      </c>
    </row>
    <row r="353" spans="1:15" x14ac:dyDescent="0.3">
      <c r="A353" t="s">
        <v>7093</v>
      </c>
      <c r="B353" s="99" t="s">
        <v>7095</v>
      </c>
      <c r="C353" s="373">
        <f>UDV.econ_liner.lagoon_geomembrane*E349</f>
        <v>90651.86237654055</v>
      </c>
      <c r="D353">
        <f>VLOOKUP("CAPEXLifetimeBuildings and constructionDefault",Econ.inputsTable!$E:$I,2,FALSE)</f>
        <v>20</v>
      </c>
      <c r="E353" t="s">
        <v>2852</v>
      </c>
      <c r="F353" t="s">
        <v>2852</v>
      </c>
      <c r="G353" s="257">
        <f>VLOOKUP("CAPEXAnnual usage on activityItems that are used only on the given activityDefault",Econ.inputsTable!E:G,2,FALSE)</f>
        <v>1</v>
      </c>
      <c r="H353" s="503">
        <f>UDV.econ_capital.interest_rate</f>
        <v>5.0999999999999997E-2</v>
      </c>
      <c r="I353" s="155">
        <f>VLOOKUP("CAPEXSalvageBuildings and constructionDefault",Econ.inputsTable!$E:$J,2,FALSE)</f>
        <v>0</v>
      </c>
      <c r="J353" s="156">
        <f>C353*I353</f>
        <v>0</v>
      </c>
      <c r="K353" s="257">
        <f>VLOOKUP("CAPEXFinanced amountNADefault",Econ.inputsTable!$E:$G,2,FALSE)</f>
        <v>1</v>
      </c>
      <c r="L353" s="364">
        <f>H353*K353</f>
        <v>5.0999999999999997E-2</v>
      </c>
      <c r="M353" s="351">
        <f>L353/(1-(1+L353)^-D353)</f>
        <v>8.0924368970045152E-2</v>
      </c>
      <c r="N353" s="153">
        <f>((C353-J353)*M353)+(J353*L353)</f>
        <v>7335.9447587809218</v>
      </c>
      <c r="O353" s="372">
        <f>N353*G353</f>
        <v>7335.9447587809218</v>
      </c>
    </row>
    <row r="354" spans="1:15" x14ac:dyDescent="0.3">
      <c r="B354" s="99"/>
      <c r="D354"/>
      <c r="E354"/>
      <c r="F354"/>
      <c r="G354"/>
      <c r="H354"/>
      <c r="K354"/>
      <c r="L354"/>
      <c r="O354" s="146"/>
    </row>
    <row r="355" spans="1:15" x14ac:dyDescent="0.3">
      <c r="B355" s="99"/>
      <c r="C355" s="82" t="s">
        <v>6962</v>
      </c>
      <c r="D355" s="82" t="s">
        <v>6963</v>
      </c>
      <c r="E355"/>
      <c r="F355"/>
      <c r="G355"/>
      <c r="H355"/>
      <c r="K355"/>
      <c r="L355"/>
      <c r="O355" s="146"/>
    </row>
    <row r="356" spans="1:15" x14ac:dyDescent="0.3">
      <c r="A356" t="s">
        <v>5210</v>
      </c>
      <c r="B356" s="99" t="s">
        <v>6964</v>
      </c>
      <c r="C356" s="153">
        <f>SUM(C352:C353)</f>
        <v>167081.47032168071</v>
      </c>
      <c r="D356" s="233">
        <f>SUMPRODUCT(C352:C353,G352:G353)</f>
        <v>167081.47032168071</v>
      </c>
      <c r="E356"/>
      <c r="F356"/>
      <c r="G356"/>
      <c r="H356"/>
      <c r="K356"/>
      <c r="L356"/>
      <c r="O356" s="146"/>
    </row>
    <row r="357" spans="1:15" x14ac:dyDescent="0.3">
      <c r="A357" t="s">
        <v>5210</v>
      </c>
      <c r="B357" s="149" t="s">
        <v>6965</v>
      </c>
      <c r="C357" s="159">
        <f>SUM(N352:N353)</f>
        <v>13520.962552369338</v>
      </c>
      <c r="D357" s="159">
        <f>SUMPRODUCT(N352:N353,G352:G353)</f>
        <v>13520.962552369338</v>
      </c>
      <c r="E357" s="150"/>
      <c r="F357" s="150"/>
      <c r="G357" s="150"/>
      <c r="H357" s="150"/>
      <c r="I357" s="150"/>
      <c r="J357" s="150"/>
      <c r="K357" s="150"/>
      <c r="L357" s="150"/>
      <c r="M357" s="150"/>
      <c r="N357" s="150"/>
      <c r="O357" s="151"/>
    </row>
    <row r="358" spans="1:15" x14ac:dyDescent="0.3">
      <c r="B358" s="262"/>
      <c r="C358" s="142"/>
      <c r="D358" s="142"/>
      <c r="E358" s="142"/>
      <c r="F358" s="142"/>
      <c r="G358" s="142"/>
      <c r="H358" s="142"/>
      <c r="I358" s="142"/>
      <c r="J358" s="142"/>
      <c r="K358" s="142"/>
      <c r="L358" s="142"/>
      <c r="M358" s="142"/>
      <c r="N358" s="142"/>
      <c r="O358" s="141"/>
    </row>
    <row r="359" spans="1:15" ht="57.6" x14ac:dyDescent="0.3">
      <c r="B359" s="160" t="s">
        <v>6966</v>
      </c>
      <c r="C359" s="152" t="s">
        <v>6967</v>
      </c>
      <c r="D359" s="152" t="s">
        <v>6968</v>
      </c>
      <c r="E359" s="152" t="s">
        <v>6969</v>
      </c>
      <c r="F359" s="152" t="s">
        <v>6970</v>
      </c>
      <c r="G359" s="152" t="s">
        <v>6971</v>
      </c>
      <c r="H359" s="152" t="s">
        <v>6972</v>
      </c>
      <c r="I359" s="152" t="s">
        <v>6973</v>
      </c>
      <c r="J359" s="152" t="s">
        <v>6974</v>
      </c>
      <c r="K359" s="152" t="s">
        <v>6975</v>
      </c>
      <c r="L359" s="152" t="s">
        <v>6976</v>
      </c>
      <c r="M359" s="152" t="s">
        <v>6977</v>
      </c>
      <c r="N359" s="152" t="s">
        <v>6978</v>
      </c>
      <c r="O359" s="161" t="s">
        <v>6979</v>
      </c>
    </row>
    <row r="360" spans="1:15" x14ac:dyDescent="0.3">
      <c r="B360" s="99" t="s">
        <v>5210</v>
      </c>
      <c r="C360" s="236">
        <f>VLOOKUP("OPEXInsuranceEverythingDefault",Econ.inputsTable!$E$1:$J$213,2,FALSE)</f>
        <v>5.0000000000000001E-3</v>
      </c>
      <c r="D360" s="236">
        <f>VLOOKUP("OPEXRepair and maintenanceBuildings and constructionDefault",Econ.inputsTable!$E$1:$J$503,2,FALSE)</f>
        <v>0.01</v>
      </c>
      <c r="E360"/>
      <c r="F360"/>
      <c r="G360"/>
      <c r="H360"/>
      <c r="K360"/>
      <c r="L360"/>
      <c r="O360" s="157">
        <f>(SUM(C360:D360)*SUMPRODUCT(C352:C353,G352:G353))+SUM(E360,G360,I360,J360,L360,N360)</f>
        <v>2506.2220548252108</v>
      </c>
    </row>
    <row r="361" spans="1:15" x14ac:dyDescent="0.3">
      <c r="A361" t="s">
        <v>5210</v>
      </c>
      <c r="B361" s="162" t="s">
        <v>5203</v>
      </c>
      <c r="C361" s="241"/>
      <c r="D361" s="241"/>
      <c r="E361" s="242">
        <f>SUM(E360)</f>
        <v>0</v>
      </c>
      <c r="F361" s="374">
        <f t="shared" ref="F361:M361" si="2">SUM(F360)</f>
        <v>0</v>
      </c>
      <c r="G361" s="242">
        <f t="shared" si="2"/>
        <v>0</v>
      </c>
      <c r="H361" s="374">
        <f t="shared" si="2"/>
        <v>0</v>
      </c>
      <c r="I361" s="242">
        <f t="shared" si="2"/>
        <v>0</v>
      </c>
      <c r="J361" s="242">
        <f t="shared" si="2"/>
        <v>0</v>
      </c>
      <c r="K361" s="374">
        <f t="shared" si="2"/>
        <v>0</v>
      </c>
      <c r="L361" s="242">
        <f t="shared" si="2"/>
        <v>0</v>
      </c>
      <c r="M361" s="374">
        <f t="shared" si="2"/>
        <v>0</v>
      </c>
      <c r="N361" s="242">
        <f>SUM(N360)</f>
        <v>0</v>
      </c>
      <c r="O361" s="169">
        <f>SUM(O360)</f>
        <v>2506.2220548252108</v>
      </c>
    </row>
    <row r="362" spans="1:15" x14ac:dyDescent="0.3">
      <c r="B362" s="99"/>
      <c r="C362" s="236"/>
      <c r="D362" s="236"/>
      <c r="E362" s="236"/>
      <c r="F362" s="233"/>
      <c r="G362" s="257"/>
      <c r="H362" s="156"/>
      <c r="I362" s="153"/>
      <c r="K362"/>
      <c r="L362"/>
      <c r="O362" s="146"/>
    </row>
    <row r="363" spans="1:15" x14ac:dyDescent="0.3">
      <c r="A363" t="s">
        <v>5210</v>
      </c>
      <c r="B363" s="149" t="s">
        <v>6980</v>
      </c>
      <c r="C363" s="159">
        <f>SUM(O360)</f>
        <v>2506.2220548252108</v>
      </c>
      <c r="D363" s="150"/>
      <c r="E363" s="150"/>
      <c r="F363" s="150"/>
      <c r="G363" s="150"/>
      <c r="H363" s="150"/>
      <c r="I363" s="150"/>
      <c r="J363" s="150"/>
      <c r="K363" s="150"/>
      <c r="L363" s="150"/>
      <c r="M363" s="150"/>
      <c r="N363" s="150"/>
      <c r="O363" s="151"/>
    </row>
    <row r="364" spans="1:15" ht="15" thickBot="1" x14ac:dyDescent="0.35">
      <c r="A364" s="137"/>
      <c r="B364" s="137"/>
      <c r="C364" s="137"/>
      <c r="D364" s="137"/>
      <c r="E364" s="137"/>
      <c r="F364" s="137"/>
      <c r="G364" s="137"/>
      <c r="H364" s="137"/>
      <c r="I364" s="137"/>
      <c r="J364" s="137"/>
      <c r="K364" s="137"/>
      <c r="L364" s="137"/>
      <c r="M364" s="137"/>
      <c r="N364" s="137"/>
      <c r="O364" s="137"/>
    </row>
    <row r="365" spans="1:15" x14ac:dyDescent="0.3">
      <c r="D365"/>
      <c r="E365"/>
      <c r="F365"/>
      <c r="G365"/>
      <c r="H365"/>
      <c r="K365"/>
      <c r="L365"/>
    </row>
    <row r="366" spans="1:15" ht="18" x14ac:dyDescent="0.35">
      <c r="B366" s="2090" t="s">
        <v>2760</v>
      </c>
      <c r="C366" s="142"/>
      <c r="D366" s="142"/>
      <c r="E366" s="142"/>
      <c r="F366" s="141"/>
      <c r="G366"/>
      <c r="H366" s="355"/>
      <c r="K366"/>
      <c r="L366"/>
    </row>
    <row r="367" spans="1:15" x14ac:dyDescent="0.3">
      <c r="B367" s="99"/>
      <c r="D367"/>
      <c r="E367"/>
      <c r="F367" s="146"/>
      <c r="G367"/>
      <c r="H367"/>
      <c r="K367"/>
      <c r="L367"/>
    </row>
    <row r="368" spans="1:15" x14ac:dyDescent="0.3">
      <c r="B368" s="92" t="s">
        <v>6942</v>
      </c>
      <c r="C368" s="82"/>
      <c r="D368" s="82"/>
      <c r="E368" s="139" t="s">
        <v>6988</v>
      </c>
      <c r="F368" s="141"/>
      <c r="G368"/>
      <c r="H368" s="139" t="s">
        <v>7033</v>
      </c>
      <c r="I368" s="142"/>
      <c r="J368" s="142"/>
      <c r="K368" s="141"/>
      <c r="L368"/>
    </row>
    <row r="369" spans="2:12" x14ac:dyDescent="0.3">
      <c r="B369" s="143" t="s">
        <v>2663</v>
      </c>
      <c r="C369" s="144" t="s">
        <v>565</v>
      </c>
      <c r="D369" s="144" t="s">
        <v>6943</v>
      </c>
      <c r="E369" s="143" t="s">
        <v>565</v>
      </c>
      <c r="F369" s="145" t="s">
        <v>6944</v>
      </c>
      <c r="G369"/>
      <c r="H369" s="99" t="s">
        <v>7096</v>
      </c>
      <c r="K369" s="146"/>
      <c r="L369"/>
    </row>
    <row r="370" spans="2:12" x14ac:dyDescent="0.3">
      <c r="B370" s="99" t="s">
        <v>5831</v>
      </c>
      <c r="C370" s="205">
        <f t="shared" ref="C370:C375" si="3">VLOOKUP(B370,$R:$U,3,FALSE)</f>
        <v>3</v>
      </c>
      <c r="D370" t="s">
        <v>7097</v>
      </c>
      <c r="E370" s="99">
        <f>C370</f>
        <v>3</v>
      </c>
      <c r="F370" s="146" t="s">
        <v>7097</v>
      </c>
      <c r="G370"/>
      <c r="H370" s="99" t="s">
        <v>1477</v>
      </c>
      <c r="K370" s="146"/>
      <c r="L370"/>
    </row>
    <row r="371" spans="2:12" x14ac:dyDescent="0.3">
      <c r="B371" s="99" t="s">
        <v>5832</v>
      </c>
      <c r="C371" s="205">
        <f t="shared" si="3"/>
        <v>9.4633333333333329</v>
      </c>
      <c r="D371" t="s">
        <v>5792</v>
      </c>
      <c r="E371" s="164">
        <f>CONVERT(C371,"m^3","gal")</f>
        <v>2499.9481888159444</v>
      </c>
      <c r="F371" s="146" t="s">
        <v>7098</v>
      </c>
      <c r="G371"/>
      <c r="H371" s="149" t="s">
        <v>7099</v>
      </c>
      <c r="I371" s="150"/>
      <c r="J371" s="150"/>
      <c r="K371" s="151"/>
      <c r="L371"/>
    </row>
    <row r="372" spans="2:12" x14ac:dyDescent="0.3">
      <c r="B372" s="99" t="s">
        <v>5802</v>
      </c>
      <c r="C372" s="205">
        <f t="shared" si="3"/>
        <v>1</v>
      </c>
      <c r="D372" t="s">
        <v>2442</v>
      </c>
      <c r="E372" s="165">
        <f>C372</f>
        <v>1</v>
      </c>
      <c r="F372" s="146" t="s">
        <v>2442</v>
      </c>
      <c r="G372"/>
      <c r="H372"/>
      <c r="K372"/>
      <c r="L372"/>
    </row>
    <row r="373" spans="2:12" x14ac:dyDescent="0.3">
      <c r="B373" s="99" t="s">
        <v>5797</v>
      </c>
      <c r="C373" s="147">
        <f t="shared" si="3"/>
        <v>4.9783549783549788</v>
      </c>
      <c r="D373" t="s">
        <v>971</v>
      </c>
      <c r="E373" s="178">
        <f>ROUNDUP(C373,0.1)</f>
        <v>5</v>
      </c>
      <c r="F373" s="146" t="s">
        <v>971</v>
      </c>
      <c r="G373"/>
      <c r="H373"/>
      <c r="K373"/>
      <c r="L373"/>
    </row>
    <row r="374" spans="2:12" x14ac:dyDescent="0.3">
      <c r="B374" s="99" t="s">
        <v>5804</v>
      </c>
      <c r="C374" s="205">
        <f t="shared" si="3"/>
        <v>0.83331606180888895</v>
      </c>
      <c r="D374" t="s">
        <v>7075</v>
      </c>
      <c r="E374" s="164">
        <f>C374*365</f>
        <v>304.16036256024449</v>
      </c>
      <c r="F374" s="146" t="s">
        <v>2710</v>
      </c>
      <c r="G374"/>
      <c r="H374"/>
      <c r="K374"/>
      <c r="L374"/>
    </row>
    <row r="375" spans="2:12" x14ac:dyDescent="0.3">
      <c r="B375" s="99" t="s">
        <v>5808</v>
      </c>
      <c r="C375" s="205">
        <f t="shared" si="3"/>
        <v>3.0935680987176215</v>
      </c>
      <c r="D375" t="s">
        <v>6704</v>
      </c>
      <c r="E375" s="356">
        <f>C375*365</f>
        <v>1129.152356031932</v>
      </c>
      <c r="F375" s="146" t="s">
        <v>5323</v>
      </c>
      <c r="G375"/>
      <c r="H375"/>
      <c r="K375"/>
      <c r="L375"/>
    </row>
    <row r="376" spans="2:12" x14ac:dyDescent="0.3">
      <c r="B376" s="99"/>
      <c r="D376"/>
      <c r="E376" s="99"/>
      <c r="F376" s="146"/>
      <c r="G376"/>
      <c r="H376"/>
      <c r="K376"/>
      <c r="L376"/>
    </row>
    <row r="377" spans="2:12" x14ac:dyDescent="0.3">
      <c r="B377" s="92" t="s">
        <v>6996</v>
      </c>
      <c r="D377"/>
      <c r="E377" s="99"/>
      <c r="F377" s="146"/>
      <c r="G377"/>
      <c r="H377"/>
      <c r="K377"/>
      <c r="L377"/>
    </row>
    <row r="378" spans="2:12" x14ac:dyDescent="0.3">
      <c r="B378" s="143" t="s">
        <v>2663</v>
      </c>
      <c r="D378"/>
      <c r="E378" s="143" t="s">
        <v>565</v>
      </c>
      <c r="F378" s="145" t="s">
        <v>6944</v>
      </c>
      <c r="G378"/>
      <c r="H378"/>
      <c r="K378"/>
      <c r="L378"/>
    </row>
    <row r="379" spans="2:12" x14ac:dyDescent="0.3">
      <c r="B379" s="99" t="s">
        <v>7076</v>
      </c>
      <c r="D379"/>
      <c r="E379" s="357">
        <f>UDV.electricity.avg_cost</f>
        <v>6.8591666666666662E-2</v>
      </c>
      <c r="F379" s="146" t="s">
        <v>2306</v>
      </c>
      <c r="G379"/>
      <c r="H379"/>
      <c r="K379"/>
      <c r="L379"/>
    </row>
    <row r="380" spans="2:12" x14ac:dyDescent="0.3">
      <c r="B380" s="99" t="s">
        <v>7100</v>
      </c>
      <c r="D380"/>
      <c r="E380" s="358">
        <f>UDV.water.avg_cost/1000</f>
        <v>3.858144828221536E-3</v>
      </c>
      <c r="F380" s="146" t="s">
        <v>2315</v>
      </c>
      <c r="G380"/>
      <c r="H380"/>
      <c r="K380"/>
      <c r="L380"/>
    </row>
    <row r="381" spans="2:12" x14ac:dyDescent="0.3">
      <c r="B381" s="99" t="s">
        <v>5960</v>
      </c>
      <c r="C381" s="278"/>
      <c r="D381"/>
      <c r="E381" s="164">
        <f>E370*E371*365</f>
        <v>2737443.2667534589</v>
      </c>
      <c r="F381" s="146" t="s">
        <v>5324</v>
      </c>
      <c r="G381"/>
      <c r="H381"/>
      <c r="K381"/>
      <c r="L381"/>
    </row>
    <row r="382" spans="2:12" x14ac:dyDescent="0.3">
      <c r="B382" s="99" t="s">
        <v>5819</v>
      </c>
      <c r="C382" s="205">
        <f>VLOOKUP(B382,$R:$U,3,FALSE)</f>
        <v>600</v>
      </c>
      <c r="D382" t="s">
        <v>2340</v>
      </c>
      <c r="E382" s="2101"/>
      <c r="F382" s="2089"/>
      <c r="G382"/>
      <c r="H382"/>
      <c r="K382"/>
      <c r="L382"/>
    </row>
    <row r="383" spans="2:12" x14ac:dyDescent="0.3">
      <c r="B383" s="99" t="s">
        <v>5820</v>
      </c>
      <c r="C383" s="205">
        <f>VLOOKUP(B383,$R:$U,3,FALSE)</f>
        <v>200</v>
      </c>
      <c r="D383" t="s">
        <v>2340</v>
      </c>
      <c r="E383" s="164"/>
      <c r="F383" s="146"/>
      <c r="G383"/>
      <c r="H383"/>
      <c r="K383"/>
      <c r="L383"/>
    </row>
    <row r="384" spans="2:12" x14ac:dyDescent="0.3">
      <c r="B384" s="149" t="s">
        <v>7101</v>
      </c>
      <c r="C384" s="209"/>
      <c r="D384" s="150"/>
      <c r="E384" s="360">
        <f>SUM(C382:C383)</f>
        <v>800</v>
      </c>
      <c r="F384" s="151" t="s">
        <v>2340</v>
      </c>
      <c r="G384"/>
      <c r="H384"/>
      <c r="K384"/>
      <c r="L384"/>
    </row>
    <row r="385" spans="1:15" x14ac:dyDescent="0.3">
      <c r="B385" s="90"/>
      <c r="C385" s="82"/>
      <c r="D385"/>
      <c r="E385"/>
      <c r="F385"/>
      <c r="G385"/>
      <c r="H385" s="152"/>
      <c r="I385" s="152"/>
      <c r="K385"/>
      <c r="L385"/>
      <c r="O385" s="152"/>
    </row>
    <row r="386" spans="1:15" ht="43.2" x14ac:dyDescent="0.3">
      <c r="B386" s="361" t="s">
        <v>6946</v>
      </c>
      <c r="C386" s="362" t="s">
        <v>6947</v>
      </c>
      <c r="D386" s="362" t="s">
        <v>6948</v>
      </c>
      <c r="E386" s="362" t="s">
        <v>6949</v>
      </c>
      <c r="F386" s="362" t="s">
        <v>6950</v>
      </c>
      <c r="G386" s="362" t="s">
        <v>6951</v>
      </c>
      <c r="H386" s="362" t="s">
        <v>6952</v>
      </c>
      <c r="I386" s="362" t="s">
        <v>6953</v>
      </c>
      <c r="J386" s="362" t="s">
        <v>6954</v>
      </c>
      <c r="K386" s="362" t="s">
        <v>6955</v>
      </c>
      <c r="L386" s="362" t="s">
        <v>6956</v>
      </c>
      <c r="M386" s="140" t="s">
        <v>6957</v>
      </c>
      <c r="N386" s="140" t="s">
        <v>6958</v>
      </c>
      <c r="O386" s="363" t="s">
        <v>6959</v>
      </c>
    </row>
    <row r="387" spans="1:15" x14ac:dyDescent="0.3">
      <c r="B387" s="99" t="s">
        <v>7102</v>
      </c>
      <c r="C387" s="153">
        <f>VLOOKUP("Underground 12 in pipe for flushDefault",Econ.Tables!$C:$E,2,FALSE)*E384</f>
        <v>25600</v>
      </c>
      <c r="D387">
        <f>VLOOKUP("CAPEXLifetimeBuildings and constructionDefault",Econ.inputsTable!$E:$H,2,FALSE)</f>
        <v>20</v>
      </c>
      <c r="E387" t="s">
        <v>2852</v>
      </c>
      <c r="F387" t="s">
        <v>2852</v>
      </c>
      <c r="G387" s="257">
        <f>VLOOKUP("CAPEXAnnual usage on activityItems that are used only on the given activityDefault",Econ.inputsTable!$E:$I,2,FALSE)</f>
        <v>1</v>
      </c>
      <c r="H387" s="503">
        <f>UDV.econ_capital.interest_rate</f>
        <v>5.0999999999999997E-2</v>
      </c>
      <c r="I387" s="154">
        <f>VLOOKUP("CAPEXSalvageBuildings and constructionDefault",Econ.inputsTable!$E:$H,2,FALSE)</f>
        <v>0</v>
      </c>
      <c r="J387" s="153">
        <f>C387*I387</f>
        <v>0</v>
      </c>
      <c r="K387" s="257">
        <f>VLOOKUP("CAPEXFinanced amountNADefault",Econ.inputsTable!$E:$I,2,FALSE)</f>
        <v>1</v>
      </c>
      <c r="L387" s="364">
        <f>H387*K387</f>
        <v>5.0999999999999997E-2</v>
      </c>
      <c r="M387" s="351">
        <f>L387/(1-(1+L387)^-D387)</f>
        <v>8.0924368970045152E-2</v>
      </c>
      <c r="N387" s="153">
        <f>((C387-J387)*M387)+(J387*L387)</f>
        <v>2071.6638456331557</v>
      </c>
      <c r="O387" s="157">
        <f>G387*N387</f>
        <v>2071.6638456331557</v>
      </c>
    </row>
    <row r="388" spans="1:15" x14ac:dyDescent="0.3">
      <c r="B388" s="99" t="s">
        <v>7103</v>
      </c>
      <c r="C388" s="153">
        <f>VLOOKUP("Pump, non-pto flushDefault",Econ.Tables!$C:$E,2,FALSE)*E372</f>
        <v>10800</v>
      </c>
      <c r="D388">
        <f>VLOOKUP("CAPEXLifetimePump, non-ptoDefault",Econ.inputsTable!$E:$I,2,FALSE)</f>
        <v>17</v>
      </c>
      <c r="E388" t="s">
        <v>2852</v>
      </c>
      <c r="F388" s="166">
        <f>E374*E372</f>
        <v>304.16036256024449</v>
      </c>
      <c r="G388" s="257">
        <f>VLOOKUP("CAPEXAnnual usage on activityItems that are used only on the given activityDefault",Econ.inputsTable!$E:$I,2,FALSE)</f>
        <v>1</v>
      </c>
      <c r="H388" s="503">
        <f>UDV.econ_capital.interest_rate</f>
        <v>5.0999999999999997E-2</v>
      </c>
      <c r="I388" s="257">
        <f>VLOOKUP("CAPEXSalvageEquipmentDefault",Econ.inputsTable!$E:$I,2,FALSE)</f>
        <v>0.2</v>
      </c>
      <c r="J388" s="153">
        <f>C388*I388</f>
        <v>2160</v>
      </c>
      <c r="K388" s="257">
        <f>VLOOKUP("CAPEXFinanced amountNADefault",Econ.inputsTable!$E:$I,2,FALSE)</f>
        <v>1</v>
      </c>
      <c r="L388" s="364">
        <f>H388*K388</f>
        <v>5.0999999999999997E-2</v>
      </c>
      <c r="M388" s="351">
        <f>L388/(1-(1+L388)^-D388)</f>
        <v>8.9362846108502439E-2</v>
      </c>
      <c r="N388" s="153">
        <f>((C388-J388)*M388)+(J388*L388)</f>
        <v>882.25499037746101</v>
      </c>
      <c r="O388" s="157">
        <f>G388*N388</f>
        <v>882.25499037746101</v>
      </c>
    </row>
    <row r="389" spans="1:15" x14ac:dyDescent="0.3">
      <c r="B389" s="99" t="s">
        <v>7099</v>
      </c>
      <c r="C389" s="153">
        <f>VLOOKUP(_xlfn.CONCAT("Motor, ", E373, " hpDefault"), Econ.Tables!C:E, 2, FALSE)*E372</f>
        <v>850</v>
      </c>
      <c r="D389">
        <f>VLOOKUP("CAPEXLifetimeMotorDefault",Econ.inputsTable!$E:$I,2,FALSE)</f>
        <v>20</v>
      </c>
      <c r="E389" t="s">
        <v>2852</v>
      </c>
      <c r="F389" s="166">
        <f>E374*E372</f>
        <v>304.16036256024449</v>
      </c>
      <c r="G389" s="257">
        <f>VLOOKUP("CAPEXAnnual usage on activityItems that are used only on the given activityDefault",Econ.inputsTable!$E:$I,2,FALSE)</f>
        <v>1</v>
      </c>
      <c r="H389" s="503">
        <f>UDV.econ_capital.interest_rate</f>
        <v>5.0999999999999997E-2</v>
      </c>
      <c r="I389" s="257">
        <f>VLOOKUP("CAPEXSalvageEquipmentDefault",Econ.inputsTable!$E:$I,2,FALSE)</f>
        <v>0.2</v>
      </c>
      <c r="J389" s="153">
        <f>C389*I389</f>
        <v>170</v>
      </c>
      <c r="K389" s="257">
        <f>VLOOKUP("CAPEXFinanced amountNADefault",Econ.inputsTable!$E:$I,2,FALSE)</f>
        <v>1</v>
      </c>
      <c r="L389" s="364">
        <f>H389*K389</f>
        <v>5.0999999999999997E-2</v>
      </c>
      <c r="M389" s="351">
        <f>L389/(1-(1+L389)^-D389)</f>
        <v>8.0924368970045152E-2</v>
      </c>
      <c r="N389" s="153">
        <f>((C389-J389)*M389)+(J389*L389)</f>
        <v>63.698570899630703</v>
      </c>
      <c r="O389" s="157">
        <f>G389*N389</f>
        <v>63.698570899630703</v>
      </c>
    </row>
    <row r="390" spans="1:15" x14ac:dyDescent="0.3">
      <c r="B390" s="99"/>
      <c r="O390" s="146"/>
    </row>
    <row r="391" spans="1:15" x14ac:dyDescent="0.3">
      <c r="B391" s="99"/>
      <c r="C391" s="82" t="s">
        <v>7009</v>
      </c>
      <c r="D391" s="82" t="s">
        <v>6963</v>
      </c>
      <c r="E391"/>
      <c r="F391"/>
      <c r="G391"/>
      <c r="H391"/>
      <c r="K391"/>
      <c r="L391"/>
      <c r="O391" s="146"/>
    </row>
    <row r="392" spans="1:15" x14ac:dyDescent="0.3">
      <c r="A392" t="s">
        <v>5211</v>
      </c>
      <c r="B392" s="99" t="s">
        <v>6964</v>
      </c>
      <c r="C392" s="153">
        <f>SUM(C387:C389)</f>
        <v>37250</v>
      </c>
      <c r="D392" s="153">
        <f>SUMPRODUCT(C387:C389,G387:G389)</f>
        <v>37250</v>
      </c>
      <c r="E392"/>
      <c r="F392"/>
      <c r="G392"/>
      <c r="H392"/>
      <c r="K392"/>
      <c r="L392"/>
      <c r="O392" s="146"/>
    </row>
    <row r="393" spans="1:15" x14ac:dyDescent="0.3">
      <c r="A393" t="s">
        <v>5211</v>
      </c>
      <c r="B393" s="149" t="s">
        <v>6965</v>
      </c>
      <c r="C393" s="159">
        <f>SUM(N387:N389)</f>
        <v>3017.6174069102476</v>
      </c>
      <c r="D393" s="159">
        <f>SUMPRODUCT(N387:N389,G387:G389)</f>
        <v>3017.6174069102476</v>
      </c>
      <c r="E393" s="150"/>
      <c r="F393" s="150"/>
      <c r="G393" s="150"/>
      <c r="H393" s="150"/>
      <c r="I393" s="150"/>
      <c r="J393" s="150"/>
      <c r="K393" s="150"/>
      <c r="L393" s="150"/>
      <c r="M393" s="150"/>
      <c r="N393" s="150"/>
      <c r="O393" s="151"/>
    </row>
    <row r="394" spans="1:15" x14ac:dyDescent="0.3">
      <c r="B394" s="99"/>
      <c r="C394" s="153"/>
      <c r="D394" s="153"/>
      <c r="E394"/>
      <c r="F394"/>
      <c r="G394"/>
      <c r="H394"/>
      <c r="K394"/>
      <c r="L394"/>
      <c r="O394" s="146"/>
    </row>
    <row r="395" spans="1:15" ht="57.6" x14ac:dyDescent="0.3">
      <c r="B395" s="160" t="s">
        <v>6966</v>
      </c>
      <c r="C395" s="152" t="s">
        <v>6967</v>
      </c>
      <c r="D395" s="152" t="s">
        <v>6968</v>
      </c>
      <c r="E395" s="152" t="s">
        <v>6969</v>
      </c>
      <c r="F395" s="152" t="s">
        <v>6970</v>
      </c>
      <c r="G395" s="152" t="s">
        <v>6971</v>
      </c>
      <c r="H395" s="152" t="s">
        <v>6972</v>
      </c>
      <c r="I395" s="152" t="s">
        <v>6973</v>
      </c>
      <c r="J395" s="152" t="s">
        <v>6974</v>
      </c>
      <c r="K395" s="152" t="s">
        <v>6975</v>
      </c>
      <c r="L395" s="152" t="s">
        <v>6976</v>
      </c>
      <c r="M395" s="152" t="s">
        <v>6977</v>
      </c>
      <c r="N395" s="152" t="s">
        <v>6978</v>
      </c>
      <c r="O395" s="161" t="s">
        <v>6979</v>
      </c>
    </row>
    <row r="396" spans="1:15" x14ac:dyDescent="0.3">
      <c r="B396" s="99" t="s">
        <v>7102</v>
      </c>
      <c r="C396" s="236">
        <f>VLOOKUP("OPEXInsuranceEverythingDefault",Econ.inputsTable!$E:$I,2,FALSE)</f>
        <v>5.0000000000000001E-3</v>
      </c>
      <c r="D396" s="236">
        <f>VLOOKUP("OPEXRepair and maintenanceBuildings and constructionDefault",Econ.inputsTable!$E:$I,2,FALSE)</f>
        <v>0.01</v>
      </c>
      <c r="E396"/>
      <c r="F396" s="365"/>
      <c r="G396" s="365"/>
      <c r="H396"/>
      <c r="I396" s="365"/>
      <c r="J396" s="365"/>
      <c r="K396"/>
      <c r="L396"/>
      <c r="O396" s="167">
        <f>(SUM(C396:D396)*C387*G387)+SUM(E396,G396,I396,J396,L396,N396)</f>
        <v>384</v>
      </c>
    </row>
    <row r="397" spans="1:15" x14ac:dyDescent="0.3">
      <c r="B397" s="99" t="s">
        <v>7103</v>
      </c>
      <c r="C397" s="236">
        <f>VLOOKUP("OPEXInsuranceEverythingDefault",Econ.inputsTable!$E:$I,2,FALSE)</f>
        <v>5.0000000000000001E-3</v>
      </c>
      <c r="D397" s="236">
        <f>VLOOKUP("OPEXRepair and maintenancePump, non-ptoDefault",Econ.inputsTable!$E:$I,2,FALSE)</f>
        <v>0.05</v>
      </c>
      <c r="E397"/>
      <c r="F397" s="365"/>
      <c r="G397" s="365"/>
      <c r="H397"/>
      <c r="I397" s="365"/>
      <c r="J397" s="365"/>
      <c r="K397"/>
      <c r="L397"/>
      <c r="O397" s="167">
        <f>(SUM(C397:D397)*C388*G388)+SUM(E397,G397,I397,J397,L397,N397)</f>
        <v>594</v>
      </c>
    </row>
    <row r="398" spans="1:15" x14ac:dyDescent="0.3">
      <c r="B398" s="99" t="s">
        <v>7099</v>
      </c>
      <c r="C398" s="236">
        <f>VLOOKUP("OPEXInsuranceEverythingDefault",Econ.inputsTable!$E:$I,2,FALSE)</f>
        <v>5.0000000000000001E-3</v>
      </c>
      <c r="D398" s="236">
        <f>VLOOKUP("OPEXRepair and maintenanceEquipmentDefault",Econ.inputsTable!$E:$I,2,FALSE)</f>
        <v>0.03</v>
      </c>
      <c r="E398"/>
      <c r="F398" s="166">
        <f>E375</f>
        <v>1129.152356031932</v>
      </c>
      <c r="G398" s="233">
        <f>F398*E379</f>
        <v>77.450442020823601</v>
      </c>
      <c r="H398"/>
      <c r="I398" s="365"/>
      <c r="J398" s="365"/>
      <c r="K398"/>
      <c r="L398"/>
      <c r="O398" s="167">
        <f>(SUM(C398:D398)*C389*G389)+SUM(E398,G398,I398,J398,L398,N398)</f>
        <v>107.2004420208236</v>
      </c>
    </row>
    <row r="399" spans="1:15" x14ac:dyDescent="0.3">
      <c r="A399" t="s">
        <v>5211</v>
      </c>
      <c r="B399" s="162" t="s">
        <v>5203</v>
      </c>
      <c r="C399" s="366"/>
      <c r="D399" s="366"/>
      <c r="E399" s="367">
        <f>SUM(E396:E398)</f>
        <v>0</v>
      </c>
      <c r="F399" s="168">
        <f t="shared" ref="F399:O399" si="4">SUM(F396:F398)</f>
        <v>1129.152356031932</v>
      </c>
      <c r="G399" s="367">
        <f t="shared" si="4"/>
        <v>77.450442020823601</v>
      </c>
      <c r="H399" s="163">
        <f t="shared" si="4"/>
        <v>0</v>
      </c>
      <c r="I399" s="367">
        <f t="shared" si="4"/>
        <v>0</v>
      </c>
      <c r="J399" s="367">
        <f t="shared" si="4"/>
        <v>0</v>
      </c>
      <c r="K399" s="163">
        <f t="shared" si="4"/>
        <v>0</v>
      </c>
      <c r="L399" s="367">
        <f t="shared" si="4"/>
        <v>0</v>
      </c>
      <c r="M399" s="163">
        <f t="shared" si="4"/>
        <v>0</v>
      </c>
      <c r="N399" s="367">
        <f t="shared" si="4"/>
        <v>0</v>
      </c>
      <c r="O399" s="169">
        <f t="shared" si="4"/>
        <v>1085.2004420208236</v>
      </c>
    </row>
    <row r="400" spans="1:15" x14ac:dyDescent="0.3">
      <c r="B400" s="99"/>
      <c r="D400"/>
      <c r="E400"/>
      <c r="F400"/>
      <c r="G400"/>
      <c r="H400"/>
      <c r="K400"/>
      <c r="L400"/>
      <c r="O400" s="146"/>
    </row>
    <row r="401" spans="1:15" x14ac:dyDescent="0.3">
      <c r="A401" t="s">
        <v>5211</v>
      </c>
      <c r="B401" s="149" t="s">
        <v>6980</v>
      </c>
      <c r="C401" s="159">
        <f>SUM(O396:O398)</f>
        <v>1085.2004420208236</v>
      </c>
      <c r="D401" s="150"/>
      <c r="E401" s="150"/>
      <c r="F401" s="150"/>
      <c r="G401" s="150"/>
      <c r="H401" s="150"/>
      <c r="I401" s="150"/>
      <c r="J401" s="150"/>
      <c r="K401" s="150"/>
      <c r="L401" s="150"/>
      <c r="M401" s="150"/>
      <c r="N401" s="150"/>
      <c r="O401" s="151"/>
    </row>
    <row r="402" spans="1:15" x14ac:dyDescent="0.3">
      <c r="B402" s="99"/>
      <c r="C402" s="153"/>
      <c r="D402"/>
      <c r="E402"/>
      <c r="F402"/>
      <c r="G402"/>
      <c r="H402"/>
      <c r="K402"/>
      <c r="L402"/>
      <c r="O402" s="146"/>
    </row>
    <row r="403" spans="1:15" x14ac:dyDescent="0.3">
      <c r="B403" s="368" t="s">
        <v>7104</v>
      </c>
      <c r="C403" s="82" t="s">
        <v>7105</v>
      </c>
      <c r="D403"/>
      <c r="E403"/>
      <c r="F403"/>
      <c r="G403"/>
      <c r="H403"/>
      <c r="K403"/>
      <c r="L403"/>
      <c r="O403" s="146"/>
    </row>
    <row r="404" spans="1:15" x14ac:dyDescent="0.3">
      <c r="B404" s="99" t="s">
        <v>7106</v>
      </c>
      <c r="C404" s="153">
        <f>E381*E380</f>
        <v>10561.452582174725</v>
      </c>
      <c r="D404"/>
      <c r="E404"/>
      <c r="F404"/>
      <c r="G404"/>
      <c r="H404"/>
      <c r="K404"/>
      <c r="L404"/>
      <c r="O404" s="146"/>
    </row>
    <row r="405" spans="1:15" x14ac:dyDescent="0.3">
      <c r="B405" s="99"/>
      <c r="D405"/>
      <c r="E405"/>
      <c r="F405"/>
      <c r="G405"/>
      <c r="H405"/>
      <c r="K405"/>
      <c r="L405"/>
      <c r="O405" s="146"/>
    </row>
    <row r="406" spans="1:15" x14ac:dyDescent="0.3">
      <c r="A406" t="s">
        <v>5211</v>
      </c>
      <c r="B406" s="149" t="s">
        <v>7107</v>
      </c>
      <c r="C406" s="159">
        <f>SUM(C404)</f>
        <v>10561.452582174725</v>
      </c>
      <c r="D406" s="150"/>
      <c r="E406" s="150"/>
      <c r="F406" s="150"/>
      <c r="G406" s="150"/>
      <c r="H406" s="150"/>
      <c r="I406" s="150"/>
      <c r="J406" s="150"/>
      <c r="K406" s="150"/>
      <c r="L406" s="150"/>
      <c r="M406" s="150"/>
      <c r="N406" s="150"/>
      <c r="O406" s="151"/>
    </row>
    <row r="407" spans="1:15" ht="15" thickBot="1" x14ac:dyDescent="0.35">
      <c r="A407" s="137"/>
      <c r="B407" s="137"/>
      <c r="C407" s="137"/>
      <c r="D407" s="2093"/>
      <c r="E407" s="2093"/>
      <c r="F407" s="2094"/>
      <c r="G407" s="2095"/>
      <c r="H407" s="2096"/>
      <c r="I407" s="137"/>
      <c r="J407" s="137"/>
      <c r="K407" s="2095"/>
      <c r="L407" s="2095"/>
      <c r="M407" s="137"/>
      <c r="N407" s="137"/>
      <c r="O407" s="137"/>
    </row>
    <row r="408" spans="1:15" x14ac:dyDescent="0.3">
      <c r="A408" s="2116"/>
      <c r="B408" s="2116"/>
      <c r="C408" s="2116"/>
      <c r="D408" s="2120"/>
      <c r="E408" s="2120"/>
      <c r="F408" s="2121"/>
      <c r="G408" s="2122"/>
      <c r="H408" s="2123"/>
      <c r="I408" s="2116"/>
      <c r="J408" s="2116"/>
      <c r="K408" s="2122"/>
      <c r="L408" s="2122"/>
      <c r="M408" s="2116"/>
      <c r="N408" s="2116"/>
      <c r="O408" s="2116"/>
    </row>
    <row r="409" spans="1:15" ht="15.6" x14ac:dyDescent="0.3">
      <c r="B409" s="138" t="s">
        <v>6981</v>
      </c>
      <c r="C409" s="170" t="s">
        <v>7108</v>
      </c>
      <c r="D409"/>
      <c r="E409"/>
      <c r="F409"/>
    </row>
    <row r="410" spans="1:15" ht="15.6" x14ac:dyDescent="0.3">
      <c r="B410" s="138"/>
      <c r="D410"/>
      <c r="E410"/>
      <c r="F410"/>
    </row>
    <row r="411" spans="1:15" x14ac:dyDescent="0.3">
      <c r="B411" s="139" t="s">
        <v>6983</v>
      </c>
      <c r="C411" s="140" t="s">
        <v>565</v>
      </c>
      <c r="D411" s="140" t="s">
        <v>38</v>
      </c>
      <c r="E411" s="142"/>
      <c r="F411" s="141"/>
    </row>
    <row r="412" spans="1:15" x14ac:dyDescent="0.3">
      <c r="B412" s="99" t="s">
        <v>6984</v>
      </c>
      <c r="C412">
        <f>UDV.crops.acres_available</f>
        <v>100</v>
      </c>
      <c r="D412" t="s">
        <v>5385</v>
      </c>
      <c r="E412" s="34"/>
      <c r="F412" s="146"/>
    </row>
    <row r="413" spans="1:15" x14ac:dyDescent="0.3">
      <c r="B413" s="99" t="s">
        <v>7109</v>
      </c>
      <c r="C413" s="166">
        <f>UDV.econ_manure.liquid_sell_pct*VLOOKUP("Excess volume, lagoon liquid manure",$R$1:$T$333, 3, FALSE)</f>
        <v>0</v>
      </c>
      <c r="D413" t="s">
        <v>5246</v>
      </c>
      <c r="E413"/>
      <c r="F413" s="146"/>
    </row>
    <row r="414" spans="1:15" x14ac:dyDescent="0.3">
      <c r="B414" s="99" t="s">
        <v>7110</v>
      </c>
      <c r="C414" s="166">
        <f>UDV.econ_manure.liquid_give_pct*VLOOKUP("Excess volume, lagoon liquid manure",$R$1:$T$333, 3, FALSE)</f>
        <v>0</v>
      </c>
      <c r="D414" t="s">
        <v>5246</v>
      </c>
      <c r="E414"/>
      <c r="F414" s="146"/>
    </row>
    <row r="415" spans="1:15" x14ac:dyDescent="0.3">
      <c r="B415" s="99" t="s">
        <v>7111</v>
      </c>
      <c r="C415" s="166">
        <f>UDV.econ_manure.liquid_export_pct*VLOOKUP("Excess volume, lagoon liquid manure",$R$1:$T$333, 3, FALSE)</f>
        <v>0</v>
      </c>
      <c r="D415" t="s">
        <v>5246</v>
      </c>
      <c r="E415"/>
      <c r="F415" s="146"/>
    </row>
    <row r="416" spans="1:15" x14ac:dyDescent="0.3">
      <c r="B416" s="99" t="s">
        <v>7112</v>
      </c>
      <c r="C416" s="166">
        <f>UDV.econ_manure.sludge_sell_pct*VLOOKUP("Excess volume, lagoon sludge manure",$R$1:$T$333, 3, FALSE)</f>
        <v>0</v>
      </c>
      <c r="D416" t="s">
        <v>5246</v>
      </c>
      <c r="E416"/>
      <c r="F416" s="146"/>
    </row>
    <row r="417" spans="2:8" x14ac:dyDescent="0.3">
      <c r="B417" s="99" t="s">
        <v>7113</v>
      </c>
      <c r="C417" s="166">
        <f>UDV.econ_manure.sludge_give_pct*VLOOKUP("Excess volume, lagoon sludge manure",$R$1:$T$333, 3, FALSE)</f>
        <v>483.89339964141004</v>
      </c>
      <c r="D417" t="s">
        <v>5246</v>
      </c>
      <c r="E417"/>
      <c r="F417" s="146"/>
    </row>
    <row r="418" spans="2:8" x14ac:dyDescent="0.3">
      <c r="B418" s="99" t="s">
        <v>7114</v>
      </c>
      <c r="C418" s="166">
        <f>UDV.econ_manure.sludge_export_pct*VLOOKUP("Excess volume, lagoon sludge manure",$R$1:$T$333, 3, FALSE)</f>
        <v>0</v>
      </c>
      <c r="D418" t="s">
        <v>5246</v>
      </c>
      <c r="E418"/>
      <c r="F418" s="146"/>
    </row>
    <row r="419" spans="2:8" x14ac:dyDescent="0.3">
      <c r="B419" s="99"/>
      <c r="D419"/>
      <c r="E419"/>
      <c r="F419" s="151"/>
    </row>
    <row r="420" spans="2:8" x14ac:dyDescent="0.3">
      <c r="B420" s="92" t="s">
        <v>6942</v>
      </c>
      <c r="D420"/>
      <c r="E420" s="139" t="s">
        <v>6988</v>
      </c>
      <c r="F420" s="141"/>
    </row>
    <row r="421" spans="2:8" x14ac:dyDescent="0.3">
      <c r="B421" s="175" t="s">
        <v>2908</v>
      </c>
      <c r="D421"/>
      <c r="E421" s="99"/>
      <c r="F421" s="146"/>
    </row>
    <row r="422" spans="2:8" x14ac:dyDescent="0.3">
      <c r="B422" s="143" t="s">
        <v>2663</v>
      </c>
      <c r="C422" s="144" t="s">
        <v>565</v>
      </c>
      <c r="D422" s="144" t="s">
        <v>6943</v>
      </c>
      <c r="E422" s="143" t="s">
        <v>565</v>
      </c>
      <c r="F422" s="145" t="s">
        <v>6944</v>
      </c>
    </row>
    <row r="423" spans="2:8" x14ac:dyDescent="0.3">
      <c r="B423" s="99" t="s">
        <v>5676</v>
      </c>
      <c r="C423" s="147">
        <f>VLOOKUP(B423,$R:$U,3,FALSE)</f>
        <v>160</v>
      </c>
      <c r="D423" t="s">
        <v>5689</v>
      </c>
      <c r="E423" s="99">
        <f>C423</f>
        <v>160</v>
      </c>
      <c r="F423" s="146" t="s">
        <v>5689</v>
      </c>
      <c r="G423"/>
      <c r="H423"/>
    </row>
    <row r="424" spans="2:8" x14ac:dyDescent="0.3">
      <c r="B424" s="99" t="s">
        <v>6989</v>
      </c>
      <c r="C424" s="147"/>
      <c r="D424" t="s">
        <v>2442</v>
      </c>
      <c r="E424" s="99">
        <f>E425</f>
        <v>1</v>
      </c>
      <c r="F424" s="146" t="s">
        <v>2442</v>
      </c>
      <c r="G424"/>
      <c r="H424"/>
    </row>
    <row r="425" spans="2:8" x14ac:dyDescent="0.3">
      <c r="B425" s="222" t="s">
        <v>5735</v>
      </c>
      <c r="C425" s="147">
        <f>VLOOKUP(B425,$R:$U,3,FALSE)</f>
        <v>1</v>
      </c>
      <c r="D425" t="s">
        <v>2442</v>
      </c>
      <c r="E425" s="178">
        <f>C425</f>
        <v>1</v>
      </c>
      <c r="F425" s="146" t="s">
        <v>2442</v>
      </c>
      <c r="G425"/>
      <c r="H425"/>
    </row>
    <row r="426" spans="2:8" x14ac:dyDescent="0.3">
      <c r="B426" s="99" t="s">
        <v>5663</v>
      </c>
      <c r="C426" s="147">
        <f>VLOOKUP(B426,$R:$U,3,FALSE)</f>
        <v>180</v>
      </c>
      <c r="D426" t="s">
        <v>5689</v>
      </c>
      <c r="E426" s="99">
        <f>C426</f>
        <v>180</v>
      </c>
      <c r="F426" s="146" t="s">
        <v>5689</v>
      </c>
      <c r="G426"/>
      <c r="H426"/>
    </row>
    <row r="427" spans="2:8" x14ac:dyDescent="0.3">
      <c r="B427" s="99" t="s">
        <v>6990</v>
      </c>
      <c r="C427" s="297"/>
      <c r="D427" t="s">
        <v>2442</v>
      </c>
      <c r="E427" s="99">
        <f>E428</f>
        <v>1</v>
      </c>
      <c r="F427" s="146" t="s">
        <v>2442</v>
      </c>
      <c r="G427"/>
      <c r="H427"/>
    </row>
    <row r="428" spans="2:8" x14ac:dyDescent="0.3">
      <c r="B428" s="222" t="s">
        <v>5736</v>
      </c>
      <c r="C428" s="147">
        <f>VLOOKUP(B428,$R:$U,3,FALSE)</f>
        <v>1</v>
      </c>
      <c r="D428" t="s">
        <v>2442</v>
      </c>
      <c r="E428" s="178">
        <f>C428</f>
        <v>1</v>
      </c>
      <c r="F428" s="146" t="s">
        <v>2442</v>
      </c>
      <c r="G428"/>
      <c r="H428"/>
    </row>
    <row r="429" spans="2:8" x14ac:dyDescent="0.3">
      <c r="B429" s="99" t="s">
        <v>5638</v>
      </c>
      <c r="C429" s="147">
        <f>VLOOKUP(B429,$R:$U,3,FALSE)</f>
        <v>250</v>
      </c>
      <c r="D429" t="s">
        <v>5689</v>
      </c>
      <c r="E429" s="99">
        <f>C429</f>
        <v>250</v>
      </c>
      <c r="F429" s="146" t="s">
        <v>5689</v>
      </c>
      <c r="G429"/>
      <c r="H429"/>
    </row>
    <row r="430" spans="2:8" x14ac:dyDescent="0.3">
      <c r="B430" s="99" t="s">
        <v>5637</v>
      </c>
      <c r="C430" s="147">
        <f>VLOOKUP(B430,$R:$U,3,FALSE)</f>
        <v>6000</v>
      </c>
      <c r="D430" t="s">
        <v>2480</v>
      </c>
      <c r="E430" s="99">
        <f>C430</f>
        <v>6000</v>
      </c>
      <c r="F430" s="146" t="s">
        <v>2480</v>
      </c>
      <c r="G430"/>
      <c r="H430"/>
    </row>
    <row r="431" spans="2:8" x14ac:dyDescent="0.3">
      <c r="B431" s="99" t="s">
        <v>6991</v>
      </c>
      <c r="C431" s="147"/>
      <c r="D431" s="146" t="s">
        <v>2442</v>
      </c>
      <c r="E431">
        <f>E432</f>
        <v>1</v>
      </c>
      <c r="F431" s="146" t="s">
        <v>2442</v>
      </c>
      <c r="G431"/>
      <c r="H431"/>
    </row>
    <row r="432" spans="2:8" x14ac:dyDescent="0.3">
      <c r="B432" s="222" t="s">
        <v>5734</v>
      </c>
      <c r="C432" s="147">
        <f>VLOOKUP(B432,$R:$U,3,FALSE)</f>
        <v>1</v>
      </c>
      <c r="D432" t="s">
        <v>2442</v>
      </c>
      <c r="E432" s="178">
        <f>C432</f>
        <v>1</v>
      </c>
      <c r="F432" s="146" t="s">
        <v>2442</v>
      </c>
      <c r="G432"/>
      <c r="H432"/>
    </row>
    <row r="433" spans="2:25" x14ac:dyDescent="0.3">
      <c r="B433" s="99" t="s">
        <v>5732</v>
      </c>
      <c r="C433" s="147" t="str">
        <f>VLOOKUP(B433,$R:$U,3,FALSE)</f>
        <v>Injection</v>
      </c>
      <c r="D433" t="s">
        <v>6992</v>
      </c>
      <c r="E433" s="99" t="str">
        <f>C433</f>
        <v>Injection</v>
      </c>
      <c r="F433" s="146" t="s">
        <v>6992</v>
      </c>
      <c r="G433"/>
      <c r="H433"/>
    </row>
    <row r="434" spans="2:25" x14ac:dyDescent="0.3">
      <c r="B434" s="99"/>
      <c r="C434" s="147"/>
      <c r="D434"/>
      <c r="E434" s="99"/>
      <c r="F434" s="146"/>
      <c r="G434"/>
      <c r="H434"/>
      <c r="K434"/>
      <c r="L434"/>
      <c r="R434"/>
      <c r="W434"/>
      <c r="Y434"/>
    </row>
    <row r="435" spans="2:25" x14ac:dyDescent="0.3">
      <c r="B435" s="175" t="s">
        <v>7115</v>
      </c>
      <c r="C435" s="147"/>
      <c r="D435"/>
      <c r="E435" s="99"/>
      <c r="F435" s="146"/>
      <c r="G435"/>
      <c r="H435"/>
      <c r="K435"/>
      <c r="L435"/>
      <c r="R435"/>
      <c r="W435"/>
      <c r="Y435"/>
    </row>
    <row r="436" spans="2:25" x14ac:dyDescent="0.3">
      <c r="B436" s="143" t="s">
        <v>2663</v>
      </c>
      <c r="C436" s="147"/>
      <c r="D436"/>
      <c r="E436" s="99"/>
      <c r="F436" s="146"/>
      <c r="G436"/>
      <c r="H436"/>
      <c r="K436"/>
      <c r="L436"/>
      <c r="R436"/>
      <c r="W436"/>
      <c r="Y436"/>
    </row>
    <row r="437" spans="2:25" x14ac:dyDescent="0.3">
      <c r="B437" s="99" t="s">
        <v>6407</v>
      </c>
      <c r="C437" s="147">
        <f>VLOOKUP(B437,$R:$U,3,FALSE)</f>
        <v>25.66270624679748</v>
      </c>
      <c r="D437" t="s">
        <v>5385</v>
      </c>
      <c r="E437" s="178">
        <f>C437</f>
        <v>25.66270624679748</v>
      </c>
      <c r="F437" s="146" t="s">
        <v>5385</v>
      </c>
      <c r="G437"/>
      <c r="H437"/>
      <c r="K437"/>
      <c r="L437"/>
      <c r="R437"/>
      <c r="W437"/>
      <c r="Y437"/>
    </row>
    <row r="438" spans="2:25" x14ac:dyDescent="0.3">
      <c r="B438" s="99" t="s">
        <v>6409</v>
      </c>
      <c r="C438" s="147">
        <f>VLOOKUP(B438,$R:$U,3,FALSE)</f>
        <v>946.46267270594763</v>
      </c>
      <c r="D438" t="s">
        <v>5323</v>
      </c>
      <c r="E438" s="178">
        <f>C438</f>
        <v>946.46267270594763</v>
      </c>
      <c r="F438" s="146" t="s">
        <v>5323</v>
      </c>
      <c r="G438"/>
      <c r="H438"/>
      <c r="K438"/>
      <c r="L438"/>
      <c r="R438"/>
      <c r="W438"/>
      <c r="Y438"/>
    </row>
    <row r="439" spans="2:25" x14ac:dyDescent="0.3">
      <c r="B439" s="99" t="s">
        <v>6390</v>
      </c>
      <c r="C439" s="205">
        <f>VLOOKUP(B439,$R:$U, 3, FALSE)</f>
        <v>7.6988118740392446</v>
      </c>
      <c r="D439" t="s">
        <v>2472</v>
      </c>
      <c r="E439" s="178">
        <f>C439</f>
        <v>7.6988118740392446</v>
      </c>
      <c r="F439" s="146" t="s">
        <v>2710</v>
      </c>
      <c r="G439"/>
      <c r="H439"/>
      <c r="K439"/>
      <c r="L439"/>
      <c r="R439"/>
      <c r="W439"/>
      <c r="Y439"/>
    </row>
    <row r="440" spans="2:25" x14ac:dyDescent="0.3">
      <c r="B440" s="99"/>
      <c r="D440"/>
      <c r="E440" s="99"/>
      <c r="F440" s="146"/>
      <c r="G440"/>
      <c r="H440"/>
    </row>
    <row r="441" spans="2:25" x14ac:dyDescent="0.3">
      <c r="B441" s="175" t="s">
        <v>7116</v>
      </c>
      <c r="D441"/>
      <c r="E441" s="99"/>
      <c r="F441" s="146"/>
      <c r="G441"/>
      <c r="H441"/>
    </row>
    <row r="442" spans="2:25" x14ac:dyDescent="0.3">
      <c r="B442" s="143" t="s">
        <v>2663</v>
      </c>
      <c r="C442" s="144" t="s">
        <v>565</v>
      </c>
      <c r="D442" s="144" t="s">
        <v>6943</v>
      </c>
      <c r="E442" s="143" t="s">
        <v>565</v>
      </c>
      <c r="F442" s="145" t="s">
        <v>6944</v>
      </c>
      <c r="G442" s="1222" t="s">
        <v>6392</v>
      </c>
      <c r="H442" s="1215" t="s">
        <v>6993</v>
      </c>
      <c r="I442" s="142"/>
      <c r="J442" s="141"/>
    </row>
    <row r="443" spans="2:25" x14ac:dyDescent="0.3">
      <c r="B443" s="99" t="s">
        <v>6401</v>
      </c>
      <c r="C443" s="147">
        <f t="shared" ref="C443:C453" si="5">VLOOKUP(B443,$R:$U,3,FALSE)</f>
        <v>182.5</v>
      </c>
      <c r="D443" t="s">
        <v>5121</v>
      </c>
      <c r="E443" s="201">
        <f>UC.year_to_day/C443</f>
        <v>2</v>
      </c>
      <c r="F443" s="146" t="s">
        <v>6994</v>
      </c>
      <c r="G443" s="42" t="s">
        <v>7117</v>
      </c>
      <c r="H443" s="92" t="s">
        <v>4838</v>
      </c>
      <c r="I443" s="1216" t="s">
        <v>2710</v>
      </c>
      <c r="J443" s="285">
        <f>(SUM(E444:E445)*UDV.OPEX_labor.tractor_stationary)+(E446*UDV.OPEX_labor.tractor_active)+E439</f>
        <v>12.703423907090624</v>
      </c>
    </row>
    <row r="444" spans="2:25" x14ac:dyDescent="0.3">
      <c r="B444" s="99" t="s">
        <v>5679</v>
      </c>
      <c r="C444" s="147">
        <f t="shared" si="5"/>
        <v>2.5263916122335059</v>
      </c>
      <c r="D444" t="s">
        <v>6085</v>
      </c>
      <c r="E444" s="178">
        <f>C444*E443</f>
        <v>5.0527832244670119</v>
      </c>
      <c r="F444" s="146" t="s">
        <v>2710</v>
      </c>
      <c r="G444" s="42" t="s">
        <v>7118</v>
      </c>
      <c r="H444" s="1217" t="s">
        <v>5444</v>
      </c>
      <c r="I444" s="1216" t="s">
        <v>6085</v>
      </c>
      <c r="J444" s="285">
        <f>(SUM(E458:E459)*UDV.OPEX_labor.tractor_stationary)+(E460*UDV.OPEX_labor.tractor_active)</f>
        <v>56.120652859520995</v>
      </c>
    </row>
    <row r="445" spans="2:25" x14ac:dyDescent="0.3">
      <c r="B445" s="99" t="s">
        <v>5667</v>
      </c>
      <c r="C445" s="147">
        <f t="shared" si="5"/>
        <v>0.26442236536853042</v>
      </c>
      <c r="D445" t="s">
        <v>6085</v>
      </c>
      <c r="E445" s="178">
        <f>C445*E443</f>
        <v>0.52884473073706084</v>
      </c>
      <c r="F445" s="146" t="s">
        <v>2710</v>
      </c>
      <c r="G445" s="42" t="s">
        <v>7119</v>
      </c>
      <c r="H445" s="1218" t="s">
        <v>5445</v>
      </c>
      <c r="I445" s="1216" t="s">
        <v>6995</v>
      </c>
      <c r="J445" s="285">
        <f>SUM(J443:J444)</f>
        <v>68.824076766611626</v>
      </c>
    </row>
    <row r="446" spans="2:25" x14ac:dyDescent="0.3">
      <c r="B446" s="99" t="s">
        <v>5654</v>
      </c>
      <c r="C446" s="147">
        <f t="shared" si="5"/>
        <v>2.0211132897868049</v>
      </c>
      <c r="D446" t="s">
        <v>6085</v>
      </c>
      <c r="E446" s="178">
        <f>C446*E443</f>
        <v>4.0422265795736099</v>
      </c>
      <c r="F446" s="146" t="s">
        <v>2710</v>
      </c>
      <c r="G446" s="42" t="s">
        <v>7120</v>
      </c>
      <c r="H446" s="1219" t="s">
        <v>5446</v>
      </c>
      <c r="I446" s="1220" t="s">
        <v>5447</v>
      </c>
      <c r="J446" s="1221">
        <f>J443+(J444/UDV.anaer_lagoon.sludge_time)</f>
        <v>18.315489193042723</v>
      </c>
    </row>
    <row r="447" spans="2:25" x14ac:dyDescent="0.3">
      <c r="B447" s="99" t="s">
        <v>5682</v>
      </c>
      <c r="C447" s="147">
        <f t="shared" si="5"/>
        <v>17.785796950123881</v>
      </c>
      <c r="D447" t="s">
        <v>2489</v>
      </c>
      <c r="E447" s="178">
        <f>C447*E443</f>
        <v>35.571593900247763</v>
      </c>
      <c r="F447" s="146" t="s">
        <v>5324</v>
      </c>
      <c r="G447"/>
      <c r="H447"/>
    </row>
    <row r="448" spans="2:25" x14ac:dyDescent="0.3">
      <c r="B448" s="99" t="s">
        <v>5672</v>
      </c>
      <c r="C448" s="147">
        <f t="shared" si="5"/>
        <v>2.0942251337187607</v>
      </c>
      <c r="D448" t="s">
        <v>2489</v>
      </c>
      <c r="E448" s="178">
        <f>C448*E443</f>
        <v>4.1884502674375215</v>
      </c>
      <c r="F448" s="146" t="s">
        <v>5324</v>
      </c>
      <c r="G448"/>
      <c r="H448"/>
    </row>
    <row r="449" spans="1:12" x14ac:dyDescent="0.3">
      <c r="B449" s="99" t="s">
        <v>5660</v>
      </c>
      <c r="C449" s="147">
        <f t="shared" si="5"/>
        <v>22.232246187654855</v>
      </c>
      <c r="D449" t="s">
        <v>2489</v>
      </c>
      <c r="E449" s="178">
        <f>C449*E443</f>
        <v>44.46449237530971</v>
      </c>
      <c r="F449" s="146" t="s">
        <v>5324</v>
      </c>
      <c r="G449"/>
      <c r="H449"/>
    </row>
    <row r="450" spans="1:12" x14ac:dyDescent="0.3">
      <c r="B450" s="99" t="s">
        <v>6403</v>
      </c>
      <c r="C450" s="147">
        <f t="shared" si="5"/>
        <v>1201.1370470114557</v>
      </c>
      <c r="D450" t="s">
        <v>5910</v>
      </c>
      <c r="E450" s="164">
        <f>CONVERT(C450,"m^3","gal")*E443</f>
        <v>634613.67774484411</v>
      </c>
      <c r="F450" s="146" t="s">
        <v>5324</v>
      </c>
      <c r="G450"/>
      <c r="H450"/>
    </row>
    <row r="451" spans="1:12" x14ac:dyDescent="0.3">
      <c r="A451" t="str">
        <f>_xlfn.CONCAT("Liquids",B451)</f>
        <v>LiquidsN removed, lagoon</v>
      </c>
      <c r="B451" s="99" t="s">
        <v>6404</v>
      </c>
      <c r="C451" s="78">
        <f t="shared" si="5"/>
        <v>1.1051319345963957</v>
      </c>
      <c r="D451" t="s">
        <v>2413</v>
      </c>
      <c r="E451" s="201">
        <f>C451*UC.g_to_lb/UC.L_to_gal*1000</f>
        <v>9.2227730493771602</v>
      </c>
      <c r="F451" s="146" t="s">
        <v>2414</v>
      </c>
      <c r="G451"/>
      <c r="H451"/>
    </row>
    <row r="452" spans="1:12" x14ac:dyDescent="0.3">
      <c r="A452" t="str">
        <f>_xlfn.CONCAT("Liquids",B452)</f>
        <v>LiquidsP2O5 removed, lagoon</v>
      </c>
      <c r="B452" s="99" t="s">
        <v>6405</v>
      </c>
      <c r="C452" s="78">
        <f t="shared" si="5"/>
        <v>0.76046905598548931</v>
      </c>
      <c r="D452" t="s">
        <v>2413</v>
      </c>
      <c r="E452" s="201">
        <f>C452*UC.g_to_lb/UC.L_to_gal*1000</f>
        <v>6.3464219020959751</v>
      </c>
      <c r="F452" s="146" t="s">
        <v>2414</v>
      </c>
      <c r="G452"/>
      <c r="H452"/>
    </row>
    <row r="453" spans="1:12" x14ac:dyDescent="0.3">
      <c r="A453" t="str">
        <f>_xlfn.CONCAT("Liquids",B453)</f>
        <v>LiquidsK2O removed, lagoon</v>
      </c>
      <c r="B453" s="99" t="s">
        <v>6406</v>
      </c>
      <c r="C453" s="78">
        <f t="shared" si="5"/>
        <v>1.1555235596998139</v>
      </c>
      <c r="D453" t="s">
        <v>2413</v>
      </c>
      <c r="E453" s="201">
        <f>C453*UC.g_to_lb/UC.L_to_gal*1000</f>
        <v>9.6433115456136793</v>
      </c>
      <c r="F453" s="146" t="s">
        <v>2414</v>
      </c>
      <c r="G453"/>
      <c r="H453"/>
    </row>
    <row r="454" spans="1:12" x14ac:dyDescent="0.3">
      <c r="B454" s="99"/>
      <c r="D454"/>
      <c r="E454" s="99"/>
      <c r="F454" s="146"/>
      <c r="G454"/>
      <c r="H454"/>
    </row>
    <row r="455" spans="1:12" x14ac:dyDescent="0.3">
      <c r="B455" s="175" t="s">
        <v>263</v>
      </c>
      <c r="D455"/>
      <c r="E455" s="99"/>
      <c r="F455" s="146"/>
      <c r="G455"/>
      <c r="H455"/>
    </row>
    <row r="456" spans="1:12" x14ac:dyDescent="0.3">
      <c r="B456" s="143" t="s">
        <v>2663</v>
      </c>
      <c r="C456" s="144" t="s">
        <v>565</v>
      </c>
      <c r="D456" s="144" t="s">
        <v>6943</v>
      </c>
      <c r="E456" s="143" t="s">
        <v>565</v>
      </c>
      <c r="F456" s="145" t="s">
        <v>6944</v>
      </c>
      <c r="G456"/>
      <c r="H456"/>
    </row>
    <row r="457" spans="1:12" x14ac:dyDescent="0.3">
      <c r="B457" s="99" t="s">
        <v>6416</v>
      </c>
      <c r="C457" s="382">
        <f t="shared" ref="C457:C467" si="6">VLOOKUP(B457,$X:$AA,3,FALSE)</f>
        <v>10</v>
      </c>
      <c r="D457" t="s">
        <v>2669</v>
      </c>
      <c r="E457" s="99">
        <f t="shared" ref="E457:E463" si="7">C457</f>
        <v>10</v>
      </c>
      <c r="F457" s="146" t="s">
        <v>2669</v>
      </c>
      <c r="G457"/>
      <c r="H457"/>
    </row>
    <row r="458" spans="1:12" x14ac:dyDescent="0.3">
      <c r="B458" s="99" t="s">
        <v>5679</v>
      </c>
      <c r="C458" s="382">
        <f t="shared" si="6"/>
        <v>56.660834334810701</v>
      </c>
      <c r="D458" t="s">
        <v>6085</v>
      </c>
      <c r="E458" s="178">
        <f t="shared" si="7"/>
        <v>56.660834334810701</v>
      </c>
      <c r="F458" s="146" t="s">
        <v>6085</v>
      </c>
      <c r="G458"/>
      <c r="H458"/>
    </row>
    <row r="459" spans="1:12" x14ac:dyDescent="0.3">
      <c r="B459" s="99" t="s">
        <v>5667</v>
      </c>
      <c r="C459" s="382">
        <f t="shared" si="6"/>
        <v>5.9303521140650117</v>
      </c>
      <c r="D459" t="s">
        <v>6085</v>
      </c>
      <c r="E459" s="178">
        <f t="shared" si="7"/>
        <v>5.9303521140650117</v>
      </c>
      <c r="F459" s="146" t="s">
        <v>6085</v>
      </c>
      <c r="G459"/>
      <c r="H459"/>
    </row>
    <row r="460" spans="1:12" x14ac:dyDescent="0.3">
      <c r="B460" s="99" t="s">
        <v>5654</v>
      </c>
      <c r="C460" s="382">
        <f t="shared" si="6"/>
        <v>45.328667467848561</v>
      </c>
      <c r="D460" t="s">
        <v>6085</v>
      </c>
      <c r="E460" s="178">
        <f t="shared" si="7"/>
        <v>45.328667467848561</v>
      </c>
      <c r="F460" s="146" t="s">
        <v>6085</v>
      </c>
      <c r="G460"/>
      <c r="H460"/>
    </row>
    <row r="461" spans="1:12" x14ac:dyDescent="0.3">
      <c r="B461" s="99" t="s">
        <v>5682</v>
      </c>
      <c r="C461" s="382">
        <f t="shared" si="6"/>
        <v>398.89227371706727</v>
      </c>
      <c r="D461" t="s">
        <v>2489</v>
      </c>
      <c r="E461" s="178">
        <f t="shared" si="7"/>
        <v>398.89227371706727</v>
      </c>
      <c r="F461" s="146" t="s">
        <v>2489</v>
      </c>
      <c r="G461"/>
      <c r="H461"/>
      <c r="K461"/>
      <c r="L461"/>
    </row>
    <row r="462" spans="1:12" x14ac:dyDescent="0.3">
      <c r="B462" s="99" t="s">
        <v>5672</v>
      </c>
      <c r="C462" s="382">
        <f t="shared" si="6"/>
        <v>46.96838874339489</v>
      </c>
      <c r="D462" t="s">
        <v>2489</v>
      </c>
      <c r="E462" s="178">
        <f t="shared" si="7"/>
        <v>46.96838874339489</v>
      </c>
      <c r="F462" s="146" t="s">
        <v>2489</v>
      </c>
      <c r="G462"/>
      <c r="H462"/>
      <c r="K462"/>
      <c r="L462"/>
    </row>
    <row r="463" spans="1:12" x14ac:dyDescent="0.3">
      <c r="B463" s="99" t="s">
        <v>5660</v>
      </c>
      <c r="C463" s="382">
        <f t="shared" si="6"/>
        <v>498.61534214633417</v>
      </c>
      <c r="D463" t="s">
        <v>2489</v>
      </c>
      <c r="E463" s="178">
        <f t="shared" si="7"/>
        <v>498.61534214633417</v>
      </c>
      <c r="F463" s="146" t="s">
        <v>2489</v>
      </c>
      <c r="G463"/>
      <c r="H463"/>
      <c r="K463"/>
      <c r="L463"/>
    </row>
    <row r="464" spans="1:12" x14ac:dyDescent="0.3">
      <c r="B464" s="99" t="s">
        <v>6418</v>
      </c>
      <c r="C464" s="382">
        <f t="shared" si="6"/>
        <v>4525.5947564400622</v>
      </c>
      <c r="D464" t="s">
        <v>5910</v>
      </c>
      <c r="E464" s="164">
        <f>CONVERT(C464,"m^3","gal")</f>
        <v>1195535.654950046</v>
      </c>
      <c r="F464" s="146" t="s">
        <v>2489</v>
      </c>
      <c r="G464"/>
      <c r="H464"/>
      <c r="K464"/>
      <c r="L464"/>
    </row>
    <row r="465" spans="1:25" x14ac:dyDescent="0.3">
      <c r="A465" t="str">
        <f>_xlfn.CONCAT("Sludge",B465)</f>
        <v>SludgeN removed, lagoon</v>
      </c>
      <c r="B465" s="99" t="s">
        <v>6404</v>
      </c>
      <c r="C465" s="382">
        <f t="shared" si="6"/>
        <v>1.4665640428699664</v>
      </c>
      <c r="D465" t="s">
        <v>2413</v>
      </c>
      <c r="E465" s="201">
        <f>C465*UC.g_to_lb/UC.L_to_gal*1000</f>
        <v>12.239070201791318</v>
      </c>
      <c r="F465" s="146" t="s">
        <v>2414</v>
      </c>
      <c r="G465"/>
      <c r="H465"/>
      <c r="K465"/>
      <c r="L465"/>
    </row>
    <row r="466" spans="1:25" x14ac:dyDescent="0.3">
      <c r="A466" t="str">
        <f>_xlfn.CONCAT("Sludge",B466)</f>
        <v>SludgeP2O5 removed, lagoon</v>
      </c>
      <c r="B466" s="99" t="s">
        <v>6405</v>
      </c>
      <c r="C466" s="382">
        <f t="shared" si="6"/>
        <v>3.3027695097379093</v>
      </c>
      <c r="D466" t="s">
        <v>2413</v>
      </c>
      <c r="E466" s="201">
        <f>C466*UC.g_to_lb/UC.L_to_gal*1000</f>
        <v>27.562947616602834</v>
      </c>
      <c r="F466" s="146" t="s">
        <v>2414</v>
      </c>
      <c r="G466"/>
      <c r="H466"/>
      <c r="K466"/>
      <c r="L466"/>
    </row>
    <row r="467" spans="1:25" x14ac:dyDescent="0.3">
      <c r="A467" t="str">
        <f>_xlfn.CONCAT("Sludge",B467)</f>
        <v>SludgeK2O removed, lagoon</v>
      </c>
      <c r="B467" s="99" t="s">
        <v>6406</v>
      </c>
      <c r="C467" s="382">
        <f t="shared" si="6"/>
        <v>3.3027856402144384</v>
      </c>
      <c r="D467" t="s">
        <v>2413</v>
      </c>
      <c r="E467" s="201">
        <f>C467*UC.g_to_lb/UC.L_to_gal*1000</f>
        <v>27.563082231954681</v>
      </c>
      <c r="F467" s="146" t="s">
        <v>2414</v>
      </c>
      <c r="G467"/>
      <c r="H467"/>
      <c r="K467"/>
      <c r="L467"/>
    </row>
    <row r="468" spans="1:25" x14ac:dyDescent="0.3">
      <c r="B468" s="99"/>
      <c r="D468"/>
      <c r="E468" s="99"/>
      <c r="F468" s="146"/>
      <c r="G468"/>
      <c r="H468"/>
      <c r="K468"/>
      <c r="L468"/>
    </row>
    <row r="469" spans="1:25" x14ac:dyDescent="0.3">
      <c r="B469" s="92" t="s">
        <v>6996</v>
      </c>
      <c r="D469"/>
      <c r="E469" s="99"/>
      <c r="F469" s="146"/>
      <c r="G469"/>
      <c r="H469"/>
      <c r="K469"/>
      <c r="L469"/>
    </row>
    <row r="470" spans="1:25" x14ac:dyDescent="0.3">
      <c r="B470" s="143" t="s">
        <v>2663</v>
      </c>
      <c r="C470" s="144" t="s">
        <v>565</v>
      </c>
      <c r="D470" s="144" t="s">
        <v>6943</v>
      </c>
      <c r="E470" s="143" t="s">
        <v>565</v>
      </c>
      <c r="F470" s="145" t="s">
        <v>6944</v>
      </c>
      <c r="G470"/>
      <c r="H470"/>
      <c r="K470"/>
      <c r="L470"/>
    </row>
    <row r="471" spans="1:25" x14ac:dyDescent="0.3">
      <c r="B471" s="99" t="s">
        <v>7076</v>
      </c>
      <c r="D471"/>
      <c r="E471" s="357">
        <f>UDV.electricity.avg_cost</f>
        <v>6.8591666666666662E-2</v>
      </c>
      <c r="F471" s="146" t="s">
        <v>2306</v>
      </c>
      <c r="G471"/>
      <c r="H471"/>
      <c r="K471"/>
      <c r="L471"/>
      <c r="R471"/>
      <c r="W471"/>
      <c r="Y471"/>
    </row>
    <row r="472" spans="1:25" x14ac:dyDescent="0.3">
      <c r="B472" s="99" t="s">
        <v>6997</v>
      </c>
      <c r="D472" s="146"/>
      <c r="E472" s="346">
        <f>UDV.fuel.diesel_avg_cost</f>
        <v>3.6964905660377356</v>
      </c>
      <c r="F472" s="146" t="s">
        <v>2315</v>
      </c>
      <c r="G472"/>
      <c r="H472"/>
      <c r="K472"/>
      <c r="L472"/>
    </row>
    <row r="473" spans="1:25" x14ac:dyDescent="0.3">
      <c r="B473" s="149" t="s">
        <v>6998</v>
      </c>
      <c r="C473" s="150"/>
      <c r="D473" s="151"/>
      <c r="E473" s="347">
        <f>UDV.labor.non_specialized_cost</f>
        <v>23.66</v>
      </c>
      <c r="F473" s="151" t="s">
        <v>3659</v>
      </c>
      <c r="G473"/>
      <c r="H473"/>
      <c r="K473"/>
      <c r="L473"/>
    </row>
    <row r="474" spans="1:25" x14ac:dyDescent="0.3">
      <c r="D474"/>
      <c r="E474"/>
      <c r="F474"/>
      <c r="G474"/>
      <c r="H474"/>
      <c r="K474"/>
      <c r="L474"/>
    </row>
    <row r="475" spans="1:25" x14ac:dyDescent="0.3">
      <c r="B475" s="206" t="s">
        <v>7121</v>
      </c>
      <c r="C475" s="140"/>
      <c r="D475" s="207"/>
      <c r="E475" s="207"/>
      <c r="F475" s="207"/>
      <c r="G475" s="207"/>
      <c r="H475" s="207"/>
      <c r="I475" s="207"/>
      <c r="J475" s="142"/>
      <c r="K475" s="142"/>
      <c r="L475" s="142"/>
      <c r="M475" s="142"/>
      <c r="N475" s="142"/>
      <c r="O475" s="208"/>
    </row>
    <row r="476" spans="1:25" ht="43.2" x14ac:dyDescent="0.3">
      <c r="B476" s="210" t="s">
        <v>6946</v>
      </c>
      <c r="C476" s="152" t="s">
        <v>6947</v>
      </c>
      <c r="D476" s="152" t="s">
        <v>6948</v>
      </c>
      <c r="E476" s="152" t="s">
        <v>6999</v>
      </c>
      <c r="F476" s="152" t="s">
        <v>7000</v>
      </c>
      <c r="G476" s="152" t="s">
        <v>6951</v>
      </c>
      <c r="H476" s="152" t="s">
        <v>6952</v>
      </c>
      <c r="I476" s="152" t="s">
        <v>7001</v>
      </c>
      <c r="J476" s="152" t="s">
        <v>6954</v>
      </c>
      <c r="K476" s="152" t="s">
        <v>6955</v>
      </c>
      <c r="L476" s="152" t="s">
        <v>6956</v>
      </c>
      <c r="M476" s="82" t="s">
        <v>6957</v>
      </c>
      <c r="N476" s="152" t="s">
        <v>7002</v>
      </c>
      <c r="O476" s="161" t="s">
        <v>6959</v>
      </c>
    </row>
    <row r="477" spans="1:25" x14ac:dyDescent="0.3">
      <c r="A477" t="s">
        <v>7122</v>
      </c>
      <c r="B477" s="99" t="s">
        <v>2808</v>
      </c>
      <c r="C477" s="153">
        <f>IF(E437=0,0,(VLOOKUP("Irrigation systema",Econ.Equations!$C:$E,2,FALSE)*E437^VLOOKUP("Irrigation systemb",Econ.Equations!$C:$E,2,FALSE))*E437)</f>
        <v>52778.527621534726</v>
      </c>
      <c r="D477" s="42">
        <f>VLOOKUP("CAPEXLifetimeBuildings and constructionDefault",Econ.inputsTable!$E:$G,2,FALSE)</f>
        <v>20</v>
      </c>
      <c r="E477" s="42" t="s">
        <v>2852</v>
      </c>
      <c r="F477" s="42" t="s">
        <v>2852</v>
      </c>
      <c r="G477" s="539">
        <f>VLOOKUP("CAPEXAnnual usage on activityItems that are used only on the given activityDefault",Econ.inputsTable!$E:$J,2,FALSE)</f>
        <v>1</v>
      </c>
      <c r="H477" s="216">
        <f t="shared" ref="H477:H485" si="8">UDV.econ_capital.interest_rate</f>
        <v>5.0999999999999997E-2</v>
      </c>
      <c r="I477" s="2091">
        <f>VLOOKUP("CAPEXSalvageBuildings and constructionDefault",Econ.inputsTable!$E:$K,2,FALSE)</f>
        <v>0</v>
      </c>
      <c r="J477" s="153">
        <f t="shared" ref="J477:J485" si="9">C477*I477</f>
        <v>0</v>
      </c>
      <c r="K477" s="154">
        <f>VLOOKUP("CAPEXFinanced amountNADefault",Econ.inputsTable!$E:$J,2,FALSE)</f>
        <v>1</v>
      </c>
      <c r="L477" s="2092">
        <f>H477*K477</f>
        <v>5.0999999999999997E-2</v>
      </c>
      <c r="M477" s="351">
        <f t="shared" ref="M477:M485" si="10">L477/(1-(1+L477)^-D477)</f>
        <v>8.0924368970045152E-2</v>
      </c>
      <c r="N477" s="153">
        <f t="shared" ref="N477:N485" si="11">((C477-J477)*M477)+(J477*L477)</f>
        <v>4271.069042940796</v>
      </c>
      <c r="O477" s="372">
        <f>N477*G477</f>
        <v>4271.069042940796</v>
      </c>
      <c r="W477"/>
      <c r="Y477"/>
    </row>
    <row r="478" spans="1:25" x14ac:dyDescent="0.3">
      <c r="A478" t="s">
        <v>7003</v>
      </c>
      <c r="B478" s="99" t="s">
        <v>7004</v>
      </c>
      <c r="C478" s="153">
        <f>VLOOKUP(_xlfn.CONCAT("Tractor",E423, " hp"),Econ.Tables!$C:$E,2,FALSE)*E425</f>
        <v>283300</v>
      </c>
      <c r="D478" s="79">
        <f>VLOOKUP("CAPEXLifetimeTractor, 4 wheel drive and crawlerDefault",Econ.inputsTable!$E:$H,2,FALSE)/E478</f>
        <v>16</v>
      </c>
      <c r="E478" s="213">
        <f>IF(F478&gt;UDV.tractor.min_usage_yearly,F478,UDV.tractor.min_usage_yearly)</f>
        <v>1000</v>
      </c>
      <c r="F478" s="214">
        <f>IF(E425=0,0,(E444+(E458/E457))/E425)</f>
        <v>10.718866657948082</v>
      </c>
      <c r="G478" s="215">
        <f>F478/E478</f>
        <v>1.0718866657948082E-2</v>
      </c>
      <c r="H478" s="216">
        <f t="shared" si="8"/>
        <v>5.0999999999999997E-2</v>
      </c>
      <c r="I478" s="503">
        <f>VLOOKUP("CAPEXSalvageEquipmentDefault",Econ.inputsTable!$E:$H,2,FALSE)</f>
        <v>0.2</v>
      </c>
      <c r="J478" s="153">
        <f t="shared" si="9"/>
        <v>56660</v>
      </c>
      <c r="K478" s="217">
        <f>VLOOKUP("CAPEXFinanced amountNADefault",Econ.inputsTable!$E:$H,2,FALSE)</f>
        <v>1</v>
      </c>
      <c r="L478" s="218">
        <f t="shared" ref="L478:L485" si="12">H478*K478</f>
        <v>5.0999999999999997E-2</v>
      </c>
      <c r="M478">
        <f t="shared" si="10"/>
        <v>9.2927821836826949E-2</v>
      </c>
      <c r="N478" s="153">
        <f t="shared" si="11"/>
        <v>23950.821541098459</v>
      </c>
      <c r="O478" s="157">
        <f t="shared" ref="O478:O485" si="13">N478*G478</f>
        <v>256.72566244734497</v>
      </c>
    </row>
    <row r="479" spans="1:25" x14ac:dyDescent="0.3">
      <c r="A479" t="s">
        <v>7003</v>
      </c>
      <c r="B479" s="99" t="s">
        <v>1226</v>
      </c>
      <c r="C479" s="153">
        <f>VLOOKUP("Agitator, ptoDefault",Econ.Tables!$C:$E,2,FALSE)*E424</f>
        <v>43500</v>
      </c>
      <c r="D479" s="42">
        <f>VLOOKUP("CAPEXLifetimeAgitator, ptoDefault",Econ.inputsTable!$E:$H,2,FALSE)</f>
        <v>15</v>
      </c>
      <c r="E479"/>
      <c r="F479" s="214">
        <f>F478</f>
        <v>10.718866657948082</v>
      </c>
      <c r="G479" s="220">
        <f>VLOOKUP("CAPEXAnnual usage on activityItems that are used only on the given activityDefault",Econ.inputsTable!$E:$H,2,FALSE)</f>
        <v>1</v>
      </c>
      <c r="H479" s="216">
        <f t="shared" si="8"/>
        <v>5.0999999999999997E-2</v>
      </c>
      <c r="I479" s="503">
        <f>VLOOKUP("CAPEXSalvageEquipmentDefault",Econ.inputsTable!$E:$H,2,FALSE)</f>
        <v>0.2</v>
      </c>
      <c r="J479" s="153">
        <f t="shared" si="9"/>
        <v>8700</v>
      </c>
      <c r="K479" s="217">
        <f>VLOOKUP("CAPEXFinanced amountNADefault",Econ.inputsTable!$E:$H,2,FALSE)</f>
        <v>1</v>
      </c>
      <c r="L479" s="218">
        <f t="shared" si="12"/>
        <v>5.0999999999999997E-2</v>
      </c>
      <c r="M479">
        <f t="shared" si="10"/>
        <v>9.6994593888520206E-2</v>
      </c>
      <c r="N479" s="153">
        <f t="shared" si="11"/>
        <v>3819.1118673205028</v>
      </c>
      <c r="O479" s="157">
        <f t="shared" si="13"/>
        <v>3819.1118673205028</v>
      </c>
    </row>
    <row r="480" spans="1:25" x14ac:dyDescent="0.3">
      <c r="A480" t="s">
        <v>7003</v>
      </c>
      <c r="B480" s="99" t="s">
        <v>7005</v>
      </c>
      <c r="C480" s="153">
        <f>VLOOKUP(_xlfn.CONCAT("Tractor",E426, " hp"),Econ.Tables!$C:$E,2,FALSE)*E428</f>
        <v>313600</v>
      </c>
      <c r="D480" s="79">
        <f>VLOOKUP("CAPEXLifetimeTractor, 4 wheel drive and crawlerDefault",Econ.inputsTable!$E:$H,2,FALSE)/E480</f>
        <v>16</v>
      </c>
      <c r="E480" s="213">
        <f>IF(F480&gt;UDV.tractor.min_usage_yearly,F480,UDV.tractor.min_usage_yearly)</f>
        <v>1000</v>
      </c>
      <c r="F480" s="214">
        <f>IF(E428=0,0,(E445+(E459/E457))/E428)</f>
        <v>1.1218799421435621</v>
      </c>
      <c r="G480" s="215">
        <f t="shared" ref="G480:G482" si="14">F480/E480</f>
        <v>1.1218799421435621E-3</v>
      </c>
      <c r="H480" s="216">
        <f t="shared" si="8"/>
        <v>5.0999999999999997E-2</v>
      </c>
      <c r="I480" s="503">
        <f>VLOOKUP("CAPEXSalvageEquipmentDefault",Econ.inputsTable!$E:$H,2,FALSE)</f>
        <v>0.2</v>
      </c>
      <c r="J480" s="153">
        <f t="shared" si="9"/>
        <v>62720</v>
      </c>
      <c r="K480" s="217">
        <f>VLOOKUP("CAPEXFinanced amountNADefault",Econ.inputsTable!$E:$H,2,FALSE)</f>
        <v>1</v>
      </c>
      <c r="L480" s="218">
        <f t="shared" si="12"/>
        <v>5.0999999999999997E-2</v>
      </c>
      <c r="M480">
        <f t="shared" si="10"/>
        <v>9.2927821836826949E-2</v>
      </c>
      <c r="N480" s="153">
        <f t="shared" si="11"/>
        <v>26512.451942423148</v>
      </c>
      <c r="O480" s="157">
        <f t="shared" si="13"/>
        <v>29.743788051249652</v>
      </c>
    </row>
    <row r="481" spans="1:25" s="42" customFormat="1" x14ac:dyDescent="0.3">
      <c r="A481" t="s">
        <v>7003</v>
      </c>
      <c r="B481" s="222" t="s">
        <v>3021</v>
      </c>
      <c r="C481" s="223">
        <f>VLOOKUP("Pump, tractor ptoDefault",Econ.Tables!$C:$E,2,FALSE)*E427</f>
        <v>26500</v>
      </c>
      <c r="D481" s="42">
        <f>VLOOKUP("CAPEXLifetimePump, tractor ptoDefault",Econ.inputsTable!$E:$H,2,FALSE)</f>
        <v>15</v>
      </c>
      <c r="F481" s="214">
        <f>F480</f>
        <v>1.1218799421435621</v>
      </c>
      <c r="G481" s="220">
        <f>VLOOKUP("CAPEXAnnual usage on activityItems that are used only on the given activityDefault",Econ.inputsTable!$E:$H,2,FALSE)</f>
        <v>1</v>
      </c>
      <c r="H481" s="216">
        <f t="shared" si="8"/>
        <v>5.0999999999999997E-2</v>
      </c>
      <c r="I481" s="503">
        <f>VLOOKUP("CAPEXSalvageEquipmentDefault",Econ.inputsTable!$E:$H,2,FALSE)</f>
        <v>0.2</v>
      </c>
      <c r="J481" s="153">
        <f t="shared" si="9"/>
        <v>5300</v>
      </c>
      <c r="K481" s="217">
        <f>VLOOKUP("CAPEXFinanced amountNADefault",Econ.inputsTable!$E:$H,2,FALSE)</f>
        <v>1</v>
      </c>
      <c r="L481" s="218">
        <f t="shared" si="12"/>
        <v>5.0999999999999997E-2</v>
      </c>
      <c r="M481">
        <f t="shared" si="10"/>
        <v>9.6994593888520206E-2</v>
      </c>
      <c r="N481" s="153">
        <f t="shared" si="11"/>
        <v>2326.5853904366286</v>
      </c>
      <c r="O481" s="157">
        <f t="shared" si="13"/>
        <v>2326.5853904366286</v>
      </c>
    </row>
    <row r="482" spans="1:25" x14ac:dyDescent="0.3">
      <c r="A482" t="s">
        <v>7003</v>
      </c>
      <c r="B482" s="99" t="s">
        <v>7006</v>
      </c>
      <c r="C482" s="153">
        <f>VLOOKUP(_xlfn.CONCAT("Tractor",E429," hp"),Econ.Tables!$C:$E,2,FALSE)*E432</f>
        <v>404700</v>
      </c>
      <c r="D482" s="79">
        <f>VLOOKUP("CAPEXLifetimeTractor, 4 wheel drive and crawlerDefault",Econ.inputsTable!$E:$H,2,FALSE)/E482</f>
        <v>16</v>
      </c>
      <c r="E482" s="213">
        <f>IF(F482&gt;UDV.tractor.min_usage_yearly,F482,UDV.tractor.min_usage_yearly)</f>
        <v>1000</v>
      </c>
      <c r="F482" s="214">
        <f>IF(E432=0,0,(E446+(E460/E457))/E432)</f>
        <v>8.5750933263584663</v>
      </c>
      <c r="G482" s="215">
        <f t="shared" si="14"/>
        <v>8.5750933263584669E-3</v>
      </c>
      <c r="H482" s="216">
        <f t="shared" si="8"/>
        <v>5.0999999999999997E-2</v>
      </c>
      <c r="I482" s="503">
        <f>VLOOKUP("CAPEXSalvageEquipmentDefault",Econ.inputsTable!$E:$H,2,FALSE)</f>
        <v>0.2</v>
      </c>
      <c r="J482" s="153">
        <f t="shared" si="9"/>
        <v>80940</v>
      </c>
      <c r="K482" s="217">
        <f>VLOOKUP("CAPEXFinanced amountNADefault",Econ.inputsTable!$E:$H,2,FALSE)</f>
        <v>1</v>
      </c>
      <c r="L482" s="218">
        <f t="shared" si="12"/>
        <v>5.0999999999999997E-2</v>
      </c>
      <c r="M482">
        <f t="shared" si="10"/>
        <v>9.2927821836826949E-2</v>
      </c>
      <c r="N482" s="153">
        <f t="shared" si="11"/>
        <v>34214.251597891096</v>
      </c>
      <c r="O482" s="157">
        <f t="shared" si="13"/>
        <v>293.39040054342547</v>
      </c>
    </row>
    <row r="483" spans="1:25" x14ac:dyDescent="0.3">
      <c r="A483" t="s">
        <v>7003</v>
      </c>
      <c r="B483" s="99" t="s">
        <v>6392</v>
      </c>
      <c r="C483" s="153">
        <f>UDV.econ_tanker.cost*E431</f>
        <v>136600</v>
      </c>
      <c r="D483" s="42">
        <f>VLOOKUP("CAPEXLifetimeEquipmentDefault",Econ.inputsTable!$E:$H,2,FALSE)</f>
        <v>10</v>
      </c>
      <c r="E483"/>
      <c r="F483" s="214">
        <f>F482</f>
        <v>8.5750933263584663</v>
      </c>
      <c r="G483" s="220">
        <f>VLOOKUP("CAPEXAnnual usage on activityItems that are used only on the given activityDefault",Econ.inputsTable!$E:$H,2,FALSE)</f>
        <v>1</v>
      </c>
      <c r="H483" s="216">
        <f t="shared" si="8"/>
        <v>5.0999999999999997E-2</v>
      </c>
      <c r="I483" s="503">
        <f>VLOOKUP("CAPEXSalvageEquipmentDefault",Econ.inputsTable!$E:$H,2,FALSE)</f>
        <v>0.2</v>
      </c>
      <c r="J483" s="153">
        <f t="shared" si="9"/>
        <v>27320</v>
      </c>
      <c r="K483" s="217">
        <f>VLOOKUP("CAPEXFinanced amountNADefault",Econ.inputsTable!$E:$H,2,FALSE)</f>
        <v>1</v>
      </c>
      <c r="L483" s="218">
        <f t="shared" si="12"/>
        <v>5.0999999999999997E-2</v>
      </c>
      <c r="M483">
        <f t="shared" si="10"/>
        <v>0.13013423257204779</v>
      </c>
      <c r="N483" s="153">
        <f t="shared" si="11"/>
        <v>15614.388935473382</v>
      </c>
      <c r="O483" s="157">
        <f t="shared" si="13"/>
        <v>15614.388935473382</v>
      </c>
    </row>
    <row r="484" spans="1:25" x14ac:dyDescent="0.3">
      <c r="A484" t="s">
        <v>7003</v>
      </c>
      <c r="B484" s="99" t="s">
        <v>7007</v>
      </c>
      <c r="C484" s="229">
        <f>(IF(E433="Broadcast",VLOOKUP("BoomDefault", Econ.Tables!$C:$E,2,FALSE),0))*E431</f>
        <v>0</v>
      </c>
      <c r="D484" s="42">
        <f>VLOOKUP("CAPEXLifetimeEquipmentDefault",Econ.inputsTable!$E:$H,2,FALSE)</f>
        <v>10</v>
      </c>
      <c r="E484" s="152"/>
      <c r="F484" s="231">
        <f>IF(C433="Broadcast",F482,0)</f>
        <v>0</v>
      </c>
      <c r="G484" s="220">
        <f>VLOOKUP("CAPEXAnnual usage on activityItems that are used only on the given activityDefault",Econ.inputsTable!$E:$H,2,FALSE)</f>
        <v>1</v>
      </c>
      <c r="H484" s="216">
        <f t="shared" si="8"/>
        <v>5.0999999999999997E-2</v>
      </c>
      <c r="I484" s="216">
        <f>VLOOKUP("CAPEXSalvageEquipmentDefault",Econ.inputsTable!$E:$H,2,FALSE)</f>
        <v>0.2</v>
      </c>
      <c r="J484" s="153">
        <f t="shared" si="9"/>
        <v>0</v>
      </c>
      <c r="K484" s="217">
        <f>VLOOKUP("CAPEXFinanced amountNADefault",Econ.inputsTable!$E:$H,2,FALSE)</f>
        <v>1</v>
      </c>
      <c r="L484" s="218">
        <f t="shared" si="12"/>
        <v>5.0999999999999997E-2</v>
      </c>
      <c r="M484">
        <f t="shared" si="10"/>
        <v>0.13013423257204779</v>
      </c>
      <c r="N484" s="153">
        <f t="shared" si="11"/>
        <v>0</v>
      </c>
      <c r="O484" s="157">
        <f t="shared" si="13"/>
        <v>0</v>
      </c>
    </row>
    <row r="485" spans="1:25" x14ac:dyDescent="0.3">
      <c r="A485" t="s">
        <v>7003</v>
      </c>
      <c r="B485" s="99" t="s">
        <v>7008</v>
      </c>
      <c r="C485" s="229">
        <f>(IF(E433="Injection",VLOOKUP("InjectionDefault",Econ.Tables!$C:$E,2,FALSE),0))*E431</f>
        <v>80900</v>
      </c>
      <c r="D485" s="42">
        <f>VLOOKUP("CAPEXLifetimeEquipmentDefault",Econ.inputsTable!$E:$H,2,FALSE)</f>
        <v>10</v>
      </c>
      <c r="E485" s="152"/>
      <c r="F485" s="231">
        <f>IF(C433="Injection",F483,0)</f>
        <v>8.5750933263584663</v>
      </c>
      <c r="G485" s="220">
        <f>VLOOKUP("CAPEXAnnual usage on activityItems that are used only on the given activityDefault",Econ.inputsTable!$E:$H,2,FALSE)</f>
        <v>1</v>
      </c>
      <c r="H485" s="216">
        <f t="shared" si="8"/>
        <v>5.0999999999999997E-2</v>
      </c>
      <c r="I485" s="216">
        <f>VLOOKUP("CAPEXSalvageEquipmentDefault",Econ.inputsTable!$E:$H,2,FALSE)</f>
        <v>0.2</v>
      </c>
      <c r="J485" s="153">
        <f t="shared" si="9"/>
        <v>16180</v>
      </c>
      <c r="K485" s="217">
        <f>VLOOKUP("CAPEXFinanced amountNADefault",Econ.inputsTable!$E:$H,2,FALSE)</f>
        <v>1</v>
      </c>
      <c r="L485" s="218">
        <f t="shared" si="12"/>
        <v>5.0999999999999997E-2</v>
      </c>
      <c r="M485">
        <f t="shared" si="10"/>
        <v>0.13013423257204779</v>
      </c>
      <c r="N485" s="153">
        <f t="shared" si="11"/>
        <v>9247.4675320629322</v>
      </c>
      <c r="O485" s="157">
        <f t="shared" si="13"/>
        <v>9247.4675320629322</v>
      </c>
    </row>
    <row r="486" spans="1:25" x14ac:dyDescent="0.3">
      <c r="B486" s="99"/>
      <c r="C486" s="229"/>
      <c r="D486" s="42"/>
      <c r="E486" s="42"/>
      <c r="F486" s="42"/>
      <c r="H486" s="42"/>
      <c r="I486" s="152"/>
      <c r="J486" s="231"/>
      <c r="K486" s="220"/>
      <c r="L486" s="216"/>
      <c r="M486" s="216"/>
      <c r="N486" s="216"/>
      <c r="O486" s="232"/>
    </row>
    <row r="487" spans="1:25" x14ac:dyDescent="0.3">
      <c r="B487" s="99"/>
      <c r="C487" s="82" t="s">
        <v>7009</v>
      </c>
      <c r="D487" s="82" t="s">
        <v>6963</v>
      </c>
      <c r="E487"/>
      <c r="F487"/>
      <c r="G487"/>
      <c r="H487"/>
      <c r="K487"/>
      <c r="L487"/>
      <c r="N487" s="153"/>
      <c r="O487" s="157"/>
    </row>
    <row r="488" spans="1:25" x14ac:dyDescent="0.3">
      <c r="A488" t="s">
        <v>5202</v>
      </c>
      <c r="B488" s="99" t="s">
        <v>6964</v>
      </c>
      <c r="C488" s="153">
        <f>SUM(C477:C485)</f>
        <v>1341878.5276215347</v>
      </c>
      <c r="D488" s="233">
        <f>SUMPRODUCT(C477:C485,G477:G485)</f>
        <v>347137.34436476493</v>
      </c>
      <c r="E488"/>
      <c r="F488"/>
      <c r="G488"/>
      <c r="H488"/>
      <c r="K488"/>
      <c r="L488"/>
      <c r="O488" s="146"/>
    </row>
    <row r="489" spans="1:25" x14ac:dyDescent="0.3">
      <c r="A489" t="s">
        <v>5202</v>
      </c>
      <c r="B489" s="149" t="s">
        <v>6965</v>
      </c>
      <c r="C489" s="159">
        <f>SUM(N477:N485)</f>
        <v>119956.14784964694</v>
      </c>
      <c r="D489" s="234">
        <f>SUMPRODUCT(N477:N485,G477:G485)</f>
        <v>35858.482619276263</v>
      </c>
      <c r="E489" s="159"/>
      <c r="F489" s="150"/>
      <c r="G489" s="150"/>
      <c r="H489" s="150"/>
      <c r="I489" s="150"/>
      <c r="J489" s="150"/>
      <c r="K489" s="150"/>
      <c r="L489" s="150"/>
      <c r="M489" s="150"/>
      <c r="N489" s="150"/>
      <c r="O489" s="151"/>
    </row>
    <row r="490" spans="1:25" x14ac:dyDescent="0.3">
      <c r="B490" s="262"/>
      <c r="C490" s="142"/>
      <c r="D490" s="142"/>
      <c r="E490" s="142"/>
      <c r="F490" s="142"/>
      <c r="G490" s="142"/>
      <c r="H490" s="142"/>
      <c r="I490" s="142"/>
      <c r="J490" s="142"/>
      <c r="K490" s="142"/>
      <c r="L490" s="142"/>
      <c r="M490" s="142"/>
      <c r="N490" s="142"/>
      <c r="O490" s="141"/>
    </row>
    <row r="491" spans="1:25" ht="57.6" x14ac:dyDescent="0.3">
      <c r="B491" s="160" t="s">
        <v>6966</v>
      </c>
      <c r="C491" s="152" t="s">
        <v>6967</v>
      </c>
      <c r="D491" s="152" t="s">
        <v>6968</v>
      </c>
      <c r="E491" s="152" t="s">
        <v>6969</v>
      </c>
      <c r="F491" s="152" t="s">
        <v>6970</v>
      </c>
      <c r="G491" s="152" t="s">
        <v>6971</v>
      </c>
      <c r="H491" s="152" t="s">
        <v>6972</v>
      </c>
      <c r="I491" s="152" t="s">
        <v>6973</v>
      </c>
      <c r="J491" s="152" t="s">
        <v>6974</v>
      </c>
      <c r="K491" s="152" t="s">
        <v>6975</v>
      </c>
      <c r="L491" s="152" t="s">
        <v>6976</v>
      </c>
      <c r="M491" s="152" t="s">
        <v>6977</v>
      </c>
      <c r="N491" s="152" t="s">
        <v>6978</v>
      </c>
      <c r="O491" s="161" t="s">
        <v>6979</v>
      </c>
    </row>
    <row r="492" spans="1:25" x14ac:dyDescent="0.3">
      <c r="B492" s="99" t="s">
        <v>2808</v>
      </c>
      <c r="C492" s="155">
        <f>VLOOKUP("OPEXInsuranceEverythingDefault",Econ.inputsTable!$E:$K,2,FALSE)</f>
        <v>5.0000000000000001E-3</v>
      </c>
      <c r="D492" s="154">
        <f>VLOOKUP("OPEXRepair and maintenanceEquipmentDefault",Econ.inputsTable!$E:$K,2,FALSE)</f>
        <v>0.03</v>
      </c>
      <c r="E492"/>
      <c r="F492" s="504">
        <f>E438</f>
        <v>946.46267270594763</v>
      </c>
      <c r="G492" s="504">
        <f>F492*E471</f>
        <v>64.919452158688784</v>
      </c>
      <c r="H492"/>
      <c r="I492" s="504"/>
      <c r="J492" s="504"/>
      <c r="K492" s="147">
        <f>E439</f>
        <v>7.6988118740392446</v>
      </c>
      <c r="L492" s="156">
        <f>K492*E473</f>
        <v>182.15388893976854</v>
      </c>
      <c r="O492" s="167">
        <f t="shared" ref="O492:O500" si="15">(SUM(C492:D492)*C477*G477)+SUM(E492,G492,I492,J492,L492,N492)</f>
        <v>2094.3218078521727</v>
      </c>
      <c r="R492"/>
      <c r="W492"/>
      <c r="Y492"/>
    </row>
    <row r="493" spans="1:25" x14ac:dyDescent="0.3">
      <c r="B493" s="235" t="s">
        <v>7004</v>
      </c>
      <c r="C493" s="236">
        <f>VLOOKUP("OPEXInsuranceEverythingDefault",Econ.inputsTable!$E:$H,2,FALSE)</f>
        <v>5.0000000000000001E-3</v>
      </c>
      <c r="D493" s="237">
        <f>VLOOKUP("OPEXRepair and maintenanceEquipmentDefault",Econ.inputsTable!$E:$H,2,FALSE)</f>
        <v>0.03</v>
      </c>
      <c r="E493"/>
      <c r="F493"/>
      <c r="G493"/>
      <c r="H493" s="147">
        <f>E447+(E461/E457)</f>
        <v>75.460821271954487</v>
      </c>
      <c r="I493" s="233">
        <f>H493*E472</f>
        <v>278.94021393723943</v>
      </c>
      <c r="J493" s="229">
        <f>I493*VLOOKUP("OPEXLubeLubeDefault",Econ.inputsTable!$E:$H,2,FALSE)</f>
        <v>27.894021393723946</v>
      </c>
      <c r="K493" s="205">
        <f>(E444+(E458/E457))*VLOOKUP("OPEXLaborTractorDefault",Econ.inputsTable!$E:$H,2,FALSE)</f>
        <v>11.790753323742891</v>
      </c>
      <c r="L493" s="318">
        <f>K493*E473</f>
        <v>278.96922363975682</v>
      </c>
      <c r="O493" s="240">
        <f t="shared" si="15"/>
        <v>692.08638131760438</v>
      </c>
    </row>
    <row r="494" spans="1:25" x14ac:dyDescent="0.3">
      <c r="B494" s="99" t="s">
        <v>1226</v>
      </c>
      <c r="C494" s="236">
        <f>VLOOKUP("OPEXInsuranceEverythingDefault",Econ.inputsTable!$E:$H,2,FALSE)</f>
        <v>5.0000000000000001E-3</v>
      </c>
      <c r="D494" s="237">
        <f>VLOOKUP("OPEXRepair and maintenanceEquipmentDefault",Econ.inputsTable!$E:$H,2,FALSE)</f>
        <v>0.03</v>
      </c>
      <c r="E494"/>
      <c r="F494"/>
      <c r="G494"/>
      <c r="H494" s="147"/>
      <c r="I494" s="233"/>
      <c r="J494" s="233"/>
      <c r="K494"/>
      <c r="L494" s="153"/>
      <c r="O494" s="240">
        <f t="shared" si="15"/>
        <v>1522.4999999999998</v>
      </c>
    </row>
    <row r="495" spans="1:25" x14ac:dyDescent="0.3">
      <c r="B495" s="99" t="s">
        <v>7005</v>
      </c>
      <c r="C495" s="236">
        <f>VLOOKUP("OPEXInsuranceEverythingDefault",Econ.inputsTable!$E:$H,2,FALSE)</f>
        <v>5.0000000000000001E-3</v>
      </c>
      <c r="D495" s="237">
        <f>VLOOKUP("OPEXRepair and maintenanceEquipmentDefault",Econ.inputsTable!$E:$H,2,FALSE)</f>
        <v>0.03</v>
      </c>
      <c r="E495"/>
      <c r="F495"/>
      <c r="G495"/>
      <c r="H495" s="147">
        <f>E448+(E462/E457)</f>
        <v>8.8852891417770117</v>
      </c>
      <c r="I495" s="233">
        <f>H495*E472</f>
        <v>32.844387489096249</v>
      </c>
      <c r="J495" s="229">
        <f>I495*VLOOKUP("OPEXLubeLubeDefault",Econ.inputsTable!$E:$H,2,FALSE)</f>
        <v>3.2844387489096252</v>
      </c>
      <c r="K495" s="205">
        <f>(E445+(E459/E457))*VLOOKUP("OPEXLaborTractorDefault",Econ.inputsTable!$E:$H,2,FALSE)</f>
        <v>1.2340679363579183</v>
      </c>
      <c r="L495" s="318">
        <f>K495*E473</f>
        <v>29.198047374228349</v>
      </c>
      <c r="O495" s="240">
        <f t="shared" si="15"/>
        <v>77.640627857201963</v>
      </c>
    </row>
    <row r="496" spans="1:25" x14ac:dyDescent="0.3">
      <c r="B496" s="222" t="s">
        <v>3021</v>
      </c>
      <c r="C496" s="236">
        <f>VLOOKUP("OPEXInsuranceEverythingDefault",Econ.inputsTable!$E:$H,2,FALSE)</f>
        <v>5.0000000000000001E-3</v>
      </c>
      <c r="D496" s="237">
        <f>VLOOKUP("OPEXRepair and maintenancePump, tractor ptoDefault",Econ.inputsTable!$E:$H,2,FALSE)</f>
        <v>0.05</v>
      </c>
      <c r="E496"/>
      <c r="F496"/>
      <c r="G496"/>
      <c r="H496"/>
      <c r="I496" s="233"/>
      <c r="J496" s="233"/>
      <c r="K496"/>
      <c r="L496" s="153"/>
      <c r="O496" s="240">
        <f t="shared" si="15"/>
        <v>1457.5</v>
      </c>
    </row>
    <row r="497" spans="1:15" x14ac:dyDescent="0.3">
      <c r="B497" s="99" t="s">
        <v>7006</v>
      </c>
      <c r="C497" s="236">
        <f>VLOOKUP("OPEXInsuranceEverythingDefault",Econ.inputsTable!$E:$H,2,FALSE)</f>
        <v>5.0000000000000001E-3</v>
      </c>
      <c r="D497" s="237">
        <f>VLOOKUP("OPEXRepair and maintenanceEquipmentDefault",Econ.inputsTable!$E:$H,2,FALSE)</f>
        <v>0.03</v>
      </c>
      <c r="E497"/>
      <c r="F497"/>
      <c r="G497"/>
      <c r="H497" s="147">
        <f>E449+(E463/E457)</f>
        <v>94.326026589943126</v>
      </c>
      <c r="I497" s="233">
        <f>H497*E472</f>
        <v>348.67526742154939</v>
      </c>
      <c r="J497" s="229">
        <f>I497*VLOOKUP("OPEXLubeLubeDefault",Econ.inputsTable!$E:$H,2,FALSE)</f>
        <v>34.867526742154944</v>
      </c>
      <c r="K497" s="205">
        <f>(E446+(E460/E457))*VLOOKUP("OPEXLaborTractorDefault",Econ.inputsTable!$E:$H,2,FALSE)</f>
        <v>9.4326026589943144</v>
      </c>
      <c r="L497" s="318">
        <f>K497*E473</f>
        <v>223.17537891180547</v>
      </c>
      <c r="O497" s="240">
        <f t="shared" si="15"/>
        <v>728.18008249671436</v>
      </c>
    </row>
    <row r="498" spans="1:15" x14ac:dyDescent="0.3">
      <c r="B498" s="99" t="s">
        <v>6392</v>
      </c>
      <c r="C498" s="236">
        <f>VLOOKUP("OPEXInsuranceEverythingDefault",Econ.inputsTable!$E:$H,2,FALSE)</f>
        <v>5.0000000000000001E-3</v>
      </c>
      <c r="D498" s="237">
        <f>VLOOKUP("OPEXRepair and maintenanceEquipmentDefault",Econ.inputsTable!$E:$H,2,FALSE)</f>
        <v>0.03</v>
      </c>
      <c r="E498"/>
      <c r="F498"/>
      <c r="G498"/>
      <c r="H498"/>
      <c r="I498" s="233"/>
      <c r="J498" s="233"/>
      <c r="K498"/>
      <c r="L498" s="153"/>
      <c r="O498" s="240">
        <f t="shared" si="15"/>
        <v>4780.9999999999991</v>
      </c>
    </row>
    <row r="499" spans="1:15" x14ac:dyDescent="0.3">
      <c r="B499" s="99" t="s">
        <v>7007</v>
      </c>
      <c r="C499" s="236">
        <f>VLOOKUP("OPEXInsuranceEverythingDefault",Econ.inputsTable!$E:$H,2,FALSE)</f>
        <v>5.0000000000000001E-3</v>
      </c>
      <c r="D499" s="237">
        <f>VLOOKUP("OPEXRepair and maintenanceEquipmentDefault",Econ.inputsTable!$E:$H,2,FALSE)</f>
        <v>0.03</v>
      </c>
      <c r="E499"/>
      <c r="F499"/>
      <c r="G499"/>
      <c r="H499"/>
      <c r="I499" s="233"/>
      <c r="J499" s="233"/>
      <c r="K499"/>
      <c r="L499" s="153"/>
      <c r="O499" s="240">
        <f t="shared" si="15"/>
        <v>0</v>
      </c>
    </row>
    <row r="500" spans="1:15" x14ac:dyDescent="0.3">
      <c r="B500" s="99" t="s">
        <v>7008</v>
      </c>
      <c r="C500" s="236">
        <f>VLOOKUP("OPEXInsuranceEverythingDefault",Econ.inputsTable!$E:$H,2,FALSE)</f>
        <v>5.0000000000000001E-3</v>
      </c>
      <c r="D500" s="237">
        <f>VLOOKUP("OPEXRepair and maintenanceEquipmentDefault",Econ.inputsTable!$E:$H,2,FALSE)</f>
        <v>0.03</v>
      </c>
      <c r="E500"/>
      <c r="F500"/>
      <c r="G500"/>
      <c r="H500"/>
      <c r="I500" s="233"/>
      <c r="J500" s="233"/>
      <c r="K500"/>
      <c r="L500" s="153"/>
      <c r="O500" s="240">
        <f t="shared" si="15"/>
        <v>2831.4999999999995</v>
      </c>
    </row>
    <row r="501" spans="1:15" x14ac:dyDescent="0.3">
      <c r="A501" t="s">
        <v>5202</v>
      </c>
      <c r="B501" s="162" t="s">
        <v>5203</v>
      </c>
      <c r="C501" s="241"/>
      <c r="D501" s="241"/>
      <c r="E501" s="242">
        <f t="shared" ref="E501:O501" si="16">SUM(E492:E500)</f>
        <v>0</v>
      </c>
      <c r="F501" s="2125">
        <f t="shared" si="16"/>
        <v>946.46267270594763</v>
      </c>
      <c r="G501" s="242">
        <f t="shared" si="16"/>
        <v>64.919452158688784</v>
      </c>
      <c r="H501" s="286">
        <f t="shared" si="16"/>
        <v>178.67213700367461</v>
      </c>
      <c r="I501" s="242">
        <f t="shared" si="16"/>
        <v>660.4598688478851</v>
      </c>
      <c r="J501" s="242">
        <f t="shared" si="16"/>
        <v>66.045986884788519</v>
      </c>
      <c r="K501" s="243">
        <f t="shared" si="16"/>
        <v>30.156235793134364</v>
      </c>
      <c r="L501" s="242">
        <f t="shared" si="16"/>
        <v>713.49653886555916</v>
      </c>
      <c r="M501" s="374">
        <f t="shared" si="16"/>
        <v>0</v>
      </c>
      <c r="N501" s="242">
        <f t="shared" si="16"/>
        <v>0</v>
      </c>
      <c r="O501" s="169">
        <f t="shared" si="16"/>
        <v>14184.728899523692</v>
      </c>
    </row>
    <row r="502" spans="1:15" x14ac:dyDescent="0.3">
      <c r="B502" s="99"/>
      <c r="D502"/>
      <c r="E502"/>
      <c r="F502"/>
      <c r="G502"/>
      <c r="H502"/>
      <c r="K502"/>
      <c r="L502"/>
      <c r="O502" s="146"/>
    </row>
    <row r="503" spans="1:15" x14ac:dyDescent="0.3">
      <c r="A503" t="s">
        <v>5202</v>
      </c>
      <c r="B503" s="149" t="s">
        <v>6980</v>
      </c>
      <c r="C503" s="159">
        <f>O501</f>
        <v>14184.728899523692</v>
      </c>
      <c r="D503" s="150"/>
      <c r="E503" s="150"/>
      <c r="F503" s="150"/>
      <c r="G503" s="150"/>
      <c r="H503" s="150"/>
      <c r="I503" s="150"/>
      <c r="J503" s="150"/>
      <c r="K503" s="150"/>
      <c r="L503" s="150"/>
      <c r="M503" s="150"/>
      <c r="N503" s="150"/>
      <c r="O503" s="151"/>
    </row>
    <row r="504" spans="1:15" x14ac:dyDescent="0.3">
      <c r="C504" s="153"/>
      <c r="D504"/>
      <c r="E504"/>
      <c r="F504"/>
      <c r="G504"/>
      <c r="H504"/>
      <c r="K504"/>
      <c r="L504"/>
    </row>
    <row r="505" spans="1:15" x14ac:dyDescent="0.3">
      <c r="B505" s="384" t="s">
        <v>7123</v>
      </c>
      <c r="C505" s="2997" t="s">
        <v>6402</v>
      </c>
      <c r="D505" s="2999"/>
      <c r="E505" s="3059" t="s">
        <v>6417</v>
      </c>
      <c r="F505" s="3058"/>
      <c r="G505"/>
      <c r="H505"/>
      <c r="K505"/>
      <c r="L505"/>
    </row>
    <row r="506" spans="1:15" x14ac:dyDescent="0.3">
      <c r="B506" s="385" t="s">
        <v>7012</v>
      </c>
      <c r="C506" s="139" t="s">
        <v>7124</v>
      </c>
      <c r="D506" s="245" t="s">
        <v>7125</v>
      </c>
      <c r="E506" s="139" t="s">
        <v>7124</v>
      </c>
      <c r="F506" s="245" t="s">
        <v>7125</v>
      </c>
      <c r="G506"/>
      <c r="H506"/>
      <c r="K506"/>
      <c r="L506"/>
    </row>
    <row r="507" spans="1:15" x14ac:dyDescent="0.3">
      <c r="A507" t="s">
        <v>5202</v>
      </c>
      <c r="B507" s="386" t="s">
        <v>7013</v>
      </c>
      <c r="C507" s="387">
        <f xml:space="preserve"> VLOOKUP("Fertilizer value for on-farm use, liquids",$R$1:$T$333,3, FALSE)</f>
        <v>4955.3458037383725</v>
      </c>
      <c r="D507" s="388">
        <f>VLOOKUP("Fertilizer value for on-farm use, liquids",$R$1:$T$333,3, FALSE)</f>
        <v>4955.3458037383725</v>
      </c>
      <c r="E507" s="387"/>
      <c r="F507" s="389">
        <f>VLOOKUP("Fertilizer value for on-farm use, sludge",$R$1:$T$333,3, FALSE)</f>
        <v>9341.9924859135917</v>
      </c>
      <c r="G507"/>
      <c r="H507"/>
      <c r="K507"/>
      <c r="L507"/>
    </row>
    <row r="508" spans="1:15" x14ac:dyDescent="0.3">
      <c r="A508" t="s">
        <v>5202</v>
      </c>
      <c r="B508" s="386" t="s">
        <v>7126</v>
      </c>
      <c r="C508" s="390">
        <f>C507</f>
        <v>4955.3458037383725</v>
      </c>
      <c r="D508" s="391"/>
      <c r="E508" s="390">
        <f>(F507/UDV.anaer_lagoon.sludge_time)</f>
        <v>934.19924859135915</v>
      </c>
      <c r="F508" s="391"/>
      <c r="G508"/>
      <c r="H508"/>
      <c r="K508"/>
      <c r="L508"/>
    </row>
    <row r="509" spans="1:15" x14ac:dyDescent="0.3">
      <c r="A509" t="s">
        <v>5202</v>
      </c>
      <c r="B509" s="386" t="s">
        <v>7014</v>
      </c>
      <c r="C509" s="393">
        <f>SUM(C508,E508)</f>
        <v>5889.5450523297313</v>
      </c>
      <c r="D509" s="146"/>
      <c r="E509" s="99"/>
      <c r="F509" s="146"/>
      <c r="G509"/>
      <c r="H509"/>
      <c r="K509"/>
      <c r="L509"/>
    </row>
    <row r="510" spans="1:15" x14ac:dyDescent="0.3">
      <c r="B510" s="386"/>
      <c r="D510" s="146"/>
      <c r="E510" s="99"/>
      <c r="F510" s="146"/>
      <c r="G510"/>
      <c r="H510"/>
      <c r="K510"/>
      <c r="L510"/>
    </row>
    <row r="511" spans="1:15" x14ac:dyDescent="0.3">
      <c r="B511" s="394" t="s">
        <v>7015</v>
      </c>
      <c r="C511" s="139" t="s">
        <v>7124</v>
      </c>
      <c r="D511" s="245" t="s">
        <v>7125</v>
      </c>
      <c r="E511" s="139" t="s">
        <v>7124</v>
      </c>
      <c r="F511" s="245" t="s">
        <v>7125</v>
      </c>
      <c r="G511"/>
      <c r="H511"/>
      <c r="K511"/>
      <c r="L511"/>
    </row>
    <row r="512" spans="1:15" x14ac:dyDescent="0.3">
      <c r="A512" t="s">
        <v>5202</v>
      </c>
      <c r="B512" s="386" t="s">
        <v>7016</v>
      </c>
      <c r="C512" s="387">
        <f>UDV.econ_manure.liquid_sell_price*C413</f>
        <v>0</v>
      </c>
      <c r="D512" s="389">
        <f>UDV.econ_manure.liquid_sell_price*C413</f>
        <v>0</v>
      </c>
      <c r="E512" s="387"/>
      <c r="F512" s="389">
        <f>UDV.econ_manure.sludge_sell_price*C416</f>
        <v>0</v>
      </c>
    </row>
    <row r="513" spans="1:18" x14ac:dyDescent="0.3">
      <c r="A513" t="s">
        <v>5202</v>
      </c>
      <c r="B513" s="386" t="s">
        <v>7127</v>
      </c>
      <c r="C513" s="390">
        <f>C512</f>
        <v>0</v>
      </c>
      <c r="D513" s="391"/>
      <c r="E513" s="390">
        <f>(F512/UDV.anaer_lagoon.sludge_time)</f>
        <v>0</v>
      </c>
      <c r="F513" s="391"/>
    </row>
    <row r="514" spans="1:18" x14ac:dyDescent="0.3">
      <c r="A514" t="s">
        <v>5202</v>
      </c>
      <c r="B514" s="386" t="s">
        <v>7017</v>
      </c>
      <c r="C514" s="393">
        <f>SUM(C513,E513)</f>
        <v>0</v>
      </c>
      <c r="D514" s="146"/>
      <c r="E514" s="99"/>
      <c r="F514" s="146"/>
    </row>
    <row r="515" spans="1:18" x14ac:dyDescent="0.3">
      <c r="B515" s="386"/>
      <c r="C515" s="166"/>
      <c r="D515" s="146"/>
      <c r="E515" s="395"/>
      <c r="F515" s="396"/>
    </row>
    <row r="516" spans="1:18" x14ac:dyDescent="0.3">
      <c r="B516" s="397" t="s">
        <v>7018</v>
      </c>
      <c r="C516" s="139" t="s">
        <v>7124</v>
      </c>
      <c r="D516" s="245" t="s">
        <v>7125</v>
      </c>
      <c r="E516" s="139" t="s">
        <v>7124</v>
      </c>
      <c r="F516" s="245" t="s">
        <v>7125</v>
      </c>
    </row>
    <row r="517" spans="1:18" x14ac:dyDescent="0.3">
      <c r="A517" t="s">
        <v>5202</v>
      </c>
      <c r="B517" s="386" t="s">
        <v>7019</v>
      </c>
      <c r="C517" s="387">
        <f>UDV.econ_manure.liquid_sell_price*C414</f>
        <v>0</v>
      </c>
      <c r="D517" s="389">
        <f>UDV.econ_manure.liquid_sell_price*C414</f>
        <v>0</v>
      </c>
      <c r="E517" s="387">
        <v>0</v>
      </c>
      <c r="F517" s="389">
        <f>UDV.econ_manure.sludge_sell_price*C417</f>
        <v>19355.7359856564</v>
      </c>
    </row>
    <row r="518" spans="1:18" x14ac:dyDescent="0.3">
      <c r="A518" t="s">
        <v>5202</v>
      </c>
      <c r="B518" s="386" t="s">
        <v>7128</v>
      </c>
      <c r="C518" s="390">
        <f>C517</f>
        <v>0</v>
      </c>
      <c r="D518" s="391"/>
      <c r="E518" s="390">
        <f>(F517/UDV.anaer_lagoon.sludge_time)</f>
        <v>1935.5735985656399</v>
      </c>
      <c r="F518" s="391"/>
    </row>
    <row r="519" spans="1:18" x14ac:dyDescent="0.3">
      <c r="A519" t="s">
        <v>5202</v>
      </c>
      <c r="B519" s="386" t="s">
        <v>7020</v>
      </c>
      <c r="C519" s="393">
        <f>SUM(C518,E518)</f>
        <v>1935.5735985656399</v>
      </c>
      <c r="D519" s="146"/>
      <c r="E519" s="99"/>
      <c r="F519" s="146"/>
    </row>
    <row r="520" spans="1:18" x14ac:dyDescent="0.3">
      <c r="B520" s="386"/>
      <c r="D520" s="146"/>
      <c r="E520" s="99"/>
      <c r="F520" s="146"/>
    </row>
    <row r="521" spans="1:18" x14ac:dyDescent="0.3">
      <c r="B521" s="398" t="s">
        <v>7021</v>
      </c>
      <c r="C521" s="139" t="s">
        <v>7124</v>
      </c>
      <c r="D521" s="245" t="s">
        <v>7125</v>
      </c>
      <c r="E521" s="139" t="s">
        <v>7124</v>
      </c>
      <c r="F521" s="245" t="s">
        <v>7125</v>
      </c>
    </row>
    <row r="522" spans="1:18" x14ac:dyDescent="0.3">
      <c r="A522" t="s">
        <v>5202</v>
      </c>
      <c r="B522" s="386" t="s">
        <v>7022</v>
      </c>
      <c r="C522" s="387">
        <f>UDV.econ_manure.liquid_export_cost*C415</f>
        <v>0</v>
      </c>
      <c r="D522" s="389">
        <f>UDV.econ_manure.liquid_export_cost*C415</f>
        <v>0</v>
      </c>
      <c r="E522" s="387">
        <v>0</v>
      </c>
      <c r="F522" s="389">
        <f>UDV.econ_manure.sludge_export_cost*C418</f>
        <v>0</v>
      </c>
    </row>
    <row r="523" spans="1:18" x14ac:dyDescent="0.3">
      <c r="A523" t="s">
        <v>5202</v>
      </c>
      <c r="B523" s="386" t="s">
        <v>7129</v>
      </c>
      <c r="C523" s="390">
        <f>C522</f>
        <v>0</v>
      </c>
      <c r="D523" s="391"/>
      <c r="E523" s="390">
        <f>(F522/UDV.anaer_lagoon.sludge_time)</f>
        <v>0</v>
      </c>
      <c r="F523" s="391"/>
    </row>
    <row r="524" spans="1:18" x14ac:dyDescent="0.3">
      <c r="A524" t="s">
        <v>5202</v>
      </c>
      <c r="B524" s="386" t="s">
        <v>7023</v>
      </c>
      <c r="C524" s="393">
        <f>SUM(C523,E523)</f>
        <v>0</v>
      </c>
      <c r="D524" s="146"/>
      <c r="E524" s="99"/>
      <c r="F524" s="146"/>
    </row>
    <row r="525" spans="1:18" x14ac:dyDescent="0.3">
      <c r="B525" s="386"/>
      <c r="D525" s="146"/>
      <c r="E525" s="99"/>
      <c r="F525" s="146"/>
    </row>
    <row r="526" spans="1:18" x14ac:dyDescent="0.3">
      <c r="B526" s="92" t="s">
        <v>7024</v>
      </c>
      <c r="C526" s="173" t="s">
        <v>7025</v>
      </c>
      <c r="D526" s="173"/>
      <c r="E526" s="99"/>
      <c r="F526" s="146"/>
    </row>
    <row r="527" spans="1:18" x14ac:dyDescent="0.3">
      <c r="A527" t="s">
        <v>5202</v>
      </c>
      <c r="B527" s="149" t="s">
        <v>7026</v>
      </c>
      <c r="C527" s="265"/>
      <c r="D527" s="151"/>
      <c r="E527" s="149"/>
      <c r="F527" s="151"/>
    </row>
    <row r="528" spans="1:18" ht="15" thickBot="1" x14ac:dyDescent="0.35">
      <c r="A528" s="137"/>
      <c r="B528" s="137"/>
      <c r="C528" s="137"/>
      <c r="D528" s="2093"/>
      <c r="E528" s="2093"/>
      <c r="F528" s="2094"/>
      <c r="G528" s="2095"/>
      <c r="H528" s="2096"/>
      <c r="I528" s="137"/>
      <c r="J528" s="137"/>
      <c r="K528" s="2095"/>
      <c r="L528" s="2095"/>
      <c r="M528" s="137"/>
      <c r="N528" s="137"/>
      <c r="O528" s="137"/>
      <c r="P528" s="137"/>
      <c r="Q528" s="137"/>
      <c r="R528" s="2097"/>
    </row>
    <row r="530" spans="2:12" x14ac:dyDescent="0.3">
      <c r="B530" s="82" t="s">
        <v>7130</v>
      </c>
      <c r="D530"/>
      <c r="E530"/>
      <c r="F530"/>
    </row>
    <row r="531" spans="2:12" x14ac:dyDescent="0.3">
      <c r="D531"/>
      <c r="E531"/>
      <c r="F531"/>
    </row>
    <row r="532" spans="2:12" x14ac:dyDescent="0.3">
      <c r="B532" s="139" t="s">
        <v>6983</v>
      </c>
      <c r="C532" s="140" t="s">
        <v>565</v>
      </c>
      <c r="D532" s="140" t="s">
        <v>38</v>
      </c>
      <c r="E532" s="142"/>
      <c r="F532" s="141"/>
    </row>
    <row r="533" spans="2:12" x14ac:dyDescent="0.3">
      <c r="B533" s="99" t="s">
        <v>7028</v>
      </c>
      <c r="C533">
        <f>UDV.crops.acres_available</f>
        <v>100</v>
      </c>
      <c r="D533" t="s">
        <v>7029</v>
      </c>
      <c r="E533" s="34"/>
      <c r="F533" s="146"/>
    </row>
    <row r="534" spans="2:12" x14ac:dyDescent="0.3">
      <c r="B534" s="99" t="s">
        <v>7109</v>
      </c>
      <c r="C534" s="166">
        <f>UDV.econ_manure.liquid_sell_pct*VLOOKUP("Excess volume, lagoon liquid manure",$R$1:$T$333, 3, FALSE)</f>
        <v>0</v>
      </c>
      <c r="D534" t="s">
        <v>5246</v>
      </c>
      <c r="E534"/>
      <c r="F534" s="146"/>
    </row>
    <row r="535" spans="2:12" x14ac:dyDescent="0.3">
      <c r="B535" s="99" t="s">
        <v>7110</v>
      </c>
      <c r="C535" s="166">
        <f>UDV.econ_manure.liquid_give_pct*VLOOKUP("Excess volume, lagoon liquid manure",$R$1:$T$333, 3, FALSE)</f>
        <v>0</v>
      </c>
      <c r="D535" t="s">
        <v>5246</v>
      </c>
      <c r="E535"/>
      <c r="F535" s="146"/>
    </row>
    <row r="536" spans="2:12" x14ac:dyDescent="0.3">
      <c r="B536" s="99" t="s">
        <v>7111</v>
      </c>
      <c r="C536" s="166">
        <f>UDV.econ_manure.liquid_export_pct*VLOOKUP("Excess volume, lagoon liquid manure",$R$1:$T$333, 3, FALSE)</f>
        <v>0</v>
      </c>
      <c r="D536" t="s">
        <v>5246</v>
      </c>
      <c r="E536"/>
      <c r="F536" s="146"/>
      <c r="K536"/>
      <c r="L536"/>
    </row>
    <row r="537" spans="2:12" x14ac:dyDescent="0.3">
      <c r="B537" s="99" t="s">
        <v>7112</v>
      </c>
      <c r="C537" s="166">
        <f>UDV.econ_manure.sludge_sell_pct*VLOOKUP("Excess volume, lagoon sludge manure",$R$1:$T$333, 3, FALSE)</f>
        <v>0</v>
      </c>
      <c r="D537" t="s">
        <v>5249</v>
      </c>
      <c r="E537"/>
      <c r="F537" s="146"/>
      <c r="K537"/>
      <c r="L537"/>
    </row>
    <row r="538" spans="2:12" x14ac:dyDescent="0.3">
      <c r="B538" s="99" t="s">
        <v>7113</v>
      </c>
      <c r="C538" s="166">
        <f>UDV.econ_manure.sludge_give_pct*VLOOKUP("Excess volume, lagoon sludge manure",$R$1:$T$333, 3, FALSE)</f>
        <v>483.89339964141004</v>
      </c>
      <c r="D538" t="s">
        <v>5249</v>
      </c>
      <c r="E538"/>
      <c r="F538" s="146"/>
      <c r="K538"/>
      <c r="L538"/>
    </row>
    <row r="539" spans="2:12" x14ac:dyDescent="0.3">
      <c r="B539" s="99" t="s">
        <v>7114</v>
      </c>
      <c r="C539" s="166">
        <f>UDV.econ_manure.sludge_export_pct*VLOOKUP("Excess volume, lagoon sludge manure",$R$1:$T$333, 3, FALSE)</f>
        <v>0</v>
      </c>
      <c r="D539" t="s">
        <v>5249</v>
      </c>
      <c r="E539"/>
      <c r="F539" s="146"/>
      <c r="K539"/>
      <c r="L539"/>
    </row>
    <row r="540" spans="2:12" x14ac:dyDescent="0.3">
      <c r="B540" s="99"/>
      <c r="D540"/>
      <c r="E540"/>
      <c r="F540" s="151"/>
    </row>
    <row r="541" spans="2:12" x14ac:dyDescent="0.3">
      <c r="B541" s="92" t="s">
        <v>6942</v>
      </c>
      <c r="C541" s="82"/>
      <c r="D541" s="82"/>
      <c r="E541" s="139" t="s">
        <v>6988</v>
      </c>
      <c r="F541" s="141"/>
    </row>
    <row r="542" spans="2:12" x14ac:dyDescent="0.3">
      <c r="B542" s="175" t="s">
        <v>2908</v>
      </c>
      <c r="C542" s="82"/>
      <c r="D542" s="82"/>
      <c r="E542" s="92"/>
      <c r="F542" s="146"/>
    </row>
    <row r="543" spans="2:12" x14ac:dyDescent="0.3">
      <c r="B543" s="143" t="s">
        <v>2663</v>
      </c>
      <c r="C543" s="144" t="s">
        <v>565</v>
      </c>
      <c r="D543" s="144" t="s">
        <v>6943</v>
      </c>
      <c r="E543" s="143" t="s">
        <v>565</v>
      </c>
      <c r="F543" s="145" t="s">
        <v>6944</v>
      </c>
    </row>
    <row r="544" spans="2:12" x14ac:dyDescent="0.3">
      <c r="B544" s="99" t="s">
        <v>5708</v>
      </c>
      <c r="C544" s="147">
        <f t="shared" ref="C544:C552" si="17">VLOOKUP(B544,$R:$U,3,FALSE)</f>
        <v>3000</v>
      </c>
      <c r="D544" t="s">
        <v>2514</v>
      </c>
      <c r="E544" s="99">
        <f t="shared" ref="E544:E552" si="18">C544</f>
        <v>3000</v>
      </c>
      <c r="F544" s="146" t="s">
        <v>2514</v>
      </c>
      <c r="G544"/>
      <c r="H544"/>
    </row>
    <row r="545" spans="2:25" x14ac:dyDescent="0.3">
      <c r="B545" s="99" t="s">
        <v>5709</v>
      </c>
      <c r="C545" s="147">
        <f t="shared" si="17"/>
        <v>1</v>
      </c>
      <c r="D545" t="s">
        <v>2442</v>
      </c>
      <c r="E545" s="99">
        <f t="shared" si="18"/>
        <v>1</v>
      </c>
      <c r="F545" s="146" t="s">
        <v>2442</v>
      </c>
      <c r="G545"/>
      <c r="H545"/>
    </row>
    <row r="546" spans="2:25" x14ac:dyDescent="0.3">
      <c r="B546" s="99" t="s">
        <v>5710</v>
      </c>
      <c r="C546" s="147">
        <f t="shared" si="17"/>
        <v>1</v>
      </c>
      <c r="D546" t="s">
        <v>2442</v>
      </c>
      <c r="E546" s="99">
        <f t="shared" si="18"/>
        <v>1</v>
      </c>
      <c r="F546" s="146" t="s">
        <v>2442</v>
      </c>
      <c r="G546"/>
      <c r="H546"/>
    </row>
    <row r="547" spans="2:25" x14ac:dyDescent="0.3">
      <c r="B547" s="99" t="s">
        <v>5688</v>
      </c>
      <c r="C547" s="147">
        <f t="shared" si="17"/>
        <v>580</v>
      </c>
      <c r="D547" t="s">
        <v>5689</v>
      </c>
      <c r="E547" s="99">
        <f t="shared" si="18"/>
        <v>580</v>
      </c>
      <c r="F547" s="146" t="s">
        <v>5689</v>
      </c>
      <c r="G547"/>
      <c r="H547"/>
    </row>
    <row r="548" spans="2:25" x14ac:dyDescent="0.3">
      <c r="B548" s="99" t="s">
        <v>5701</v>
      </c>
      <c r="C548" s="147">
        <f t="shared" si="17"/>
        <v>340</v>
      </c>
      <c r="D548" s="146" t="s">
        <v>971</v>
      </c>
      <c r="E548">
        <f t="shared" si="18"/>
        <v>340</v>
      </c>
      <c r="F548" s="146" t="s">
        <v>971</v>
      </c>
      <c r="G548"/>
      <c r="H548"/>
    </row>
    <row r="549" spans="2:25" x14ac:dyDescent="0.3">
      <c r="B549" s="99" t="s">
        <v>5738</v>
      </c>
      <c r="C549" s="147">
        <f t="shared" si="17"/>
        <v>1</v>
      </c>
      <c r="D549" s="146" t="s">
        <v>2442</v>
      </c>
      <c r="E549">
        <f t="shared" si="18"/>
        <v>1</v>
      </c>
      <c r="F549" s="146" t="s">
        <v>2442</v>
      </c>
      <c r="G549"/>
      <c r="H549"/>
    </row>
    <row r="550" spans="2:25" x14ac:dyDescent="0.3">
      <c r="B550" s="99" t="s">
        <v>5702</v>
      </c>
      <c r="C550" s="147">
        <f t="shared" si="17"/>
        <v>1</v>
      </c>
      <c r="D550" s="146" t="s">
        <v>2442</v>
      </c>
      <c r="E550">
        <f t="shared" si="18"/>
        <v>1</v>
      </c>
      <c r="F550" s="146" t="s">
        <v>2442</v>
      </c>
      <c r="G550"/>
      <c r="H550"/>
    </row>
    <row r="551" spans="2:25" x14ac:dyDescent="0.3">
      <c r="B551" s="99" t="s">
        <v>5739</v>
      </c>
      <c r="C551" s="147">
        <f t="shared" si="17"/>
        <v>2</v>
      </c>
      <c r="D551" t="s">
        <v>2971</v>
      </c>
      <c r="E551" s="201">
        <f t="shared" si="18"/>
        <v>2</v>
      </c>
      <c r="F551" s="146" t="s">
        <v>2971</v>
      </c>
      <c r="G551"/>
      <c r="H551"/>
    </row>
    <row r="552" spans="2:25" x14ac:dyDescent="0.3">
      <c r="B552" s="99" t="s">
        <v>5732</v>
      </c>
      <c r="C552" s="147" t="str">
        <f t="shared" si="17"/>
        <v>Injection</v>
      </c>
      <c r="D552" t="s">
        <v>7042</v>
      </c>
      <c r="E552" s="165" t="str">
        <f t="shared" si="18"/>
        <v>Injection</v>
      </c>
      <c r="F552" s="146" t="s">
        <v>7042</v>
      </c>
      <c r="G552"/>
      <c r="H552"/>
    </row>
    <row r="553" spans="2:25" x14ac:dyDescent="0.3">
      <c r="B553" s="99"/>
      <c r="C553" s="82"/>
      <c r="D553" s="82"/>
      <c r="E553" s="92"/>
      <c r="F553" s="146"/>
      <c r="G553"/>
      <c r="H553"/>
      <c r="K553"/>
      <c r="L553"/>
      <c r="R553"/>
      <c r="W553"/>
      <c r="Y553"/>
    </row>
    <row r="554" spans="2:25" x14ac:dyDescent="0.3">
      <c r="B554" s="175" t="s">
        <v>7115</v>
      </c>
      <c r="C554" s="147"/>
      <c r="D554"/>
      <c r="E554" s="99"/>
      <c r="F554" s="146"/>
      <c r="G554"/>
      <c r="H554"/>
      <c r="K554"/>
      <c r="L554"/>
      <c r="R554"/>
      <c r="W554"/>
      <c r="Y554"/>
    </row>
    <row r="555" spans="2:25" x14ac:dyDescent="0.3">
      <c r="B555" s="143" t="s">
        <v>2663</v>
      </c>
      <c r="C555" s="147"/>
      <c r="D555"/>
      <c r="E555" s="99"/>
      <c r="F555" s="146"/>
      <c r="G555"/>
      <c r="H555"/>
      <c r="K555"/>
      <c r="L555"/>
      <c r="R555"/>
      <c r="W555"/>
      <c r="Y555"/>
    </row>
    <row r="556" spans="2:25" x14ac:dyDescent="0.3">
      <c r="B556" s="99" t="s">
        <v>6407</v>
      </c>
      <c r="C556" s="147">
        <f>VLOOKUP(B556,$R:$U,3,FALSE)</f>
        <v>25.66270624679748</v>
      </c>
      <c r="D556" t="s">
        <v>5385</v>
      </c>
      <c r="E556" s="178">
        <f>C556</f>
        <v>25.66270624679748</v>
      </c>
      <c r="F556" s="146" t="s">
        <v>5385</v>
      </c>
      <c r="G556"/>
      <c r="H556"/>
      <c r="K556"/>
      <c r="L556"/>
      <c r="R556"/>
      <c r="W556"/>
      <c r="Y556"/>
    </row>
    <row r="557" spans="2:25" x14ac:dyDescent="0.3">
      <c r="B557" s="99" t="s">
        <v>6409</v>
      </c>
      <c r="C557" s="147">
        <f>VLOOKUP(B557,$R:$U,3,FALSE)</f>
        <v>946.46267270594763</v>
      </c>
      <c r="D557" t="s">
        <v>5323</v>
      </c>
      <c r="E557" s="178">
        <f>C557</f>
        <v>946.46267270594763</v>
      </c>
      <c r="F557" s="146" t="s">
        <v>5323</v>
      </c>
      <c r="G557"/>
      <c r="H557"/>
      <c r="K557"/>
      <c r="L557"/>
      <c r="R557"/>
      <c r="W557"/>
      <c r="Y557"/>
    </row>
    <row r="558" spans="2:25" x14ac:dyDescent="0.3">
      <c r="B558" s="99" t="s">
        <v>6390</v>
      </c>
      <c r="C558" s="205">
        <f>VLOOKUP(B558,$R:$U, 3, FALSE)</f>
        <v>7.6988118740392446</v>
      </c>
      <c r="D558" t="s">
        <v>2472</v>
      </c>
      <c r="E558" s="178">
        <f>C558</f>
        <v>7.6988118740392446</v>
      </c>
      <c r="F558" s="146" t="s">
        <v>2710</v>
      </c>
      <c r="G558"/>
      <c r="H558"/>
      <c r="K558"/>
      <c r="L558"/>
      <c r="R558"/>
      <c r="W558"/>
      <c r="Y558"/>
    </row>
    <row r="559" spans="2:25" x14ac:dyDescent="0.3">
      <c r="B559" s="99"/>
      <c r="C559" s="82"/>
      <c r="D559" s="82"/>
      <c r="E559" s="92"/>
      <c r="F559" s="146"/>
      <c r="G559"/>
      <c r="H559"/>
    </row>
    <row r="560" spans="2:25" x14ac:dyDescent="0.3">
      <c r="B560" s="175" t="s">
        <v>6380</v>
      </c>
      <c r="D560"/>
      <c r="E560" s="99"/>
      <c r="F560" s="146"/>
      <c r="G560"/>
      <c r="H560"/>
    </row>
    <row r="561" spans="2:10" x14ac:dyDescent="0.3">
      <c r="B561" s="143" t="s">
        <v>2663</v>
      </c>
      <c r="C561" s="144" t="s">
        <v>565</v>
      </c>
      <c r="D561" s="144" t="s">
        <v>6943</v>
      </c>
      <c r="E561" s="143" t="s">
        <v>565</v>
      </c>
      <c r="F561" s="145" t="s">
        <v>6944</v>
      </c>
      <c r="G561" s="1222" t="s">
        <v>3007</v>
      </c>
      <c r="H561" s="1215" t="s">
        <v>6993</v>
      </c>
      <c r="I561" s="142"/>
      <c r="J561" s="141"/>
    </row>
    <row r="562" spans="2:10" x14ac:dyDescent="0.3">
      <c r="B562" s="99" t="s">
        <v>6401</v>
      </c>
      <c r="C562" s="147">
        <f>VLOOKUP(B562,$R:$U,3,FALSE)</f>
        <v>182.5</v>
      </c>
      <c r="D562" t="s">
        <v>5121</v>
      </c>
      <c r="E562" s="201">
        <f>UC.year_to_day/C562</f>
        <v>2</v>
      </c>
      <c r="F562" s="146" t="s">
        <v>7043</v>
      </c>
      <c r="G562" s="42" t="s">
        <v>7131</v>
      </c>
      <c r="H562" s="92" t="s">
        <v>4838</v>
      </c>
      <c r="I562" s="1216" t="s">
        <v>2710</v>
      </c>
      <c r="J562" s="285">
        <f>(SUM(E564:E566)*UDV.OPEX_labor.tractor_stationary)+(SUM(E567:E569)*UDV.OPEX_labor.tractor_active)+E558</f>
        <v>8.5996107320613717</v>
      </c>
    </row>
    <row r="563" spans="2:10" x14ac:dyDescent="0.3">
      <c r="B563" s="99" t="s">
        <v>5713</v>
      </c>
      <c r="C563" s="147">
        <f>VLOOKUP(B563,$R:$U,3,FALSE)</f>
        <v>0.1762815769123536</v>
      </c>
      <c r="D563" s="146" t="s">
        <v>6085</v>
      </c>
      <c r="E563" s="147">
        <f>C563*E562</f>
        <v>0.35256315382470721</v>
      </c>
      <c r="F563" s="146" t="s">
        <v>2710</v>
      </c>
      <c r="G563" s="42" t="s">
        <v>7132</v>
      </c>
      <c r="H563" s="1217" t="s">
        <v>5444</v>
      </c>
      <c r="I563" s="1216" t="s">
        <v>6085</v>
      </c>
      <c r="J563" s="285">
        <f>(SUM(E585:E587)*UDV.OPEX_labor.tractor_stationary)+(SUM(E588:E590)*UDV.OPEX_labor.tractor_active)</f>
        <v>15.000529154921747</v>
      </c>
    </row>
    <row r="564" spans="2:10" x14ac:dyDescent="0.3">
      <c r="B564" s="99" t="s">
        <v>6543</v>
      </c>
      <c r="C564" s="204">
        <f>C563</f>
        <v>0.1762815769123536</v>
      </c>
      <c r="D564" s="141" t="s">
        <v>6085</v>
      </c>
      <c r="E564" s="178">
        <f>C564*E562</f>
        <v>0.35256315382470721</v>
      </c>
      <c r="F564" s="146" t="s">
        <v>2710</v>
      </c>
      <c r="G564" s="42" t="s">
        <v>7133</v>
      </c>
      <c r="H564" s="1218" t="s">
        <v>5445</v>
      </c>
      <c r="I564" s="1216" t="s">
        <v>6995</v>
      </c>
      <c r="J564" s="285">
        <f>SUM(J562:J563)</f>
        <v>23.600139886983118</v>
      </c>
    </row>
    <row r="565" spans="2:10" x14ac:dyDescent="0.3">
      <c r="B565" s="99" t="s">
        <v>6544</v>
      </c>
      <c r="C565" s="205">
        <f>C563</f>
        <v>0.1762815769123536</v>
      </c>
      <c r="D565" s="146" t="s">
        <v>6085</v>
      </c>
      <c r="E565" s="178">
        <f>C565*E562</f>
        <v>0.35256315382470721</v>
      </c>
      <c r="F565" s="146" t="s">
        <v>2710</v>
      </c>
      <c r="G565" s="42" t="s">
        <v>7134</v>
      </c>
      <c r="H565" s="1219" t="s">
        <v>5446</v>
      </c>
      <c r="I565" s="1220" t="s">
        <v>5447</v>
      </c>
      <c r="J565" s="1221">
        <f>J562+(J563/UDV.anaer_lagoon.sludge_time)</f>
        <v>10.099663647553546</v>
      </c>
    </row>
    <row r="566" spans="2:10" x14ac:dyDescent="0.3">
      <c r="B566" s="99" t="s">
        <v>6545</v>
      </c>
      <c r="C566" s="205">
        <f>C563</f>
        <v>0.1762815769123536</v>
      </c>
      <c r="D566" s="146" t="s">
        <v>6085</v>
      </c>
      <c r="E566" s="178">
        <f>C566*E562</f>
        <v>0.35256315382470721</v>
      </c>
      <c r="F566" s="146" t="s">
        <v>2710</v>
      </c>
      <c r="G566"/>
      <c r="H566"/>
    </row>
    <row r="567" spans="2:10" x14ac:dyDescent="0.3">
      <c r="B567" s="99" t="s">
        <v>6546</v>
      </c>
      <c r="C567" s="205">
        <f>C563*UDV.dhl.application_maneuver_factor</f>
        <v>0.20272381344920662</v>
      </c>
      <c r="D567" s="146" t="s">
        <v>6085</v>
      </c>
      <c r="E567" s="178">
        <f>C567*E562</f>
        <v>0.40544762689841324</v>
      </c>
      <c r="F567" s="146" t="s">
        <v>2710</v>
      </c>
      <c r="G567"/>
      <c r="H567"/>
    </row>
    <row r="568" spans="2:10" x14ac:dyDescent="0.3">
      <c r="B568" s="99" t="s">
        <v>6547</v>
      </c>
      <c r="C568" s="205">
        <f>C563*UDV.dhl.hose_mover_utilization</f>
        <v>0.13221118268426521</v>
      </c>
      <c r="D568" s="146" t="s">
        <v>6085</v>
      </c>
      <c r="E568" s="178">
        <f>C568*E562</f>
        <v>0.26442236536853042</v>
      </c>
      <c r="F568" s="146" t="s">
        <v>2710</v>
      </c>
      <c r="G568"/>
      <c r="H568"/>
    </row>
    <row r="569" spans="2:10" x14ac:dyDescent="0.3">
      <c r="B569" s="99" t="s">
        <v>6548</v>
      </c>
      <c r="C569" s="209">
        <f>C563*UDV.dhl.pickup_utilization</f>
        <v>2.6442236536853039E-2</v>
      </c>
      <c r="D569" s="151" t="s">
        <v>6085</v>
      </c>
      <c r="E569" s="178">
        <f>C569*E562</f>
        <v>5.2884473073706077E-2</v>
      </c>
      <c r="F569" s="146" t="s">
        <v>2710</v>
      </c>
      <c r="G569"/>
      <c r="H569"/>
    </row>
    <row r="570" spans="2:10" x14ac:dyDescent="0.3">
      <c r="B570" s="99" t="s">
        <v>5714</v>
      </c>
      <c r="C570" s="147">
        <f t="shared" ref="C570:C579" si="19">VLOOKUP(B570,$R:$U,3,FALSE)</f>
        <v>3.1730683844223648</v>
      </c>
      <c r="D570" t="s">
        <v>2489</v>
      </c>
      <c r="E570" s="178">
        <f>C570*E562</f>
        <v>6.3461367688447297</v>
      </c>
      <c r="F570" s="146" t="s">
        <v>7135</v>
      </c>
      <c r="G570"/>
      <c r="H570"/>
    </row>
    <row r="571" spans="2:10" x14ac:dyDescent="0.3">
      <c r="B571" s="99" t="s">
        <v>5715</v>
      </c>
      <c r="C571" s="147">
        <f t="shared" si="19"/>
        <v>1.3221118268426519</v>
      </c>
      <c r="D571" t="s">
        <v>2489</v>
      </c>
      <c r="E571" s="178">
        <f>C571*E562</f>
        <v>2.6442236536853039</v>
      </c>
      <c r="F571" s="146" t="s">
        <v>7135</v>
      </c>
      <c r="G571"/>
      <c r="H571"/>
    </row>
    <row r="572" spans="2:10" x14ac:dyDescent="0.3">
      <c r="B572" s="99" t="s">
        <v>5716</v>
      </c>
      <c r="C572" s="147">
        <f t="shared" si="19"/>
        <v>1.0576894614741217</v>
      </c>
      <c r="D572" t="s">
        <v>2489</v>
      </c>
      <c r="E572" s="178">
        <f>C572*E562</f>
        <v>2.1153789229482434</v>
      </c>
      <c r="F572" s="146" t="s">
        <v>7135</v>
      </c>
      <c r="G572"/>
      <c r="H572"/>
    </row>
    <row r="573" spans="2:10" x14ac:dyDescent="0.3">
      <c r="B573" s="99" t="s">
        <v>5740</v>
      </c>
      <c r="C573" s="147">
        <f t="shared" si="19"/>
        <v>25.52</v>
      </c>
      <c r="D573" t="s">
        <v>6549</v>
      </c>
      <c r="E573" s="178">
        <f>C573*E567</f>
        <v>10.347023438447506</v>
      </c>
      <c r="F573" s="146" t="s">
        <v>7135</v>
      </c>
      <c r="G573"/>
      <c r="H573"/>
    </row>
    <row r="574" spans="2:10" x14ac:dyDescent="0.3">
      <c r="B574" s="99" t="s">
        <v>5741</v>
      </c>
      <c r="C574" s="147">
        <f t="shared" si="19"/>
        <v>14.959999999999999</v>
      </c>
      <c r="D574" t="s">
        <v>6549</v>
      </c>
      <c r="E574" s="178">
        <f>C574*E568</f>
        <v>3.9557585859132147</v>
      </c>
      <c r="F574" s="146" t="s">
        <v>7135</v>
      </c>
      <c r="G574"/>
      <c r="H574"/>
    </row>
    <row r="575" spans="2:10" x14ac:dyDescent="0.3">
      <c r="B575" s="99" t="s">
        <v>5717</v>
      </c>
      <c r="C575" s="147">
        <f t="shared" si="19"/>
        <v>0.15865341922111822</v>
      </c>
      <c r="D575" t="s">
        <v>2489</v>
      </c>
      <c r="E575" s="178">
        <f>C575*E562</f>
        <v>0.31730683844223645</v>
      </c>
      <c r="F575" s="146" t="s">
        <v>7135</v>
      </c>
      <c r="G575"/>
      <c r="H575"/>
    </row>
    <row r="576" spans="2:10" x14ac:dyDescent="0.3">
      <c r="B576" s="99" t="s">
        <v>6403</v>
      </c>
      <c r="C576" s="147">
        <f t="shared" si="19"/>
        <v>1201.1370470114557</v>
      </c>
      <c r="D576" t="s">
        <v>5910</v>
      </c>
      <c r="E576" s="164">
        <f>CONVERT(C576,"m^3","gal")*E562</f>
        <v>634613.67774484411</v>
      </c>
      <c r="F576" s="146" t="s">
        <v>5324</v>
      </c>
      <c r="G576"/>
      <c r="H576"/>
    </row>
    <row r="577" spans="2:11" x14ac:dyDescent="0.3">
      <c r="B577" s="99" t="s">
        <v>6404</v>
      </c>
      <c r="C577" s="78">
        <f t="shared" si="19"/>
        <v>1.1051319345963957</v>
      </c>
      <c r="D577" s="146" t="s">
        <v>2413</v>
      </c>
      <c r="E577" s="201">
        <f>C577*UC.g_to_lb/UC.L_to_gal*1000</f>
        <v>9.2227730493771602</v>
      </c>
      <c r="F577" s="146" t="s">
        <v>2414</v>
      </c>
      <c r="G577"/>
      <c r="H577"/>
    </row>
    <row r="578" spans="2:11" x14ac:dyDescent="0.3">
      <c r="B578" s="99" t="s">
        <v>6405</v>
      </c>
      <c r="C578" s="78">
        <f t="shared" si="19"/>
        <v>0.76046905598548931</v>
      </c>
      <c r="D578" s="146" t="s">
        <v>2413</v>
      </c>
      <c r="E578" s="201">
        <f>C578*UC.g_to_lb/UC.L_to_gal*1000</f>
        <v>6.3464219020959751</v>
      </c>
      <c r="F578" s="146" t="s">
        <v>2414</v>
      </c>
      <c r="G578"/>
      <c r="H578"/>
    </row>
    <row r="579" spans="2:11" x14ac:dyDescent="0.3">
      <c r="B579" s="99" t="s">
        <v>6406</v>
      </c>
      <c r="C579" s="78">
        <f t="shared" si="19"/>
        <v>1.1555235596998139</v>
      </c>
      <c r="D579" s="146" t="s">
        <v>2413</v>
      </c>
      <c r="E579" s="201">
        <f>C579*UC.g_to_lb/UC.L_to_gal*1000</f>
        <v>9.6433115456136793</v>
      </c>
      <c r="F579" s="146" t="s">
        <v>2414</v>
      </c>
      <c r="G579"/>
      <c r="H579"/>
    </row>
    <row r="580" spans="2:11" x14ac:dyDescent="0.3">
      <c r="B580" s="99"/>
      <c r="D580"/>
      <c r="E580" s="99"/>
      <c r="F580" s="146"/>
      <c r="G580"/>
      <c r="H580"/>
    </row>
    <row r="581" spans="2:11" x14ac:dyDescent="0.3">
      <c r="B581" s="175" t="s">
        <v>263</v>
      </c>
      <c r="D581"/>
      <c r="E581" s="99"/>
      <c r="F581" s="146"/>
      <c r="G581"/>
      <c r="H581"/>
    </row>
    <row r="582" spans="2:11" x14ac:dyDescent="0.3">
      <c r="B582" s="143" t="s">
        <v>2663</v>
      </c>
      <c r="C582" s="144" t="s">
        <v>565</v>
      </c>
      <c r="D582" s="144" t="s">
        <v>6943</v>
      </c>
      <c r="E582" s="143" t="s">
        <v>565</v>
      </c>
      <c r="F582" s="145" t="s">
        <v>6944</v>
      </c>
      <c r="G582"/>
      <c r="H582"/>
    </row>
    <row r="583" spans="2:11" x14ac:dyDescent="0.3">
      <c r="B583" s="99" t="s">
        <v>6416</v>
      </c>
      <c r="C583" s="382">
        <f>VLOOKUP(B583,$X:$AA,3,FALSE)</f>
        <v>10</v>
      </c>
      <c r="D583" t="s">
        <v>2669</v>
      </c>
      <c r="E583" s="99">
        <f>C583</f>
        <v>10</v>
      </c>
      <c r="F583" s="146" t="s">
        <v>2669</v>
      </c>
      <c r="G583"/>
      <c r="H583"/>
    </row>
    <row r="584" spans="2:11" x14ac:dyDescent="0.3">
      <c r="B584" s="99" t="s">
        <v>5713</v>
      </c>
      <c r="C584" s="382">
        <f>VLOOKUP(B584,$X:$AA,3,FALSE)</f>
        <v>5.8710485929243621</v>
      </c>
      <c r="D584" s="146" t="s">
        <v>6085</v>
      </c>
      <c r="E584" s="311">
        <f>C584</f>
        <v>5.8710485929243621</v>
      </c>
      <c r="F584" s="146" t="s">
        <v>6085</v>
      </c>
      <c r="G584"/>
      <c r="H584"/>
    </row>
    <row r="585" spans="2:11" x14ac:dyDescent="0.3">
      <c r="B585" s="99" t="s">
        <v>6543</v>
      </c>
      <c r="C585" s="400">
        <f>C584</f>
        <v>5.8710485929243621</v>
      </c>
      <c r="D585" s="141" t="s">
        <v>6085</v>
      </c>
      <c r="E585" s="401">
        <f>E584</f>
        <v>5.8710485929243621</v>
      </c>
      <c r="F585" s="146" t="s">
        <v>6085</v>
      </c>
      <c r="G585"/>
      <c r="H585"/>
    </row>
    <row r="586" spans="2:11" x14ac:dyDescent="0.3">
      <c r="B586" s="99" t="s">
        <v>6544</v>
      </c>
      <c r="C586" s="78">
        <f>C584</f>
        <v>5.8710485929243621</v>
      </c>
      <c r="D586" t="s">
        <v>6085</v>
      </c>
      <c r="E586" s="401">
        <f>E584</f>
        <v>5.8710485929243621</v>
      </c>
      <c r="F586" s="146" t="s">
        <v>6085</v>
      </c>
      <c r="G586"/>
      <c r="H586"/>
    </row>
    <row r="587" spans="2:11" x14ac:dyDescent="0.3">
      <c r="B587" s="99" t="s">
        <v>6545</v>
      </c>
      <c r="C587" s="78">
        <f>C584</f>
        <v>5.8710485929243621</v>
      </c>
      <c r="D587" t="s">
        <v>6085</v>
      </c>
      <c r="E587" s="401">
        <f>E584</f>
        <v>5.8710485929243621</v>
      </c>
      <c r="F587" s="146" t="s">
        <v>6085</v>
      </c>
      <c r="G587"/>
      <c r="H587" s="139" t="s">
        <v>7033</v>
      </c>
      <c r="I587" s="142"/>
      <c r="J587" s="142"/>
      <c r="K587" s="272"/>
    </row>
    <row r="588" spans="2:11" x14ac:dyDescent="0.3">
      <c r="B588" s="99" t="s">
        <v>7136</v>
      </c>
      <c r="C588" s="78">
        <f>C584*UDV.dhl.application_maneuver_factor</f>
        <v>6.7517058818630158</v>
      </c>
      <c r="D588" t="s">
        <v>6085</v>
      </c>
      <c r="E588" s="401">
        <f>E584*VLOOKUP("NAPercent time for useApplicator tractor for drag hose land applicationDefault",Econ.inputsTable!$E:$G,2,FALSE)</f>
        <v>6.7517058818630158</v>
      </c>
      <c r="F588" s="146" t="s">
        <v>6085</v>
      </c>
      <c r="G588"/>
      <c r="H588" s="99" t="s">
        <v>7034</v>
      </c>
      <c r="K588" s="113"/>
    </row>
    <row r="589" spans="2:11" x14ac:dyDescent="0.3">
      <c r="B589" s="99" t="s">
        <v>7137</v>
      </c>
      <c r="C589" s="78">
        <f>C584*UDV.dhl.hose_mover_utilization</f>
        <v>4.403286444693272</v>
      </c>
      <c r="D589" t="s">
        <v>6085</v>
      </c>
      <c r="E589" s="401">
        <f>E584*VLOOKUP("NAPercent time for useHose mover tractor for drag hose land applicationDefault",Econ.inputsTable!$E:$G,2,FALSE)</f>
        <v>4.403286444693272</v>
      </c>
      <c r="F589" s="146" t="s">
        <v>6085</v>
      </c>
      <c r="G589"/>
      <c r="H589" s="99" t="s">
        <v>7035</v>
      </c>
      <c r="K589" s="113"/>
    </row>
    <row r="590" spans="2:11" x14ac:dyDescent="0.3">
      <c r="B590" s="99" t="s">
        <v>6548</v>
      </c>
      <c r="C590" s="312">
        <f>C584*UDV.dhl.pickup_utilization</f>
        <v>0.88065728893865425</v>
      </c>
      <c r="D590" s="151" t="s">
        <v>6085</v>
      </c>
      <c r="E590" s="311">
        <f>E584*VLOOKUP("NAPercent time for usePickup truck for drag hose land applicationDefault",Econ.inputsTable!$E:$G,2,FALSE)</f>
        <v>0.88065728893865425</v>
      </c>
      <c r="F590" s="146" t="s">
        <v>6085</v>
      </c>
      <c r="G590"/>
      <c r="H590" s="235" t="s">
        <v>7047</v>
      </c>
      <c r="K590" s="113"/>
    </row>
    <row r="591" spans="2:11" x14ac:dyDescent="0.3">
      <c r="B591" s="99" t="s">
        <v>5714</v>
      </c>
      <c r="C591" s="382">
        <f t="shared" ref="C591:C600" si="20">VLOOKUP(B591,$X:$AA,3,FALSE)</f>
        <v>105.67887467263851</v>
      </c>
      <c r="D591" t="s">
        <v>2489</v>
      </c>
      <c r="E591" s="178">
        <f>C591</f>
        <v>105.67887467263851</v>
      </c>
      <c r="F591" s="146" t="s">
        <v>6087</v>
      </c>
      <c r="G591" s="147"/>
      <c r="H591" s="235" t="s">
        <v>7037</v>
      </c>
      <c r="K591" s="113"/>
    </row>
    <row r="592" spans="2:11" x14ac:dyDescent="0.3">
      <c r="B592" s="99" t="s">
        <v>5715</v>
      </c>
      <c r="C592" s="382">
        <f t="shared" si="20"/>
        <v>44.032864446932713</v>
      </c>
      <c r="D592" t="s">
        <v>2489</v>
      </c>
      <c r="E592" s="178">
        <f>C592</f>
        <v>44.032864446932713</v>
      </c>
      <c r="F592" s="146" t="s">
        <v>6087</v>
      </c>
      <c r="G592"/>
      <c r="H592" s="235" t="s">
        <v>7038</v>
      </c>
      <c r="K592" s="113"/>
    </row>
    <row r="593" spans="2:25" x14ac:dyDescent="0.3">
      <c r="B593" s="99" t="s">
        <v>5716</v>
      </c>
      <c r="C593" s="382">
        <f t="shared" si="20"/>
        <v>35.226291557546176</v>
      </c>
      <c r="D593" t="s">
        <v>2489</v>
      </c>
      <c r="E593" s="178">
        <f>C593</f>
        <v>35.226291557546176</v>
      </c>
      <c r="F593" s="146" t="s">
        <v>6087</v>
      </c>
      <c r="G593"/>
      <c r="H593" s="235" t="s">
        <v>7007</v>
      </c>
      <c r="K593" s="113"/>
    </row>
    <row r="594" spans="2:25" x14ac:dyDescent="0.3">
      <c r="B594" s="99" t="s">
        <v>5740</v>
      </c>
      <c r="C594" s="382">
        <f t="shared" si="20"/>
        <v>25.52</v>
      </c>
      <c r="D594" t="s">
        <v>6549</v>
      </c>
      <c r="E594" s="178">
        <f>C594*E588</f>
        <v>172.30353410514417</v>
      </c>
      <c r="F594" s="146" t="s">
        <v>6087</v>
      </c>
      <c r="G594"/>
      <c r="H594" s="235" t="s">
        <v>7008</v>
      </c>
      <c r="K594" s="113"/>
    </row>
    <row r="595" spans="2:25" x14ac:dyDescent="0.3">
      <c r="B595" s="99" t="s">
        <v>5741</v>
      </c>
      <c r="C595" s="382">
        <f t="shared" si="20"/>
        <v>14.959999999999999</v>
      </c>
      <c r="D595" t="s">
        <v>6549</v>
      </c>
      <c r="E595" s="178">
        <f>C595*E589</f>
        <v>65.87316521261134</v>
      </c>
      <c r="F595" s="146" t="s">
        <v>6087</v>
      </c>
      <c r="G595"/>
      <c r="H595" s="235" t="s">
        <v>7039</v>
      </c>
      <c r="K595" s="113"/>
    </row>
    <row r="596" spans="2:25" x14ac:dyDescent="0.3">
      <c r="B596" s="99" t="s">
        <v>5717</v>
      </c>
      <c r="C596" s="382">
        <f t="shared" si="20"/>
        <v>5.2839437336319257</v>
      </c>
      <c r="D596" t="s">
        <v>2489</v>
      </c>
      <c r="E596" s="178">
        <f>C596</f>
        <v>5.2839437336319257</v>
      </c>
      <c r="F596" s="146" t="s">
        <v>6087</v>
      </c>
      <c r="G596"/>
      <c r="H596" s="235" t="s">
        <v>1325</v>
      </c>
      <c r="K596" s="113"/>
    </row>
    <row r="597" spans="2:25" x14ac:dyDescent="0.3">
      <c r="B597" s="99" t="s">
        <v>6418</v>
      </c>
      <c r="C597" s="382">
        <f t="shared" si="20"/>
        <v>4525.5947564400622</v>
      </c>
      <c r="D597" t="s">
        <v>5910</v>
      </c>
      <c r="E597" s="164">
        <f>CONVERT(C597,"m^3","gal")</f>
        <v>1195535.654950046</v>
      </c>
      <c r="F597" s="146" t="s">
        <v>2489</v>
      </c>
      <c r="G597"/>
      <c r="H597" s="235" t="s">
        <v>7040</v>
      </c>
      <c r="K597" s="113"/>
    </row>
    <row r="598" spans="2:25" x14ac:dyDescent="0.3">
      <c r="B598" s="99" t="s">
        <v>6404</v>
      </c>
      <c r="C598" s="499">
        <f t="shared" si="20"/>
        <v>1.4665640428699664</v>
      </c>
      <c r="D598" s="146" t="s">
        <v>2413</v>
      </c>
      <c r="E598" s="201">
        <f>C598*UC.g_to_lb/UC.L_to_gal*1000</f>
        <v>12.239070201791318</v>
      </c>
      <c r="F598" s="146" t="s">
        <v>2414</v>
      </c>
      <c r="G598"/>
      <c r="H598" s="235" t="s">
        <v>7041</v>
      </c>
      <c r="K598" s="146"/>
      <c r="L598"/>
    </row>
    <row r="599" spans="2:25" x14ac:dyDescent="0.3">
      <c r="B599" s="99" t="s">
        <v>6405</v>
      </c>
      <c r="C599" s="499">
        <f t="shared" si="20"/>
        <v>3.3027695097379093</v>
      </c>
      <c r="D599" s="146" t="s">
        <v>2413</v>
      </c>
      <c r="E599" s="201">
        <f>C599*UC.g_to_lb/UC.L_to_gal*1000</f>
        <v>27.562947616602834</v>
      </c>
      <c r="F599" s="146" t="s">
        <v>2414</v>
      </c>
      <c r="G599"/>
      <c r="H599" s="253" t="s">
        <v>349</v>
      </c>
      <c r="I599" s="150"/>
      <c r="J599" s="150"/>
      <c r="K599" s="151"/>
      <c r="L599"/>
    </row>
    <row r="600" spans="2:25" x14ac:dyDescent="0.3">
      <c r="B600" s="99" t="s">
        <v>6406</v>
      </c>
      <c r="C600" s="499">
        <f t="shared" si="20"/>
        <v>3.3027856402144384</v>
      </c>
      <c r="D600" s="146" t="s">
        <v>2413</v>
      </c>
      <c r="E600" s="201">
        <f>C600*UC.g_to_lb/UC.L_to_gal*1000</f>
        <v>27.563082231954681</v>
      </c>
      <c r="F600" s="146" t="s">
        <v>2414</v>
      </c>
      <c r="G600"/>
      <c r="H600"/>
      <c r="K600"/>
      <c r="L600"/>
    </row>
    <row r="601" spans="2:25" x14ac:dyDescent="0.3">
      <c r="B601" s="99"/>
      <c r="D601"/>
      <c r="E601" s="99"/>
      <c r="F601" s="146"/>
      <c r="G601"/>
      <c r="H601"/>
      <c r="K601"/>
      <c r="L601"/>
    </row>
    <row r="602" spans="2:25" x14ac:dyDescent="0.3">
      <c r="B602" s="92" t="s">
        <v>6996</v>
      </c>
      <c r="D602"/>
      <c r="E602" s="99"/>
      <c r="F602" s="146"/>
      <c r="G602"/>
      <c r="H602"/>
      <c r="K602"/>
      <c r="L602"/>
    </row>
    <row r="603" spans="2:25" x14ac:dyDescent="0.3">
      <c r="B603" s="143" t="s">
        <v>2663</v>
      </c>
      <c r="C603" s="144" t="s">
        <v>565</v>
      </c>
      <c r="D603" s="144" t="s">
        <v>6943</v>
      </c>
      <c r="E603" s="143" t="s">
        <v>565</v>
      </c>
      <c r="F603" s="145" t="s">
        <v>6944</v>
      </c>
      <c r="G603"/>
      <c r="H603"/>
      <c r="K603"/>
      <c r="L603"/>
    </row>
    <row r="604" spans="2:25" x14ac:dyDescent="0.3">
      <c r="B604" s="99" t="s">
        <v>7076</v>
      </c>
      <c r="D604"/>
      <c r="E604" s="357">
        <f>UDV.electricity.avg_cost</f>
        <v>6.8591666666666662E-2</v>
      </c>
      <c r="F604" s="146" t="s">
        <v>2306</v>
      </c>
      <c r="G604"/>
      <c r="H604"/>
      <c r="K604"/>
      <c r="L604"/>
      <c r="R604"/>
      <c r="W604"/>
      <c r="Y604"/>
    </row>
    <row r="605" spans="2:25" x14ac:dyDescent="0.3">
      <c r="B605" s="99" t="s">
        <v>6997</v>
      </c>
      <c r="D605"/>
      <c r="E605" s="348">
        <f>UDV.fuel.diesel_avg_cost</f>
        <v>3.6964905660377356</v>
      </c>
      <c r="F605" s="146" t="s">
        <v>2315</v>
      </c>
      <c r="G605"/>
      <c r="H605"/>
      <c r="K605"/>
      <c r="L605"/>
    </row>
    <row r="606" spans="2:25" x14ac:dyDescent="0.3">
      <c r="B606" s="99" t="s">
        <v>7044</v>
      </c>
      <c r="C606">
        <f>UDV.land_application.max_distance</f>
        <v>2</v>
      </c>
      <c r="D606" t="s">
        <v>2971</v>
      </c>
      <c r="E606" s="178">
        <f>IF(E545=0,0,CONVERT(C606,"mi","ft"))</f>
        <v>10560</v>
      </c>
      <c r="F606" s="146" t="s">
        <v>2340</v>
      </c>
      <c r="G606" s="254" t="s">
        <v>7081</v>
      </c>
      <c r="H606"/>
      <c r="K606"/>
      <c r="L606"/>
    </row>
    <row r="607" spans="2:25" x14ac:dyDescent="0.3">
      <c r="B607" s="99" t="s">
        <v>5712</v>
      </c>
      <c r="C607" s="382">
        <f>VLOOKUP(B607,$X:$AA,3,FALSE)</f>
        <v>1</v>
      </c>
      <c r="D607"/>
      <c r="E607" s="201">
        <f>C607</f>
        <v>1</v>
      </c>
      <c r="F607" s="146" t="s">
        <v>2442</v>
      </c>
      <c r="G607"/>
      <c r="H607"/>
      <c r="K607"/>
      <c r="L607"/>
    </row>
    <row r="608" spans="2:25" x14ac:dyDescent="0.3">
      <c r="B608" s="149" t="s">
        <v>6998</v>
      </c>
      <c r="C608" s="150"/>
      <c r="D608" s="151"/>
      <c r="E608" s="349">
        <f>UDV.labor.non_specialized_cost</f>
        <v>23.66</v>
      </c>
      <c r="F608" s="151" t="s">
        <v>3659</v>
      </c>
      <c r="G608"/>
      <c r="H608"/>
      <c r="K608"/>
      <c r="L608"/>
    </row>
    <row r="609" spans="1:25" x14ac:dyDescent="0.3">
      <c r="C609" s="82"/>
      <c r="D609"/>
      <c r="E609" s="82"/>
      <c r="F609" s="82"/>
      <c r="G609"/>
      <c r="H609" s="82"/>
      <c r="I609" s="82"/>
      <c r="K609"/>
      <c r="L609"/>
      <c r="O609" s="82"/>
    </row>
    <row r="610" spans="1:25" x14ac:dyDescent="0.3">
      <c r="B610" s="206" t="s">
        <v>7108</v>
      </c>
      <c r="C610" s="142"/>
      <c r="D610" s="142"/>
      <c r="E610" s="142"/>
      <c r="F610" s="142"/>
      <c r="G610" s="142"/>
      <c r="H610" s="142"/>
      <c r="I610" s="142"/>
      <c r="J610" s="142"/>
      <c r="K610" s="142"/>
      <c r="L610" s="142"/>
      <c r="M610" s="142"/>
      <c r="N610" s="142"/>
      <c r="O610" s="141"/>
    </row>
    <row r="611" spans="1:25" ht="43.2" x14ac:dyDescent="0.3">
      <c r="B611" s="210" t="s">
        <v>6946</v>
      </c>
      <c r="C611" s="152" t="s">
        <v>6947</v>
      </c>
      <c r="D611" s="152" t="s">
        <v>6948</v>
      </c>
      <c r="E611" s="152" t="s">
        <v>6999</v>
      </c>
      <c r="F611" s="152" t="s">
        <v>7045</v>
      </c>
      <c r="G611" s="152" t="s">
        <v>6951</v>
      </c>
      <c r="H611" s="152" t="s">
        <v>6952</v>
      </c>
      <c r="I611" s="152" t="s">
        <v>6953</v>
      </c>
      <c r="J611" s="152" t="s">
        <v>6954</v>
      </c>
      <c r="K611" s="152" t="s">
        <v>6955</v>
      </c>
      <c r="L611" s="152" t="s">
        <v>6956</v>
      </c>
      <c r="M611" s="152" t="s">
        <v>6957</v>
      </c>
      <c r="N611" s="152" t="s">
        <v>7002</v>
      </c>
      <c r="O611" s="161" t="s">
        <v>6959</v>
      </c>
    </row>
    <row r="612" spans="1:25" x14ac:dyDescent="0.3">
      <c r="A612" t="s">
        <v>7122</v>
      </c>
      <c r="B612" s="99" t="s">
        <v>2808</v>
      </c>
      <c r="C612" s="153">
        <f>IF(E556=0,0,(VLOOKUP("Irrigation systema",Econ.Equations!$C:$E,2,FALSE)*E556^VLOOKUP("Irrigation systemb",Econ.Equations!$C:$E,2,FALSE))*E556)</f>
        <v>52778.527621534726</v>
      </c>
      <c r="D612" s="42">
        <f>VLOOKUP("CAPEXLifetimeBuildings and constructionDefault",Econ.inputsTable!$E:$G,2,FALSE)</f>
        <v>20</v>
      </c>
      <c r="E612" s="42" t="s">
        <v>2852</v>
      </c>
      <c r="F612" s="42" t="s">
        <v>2852</v>
      </c>
      <c r="G612" s="539">
        <f>VLOOKUP("CAPEXAnnual usage on activityItems that are used only on the given activityDefault",Econ.inputsTable!$E:$J,2,FALSE)</f>
        <v>1</v>
      </c>
      <c r="H612" s="503">
        <f t="shared" ref="H612:H624" si="21">UDV.econ_capital.interest_rate</f>
        <v>5.0999999999999997E-2</v>
      </c>
      <c r="I612" s="2091">
        <f>VLOOKUP("CAPEXSalvageBuildings and constructionDefault",Econ.inputsTable!$E:$K,2,FALSE)</f>
        <v>0</v>
      </c>
      <c r="J612" s="153">
        <f>C612*I612</f>
        <v>0</v>
      </c>
      <c r="K612" s="154">
        <f>VLOOKUP("CAPEXFinanced amountNADefault",Econ.inputsTable!$E:$J,2,FALSE)</f>
        <v>1</v>
      </c>
      <c r="L612" s="2092">
        <f>H612*K612</f>
        <v>5.0999999999999997E-2</v>
      </c>
      <c r="M612" s="351">
        <f t="shared" ref="M612:M624" si="22">L612/(1-(1+L612)^-D612)</f>
        <v>8.0924368970045152E-2</v>
      </c>
      <c r="N612" s="153">
        <f t="shared" ref="N612:N624" si="23">((C612-J612)*M612)+(J612*L612)</f>
        <v>4271.069042940796</v>
      </c>
      <c r="O612" s="372">
        <f>N612*G612</f>
        <v>4271.069042940796</v>
      </c>
      <c r="W612"/>
      <c r="Y612"/>
    </row>
    <row r="613" spans="1:25" x14ac:dyDescent="0.3">
      <c r="A613" t="s">
        <v>7046</v>
      </c>
      <c r="B613" s="99" t="s">
        <v>7034</v>
      </c>
      <c r="C613" s="153">
        <f>VLOOKUP("Diesel powered lead pumpDefault", Econ.Tables!$C:$E,2,FALSE)*E545</f>
        <v>293400</v>
      </c>
      <c r="D613" s="42">
        <f>VLOOKUP("CAPEXLifetimeDiesel-powered pump set package (at lagoon)Default",Econ.inputsTable!$E:$G,2,FALSE)</f>
        <v>17</v>
      </c>
      <c r="E613"/>
      <c r="F613" s="147">
        <f>IF(E545=0,0,(E564+(E585/E583))/E545)</f>
        <v>0.93966801311714332</v>
      </c>
      <c r="G613" s="255">
        <f>VLOOKUP("CAPEXAnnual usage on activityItems that are used only on the given activityDefault",Econ.inputsTable!$E:$G,2,FALSE)</f>
        <v>1</v>
      </c>
      <c r="H613" s="503">
        <f t="shared" si="21"/>
        <v>5.0999999999999997E-2</v>
      </c>
      <c r="I613" s="236">
        <f>VLOOKUP("CAPEXSalvageEquipmentDefault", Econ.inputsTable!$E:$G,2,FALSE)</f>
        <v>0.2</v>
      </c>
      <c r="J613" s="153">
        <f t="shared" ref="J613:J624" si="24">$C613*I613</f>
        <v>58680</v>
      </c>
      <c r="K613" s="257">
        <f>VLOOKUP("CAPEXFinanced amountNADefault", Econ.inputsTable!$E:$G,2,FALSE)</f>
        <v>1</v>
      </c>
      <c r="L613" s="236">
        <f t="shared" ref="L613:L624" si="25">H613*K613</f>
        <v>5.0999999999999997E-2</v>
      </c>
      <c r="M613">
        <f t="shared" si="22"/>
        <v>8.9362846108502439E-2</v>
      </c>
      <c r="N613" s="153">
        <f t="shared" si="23"/>
        <v>23967.927238587694</v>
      </c>
      <c r="O613" s="157">
        <f t="shared" ref="O613:O624" si="26">N613*G613</f>
        <v>23967.927238587694</v>
      </c>
    </row>
    <row r="614" spans="1:25" x14ac:dyDescent="0.3">
      <c r="A614" t="s">
        <v>7046</v>
      </c>
      <c r="B614" s="99" t="s">
        <v>7035</v>
      </c>
      <c r="C614" s="153">
        <f>VLOOKUP("Diesel powered booster pumpDefault",Econ.Tables!$C:$E,2,FALSE)*E607</f>
        <v>197300</v>
      </c>
      <c r="D614" s="42">
        <f>VLOOKUP("CAPEXLifetimeDiesel-powered pump set package (at lagoon)Default",Econ.inputsTable!$E:$G,2,FALSE)</f>
        <v>17</v>
      </c>
      <c r="E614"/>
      <c r="F614" s="147">
        <f>IF(E607=0,0,(E565+(E586/E583))/E607)</f>
        <v>0.93966801311714332</v>
      </c>
      <c r="G614" s="255">
        <f>VLOOKUP("CAPEXAnnual usage on activityItems that are used only on the given activityDefault",Econ.inputsTable!$E:$G,2,FALSE)</f>
        <v>1</v>
      </c>
      <c r="H614" s="503">
        <f t="shared" si="21"/>
        <v>5.0999999999999997E-2</v>
      </c>
      <c r="I614" s="236">
        <f>VLOOKUP("CAPEXSalvageEquipmentDefault", Econ.inputsTable!$E:$G,2,FALSE)</f>
        <v>0.2</v>
      </c>
      <c r="J614" s="153">
        <f t="shared" si="24"/>
        <v>39460</v>
      </c>
      <c r="K614" s="257">
        <f>VLOOKUP("CAPEXFinanced amountNADefault", Econ.inputsTable!$E:$G,2,FALSE)</f>
        <v>1</v>
      </c>
      <c r="L614" s="236">
        <f t="shared" si="25"/>
        <v>5.0999999999999997E-2</v>
      </c>
      <c r="M614">
        <f t="shared" si="22"/>
        <v>8.9362846108502439E-2</v>
      </c>
      <c r="N614" s="153">
        <f t="shared" si="23"/>
        <v>16117.491629766024</v>
      </c>
      <c r="O614" s="157">
        <f t="shared" si="26"/>
        <v>16117.491629766024</v>
      </c>
    </row>
    <row r="615" spans="1:25" x14ac:dyDescent="0.3">
      <c r="A615" t="s">
        <v>7046</v>
      </c>
      <c r="B615" s="99" t="s">
        <v>7047</v>
      </c>
      <c r="C615" s="153">
        <f>VLOOKUP("Diesel powered agitation trailerDefault",Econ.Tables!$C:$E,2,FALSE)*E546</f>
        <v>131500</v>
      </c>
      <c r="D615" s="42">
        <f>VLOOKUP("CAPEXLifetimeEquipmentDefault",Econ.inputsTable!$E:$G,2,FALSE)</f>
        <v>10</v>
      </c>
      <c r="E615"/>
      <c r="F615" s="147">
        <f>IF(E546=0,0,(E566+(E587/E583))/E546)</f>
        <v>0.93966801311714332</v>
      </c>
      <c r="G615" s="255">
        <f>VLOOKUP("CAPEXAnnual usage on activityItems that are used only on the given activityDefault",Econ.inputsTable!$E:$G,2,FALSE)</f>
        <v>1</v>
      </c>
      <c r="H615" s="503">
        <f t="shared" si="21"/>
        <v>5.0999999999999997E-2</v>
      </c>
      <c r="I615" s="155">
        <f>VLOOKUP("CAPEXSalvageEquipmentDefault", Econ.inputsTable!$E:$G,2,FALSE)</f>
        <v>0.2</v>
      </c>
      <c r="J615" s="153">
        <f t="shared" si="24"/>
        <v>26300</v>
      </c>
      <c r="K615" s="257">
        <f>VLOOKUP("CAPEXFinanced amountNADefault", Econ.inputsTable!$E:$G,2,FALSE)</f>
        <v>1</v>
      </c>
      <c r="L615" s="236">
        <f t="shared" si="25"/>
        <v>5.0999999999999997E-2</v>
      </c>
      <c r="M615">
        <f t="shared" si="22"/>
        <v>0.13013423257204779</v>
      </c>
      <c r="N615" s="153">
        <f t="shared" si="23"/>
        <v>15031.421266579426</v>
      </c>
      <c r="O615" s="157">
        <f t="shared" si="26"/>
        <v>15031.421266579426</v>
      </c>
    </row>
    <row r="616" spans="1:25" x14ac:dyDescent="0.3">
      <c r="A616" t="s">
        <v>7046</v>
      </c>
      <c r="B616" s="99" t="s">
        <v>7037</v>
      </c>
      <c r="C616" s="153">
        <f>VLOOKUP(_xlfn.CONCAT("Tractor",E547, " hp"),Econ.Tables!$C:$E,2,FALSE)*E549</f>
        <v>637400</v>
      </c>
      <c r="D616" s="79">
        <f>VLOOKUP("CAPEXLifetimeTractor, 4 wheel drive and crawlerDefault",Econ.inputsTable!$E:$H,2,FALSE)/E616</f>
        <v>16</v>
      </c>
      <c r="E616" s="213">
        <f>IF(F616&gt;UDV.tractor.min_usage_yearly,F616,UDV.tractor.min_usage_yearly)</f>
        <v>1000</v>
      </c>
      <c r="F616" s="147">
        <f>IF(E549=0,0,(E567+(E588/E583))/E549)</f>
        <v>1.0806182150847148</v>
      </c>
      <c r="G616" s="236">
        <f>F616/E616</f>
        <v>1.0806182150847148E-3</v>
      </c>
      <c r="H616" s="503">
        <f t="shared" si="21"/>
        <v>5.0999999999999997E-2</v>
      </c>
      <c r="I616" s="236">
        <f>VLOOKUP("CAPEXSalvageEquipmentDefault", Econ.inputsTable!$E:$G,2,FALSE)</f>
        <v>0.2</v>
      </c>
      <c r="J616" s="153">
        <f t="shared" si="24"/>
        <v>127480</v>
      </c>
      <c r="K616" s="257">
        <f>VLOOKUP("CAPEXFinanced amountNADefault", Econ.inputsTable!$E:$G,2,FALSE)</f>
        <v>1</v>
      </c>
      <c r="L616" s="236">
        <f t="shared" si="25"/>
        <v>5.0999999999999997E-2</v>
      </c>
      <c r="M616">
        <f t="shared" si="22"/>
        <v>9.2927821836826949E-2</v>
      </c>
      <c r="N616" s="153">
        <f t="shared" si="23"/>
        <v>53887.2349110348</v>
      </c>
      <c r="O616" s="157">
        <f t="shared" si="26"/>
        <v>58.231527605413156</v>
      </c>
    </row>
    <row r="617" spans="1:25" x14ac:dyDescent="0.3">
      <c r="A617" t="s">
        <v>7046</v>
      </c>
      <c r="B617" s="99" t="s">
        <v>7048</v>
      </c>
      <c r="C617" s="229">
        <f>VLOOKUP("Hose reel, hydraulic,no specific sizeDefault",Econ.Tables!$C:$E,2,FALSE)*E549</f>
        <v>44500</v>
      </c>
      <c r="D617" s="42">
        <f>VLOOKUP("CAPEXLifetimeEquipmentDefault",Econ.inputsTable!$E:$G,2,FALSE)</f>
        <v>10</v>
      </c>
      <c r="E617" s="152"/>
      <c r="F617" s="259">
        <f>F616</f>
        <v>1.0806182150847148</v>
      </c>
      <c r="G617" s="255">
        <f>VLOOKUP("CAPEXAnnual usage on activityItems that are used only on the given activityDefault",Econ.inputsTable!$E:$G,2,FALSE)</f>
        <v>1</v>
      </c>
      <c r="H617" s="503">
        <f t="shared" si="21"/>
        <v>5.0999999999999997E-2</v>
      </c>
      <c r="I617" s="236">
        <f>VLOOKUP("CAPEXSalvageEquipmentDefault", Econ.inputsTable!$E:$G,2,FALSE)</f>
        <v>0.2</v>
      </c>
      <c r="J617" s="153">
        <f t="shared" si="24"/>
        <v>8900</v>
      </c>
      <c r="K617" s="257">
        <f>VLOOKUP("CAPEXFinanced amountNADefault", Econ.inputsTable!$E:$G,2,FALSE)</f>
        <v>1</v>
      </c>
      <c r="L617" s="236">
        <f t="shared" si="25"/>
        <v>5.0999999999999997E-2</v>
      </c>
      <c r="M617">
        <f t="shared" si="22"/>
        <v>0.13013423257204779</v>
      </c>
      <c r="N617" s="153">
        <f t="shared" si="23"/>
        <v>5086.6786795649004</v>
      </c>
      <c r="O617" s="157">
        <f t="shared" si="26"/>
        <v>5086.6786795649004</v>
      </c>
    </row>
    <row r="618" spans="1:25" x14ac:dyDescent="0.3">
      <c r="A618" t="s">
        <v>7046</v>
      </c>
      <c r="B618" s="99" t="s">
        <v>7007</v>
      </c>
      <c r="C618" s="229">
        <f>IF(E552="Broadcast",VLOOKUP("BoomDefault", Econ.Tables!$C:$E,2,FALSE),0)*E549</f>
        <v>0</v>
      </c>
      <c r="D618" s="42">
        <f>VLOOKUP("CAPEXLifetimeEquipmentDefault",Econ.inputsTable!$E:$G,2,FALSE)</f>
        <v>10</v>
      </c>
      <c r="E618" s="152"/>
      <c r="F618" s="259">
        <f>IF(E552="Broadcast",F616,0)*VLOOKUP("NAPercent time for useApplication toolbar usage per unit tractor pulling it usageDefault", Econ.inputsTable!$E:$G,2,FALSE)</f>
        <v>0</v>
      </c>
      <c r="G618" s="255">
        <f>VLOOKUP("CAPEXAnnual usage on activityItems that are used only on the given activityDefault",Econ.inputsTable!$E:$G,2,FALSE)</f>
        <v>1</v>
      </c>
      <c r="H618" s="503">
        <f t="shared" si="21"/>
        <v>5.0999999999999997E-2</v>
      </c>
      <c r="I618" s="236">
        <f>VLOOKUP("CAPEXSalvageEquipmentDefault", Econ.inputsTable!$E:$G,2,FALSE)</f>
        <v>0.2</v>
      </c>
      <c r="J618" s="153">
        <f t="shared" si="24"/>
        <v>0</v>
      </c>
      <c r="K618" s="257">
        <f>VLOOKUP("CAPEXFinanced amountNADefault", Econ.inputsTable!$E:$G,2,FALSE)</f>
        <v>1</v>
      </c>
      <c r="L618" s="236">
        <f t="shared" si="25"/>
        <v>5.0999999999999997E-2</v>
      </c>
      <c r="M618">
        <f t="shared" si="22"/>
        <v>0.13013423257204779</v>
      </c>
      <c r="N618" s="153">
        <f t="shared" si="23"/>
        <v>0</v>
      </c>
      <c r="O618" s="157">
        <f t="shared" si="26"/>
        <v>0</v>
      </c>
    </row>
    <row r="619" spans="1:25" x14ac:dyDescent="0.3">
      <c r="A619" t="s">
        <v>7046</v>
      </c>
      <c r="B619" s="99" t="s">
        <v>7008</v>
      </c>
      <c r="C619" s="229">
        <f>IF(E552="Injection",VLOOKUP("InjectionDefault",Econ.Tables!$C:$E,2,FALSE),0)*E549</f>
        <v>80900</v>
      </c>
      <c r="D619" s="42">
        <f>VLOOKUP("CAPEXLifetimeEquipmentDefault",Econ.inputsTable!$E:$G,2,FALSE)</f>
        <v>10</v>
      </c>
      <c r="E619" s="152"/>
      <c r="F619" s="259">
        <f>IF(E552="Injection",F616,0)*VLOOKUP("NAPercent time for useApplication toolbar usage per unit tractor pulling it usageDefault", Econ.inputsTable!$E:$G,2,FALSE)</f>
        <v>0.43224728603388596</v>
      </c>
      <c r="G619" s="255">
        <f>VLOOKUP("CAPEXAnnual usage on activityItems that are used only on the given activityDefault",Econ.inputsTable!$E:$G,2,FALSE)</f>
        <v>1</v>
      </c>
      <c r="H619" s="503">
        <f t="shared" si="21"/>
        <v>5.0999999999999997E-2</v>
      </c>
      <c r="I619" s="236">
        <f>VLOOKUP("CAPEXSalvageEquipmentDefault", Econ.inputsTable!$E:$G,2,FALSE)</f>
        <v>0.2</v>
      </c>
      <c r="J619" s="153">
        <f t="shared" si="24"/>
        <v>16180</v>
      </c>
      <c r="K619" s="257">
        <f>VLOOKUP("CAPEXFinanced amountNADefault", Econ.inputsTable!$E:$G,2,FALSE)</f>
        <v>1</v>
      </c>
      <c r="L619" s="236">
        <f t="shared" si="25"/>
        <v>5.0999999999999997E-2</v>
      </c>
      <c r="M619">
        <f t="shared" si="22"/>
        <v>0.13013423257204779</v>
      </c>
      <c r="N619" s="153">
        <f t="shared" si="23"/>
        <v>9247.4675320629322</v>
      </c>
      <c r="O619" s="157">
        <f t="shared" si="26"/>
        <v>9247.4675320629322</v>
      </c>
    </row>
    <row r="620" spans="1:25" x14ac:dyDescent="0.3">
      <c r="A620" t="s">
        <v>7046</v>
      </c>
      <c r="B620" s="99" t="s">
        <v>7039</v>
      </c>
      <c r="C620" s="153">
        <f>VLOOKUP(_xlfn.CONCAT("Tractor",E548," hp"),Econ.Tables!$C:$E,2,FALSE)*E550</f>
        <v>490700</v>
      </c>
      <c r="D620" s="79">
        <f>VLOOKUP("CAPEXLifetimeTractor, 4 wheel drive and crawlerDefault",Econ.inputsTable!$E:$H,2,FALSE)/E620</f>
        <v>16</v>
      </c>
      <c r="E620" s="213">
        <f>IF(F620&gt;UDV.tractor.min_usage_yearly,F620,UDV.tractor.min_usage_yearly)</f>
        <v>1000</v>
      </c>
      <c r="F620" s="147">
        <f>IF(E550=0,0,(E568+(E589/E583))/E550)</f>
        <v>0.70475100983785754</v>
      </c>
      <c r="G620" s="236">
        <f t="shared" ref="G620" si="27">F620/E620</f>
        <v>7.0475100983785751E-4</v>
      </c>
      <c r="H620" s="503">
        <f t="shared" si="21"/>
        <v>5.0999999999999997E-2</v>
      </c>
      <c r="I620" s="236">
        <f>VLOOKUP("CAPEXSalvageEquipmentDefault", Econ.inputsTable!$E:$G,2,FALSE)</f>
        <v>0.2</v>
      </c>
      <c r="J620" s="153">
        <f t="shared" si="24"/>
        <v>98140</v>
      </c>
      <c r="K620" s="257">
        <f>VLOOKUP("CAPEXFinanced amountNADefault", Econ.inputsTable!$E:$G,2,FALSE)</f>
        <v>1</v>
      </c>
      <c r="L620" s="236">
        <f t="shared" si="25"/>
        <v>5.0999999999999997E-2</v>
      </c>
      <c r="M620">
        <f t="shared" si="22"/>
        <v>9.2927821836826949E-2</v>
      </c>
      <c r="N620" s="153">
        <f t="shared" si="23"/>
        <v>41484.885740264785</v>
      </c>
      <c r="O620" s="157">
        <f t="shared" si="26"/>
        <v>29.236515118459742</v>
      </c>
    </row>
    <row r="621" spans="1:25" x14ac:dyDescent="0.3">
      <c r="A621" t="s">
        <v>7046</v>
      </c>
      <c r="B621" s="99" t="s">
        <v>1325</v>
      </c>
      <c r="C621" s="229">
        <f>VLOOKUP("Hose pulleyDefault",Econ.Tables!$C:$E,2,FALSE)*E550</f>
        <v>13200</v>
      </c>
      <c r="D621" s="42">
        <f>VLOOKUP("CAPEXLifetimeEquipmentDefault",Econ.inputsTable!$E:$G,2,FALSE)</f>
        <v>10</v>
      </c>
      <c r="E621" s="152"/>
      <c r="F621" s="259">
        <f>F620</f>
        <v>0.70475100983785754</v>
      </c>
      <c r="G621" s="255">
        <f>VLOOKUP("CAPEXAnnual usage on activityItems that are used only on the given activityDefault",Econ.inputsTable!$E:$G,2,FALSE)</f>
        <v>1</v>
      </c>
      <c r="H621" s="503">
        <f t="shared" si="21"/>
        <v>5.0999999999999997E-2</v>
      </c>
      <c r="I621" s="236">
        <f>VLOOKUP("CAPEXSalvageEquipmentDefault", Econ.inputsTable!$E:$G,2,FALSE)</f>
        <v>0.2</v>
      </c>
      <c r="J621" s="153">
        <f t="shared" si="24"/>
        <v>2640</v>
      </c>
      <c r="K621" s="257">
        <f>VLOOKUP("CAPEXFinanced amountNADefault", Econ.inputsTable!$E:$G,2,FALSE)</f>
        <v>1</v>
      </c>
      <c r="L621" s="236">
        <f t="shared" si="25"/>
        <v>5.0999999999999997E-2</v>
      </c>
      <c r="M621">
        <f t="shared" si="22"/>
        <v>0.13013423257204779</v>
      </c>
      <c r="N621" s="153">
        <f t="shared" si="23"/>
        <v>1508.8574959608245</v>
      </c>
      <c r="O621" s="157">
        <f t="shared" si="26"/>
        <v>1508.8574959608245</v>
      </c>
    </row>
    <row r="622" spans="1:25" x14ac:dyDescent="0.3">
      <c r="A622" t="s">
        <v>7046</v>
      </c>
      <c r="B622" s="235" t="s">
        <v>3007</v>
      </c>
      <c r="C622" s="260">
        <f>VLOOKUP("Flexible drag hose, 6in 660 ftDefault",Econ.Tables!$C:$E,2,FALSE)*E549</f>
        <v>15200</v>
      </c>
      <c r="D622" s="42">
        <f>VLOOKUP("CAPEXLifetimeDrag hoseDefault",Econ.inputsTable!$E:$G,2,FALSE)</f>
        <v>2.5</v>
      </c>
      <c r="E622" s="152"/>
      <c r="F622" s="259">
        <f>F616</f>
        <v>1.0806182150847148</v>
      </c>
      <c r="G622" s="255">
        <f>VLOOKUP("CAPEXAnnual usage on activityItems that are used only on the given activityDefault",Econ.inputsTable!$E:$G,2,FALSE)</f>
        <v>1</v>
      </c>
      <c r="H622" s="503">
        <f t="shared" si="21"/>
        <v>5.0999999999999997E-2</v>
      </c>
      <c r="I622" s="155">
        <f>VLOOKUP("CAPEXSalvageBuildings and constructionDefault", Econ.inputsTable!$E:$G,2,FALSE)</f>
        <v>0</v>
      </c>
      <c r="J622" s="153">
        <f t="shared" si="24"/>
        <v>0</v>
      </c>
      <c r="K622" s="257">
        <f>VLOOKUP("CAPEXFinanced amountNADefault", Econ.inputsTable!$E:$G,2,FALSE)</f>
        <v>1</v>
      </c>
      <c r="L622" s="236">
        <f t="shared" si="25"/>
        <v>5.0999999999999997E-2</v>
      </c>
      <c r="M622">
        <f t="shared" si="22"/>
        <v>0.43614381549069553</v>
      </c>
      <c r="N622" s="153">
        <f t="shared" si="23"/>
        <v>6629.3859954585723</v>
      </c>
      <c r="O622" s="157">
        <f t="shared" si="26"/>
        <v>6629.3859954585723</v>
      </c>
    </row>
    <row r="623" spans="1:25" x14ac:dyDescent="0.3">
      <c r="A623" t="s">
        <v>7046</v>
      </c>
      <c r="B623" s="235" t="s">
        <v>3465</v>
      </c>
      <c r="C623" s="260">
        <f>VLOOKUP("Manure piping to fieldDefault",Econ.Tables!$C:$E,2,FALSE)*E606</f>
        <v>95040</v>
      </c>
      <c r="D623" s="42">
        <f>VLOOKUP("CAPEXLifetimeBuildings and constructionDefault",Econ.inputsTable!$E:$G,2,FALSE)</f>
        <v>20</v>
      </c>
      <c r="E623" s="152"/>
      <c r="F623" s="259">
        <f>F616</f>
        <v>1.0806182150847148</v>
      </c>
      <c r="G623" s="255">
        <f>VLOOKUP("CAPEXAnnual usage on activityItems that are used only on the given activityDefault",Econ.inputsTable!$E:$G,2,FALSE)</f>
        <v>1</v>
      </c>
      <c r="H623" s="503">
        <f t="shared" si="21"/>
        <v>5.0999999999999997E-2</v>
      </c>
      <c r="I623" s="155">
        <f>VLOOKUP("CAPEXSalvageBuildings and constructionDefault", Econ.inputsTable!$E:$G,2,FALSE)</f>
        <v>0</v>
      </c>
      <c r="J623" s="153">
        <f t="shared" si="24"/>
        <v>0</v>
      </c>
      <c r="K623" s="257">
        <f>VLOOKUP("CAPEXFinanced amountNADefault", Econ.inputsTable!$E:$G,2,FALSE)</f>
        <v>1</v>
      </c>
      <c r="L623" s="236">
        <f t="shared" si="25"/>
        <v>5.0999999999999997E-2</v>
      </c>
      <c r="M623">
        <f t="shared" si="22"/>
        <v>8.0924368970045152E-2</v>
      </c>
      <c r="N623" s="153">
        <f t="shared" si="23"/>
        <v>7691.0520269130911</v>
      </c>
      <c r="O623" s="157">
        <f t="shared" si="26"/>
        <v>7691.0520269130911</v>
      </c>
    </row>
    <row r="624" spans="1:25" x14ac:dyDescent="0.3">
      <c r="A624" t="s">
        <v>7046</v>
      </c>
      <c r="B624" s="235" t="s">
        <v>349</v>
      </c>
      <c r="C624" s="153">
        <f>IF(E590&gt;0,VLOOKUP("Pick up truckDefault",Econ.Tables!$C:$E,2,FALSE),0)</f>
        <v>58700</v>
      </c>
      <c r="D624" s="42">
        <f>VLOOKUP("CAPEXLifetimeTruck, pickupDefault",Econ.inputsTable!$E:$G,2,FALSE)</f>
        <v>8</v>
      </c>
      <c r="E624" s="42">
        <f>VLOOKUP("CAPEXAnnual usage on farmTruck, pickupDefault",Econ.inputsTable!$E:$G,2,FALSE)</f>
        <v>250</v>
      </c>
      <c r="F624" s="259">
        <f>(E569+(E590/E583))</f>
        <v>0.14095020196757149</v>
      </c>
      <c r="G624" s="258">
        <f>F624/E624</f>
        <v>5.6380080787028601E-4</v>
      </c>
      <c r="H624" s="503">
        <f t="shared" si="21"/>
        <v>5.0999999999999997E-2</v>
      </c>
      <c r="I624" s="155">
        <f>VLOOKUP("CAPEXSalvageEquipmentDefault", Econ.inputsTable!$E:$G,2,FALSE)</f>
        <v>0.2</v>
      </c>
      <c r="J624" s="153">
        <f t="shared" si="24"/>
        <v>11740</v>
      </c>
      <c r="K624" s="257">
        <f>VLOOKUP("CAPEXFinanced amountNADefault", Econ.inputsTable!$E:$G,2,FALSE)</f>
        <v>1</v>
      </c>
      <c r="L624" s="236">
        <f t="shared" si="25"/>
        <v>5.0999999999999997E-2</v>
      </c>
      <c r="M624">
        <f t="shared" si="22"/>
        <v>0.1553478599468672</v>
      </c>
      <c r="N624" s="153">
        <f t="shared" si="23"/>
        <v>7893.8755031048831</v>
      </c>
      <c r="O624" s="157">
        <f t="shared" si="26"/>
        <v>4.4505733858779939</v>
      </c>
    </row>
    <row r="625" spans="1:25" x14ac:dyDescent="0.3">
      <c r="B625" s="99"/>
      <c r="C625" s="152"/>
      <c r="D625" s="82"/>
      <c r="E625" s="82"/>
      <c r="F625" s="82"/>
      <c r="G625" s="82"/>
      <c r="H625" s="82"/>
      <c r="I625" s="82"/>
      <c r="J625" s="152"/>
      <c r="K625" s="152"/>
      <c r="L625" s="152"/>
      <c r="M625" s="152"/>
      <c r="N625" s="82"/>
      <c r="O625" s="173"/>
    </row>
    <row r="626" spans="1:25" x14ac:dyDescent="0.3">
      <c r="B626" s="99"/>
      <c r="C626" s="82" t="s">
        <v>7009</v>
      </c>
      <c r="D626" s="82" t="s">
        <v>6963</v>
      </c>
      <c r="E626"/>
      <c r="F626"/>
      <c r="G626"/>
      <c r="H626"/>
      <c r="K626"/>
      <c r="L626"/>
      <c r="O626" s="146"/>
    </row>
    <row r="627" spans="1:25" x14ac:dyDescent="0.3">
      <c r="A627" t="s">
        <v>5205</v>
      </c>
      <c r="B627" s="99" t="s">
        <v>6964</v>
      </c>
      <c r="C627" s="153">
        <f>SUM(C612:C624)</f>
        <v>2110618.5276215347</v>
      </c>
      <c r="D627" s="318">
        <f>SUMPRODUCT(C612:C624,G612:G624)</f>
        <v>924886.23009977909</v>
      </c>
      <c r="E627"/>
      <c r="F627"/>
      <c r="G627"/>
      <c r="H627"/>
      <c r="K627"/>
      <c r="L627"/>
      <c r="O627" s="146"/>
    </row>
    <row r="628" spans="1:25" x14ac:dyDescent="0.3">
      <c r="A628" t="s">
        <v>5205</v>
      </c>
      <c r="B628" s="149" t="s">
        <v>6965</v>
      </c>
      <c r="C628" s="159">
        <f>SUM(N612:N624)</f>
        <v>192817.34706223872</v>
      </c>
      <c r="D628" s="319">
        <f>SUMPRODUCT(N612:N624,G612:G624)</f>
        <v>89643.269523944022</v>
      </c>
      <c r="E628" s="150"/>
      <c r="F628" s="150"/>
      <c r="G628" s="261"/>
      <c r="H628" s="150"/>
      <c r="I628" s="150"/>
      <c r="J628" s="150"/>
      <c r="K628" s="150"/>
      <c r="L628" s="150"/>
      <c r="M628" s="150"/>
      <c r="N628" s="150"/>
      <c r="O628" s="151"/>
    </row>
    <row r="629" spans="1:25" x14ac:dyDescent="0.3">
      <c r="B629" s="262"/>
      <c r="C629" s="142"/>
      <c r="D629" s="142"/>
      <c r="E629" s="142"/>
      <c r="F629" s="142"/>
      <c r="G629" s="142"/>
      <c r="H629" s="142"/>
      <c r="I629" s="142"/>
      <c r="J629" s="142"/>
      <c r="K629" s="142"/>
      <c r="L629" s="142"/>
      <c r="M629" s="142"/>
      <c r="N629" s="142"/>
      <c r="O629" s="141"/>
    </row>
    <row r="630" spans="1:25" ht="57.6" x14ac:dyDescent="0.3">
      <c r="B630" s="160" t="s">
        <v>6966</v>
      </c>
      <c r="C630" s="152" t="s">
        <v>6967</v>
      </c>
      <c r="D630" s="152" t="s">
        <v>6968</v>
      </c>
      <c r="E630" s="152" t="s">
        <v>6969</v>
      </c>
      <c r="F630" s="152" t="s">
        <v>6970</v>
      </c>
      <c r="G630" s="152" t="s">
        <v>6971</v>
      </c>
      <c r="H630" s="152" t="s">
        <v>6972</v>
      </c>
      <c r="I630" s="152" t="s">
        <v>6973</v>
      </c>
      <c r="J630" s="152" t="s">
        <v>6974</v>
      </c>
      <c r="K630" s="152" t="s">
        <v>6975</v>
      </c>
      <c r="L630" s="152" t="s">
        <v>6976</v>
      </c>
      <c r="M630" s="152" t="s">
        <v>6977</v>
      </c>
      <c r="N630" s="152" t="s">
        <v>6978</v>
      </c>
      <c r="O630" s="161" t="s">
        <v>6979</v>
      </c>
    </row>
    <row r="631" spans="1:25" x14ac:dyDescent="0.3">
      <c r="B631" s="99" t="s">
        <v>2808</v>
      </c>
      <c r="C631" s="155">
        <f>VLOOKUP("OPEXInsuranceEverythingDefault",Econ.inputsTable!$E:$K,2,FALSE)</f>
        <v>5.0000000000000001E-3</v>
      </c>
      <c r="D631" s="154">
        <f>VLOOKUP("OPEXRepair and maintenanceEquipmentDefault",Econ.inputsTable!$E:$K,2,FALSE)</f>
        <v>0.03</v>
      </c>
      <c r="E631"/>
      <c r="F631" s="2124">
        <f>E557</f>
        <v>946.46267270594763</v>
      </c>
      <c r="G631" s="504">
        <f>F631*E604</f>
        <v>64.919452158688784</v>
      </c>
      <c r="H631"/>
      <c r="I631" s="504"/>
      <c r="J631" s="504"/>
      <c r="K631" s="147">
        <f>E558</f>
        <v>7.6988118740392446</v>
      </c>
      <c r="L631" s="156">
        <f>K631*E608</f>
        <v>182.15388893976854</v>
      </c>
      <c r="O631" s="167">
        <f t="shared" ref="O631:O643" si="28">(SUM(C631:D631)*C612*G612)+SUM(E631,G631,I631,J631,L631,N631)</f>
        <v>2094.3218078521727</v>
      </c>
      <c r="R631"/>
      <c r="W631"/>
      <c r="Y631"/>
    </row>
    <row r="632" spans="1:25" x14ac:dyDescent="0.3">
      <c r="B632" s="99" t="s">
        <v>3003</v>
      </c>
      <c r="C632" s="263">
        <f>VLOOKUP("OPEXInsuranceEverythingDefault", Econ.inputsTable!$E:$G,2,FALSE)</f>
        <v>5.0000000000000001E-3</v>
      </c>
      <c r="D632" s="237">
        <f>VLOOKUP("OPEXRepair and maintenanceEquipmentDefault",Econ.inputsTable!$E:$G,2,FALSE)</f>
        <v>0.03</v>
      </c>
      <c r="E632"/>
      <c r="F632"/>
      <c r="G632"/>
      <c r="H632" s="147">
        <f>(E570+(E591/E583))*E545</f>
        <v>16.914024236108581</v>
      </c>
      <c r="I632" s="259">
        <f>H632*E605</f>
        <v>62.522531022508986</v>
      </c>
      <c r="J632" s="259">
        <f>I632*VLOOKUP("OPEXLubeLubeDefault",Econ.inputsTable!$E:$G,2,FALSE)</f>
        <v>6.2522531022508989</v>
      </c>
      <c r="K632"/>
      <c r="L632" s="233"/>
      <c r="O632" s="264">
        <f t="shared" si="28"/>
        <v>10337.774784124758</v>
      </c>
    </row>
    <row r="633" spans="1:25" x14ac:dyDescent="0.3">
      <c r="B633" s="99" t="s">
        <v>3005</v>
      </c>
      <c r="C633" s="263">
        <f>VLOOKUP("OPEXInsuranceEverythingDefault", Econ.inputsTable!$E:$G,2,FALSE)</f>
        <v>5.0000000000000001E-3</v>
      </c>
      <c r="D633" s="237">
        <f>VLOOKUP("OPEXRepair and maintenanceEquipmentDefault",Econ.inputsTable!$E:$G,2,FALSE)</f>
        <v>0.03</v>
      </c>
      <c r="E633"/>
      <c r="F633"/>
      <c r="G633"/>
      <c r="H633" s="147">
        <f>(E571+(E592/E583))*E607</f>
        <v>7.0475100983785754</v>
      </c>
      <c r="I633" s="259">
        <f>H633*E605</f>
        <v>26.051054592712077</v>
      </c>
      <c r="J633" s="259">
        <f>I633*VLOOKUP("OPEXLubeLubeDefault",Econ.inputsTable!$E:$G,2,FALSE)</f>
        <v>2.6051054592712077</v>
      </c>
      <c r="K633"/>
      <c r="L633" s="233"/>
      <c r="O633" s="264">
        <f t="shared" si="28"/>
        <v>6934.1561600519826</v>
      </c>
    </row>
    <row r="634" spans="1:25" x14ac:dyDescent="0.3">
      <c r="B634" s="99" t="s">
        <v>7047</v>
      </c>
      <c r="C634" s="263">
        <f>VLOOKUP("OPEXInsuranceEverythingDefault", Econ.inputsTable!$E:$G,2,FALSE)</f>
        <v>5.0000000000000001E-3</v>
      </c>
      <c r="D634" s="237">
        <f>VLOOKUP("OPEXRepair and maintenanceEquipmentDefault",Econ.inputsTable!$E:$G,2,FALSE)</f>
        <v>0.03</v>
      </c>
      <c r="E634"/>
      <c r="F634"/>
      <c r="G634"/>
      <c r="H634" s="147">
        <f>(E572+(E593/E583))*E546</f>
        <v>5.6380080787028604</v>
      </c>
      <c r="I634" s="259">
        <f>H634*E605</f>
        <v>20.840843674169662</v>
      </c>
      <c r="J634" s="259">
        <f>I634*VLOOKUP("OPEXLubeLubeDefault",Econ.inputsTable!$E:$G,2,FALSE)</f>
        <v>2.0840843674169665</v>
      </c>
      <c r="K634"/>
      <c r="L634" s="233"/>
      <c r="O634" s="264">
        <f t="shared" si="28"/>
        <v>4625.4249280415861</v>
      </c>
    </row>
    <row r="635" spans="1:25" x14ac:dyDescent="0.3">
      <c r="B635" s="99" t="s">
        <v>7037</v>
      </c>
      <c r="C635" s="263">
        <f>VLOOKUP("OPEXInsuranceEverythingDefault", Econ.inputsTable!$E:$G,2,FALSE)</f>
        <v>5.0000000000000001E-3</v>
      </c>
      <c r="D635" s="237">
        <f>VLOOKUP("OPEXRepair and maintenanceEquipmentDefault",Econ.inputsTable!$E:$G,2,FALSE)</f>
        <v>0.03</v>
      </c>
      <c r="E635"/>
      <c r="F635"/>
      <c r="G635"/>
      <c r="H635" s="147">
        <f>(E573+(E594/E583))</f>
        <v>27.577376848961926</v>
      </c>
      <c r="I635" s="259">
        <f>H635*E605</f>
        <v>101.93951335825521</v>
      </c>
      <c r="J635" s="259">
        <f>I635*VLOOKUP("OPEXLubeLubeDefault",Econ.inputsTable!$E:$G,2,FALSE)</f>
        <v>10.193951335825522</v>
      </c>
      <c r="K635" s="147">
        <f>(E567*VLOOKUP("OPEXLaborTractorDefault",Econ.inputsTable!$E:$G,2,FALSE))+(E588/E583*VLOOKUP("OPEXLaborTractorDefault",Econ.inputsTable!$E:$G,2,FALSE))</f>
        <v>1.1886800365931864</v>
      </c>
      <c r="L635" s="233">
        <f>K635*E608</f>
        <v>28.124169665794792</v>
      </c>
      <c r="O635" s="264">
        <f t="shared" si="28"/>
        <v>164.36514612020039</v>
      </c>
    </row>
    <row r="636" spans="1:25" x14ac:dyDescent="0.3">
      <c r="B636" s="99" t="s">
        <v>7048</v>
      </c>
      <c r="C636" s="263">
        <f>VLOOKUP("OPEXInsuranceEverythingDefault", Econ.inputsTable!$E:$G,2,FALSE)</f>
        <v>5.0000000000000001E-3</v>
      </c>
      <c r="D636" s="237">
        <f>VLOOKUP("OPEXRepair and maintenanceEquipmentDefault",Econ.inputsTable!$E:$G,2,FALSE)</f>
        <v>0.03</v>
      </c>
      <c r="E636"/>
      <c r="F636"/>
      <c r="G636"/>
      <c r="H636" s="147"/>
      <c r="I636" s="369"/>
      <c r="J636" s="369"/>
      <c r="K636" s="205"/>
      <c r="L636" s="233"/>
      <c r="O636" s="264">
        <f t="shared" si="28"/>
        <v>1557.4999999999998</v>
      </c>
    </row>
    <row r="637" spans="1:25" x14ac:dyDescent="0.3">
      <c r="B637" s="99" t="s">
        <v>7007</v>
      </c>
      <c r="C637" s="263">
        <f>VLOOKUP("OPEXInsuranceEverythingDefault", Econ.inputsTable!$E:$G,2,FALSE)</f>
        <v>5.0000000000000001E-3</v>
      </c>
      <c r="D637" s="237">
        <f>VLOOKUP("OPEXRepair and maintenanceEquipmentDefault",Econ.inputsTable!$E:$G,2,FALSE)</f>
        <v>0.03</v>
      </c>
      <c r="E637"/>
      <c r="F637"/>
      <c r="G637"/>
      <c r="H637" s="147"/>
      <c r="I637" s="369"/>
      <c r="J637" s="369"/>
      <c r="K637" s="205"/>
      <c r="L637" s="233"/>
      <c r="O637" s="264">
        <f t="shared" si="28"/>
        <v>0</v>
      </c>
    </row>
    <row r="638" spans="1:25" x14ac:dyDescent="0.3">
      <c r="B638" s="99" t="s">
        <v>7008</v>
      </c>
      <c r="C638" s="263">
        <f>VLOOKUP("OPEXInsuranceEverythingDefault", Econ.inputsTable!$E:$G,2,FALSE)</f>
        <v>5.0000000000000001E-3</v>
      </c>
      <c r="D638" s="237">
        <f>VLOOKUP("OPEXRepair and maintenanceEquipmentDefault",Econ.inputsTable!$E:$G,2,FALSE)</f>
        <v>0.03</v>
      </c>
      <c r="E638"/>
      <c r="F638"/>
      <c r="G638"/>
      <c r="H638" s="147"/>
      <c r="I638" s="369"/>
      <c r="J638" s="369"/>
      <c r="K638" s="205"/>
      <c r="L638" s="233"/>
      <c r="O638" s="264">
        <f t="shared" si="28"/>
        <v>2831.4999999999995</v>
      </c>
    </row>
    <row r="639" spans="1:25" x14ac:dyDescent="0.3">
      <c r="B639" s="99" t="s">
        <v>7039</v>
      </c>
      <c r="C639" s="263">
        <f>VLOOKUP("OPEXInsuranceEverythingDefault", Econ.inputsTable!$E:$G,2,FALSE)</f>
        <v>5.0000000000000001E-3</v>
      </c>
      <c r="D639" s="237">
        <f>VLOOKUP("OPEXRepair and maintenanceEquipmentDefault",Econ.inputsTable!$E:$G,2,FALSE)</f>
        <v>0.03</v>
      </c>
      <c r="E639"/>
      <c r="F639"/>
      <c r="G639"/>
      <c r="H639" s="147">
        <f>(E574+(E595/E583))</f>
        <v>10.543075107174349</v>
      </c>
      <c r="I639" s="259">
        <f>H639*E605</f>
        <v>38.97237767069727</v>
      </c>
      <c r="J639" s="259">
        <f>I639*VLOOKUP("OPEXLubeLubeDefault",Econ.inputsTable!$E:$G,2,FALSE)</f>
        <v>3.8972377670697274</v>
      </c>
      <c r="K639" s="205">
        <f>(E568*VLOOKUP("OPEXLaborTractorDefault",Econ.inputsTable!$E:$G,2,FALSE))+(E589/E583*VLOOKUP("OPEXLaborTractorDefault",Econ.inputsTable!$E:$G,2,FALSE))</f>
        <v>0.77522611082164339</v>
      </c>
      <c r="L639" s="233">
        <f>K639*E608</f>
        <v>18.341849782040082</v>
      </c>
      <c r="O639" s="264">
        <f t="shared" si="28"/>
        <v>73.315211438267369</v>
      </c>
    </row>
    <row r="640" spans="1:25" x14ac:dyDescent="0.3">
      <c r="B640" s="99" t="s">
        <v>1325</v>
      </c>
      <c r="C640" s="263">
        <f>VLOOKUP("OPEXInsuranceEverythingDefault", Econ.inputsTable!$E:$G,2,FALSE)</f>
        <v>5.0000000000000001E-3</v>
      </c>
      <c r="D640" s="237">
        <f>VLOOKUP("OPEXRepair and maintenanceEquipmentDefault",Econ.inputsTable!$E:$G,2,FALSE)</f>
        <v>0.03</v>
      </c>
      <c r="E640"/>
      <c r="F640"/>
      <c r="G640"/>
      <c r="H640" s="147"/>
      <c r="I640" s="259"/>
      <c r="J640" s="259"/>
      <c r="K640" s="205"/>
      <c r="L640" s="233"/>
      <c r="O640" s="264">
        <f t="shared" si="28"/>
        <v>461.99999999999994</v>
      </c>
    </row>
    <row r="641" spans="1:15" x14ac:dyDescent="0.3">
      <c r="B641" s="99" t="s">
        <v>3007</v>
      </c>
      <c r="C641" s="263">
        <f>VLOOKUP("OPEXInsuranceEverythingDefault", Econ.inputsTable!$E:$G,2,FALSE)</f>
        <v>5.0000000000000001E-3</v>
      </c>
      <c r="D641" s="237">
        <f>VLOOKUP("OPEXRepair and maintenanceEquipmentDefault",Econ.inputsTable!$E:$G,2,FALSE)</f>
        <v>0.03</v>
      </c>
      <c r="E641"/>
      <c r="F641"/>
      <c r="G641"/>
      <c r="H641" s="147"/>
      <c r="I641" s="259"/>
      <c r="J641" s="259"/>
      <c r="K641" s="205"/>
      <c r="L641" s="233"/>
      <c r="O641" s="264">
        <f t="shared" si="28"/>
        <v>532</v>
      </c>
    </row>
    <row r="642" spans="1:15" x14ac:dyDescent="0.3">
      <c r="B642" s="235" t="s">
        <v>3465</v>
      </c>
      <c r="C642" s="263">
        <f>VLOOKUP("OPEXInsuranceEverythingDefault", Econ.inputsTable!$E:$G,2,FALSE)</f>
        <v>5.0000000000000001E-3</v>
      </c>
      <c r="D642" s="237">
        <f>VLOOKUP("OPEXRepair and maintenanceBuildings and constructionDefault",Econ.inputsTable!$E:$G,2,FALSE)</f>
        <v>0.01</v>
      </c>
      <c r="E642"/>
      <c r="F642"/>
      <c r="G642"/>
      <c r="H642" s="147"/>
      <c r="I642" s="259"/>
      <c r="J642" s="259"/>
      <c r="K642" s="205"/>
      <c r="L642" s="233"/>
      <c r="O642" s="264">
        <f t="shared" si="28"/>
        <v>1425.6</v>
      </c>
    </row>
    <row r="643" spans="1:15" x14ac:dyDescent="0.3">
      <c r="B643" s="99" t="s">
        <v>349</v>
      </c>
      <c r="C643" s="263">
        <f>VLOOKUP("OPEXInsuranceEverythingDefault", Econ.inputsTable!$E:$G,2,FALSE)</f>
        <v>5.0000000000000001E-3</v>
      </c>
      <c r="D643" s="237">
        <f>VLOOKUP("OPEXRepair and maintenanceEquipmentDefault",Econ.inputsTable!$E:$G,2,FALSE)</f>
        <v>0.03</v>
      </c>
      <c r="E643"/>
      <c r="F643"/>
      <c r="G643"/>
      <c r="H643" s="147">
        <f>(E575+(E596/E583))</f>
        <v>0.84570121180542901</v>
      </c>
      <c r="I643" s="259">
        <f>H643*E605</f>
        <v>3.126126551125449</v>
      </c>
      <c r="J643" s="259">
        <f>I643*VLOOKUP("OPEXLubeLubeDefault",Econ.inputsTable!$E:$G,2,FALSE)</f>
        <v>0.31261265511254493</v>
      </c>
      <c r="K643" s="205">
        <f>(E569*VLOOKUP("OPEXLaborTractorDefault",Econ.inputsTable!$E:$G,2,FALSE))+(E590/E583*VLOOKUP("OPEXLaborTractorDefault",Econ.inputsTable!$E:$G,2,FALSE))</f>
        <v>0.15504522216432864</v>
      </c>
      <c r="L643" s="233">
        <f>K643*E608</f>
        <v>3.6683699564080157</v>
      </c>
      <c r="O643" s="264">
        <f t="shared" si="28"/>
        <v>8.2654379224155132</v>
      </c>
    </row>
    <row r="644" spans="1:15" x14ac:dyDescent="0.3">
      <c r="A644" t="s">
        <v>5205</v>
      </c>
      <c r="B644" s="162" t="s">
        <v>5203</v>
      </c>
      <c r="C644" s="241"/>
      <c r="D644" s="241"/>
      <c r="E644" s="242">
        <f t="shared" ref="E644:O644" si="29">SUM(E631:E643)</f>
        <v>0</v>
      </c>
      <c r="F644" s="286">
        <f t="shared" si="29"/>
        <v>946.46267270594763</v>
      </c>
      <c r="G644" s="242">
        <f t="shared" si="29"/>
        <v>64.919452158688784</v>
      </c>
      <c r="H644" s="286">
        <f t="shared" si="29"/>
        <v>68.56569558113172</v>
      </c>
      <c r="I644" s="242">
        <f t="shared" si="29"/>
        <v>253.45244686946867</v>
      </c>
      <c r="J644" s="242">
        <f t="shared" si="29"/>
        <v>25.34524468694687</v>
      </c>
      <c r="K644" s="402">
        <f t="shared" si="29"/>
        <v>9.817763243618403</v>
      </c>
      <c r="L644" s="242">
        <f t="shared" si="29"/>
        <v>232.28827834401142</v>
      </c>
      <c r="M644" s="374">
        <f t="shared" si="29"/>
        <v>0</v>
      </c>
      <c r="N644" s="242">
        <f t="shared" si="29"/>
        <v>0</v>
      </c>
      <c r="O644" s="169">
        <f t="shared" si="29"/>
        <v>31046.223475551382</v>
      </c>
    </row>
    <row r="645" spans="1:15" x14ac:dyDescent="0.3">
      <c r="B645" s="99"/>
      <c r="D645"/>
      <c r="E645"/>
      <c r="F645"/>
      <c r="G645"/>
      <c r="H645"/>
      <c r="K645"/>
      <c r="L645"/>
      <c r="O645" s="146"/>
    </row>
    <row r="646" spans="1:15" x14ac:dyDescent="0.3">
      <c r="A646" t="s">
        <v>5205</v>
      </c>
      <c r="B646" s="149" t="s">
        <v>6980</v>
      </c>
      <c r="C646" s="159">
        <f>O644</f>
        <v>31046.223475551382</v>
      </c>
      <c r="D646" s="150" t="s">
        <v>5181</v>
      </c>
      <c r="E646" s="150"/>
      <c r="F646" s="150"/>
      <c r="G646" s="150"/>
      <c r="H646" s="150"/>
      <c r="I646" s="150"/>
      <c r="J646" s="150"/>
      <c r="K646" s="150"/>
      <c r="L646" s="150"/>
      <c r="M646" s="150"/>
      <c r="N646" s="150"/>
      <c r="O646" s="151"/>
    </row>
    <row r="647" spans="1:15" x14ac:dyDescent="0.3">
      <c r="D647"/>
      <c r="E647"/>
      <c r="F647"/>
      <c r="G647"/>
      <c r="H647"/>
      <c r="K647"/>
      <c r="L647"/>
    </row>
    <row r="648" spans="1:15" x14ac:dyDescent="0.3">
      <c r="B648" s="384" t="s">
        <v>7123</v>
      </c>
      <c r="C648" s="3057" t="s">
        <v>6402</v>
      </c>
      <c r="D648" s="3058"/>
      <c r="E648" s="3059" t="s">
        <v>6417</v>
      </c>
      <c r="F648" s="3058"/>
      <c r="G648"/>
      <c r="H648"/>
      <c r="K648"/>
      <c r="L648"/>
    </row>
    <row r="649" spans="1:15" x14ac:dyDescent="0.3">
      <c r="B649" s="385" t="s">
        <v>7012</v>
      </c>
      <c r="C649" s="139" t="s">
        <v>7124</v>
      </c>
      <c r="D649" s="245" t="s">
        <v>7125</v>
      </c>
      <c r="E649" s="139" t="s">
        <v>7124</v>
      </c>
      <c r="F649" s="245" t="s">
        <v>7125</v>
      </c>
    </row>
    <row r="650" spans="1:15" x14ac:dyDescent="0.3">
      <c r="A650" t="s">
        <v>5205</v>
      </c>
      <c r="B650" s="386" t="s">
        <v>7013</v>
      </c>
      <c r="C650" s="387">
        <f xml:space="preserve"> VLOOKUP("Fertilizer value for on-farm use, liquids",$R$1:$T$333,3, FALSE)</f>
        <v>4955.3458037383725</v>
      </c>
      <c r="D650" s="388">
        <f>VLOOKUP("Fertilizer value for on-farm use, liquids",$R$1:$T$333,3, FALSE)</f>
        <v>4955.3458037383725</v>
      </c>
      <c r="E650" s="387">
        <v>0</v>
      </c>
      <c r="F650" s="389">
        <f>VLOOKUP("Fertilizer value for on-farm use, sludge",$R$1:$T$333,3, FALSE)</f>
        <v>9341.9924859135917</v>
      </c>
    </row>
    <row r="651" spans="1:15" x14ac:dyDescent="0.3">
      <c r="A651" t="s">
        <v>5205</v>
      </c>
      <c r="B651" s="386" t="s">
        <v>7126</v>
      </c>
      <c r="C651" s="390">
        <f>C650</f>
        <v>4955.3458037383725</v>
      </c>
      <c r="D651" s="391"/>
      <c r="E651" s="390">
        <f>(F650/UDV.anaer_lagoon.sludge_time)</f>
        <v>934.19924859135915</v>
      </c>
      <c r="F651" s="391"/>
    </row>
    <row r="652" spans="1:15" x14ac:dyDescent="0.3">
      <c r="A652" t="s">
        <v>5205</v>
      </c>
      <c r="B652" s="386" t="s">
        <v>7014</v>
      </c>
      <c r="C652" s="393">
        <f>SUM(C651,E651)</f>
        <v>5889.5450523297313</v>
      </c>
      <c r="D652" s="146"/>
      <c r="E652" s="99"/>
      <c r="F652" s="146"/>
    </row>
    <row r="653" spans="1:15" x14ac:dyDescent="0.3">
      <c r="B653" s="386"/>
      <c r="D653" s="146"/>
      <c r="E653" s="99"/>
      <c r="F653" s="146"/>
    </row>
    <row r="654" spans="1:15" x14ac:dyDescent="0.3">
      <c r="B654" s="394" t="s">
        <v>7015</v>
      </c>
      <c r="C654" s="139" t="s">
        <v>7124</v>
      </c>
      <c r="D654" s="245" t="s">
        <v>7125</v>
      </c>
      <c r="E654" s="139" t="s">
        <v>7124</v>
      </c>
      <c r="F654" s="245" t="s">
        <v>7125</v>
      </c>
    </row>
    <row r="655" spans="1:15" x14ac:dyDescent="0.3">
      <c r="A655" t="s">
        <v>5205</v>
      </c>
      <c r="B655" s="386" t="s">
        <v>7016</v>
      </c>
      <c r="C655" s="387">
        <f>UDV.econ_manure.liquid_sell_price*C534</f>
        <v>0</v>
      </c>
      <c r="D655" s="389">
        <f>UDV.econ_manure.liquid_sell_price*C534</f>
        <v>0</v>
      </c>
      <c r="E655" s="387">
        <v>0</v>
      </c>
      <c r="F655" s="389">
        <f>UDV.econ_manure.sludge_sell_price*C537</f>
        <v>0</v>
      </c>
    </row>
    <row r="656" spans="1:15" x14ac:dyDescent="0.3">
      <c r="A656" t="s">
        <v>5205</v>
      </c>
      <c r="B656" s="386" t="s">
        <v>7127</v>
      </c>
      <c r="C656" s="390">
        <f>C655</f>
        <v>0</v>
      </c>
      <c r="D656" s="391"/>
      <c r="E656" s="390">
        <f>(F655/UDV.anaer_lagoon.sludge_time)</f>
        <v>0</v>
      </c>
      <c r="F656" s="391"/>
    </row>
    <row r="657" spans="1:6" x14ac:dyDescent="0.3">
      <c r="A657" t="s">
        <v>5205</v>
      </c>
      <c r="B657" s="386" t="s">
        <v>7017</v>
      </c>
      <c r="C657" s="393">
        <f>SUM(C656,E656)</f>
        <v>0</v>
      </c>
      <c r="D657" s="146"/>
      <c r="E657" s="99"/>
      <c r="F657" s="146"/>
    </row>
    <row r="658" spans="1:6" x14ac:dyDescent="0.3">
      <c r="B658" s="386"/>
      <c r="C658" s="166"/>
      <c r="D658" s="146"/>
      <c r="E658" s="395"/>
      <c r="F658" s="396"/>
    </row>
    <row r="659" spans="1:6" x14ac:dyDescent="0.3">
      <c r="B659" s="397" t="s">
        <v>7018</v>
      </c>
      <c r="C659" s="139" t="s">
        <v>7124</v>
      </c>
      <c r="D659" s="245" t="s">
        <v>7125</v>
      </c>
      <c r="E659" s="139" t="s">
        <v>7124</v>
      </c>
      <c r="F659" s="245" t="s">
        <v>7125</v>
      </c>
    </row>
    <row r="660" spans="1:6" x14ac:dyDescent="0.3">
      <c r="A660" t="s">
        <v>5205</v>
      </c>
      <c r="B660" s="386" t="s">
        <v>7019</v>
      </c>
      <c r="C660" s="387">
        <f>UDV.econ_manure.liquid_sell_price*C535</f>
        <v>0</v>
      </c>
      <c r="D660" s="389">
        <f>UDV.econ_manure.liquid_sell_price*C535</f>
        <v>0</v>
      </c>
      <c r="E660" s="387"/>
      <c r="F660" s="389">
        <f>UDV.econ_manure.sludge_sell_price*C538</f>
        <v>19355.7359856564</v>
      </c>
    </row>
    <row r="661" spans="1:6" x14ac:dyDescent="0.3">
      <c r="A661" t="s">
        <v>5205</v>
      </c>
      <c r="B661" s="386" t="s">
        <v>7128</v>
      </c>
      <c r="C661" s="390">
        <f>C660</f>
        <v>0</v>
      </c>
      <c r="D661" s="391"/>
      <c r="E661" s="390">
        <f>(F660/UDV.anaer_lagoon.sludge_time)</f>
        <v>1935.5735985656399</v>
      </c>
      <c r="F661" s="391"/>
    </row>
    <row r="662" spans="1:6" x14ac:dyDescent="0.3">
      <c r="A662" t="s">
        <v>5205</v>
      </c>
      <c r="B662" s="386" t="s">
        <v>7020</v>
      </c>
      <c r="C662" s="393">
        <f>SUM(C661,E661)</f>
        <v>1935.5735985656399</v>
      </c>
      <c r="D662" s="146"/>
      <c r="E662" s="99"/>
      <c r="F662" s="146"/>
    </row>
    <row r="663" spans="1:6" x14ac:dyDescent="0.3">
      <c r="B663" s="386"/>
      <c r="D663" s="146"/>
      <c r="E663" s="99"/>
      <c r="F663" s="146"/>
    </row>
    <row r="664" spans="1:6" x14ac:dyDescent="0.3">
      <c r="B664" s="398" t="s">
        <v>7021</v>
      </c>
      <c r="C664" s="139" t="s">
        <v>7124</v>
      </c>
      <c r="D664" s="245" t="s">
        <v>7125</v>
      </c>
      <c r="E664" s="139" t="s">
        <v>7124</v>
      </c>
      <c r="F664" s="245" t="s">
        <v>7125</v>
      </c>
    </row>
    <row r="665" spans="1:6" x14ac:dyDescent="0.3">
      <c r="A665" t="s">
        <v>5205</v>
      </c>
      <c r="B665" s="386" t="s">
        <v>7022</v>
      </c>
      <c r="C665" s="387">
        <f>UDV.econ_manure.liquid_export_cost*C536</f>
        <v>0</v>
      </c>
      <c r="D665" s="389">
        <f>UDV.econ_manure.liquid_export_cost*C536</f>
        <v>0</v>
      </c>
      <c r="E665" s="387"/>
      <c r="F665" s="389">
        <f>UDV.econ_manure.sludge_export_cost*C539</f>
        <v>0</v>
      </c>
    </row>
    <row r="666" spans="1:6" x14ac:dyDescent="0.3">
      <c r="A666" t="s">
        <v>5205</v>
      </c>
      <c r="B666" s="386" t="s">
        <v>7129</v>
      </c>
      <c r="C666" s="390">
        <f>C665</f>
        <v>0</v>
      </c>
      <c r="D666" s="391"/>
      <c r="E666" s="390">
        <f>(F665/UDV.anaer_lagoon.sludge_time)</f>
        <v>0</v>
      </c>
      <c r="F666" s="391"/>
    </row>
    <row r="667" spans="1:6" x14ac:dyDescent="0.3">
      <c r="A667" t="s">
        <v>5205</v>
      </c>
      <c r="B667" s="386" t="s">
        <v>7023</v>
      </c>
      <c r="C667" s="393">
        <f>SUM(C666,E666)</f>
        <v>0</v>
      </c>
      <c r="D667" s="146"/>
      <c r="E667" s="99"/>
      <c r="F667" s="146"/>
    </row>
    <row r="668" spans="1:6" x14ac:dyDescent="0.3">
      <c r="B668" s="386"/>
      <c r="D668" s="146"/>
      <c r="E668" s="99"/>
      <c r="F668" s="146"/>
    </row>
    <row r="669" spans="1:6" x14ac:dyDescent="0.3">
      <c r="B669" s="303" t="s">
        <v>7138</v>
      </c>
      <c r="C669" s="82" t="s">
        <v>5181</v>
      </c>
      <c r="D669" s="173"/>
      <c r="E669" s="99"/>
      <c r="F669" s="146"/>
    </row>
    <row r="670" spans="1:6" x14ac:dyDescent="0.3">
      <c r="B670" s="70" t="s">
        <v>7139</v>
      </c>
      <c r="C670" s="265"/>
      <c r="D670" s="151"/>
      <c r="E670" s="149"/>
      <c r="F670" s="151"/>
    </row>
    <row r="671" spans="1:6" ht="15" thickBot="1" x14ac:dyDescent="0.35">
      <c r="A671" s="137"/>
      <c r="B671" s="137"/>
      <c r="C671" s="137"/>
      <c r="D671" s="137"/>
      <c r="E671" s="137"/>
      <c r="F671" s="137"/>
    </row>
    <row r="672" spans="1:6" x14ac:dyDescent="0.3">
      <c r="D672"/>
      <c r="E672" s="266"/>
      <c r="F672"/>
    </row>
    <row r="673" spans="1:23" x14ac:dyDescent="0.3">
      <c r="B673" s="139" t="s">
        <v>7050</v>
      </c>
      <c r="C673" s="142"/>
      <c r="D673" s="142"/>
      <c r="F673" s="267"/>
    </row>
    <row r="674" spans="1:23" x14ac:dyDescent="0.3">
      <c r="B674" s="92" t="s">
        <v>7051</v>
      </c>
      <c r="D674"/>
      <c r="F674" s="66"/>
    </row>
    <row r="675" spans="1:23" x14ac:dyDescent="0.3">
      <c r="B675" s="99"/>
      <c r="F675" s="66"/>
    </row>
    <row r="676" spans="1:23" x14ac:dyDescent="0.3">
      <c r="B676" s="92" t="s">
        <v>7052</v>
      </c>
      <c r="C676" s="82" t="s">
        <v>565</v>
      </c>
      <c r="D676" s="82" t="s">
        <v>38</v>
      </c>
      <c r="F676"/>
    </row>
    <row r="677" spans="1:23" x14ac:dyDescent="0.3">
      <c r="A677" s="292"/>
      <c r="B677" s="99" t="s">
        <v>5859</v>
      </c>
      <c r="C677">
        <f>UDV.animal.total</f>
        <v>500</v>
      </c>
      <c r="D677" t="s">
        <v>2442</v>
      </c>
      <c r="F677"/>
    </row>
    <row r="678" spans="1:23" x14ac:dyDescent="0.3">
      <c r="A678" s="292"/>
      <c r="B678" s="174" t="s">
        <v>5386</v>
      </c>
      <c r="C678">
        <f>UDV.crops.acres_available</f>
        <v>100</v>
      </c>
      <c r="D678" t="s">
        <v>7029</v>
      </c>
      <c r="F678"/>
    </row>
    <row r="679" spans="1:23" x14ac:dyDescent="0.3">
      <c r="B679" s="99" t="s">
        <v>5114</v>
      </c>
      <c r="C679" t="str">
        <f>UDV.u.state</f>
        <v>Iowa</v>
      </c>
      <c r="D679" t="s">
        <v>2852</v>
      </c>
      <c r="F679"/>
    </row>
    <row r="682" spans="1:23" x14ac:dyDescent="0.3">
      <c r="A682" t="s">
        <v>4912</v>
      </c>
      <c r="B682" s="92" t="s">
        <v>7053</v>
      </c>
      <c r="C682" s="82" t="s">
        <v>5181</v>
      </c>
      <c r="D682" s="82" t="s">
        <v>7140</v>
      </c>
      <c r="F682"/>
      <c r="G682"/>
      <c r="H682"/>
      <c r="I682" s="42"/>
      <c r="J682" s="3"/>
      <c r="K682"/>
      <c r="R682"/>
      <c r="T682" s="20"/>
      <c r="W682" s="113"/>
    </row>
    <row r="683" spans="1:23" x14ac:dyDescent="0.3">
      <c r="A683" t="s">
        <v>4912</v>
      </c>
      <c r="B683" s="275" t="s">
        <v>2585</v>
      </c>
      <c r="C683" s="276">
        <f>F701</f>
        <v>53505.337523637514</v>
      </c>
      <c r="D683" s="153">
        <f>C683/C677</f>
        <v>107.01067504727503</v>
      </c>
      <c r="F683" s="66"/>
      <c r="G683" s="66"/>
      <c r="H683" s="19"/>
      <c r="I683" s="42"/>
      <c r="J683" s="3"/>
      <c r="K683"/>
      <c r="R683"/>
      <c r="T683" s="20"/>
      <c r="W683" s="113"/>
    </row>
    <row r="684" spans="1:23" x14ac:dyDescent="0.3">
      <c r="A684" t="s">
        <v>4912</v>
      </c>
      <c r="B684" s="275" t="s">
        <v>2588</v>
      </c>
      <c r="C684" s="276">
        <f>SUM(G701,L701)</f>
        <v>39006.324588011208</v>
      </c>
      <c r="D684" s="153">
        <f>C684/C677</f>
        <v>78.012649176022421</v>
      </c>
      <c r="F684" s="66"/>
      <c r="G684" s="66"/>
      <c r="H684" s="19"/>
      <c r="I684" s="42"/>
      <c r="J684" s="3"/>
      <c r="K684"/>
      <c r="R684"/>
      <c r="T684" s="20"/>
      <c r="W684" s="113"/>
    </row>
    <row r="685" spans="1:23" x14ac:dyDescent="0.3">
      <c r="A685" t="s">
        <v>4912</v>
      </c>
      <c r="B685" s="275" t="s">
        <v>441</v>
      </c>
      <c r="C685" s="276">
        <f>I701</f>
        <v>10561.452582174725</v>
      </c>
      <c r="D685" s="153">
        <f>C685/C677</f>
        <v>21.122905164349451</v>
      </c>
      <c r="F685" s="66"/>
      <c r="G685" s="66"/>
      <c r="H685"/>
      <c r="I685" s="42"/>
      <c r="J685" s="3"/>
      <c r="K685"/>
      <c r="R685"/>
      <c r="T685" s="20"/>
      <c r="W685" s="113"/>
    </row>
    <row r="686" spans="1:23" x14ac:dyDescent="0.3">
      <c r="A686" t="s">
        <v>4912</v>
      </c>
      <c r="B686" s="275" t="s">
        <v>440</v>
      </c>
      <c r="C686" s="276">
        <f>J701</f>
        <v>5889.5450523297313</v>
      </c>
      <c r="D686" s="153">
        <f>C686/C677</f>
        <v>11.779090104659463</v>
      </c>
      <c r="F686" s="66"/>
      <c r="G686" s="66"/>
      <c r="H686"/>
      <c r="I686" s="42"/>
      <c r="J686" s="3"/>
      <c r="K686"/>
      <c r="R686"/>
      <c r="T686" s="20"/>
      <c r="W686" s="113"/>
    </row>
    <row r="687" spans="1:23" x14ac:dyDescent="0.3">
      <c r="A687" t="s">
        <v>4912</v>
      </c>
      <c r="B687" s="275" t="s">
        <v>442</v>
      </c>
      <c r="C687" s="276">
        <f>K701</f>
        <v>0</v>
      </c>
      <c r="D687" s="153">
        <f>C687/C677</f>
        <v>0</v>
      </c>
      <c r="F687" s="66"/>
      <c r="G687" s="66"/>
      <c r="H687"/>
      <c r="I687" s="42"/>
      <c r="J687" s="3"/>
      <c r="K687"/>
      <c r="P687" s="277"/>
      <c r="R687"/>
      <c r="T687" s="20"/>
      <c r="W687" s="113"/>
    </row>
    <row r="688" spans="1:23" x14ac:dyDescent="0.3">
      <c r="A688" t="s">
        <v>4912</v>
      </c>
      <c r="B688" s="2270" t="s">
        <v>439</v>
      </c>
      <c r="C688" s="2271">
        <f>M701</f>
        <v>-92511.662111648722</v>
      </c>
      <c r="D688" s="159">
        <f>C688/C677</f>
        <v>-185.02332422329744</v>
      </c>
      <c r="E688" s="288"/>
      <c r="F688" s="66"/>
      <c r="G688" s="66"/>
      <c r="H688"/>
      <c r="I688" s="42"/>
      <c r="J688" s="3"/>
      <c r="K688"/>
      <c r="R688"/>
      <c r="T688" s="20"/>
      <c r="W688" s="113"/>
    </row>
    <row r="689" spans="1:23" x14ac:dyDescent="0.3">
      <c r="A689" t="s">
        <v>4912</v>
      </c>
      <c r="B689" s="99" t="s">
        <v>7055</v>
      </c>
      <c r="C689" s="276">
        <f>L701</f>
        <v>0</v>
      </c>
      <c r="D689" s="153">
        <f>C689/C677</f>
        <v>0</v>
      </c>
      <c r="E689" s="279" t="s">
        <v>7056</v>
      </c>
      <c r="F689" s="66"/>
      <c r="G689" s="66"/>
      <c r="H689"/>
      <c r="I689" s="42"/>
      <c r="J689" s="3"/>
      <c r="K689"/>
      <c r="R689"/>
      <c r="T689" s="20"/>
      <c r="W689" s="113"/>
    </row>
    <row r="690" spans="1:23" x14ac:dyDescent="0.3">
      <c r="A690" t="s">
        <v>4912</v>
      </c>
      <c r="B690" s="99" t="s">
        <v>7057</v>
      </c>
      <c r="C690" s="153">
        <f>C683+C684</f>
        <v>92511.662111648722</v>
      </c>
      <c r="D690" s="153">
        <f>C690/C677</f>
        <v>185.02332422329744</v>
      </c>
      <c r="F690" s="66"/>
      <c r="G690" s="66"/>
      <c r="H690"/>
      <c r="I690" s="42"/>
      <c r="J690" s="3"/>
      <c r="K690"/>
      <c r="R690"/>
      <c r="T690" s="20"/>
      <c r="W690" s="113"/>
    </row>
    <row r="691" spans="1:23" ht="13.5" customHeight="1" x14ac:dyDescent="0.3">
      <c r="A691" t="s">
        <v>4912</v>
      </c>
      <c r="B691" s="853" t="s">
        <v>5392</v>
      </c>
      <c r="C691" s="142"/>
      <c r="D691" s="854">
        <f>E701</f>
        <v>1469876.6644787325</v>
      </c>
      <c r="E691" s="271" t="s">
        <v>2284</v>
      </c>
      <c r="F691"/>
      <c r="G691" s="66"/>
      <c r="H691"/>
      <c r="I691" s="42"/>
      <c r="J691" s="3"/>
      <c r="K691"/>
      <c r="R691"/>
      <c r="T691" s="20"/>
      <c r="W691" s="113"/>
    </row>
    <row r="692" spans="1:23" ht="13.5" customHeight="1" x14ac:dyDescent="0.3">
      <c r="A692" t="s">
        <v>4912</v>
      </c>
      <c r="B692" s="852" t="s">
        <v>5393</v>
      </c>
      <c r="D692" s="274">
        <f>E701/C677</f>
        <v>2939.7533289574649</v>
      </c>
      <c r="E692" s="20" t="s">
        <v>7058</v>
      </c>
      <c r="F692"/>
      <c r="G692" s="66"/>
      <c r="H692"/>
      <c r="I692" s="42"/>
      <c r="J692" s="3"/>
      <c r="K692"/>
      <c r="R692"/>
      <c r="T692" s="20"/>
      <c r="W692" s="113"/>
    </row>
    <row r="693" spans="1:23" x14ac:dyDescent="0.3">
      <c r="B693" s="174"/>
      <c r="D693"/>
      <c r="F693"/>
      <c r="G693"/>
      <c r="H693" s="42"/>
      <c r="I693" s="3"/>
      <c r="L693"/>
      <c r="N693" s="273" t="s">
        <v>7059</v>
      </c>
      <c r="O693" s="90"/>
      <c r="P693" s="90"/>
      <c r="Q693" s="90"/>
      <c r="R693" s="90"/>
      <c r="S693" s="279"/>
      <c r="T693" s="90"/>
      <c r="U693" s="90"/>
      <c r="V693" s="42"/>
      <c r="W693" s="146"/>
    </row>
    <row r="694" spans="1:23" x14ac:dyDescent="0.3">
      <c r="B694" s="92" t="s">
        <v>7060</v>
      </c>
      <c r="D694"/>
      <c r="F694"/>
      <c r="G694"/>
      <c r="H694"/>
      <c r="K694"/>
      <c r="L694"/>
      <c r="M694" s="113"/>
      <c r="N694" s="90" t="s">
        <v>5323</v>
      </c>
      <c r="O694" s="90" t="s">
        <v>5181</v>
      </c>
      <c r="P694" s="90" t="s">
        <v>5324</v>
      </c>
      <c r="Q694" s="90" t="s">
        <v>5181</v>
      </c>
      <c r="R694" s="90" t="s">
        <v>2710</v>
      </c>
      <c r="S694" s="90" t="s">
        <v>5181</v>
      </c>
      <c r="T694" s="90" t="s">
        <v>2710</v>
      </c>
      <c r="U694" s="90" t="s">
        <v>5181</v>
      </c>
      <c r="V694" s="90" t="s">
        <v>2710</v>
      </c>
      <c r="W694" s="280" t="s">
        <v>5181</v>
      </c>
    </row>
    <row r="695" spans="1:23" ht="86.4" x14ac:dyDescent="0.3">
      <c r="B695" s="92" t="s">
        <v>5187</v>
      </c>
      <c r="C695" s="82" t="s">
        <v>7061</v>
      </c>
      <c r="D695" s="82" t="s">
        <v>7062</v>
      </c>
      <c r="E695" s="277" t="s">
        <v>7063</v>
      </c>
      <c r="F695" s="897" t="s">
        <v>7064</v>
      </c>
      <c r="G695" s="277" t="s">
        <v>2588</v>
      </c>
      <c r="H695" s="152" t="s">
        <v>5188</v>
      </c>
      <c r="I695" s="82" t="s">
        <v>5189</v>
      </c>
      <c r="J695" s="82" t="s">
        <v>5190</v>
      </c>
      <c r="K695" s="82" t="s">
        <v>442</v>
      </c>
      <c r="L695" s="82" t="s">
        <v>5191</v>
      </c>
      <c r="M695" s="173" t="s">
        <v>439</v>
      </c>
      <c r="N695" s="281" t="s">
        <v>5192</v>
      </c>
      <c r="O695" s="281" t="s">
        <v>5193</v>
      </c>
      <c r="P695" s="281" t="s">
        <v>5194</v>
      </c>
      <c r="Q695" s="281" t="s">
        <v>5195</v>
      </c>
      <c r="R695" s="281" t="s">
        <v>5196</v>
      </c>
      <c r="S695" s="281" t="s">
        <v>5197</v>
      </c>
      <c r="T695" s="281" t="s">
        <v>5198</v>
      </c>
      <c r="U695" s="281" t="s">
        <v>5199</v>
      </c>
      <c r="V695" s="281" t="s">
        <v>5200</v>
      </c>
      <c r="W695" s="282" t="s">
        <v>5201</v>
      </c>
    </row>
    <row r="696" spans="1:23" x14ac:dyDescent="0.3">
      <c r="A696" t="s">
        <v>7066</v>
      </c>
      <c r="B696" s="99" t="s">
        <v>6945</v>
      </c>
      <c r="C696" s="158">
        <f>SUMIFS($C$300:$C$766,$A$300:$A$766,_xlfn.CONCAT(B696,"_construction"))</f>
        <v>13695.194157051748</v>
      </c>
      <c r="D696" s="158">
        <f>SUMIFS($C$300:$C$766,$A$300:$A$766,_xlfn.CONCAT(B696,"_equipment"))</f>
        <v>0</v>
      </c>
      <c r="E696" s="274">
        <f>SUM(C696:D696)</f>
        <v>13695.194157051748</v>
      </c>
      <c r="F696" s="158">
        <f>SUMIFS($D$300:$D$766,$A$300:$A$766,$B696,$B$300:$B$766,"Total capital recovery value")</f>
        <v>1108.2749450816623</v>
      </c>
      <c r="G696" s="158">
        <f>SUMIFS($C$300:$C$766,$A$300:$A$766,$B696,$B$300:$B$766,"Annual operational costs")</f>
        <v>205.42791235577621</v>
      </c>
      <c r="H696" s="153">
        <f>SUM(F696:G696)</f>
        <v>1313.7028574374385</v>
      </c>
      <c r="I696" s="158">
        <f>SUMIFS($C$300:$C$766,$A$300:$A$766,$B696,$B$300:$B$766,"Annual cost savings")</f>
        <v>0</v>
      </c>
      <c r="J696" s="158">
        <f>SUMIFS($C$300:$C$766,$A$300:$A$766,$B696,$B$300:$B$766,"Annual fertilizer value for on-farm use")</f>
        <v>0</v>
      </c>
      <c r="K696" s="158">
        <f>SUMIFS($C$300:$C$766,$A$300:$A$766,$B696,$B$300:$B$766,"Annual revenues")</f>
        <v>0</v>
      </c>
      <c r="L696" s="158">
        <f>SUMIFS($C$300:$C$766,$A$300:$A$766,$B696,$B$300:$B$766,"Annual cost to export excess")</f>
        <v>0</v>
      </c>
      <c r="M696" s="283">
        <f>K696-F696-G696</f>
        <v>-1313.7028574374385</v>
      </c>
      <c r="N696">
        <f>SUMIFS($F$300:$F$766,$A$300:$A$766,$B696,$B$300:$B$766,"Totals")</f>
        <v>0</v>
      </c>
      <c r="O696">
        <f>SUMIFS($G$300:$G$766,$A$300:$A$766,$B696,$B$300:$B$766,"Totals")</f>
        <v>0</v>
      </c>
      <c r="P696" s="147">
        <f>SUMIFS($H$300:$H$766,$A$300:$A$766,$B696,$B$300:$B$766,"Totals")</f>
        <v>0</v>
      </c>
      <c r="Q696" s="147">
        <f>SUMIFS($I$300:$I$766,$A$300:$A$766,$B696,$B$300:$B$766,"Totals")</f>
        <v>0</v>
      </c>
      <c r="R696" s="2315">
        <f>SUMIFS($K$300:$K$766,$A$300:$A$766,$B696,$B$300:$B$766,"Totals")</f>
        <v>0</v>
      </c>
      <c r="S696" s="2315">
        <f>SUMIFS($L$300:$L$766,$A$300:$A$766,$B696,$B$300:$B$766,"Totals")</f>
        <v>0</v>
      </c>
      <c r="T696" s="2315">
        <f>SUMIFS($M$300:$M$766,$A$300:$A$766,$B696,$B$300:$B$766,"Totals")</f>
        <v>0</v>
      </c>
      <c r="U696" s="2315">
        <f>SUMIFS($N$300:$N$766,$A$300:$A$766,$B696,$B$300:$B$766,"Totals")</f>
        <v>0</v>
      </c>
      <c r="V696" s="147">
        <f>R696+T696</f>
        <v>0</v>
      </c>
      <c r="W696" s="285">
        <f>S696+U696</f>
        <v>0</v>
      </c>
    </row>
    <row r="697" spans="1:23" x14ac:dyDescent="0.3">
      <c r="A697" t="str">
        <f>_xlfn.CONCAT("TL",B697)</f>
        <v>TLBarn and parlor</v>
      </c>
      <c r="B697" s="99" t="s">
        <v>5209</v>
      </c>
      <c r="C697" s="233">
        <f>SUMIFS($C:$C,$A:$A,_xlfn.CONCAT(B697,"_construction"))</f>
        <v>0</v>
      </c>
      <c r="D697" s="233">
        <f>SUMIFS($C:$C,$A:$A,_xlfn.CONCAT(B697,"_equipment"))</f>
        <v>0</v>
      </c>
      <c r="E697" s="274">
        <f>SUM(C697:D697)</f>
        <v>0</v>
      </c>
      <c r="F697" s="233">
        <f>SUMIFS($D:$D,$A:$A,$B697,$B:$B,"Total capital recovery value")</f>
        <v>0</v>
      </c>
      <c r="G697" s="233">
        <f>SUMIFS($C:$C,$A:$A,$B697,$B:$B,"Annual operational costs")</f>
        <v>21024.745279285704</v>
      </c>
      <c r="H697" s="153">
        <f>SUM(F697:G697)</f>
        <v>21024.745279285704</v>
      </c>
      <c r="I697" s="233">
        <f>SUMIFS($C:$C,$A:$A,$B697,$B:$B,"Annual cost savings")</f>
        <v>0</v>
      </c>
      <c r="J697" s="233">
        <f>SUMIFS($C:$C,$A:$A,$B697,$B:$B,"Annual fertilizer value for on-farm use")</f>
        <v>0</v>
      </c>
      <c r="K697" s="233">
        <f>SUMIFS($C:$C,$A:$A,$B697,$B:$B,"Annual revenues")</f>
        <v>0</v>
      </c>
      <c r="L697" s="233">
        <f>SUMIFS($C:$C,$A:$A,$B697,$B:$B,"Annual cost to export excess")</f>
        <v>0</v>
      </c>
      <c r="M697" s="283">
        <f>K697-F697-G697</f>
        <v>-21024.745279285704</v>
      </c>
      <c r="N697">
        <f>SUMIFS($F:$F,$A:$A,$B697,$B:$B,"Totals")</f>
        <v>0</v>
      </c>
      <c r="O697">
        <f>SUMIFS($G:$G,$A:$A,$B697,$B:$B,"Totals")</f>
        <v>0</v>
      </c>
      <c r="P697" s="147">
        <f>SUMIFS($H:$H,$A:$A,$B697,$B:$B,"Totals")</f>
        <v>0</v>
      </c>
      <c r="Q697" s="147">
        <f>SUMIFS($I:$I,$A:$A,$B697,$B:$B,"Totals")</f>
        <v>0</v>
      </c>
      <c r="R697" s="284">
        <f>SUMIFS($K:$K,$A:$A,$B697,$B:$B,"Totals")</f>
        <v>0</v>
      </c>
      <c r="S697" s="284">
        <f>SUMIFS($L:$L,$A:$A,$B697,$B:$B,"Totals")</f>
        <v>0</v>
      </c>
      <c r="T697" s="284">
        <f>SUMIFS($M:$M,$A:$A,$B697,$B:$B,"Totals")</f>
        <v>0</v>
      </c>
      <c r="U697" s="284">
        <f>SUMIFS($N:$N,$A:$A,$B697,$B:$B,"Totals")</f>
        <v>0</v>
      </c>
      <c r="V697" s="147">
        <f t="shared" ref="V697:V700" si="30">R697+T697</f>
        <v>0</v>
      </c>
      <c r="W697" s="285">
        <f>S697+U697</f>
        <v>0</v>
      </c>
    </row>
    <row r="698" spans="1:23" x14ac:dyDescent="0.3">
      <c r="A698" t="str">
        <f>_xlfn.CONCAT("TL",B698)</f>
        <v>TLLagoon</v>
      </c>
      <c r="B698" s="99" t="s">
        <v>5210</v>
      </c>
      <c r="C698" s="233">
        <f>SUMIFS($C:$C,$A:$A,_xlfn.CONCAT(B698,"_construction"))</f>
        <v>167081.47032168071</v>
      </c>
      <c r="D698" s="233">
        <f>SUMIFS($C:$C,$A:$A,_xlfn.CONCAT(B698,"_equipment"))</f>
        <v>0</v>
      </c>
      <c r="E698" s="274">
        <f>SUM(C698:D698)</f>
        <v>167081.47032168071</v>
      </c>
      <c r="F698" s="233">
        <f>SUMIFS($D:$D,$A:$A,$B698,$B:$B,"Total capital recovery value")</f>
        <v>13520.962552369338</v>
      </c>
      <c r="G698" s="233">
        <f>SUMIFS($C:$C,$A:$A,$B698,$B:$B,"Annual operational costs")</f>
        <v>2506.2220548252108</v>
      </c>
      <c r="H698" s="153">
        <f t="shared" ref="H698:H700" si="31">SUM(F698:G698)</f>
        <v>16027.184607194547</v>
      </c>
      <c r="I698" s="233">
        <f>SUMIFS($C:$C,$A:$A,$B698,$B:$B,"Annual cost savings")</f>
        <v>0</v>
      </c>
      <c r="J698" s="233">
        <f>SUMIFS($C:$C,$A:$A,$B698,$B:$B,"Annual fertilizer value for on-farm use")</f>
        <v>0</v>
      </c>
      <c r="K698" s="233">
        <f>SUMIFS($C:$C,$A:$A,$B698,$B:$B,"Annual revenues")</f>
        <v>0</v>
      </c>
      <c r="L698" s="233">
        <f>SUMIFS($C:$C,$A:$A,$B698,$B:$B,"Annual cost to export excess")</f>
        <v>0</v>
      </c>
      <c r="M698" s="283">
        <f t="shared" ref="M698:M700" si="32">K698-F698-G698</f>
        <v>-16027.184607194547</v>
      </c>
      <c r="N698">
        <f>SUMIFS($F:$F,$A:$A,$B698,$B:$B,"Totals")</f>
        <v>0</v>
      </c>
      <c r="O698">
        <f>SUMIFS($G:$G,$A:$A,$B698,$B:$B,"Totals")</f>
        <v>0</v>
      </c>
      <c r="P698" s="147">
        <f>SUMIFS($H:$H,$A:$A,$B698,$B:$B,"Totals")</f>
        <v>0</v>
      </c>
      <c r="Q698" s="147">
        <f>SUMIFS($I:$I,$A:$A,$B698,$B:$B,"Totals")</f>
        <v>0</v>
      </c>
      <c r="R698" s="284">
        <f>SUMIFS($K:$K,$A:$A,$B698,$B:$B,"Totals")</f>
        <v>0</v>
      </c>
      <c r="S698" s="284">
        <f>SUMIFS($L:$L,$A:$A,$B698,$B:$B,"Totals")</f>
        <v>0</v>
      </c>
      <c r="T698" s="284">
        <f>SUMIFS($M:$M,$A:$A,$B698,$B:$B,"Totals")</f>
        <v>0</v>
      </c>
      <c r="U698" s="284">
        <f>SUMIFS($N:$N,$A:$A,$B698,$B:$B,"Totals")</f>
        <v>0</v>
      </c>
      <c r="V698" s="147">
        <f t="shared" si="30"/>
        <v>0</v>
      </c>
      <c r="W698" s="285">
        <f>S698+U698</f>
        <v>0</v>
      </c>
    </row>
    <row r="699" spans="1:23" x14ac:dyDescent="0.3">
      <c r="A699" t="str">
        <f>_xlfn.CONCAT("TL",B699)</f>
        <v>TLFlush water</v>
      </c>
      <c r="B699" s="99" t="s">
        <v>5211</v>
      </c>
      <c r="C699" s="233">
        <f>SUMIFS($C:$C,$A:$A,_xlfn.CONCAT(B699,"_construction"))</f>
        <v>0</v>
      </c>
      <c r="D699" s="233">
        <f>SUMIFS($C:$C,$A:$A,_xlfn.CONCAT(B699,"_equipment"))</f>
        <v>0</v>
      </c>
      <c r="E699" s="274">
        <f>SUM(C699:D699)</f>
        <v>0</v>
      </c>
      <c r="F699" s="233">
        <f>SUMIFS($D:$D,$A:$A,$B699,$B:$B,"Total capital recovery value")</f>
        <v>3017.6174069102476</v>
      </c>
      <c r="G699" s="233">
        <f>SUMIFS($C:$C,$A:$A,$B699,$B:$B,"Annual operational costs")</f>
        <v>1085.2004420208236</v>
      </c>
      <c r="H699" s="153">
        <f t="shared" si="31"/>
        <v>4102.8178489310712</v>
      </c>
      <c r="I699" s="233">
        <f>SUMIFS($C:$C,$A:$A,$B699,$B:$B,"Annual cost savings")</f>
        <v>10561.452582174725</v>
      </c>
      <c r="J699" s="233">
        <f>SUMIFS($C:$C,$A:$A,$B699,$B:$B,"Annual fertilizer value for on-farm use")</f>
        <v>0</v>
      </c>
      <c r="K699" s="233">
        <f>SUMIFS($C:$C,$A:$A,$B699,$B:$B,"Annual revenues")</f>
        <v>0</v>
      </c>
      <c r="L699" s="233">
        <f>SUMIFS($C:$C,$A:$A,$B699,$B:$B,"Annual cost to export excess")</f>
        <v>0</v>
      </c>
      <c r="M699" s="283">
        <f t="shared" si="32"/>
        <v>-4102.8178489310712</v>
      </c>
      <c r="N699" s="278">
        <f>SUMIFS($F:$F,$A:$A,$B699,$B:$B,"Totals")</f>
        <v>1129.152356031932</v>
      </c>
      <c r="O699" s="147">
        <f>SUMIFS($G:$G,$A:$A,$B699,$B:$B,"Totals")</f>
        <v>77.450442020823601</v>
      </c>
      <c r="P699" s="147">
        <f>SUMIFS($H:$H,$A:$A,$B699,$B:$B,"Totals")</f>
        <v>0</v>
      </c>
      <c r="Q699" s="147">
        <f>SUMIFS($I:$I,$A:$A,$B699,$B:$B,"Totals")</f>
        <v>0</v>
      </c>
      <c r="R699" s="284">
        <f>SUMIFS($K:$K,$A:$A,$B699,$B:$B,"Totals")</f>
        <v>0</v>
      </c>
      <c r="S699" s="284">
        <f>SUMIFS($L:$L,$A:$A,$B699,$B:$B,"Totals")</f>
        <v>0</v>
      </c>
      <c r="T699" s="284">
        <f>SUMIFS($M:$M,$A:$A,$B699,$B:$B,"Totals")</f>
        <v>0</v>
      </c>
      <c r="U699" s="284">
        <f>SUMIFS($N:$N,$A:$A,$B699,$B:$B,"Totals")</f>
        <v>0</v>
      </c>
      <c r="V699" s="147">
        <f t="shared" si="30"/>
        <v>0</v>
      </c>
      <c r="W699" s="285">
        <f>S699+U699</f>
        <v>0</v>
      </c>
    </row>
    <row r="700" spans="1:23" x14ac:dyDescent="0.3">
      <c r="A700" t="str">
        <f>_xlfn.CONCAT("TL",B700)</f>
        <v>TLEnd use tanker</v>
      </c>
      <c r="B700" s="99" t="s">
        <v>5202</v>
      </c>
      <c r="C700" s="233">
        <f>SUMIFS($C:$C,$A:$A,_xlfn.CONCAT(B700,"_construction"))</f>
        <v>0</v>
      </c>
      <c r="D700" s="233">
        <f>SUMIFS($C:$C,$A:$A,_xlfn.CONCAT(B700,"_equipment"))</f>
        <v>1289100</v>
      </c>
      <c r="E700" s="274">
        <f>SUM(C700:D700)</f>
        <v>1289100</v>
      </c>
      <c r="F700" s="233">
        <f>SUMIFS($D:$D,$A:$A,$B700,$B:$B,"Total capital recovery value")</f>
        <v>35858.482619276263</v>
      </c>
      <c r="G700" s="233">
        <f>SUMIFS($C:$C,$A:$A,$B700,$B:$B,"Annual operational costs")</f>
        <v>14184.728899523692</v>
      </c>
      <c r="H700" s="153">
        <f t="shared" si="31"/>
        <v>50043.211518799959</v>
      </c>
      <c r="I700" s="233">
        <f>SUMIFS($C:$C,$A:$A,$B700,$B:$B,"Annual cost savings")</f>
        <v>0</v>
      </c>
      <c r="J700" s="233">
        <f>SUMIFS($C:$C,$A:$A,$B700,$B:$B,"Annual fertilizer value for on-farm use")</f>
        <v>5889.5450523297313</v>
      </c>
      <c r="K700" s="233">
        <f>SUMIFS($C:$C,$A:$A,$B700,$B:$B,"Annual revenues")</f>
        <v>0</v>
      </c>
      <c r="L700" s="233">
        <f>SUMIFS($C:$C,$A:$A,$B700,$B:$B,"Annual cost to export excess")</f>
        <v>0</v>
      </c>
      <c r="M700" s="283">
        <f t="shared" si="32"/>
        <v>-50043.211518799959</v>
      </c>
      <c r="N700">
        <f>SUMIFS($F:$F,$A:$A,$B700,$B:$B,"Totals")</f>
        <v>946.46267270594763</v>
      </c>
      <c r="O700">
        <f>SUMIFS($G:$G,$A:$A,$B700,$B:$B,"Totals")</f>
        <v>64.919452158688784</v>
      </c>
      <c r="P700" s="147">
        <f>SUMIFS($H:$H,$A:$A,$B700,$B:$B,"Totals")</f>
        <v>178.67213700367461</v>
      </c>
      <c r="Q700" s="147">
        <f>SUMIFS($I:$I,$A:$A,$B700,$B:$B,"Totals")</f>
        <v>660.4598688478851</v>
      </c>
      <c r="R700" s="284">
        <f>SUMIFS($K:$K,$A:$A,$B700,$B:$B,"Totals")</f>
        <v>30.156235793134364</v>
      </c>
      <c r="S700" s="284">
        <f>SUMIFS($L:$L,$A:$A,$B700,$B:$B,"Totals")</f>
        <v>713.49653886555916</v>
      </c>
      <c r="T700" s="284">
        <f>SUMIFS($M:$M,$A:$A,$B700,$B:$B,"Totals")</f>
        <v>0</v>
      </c>
      <c r="U700" s="284">
        <f>SUMIFS($N:$N,$A:$A,$B700,$B:$B,"Totals")</f>
        <v>0</v>
      </c>
      <c r="V700" s="147">
        <f t="shared" si="30"/>
        <v>30.156235793134364</v>
      </c>
      <c r="W700" s="285">
        <f>S700+U700</f>
        <v>713.49653886555916</v>
      </c>
    </row>
    <row r="701" spans="1:23" x14ac:dyDescent="0.3">
      <c r="A701" t="str">
        <f>_xlfn.CONCAT("TL",B701)</f>
        <v>TLTotals</v>
      </c>
      <c r="B701" s="162" t="s">
        <v>5203</v>
      </c>
      <c r="C701" s="242">
        <f t="shared" ref="C701:W701" si="33">SUM(C696:C700)</f>
        <v>180776.66447873245</v>
      </c>
      <c r="D701" s="242">
        <f t="shared" si="33"/>
        <v>1289100</v>
      </c>
      <c r="E701" s="367">
        <f t="shared" si="33"/>
        <v>1469876.6644787325</v>
      </c>
      <c r="F701" s="242">
        <f t="shared" si="33"/>
        <v>53505.337523637514</v>
      </c>
      <c r="G701" s="242">
        <f t="shared" si="33"/>
        <v>39006.324588011208</v>
      </c>
      <c r="H701" s="242">
        <f t="shared" si="33"/>
        <v>92511.662111648722</v>
      </c>
      <c r="I701" s="242">
        <f t="shared" si="33"/>
        <v>10561.452582174725</v>
      </c>
      <c r="J701" s="242">
        <f t="shared" si="33"/>
        <v>5889.5450523297313</v>
      </c>
      <c r="K701" s="242">
        <f t="shared" si="33"/>
        <v>0</v>
      </c>
      <c r="L701" s="242">
        <f t="shared" si="33"/>
        <v>0</v>
      </c>
      <c r="M701" s="367">
        <f t="shared" si="33"/>
        <v>-92511.662111648722</v>
      </c>
      <c r="N701" s="286">
        <f t="shared" si="33"/>
        <v>2075.6150287378796</v>
      </c>
      <c r="O701" s="286">
        <f t="shared" si="33"/>
        <v>142.36989417951239</v>
      </c>
      <c r="P701" s="286">
        <f t="shared" si="33"/>
        <v>178.67213700367461</v>
      </c>
      <c r="Q701" s="286">
        <f t="shared" si="33"/>
        <v>660.4598688478851</v>
      </c>
      <c r="R701" s="286">
        <f t="shared" si="33"/>
        <v>30.156235793134364</v>
      </c>
      <c r="S701" s="286">
        <f t="shared" si="33"/>
        <v>713.49653886555916</v>
      </c>
      <c r="T701" s="286">
        <f t="shared" si="33"/>
        <v>0</v>
      </c>
      <c r="U701" s="286">
        <f t="shared" si="33"/>
        <v>0</v>
      </c>
      <c r="V701" s="541">
        <f t="shared" si="33"/>
        <v>30.156235793134364</v>
      </c>
      <c r="W701" s="541">
        <f t="shared" si="33"/>
        <v>713.49653886555916</v>
      </c>
    </row>
    <row r="702" spans="1:23" x14ac:dyDescent="0.3">
      <c r="A702" s="82"/>
      <c r="B702" s="287" t="s">
        <v>7069</v>
      </c>
      <c r="C702" s="150"/>
      <c r="D702" s="150"/>
      <c r="E702" s="288"/>
      <c r="F702" s="150"/>
      <c r="G702" s="150"/>
      <c r="H702" s="150"/>
      <c r="I702" s="150"/>
      <c r="J702" s="150"/>
      <c r="K702" s="150"/>
      <c r="L702" s="150"/>
      <c r="M702" s="289"/>
      <c r="N702" s="150"/>
      <c r="O702" s="150"/>
      <c r="P702" s="150"/>
      <c r="Q702" s="150"/>
      <c r="R702" s="290"/>
      <c r="S702" s="291"/>
      <c r="T702" s="150"/>
      <c r="U702" s="150"/>
      <c r="V702" s="150"/>
      <c r="W702" s="151"/>
    </row>
    <row r="703" spans="1:23" x14ac:dyDescent="0.3">
      <c r="D703"/>
      <c r="E703" s="288"/>
      <c r="F703"/>
      <c r="G703"/>
      <c r="H703"/>
      <c r="K703"/>
      <c r="L703"/>
      <c r="R703"/>
      <c r="W703"/>
    </row>
    <row r="704" spans="1:23" x14ac:dyDescent="0.3">
      <c r="B704" s="139" t="s">
        <v>7050</v>
      </c>
      <c r="C704" s="142"/>
      <c r="D704" s="142"/>
      <c r="F704" s="267"/>
      <c r="G704" s="267"/>
      <c r="H704" s="268"/>
      <c r="I704" s="269"/>
      <c r="J704" s="270"/>
      <c r="K704" s="142"/>
      <c r="L704" s="269"/>
      <c r="M704" s="142"/>
      <c r="N704" s="142"/>
      <c r="O704" s="142"/>
      <c r="P704" s="142"/>
      <c r="Q704" s="142"/>
      <c r="R704" s="142"/>
      <c r="S704" s="142"/>
      <c r="T704" s="271"/>
      <c r="U704" s="142"/>
      <c r="V704" s="142"/>
      <c r="W704" s="272"/>
    </row>
    <row r="705" spans="1:23" x14ac:dyDescent="0.3">
      <c r="B705" s="92" t="s">
        <v>7070</v>
      </c>
      <c r="D705"/>
    </row>
    <row r="706" spans="1:23" x14ac:dyDescent="0.3">
      <c r="B706" s="99"/>
    </row>
    <row r="707" spans="1:23" x14ac:dyDescent="0.3">
      <c r="B707" s="92" t="s">
        <v>7052</v>
      </c>
      <c r="C707" s="82" t="s">
        <v>565</v>
      </c>
      <c r="D707" s="82" t="s">
        <v>38</v>
      </c>
    </row>
    <row r="708" spans="1:23" x14ac:dyDescent="0.3">
      <c r="B708" s="99" t="s">
        <v>5859</v>
      </c>
      <c r="C708">
        <f>UDV.animal.total</f>
        <v>500</v>
      </c>
      <c r="D708" t="s">
        <v>2442</v>
      </c>
    </row>
    <row r="709" spans="1:23" x14ac:dyDescent="0.3">
      <c r="A709" s="292"/>
      <c r="B709" s="174" t="s">
        <v>5386</v>
      </c>
      <c r="C709">
        <f>UDV.crops.acres_available</f>
        <v>100</v>
      </c>
      <c r="D709" t="s">
        <v>7029</v>
      </c>
    </row>
    <row r="710" spans="1:23" x14ac:dyDescent="0.3">
      <c r="B710" s="99" t="s">
        <v>5114</v>
      </c>
      <c r="C710" t="str">
        <f>UDV.u.state</f>
        <v>Iowa</v>
      </c>
      <c r="D710" t="s">
        <v>2852</v>
      </c>
    </row>
    <row r="711" spans="1:23" ht="13.5" customHeight="1" x14ac:dyDescent="0.3">
      <c r="B711" s="99"/>
      <c r="C711" s="166"/>
      <c r="D711"/>
    </row>
    <row r="712" spans="1:23" x14ac:dyDescent="0.3">
      <c r="B712" s="99"/>
    </row>
    <row r="713" spans="1:23" x14ac:dyDescent="0.3">
      <c r="A713" t="s">
        <v>4917</v>
      </c>
      <c r="B713" s="92" t="s">
        <v>7053</v>
      </c>
      <c r="C713" s="82" t="s">
        <v>5181</v>
      </c>
      <c r="D713" s="82" t="s">
        <v>7140</v>
      </c>
    </row>
    <row r="714" spans="1:23" x14ac:dyDescent="0.3">
      <c r="A714" t="s">
        <v>4917</v>
      </c>
      <c r="B714" s="275" t="s">
        <v>2585</v>
      </c>
      <c r="C714" s="276">
        <f>F732</f>
        <v>107290.12442830527</v>
      </c>
      <c r="D714" s="153">
        <f>C714/C708</f>
        <v>214.58024885661052</v>
      </c>
    </row>
    <row r="715" spans="1:23" x14ac:dyDescent="0.3">
      <c r="A715" t="s">
        <v>4917</v>
      </c>
      <c r="B715" s="275" t="s">
        <v>2588</v>
      </c>
      <c r="C715" s="276">
        <f>G732+L732</f>
        <v>55867.819164038898</v>
      </c>
      <c r="D715" s="153">
        <f>C715/C708</f>
        <v>111.7356383280778</v>
      </c>
    </row>
    <row r="716" spans="1:23" x14ac:dyDescent="0.3">
      <c r="A716" t="s">
        <v>4917</v>
      </c>
      <c r="B716" s="275" t="s">
        <v>441</v>
      </c>
      <c r="C716" s="276">
        <f>I732</f>
        <v>10561.452582174725</v>
      </c>
      <c r="D716" s="153">
        <f>C716/C708</f>
        <v>21.122905164349451</v>
      </c>
    </row>
    <row r="717" spans="1:23" x14ac:dyDescent="0.3">
      <c r="A717" t="s">
        <v>4917</v>
      </c>
      <c r="B717" s="275" t="s">
        <v>440</v>
      </c>
      <c r="C717" s="276">
        <f>J732</f>
        <v>5889.5450523297313</v>
      </c>
      <c r="D717" s="153">
        <f>C717/C708</f>
        <v>11.779090104659463</v>
      </c>
    </row>
    <row r="718" spans="1:23" x14ac:dyDescent="0.3">
      <c r="A718" t="s">
        <v>4917</v>
      </c>
      <c r="B718" s="275" t="s">
        <v>442</v>
      </c>
      <c r="C718" s="276">
        <f>K732</f>
        <v>0</v>
      </c>
      <c r="D718" s="153">
        <f>C718/C708</f>
        <v>0</v>
      </c>
    </row>
    <row r="719" spans="1:23" x14ac:dyDescent="0.3">
      <c r="A719" t="s">
        <v>4917</v>
      </c>
      <c r="B719" s="2270" t="s">
        <v>439</v>
      </c>
      <c r="C719" s="2271">
        <f>M732</f>
        <v>-163157.94359234418</v>
      </c>
      <c r="D719" s="159">
        <f>C719/C708</f>
        <v>-326.31588718468834</v>
      </c>
      <c r="E719" s="288"/>
      <c r="F719" s="66"/>
      <c r="G719" s="66"/>
      <c r="H719"/>
      <c r="I719" s="42"/>
      <c r="J719" s="3"/>
      <c r="K719"/>
      <c r="R719"/>
      <c r="T719" s="20"/>
      <c r="W719" s="113"/>
    </row>
    <row r="720" spans="1:23" x14ac:dyDescent="0.3">
      <c r="A720" t="s">
        <v>4917</v>
      </c>
      <c r="B720" s="99" t="s">
        <v>7055</v>
      </c>
      <c r="C720" s="276">
        <f>L732</f>
        <v>0</v>
      </c>
      <c r="D720" s="153">
        <f>C720/C708</f>
        <v>0</v>
      </c>
      <c r="E720" s="279" t="s">
        <v>7056</v>
      </c>
    </row>
    <row r="721" spans="1:25" x14ac:dyDescent="0.3">
      <c r="A721" t="s">
        <v>4917</v>
      </c>
      <c r="B721" s="99" t="s">
        <v>7057</v>
      </c>
      <c r="C721" s="153">
        <f>C714+C715</f>
        <v>163157.94359234418</v>
      </c>
      <c r="D721" s="153">
        <f>C721/C708</f>
        <v>326.31588718468834</v>
      </c>
    </row>
    <row r="722" spans="1:25" ht="13.5" customHeight="1" x14ac:dyDescent="0.3">
      <c r="A722" t="s">
        <v>4917</v>
      </c>
      <c r="B722" s="853" t="s">
        <v>5392</v>
      </c>
      <c r="C722" s="142"/>
      <c r="D722" s="854">
        <f>E732</f>
        <v>2238616.6644787323</v>
      </c>
      <c r="E722" s="271" t="s">
        <v>2284</v>
      </c>
      <c r="F722"/>
      <c r="G722" s="66"/>
      <c r="H722"/>
      <c r="I722" s="42"/>
      <c r="J722" s="3"/>
      <c r="K722"/>
      <c r="R722"/>
      <c r="T722" s="20"/>
      <c r="W722" s="113"/>
    </row>
    <row r="723" spans="1:25" ht="13.5" customHeight="1" x14ac:dyDescent="0.3">
      <c r="A723" t="s">
        <v>4917</v>
      </c>
      <c r="B723" s="852" t="s">
        <v>5393</v>
      </c>
      <c r="D723" s="274">
        <f>E732/C708</f>
        <v>4477.2333289574644</v>
      </c>
      <c r="E723" s="20" t="s">
        <v>7058</v>
      </c>
      <c r="F723"/>
      <c r="G723" s="66"/>
      <c r="H723"/>
      <c r="I723" s="42"/>
      <c r="J723" s="3"/>
      <c r="K723"/>
      <c r="R723"/>
      <c r="T723" s="20"/>
      <c r="W723" s="113"/>
    </row>
    <row r="724" spans="1:25" x14ac:dyDescent="0.3">
      <c r="B724" s="99"/>
      <c r="D724"/>
      <c r="F724"/>
      <c r="G724"/>
      <c r="H724" s="42"/>
      <c r="I724" s="3"/>
      <c r="L724"/>
      <c r="N724" s="273" t="s">
        <v>7059</v>
      </c>
      <c r="O724" s="90"/>
      <c r="P724" s="90"/>
      <c r="Q724" s="90"/>
      <c r="R724" s="90"/>
      <c r="S724" s="279"/>
      <c r="T724" s="90"/>
      <c r="U724" s="90"/>
      <c r="V724" s="42"/>
      <c r="W724" s="146"/>
    </row>
    <row r="725" spans="1:25" x14ac:dyDescent="0.3">
      <c r="B725" s="92" t="s">
        <v>7060</v>
      </c>
      <c r="D725"/>
      <c r="F725"/>
      <c r="G725"/>
      <c r="H725"/>
      <c r="K725"/>
      <c r="L725"/>
      <c r="M725" s="113"/>
      <c r="N725" s="90" t="s">
        <v>5323</v>
      </c>
      <c r="O725" s="90" t="s">
        <v>5181</v>
      </c>
      <c r="P725" s="90" t="s">
        <v>5324</v>
      </c>
      <c r="Q725" s="90" t="s">
        <v>5181</v>
      </c>
      <c r="R725" s="90" t="s">
        <v>2710</v>
      </c>
      <c r="S725" s="90" t="s">
        <v>5181</v>
      </c>
      <c r="T725" s="90" t="s">
        <v>2710</v>
      </c>
      <c r="U725" s="90" t="s">
        <v>5181</v>
      </c>
      <c r="V725" s="90" t="s">
        <v>2710</v>
      </c>
      <c r="W725" s="280" t="s">
        <v>5181</v>
      </c>
    </row>
    <row r="726" spans="1:25" ht="86.4" x14ac:dyDescent="0.3">
      <c r="B726" s="92" t="s">
        <v>5187</v>
      </c>
      <c r="C726" s="82" t="s">
        <v>7061</v>
      </c>
      <c r="D726" s="82" t="s">
        <v>7062</v>
      </c>
      <c r="E726" s="277" t="s">
        <v>7063</v>
      </c>
      <c r="F726" s="82" t="s">
        <v>7064</v>
      </c>
      <c r="G726" s="277" t="s">
        <v>2588</v>
      </c>
      <c r="H726" s="82" t="s">
        <v>5188</v>
      </c>
      <c r="I726" s="82" t="s">
        <v>5189</v>
      </c>
      <c r="J726" s="82" t="s">
        <v>5190</v>
      </c>
      <c r="K726" s="82" t="s">
        <v>442</v>
      </c>
      <c r="L726" s="82" t="s">
        <v>5191</v>
      </c>
      <c r="M726" s="173" t="s">
        <v>439</v>
      </c>
      <c r="N726" s="281" t="s">
        <v>5192</v>
      </c>
      <c r="O726" s="281" t="s">
        <v>5193</v>
      </c>
      <c r="P726" s="281" t="s">
        <v>5194</v>
      </c>
      <c r="Q726" s="281" t="s">
        <v>5195</v>
      </c>
      <c r="R726" s="281" t="s">
        <v>5196</v>
      </c>
      <c r="S726" s="281" t="s">
        <v>5197</v>
      </c>
      <c r="T726" s="281" t="s">
        <v>5198</v>
      </c>
      <c r="U726" s="281" t="s">
        <v>5199</v>
      </c>
      <c r="V726" s="281" t="s">
        <v>5200</v>
      </c>
      <c r="W726" s="282" t="s">
        <v>5201</v>
      </c>
    </row>
    <row r="727" spans="1:25" x14ac:dyDescent="0.3">
      <c r="A727" t="s">
        <v>7071</v>
      </c>
      <c r="B727" s="99" t="s">
        <v>6945</v>
      </c>
      <c r="C727" s="158">
        <f>SUMIFS($C$300:$C$765,$A$300:$A$765,_xlfn.CONCAT(B727,"_construction"))</f>
        <v>13695.194157051748</v>
      </c>
      <c r="D727" s="158">
        <f>SUMIFS($C$300:$C$765,$A$300:$A$765,_xlfn.CONCAT(B727,"_equipment"))</f>
        <v>0</v>
      </c>
      <c r="E727" s="274">
        <f>SUM(C727:D727)</f>
        <v>13695.194157051748</v>
      </c>
      <c r="F727" s="158">
        <f>SUMIFS($D$300:$D$765,$A$300:$A$765,$B727,$B$300:$B$765,"Total capital recovery value")</f>
        <v>1108.2749450816623</v>
      </c>
      <c r="G727" s="158">
        <f>SUMIFS($C$300:$C$765,$A$300:$A$765,$B727,$B$300:$B$765,"Annual operational costs")</f>
        <v>205.42791235577621</v>
      </c>
      <c r="H727" s="153">
        <f>SUM(F727:G727)</f>
        <v>1313.7028574374385</v>
      </c>
      <c r="I727" s="158">
        <f>SUMIFS($C$300:$C$765,$A$300:$A$765,$B727,$B$300:$B$765,"Annual cost savings")</f>
        <v>0</v>
      </c>
      <c r="J727" s="158">
        <f>SUMIFS($C$300:$C$765,$A$300:$A$765,$B727,$B$300:$B$765,"Annual fertilizer value for on-farm use")</f>
        <v>0</v>
      </c>
      <c r="K727" s="158">
        <f>SUMIFS($C$300:$C$765,$A$300:$A$765,$B727,$B$300:$B$765,"Annual revenues")</f>
        <v>0</v>
      </c>
      <c r="L727" s="158">
        <f>SUMIFS($C$300:$C$765,$A$300:$A$765,$B727,$B$300:$B$765,"Annual cost to export excess")</f>
        <v>0</v>
      </c>
      <c r="M727" s="283">
        <f>K727-F727-G727</f>
        <v>-1313.7028574374385</v>
      </c>
      <c r="N727">
        <f>SUMIFS($F$300:$F$765,$A$300:$A$765,$B727,$B$300:$B$765,"Totals")</f>
        <v>0</v>
      </c>
      <c r="O727">
        <f>SUMIFS($G$300:$G$765,$A$300:$A$765,$B727,$B$300:$B$765,"Totals")</f>
        <v>0</v>
      </c>
      <c r="P727" s="147">
        <f>SUMIFS($H$300:$H$765,$A$300:$A$765,$B727,$B$300:$B$765,"Totals")</f>
        <v>0</v>
      </c>
      <c r="Q727" s="147">
        <f>SUMIFS($I$300:$I$765,$A$300:$A$765,$B727,$B$300:$B$765,"Totals")</f>
        <v>0</v>
      </c>
      <c r="R727" s="2315">
        <f>SUMIFS($K$300:$K$765,$A$300:$A$765,$B727,$B$300:$B$765,"Totals")</f>
        <v>0</v>
      </c>
      <c r="S727" s="2315">
        <f>SUMIFS($L$300:$L$765,$A$300:$A$765,$B727,$B$300:$B$765,"Totals")</f>
        <v>0</v>
      </c>
      <c r="T727" s="2315">
        <f>SUMIFS($M$300:$M$765,$A$300:$A$765,$B727,$B$300:$B$765,"Totals")</f>
        <v>0</v>
      </c>
      <c r="U727" s="2315">
        <f>SUMIFS($N$300:$N$765,$A$300:$A$765,$B727,$B$300:$B$765,"Totals")</f>
        <v>0</v>
      </c>
      <c r="V727" s="147">
        <f>R727+T727</f>
        <v>0</v>
      </c>
      <c r="W727" s="285">
        <f>S727+U727</f>
        <v>0</v>
      </c>
    </row>
    <row r="728" spans="1:25" x14ac:dyDescent="0.3">
      <c r="A728" t="str">
        <f>_xlfn.CONCAT("DHL",B728)</f>
        <v>DHLBarn and parlor</v>
      </c>
      <c r="B728" s="99" t="s">
        <v>5209</v>
      </c>
      <c r="C728" s="233">
        <f>SUMIFS($C:$C,$A:$A,_xlfn.CONCAT(B728,"_construction"))</f>
        <v>0</v>
      </c>
      <c r="D728" s="233">
        <f>SUMIFS($C:$C,$A:$A,_xlfn.CONCAT(B728,"_equipment"))</f>
        <v>0</v>
      </c>
      <c r="E728" s="274">
        <f>SUM(C728:D728)</f>
        <v>0</v>
      </c>
      <c r="F728" s="233">
        <f>SUMIFS($D:$D,$A:$A,$B728,$B:$B,"Total capital recovery value")</f>
        <v>0</v>
      </c>
      <c r="G728" s="233">
        <f>SUMIFS($C:$C,$A:$A,$B728,$B:$B,"Annual operational costs")</f>
        <v>21024.745279285704</v>
      </c>
      <c r="H728" s="153">
        <f>SUM(F728:G728)</f>
        <v>21024.745279285704</v>
      </c>
      <c r="I728" s="233">
        <f>SUMIFS($C:$C,$A:$A,$B728,$B:$B,"Annual cost savings")</f>
        <v>0</v>
      </c>
      <c r="J728" s="233">
        <f>SUMIFS($C:$C,$A:$A,$B728,$B:$B,"Annual fertilizer value for on-farm use")</f>
        <v>0</v>
      </c>
      <c r="K728" s="233">
        <f>SUMIFS($C:$C,$A:$A,$B728,$B:$B,"Annual revenues")</f>
        <v>0</v>
      </c>
      <c r="L728" s="233">
        <f>SUMIFS($C:$C,$A:$A,$B728,$B:$B,"Annual cost to export excess")</f>
        <v>0</v>
      </c>
      <c r="M728" s="283">
        <f>K728-F728-G728</f>
        <v>-21024.745279285704</v>
      </c>
      <c r="N728">
        <f>SUMIFS($F:$F,$A:$A,$B728,$B:$B,"Totals")</f>
        <v>0</v>
      </c>
      <c r="O728">
        <f>SUMIFS($G:$G,$A:$A,$B728,$B:$B,"Totals")</f>
        <v>0</v>
      </c>
      <c r="P728" s="147">
        <f>SUMIFS($H:$H,$A:$A,$B728,$B:$B,"Totals")</f>
        <v>0</v>
      </c>
      <c r="Q728" s="147">
        <f>SUMIFS($I:$I,$A:$A,$B728,$B:$B,"Totals")</f>
        <v>0</v>
      </c>
      <c r="R728" s="284">
        <f>SUMIFS($K:$K,$A:$A,$B728,$B:$B,"Totals")</f>
        <v>0</v>
      </c>
      <c r="S728" s="284">
        <f>SUMIFS($L:$L,$A:$A,$B728,$B:$B,"Totals")</f>
        <v>0</v>
      </c>
      <c r="T728" s="284">
        <f>SUMIFS($M:$M,$A:$A,$B728,$B:$B,"Totals")</f>
        <v>0</v>
      </c>
      <c r="U728" s="284">
        <f>SUMIFS($N:$N,$A:$A,$B728,$B:$B,"Totals")</f>
        <v>0</v>
      </c>
      <c r="V728" s="147">
        <f t="shared" ref="V728:V731" si="34">R728+T728</f>
        <v>0</v>
      </c>
      <c r="W728" s="285">
        <f>S728+U728</f>
        <v>0</v>
      </c>
    </row>
    <row r="729" spans="1:25" x14ac:dyDescent="0.3">
      <c r="A729" t="str">
        <f>_xlfn.CONCAT("DHL",B729)</f>
        <v>DHLLagoon</v>
      </c>
      <c r="B729" s="99" t="s">
        <v>5210</v>
      </c>
      <c r="C729" s="233">
        <f>SUMIFS($C:$C,$A:$A,_xlfn.CONCAT(B729,"_construction"))</f>
        <v>167081.47032168071</v>
      </c>
      <c r="D729" s="233">
        <f>SUMIFS($C:$C,$A:$A,_xlfn.CONCAT(B729,"_equipment"))</f>
        <v>0</v>
      </c>
      <c r="E729" s="274">
        <f>SUM(C729:D729)</f>
        <v>167081.47032168071</v>
      </c>
      <c r="F729" s="233">
        <f>SUMIFS($D:$D,$A:$A,$B729,$B:$B,"Total capital recovery value")</f>
        <v>13520.962552369338</v>
      </c>
      <c r="G729" s="233">
        <f>SUMIFS($C:$C,$A:$A,$B729,$B:$B,"Annual operational costs")</f>
        <v>2506.2220548252108</v>
      </c>
      <c r="H729" s="153">
        <f t="shared" ref="H729:H731" si="35">SUM(F729:G729)</f>
        <v>16027.184607194547</v>
      </c>
      <c r="I729" s="233">
        <f>SUMIFS($C:$C,$A:$A,$B729,$B:$B,"Annual cost savings")</f>
        <v>0</v>
      </c>
      <c r="J729" s="233">
        <f>SUMIFS($C:$C,$A:$A,$B729,$B:$B,"Annual fertilizer value for on-farm use")</f>
        <v>0</v>
      </c>
      <c r="K729" s="233">
        <f>SUMIFS($C:$C,$A:$A,$B729,$B:$B,"Annual revenues")</f>
        <v>0</v>
      </c>
      <c r="L729" s="233">
        <f>SUMIFS($C:$C,$A:$A,$B729,$B:$B,"Annual cost to export excess")</f>
        <v>0</v>
      </c>
      <c r="M729" s="283">
        <f t="shared" ref="M729:M731" si="36">K729-F729-G729</f>
        <v>-16027.184607194547</v>
      </c>
      <c r="N729">
        <f>SUMIFS($F:$F,$A:$A,$B729,$B:$B,"Totals")</f>
        <v>0</v>
      </c>
      <c r="O729">
        <f>SUMIFS($G:$G,$A:$A,$B729,$B:$B,"Totals")</f>
        <v>0</v>
      </c>
      <c r="P729" s="147">
        <f>SUMIFS($H:$H,$A:$A,$B729,$B:$B,"Totals")</f>
        <v>0</v>
      </c>
      <c r="Q729" s="147">
        <f>SUMIFS($I:$I,$A:$A,$B729,$B:$B,"Totals")</f>
        <v>0</v>
      </c>
      <c r="R729" s="284">
        <f>SUMIFS($K:$K,$A:$A,$B729,$B:$B,"Totals")</f>
        <v>0</v>
      </c>
      <c r="S729" s="284">
        <f>SUMIFS($L:$L,$A:$A,$B729,$B:$B,"Totals")</f>
        <v>0</v>
      </c>
      <c r="T729" s="284">
        <f>SUMIFS($M:$M,$A:$A,$B729,$B:$B,"Totals")</f>
        <v>0</v>
      </c>
      <c r="U729" s="284">
        <f>SUMIFS($N:$N,$A:$A,$B729,$B:$B,"Totals")</f>
        <v>0</v>
      </c>
      <c r="V729" s="147">
        <f t="shared" si="34"/>
        <v>0</v>
      </c>
      <c r="W729" s="285">
        <f>S729+U729</f>
        <v>0</v>
      </c>
    </row>
    <row r="730" spans="1:25" x14ac:dyDescent="0.3">
      <c r="A730" t="str">
        <f>_xlfn.CONCAT("DHL",B730)</f>
        <v>DHLFlush water</v>
      </c>
      <c r="B730" s="99" t="s">
        <v>5211</v>
      </c>
      <c r="C730" s="233">
        <f>SUMIFS($C:$C,$A:$A,_xlfn.CONCAT(B730,"_construction"))</f>
        <v>0</v>
      </c>
      <c r="D730" s="233">
        <f>SUMIFS($C:$C,$A:$A,_xlfn.CONCAT(B730,"_equipment"))</f>
        <v>0</v>
      </c>
      <c r="E730" s="274">
        <f>SUM(C730:D730)</f>
        <v>0</v>
      </c>
      <c r="F730" s="233">
        <f>SUMIFS($D:$D,$A:$A,$B730,$B:$B,"Total capital recovery value")</f>
        <v>3017.6174069102476</v>
      </c>
      <c r="G730" s="233">
        <f>SUMIFS($C:$C,$A:$A,$B730,$B:$B,"Annual operational costs")</f>
        <v>1085.2004420208236</v>
      </c>
      <c r="H730" s="153">
        <f t="shared" si="35"/>
        <v>4102.8178489310712</v>
      </c>
      <c r="I730" s="233">
        <f>SUMIFS($C:$C,$A:$A,$B730,$B:$B,"Annual cost savings")</f>
        <v>10561.452582174725</v>
      </c>
      <c r="J730" s="233">
        <f>SUMIFS($C:$C,$A:$A,$B730,$B:$B,"Annual fertilizer value for on-farm use")</f>
        <v>0</v>
      </c>
      <c r="K730" s="233">
        <f>SUMIFS($C:$C,$A:$A,$B730,$B:$B,"Annual revenues")</f>
        <v>0</v>
      </c>
      <c r="L730" s="233">
        <f>SUMIFS($C:$C,$A:$A,$B730,$B:$B,"Annual cost to export excess")</f>
        <v>0</v>
      </c>
      <c r="M730" s="283">
        <f t="shared" si="36"/>
        <v>-4102.8178489310712</v>
      </c>
      <c r="N730" s="278">
        <f>SUMIFS($F:$F,$A:$A,$B730,$B:$B,"Totals")</f>
        <v>1129.152356031932</v>
      </c>
      <c r="O730" s="147">
        <f>SUMIFS($G:$G,$A:$A,$B730,$B:$B,"Totals")</f>
        <v>77.450442020823601</v>
      </c>
      <c r="P730" s="147">
        <f>SUMIFS($H:$H,$A:$A,$B730,$B:$B,"Totals")</f>
        <v>0</v>
      </c>
      <c r="Q730" s="147">
        <f>SUMIFS($I:$I,$A:$A,$B730,$B:$B,"Totals")</f>
        <v>0</v>
      </c>
      <c r="R730" s="284">
        <f>SUMIFS($K:$K,$A:$A,$B730,$B:$B,"Totals")</f>
        <v>0</v>
      </c>
      <c r="S730" s="284">
        <f>SUMIFS($L:$L,$A:$A,$B730,$B:$B,"Totals")</f>
        <v>0</v>
      </c>
      <c r="T730" s="284">
        <f>SUMIFS($M:$M,$A:$A,$B730,$B:$B,"Totals")</f>
        <v>0</v>
      </c>
      <c r="U730" s="284">
        <f>SUMIFS($N:$N,$A:$A,$B730,$B:$B,"Totals")</f>
        <v>0</v>
      </c>
      <c r="V730" s="147">
        <f t="shared" si="34"/>
        <v>0</v>
      </c>
      <c r="W730" s="285">
        <f>S730+U730</f>
        <v>0</v>
      </c>
    </row>
    <row r="731" spans="1:25" x14ac:dyDescent="0.3">
      <c r="A731" t="str">
        <f>_xlfn.CONCAT("DHL",B731)</f>
        <v>DHLEnd use drag hose</v>
      </c>
      <c r="B731" s="99" t="s">
        <v>5205</v>
      </c>
      <c r="C731" s="233">
        <f>SUMIFS($C:$C,$A:$A,_xlfn.CONCAT(B731,"_construction"))</f>
        <v>0</v>
      </c>
      <c r="D731" s="233">
        <f>SUMIFS($C:$C,$A:$A,_xlfn.CONCAT(B731,"_equipment"))</f>
        <v>2057840</v>
      </c>
      <c r="E731" s="274">
        <f>SUM(C731:D731)</f>
        <v>2057840</v>
      </c>
      <c r="F731" s="233">
        <f>SUMIFS($D:$D,$A:$A,$B731,$B:$B,"Total capital recovery value")</f>
        <v>89643.269523944022</v>
      </c>
      <c r="G731" s="233">
        <f>SUMIFS($C:$C,$A:$A,$B731,$B:$B,"Annual operational costs")</f>
        <v>31046.223475551382</v>
      </c>
      <c r="H731" s="153">
        <f t="shared" si="35"/>
        <v>120689.4929994954</v>
      </c>
      <c r="I731" s="233">
        <f>SUMIFS($C:$C,$A:$A,$B731,$B:$B,"Annual cost savings")</f>
        <v>0</v>
      </c>
      <c r="J731" s="233">
        <f>SUMIFS($C:$C,$A:$A,$B731,$B:$B,"Annual fertilizer value for on-farm use")</f>
        <v>5889.5450523297313</v>
      </c>
      <c r="K731" s="233">
        <f>SUMIFS($C:$C,$A:$A,$B731,$B:$B,"Annual revenues")</f>
        <v>0</v>
      </c>
      <c r="L731" s="233">
        <f>SUMIFS($C:$C,$A:$A,$B731,$B:$B,"Annual cost to export excess")</f>
        <v>0</v>
      </c>
      <c r="M731" s="283">
        <f t="shared" si="36"/>
        <v>-120689.4929994954</v>
      </c>
      <c r="N731">
        <f>SUMIFS($F:$F,$A:$A,$B731,$B:$B,"Totals")</f>
        <v>946.46267270594763</v>
      </c>
      <c r="O731">
        <f>SUMIFS($G:$G,$A:$A,$B731,$B:$B,"Totals")</f>
        <v>64.919452158688784</v>
      </c>
      <c r="P731" s="147">
        <f>SUMIFS($H:$H,$A:$A,$B731,$B:$B,"Totals")</f>
        <v>68.56569558113172</v>
      </c>
      <c r="Q731" s="147">
        <f>SUMIFS($I:$I,$A:$A,$B731,$B:$B,"Totals")</f>
        <v>253.45244686946867</v>
      </c>
      <c r="R731" s="284">
        <f>SUMIFS($K:$K,$A:$A,$B731,$B:$B,"Totals")</f>
        <v>9.817763243618403</v>
      </c>
      <c r="S731" s="284">
        <f>SUMIFS($L:$L,$A:$A,$B731,$B:$B,"Totals")</f>
        <v>232.28827834401142</v>
      </c>
      <c r="T731" s="284">
        <f>SUMIFS($M:$M,$A:$A,$B731,$B:$B,"Totals")</f>
        <v>0</v>
      </c>
      <c r="U731" s="284">
        <f>SUMIFS($N:$N,$A:$A,$B731,$B:$B,"Totals")</f>
        <v>0</v>
      </c>
      <c r="V731" s="147">
        <f t="shared" si="34"/>
        <v>9.817763243618403</v>
      </c>
      <c r="W731" s="285">
        <f>S731+U731</f>
        <v>232.28827834401142</v>
      </c>
    </row>
    <row r="732" spans="1:25" x14ac:dyDescent="0.3">
      <c r="A732" t="str">
        <f>_xlfn.CONCAT("DHL",B732)</f>
        <v>DHLTotals</v>
      </c>
      <c r="B732" s="162" t="s">
        <v>5203</v>
      </c>
      <c r="C732" s="242">
        <f t="shared" ref="C732:W732" si="37">SUM(C727:C731)</f>
        <v>180776.66447873245</v>
      </c>
      <c r="D732" s="242">
        <f t="shared" si="37"/>
        <v>2057840</v>
      </c>
      <c r="E732" s="367">
        <f t="shared" si="37"/>
        <v>2238616.6644787323</v>
      </c>
      <c r="F732" s="242">
        <f t="shared" si="37"/>
        <v>107290.12442830527</v>
      </c>
      <c r="G732" s="242">
        <f t="shared" si="37"/>
        <v>55867.819164038898</v>
      </c>
      <c r="H732" s="242">
        <f t="shared" si="37"/>
        <v>163157.94359234418</v>
      </c>
      <c r="I732" s="242">
        <f t="shared" si="37"/>
        <v>10561.452582174725</v>
      </c>
      <c r="J732" s="242">
        <f t="shared" si="37"/>
        <v>5889.5450523297313</v>
      </c>
      <c r="K732" s="242">
        <f t="shared" si="37"/>
        <v>0</v>
      </c>
      <c r="L732" s="242">
        <f t="shared" si="37"/>
        <v>0</v>
      </c>
      <c r="M732" s="367">
        <f t="shared" si="37"/>
        <v>-163157.94359234418</v>
      </c>
      <c r="N732" s="286">
        <f t="shared" si="37"/>
        <v>2075.6150287378796</v>
      </c>
      <c r="O732" s="286">
        <f t="shared" si="37"/>
        <v>142.36989417951239</v>
      </c>
      <c r="P732" s="286">
        <f t="shared" si="37"/>
        <v>68.56569558113172</v>
      </c>
      <c r="Q732" s="286">
        <f t="shared" si="37"/>
        <v>253.45244686946867</v>
      </c>
      <c r="R732" s="286">
        <f t="shared" si="37"/>
        <v>9.817763243618403</v>
      </c>
      <c r="S732" s="286">
        <f t="shared" si="37"/>
        <v>232.28827834401142</v>
      </c>
      <c r="T732" s="286">
        <f t="shared" si="37"/>
        <v>0</v>
      </c>
      <c r="U732" s="286">
        <f t="shared" si="37"/>
        <v>0</v>
      </c>
      <c r="V732" s="541">
        <f t="shared" si="37"/>
        <v>9.817763243618403</v>
      </c>
      <c r="W732" s="541">
        <f t="shared" si="37"/>
        <v>232.28827834401142</v>
      </c>
    </row>
    <row r="733" spans="1:25" x14ac:dyDescent="0.3">
      <c r="A733" s="82"/>
      <c r="B733" s="287" t="s">
        <v>7069</v>
      </c>
      <c r="C733" s="150"/>
      <c r="D733" s="150"/>
      <c r="E733" s="288"/>
      <c r="F733" s="150"/>
      <c r="G733" s="150"/>
      <c r="H733" s="150"/>
      <c r="I733" s="150"/>
      <c r="J733" s="150"/>
      <c r="K733" s="150"/>
      <c r="L733" s="150"/>
      <c r="M733" s="289"/>
      <c r="N733" s="150"/>
      <c r="O733" s="150"/>
      <c r="P733" s="150"/>
      <c r="Q733" s="150"/>
      <c r="R733" s="290"/>
      <c r="S733" s="291"/>
      <c r="T733" s="150"/>
      <c r="U733" s="150"/>
      <c r="V733" s="150"/>
      <c r="W733" s="151"/>
    </row>
    <row r="734" spans="1:25" ht="15" thickBot="1" x14ac:dyDescent="0.35">
      <c r="A734" s="137"/>
      <c r="B734" s="137"/>
      <c r="C734" s="137"/>
      <c r="D734" s="137"/>
      <c r="E734" s="137"/>
      <c r="F734" s="137"/>
      <c r="G734" s="137"/>
      <c r="H734" s="137"/>
      <c r="I734" s="137"/>
      <c r="J734" s="137"/>
      <c r="K734" s="137"/>
      <c r="L734" s="137"/>
      <c r="M734" s="137"/>
      <c r="N734" s="137"/>
      <c r="O734" s="137"/>
      <c r="P734" s="137"/>
      <c r="Q734" s="137"/>
      <c r="R734"/>
      <c r="W734"/>
    </row>
    <row r="735" spans="1:25" x14ac:dyDescent="0.3">
      <c r="D735"/>
      <c r="E735"/>
      <c r="F735"/>
      <c r="G735"/>
      <c r="H735"/>
      <c r="L735"/>
      <c r="R735"/>
      <c r="W735"/>
    </row>
    <row r="736" spans="1:25" x14ac:dyDescent="0.3">
      <c r="D736"/>
      <c r="E736"/>
      <c r="F736"/>
      <c r="G736"/>
      <c r="H736"/>
      <c r="K736"/>
      <c r="L736"/>
      <c r="R736"/>
      <c r="W736"/>
      <c r="Y736"/>
    </row>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sheetData>
  <mergeCells count="4">
    <mergeCell ref="C648:D648"/>
    <mergeCell ref="E648:F648"/>
    <mergeCell ref="C505:D505"/>
    <mergeCell ref="E505:F505"/>
  </mergeCells>
  <pageMargins left="0.7" right="0.7" top="0.75" bottom="0.75" header="0.3" footer="0.3"/>
  <pageSetup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E36EE-DB0F-478B-964B-65FF81254898}">
  <sheetPr codeName="Sheet28">
    <tabColor rgb="FF92D050"/>
  </sheetPr>
  <dimension ref="A1:AA844"/>
  <sheetViews>
    <sheetView topLeftCell="A560" workbookViewId="0"/>
  </sheetViews>
  <sheetFormatPr defaultColWidth="8.88671875" defaultRowHeight="14.4" x14ac:dyDescent="0.3"/>
  <cols>
    <col min="1" max="1" width="17" customWidth="1"/>
    <col min="2" max="2" width="45.5546875" customWidth="1"/>
    <col min="3" max="3" width="11.5546875" customWidth="1"/>
    <col min="4" max="5" width="11.5546875" style="66" customWidth="1"/>
    <col min="6" max="6" width="11.5546875" style="19" customWidth="1"/>
    <col min="7" max="7" width="15.44140625" style="42" customWidth="1"/>
    <col min="8" max="8" width="34.88671875" style="3" customWidth="1"/>
    <col min="9" max="9" width="12" customWidth="1"/>
    <col min="10" max="10" width="13.88671875" customWidth="1"/>
    <col min="11" max="11" width="20.5546875" style="42" customWidth="1"/>
    <col min="12" max="12" width="15.5546875" style="42" bestFit="1" customWidth="1"/>
    <col min="13" max="13" width="15.44140625" customWidth="1"/>
    <col min="14" max="14" width="14.5546875" customWidth="1"/>
    <col min="15" max="15" width="11.109375" customWidth="1"/>
    <col min="16" max="16" width="13.109375" style="20" customWidth="1"/>
    <col min="17" max="17" width="23.88671875" customWidth="1"/>
    <col min="18" max="18" width="47.33203125" customWidth="1"/>
    <col min="19" max="19" width="6.109375" customWidth="1"/>
    <col min="20" max="20" width="12.88671875" customWidth="1"/>
    <col min="21" max="21" width="17.33203125" style="42" customWidth="1"/>
    <col min="22" max="22" width="12.88671875" customWidth="1"/>
    <col min="23" max="23" width="21.6640625" style="36" customWidth="1"/>
    <col min="24" max="24" width="46.88671875" customWidth="1"/>
    <col min="25" max="25" width="15" customWidth="1"/>
    <col min="26" max="26" width="11.5546875" customWidth="1"/>
    <col min="27" max="27" width="16.109375" customWidth="1"/>
    <col min="28" max="28" width="20.5546875" bestFit="1" customWidth="1"/>
    <col min="29" max="33" width="9.44140625" bestFit="1" customWidth="1"/>
    <col min="34" max="34" width="14.44140625" bestFit="1" customWidth="1"/>
    <col min="35" max="35" width="20.5546875" bestFit="1" customWidth="1"/>
    <col min="36" max="36" width="15.5546875" bestFit="1" customWidth="1"/>
  </cols>
  <sheetData>
    <row r="1" spans="1:27" ht="18" x14ac:dyDescent="0.35">
      <c r="A1" s="522" t="str">
        <f>Sc.Table!J18</f>
        <v>The farm uses a scrape system for barn cleaning. The scraped manure flows to a lagoon and is stored for a period of time before it is emptied. Liquids are land applied via irrigation while the accumulated sludge is removed after a longer storage period and land applied via agitation and tractor-pulled tanker.</v>
      </c>
      <c r="B1" s="1"/>
      <c r="C1" s="1"/>
      <c r="D1" s="5"/>
      <c r="E1" s="5"/>
      <c r="F1" s="4"/>
      <c r="G1" s="46"/>
      <c r="I1" s="2"/>
      <c r="J1" s="2"/>
      <c r="K1" s="3"/>
      <c r="L1" s="3"/>
      <c r="M1" s="2"/>
      <c r="N1" s="2"/>
      <c r="O1" s="2"/>
      <c r="P1" s="2"/>
      <c r="Q1" s="2"/>
      <c r="R1" s="14"/>
      <c r="S1" s="2"/>
      <c r="T1" s="2"/>
      <c r="U1" s="2"/>
      <c r="W1" s="42"/>
      <c r="Y1" s="36"/>
    </row>
    <row r="2" spans="1:27" x14ac:dyDescent="0.3">
      <c r="A2" s="1611"/>
      <c r="B2" s="2000" t="s">
        <v>6921</v>
      </c>
      <c r="C2" s="2001"/>
      <c r="D2" s="2000"/>
      <c r="E2" s="279"/>
      <c r="F2" s="279"/>
      <c r="G2" s="279"/>
      <c r="H2" s="279"/>
      <c r="I2" s="1850"/>
      <c r="J2" s="2002"/>
      <c r="K2" s="2002"/>
      <c r="L2" s="2003"/>
      <c r="M2" s="2002"/>
      <c r="N2" s="2002"/>
      <c r="O2" s="2002"/>
      <c r="P2" s="2002"/>
      <c r="Q2" s="2004" t="s">
        <v>6923</v>
      </c>
      <c r="R2" s="2005"/>
      <c r="S2" s="2006"/>
      <c r="T2" s="2007"/>
      <c r="U2" s="2008"/>
      <c r="V2" s="90"/>
      <c r="W2" s="2009" t="s">
        <v>7141</v>
      </c>
      <c r="X2" s="2010"/>
      <c r="Y2" s="2011"/>
      <c r="Z2" s="2012"/>
      <c r="AA2" s="2013"/>
    </row>
    <row r="3" spans="1:27" x14ac:dyDescent="0.3">
      <c r="A3" s="1611"/>
      <c r="B3" s="1668" t="s">
        <v>6922</v>
      </c>
      <c r="C3" s="1670"/>
      <c r="D3" s="1670"/>
      <c r="E3" s="279"/>
      <c r="F3" s="279"/>
      <c r="G3" s="2014"/>
      <c r="H3" s="279"/>
      <c r="I3" s="279"/>
      <c r="J3" s="66"/>
      <c r="K3" s="213"/>
      <c r="L3" s="2015"/>
      <c r="M3" s="1997"/>
      <c r="N3" s="90"/>
      <c r="O3" s="1997"/>
      <c r="P3" s="90"/>
      <c r="Q3" s="91" t="s">
        <v>1901</v>
      </c>
      <c r="R3" s="1546" t="s">
        <v>6925</v>
      </c>
      <c r="S3" s="91"/>
      <c r="T3" s="1376">
        <f>C5*UDV.animal.total*UC.day_to_year</f>
        <v>0.15483873602722445</v>
      </c>
      <c r="U3" s="510" t="s">
        <v>2521</v>
      </c>
      <c r="V3" s="90"/>
      <c r="W3" s="52" t="s">
        <v>7142</v>
      </c>
      <c r="X3" s="1353" t="str">
        <f>PT.anaer_lagoon!B305</f>
        <v>Interval between sludge removal</v>
      </c>
      <c r="Y3" s="1353"/>
      <c r="Z3" s="2016">
        <f>PT.anaer_lagoon!K305</f>
        <v>10</v>
      </c>
      <c r="AA3" s="1353" t="str">
        <f>PT.anaer_lagoon!F305</f>
        <v>year</v>
      </c>
    </row>
    <row r="4" spans="1:27" x14ac:dyDescent="0.3">
      <c r="A4" s="1611"/>
      <c r="B4" s="1577" t="s">
        <v>6924</v>
      </c>
      <c r="C4" s="1879">
        <f>UDV.animal.manure*UC.year_to_day/UDV.animal.total/UDV.density.manure</f>
        <v>2.0526696680080483</v>
      </c>
      <c r="D4" s="1806" t="s">
        <v>5838</v>
      </c>
      <c r="E4" s="1918"/>
      <c r="F4" s="1918"/>
      <c r="G4" s="1918"/>
      <c r="H4" s="1918"/>
      <c r="I4" s="1611"/>
      <c r="J4" s="1611"/>
      <c r="K4" s="1632"/>
      <c r="L4" s="1611"/>
      <c r="M4" s="1611"/>
      <c r="N4" s="1611"/>
      <c r="O4" s="1611"/>
      <c r="P4" s="1611"/>
      <c r="Q4" s="1906" t="s">
        <v>7143</v>
      </c>
      <c r="R4" s="1353" t="str">
        <f>PT.shallow_scrape!B91</f>
        <v>Total recycled water needed</v>
      </c>
      <c r="S4" s="1353"/>
      <c r="T4" s="2016">
        <f>PT.shallow_scrape!G91</f>
        <v>0</v>
      </c>
      <c r="U4" s="2016" t="str">
        <f>PT.shallow_scrape!C91</f>
        <v>m3/year</v>
      </c>
      <c r="V4" s="1611"/>
      <c r="W4" s="1353"/>
      <c r="X4" s="1353" t="str">
        <f>PT.anaer_lagoon!B306</f>
        <v>Manure sludge removed, lagoon</v>
      </c>
      <c r="Y4" s="1353"/>
      <c r="Z4" s="2016">
        <f>PT.anaer_lagoon!K306</f>
        <v>4525.5947564400622</v>
      </c>
      <c r="AA4" s="1353" t="str">
        <f>PT.anaer_lagoon!F306</f>
        <v>m3/event</v>
      </c>
    </row>
    <row r="5" spans="1:27" x14ac:dyDescent="0.3">
      <c r="A5" s="1611"/>
      <c r="B5" s="1577" t="s">
        <v>415</v>
      </c>
      <c r="C5" s="1811">
        <f>SUM(C38:C41)</f>
        <v>0.11303227729987383</v>
      </c>
      <c r="D5" s="1806" t="s">
        <v>5838</v>
      </c>
      <c r="E5" s="1918"/>
      <c r="F5" s="1918"/>
      <c r="G5" s="1918"/>
      <c r="H5" s="1918"/>
      <c r="I5" s="1611"/>
      <c r="J5" s="1632"/>
      <c r="K5" s="1632"/>
      <c r="L5" s="1632"/>
      <c r="M5" s="1632"/>
      <c r="N5" s="1632"/>
      <c r="O5" s="1611"/>
      <c r="P5" s="1918"/>
      <c r="Q5" s="1353"/>
      <c r="R5" s="1353" t="str">
        <f>PT.shallow_scrape!B92</f>
        <v>Number of flushes</v>
      </c>
      <c r="S5" s="1353"/>
      <c r="T5" s="2016">
        <f>PT.shallow_scrape!G92</f>
        <v>3</v>
      </c>
      <c r="U5" s="2016" t="str">
        <f>PT.shallow_scrape!C92</f>
        <v>flush/day</v>
      </c>
      <c r="V5" s="1611"/>
      <c r="W5" s="1353"/>
      <c r="X5" s="1353" t="str">
        <f>PT.anaer_lagoon!B307</f>
        <v>Lagoon surface area</v>
      </c>
      <c r="Y5" s="1353"/>
      <c r="Z5" s="2016">
        <f>PT.anaer_lagoon!K307</f>
        <v>3368.7334385768968</v>
      </c>
      <c r="AA5" s="1353" t="str">
        <f>PT.anaer_lagoon!F307</f>
        <v>m3</v>
      </c>
    </row>
    <row r="6" spans="1:27" ht="15" customHeight="1" x14ac:dyDescent="0.3">
      <c r="A6" s="1611"/>
      <c r="B6" s="1577" t="s">
        <v>409</v>
      </c>
      <c r="C6" s="1811">
        <f>SUM(C32:C36)</f>
        <v>11.252044620952608</v>
      </c>
      <c r="D6" s="1806" t="s">
        <v>5769</v>
      </c>
      <c r="E6" s="1918"/>
      <c r="F6" s="1918"/>
      <c r="G6" s="2017"/>
      <c r="H6" s="1918"/>
      <c r="I6" s="1611"/>
      <c r="J6" s="1632"/>
      <c r="K6" s="1632"/>
      <c r="L6" s="1611"/>
      <c r="M6" s="1632"/>
      <c r="N6" s="1611"/>
      <c r="O6" s="1611"/>
      <c r="P6" s="1918"/>
      <c r="Q6" s="1906"/>
      <c r="R6" s="1353" t="str">
        <f>PT.shallow_scrape!B93</f>
        <v>Volume of recycled water per flush</v>
      </c>
      <c r="S6" s="1353"/>
      <c r="T6" s="2016">
        <f>PT.shallow_scrape!G93</f>
        <v>0</v>
      </c>
      <c r="U6" s="2016" t="str">
        <f>PT.shallow_scrape!C93</f>
        <v>m3/flush</v>
      </c>
      <c r="V6" s="1611"/>
      <c r="W6" s="1353"/>
      <c r="X6" s="1353" t="str">
        <f>PT.anaer_lagoon!B308</f>
        <v>Lagoon constructed size</v>
      </c>
      <c r="Y6" s="1353"/>
      <c r="Z6" s="2016">
        <f>PT.anaer_lagoon!K308</f>
        <v>7731.3161327004527</v>
      </c>
      <c r="AA6" s="1353" t="str">
        <f>PT.anaer_lagoon!F308</f>
        <v>m2</v>
      </c>
    </row>
    <row r="7" spans="1:27" ht="15" customHeight="1" x14ac:dyDescent="0.3">
      <c r="A7" s="1611"/>
      <c r="B7" s="1577" t="s">
        <v>6926</v>
      </c>
      <c r="C7" s="1353" t="s">
        <v>6927</v>
      </c>
      <c r="D7" s="1806"/>
      <c r="E7" s="1611"/>
      <c r="F7" s="1611"/>
      <c r="G7" s="1611"/>
      <c r="H7" s="1611"/>
      <c r="I7" s="1611"/>
      <c r="J7" s="1611"/>
      <c r="K7" s="1632"/>
      <c r="L7" s="1611"/>
      <c r="M7" s="1632"/>
      <c r="N7" s="1611"/>
      <c r="O7" s="1611"/>
      <c r="P7" s="1632"/>
      <c r="Q7" s="2016"/>
      <c r="R7" s="1353" t="str">
        <f>PT.shallow_scrape!B94</f>
        <v>Total flush water volume</v>
      </c>
      <c r="S7" s="1353"/>
      <c r="T7" s="2016">
        <f>PT.shallow_scrape!G94</f>
        <v>0</v>
      </c>
      <c r="U7" s="2016" t="str">
        <f>PT.shallow_scrape!C94</f>
        <v>m3/day</v>
      </c>
      <c r="V7" s="1632"/>
      <c r="W7" s="1353"/>
      <c r="X7" s="1353" t="str">
        <f>PT.anaer_lagoon!B309</f>
        <v>N removed, lagoon</v>
      </c>
      <c r="Y7" s="1353"/>
      <c r="Z7" s="2016">
        <f>PT.anaer_lagoon!K309</f>
        <v>1.6762638671084318</v>
      </c>
      <c r="AA7" s="1353" t="str">
        <f>PT.anaer_lagoon!F309</f>
        <v>g/L</v>
      </c>
    </row>
    <row r="8" spans="1:27" x14ac:dyDescent="0.3">
      <c r="A8" s="1611"/>
      <c r="B8" s="1577" t="s">
        <v>6928</v>
      </c>
      <c r="C8" s="1434">
        <f>SUM(C43:C49)/UDV.animal.total</f>
        <v>325.10280265821331</v>
      </c>
      <c r="D8" s="1353" t="s">
        <v>2270</v>
      </c>
      <c r="E8" s="1611"/>
      <c r="F8" s="1611"/>
      <c r="G8" s="1850"/>
      <c r="H8" s="1611"/>
      <c r="I8" s="1611"/>
      <c r="J8" s="1611"/>
      <c r="K8" s="1611"/>
      <c r="L8" s="1611"/>
      <c r="M8" s="1611"/>
      <c r="N8" s="1611"/>
      <c r="O8" s="1611"/>
      <c r="P8" s="1632"/>
      <c r="Q8" s="2016"/>
      <c r="R8" s="1353" t="str">
        <f>PT.shallow_scrape!B95</f>
        <v>Recycled water volume</v>
      </c>
      <c r="S8" s="1353"/>
      <c r="T8" s="2016">
        <f>PT.shallow_scrape!G95</f>
        <v>0</v>
      </c>
      <c r="U8" s="2016" t="str">
        <f>PT.shallow_scrape!C95</f>
        <v>m3/day</v>
      </c>
      <c r="V8" s="1632"/>
      <c r="W8" s="1353"/>
      <c r="X8" s="1353" t="str">
        <f>PT.anaer_lagoon!B310</f>
        <v>P2O5 removed, lagoon</v>
      </c>
      <c r="Y8" s="1353"/>
      <c r="Z8" s="2016">
        <f>PT.anaer_lagoon!K310</f>
        <v>3.3027695097379093</v>
      </c>
      <c r="AA8" s="1353" t="str">
        <f>PT.anaer_lagoon!F310</f>
        <v>g/L</v>
      </c>
    </row>
    <row r="9" spans="1:27" x14ac:dyDescent="0.3">
      <c r="A9" s="1611"/>
      <c r="B9" s="1810" t="s">
        <v>6929</v>
      </c>
      <c r="C9" s="1807"/>
      <c r="D9" s="1806"/>
      <c r="E9" s="1611"/>
      <c r="F9" s="1611"/>
      <c r="G9" s="1850"/>
      <c r="H9" s="1611"/>
      <c r="I9" s="1611"/>
      <c r="J9" s="1918"/>
      <c r="K9" s="1918"/>
      <c r="L9" s="1918"/>
      <c r="M9" s="1918"/>
      <c r="N9" s="1611"/>
      <c r="O9" s="1611"/>
      <c r="P9" s="1632"/>
      <c r="Q9" s="2016"/>
      <c r="R9" s="1353" t="str">
        <f>PT.shallow_scrape!B96</f>
        <v>Volume of water per cleaning</v>
      </c>
      <c r="S9" s="1353"/>
      <c r="T9" s="2016">
        <f>PT.shallow_scrape!G96</f>
        <v>0</v>
      </c>
      <c r="U9" s="2016" t="str">
        <f>PT.shallow_scrape!C96</f>
        <v>m3/flush</v>
      </c>
      <c r="V9" s="1632"/>
      <c r="W9" s="1353"/>
      <c r="X9" s="1353" t="str">
        <f>PT.anaer_lagoon!B311</f>
        <v>K2O removed, lagoon</v>
      </c>
      <c r="Y9" s="1353"/>
      <c r="Z9" s="2016">
        <f>PT.anaer_lagoon!K311</f>
        <v>3.3027856402144384</v>
      </c>
      <c r="AA9" s="1353" t="str">
        <f>PT.anaer_lagoon!F311</f>
        <v>g/L</v>
      </c>
    </row>
    <row r="10" spans="1:27" x14ac:dyDescent="0.3">
      <c r="A10" s="1611"/>
      <c r="B10" s="1577" t="s">
        <v>6163</v>
      </c>
      <c r="C10" s="1811">
        <f>C59</f>
        <v>6.0688727739166897</v>
      </c>
      <c r="D10" s="1806" t="s">
        <v>2385</v>
      </c>
      <c r="E10" s="1611"/>
      <c r="F10" s="1611"/>
      <c r="G10" s="1850"/>
      <c r="H10" s="1611"/>
      <c r="I10" s="1611"/>
      <c r="J10" s="1918"/>
      <c r="K10" s="1918"/>
      <c r="L10" s="1918"/>
      <c r="M10" s="1918"/>
      <c r="N10" s="1611"/>
      <c r="O10" s="1611"/>
      <c r="P10" s="1857"/>
      <c r="Q10" s="1353"/>
      <c r="R10" s="1353" t="str">
        <f>PT.shallow_scrape!B97</f>
        <v>Size of motor(s) needed for pump(s)</v>
      </c>
      <c r="S10" s="1353"/>
      <c r="T10" s="2016">
        <f>PT.shallow_scrape!G97</f>
        <v>4.9783549783549788</v>
      </c>
      <c r="U10" s="2016" t="str">
        <f>PT.shallow_scrape!C97</f>
        <v>hp/pump</v>
      </c>
      <c r="V10" s="1611"/>
      <c r="W10" s="1353"/>
      <c r="X10" s="1353" t="str">
        <f>PT.anaer_lagoon!B312</f>
        <v>Tanker, size</v>
      </c>
      <c r="Y10" s="1353"/>
      <c r="Z10" s="2016">
        <f>PT.anaer_lagoon!K312</f>
        <v>6000</v>
      </c>
      <c r="AA10" s="1353" t="str">
        <f>PT.anaer_lagoon!F312</f>
        <v>gal</v>
      </c>
    </row>
    <row r="11" spans="1:27" x14ac:dyDescent="0.3">
      <c r="A11" s="1611"/>
      <c r="B11" s="1577" t="s">
        <v>6164</v>
      </c>
      <c r="C11" s="1811">
        <f t="shared" ref="C11:C12" si="0">C60</f>
        <v>3.6537102250000002</v>
      </c>
      <c r="D11" s="1806" t="s">
        <v>2385</v>
      </c>
      <c r="E11" s="1611"/>
      <c r="F11" s="1611"/>
      <c r="G11" s="1850"/>
      <c r="H11" s="1611"/>
      <c r="I11" s="1939"/>
      <c r="J11" s="1862"/>
      <c r="K11" s="1857"/>
      <c r="L11" s="1857"/>
      <c r="M11" s="1857"/>
      <c r="N11" s="1857"/>
      <c r="O11" s="1918"/>
      <c r="P11" s="2018"/>
      <c r="Q11" s="2056"/>
      <c r="R11" s="1353" t="str">
        <f>PT.shallow_scrape!B98</f>
        <v>Number of pumps needed from pond/lagoon</v>
      </c>
      <c r="S11" s="1353"/>
      <c r="T11" s="2016">
        <f>PT.shallow_scrape!G98</f>
        <v>0</v>
      </c>
      <c r="U11" s="2016" t="str">
        <f>PT.shallow_scrape!C98</f>
        <v>pumps</v>
      </c>
      <c r="V11" s="1918"/>
      <c r="W11" s="1353"/>
      <c r="X11" s="1353" t="str">
        <f>PT.anaer_lagoon!B313</f>
        <v>Tractor for tanker, size</v>
      </c>
      <c r="Y11" s="1353"/>
      <c r="Z11" s="2016">
        <f>PT.anaer_lagoon!K313</f>
        <v>250</v>
      </c>
      <c r="AA11" s="1353" t="str">
        <f>PT.anaer_lagoon!F313</f>
        <v>PTO hp</v>
      </c>
    </row>
    <row r="12" spans="1:27" x14ac:dyDescent="0.3">
      <c r="A12" s="1611"/>
      <c r="B12" s="1577" t="s">
        <v>6165</v>
      </c>
      <c r="C12" s="1811">
        <f t="shared" si="0"/>
        <v>5.5517686249999993</v>
      </c>
      <c r="D12" s="1806" t="s">
        <v>2385</v>
      </c>
      <c r="E12" s="1611"/>
      <c r="F12" s="1611"/>
      <c r="G12" s="1850"/>
      <c r="H12" s="1611"/>
      <c r="I12" s="1939"/>
      <c r="J12" s="1857"/>
      <c r="K12" s="2019"/>
      <c r="L12" s="1862"/>
      <c r="M12" s="1611"/>
      <c r="N12" s="1611"/>
      <c r="O12" s="1611"/>
      <c r="P12" s="2020"/>
      <c r="Q12" s="2057"/>
      <c r="R12" s="1353" t="str">
        <f>PT.shallow_scrape!B99</f>
        <v>Operational time for pump/motor</v>
      </c>
      <c r="S12" s="1353"/>
      <c r="T12" s="2016">
        <f>PT.shallow_scrape!G99</f>
        <v>0</v>
      </c>
      <c r="U12" s="2016" t="str">
        <f>PT.shallow_scrape!C99</f>
        <v>hr/day/pump</v>
      </c>
      <c r="V12" s="1632"/>
      <c r="W12" s="1353"/>
      <c r="X12" s="1353" t="str">
        <f>PT.anaer_lagoon!B314</f>
        <v>Application by broadcast or injection?</v>
      </c>
      <c r="Y12" s="1353"/>
      <c r="Z12" s="2016" t="str">
        <f>PT.anaer_lagoon!K314</f>
        <v>Injection</v>
      </c>
      <c r="AA12" s="1353" t="str">
        <f>PT.anaer_lagoon!F314</f>
        <v>type</v>
      </c>
    </row>
    <row r="13" spans="1:27" x14ac:dyDescent="0.3">
      <c r="A13" s="1611"/>
      <c r="B13" s="1810" t="s">
        <v>6930</v>
      </c>
      <c r="C13" s="1811"/>
      <c r="D13" s="1806"/>
      <c r="E13" s="1611"/>
      <c r="F13" s="1611"/>
      <c r="G13" s="1850"/>
      <c r="H13" s="1611"/>
      <c r="I13" s="1939"/>
      <c r="J13" s="1857"/>
      <c r="K13" s="1857"/>
      <c r="L13" s="2021"/>
      <c r="M13" s="1857"/>
      <c r="N13" s="1866"/>
      <c r="O13" s="1611"/>
      <c r="P13" s="2020"/>
      <c r="Q13" s="2057"/>
      <c r="R13" s="1353" t="str">
        <f>PT.shallow_scrape!B100</f>
        <v>Energy needed for motor(s) for pump(s)</v>
      </c>
      <c r="S13" s="1353"/>
      <c r="T13" s="2016">
        <f>PT.shallow_scrape!G100</f>
        <v>0</v>
      </c>
      <c r="U13" s="2016" t="str">
        <f>PT.shallow_scrape!C100</f>
        <v>kWh/day</v>
      </c>
      <c r="V13" s="1632"/>
      <c r="W13" s="1353"/>
      <c r="X13" s="1353" t="str">
        <f>PT.anaer_lagoon!B315</f>
        <v>Operation time for tractor with tanker</v>
      </c>
      <c r="Y13" s="1353"/>
      <c r="Z13" s="2016">
        <f>PT.anaer_lagoon!K315</f>
        <v>42.936571806698318</v>
      </c>
      <c r="AA13" s="1353" t="str">
        <f>PT.anaer_lagoon!F315</f>
        <v>hrs/event</v>
      </c>
    </row>
    <row r="14" spans="1:27" x14ac:dyDescent="0.3">
      <c r="A14" s="1939"/>
      <c r="B14" s="1577" t="s">
        <v>6163</v>
      </c>
      <c r="C14" s="1811">
        <f>C63</f>
        <v>1.5172181934791722</v>
      </c>
      <c r="D14" s="1806" t="s">
        <v>2385</v>
      </c>
      <c r="E14" s="1611"/>
      <c r="F14" s="1611"/>
      <c r="G14" s="1850"/>
      <c r="H14" s="1611"/>
      <c r="I14" s="1939"/>
      <c r="J14" s="1862"/>
      <c r="K14" s="1862"/>
      <c r="L14" s="2019"/>
      <c r="M14" s="2022"/>
      <c r="N14" s="1939"/>
      <c r="O14" s="1611"/>
      <c r="P14" s="2020"/>
      <c r="Q14" s="2057"/>
      <c r="R14" s="1353" t="str">
        <f>PT.shallow_scrape!B101</f>
        <v>Distance from pump to barns</v>
      </c>
      <c r="S14" s="1353"/>
      <c r="T14" s="2016">
        <f>PT.shallow_scrape!G101</f>
        <v>800</v>
      </c>
      <c r="U14" s="2016" t="str">
        <f>PT.shallow_scrape!C101</f>
        <v>ft</v>
      </c>
      <c r="V14" s="1632"/>
      <c r="W14" s="1353"/>
      <c r="X14" s="1353" t="str">
        <f>PT.anaer_lagoon!B316</f>
        <v>Fuel needed for tractor with tank and applicator</v>
      </c>
      <c r="Y14" s="1353"/>
      <c r="Z14" s="2016">
        <f>PT.anaer_lagoon!K316</f>
        <v>472.3022898736815</v>
      </c>
      <c r="AA14" s="1353" t="str">
        <f>PT.anaer_lagoon!F316</f>
        <v>gal/event</v>
      </c>
    </row>
    <row r="15" spans="1:27" x14ac:dyDescent="0.3">
      <c r="A15" s="1939"/>
      <c r="B15" s="1577" t="s">
        <v>6164</v>
      </c>
      <c r="C15" s="1811">
        <f t="shared" ref="C15:C16" si="1">C64</f>
        <v>2.9893992749999998</v>
      </c>
      <c r="D15" s="1806" t="s">
        <v>2385</v>
      </c>
      <c r="E15" s="1611"/>
      <c r="F15" s="1611"/>
      <c r="G15" s="1611"/>
      <c r="H15" s="1611"/>
      <c r="I15" s="1611"/>
      <c r="J15" s="1862"/>
      <c r="K15" s="1862"/>
      <c r="L15" s="2022"/>
      <c r="M15" s="2022"/>
      <c r="N15" s="1939"/>
      <c r="O15" s="1611"/>
      <c r="P15" s="1611"/>
      <c r="Q15" s="1353"/>
      <c r="R15" s="1353" t="str">
        <f>PT.shallow_scrape!B102</f>
        <v>Number of scrapes, auto</v>
      </c>
      <c r="S15" s="1353"/>
      <c r="T15" s="2016">
        <f>PT.shallow_scrape!G102</f>
        <v>12</v>
      </c>
      <c r="U15" s="2016" t="str">
        <f>PT.shallow_scrape!C102</f>
        <v>quantity/day</v>
      </c>
      <c r="V15" s="1611"/>
      <c r="W15" s="1353"/>
      <c r="X15" s="1353" t="str">
        <f>PT.anaer_lagoon!B317</f>
        <v>Number of tractors with tanker needed</v>
      </c>
      <c r="Y15" s="1353"/>
      <c r="Z15" s="2016">
        <f>PT.anaer_lagoon!K317</f>
        <v>1</v>
      </c>
      <c r="AA15" s="1353" t="str">
        <f>PT.anaer_lagoon!F317</f>
        <v>quantity</v>
      </c>
    </row>
    <row r="16" spans="1:27" x14ac:dyDescent="0.3">
      <c r="A16" s="1939"/>
      <c r="B16" s="1577" t="s">
        <v>6165</v>
      </c>
      <c r="C16" s="1811">
        <f t="shared" si="1"/>
        <v>2.9894138749999994</v>
      </c>
      <c r="D16" s="1806" t="s">
        <v>2385</v>
      </c>
      <c r="E16" s="1611"/>
      <c r="F16" s="1611"/>
      <c r="G16" s="1850"/>
      <c r="H16" s="1611"/>
      <c r="I16" s="1611"/>
      <c r="J16" s="1857"/>
      <c r="K16" s="1862"/>
      <c r="L16" s="2022"/>
      <c r="M16" s="2022"/>
      <c r="N16" s="1939"/>
      <c r="O16" s="1611"/>
      <c r="P16" s="1611"/>
      <c r="Q16" s="1353"/>
      <c r="R16" s="1353" t="str">
        <f>PT.shallow_scrape!B103</f>
        <v>Alley length, total</v>
      </c>
      <c r="S16" s="1353"/>
      <c r="T16" s="2016">
        <f>PT.shallow_scrape!G103</f>
        <v>115</v>
      </c>
      <c r="U16" s="2016" t="str">
        <f>PT.shallow_scrape!C103</f>
        <v>m</v>
      </c>
      <c r="V16" s="1611"/>
      <c r="W16" s="1353"/>
      <c r="X16" s="1353" t="str">
        <f>PT.anaer_lagoon!B318</f>
        <v>Tractor for agitator, size</v>
      </c>
      <c r="Y16" s="1353"/>
      <c r="Z16" s="2016">
        <f>PT.anaer_lagoon!K318</f>
        <v>160</v>
      </c>
      <c r="AA16" s="1353" t="str">
        <f>PT.anaer_lagoon!F318</f>
        <v>PTO hp</v>
      </c>
    </row>
    <row r="17" spans="1:27" x14ac:dyDescent="0.3">
      <c r="A17" s="1611"/>
      <c r="B17" s="1808" t="s">
        <v>5271</v>
      </c>
      <c r="C17" s="1809"/>
      <c r="D17" s="1806"/>
      <c r="E17" s="1611"/>
      <c r="F17" s="1611"/>
      <c r="G17" s="1632"/>
      <c r="H17" s="1611"/>
      <c r="I17" s="1611"/>
      <c r="J17" s="1857"/>
      <c r="K17" s="1862"/>
      <c r="L17" s="2022"/>
      <c r="M17" s="2022"/>
      <c r="N17" s="1939"/>
      <c r="O17" s="1611"/>
      <c r="P17" s="1611"/>
      <c r="Q17" s="1353"/>
      <c r="R17" s="1353" t="str">
        <f>PT.shallow_scrape!B104</f>
        <v>Auto alley system number of drive units/motors</v>
      </c>
      <c r="S17" s="1353"/>
      <c r="T17" s="2016">
        <f>PT.shallow_scrape!G104</f>
        <v>2</v>
      </c>
      <c r="U17" s="2016" t="str">
        <f>PT.shallow_scrape!C104</f>
        <v>quantity</v>
      </c>
      <c r="V17" s="1611"/>
      <c r="W17" s="1353"/>
      <c r="X17" s="1353" t="str">
        <f>PT.anaer_lagoon!B319</f>
        <v>Number of tractors for agitating needed</v>
      </c>
      <c r="Y17" s="1353"/>
      <c r="Z17" s="2016">
        <f>PT.anaer_lagoon!K319</f>
        <v>1</v>
      </c>
      <c r="AA17" s="1353" t="str">
        <f>PT.anaer_lagoon!F319</f>
        <v>quantity</v>
      </c>
    </row>
    <row r="18" spans="1:27" ht="15.6" x14ac:dyDescent="0.3">
      <c r="A18" s="1611"/>
      <c r="B18" s="1577" t="s">
        <v>6782</v>
      </c>
      <c r="C18" s="1812">
        <f>C78+C82</f>
        <v>32.282819354552089</v>
      </c>
      <c r="D18" s="1806" t="s">
        <v>2385</v>
      </c>
      <c r="E18" s="1611"/>
      <c r="F18" s="1611"/>
      <c r="G18" s="1632"/>
      <c r="H18" s="1611"/>
      <c r="I18" s="1611"/>
      <c r="J18" s="1857"/>
      <c r="K18" s="1862"/>
      <c r="L18" s="2019"/>
      <c r="M18" s="2022"/>
      <c r="N18" s="1939"/>
      <c r="O18" s="1611"/>
      <c r="P18" s="1611"/>
      <c r="Q18" s="1353"/>
      <c r="R18" s="1353" t="str">
        <f>PT.shallow_scrape!B105</f>
        <v>Number of scraper blades, auto</v>
      </c>
      <c r="S18" s="1353"/>
      <c r="T18" s="2016">
        <f>PT.shallow_scrape!G105</f>
        <v>2</v>
      </c>
      <c r="U18" s="2016" t="str">
        <f>PT.shallow_scrape!C105</f>
        <v>quantity</v>
      </c>
      <c r="V18" s="1611"/>
      <c r="W18" s="1353"/>
      <c r="X18" s="1353" t="str">
        <f>PT.anaer_lagoon!B320</f>
        <v>Operation time for tractor agitating</v>
      </c>
      <c r="Y18" s="1353"/>
      <c r="Z18" s="2016">
        <f>PT.anaer_lagoon!K320</f>
        <v>53.670714758372903</v>
      </c>
      <c r="AA18" s="1353" t="str">
        <f>PT.anaer_lagoon!F320</f>
        <v>hr/year</v>
      </c>
    </row>
    <row r="19" spans="1:27" ht="20.25" customHeight="1" x14ac:dyDescent="0.3">
      <c r="A19" s="1611"/>
      <c r="B19" s="1577" t="s">
        <v>6783</v>
      </c>
      <c r="C19" s="1812">
        <f>C80+C84</f>
        <v>5.9651376409799999E-2</v>
      </c>
      <c r="D19" s="1806" t="s">
        <v>2385</v>
      </c>
      <c r="E19" s="1611"/>
      <c r="F19" s="1611"/>
      <c r="G19" s="1611"/>
      <c r="H19" s="1611"/>
      <c r="I19" s="1611"/>
      <c r="J19" s="1857"/>
      <c r="K19" s="1862"/>
      <c r="L19" s="1862"/>
      <c r="M19" s="2022"/>
      <c r="N19" s="1939"/>
      <c r="O19" s="1611"/>
      <c r="P19" s="1611"/>
      <c r="Q19" s="1353"/>
      <c r="R19" s="1353" t="str">
        <f>PT.shallow_scrape!B106</f>
        <v>Auto alley system operation time</v>
      </c>
      <c r="S19" s="1353"/>
      <c r="T19" s="2016">
        <f>PT.shallow_scrape!G106</f>
        <v>10.952380952380953</v>
      </c>
      <c r="U19" s="2016" t="str">
        <f>PT.shallow_scrape!C106</f>
        <v>hr/day</v>
      </c>
      <c r="V19" s="1611"/>
      <c r="W19" s="1353"/>
      <c r="X19" s="1353" t="str">
        <f>PT.anaer_lagoon!B321</f>
        <v>Fuel needed for tractor for agitating</v>
      </c>
      <c r="Y19" s="1353"/>
      <c r="Z19" s="2016">
        <f>PT.anaer_lagoon!K321</f>
        <v>377.8418318989452</v>
      </c>
      <c r="AA19" s="1353" t="str">
        <f>PT.anaer_lagoon!F321</f>
        <v>gal/event</v>
      </c>
    </row>
    <row r="20" spans="1:27" ht="15.6" x14ac:dyDescent="0.3">
      <c r="A20" s="1611"/>
      <c r="B20" s="1577" t="s">
        <v>6784</v>
      </c>
      <c r="C20" s="1812">
        <f>C81+C85</f>
        <v>0.25040289382004199</v>
      </c>
      <c r="D20" s="1806" t="s">
        <v>2385</v>
      </c>
      <c r="E20" s="1866"/>
      <c r="F20" s="1866"/>
      <c r="G20" s="1866"/>
      <c r="H20" s="1866"/>
      <c r="I20" s="1611"/>
      <c r="J20" s="1862"/>
      <c r="K20" s="1862"/>
      <c r="L20" s="1862"/>
      <c r="M20" s="2022"/>
      <c r="N20" s="1939"/>
      <c r="O20" s="1611"/>
      <c r="P20" s="1611"/>
      <c r="Q20" s="1353"/>
      <c r="R20" s="1353" t="str">
        <f>PT.shallow_scrape!B107</f>
        <v>Auto alley system total electricity</v>
      </c>
      <c r="S20" s="1353"/>
      <c r="T20" s="2016">
        <f>PT.shallow_scrape!G107</f>
        <v>12.250783578571429</v>
      </c>
      <c r="U20" s="2016" t="str">
        <f>PT.shallow_scrape!C107</f>
        <v>kWh/day</v>
      </c>
      <c r="V20" s="1611"/>
      <c r="W20" s="1353"/>
      <c r="X20" s="1353" t="str">
        <f>PT.anaer_lagoon!B322</f>
        <v>Number of tractors for pumping needed</v>
      </c>
      <c r="Y20" s="1353"/>
      <c r="Z20" s="2016">
        <f>PT.anaer_lagoon!K322</f>
        <v>1</v>
      </c>
      <c r="AA20" s="1353" t="str">
        <f>PT.anaer_lagoon!F322</f>
        <v>quantity</v>
      </c>
    </row>
    <row r="21" spans="1:27" ht="15.6" x14ac:dyDescent="0.3">
      <c r="A21" s="1611"/>
      <c r="B21" s="1577" t="s">
        <v>6785</v>
      </c>
      <c r="C21" s="1812">
        <f>C79+C83</f>
        <v>11.382156667395861</v>
      </c>
      <c r="D21" s="1806" t="s">
        <v>2385</v>
      </c>
      <c r="E21" s="1866"/>
      <c r="F21" s="1866"/>
      <c r="G21" s="1866"/>
      <c r="H21" s="1866"/>
      <c r="I21" s="1611"/>
      <c r="J21" s="1862"/>
      <c r="K21" s="1862"/>
      <c r="L21" s="1862"/>
      <c r="M21" s="2022"/>
      <c r="N21" s="1939"/>
      <c r="O21" s="1611"/>
      <c r="P21" s="1611"/>
      <c r="Q21" s="1353"/>
      <c r="R21" s="1353"/>
      <c r="S21" s="1353"/>
      <c r="T21" s="2016"/>
      <c r="U21" s="2016"/>
      <c r="V21" s="1611"/>
      <c r="W21" s="1353"/>
      <c r="X21" s="1353" t="str">
        <f>PT.anaer_lagoon!B323</f>
        <v>Tractor for pumping, size</v>
      </c>
      <c r="Y21" s="1353"/>
      <c r="Z21" s="2016">
        <f>PT.anaer_lagoon!K323</f>
        <v>180</v>
      </c>
      <c r="AA21" s="1353" t="str">
        <f>PT.anaer_lagoon!F323</f>
        <v>PTO hp</v>
      </c>
    </row>
    <row r="22" spans="1:27" x14ac:dyDescent="0.3">
      <c r="A22" s="1939"/>
      <c r="B22" s="90"/>
      <c r="C22" s="90"/>
      <c r="E22" s="1960"/>
      <c r="F22" s="1918"/>
      <c r="G22" s="1632"/>
      <c r="H22" s="1611"/>
      <c r="I22" s="1611"/>
      <c r="J22" s="1857"/>
      <c r="K22" s="1862"/>
      <c r="L22" s="1862"/>
      <c r="M22" s="2022"/>
      <c r="N22" s="1939"/>
      <c r="O22" s="1611"/>
      <c r="P22" s="1611"/>
      <c r="Q22" s="1353"/>
      <c r="R22" s="1353"/>
      <c r="S22" s="1353"/>
      <c r="T22" s="2016"/>
      <c r="U22" s="2016"/>
      <c r="V22" s="1611"/>
      <c r="W22" s="1353"/>
      <c r="X22" s="1353" t="str">
        <f>PT.anaer_lagoon!B324</f>
        <v>Operation time for tractor pumping</v>
      </c>
      <c r="Y22" s="1353"/>
      <c r="Z22" s="2016">
        <f>PT.anaer_lagoon!K324</f>
        <v>5.6173941041872641</v>
      </c>
      <c r="AA22" s="1353" t="str">
        <f>PT.anaer_lagoon!F324</f>
        <v>hr/event</v>
      </c>
    </row>
    <row r="23" spans="1:27" x14ac:dyDescent="0.3">
      <c r="A23" s="1939"/>
      <c r="B23" s="90"/>
      <c r="C23" s="90"/>
      <c r="E23" s="1611"/>
      <c r="F23" s="1611"/>
      <c r="G23" s="1611"/>
      <c r="H23" s="1611"/>
      <c r="I23" s="1611"/>
      <c r="J23" s="1857"/>
      <c r="K23" s="1862"/>
      <c r="L23" s="2023"/>
      <c r="M23" s="2022"/>
      <c r="N23" s="1939"/>
      <c r="O23" s="1611"/>
      <c r="P23" s="1960"/>
      <c r="Q23" s="1353"/>
      <c r="R23" s="1353"/>
      <c r="S23" s="1353"/>
      <c r="T23" s="2016"/>
      <c r="U23" s="2016"/>
      <c r="V23" s="1611"/>
      <c r="W23" s="1353"/>
      <c r="X23" s="1353" t="str">
        <f>PT.anaer_lagoon!B325</f>
        <v>Fuel needed for tractor for pumping</v>
      </c>
      <c r="Y23" s="1353"/>
      <c r="Z23" s="2016">
        <f>PT.anaer_lagoon!K325</f>
        <v>44.489761305163128</v>
      </c>
      <c r="AA23" s="1353" t="str">
        <f>PT.anaer_lagoon!F325</f>
        <v>gal/event</v>
      </c>
    </row>
    <row r="24" spans="1:27" x14ac:dyDescent="0.3">
      <c r="A24" s="1939"/>
      <c r="B24" s="1668" t="s">
        <v>6931</v>
      </c>
      <c r="C24" s="1680"/>
      <c r="D24" s="1815"/>
      <c r="E24" s="1866"/>
      <c r="F24" s="1866"/>
      <c r="G24" s="1866"/>
      <c r="H24" s="1866"/>
      <c r="I24" s="1850"/>
      <c r="J24" s="1862"/>
      <c r="K24" s="1862"/>
      <c r="L24" s="2023"/>
      <c r="M24" s="2022"/>
      <c r="N24" s="1939"/>
      <c r="O24" s="1611"/>
      <c r="P24" s="1960"/>
      <c r="Q24" s="1353"/>
      <c r="R24" s="1353"/>
      <c r="S24" s="1353"/>
      <c r="T24" s="2016"/>
      <c r="U24" s="2016"/>
      <c r="V24" s="1611"/>
      <c r="W24" s="1353"/>
      <c r="X24" s="1353" t="str">
        <f>PT.anaer_lagoon!B326</f>
        <v>Size of tractor for pulling hose reel and applicator toolbar</v>
      </c>
      <c r="Y24" s="1353"/>
      <c r="Z24" s="2016">
        <f>PT.anaer_lagoon!K326</f>
        <v>580</v>
      </c>
      <c r="AA24" s="1353" t="str">
        <f>PT.anaer_lagoon!F326</f>
        <v>PTO hp</v>
      </c>
    </row>
    <row r="25" spans="1:27" x14ac:dyDescent="0.3">
      <c r="A25" s="1611"/>
      <c r="B25" s="510" t="s">
        <v>6932</v>
      </c>
      <c r="C25" s="1378">
        <v>0.21</v>
      </c>
      <c r="D25" s="510" t="s">
        <v>1694</v>
      </c>
      <c r="E25" s="1866"/>
      <c r="F25" s="1866"/>
      <c r="G25" s="1866"/>
      <c r="H25" s="1866"/>
      <c r="I25" s="1850"/>
      <c r="J25" s="1862"/>
      <c r="K25" s="1862"/>
      <c r="L25" s="2023"/>
      <c r="M25" s="2022"/>
      <c r="N25" s="1939"/>
      <c r="O25" s="1611"/>
      <c r="P25" s="1611"/>
      <c r="Q25" s="1353"/>
      <c r="R25" s="1353"/>
      <c r="S25" s="1353"/>
      <c r="T25" s="2016"/>
      <c r="U25" s="2016"/>
      <c r="V25" s="1611"/>
      <c r="W25" s="1353"/>
      <c r="X25" s="1353" t="str">
        <f>PT.anaer_lagoon!B327</f>
        <v>Number of tractors for pulling hose reel and applicator</v>
      </c>
      <c r="Y25" s="1353"/>
      <c r="Z25" s="2016">
        <f>PT.anaer_lagoon!K327</f>
        <v>1</v>
      </c>
      <c r="AA25" s="1353" t="str">
        <f>PT.anaer_lagoon!F327</f>
        <v>quantity</v>
      </c>
    </row>
    <row r="26" spans="1:27" x14ac:dyDescent="0.3">
      <c r="A26" s="1611"/>
      <c r="B26" s="1813" t="s">
        <v>6933</v>
      </c>
      <c r="C26" s="1414">
        <v>2.1428571399999998</v>
      </c>
      <c r="D26" s="510" t="s">
        <v>6934</v>
      </c>
      <c r="E26" s="1960"/>
      <c r="F26" s="1918"/>
      <c r="G26" s="1632"/>
      <c r="H26" s="1611"/>
      <c r="I26" s="1850"/>
      <c r="J26" s="1862"/>
      <c r="K26" s="1862"/>
      <c r="L26" s="2023"/>
      <c r="M26" s="2022"/>
      <c r="N26" s="1939"/>
      <c r="O26" s="1611"/>
      <c r="P26" s="1611"/>
      <c r="Q26" s="1353"/>
      <c r="R26" s="1353"/>
      <c r="S26" s="1353"/>
      <c r="T26" s="2016"/>
      <c r="U26" s="2016"/>
      <c r="V26" s="1611"/>
      <c r="W26" s="1353"/>
      <c r="X26" s="1353" t="str">
        <f>PT.anaer_lagoon!B328</f>
        <v>Size of tractor for support with hose pulley</v>
      </c>
      <c r="Y26" s="1353"/>
      <c r="Z26" s="2016">
        <f>PT.anaer_lagoon!K328</f>
        <v>340</v>
      </c>
      <c r="AA26" s="1353" t="str">
        <f>PT.anaer_lagoon!F328</f>
        <v>PTO hp</v>
      </c>
    </row>
    <row r="27" spans="1:27" x14ac:dyDescent="0.3">
      <c r="A27" s="1611"/>
      <c r="B27" s="91" t="s">
        <v>6935</v>
      </c>
      <c r="C27" s="1403">
        <f>(C19+C20)*(28/44)</f>
        <v>0.19730726287353581</v>
      </c>
      <c r="D27" s="510" t="s">
        <v>2358</v>
      </c>
      <c r="E27" s="1611"/>
      <c r="F27" s="1611"/>
      <c r="G27" s="1611"/>
      <c r="H27" s="1611"/>
      <c r="I27" s="1611"/>
      <c r="J27" s="1857"/>
      <c r="K27" s="1862"/>
      <c r="L27" s="2023"/>
      <c r="M27" s="2022"/>
      <c r="N27" s="1939"/>
      <c r="O27" s="1611"/>
      <c r="P27" s="1611"/>
      <c r="Q27" s="1353"/>
      <c r="R27" s="1353"/>
      <c r="S27" s="1353"/>
      <c r="T27" s="2016"/>
      <c r="U27" s="2016"/>
      <c r="V27" s="1611"/>
      <c r="W27" s="1353"/>
      <c r="X27" s="1353" t="str">
        <f>PT.anaer_lagoon!B329</f>
        <v>Distance from storage to field</v>
      </c>
      <c r="Y27" s="1353"/>
      <c r="Z27" s="2016">
        <f>PT.anaer_lagoon!K329</f>
        <v>2</v>
      </c>
      <c r="AA27" s="1353" t="str">
        <f>PT.anaer_lagoon!F329</f>
        <v>miles</v>
      </c>
    </row>
    <row r="28" spans="1:27" x14ac:dyDescent="0.3">
      <c r="A28" s="1611"/>
      <c r="B28" s="91" t="s">
        <v>6936</v>
      </c>
      <c r="C28" s="1380">
        <f>C21*(14/17)</f>
        <v>9.3735407849142387</v>
      </c>
      <c r="D28" s="510" t="s">
        <v>2358</v>
      </c>
      <c r="E28" s="1866"/>
      <c r="F28" s="1866"/>
      <c r="G28" s="1866"/>
      <c r="H28" s="1866"/>
      <c r="I28" s="1850"/>
      <c r="J28" s="1862"/>
      <c r="K28" s="1862"/>
      <c r="L28" s="2023"/>
      <c r="M28" s="2022"/>
      <c r="N28" s="1939"/>
      <c r="O28" s="1611"/>
      <c r="P28" s="1611"/>
      <c r="Q28" s="1353"/>
      <c r="R28" s="1353"/>
      <c r="S28" s="1353"/>
      <c r="T28" s="2016"/>
      <c r="U28" s="2016"/>
      <c r="V28" s="1611"/>
      <c r="W28" s="1353"/>
      <c r="X28" s="1353" t="str">
        <f>PT.anaer_lagoon!B330</f>
        <v>Application by broadcast or injection?</v>
      </c>
      <c r="Y28" s="1353"/>
      <c r="Z28" s="2016" t="str">
        <f>PT.anaer_lagoon!K330</f>
        <v>Injection</v>
      </c>
      <c r="AA28" s="1353" t="str">
        <f>PT.anaer_lagoon!F330</f>
        <v>type</v>
      </c>
    </row>
    <row r="29" spans="1:27" x14ac:dyDescent="0.3">
      <c r="A29" s="1611"/>
      <c r="B29" s="91" t="s">
        <v>6937</v>
      </c>
      <c r="C29" s="1404">
        <f>C25*C27*(44/28)/C26</f>
        <v>3.0385318523038274E-2</v>
      </c>
      <c r="D29" s="510" t="s">
        <v>2358</v>
      </c>
      <c r="E29" s="1866"/>
      <c r="F29" s="1866"/>
      <c r="G29" s="1866"/>
      <c r="H29" s="1866"/>
      <c r="I29" s="1850"/>
      <c r="J29" s="1862"/>
      <c r="K29" s="1862"/>
      <c r="L29" s="2023"/>
      <c r="M29" s="2022"/>
      <c r="N29" s="1939"/>
      <c r="O29" s="1611"/>
      <c r="P29" s="1611"/>
      <c r="Q29" s="1353"/>
      <c r="R29" s="1353"/>
      <c r="S29" s="1353"/>
      <c r="T29" s="2016"/>
      <c r="U29" s="2016"/>
      <c r="V29" s="1611"/>
      <c r="W29" s="1353"/>
      <c r="X29" s="1353" t="str">
        <f>PT.anaer_lagoon!B331</f>
        <v>Fuel needed for tractor for pulling hose reel and applicator</v>
      </c>
      <c r="Y29" s="1353"/>
      <c r="Z29" s="2016">
        <f>PT.anaer_lagoon!K331</f>
        <v>25.52</v>
      </c>
      <c r="AA29" s="1353" t="str">
        <f>PT.anaer_lagoon!F331</f>
        <v>gal/hr</v>
      </c>
    </row>
    <row r="30" spans="1:27" x14ac:dyDescent="0.3">
      <c r="A30" s="1611"/>
      <c r="B30" s="2024"/>
      <c r="C30" s="1352"/>
      <c r="D30" s="1352"/>
      <c r="E30" s="1611"/>
      <c r="F30" s="1611"/>
      <c r="G30" s="1632"/>
      <c r="H30" s="1611"/>
      <c r="I30" s="1850"/>
      <c r="J30" s="1862"/>
      <c r="K30" s="1862"/>
      <c r="L30" s="2023"/>
      <c r="M30" s="2022"/>
      <c r="N30" s="1939"/>
      <c r="O30" s="1611"/>
      <c r="P30" s="1611"/>
      <c r="Q30" s="1353"/>
      <c r="R30" s="1353"/>
      <c r="S30" s="1353"/>
      <c r="T30" s="2016"/>
      <c r="U30" s="2016"/>
      <c r="V30" s="1611"/>
      <c r="W30" s="1353"/>
      <c r="X30" s="1353" t="str">
        <f>PT.anaer_lagoon!B332</f>
        <v>Fuel needed for support tractor with hose pulley</v>
      </c>
      <c r="Y30" s="1353"/>
      <c r="Z30" s="2016">
        <f>PT.anaer_lagoon!K332</f>
        <v>14.959999999999999</v>
      </c>
      <c r="AA30" s="1353" t="str">
        <f>PT.anaer_lagoon!F332</f>
        <v>gal/hr</v>
      </c>
    </row>
    <row r="31" spans="1:27" ht="15" customHeight="1" x14ac:dyDescent="0.3">
      <c r="A31" s="1611"/>
      <c r="B31" s="1668" t="s">
        <v>409</v>
      </c>
      <c r="C31" s="1680"/>
      <c r="D31" s="1815"/>
      <c r="E31" s="1611"/>
      <c r="F31" s="1611"/>
      <c r="G31" s="1632"/>
      <c r="H31" s="1611"/>
      <c r="I31" s="1611"/>
      <c r="J31" s="1857"/>
      <c r="K31" s="1862"/>
      <c r="L31" s="1862"/>
      <c r="M31" s="2022"/>
      <c r="N31" s="1939"/>
      <c r="O31" s="1611"/>
      <c r="P31" s="1611"/>
      <c r="Q31" s="91" t="s">
        <v>5210</v>
      </c>
      <c r="R31" s="1353" t="str">
        <f>PT.anaer_lagoon!B260</f>
        <v>Interval between liquids removal</v>
      </c>
      <c r="S31" s="1353"/>
      <c r="T31" s="2016">
        <f>PT.anaer_lagoon!K260</f>
        <v>182.5</v>
      </c>
      <c r="U31" s="1353" t="str">
        <f>PT.anaer_lagoon!F260</f>
        <v>days</v>
      </c>
      <c r="V31" s="1611"/>
      <c r="W31" s="1353"/>
      <c r="X31" s="1353" t="str">
        <f>PT.anaer_lagoon!B333</f>
        <v>Diesel powered pump(s), size</v>
      </c>
      <c r="Y31" s="1353"/>
      <c r="Z31" s="2016">
        <f>PT.anaer_lagoon!K333</f>
        <v>3000</v>
      </c>
      <c r="AA31" s="1353" t="str">
        <f>PT.anaer_lagoon!F333</f>
        <v>gal/min</v>
      </c>
    </row>
    <row r="32" spans="1:27" x14ac:dyDescent="0.3">
      <c r="A32" s="1611"/>
      <c r="B32" s="91"/>
      <c r="C32" s="91"/>
      <c r="D32" s="52"/>
      <c r="E32" s="1960"/>
      <c r="F32" s="1611"/>
      <c r="G32" s="1611"/>
      <c r="H32" s="1611"/>
      <c r="I32" s="1611"/>
      <c r="J32" s="1857"/>
      <c r="K32" s="1862"/>
      <c r="L32" s="2022"/>
      <c r="M32" s="2022"/>
      <c r="N32" s="1939"/>
      <c r="O32" s="1611"/>
      <c r="P32" s="1611"/>
      <c r="Q32" s="1353"/>
      <c r="R32" s="1353" t="str">
        <f>PT.anaer_lagoon!B261</f>
        <v>Manure liquids removed, lagoon</v>
      </c>
      <c r="S32" s="1353"/>
      <c r="T32" s="2016">
        <f>PT.anaer_lagoon!K261</f>
        <v>1201.1370470114557</v>
      </c>
      <c r="U32" s="1353" t="str">
        <f>PT.anaer_lagoon!F261</f>
        <v>m3/event</v>
      </c>
      <c r="V32" s="1611"/>
      <c r="W32" s="1353"/>
      <c r="X32" s="1353" t="str">
        <f>PT.anaer_lagoon!B334</f>
        <v>Number of diesel powered lead pumps needed</v>
      </c>
      <c r="Y32" s="1353"/>
      <c r="Z32" s="2016">
        <f>PT.anaer_lagoon!K334</f>
        <v>1</v>
      </c>
      <c r="AA32" s="1353" t="str">
        <f>PT.anaer_lagoon!F334</f>
        <v>quantity</v>
      </c>
    </row>
    <row r="33" spans="2:27" ht="19.5" customHeight="1" x14ac:dyDescent="0.3">
      <c r="B33" s="1353" t="str">
        <f>PT.anaer_lagoon!B348</f>
        <v>Electricity for irrigation pump</v>
      </c>
      <c r="C33" s="2016">
        <f>PT.anaer_lagoon!K348</f>
        <v>1.8929253454118953</v>
      </c>
      <c r="D33" s="1353" t="str">
        <f>PT.anaer_lagoon!F348</f>
        <v>kWh/head/year</v>
      </c>
      <c r="E33" s="1611"/>
      <c r="F33" s="1611"/>
      <c r="G33" s="1611"/>
      <c r="H33" s="1611"/>
      <c r="I33" s="1611"/>
      <c r="J33" s="1857"/>
      <c r="K33" s="1862"/>
      <c r="L33" s="2022"/>
      <c r="M33" s="2022"/>
      <c r="N33" s="1939"/>
      <c r="O33" s="1611"/>
      <c r="P33" s="1611"/>
      <c r="Q33" s="1353"/>
      <c r="R33" s="1353" t="str">
        <f>PT.anaer_lagoon!B262</f>
        <v>Lagoon surface area</v>
      </c>
      <c r="S33" s="1353"/>
      <c r="T33" s="2016">
        <f>PT.anaer_lagoon!K262</f>
        <v>3368.7334385768968</v>
      </c>
      <c r="U33" s="1353" t="str">
        <f>PT.anaer_lagoon!F262</f>
        <v>m2</v>
      </c>
      <c r="V33" s="1611"/>
      <c r="W33" s="1906"/>
      <c r="X33" s="1353" t="str">
        <f>PT.anaer_lagoon!B335</f>
        <v>Number of diesel powered agitation trailers needed</v>
      </c>
      <c r="Y33" s="1353"/>
      <c r="Z33" s="2016">
        <f>PT.anaer_lagoon!K335</f>
        <v>1</v>
      </c>
      <c r="AA33" s="1353" t="str">
        <f>PT.anaer_lagoon!F335</f>
        <v>quantity</v>
      </c>
    </row>
    <row r="34" spans="2:27" x14ac:dyDescent="0.3">
      <c r="B34" s="1353" t="str">
        <f>PT.shallow_scrape!B117</f>
        <v>Electricity for pumping flush water into scrape system</v>
      </c>
      <c r="C34" s="1353">
        <f>PT.shallow_scrape!G117</f>
        <v>0</v>
      </c>
      <c r="D34" s="1353" t="str">
        <f>PT.shallow_scrape!C117</f>
        <v>kWh/head/year</v>
      </c>
      <c r="E34" s="1866"/>
      <c r="F34" s="1866"/>
      <c r="G34" s="1866"/>
      <c r="H34" s="1866"/>
      <c r="I34" s="1611"/>
      <c r="J34" s="1857"/>
      <c r="K34" s="1862"/>
      <c r="L34" s="2022"/>
      <c r="M34" s="2022"/>
      <c r="N34" s="1939"/>
      <c r="O34" s="1611"/>
      <c r="P34" s="1611"/>
      <c r="Q34" s="1353"/>
      <c r="R34" s="1353" t="str">
        <f>PT.anaer_lagoon!B263</f>
        <v>Lagoon constructed size</v>
      </c>
      <c r="S34" s="1353"/>
      <c r="T34" s="2016">
        <f>PT.anaer_lagoon!K263</f>
        <v>7731.3161327004527</v>
      </c>
      <c r="U34" s="1353" t="str">
        <f>PT.anaer_lagoon!F263</f>
        <v>m3</v>
      </c>
      <c r="V34" s="1611"/>
      <c r="W34" s="1906"/>
      <c r="X34" s="1353" t="str">
        <f>PT.anaer_lagoon!B336</f>
        <v>Number of booster pumps needed</v>
      </c>
      <c r="Y34" s="1353"/>
      <c r="Z34" s="2016">
        <f>PT.anaer_lagoon!K336</f>
        <v>1</v>
      </c>
      <c r="AA34" s="1353" t="str">
        <f>PT.anaer_lagoon!F336</f>
        <v>quantity</v>
      </c>
    </row>
    <row r="35" spans="2:27" x14ac:dyDescent="0.3">
      <c r="B35" s="1353" t="str">
        <f>PT.shallow_scrape!B118</f>
        <v>Electricity used by auto alley scrape system</v>
      </c>
      <c r="C35" s="1353">
        <f>PT.shallow_scrape!G118</f>
        <v>8.9430720123571419</v>
      </c>
      <c r="D35" s="1353" t="str">
        <f>PT.shallow_scrape!C118</f>
        <v>kWh/head/year</v>
      </c>
      <c r="E35" s="1866"/>
      <c r="F35" s="1866"/>
      <c r="G35" s="1866"/>
      <c r="H35" s="1866"/>
      <c r="I35" s="1611"/>
      <c r="J35" s="1857"/>
      <c r="K35" s="1862"/>
      <c r="L35" s="2022"/>
      <c r="M35" s="2022"/>
      <c r="N35" s="1939"/>
      <c r="O35" s="1611"/>
      <c r="P35" s="1611"/>
      <c r="Q35" s="1353"/>
      <c r="R35" s="1353" t="str">
        <f>PT.anaer_lagoon!B264</f>
        <v>N removed, lagoon</v>
      </c>
      <c r="S35" s="1353"/>
      <c r="T35" s="2016">
        <f>PT.anaer_lagoon!K264</f>
        <v>1.2631516089310184</v>
      </c>
      <c r="U35" s="1353" t="str">
        <f>PT.anaer_lagoon!F264</f>
        <v>g/L</v>
      </c>
      <c r="V35" s="1611"/>
      <c r="W35" s="1906"/>
      <c r="X35" s="1353" t="str">
        <f>PT.anaer_lagoon!B337</f>
        <v>Operation time for pumping</v>
      </c>
      <c r="Y35" s="1353"/>
      <c r="Z35" s="2016">
        <f>PT.anaer_lagoon!K337</f>
        <v>5.5612201631453919</v>
      </c>
      <c r="AA35" s="1353" t="str">
        <f>PT.anaer_lagoon!F337</f>
        <v>hr</v>
      </c>
    </row>
    <row r="36" spans="2:27" x14ac:dyDescent="0.3">
      <c r="B36" s="1353" t="str">
        <f>PT.shallow_scrape!B119</f>
        <v>Electricity used by transfer channel in scrape system</v>
      </c>
      <c r="C36" s="1353">
        <f>PT.shallow_scrape!G119</f>
        <v>0.41604726318357144</v>
      </c>
      <c r="D36" s="1353" t="str">
        <f>PT.shallow_scrape!C119</f>
        <v>kWh/head/year</v>
      </c>
      <c r="E36" s="1918"/>
      <c r="F36" s="1611"/>
      <c r="G36" s="1632"/>
      <c r="H36" s="1611"/>
      <c r="I36" s="1611"/>
      <c r="J36" s="1857"/>
      <c r="K36" s="1862"/>
      <c r="L36" s="2022"/>
      <c r="M36" s="2022"/>
      <c r="N36" s="1939"/>
      <c r="O36" s="1611"/>
      <c r="P36" s="1611"/>
      <c r="Q36" s="1353"/>
      <c r="R36" s="1353" t="str">
        <f>PT.anaer_lagoon!B265</f>
        <v>P2O5 removed, lagoon</v>
      </c>
      <c r="S36" s="1353"/>
      <c r="T36" s="2016">
        <f>PT.anaer_lagoon!K265</f>
        <v>0.76046905598548931</v>
      </c>
      <c r="U36" s="1353" t="str">
        <f>PT.anaer_lagoon!F265</f>
        <v>g/L</v>
      </c>
      <c r="V36" s="1611"/>
      <c r="W36" s="1906"/>
      <c r="X36" s="1353" t="str">
        <f>PT.anaer_lagoon!B338</f>
        <v>Fuel needed for diesel powered lead pump</v>
      </c>
      <c r="Y36" s="1353"/>
      <c r="Z36" s="2016">
        <f>PT.anaer_lagoon!K338</f>
        <v>100.10196293661706</v>
      </c>
      <c r="AA36" s="1353" t="str">
        <f>PT.anaer_lagoon!F338</f>
        <v>gal/event</v>
      </c>
    </row>
    <row r="37" spans="2:27" x14ac:dyDescent="0.3">
      <c r="B37" s="1668" t="s">
        <v>415</v>
      </c>
      <c r="C37" s="1680"/>
      <c r="D37" s="1815"/>
      <c r="E37" s="1960"/>
      <c r="F37" s="1918"/>
      <c r="G37" s="1632"/>
      <c r="H37" s="1611"/>
      <c r="I37" s="1611"/>
      <c r="J37" s="1857"/>
      <c r="K37" s="1862"/>
      <c r="L37" s="1862"/>
      <c r="M37" s="2022"/>
      <c r="N37" s="1939"/>
      <c r="O37" s="1611"/>
      <c r="P37" s="1611"/>
      <c r="Q37" s="1353"/>
      <c r="R37" s="1353" t="str">
        <f>PT.anaer_lagoon!B266</f>
        <v>K2O removed, lagoon</v>
      </c>
      <c r="S37" s="1353"/>
      <c r="T37" s="2016">
        <f>PT.anaer_lagoon!K266</f>
        <v>1.1555235596998139</v>
      </c>
      <c r="U37" s="1353" t="str">
        <f>PT.anaer_lagoon!F266</f>
        <v>g/L</v>
      </c>
      <c r="V37" s="1611"/>
      <c r="W37" s="1906"/>
      <c r="X37" s="1353" t="str">
        <f>PT.anaer_lagoon!B339</f>
        <v>Fuel needed for diesel powered booster pump</v>
      </c>
      <c r="Y37" s="1353"/>
      <c r="Z37" s="2016">
        <f>PT.anaer_lagoon!K339</f>
        <v>41.709151223590439</v>
      </c>
      <c r="AA37" s="1353" t="str">
        <f>PT.anaer_lagoon!F339</f>
        <v>gal/event</v>
      </c>
    </row>
    <row r="38" spans="2:27" x14ac:dyDescent="0.3">
      <c r="B38" s="1353" t="str">
        <f>PT.shallow_scrape!B121</f>
        <v>Fresh water used by scrape system</v>
      </c>
      <c r="C38" s="1353">
        <f>PT.shallow_scrape!G121</f>
        <v>0</v>
      </c>
      <c r="D38" s="1353" t="str">
        <f>PT.shallow_scrape!C121</f>
        <v>m3/head/year</v>
      </c>
      <c r="E38" s="1939"/>
      <c r="F38" s="1918"/>
      <c r="G38" s="1939"/>
      <c r="H38" s="1611"/>
      <c r="I38" s="1611"/>
      <c r="J38" s="1862"/>
      <c r="K38" s="1862"/>
      <c r="L38" s="1862"/>
      <c r="M38" s="2022"/>
      <c r="N38" s="1632"/>
      <c r="O38" s="1611"/>
      <c r="P38" s="1611"/>
      <c r="Q38" s="1353"/>
      <c r="R38" s="1353" t="str">
        <f>PT.anaer_lagoon!B267</f>
        <v>Field area applied by lagoon liquids</v>
      </c>
      <c r="S38" s="1353"/>
      <c r="T38" s="2016">
        <f>PT.anaer_lagoon!K267</f>
        <v>29.332143674777534</v>
      </c>
      <c r="U38" s="1353" t="str">
        <f>PT.anaer_lagoon!F267</f>
        <v>ac/y</v>
      </c>
      <c r="V38" s="1611"/>
      <c r="W38" s="1906"/>
      <c r="X38" s="1353" t="str">
        <f>PT.anaer_lagoon!B340</f>
        <v>Fuel needed for diesel powered agitation trailer</v>
      </c>
      <c r="Y38" s="1353"/>
      <c r="Z38" s="2016">
        <f>PT.anaer_lagoon!K340</f>
        <v>33.36732097887235</v>
      </c>
      <c r="AA38" s="1353" t="str">
        <f>PT.anaer_lagoon!F340</f>
        <v>gal/event</v>
      </c>
    </row>
    <row r="39" spans="2:27" x14ac:dyDescent="0.3">
      <c r="B39" s="1353" t="str">
        <f>PT.anaer_lagoon!B359</f>
        <v>Fresh water used to supplement flow into storage structure</v>
      </c>
      <c r="C39" s="2016">
        <f>PT.anaer_lagoon!K359</f>
        <v>0</v>
      </c>
      <c r="D39" s="1353" t="str">
        <f>PT.anaer_lagoon!F359</f>
        <v>m3/head/year</v>
      </c>
      <c r="E39" s="1611"/>
      <c r="F39" s="1918"/>
      <c r="G39" s="1632"/>
      <c r="H39" s="1611"/>
      <c r="I39" s="1611"/>
      <c r="J39" s="1611"/>
      <c r="K39" s="1611"/>
      <c r="L39" s="1918"/>
      <c r="M39" s="2017"/>
      <c r="N39" s="2017"/>
      <c r="O39" s="2017"/>
      <c r="P39" s="1611"/>
      <c r="Q39" s="1353"/>
      <c r="R39" s="1353" t="str">
        <f>PT.anaer_lagoon!B268</f>
        <v>Energy needed to pump lagoon liquids</v>
      </c>
      <c r="S39" s="1353"/>
      <c r="T39" s="2016">
        <f>PT.anaer_lagoon!K268</f>
        <v>946.46267270594763</v>
      </c>
      <c r="U39" s="1353" t="str">
        <f>PT.anaer_lagoon!F268</f>
        <v>kWh/y</v>
      </c>
      <c r="V39" s="1611"/>
      <c r="W39" s="1353"/>
      <c r="X39" s="1353" t="str">
        <f>PT.anaer_lagoon!B341</f>
        <v>Fuel needed for pickup truck</v>
      </c>
      <c r="Y39" s="1353"/>
      <c r="Z39" s="2016">
        <f>PT.anaer_lagoon!K341</f>
        <v>5.0050981468308526</v>
      </c>
      <c r="AA39" s="1353" t="str">
        <f>PT.anaer_lagoon!F341</f>
        <v>gal/event</v>
      </c>
    </row>
    <row r="40" spans="2:27" x14ac:dyDescent="0.3">
      <c r="B40" s="1353" t="str">
        <f>PT.anaer_lagoon!B360</f>
        <v>Fresh water used to supplement application liquid volume</v>
      </c>
      <c r="C40" s="2016">
        <f>PT.anaer_lagoon!K360</f>
        <v>0.11303227729987383</v>
      </c>
      <c r="D40" s="1353" t="str">
        <f>PT.anaer_lagoon!F360</f>
        <v>m3/head/year</v>
      </c>
      <c r="E40" s="1939"/>
      <c r="F40" s="1918"/>
      <c r="G40" s="1939"/>
      <c r="H40" s="1611"/>
      <c r="I40" s="1611"/>
      <c r="J40" s="1611"/>
      <c r="K40" s="1611"/>
      <c r="L40" s="1611"/>
      <c r="M40" s="1611"/>
      <c r="N40" s="1918"/>
      <c r="O40" s="1611"/>
      <c r="P40" s="1611"/>
      <c r="Q40" s="1353"/>
      <c r="R40" s="1353" t="str">
        <f>PT.anaer_lagoon!B269</f>
        <v>Total labor time required for irrigation</v>
      </c>
      <c r="S40" s="1353"/>
      <c r="T40" s="2016">
        <f>PT.anaer_lagoon!K269</f>
        <v>5.8664287349555071</v>
      </c>
      <c r="U40" s="1353" t="str">
        <f>PT.anaer_lagoon!F269</f>
        <v>hr/year</v>
      </c>
      <c r="V40" s="1611"/>
      <c r="W40" s="1611"/>
      <c r="X40" s="1353" t="str">
        <f>PT.anaer_lagoon!B342</f>
        <v>Number of tractors for support with hose pulley</v>
      </c>
      <c r="Y40" s="1353"/>
      <c r="Z40" s="2016">
        <f>PT.anaer_lagoon!K342</f>
        <v>1</v>
      </c>
      <c r="AA40" s="1353" t="str">
        <f>PT.anaer_lagoon!F342</f>
        <v>quantity</v>
      </c>
    </row>
    <row r="41" spans="2:27" x14ac:dyDescent="0.3">
      <c r="B41" s="1546"/>
      <c r="C41" s="2025"/>
      <c r="D41" s="1546"/>
      <c r="E41" s="1939"/>
      <c r="F41" s="1918"/>
      <c r="G41" s="1939"/>
      <c r="H41" s="1611"/>
      <c r="I41" s="1611"/>
      <c r="J41" s="1611"/>
      <c r="K41" s="1611"/>
      <c r="L41" s="1611"/>
      <c r="M41" s="1611"/>
      <c r="N41" s="1611"/>
      <c r="O41" s="1611"/>
      <c r="P41" s="1611"/>
      <c r="Q41" s="1353"/>
      <c r="R41" s="1353" t="str">
        <f>PT.anaer_lagoon!B270</f>
        <v>Tanker, size</v>
      </c>
      <c r="S41" s="1353"/>
      <c r="T41" s="2016">
        <f>PT.anaer_lagoon!K270</f>
        <v>6000</v>
      </c>
      <c r="U41" s="1353" t="str">
        <f>PT.anaer_lagoon!F270</f>
        <v>gal</v>
      </c>
      <c r="V41" s="1611"/>
      <c r="X41" s="1353"/>
      <c r="Y41" s="1353"/>
      <c r="Z41" s="2016"/>
      <c r="AA41" s="1353"/>
    </row>
    <row r="42" spans="2:27" ht="22.5" customHeight="1" x14ac:dyDescent="0.3">
      <c r="B42" s="1668" t="s">
        <v>447</v>
      </c>
      <c r="C42" s="1680"/>
      <c r="D42" s="1815"/>
      <c r="E42" s="1939"/>
      <c r="F42" s="1918"/>
      <c r="G42" s="1939"/>
      <c r="H42" s="1611"/>
      <c r="I42" s="1611"/>
      <c r="J42" s="1611"/>
      <c r="K42" s="1611"/>
      <c r="L42" s="1611"/>
      <c r="M42" s="1611"/>
      <c r="N42" s="1611"/>
      <c r="O42" s="1611"/>
      <c r="P42" s="1611"/>
      <c r="Q42" s="1353"/>
      <c r="R42" s="1353" t="str">
        <f>PT.anaer_lagoon!B271</f>
        <v>Tractor for tanker, size</v>
      </c>
      <c r="S42" s="1353"/>
      <c r="T42" s="2016">
        <f>PT.anaer_lagoon!K271</f>
        <v>250</v>
      </c>
      <c r="U42" s="1353" t="str">
        <f>PT.anaer_lagoon!F271</f>
        <v>PTO hp</v>
      </c>
      <c r="V42" s="1611"/>
    </row>
    <row r="43" spans="2:27" x14ac:dyDescent="0.3">
      <c r="B43" s="1353" t="str">
        <f>PT.shallow_scrape!B115</f>
        <v>Shallow pit land footprint</v>
      </c>
      <c r="C43" s="1353">
        <f>PT.shallow_scrape!G115</f>
        <v>11.129747893930706</v>
      </c>
      <c r="D43" s="1353" t="str">
        <f>PT.shallow_scrape!C115</f>
        <v>m2</v>
      </c>
      <c r="E43" s="1939"/>
      <c r="F43" s="1918"/>
      <c r="G43" s="1939"/>
      <c r="H43" s="1611"/>
      <c r="I43" s="1611"/>
      <c r="J43" s="1918"/>
      <c r="K43" s="1918"/>
      <c r="L43" s="1918"/>
      <c r="M43" s="1611"/>
      <c r="N43" s="1611"/>
      <c r="O43" s="1611"/>
      <c r="P43" s="1611"/>
      <c r="Q43" s="1353"/>
      <c r="R43" s="1353" t="str">
        <f>PT.anaer_lagoon!B272</f>
        <v>Application by broadcast or injection?</v>
      </c>
      <c r="S43" s="1353"/>
      <c r="T43" s="2016" t="str">
        <f>PT.anaer_lagoon!K272</f>
        <v>Injection</v>
      </c>
      <c r="U43" s="1353" t="str">
        <f>PT.anaer_lagoon!F272</f>
        <v>type</v>
      </c>
      <c r="V43" s="1611"/>
      <c r="W43" s="1611"/>
      <c r="X43" s="1611"/>
      <c r="Y43" s="1611"/>
      <c r="Z43" s="1611"/>
      <c r="AA43" s="1611"/>
    </row>
    <row r="44" spans="2:27" x14ac:dyDescent="0.3">
      <c r="B44" s="49"/>
      <c r="C44" s="49"/>
      <c r="D44" s="52"/>
      <c r="F44" s="1918"/>
      <c r="G44" s="1939"/>
      <c r="H44" s="1611"/>
      <c r="I44" s="1611"/>
      <c r="J44" s="2026"/>
      <c r="K44" s="2026"/>
      <c r="L44" s="2026"/>
      <c r="M44" s="1611"/>
      <c r="N44" s="1918"/>
      <c r="O44" s="1611"/>
      <c r="P44" s="1611"/>
      <c r="Q44" s="1353"/>
      <c r="R44" s="1353" t="str">
        <f>PT.anaer_lagoon!B273</f>
        <v>Operation time for tractor with tanker</v>
      </c>
      <c r="S44" s="1353"/>
      <c r="T44" s="2016">
        <f>PT.anaer_lagoon!K273</f>
        <v>2.0211132897868049</v>
      </c>
      <c r="U44" s="1353" t="str">
        <f>PT.anaer_lagoon!F273</f>
        <v>hrs/event</v>
      </c>
      <c r="V44" s="1611"/>
      <c r="W44" s="1611"/>
      <c r="X44" s="1611"/>
      <c r="Y44" s="1611"/>
      <c r="Z44" s="1611"/>
      <c r="AA44" s="1611"/>
    </row>
    <row r="45" spans="2:27" x14ac:dyDescent="0.3">
      <c r="B45" s="1353" t="str">
        <f>PT.anaer_lagoon!B350</f>
        <v>Land for lagoon surface area</v>
      </c>
      <c r="C45" s="2016">
        <f>PT.anaer_lagoon!K350</f>
        <v>3368.7334385768968</v>
      </c>
      <c r="D45" s="1353" t="str">
        <f>PT.anaer_lagoon!F350</f>
        <v>m2</v>
      </c>
      <c r="E45" s="1611"/>
      <c r="F45" s="1918"/>
      <c r="G45" s="1939"/>
      <c r="H45" s="1611"/>
      <c r="I45" s="1611"/>
      <c r="J45" s="1611"/>
      <c r="K45" s="2027"/>
      <c r="L45" s="1611"/>
      <c r="M45" s="1611"/>
      <c r="N45" s="1632"/>
      <c r="O45" s="1611"/>
      <c r="P45" s="1611"/>
      <c r="Q45" s="1353"/>
      <c r="R45" s="1353" t="str">
        <f>PT.anaer_lagoon!B274</f>
        <v>Fuel needed for tractor with tank and applicator</v>
      </c>
      <c r="S45" s="1353"/>
      <c r="T45" s="2016">
        <f>PT.anaer_lagoon!K274</f>
        <v>22.232246187654855</v>
      </c>
      <c r="U45" s="1353" t="str">
        <f>PT.anaer_lagoon!F274</f>
        <v>gal/event</v>
      </c>
      <c r="V45" s="1611"/>
      <c r="W45" s="1611"/>
      <c r="X45" s="1611"/>
      <c r="Y45" s="1611"/>
      <c r="Z45" s="1611"/>
      <c r="AA45" s="1611"/>
    </row>
    <row r="46" spans="2:27" x14ac:dyDescent="0.3">
      <c r="B46" s="1353" t="str">
        <f>PT.anaer_lagoon!B351</f>
        <v>Land for liquid application</v>
      </c>
      <c r="C46" s="2016">
        <f>PT.anaer_lagoon!K351</f>
        <v>131892.19326959539</v>
      </c>
      <c r="D46" s="1353" t="str">
        <f>PT.anaer_lagoon!F351</f>
        <v>m2</v>
      </c>
      <c r="E46" s="1611"/>
      <c r="F46" s="1918"/>
      <c r="G46" s="1939"/>
      <c r="H46" s="1611"/>
      <c r="I46" s="1611"/>
      <c r="J46" s="1872"/>
      <c r="K46" s="2027"/>
      <c r="L46" s="1611"/>
      <c r="M46" s="1611"/>
      <c r="N46" s="1632"/>
      <c r="O46" s="1611"/>
      <c r="P46" s="1611"/>
      <c r="Q46" s="1353"/>
      <c r="R46" s="1353" t="str">
        <f>PT.anaer_lagoon!B275</f>
        <v>Number of tractors with tanker needed</v>
      </c>
      <c r="S46" s="1353"/>
      <c r="T46" s="2016">
        <f>PT.anaer_lagoon!K275</f>
        <v>1</v>
      </c>
      <c r="U46" s="1353" t="str">
        <f>PT.anaer_lagoon!F275</f>
        <v>quantity</v>
      </c>
      <c r="V46" s="1611"/>
      <c r="W46" s="1611"/>
      <c r="X46" s="1611"/>
      <c r="Y46" s="1611"/>
      <c r="Z46" s="1611"/>
      <c r="AA46" s="1611"/>
    </row>
    <row r="47" spans="2:27" x14ac:dyDescent="0.3">
      <c r="B47" s="1353" t="str">
        <f>PT.anaer_lagoon!B352</f>
        <v>Land for sludge application</v>
      </c>
      <c r="C47" s="2016">
        <f>PT.anaer_lagoon!K352</f>
        <v>27279.34487304046</v>
      </c>
      <c r="D47" s="1353" t="str">
        <f>PT.anaer_lagoon!F352</f>
        <v>m2</v>
      </c>
      <c r="E47" s="1611"/>
      <c r="F47" s="1918"/>
      <c r="G47" s="1632"/>
      <c r="H47" s="1611"/>
      <c r="I47" s="1611"/>
      <c r="J47" s="1872"/>
      <c r="K47" s="2027"/>
      <c r="L47" s="1611"/>
      <c r="M47" s="1918"/>
      <c r="N47" s="1632"/>
      <c r="O47" s="1611"/>
      <c r="P47" s="1611"/>
      <c r="Q47" s="1353"/>
      <c r="R47" s="1353" t="str">
        <f>PT.anaer_lagoon!B276</f>
        <v>Tractor for agitator, size</v>
      </c>
      <c r="S47" s="1353"/>
      <c r="T47" s="2016">
        <f>PT.anaer_lagoon!K276</f>
        <v>160</v>
      </c>
      <c r="U47" s="1353" t="str">
        <f>PT.anaer_lagoon!F276</f>
        <v>PTO hp</v>
      </c>
      <c r="V47" s="1611"/>
      <c r="W47" s="1611"/>
      <c r="X47" s="1611"/>
      <c r="Y47" s="1611"/>
      <c r="Z47" s="1611"/>
      <c r="AA47" s="1611"/>
    </row>
    <row r="48" spans="2:27" ht="24.75" customHeight="1" x14ac:dyDescent="0.3">
      <c r="B48" s="1546"/>
      <c r="C48" s="2025"/>
      <c r="D48" s="1546"/>
      <c r="E48" s="1611"/>
      <c r="F48" s="1918"/>
      <c r="G48" s="1632"/>
      <c r="H48" s="1611"/>
      <c r="I48" s="1611"/>
      <c r="J48" s="1872"/>
      <c r="K48" s="2027"/>
      <c r="L48" s="1611"/>
      <c r="M48" s="1918"/>
      <c r="N48" s="1632"/>
      <c r="O48" s="1611"/>
      <c r="P48" s="1611"/>
      <c r="Q48" s="1906"/>
      <c r="R48" s="1353" t="str">
        <f>PT.anaer_lagoon!B277</f>
        <v>Number of tractors for agitating needed</v>
      </c>
      <c r="S48" s="1353"/>
      <c r="T48" s="2016">
        <f>PT.anaer_lagoon!K277</f>
        <v>1</v>
      </c>
      <c r="U48" s="1353" t="str">
        <f>PT.anaer_lagoon!F277</f>
        <v>quantity</v>
      </c>
      <c r="V48" s="1611"/>
      <c r="W48" s="1611"/>
      <c r="X48" s="1611"/>
      <c r="Y48" s="1611"/>
      <c r="Z48" s="1611"/>
      <c r="AA48" s="1611"/>
    </row>
    <row r="49" spans="2:21" x14ac:dyDescent="0.3">
      <c r="B49" s="1465"/>
      <c r="C49" s="1439"/>
      <c r="D49" s="1465"/>
      <c r="E49" s="1611"/>
      <c r="F49" s="1918"/>
      <c r="G49" s="1632"/>
      <c r="H49" s="1611"/>
      <c r="I49" s="1611"/>
      <c r="J49" s="1611"/>
      <c r="K49" s="1611"/>
      <c r="L49" s="1611"/>
      <c r="M49" s="1611"/>
      <c r="N49" s="1866"/>
      <c r="O49" s="1918"/>
      <c r="P49" s="1611"/>
      <c r="Q49" s="1906"/>
      <c r="R49" s="1353" t="str">
        <f>PT.anaer_lagoon!B278</f>
        <v>Operation time for tractor agitating</v>
      </c>
      <c r="S49" s="1353"/>
      <c r="T49" s="2016">
        <f>PT.anaer_lagoon!K278</f>
        <v>2.5263916122335059</v>
      </c>
      <c r="U49" s="1353" t="str">
        <f>PT.anaer_lagoon!F278</f>
        <v>hr/year</v>
      </c>
    </row>
    <row r="50" spans="2:21" x14ac:dyDescent="0.3">
      <c r="B50" s="91"/>
      <c r="C50" s="91"/>
      <c r="D50" s="91"/>
      <c r="E50" s="1611"/>
      <c r="F50" s="1918"/>
      <c r="G50" s="1850"/>
      <c r="H50" s="1611"/>
      <c r="I50" s="1611"/>
      <c r="J50" s="1611"/>
      <c r="K50" s="1611"/>
      <c r="L50" s="1611"/>
      <c r="M50" s="1611"/>
      <c r="N50" s="1611"/>
      <c r="O50" s="1611"/>
      <c r="P50" s="1611"/>
      <c r="Q50" s="1906"/>
      <c r="R50" s="1353" t="str">
        <f>PT.anaer_lagoon!B279</f>
        <v>Fuel needed for tractor for agitating</v>
      </c>
      <c r="S50" s="1353"/>
      <c r="T50" s="2016">
        <f>PT.anaer_lagoon!K279</f>
        <v>17.785796950123881</v>
      </c>
      <c r="U50" s="1353" t="str">
        <f>PT.anaer_lagoon!F279</f>
        <v>gal/event</v>
      </c>
    </row>
    <row r="51" spans="2:21" x14ac:dyDescent="0.3">
      <c r="B51" s="1668" t="s">
        <v>5753</v>
      </c>
      <c r="C51" s="1680"/>
      <c r="D51" s="1815"/>
      <c r="E51" s="1611"/>
      <c r="F51" s="1918"/>
      <c r="G51" s="1850"/>
      <c r="H51" s="1611"/>
      <c r="I51" s="1611"/>
      <c r="J51" s="1611"/>
      <c r="K51" s="1611"/>
      <c r="L51" s="1611"/>
      <c r="M51" s="1611"/>
      <c r="N51" s="1611"/>
      <c r="O51" s="1611"/>
      <c r="P51" s="1611"/>
      <c r="Q51" s="1906"/>
      <c r="R51" s="1353" t="str">
        <f>PT.anaer_lagoon!B280</f>
        <v>Number of tractors for pumping needed</v>
      </c>
      <c r="S51" s="1353"/>
      <c r="T51" s="2016">
        <f>PT.anaer_lagoon!K280</f>
        <v>1</v>
      </c>
      <c r="U51" s="1353" t="str">
        <f>PT.anaer_lagoon!F280</f>
        <v>quantity</v>
      </c>
    </row>
    <row r="52" spans="2:21" x14ac:dyDescent="0.3">
      <c r="B52" s="1546" t="str">
        <f>PT.anaer_lagoon!B354</f>
        <v>Diesel fuel used for tanker land application of liquids</v>
      </c>
      <c r="C52" s="2264">
        <f>PT.anaer_lagoon!K354</f>
        <v>0.16844907308599</v>
      </c>
      <c r="D52" s="1546" t="str">
        <f>PT.anaer_lagoon!F354</f>
        <v>gal/head/year</v>
      </c>
      <c r="E52" s="1611"/>
      <c r="F52" s="1918"/>
      <c r="G52" s="1939"/>
      <c r="H52" s="1611"/>
      <c r="I52" s="1611"/>
      <c r="J52" s="1611"/>
      <c r="K52" s="1611"/>
      <c r="L52" s="1611"/>
      <c r="M52" s="1611"/>
      <c r="N52" s="1611"/>
      <c r="O52" s="1611"/>
      <c r="P52" s="1611"/>
      <c r="Q52" s="1353"/>
      <c r="R52" s="1353" t="str">
        <f>PT.anaer_lagoon!B281</f>
        <v>Tractor for pumping, size</v>
      </c>
      <c r="S52" s="1353"/>
      <c r="T52" s="2016">
        <f>PT.anaer_lagoon!K281</f>
        <v>180</v>
      </c>
      <c r="U52" s="1353" t="str">
        <f>PT.anaer_lagoon!F281</f>
        <v>PTO hp</v>
      </c>
    </row>
    <row r="53" spans="2:21" x14ac:dyDescent="0.3">
      <c r="B53" s="1546" t="str">
        <f>PT.anaer_lagoon!B355</f>
        <v>Diesel fuel used for tanker land application of sludge</v>
      </c>
      <c r="C53" s="2264">
        <f>PT.anaer_lagoon!K355</f>
        <v>0.17892677661555795</v>
      </c>
      <c r="D53" s="1546" t="str">
        <f>PT.anaer_lagoon!F355</f>
        <v>gal/head/year</v>
      </c>
      <c r="E53" s="1611"/>
      <c r="F53" s="1918"/>
      <c r="G53" s="1939"/>
      <c r="H53" s="1611"/>
      <c r="I53" s="1611"/>
      <c r="J53" s="1611"/>
      <c r="K53" s="1611"/>
      <c r="L53" s="1611"/>
      <c r="M53" s="1611"/>
      <c r="N53" s="1611"/>
      <c r="O53" s="2028"/>
      <c r="P53" s="1611"/>
      <c r="Q53" s="1353"/>
      <c r="R53" s="1353" t="str">
        <f>PT.anaer_lagoon!B282</f>
        <v>Operation time for tractor pumping</v>
      </c>
      <c r="S53" s="1353"/>
      <c r="T53" s="2016">
        <f>PT.anaer_lagoon!K282</f>
        <v>0.26442236536853042</v>
      </c>
      <c r="U53" s="1353" t="str">
        <f>PT.anaer_lagoon!F282</f>
        <v>hr/event</v>
      </c>
    </row>
    <row r="54" spans="2:21" x14ac:dyDescent="0.3">
      <c r="B54" s="1546" t="str">
        <f>PT.anaer_lagoon!B356</f>
        <v>Diesel fuel used for drag hose land application of liquids</v>
      </c>
      <c r="C54" s="2264">
        <f>PT.anaer_lagoon!K356</f>
        <v>5.5671132241536553E-2</v>
      </c>
      <c r="D54" s="1546" t="str">
        <f>PT.anaer_lagoon!F356</f>
        <v>gal/head/year</v>
      </c>
      <c r="E54" s="1611"/>
      <c r="F54" s="1918"/>
      <c r="G54" s="1939"/>
      <c r="H54" s="1611"/>
      <c r="I54" s="1611"/>
      <c r="J54" s="1611"/>
      <c r="K54" s="1611"/>
      <c r="L54" s="1611"/>
      <c r="M54" s="1611"/>
      <c r="N54" s="1611"/>
      <c r="O54" s="1939"/>
      <c r="P54" s="1611"/>
      <c r="Q54" s="1353"/>
      <c r="R54" s="1353" t="str">
        <f>PT.anaer_lagoon!B283</f>
        <v>Fuel needed for tractor for pumping</v>
      </c>
      <c r="S54" s="1353"/>
      <c r="T54" s="2016">
        <f>PT.anaer_lagoon!K283</f>
        <v>2.0942251337187607</v>
      </c>
      <c r="U54" s="1353" t="str">
        <f>PT.anaer_lagoon!F283</f>
        <v>gal/event</v>
      </c>
    </row>
    <row r="55" spans="2:21" x14ac:dyDescent="0.3">
      <c r="B55" s="1546" t="str">
        <f>PT.anaer_lagoon!B357</f>
        <v>Diesel fuel used for drag hose land application of sludge</v>
      </c>
      <c r="C55" s="2264">
        <f>PT.anaer_lagoon!K357</f>
        <v>8.7813890864130981E-2</v>
      </c>
      <c r="D55" s="1546" t="str">
        <f>PT.anaer_lagoon!F357</f>
        <v>gal/head/year</v>
      </c>
      <c r="E55" s="1611"/>
      <c r="F55" s="1918"/>
      <c r="G55" s="1939"/>
      <c r="H55" s="1611"/>
      <c r="I55" s="1611"/>
      <c r="J55" s="1611"/>
      <c r="K55" s="1611"/>
      <c r="L55" s="1611"/>
      <c r="M55" s="1611"/>
      <c r="N55" s="1611"/>
      <c r="O55" s="1851"/>
      <c r="P55" s="1611"/>
      <c r="Q55" s="1353"/>
      <c r="R55" s="1353" t="str">
        <f>PT.anaer_lagoon!B284</f>
        <v>Size of tractor for pulling hose reel and applicator</v>
      </c>
      <c r="S55" s="1353"/>
      <c r="T55" s="2016">
        <f>PT.anaer_lagoon!K284</f>
        <v>580</v>
      </c>
      <c r="U55" s="1353" t="str">
        <f>PT.anaer_lagoon!F284</f>
        <v>PTO hp</v>
      </c>
    </row>
    <row r="56" spans="2:21" ht="21.75" customHeight="1" x14ac:dyDescent="0.3">
      <c r="B56" s="2321" t="s">
        <v>7144</v>
      </c>
      <c r="C56" s="2265">
        <f>C52+C53</f>
        <v>0.34737584970154795</v>
      </c>
      <c r="D56" s="1465" t="s">
        <v>2497</v>
      </c>
      <c r="E56" s="1611"/>
      <c r="F56" s="1611"/>
      <c r="G56" s="1611"/>
      <c r="H56" s="1611"/>
      <c r="I56" s="1611"/>
      <c r="J56" s="1872"/>
      <c r="K56" s="2027"/>
      <c r="L56" s="1611"/>
      <c r="M56" s="1611"/>
      <c r="N56" s="1611"/>
      <c r="O56" s="2029"/>
      <c r="P56" s="1611"/>
      <c r="Q56" s="1353"/>
      <c r="R56" s="1353" t="str">
        <f>PT.anaer_lagoon!B285</f>
        <v>Number of tractors for pulling hose reel and applicator</v>
      </c>
      <c r="S56" s="1353"/>
      <c r="T56" s="2016">
        <f>PT.anaer_lagoon!K285</f>
        <v>1</v>
      </c>
      <c r="U56" s="1353" t="str">
        <f>PT.anaer_lagoon!F285</f>
        <v>quantity</v>
      </c>
    </row>
    <row r="57" spans="2:21" ht="22.5" customHeight="1" x14ac:dyDescent="0.3">
      <c r="B57" s="494" t="s">
        <v>7145</v>
      </c>
      <c r="C57" s="2265">
        <f>C54+C55</f>
        <v>0.14348502310566752</v>
      </c>
      <c r="D57" s="1465" t="s">
        <v>2497</v>
      </c>
      <c r="E57" s="1866"/>
      <c r="F57" s="1866"/>
      <c r="G57" s="1866"/>
      <c r="H57" s="1866"/>
      <c r="I57" s="1611"/>
      <c r="J57" s="1872"/>
      <c r="K57" s="2027"/>
      <c r="L57" s="1611"/>
      <c r="M57" s="1611"/>
      <c r="N57" s="1611"/>
      <c r="O57" s="1611"/>
      <c r="P57" s="1611"/>
      <c r="Q57" s="1353"/>
      <c r="R57" s="1353" t="str">
        <f>PT.anaer_lagoon!B286</f>
        <v>Number of tractors for support with hose pulley</v>
      </c>
      <c r="S57" s="1353"/>
      <c r="T57" s="2016">
        <f>PT.anaer_lagoon!K286</f>
        <v>1</v>
      </c>
      <c r="U57" s="1353" t="str">
        <f>PT.anaer_lagoon!F286</f>
        <v>quantity</v>
      </c>
    </row>
    <row r="58" spans="2:21" ht="22.5" customHeight="1" x14ac:dyDescent="0.3">
      <c r="B58" s="1668" t="s">
        <v>5756</v>
      </c>
      <c r="C58" s="1680"/>
      <c r="D58" s="1815"/>
      <c r="E58" s="1611"/>
      <c r="F58" s="1611"/>
      <c r="G58" s="1939"/>
      <c r="H58" s="1611"/>
      <c r="I58" s="1939"/>
      <c r="J58" s="1872"/>
      <c r="K58" s="2027"/>
      <c r="L58" s="1611"/>
      <c r="M58" s="1611"/>
      <c r="N58" s="1611"/>
      <c r="O58" s="1611"/>
      <c r="P58" s="1611"/>
      <c r="Q58" s="1353"/>
      <c r="R58" s="1353" t="str">
        <f>PT.anaer_lagoon!B287</f>
        <v>Size of tractor for support with hose pulley</v>
      </c>
      <c r="S58" s="1353"/>
      <c r="T58" s="2016">
        <f>PT.anaer_lagoon!K287</f>
        <v>340</v>
      </c>
      <c r="U58" s="1353" t="str">
        <f>PT.anaer_lagoon!F287</f>
        <v>PTO hp</v>
      </c>
    </row>
    <row r="59" spans="2:21" x14ac:dyDescent="0.3">
      <c r="B59" s="91" t="str">
        <f>PT.anaer_lagoon!B362</f>
        <v>Total N accumulated in liquids</v>
      </c>
      <c r="C59" s="1878">
        <f>PT.anaer_lagoon!K362</f>
        <v>6.0688727739166897</v>
      </c>
      <c r="D59" s="91" t="str">
        <f>PT.anaer_lagoon!F362</f>
        <v>kg/head/year</v>
      </c>
      <c r="E59" s="1939"/>
      <c r="F59" s="1611"/>
      <c r="G59" s="1939"/>
      <c r="H59" s="1611"/>
      <c r="I59" s="1939"/>
      <c r="J59" s="1611"/>
      <c r="K59" s="1611"/>
      <c r="L59" s="1611"/>
      <c r="M59" s="1611"/>
      <c r="N59" s="1611"/>
      <c r="O59" s="1611"/>
      <c r="P59" s="1611"/>
      <c r="Q59" s="1353"/>
      <c r="R59" s="1353" t="str">
        <f>PT.anaer_lagoon!B288</f>
        <v>Distance from storage to field</v>
      </c>
      <c r="S59" s="1353"/>
      <c r="T59" s="2016">
        <f>PT.anaer_lagoon!K288</f>
        <v>2</v>
      </c>
      <c r="U59" s="1353" t="str">
        <f>PT.anaer_lagoon!F288</f>
        <v>miles</v>
      </c>
    </row>
    <row r="60" spans="2:21" x14ac:dyDescent="0.3">
      <c r="B60" s="91" t="str">
        <f>PT.anaer_lagoon!B363</f>
        <v>Total P2O5 accumulated in liquids</v>
      </c>
      <c r="C60" s="1878">
        <f>PT.anaer_lagoon!K363</f>
        <v>3.6537102250000002</v>
      </c>
      <c r="D60" s="91" t="str">
        <f>PT.anaer_lagoon!F363</f>
        <v>kg/head/year</v>
      </c>
      <c r="E60" s="1611"/>
      <c r="F60" s="1611"/>
      <c r="G60" s="1939"/>
      <c r="H60" s="1611"/>
      <c r="I60" s="1939"/>
      <c r="J60" s="1918"/>
      <c r="K60" s="1611"/>
      <c r="L60" s="1611"/>
      <c r="M60" s="1611"/>
      <c r="N60" s="1611"/>
      <c r="O60" s="1611"/>
      <c r="P60" s="1611"/>
      <c r="Q60" s="1353"/>
      <c r="R60" s="1353" t="str">
        <f>PT.anaer_lagoon!B289</f>
        <v>Fuel needed for tractor for pulling hose reel and applicator</v>
      </c>
      <c r="S60" s="1353"/>
      <c r="T60" s="2016">
        <f>PT.anaer_lagoon!K289</f>
        <v>25.52</v>
      </c>
      <c r="U60" s="1353" t="str">
        <f>PT.anaer_lagoon!F289</f>
        <v>gal/hr</v>
      </c>
    </row>
    <row r="61" spans="2:21" x14ac:dyDescent="0.3">
      <c r="B61" s="91" t="str">
        <f>PT.anaer_lagoon!B364</f>
        <v>Total K2O accumulated in liquids</v>
      </c>
      <c r="C61" s="1878">
        <f>PT.anaer_lagoon!K364</f>
        <v>5.5517686249999993</v>
      </c>
      <c r="D61" s="91" t="str">
        <f>PT.anaer_lagoon!F364</f>
        <v>kg/head/year</v>
      </c>
      <c r="E61" s="1611"/>
      <c r="F61" s="1611"/>
      <c r="G61" s="1632"/>
      <c r="H61" s="1611"/>
      <c r="I61" s="1939"/>
      <c r="J61" s="1611"/>
      <c r="K61" s="1611"/>
      <c r="L61" s="1851"/>
      <c r="M61" s="1611"/>
      <c r="N61" s="1611"/>
      <c r="O61" s="1611"/>
      <c r="P61" s="1611"/>
      <c r="Q61" s="1353"/>
      <c r="R61" s="1353" t="str">
        <f>PT.anaer_lagoon!B290</f>
        <v>Fuel needed for support tractor with hose pulley</v>
      </c>
      <c r="S61" s="1353"/>
      <c r="T61" s="2016">
        <f>PT.anaer_lagoon!K290</f>
        <v>14.959999999999999</v>
      </c>
      <c r="U61" s="1353" t="str">
        <f>PT.anaer_lagoon!F290</f>
        <v>gal/hr</v>
      </c>
    </row>
    <row r="62" spans="2:21" ht="27" customHeight="1" x14ac:dyDescent="0.3">
      <c r="B62" s="1668" t="s">
        <v>6432</v>
      </c>
      <c r="C62" s="1680"/>
      <c r="D62" s="1815"/>
      <c r="E62" s="1939"/>
      <c r="F62" s="1611"/>
      <c r="G62" s="1939"/>
      <c r="H62" s="1611"/>
      <c r="I62" s="1939"/>
      <c r="J62" s="1611"/>
      <c r="K62" s="1611"/>
      <c r="L62" s="1851"/>
      <c r="M62" s="1611"/>
      <c r="N62" s="1611"/>
      <c r="O62" s="1611"/>
      <c r="P62" s="1611"/>
      <c r="Q62" s="1353"/>
      <c r="R62" s="1353" t="str">
        <f>PT.anaer_lagoon!B291</f>
        <v>Diesel powered pump(s), size</v>
      </c>
      <c r="S62" s="1353"/>
      <c r="T62" s="2016">
        <f>PT.anaer_lagoon!K291</f>
        <v>3000</v>
      </c>
      <c r="U62" s="1353" t="str">
        <f>PT.anaer_lagoon!F291</f>
        <v>gal/min</v>
      </c>
    </row>
    <row r="63" spans="2:21" x14ac:dyDescent="0.3">
      <c r="B63" s="91" t="str">
        <f>PT.anaer_lagoon!B366</f>
        <v>Total N accumulated in sludge</v>
      </c>
      <c r="C63" s="1878">
        <f>PT.anaer_lagoon!K366</f>
        <v>1.5172181934791722</v>
      </c>
      <c r="D63" s="91" t="str">
        <f>PT.anaer_lagoon!F366</f>
        <v>kg/head/year</v>
      </c>
      <c r="E63" s="1939"/>
      <c r="F63" s="1611"/>
      <c r="G63" s="1939"/>
      <c r="H63" s="1611"/>
      <c r="I63" s="1939"/>
      <c r="J63" s="1611"/>
      <c r="K63" s="1611"/>
      <c r="L63" s="1851"/>
      <c r="M63" s="1960"/>
      <c r="N63" s="1611"/>
      <c r="O63" s="1611"/>
      <c r="P63" s="1611"/>
      <c r="Q63" s="1353"/>
      <c r="R63" s="1353" t="str">
        <f>PT.anaer_lagoon!B292</f>
        <v>Number of diesel powered lead pumps needed</v>
      </c>
      <c r="S63" s="1353"/>
      <c r="T63" s="2016">
        <f>PT.anaer_lagoon!K292</f>
        <v>1</v>
      </c>
      <c r="U63" s="1353" t="str">
        <f>PT.anaer_lagoon!F292</f>
        <v>quantity</v>
      </c>
    </row>
    <row r="64" spans="2:21" x14ac:dyDescent="0.3">
      <c r="B64" s="91" t="str">
        <f>PT.anaer_lagoon!B367</f>
        <v>Total P2O5 accumulated in sludge</v>
      </c>
      <c r="C64" s="1878">
        <f>PT.anaer_lagoon!K367</f>
        <v>2.9893992749999998</v>
      </c>
      <c r="D64" s="91" t="str">
        <f>PT.anaer_lagoon!F367</f>
        <v>kg/head/year</v>
      </c>
      <c r="E64" s="1611"/>
      <c r="F64" s="1611"/>
      <c r="G64" s="1939"/>
      <c r="H64" s="1611"/>
      <c r="I64" s="1939"/>
      <c r="J64" s="1611"/>
      <c r="K64" s="1611"/>
      <c r="L64" s="1851"/>
      <c r="M64" s="1611"/>
      <c r="N64" s="1611"/>
      <c r="O64" s="1611"/>
      <c r="P64" s="1611"/>
      <c r="Q64" s="1353"/>
      <c r="R64" s="1353" t="str">
        <f>PT.anaer_lagoon!B293</f>
        <v>Number of diesel powered agitation trailers needed</v>
      </c>
      <c r="S64" s="1353"/>
      <c r="T64" s="2016">
        <f>PT.anaer_lagoon!K293</f>
        <v>1</v>
      </c>
      <c r="U64" s="1353" t="str">
        <f>PT.anaer_lagoon!F293</f>
        <v>quantity</v>
      </c>
    </row>
    <row r="65" spans="2:21" ht="23.25" customHeight="1" x14ac:dyDescent="0.3">
      <c r="B65" s="91" t="str">
        <f>PT.anaer_lagoon!B368</f>
        <v>Total K2O accumulated in sludge</v>
      </c>
      <c r="C65" s="1878">
        <f>PT.anaer_lagoon!K368</f>
        <v>2.9894138749999994</v>
      </c>
      <c r="D65" s="91" t="str">
        <f>PT.anaer_lagoon!F368</f>
        <v>kg/head/year</v>
      </c>
      <c r="E65" s="1611"/>
      <c r="F65" s="1611"/>
      <c r="G65" s="1632"/>
      <c r="H65" s="1611"/>
      <c r="I65" s="1939"/>
      <c r="J65" s="1611"/>
      <c r="K65" s="1611"/>
      <c r="L65" s="1851"/>
      <c r="M65" s="1611"/>
      <c r="N65" s="1611"/>
      <c r="O65" s="1611"/>
      <c r="P65" s="1611"/>
      <c r="Q65" s="1353"/>
      <c r="R65" s="1353" t="str">
        <f>PT.anaer_lagoon!B294</f>
        <v>Number of booster pumps needed</v>
      </c>
      <c r="S65" s="1353"/>
      <c r="T65" s="2016">
        <f>PT.anaer_lagoon!K294</f>
        <v>1</v>
      </c>
      <c r="U65" s="1353" t="str">
        <f>PT.anaer_lagoon!F294</f>
        <v>quantity</v>
      </c>
    </row>
    <row r="66" spans="2:21" x14ac:dyDescent="0.3">
      <c r="B66" s="1668" t="s">
        <v>5760</v>
      </c>
      <c r="C66" s="1680"/>
      <c r="D66" s="1815"/>
      <c r="E66" s="1611"/>
      <c r="F66" s="1611"/>
      <c r="G66" s="1632"/>
      <c r="H66" s="1611"/>
      <c r="I66" s="1939"/>
      <c r="J66" s="1611"/>
      <c r="K66" s="1611"/>
      <c r="L66" s="2030"/>
      <c r="M66" s="1611"/>
      <c r="N66" s="1611"/>
      <c r="O66" s="1611"/>
      <c r="P66" s="1611"/>
      <c r="Q66" s="1353"/>
      <c r="R66" s="1353" t="str">
        <f>PT.anaer_lagoon!B295</f>
        <v>Operation time for pumping</v>
      </c>
      <c r="S66" s="1353"/>
      <c r="T66" s="2016">
        <f>PT.anaer_lagoon!K295</f>
        <v>0.1762815769123536</v>
      </c>
      <c r="U66" s="1353" t="str">
        <f>PT.anaer_lagoon!F295</f>
        <v>hr</v>
      </c>
    </row>
    <row r="67" spans="2:21" x14ac:dyDescent="0.3">
      <c r="B67" s="91" t="str">
        <f>PT.anaer_lagoon!B370</f>
        <v>Excess N from liquids</v>
      </c>
      <c r="C67" s="1878">
        <f>PT.anaer_lagoon!K370</f>
        <v>0</v>
      </c>
      <c r="D67" s="91" t="str">
        <f>PT.anaer_lagoon!F370</f>
        <v>kg/head/year</v>
      </c>
      <c r="E67" s="1611"/>
      <c r="F67" s="1611"/>
      <c r="G67" s="1611"/>
      <c r="H67" s="1611"/>
      <c r="I67" s="1939"/>
      <c r="J67" s="2031"/>
      <c r="K67" s="1611"/>
      <c r="L67" s="2017"/>
      <c r="M67" s="1611"/>
      <c r="N67" s="1611"/>
      <c r="O67" s="1611"/>
      <c r="P67" s="1611"/>
      <c r="Q67" s="1353"/>
      <c r="R67" s="1353" t="str">
        <f>PT.anaer_lagoon!B296</f>
        <v>Fuel needed for diesel powered lead pump</v>
      </c>
      <c r="S67" s="1353"/>
      <c r="T67" s="2016">
        <f>PT.anaer_lagoon!K296</f>
        <v>3.1730683844223648</v>
      </c>
      <c r="U67" s="1353" t="str">
        <f>PT.anaer_lagoon!F296</f>
        <v>gal/event</v>
      </c>
    </row>
    <row r="68" spans="2:21" x14ac:dyDescent="0.3">
      <c r="B68" s="91" t="str">
        <f>PT.anaer_lagoon!B371</f>
        <v>Excess P2O5 from liquids</v>
      </c>
      <c r="C68" s="1878">
        <f>PT.anaer_lagoon!K371</f>
        <v>1.844878050099487</v>
      </c>
      <c r="D68" s="91" t="str">
        <f>PT.anaer_lagoon!F371</f>
        <v>kg/head/year</v>
      </c>
      <c r="E68" s="1611"/>
      <c r="F68" s="1611"/>
      <c r="G68" s="1611"/>
      <c r="H68" s="1611"/>
      <c r="I68" s="1611"/>
      <c r="J68" s="1611"/>
      <c r="K68" s="1611"/>
      <c r="L68" s="1611"/>
      <c r="M68" s="1611"/>
      <c r="N68" s="1611"/>
      <c r="O68" s="1611"/>
      <c r="P68" s="1611"/>
      <c r="Q68" s="1353"/>
      <c r="R68" s="1353" t="str">
        <f>PT.anaer_lagoon!B297</f>
        <v>Fuel needed for diesel powered booster pump</v>
      </c>
      <c r="S68" s="1353"/>
      <c r="T68" s="2016">
        <f>PT.anaer_lagoon!K297</f>
        <v>1.3221118268426519</v>
      </c>
      <c r="U68" s="1353" t="str">
        <f>PT.anaer_lagoon!F297</f>
        <v>gal/event</v>
      </c>
    </row>
    <row r="69" spans="2:21" ht="21" customHeight="1" x14ac:dyDescent="0.3">
      <c r="B69" s="91" t="str">
        <f>PT.anaer_lagoon!B372</f>
        <v>Excess K2O from liquids</v>
      </c>
      <c r="C69" s="1878">
        <f>PT.anaer_lagoon!K372</f>
        <v>2.8908013561310897</v>
      </c>
      <c r="D69" s="91" t="str">
        <f>PT.anaer_lagoon!F372</f>
        <v>kg/head/year</v>
      </c>
      <c r="E69" s="1611"/>
      <c r="F69" s="1611"/>
      <c r="G69" s="1611"/>
      <c r="H69" s="1611"/>
      <c r="J69" s="2026"/>
      <c r="K69" s="2026"/>
      <c r="L69" s="2026"/>
      <c r="M69" s="1611"/>
      <c r="N69" s="1611"/>
      <c r="O69" s="1611"/>
      <c r="P69" s="1611"/>
      <c r="Q69" s="1353"/>
      <c r="R69" s="1353" t="str">
        <f>PT.anaer_lagoon!B298</f>
        <v>Fuel needed for diesel powered agitation trailer</v>
      </c>
      <c r="S69" s="1353"/>
      <c r="T69" s="2016">
        <f>PT.anaer_lagoon!K298</f>
        <v>1.0576894614741217</v>
      </c>
      <c r="U69" s="1353" t="str">
        <f>PT.anaer_lagoon!F298</f>
        <v>gal/event</v>
      </c>
    </row>
    <row r="70" spans="2:21" ht="18.75" customHeight="1" x14ac:dyDescent="0.3">
      <c r="B70" s="1668" t="s">
        <v>6439</v>
      </c>
      <c r="C70" s="1680"/>
      <c r="D70" s="1815"/>
      <c r="E70" s="1611"/>
      <c r="G70" s="3"/>
      <c r="H70"/>
      <c r="J70" s="1611"/>
      <c r="K70" s="1611"/>
      <c r="L70" s="1611"/>
      <c r="M70" s="1611"/>
      <c r="N70" s="1611"/>
      <c r="O70" s="1611"/>
      <c r="P70" s="1611"/>
      <c r="Q70" s="1353"/>
      <c r="R70" s="1353" t="str">
        <f>PT.anaer_lagoon!B299</f>
        <v>Fuel needed for pickup truck</v>
      </c>
      <c r="S70" s="1353"/>
      <c r="T70" s="2016">
        <f>PT.anaer_lagoon!K299</f>
        <v>0.15865341922111822</v>
      </c>
      <c r="U70" s="1353" t="str">
        <f>PT.anaer_lagoon!F299</f>
        <v>gal/event</v>
      </c>
    </row>
    <row r="71" spans="2:21" x14ac:dyDescent="0.3">
      <c r="B71" s="91" t="str">
        <f>PT.anaer_lagoon!B374</f>
        <v>Excess N from sludge</v>
      </c>
      <c r="C71" s="1878">
        <f>PT.anaer_lagoon!K374</f>
        <v>0</v>
      </c>
      <c r="D71" s="91" t="str">
        <f>PT.anaer_lagoon!F374</f>
        <v>kg/head/year</v>
      </c>
      <c r="E71" s="1611"/>
      <c r="F71" s="1611"/>
      <c r="G71" s="1611"/>
      <c r="H71" s="1611"/>
      <c r="J71" s="1611"/>
      <c r="K71" s="1611"/>
      <c r="L71" s="1611"/>
      <c r="M71" s="1611"/>
      <c r="N71" s="1611"/>
      <c r="O71" s="1611"/>
      <c r="P71" s="1611"/>
      <c r="Q71" s="1353"/>
      <c r="R71" s="1353" t="str">
        <f>PT.anaer_lagoon!B300</f>
        <v>Excess volume, lagoon liquid manure</v>
      </c>
      <c r="S71" s="1353"/>
      <c r="T71" s="2016">
        <f>PT.anaer_lagoon!K300</f>
        <v>0</v>
      </c>
      <c r="U71" s="1353" t="str">
        <f>PT.anaer_lagoon!F300</f>
        <v>1000 gal/year</v>
      </c>
    </row>
    <row r="72" spans="2:21" x14ac:dyDescent="0.3">
      <c r="B72" s="91" t="str">
        <f>PT.anaer_lagoon!B375</f>
        <v>Excess P2O5 from sludge</v>
      </c>
      <c r="C72" s="1878">
        <f>PT.anaer_lagoon!K375</f>
        <v>1.2649204322222283</v>
      </c>
      <c r="D72" s="91" t="str">
        <f>PT.anaer_lagoon!F375</f>
        <v>kg/head/year</v>
      </c>
      <c r="E72" s="1611"/>
      <c r="J72" s="1611"/>
      <c r="K72" s="1611"/>
      <c r="L72" s="1611"/>
      <c r="M72" s="1611"/>
      <c r="N72" s="1611"/>
      <c r="O72" s="1611"/>
      <c r="P72" s="1611"/>
      <c r="Q72" s="1353"/>
      <c r="R72" s="1353" t="str">
        <f>PT.anaer_lagoon!B301</f>
        <v>Excess volume, lagoon sludge manure</v>
      </c>
      <c r="S72" s="1353"/>
      <c r="T72" s="2016">
        <f>PT.anaer_lagoon!K301</f>
        <v>521.44836082673976</v>
      </c>
      <c r="U72" s="1353" t="str">
        <f>PT.anaer_lagoon!F301</f>
        <v>1000 gal/event</v>
      </c>
    </row>
    <row r="73" spans="2:21" x14ac:dyDescent="0.3">
      <c r="B73" s="91" t="str">
        <f>PT.anaer_lagoon!B376</f>
        <v>Excess K2O from sludge</v>
      </c>
      <c r="C73" s="1878">
        <f>PT.anaer_lagoon!K376</f>
        <v>1.1351727709515269</v>
      </c>
      <c r="D73" s="91" t="str">
        <f>PT.anaer_lagoon!F376</f>
        <v>kg/head/year</v>
      </c>
      <c r="E73" s="1611"/>
      <c r="J73" s="1611"/>
      <c r="K73" s="1611"/>
      <c r="L73" s="1611"/>
      <c r="M73" s="1611"/>
      <c r="N73" s="1611"/>
      <c r="O73" s="1611"/>
      <c r="P73" s="1611"/>
      <c r="Q73" s="1353"/>
      <c r="R73" s="1353" t="str">
        <f>PT.anaer_lagoon!B302</f>
        <v>Fertilizer value for on-farm use, liquids</v>
      </c>
      <c r="S73" s="1353"/>
      <c r="T73" s="2016">
        <f>PT.anaer_lagoon!K302</f>
        <v>5638.2898397072368</v>
      </c>
      <c r="U73" s="1353" t="str">
        <f>PT.anaer_lagoon!F302</f>
        <v>$/year</v>
      </c>
    </row>
    <row r="74" spans="2:21" x14ac:dyDescent="0.3">
      <c r="B74" s="91"/>
      <c r="C74" s="1878"/>
      <c r="D74" s="91"/>
      <c r="E74" s="1611"/>
      <c r="J74" s="1611"/>
      <c r="K74" s="1851"/>
      <c r="L74" s="1851"/>
      <c r="M74" s="1611"/>
      <c r="N74" s="1611"/>
      <c r="O74" s="1611"/>
      <c r="P74" s="1611"/>
      <c r="Q74" s="1353"/>
      <c r="R74" s="1353" t="str">
        <f>PT.anaer_lagoon!B303</f>
        <v>Fertilizer value for on-farm use, sludge</v>
      </c>
      <c r="S74" s="1353"/>
      <c r="T74" s="2016">
        <f>PT.anaer_lagoon!K303</f>
        <v>9442.9598467451069</v>
      </c>
      <c r="U74" s="1353" t="str">
        <f>PT.anaer_lagoon!F303</f>
        <v>$/event</v>
      </c>
    </row>
    <row r="75" spans="2:21" x14ac:dyDescent="0.3">
      <c r="E75" s="1611"/>
      <c r="F75" s="1611"/>
      <c r="G75" s="1611"/>
      <c r="H75" s="1611"/>
      <c r="J75" s="1611"/>
      <c r="K75" s="1611"/>
      <c r="L75" s="1611"/>
      <c r="M75" s="1611"/>
      <c r="N75" s="1611"/>
      <c r="O75" s="1611"/>
      <c r="P75" s="1611"/>
      <c r="Q75" s="1353"/>
      <c r="R75" s="1353" t="str">
        <f>PT.anaer_lagoon!B304</f>
        <v>Transfer table entries (aligned with tables on the right)</v>
      </c>
      <c r="S75" s="1353"/>
      <c r="T75" s="2016">
        <f>PT.anaer_lagoon!K304</f>
        <v>4</v>
      </c>
      <c r="U75" s="1353" t="str">
        <f>PT.anaer_lagoon!F304</f>
        <v>Unit</v>
      </c>
    </row>
    <row r="76" spans="2:21" x14ac:dyDescent="0.3">
      <c r="B76" s="90"/>
      <c r="C76" s="90"/>
      <c r="D76" s="90"/>
      <c r="E76" s="1611"/>
      <c r="J76" s="1918"/>
      <c r="K76" s="1611"/>
      <c r="L76" s="1611"/>
      <c r="M76" s="1611"/>
      <c r="N76" s="1611"/>
      <c r="O76" s="1611"/>
      <c r="P76" s="1611"/>
      <c r="Q76" s="1611"/>
      <c r="R76" s="90"/>
      <c r="S76" s="90"/>
      <c r="T76" s="90"/>
      <c r="U76" s="66"/>
    </row>
    <row r="77" spans="2:21" x14ac:dyDescent="0.3">
      <c r="B77" s="1668" t="s">
        <v>6280</v>
      </c>
      <c r="C77" s="1680"/>
      <c r="D77" s="1815"/>
      <c r="E77" s="1611"/>
      <c r="F77" s="1611"/>
      <c r="G77" s="1611"/>
      <c r="H77" s="1611"/>
      <c r="J77" s="1918"/>
      <c r="K77" s="1918"/>
      <c r="L77" s="1918"/>
      <c r="M77" s="1918"/>
      <c r="N77" s="1611"/>
      <c r="O77" s="1611"/>
      <c r="P77" s="1611"/>
      <c r="Q77" s="49" t="s">
        <v>5925</v>
      </c>
      <c r="R77" s="18" t="s">
        <v>5724</v>
      </c>
      <c r="S77" s="49"/>
      <c r="T77" s="1360">
        <f>PT.shallow_scrape!G16</f>
        <v>20.256141166953888</v>
      </c>
      <c r="U77" s="49" t="s">
        <v>2479</v>
      </c>
    </row>
    <row r="78" spans="2:21" x14ac:dyDescent="0.3">
      <c r="B78" t="str">
        <f>PT.shallow_scrape!B123</f>
        <v>CH4 from shallow scrape</v>
      </c>
      <c r="C78" s="78">
        <f>PT.shallow_scrape!G123</f>
        <v>1.5236605695921037</v>
      </c>
      <c r="D78" s="66" t="str">
        <f>PT.shallow_scrape!C123</f>
        <v>kg/head/year</v>
      </c>
    </row>
    <row r="79" spans="2:21" x14ac:dyDescent="0.3">
      <c r="B79" t="str">
        <f>PT.shallow_scrape!B124</f>
        <v>NH3 from shallow scrape</v>
      </c>
      <c r="C79" s="78">
        <f>PT.shallow_scrape!G124</f>
        <v>3.7960656999999998</v>
      </c>
      <c r="D79" s="66" t="str">
        <f>PT.shallow_scrape!C124</f>
        <v>kg/head/year</v>
      </c>
    </row>
    <row r="80" spans="2:21" x14ac:dyDescent="0.3">
      <c r="B80" t="str">
        <f>PT.shallow_scrape!B125</f>
        <v>Direct N2O from shallow scrape</v>
      </c>
      <c r="C80" s="78">
        <f>PT.shallow_scrape!G125</f>
        <v>5.9651376409799999E-2</v>
      </c>
      <c r="D80" s="66" t="str">
        <f>PT.shallow_scrape!C125</f>
        <v>kg/head/year</v>
      </c>
    </row>
    <row r="81" spans="2:4" x14ac:dyDescent="0.3">
      <c r="B81" t="str">
        <f>PT.shallow_scrape!B126</f>
        <v>Indirect N2O from shallow scrape</v>
      </c>
      <c r="C81" s="78">
        <f>PT.shallow_scrape!G126</f>
        <v>8.3511926973719994E-2</v>
      </c>
      <c r="D81" s="66" t="str">
        <f>PT.shallow_scrape!C126</f>
        <v>kg/head/year</v>
      </c>
    </row>
    <row r="82" spans="2:4" x14ac:dyDescent="0.3">
      <c r="B82" s="91" t="str">
        <f>PT.anaer_lagoon!B378</f>
        <v>CH4 from lagoon</v>
      </c>
      <c r="C82" s="1878">
        <f>PT.anaer_lagoon!K378</f>
        <v>30.759158784959986</v>
      </c>
      <c r="D82" s="91" t="str">
        <f>PT.anaer_lagoon!F378</f>
        <v>kg/head/year</v>
      </c>
    </row>
    <row r="83" spans="2:4" x14ac:dyDescent="0.3">
      <c r="B83" s="91" t="str">
        <f>PT.anaer_lagoon!B379</f>
        <v>NH3 from lagoon</v>
      </c>
      <c r="C83" s="1878">
        <f>PT.anaer_lagoon!K379</f>
        <v>7.5860909673958616</v>
      </c>
      <c r="D83" s="91" t="str">
        <f>PT.anaer_lagoon!F379</f>
        <v>kg/head/year</v>
      </c>
    </row>
    <row r="84" spans="2:4" x14ac:dyDescent="0.3">
      <c r="B84" s="91" t="str">
        <f>PT.anaer_lagoon!B380</f>
        <v>N2O direct from lagoon</v>
      </c>
      <c r="C84" s="1878">
        <f>PT.anaer_lagoon!K380</f>
        <v>0</v>
      </c>
      <c r="D84" s="91" t="str">
        <f>PT.anaer_lagoon!F380</f>
        <v>kg/head/year</v>
      </c>
    </row>
    <row r="85" spans="2:4" x14ac:dyDescent="0.3">
      <c r="B85" s="91" t="str">
        <f>PT.anaer_lagoon!B381</f>
        <v>N2O indirect from lagoon</v>
      </c>
      <c r="C85" s="1878">
        <f>PT.anaer_lagoon!K381</f>
        <v>0.16689096684632201</v>
      </c>
      <c r="D85" s="91" t="str">
        <f>PT.anaer_lagoon!F381</f>
        <v>kg/head/year</v>
      </c>
    </row>
    <row r="298" spans="1:25" ht="15" thickBot="1" x14ac:dyDescent="0.35">
      <c r="A298" s="137"/>
      <c r="B298" s="137"/>
      <c r="C298" s="137"/>
      <c r="D298" s="137"/>
      <c r="E298" s="137"/>
      <c r="F298" s="137"/>
      <c r="G298" s="137"/>
      <c r="H298" s="137"/>
      <c r="I298" s="137"/>
      <c r="J298" s="137"/>
      <c r="K298" s="137"/>
      <c r="L298" s="137"/>
      <c r="M298" s="137"/>
      <c r="N298" s="137"/>
      <c r="O298" s="137"/>
      <c r="P298"/>
      <c r="R298" s="20"/>
      <c r="U298"/>
      <c r="W298" s="42"/>
      <c r="Y298" s="36"/>
    </row>
    <row r="299" spans="1:25" x14ac:dyDescent="0.3">
      <c r="D299"/>
      <c r="E299"/>
      <c r="F299"/>
      <c r="G299"/>
      <c r="H299"/>
      <c r="K299"/>
      <c r="L299"/>
      <c r="P299"/>
      <c r="R299" s="20"/>
      <c r="U299"/>
      <c r="W299" s="42"/>
      <c r="Y299" s="36"/>
    </row>
    <row r="300" spans="1:25" x14ac:dyDescent="0.3">
      <c r="B300" s="82" t="s">
        <v>6938</v>
      </c>
    </row>
    <row r="301" spans="1:25" x14ac:dyDescent="0.3">
      <c r="B301" t="s">
        <v>5209</v>
      </c>
    </row>
    <row r="302" spans="1:25" x14ac:dyDescent="0.3">
      <c r="B302" t="s">
        <v>5223</v>
      </c>
    </row>
    <row r="303" spans="1:25" x14ac:dyDescent="0.3">
      <c r="B303" t="s">
        <v>5210</v>
      </c>
    </row>
    <row r="304" spans="1:25" x14ac:dyDescent="0.3">
      <c r="B304" t="s">
        <v>7074</v>
      </c>
      <c r="C304" t="s">
        <v>5205</v>
      </c>
    </row>
    <row r="305" spans="1:25" ht="15" thickBot="1" x14ac:dyDescent="0.35">
      <c r="A305" s="137"/>
      <c r="B305" s="137"/>
      <c r="C305" s="137"/>
      <c r="D305" s="137"/>
      <c r="E305" s="137"/>
      <c r="F305" s="137"/>
      <c r="G305" s="137"/>
      <c r="H305" s="137"/>
      <c r="I305" s="137"/>
      <c r="J305" s="137"/>
      <c r="K305" s="137"/>
      <c r="L305" s="137"/>
      <c r="M305" s="137"/>
      <c r="N305" s="137"/>
      <c r="O305" s="137"/>
      <c r="P305"/>
      <c r="R305" s="20"/>
      <c r="U305"/>
      <c r="W305" s="42"/>
      <c r="Y305" s="36"/>
    </row>
    <row r="306" spans="1:25" x14ac:dyDescent="0.3">
      <c r="D306"/>
      <c r="E306"/>
      <c r="F306"/>
      <c r="G306"/>
      <c r="H306"/>
      <c r="K306"/>
      <c r="L306"/>
      <c r="P306"/>
      <c r="R306" s="20"/>
      <c r="U306"/>
      <c r="W306" s="42"/>
      <c r="Y306" s="36"/>
    </row>
    <row r="307" spans="1:25" ht="18" x14ac:dyDescent="0.35">
      <c r="B307" s="138" t="s">
        <v>6941</v>
      </c>
      <c r="C307" s="34"/>
      <c r="D307"/>
      <c r="E307"/>
      <c r="F307"/>
      <c r="G307"/>
      <c r="H307" s="355"/>
      <c r="K307"/>
      <c r="L307"/>
      <c r="P307"/>
      <c r="R307" s="20"/>
      <c r="U307"/>
      <c r="W307" s="42"/>
      <c r="Y307" s="36"/>
    </row>
    <row r="308" spans="1:25" x14ac:dyDescent="0.3">
      <c r="D308"/>
      <c r="E308"/>
      <c r="F308"/>
      <c r="G308"/>
      <c r="H308"/>
      <c r="K308"/>
      <c r="L308"/>
      <c r="P308"/>
      <c r="R308" s="20"/>
      <c r="U308"/>
      <c r="W308" s="42"/>
      <c r="Y308" s="36"/>
    </row>
    <row r="309" spans="1:25" x14ac:dyDescent="0.3">
      <c r="B309" s="139" t="s">
        <v>6942</v>
      </c>
      <c r="C309" s="140"/>
      <c r="D309" s="140"/>
      <c r="E309" s="139"/>
      <c r="F309" s="141"/>
      <c r="G309"/>
      <c r="H309"/>
      <c r="K309"/>
      <c r="L309"/>
      <c r="P309"/>
      <c r="R309" s="20"/>
      <c r="U309"/>
      <c r="W309" s="42"/>
      <c r="Y309" s="36"/>
    </row>
    <row r="310" spans="1:25" x14ac:dyDescent="0.3">
      <c r="B310" s="143" t="s">
        <v>2663</v>
      </c>
      <c r="C310" s="144" t="s">
        <v>565</v>
      </c>
      <c r="D310" s="144" t="s">
        <v>6943</v>
      </c>
      <c r="E310" s="143" t="s">
        <v>565</v>
      </c>
      <c r="F310" s="145" t="s">
        <v>6944</v>
      </c>
      <c r="G310"/>
      <c r="H310"/>
      <c r="K310"/>
      <c r="L310"/>
      <c r="P310"/>
      <c r="R310" s="20"/>
      <c r="U310"/>
      <c r="W310" s="42"/>
      <c r="Y310" s="36"/>
    </row>
    <row r="311" spans="1:25" x14ac:dyDescent="0.3">
      <c r="A311" t="s">
        <v>6945</v>
      </c>
      <c r="B311" s="149" t="s">
        <v>5724</v>
      </c>
      <c r="C311" s="295">
        <f>VLOOKUP(B311,R3:U302,3,FALSE)</f>
        <v>20.256141166953888</v>
      </c>
      <c r="D311" s="151" t="s">
        <v>2478</v>
      </c>
      <c r="E311" s="359">
        <f>CONVERT(C311,"m^3","ft^3")</f>
        <v>715.3388743744016</v>
      </c>
      <c r="F311" s="151" t="s">
        <v>2479</v>
      </c>
      <c r="G311"/>
      <c r="H311"/>
      <c r="K311"/>
      <c r="L311"/>
      <c r="P311"/>
      <c r="R311" s="20"/>
      <c r="U311"/>
      <c r="W311" s="42"/>
      <c r="Y311" s="36"/>
    </row>
    <row r="312" spans="1:25" x14ac:dyDescent="0.3">
      <c r="D312"/>
      <c r="E312"/>
      <c r="F312"/>
      <c r="G312"/>
      <c r="H312"/>
      <c r="K312"/>
      <c r="L312"/>
      <c r="P312"/>
      <c r="R312" s="20"/>
      <c r="U312"/>
      <c r="W312" s="42"/>
      <c r="Y312" s="36"/>
    </row>
    <row r="313" spans="1:25" s="369" customFormat="1" ht="57.6" x14ac:dyDescent="0.3">
      <c r="B313" s="370" t="s">
        <v>6946</v>
      </c>
      <c r="C313" s="362" t="s">
        <v>6947</v>
      </c>
      <c r="D313" s="371" t="s">
        <v>6948</v>
      </c>
      <c r="E313" s="362" t="s">
        <v>6949</v>
      </c>
      <c r="F313" s="362" t="s">
        <v>6950</v>
      </c>
      <c r="G313" s="362" t="s">
        <v>6951</v>
      </c>
      <c r="H313" s="362" t="s">
        <v>6952</v>
      </c>
      <c r="I313" s="371" t="s">
        <v>6953</v>
      </c>
      <c r="J313" s="371" t="s">
        <v>6954</v>
      </c>
      <c r="K313" s="362" t="s">
        <v>6955</v>
      </c>
      <c r="L313" s="362" t="s">
        <v>6956</v>
      </c>
      <c r="M313" s="362" t="s">
        <v>6957</v>
      </c>
      <c r="N313" s="362" t="s">
        <v>6958</v>
      </c>
      <c r="O313" s="363" t="s">
        <v>6959</v>
      </c>
    </row>
    <row r="314" spans="1:25" x14ac:dyDescent="0.3">
      <c r="A314" t="s">
        <v>6960</v>
      </c>
      <c r="B314" s="99" t="s">
        <v>6961</v>
      </c>
      <c r="C314" s="153">
        <f>VLOOKUP("Deep and shallow pit constructiona",Econ.Equations!C:E,2,FALSE)*E311^VLOOKUP("Deep and shallow pit constructionb",Econ.Equations!$C:$E,2,FALSE)*E311</f>
        <v>7858.4422870541339</v>
      </c>
      <c r="D314">
        <f>VLOOKUP("CAPEXLifetimeBuildings and constructionDefault",Econ.inputsTable!$E:$I,2,FALSE)</f>
        <v>20</v>
      </c>
      <c r="E314" t="s">
        <v>2852</v>
      </c>
      <c r="F314" t="s">
        <v>2852</v>
      </c>
      <c r="G314" s="154">
        <f>VLOOKUP("CAPEXAnnual usage on activityItems that are used only on the given activityDefault",Econ.inputsTable!$E:$I,2,FALSE)</f>
        <v>1</v>
      </c>
      <c r="H314" s="503">
        <f>UDV.econ_capital.interest_rate</f>
        <v>5.0999999999999997E-2</v>
      </c>
      <c r="I314" s="155">
        <f>VLOOKUP("CAPEXSalvageBuildings and constructionDefault",Econ.inputsTable!$E:$J,2,FALSE)</f>
        <v>0</v>
      </c>
      <c r="J314" s="156">
        <f>C314*I314</f>
        <v>0</v>
      </c>
      <c r="K314" s="154">
        <f>VLOOKUP("CAPEXFinanced amountNADefault",Econ.inputsTable!$E:$G,2,FALSE)</f>
        <v>1</v>
      </c>
      <c r="L314" s="364">
        <f>H314*K314</f>
        <v>5.0999999999999997E-2</v>
      </c>
      <c r="M314" s="351">
        <f>L314/(1-(1+L314)^-D314)</f>
        <v>8.0924368970045152E-2</v>
      </c>
      <c r="N314" s="153">
        <f>((C314-J314)*M314)+(J314*L314)</f>
        <v>635.93948316737419</v>
      </c>
      <c r="O314" s="372">
        <f>N314*G314</f>
        <v>635.93948316737419</v>
      </c>
      <c r="P314"/>
      <c r="R314" s="20"/>
      <c r="U314"/>
      <c r="W314" s="42"/>
      <c r="Y314" s="36"/>
    </row>
    <row r="315" spans="1:25" x14ac:dyDescent="0.3">
      <c r="B315" s="99"/>
      <c r="D315"/>
      <c r="E315"/>
      <c r="F315"/>
      <c r="G315"/>
      <c r="H315"/>
      <c r="K315"/>
      <c r="L315"/>
      <c r="O315" s="146"/>
      <c r="P315"/>
      <c r="R315" s="20"/>
      <c r="U315"/>
      <c r="W315" s="42"/>
      <c r="Y315" s="36"/>
    </row>
    <row r="316" spans="1:25" x14ac:dyDescent="0.3">
      <c r="B316" s="99"/>
      <c r="C316" s="82" t="s">
        <v>6962</v>
      </c>
      <c r="D316" s="82" t="s">
        <v>6963</v>
      </c>
      <c r="E316"/>
      <c r="F316"/>
      <c r="G316"/>
      <c r="H316"/>
      <c r="K316"/>
      <c r="L316"/>
      <c r="O316" s="146"/>
      <c r="P316"/>
      <c r="R316" s="20"/>
      <c r="U316"/>
      <c r="W316" s="42"/>
      <c r="Y316" s="36"/>
    </row>
    <row r="317" spans="1:25" x14ac:dyDescent="0.3">
      <c r="A317" t="s">
        <v>6945</v>
      </c>
      <c r="B317" s="99" t="s">
        <v>6964</v>
      </c>
      <c r="C317" s="153">
        <f>SUM(C314:C314)</f>
        <v>7858.4422870541339</v>
      </c>
      <c r="D317" s="158">
        <f>SUMPRODUCT(C314:C314,G314:G314)</f>
        <v>7858.4422870541339</v>
      </c>
      <c r="E317"/>
      <c r="F317"/>
      <c r="G317"/>
      <c r="H317"/>
      <c r="K317"/>
      <c r="L317"/>
      <c r="O317" s="146"/>
      <c r="P317"/>
      <c r="R317" s="20"/>
      <c r="U317"/>
      <c r="W317" s="42"/>
      <c r="Y317" s="36"/>
    </row>
    <row r="318" spans="1:25" x14ac:dyDescent="0.3">
      <c r="A318" t="s">
        <v>6945</v>
      </c>
      <c r="B318" s="149" t="s">
        <v>6965</v>
      </c>
      <c r="C318" s="159">
        <f>SUM(N314:N314)</f>
        <v>635.93948316737419</v>
      </c>
      <c r="D318" s="159">
        <f>SUMPRODUCT(N314:N314,G314:G314)</f>
        <v>635.93948316737419</v>
      </c>
      <c r="E318" s="150"/>
      <c r="F318" s="150"/>
      <c r="G318" s="150"/>
      <c r="H318" s="150"/>
      <c r="I318" s="150"/>
      <c r="J318" s="150"/>
      <c r="K318" s="150"/>
      <c r="L318" s="150"/>
      <c r="M318" s="150"/>
      <c r="N318" s="150"/>
      <c r="O318" s="151"/>
      <c r="P318"/>
      <c r="R318" s="20"/>
      <c r="U318"/>
      <c r="W318" s="42"/>
      <c r="Y318" s="36"/>
    </row>
    <row r="319" spans="1:25" x14ac:dyDescent="0.3">
      <c r="B319" s="262"/>
      <c r="C319" s="142"/>
      <c r="D319" s="142"/>
      <c r="E319" s="142"/>
      <c r="F319" s="142"/>
      <c r="G319" s="142"/>
      <c r="H319" s="142"/>
      <c r="I319" s="142"/>
      <c r="J319" s="142"/>
      <c r="K319" s="142"/>
      <c r="L319" s="142"/>
      <c r="M319" s="142"/>
      <c r="N319" s="142"/>
      <c r="O319" s="141"/>
      <c r="P319"/>
      <c r="R319" s="20"/>
      <c r="U319"/>
      <c r="W319" s="42"/>
      <c r="Y319" s="36"/>
    </row>
    <row r="320" spans="1:25" ht="43.2" x14ac:dyDescent="0.3">
      <c r="B320" s="160" t="s">
        <v>6966</v>
      </c>
      <c r="C320" s="152" t="s">
        <v>6967</v>
      </c>
      <c r="D320" s="152" t="s">
        <v>6968</v>
      </c>
      <c r="E320" s="152" t="s">
        <v>6969</v>
      </c>
      <c r="F320" s="152" t="s">
        <v>6970</v>
      </c>
      <c r="G320" s="152" t="s">
        <v>6971</v>
      </c>
      <c r="H320" s="152" t="s">
        <v>6972</v>
      </c>
      <c r="I320" s="152" t="s">
        <v>6973</v>
      </c>
      <c r="J320" s="152" t="s">
        <v>6974</v>
      </c>
      <c r="K320" s="152" t="s">
        <v>6975</v>
      </c>
      <c r="L320" s="152" t="s">
        <v>6976</v>
      </c>
      <c r="M320" s="152" t="s">
        <v>6977</v>
      </c>
      <c r="N320" s="152" t="s">
        <v>6978</v>
      </c>
      <c r="O320" s="161" t="s">
        <v>6979</v>
      </c>
      <c r="P320"/>
      <c r="R320" s="20"/>
      <c r="U320"/>
      <c r="W320" s="42"/>
      <c r="Y320" s="36"/>
    </row>
    <row r="321" spans="1:25" x14ac:dyDescent="0.3">
      <c r="B321" s="99" t="s">
        <v>6945</v>
      </c>
      <c r="C321" s="155">
        <f>VLOOKUP("OPEXInsuranceEverythingDefault",Econ.inputsTable!$E$1:$J$213,2,FALSE)</f>
        <v>5.0000000000000001E-3</v>
      </c>
      <c r="D321" s="155">
        <f>VLOOKUP("OPEXRepair and maintenanceBuildings and constructionDefault",Econ.inputsTable!$E$1:$J$503,2,FALSE)</f>
        <v>0.01</v>
      </c>
      <c r="E321"/>
      <c r="F321"/>
      <c r="G321"/>
      <c r="H321"/>
      <c r="K321"/>
      <c r="L321"/>
      <c r="O321" s="157">
        <f>(SUM(C321:D321)*SUMPRODUCT(C314:C314,G314:G314))+SUM(E321,G321,I321,J321,L321,N321)</f>
        <v>117.876634305812</v>
      </c>
      <c r="P321"/>
      <c r="R321" s="20"/>
      <c r="U321"/>
      <c r="W321" s="42"/>
      <c r="Y321" s="36"/>
    </row>
    <row r="322" spans="1:25" x14ac:dyDescent="0.3">
      <c r="A322" t="s">
        <v>6945</v>
      </c>
      <c r="B322" s="162" t="s">
        <v>5203</v>
      </c>
      <c r="C322" s="241"/>
      <c r="D322" s="241"/>
      <c r="E322" s="367">
        <f t="shared" ref="E322:O322" si="2">SUM(E321)</f>
        <v>0</v>
      </c>
      <c r="F322" s="537">
        <f t="shared" si="2"/>
        <v>0</v>
      </c>
      <c r="G322" s="367">
        <f t="shared" si="2"/>
        <v>0</v>
      </c>
      <c r="H322" s="537">
        <f t="shared" si="2"/>
        <v>0</v>
      </c>
      <c r="I322" s="367">
        <f t="shared" si="2"/>
        <v>0</v>
      </c>
      <c r="J322" s="367">
        <f t="shared" si="2"/>
        <v>0</v>
      </c>
      <c r="K322" s="537">
        <f t="shared" si="2"/>
        <v>0</v>
      </c>
      <c r="L322" s="367">
        <f t="shared" si="2"/>
        <v>0</v>
      </c>
      <c r="M322" s="537">
        <f t="shared" si="2"/>
        <v>0</v>
      </c>
      <c r="N322" s="367">
        <f t="shared" si="2"/>
        <v>0</v>
      </c>
      <c r="O322" s="169">
        <f t="shared" si="2"/>
        <v>117.876634305812</v>
      </c>
      <c r="P322"/>
      <c r="R322" s="20"/>
      <c r="U322"/>
      <c r="W322" s="42"/>
      <c r="Y322" s="36"/>
    </row>
    <row r="323" spans="1:25" x14ac:dyDescent="0.3">
      <c r="B323" s="99"/>
      <c r="C323" s="155"/>
      <c r="D323" s="155"/>
      <c r="E323" s="155"/>
      <c r="F323" s="158"/>
      <c r="G323" s="154"/>
      <c r="H323" s="156"/>
      <c r="I323" s="153"/>
      <c r="K323"/>
      <c r="L323"/>
      <c r="O323" s="146"/>
      <c r="P323"/>
      <c r="R323" s="20"/>
      <c r="U323"/>
      <c r="W323" s="42"/>
      <c r="Y323" s="36"/>
    </row>
    <row r="324" spans="1:25" x14ac:dyDescent="0.3">
      <c r="A324" t="s">
        <v>6945</v>
      </c>
      <c r="B324" s="149" t="s">
        <v>6980</v>
      </c>
      <c r="C324" s="159">
        <f>O322</f>
        <v>117.876634305812</v>
      </c>
      <c r="D324" s="150"/>
      <c r="E324" s="150"/>
      <c r="F324" s="150"/>
      <c r="G324" s="150"/>
      <c r="H324" s="150"/>
      <c r="I324" s="150"/>
      <c r="J324" s="150"/>
      <c r="K324" s="150"/>
      <c r="L324" s="150"/>
      <c r="M324" s="150"/>
      <c r="N324" s="150"/>
      <c r="O324" s="151"/>
      <c r="P324"/>
      <c r="R324" s="20"/>
      <c r="U324"/>
      <c r="W324" s="42"/>
      <c r="Y324" s="36"/>
    </row>
    <row r="325" spans="1:25" ht="15" thickBot="1" x14ac:dyDescent="0.35">
      <c r="A325" s="137"/>
      <c r="B325" s="137"/>
      <c r="C325" s="137"/>
      <c r="D325" s="137"/>
      <c r="E325" s="137"/>
      <c r="F325" s="137"/>
      <c r="G325" s="137"/>
      <c r="H325" s="137"/>
      <c r="I325" s="137"/>
      <c r="J325" s="137"/>
      <c r="K325" s="137"/>
      <c r="L325" s="137"/>
      <c r="M325" s="137"/>
      <c r="N325" s="137"/>
      <c r="O325" s="137"/>
      <c r="P325"/>
      <c r="R325" s="20"/>
      <c r="U325"/>
      <c r="W325" s="42"/>
      <c r="Y325" s="36"/>
    </row>
    <row r="326" spans="1:25" x14ac:dyDescent="0.3">
      <c r="D326"/>
      <c r="E326"/>
      <c r="F326"/>
      <c r="G326"/>
      <c r="H326"/>
      <c r="K326"/>
      <c r="L326"/>
      <c r="P326"/>
      <c r="R326" s="20"/>
      <c r="U326"/>
      <c r="W326" s="42"/>
      <c r="Y326" s="36"/>
    </row>
    <row r="327" spans="1:25" ht="15.6" x14ac:dyDescent="0.3">
      <c r="A327" s="82" t="s">
        <v>7088</v>
      </c>
      <c r="B327" s="138" t="s">
        <v>7089</v>
      </c>
      <c r="D327"/>
      <c r="E327"/>
      <c r="F327"/>
    </row>
    <row r="328" spans="1:25" x14ac:dyDescent="0.3">
      <c r="D328"/>
      <c r="E328"/>
      <c r="F328"/>
    </row>
    <row r="329" spans="1:25" x14ac:dyDescent="0.3">
      <c r="B329" s="139" t="s">
        <v>6942</v>
      </c>
      <c r="C329" s="140"/>
      <c r="D329" s="140"/>
      <c r="E329" s="139" t="s">
        <v>6988</v>
      </c>
      <c r="F329" s="141"/>
    </row>
    <row r="330" spans="1:25" x14ac:dyDescent="0.3">
      <c r="B330" s="143" t="s">
        <v>2663</v>
      </c>
      <c r="C330" s="144" t="s">
        <v>565</v>
      </c>
      <c r="D330" s="144" t="s">
        <v>6943</v>
      </c>
      <c r="E330" s="143" t="s">
        <v>565</v>
      </c>
      <c r="F330" s="145" t="s">
        <v>6944</v>
      </c>
    </row>
    <row r="331" spans="1:25" x14ac:dyDescent="0.3">
      <c r="B331" s="99" t="s">
        <v>6925</v>
      </c>
      <c r="C331" s="205">
        <f>VLOOKUP(B331,$R:$U,3,FALSE)</f>
        <v>0.15483873602722445</v>
      </c>
      <c r="D331" t="s">
        <v>7090</v>
      </c>
      <c r="E331" s="164">
        <f>CONVERT(C331,"m^3","gal")*365</f>
        <v>14929.984338511513</v>
      </c>
      <c r="F331" s="146" t="s">
        <v>5324</v>
      </c>
    </row>
    <row r="332" spans="1:25" x14ac:dyDescent="0.3">
      <c r="B332" s="99" t="s">
        <v>5829</v>
      </c>
      <c r="C332" s="147">
        <f>VLOOKUP(B332,$R:$U,3,FALSE)</f>
        <v>0</v>
      </c>
      <c r="D332" t="s">
        <v>7090</v>
      </c>
      <c r="E332" s="164">
        <f>CONVERT(C332,"m^3","gal")*365</f>
        <v>0</v>
      </c>
      <c r="F332" s="146" t="s">
        <v>5324</v>
      </c>
    </row>
    <row r="333" spans="1:25" x14ac:dyDescent="0.3">
      <c r="B333" s="99"/>
      <c r="D333" s="146"/>
      <c r="E333"/>
      <c r="F333" s="146"/>
    </row>
    <row r="334" spans="1:25" x14ac:dyDescent="0.3">
      <c r="B334" s="92" t="s">
        <v>6996</v>
      </c>
      <c r="D334"/>
      <c r="E334" s="143" t="s">
        <v>565</v>
      </c>
      <c r="F334" s="145" t="s">
        <v>6944</v>
      </c>
    </row>
    <row r="335" spans="1:25" x14ac:dyDescent="0.3">
      <c r="B335" s="149" t="s">
        <v>7091</v>
      </c>
      <c r="C335" s="150"/>
      <c r="D335" s="150"/>
      <c r="E335" s="497">
        <f>UDV.water.avg_cost/1000</f>
        <v>3.858144828221536E-3</v>
      </c>
      <c r="F335" s="151" t="s">
        <v>2315</v>
      </c>
    </row>
    <row r="336" spans="1:25" x14ac:dyDescent="0.3">
      <c r="D336"/>
      <c r="E336"/>
      <c r="F336"/>
    </row>
    <row r="337" spans="1:8" ht="28.8" x14ac:dyDescent="0.3">
      <c r="B337" s="498" t="s">
        <v>6966</v>
      </c>
      <c r="C337" s="362" t="s">
        <v>6979</v>
      </c>
      <c r="D337" s="362"/>
      <c r="E337" s="362"/>
      <c r="F337" s="363"/>
    </row>
    <row r="338" spans="1:8" x14ac:dyDescent="0.3">
      <c r="B338" s="99" t="s">
        <v>7092</v>
      </c>
      <c r="C338" s="153">
        <f>E331*E335</f>
        <v>57.602041861056726</v>
      </c>
      <c r="D338" s="236"/>
      <c r="E338" s="236"/>
      <c r="F338" s="146"/>
    </row>
    <row r="339" spans="1:8" x14ac:dyDescent="0.3">
      <c r="B339" s="99"/>
      <c r="D339"/>
      <c r="E339"/>
      <c r="F339" s="146"/>
      <c r="G339"/>
      <c r="H339"/>
    </row>
    <row r="340" spans="1:8" x14ac:dyDescent="0.3">
      <c r="A340" t="s">
        <v>5209</v>
      </c>
      <c r="B340" s="149" t="s">
        <v>6980</v>
      </c>
      <c r="C340" s="159">
        <f>SUM(C338:C338)</f>
        <v>57.602041861056726</v>
      </c>
      <c r="D340" s="150"/>
      <c r="E340" s="150"/>
      <c r="F340" s="151"/>
      <c r="G340"/>
      <c r="H340"/>
    </row>
    <row r="341" spans="1:8" ht="15" thickBot="1" x14ac:dyDescent="0.35">
      <c r="A341" s="137"/>
      <c r="B341" s="137"/>
      <c r="C341" s="137"/>
      <c r="D341" s="137"/>
      <c r="E341" s="137"/>
      <c r="F341" s="137"/>
      <c r="G341" s="137"/>
      <c r="H341" s="137"/>
    </row>
    <row r="342" spans="1:8" x14ac:dyDescent="0.3">
      <c r="D342"/>
      <c r="E342"/>
      <c r="F342"/>
      <c r="G342"/>
      <c r="H342"/>
    </row>
    <row r="343" spans="1:8" ht="18" x14ac:dyDescent="0.35">
      <c r="A343" s="502"/>
      <c r="B343" s="138" t="s">
        <v>7146</v>
      </c>
      <c r="D343"/>
      <c r="E343"/>
      <c r="F343"/>
      <c r="G343"/>
      <c r="H343" s="355"/>
    </row>
    <row r="344" spans="1:8" x14ac:dyDescent="0.3">
      <c r="D344"/>
      <c r="E344"/>
      <c r="F344"/>
      <c r="G344"/>
      <c r="H344"/>
    </row>
    <row r="345" spans="1:8" x14ac:dyDescent="0.3">
      <c r="B345" s="139" t="s">
        <v>6942</v>
      </c>
      <c r="C345" s="140"/>
      <c r="D345" s="245"/>
      <c r="E345" s="139" t="s">
        <v>6988</v>
      </c>
      <c r="F345" s="141"/>
      <c r="G345"/>
      <c r="H345" s="815" t="s">
        <v>7033</v>
      </c>
    </row>
    <row r="346" spans="1:8" x14ac:dyDescent="0.3">
      <c r="B346" s="143" t="s">
        <v>2663</v>
      </c>
      <c r="C346" s="144" t="s">
        <v>565</v>
      </c>
      <c r="D346" s="145" t="s">
        <v>6943</v>
      </c>
      <c r="E346" s="143" t="s">
        <v>565</v>
      </c>
      <c r="F346" s="145" t="s">
        <v>6944</v>
      </c>
      <c r="G346"/>
      <c r="H346" s="386" t="s">
        <v>1236</v>
      </c>
    </row>
    <row r="347" spans="1:8" x14ac:dyDescent="0.3">
      <c r="B347" s="99" t="s">
        <v>5893</v>
      </c>
      <c r="C347" s="147">
        <f t="shared" ref="C347:C352" si="3">VLOOKUP(B347,$R:$U,3,FALSE)</f>
        <v>12</v>
      </c>
      <c r="D347" s="146" t="s">
        <v>7097</v>
      </c>
      <c r="E347" s="99">
        <f>C347</f>
        <v>12</v>
      </c>
      <c r="F347" s="146" t="s">
        <v>7097</v>
      </c>
      <c r="G347"/>
      <c r="H347" s="386" t="s">
        <v>7147</v>
      </c>
    </row>
    <row r="348" spans="1:8" x14ac:dyDescent="0.3">
      <c r="A348" s="321"/>
      <c r="B348" s="99" t="s">
        <v>5894</v>
      </c>
      <c r="C348" s="147">
        <f t="shared" si="3"/>
        <v>115</v>
      </c>
      <c r="D348" s="146" t="s">
        <v>2337</v>
      </c>
      <c r="E348" s="178">
        <f>CONVERT(C348,"m","ft")</f>
        <v>377.29658792650918</v>
      </c>
      <c r="F348" s="146" t="s">
        <v>2340</v>
      </c>
      <c r="G348"/>
      <c r="H348" s="386" t="s">
        <v>7148</v>
      </c>
    </row>
    <row r="349" spans="1:8" x14ac:dyDescent="0.3">
      <c r="A349" s="199"/>
      <c r="B349" s="99" t="s">
        <v>5895</v>
      </c>
      <c r="C349" s="147">
        <f t="shared" si="3"/>
        <v>2</v>
      </c>
      <c r="D349" s="146" t="s">
        <v>2442</v>
      </c>
      <c r="E349" s="99">
        <f>C349</f>
        <v>2</v>
      </c>
      <c r="F349" s="146" t="s">
        <v>2442</v>
      </c>
      <c r="G349"/>
      <c r="H349" s="70" t="s">
        <v>1239</v>
      </c>
    </row>
    <row r="350" spans="1:8" x14ac:dyDescent="0.3">
      <c r="B350" s="99" t="s">
        <v>5898</v>
      </c>
      <c r="C350" s="147">
        <f t="shared" si="3"/>
        <v>12.250783578571429</v>
      </c>
      <c r="D350" s="146" t="s">
        <v>6704</v>
      </c>
      <c r="E350" s="178">
        <f>C350*365</f>
        <v>4471.5360061785714</v>
      </c>
      <c r="F350" s="146" t="s">
        <v>5323</v>
      </c>
      <c r="G350"/>
      <c r="H350"/>
    </row>
    <row r="351" spans="1:8" x14ac:dyDescent="0.3">
      <c r="B351" s="235" t="s">
        <v>5897</v>
      </c>
      <c r="C351" s="147">
        <f t="shared" si="3"/>
        <v>10.952380952380953</v>
      </c>
      <c r="D351" s="146" t="s">
        <v>7075</v>
      </c>
      <c r="E351" s="178">
        <f>C351*365</f>
        <v>3997.6190476190477</v>
      </c>
      <c r="F351" s="146" t="s">
        <v>2710</v>
      </c>
      <c r="G351"/>
      <c r="H351"/>
    </row>
    <row r="352" spans="1:8" x14ac:dyDescent="0.3">
      <c r="B352" s="235" t="s">
        <v>5896</v>
      </c>
      <c r="C352" s="147">
        <f t="shared" si="3"/>
        <v>2</v>
      </c>
      <c r="D352" s="146" t="s">
        <v>2442</v>
      </c>
      <c r="E352" s="178">
        <f>C352</f>
        <v>2</v>
      </c>
      <c r="F352" s="146" t="s">
        <v>2442</v>
      </c>
      <c r="G352"/>
      <c r="H352"/>
    </row>
    <row r="353" spans="1:15" x14ac:dyDescent="0.3">
      <c r="B353" s="99"/>
      <c r="D353" s="2100"/>
      <c r="E353" s="2101"/>
      <c r="F353" s="2089"/>
    </row>
    <row r="354" spans="1:15" x14ac:dyDescent="0.3">
      <c r="B354" s="92" t="s">
        <v>6996</v>
      </c>
      <c r="D354" s="146"/>
      <c r="E354" s="99"/>
      <c r="F354" s="146"/>
      <c r="G354"/>
      <c r="H354"/>
      <c r="K354"/>
      <c r="L354"/>
    </row>
    <row r="355" spans="1:15" x14ac:dyDescent="0.3">
      <c r="B355" s="143" t="s">
        <v>2663</v>
      </c>
      <c r="D355" s="146"/>
      <c r="E355" s="143" t="s">
        <v>565</v>
      </c>
      <c r="F355" s="145" t="s">
        <v>6944</v>
      </c>
      <c r="G355"/>
      <c r="H355"/>
      <c r="K355"/>
      <c r="L355"/>
    </row>
    <row r="356" spans="1:15" x14ac:dyDescent="0.3">
      <c r="B356" s="99" t="s">
        <v>7076</v>
      </c>
      <c r="D356" s="146"/>
      <c r="E356" s="357">
        <f>UDV.electricity.avg_cost</f>
        <v>6.8591666666666662E-2</v>
      </c>
      <c r="F356" s="146" t="s">
        <v>2306</v>
      </c>
      <c r="G356"/>
      <c r="H356"/>
      <c r="K356"/>
      <c r="L356"/>
    </row>
    <row r="357" spans="1:15" x14ac:dyDescent="0.3">
      <c r="B357" s="149" t="s">
        <v>6998</v>
      </c>
      <c r="C357" s="150"/>
      <c r="D357" s="151"/>
      <c r="E357" s="349">
        <f>UDV.labor.non_specialized_cost</f>
        <v>23.66</v>
      </c>
      <c r="F357" s="151" t="s">
        <v>3659</v>
      </c>
      <c r="G357"/>
      <c r="H357"/>
      <c r="K357"/>
      <c r="L357"/>
    </row>
    <row r="358" spans="1:15" x14ac:dyDescent="0.3">
      <c r="B358" s="90"/>
      <c r="C358" s="82"/>
      <c r="D358"/>
      <c r="E358" s="82"/>
      <c r="F358" s="82"/>
      <c r="G358"/>
      <c r="H358" s="82"/>
      <c r="I358" s="82"/>
      <c r="K358"/>
      <c r="L358"/>
      <c r="O358" s="82"/>
    </row>
    <row r="359" spans="1:15" ht="57.6" x14ac:dyDescent="0.3">
      <c r="B359" s="361" t="s">
        <v>6946</v>
      </c>
      <c r="C359" s="362" t="s">
        <v>6947</v>
      </c>
      <c r="D359" s="362" t="s">
        <v>6948</v>
      </c>
      <c r="E359" s="362" t="s">
        <v>6949</v>
      </c>
      <c r="F359" s="362" t="s">
        <v>6950</v>
      </c>
      <c r="G359" s="362" t="s">
        <v>6951</v>
      </c>
      <c r="H359" s="362" t="s">
        <v>6952</v>
      </c>
      <c r="I359" s="362" t="s">
        <v>6953</v>
      </c>
      <c r="J359" s="362" t="s">
        <v>6954</v>
      </c>
      <c r="K359" s="362" t="s">
        <v>6955</v>
      </c>
      <c r="L359" s="362" t="s">
        <v>6956</v>
      </c>
      <c r="M359" s="140" t="s">
        <v>6957</v>
      </c>
      <c r="N359" s="140" t="s">
        <v>6958</v>
      </c>
      <c r="O359" s="363"/>
    </row>
    <row r="360" spans="1:15" x14ac:dyDescent="0.3">
      <c r="A360" t="s">
        <v>7149</v>
      </c>
      <c r="B360" s="99" t="s">
        <v>1236</v>
      </c>
      <c r="C360" s="153">
        <f>VLOOKUP("Auto alley system chain and accessoriesDefault",Econ.Tables!$C:$E,2,FALSE)*E348</f>
        <v>4263.4514435695537</v>
      </c>
      <c r="D360">
        <f>VLOOKUP("CAPEXLifetimeEquipmentDefault",Econ.inputsTable!$E:$I,2,FALSE)</f>
        <v>10</v>
      </c>
      <c r="E360" t="s">
        <v>2852</v>
      </c>
      <c r="F360" s="147">
        <f>E351</f>
        <v>3997.6190476190477</v>
      </c>
      <c r="G360" s="154">
        <f>VLOOKUP("CAPEXAnnual usage on activityItems that are used only on the given activityDefault",Econ.inputsTable!$E:$G,2,FALSE)</f>
        <v>1</v>
      </c>
      <c r="H360" s="503">
        <f>UDV.econ_capital.interest_rate</f>
        <v>5.0999999999999997E-2</v>
      </c>
      <c r="I360" s="503">
        <f>VLOOKUP("CAPEXSalvageBuildings and constructionDefault",Econ.inputsTable!$E:$G,2,FALSE)</f>
        <v>0</v>
      </c>
      <c r="J360" s="153">
        <f t="shared" ref="J360:J363" si="4">C360*I360</f>
        <v>0</v>
      </c>
      <c r="K360" s="154">
        <f>VLOOKUP("CAPEXFinanced amountNADefault",Econ.inputsTable!$E:$G,2,FALSE)</f>
        <v>1</v>
      </c>
      <c r="L360" s="364">
        <f t="shared" ref="L360:L363" si="5">H360*K360</f>
        <v>5.0999999999999997E-2</v>
      </c>
      <c r="M360" s="351">
        <f t="shared" ref="M360:M363" si="6">L360/(1-(1+L360)^-D360)</f>
        <v>0.13013423257204779</v>
      </c>
      <c r="N360" s="153">
        <f t="shared" ref="N360:N363" si="7">((C360-J360)*M360)+(J360*L360)</f>
        <v>554.82098171711323</v>
      </c>
      <c r="O360" s="157"/>
    </row>
    <row r="361" spans="1:15" x14ac:dyDescent="0.3">
      <c r="A361" t="s">
        <v>7149</v>
      </c>
      <c r="B361" s="99" t="s">
        <v>7147</v>
      </c>
      <c r="C361" s="153">
        <f>VLOOKUP("Scraper bladeDefault",Econ.Tables!$C:$E,2,FALSE)*E352</f>
        <v>2800</v>
      </c>
      <c r="D361">
        <f>VLOOKUP("CAPEXLifetimeScraper bladeDefault",Econ.inputsTable!$E:$I,2,FALSE)</f>
        <v>1</v>
      </c>
      <c r="E361" t="s">
        <v>2852</v>
      </c>
      <c r="F361" s="147">
        <f>E351</f>
        <v>3997.6190476190477</v>
      </c>
      <c r="G361" s="154">
        <f>VLOOKUP("CAPEXAnnual usage on activityItems that are used only on the given activityDefault",Econ.inputsTable!$E:$G,2,FALSE)</f>
        <v>1</v>
      </c>
      <c r="H361" s="503">
        <f>UDV.econ_capital.interest_rate</f>
        <v>5.0999999999999997E-2</v>
      </c>
      <c r="I361" s="503">
        <f>VLOOKUP("CAPEXSalvageBuildings and constructionDefault",Econ.inputsTable!$E:$G,2,FALSE)</f>
        <v>0</v>
      </c>
      <c r="J361" s="153">
        <f t="shared" si="4"/>
        <v>0</v>
      </c>
      <c r="K361" s="154">
        <f>VLOOKUP("CAPEXFinanced amountNADefault",Econ.inputsTable!$E:$G,2,FALSE)</f>
        <v>1</v>
      </c>
      <c r="L361" s="364">
        <f t="shared" si="5"/>
        <v>5.0999999999999997E-2</v>
      </c>
      <c r="M361" s="351">
        <f t="shared" si="6"/>
        <v>1.0510000000000017</v>
      </c>
      <c r="N361" s="153">
        <f t="shared" si="7"/>
        <v>2942.8000000000047</v>
      </c>
      <c r="O361" s="157"/>
    </row>
    <row r="362" spans="1:15" x14ac:dyDescent="0.3">
      <c r="A362" t="s">
        <v>7149</v>
      </c>
      <c r="B362" s="99" t="s">
        <v>7148</v>
      </c>
      <c r="C362" s="153">
        <f>VLOOKUP("Drive unit, motor, controls, ancillariesDefault",Econ.Tables!$C:$E,2,FALSE)*E349</f>
        <v>24800</v>
      </c>
      <c r="D362">
        <f>VLOOKUP("CAPEXLifetimeDrive units for auto scraper, transfer channelDefault",Econ.inputsTable!$E:$I,2,FALSE)</f>
        <v>18</v>
      </c>
      <c r="E362" t="s">
        <v>2852</v>
      </c>
      <c r="F362" s="147">
        <f>E351</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 t="shared" si="4"/>
        <v>0</v>
      </c>
      <c r="K362" s="154">
        <f>VLOOKUP("CAPEXFinanced amountNADefault",Econ.inputsTable!$E:$G,2,FALSE)</f>
        <v>1</v>
      </c>
      <c r="L362" s="364">
        <f t="shared" si="5"/>
        <v>5.0999999999999997E-2</v>
      </c>
      <c r="M362" s="351">
        <f t="shared" si="6"/>
        <v>8.6215856907131391E-2</v>
      </c>
      <c r="N362" s="153">
        <f t="shared" si="7"/>
        <v>2138.1532512968583</v>
      </c>
      <c r="O362" s="501"/>
    </row>
    <row r="363" spans="1:15" x14ac:dyDescent="0.3">
      <c r="A363" t="s">
        <v>7150</v>
      </c>
      <c r="B363" s="99" t="s">
        <v>1239</v>
      </c>
      <c r="C363" s="153">
        <f>VLOOKUP("Auto alley system installation and electricalDefault",Econ.Tables!$C:$E,2,FALSE)*SUM(C360:C362)</f>
        <v>12426.746062992126</v>
      </c>
      <c r="D363">
        <f>VLOOKUP("CAPEXLifetimeDrive units for auto scraper, transfer channelDefault",Econ.inputsTable!$E:$I,2,FALSE)</f>
        <v>18</v>
      </c>
      <c r="E363" t="s">
        <v>2852</v>
      </c>
      <c r="F363" s="147">
        <f>E351</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 t="shared" si="4"/>
        <v>0</v>
      </c>
      <c r="K363" s="154">
        <f>VLOOKUP("CAPEXFinanced amountNADefault",Econ.inputsTable!$E:$G,2,FALSE)</f>
        <v>1</v>
      </c>
      <c r="L363" s="364">
        <f t="shared" si="5"/>
        <v>5.0999999999999997E-2</v>
      </c>
      <c r="M363" s="351">
        <f t="shared" si="6"/>
        <v>8.6215856907131391E-2</v>
      </c>
      <c r="N363" s="153">
        <f t="shared" si="7"/>
        <v>1071.3825603881876</v>
      </c>
      <c r="O363" s="501"/>
    </row>
    <row r="364" spans="1:15" x14ac:dyDescent="0.3">
      <c r="B364" s="99"/>
      <c r="C364" s="153"/>
      <c r="D364"/>
      <c r="E364"/>
      <c r="F364"/>
      <c r="G364"/>
      <c r="H364"/>
      <c r="K364" s="166"/>
      <c r="L364" s="154"/>
      <c r="M364" s="503"/>
      <c r="N364" s="154"/>
      <c r="O364" s="501"/>
    </row>
    <row r="365" spans="1:15" ht="28.8" x14ac:dyDescent="0.3">
      <c r="B365" s="99"/>
      <c r="C365" s="152" t="s">
        <v>7009</v>
      </c>
      <c r="D365" s="152" t="s">
        <v>6963</v>
      </c>
      <c r="E365"/>
      <c r="F365"/>
      <c r="G365"/>
      <c r="H365"/>
      <c r="K365"/>
      <c r="L365"/>
      <c r="O365" s="146"/>
    </row>
    <row r="366" spans="1:15" x14ac:dyDescent="0.3">
      <c r="A366" t="s">
        <v>5223</v>
      </c>
      <c r="B366" s="99" t="s">
        <v>6964</v>
      </c>
      <c r="C366" s="153">
        <f>SUM(C360:C363)</f>
        <v>44290.197506561679</v>
      </c>
      <c r="D366" s="153">
        <f>SUMPRODUCT(C360:C363,G360:G363)</f>
        <v>44290.197506561679</v>
      </c>
      <c r="E366"/>
      <c r="F366"/>
      <c r="G366"/>
      <c r="H366"/>
      <c r="K366"/>
      <c r="L366"/>
      <c r="O366" s="146"/>
    </row>
    <row r="367" spans="1:15" x14ac:dyDescent="0.3">
      <c r="A367" t="s">
        <v>5223</v>
      </c>
      <c r="B367" s="149" t="s">
        <v>6965</v>
      </c>
      <c r="C367" s="159">
        <f>SUM(N360:N363)</f>
        <v>6707.1567934021641</v>
      </c>
      <c r="D367" s="159">
        <f>SUMPRODUCT(G360:G363,N360:N363)</f>
        <v>6707.1567934021641</v>
      </c>
      <c r="E367" s="150"/>
      <c r="F367" s="150"/>
      <c r="G367" s="150"/>
      <c r="H367" s="150"/>
      <c r="I367" s="150"/>
      <c r="J367" s="150"/>
      <c r="K367" s="150"/>
      <c r="L367" s="150"/>
      <c r="M367" s="150"/>
      <c r="N367" s="150"/>
      <c r="O367" s="151"/>
    </row>
    <row r="368" spans="1:15" x14ac:dyDescent="0.3">
      <c r="B368" s="99"/>
      <c r="D368"/>
      <c r="E368"/>
      <c r="F368"/>
      <c r="G368"/>
      <c r="H368"/>
      <c r="K368"/>
      <c r="L368"/>
      <c r="O368" s="146"/>
    </row>
    <row r="369" spans="1:15" ht="43.2" x14ac:dyDescent="0.3">
      <c r="B369" s="160" t="s">
        <v>6966</v>
      </c>
      <c r="C369" s="152" t="s">
        <v>6967</v>
      </c>
      <c r="D369" s="152" t="s">
        <v>6968</v>
      </c>
      <c r="E369" s="152" t="s">
        <v>6969</v>
      </c>
      <c r="F369" s="152" t="s">
        <v>6970</v>
      </c>
      <c r="G369" s="152" t="s">
        <v>6971</v>
      </c>
      <c r="H369" s="152" t="s">
        <v>6972</v>
      </c>
      <c r="I369" s="152" t="s">
        <v>6973</v>
      </c>
      <c r="J369" s="152" t="s">
        <v>6974</v>
      </c>
      <c r="K369" s="152" t="s">
        <v>6975</v>
      </c>
      <c r="L369" s="152" t="s">
        <v>6976</v>
      </c>
      <c r="M369" s="152" t="s">
        <v>6977</v>
      </c>
      <c r="N369" s="152" t="s">
        <v>6978</v>
      </c>
      <c r="O369" s="161" t="s">
        <v>6979</v>
      </c>
    </row>
    <row r="370" spans="1:15" x14ac:dyDescent="0.3">
      <c r="B370" s="99" t="s">
        <v>7151</v>
      </c>
      <c r="C370" s="155">
        <f>VLOOKUP("OPEXInsuranceEverythingDefault",Econ.inputsTable!$E:$G,2,FALSE)</f>
        <v>5.0000000000000001E-3</v>
      </c>
      <c r="D370" s="155">
        <f>VLOOKUP("OPEXRepair and maintenanceEquipmentDefault",Econ.inputsTable!$E:$G,2,FALSE)</f>
        <v>0.03</v>
      </c>
      <c r="E370"/>
      <c r="F370"/>
      <c r="G370"/>
      <c r="H370"/>
      <c r="I370" s="504"/>
      <c r="K370" s="504"/>
      <c r="L370" s="158"/>
      <c r="O370" s="157">
        <f>(SUM(C370:D370)*C362*G362)+SUM(E370,G370,I370,J370,L370,N370)</f>
        <v>867.99999999999989</v>
      </c>
    </row>
    <row r="371" spans="1:15" x14ac:dyDescent="0.3">
      <c r="B371" s="99" t="s">
        <v>7152</v>
      </c>
      <c r="C371" s="155">
        <f>VLOOKUP("OPEXInsuranceEverythingDefault",Econ.inputsTable!$E:$G,2,FALSE)</f>
        <v>5.0000000000000001E-3</v>
      </c>
      <c r="D371" s="155">
        <f>VLOOKUP("OPEXRepair and maintenanceAuto scraper systemDefault",Econ.inputsTable!$E:$G,2,FALSE)</f>
        <v>0.06</v>
      </c>
      <c r="E371" s="504"/>
      <c r="F371" s="147">
        <f>E350</f>
        <v>4471.5360061785714</v>
      </c>
      <c r="G371" s="504">
        <f>F371*E356</f>
        <v>306.7101072237985</v>
      </c>
      <c r="H371" s="158"/>
      <c r="I371" s="504"/>
      <c r="J371" s="504"/>
      <c r="K371"/>
      <c r="L371"/>
      <c r="O371" s="157">
        <f>(SUM(C371:D371)*SUM(C360:C362)*G362)+SUM(E371,G371,I371,J371,L371,N371)</f>
        <v>2377.8344510558195</v>
      </c>
    </row>
    <row r="372" spans="1:15" x14ac:dyDescent="0.3">
      <c r="A372" t="s">
        <v>5223</v>
      </c>
      <c r="B372" s="162" t="s">
        <v>5203</v>
      </c>
      <c r="C372" s="505"/>
      <c r="D372" s="505"/>
      <c r="E372" s="506">
        <f t="shared" ref="E372:O372" si="8">SUM(E370:E371)</f>
        <v>0</v>
      </c>
      <c r="F372" s="507">
        <f t="shared" si="8"/>
        <v>4471.5360061785714</v>
      </c>
      <c r="G372" s="506">
        <f t="shared" si="8"/>
        <v>306.7101072237985</v>
      </c>
      <c r="H372" s="508">
        <f t="shared" si="8"/>
        <v>0</v>
      </c>
      <c r="I372" s="506">
        <f t="shared" si="8"/>
        <v>0</v>
      </c>
      <c r="J372" s="506">
        <f t="shared" si="8"/>
        <v>0</v>
      </c>
      <c r="K372" s="508">
        <f t="shared" si="8"/>
        <v>0</v>
      </c>
      <c r="L372" s="506">
        <f t="shared" si="8"/>
        <v>0</v>
      </c>
      <c r="M372" s="508">
        <f t="shared" si="8"/>
        <v>0</v>
      </c>
      <c r="N372" s="506">
        <f t="shared" si="8"/>
        <v>0</v>
      </c>
      <c r="O372" s="509">
        <f t="shared" si="8"/>
        <v>3245.8344510558195</v>
      </c>
    </row>
    <row r="373" spans="1:15" x14ac:dyDescent="0.3">
      <c r="B373" s="99"/>
      <c r="D373"/>
      <c r="E373"/>
      <c r="F373"/>
      <c r="G373"/>
      <c r="H373"/>
      <c r="K373"/>
      <c r="L373"/>
      <c r="O373" s="146"/>
    </row>
    <row r="374" spans="1:15" x14ac:dyDescent="0.3">
      <c r="A374" t="s">
        <v>5223</v>
      </c>
      <c r="B374" s="149" t="s">
        <v>6980</v>
      </c>
      <c r="C374" s="159">
        <f>SUM(O370:O371)</f>
        <v>3245.8344510558195</v>
      </c>
      <c r="D374" s="150"/>
      <c r="E374" s="150"/>
      <c r="F374" s="150"/>
      <c r="G374" s="150"/>
      <c r="H374" s="150"/>
      <c r="I374" s="150"/>
      <c r="J374" s="150"/>
      <c r="K374" s="150"/>
      <c r="L374" s="150"/>
      <c r="M374" s="150"/>
      <c r="N374" s="150"/>
      <c r="O374" s="151"/>
    </row>
    <row r="375" spans="1:15" ht="15" thickBot="1" x14ac:dyDescent="0.35">
      <c r="A375" s="137"/>
      <c r="B375" s="137"/>
      <c r="C375" s="137"/>
      <c r="D375" s="137"/>
      <c r="E375" s="137"/>
      <c r="F375" s="137"/>
      <c r="G375" s="137"/>
      <c r="H375" s="137"/>
      <c r="I375" s="137"/>
      <c r="J375" s="137"/>
      <c r="K375" s="137"/>
      <c r="L375" s="137"/>
      <c r="M375" s="137"/>
      <c r="N375" s="137"/>
      <c r="O375" s="137"/>
    </row>
    <row r="376" spans="1:15" x14ac:dyDescent="0.3">
      <c r="D376"/>
      <c r="E376"/>
      <c r="F376"/>
      <c r="G376"/>
      <c r="H376"/>
      <c r="K376"/>
      <c r="L376"/>
    </row>
    <row r="377" spans="1:15" ht="18" x14ac:dyDescent="0.35">
      <c r="B377" s="138" t="s">
        <v>5210</v>
      </c>
      <c r="C377" s="34"/>
      <c r="D377"/>
      <c r="E377"/>
      <c r="F377"/>
      <c r="G377"/>
      <c r="H377" s="355"/>
      <c r="K377"/>
      <c r="L377"/>
    </row>
    <row r="378" spans="1:15" x14ac:dyDescent="0.3">
      <c r="D378"/>
      <c r="E378"/>
      <c r="F378"/>
      <c r="G378"/>
      <c r="H378"/>
      <c r="K378"/>
      <c r="L378"/>
    </row>
    <row r="379" spans="1:15" x14ac:dyDescent="0.3">
      <c r="B379" s="139" t="s">
        <v>6942</v>
      </c>
      <c r="C379" s="140"/>
      <c r="D379" s="140"/>
      <c r="E379" s="139"/>
      <c r="F379" s="141"/>
      <c r="G379"/>
      <c r="H379"/>
      <c r="K379"/>
      <c r="L379"/>
    </row>
    <row r="380" spans="1:15" x14ac:dyDescent="0.3">
      <c r="B380" s="143" t="s">
        <v>2663</v>
      </c>
      <c r="C380" s="144" t="s">
        <v>565</v>
      </c>
      <c r="D380" s="144" t="s">
        <v>6943</v>
      </c>
      <c r="E380" s="143" t="s">
        <v>565</v>
      </c>
      <c r="F380" s="145" t="s">
        <v>6944</v>
      </c>
      <c r="G380"/>
      <c r="H380"/>
      <c r="K380"/>
      <c r="L380"/>
    </row>
    <row r="381" spans="1:15" x14ac:dyDescent="0.3">
      <c r="B381" s="99" t="s">
        <v>5437</v>
      </c>
      <c r="C381" s="147">
        <f>VLOOKUP(B381,$R:$U,3,FALSE)</f>
        <v>7731.3161327004527</v>
      </c>
      <c r="D381" s="146" t="s">
        <v>2478</v>
      </c>
      <c r="E381" s="278">
        <f>CONVERT(C381,"m^3","ft^3")</f>
        <v>273028.85254478455</v>
      </c>
      <c r="F381" s="146" t="s">
        <v>2479</v>
      </c>
      <c r="G381"/>
      <c r="H381"/>
      <c r="K381"/>
      <c r="L381"/>
    </row>
    <row r="382" spans="1:15" x14ac:dyDescent="0.3">
      <c r="B382" s="149" t="s">
        <v>6343</v>
      </c>
      <c r="C382" s="295">
        <f>VLOOKUP(B382,$R:$U,3,FALSE)</f>
        <v>3368.7334385768968</v>
      </c>
      <c r="D382" s="151" t="s">
        <v>2268</v>
      </c>
      <c r="E382" s="359">
        <f>CONVERT(C382,"m^2","ft^2")</f>
        <v>36260.744950616223</v>
      </c>
      <c r="F382" s="151" t="s">
        <v>2267</v>
      </c>
      <c r="G382"/>
      <c r="H382"/>
      <c r="K382"/>
      <c r="L382"/>
    </row>
    <row r="383" spans="1:15" x14ac:dyDescent="0.3">
      <c r="D383"/>
      <c r="E383"/>
      <c r="F383"/>
      <c r="G383"/>
      <c r="H383"/>
      <c r="K383"/>
      <c r="L383"/>
    </row>
    <row r="384" spans="1:15" s="369" customFormat="1" ht="57.6" x14ac:dyDescent="0.3">
      <c r="B384" s="370" t="s">
        <v>6946</v>
      </c>
      <c r="C384" s="362" t="s">
        <v>6947</v>
      </c>
      <c r="D384" s="371" t="s">
        <v>6948</v>
      </c>
      <c r="E384" s="362" t="s">
        <v>6949</v>
      </c>
      <c r="F384" s="362" t="s">
        <v>6950</v>
      </c>
      <c r="G384" s="362" t="s">
        <v>6951</v>
      </c>
      <c r="H384" s="362" t="s">
        <v>6952</v>
      </c>
      <c r="I384" s="371" t="s">
        <v>6953</v>
      </c>
      <c r="J384" s="371" t="s">
        <v>6954</v>
      </c>
      <c r="K384" s="362" t="s">
        <v>6955</v>
      </c>
      <c r="L384" s="362" t="s">
        <v>6956</v>
      </c>
      <c r="M384" s="362" t="s">
        <v>6957</v>
      </c>
      <c r="N384" s="362" t="s">
        <v>6958</v>
      </c>
      <c r="O384" s="363" t="s">
        <v>6959</v>
      </c>
    </row>
    <row r="385" spans="1:20" x14ac:dyDescent="0.3">
      <c r="A385" t="s">
        <v>7093</v>
      </c>
      <c r="B385" s="99" t="s">
        <v>7094</v>
      </c>
      <c r="C385" s="153">
        <f>VLOOKUP("Lagoon constructiona",Econ.Equations!C:E,2,FALSE)*E381^VLOOKUP("Lagoon constructionb",Econ.Equations!$C:$E,2,FALSE)*E381</f>
        <v>76429.607945140146</v>
      </c>
      <c r="D385">
        <f>VLOOKUP("CAPEXLifetimeBuildings and constructionDefault",Econ.inputsTable!$E:$I,2,FALSE)</f>
        <v>20</v>
      </c>
      <c r="E385" t="s">
        <v>2852</v>
      </c>
      <c r="F385" t="s">
        <v>2852</v>
      </c>
      <c r="G385" s="257">
        <f>VLOOKUP("CAPEXAnnual usage on activityItems that are used only on the given activityDefault",Econ.inputsTable!$E:$I,2,FALSE)</f>
        <v>1</v>
      </c>
      <c r="H385" s="503">
        <f>UDV.econ_capital.interest_rate</f>
        <v>5.0999999999999997E-2</v>
      </c>
      <c r="I385" s="236">
        <f>VLOOKUP("CAPEXSalvageBuildings and constructionDefault",Econ.inputsTable!$E:$J,2,FALSE)</f>
        <v>0</v>
      </c>
      <c r="J385" s="156">
        <f>C385*I385</f>
        <v>0</v>
      </c>
      <c r="K385" s="257">
        <f>VLOOKUP("CAPEXFinanced amountNADefault",Econ.inputsTable!$E:$G,2,FALSE)</f>
        <v>1</v>
      </c>
      <c r="L385" s="364">
        <f>H385*K385</f>
        <v>5.0999999999999997E-2</v>
      </c>
      <c r="M385" s="351">
        <f>L385/(1-(1+L385)^-D385)</f>
        <v>8.0924368970045152E-2</v>
      </c>
      <c r="N385" s="153">
        <f>((C385-J385)*M385)+(J385*L385)</f>
        <v>6185.0177935884158</v>
      </c>
      <c r="O385" s="372">
        <f>N385*G385</f>
        <v>6185.0177935884158</v>
      </c>
    </row>
    <row r="386" spans="1:20" x14ac:dyDescent="0.3">
      <c r="A386" t="s">
        <v>7093</v>
      </c>
      <c r="B386" s="99" t="s">
        <v>7095</v>
      </c>
      <c r="C386" s="373">
        <f>UDV.econ_liner.lagoon_geomembrane*E382</f>
        <v>90651.86237654055</v>
      </c>
      <c r="D386">
        <f>VLOOKUP("CAPEXLifetimeBuildings and constructionDefault",Econ.inputsTable!E:G,2,FALSE)</f>
        <v>20</v>
      </c>
      <c r="E386" t="s">
        <v>2852</v>
      </c>
      <c r="F386" t="s">
        <v>2852</v>
      </c>
      <c r="G386" s="257">
        <f>VLOOKUP("CAPEXAnnual usage on activityItems that are used only on the given activityDefault",Econ.inputsTable!E:G,2,FALSE)</f>
        <v>1</v>
      </c>
      <c r="H386" s="503">
        <f>UDV.econ_capital.interest_rate</f>
        <v>5.0999999999999997E-2</v>
      </c>
      <c r="I386" s="236">
        <f>VLOOKUP("CAPEXSalvageBuildings and constructionDefault",Econ.inputsTable!$E:$J,2,FALSE)</f>
        <v>0</v>
      </c>
      <c r="J386" s="156">
        <f>C386*I386</f>
        <v>0</v>
      </c>
      <c r="K386" s="257">
        <f>VLOOKUP("CAPEXFinanced amountNADefault",Econ.inputsTable!$E:$G,2,FALSE)</f>
        <v>1</v>
      </c>
      <c r="L386" s="364">
        <f>H386*K386</f>
        <v>5.0999999999999997E-2</v>
      </c>
      <c r="M386" s="351">
        <f>L386/(1-(1+L386)^-D386)</f>
        <v>8.0924368970045152E-2</v>
      </c>
      <c r="N386" s="153">
        <f>((C386-J386)*M386)+(J386*L386)</f>
        <v>7335.9447587809218</v>
      </c>
      <c r="O386" s="372">
        <f>N386*G386</f>
        <v>7335.9447587809218</v>
      </c>
    </row>
    <row r="387" spans="1:20" x14ac:dyDescent="0.3">
      <c r="B387" s="99"/>
      <c r="D387"/>
      <c r="E387"/>
      <c r="F387"/>
      <c r="G387"/>
      <c r="H387"/>
      <c r="K387"/>
      <c r="L387"/>
      <c r="O387" s="146"/>
    </row>
    <row r="388" spans="1:20" x14ac:dyDescent="0.3">
      <c r="B388" s="99"/>
      <c r="C388" s="82" t="s">
        <v>6962</v>
      </c>
      <c r="D388" s="82" t="s">
        <v>6963</v>
      </c>
      <c r="E388"/>
      <c r="F388"/>
      <c r="G388"/>
      <c r="H388"/>
      <c r="K388"/>
      <c r="L388"/>
      <c r="O388" s="146"/>
    </row>
    <row r="389" spans="1:20" x14ac:dyDescent="0.3">
      <c r="A389" t="s">
        <v>5210</v>
      </c>
      <c r="B389" s="99" t="s">
        <v>6964</v>
      </c>
      <c r="C389" s="153">
        <f>SUM(C385:C386)</f>
        <v>167081.47032168071</v>
      </c>
      <c r="D389" s="233">
        <f>SUMPRODUCT(C385:C386,G385:G386)</f>
        <v>167081.47032168071</v>
      </c>
      <c r="E389"/>
      <c r="F389"/>
      <c r="G389"/>
      <c r="H389"/>
      <c r="K389"/>
      <c r="L389"/>
      <c r="O389" s="146"/>
    </row>
    <row r="390" spans="1:20" x14ac:dyDescent="0.3">
      <c r="A390" t="s">
        <v>5210</v>
      </c>
      <c r="B390" s="149" t="s">
        <v>6965</v>
      </c>
      <c r="C390" s="159">
        <f>SUM(N385:N386)</f>
        <v>13520.962552369338</v>
      </c>
      <c r="D390" s="159">
        <f>SUMPRODUCT(N385:N386,G385:G386)</f>
        <v>13520.962552369338</v>
      </c>
      <c r="E390" s="150"/>
      <c r="F390" s="150"/>
      <c r="G390" s="150"/>
      <c r="H390" s="150"/>
      <c r="I390" s="150"/>
      <c r="J390" s="150"/>
      <c r="K390" s="150"/>
      <c r="L390" s="150"/>
      <c r="M390" s="150"/>
      <c r="N390" s="150"/>
      <c r="O390" s="151"/>
    </row>
    <row r="391" spans="1:20" x14ac:dyDescent="0.3">
      <c r="B391" s="262"/>
      <c r="C391" s="142"/>
      <c r="D391" s="142"/>
      <c r="E391" s="142"/>
      <c r="F391" s="142"/>
      <c r="G391" s="142"/>
      <c r="H391" s="142"/>
      <c r="I391" s="142"/>
      <c r="J391" s="142"/>
      <c r="K391" s="142"/>
      <c r="L391" s="142"/>
      <c r="M391" s="142"/>
      <c r="N391" s="142"/>
      <c r="O391" s="141"/>
    </row>
    <row r="392" spans="1:20" ht="43.2" x14ac:dyDescent="0.3">
      <c r="B392" s="160" t="s">
        <v>6966</v>
      </c>
      <c r="C392" s="152" t="s">
        <v>6967</v>
      </c>
      <c r="D392" s="152" t="s">
        <v>6968</v>
      </c>
      <c r="E392" s="152" t="s">
        <v>6969</v>
      </c>
      <c r="F392" s="152" t="s">
        <v>6970</v>
      </c>
      <c r="G392" s="152" t="s">
        <v>6971</v>
      </c>
      <c r="H392" s="152" t="s">
        <v>6972</v>
      </c>
      <c r="I392" s="152" t="s">
        <v>6973</v>
      </c>
      <c r="J392" s="152" t="s">
        <v>6974</v>
      </c>
      <c r="K392" s="152" t="s">
        <v>6975</v>
      </c>
      <c r="L392" s="152" t="s">
        <v>6976</v>
      </c>
      <c r="M392" s="152" t="s">
        <v>6977</v>
      </c>
      <c r="N392" s="152" t="s">
        <v>6978</v>
      </c>
      <c r="O392" s="161" t="s">
        <v>6979</v>
      </c>
    </row>
    <row r="393" spans="1:20" x14ac:dyDescent="0.3">
      <c r="B393" s="99" t="s">
        <v>5210</v>
      </c>
      <c r="C393" s="236">
        <f>VLOOKUP("OPEXInsuranceEverythingDefault",Econ.inputsTable!$E$1:$J$213,2,FALSE)</f>
        <v>5.0000000000000001E-3</v>
      </c>
      <c r="D393" s="236">
        <f>VLOOKUP("OPEXRepair and maintenanceBuildings and constructionDefault",Econ.inputsTable!$E$1:$J$503,2,FALSE)</f>
        <v>0.01</v>
      </c>
      <c r="E393"/>
      <c r="F393"/>
      <c r="G393"/>
      <c r="H393"/>
      <c r="K393"/>
      <c r="L393"/>
      <c r="O393" s="157">
        <f>(SUM(C393:D393)*SUMPRODUCT(C385:C386,G385:G386))+SUM(E393,G393,I393,J393,L393,N393)</f>
        <v>2506.2220548252108</v>
      </c>
    </row>
    <row r="394" spans="1:20" x14ac:dyDescent="0.3">
      <c r="A394" t="s">
        <v>5210</v>
      </c>
      <c r="B394" s="162" t="s">
        <v>5203</v>
      </c>
      <c r="C394" s="241"/>
      <c r="D394" s="241"/>
      <c r="E394" s="242">
        <f>SUM(E393)</f>
        <v>0</v>
      </c>
      <c r="F394" s="374">
        <f t="shared" ref="F394:M394" si="9">SUM(F393)</f>
        <v>0</v>
      </c>
      <c r="G394" s="242">
        <f t="shared" si="9"/>
        <v>0</v>
      </c>
      <c r="H394" s="374">
        <f t="shared" si="9"/>
        <v>0</v>
      </c>
      <c r="I394" s="242">
        <f t="shared" si="9"/>
        <v>0</v>
      </c>
      <c r="J394" s="242">
        <f t="shared" si="9"/>
        <v>0</v>
      </c>
      <c r="K394" s="374">
        <f t="shared" si="9"/>
        <v>0</v>
      </c>
      <c r="L394" s="242">
        <f t="shared" si="9"/>
        <v>0</v>
      </c>
      <c r="M394" s="374">
        <f t="shared" si="9"/>
        <v>0</v>
      </c>
      <c r="N394" s="242">
        <f>SUM(N393)</f>
        <v>0</v>
      </c>
      <c r="O394" s="169">
        <f>SUM(O393)</f>
        <v>2506.2220548252108</v>
      </c>
    </row>
    <row r="395" spans="1:20" x14ac:dyDescent="0.3">
      <c r="B395" s="99"/>
      <c r="C395" s="236"/>
      <c r="D395" s="236"/>
      <c r="E395" s="236"/>
      <c r="F395" s="233"/>
      <c r="G395" s="257"/>
      <c r="H395" s="156"/>
      <c r="I395" s="153"/>
      <c r="K395"/>
      <c r="L395"/>
      <c r="O395" s="146"/>
    </row>
    <row r="396" spans="1:20" x14ac:dyDescent="0.3">
      <c r="A396" t="s">
        <v>5210</v>
      </c>
      <c r="B396" s="149" t="s">
        <v>6980</v>
      </c>
      <c r="C396" s="159">
        <f>SUM(O393)</f>
        <v>2506.2220548252108</v>
      </c>
      <c r="D396" s="150"/>
      <c r="E396" s="150"/>
      <c r="F396" s="150"/>
      <c r="G396" s="150"/>
      <c r="H396" s="150"/>
      <c r="I396" s="150"/>
      <c r="J396" s="150"/>
      <c r="K396" s="150"/>
      <c r="L396" s="150"/>
      <c r="M396" s="150"/>
      <c r="N396" s="150"/>
      <c r="O396" s="151"/>
    </row>
    <row r="397" spans="1:20" ht="15" thickBot="1" x14ac:dyDescent="0.35">
      <c r="A397" s="137"/>
      <c r="B397" s="137"/>
      <c r="C397" s="137"/>
      <c r="D397" s="137"/>
      <c r="E397" s="137"/>
      <c r="F397" s="137"/>
      <c r="G397" s="137"/>
      <c r="H397" s="137"/>
      <c r="I397" s="137"/>
      <c r="J397" s="137"/>
      <c r="K397" s="137"/>
      <c r="L397" s="137"/>
      <c r="M397" s="137"/>
      <c r="N397" s="137"/>
      <c r="O397" s="137"/>
    </row>
    <row r="398" spans="1:20" x14ac:dyDescent="0.3">
      <c r="D398"/>
      <c r="E398"/>
      <c r="F398"/>
      <c r="G398"/>
      <c r="H398"/>
      <c r="K398"/>
      <c r="L398"/>
    </row>
    <row r="399" spans="1:20" ht="15.6" x14ac:dyDescent="0.3">
      <c r="B399" s="138" t="s">
        <v>6981</v>
      </c>
      <c r="C399" s="170" t="s">
        <v>7108</v>
      </c>
      <c r="D399"/>
      <c r="E399"/>
      <c r="F399"/>
      <c r="G399"/>
      <c r="H399"/>
      <c r="K399"/>
      <c r="L399"/>
      <c r="P399"/>
      <c r="Q399" s="171" t="s">
        <v>7153</v>
      </c>
      <c r="R399" s="142"/>
      <c r="S399" s="142"/>
      <c r="T399" s="141"/>
    </row>
    <row r="400" spans="1:20" ht="15.6" x14ac:dyDescent="0.3">
      <c r="B400" s="138"/>
      <c r="D400"/>
      <c r="E400"/>
      <c r="F400"/>
      <c r="G400"/>
      <c r="H400"/>
      <c r="K400"/>
      <c r="L400"/>
      <c r="P400"/>
      <c r="Q400" s="172" t="s">
        <v>565</v>
      </c>
      <c r="R400" s="82" t="s">
        <v>38</v>
      </c>
      <c r="S400" s="82" t="s">
        <v>565</v>
      </c>
      <c r="T400" s="173" t="s">
        <v>38</v>
      </c>
    </row>
    <row r="401" spans="1:27" x14ac:dyDescent="0.3">
      <c r="B401" s="139" t="s">
        <v>6983</v>
      </c>
      <c r="C401" s="140" t="s">
        <v>565</v>
      </c>
      <c r="D401" s="140" t="s">
        <v>38</v>
      </c>
      <c r="E401" s="142"/>
      <c r="F401" s="141"/>
      <c r="G401"/>
      <c r="H401"/>
      <c r="K401"/>
      <c r="L401"/>
      <c r="P401"/>
      <c r="Q401" s="99">
        <v>1</v>
      </c>
      <c r="R401" t="s">
        <v>2359</v>
      </c>
      <c r="S401">
        <v>453.59199999999998</v>
      </c>
      <c r="T401" s="146" t="s">
        <v>2535</v>
      </c>
    </row>
    <row r="402" spans="1:27" x14ac:dyDescent="0.3">
      <c r="A402" s="292"/>
      <c r="B402" s="99" t="s">
        <v>6984</v>
      </c>
      <c r="C402">
        <f>UDV.crops.acres_available</f>
        <v>100</v>
      </c>
      <c r="D402" t="s">
        <v>5385</v>
      </c>
      <c r="E402" s="34"/>
      <c r="F402" s="146"/>
      <c r="G402"/>
      <c r="H402"/>
      <c r="K402"/>
      <c r="L402"/>
      <c r="P402"/>
      <c r="Q402" s="99">
        <v>1</v>
      </c>
      <c r="R402" t="s">
        <v>2535</v>
      </c>
      <c r="S402">
        <v>2.20462E-3</v>
      </c>
      <c r="T402" s="146" t="s">
        <v>2359</v>
      </c>
    </row>
    <row r="403" spans="1:27" x14ac:dyDescent="0.3">
      <c r="B403" s="99" t="s">
        <v>7109</v>
      </c>
      <c r="C403" s="166">
        <f>UDV.econ_manure.liquid_sell_pct*R453</f>
        <v>0</v>
      </c>
      <c r="D403" t="s">
        <v>5246</v>
      </c>
      <c r="E403"/>
      <c r="F403" s="146"/>
      <c r="G403"/>
      <c r="H403"/>
      <c r="K403"/>
      <c r="L403"/>
      <c r="P403"/>
      <c r="Q403" s="99">
        <v>1</v>
      </c>
      <c r="R403" t="s">
        <v>2358</v>
      </c>
      <c r="S403">
        <v>1.10231E-3</v>
      </c>
      <c r="T403" s="146" t="s">
        <v>2537</v>
      </c>
    </row>
    <row r="404" spans="1:27" x14ac:dyDescent="0.3">
      <c r="B404" s="99" t="s">
        <v>7110</v>
      </c>
      <c r="C404" s="166">
        <f>UDV.econ_manure.liquid_give_pct*R453</f>
        <v>0</v>
      </c>
      <c r="D404" t="s">
        <v>5246</v>
      </c>
      <c r="E404"/>
      <c r="F404" s="146"/>
      <c r="G404"/>
      <c r="H404"/>
      <c r="K404"/>
      <c r="L404"/>
      <c r="P404"/>
      <c r="Q404" s="99">
        <v>1</v>
      </c>
      <c r="R404" t="s">
        <v>2481</v>
      </c>
      <c r="S404">
        <v>0.26417200000000002</v>
      </c>
      <c r="T404" s="146" t="s">
        <v>2480</v>
      </c>
    </row>
    <row r="405" spans="1:27" x14ac:dyDescent="0.3">
      <c r="B405" s="99" t="s">
        <v>7111</v>
      </c>
      <c r="C405" s="147">
        <f>R453-C403-C404</f>
        <v>0</v>
      </c>
      <c r="D405" t="s">
        <v>5246</v>
      </c>
      <c r="E405"/>
      <c r="F405" s="146"/>
      <c r="G405"/>
      <c r="H405"/>
      <c r="K405"/>
      <c r="L405"/>
      <c r="P405"/>
      <c r="Q405" s="99">
        <v>1</v>
      </c>
      <c r="R405" t="s">
        <v>2480</v>
      </c>
      <c r="S405">
        <v>3.7854100000000002</v>
      </c>
      <c r="T405" s="146" t="s">
        <v>2481</v>
      </c>
    </row>
    <row r="406" spans="1:27" x14ac:dyDescent="0.3">
      <c r="B406" s="99" t="s">
        <v>7112</v>
      </c>
      <c r="C406" s="166">
        <f>UDV.econ_manure.sludge_sell_pct*X453</f>
        <v>0</v>
      </c>
      <c r="D406" t="s">
        <v>5246</v>
      </c>
      <c r="E406"/>
      <c r="F406" s="146"/>
      <c r="G406"/>
      <c r="H406"/>
      <c r="K406"/>
      <c r="L406"/>
      <c r="P406"/>
      <c r="Q406" s="149">
        <v>1</v>
      </c>
      <c r="R406" s="150" t="s">
        <v>2480</v>
      </c>
      <c r="S406" s="150">
        <v>1E-3</v>
      </c>
      <c r="T406" s="151" t="s">
        <v>7154</v>
      </c>
    </row>
    <row r="407" spans="1:27" x14ac:dyDescent="0.3">
      <c r="B407" s="99" t="s">
        <v>7113</v>
      </c>
      <c r="C407" s="166">
        <f>UDV.econ_manure.sludge_give_pct*X453</f>
        <v>206.44063890634163</v>
      </c>
      <c r="D407" t="s">
        <v>5246</v>
      </c>
      <c r="E407"/>
      <c r="F407" s="146"/>
      <c r="G407"/>
      <c r="H407"/>
      <c r="K407"/>
      <c r="L407"/>
      <c r="P407"/>
      <c r="Q407" s="174">
        <v>1</v>
      </c>
      <c r="R407" t="s">
        <v>84</v>
      </c>
      <c r="S407">
        <v>1</v>
      </c>
      <c r="T407" s="146" t="s">
        <v>84</v>
      </c>
    </row>
    <row r="408" spans="1:27" x14ac:dyDescent="0.3">
      <c r="B408" s="99" t="s">
        <v>7114</v>
      </c>
      <c r="C408" s="147">
        <f>X453-C406-C407</f>
        <v>0</v>
      </c>
      <c r="D408" t="s">
        <v>5246</v>
      </c>
      <c r="E408"/>
      <c r="F408" s="146"/>
      <c r="G408"/>
      <c r="H408"/>
      <c r="K408"/>
      <c r="L408"/>
      <c r="P408"/>
      <c r="Q408" s="99">
        <v>1</v>
      </c>
      <c r="R408" t="s">
        <v>704</v>
      </c>
      <c r="S408">
        <v>2.29</v>
      </c>
      <c r="T408" s="146" t="s">
        <v>941</v>
      </c>
    </row>
    <row r="409" spans="1:27" x14ac:dyDescent="0.3">
      <c r="B409" s="99"/>
      <c r="D409"/>
      <c r="E409"/>
      <c r="F409" s="151"/>
      <c r="G409"/>
      <c r="H409"/>
      <c r="K409"/>
      <c r="L409"/>
      <c r="P409"/>
      <c r="Q409" s="149">
        <v>1</v>
      </c>
      <c r="R409" s="150" t="s">
        <v>702</v>
      </c>
      <c r="S409" s="150">
        <v>1.21</v>
      </c>
      <c r="T409" s="151" t="s">
        <v>934</v>
      </c>
      <c r="U409"/>
      <c r="W409"/>
    </row>
    <row r="410" spans="1:27" x14ac:dyDescent="0.3">
      <c r="B410" s="92" t="s">
        <v>6942</v>
      </c>
      <c r="D410"/>
      <c r="E410" s="139" t="s">
        <v>6988</v>
      </c>
      <c r="F410" s="141"/>
      <c r="G410"/>
      <c r="H410"/>
      <c r="K410"/>
      <c r="L410"/>
      <c r="P410"/>
      <c r="U410"/>
      <c r="W410"/>
    </row>
    <row r="411" spans="1:27" x14ac:dyDescent="0.3">
      <c r="B411" s="175" t="s">
        <v>2908</v>
      </c>
      <c r="D411"/>
      <c r="E411" s="99"/>
      <c r="F411" s="146"/>
      <c r="G411"/>
      <c r="H411"/>
      <c r="K411"/>
      <c r="L411"/>
      <c r="P411"/>
      <c r="Q411" s="176" t="s">
        <v>7155</v>
      </c>
      <c r="R411" s="170" t="s">
        <v>7156</v>
      </c>
      <c r="S411" s="177"/>
      <c r="T411" s="177"/>
      <c r="U411" s="177"/>
      <c r="W411" s="176" t="s">
        <v>7157</v>
      </c>
      <c r="X411" s="170" t="s">
        <v>7158</v>
      </c>
      <c r="Y411" s="177"/>
      <c r="Z411" s="177"/>
      <c r="AA411" s="177"/>
    </row>
    <row r="412" spans="1:27" x14ac:dyDescent="0.3">
      <c r="B412" s="143" t="s">
        <v>2663</v>
      </c>
      <c r="C412" s="144" t="s">
        <v>565</v>
      </c>
      <c r="D412" s="144" t="s">
        <v>6943</v>
      </c>
      <c r="E412" s="143" t="s">
        <v>565</v>
      </c>
      <c r="F412" s="145" t="s">
        <v>6944</v>
      </c>
      <c r="G412"/>
      <c r="H412"/>
      <c r="K412"/>
      <c r="L412"/>
      <c r="P412"/>
      <c r="Q412" s="179" t="s">
        <v>5328</v>
      </c>
      <c r="R412" s="179" t="s">
        <v>565</v>
      </c>
      <c r="S412" s="179" t="s">
        <v>5329</v>
      </c>
      <c r="T412" s="179" t="s">
        <v>5330</v>
      </c>
      <c r="U412" s="179" t="s">
        <v>5330</v>
      </c>
      <c r="W412" s="179" t="s">
        <v>5328</v>
      </c>
      <c r="X412" s="179" t="s">
        <v>565</v>
      </c>
      <c r="Y412" s="179" t="s">
        <v>5329</v>
      </c>
      <c r="Z412" s="179" t="s">
        <v>5330</v>
      </c>
      <c r="AA412" s="179" t="s">
        <v>5330</v>
      </c>
    </row>
    <row r="413" spans="1:27" x14ac:dyDescent="0.3">
      <c r="B413" s="99" t="s">
        <v>5676</v>
      </c>
      <c r="C413" s="147">
        <f>VLOOKUP(B413,$R:$U,3,FALSE)</f>
        <v>160</v>
      </c>
      <c r="D413" t="s">
        <v>5689</v>
      </c>
      <c r="E413" s="99">
        <f>C413</f>
        <v>160</v>
      </c>
      <c r="F413" s="146" t="s">
        <v>5689</v>
      </c>
      <c r="G413"/>
      <c r="H413"/>
      <c r="K413"/>
      <c r="L413"/>
      <c r="P413"/>
      <c r="Q413" s="180" t="s">
        <v>5332</v>
      </c>
      <c r="R413" s="252">
        <f>R444*R452</f>
        <v>5638.2842091730881</v>
      </c>
      <c r="S413" s="180" t="s">
        <v>5181</v>
      </c>
      <c r="T413" s="177" t="s">
        <v>5333</v>
      </c>
      <c r="U413" s="177">
        <f>UDV.crops.N_avail</f>
        <v>0.95</v>
      </c>
      <c r="W413" s="180" t="s">
        <v>5332</v>
      </c>
      <c r="X413" s="252">
        <f>X444*X452</f>
        <v>11661.715790826909</v>
      </c>
      <c r="Y413" s="180" t="s">
        <v>7159</v>
      </c>
      <c r="Z413" s="177" t="s">
        <v>5333</v>
      </c>
      <c r="AA413" s="177">
        <f>UDV.crops.N_avail</f>
        <v>0.95</v>
      </c>
    </row>
    <row r="414" spans="1:27" x14ac:dyDescent="0.3">
      <c r="B414" s="99" t="s">
        <v>6989</v>
      </c>
      <c r="C414" s="147"/>
      <c r="D414" t="s">
        <v>2442</v>
      </c>
      <c r="E414" s="99">
        <f>E415</f>
        <v>1</v>
      </c>
      <c r="F414" s="146" t="s">
        <v>2442</v>
      </c>
      <c r="G414"/>
      <c r="H414"/>
      <c r="K414"/>
      <c r="L414"/>
      <c r="P414"/>
      <c r="Q414" s="182" t="s">
        <v>5336</v>
      </c>
      <c r="R414" s="183">
        <f>E440/1000</f>
        <v>634.61367774484415</v>
      </c>
      <c r="S414" s="182" t="s">
        <v>5246</v>
      </c>
      <c r="T414" s="177" t="s">
        <v>5337</v>
      </c>
      <c r="U414" s="177">
        <f>UDV.crops.P_avail</f>
        <v>0.95</v>
      </c>
      <c r="W414" s="182" t="s">
        <v>5336</v>
      </c>
      <c r="X414" s="183">
        <f>E454/1000</f>
        <v>1195.5356549500459</v>
      </c>
      <c r="Y414" s="182" t="s">
        <v>5249</v>
      </c>
      <c r="Z414" s="177" t="s">
        <v>5337</v>
      </c>
      <c r="AA414" s="177">
        <f>UDV.crops.P_avail</f>
        <v>0.95</v>
      </c>
    </row>
    <row r="415" spans="1:27" x14ac:dyDescent="0.3">
      <c r="B415" s="222" t="s">
        <v>5735</v>
      </c>
      <c r="C415" s="147">
        <f>VLOOKUP(B415,$R:$U,3,FALSE)</f>
        <v>1</v>
      </c>
      <c r="D415" t="s">
        <v>2442</v>
      </c>
      <c r="E415" s="178">
        <f>C415</f>
        <v>1</v>
      </c>
      <c r="F415" s="146" t="s">
        <v>2442</v>
      </c>
      <c r="G415"/>
      <c r="H415"/>
      <c r="K415"/>
      <c r="L415"/>
      <c r="P415"/>
      <c r="Q415" s="177" t="s">
        <v>5338</v>
      </c>
      <c r="R415" s="189">
        <f>U430</f>
        <v>10.541500613545347</v>
      </c>
      <c r="S415" s="177" t="s">
        <v>2414</v>
      </c>
      <c r="T415" s="177" t="s">
        <v>5339</v>
      </c>
      <c r="U415" s="177">
        <f>UDV.crops.K_avail</f>
        <v>1</v>
      </c>
      <c r="W415" s="177" t="s">
        <v>5338</v>
      </c>
      <c r="X415" s="188">
        <f>AA430</f>
        <v>13.98908607537737</v>
      </c>
      <c r="Y415" s="177" t="s">
        <v>2414</v>
      </c>
      <c r="Z415" s="182" t="s">
        <v>5339</v>
      </c>
      <c r="AA415" s="177">
        <f>UDV.crops.K_avail</f>
        <v>1</v>
      </c>
    </row>
    <row r="416" spans="1:27" x14ac:dyDescent="0.3">
      <c r="B416" s="99" t="s">
        <v>5663</v>
      </c>
      <c r="C416" s="147">
        <f>VLOOKUP(B416,$R:$U,3,FALSE)</f>
        <v>180</v>
      </c>
      <c r="D416" t="s">
        <v>5689</v>
      </c>
      <c r="E416" s="99">
        <f>C416</f>
        <v>180</v>
      </c>
      <c r="F416" s="146" t="s">
        <v>5689</v>
      </c>
      <c r="G416"/>
      <c r="H416"/>
      <c r="K416"/>
      <c r="L416"/>
      <c r="P416"/>
      <c r="Q416" s="177" t="s">
        <v>5340</v>
      </c>
      <c r="R416" s="189">
        <f>U431</f>
        <v>6.3464155557997417</v>
      </c>
      <c r="S416" s="177" t="s">
        <v>2414</v>
      </c>
      <c r="T416" s="184" t="s">
        <v>5341</v>
      </c>
      <c r="U416" s="150"/>
      <c r="W416" s="177" t="s">
        <v>5340</v>
      </c>
      <c r="X416" s="188">
        <f>AA431</f>
        <v>27.562920054201012</v>
      </c>
      <c r="Y416" s="177" t="s">
        <v>2414</v>
      </c>
      <c r="Z416" s="375" t="s">
        <v>5341</v>
      </c>
      <c r="AA416" s="185"/>
    </row>
    <row r="417" spans="2:27" x14ac:dyDescent="0.3">
      <c r="B417" s="99" t="s">
        <v>6990</v>
      </c>
      <c r="C417" s="297"/>
      <c r="D417" t="s">
        <v>2442</v>
      </c>
      <c r="E417" s="99">
        <f>E418</f>
        <v>1</v>
      </c>
      <c r="F417" s="146" t="s">
        <v>2442</v>
      </c>
      <c r="G417"/>
      <c r="H417"/>
      <c r="K417"/>
      <c r="L417"/>
      <c r="P417"/>
      <c r="Q417" s="177" t="s">
        <v>5342</v>
      </c>
      <c r="R417" s="189">
        <f>U432</f>
        <v>9.6433019024930857</v>
      </c>
      <c r="S417" s="177" t="s">
        <v>2414</v>
      </c>
      <c r="T417" s="185" t="s">
        <v>5343</v>
      </c>
      <c r="U417" s="185" t="str">
        <f>UDV.crops.apply_for</f>
        <v>N</v>
      </c>
      <c r="W417" s="177" t="s">
        <v>5342</v>
      </c>
      <c r="X417" s="188">
        <f>AA432</f>
        <v>27.563054669418239</v>
      </c>
      <c r="Y417" s="177" t="s">
        <v>2414</v>
      </c>
      <c r="Z417" s="185" t="s">
        <v>5343</v>
      </c>
      <c r="AA417" s="185" t="str">
        <f>UDV.crops.apply_for</f>
        <v>N</v>
      </c>
    </row>
    <row r="418" spans="2:27" x14ac:dyDescent="0.3">
      <c r="B418" s="222" t="s">
        <v>5736</v>
      </c>
      <c r="C418" s="147">
        <f>VLOOKUP(B418,$R:$U,3,FALSE)</f>
        <v>1</v>
      </c>
      <c r="D418" t="s">
        <v>2442</v>
      </c>
      <c r="E418" s="178">
        <f>C418</f>
        <v>1</v>
      </c>
      <c r="F418" s="146" t="s">
        <v>2442</v>
      </c>
      <c r="G418"/>
      <c r="H418"/>
      <c r="K418"/>
      <c r="L418"/>
      <c r="P418"/>
      <c r="Q418" s="186" t="s">
        <v>5344</v>
      </c>
      <c r="R418" s="187">
        <f>R415*U413</f>
        <v>10.014425582868078</v>
      </c>
      <c r="S418" s="186" t="s">
        <v>2414</v>
      </c>
      <c r="T418" s="989" t="s">
        <v>5345</v>
      </c>
      <c r="U418" s="990">
        <f>U421*S407</f>
        <v>195</v>
      </c>
      <c r="W418" s="186" t="s">
        <v>5344</v>
      </c>
      <c r="X418" s="187">
        <f>X415*AA413</f>
        <v>13.289631771608502</v>
      </c>
      <c r="Y418" s="186" t="s">
        <v>2414</v>
      </c>
      <c r="Z418" s="989" t="s">
        <v>5345</v>
      </c>
      <c r="AA418" s="989">
        <f>AA421</f>
        <v>195</v>
      </c>
    </row>
    <row r="419" spans="2:27" x14ac:dyDescent="0.3">
      <c r="B419" s="99" t="s">
        <v>5638</v>
      </c>
      <c r="C419" s="147">
        <f>VLOOKUP(B419,$R:$U,3,FALSE)</f>
        <v>250</v>
      </c>
      <c r="D419" t="s">
        <v>5689</v>
      </c>
      <c r="E419" s="99">
        <f>C419</f>
        <v>250</v>
      </c>
      <c r="F419" s="146" t="s">
        <v>5689</v>
      </c>
      <c r="G419"/>
      <c r="H419"/>
      <c r="K419"/>
      <c r="L419"/>
      <c r="P419"/>
      <c r="Q419" s="177" t="s">
        <v>5347</v>
      </c>
      <c r="R419" s="189">
        <f>R416*U414</f>
        <v>6.0290947780097541</v>
      </c>
      <c r="S419" s="177" t="s">
        <v>2414</v>
      </c>
      <c r="T419" s="989" t="s">
        <v>5348</v>
      </c>
      <c r="U419" s="990">
        <f>U422/S408</f>
        <v>24.017467248908297</v>
      </c>
      <c r="W419" s="177" t="s">
        <v>5347</v>
      </c>
      <c r="X419" s="189">
        <f>X416*AA414</f>
        <v>26.184774051490962</v>
      </c>
      <c r="Y419" s="177" t="s">
        <v>2414</v>
      </c>
      <c r="Z419" s="989" t="s">
        <v>5348</v>
      </c>
      <c r="AA419" s="990">
        <f>AA422/S408</f>
        <v>24.017467248908297</v>
      </c>
    </row>
    <row r="420" spans="2:27" x14ac:dyDescent="0.3">
      <c r="B420" s="99" t="s">
        <v>5637</v>
      </c>
      <c r="C420" s="147">
        <f>VLOOKUP(B420,$R:$U,3,FALSE)</f>
        <v>6000</v>
      </c>
      <c r="D420" t="s">
        <v>2480</v>
      </c>
      <c r="E420" s="99">
        <f>C420</f>
        <v>6000</v>
      </c>
      <c r="F420" s="146" t="s">
        <v>2480</v>
      </c>
      <c r="G420"/>
      <c r="H420"/>
      <c r="K420"/>
      <c r="L420"/>
      <c r="P420"/>
      <c r="Q420" s="182" t="s">
        <v>5349</v>
      </c>
      <c r="R420" s="190">
        <f>R417*U415</f>
        <v>9.6433019024930857</v>
      </c>
      <c r="S420" s="182" t="s">
        <v>2414</v>
      </c>
      <c r="T420" s="991" t="s">
        <v>5350</v>
      </c>
      <c r="U420" s="992">
        <f>U423/S409</f>
        <v>74.380165289256198</v>
      </c>
      <c r="W420" s="182" t="s">
        <v>5349</v>
      </c>
      <c r="X420" s="190">
        <f>X417*AA415</f>
        <v>27.563054669418239</v>
      </c>
      <c r="Y420" s="182" t="s">
        <v>2414</v>
      </c>
      <c r="Z420" s="991" t="s">
        <v>5350</v>
      </c>
      <c r="AA420" s="993">
        <f>AA423/S409</f>
        <v>74.380165289256198</v>
      </c>
    </row>
    <row r="421" spans="2:27" x14ac:dyDescent="0.3">
      <c r="B421" s="99" t="s">
        <v>6991</v>
      </c>
      <c r="C421" s="147"/>
      <c r="D421" s="146" t="s">
        <v>2442</v>
      </c>
      <c r="E421">
        <f>E422</f>
        <v>1</v>
      </c>
      <c r="F421" s="146" t="s">
        <v>2442</v>
      </c>
      <c r="G421"/>
      <c r="H421"/>
      <c r="K421"/>
      <c r="L421"/>
      <c r="P421"/>
      <c r="Q421" s="177" t="s">
        <v>5351</v>
      </c>
      <c r="R421" s="193">
        <f>U421/R418</f>
        <v>19.471910633955005</v>
      </c>
      <c r="S421" s="177" t="s">
        <v>5352</v>
      </c>
      <c r="T421" s="186" t="s">
        <v>5345</v>
      </c>
      <c r="U421" s="186">
        <f>UDV.crops.N_need</f>
        <v>195</v>
      </c>
      <c r="W421" s="177" t="s">
        <v>5351</v>
      </c>
      <c r="X421" s="193">
        <f>AA421/X418</f>
        <v>14.67309278023723</v>
      </c>
      <c r="Y421" s="177" t="s">
        <v>5358</v>
      </c>
      <c r="Z421" s="186" t="s">
        <v>5345</v>
      </c>
      <c r="AA421" s="186">
        <f>UDV.crops.N_need</f>
        <v>195</v>
      </c>
    </row>
    <row r="422" spans="2:27" x14ac:dyDescent="0.3">
      <c r="B422" s="222" t="s">
        <v>5734</v>
      </c>
      <c r="C422" s="147">
        <f>VLOOKUP(B422,$R:$U,3,FALSE)</f>
        <v>1</v>
      </c>
      <c r="D422" t="s">
        <v>2442</v>
      </c>
      <c r="E422" s="178">
        <f>C422</f>
        <v>1</v>
      </c>
      <c r="F422" s="146" t="s">
        <v>2442</v>
      </c>
      <c r="G422"/>
      <c r="H422"/>
      <c r="K422"/>
      <c r="L422"/>
      <c r="P422"/>
      <c r="Q422" s="177" t="s">
        <v>5353</v>
      </c>
      <c r="R422" s="193">
        <f>U422/R419</f>
        <v>9.1224308167462382</v>
      </c>
      <c r="S422" s="177" t="s">
        <v>5352</v>
      </c>
      <c r="T422" s="177" t="s">
        <v>5354</v>
      </c>
      <c r="U422" s="177">
        <f>UDV.crops.P_need</f>
        <v>55</v>
      </c>
      <c r="W422" s="177" t="s">
        <v>5353</v>
      </c>
      <c r="X422" s="193">
        <f>AA422/X419</f>
        <v>2.1004573074354367</v>
      </c>
      <c r="Y422" s="177" t="s">
        <v>5358</v>
      </c>
      <c r="Z422" s="177" t="s">
        <v>5354</v>
      </c>
      <c r="AA422" s="177">
        <f>UDV.crops.P_need</f>
        <v>55</v>
      </c>
    </row>
    <row r="423" spans="2:27" x14ac:dyDescent="0.3">
      <c r="B423" s="99" t="s">
        <v>5732</v>
      </c>
      <c r="C423" s="147" t="str">
        <f>VLOOKUP(B423,$R:$U,3,FALSE)</f>
        <v>Injection</v>
      </c>
      <c r="D423" t="s">
        <v>6992</v>
      </c>
      <c r="E423" s="99" t="str">
        <f>C423</f>
        <v>Injection</v>
      </c>
      <c r="F423" s="146" t="s">
        <v>6992</v>
      </c>
      <c r="G423"/>
      <c r="H423"/>
      <c r="K423"/>
      <c r="L423"/>
      <c r="P423"/>
      <c r="Q423" s="177" t="s">
        <v>5355</v>
      </c>
      <c r="R423" s="193">
        <f>U423/R420</f>
        <v>9.3329028697869845</v>
      </c>
      <c r="S423" s="177" t="s">
        <v>5352</v>
      </c>
      <c r="T423" s="182" t="s">
        <v>5356</v>
      </c>
      <c r="U423" s="182">
        <f>UDV.crops.K_need</f>
        <v>90</v>
      </c>
      <c r="W423" s="177" t="s">
        <v>5355</v>
      </c>
      <c r="X423" s="193">
        <f>AA423/X420</f>
        <v>3.2652404125532866</v>
      </c>
      <c r="Y423" s="177" t="s">
        <v>5358</v>
      </c>
      <c r="Z423" s="182" t="s">
        <v>5356</v>
      </c>
      <c r="AA423" s="182">
        <f>UDV.crops.K_need</f>
        <v>90</v>
      </c>
    </row>
    <row r="424" spans="2:27" x14ac:dyDescent="0.3">
      <c r="B424" s="99"/>
      <c r="C424" s="147"/>
      <c r="D424"/>
      <c r="E424" s="99"/>
      <c r="F424" s="146"/>
      <c r="G424"/>
      <c r="H424"/>
      <c r="K424"/>
      <c r="L424"/>
      <c r="P424"/>
      <c r="U424"/>
      <c r="W424"/>
    </row>
    <row r="425" spans="2:27" x14ac:dyDescent="0.3">
      <c r="B425" s="175" t="s">
        <v>7115</v>
      </c>
      <c r="C425" s="147"/>
      <c r="D425"/>
      <c r="E425" s="99"/>
      <c r="F425" s="146"/>
      <c r="G425"/>
      <c r="H425"/>
      <c r="K425"/>
      <c r="L425"/>
      <c r="P425"/>
      <c r="U425"/>
      <c r="W425"/>
    </row>
    <row r="426" spans="2:27" x14ac:dyDescent="0.3">
      <c r="B426" s="143" t="s">
        <v>2663</v>
      </c>
      <c r="C426" s="147"/>
      <c r="D426"/>
      <c r="E426" s="99"/>
      <c r="F426" s="146"/>
      <c r="G426"/>
      <c r="H426"/>
      <c r="K426"/>
      <c r="L426"/>
      <c r="P426"/>
      <c r="U426"/>
      <c r="W426"/>
    </row>
    <row r="427" spans="2:27" x14ac:dyDescent="0.3">
      <c r="B427" s="99" t="s">
        <v>6407</v>
      </c>
      <c r="C427" s="147">
        <f>VLOOKUP(B427,$R:$U,3,FALSE)</f>
        <v>29.332143674777534</v>
      </c>
      <c r="D427" t="s">
        <v>5385</v>
      </c>
      <c r="E427" s="178">
        <f>C427</f>
        <v>29.332143674777534</v>
      </c>
      <c r="F427" s="146" t="s">
        <v>5385</v>
      </c>
      <c r="G427"/>
      <c r="H427"/>
      <c r="K427"/>
      <c r="L427"/>
      <c r="P427"/>
      <c r="U427"/>
      <c r="W427"/>
    </row>
    <row r="428" spans="2:27" x14ac:dyDescent="0.3">
      <c r="B428" s="99" t="s">
        <v>6409</v>
      </c>
      <c r="C428" s="147">
        <f>VLOOKUP(B428,$R:$U,3,FALSE)</f>
        <v>946.46267270594763</v>
      </c>
      <c r="D428" t="s">
        <v>5323</v>
      </c>
      <c r="E428" s="178">
        <f>C428</f>
        <v>946.46267270594763</v>
      </c>
      <c r="F428" s="146" t="s">
        <v>5323</v>
      </c>
      <c r="G428"/>
      <c r="H428"/>
      <c r="K428"/>
      <c r="L428"/>
      <c r="P428"/>
      <c r="U428"/>
      <c r="W428"/>
    </row>
    <row r="429" spans="2:27" x14ac:dyDescent="0.3">
      <c r="B429" s="99" t="s">
        <v>6390</v>
      </c>
      <c r="C429" s="205">
        <f>VLOOKUP(B429,$R:$U, 3, FALSE)</f>
        <v>5.8664287349555071</v>
      </c>
      <c r="D429" t="s">
        <v>2472</v>
      </c>
      <c r="E429" s="178">
        <f>C429</f>
        <v>5.8664287349555071</v>
      </c>
      <c r="F429" s="146" t="s">
        <v>2710</v>
      </c>
      <c r="G429"/>
      <c r="H429"/>
      <c r="K429"/>
      <c r="L429"/>
      <c r="P429"/>
      <c r="U429"/>
      <c r="W429"/>
    </row>
    <row r="430" spans="2:27" x14ac:dyDescent="0.3">
      <c r="B430" s="99"/>
      <c r="D430"/>
      <c r="E430" s="99"/>
      <c r="F430" s="146"/>
      <c r="G430"/>
      <c r="H430"/>
      <c r="K430"/>
      <c r="L430"/>
      <c r="P430"/>
      <c r="Q430" s="185" t="s">
        <v>5357</v>
      </c>
      <c r="R430" s="192">
        <f>IF(U417="P",VLOOKUP("Amount of manure needed for P2O5",Q421:R423,2,FALSE),VLOOKUP("Amount of manure needed for N",Q421:R423,2,FALSE))</f>
        <v>19.471910633955005</v>
      </c>
      <c r="S430" s="185" t="s">
        <v>5358</v>
      </c>
      <c r="T430" s="177" t="s">
        <v>5359</v>
      </c>
      <c r="U430" s="193">
        <f>E441</f>
        <v>10.541500613545347</v>
      </c>
      <c r="W430" s="185" t="s">
        <v>5357</v>
      </c>
      <c r="X430" s="192">
        <f>IF(AA417="P",VLOOKUP("Amount of manure needed for P2O5",W421:X423,2,FALSE),VLOOKUP("Amount of manure needed for N",W421:X423,2,FALSE))</f>
        <v>14.67309278023723</v>
      </c>
      <c r="Y430" s="185" t="s">
        <v>5358</v>
      </c>
      <c r="Z430" s="177" t="s">
        <v>5359</v>
      </c>
      <c r="AA430" s="378">
        <f>E455</f>
        <v>13.98908607537737</v>
      </c>
    </row>
    <row r="431" spans="2:27" x14ac:dyDescent="0.3">
      <c r="B431" s="175" t="s">
        <v>6380</v>
      </c>
      <c r="D431"/>
      <c r="E431" s="99"/>
      <c r="F431" s="146"/>
      <c r="G431"/>
      <c r="H431"/>
      <c r="K431"/>
      <c r="L431"/>
      <c r="P431"/>
      <c r="Q431" s="194" t="s">
        <v>5360</v>
      </c>
      <c r="R431" s="195">
        <f>R418*R430</f>
        <v>195</v>
      </c>
      <c r="S431" s="194" t="s">
        <v>5361</v>
      </c>
      <c r="T431" s="177" t="s">
        <v>5362</v>
      </c>
      <c r="U431" s="193">
        <f>E442</f>
        <v>6.3464155557997417</v>
      </c>
      <c r="W431" s="194" t="s">
        <v>5360</v>
      </c>
      <c r="X431" s="195">
        <f>X418*X430</f>
        <v>195</v>
      </c>
      <c r="Y431" s="194" t="s">
        <v>7160</v>
      </c>
      <c r="Z431" s="177" t="s">
        <v>5362</v>
      </c>
      <c r="AA431" s="193">
        <f>E456</f>
        <v>27.562920054201012</v>
      </c>
    </row>
    <row r="432" spans="2:27" x14ac:dyDescent="0.3">
      <c r="B432" s="143" t="s">
        <v>2663</v>
      </c>
      <c r="C432" s="144" t="s">
        <v>565</v>
      </c>
      <c r="D432" s="144" t="s">
        <v>6943</v>
      </c>
      <c r="E432" s="143" t="s">
        <v>565</v>
      </c>
      <c r="F432" s="145" t="s">
        <v>6944</v>
      </c>
      <c r="G432" s="1222" t="s">
        <v>6392</v>
      </c>
      <c r="H432" s="1215" t="s">
        <v>6993</v>
      </c>
      <c r="I432" s="142"/>
      <c r="J432" s="141"/>
      <c r="K432"/>
      <c r="L432"/>
      <c r="P432"/>
      <c r="Q432" s="194" t="s">
        <v>5363</v>
      </c>
      <c r="R432" s="195">
        <f>R419*R430</f>
        <v>117.39799472105072</v>
      </c>
      <c r="S432" s="194" t="s">
        <v>5361</v>
      </c>
      <c r="T432" s="182" t="s">
        <v>5364</v>
      </c>
      <c r="U432" s="196">
        <f>E443</f>
        <v>9.6433019024930857</v>
      </c>
      <c r="W432" s="194" t="s">
        <v>5363</v>
      </c>
      <c r="X432" s="195">
        <f>X419*X430</f>
        <v>384.21161908707518</v>
      </c>
      <c r="Y432" s="194" t="s">
        <v>7160</v>
      </c>
      <c r="Z432" s="182" t="s">
        <v>5364</v>
      </c>
      <c r="AA432" s="196">
        <f>E457</f>
        <v>27.563054669418239</v>
      </c>
    </row>
    <row r="433" spans="1:27" x14ac:dyDescent="0.3">
      <c r="B433" s="99" t="s">
        <v>6401</v>
      </c>
      <c r="C433" s="147">
        <f t="shared" ref="C433:C443" si="10">VLOOKUP(B433,$R:$U,3,FALSE)</f>
        <v>182.5</v>
      </c>
      <c r="D433" t="s">
        <v>5121</v>
      </c>
      <c r="E433" s="201">
        <f>UC.year_to_day/C433</f>
        <v>2</v>
      </c>
      <c r="F433" s="146" t="s">
        <v>6994</v>
      </c>
      <c r="G433" s="42" t="s">
        <v>7117</v>
      </c>
      <c r="H433" s="92" t="s">
        <v>4838</v>
      </c>
      <c r="I433" s="1216" t="s">
        <v>2710</v>
      </c>
      <c r="J433" s="285">
        <f>(SUM(E434:E435)*UDV.OPEX_labor.tractor_stationary)+(E436*UDV.OPEX_labor.tractor_active)+E429</f>
        <v>10.871040768006885</v>
      </c>
      <c r="K433"/>
      <c r="L433"/>
      <c r="P433"/>
      <c r="Q433" s="197" t="s">
        <v>5365</v>
      </c>
      <c r="R433" s="198">
        <f>R420*R430</f>
        <v>187.77351286159364</v>
      </c>
      <c r="S433" s="197" t="s">
        <v>5361</v>
      </c>
      <c r="U433"/>
      <c r="W433" s="197" t="s">
        <v>5365</v>
      </c>
      <c r="X433" s="198">
        <f>X420*X430</f>
        <v>404.43525847112483</v>
      </c>
      <c r="Y433" s="197" t="s">
        <v>7160</v>
      </c>
    </row>
    <row r="434" spans="1:27" x14ac:dyDescent="0.3">
      <c r="B434" s="99" t="s">
        <v>5679</v>
      </c>
      <c r="C434" s="147">
        <f t="shared" si="10"/>
        <v>2.5263916122335059</v>
      </c>
      <c r="D434" t="s">
        <v>6085</v>
      </c>
      <c r="E434" s="178">
        <f>C434*E433</f>
        <v>5.0527832244670119</v>
      </c>
      <c r="F434" s="146" t="s">
        <v>2710</v>
      </c>
      <c r="G434" s="42" t="s">
        <v>7118</v>
      </c>
      <c r="H434" s="1217" t="s">
        <v>5444</v>
      </c>
      <c r="I434" s="1216" t="s">
        <v>6085</v>
      </c>
      <c r="J434" s="285">
        <f>(SUM(E448:E449)*UDV.OPEX_labor.tractor_stationary)+(E450*UDV.OPEX_labor.tractor_active)</f>
        <v>53.159039873624167</v>
      </c>
      <c r="K434"/>
      <c r="L434"/>
      <c r="P434"/>
      <c r="Q434" s="177" t="s">
        <v>5366</v>
      </c>
      <c r="R434" s="188">
        <f>IF(U421&lt;R431,U421,R431)</f>
        <v>195</v>
      </c>
      <c r="S434" s="177" t="s">
        <v>5361</v>
      </c>
      <c r="T434" s="199" t="s">
        <v>5367</v>
      </c>
      <c r="U434" s="177"/>
      <c r="W434" s="177" t="s">
        <v>5366</v>
      </c>
      <c r="X434" s="188">
        <f>IF(AA421&lt;X431,AA421,X431)</f>
        <v>195</v>
      </c>
      <c r="Y434" s="177" t="s">
        <v>7161</v>
      </c>
      <c r="Z434" s="177"/>
      <c r="AA434" s="177"/>
    </row>
    <row r="435" spans="1:27" x14ac:dyDescent="0.3">
      <c r="B435" s="99" t="s">
        <v>5667</v>
      </c>
      <c r="C435" s="147">
        <f t="shared" si="10"/>
        <v>0.26442236536853042</v>
      </c>
      <c r="D435" t="s">
        <v>6085</v>
      </c>
      <c r="E435" s="178">
        <f>C435*E433</f>
        <v>0.52884473073706084</v>
      </c>
      <c r="F435" s="146" t="s">
        <v>2710</v>
      </c>
      <c r="G435" s="42" t="s">
        <v>7119</v>
      </c>
      <c r="H435" s="1218" t="s">
        <v>5445</v>
      </c>
      <c r="I435" s="1216" t="s">
        <v>6995</v>
      </c>
      <c r="J435" s="285">
        <f>SUM(J433:J434)</f>
        <v>64.030080641631059</v>
      </c>
      <c r="K435"/>
      <c r="L435"/>
      <c r="P435"/>
      <c r="Q435" s="177" t="s">
        <v>5368</v>
      </c>
      <c r="R435" s="188">
        <f>IF(U422&lt;R432,U422,R432)</f>
        <v>55</v>
      </c>
      <c r="S435" s="177" t="s">
        <v>5361</v>
      </c>
      <c r="T435" s="199" t="s">
        <v>5369</v>
      </c>
      <c r="U435" s="177"/>
      <c r="W435" s="177" t="s">
        <v>5368</v>
      </c>
      <c r="X435" s="188">
        <f>IF(AA422&lt;X432,AA422,X432)</f>
        <v>55</v>
      </c>
      <c r="Y435" s="177" t="s">
        <v>7161</v>
      </c>
      <c r="Z435" s="177"/>
      <c r="AA435" s="177"/>
    </row>
    <row r="436" spans="1:27" x14ac:dyDescent="0.3">
      <c r="B436" s="99" t="s">
        <v>5654</v>
      </c>
      <c r="C436" s="147">
        <f t="shared" si="10"/>
        <v>2.0211132897868049</v>
      </c>
      <c r="D436" t="s">
        <v>6085</v>
      </c>
      <c r="E436" s="178">
        <f>C436*E433</f>
        <v>4.0422265795736099</v>
      </c>
      <c r="F436" s="146" t="s">
        <v>2710</v>
      </c>
      <c r="G436" s="42" t="s">
        <v>7120</v>
      </c>
      <c r="H436" s="1219" t="s">
        <v>5446</v>
      </c>
      <c r="I436" s="1220" t="s">
        <v>5447</v>
      </c>
      <c r="J436" s="1221">
        <f>J433+(J434/UDV.anaer_lagoon.sludge_time)</f>
        <v>16.186944755369304</v>
      </c>
      <c r="K436"/>
      <c r="L436"/>
      <c r="P436"/>
      <c r="Q436" s="182" t="s">
        <v>5370</v>
      </c>
      <c r="R436" s="191">
        <f>IF(U423&lt;R433,U423,R433)</f>
        <v>90</v>
      </c>
      <c r="S436" s="182" t="s">
        <v>5361</v>
      </c>
      <c r="T436" s="199" t="s">
        <v>5371</v>
      </c>
      <c r="U436" s="177"/>
      <c r="W436" s="182" t="s">
        <v>5370</v>
      </c>
      <c r="X436" s="191">
        <f>IF(AA423&lt;X433,AA423,X433)</f>
        <v>90</v>
      </c>
      <c r="Y436" s="182" t="s">
        <v>7161</v>
      </c>
      <c r="Z436" s="177"/>
      <c r="AA436" s="177"/>
    </row>
    <row r="437" spans="1:27" x14ac:dyDescent="0.3">
      <c r="B437" s="99" t="s">
        <v>5682</v>
      </c>
      <c r="C437" s="147">
        <f t="shared" si="10"/>
        <v>17.785796950123881</v>
      </c>
      <c r="D437" t="s">
        <v>2489</v>
      </c>
      <c r="E437" s="178">
        <f>C437*E433</f>
        <v>35.571593900247763</v>
      </c>
      <c r="F437" s="146" t="s">
        <v>5324</v>
      </c>
      <c r="G437"/>
      <c r="H437"/>
      <c r="K437"/>
      <c r="L437"/>
      <c r="P437"/>
      <c r="Q437" s="177" t="s">
        <v>5372</v>
      </c>
      <c r="R437" s="189">
        <f>UDV.econ_fertilizer.N</f>
        <v>0.53</v>
      </c>
      <c r="S437" s="177" t="s">
        <v>2299</v>
      </c>
      <c r="T437" s="177"/>
      <c r="U437" s="177"/>
      <c r="W437" s="177" t="s">
        <v>5372</v>
      </c>
      <c r="X437" s="189">
        <f>UDV.econ_fertilizer.N</f>
        <v>0.53</v>
      </c>
      <c r="Y437" s="177" t="s">
        <v>2299</v>
      </c>
      <c r="Z437" s="177"/>
      <c r="AA437" s="177"/>
    </row>
    <row r="438" spans="1:27" x14ac:dyDescent="0.3">
      <c r="B438" s="99" t="s">
        <v>5672</v>
      </c>
      <c r="C438" s="147">
        <f t="shared" si="10"/>
        <v>2.0942251337187607</v>
      </c>
      <c r="D438" t="s">
        <v>2489</v>
      </c>
      <c r="E438" s="178">
        <f>C438*E433</f>
        <v>4.1884502674375215</v>
      </c>
      <c r="F438" s="146" t="s">
        <v>5324</v>
      </c>
      <c r="G438"/>
      <c r="H438"/>
      <c r="K438"/>
      <c r="L438"/>
      <c r="P438"/>
      <c r="Q438" s="177" t="s">
        <v>5373</v>
      </c>
      <c r="R438" s="189">
        <f>UDV.econ_fertilizer.P2O5</f>
        <v>0.53</v>
      </c>
      <c r="S438" s="177" t="s">
        <v>2299</v>
      </c>
      <c r="T438" s="177"/>
      <c r="U438" s="177"/>
      <c r="W438" s="177" t="s">
        <v>5373</v>
      </c>
      <c r="X438" s="189">
        <f>UDV.econ_fertilizer.P2O5</f>
        <v>0.53</v>
      </c>
      <c r="Y438" s="177" t="s">
        <v>2299</v>
      </c>
      <c r="Z438" s="177"/>
      <c r="AA438" s="177"/>
    </row>
    <row r="439" spans="1:27" x14ac:dyDescent="0.3">
      <c r="B439" s="99" t="s">
        <v>5660</v>
      </c>
      <c r="C439" s="147">
        <f t="shared" si="10"/>
        <v>22.232246187654855</v>
      </c>
      <c r="D439" t="s">
        <v>2489</v>
      </c>
      <c r="E439" s="178">
        <f>C439*E433</f>
        <v>44.46449237530971</v>
      </c>
      <c r="F439" s="146" t="s">
        <v>5324</v>
      </c>
      <c r="G439"/>
      <c r="H439"/>
      <c r="K439"/>
      <c r="L439"/>
      <c r="P439"/>
      <c r="Q439" s="182" t="s">
        <v>5374</v>
      </c>
      <c r="R439" s="190">
        <f>UDV.econ_fertilizer.K2O</f>
        <v>0.45</v>
      </c>
      <c r="S439" s="182" t="s">
        <v>2299</v>
      </c>
      <c r="T439" s="177"/>
      <c r="U439" s="177"/>
      <c r="W439" s="182" t="s">
        <v>5374</v>
      </c>
      <c r="X439" s="190">
        <f>UDV.econ_fertilizer.K2O</f>
        <v>0.45</v>
      </c>
      <c r="Y439" s="182" t="s">
        <v>2299</v>
      </c>
      <c r="Z439" s="177"/>
      <c r="AA439" s="177"/>
    </row>
    <row r="440" spans="1:27" x14ac:dyDescent="0.3">
      <c r="B440" s="99" t="s">
        <v>6403</v>
      </c>
      <c r="C440" s="147">
        <f t="shared" si="10"/>
        <v>1201.1370470114557</v>
      </c>
      <c r="D440" t="s">
        <v>5910</v>
      </c>
      <c r="E440" s="164">
        <f>CONVERT(C440,"m^3","gal")*E433</f>
        <v>634613.67774484411</v>
      </c>
      <c r="F440" s="146" t="s">
        <v>5324</v>
      </c>
      <c r="G440"/>
      <c r="H440"/>
      <c r="K440"/>
      <c r="L440"/>
      <c r="P440"/>
      <c r="Q440" s="177" t="s">
        <v>5375</v>
      </c>
      <c r="R440" s="193">
        <f>R434*R437</f>
        <v>103.35000000000001</v>
      </c>
      <c r="S440" s="177" t="s">
        <v>5376</v>
      </c>
      <c r="T440" s="177"/>
      <c r="U440" s="177"/>
      <c r="W440" s="177" t="s">
        <v>5375</v>
      </c>
      <c r="X440" s="193">
        <f>X434*X437</f>
        <v>103.35000000000001</v>
      </c>
      <c r="Y440" s="177" t="s">
        <v>2813</v>
      </c>
      <c r="Z440" s="177"/>
      <c r="AA440" s="177"/>
    </row>
    <row r="441" spans="1:27" x14ac:dyDescent="0.3">
      <c r="A441" t="str">
        <f>_xlfn.CONCAT("Liquids",B441)</f>
        <v>LiquidsN removed, lagoon</v>
      </c>
      <c r="B441" s="99" t="s">
        <v>6404</v>
      </c>
      <c r="C441" s="78">
        <f t="shared" si="10"/>
        <v>1.2631516089310184</v>
      </c>
      <c r="D441" t="s">
        <v>2413</v>
      </c>
      <c r="E441" s="201">
        <f>C441*S402/(S404*S406)</f>
        <v>10.541500613545347</v>
      </c>
      <c r="F441" s="146" t="s">
        <v>2414</v>
      </c>
      <c r="G441"/>
      <c r="H441"/>
      <c r="K441"/>
      <c r="L441"/>
      <c r="P441"/>
      <c r="Q441" s="177" t="s">
        <v>5377</v>
      </c>
      <c r="R441" s="193">
        <f>R435*R438</f>
        <v>29.150000000000002</v>
      </c>
      <c r="S441" s="177" t="s">
        <v>5376</v>
      </c>
      <c r="T441" s="177"/>
      <c r="U441" s="177"/>
      <c r="W441" s="177" t="s">
        <v>5377</v>
      </c>
      <c r="X441" s="193">
        <f>X435*X438</f>
        <v>29.150000000000002</v>
      </c>
      <c r="Y441" s="177" t="s">
        <v>2813</v>
      </c>
      <c r="Z441" s="177"/>
      <c r="AA441" s="177"/>
    </row>
    <row r="442" spans="1:27" x14ac:dyDescent="0.3">
      <c r="A442" t="str">
        <f t="shared" ref="A442:A443" si="11">_xlfn.CONCAT("Liquids",B442)</f>
        <v>LiquidsP2O5 removed, lagoon</v>
      </c>
      <c r="B442" s="99" t="s">
        <v>6405</v>
      </c>
      <c r="C442" s="78">
        <f t="shared" si="10"/>
        <v>0.76046905598548931</v>
      </c>
      <c r="D442" t="s">
        <v>2413</v>
      </c>
      <c r="E442" s="201">
        <f>C442*S402/(S404*S406)</f>
        <v>6.3464155557997417</v>
      </c>
      <c r="F442" s="146" t="s">
        <v>2414</v>
      </c>
      <c r="G442"/>
      <c r="H442"/>
      <c r="K442"/>
      <c r="L442"/>
      <c r="P442"/>
      <c r="Q442" s="182" t="s">
        <v>5378</v>
      </c>
      <c r="R442" s="196">
        <f>R436*R439</f>
        <v>40.5</v>
      </c>
      <c r="S442" s="182" t="s">
        <v>5376</v>
      </c>
      <c r="T442" s="177"/>
      <c r="U442" s="177"/>
      <c r="W442" s="182" t="s">
        <v>5378</v>
      </c>
      <c r="X442" s="196">
        <f>X436*X439</f>
        <v>40.5</v>
      </c>
      <c r="Y442" s="182" t="s">
        <v>2813</v>
      </c>
      <c r="Z442" s="177"/>
      <c r="AA442" s="177"/>
    </row>
    <row r="443" spans="1:27" x14ac:dyDescent="0.3">
      <c r="A443" t="str">
        <f t="shared" si="11"/>
        <v>LiquidsK2O removed, lagoon</v>
      </c>
      <c r="B443" s="99" t="s">
        <v>6406</v>
      </c>
      <c r="C443" s="78">
        <f t="shared" si="10"/>
        <v>1.1555235596998139</v>
      </c>
      <c r="D443" t="s">
        <v>2413</v>
      </c>
      <c r="E443" s="201">
        <f>C443*S402/(S404*S406)</f>
        <v>9.6433019024930857</v>
      </c>
      <c r="F443" s="146" t="s">
        <v>2414</v>
      </c>
      <c r="G443"/>
      <c r="H443"/>
      <c r="K443"/>
      <c r="L443"/>
      <c r="P443"/>
      <c r="Q443" s="185" t="s">
        <v>5379</v>
      </c>
      <c r="R443" s="202">
        <f>SUM(R440:R442)</f>
        <v>173</v>
      </c>
      <c r="S443" s="185" t="s">
        <v>5376</v>
      </c>
      <c r="T443" s="177"/>
      <c r="U443" s="177"/>
      <c r="W443" s="185" t="s">
        <v>5379</v>
      </c>
      <c r="X443" s="202">
        <f>SUM(X440:X442)</f>
        <v>173</v>
      </c>
      <c r="Y443" s="185" t="s">
        <v>2813</v>
      </c>
      <c r="Z443" s="177"/>
      <c r="AA443" s="177"/>
    </row>
    <row r="444" spans="1:27" x14ac:dyDescent="0.3">
      <c r="B444" s="99"/>
      <c r="D444"/>
      <c r="E444" s="99"/>
      <c r="F444" s="146"/>
      <c r="G444"/>
      <c r="H444"/>
      <c r="K444"/>
      <c r="L444"/>
      <c r="P444"/>
      <c r="Q444" s="185" t="s">
        <v>5380</v>
      </c>
      <c r="R444" s="202">
        <f>R443/R430</f>
        <v>8.8845929530060399</v>
      </c>
      <c r="S444" s="203" t="s">
        <v>2314</v>
      </c>
      <c r="T444" s="177"/>
      <c r="U444" s="177"/>
      <c r="W444" s="185" t="s">
        <v>5380</v>
      </c>
      <c r="X444" s="202">
        <f>X443/X430</f>
        <v>11.790288699939849</v>
      </c>
      <c r="Y444" s="203" t="s">
        <v>2314</v>
      </c>
      <c r="Z444" s="177"/>
      <c r="AA444" s="177"/>
    </row>
    <row r="445" spans="1:27" x14ac:dyDescent="0.3">
      <c r="B445" s="175" t="s">
        <v>263</v>
      </c>
      <c r="D445"/>
      <c r="E445" s="99"/>
      <c r="F445" s="146"/>
      <c r="G445"/>
      <c r="H445"/>
      <c r="K445"/>
      <c r="L445"/>
      <c r="P445"/>
      <c r="Q445" s="186" t="s">
        <v>5381</v>
      </c>
      <c r="R445" s="204">
        <f>R431-R434</f>
        <v>0</v>
      </c>
      <c r="S445" s="186" t="s">
        <v>5361</v>
      </c>
      <c r="T445" s="34"/>
      <c r="U445"/>
      <c r="W445" s="186" t="s">
        <v>5381</v>
      </c>
      <c r="X445" s="204">
        <f>X431-X434</f>
        <v>0</v>
      </c>
      <c r="Y445" s="186" t="s">
        <v>7161</v>
      </c>
    </row>
    <row r="446" spans="1:27" x14ac:dyDescent="0.3">
      <c r="B446" s="143" t="s">
        <v>2663</v>
      </c>
      <c r="C446" s="144" t="s">
        <v>565</v>
      </c>
      <c r="D446" s="144" t="s">
        <v>6943</v>
      </c>
      <c r="E446" s="143" t="s">
        <v>565</v>
      </c>
      <c r="F446" s="145" t="s">
        <v>6944</v>
      </c>
      <c r="G446"/>
      <c r="H446"/>
      <c r="K446"/>
      <c r="L446"/>
      <c r="P446"/>
      <c r="Q446" s="177" t="s">
        <v>5382</v>
      </c>
      <c r="R446" s="205">
        <f>R432-R435</f>
        <v>62.397994721050722</v>
      </c>
      <c r="S446" s="177" t="s">
        <v>5361</v>
      </c>
      <c r="T446" s="34"/>
      <c r="U446"/>
      <c r="W446" s="177" t="s">
        <v>5382</v>
      </c>
      <c r="X446" s="205">
        <f>X432-X435</f>
        <v>329.21161908707518</v>
      </c>
      <c r="Y446" s="177" t="s">
        <v>7161</v>
      </c>
    </row>
    <row r="447" spans="1:27" x14ac:dyDescent="0.3">
      <c r="B447" s="99" t="s">
        <v>6416</v>
      </c>
      <c r="C447" s="382">
        <f t="shared" ref="C447:C457" si="12">VLOOKUP(B447,$X:$AA,3,FALSE)</f>
        <v>10</v>
      </c>
      <c r="D447" t="s">
        <v>2669</v>
      </c>
      <c r="E447" s="99">
        <f t="shared" ref="E447:E453" si="13">C447</f>
        <v>10</v>
      </c>
      <c r="F447" s="146" t="s">
        <v>2669</v>
      </c>
      <c r="G447"/>
      <c r="H447"/>
      <c r="K447"/>
      <c r="L447"/>
      <c r="P447"/>
      <c r="Q447" s="182" t="s">
        <v>5383</v>
      </c>
      <c r="R447" s="209">
        <f>R433-R436</f>
        <v>97.773512861593645</v>
      </c>
      <c r="S447" s="182" t="s">
        <v>5361</v>
      </c>
      <c r="U447"/>
      <c r="W447" s="182" t="s">
        <v>5383</v>
      </c>
      <c r="X447" s="209">
        <f>X433-X436</f>
        <v>314.43525847112483</v>
      </c>
      <c r="Y447" s="182" t="s">
        <v>7161</v>
      </c>
    </row>
    <row r="448" spans="1:27" x14ac:dyDescent="0.3">
      <c r="B448" s="99" t="s">
        <v>5679</v>
      </c>
      <c r="C448" s="382">
        <f t="shared" si="12"/>
        <v>53.670714758372903</v>
      </c>
      <c r="D448" t="s">
        <v>6085</v>
      </c>
      <c r="E448" s="178">
        <f t="shared" si="13"/>
        <v>53.670714758372903</v>
      </c>
      <c r="F448" s="146" t="s">
        <v>6085</v>
      </c>
      <c r="G448"/>
      <c r="H448"/>
      <c r="K448"/>
      <c r="L448"/>
      <c r="P448"/>
      <c r="Q448" s="186" t="s">
        <v>5384</v>
      </c>
      <c r="R448" s="211">
        <f>R414/R430</f>
        <v>32.591238203312649</v>
      </c>
      <c r="S448" s="212" t="s">
        <v>5385</v>
      </c>
      <c r="U448"/>
      <c r="W448" s="186" t="s">
        <v>5384</v>
      </c>
      <c r="X448" s="211">
        <f>X414/X430</f>
        <v>81.478095508281584</v>
      </c>
      <c r="Y448" s="212" t="s">
        <v>7162</v>
      </c>
    </row>
    <row r="449" spans="1:26" x14ac:dyDescent="0.3">
      <c r="B449" s="99" t="s">
        <v>5667</v>
      </c>
      <c r="C449" s="382">
        <f t="shared" si="12"/>
        <v>5.6173941041872641</v>
      </c>
      <c r="D449" t="s">
        <v>6085</v>
      </c>
      <c r="E449" s="178">
        <f t="shared" si="13"/>
        <v>5.6173941041872641</v>
      </c>
      <c r="F449" s="146" t="s">
        <v>6085</v>
      </c>
      <c r="G449"/>
      <c r="H449"/>
      <c r="K449"/>
      <c r="L449"/>
      <c r="P449"/>
      <c r="Q449" s="177" t="s">
        <v>5386</v>
      </c>
      <c r="R449" s="124">
        <f>UDV.crops.acres_available</f>
        <v>100</v>
      </c>
      <c r="S449" s="194" t="s">
        <v>5385</v>
      </c>
      <c r="U449" s="219"/>
      <c r="W449" s="177" t="s">
        <v>5386</v>
      </c>
      <c r="X449" s="221">
        <f>UDV.crops.acres_available-R450</f>
        <v>67.408761796687344</v>
      </c>
      <c r="Y449" s="194" t="s">
        <v>7162</v>
      </c>
    </row>
    <row r="450" spans="1:26" x14ac:dyDescent="0.3">
      <c r="B450" s="99" t="s">
        <v>5654</v>
      </c>
      <c r="C450" s="382">
        <f t="shared" si="12"/>
        <v>42.936571806698318</v>
      </c>
      <c r="D450" t="s">
        <v>6085</v>
      </c>
      <c r="E450" s="178">
        <f t="shared" si="13"/>
        <v>42.936571806698318</v>
      </c>
      <c r="F450" s="146" t="s">
        <v>6085</v>
      </c>
      <c r="G450"/>
      <c r="H450"/>
      <c r="K450"/>
      <c r="L450"/>
      <c r="P450"/>
      <c r="Q450" s="177" t="s">
        <v>5387</v>
      </c>
      <c r="R450" s="221">
        <f>IF(R448&lt;R449,R448,R449)</f>
        <v>32.591238203312649</v>
      </c>
      <c r="S450" s="194" t="s">
        <v>5385</v>
      </c>
      <c r="U450"/>
      <c r="W450" s="177" t="s">
        <v>7163</v>
      </c>
      <c r="X450" s="221">
        <f>IF(X448&lt;X449,X448,X449)</f>
        <v>67.408761796687344</v>
      </c>
      <c r="Y450" s="194" t="s">
        <v>7162</v>
      </c>
    </row>
    <row r="451" spans="1:26" x14ac:dyDescent="0.3">
      <c r="B451" s="99" t="s">
        <v>5682</v>
      </c>
      <c r="C451" s="382">
        <f t="shared" si="12"/>
        <v>377.8418318989452</v>
      </c>
      <c r="D451" t="s">
        <v>2489</v>
      </c>
      <c r="E451" s="178">
        <f t="shared" si="13"/>
        <v>377.8418318989452</v>
      </c>
      <c r="F451" s="146" t="s">
        <v>2489</v>
      </c>
      <c r="G451"/>
      <c r="H451"/>
      <c r="K451"/>
      <c r="L451"/>
      <c r="P451"/>
      <c r="Q451" s="177" t="s">
        <v>5388</v>
      </c>
      <c r="R451" s="148">
        <f>R430*R449</f>
        <v>1947.1910633955006</v>
      </c>
      <c r="S451" s="177" t="s">
        <v>5246</v>
      </c>
      <c r="U451"/>
      <c r="W451" s="177" t="s">
        <v>5388</v>
      </c>
      <c r="X451" s="148">
        <f>X430*X449</f>
        <v>989.09501604370428</v>
      </c>
      <c r="Y451" s="177" t="s">
        <v>7154</v>
      </c>
      <c r="Z451" s="34"/>
    </row>
    <row r="452" spans="1:26" x14ac:dyDescent="0.3">
      <c r="B452" s="99" t="s">
        <v>5672</v>
      </c>
      <c r="C452" s="382">
        <f t="shared" si="12"/>
        <v>44.489761305163128</v>
      </c>
      <c r="D452" t="s">
        <v>2489</v>
      </c>
      <c r="E452" s="178">
        <f t="shared" si="13"/>
        <v>44.489761305163128</v>
      </c>
      <c r="F452" s="146" t="s">
        <v>2489</v>
      </c>
      <c r="G452"/>
      <c r="H452"/>
      <c r="K452"/>
      <c r="L452"/>
      <c r="P452"/>
      <c r="Q452" s="224" t="s">
        <v>5389</v>
      </c>
      <c r="R452" s="225">
        <f>IF(R414&gt;R451,R451,R414)</f>
        <v>634.61367774484415</v>
      </c>
      <c r="S452" s="226" t="s">
        <v>5246</v>
      </c>
      <c r="U452" s="219"/>
      <c r="W452" s="383" t="s">
        <v>5389</v>
      </c>
      <c r="X452" s="225">
        <f>IF(X414&gt;X451,X451,X414)</f>
        <v>989.09501604370428</v>
      </c>
      <c r="Y452" s="226" t="s">
        <v>7154</v>
      </c>
    </row>
    <row r="453" spans="1:26" x14ac:dyDescent="0.3">
      <c r="B453" s="99" t="s">
        <v>5660</v>
      </c>
      <c r="C453" s="382">
        <f t="shared" si="12"/>
        <v>472.3022898736815</v>
      </c>
      <c r="D453" t="s">
        <v>2489</v>
      </c>
      <c r="E453" s="178">
        <f t="shared" si="13"/>
        <v>472.3022898736815</v>
      </c>
      <c r="F453" s="146" t="s">
        <v>2489</v>
      </c>
      <c r="G453"/>
      <c r="H453"/>
      <c r="K453"/>
      <c r="L453"/>
      <c r="P453"/>
      <c r="Q453" s="185" t="s">
        <v>5390</v>
      </c>
      <c r="R453" s="227">
        <f>R414-R452</f>
        <v>0</v>
      </c>
      <c r="S453" s="228" t="s">
        <v>5246</v>
      </c>
      <c r="T453" s="34"/>
      <c r="U453"/>
      <c r="W453" s="381" t="s">
        <v>5390</v>
      </c>
      <c r="X453" s="227">
        <f>X414-X452</f>
        <v>206.44063890634163</v>
      </c>
      <c r="Y453" s="228" t="s">
        <v>7154</v>
      </c>
    </row>
    <row r="454" spans="1:26" x14ac:dyDescent="0.3">
      <c r="B454" s="99" t="s">
        <v>6418</v>
      </c>
      <c r="C454" s="382">
        <f t="shared" si="12"/>
        <v>4525.5947564400622</v>
      </c>
      <c r="D454" t="s">
        <v>5910</v>
      </c>
      <c r="E454" s="164">
        <f>CONVERT(C454,"m^3","gal")</f>
        <v>1195535.654950046</v>
      </c>
      <c r="F454" s="146" t="s">
        <v>2489</v>
      </c>
      <c r="G454"/>
      <c r="H454"/>
      <c r="K454"/>
      <c r="L454"/>
      <c r="P454"/>
      <c r="U454"/>
      <c r="W454"/>
    </row>
    <row r="455" spans="1:26" x14ac:dyDescent="0.3">
      <c r="A455" t="str">
        <f>_xlfn.CONCAT("Sludge",B455)</f>
        <v>SludgeN removed, lagoon</v>
      </c>
      <c r="B455" s="99" t="s">
        <v>6404</v>
      </c>
      <c r="C455" s="382">
        <f t="shared" si="12"/>
        <v>1.6762638671084318</v>
      </c>
      <c r="D455" t="s">
        <v>2413</v>
      </c>
      <c r="E455" s="201">
        <f>C455*S402/(S404*S406)</f>
        <v>13.98908607537737</v>
      </c>
      <c r="F455" s="146" t="s">
        <v>2414</v>
      </c>
      <c r="G455"/>
      <c r="H455"/>
      <c r="K455"/>
      <c r="L455"/>
      <c r="P455"/>
      <c r="U455"/>
      <c r="W455"/>
    </row>
    <row r="456" spans="1:26" x14ac:dyDescent="0.3">
      <c r="A456" t="str">
        <f t="shared" ref="A456:A457" si="14">_xlfn.CONCAT("Sludge",B456)</f>
        <v>SludgeP2O5 removed, lagoon</v>
      </c>
      <c r="B456" s="99" t="s">
        <v>6405</v>
      </c>
      <c r="C456" s="382">
        <f t="shared" si="12"/>
        <v>3.3027695097379093</v>
      </c>
      <c r="D456" t="s">
        <v>2413</v>
      </c>
      <c r="E456" s="201">
        <f>C456*S402/(S404*S406)</f>
        <v>27.562920054201012</v>
      </c>
      <c r="F456" s="146" t="s">
        <v>2414</v>
      </c>
      <c r="G456"/>
      <c r="H456"/>
      <c r="K456"/>
      <c r="L456"/>
      <c r="P456"/>
      <c r="Q456" s="376" t="s">
        <v>7164</v>
      </c>
      <c r="R456" s="662">
        <f>R445*R450</f>
        <v>0</v>
      </c>
      <c r="S456" s="855" t="s">
        <v>5346</v>
      </c>
      <c r="U456"/>
      <c r="W456" s="376" t="s">
        <v>7164</v>
      </c>
      <c r="X456" s="662">
        <f>X445*X450/VLOOKUP("Interval between sludge removal",$X:$AA,3,FALSE)</f>
        <v>0</v>
      </c>
      <c r="Y456" s="855" t="s">
        <v>5346</v>
      </c>
    </row>
    <row r="457" spans="1:26" x14ac:dyDescent="0.3">
      <c r="A457" t="str">
        <f t="shared" si="14"/>
        <v>SludgeK2O removed, lagoon</v>
      </c>
      <c r="B457" s="99" t="s">
        <v>6406</v>
      </c>
      <c r="C457" s="382">
        <f t="shared" si="12"/>
        <v>3.3027856402144384</v>
      </c>
      <c r="D457" t="s">
        <v>2413</v>
      </c>
      <c r="E457" s="201">
        <f>C457*S402/(S404*S406)</f>
        <v>27.563054669418239</v>
      </c>
      <c r="F457" s="146" t="s">
        <v>2414</v>
      </c>
      <c r="G457"/>
      <c r="H457"/>
      <c r="K457"/>
      <c r="L457"/>
      <c r="P457"/>
      <c r="Q457" s="174" t="s">
        <v>7165</v>
      </c>
      <c r="R457" s="278">
        <f>R446*R450</f>
        <v>2033.6279093628093</v>
      </c>
      <c r="S457" s="856" t="s">
        <v>5346</v>
      </c>
      <c r="U457"/>
      <c r="W457" s="174" t="s">
        <v>7165</v>
      </c>
      <c r="X457" s="278">
        <f>X446*X450/VLOOKUP("Interval between sludge removal",$X:$AA,3,FALSE)</f>
        <v>2219.1747611742421</v>
      </c>
      <c r="Y457" s="856" t="s">
        <v>5346</v>
      </c>
    </row>
    <row r="458" spans="1:26" x14ac:dyDescent="0.3">
      <c r="B458" s="99"/>
      <c r="D458"/>
      <c r="E458" s="99"/>
      <c r="F458" s="146"/>
      <c r="G458"/>
      <c r="H458"/>
      <c r="K458"/>
      <c r="L458"/>
      <c r="P458"/>
      <c r="Q458" s="377" t="s">
        <v>7166</v>
      </c>
      <c r="R458" s="359">
        <f>R447*R450</f>
        <v>3186.5598476468513</v>
      </c>
      <c r="S458" s="778" t="s">
        <v>5346</v>
      </c>
      <c r="U458"/>
      <c r="W458" s="377" t="s">
        <v>7166</v>
      </c>
      <c r="X458" s="359">
        <f>X447*X450/VLOOKUP("Interval between sludge removal",$X:$AA,3,FALSE)</f>
        <v>2119.5691438759868</v>
      </c>
      <c r="Y458" s="778" t="s">
        <v>5346</v>
      </c>
    </row>
    <row r="459" spans="1:26" x14ac:dyDescent="0.3">
      <c r="B459" s="92" t="s">
        <v>6996</v>
      </c>
      <c r="D459"/>
      <c r="E459" s="99"/>
      <c r="F459" s="146"/>
      <c r="G459"/>
      <c r="H459"/>
      <c r="K459"/>
      <c r="L459"/>
      <c r="P459"/>
      <c r="U459"/>
      <c r="W459"/>
    </row>
    <row r="460" spans="1:26" x14ac:dyDescent="0.3">
      <c r="B460" s="143" t="s">
        <v>2663</v>
      </c>
      <c r="C460" s="144" t="s">
        <v>565</v>
      </c>
      <c r="D460" s="144" t="s">
        <v>6943</v>
      </c>
      <c r="E460" s="143" t="s">
        <v>565</v>
      </c>
      <c r="F460" s="145" t="s">
        <v>6944</v>
      </c>
      <c r="G460"/>
      <c r="H460"/>
      <c r="K460"/>
      <c r="L460"/>
      <c r="P460"/>
      <c r="U460"/>
      <c r="W460"/>
    </row>
    <row r="461" spans="1:26" x14ac:dyDescent="0.3">
      <c r="B461" s="99" t="s">
        <v>7076</v>
      </c>
      <c r="D461"/>
      <c r="E461" s="357">
        <f>UDV.electricity.avg_cost</f>
        <v>6.8591666666666662E-2</v>
      </c>
      <c r="F461" s="146" t="s">
        <v>2306</v>
      </c>
      <c r="G461"/>
      <c r="H461"/>
      <c r="K461"/>
      <c r="L461"/>
      <c r="P461"/>
      <c r="U461"/>
      <c r="W461"/>
    </row>
    <row r="462" spans="1:26" x14ac:dyDescent="0.3">
      <c r="B462" s="99" t="s">
        <v>6997</v>
      </c>
      <c r="D462" s="146"/>
      <c r="E462" s="346">
        <f>UDV.fuel.diesel_avg_cost</f>
        <v>3.6964905660377356</v>
      </c>
      <c r="F462" s="146" t="s">
        <v>2315</v>
      </c>
      <c r="G462"/>
      <c r="H462"/>
      <c r="K462"/>
      <c r="L462"/>
      <c r="P462"/>
      <c r="U462"/>
      <c r="W462"/>
    </row>
    <row r="463" spans="1:26" x14ac:dyDescent="0.3">
      <c r="B463" s="149" t="s">
        <v>6998</v>
      </c>
      <c r="C463" s="150"/>
      <c r="D463" s="151"/>
      <c r="E463" s="347">
        <f>UDV.labor.non_specialized_cost</f>
        <v>23.66</v>
      </c>
      <c r="F463" s="151" t="s">
        <v>3659</v>
      </c>
      <c r="G463"/>
      <c r="H463"/>
      <c r="K463"/>
      <c r="L463"/>
      <c r="P463"/>
      <c r="U463"/>
      <c r="W463"/>
    </row>
    <row r="464" spans="1:26" x14ac:dyDescent="0.3">
      <c r="F464"/>
    </row>
    <row r="465" spans="1:23" x14ac:dyDescent="0.3">
      <c r="B465" s="206" t="s">
        <v>7121</v>
      </c>
      <c r="C465" s="140"/>
      <c r="D465" s="3057"/>
      <c r="E465" s="3057"/>
      <c r="F465" s="3057"/>
      <c r="G465" s="207"/>
      <c r="H465" s="207"/>
      <c r="I465" s="207"/>
      <c r="J465" s="142"/>
      <c r="K465" s="142"/>
      <c r="L465" s="142"/>
      <c r="M465" s="142"/>
      <c r="N465" s="142"/>
      <c r="O465" s="208"/>
    </row>
    <row r="466" spans="1:23" ht="29.1" customHeight="1" x14ac:dyDescent="0.3">
      <c r="B466" s="210" t="s">
        <v>6946</v>
      </c>
      <c r="C466" s="152" t="s">
        <v>6947</v>
      </c>
      <c r="D466" s="152" t="s">
        <v>6948</v>
      </c>
      <c r="E466" s="152" t="s">
        <v>6999</v>
      </c>
      <c r="F466" s="152" t="s">
        <v>7000</v>
      </c>
      <c r="G466" s="152" t="s">
        <v>6951</v>
      </c>
      <c r="H466" s="152" t="s">
        <v>6952</v>
      </c>
      <c r="I466" s="152" t="s">
        <v>7001</v>
      </c>
      <c r="J466" s="152" t="s">
        <v>6954</v>
      </c>
      <c r="K466" s="152" t="s">
        <v>6955</v>
      </c>
      <c r="L466" s="152" t="s">
        <v>6956</v>
      </c>
      <c r="M466" s="82" t="s">
        <v>6957</v>
      </c>
      <c r="N466" s="152" t="s">
        <v>7002</v>
      </c>
      <c r="O466" s="161" t="s">
        <v>6959</v>
      </c>
    </row>
    <row r="467" spans="1:23" x14ac:dyDescent="0.3">
      <c r="A467" t="s">
        <v>7122</v>
      </c>
      <c r="B467" s="99" t="s">
        <v>2808</v>
      </c>
      <c r="C467" s="153">
        <f>IF(E427=0,0,(VLOOKUP("Irrigation systema",Econ.Equations!$C:$E,2,FALSE)*E427^VLOOKUP("Irrigation systemb",Econ.Equations!$C:$E,2,FALSE))*E427)</f>
        <v>57915.65991624046</v>
      </c>
      <c r="D467" s="42">
        <f>VLOOKUP("CAPEXLifetimeBuildings and constructionDefault",Econ.inputsTable!$E:$G,2,FALSE)</f>
        <v>20</v>
      </c>
      <c r="E467" s="42" t="s">
        <v>2852</v>
      </c>
      <c r="F467" s="42" t="s">
        <v>2852</v>
      </c>
      <c r="G467" s="539">
        <f>VLOOKUP("CAPEXAnnual usage on activityItems that are used only on the given activityDefault",Econ.inputsTable!$E:$J,2,FALSE)</f>
        <v>1</v>
      </c>
      <c r="H467" s="216">
        <f t="shared" ref="H467" si="15">UDV.econ_capital.interest_rate</f>
        <v>5.0999999999999997E-2</v>
      </c>
      <c r="I467" s="2091">
        <f>VLOOKUP("CAPEXSalvageBuildings and constructionDefault",Econ.inputsTable!$E:$K,2,FALSE)</f>
        <v>0</v>
      </c>
      <c r="J467" s="153">
        <f>C467*I467</f>
        <v>0</v>
      </c>
      <c r="K467" s="154">
        <f>VLOOKUP("CAPEXFinanced amountNADefault",Econ.inputsTable!$E:$J,2,FALSE)</f>
        <v>1</v>
      </c>
      <c r="L467" s="2092">
        <f>H467*K467</f>
        <v>5.0999999999999997E-2</v>
      </c>
      <c r="M467" s="351">
        <f>L467/(1-(1+L467)^-D467)</f>
        <v>8.0924368970045152E-2</v>
      </c>
      <c r="N467" s="153">
        <f>((C467-J467)*M467)+(J467*L467)</f>
        <v>4686.7882322054975</v>
      </c>
      <c r="O467" s="372">
        <f>N467*G467</f>
        <v>4686.7882322054975</v>
      </c>
      <c r="P467"/>
      <c r="R467" s="20"/>
      <c r="U467"/>
      <c r="W467"/>
    </row>
    <row r="468" spans="1:23" x14ac:dyDescent="0.3">
      <c r="A468" t="s">
        <v>7003</v>
      </c>
      <c r="B468" s="99" t="s">
        <v>7004</v>
      </c>
      <c r="C468" s="153">
        <f>VLOOKUP(_xlfn.CONCAT("Tractor",E413," hp"),Econ.Tables!$C:$E,2,FALSE)*E415</f>
        <v>283300</v>
      </c>
      <c r="D468" s="79">
        <f>VLOOKUP("CAPEXLifetimeTractor, 4 wheel drive and crawlerDefault",Econ.inputsTable!$E:$H,2,FALSE)/E468</f>
        <v>16</v>
      </c>
      <c r="E468" s="213">
        <f>IF(F468&gt;UDV.tractor.min_usage_yearly,F468,UDV.tractor.min_usage_yearly)</f>
        <v>1000</v>
      </c>
      <c r="F468" s="214">
        <f>IF(E415=0,0,(E434+(E448/E447))/E415)</f>
        <v>10.419854700304302</v>
      </c>
      <c r="G468" s="215">
        <f>F468/E468</f>
        <v>1.0419854700304303E-2</v>
      </c>
      <c r="H468" s="216">
        <f t="shared" ref="H468:H475" si="16">UDV.econ_capital.interest_rate</f>
        <v>5.0999999999999997E-2</v>
      </c>
      <c r="I468" s="216">
        <f>VLOOKUP("CAPEXSalvageEquipmentDefault",Econ.inputsTable!$E:$H,2,FALSE)</f>
        <v>0.2</v>
      </c>
      <c r="J468" s="153">
        <f t="shared" ref="J468:J475" si="17">C468*I468</f>
        <v>56660</v>
      </c>
      <c r="K468" s="217">
        <f>VLOOKUP("CAPEXFinanced amountNADefault",Econ.inputsTable!$E:$H,2,FALSE)</f>
        <v>1</v>
      </c>
      <c r="L468" s="218">
        <f t="shared" ref="L468:L475" si="18">H468*K468</f>
        <v>5.0999999999999997E-2</v>
      </c>
      <c r="M468">
        <f t="shared" ref="M468:M475" si="19">L468/(1-(1+L468)^-D468)</f>
        <v>9.2927821836826949E-2</v>
      </c>
      <c r="N468" s="153">
        <f t="shared" ref="N468:N475" si="20">((C468-J468)*M468)+(J468*L468)</f>
        <v>23950.821541098459</v>
      </c>
      <c r="O468" s="157">
        <f t="shared" ref="O468:O475" si="21">N468*G468</f>
        <v>249.56408041116435</v>
      </c>
    </row>
    <row r="469" spans="1:23" x14ac:dyDescent="0.3">
      <c r="A469" t="s">
        <v>7003</v>
      </c>
      <c r="B469" s="99" t="s">
        <v>1226</v>
      </c>
      <c r="C469" s="153">
        <f>VLOOKUP("Agitator, ptoDefault",Econ.Tables!$C:$E,2,FALSE)*E414</f>
        <v>43500</v>
      </c>
      <c r="D469" s="42">
        <f>VLOOKUP("CAPEXLifetimeAgitator, ptoDefault",Econ.inputsTable!$E:$H,2,FALSE)</f>
        <v>15</v>
      </c>
      <c r="E469"/>
      <c r="F469" s="214">
        <f>F468</f>
        <v>10.419854700304302</v>
      </c>
      <c r="G469" s="220">
        <f>VLOOKUP("CAPEXAnnual usage on activityItems that are used only on the given activityDefault",Econ.inputsTable!$E:$H,2,FALSE)</f>
        <v>1</v>
      </c>
      <c r="H469" s="216">
        <f t="shared" si="16"/>
        <v>5.0999999999999997E-2</v>
      </c>
      <c r="I469" s="216">
        <f>VLOOKUP("CAPEXSalvageEquipmentDefault",Econ.inputsTable!$E:$H,2,FALSE)</f>
        <v>0.2</v>
      </c>
      <c r="J469" s="153">
        <f t="shared" si="17"/>
        <v>8700</v>
      </c>
      <c r="K469" s="217">
        <f>VLOOKUP("CAPEXFinanced amountNADefault",Econ.inputsTable!$E:$H,2,FALSE)</f>
        <v>1</v>
      </c>
      <c r="L469" s="218">
        <f t="shared" si="18"/>
        <v>5.0999999999999997E-2</v>
      </c>
      <c r="M469">
        <f t="shared" si="19"/>
        <v>9.6994593888520206E-2</v>
      </c>
      <c r="N469" s="153">
        <f t="shared" si="20"/>
        <v>3819.1118673205028</v>
      </c>
      <c r="O469" s="157">
        <f t="shared" si="21"/>
        <v>3819.1118673205028</v>
      </c>
    </row>
    <row r="470" spans="1:23" x14ac:dyDescent="0.3">
      <c r="A470" t="s">
        <v>7003</v>
      </c>
      <c r="B470" s="99" t="s">
        <v>7005</v>
      </c>
      <c r="C470" s="153">
        <f>VLOOKUP(_xlfn.CONCAT("Tractor",E416, " hp"),Econ.Tables!$C:$E,2,FALSE)*E418</f>
        <v>313600</v>
      </c>
      <c r="D470" s="79">
        <f>VLOOKUP("CAPEXLifetimeTractor, 4 wheel drive and crawlerDefault",Econ.inputsTable!$E:$H,2,FALSE)/E470</f>
        <v>16</v>
      </c>
      <c r="E470" s="213">
        <f>IF(F470&gt;UDV.tractor.min_usage_yearly,F470,UDV.tractor.min_usage_yearly)</f>
        <v>1000</v>
      </c>
      <c r="F470" s="214">
        <f>IF(E418=0,0,(E435+(E449/E447))/E418)</f>
        <v>1.0905841411557873</v>
      </c>
      <c r="G470" s="215">
        <f t="shared" ref="G470:G472" si="22">F470/E470</f>
        <v>1.0905841411557873E-3</v>
      </c>
      <c r="H470" s="216">
        <f t="shared" si="16"/>
        <v>5.0999999999999997E-2</v>
      </c>
      <c r="I470" s="216">
        <f>VLOOKUP("CAPEXSalvageEquipmentDefault",Econ.inputsTable!$E:$H,2,FALSE)</f>
        <v>0.2</v>
      </c>
      <c r="J470" s="153">
        <f t="shared" si="17"/>
        <v>62720</v>
      </c>
      <c r="K470" s="217">
        <f>VLOOKUP("CAPEXFinanced amountNADefault",Econ.inputsTable!$E:$H,2,FALSE)</f>
        <v>1</v>
      </c>
      <c r="L470" s="218">
        <f t="shared" si="18"/>
        <v>5.0999999999999997E-2</v>
      </c>
      <c r="M470">
        <f t="shared" si="19"/>
        <v>9.2927821836826949E-2</v>
      </c>
      <c r="N470" s="153">
        <f t="shared" si="20"/>
        <v>26512.451942423148</v>
      </c>
      <c r="O470" s="157">
        <f t="shared" si="21"/>
        <v>28.914059631561631</v>
      </c>
    </row>
    <row r="471" spans="1:23" s="42" customFormat="1" x14ac:dyDescent="0.3">
      <c r="A471" t="s">
        <v>7003</v>
      </c>
      <c r="B471" s="222" t="s">
        <v>3021</v>
      </c>
      <c r="C471" s="223">
        <f>VLOOKUP("Pump, tractor ptoDefault",Econ.Tables!$C:$E,2,FALSE)*E417</f>
        <v>26500</v>
      </c>
      <c r="D471" s="42">
        <f>VLOOKUP("CAPEXLifetimePump, tractor ptoDefault",Econ.inputsTable!$E:$H,2,FALSE)</f>
        <v>15</v>
      </c>
      <c r="F471" s="214">
        <f>F470</f>
        <v>1.0905841411557873</v>
      </c>
      <c r="G471" s="220">
        <f>VLOOKUP("CAPEXAnnual usage on activityItems that are used only on the given activityDefault",Econ.inputsTable!$E:$H,2,FALSE)</f>
        <v>1</v>
      </c>
      <c r="H471" s="216">
        <f t="shared" si="16"/>
        <v>5.0999999999999997E-2</v>
      </c>
      <c r="I471" s="216">
        <f>VLOOKUP("CAPEXSalvageEquipmentDefault",Econ.inputsTable!$E:$H,2,FALSE)</f>
        <v>0.2</v>
      </c>
      <c r="J471" s="153">
        <f t="shared" si="17"/>
        <v>5300</v>
      </c>
      <c r="K471" s="217">
        <f>VLOOKUP("CAPEXFinanced amountNADefault",Econ.inputsTable!$E:$H,2,FALSE)</f>
        <v>1</v>
      </c>
      <c r="L471" s="218">
        <f t="shared" si="18"/>
        <v>5.0999999999999997E-2</v>
      </c>
      <c r="M471">
        <f t="shared" si="19"/>
        <v>9.6994593888520206E-2</v>
      </c>
      <c r="N471" s="153">
        <f t="shared" si="20"/>
        <v>2326.5853904366286</v>
      </c>
      <c r="O471" s="157">
        <f t="shared" si="21"/>
        <v>2326.5853904366286</v>
      </c>
    </row>
    <row r="472" spans="1:23" x14ac:dyDescent="0.3">
      <c r="A472" t="s">
        <v>7003</v>
      </c>
      <c r="B472" s="99" t="s">
        <v>7006</v>
      </c>
      <c r="C472" s="153">
        <f>VLOOKUP(_xlfn.CONCAT("Tractor",E419, " hp"),Econ.Tables!$C:$E,2,FALSE)*E422</f>
        <v>404700</v>
      </c>
      <c r="D472" s="79">
        <f>VLOOKUP("CAPEXLifetimeTractor, 4 wheel drive and crawlerDefault",Econ.inputsTable!$E:$H,2,FALSE)/E472</f>
        <v>16</v>
      </c>
      <c r="E472" s="213">
        <f>IF(F472&gt;UDV.tractor.min_usage_yearly,F472,UDV.tractor.min_usage_yearly)</f>
        <v>1000</v>
      </c>
      <c r="F472" s="214">
        <f>IF(E422=0,0,(E436+(E450/E447))/E422)</f>
        <v>8.3358837602434406</v>
      </c>
      <c r="G472" s="215">
        <f t="shared" si="22"/>
        <v>8.3358837602434399E-3</v>
      </c>
      <c r="H472" s="216">
        <f t="shared" si="16"/>
        <v>5.0999999999999997E-2</v>
      </c>
      <c r="I472" s="216">
        <f>VLOOKUP("CAPEXSalvageEquipmentDefault",Econ.inputsTable!$E:$H,2,FALSE)</f>
        <v>0.2</v>
      </c>
      <c r="J472" s="153">
        <f t="shared" si="17"/>
        <v>80940</v>
      </c>
      <c r="K472" s="217">
        <f>VLOOKUP("CAPEXFinanced amountNADefault",Econ.inputsTable!$E:$H,2,FALSE)</f>
        <v>1</v>
      </c>
      <c r="L472" s="218">
        <f t="shared" si="18"/>
        <v>5.0999999999999997E-2</v>
      </c>
      <c r="M472">
        <f t="shared" si="19"/>
        <v>9.2927821836826949E-2</v>
      </c>
      <c r="N472" s="153">
        <f t="shared" si="20"/>
        <v>34214.251597891096</v>
      </c>
      <c r="O472" s="157">
        <f t="shared" si="21"/>
        <v>285.20602426374353</v>
      </c>
    </row>
    <row r="473" spans="1:23" x14ac:dyDescent="0.3">
      <c r="A473" t="s">
        <v>7003</v>
      </c>
      <c r="B473" s="99" t="s">
        <v>6392</v>
      </c>
      <c r="C473" s="153">
        <f>UDV.econ_tanker.cost*E421</f>
        <v>136600</v>
      </c>
      <c r="D473" s="42">
        <f>VLOOKUP("CAPEXLifetimeEquipmentDefault",Econ.inputsTable!$E:$H,2,FALSE)</f>
        <v>10</v>
      </c>
      <c r="E473"/>
      <c r="F473" s="214">
        <f>F472</f>
        <v>8.3358837602434406</v>
      </c>
      <c r="G473" s="220">
        <f>VLOOKUP("CAPEXAnnual usage on activityItems that are used only on the given activityDefault",Econ.inputsTable!$E:$H,2,FALSE)</f>
        <v>1</v>
      </c>
      <c r="H473" s="216">
        <f t="shared" si="16"/>
        <v>5.0999999999999997E-2</v>
      </c>
      <c r="I473" s="216">
        <f>VLOOKUP("CAPEXSalvageEquipmentDefault",Econ.inputsTable!$E:$H,2,FALSE)</f>
        <v>0.2</v>
      </c>
      <c r="J473" s="153">
        <f t="shared" si="17"/>
        <v>27320</v>
      </c>
      <c r="K473" s="217">
        <f>VLOOKUP("CAPEXFinanced amountNADefault",Econ.inputsTable!$E:$H,2,FALSE)</f>
        <v>1</v>
      </c>
      <c r="L473" s="218">
        <f t="shared" si="18"/>
        <v>5.0999999999999997E-2</v>
      </c>
      <c r="M473">
        <f t="shared" si="19"/>
        <v>0.13013423257204779</v>
      </c>
      <c r="N473" s="153">
        <f t="shared" si="20"/>
        <v>15614.388935473382</v>
      </c>
      <c r="O473" s="157">
        <f t="shared" si="21"/>
        <v>15614.388935473382</v>
      </c>
    </row>
    <row r="474" spans="1:23" x14ac:dyDescent="0.3">
      <c r="A474" t="s">
        <v>7003</v>
      </c>
      <c r="B474" s="99" t="s">
        <v>7007</v>
      </c>
      <c r="C474" s="229">
        <f>(IF(E423="Broadcast",VLOOKUP("BoomDefault", Econ.Tables!$C:$E,2,FALSE),0))*E421</f>
        <v>0</v>
      </c>
      <c r="D474" s="42">
        <f>VLOOKUP("CAPEXLifetimeEquipmentDefault",Econ.inputsTable!$E:$H,2,FALSE)</f>
        <v>10</v>
      </c>
      <c r="E474" s="152"/>
      <c r="F474" s="231">
        <f>IF(C423="Broadcast",F472,0)</f>
        <v>0</v>
      </c>
      <c r="G474" s="220">
        <f>VLOOKUP("CAPEXAnnual usage on activityItems that are used only on the given activityDefault",Econ.inputsTable!$E:$H,2,FALSE)</f>
        <v>1</v>
      </c>
      <c r="H474" s="216">
        <f t="shared" si="16"/>
        <v>5.0999999999999997E-2</v>
      </c>
      <c r="I474" s="216">
        <f>VLOOKUP("CAPEXSalvageEquipmentDefault",Econ.inputsTable!$E:$H,2,FALSE)</f>
        <v>0.2</v>
      </c>
      <c r="J474" s="153">
        <f t="shared" si="17"/>
        <v>0</v>
      </c>
      <c r="K474" s="217">
        <f>VLOOKUP("CAPEXFinanced amountNADefault",Econ.inputsTable!$E:$H,2,FALSE)</f>
        <v>1</v>
      </c>
      <c r="L474" s="218">
        <f t="shared" si="18"/>
        <v>5.0999999999999997E-2</v>
      </c>
      <c r="M474">
        <f t="shared" si="19"/>
        <v>0.13013423257204779</v>
      </c>
      <c r="N474" s="153">
        <f t="shared" si="20"/>
        <v>0</v>
      </c>
      <c r="O474" s="157">
        <f t="shared" si="21"/>
        <v>0</v>
      </c>
    </row>
    <row r="475" spans="1:23" x14ac:dyDescent="0.3">
      <c r="A475" t="s">
        <v>7003</v>
      </c>
      <c r="B475" s="99" t="s">
        <v>7008</v>
      </c>
      <c r="C475" s="229">
        <f>(IF(E423="Injection",VLOOKUP("InjectionDefault",Econ.Tables!$C:$E,2,FALSE),0))*E421</f>
        <v>80900</v>
      </c>
      <c r="D475" s="42">
        <f>VLOOKUP("CAPEXLifetimeEquipmentDefault",Econ.inputsTable!$E:$H,2,FALSE)</f>
        <v>10</v>
      </c>
      <c r="E475" s="152"/>
      <c r="F475" s="231">
        <f>IF(C423="Injection",F473,0)</f>
        <v>8.3358837602434406</v>
      </c>
      <c r="G475" s="220">
        <f>VLOOKUP("CAPEXAnnual usage on activityItems that are used only on the given activityDefault",Econ.inputsTable!$E:$H,2,FALSE)</f>
        <v>1</v>
      </c>
      <c r="H475" s="216">
        <f t="shared" si="16"/>
        <v>5.0999999999999997E-2</v>
      </c>
      <c r="I475" s="216">
        <f>VLOOKUP("CAPEXSalvageEquipmentDefault",Econ.inputsTable!$E:$H,2,FALSE)</f>
        <v>0.2</v>
      </c>
      <c r="J475" s="153">
        <f t="shared" si="17"/>
        <v>16180</v>
      </c>
      <c r="K475" s="217">
        <f>VLOOKUP("CAPEXFinanced amountNADefault",Econ.inputsTable!$E:$H,2,FALSE)</f>
        <v>1</v>
      </c>
      <c r="L475" s="218">
        <f t="shared" si="18"/>
        <v>5.0999999999999997E-2</v>
      </c>
      <c r="M475">
        <f t="shared" si="19"/>
        <v>0.13013423257204779</v>
      </c>
      <c r="N475" s="153">
        <f t="shared" si="20"/>
        <v>9247.4675320629322</v>
      </c>
      <c r="O475" s="157">
        <f t="shared" si="21"/>
        <v>9247.4675320629322</v>
      </c>
    </row>
    <row r="476" spans="1:23" x14ac:dyDescent="0.3">
      <c r="B476" s="99"/>
      <c r="C476" s="229"/>
      <c r="D476" s="42"/>
      <c r="E476" s="42"/>
      <c r="F476" s="42"/>
      <c r="H476" s="42"/>
      <c r="I476" s="152"/>
      <c r="J476" s="231"/>
      <c r="K476" s="220"/>
      <c r="L476" s="216"/>
      <c r="M476" s="216"/>
      <c r="N476" s="216"/>
      <c r="O476" s="232"/>
    </row>
    <row r="477" spans="1:23" x14ac:dyDescent="0.3">
      <c r="B477" s="99"/>
      <c r="C477" s="82" t="s">
        <v>7009</v>
      </c>
      <c r="D477" s="82" t="s">
        <v>6963</v>
      </c>
      <c r="E477"/>
      <c r="F477"/>
      <c r="G477"/>
      <c r="H477"/>
      <c r="K477"/>
      <c r="L477"/>
      <c r="N477" s="153">
        <f>SUM(N468:N475)</f>
        <v>115685.07880670615</v>
      </c>
      <c r="O477" s="157">
        <f>SUM(O468:O475)</f>
        <v>31571.237889599914</v>
      </c>
    </row>
    <row r="478" spans="1:23" x14ac:dyDescent="0.3">
      <c r="A478" t="s">
        <v>5202</v>
      </c>
      <c r="B478" s="99" t="s">
        <v>6964</v>
      </c>
      <c r="C478" s="153">
        <f>SUM(C467:C475)</f>
        <v>1347015.6599162405</v>
      </c>
      <c r="D478" s="233">
        <f>SUMPRODUCT(C467:C475,G467:G475)</f>
        <v>352083.14409727365</v>
      </c>
      <c r="E478"/>
      <c r="F478"/>
      <c r="G478"/>
      <c r="H478"/>
      <c r="K478"/>
      <c r="L478"/>
      <c r="O478" s="146"/>
    </row>
    <row r="479" spans="1:23" x14ac:dyDescent="0.3">
      <c r="A479" t="s">
        <v>5202</v>
      </c>
      <c r="B479" s="149" t="s">
        <v>6965</v>
      </c>
      <c r="C479" s="159">
        <f>SUM(N467:N475)</f>
        <v>120371.86703891166</v>
      </c>
      <c r="D479" s="234">
        <f>SUMPRODUCT(N467:N475,G467:G475)</f>
        <v>36258.026121805407</v>
      </c>
      <c r="E479" s="159"/>
      <c r="F479" s="150"/>
      <c r="G479" s="150"/>
      <c r="H479" s="150"/>
      <c r="I479" s="150"/>
      <c r="J479" s="150"/>
      <c r="K479" s="150"/>
      <c r="L479" s="150"/>
      <c r="M479" s="150"/>
      <c r="N479" s="150"/>
      <c r="O479" s="151"/>
    </row>
    <row r="481" spans="1:23" ht="43.2" x14ac:dyDescent="0.3">
      <c r="B481" s="160" t="s">
        <v>6966</v>
      </c>
      <c r="C481" s="152" t="s">
        <v>6967</v>
      </c>
      <c r="D481" s="152" t="s">
        <v>6968</v>
      </c>
      <c r="E481" s="152" t="s">
        <v>6969</v>
      </c>
      <c r="F481" s="152" t="s">
        <v>6970</v>
      </c>
      <c r="G481" s="152" t="s">
        <v>6971</v>
      </c>
      <c r="H481" s="152" t="s">
        <v>6972</v>
      </c>
      <c r="I481" s="152" t="s">
        <v>6973</v>
      </c>
      <c r="J481" s="152" t="s">
        <v>6974</v>
      </c>
      <c r="K481" s="152" t="s">
        <v>6975</v>
      </c>
      <c r="L481" s="152" t="s">
        <v>6976</v>
      </c>
      <c r="M481" s="152" t="s">
        <v>6977</v>
      </c>
      <c r="N481" s="152" t="s">
        <v>6978</v>
      </c>
      <c r="O481" s="161" t="s">
        <v>6979</v>
      </c>
    </row>
    <row r="482" spans="1:23" x14ac:dyDescent="0.3">
      <c r="B482" s="99" t="s">
        <v>2808</v>
      </c>
      <c r="C482" s="155">
        <f>VLOOKUP("OPEXInsuranceEverythingDefault",Econ.inputsTable!$E:$K,2,FALSE)</f>
        <v>5.0000000000000001E-3</v>
      </c>
      <c r="D482" s="154">
        <f>VLOOKUP("OPEXRepair and maintenanceEquipmentDefault",Econ.inputsTable!$E:$K,2,FALSE)</f>
        <v>0.03</v>
      </c>
      <c r="E482"/>
      <c r="F482" s="2124">
        <f>E428</f>
        <v>946.46267270594763</v>
      </c>
      <c r="G482" s="504">
        <f>F482*E461</f>
        <v>64.919452158688784</v>
      </c>
      <c r="H482"/>
      <c r="I482" s="504"/>
      <c r="J482" s="504"/>
      <c r="K482" s="147">
        <f>E429</f>
        <v>5.8664287349555071</v>
      </c>
      <c r="L482" s="156">
        <f>K482*E463</f>
        <v>138.79970386904731</v>
      </c>
      <c r="O482" s="167">
        <f t="shared" ref="O482" si="23">(SUM(C482:D482)*C467*G467)+SUM(E482,G482,I482,J482,L482,N482)</f>
        <v>2230.7672530961522</v>
      </c>
      <c r="P482"/>
      <c r="U482"/>
      <c r="W482"/>
    </row>
    <row r="483" spans="1:23" x14ac:dyDescent="0.3">
      <c r="B483" s="235" t="s">
        <v>7004</v>
      </c>
      <c r="C483" s="236">
        <f>VLOOKUP("OPEXInsuranceEverythingDefault",Econ.inputsTable!$E:$H,2,FALSE)</f>
        <v>5.0000000000000001E-3</v>
      </c>
      <c r="D483" s="237">
        <f>VLOOKUP("OPEXRepair and maintenanceEquipmentDefault",Econ.inputsTable!$E:$H,2,FALSE)</f>
        <v>0.03</v>
      </c>
      <c r="E483"/>
      <c r="F483"/>
      <c r="G483"/>
      <c r="H483" s="147">
        <f>E437+(E451/E447)</f>
        <v>73.355777090142283</v>
      </c>
      <c r="I483" s="233">
        <f>H483*E462</f>
        <v>271.15893797807803</v>
      </c>
      <c r="J483" s="229">
        <f>I483*VLOOKUP("OPEXLubeLubeDefault",Econ.inputsTable!$E:$H,2,FALSE)</f>
        <v>27.115893797807804</v>
      </c>
      <c r="K483" s="205">
        <f>(E434+(E448/E447))*VLOOKUP("OPEXLaborTractorDefault",Econ.inputsTable!$E:$H,2,FALSE)</f>
        <v>11.461840170334733</v>
      </c>
      <c r="L483" s="318">
        <f>K483*E463</f>
        <v>271.18713843011977</v>
      </c>
      <c r="O483" s="240">
        <f t="shared" ref="O483:O490" si="24">(SUM(C483:D483)*C468*G468)+SUM(E483,G483,I483,J483,L483,N483)</f>
        <v>672.78003948687297</v>
      </c>
    </row>
    <row r="484" spans="1:23" x14ac:dyDescent="0.3">
      <c r="B484" s="99" t="s">
        <v>1226</v>
      </c>
      <c r="C484" s="236">
        <f>VLOOKUP("OPEXInsuranceEverythingDefault",Econ.inputsTable!$E:$H,2,FALSE)</f>
        <v>5.0000000000000001E-3</v>
      </c>
      <c r="D484" s="237">
        <f>VLOOKUP("OPEXRepair and maintenanceEquipmentDefault",Econ.inputsTable!$E:$H,2,FALSE)</f>
        <v>0.03</v>
      </c>
      <c r="E484"/>
      <c r="F484"/>
      <c r="G484"/>
      <c r="H484" s="147"/>
      <c r="I484" s="233"/>
      <c r="J484" s="233"/>
      <c r="K484"/>
      <c r="L484" s="153"/>
      <c r="O484" s="240">
        <f t="shared" si="24"/>
        <v>1522.4999999999998</v>
      </c>
    </row>
    <row r="485" spans="1:23" x14ac:dyDescent="0.3">
      <c r="B485" s="99" t="s">
        <v>7005</v>
      </c>
      <c r="C485" s="236">
        <f>VLOOKUP("OPEXInsuranceEverythingDefault",Econ.inputsTable!$E:$H,2,FALSE)</f>
        <v>5.0000000000000001E-3</v>
      </c>
      <c r="D485" s="237">
        <f>VLOOKUP("OPEXRepair and maintenanceEquipmentDefault",Econ.inputsTable!$E:$H,2,FALSE)</f>
        <v>0.03</v>
      </c>
      <c r="E485"/>
      <c r="F485"/>
      <c r="G485"/>
      <c r="H485" s="147">
        <f>E438+(E452/E447)</f>
        <v>8.6374263979538348</v>
      </c>
      <c r="I485" s="233">
        <f>H485*E462</f>
        <v>31.92816519488165</v>
      </c>
      <c r="J485" s="229">
        <f>I485*VLOOKUP("OPEXLubeLubeDefault",Econ.inputsTable!$E:$H,2,FALSE)</f>
        <v>3.192816519488165</v>
      </c>
      <c r="K485" s="205">
        <f>(E435+(E449/E447))*VLOOKUP("OPEXLaborTractorDefault",Econ.inputsTable!$E:$H,2,FALSE)</f>
        <v>1.1996425552713661</v>
      </c>
      <c r="L485" s="318">
        <f>K485*E463</f>
        <v>28.383542857720521</v>
      </c>
      <c r="O485" s="240">
        <f t="shared" si="24"/>
        <v>75.474776105416254</v>
      </c>
    </row>
    <row r="486" spans="1:23" x14ac:dyDescent="0.3">
      <c r="B486" s="222" t="s">
        <v>3021</v>
      </c>
      <c r="C486" s="236">
        <f>VLOOKUP("OPEXInsuranceEverythingDefault",Econ.inputsTable!$E:$H,2,FALSE)</f>
        <v>5.0000000000000001E-3</v>
      </c>
      <c r="D486" s="237">
        <f>VLOOKUP("OPEXRepair and maintenancePump, tractor ptoDefault",Econ.inputsTable!$E:$H,2,FALSE)</f>
        <v>0.05</v>
      </c>
      <c r="E486"/>
      <c r="F486"/>
      <c r="G486"/>
      <c r="H486"/>
      <c r="I486" s="233"/>
      <c r="J486" s="233"/>
      <c r="K486"/>
      <c r="L486" s="153"/>
      <c r="O486" s="240">
        <f t="shared" si="24"/>
        <v>1457.5</v>
      </c>
    </row>
    <row r="487" spans="1:23" x14ac:dyDescent="0.3">
      <c r="B487" s="99" t="s">
        <v>7006</v>
      </c>
      <c r="C487" s="236">
        <f>VLOOKUP("OPEXInsuranceEverythingDefault",Econ.inputsTable!$E:$H,2,FALSE)</f>
        <v>5.0000000000000001E-3</v>
      </c>
      <c r="D487" s="237">
        <f>VLOOKUP("OPEXRepair and maintenanceEquipmentDefault",Econ.inputsTable!$E:$H,2,FALSE)</f>
        <v>0.03</v>
      </c>
      <c r="E487"/>
      <c r="F487"/>
      <c r="G487"/>
      <c r="H487" s="147">
        <f>E439+(E453/E447)</f>
        <v>91.694721362677853</v>
      </c>
      <c r="I487" s="233">
        <f>H487*E462</f>
        <v>338.94867247259748</v>
      </c>
      <c r="J487" s="229">
        <f>I487*VLOOKUP("OPEXLubeLubeDefault",Econ.inputsTable!$E:$H,2,FALSE)</f>
        <v>33.894867247259747</v>
      </c>
      <c r="K487" s="205">
        <f>(E436+(E450/E447))*VLOOKUP("OPEXLaborTractorDefault",Econ.inputsTable!$E:$H,2,FALSE)</f>
        <v>9.1694721362677853</v>
      </c>
      <c r="L487" s="318">
        <f>K487*E463</f>
        <v>216.9497107440958</v>
      </c>
      <c r="O487" s="240">
        <f t="shared" si="24"/>
        <v>707.86687598592118</v>
      </c>
    </row>
    <row r="488" spans="1:23" x14ac:dyDescent="0.3">
      <c r="B488" s="99" t="s">
        <v>6392</v>
      </c>
      <c r="C488" s="236">
        <f>VLOOKUP("OPEXInsuranceEverythingDefault",Econ.inputsTable!$E:$H,2,FALSE)</f>
        <v>5.0000000000000001E-3</v>
      </c>
      <c r="D488" s="237">
        <f>VLOOKUP("OPEXRepair and maintenanceEquipmentDefault",Econ.inputsTable!$E:$H,2,FALSE)</f>
        <v>0.03</v>
      </c>
      <c r="E488"/>
      <c r="F488"/>
      <c r="G488"/>
      <c r="H488"/>
      <c r="I488" s="233"/>
      <c r="J488" s="233"/>
      <c r="K488"/>
      <c r="L488" s="153"/>
      <c r="O488" s="240">
        <f t="shared" si="24"/>
        <v>4780.9999999999991</v>
      </c>
    </row>
    <row r="489" spans="1:23" x14ac:dyDescent="0.3">
      <c r="B489" s="99" t="s">
        <v>7007</v>
      </c>
      <c r="C489" s="236">
        <f>VLOOKUP("OPEXInsuranceEverythingDefault",Econ.inputsTable!$E:$H,2,FALSE)</f>
        <v>5.0000000000000001E-3</v>
      </c>
      <c r="D489" s="237">
        <f>VLOOKUP("OPEXRepair and maintenanceEquipmentDefault",Econ.inputsTable!$E:$H,2,FALSE)</f>
        <v>0.03</v>
      </c>
      <c r="E489"/>
      <c r="F489"/>
      <c r="G489"/>
      <c r="H489"/>
      <c r="I489" s="233"/>
      <c r="J489" s="233"/>
      <c r="K489"/>
      <c r="L489" s="153"/>
      <c r="O489" s="240">
        <f t="shared" si="24"/>
        <v>0</v>
      </c>
    </row>
    <row r="490" spans="1:23" x14ac:dyDescent="0.3">
      <c r="B490" s="99" t="s">
        <v>7008</v>
      </c>
      <c r="C490" s="236">
        <f>VLOOKUP("OPEXInsuranceEverythingDefault",Econ.inputsTable!$E:$H,2,FALSE)</f>
        <v>5.0000000000000001E-3</v>
      </c>
      <c r="D490" s="237">
        <f>VLOOKUP("OPEXRepair and maintenanceEquipmentDefault",Econ.inputsTable!$E:$H,2,FALSE)</f>
        <v>0.03</v>
      </c>
      <c r="E490"/>
      <c r="F490"/>
      <c r="G490"/>
      <c r="H490"/>
      <c r="I490" s="233"/>
      <c r="J490" s="233"/>
      <c r="K490"/>
      <c r="L490" s="153"/>
      <c r="O490" s="240">
        <f t="shared" si="24"/>
        <v>2831.4999999999995</v>
      </c>
    </row>
    <row r="491" spans="1:23" x14ac:dyDescent="0.3">
      <c r="A491" t="s">
        <v>5202</v>
      </c>
      <c r="B491" s="162" t="s">
        <v>5203</v>
      </c>
      <c r="C491" s="241"/>
      <c r="D491" s="241"/>
      <c r="E491" s="242">
        <f t="shared" ref="E491:O491" si="25">SUM(E482:E490)</f>
        <v>0</v>
      </c>
      <c r="F491" s="2125">
        <f t="shared" si="25"/>
        <v>946.46267270594763</v>
      </c>
      <c r="G491" s="242">
        <f t="shared" si="25"/>
        <v>64.919452158688784</v>
      </c>
      <c r="H491" s="286">
        <f t="shared" si="25"/>
        <v>173.68792485077398</v>
      </c>
      <c r="I491" s="242">
        <f t="shared" si="25"/>
        <v>642.03577564555712</v>
      </c>
      <c r="J491" s="242">
        <f t="shared" si="25"/>
        <v>64.203577564555715</v>
      </c>
      <c r="K491" s="243">
        <f t="shared" si="25"/>
        <v>27.697383596829393</v>
      </c>
      <c r="L491" s="242">
        <f t="shared" si="25"/>
        <v>655.32009590098335</v>
      </c>
      <c r="M491" s="374">
        <f t="shared" si="25"/>
        <v>0</v>
      </c>
      <c r="N491" s="242">
        <f t="shared" si="25"/>
        <v>0</v>
      </c>
      <c r="O491" s="169">
        <f t="shared" si="25"/>
        <v>14279.388944674361</v>
      </c>
    </row>
    <row r="492" spans="1:23" x14ac:dyDescent="0.3">
      <c r="B492" s="99"/>
      <c r="D492"/>
      <c r="E492"/>
      <c r="F492"/>
      <c r="G492"/>
      <c r="H492"/>
      <c r="K492"/>
      <c r="L492"/>
      <c r="O492" s="146"/>
    </row>
    <row r="493" spans="1:23" x14ac:dyDescent="0.3">
      <c r="A493" t="s">
        <v>5202</v>
      </c>
      <c r="B493" s="149" t="s">
        <v>6980</v>
      </c>
      <c r="C493" s="159">
        <f>O491</f>
        <v>14279.388944674361</v>
      </c>
      <c r="D493" s="150"/>
      <c r="E493" s="150"/>
      <c r="F493" s="150"/>
      <c r="G493" s="150"/>
      <c r="H493" s="150"/>
      <c r="I493" s="150"/>
      <c r="J493" s="150"/>
      <c r="K493" s="150"/>
      <c r="L493" s="150"/>
      <c r="M493" s="150"/>
      <c r="N493" s="150"/>
      <c r="O493" s="151"/>
    </row>
    <row r="494" spans="1:23" x14ac:dyDescent="0.3">
      <c r="C494" s="153"/>
      <c r="D494"/>
      <c r="E494"/>
      <c r="F494"/>
      <c r="G494"/>
      <c r="H494"/>
      <c r="K494"/>
      <c r="L494"/>
    </row>
    <row r="495" spans="1:23" x14ac:dyDescent="0.3">
      <c r="B495" s="384" t="s">
        <v>7123</v>
      </c>
      <c r="C495" s="2997" t="s">
        <v>6402</v>
      </c>
      <c r="D495" s="2999"/>
      <c r="E495" s="3059" t="s">
        <v>6417</v>
      </c>
      <c r="F495" s="3058"/>
      <c r="G495"/>
      <c r="H495"/>
      <c r="K495"/>
      <c r="L495"/>
    </row>
    <row r="496" spans="1:23" x14ac:dyDescent="0.3">
      <c r="B496" s="385" t="s">
        <v>7012</v>
      </c>
      <c r="C496" s="139" t="s">
        <v>7124</v>
      </c>
      <c r="D496" s="245" t="s">
        <v>7125</v>
      </c>
      <c r="E496" s="139" t="s">
        <v>7124</v>
      </c>
      <c r="F496" s="245" t="s">
        <v>7125</v>
      </c>
      <c r="G496"/>
      <c r="H496"/>
      <c r="K496"/>
      <c r="L496"/>
    </row>
    <row r="497" spans="1:12" x14ac:dyDescent="0.3">
      <c r="A497" t="s">
        <v>5202</v>
      </c>
      <c r="B497" s="386" t="s">
        <v>7013</v>
      </c>
      <c r="C497" s="387">
        <f xml:space="preserve"> VLOOKUP("Fertilizer value for on-farm use, liquids",$R$1:$T$332,3, FALSE)</f>
        <v>5638.2898397072368</v>
      </c>
      <c r="D497" s="388">
        <f>VLOOKUP("Fertilizer value for on-farm use, liquids",$R$1:$T$332,3, FALSE)</f>
        <v>5638.2898397072368</v>
      </c>
      <c r="E497" s="387"/>
      <c r="F497" s="389">
        <f>VLOOKUP("Fertilizer value for on-farm use, sludge",$R$1:$T$332,3, FALSE)</f>
        <v>9442.9598467451069</v>
      </c>
      <c r="G497"/>
      <c r="H497"/>
      <c r="K497"/>
      <c r="L497"/>
    </row>
    <row r="498" spans="1:12" x14ac:dyDescent="0.3">
      <c r="A498" t="s">
        <v>5202</v>
      </c>
      <c r="B498" s="386" t="s">
        <v>7126</v>
      </c>
      <c r="C498" s="390">
        <f>C497</f>
        <v>5638.2898397072368</v>
      </c>
      <c r="D498" s="391"/>
      <c r="E498" s="390">
        <f>(F497/UDV.anaer_lagoon.sludge_time)</f>
        <v>944.29598467451069</v>
      </c>
      <c r="F498" s="391"/>
    </row>
    <row r="499" spans="1:12" x14ac:dyDescent="0.3">
      <c r="A499" t="s">
        <v>5202</v>
      </c>
      <c r="B499" s="386" t="s">
        <v>7014</v>
      </c>
      <c r="C499" s="393">
        <f>SUM(C498,E498)</f>
        <v>6582.5858243817474</v>
      </c>
      <c r="D499" s="146"/>
      <c r="E499" s="99"/>
      <c r="F499" s="146"/>
    </row>
    <row r="500" spans="1:12" x14ac:dyDescent="0.3">
      <c r="B500" s="386"/>
      <c r="D500" s="146"/>
      <c r="E500" s="99"/>
      <c r="F500" s="146"/>
    </row>
    <row r="501" spans="1:12" x14ac:dyDescent="0.3">
      <c r="B501" s="394" t="s">
        <v>7015</v>
      </c>
      <c r="C501" s="139" t="s">
        <v>7124</v>
      </c>
      <c r="D501" s="245" t="s">
        <v>7125</v>
      </c>
      <c r="E501" s="139" t="s">
        <v>7124</v>
      </c>
      <c r="F501" s="245" t="s">
        <v>7125</v>
      </c>
    </row>
    <row r="502" spans="1:12" x14ac:dyDescent="0.3">
      <c r="A502" t="s">
        <v>5202</v>
      </c>
      <c r="B502" s="386" t="s">
        <v>7016</v>
      </c>
      <c r="C502" s="387">
        <f>UDV.econ_manure.liquid_sell_price*C403</f>
        <v>0</v>
      </c>
      <c r="D502" s="389">
        <f>UDV.econ_manure.liquid_sell_price*C403</f>
        <v>0</v>
      </c>
      <c r="E502" s="387"/>
      <c r="F502" s="389">
        <f>UDV.econ_manure.sludge_sell_price*C406</f>
        <v>0</v>
      </c>
    </row>
    <row r="503" spans="1:12" x14ac:dyDescent="0.3">
      <c r="A503" t="s">
        <v>5202</v>
      </c>
      <c r="B503" s="386" t="s">
        <v>7127</v>
      </c>
      <c r="C503" s="390">
        <f>C502</f>
        <v>0</v>
      </c>
      <c r="D503" s="391"/>
      <c r="E503" s="390">
        <f>(F502/UDV.anaer_lagoon.sludge_time)</f>
        <v>0</v>
      </c>
      <c r="F503" s="391"/>
    </row>
    <row r="504" spans="1:12" x14ac:dyDescent="0.3">
      <c r="A504" t="s">
        <v>5202</v>
      </c>
      <c r="B504" s="386" t="s">
        <v>7017</v>
      </c>
      <c r="C504" s="393">
        <f>SUM(C503,E503)</f>
        <v>0</v>
      </c>
      <c r="D504" s="146"/>
      <c r="E504" s="99"/>
      <c r="F504" s="146"/>
    </row>
    <row r="505" spans="1:12" x14ac:dyDescent="0.3">
      <c r="B505" s="386"/>
      <c r="C505" s="166"/>
      <c r="D505" s="146"/>
      <c r="E505" s="395"/>
      <c r="F505" s="396"/>
    </row>
    <row r="506" spans="1:12" x14ac:dyDescent="0.3">
      <c r="B506" s="397" t="s">
        <v>7018</v>
      </c>
      <c r="C506" s="139" t="s">
        <v>7124</v>
      </c>
      <c r="D506" s="245" t="s">
        <v>7125</v>
      </c>
      <c r="E506" s="139" t="s">
        <v>7124</v>
      </c>
      <c r="F506" s="245" t="s">
        <v>7125</v>
      </c>
    </row>
    <row r="507" spans="1:12" x14ac:dyDescent="0.3">
      <c r="A507" t="s">
        <v>5202</v>
      </c>
      <c r="B507" s="386" t="s">
        <v>7019</v>
      </c>
      <c r="C507" s="387">
        <f>UDV.econ_manure.liquid_sell_price*C404</f>
        <v>0</v>
      </c>
      <c r="D507" s="389">
        <f>UDV.econ_manure.liquid_sell_price*C404</f>
        <v>0</v>
      </c>
      <c r="E507" s="387">
        <v>0</v>
      </c>
      <c r="F507" s="389">
        <f>UDV.econ_manure.sludge_sell_price*C407</f>
        <v>8257.6255562536644</v>
      </c>
    </row>
    <row r="508" spans="1:12" x14ac:dyDescent="0.3">
      <c r="A508" t="s">
        <v>5202</v>
      </c>
      <c r="B508" s="386" t="s">
        <v>7128</v>
      </c>
      <c r="C508" s="390">
        <f>C507</f>
        <v>0</v>
      </c>
      <c r="D508" s="391"/>
      <c r="E508" s="390">
        <f>(F507/UDV.anaer_lagoon.sludge_time)</f>
        <v>825.76255562536642</v>
      </c>
      <c r="F508" s="391"/>
    </row>
    <row r="509" spans="1:12" x14ac:dyDescent="0.3">
      <c r="A509" t="s">
        <v>5202</v>
      </c>
      <c r="B509" s="386" t="s">
        <v>7020</v>
      </c>
      <c r="C509" s="393">
        <f>SUM(C508,E508)</f>
        <v>825.76255562536642</v>
      </c>
      <c r="D509" s="146"/>
      <c r="E509" s="99"/>
      <c r="F509" s="146"/>
    </row>
    <row r="510" spans="1:12" x14ac:dyDescent="0.3">
      <c r="B510" s="386"/>
      <c r="D510" s="146"/>
      <c r="E510" s="99"/>
      <c r="F510" s="146"/>
    </row>
    <row r="511" spans="1:12" x14ac:dyDescent="0.3">
      <c r="B511" s="398" t="s">
        <v>7021</v>
      </c>
      <c r="C511" s="139" t="s">
        <v>7124</v>
      </c>
      <c r="D511" s="245" t="s">
        <v>7125</v>
      </c>
      <c r="E511" s="139" t="s">
        <v>7124</v>
      </c>
      <c r="F511" s="245" t="s">
        <v>7125</v>
      </c>
    </row>
    <row r="512" spans="1:12" x14ac:dyDescent="0.3">
      <c r="A512" t="s">
        <v>5202</v>
      </c>
      <c r="B512" s="386" t="s">
        <v>7022</v>
      </c>
      <c r="C512" s="387">
        <f>UDV.econ_manure.liquid_export_cost*C405</f>
        <v>0</v>
      </c>
      <c r="D512" s="389">
        <f>UDV.econ_manure.liquid_export_cost*C405</f>
        <v>0</v>
      </c>
      <c r="E512" s="387">
        <v>0</v>
      </c>
      <c r="F512" s="389">
        <f>UDV.econ_manure.sludge_export_cost*C408</f>
        <v>0</v>
      </c>
    </row>
    <row r="513" spans="1:20" x14ac:dyDescent="0.3">
      <c r="A513" t="s">
        <v>5202</v>
      </c>
      <c r="B513" s="386" t="s">
        <v>7129</v>
      </c>
      <c r="C513" s="390">
        <f>C512</f>
        <v>0</v>
      </c>
      <c r="D513" s="391"/>
      <c r="E513" s="390">
        <f>(F512/UDV.anaer_lagoon.sludge_time)</f>
        <v>0</v>
      </c>
      <c r="F513" s="391"/>
    </row>
    <row r="514" spans="1:20" x14ac:dyDescent="0.3">
      <c r="A514" t="s">
        <v>5202</v>
      </c>
      <c r="B514" s="386" t="s">
        <v>7023</v>
      </c>
      <c r="C514" s="393">
        <f>SUM(C513,E513)</f>
        <v>0</v>
      </c>
      <c r="D514" s="146"/>
      <c r="E514" s="99"/>
      <c r="F514" s="146"/>
      <c r="G514"/>
      <c r="H514"/>
      <c r="K514"/>
      <c r="L514"/>
      <c r="P514"/>
    </row>
    <row r="515" spans="1:20" x14ac:dyDescent="0.3">
      <c r="B515" s="386"/>
      <c r="D515" s="146"/>
      <c r="E515" s="99"/>
      <c r="F515" s="146"/>
      <c r="G515"/>
      <c r="H515"/>
      <c r="K515"/>
      <c r="L515"/>
      <c r="P515"/>
    </row>
    <row r="516" spans="1:20" x14ac:dyDescent="0.3">
      <c r="B516" s="303" t="s">
        <v>7138</v>
      </c>
      <c r="C516" s="173" t="s">
        <v>7025</v>
      </c>
      <c r="D516" s="173"/>
      <c r="E516" s="99"/>
      <c r="F516" s="146"/>
      <c r="G516"/>
      <c r="H516"/>
      <c r="K516"/>
      <c r="L516"/>
      <c r="P516"/>
    </row>
    <row r="517" spans="1:20" x14ac:dyDescent="0.3">
      <c r="B517" s="70" t="s">
        <v>7139</v>
      </c>
      <c r="C517" s="265"/>
      <c r="D517" s="151"/>
      <c r="E517" s="149"/>
      <c r="F517" s="151"/>
      <c r="G517"/>
      <c r="H517"/>
      <c r="K517"/>
      <c r="L517"/>
      <c r="P517"/>
    </row>
    <row r="518" spans="1:20" ht="15" thickBot="1" x14ac:dyDescent="0.35">
      <c r="A518" s="137"/>
      <c r="B518" s="137"/>
      <c r="C518" s="137"/>
      <c r="D518" s="137"/>
      <c r="E518" s="137"/>
      <c r="F518" s="137"/>
      <c r="G518" s="137"/>
      <c r="H518" s="137"/>
      <c r="I518" s="137"/>
      <c r="J518" s="137"/>
      <c r="K518" s="137"/>
      <c r="L518" s="137"/>
      <c r="M518" s="137"/>
      <c r="N518" s="137"/>
      <c r="O518" s="137"/>
      <c r="P518" s="137"/>
      <c r="Q518" s="137"/>
    </row>
    <row r="519" spans="1:20" x14ac:dyDescent="0.3">
      <c r="D519"/>
      <c r="E519"/>
      <c r="F519"/>
      <c r="G519"/>
      <c r="H519"/>
      <c r="K519"/>
      <c r="L519"/>
      <c r="P519"/>
    </row>
    <row r="520" spans="1:20" x14ac:dyDescent="0.3">
      <c r="B520" s="82" t="s">
        <v>7130</v>
      </c>
      <c r="D520"/>
      <c r="E520"/>
      <c r="F520"/>
      <c r="G520"/>
      <c r="H520"/>
      <c r="K520"/>
      <c r="L520"/>
      <c r="P520"/>
      <c r="Q520" s="171" t="s">
        <v>7153</v>
      </c>
      <c r="R520" s="142"/>
      <c r="S520" s="142"/>
      <c r="T520" s="141"/>
    </row>
    <row r="521" spans="1:20" x14ac:dyDescent="0.3">
      <c r="D521"/>
      <c r="E521"/>
      <c r="F521"/>
      <c r="G521"/>
      <c r="H521"/>
      <c r="K521"/>
      <c r="L521"/>
      <c r="P521"/>
      <c r="Q521" s="172" t="s">
        <v>565</v>
      </c>
      <c r="R521" s="82" t="s">
        <v>38</v>
      </c>
      <c r="S521" s="82" t="s">
        <v>565</v>
      </c>
      <c r="T521" s="173" t="s">
        <v>38</v>
      </c>
    </row>
    <row r="522" spans="1:20" x14ac:dyDescent="0.3">
      <c r="B522" s="139" t="s">
        <v>6983</v>
      </c>
      <c r="C522" s="140" t="s">
        <v>565</v>
      </c>
      <c r="D522" s="140" t="s">
        <v>38</v>
      </c>
      <c r="E522" s="142"/>
      <c r="F522" s="141"/>
      <c r="G522"/>
      <c r="H522"/>
      <c r="K522"/>
      <c r="L522"/>
      <c r="P522"/>
      <c r="Q522" s="99">
        <v>1</v>
      </c>
      <c r="R522" t="s">
        <v>2359</v>
      </c>
      <c r="S522">
        <v>453.59199999999998</v>
      </c>
      <c r="T522" s="146" t="s">
        <v>2535</v>
      </c>
    </row>
    <row r="523" spans="1:20" x14ac:dyDescent="0.3">
      <c r="A523" s="292"/>
      <c r="B523" s="99" t="s">
        <v>7028</v>
      </c>
      <c r="C523">
        <f>UDV.crops.acres_available</f>
        <v>100</v>
      </c>
      <c r="D523" t="s">
        <v>7029</v>
      </c>
      <c r="E523" s="34"/>
      <c r="F523" s="146"/>
      <c r="G523"/>
      <c r="H523"/>
      <c r="K523"/>
      <c r="L523"/>
      <c r="P523"/>
      <c r="Q523" s="99">
        <v>1</v>
      </c>
      <c r="R523" t="s">
        <v>2535</v>
      </c>
      <c r="S523">
        <v>2.20462E-3</v>
      </c>
      <c r="T523" s="146" t="s">
        <v>2359</v>
      </c>
    </row>
    <row r="524" spans="1:20" x14ac:dyDescent="0.3">
      <c r="B524" s="99" t="s">
        <v>7109</v>
      </c>
      <c r="C524" s="166">
        <f>UDV.econ_manure.liquid_sell_pct*R574</f>
        <v>0</v>
      </c>
      <c r="D524" t="s">
        <v>5246</v>
      </c>
      <c r="E524"/>
      <c r="F524" s="146"/>
      <c r="G524"/>
      <c r="H524"/>
      <c r="K524"/>
      <c r="L524"/>
      <c r="P524"/>
      <c r="Q524" s="99">
        <v>1</v>
      </c>
      <c r="R524" t="s">
        <v>2358</v>
      </c>
      <c r="S524">
        <v>1.10231E-3</v>
      </c>
      <c r="T524" s="146" t="s">
        <v>2537</v>
      </c>
    </row>
    <row r="525" spans="1:20" x14ac:dyDescent="0.3">
      <c r="B525" s="99" t="s">
        <v>7110</v>
      </c>
      <c r="C525" s="166">
        <f>UDV.econ_manure.liquid_give_pct*R574</f>
        <v>0</v>
      </c>
      <c r="D525" t="s">
        <v>5246</v>
      </c>
      <c r="E525"/>
      <c r="F525" s="146"/>
      <c r="G525"/>
      <c r="H525"/>
      <c r="K525"/>
      <c r="L525"/>
      <c r="P525"/>
      <c r="Q525" s="99">
        <v>1</v>
      </c>
      <c r="R525" t="s">
        <v>2481</v>
      </c>
      <c r="S525">
        <v>0.26417200000000002</v>
      </c>
      <c r="T525" s="146" t="s">
        <v>2480</v>
      </c>
    </row>
    <row r="526" spans="1:20" x14ac:dyDescent="0.3">
      <c r="B526" s="99" t="s">
        <v>7111</v>
      </c>
      <c r="C526" s="147">
        <f>R574-C524-C525</f>
        <v>0</v>
      </c>
      <c r="D526" t="s">
        <v>5246</v>
      </c>
      <c r="E526"/>
      <c r="F526" s="146"/>
      <c r="G526"/>
      <c r="H526"/>
      <c r="K526"/>
      <c r="L526"/>
      <c r="P526"/>
      <c r="Q526" s="99">
        <v>1</v>
      </c>
      <c r="R526" t="s">
        <v>2480</v>
      </c>
      <c r="S526">
        <v>3.7854100000000002</v>
      </c>
      <c r="T526" s="146" t="s">
        <v>2481</v>
      </c>
    </row>
    <row r="527" spans="1:20" x14ac:dyDescent="0.3">
      <c r="B527" s="99" t="s">
        <v>7112</v>
      </c>
      <c r="C527" s="166">
        <f>UDV.econ_manure.sludge_sell_pct*X574</f>
        <v>0</v>
      </c>
      <c r="D527" t="s">
        <v>5249</v>
      </c>
      <c r="E527"/>
      <c r="F527" s="146"/>
      <c r="G527"/>
      <c r="H527"/>
      <c r="K527"/>
      <c r="L527"/>
      <c r="P527"/>
      <c r="Q527" s="149">
        <v>1</v>
      </c>
      <c r="R527" s="150" t="s">
        <v>2480</v>
      </c>
      <c r="S527" s="150">
        <v>1E-3</v>
      </c>
      <c r="T527" s="151" t="s">
        <v>7154</v>
      </c>
    </row>
    <row r="528" spans="1:20" x14ac:dyDescent="0.3">
      <c r="B528" s="99" t="s">
        <v>7113</v>
      </c>
      <c r="C528" s="166">
        <f>UDV.econ_manure.sludge_give_pct*X574</f>
        <v>206.44063890634163</v>
      </c>
      <c r="D528" t="s">
        <v>5249</v>
      </c>
      <c r="E528"/>
      <c r="F528" s="146"/>
      <c r="G528"/>
      <c r="H528"/>
      <c r="K528"/>
      <c r="L528"/>
      <c r="P528"/>
      <c r="Q528" s="174">
        <v>1</v>
      </c>
      <c r="R528" t="s">
        <v>84</v>
      </c>
      <c r="S528">
        <v>1</v>
      </c>
      <c r="T528" s="146" t="s">
        <v>84</v>
      </c>
    </row>
    <row r="529" spans="2:27" x14ac:dyDescent="0.3">
      <c r="B529" s="99" t="s">
        <v>7114</v>
      </c>
      <c r="C529" s="147">
        <f>X574-C527-C528</f>
        <v>0</v>
      </c>
      <c r="D529" t="s">
        <v>5249</v>
      </c>
      <c r="E529"/>
      <c r="F529" s="146"/>
      <c r="G529"/>
      <c r="H529"/>
      <c r="K529"/>
      <c r="L529"/>
      <c r="P529"/>
      <c r="Q529" s="99">
        <v>1</v>
      </c>
      <c r="R529" t="s">
        <v>704</v>
      </c>
      <c r="S529">
        <v>2.29</v>
      </c>
      <c r="T529" s="146" t="s">
        <v>941</v>
      </c>
    </row>
    <row r="530" spans="2:27" x14ac:dyDescent="0.3">
      <c r="B530" s="99"/>
      <c r="D530"/>
      <c r="E530"/>
      <c r="F530" s="151"/>
      <c r="G530"/>
      <c r="H530"/>
      <c r="K530"/>
      <c r="L530"/>
      <c r="P530"/>
      <c r="Q530" s="149">
        <v>1</v>
      </c>
      <c r="R530" s="150" t="s">
        <v>702</v>
      </c>
      <c r="S530" s="150">
        <v>1.21</v>
      </c>
      <c r="T530" s="151" t="s">
        <v>934</v>
      </c>
      <c r="U530"/>
      <c r="W530"/>
    </row>
    <row r="531" spans="2:27" x14ac:dyDescent="0.3">
      <c r="B531" s="92" t="s">
        <v>6942</v>
      </c>
      <c r="C531" s="82"/>
      <c r="D531" s="82"/>
      <c r="E531" s="139" t="s">
        <v>6988</v>
      </c>
      <c r="F531" s="141"/>
      <c r="G531"/>
      <c r="H531"/>
      <c r="K531"/>
      <c r="L531"/>
      <c r="P531"/>
      <c r="U531"/>
      <c r="W531"/>
    </row>
    <row r="532" spans="2:27" x14ac:dyDescent="0.3">
      <c r="B532" s="175" t="s">
        <v>2908</v>
      </c>
      <c r="C532" s="82"/>
      <c r="D532" s="82"/>
      <c r="E532" s="92"/>
      <c r="F532" s="146"/>
      <c r="G532"/>
      <c r="H532"/>
      <c r="K532"/>
      <c r="L532"/>
      <c r="P532"/>
      <c r="Q532" s="176" t="s">
        <v>7155</v>
      </c>
      <c r="R532" s="170" t="s">
        <v>7156</v>
      </c>
      <c r="S532" s="177"/>
      <c r="T532" s="177"/>
      <c r="U532" s="177"/>
      <c r="W532" s="176" t="s">
        <v>7157</v>
      </c>
      <c r="X532" s="170" t="s">
        <v>7158</v>
      </c>
      <c r="Y532" s="177"/>
      <c r="Z532" s="177"/>
      <c r="AA532" s="177"/>
    </row>
    <row r="533" spans="2:27" x14ac:dyDescent="0.3">
      <c r="B533" s="143" t="s">
        <v>2663</v>
      </c>
      <c r="C533" s="144" t="s">
        <v>565</v>
      </c>
      <c r="D533" s="144" t="s">
        <v>6943</v>
      </c>
      <c r="E533" s="143" t="s">
        <v>565</v>
      </c>
      <c r="F533" s="145" t="s">
        <v>6944</v>
      </c>
      <c r="G533"/>
      <c r="H533"/>
      <c r="K533"/>
      <c r="L533"/>
      <c r="P533"/>
      <c r="Q533" s="179" t="s">
        <v>5328</v>
      </c>
      <c r="R533" s="179" t="s">
        <v>565</v>
      </c>
      <c r="S533" s="179" t="s">
        <v>5329</v>
      </c>
      <c r="T533" s="179" t="s">
        <v>5330</v>
      </c>
      <c r="U533" s="179" t="s">
        <v>5330</v>
      </c>
      <c r="W533" s="179" t="s">
        <v>5328</v>
      </c>
      <c r="X533" s="179" t="s">
        <v>565</v>
      </c>
      <c r="Y533" s="179" t="s">
        <v>5329</v>
      </c>
      <c r="Z533" s="179" t="s">
        <v>5330</v>
      </c>
      <c r="AA533" s="179" t="s">
        <v>5330</v>
      </c>
    </row>
    <row r="534" spans="2:27" x14ac:dyDescent="0.3">
      <c r="B534" s="99" t="s">
        <v>5708</v>
      </c>
      <c r="C534" s="147">
        <f t="shared" ref="C534:C542" si="26">VLOOKUP(B534,$R:$U,3,FALSE)</f>
        <v>3000</v>
      </c>
      <c r="D534" t="s">
        <v>2514</v>
      </c>
      <c r="E534" s="99">
        <f t="shared" ref="E534:E536" si="27">C534</f>
        <v>3000</v>
      </c>
      <c r="F534" s="146" t="s">
        <v>2514</v>
      </c>
      <c r="G534"/>
      <c r="H534"/>
      <c r="K534"/>
      <c r="L534"/>
      <c r="P534"/>
      <c r="Q534" s="180" t="s">
        <v>5332</v>
      </c>
      <c r="R534" s="252">
        <f>R565*R573</f>
        <v>5638.2842091730881</v>
      </c>
      <c r="S534" s="180" t="s">
        <v>5181</v>
      </c>
      <c r="T534" s="177" t="s">
        <v>5333</v>
      </c>
      <c r="U534" s="177">
        <f>UDV.crops.N_avail</f>
        <v>0.95</v>
      </c>
      <c r="W534" s="180" t="s">
        <v>5332</v>
      </c>
      <c r="X534" s="252">
        <f>X565*X573</f>
        <v>11661.715790826909</v>
      </c>
      <c r="Y534" s="180" t="s">
        <v>7159</v>
      </c>
      <c r="Z534" s="177" t="s">
        <v>5333</v>
      </c>
      <c r="AA534" s="177">
        <f>UDV.crops.N_avail</f>
        <v>0.95</v>
      </c>
    </row>
    <row r="535" spans="2:27" x14ac:dyDescent="0.3">
      <c r="B535" s="99" t="s">
        <v>5709</v>
      </c>
      <c r="C535" s="147">
        <f t="shared" si="26"/>
        <v>1</v>
      </c>
      <c r="D535" t="s">
        <v>2442</v>
      </c>
      <c r="E535" s="178">
        <f>C535</f>
        <v>1</v>
      </c>
      <c r="F535" s="146" t="s">
        <v>2442</v>
      </c>
      <c r="G535"/>
      <c r="H535"/>
      <c r="K535"/>
      <c r="L535"/>
      <c r="P535"/>
      <c r="Q535" s="182" t="s">
        <v>5336</v>
      </c>
      <c r="R535" s="183">
        <f>E566/1000</f>
        <v>634.61367774484415</v>
      </c>
      <c r="S535" s="182" t="s">
        <v>5246</v>
      </c>
      <c r="T535" s="177" t="s">
        <v>5337</v>
      </c>
      <c r="U535" s="177">
        <f>UDV.crops.P_avail</f>
        <v>0.95</v>
      </c>
      <c r="W535" s="182" t="s">
        <v>5336</v>
      </c>
      <c r="X535" s="183">
        <f>E587/1000</f>
        <v>1195.5356549500459</v>
      </c>
      <c r="Y535" s="182" t="s">
        <v>5249</v>
      </c>
      <c r="Z535" s="177" t="s">
        <v>5337</v>
      </c>
      <c r="AA535" s="177">
        <f>UDV.crops.P_avail</f>
        <v>0.95</v>
      </c>
    </row>
    <row r="536" spans="2:27" x14ac:dyDescent="0.3">
      <c r="B536" s="99" t="s">
        <v>5710</v>
      </c>
      <c r="C536" s="147">
        <f t="shared" si="26"/>
        <v>1</v>
      </c>
      <c r="D536" t="s">
        <v>2442</v>
      </c>
      <c r="E536" s="99">
        <f t="shared" si="27"/>
        <v>1</v>
      </c>
      <c r="F536" s="146" t="s">
        <v>2442</v>
      </c>
      <c r="G536"/>
      <c r="H536"/>
      <c r="K536"/>
      <c r="L536"/>
      <c r="P536"/>
      <c r="Q536" s="177" t="s">
        <v>5338</v>
      </c>
      <c r="R536" s="189">
        <f>U551</f>
        <v>10.541500613545347</v>
      </c>
      <c r="S536" s="177" t="s">
        <v>2414</v>
      </c>
      <c r="T536" s="177" t="s">
        <v>5339</v>
      </c>
      <c r="U536" s="177">
        <f>UDV.crops.K_avail</f>
        <v>1</v>
      </c>
      <c r="W536" s="177" t="s">
        <v>5338</v>
      </c>
      <c r="X536" s="188">
        <f>AA551</f>
        <v>13.98908607537737</v>
      </c>
      <c r="Y536" s="177" t="s">
        <v>2414</v>
      </c>
      <c r="Z536" s="182" t="s">
        <v>5339</v>
      </c>
      <c r="AA536" s="177">
        <f>UDV.crops.K_avail</f>
        <v>1</v>
      </c>
    </row>
    <row r="537" spans="2:27" x14ac:dyDescent="0.3">
      <c r="B537" s="99" t="s">
        <v>5688</v>
      </c>
      <c r="C537" s="147">
        <f t="shared" si="26"/>
        <v>580</v>
      </c>
      <c r="D537" t="s">
        <v>5689</v>
      </c>
      <c r="E537" s="99">
        <f t="shared" ref="E537:E542" si="28">C537</f>
        <v>580</v>
      </c>
      <c r="F537" s="146" t="s">
        <v>5689</v>
      </c>
      <c r="G537"/>
      <c r="H537"/>
      <c r="K537"/>
      <c r="L537"/>
      <c r="P537"/>
      <c r="Q537" s="177" t="s">
        <v>5340</v>
      </c>
      <c r="R537" s="189">
        <f>U552</f>
        <v>6.3464155557997417</v>
      </c>
      <c r="S537" s="177" t="s">
        <v>2414</v>
      </c>
      <c r="T537" s="184" t="s">
        <v>5341</v>
      </c>
      <c r="U537" s="150"/>
      <c r="W537" s="177" t="s">
        <v>5340</v>
      </c>
      <c r="X537" s="188">
        <f>AA552</f>
        <v>27.562920054201012</v>
      </c>
      <c r="Y537" s="177" t="s">
        <v>2414</v>
      </c>
      <c r="Z537" s="375" t="s">
        <v>5341</v>
      </c>
      <c r="AA537" s="185"/>
    </row>
    <row r="538" spans="2:27" x14ac:dyDescent="0.3">
      <c r="B538" s="99" t="s">
        <v>5701</v>
      </c>
      <c r="C538" s="147">
        <f t="shared" si="26"/>
        <v>340</v>
      </c>
      <c r="D538" t="s">
        <v>971</v>
      </c>
      <c r="E538" s="99">
        <f t="shared" si="28"/>
        <v>340</v>
      </c>
      <c r="F538" s="146" t="s">
        <v>971</v>
      </c>
      <c r="G538"/>
      <c r="H538"/>
      <c r="K538"/>
      <c r="L538"/>
      <c r="P538"/>
      <c r="Q538" s="177" t="s">
        <v>5342</v>
      </c>
      <c r="R538" s="189">
        <f>U553</f>
        <v>9.6433019024930857</v>
      </c>
      <c r="S538" s="177" t="s">
        <v>2414</v>
      </c>
      <c r="T538" s="185" t="s">
        <v>5343</v>
      </c>
      <c r="U538" s="185" t="str">
        <f>UDV.crops.apply_for</f>
        <v>N</v>
      </c>
      <c r="W538" s="177" t="s">
        <v>5342</v>
      </c>
      <c r="X538" s="188">
        <f>AA553</f>
        <v>27.563054669418239</v>
      </c>
      <c r="Y538" s="177" t="s">
        <v>2414</v>
      </c>
      <c r="Z538" s="185" t="s">
        <v>5343</v>
      </c>
      <c r="AA538" s="185" t="str">
        <f>UDV.crops.apply_for</f>
        <v>N</v>
      </c>
    </row>
    <row r="539" spans="2:27" x14ac:dyDescent="0.3">
      <c r="B539" s="99" t="s">
        <v>5738</v>
      </c>
      <c r="C539" s="147">
        <f t="shared" si="26"/>
        <v>1</v>
      </c>
      <c r="D539"/>
      <c r="E539" s="99">
        <f t="shared" si="28"/>
        <v>1</v>
      </c>
      <c r="F539" s="146" t="s">
        <v>2442</v>
      </c>
      <c r="G539"/>
      <c r="H539"/>
      <c r="K539"/>
      <c r="L539"/>
      <c r="P539"/>
      <c r="Q539" s="186" t="s">
        <v>5344</v>
      </c>
      <c r="R539" s="187">
        <f>R536*U534</f>
        <v>10.014425582868078</v>
      </c>
      <c r="S539" s="186" t="s">
        <v>2414</v>
      </c>
      <c r="T539" s="989" t="s">
        <v>5345</v>
      </c>
      <c r="U539" s="990">
        <f>U542*S528</f>
        <v>195</v>
      </c>
      <c r="W539" s="186" t="s">
        <v>5344</v>
      </c>
      <c r="X539" s="187">
        <f>X536*AA534</f>
        <v>13.289631771608502</v>
      </c>
      <c r="Y539" s="186" t="s">
        <v>2414</v>
      </c>
      <c r="Z539" s="989" t="s">
        <v>5345</v>
      </c>
      <c r="AA539" s="989">
        <f>AA542</f>
        <v>195</v>
      </c>
    </row>
    <row r="540" spans="2:27" x14ac:dyDescent="0.3">
      <c r="B540" s="99" t="s">
        <v>5702</v>
      </c>
      <c r="C540" s="147">
        <f t="shared" si="26"/>
        <v>1</v>
      </c>
      <c r="D540"/>
      <c r="E540" s="99">
        <f t="shared" si="28"/>
        <v>1</v>
      </c>
      <c r="F540" s="146" t="s">
        <v>2442</v>
      </c>
      <c r="G540"/>
      <c r="H540"/>
      <c r="K540"/>
      <c r="L540"/>
      <c r="P540"/>
      <c r="Q540" s="177" t="s">
        <v>5347</v>
      </c>
      <c r="R540" s="189">
        <f>R537*U535</f>
        <v>6.0290947780097541</v>
      </c>
      <c r="S540" s="177" t="s">
        <v>2414</v>
      </c>
      <c r="T540" s="989" t="s">
        <v>5348</v>
      </c>
      <c r="U540" s="990">
        <f>U549/S529</f>
        <v>24.017467248908297</v>
      </c>
      <c r="W540" s="177" t="s">
        <v>5347</v>
      </c>
      <c r="X540" s="189">
        <f>X537*AA535</f>
        <v>26.184774051490962</v>
      </c>
      <c r="Y540" s="177" t="s">
        <v>2414</v>
      </c>
      <c r="Z540" s="989" t="s">
        <v>5348</v>
      </c>
      <c r="AA540" s="990">
        <f>AA549/S529</f>
        <v>24.017467248908297</v>
      </c>
    </row>
    <row r="541" spans="2:27" x14ac:dyDescent="0.3">
      <c r="B541" s="99" t="s">
        <v>5739</v>
      </c>
      <c r="C541" s="147">
        <f t="shared" si="26"/>
        <v>2</v>
      </c>
      <c r="D541" t="s">
        <v>2971</v>
      </c>
      <c r="E541" s="201">
        <f t="shared" si="28"/>
        <v>2</v>
      </c>
      <c r="F541" s="146" t="s">
        <v>2971</v>
      </c>
      <c r="G541"/>
      <c r="H541"/>
      <c r="K541"/>
      <c r="L541"/>
      <c r="P541"/>
      <c r="Q541" s="182" t="s">
        <v>5349</v>
      </c>
      <c r="R541" s="190">
        <f>R538*U536</f>
        <v>9.6433019024930857</v>
      </c>
      <c r="S541" s="182" t="s">
        <v>2414</v>
      </c>
      <c r="T541" s="991" t="s">
        <v>5350</v>
      </c>
      <c r="U541" s="992">
        <f>U550/S530</f>
        <v>74.380165289256198</v>
      </c>
      <c r="W541" s="182" t="s">
        <v>5349</v>
      </c>
      <c r="X541" s="190">
        <f>X538*AA536</f>
        <v>27.563054669418239</v>
      </c>
      <c r="Y541" s="182" t="s">
        <v>2414</v>
      </c>
      <c r="Z541" s="991" t="s">
        <v>5350</v>
      </c>
      <c r="AA541" s="993">
        <f>AA550/S530</f>
        <v>74.380165289256198</v>
      </c>
    </row>
    <row r="542" spans="2:27" x14ac:dyDescent="0.3">
      <c r="B542" s="99" t="s">
        <v>5732</v>
      </c>
      <c r="C542" s="147" t="str">
        <f t="shared" si="26"/>
        <v>Injection</v>
      </c>
      <c r="D542" t="s">
        <v>7042</v>
      </c>
      <c r="E542" s="165" t="str">
        <f t="shared" si="28"/>
        <v>Injection</v>
      </c>
      <c r="F542" s="146" t="s">
        <v>7042</v>
      </c>
      <c r="G542"/>
      <c r="H542"/>
      <c r="K542"/>
      <c r="L542"/>
      <c r="P542"/>
      <c r="Q542" s="177" t="s">
        <v>5351</v>
      </c>
      <c r="R542" s="193">
        <f>U542/R539</f>
        <v>19.471910633955005</v>
      </c>
      <c r="S542" s="177" t="s">
        <v>5352</v>
      </c>
      <c r="T542" s="186" t="s">
        <v>5345</v>
      </c>
      <c r="U542" s="186">
        <f>UDV.crops.N_need</f>
        <v>195</v>
      </c>
      <c r="W542" s="177" t="s">
        <v>5351</v>
      </c>
      <c r="X542" s="193">
        <f>AA542/X539</f>
        <v>14.67309278023723</v>
      </c>
      <c r="Y542" s="177" t="s">
        <v>5358</v>
      </c>
      <c r="Z542" s="186" t="s">
        <v>5345</v>
      </c>
      <c r="AA542" s="186">
        <f>UDV.crops.N_need</f>
        <v>195</v>
      </c>
    </row>
    <row r="543" spans="2:27" x14ac:dyDescent="0.3">
      <c r="B543" s="99"/>
      <c r="C543" s="82"/>
      <c r="D543" s="82"/>
      <c r="E543" s="92"/>
      <c r="F543" s="146"/>
      <c r="G543"/>
      <c r="H543"/>
      <c r="K543"/>
      <c r="L543"/>
      <c r="P543"/>
      <c r="U543"/>
      <c r="W543"/>
    </row>
    <row r="544" spans="2:27" x14ac:dyDescent="0.3">
      <c r="B544" s="175" t="s">
        <v>7115</v>
      </c>
      <c r="C544" s="147"/>
      <c r="D544"/>
      <c r="E544" s="99"/>
      <c r="F544" s="146"/>
      <c r="G544"/>
      <c r="H544"/>
      <c r="K544"/>
      <c r="L544"/>
      <c r="P544"/>
      <c r="U544"/>
      <c r="W544"/>
    </row>
    <row r="545" spans="2:27" x14ac:dyDescent="0.3">
      <c r="B545" s="143" t="s">
        <v>2663</v>
      </c>
      <c r="C545" s="147"/>
      <c r="D545"/>
      <c r="E545" s="99"/>
      <c r="F545" s="146"/>
      <c r="G545"/>
      <c r="H545"/>
      <c r="K545"/>
      <c r="L545"/>
      <c r="P545"/>
      <c r="U545"/>
      <c r="W545"/>
    </row>
    <row r="546" spans="2:27" x14ac:dyDescent="0.3">
      <c r="B546" s="99" t="s">
        <v>6407</v>
      </c>
      <c r="C546" s="147">
        <f>VLOOKUP(B546,$R:$U,3,FALSE)</f>
        <v>29.332143674777534</v>
      </c>
      <c r="D546" t="s">
        <v>5385</v>
      </c>
      <c r="E546" s="178">
        <f>C546</f>
        <v>29.332143674777534</v>
      </c>
      <c r="F546" s="146" t="s">
        <v>5385</v>
      </c>
      <c r="G546"/>
      <c r="H546"/>
      <c r="K546"/>
      <c r="L546"/>
      <c r="P546"/>
      <c r="U546"/>
      <c r="W546"/>
    </row>
    <row r="547" spans="2:27" x14ac:dyDescent="0.3">
      <c r="B547" s="99" t="s">
        <v>6409</v>
      </c>
      <c r="C547" s="147">
        <f>VLOOKUP(B547,$R:$U,3,FALSE)</f>
        <v>946.46267270594763</v>
      </c>
      <c r="D547" t="s">
        <v>5323</v>
      </c>
      <c r="E547" s="178">
        <f>C547</f>
        <v>946.46267270594763</v>
      </c>
      <c r="F547" s="146" t="s">
        <v>5323</v>
      </c>
      <c r="G547"/>
      <c r="H547"/>
      <c r="K547"/>
      <c r="L547"/>
      <c r="P547"/>
      <c r="U547"/>
      <c r="W547"/>
    </row>
    <row r="548" spans="2:27" x14ac:dyDescent="0.3">
      <c r="B548" s="99" t="s">
        <v>6390</v>
      </c>
      <c r="C548" s="205">
        <f>VLOOKUP(B548,$R:$U, 3, FALSE)</f>
        <v>5.8664287349555071</v>
      </c>
      <c r="D548" t="s">
        <v>2472</v>
      </c>
      <c r="E548" s="178">
        <f>C548</f>
        <v>5.8664287349555071</v>
      </c>
      <c r="F548" s="146" t="s">
        <v>2710</v>
      </c>
      <c r="G548"/>
      <c r="H548"/>
      <c r="K548"/>
      <c r="L548"/>
      <c r="P548"/>
      <c r="U548"/>
      <c r="W548"/>
    </row>
    <row r="549" spans="2:27" x14ac:dyDescent="0.3">
      <c r="B549" s="99"/>
      <c r="C549" s="82"/>
      <c r="D549" s="82"/>
      <c r="E549" s="92"/>
      <c r="F549" s="146"/>
      <c r="G549"/>
      <c r="H549"/>
      <c r="K549"/>
      <c r="L549"/>
      <c r="P549"/>
      <c r="Q549" s="177" t="s">
        <v>5353</v>
      </c>
      <c r="R549" s="193">
        <f>U549/R540</f>
        <v>9.1224308167462382</v>
      </c>
      <c r="S549" s="177" t="s">
        <v>5352</v>
      </c>
      <c r="T549" s="177" t="s">
        <v>5354</v>
      </c>
      <c r="U549" s="177">
        <f>UDV.crops.P_need</f>
        <v>55</v>
      </c>
      <c r="W549" s="177" t="s">
        <v>5353</v>
      </c>
      <c r="X549" s="193">
        <f>AA549/X540</f>
        <v>2.1004573074354367</v>
      </c>
      <c r="Y549" s="177" t="s">
        <v>5358</v>
      </c>
      <c r="Z549" s="177" t="s">
        <v>5354</v>
      </c>
      <c r="AA549" s="177">
        <f>UDV.crops.P_need</f>
        <v>55</v>
      </c>
    </row>
    <row r="550" spans="2:27" x14ac:dyDescent="0.3">
      <c r="B550" s="175" t="s">
        <v>6380</v>
      </c>
      <c r="D550"/>
      <c r="E550" s="99"/>
      <c r="F550" s="146"/>
      <c r="G550"/>
      <c r="H550"/>
      <c r="K550"/>
      <c r="L550"/>
      <c r="P550"/>
      <c r="Q550" s="177" t="s">
        <v>5355</v>
      </c>
      <c r="R550" s="193">
        <f>U550/R541</f>
        <v>9.3329028697869845</v>
      </c>
      <c r="S550" s="177" t="s">
        <v>5352</v>
      </c>
      <c r="T550" s="182" t="s">
        <v>5356</v>
      </c>
      <c r="U550" s="182">
        <f>UDV.crops.K_need</f>
        <v>90</v>
      </c>
      <c r="W550" s="177" t="s">
        <v>5355</v>
      </c>
      <c r="X550" s="193">
        <f>AA550/X541</f>
        <v>3.2652404125532866</v>
      </c>
      <c r="Y550" s="177" t="s">
        <v>5358</v>
      </c>
      <c r="Z550" s="182" t="s">
        <v>5356</v>
      </c>
      <c r="AA550" s="182">
        <f>UDV.crops.K_need</f>
        <v>90</v>
      </c>
    </row>
    <row r="551" spans="2:27" x14ac:dyDescent="0.3">
      <c r="B551" s="143" t="s">
        <v>2663</v>
      </c>
      <c r="C551" s="144" t="s">
        <v>565</v>
      </c>
      <c r="D551" s="144" t="s">
        <v>6943</v>
      </c>
      <c r="E551" s="143" t="s">
        <v>565</v>
      </c>
      <c r="F551" s="145" t="s">
        <v>6944</v>
      </c>
      <c r="G551" s="1222" t="s">
        <v>3007</v>
      </c>
      <c r="H551" s="1215" t="s">
        <v>6993</v>
      </c>
      <c r="I551" s="142"/>
      <c r="J551" s="141"/>
      <c r="K551"/>
      <c r="L551"/>
      <c r="P551"/>
      <c r="Q551" s="185" t="s">
        <v>5357</v>
      </c>
      <c r="R551" s="192">
        <f>IF(U538="P",VLOOKUP("Amount of manure needed for P2O5",Q542:R550,2,FALSE),VLOOKUP("Amount of manure needed for N",Q542:R550,2,FALSE))</f>
        <v>19.471910633955005</v>
      </c>
      <c r="S551" s="185" t="s">
        <v>5358</v>
      </c>
      <c r="T551" s="177" t="s">
        <v>5359</v>
      </c>
      <c r="U551" s="378">
        <f>E567</f>
        <v>10.541500613545347</v>
      </c>
      <c r="W551" s="185" t="s">
        <v>5357</v>
      </c>
      <c r="X551" s="192">
        <f>IF(AA538="P",VLOOKUP("Amount of manure needed for P2O5",W542:X550,2,FALSE),VLOOKUP("Amount of manure needed for N",W542:X550,2,FALSE))</f>
        <v>14.67309278023723</v>
      </c>
      <c r="Y551" s="185" t="s">
        <v>5358</v>
      </c>
      <c r="Z551" s="177" t="s">
        <v>5359</v>
      </c>
      <c r="AA551" s="378">
        <f>E588</f>
        <v>13.98908607537737</v>
      </c>
    </row>
    <row r="552" spans="2:27" x14ac:dyDescent="0.3">
      <c r="B552" s="99" t="s">
        <v>6401</v>
      </c>
      <c r="C552" s="147">
        <f>VLOOKUP(B552,$R:$U,3,FALSE)</f>
        <v>182.5</v>
      </c>
      <c r="D552" t="s">
        <v>5121</v>
      </c>
      <c r="E552" s="201">
        <f>UC.year_to_day/C552</f>
        <v>2</v>
      </c>
      <c r="F552" s="146" t="s">
        <v>7043</v>
      </c>
      <c r="G552" s="42" t="s">
        <v>7131</v>
      </c>
      <c r="H552" s="92" t="s">
        <v>4838</v>
      </c>
      <c r="I552" s="1216" t="s">
        <v>2710</v>
      </c>
      <c r="J552" s="285">
        <f>(SUM(E554:E556)*UDV.OPEX_labor.tractor_stationary)+(SUM(E557:E559)*UDV.OPEX_labor.tractor_active)+E548</f>
        <v>6.7672275929776342</v>
      </c>
      <c r="K552"/>
      <c r="L552"/>
      <c r="P552"/>
      <c r="Q552" s="194" t="s">
        <v>5360</v>
      </c>
      <c r="R552" s="195">
        <f>R539*R551</f>
        <v>195</v>
      </c>
      <c r="S552" s="194" t="s">
        <v>5361</v>
      </c>
      <c r="T552" s="177" t="s">
        <v>5362</v>
      </c>
      <c r="U552" s="193">
        <f>E568</f>
        <v>6.3464155557997417</v>
      </c>
      <c r="W552" s="194" t="s">
        <v>5360</v>
      </c>
      <c r="X552" s="379">
        <f>X539*X551</f>
        <v>195</v>
      </c>
      <c r="Y552" s="194" t="s">
        <v>7160</v>
      </c>
      <c r="Z552" s="177" t="s">
        <v>5362</v>
      </c>
      <c r="AA552" s="193">
        <f>E589</f>
        <v>27.562920054201012</v>
      </c>
    </row>
    <row r="553" spans="2:27" x14ac:dyDescent="0.3">
      <c r="B553" s="99" t="s">
        <v>5713</v>
      </c>
      <c r="C553" s="147">
        <f>VLOOKUP(B553,$R:$U,3,FALSE)</f>
        <v>0.1762815769123536</v>
      </c>
      <c r="D553" t="s">
        <v>6085</v>
      </c>
      <c r="E553" s="178">
        <f>C553*E552</f>
        <v>0.35256315382470721</v>
      </c>
      <c r="F553" s="146" t="s">
        <v>2710</v>
      </c>
      <c r="G553" s="42" t="s">
        <v>7132</v>
      </c>
      <c r="H553" s="1217" t="s">
        <v>5444</v>
      </c>
      <c r="I553" s="1216" t="s">
        <v>6085</v>
      </c>
      <c r="J553" s="285">
        <f>(SUM(E575:E577)*UDV.OPEX_labor.tractor_stationary)+(SUM(E578:E580)*UDV.OPEX_labor.tractor_active)</f>
        <v>14.208917516836475</v>
      </c>
      <c r="K553"/>
      <c r="L553"/>
      <c r="P553"/>
      <c r="Q553" s="194" t="s">
        <v>5363</v>
      </c>
      <c r="R553" s="195">
        <f>R540*R551</f>
        <v>117.39799472105072</v>
      </c>
      <c r="S553" s="194" t="s">
        <v>5361</v>
      </c>
      <c r="T553" s="182" t="s">
        <v>5364</v>
      </c>
      <c r="U553" s="196">
        <f>E569</f>
        <v>9.6433019024930857</v>
      </c>
      <c r="W553" s="194" t="s">
        <v>5363</v>
      </c>
      <c r="X553" s="379">
        <f>X540*X551</f>
        <v>384.21161908707518</v>
      </c>
      <c r="Y553" s="194" t="s">
        <v>7160</v>
      </c>
      <c r="Z553" s="182" t="s">
        <v>5364</v>
      </c>
      <c r="AA553" s="196">
        <f>E590</f>
        <v>27.563054669418239</v>
      </c>
    </row>
    <row r="554" spans="2:27" x14ac:dyDescent="0.3">
      <c r="B554" s="99" t="s">
        <v>6543</v>
      </c>
      <c r="C554" s="204">
        <f>C553</f>
        <v>0.1762815769123536</v>
      </c>
      <c r="D554" s="142" t="s">
        <v>6085</v>
      </c>
      <c r="E554" s="178">
        <f>C554*E552</f>
        <v>0.35256315382470721</v>
      </c>
      <c r="F554" s="146" t="s">
        <v>2710</v>
      </c>
      <c r="G554" s="42" t="s">
        <v>7133</v>
      </c>
      <c r="H554" s="1218" t="s">
        <v>5445</v>
      </c>
      <c r="I554" s="1216" t="s">
        <v>6995</v>
      </c>
      <c r="J554" s="285">
        <f>SUM(J552:J553)</f>
        <v>20.976145109814109</v>
      </c>
      <c r="K554"/>
      <c r="L554"/>
      <c r="P554"/>
      <c r="Q554" s="197" t="s">
        <v>5365</v>
      </c>
      <c r="R554" s="198">
        <f>R541*R551</f>
        <v>187.77351286159364</v>
      </c>
      <c r="S554" s="197" t="s">
        <v>5361</v>
      </c>
      <c r="U554"/>
      <c r="W554" s="197" t="s">
        <v>5365</v>
      </c>
      <c r="X554" s="380">
        <f>X541*X551</f>
        <v>404.43525847112483</v>
      </c>
      <c r="Y554" s="197" t="s">
        <v>7160</v>
      </c>
    </row>
    <row r="555" spans="2:27" x14ac:dyDescent="0.3">
      <c r="B555" s="99" t="s">
        <v>6544</v>
      </c>
      <c r="C555" s="205">
        <f>C553</f>
        <v>0.1762815769123536</v>
      </c>
      <c r="D555" t="s">
        <v>6085</v>
      </c>
      <c r="E555" s="178">
        <f>C555*E552</f>
        <v>0.35256315382470721</v>
      </c>
      <c r="F555" s="146" t="s">
        <v>2710</v>
      </c>
      <c r="G555" s="42" t="s">
        <v>7134</v>
      </c>
      <c r="H555" s="1219" t="s">
        <v>5446</v>
      </c>
      <c r="I555" s="1220" t="s">
        <v>5447</v>
      </c>
      <c r="J555" s="1221">
        <f>J552+(J553/UDV.anaer_lagoon.sludge_time)</f>
        <v>8.1881193446612812</v>
      </c>
      <c r="K555"/>
      <c r="L555"/>
      <c r="P555"/>
      <c r="Q555" s="177" t="s">
        <v>5366</v>
      </c>
      <c r="R555" s="188">
        <f>IF(U542&lt;R552,U542,R552)</f>
        <v>195</v>
      </c>
      <c r="S555" s="177" t="s">
        <v>5361</v>
      </c>
      <c r="T555" s="199" t="s">
        <v>5367</v>
      </c>
      <c r="U555" s="177"/>
      <c r="W555" s="177" t="s">
        <v>5366</v>
      </c>
      <c r="X555" s="188">
        <f>IF(AA542&lt;X552,AA542,X552)</f>
        <v>195</v>
      </c>
      <c r="Y555" s="177" t="s">
        <v>7161</v>
      </c>
      <c r="Z555" s="177"/>
      <c r="AA555" s="177"/>
    </row>
    <row r="556" spans="2:27" x14ac:dyDescent="0.3">
      <c r="B556" s="99" t="s">
        <v>6545</v>
      </c>
      <c r="C556" s="205">
        <f>C553</f>
        <v>0.1762815769123536</v>
      </c>
      <c r="D556" t="s">
        <v>6085</v>
      </c>
      <c r="E556" s="178">
        <f>C556*E552</f>
        <v>0.35256315382470721</v>
      </c>
      <c r="F556" s="146" t="s">
        <v>2710</v>
      </c>
      <c r="G556"/>
      <c r="H556"/>
      <c r="K556"/>
      <c r="L556"/>
      <c r="P556"/>
      <c r="Q556" s="177" t="s">
        <v>5368</v>
      </c>
      <c r="R556" s="188">
        <f>IF(U549&lt;R553,U549,R553)</f>
        <v>55</v>
      </c>
      <c r="S556" s="177" t="s">
        <v>5361</v>
      </c>
      <c r="T556" s="199" t="s">
        <v>5369</v>
      </c>
      <c r="U556" s="177"/>
      <c r="W556" s="177" t="s">
        <v>5368</v>
      </c>
      <c r="X556" s="188">
        <f>IF(AA549&lt;X553,AA549,X553)</f>
        <v>55</v>
      </c>
      <c r="Y556" s="177" t="s">
        <v>7161</v>
      </c>
      <c r="Z556" s="177"/>
      <c r="AA556" s="177"/>
    </row>
    <row r="557" spans="2:27" x14ac:dyDescent="0.3">
      <c r="B557" s="99" t="s">
        <v>6546</v>
      </c>
      <c r="C557" s="205">
        <f>C553*UDV.dhl.application_maneuver_factor</f>
        <v>0.20272381344920662</v>
      </c>
      <c r="D557" t="s">
        <v>6085</v>
      </c>
      <c r="E557" s="178">
        <f>C557*E552</f>
        <v>0.40544762689841324</v>
      </c>
      <c r="F557" s="146" t="s">
        <v>2710</v>
      </c>
      <c r="G557"/>
      <c r="H557"/>
      <c r="K557"/>
      <c r="L557"/>
      <c r="P557"/>
      <c r="Q557" s="182" t="s">
        <v>5370</v>
      </c>
      <c r="R557" s="191">
        <f>IF(U550&lt;R554,U550,R554)</f>
        <v>90</v>
      </c>
      <c r="S557" s="182" t="s">
        <v>5361</v>
      </c>
      <c r="T557" s="199" t="s">
        <v>5371</v>
      </c>
      <c r="U557" s="177"/>
      <c r="W557" s="182" t="s">
        <v>5370</v>
      </c>
      <c r="X557" s="191">
        <f>IF(AA550&lt;X554,AA550,X554)</f>
        <v>90</v>
      </c>
      <c r="Y557" s="182" t="s">
        <v>7161</v>
      </c>
      <c r="Z557" s="177"/>
      <c r="AA557" s="177"/>
    </row>
    <row r="558" spans="2:27" x14ac:dyDescent="0.3">
      <c r="B558" s="99" t="s">
        <v>6547</v>
      </c>
      <c r="C558" s="205">
        <f>C553*UDV.dhl.hose_mover_utilization</f>
        <v>0.13221118268426521</v>
      </c>
      <c r="D558" t="s">
        <v>6085</v>
      </c>
      <c r="E558" s="178">
        <f>C558*E552</f>
        <v>0.26442236536853042</v>
      </c>
      <c r="F558" s="146" t="s">
        <v>2710</v>
      </c>
      <c r="G558"/>
      <c r="H558"/>
      <c r="K558"/>
      <c r="L558"/>
      <c r="P558"/>
      <c r="Q558" s="177" t="s">
        <v>5372</v>
      </c>
      <c r="R558" s="189">
        <f>UDV.econ_fertilizer.N</f>
        <v>0.53</v>
      </c>
      <c r="S558" s="177" t="s">
        <v>2299</v>
      </c>
      <c r="T558" s="177"/>
      <c r="U558" s="177"/>
      <c r="W558" s="177" t="s">
        <v>5372</v>
      </c>
      <c r="X558" s="189">
        <f>UDV.econ_fertilizer.N</f>
        <v>0.53</v>
      </c>
      <c r="Y558" s="177" t="s">
        <v>2299</v>
      </c>
      <c r="Z558" s="177"/>
      <c r="AA558" s="177"/>
    </row>
    <row r="559" spans="2:27" x14ac:dyDescent="0.3">
      <c r="B559" s="99" t="s">
        <v>6548</v>
      </c>
      <c r="C559" s="209">
        <f>C553*UDV.dhl.pickup_utilization</f>
        <v>2.6442236536853039E-2</v>
      </c>
      <c r="D559" s="150" t="s">
        <v>6085</v>
      </c>
      <c r="E559" s="178">
        <f>C559*E552</f>
        <v>5.2884473073706077E-2</v>
      </c>
      <c r="F559" s="146" t="s">
        <v>2710</v>
      </c>
      <c r="G559"/>
      <c r="H559"/>
      <c r="K559"/>
      <c r="L559"/>
      <c r="P559"/>
      <c r="Q559" s="177" t="s">
        <v>5373</v>
      </c>
      <c r="R559" s="189">
        <f>UDV.econ_fertilizer.P2O5</f>
        <v>0.53</v>
      </c>
      <c r="S559" s="177" t="s">
        <v>2299</v>
      </c>
      <c r="T559" s="177"/>
      <c r="U559" s="177"/>
      <c r="W559" s="177" t="s">
        <v>5373</v>
      </c>
      <c r="X559" s="189">
        <f>UDV.econ_fertilizer.P2O5</f>
        <v>0.53</v>
      </c>
      <c r="Y559" s="177" t="s">
        <v>2299</v>
      </c>
      <c r="Z559" s="177"/>
      <c r="AA559" s="177"/>
    </row>
    <row r="560" spans="2:27" x14ac:dyDescent="0.3">
      <c r="B560" s="99" t="s">
        <v>5714</v>
      </c>
      <c r="C560" s="147">
        <f t="shared" ref="C560:C569" si="29">VLOOKUP(B560,$R:$U,3,FALSE)</f>
        <v>3.1730683844223648</v>
      </c>
      <c r="D560" t="s">
        <v>2489</v>
      </c>
      <c r="E560" s="178">
        <f>C560*E552</f>
        <v>6.3461367688447297</v>
      </c>
      <c r="F560" s="146" t="s">
        <v>7135</v>
      </c>
      <c r="G560"/>
      <c r="H560"/>
      <c r="K560"/>
      <c r="L560"/>
      <c r="P560"/>
      <c r="Q560" s="182" t="s">
        <v>5374</v>
      </c>
      <c r="R560" s="190">
        <f>UDV.econ_fertilizer.K2O</f>
        <v>0.45</v>
      </c>
      <c r="S560" s="182" t="s">
        <v>2299</v>
      </c>
      <c r="T560" s="177"/>
      <c r="U560" s="177"/>
      <c r="W560" s="182" t="s">
        <v>5374</v>
      </c>
      <c r="X560" s="190">
        <f>UDV.econ_fertilizer.K2O</f>
        <v>0.45</v>
      </c>
      <c r="Y560" s="182" t="s">
        <v>2299</v>
      </c>
      <c r="Z560" s="177"/>
      <c r="AA560" s="177"/>
    </row>
    <row r="561" spans="2:27" x14ac:dyDescent="0.3">
      <c r="B561" s="99" t="s">
        <v>5715</v>
      </c>
      <c r="C561" s="147">
        <f t="shared" si="29"/>
        <v>1.3221118268426519</v>
      </c>
      <c r="D561" t="s">
        <v>2489</v>
      </c>
      <c r="E561" s="178">
        <f>C561*E552</f>
        <v>2.6442236536853039</v>
      </c>
      <c r="F561" s="146" t="s">
        <v>7135</v>
      </c>
      <c r="G561"/>
      <c r="H561"/>
      <c r="K561"/>
      <c r="L561"/>
      <c r="P561"/>
      <c r="Q561" s="177" t="s">
        <v>5375</v>
      </c>
      <c r="R561" s="193">
        <f>R555*R558</f>
        <v>103.35000000000001</v>
      </c>
      <c r="S561" s="177" t="s">
        <v>5376</v>
      </c>
      <c r="T561" s="177"/>
      <c r="U561" s="177"/>
      <c r="W561" s="177" t="s">
        <v>5375</v>
      </c>
      <c r="X561" s="193">
        <f>X555*X558</f>
        <v>103.35000000000001</v>
      </c>
      <c r="Y561" s="177" t="s">
        <v>2813</v>
      </c>
      <c r="Z561" s="177"/>
      <c r="AA561" s="177"/>
    </row>
    <row r="562" spans="2:27" x14ac:dyDescent="0.3">
      <c r="B562" s="99" t="s">
        <v>5716</v>
      </c>
      <c r="C562" s="147">
        <f t="shared" si="29"/>
        <v>1.0576894614741217</v>
      </c>
      <c r="D562" t="s">
        <v>2489</v>
      </c>
      <c r="E562" s="178">
        <f>C562*E552</f>
        <v>2.1153789229482434</v>
      </c>
      <c r="F562" s="146" t="s">
        <v>7135</v>
      </c>
      <c r="G562"/>
      <c r="H562"/>
      <c r="K562"/>
      <c r="L562"/>
      <c r="P562"/>
      <c r="Q562" s="177" t="s">
        <v>5377</v>
      </c>
      <c r="R562" s="193">
        <f>R556*R559</f>
        <v>29.150000000000002</v>
      </c>
      <c r="S562" s="177" t="s">
        <v>5376</v>
      </c>
      <c r="T562" s="177"/>
      <c r="U562" s="177"/>
      <c r="W562" s="177" t="s">
        <v>5377</v>
      </c>
      <c r="X562" s="193">
        <f>X556*X559</f>
        <v>29.150000000000002</v>
      </c>
      <c r="Y562" s="177" t="s">
        <v>2813</v>
      </c>
      <c r="Z562" s="177"/>
      <c r="AA562" s="177"/>
    </row>
    <row r="563" spans="2:27" x14ac:dyDescent="0.3">
      <c r="B563" s="99" t="s">
        <v>5740</v>
      </c>
      <c r="C563" s="147">
        <f t="shared" si="29"/>
        <v>25.52</v>
      </c>
      <c r="D563" t="s">
        <v>6549</v>
      </c>
      <c r="E563" s="178">
        <f t="shared" ref="E563:E564" si="30">C563*E557</f>
        <v>10.347023438447506</v>
      </c>
      <c r="F563" s="146" t="s">
        <v>7135</v>
      </c>
      <c r="G563"/>
      <c r="H563"/>
      <c r="K563"/>
      <c r="L563"/>
      <c r="P563"/>
      <c r="Q563" s="182" t="s">
        <v>5378</v>
      </c>
      <c r="R563" s="196">
        <f>R557*R560</f>
        <v>40.5</v>
      </c>
      <c r="S563" s="182" t="s">
        <v>5376</v>
      </c>
      <c r="T563" s="177"/>
      <c r="U563" s="177"/>
      <c r="W563" s="182" t="s">
        <v>5378</v>
      </c>
      <c r="X563" s="196">
        <f>X557*X560</f>
        <v>40.5</v>
      </c>
      <c r="Y563" s="182" t="s">
        <v>2813</v>
      </c>
      <c r="Z563" s="177"/>
      <c r="AA563" s="177"/>
    </row>
    <row r="564" spans="2:27" x14ac:dyDescent="0.3">
      <c r="B564" s="99" t="s">
        <v>5741</v>
      </c>
      <c r="C564" s="147">
        <f t="shared" si="29"/>
        <v>14.959999999999999</v>
      </c>
      <c r="D564" t="s">
        <v>6549</v>
      </c>
      <c r="E564" s="178">
        <f t="shared" si="30"/>
        <v>3.9557585859132147</v>
      </c>
      <c r="F564" s="146" t="s">
        <v>7135</v>
      </c>
      <c r="G564"/>
      <c r="H564"/>
      <c r="K564"/>
      <c r="L564"/>
      <c r="P564"/>
      <c r="Q564" s="185" t="s">
        <v>5379</v>
      </c>
      <c r="R564" s="202">
        <f>SUM(R561:R563)</f>
        <v>173</v>
      </c>
      <c r="S564" s="185" t="s">
        <v>5376</v>
      </c>
      <c r="T564" s="177"/>
      <c r="U564" s="177"/>
      <c r="W564" s="185" t="s">
        <v>5379</v>
      </c>
      <c r="X564" s="202">
        <f>SUM(X561:X563)</f>
        <v>173</v>
      </c>
      <c r="Y564" s="185" t="s">
        <v>2813</v>
      </c>
      <c r="Z564" s="177"/>
      <c r="AA564" s="177"/>
    </row>
    <row r="565" spans="2:27" x14ac:dyDescent="0.3">
      <c r="B565" s="99" t="s">
        <v>5717</v>
      </c>
      <c r="C565" s="147">
        <f t="shared" si="29"/>
        <v>0.15865341922111822</v>
      </c>
      <c r="D565" t="s">
        <v>2489</v>
      </c>
      <c r="E565" s="178">
        <f>C565*E552</f>
        <v>0.31730683844223645</v>
      </c>
      <c r="F565" s="146" t="s">
        <v>7135</v>
      </c>
      <c r="G565"/>
      <c r="H565"/>
      <c r="K565"/>
      <c r="L565"/>
      <c r="P565"/>
      <c r="Q565" s="185" t="s">
        <v>5380</v>
      </c>
      <c r="R565" s="202">
        <f>R564/R551</f>
        <v>8.8845929530060399</v>
      </c>
      <c r="S565" s="203" t="s">
        <v>2314</v>
      </c>
      <c r="T565" s="177"/>
      <c r="U565" s="177"/>
      <c r="W565" s="381" t="s">
        <v>5380</v>
      </c>
      <c r="X565" s="202">
        <f>X564/X551</f>
        <v>11.790288699939849</v>
      </c>
      <c r="Y565" s="203" t="s">
        <v>2314</v>
      </c>
      <c r="Z565" s="177"/>
      <c r="AA565" s="177"/>
    </row>
    <row r="566" spans="2:27" x14ac:dyDescent="0.3">
      <c r="B566" s="99" t="s">
        <v>6403</v>
      </c>
      <c r="C566" s="147">
        <f t="shared" si="29"/>
        <v>1201.1370470114557</v>
      </c>
      <c r="D566" t="s">
        <v>5910</v>
      </c>
      <c r="E566" s="164">
        <f>CONVERT(C566,"m^3","gal")*E552</f>
        <v>634613.67774484411</v>
      </c>
      <c r="F566" s="146" t="s">
        <v>5324</v>
      </c>
      <c r="G566"/>
      <c r="H566"/>
      <c r="K566"/>
      <c r="L566"/>
      <c r="P566"/>
      <c r="Q566" s="186" t="s">
        <v>5381</v>
      </c>
      <c r="R566" s="204">
        <f>R552-R555</f>
        <v>0</v>
      </c>
      <c r="S566" s="186" t="s">
        <v>5361</v>
      </c>
      <c r="T566" s="34"/>
      <c r="U566"/>
      <c r="W566" s="186" t="s">
        <v>5381</v>
      </c>
      <c r="X566" s="204">
        <f>X552-X555</f>
        <v>0</v>
      </c>
      <c r="Y566" s="186" t="s">
        <v>7161</v>
      </c>
    </row>
    <row r="567" spans="2:27" x14ac:dyDescent="0.3">
      <c r="B567" s="99" t="s">
        <v>6404</v>
      </c>
      <c r="C567" s="78">
        <f t="shared" si="29"/>
        <v>1.2631516089310184</v>
      </c>
      <c r="D567" t="s">
        <v>2413</v>
      </c>
      <c r="E567" s="201">
        <f>C567*S523/(S525*S527)</f>
        <v>10.541500613545347</v>
      </c>
      <c r="F567" s="146" t="s">
        <v>2414</v>
      </c>
      <c r="G567"/>
      <c r="H567"/>
      <c r="K567"/>
      <c r="L567"/>
      <c r="P567"/>
      <c r="Q567" s="177" t="s">
        <v>7167</v>
      </c>
      <c r="R567" s="205">
        <f>R553-R556</f>
        <v>62.397994721050722</v>
      </c>
      <c r="S567" s="177" t="s">
        <v>5361</v>
      </c>
      <c r="T567" s="34"/>
      <c r="U567"/>
      <c r="W567" s="177" t="s">
        <v>7167</v>
      </c>
      <c r="X567" s="205">
        <f>X553-X556</f>
        <v>329.21161908707518</v>
      </c>
      <c r="Y567" s="177" t="s">
        <v>7161</v>
      </c>
    </row>
    <row r="568" spans="2:27" x14ac:dyDescent="0.3">
      <c r="B568" s="99" t="s">
        <v>6405</v>
      </c>
      <c r="C568" s="78">
        <f t="shared" si="29"/>
        <v>0.76046905598548931</v>
      </c>
      <c r="D568" t="s">
        <v>2413</v>
      </c>
      <c r="E568" s="201">
        <f>C568*S523/(S525*S527)</f>
        <v>6.3464155557997417</v>
      </c>
      <c r="F568" s="146" t="s">
        <v>2414</v>
      </c>
      <c r="G568"/>
      <c r="H568"/>
      <c r="K568"/>
      <c r="L568"/>
      <c r="P568"/>
      <c r="Q568" s="182" t="s">
        <v>7168</v>
      </c>
      <c r="R568" s="209">
        <f>R554-R557</f>
        <v>97.773512861593645</v>
      </c>
      <c r="S568" s="182" t="s">
        <v>5361</v>
      </c>
      <c r="U568"/>
      <c r="W568" s="182" t="s">
        <v>7168</v>
      </c>
      <c r="X568" s="209">
        <f>X554-X557</f>
        <v>314.43525847112483</v>
      </c>
      <c r="Y568" s="182" t="s">
        <v>7161</v>
      </c>
    </row>
    <row r="569" spans="2:27" x14ac:dyDescent="0.3">
      <c r="B569" s="99" t="s">
        <v>6406</v>
      </c>
      <c r="C569" s="78">
        <f t="shared" si="29"/>
        <v>1.1555235596998139</v>
      </c>
      <c r="D569" t="s">
        <v>2413</v>
      </c>
      <c r="E569" s="201">
        <f>C569*S523/(S525*S527)</f>
        <v>9.6433019024930857</v>
      </c>
      <c r="F569" s="146" t="s">
        <v>2414</v>
      </c>
      <c r="G569"/>
      <c r="H569"/>
      <c r="K569"/>
      <c r="L569"/>
      <c r="P569"/>
      <c r="Q569" s="186" t="s">
        <v>5384</v>
      </c>
      <c r="R569" s="211">
        <f>R535/R551</f>
        <v>32.591238203312649</v>
      </c>
      <c r="S569" s="212" t="s">
        <v>5385</v>
      </c>
      <c r="U569"/>
      <c r="W569" s="186" t="s">
        <v>5384</v>
      </c>
      <c r="X569" s="211">
        <f>X535/X551</f>
        <v>81.478095508281584</v>
      </c>
      <c r="Y569" s="212" t="s">
        <v>7162</v>
      </c>
    </row>
    <row r="570" spans="2:27" x14ac:dyDescent="0.3">
      <c r="B570" s="99"/>
      <c r="D570"/>
      <c r="E570" s="99"/>
      <c r="F570" s="146"/>
      <c r="G570"/>
      <c r="H570"/>
      <c r="K570"/>
      <c r="L570"/>
      <c r="P570"/>
      <c r="Q570" s="177" t="s">
        <v>5386</v>
      </c>
      <c r="R570">
        <f>UDV.crops.acres_available</f>
        <v>100</v>
      </c>
      <c r="S570" s="177" t="s">
        <v>5385</v>
      </c>
      <c r="U570" s="219"/>
      <c r="W570" s="177" t="s">
        <v>5386</v>
      </c>
      <c r="X570" s="221">
        <f>UDV.crops.acres_available-R571</f>
        <v>67.408761796687344</v>
      </c>
      <c r="Y570" s="194" t="s">
        <v>7162</v>
      </c>
    </row>
    <row r="571" spans="2:27" x14ac:dyDescent="0.3">
      <c r="B571" s="175" t="s">
        <v>263</v>
      </c>
      <c r="D571"/>
      <c r="E571" s="99"/>
      <c r="F571" s="146"/>
      <c r="G571"/>
      <c r="H571"/>
      <c r="K571"/>
      <c r="L571"/>
      <c r="P571"/>
      <c r="Q571" s="177" t="s">
        <v>5387</v>
      </c>
      <c r="R571" s="221">
        <f>IF(R569&lt;R570,R569,R570)</f>
        <v>32.591238203312649</v>
      </c>
      <c r="S571" s="194" t="s">
        <v>5385</v>
      </c>
      <c r="U571"/>
      <c r="W571" s="177" t="s">
        <v>7163</v>
      </c>
      <c r="X571" s="221">
        <f>IF(X569&lt;X570,X569,X570)</f>
        <v>67.408761796687344</v>
      </c>
      <c r="Y571" s="194" t="s">
        <v>7162</v>
      </c>
    </row>
    <row r="572" spans="2:27" x14ac:dyDescent="0.3">
      <c r="B572" s="143" t="s">
        <v>2663</v>
      </c>
      <c r="C572" s="144" t="s">
        <v>565</v>
      </c>
      <c r="D572" s="144" t="s">
        <v>6943</v>
      </c>
      <c r="E572" s="143" t="s">
        <v>565</v>
      </c>
      <c r="F572" s="145" t="s">
        <v>6944</v>
      </c>
      <c r="G572"/>
      <c r="H572"/>
      <c r="K572"/>
      <c r="L572"/>
      <c r="P572"/>
      <c r="Q572" s="177" t="s">
        <v>5388</v>
      </c>
      <c r="R572" s="148">
        <f>R551*R570</f>
        <v>1947.1910633955006</v>
      </c>
      <c r="S572" s="177" t="s">
        <v>5246</v>
      </c>
      <c r="U572"/>
      <c r="W572" s="177" t="s">
        <v>5388</v>
      </c>
      <c r="X572" s="148">
        <f>X551*X570</f>
        <v>989.09501604370428</v>
      </c>
      <c r="Y572" s="177" t="s">
        <v>7154</v>
      </c>
      <c r="Z572" s="34"/>
    </row>
    <row r="573" spans="2:27" x14ac:dyDescent="0.3">
      <c r="B573" s="99" t="s">
        <v>6416</v>
      </c>
      <c r="C573" s="382">
        <f>VLOOKUP(B573,$X:$AA,3,FALSE)</f>
        <v>10</v>
      </c>
      <c r="D573" t="s">
        <v>2669</v>
      </c>
      <c r="E573" s="99">
        <f>C573</f>
        <v>10</v>
      </c>
      <c r="F573" s="146" t="s">
        <v>2669</v>
      </c>
      <c r="G573"/>
      <c r="H573"/>
      <c r="K573"/>
      <c r="L573"/>
      <c r="P573"/>
      <c r="Q573" s="224" t="s">
        <v>5389</v>
      </c>
      <c r="R573" s="225">
        <f>IF(R535&gt;R572,R572,R535)</f>
        <v>634.61367774484415</v>
      </c>
      <c r="S573" s="226" t="s">
        <v>5246</v>
      </c>
      <c r="U573" s="219"/>
      <c r="W573" s="383" t="s">
        <v>5389</v>
      </c>
      <c r="X573" s="225">
        <f>IF(X535&gt;X572,X572,X535)</f>
        <v>989.09501604370428</v>
      </c>
      <c r="Y573" s="226" t="s">
        <v>7154</v>
      </c>
    </row>
    <row r="574" spans="2:27" x14ac:dyDescent="0.3">
      <c r="B574" s="99" t="s">
        <v>5713</v>
      </c>
      <c r="C574" s="382">
        <f>VLOOKUP(B574,$X:$AA,3,FALSE)</f>
        <v>5.5612201631453919</v>
      </c>
      <c r="D574" t="s">
        <v>6085</v>
      </c>
      <c r="E574" s="401">
        <f>C574</f>
        <v>5.5612201631453919</v>
      </c>
      <c r="F574" s="146" t="s">
        <v>6085</v>
      </c>
      <c r="G574"/>
      <c r="H574"/>
      <c r="K574"/>
      <c r="L574"/>
      <c r="P574"/>
      <c r="Q574" s="185" t="s">
        <v>5390</v>
      </c>
      <c r="R574" s="227">
        <f>R535-R573</f>
        <v>0</v>
      </c>
      <c r="S574" s="228" t="s">
        <v>5246</v>
      </c>
      <c r="T574" s="34"/>
      <c r="U574"/>
      <c r="W574" s="381" t="s">
        <v>5390</v>
      </c>
      <c r="X574" s="227">
        <f>X535-X573</f>
        <v>206.44063890634163</v>
      </c>
      <c r="Y574" s="228" t="s">
        <v>7154</v>
      </c>
    </row>
    <row r="575" spans="2:27" x14ac:dyDescent="0.3">
      <c r="B575" s="99" t="s">
        <v>6543</v>
      </c>
      <c r="C575" s="400">
        <f>C574</f>
        <v>5.5612201631453919</v>
      </c>
      <c r="D575" s="142" t="s">
        <v>6085</v>
      </c>
      <c r="E575" s="401">
        <f>E574</f>
        <v>5.5612201631453919</v>
      </c>
      <c r="F575" s="146" t="s">
        <v>6085</v>
      </c>
      <c r="G575"/>
      <c r="H575"/>
      <c r="K575"/>
      <c r="L575"/>
      <c r="P575"/>
      <c r="U575"/>
      <c r="W575"/>
    </row>
    <row r="576" spans="2:27" x14ac:dyDescent="0.3">
      <c r="B576" s="99" t="s">
        <v>6544</v>
      </c>
      <c r="C576" s="78">
        <f>C574</f>
        <v>5.5612201631453919</v>
      </c>
      <c r="D576" t="s">
        <v>6085</v>
      </c>
      <c r="E576" s="401">
        <f>E574</f>
        <v>5.5612201631453919</v>
      </c>
      <c r="F576" s="146" t="s">
        <v>6085</v>
      </c>
      <c r="G576"/>
      <c r="H576"/>
      <c r="K576"/>
      <c r="L576"/>
      <c r="P576"/>
      <c r="U576"/>
      <c r="W576"/>
    </row>
    <row r="577" spans="2:25" x14ac:dyDescent="0.3">
      <c r="B577" s="99" t="s">
        <v>6545</v>
      </c>
      <c r="C577" s="78">
        <f>C574</f>
        <v>5.5612201631453919</v>
      </c>
      <c r="D577" t="s">
        <v>6085</v>
      </c>
      <c r="E577" s="401">
        <f>E574</f>
        <v>5.5612201631453919</v>
      </c>
      <c r="F577" s="146" t="s">
        <v>6085</v>
      </c>
      <c r="G577"/>
      <c r="H577" s="139" t="s">
        <v>7033</v>
      </c>
      <c r="I577" s="142"/>
      <c r="J577" s="142"/>
      <c r="K577" s="141"/>
      <c r="L577"/>
      <c r="P577"/>
      <c r="Q577" s="376" t="s">
        <v>7164</v>
      </c>
      <c r="R577" s="662">
        <f>R566*R571</f>
        <v>0</v>
      </c>
      <c r="S577" s="855" t="s">
        <v>5346</v>
      </c>
      <c r="U577"/>
      <c r="W577" s="376" t="s">
        <v>7164</v>
      </c>
      <c r="X577" s="662">
        <f>X566*X571/VLOOKUP("Interval between sludge removal",$X:$AA,3,FALSE)</f>
        <v>0</v>
      </c>
      <c r="Y577" s="855" t="s">
        <v>5346</v>
      </c>
    </row>
    <row r="578" spans="2:25" x14ac:dyDescent="0.3">
      <c r="B578" s="99" t="s">
        <v>7136</v>
      </c>
      <c r="C578" s="78">
        <f>C574*UDV.dhl.application_maneuver_factor</f>
        <v>6.3954031876171999</v>
      </c>
      <c r="D578" t="s">
        <v>6085</v>
      </c>
      <c r="E578" s="401">
        <f>E574*VLOOKUP("NAPercent time for useApplicator tractor for drag hose land applicationDefault",Econ.inputsTable!$E:$G,2,FALSE)</f>
        <v>6.3954031876171999</v>
      </c>
      <c r="F578" s="146" t="s">
        <v>6085</v>
      </c>
      <c r="G578"/>
      <c r="H578" s="99" t="s">
        <v>7034</v>
      </c>
      <c r="K578" s="146"/>
      <c r="L578"/>
      <c r="P578"/>
      <c r="Q578" s="174" t="s">
        <v>7165</v>
      </c>
      <c r="R578" s="278">
        <f>R567*R571</f>
        <v>2033.6279093628093</v>
      </c>
      <c r="S578" s="856" t="s">
        <v>5346</v>
      </c>
      <c r="U578"/>
      <c r="W578" s="174" t="s">
        <v>7165</v>
      </c>
      <c r="X578" s="278">
        <f>X567*X571/VLOOKUP("Interval between sludge removal",$X:$AA,3,FALSE)</f>
        <v>2219.1747611742421</v>
      </c>
      <c r="Y578" s="856" t="s">
        <v>5346</v>
      </c>
    </row>
    <row r="579" spans="2:25" x14ac:dyDescent="0.3">
      <c r="B579" s="99" t="s">
        <v>7137</v>
      </c>
      <c r="C579" s="78">
        <f>C574*UDV.dhl.hose_mover_utilization</f>
        <v>4.1709151223590437</v>
      </c>
      <c r="D579" t="s">
        <v>6085</v>
      </c>
      <c r="E579" s="401">
        <f>E574*VLOOKUP("NAPercent time for useHose mover tractor for drag hose land applicationDefault",Econ.inputsTable!$E:$G,2,FALSE)</f>
        <v>4.1709151223590437</v>
      </c>
      <c r="F579" s="146" t="s">
        <v>6085</v>
      </c>
      <c r="G579"/>
      <c r="H579" s="99" t="s">
        <v>7035</v>
      </c>
      <c r="K579" s="146"/>
      <c r="L579"/>
      <c r="P579"/>
      <c r="Q579" s="377" t="s">
        <v>7166</v>
      </c>
      <c r="R579" s="359">
        <f>R568*R571</f>
        <v>3186.5598476468513</v>
      </c>
      <c r="S579" s="778" t="s">
        <v>5346</v>
      </c>
      <c r="U579"/>
      <c r="W579" s="377" t="s">
        <v>7166</v>
      </c>
      <c r="X579" s="359">
        <f>X568*X571/VLOOKUP("Interval between sludge removal",$X:$AA,3,FALSE)</f>
        <v>2119.5691438759868</v>
      </c>
      <c r="Y579" s="778" t="s">
        <v>5346</v>
      </c>
    </row>
    <row r="580" spans="2:25" x14ac:dyDescent="0.3">
      <c r="B580" s="99" t="s">
        <v>6548</v>
      </c>
      <c r="C580" s="312">
        <f>C574*UDV.dhl.pickup_utilization</f>
        <v>0.83418302447180881</v>
      </c>
      <c r="D580" s="150" t="s">
        <v>6085</v>
      </c>
      <c r="E580" s="401">
        <f>E574*VLOOKUP("NAPercent time for usePickup truck for drag hose land applicationDefault",Econ.inputsTable!$E:$G,2,FALSE)</f>
        <v>0.83418302447180881</v>
      </c>
      <c r="F580" s="146" t="s">
        <v>6085</v>
      </c>
      <c r="G580"/>
      <c r="H580" s="235" t="s">
        <v>7047</v>
      </c>
      <c r="K580" s="146"/>
      <c r="L580"/>
      <c r="P580"/>
      <c r="U580"/>
      <c r="W580"/>
    </row>
    <row r="581" spans="2:25" x14ac:dyDescent="0.3">
      <c r="B581" s="99" t="s">
        <v>5714</v>
      </c>
      <c r="C581" s="382">
        <f t="shared" ref="C581:C590" si="31">VLOOKUP(B581,$X:$AA,3,FALSE)</f>
        <v>100.10196293661706</v>
      </c>
      <c r="D581" t="s">
        <v>2489</v>
      </c>
      <c r="E581" s="178">
        <f>C581</f>
        <v>100.10196293661706</v>
      </c>
      <c r="F581" s="146" t="s">
        <v>6087</v>
      </c>
      <c r="G581" s="147"/>
      <c r="H581" s="235" t="s">
        <v>7037</v>
      </c>
      <c r="K581" s="146"/>
      <c r="L581"/>
      <c r="P581"/>
      <c r="U581"/>
      <c r="W581"/>
    </row>
    <row r="582" spans="2:25" x14ac:dyDescent="0.3">
      <c r="B582" s="99" t="s">
        <v>5715</v>
      </c>
      <c r="C582" s="382">
        <f t="shared" si="31"/>
        <v>41.709151223590439</v>
      </c>
      <c r="D582" t="s">
        <v>2489</v>
      </c>
      <c r="E582" s="178">
        <f>C582</f>
        <v>41.709151223590439</v>
      </c>
      <c r="F582" s="146" t="s">
        <v>6087</v>
      </c>
      <c r="G582"/>
      <c r="H582" s="235" t="s">
        <v>7038</v>
      </c>
      <c r="K582" s="146"/>
      <c r="L582"/>
      <c r="P582"/>
      <c r="U582"/>
      <c r="W582"/>
    </row>
    <row r="583" spans="2:25" x14ac:dyDescent="0.3">
      <c r="B583" s="99" t="s">
        <v>5716</v>
      </c>
      <c r="C583" s="382">
        <f t="shared" si="31"/>
        <v>33.36732097887235</v>
      </c>
      <c r="D583" t="s">
        <v>2489</v>
      </c>
      <c r="E583" s="178">
        <f>C583</f>
        <v>33.36732097887235</v>
      </c>
      <c r="F583" s="146" t="s">
        <v>6087</v>
      </c>
      <c r="G583"/>
      <c r="H583" s="235" t="s">
        <v>7007</v>
      </c>
      <c r="K583" s="146"/>
      <c r="L583"/>
      <c r="P583"/>
      <c r="U583"/>
      <c r="W583"/>
    </row>
    <row r="584" spans="2:25" x14ac:dyDescent="0.3">
      <c r="B584" s="99" t="s">
        <v>5740</v>
      </c>
      <c r="C584" s="382">
        <f t="shared" si="31"/>
        <v>25.52</v>
      </c>
      <c r="D584" t="s">
        <v>6549</v>
      </c>
      <c r="E584" s="178">
        <f>C584*E578</f>
        <v>163.21068934799095</v>
      </c>
      <c r="F584" s="146" t="s">
        <v>6087</v>
      </c>
      <c r="G584" s="34"/>
      <c r="H584" s="235" t="s">
        <v>7008</v>
      </c>
      <c r="K584" s="146"/>
      <c r="L584"/>
    </row>
    <row r="585" spans="2:25" x14ac:dyDescent="0.3">
      <c r="B585" s="99" t="s">
        <v>5741</v>
      </c>
      <c r="C585" s="382">
        <f t="shared" si="31"/>
        <v>14.959999999999999</v>
      </c>
      <c r="D585" t="s">
        <v>6549</v>
      </c>
      <c r="E585" s="178">
        <f>C585*E579</f>
        <v>62.396890230491287</v>
      </c>
      <c r="F585" s="146" t="s">
        <v>6087</v>
      </c>
      <c r="G585"/>
      <c r="H585" s="235" t="s">
        <v>7039</v>
      </c>
      <c r="K585" s="146"/>
      <c r="L585"/>
    </row>
    <row r="586" spans="2:25" x14ac:dyDescent="0.3">
      <c r="B586" s="99" t="s">
        <v>5717</v>
      </c>
      <c r="C586" s="382">
        <f t="shared" si="31"/>
        <v>5.0050981468308526</v>
      </c>
      <c r="D586" t="s">
        <v>2489</v>
      </c>
      <c r="E586" s="178">
        <f t="shared" ref="E586" si="32">C586*E580</f>
        <v>4.1751679099016057</v>
      </c>
      <c r="F586" s="146" t="s">
        <v>6087</v>
      </c>
      <c r="G586"/>
      <c r="H586" s="235" t="s">
        <v>1325</v>
      </c>
      <c r="K586" s="146"/>
      <c r="L586"/>
    </row>
    <row r="587" spans="2:25" x14ac:dyDescent="0.3">
      <c r="B587" s="99" t="s">
        <v>6418</v>
      </c>
      <c r="C587" s="382">
        <f t="shared" si="31"/>
        <v>4525.5947564400622</v>
      </c>
      <c r="D587" t="s">
        <v>5910</v>
      </c>
      <c r="E587" s="164">
        <f>CONVERT(C587,"m^3","gal")</f>
        <v>1195535.654950046</v>
      </c>
      <c r="F587" s="146" t="s">
        <v>2489</v>
      </c>
      <c r="G587"/>
      <c r="H587" s="235" t="s">
        <v>7040</v>
      </c>
      <c r="K587" s="146"/>
      <c r="L587"/>
    </row>
    <row r="588" spans="2:25" x14ac:dyDescent="0.3">
      <c r="B588" s="99" t="s">
        <v>6404</v>
      </c>
      <c r="C588" s="382">
        <f t="shared" si="31"/>
        <v>1.6762638671084318</v>
      </c>
      <c r="D588" t="s">
        <v>2413</v>
      </c>
      <c r="E588" s="201">
        <f>C588*S523/(S525*S527)</f>
        <v>13.98908607537737</v>
      </c>
      <c r="F588" s="146" t="s">
        <v>2414</v>
      </c>
      <c r="G588"/>
      <c r="H588" s="235" t="s">
        <v>7041</v>
      </c>
      <c r="K588" s="146"/>
      <c r="L588"/>
    </row>
    <row r="589" spans="2:25" x14ac:dyDescent="0.3">
      <c r="B589" s="99" t="s">
        <v>6405</v>
      </c>
      <c r="C589" s="382">
        <f t="shared" si="31"/>
        <v>3.3027695097379093</v>
      </c>
      <c r="D589" t="s">
        <v>2413</v>
      </c>
      <c r="E589" s="201">
        <f>C589*S523/(S525*S527)</f>
        <v>27.562920054201012</v>
      </c>
      <c r="F589" s="146" t="s">
        <v>2414</v>
      </c>
      <c r="G589"/>
      <c r="H589" s="253" t="s">
        <v>349</v>
      </c>
      <c r="I589" s="150"/>
      <c r="J589" s="150"/>
      <c r="K589" s="151"/>
      <c r="L589"/>
    </row>
    <row r="590" spans="2:25" x14ac:dyDescent="0.3">
      <c r="B590" s="99" t="s">
        <v>6406</v>
      </c>
      <c r="C590" s="382">
        <f t="shared" si="31"/>
        <v>3.3027856402144384</v>
      </c>
      <c r="D590" t="s">
        <v>2413</v>
      </c>
      <c r="E590" s="201">
        <f>C590*S523/(S525*S527)</f>
        <v>27.563054669418239</v>
      </c>
      <c r="F590" s="146" t="s">
        <v>2414</v>
      </c>
      <c r="G590"/>
      <c r="H590"/>
      <c r="K590"/>
      <c r="L590"/>
    </row>
    <row r="591" spans="2:25" x14ac:dyDescent="0.3">
      <c r="B591" s="99"/>
      <c r="D591"/>
      <c r="E591" s="99"/>
      <c r="F591" s="146"/>
      <c r="G591"/>
      <c r="H591"/>
      <c r="K591"/>
      <c r="L591"/>
    </row>
    <row r="592" spans="2:25" x14ac:dyDescent="0.3">
      <c r="B592" s="92" t="s">
        <v>6996</v>
      </c>
      <c r="D592"/>
      <c r="E592" s="99"/>
      <c r="F592" s="146"/>
      <c r="G592"/>
      <c r="H592"/>
      <c r="K592"/>
      <c r="L592"/>
    </row>
    <row r="593" spans="1:23" x14ac:dyDescent="0.3">
      <c r="B593" s="143" t="s">
        <v>2663</v>
      </c>
      <c r="C593" s="144" t="s">
        <v>565</v>
      </c>
      <c r="D593" s="144" t="s">
        <v>6943</v>
      </c>
      <c r="E593" s="143" t="s">
        <v>565</v>
      </c>
      <c r="F593" s="145" t="s">
        <v>6944</v>
      </c>
      <c r="G593"/>
      <c r="H593"/>
      <c r="K593"/>
      <c r="L593"/>
    </row>
    <row r="594" spans="1:23" x14ac:dyDescent="0.3">
      <c r="B594" s="99" t="s">
        <v>7076</v>
      </c>
      <c r="D594"/>
      <c r="E594" s="357">
        <f>UDV.electricity.avg_cost</f>
        <v>6.8591666666666662E-2</v>
      </c>
      <c r="F594" s="146" t="s">
        <v>2306</v>
      </c>
      <c r="G594"/>
      <c r="H594"/>
      <c r="K594"/>
      <c r="L594"/>
      <c r="P594"/>
      <c r="U594"/>
      <c r="W594"/>
    </row>
    <row r="595" spans="1:23" x14ac:dyDescent="0.3">
      <c r="B595" s="99" t="s">
        <v>6997</v>
      </c>
      <c r="D595"/>
      <c r="E595" s="348">
        <f>UDV.fuel.diesel_avg_cost</f>
        <v>3.6964905660377356</v>
      </c>
      <c r="F595" s="146" t="s">
        <v>2315</v>
      </c>
      <c r="G595"/>
      <c r="H595"/>
      <c r="K595"/>
      <c r="L595"/>
    </row>
    <row r="596" spans="1:23" x14ac:dyDescent="0.3">
      <c r="B596" s="99" t="s">
        <v>7044</v>
      </c>
      <c r="C596">
        <f>UDV.land_application.max_distance</f>
        <v>2</v>
      </c>
      <c r="D596" t="s">
        <v>2971</v>
      </c>
      <c r="E596" s="178">
        <f>IF(E535=0,0,CONVERT(C596,"mi","ft"))</f>
        <v>10560</v>
      </c>
      <c r="F596" s="146" t="s">
        <v>2340</v>
      </c>
      <c r="G596"/>
      <c r="H596"/>
      <c r="K596"/>
      <c r="L596"/>
    </row>
    <row r="597" spans="1:23" x14ac:dyDescent="0.3">
      <c r="B597" s="99" t="s">
        <v>5712</v>
      </c>
      <c r="C597" s="147">
        <f>VLOOKUP(B597,$R:$U,3,FALSE)</f>
        <v>1</v>
      </c>
      <c r="D597" t="s">
        <v>2442</v>
      </c>
      <c r="E597" s="178">
        <f>C597</f>
        <v>1</v>
      </c>
      <c r="F597" s="146" t="s">
        <v>2442</v>
      </c>
      <c r="G597"/>
      <c r="H597"/>
      <c r="K597"/>
      <c r="L597"/>
    </row>
    <row r="598" spans="1:23" x14ac:dyDescent="0.3">
      <c r="B598" s="149" t="s">
        <v>6998</v>
      </c>
      <c r="C598" s="150"/>
      <c r="D598" s="150"/>
      <c r="E598" s="349">
        <f>UDV.labor.non_specialized_cost</f>
        <v>23.66</v>
      </c>
      <c r="F598" s="151" t="s">
        <v>3659</v>
      </c>
      <c r="G598"/>
      <c r="H598"/>
      <c r="K598"/>
      <c r="L598"/>
    </row>
    <row r="599" spans="1:23" x14ac:dyDescent="0.3">
      <c r="C599" s="82"/>
      <c r="D599"/>
      <c r="E599" s="82"/>
      <c r="F599"/>
      <c r="G599"/>
      <c r="H599" s="82"/>
      <c r="I599" s="82"/>
      <c r="K599"/>
      <c r="L599"/>
      <c r="O599" s="82"/>
    </row>
    <row r="600" spans="1:23" x14ac:dyDescent="0.3">
      <c r="B600" s="206" t="s">
        <v>7108</v>
      </c>
      <c r="C600" s="142"/>
      <c r="D600" s="142"/>
      <c r="E600" s="142"/>
      <c r="F600" s="142"/>
      <c r="G600" s="142"/>
      <c r="H600" s="142"/>
      <c r="I600" s="142"/>
      <c r="J600" s="142"/>
      <c r="K600" s="142"/>
      <c r="L600" s="142"/>
      <c r="M600" s="142"/>
      <c r="N600" s="142"/>
      <c r="O600" s="141"/>
    </row>
    <row r="601" spans="1:23" ht="72" x14ac:dyDescent="0.3">
      <c r="B601" s="210" t="s">
        <v>6946</v>
      </c>
      <c r="C601" s="152" t="s">
        <v>6947</v>
      </c>
      <c r="D601" s="152" t="s">
        <v>6948</v>
      </c>
      <c r="E601" s="152" t="s">
        <v>6999</v>
      </c>
      <c r="F601" s="152" t="s">
        <v>7045</v>
      </c>
      <c r="G601" s="152" t="s">
        <v>6951</v>
      </c>
      <c r="H601" s="152" t="s">
        <v>6952</v>
      </c>
      <c r="I601" s="152" t="s">
        <v>6953</v>
      </c>
      <c r="J601" s="152" t="s">
        <v>6954</v>
      </c>
      <c r="K601" s="152" t="s">
        <v>6955</v>
      </c>
      <c r="L601" s="152" t="s">
        <v>6956</v>
      </c>
      <c r="M601" s="152" t="s">
        <v>6957</v>
      </c>
      <c r="N601" s="152" t="s">
        <v>7002</v>
      </c>
      <c r="O601" s="161" t="s">
        <v>6959</v>
      </c>
    </row>
    <row r="602" spans="1:23" x14ac:dyDescent="0.3">
      <c r="A602" t="s">
        <v>7122</v>
      </c>
      <c r="B602" s="99" t="s">
        <v>2808</v>
      </c>
      <c r="C602" s="153">
        <f>IF(E546=0,0,(VLOOKUP("Irrigation systema",Econ.Equations!$C:$E,2,FALSE)*E546^VLOOKUP("Irrigation systemb",Econ.Equations!$C:$E,2,FALSE))*E546)</f>
        <v>57915.65991624046</v>
      </c>
      <c r="D602" s="42">
        <f>VLOOKUP("CAPEXLifetimeBuildings and constructionDefault",Econ.inputsTable!$E:$G,2,FALSE)</f>
        <v>20</v>
      </c>
      <c r="E602" s="42" t="s">
        <v>2852</v>
      </c>
      <c r="F602" s="42" t="s">
        <v>2852</v>
      </c>
      <c r="G602" s="539">
        <f>VLOOKUP("CAPEXAnnual usage on activityItems that are used only on the given activityDefault",Econ.inputsTable!$E:$J,2,FALSE)</f>
        <v>1</v>
      </c>
      <c r="H602" s="503">
        <f t="shared" ref="H602" si="33">UDV.econ_capital.interest_rate</f>
        <v>5.0999999999999997E-2</v>
      </c>
      <c r="I602" s="2091">
        <f>VLOOKUP("CAPEXSalvageBuildings and constructionDefault",Econ.inputsTable!$E:$K,2,FALSE)</f>
        <v>0</v>
      </c>
      <c r="J602" s="153">
        <f>C602*I602</f>
        <v>0</v>
      </c>
      <c r="K602" s="154">
        <f>VLOOKUP("CAPEXFinanced amountNADefault",Econ.inputsTable!$E:$J,2,FALSE)</f>
        <v>1</v>
      </c>
      <c r="L602" s="2092">
        <f>H602*K602</f>
        <v>5.0999999999999997E-2</v>
      </c>
      <c r="M602" s="351">
        <f>L602/(1-(1+L602)^-D602)</f>
        <v>8.0924368970045152E-2</v>
      </c>
      <c r="N602" s="153">
        <f>((C602-J602)*M602)+(J602*L602)</f>
        <v>4686.7882322054975</v>
      </c>
      <c r="O602" s="372">
        <f>N602*G602</f>
        <v>4686.7882322054975</v>
      </c>
      <c r="P602"/>
      <c r="R602" s="20"/>
      <c r="U602"/>
      <c r="W602"/>
    </row>
    <row r="603" spans="1:23" x14ac:dyDescent="0.3">
      <c r="A603" t="s">
        <v>7046</v>
      </c>
      <c r="B603" s="99" t="s">
        <v>7034</v>
      </c>
      <c r="C603" s="153">
        <f>VLOOKUP("Diesel powered lead pumpDefault", Econ.Tables!$C:$E,2,FALSE)*E535</f>
        <v>293400</v>
      </c>
      <c r="D603" s="42">
        <f>VLOOKUP("CAPEXLifetimeDiesel-powered pump set package (at lagoon)Default",Econ.inputsTable!$E:$G,2,FALSE)</f>
        <v>17</v>
      </c>
      <c r="E603"/>
      <c r="F603" s="147">
        <f>IF(E535=0,0,(E554+(E575/E573))/E535)</f>
        <v>0.90868517013924643</v>
      </c>
      <c r="G603" s="255">
        <f>VLOOKUP("CAPEXAnnual usage on activityItems that are used only on the given activityDefault",Econ.inputsTable!$E:$G,2,FALSE)</f>
        <v>1</v>
      </c>
      <c r="H603" s="503">
        <f t="shared" ref="H603:H614" si="34">UDV.econ_capital.interest_rate</f>
        <v>5.0999999999999997E-2</v>
      </c>
      <c r="I603" s="236">
        <f>VLOOKUP("CAPEXSalvageEquipmentDefault", Econ.inputsTable!$E:$G,2,FALSE)</f>
        <v>0.2</v>
      </c>
      <c r="J603" s="153">
        <f t="shared" ref="J603:J614" si="35">$C603*I603</f>
        <v>58680</v>
      </c>
      <c r="K603" s="257">
        <f>VLOOKUP("CAPEXFinanced amountNADefault", Econ.inputsTable!$E:$G,2,FALSE)</f>
        <v>1</v>
      </c>
      <c r="L603" s="236">
        <f t="shared" ref="L603:L614" si="36">H603*K603</f>
        <v>5.0999999999999997E-2</v>
      </c>
      <c r="M603">
        <f t="shared" ref="M603:M614" si="37">L603/(1-(1+L603)^-D603)</f>
        <v>8.9362846108502439E-2</v>
      </c>
      <c r="N603" s="153">
        <f t="shared" ref="N603:N614" si="38">((C603-J603)*M603)+(J603*L603)</f>
        <v>23967.927238587694</v>
      </c>
      <c r="O603" s="157">
        <f t="shared" ref="O603:O614" si="39">N603*G603</f>
        <v>23967.927238587694</v>
      </c>
    </row>
    <row r="604" spans="1:23" x14ac:dyDescent="0.3">
      <c r="A604" t="s">
        <v>7046</v>
      </c>
      <c r="B604" s="99" t="s">
        <v>7035</v>
      </c>
      <c r="C604" s="153">
        <f>VLOOKUP("Diesel powered booster pumpDefault",Econ.Tables!$C:$E,2,FALSE)*E597</f>
        <v>197300</v>
      </c>
      <c r="D604" s="42">
        <f>VLOOKUP("CAPEXLifetimeDiesel-powered pump set package (at lagoon)Default",Econ.inputsTable!$E:$G,2,FALSE)</f>
        <v>17</v>
      </c>
      <c r="E604"/>
      <c r="F604" s="147">
        <f>IF(E597=0,0,(E555+(E576/E573))/E597)</f>
        <v>0.90868517013924643</v>
      </c>
      <c r="G604" s="255">
        <f>VLOOKUP("CAPEXAnnual usage on activityItems that are used only on the given activityDefault",Econ.inputsTable!$E:$G,2,FALSE)</f>
        <v>1</v>
      </c>
      <c r="H604" s="503">
        <f t="shared" si="34"/>
        <v>5.0999999999999997E-2</v>
      </c>
      <c r="I604" s="236">
        <f>VLOOKUP("CAPEXSalvageEquipmentDefault", Econ.inputsTable!$E:$G,2,FALSE)</f>
        <v>0.2</v>
      </c>
      <c r="J604" s="153">
        <f t="shared" si="35"/>
        <v>39460</v>
      </c>
      <c r="K604" s="257">
        <f>VLOOKUP("CAPEXFinanced amountNADefault", Econ.inputsTable!$E:$G,2,FALSE)</f>
        <v>1</v>
      </c>
      <c r="L604" s="236">
        <f t="shared" si="36"/>
        <v>5.0999999999999997E-2</v>
      </c>
      <c r="M604">
        <f t="shared" si="37"/>
        <v>8.9362846108502439E-2</v>
      </c>
      <c r="N604" s="153">
        <f t="shared" si="38"/>
        <v>16117.491629766024</v>
      </c>
      <c r="O604" s="157">
        <f t="shared" si="39"/>
        <v>16117.491629766024</v>
      </c>
    </row>
    <row r="605" spans="1:23" x14ac:dyDescent="0.3">
      <c r="A605" t="s">
        <v>7046</v>
      </c>
      <c r="B605" s="99" t="s">
        <v>7047</v>
      </c>
      <c r="C605" s="153">
        <f>VLOOKUP("Diesel powered agitation trailerDefault",Econ.Tables!$C:$E,2,FALSE)*E536</f>
        <v>131500</v>
      </c>
      <c r="D605" s="42">
        <f>VLOOKUP("CAPEXLifetimeEquipmentDefault",Econ.inputsTable!$E:$G,2,FALSE)</f>
        <v>10</v>
      </c>
      <c r="E605"/>
      <c r="F605" s="147">
        <f>IF(E536=0,0,(E556+(E577/E573))/E536)</f>
        <v>0.90868517013924643</v>
      </c>
      <c r="G605" s="255">
        <f>VLOOKUP("CAPEXAnnual usage on activityItems that are used only on the given activityDefault",Econ.inputsTable!$E:$G,2,FALSE)</f>
        <v>1</v>
      </c>
      <c r="H605" s="503">
        <f t="shared" si="34"/>
        <v>5.0999999999999997E-2</v>
      </c>
      <c r="I605" s="236">
        <f>VLOOKUP("CAPEXSalvageEquipmentDefault", Econ.inputsTable!$E:$G,2,FALSE)</f>
        <v>0.2</v>
      </c>
      <c r="J605" s="153">
        <f t="shared" si="35"/>
        <v>26300</v>
      </c>
      <c r="K605" s="257">
        <f>VLOOKUP("CAPEXFinanced amountNADefault", Econ.inputsTable!$E:$G,2,FALSE)</f>
        <v>1</v>
      </c>
      <c r="L605" s="236">
        <f t="shared" si="36"/>
        <v>5.0999999999999997E-2</v>
      </c>
      <c r="M605">
        <f t="shared" si="37"/>
        <v>0.13013423257204779</v>
      </c>
      <c r="N605" s="153">
        <f t="shared" si="38"/>
        <v>15031.421266579426</v>
      </c>
      <c r="O605" s="157">
        <f t="shared" si="39"/>
        <v>15031.421266579426</v>
      </c>
    </row>
    <row r="606" spans="1:23" x14ac:dyDescent="0.3">
      <c r="A606" t="s">
        <v>7046</v>
      </c>
      <c r="B606" s="99" t="s">
        <v>7037</v>
      </c>
      <c r="C606" s="153">
        <f>VLOOKUP(_xlfn.CONCAT("Tractor",E537," hp"),Econ.Tables!$C:$E,2,FALSE)*E539</f>
        <v>637400</v>
      </c>
      <c r="D606" s="79">
        <f>VLOOKUP("CAPEXLifetimeTractor, 4 wheel drive and crawlerDefault",Econ.inputsTable!$E:$H,2,FALSE)/E606</f>
        <v>16</v>
      </c>
      <c r="E606" s="213">
        <f>IF(F606&gt;UDV.tractor.min_usage_yearly,F606,UDV.tractor.min_usage_yearly)</f>
        <v>1000</v>
      </c>
      <c r="F606" s="147">
        <f>IF(E539=0,0,(E557+(E578/E573))/E539)</f>
        <v>1.0449879456601332</v>
      </c>
      <c r="G606" s="236">
        <f>F606/E606</f>
        <v>1.0449879456601331E-3</v>
      </c>
      <c r="H606" s="503">
        <f t="shared" si="34"/>
        <v>5.0999999999999997E-2</v>
      </c>
      <c r="I606" s="236">
        <f>VLOOKUP("CAPEXSalvageEquipmentDefault", Econ.inputsTable!$E:$G,2,FALSE)</f>
        <v>0.2</v>
      </c>
      <c r="J606" s="153">
        <f t="shared" si="35"/>
        <v>127480</v>
      </c>
      <c r="K606" s="257">
        <f>VLOOKUP("CAPEXFinanced amountNADefault", Econ.inputsTable!$E:$G,2,FALSE)</f>
        <v>1</v>
      </c>
      <c r="L606" s="236">
        <f t="shared" si="36"/>
        <v>5.0999999999999997E-2</v>
      </c>
      <c r="M606">
        <f t="shared" si="37"/>
        <v>9.2927821836826949E-2</v>
      </c>
      <c r="N606" s="153">
        <f t="shared" si="38"/>
        <v>53887.2349110348</v>
      </c>
      <c r="O606" s="157">
        <f t="shared" si="39"/>
        <v>56.311510906987266</v>
      </c>
    </row>
    <row r="607" spans="1:23" x14ac:dyDescent="0.3">
      <c r="A607" t="s">
        <v>7046</v>
      </c>
      <c r="B607" s="99" t="s">
        <v>7048</v>
      </c>
      <c r="C607" s="229">
        <f>VLOOKUP("Hose reel, hydraulic,no specific sizeDefault",Econ.Tables!$C:$E,2,FALSE)*E539</f>
        <v>44500</v>
      </c>
      <c r="D607" s="42">
        <f>VLOOKUP("CAPEXLifetimeEquipmentDefault",Econ.inputsTable!$E:$G,2,FALSE)</f>
        <v>10</v>
      </c>
      <c r="E607" s="152"/>
      <c r="F607" s="259">
        <f>F606</f>
        <v>1.0449879456601332</v>
      </c>
      <c r="G607" s="255">
        <f>VLOOKUP("CAPEXAnnual usage on activityItems that are used only on the given activityDefault",Econ.inputsTable!$E:$G,2,FALSE)</f>
        <v>1</v>
      </c>
      <c r="H607" s="503">
        <f t="shared" si="34"/>
        <v>5.0999999999999997E-2</v>
      </c>
      <c r="I607" s="236">
        <f>VLOOKUP("CAPEXSalvageEquipmentDefault", Econ.inputsTable!$E:$G,2,FALSE)</f>
        <v>0.2</v>
      </c>
      <c r="J607" s="153">
        <f t="shared" si="35"/>
        <v>8900</v>
      </c>
      <c r="K607" s="257">
        <f>VLOOKUP("CAPEXFinanced amountNADefault", Econ.inputsTable!$E:$G,2,FALSE)</f>
        <v>1</v>
      </c>
      <c r="L607" s="236">
        <f t="shared" si="36"/>
        <v>5.0999999999999997E-2</v>
      </c>
      <c r="M607">
        <f t="shared" si="37"/>
        <v>0.13013423257204779</v>
      </c>
      <c r="N607" s="153">
        <f t="shared" si="38"/>
        <v>5086.6786795649004</v>
      </c>
      <c r="O607" s="157">
        <f t="shared" si="39"/>
        <v>5086.6786795649004</v>
      </c>
    </row>
    <row r="608" spans="1:23" x14ac:dyDescent="0.3">
      <c r="A608" t="s">
        <v>7046</v>
      </c>
      <c r="B608" s="99" t="s">
        <v>7007</v>
      </c>
      <c r="C608" s="229">
        <f>IF(E542="Broadcast",VLOOKUP("BoomDefault", Econ.Tables!$C:$E,2,FALSE),0)*E539</f>
        <v>0</v>
      </c>
      <c r="D608" s="42">
        <f>VLOOKUP("CAPEXLifetimeEquipmentDefault",Econ.inputsTable!$E:$G,2,FALSE)</f>
        <v>10</v>
      </c>
      <c r="E608" s="152"/>
      <c r="F608" s="259">
        <f>IF(E542="Broadcast",F606,0)*VLOOKUP("NAPercent time for useApplication toolbar usage per unit tractor pulling it usageDefault", Econ.inputsTable!$E:$G,2,FALSE)</f>
        <v>0</v>
      </c>
      <c r="G608" s="255">
        <f>VLOOKUP("CAPEXAnnual usage on activityItems that are used only on the given activityDefault",Econ.inputsTable!$E:$G,2,FALSE)</f>
        <v>1</v>
      </c>
      <c r="H608" s="503">
        <f t="shared" si="34"/>
        <v>5.0999999999999997E-2</v>
      </c>
      <c r="I608" s="236">
        <f>VLOOKUP("CAPEXSalvageEquipmentDefault", Econ.inputsTable!$E:$G,2,FALSE)</f>
        <v>0.2</v>
      </c>
      <c r="J608" s="153">
        <f t="shared" si="35"/>
        <v>0</v>
      </c>
      <c r="K608" s="257">
        <f>VLOOKUP("CAPEXFinanced amountNADefault", Econ.inputsTable!$E:$G,2,FALSE)</f>
        <v>1</v>
      </c>
      <c r="L608" s="236">
        <f t="shared" si="36"/>
        <v>5.0999999999999997E-2</v>
      </c>
      <c r="M608">
        <f t="shared" si="37"/>
        <v>0.13013423257204779</v>
      </c>
      <c r="N608" s="153">
        <f t="shared" si="38"/>
        <v>0</v>
      </c>
      <c r="O608" s="157">
        <f t="shared" si="39"/>
        <v>0</v>
      </c>
    </row>
    <row r="609" spans="1:23" x14ac:dyDescent="0.3">
      <c r="A609" t="s">
        <v>7046</v>
      </c>
      <c r="B609" s="99" t="s">
        <v>7008</v>
      </c>
      <c r="C609" s="229">
        <f>IF(E542="Injection",VLOOKUP("InjectionDefault",Econ.Tables!$C:$E,2,FALSE),0)*E539</f>
        <v>80900</v>
      </c>
      <c r="D609" s="42">
        <f>VLOOKUP("CAPEXLifetimeEquipmentDefault",Econ.inputsTable!$E:$G,2,FALSE)</f>
        <v>10</v>
      </c>
      <c r="E609" s="152"/>
      <c r="F609" s="259">
        <f>IF(E542="Injection",F606,0)*VLOOKUP("NAPercent time for useApplication toolbar usage per unit tractor pulling it usageDefault", Econ.inputsTable!$E:$G,2,FALSE)</f>
        <v>0.4179951782640533</v>
      </c>
      <c r="G609" s="255">
        <f>VLOOKUP("CAPEXAnnual usage on activityItems that are used only on the given activityDefault",Econ.inputsTable!$E:$G,2,FALSE)</f>
        <v>1</v>
      </c>
      <c r="H609" s="503">
        <f t="shared" si="34"/>
        <v>5.0999999999999997E-2</v>
      </c>
      <c r="I609" s="236">
        <f>VLOOKUP("CAPEXSalvageEquipmentDefault", Econ.inputsTable!$E:$G,2,FALSE)</f>
        <v>0.2</v>
      </c>
      <c r="J609" s="153">
        <f t="shared" si="35"/>
        <v>16180</v>
      </c>
      <c r="K609" s="257">
        <f>VLOOKUP("CAPEXFinanced amountNADefault", Econ.inputsTable!$E:$G,2,FALSE)</f>
        <v>1</v>
      </c>
      <c r="L609" s="236">
        <f t="shared" si="36"/>
        <v>5.0999999999999997E-2</v>
      </c>
      <c r="M609">
        <f t="shared" si="37"/>
        <v>0.13013423257204779</v>
      </c>
      <c r="N609" s="153">
        <f t="shared" si="38"/>
        <v>9247.4675320629322</v>
      </c>
      <c r="O609" s="157">
        <f t="shared" si="39"/>
        <v>9247.4675320629322</v>
      </c>
    </row>
    <row r="610" spans="1:23" x14ac:dyDescent="0.3">
      <c r="A610" t="s">
        <v>7046</v>
      </c>
      <c r="B610" s="99" t="s">
        <v>7039</v>
      </c>
      <c r="C610" s="153">
        <f>VLOOKUP(_xlfn.CONCAT("Tractor",E538," hp"),Econ.Tables!$C:$E,2,FALSE)*E540</f>
        <v>490700</v>
      </c>
      <c r="D610" s="79">
        <f>VLOOKUP("CAPEXLifetimeTractor, 4 wheel drive and crawlerDefault",Econ.inputsTable!$E:$H,2,FALSE)/E610</f>
        <v>16</v>
      </c>
      <c r="E610" s="213">
        <f>IF(F610&gt;UDV.tractor.min_usage_yearly,F610,UDV.tractor.min_usage_yearly)</f>
        <v>1000</v>
      </c>
      <c r="F610" s="147">
        <f>IF(E540=0,0,(E558+(E579/E573))/E540)</f>
        <v>0.68151387760443471</v>
      </c>
      <c r="G610" s="236">
        <f t="shared" ref="G610" si="40">F610/E610</f>
        <v>6.8151387760443467E-4</v>
      </c>
      <c r="H610" s="503">
        <f t="shared" si="34"/>
        <v>5.0999999999999997E-2</v>
      </c>
      <c r="I610" s="236">
        <f>VLOOKUP("CAPEXSalvageEquipmentDefault", Econ.inputsTable!$E:$G,2,FALSE)</f>
        <v>0.2</v>
      </c>
      <c r="J610" s="153">
        <f t="shared" si="35"/>
        <v>98140</v>
      </c>
      <c r="K610" s="257">
        <f>VLOOKUP("CAPEXFinanced amountNADefault", Econ.inputsTable!$E:$G,2,FALSE)</f>
        <v>1</v>
      </c>
      <c r="L610" s="236">
        <f t="shared" si="36"/>
        <v>5.0999999999999997E-2</v>
      </c>
      <c r="M610">
        <f t="shared" si="37"/>
        <v>9.2927821836826949E-2</v>
      </c>
      <c r="N610" s="153">
        <f t="shared" si="38"/>
        <v>41484.885740264785</v>
      </c>
      <c r="O610" s="157">
        <f t="shared" si="39"/>
        <v>28.272525342824771</v>
      </c>
    </row>
    <row r="611" spans="1:23" x14ac:dyDescent="0.3">
      <c r="A611" t="s">
        <v>7046</v>
      </c>
      <c r="B611" s="99" t="s">
        <v>1325</v>
      </c>
      <c r="C611" s="229">
        <f>VLOOKUP("Hose pulleyDefault",Econ.Tables!$C:$E,2,FALSE)*E540</f>
        <v>13200</v>
      </c>
      <c r="D611" s="42">
        <f>VLOOKUP("CAPEXLifetimeEquipmentDefault",Econ.inputsTable!$E:$G,2,FALSE)</f>
        <v>10</v>
      </c>
      <c r="E611" s="152"/>
      <c r="F611" s="259">
        <f>F610</f>
        <v>0.68151387760443471</v>
      </c>
      <c r="G611" s="255">
        <f>VLOOKUP("CAPEXAnnual usage on activityItems that are used only on the given activityDefault",Econ.inputsTable!$E:$G,2,FALSE)</f>
        <v>1</v>
      </c>
      <c r="H611" s="503">
        <f t="shared" si="34"/>
        <v>5.0999999999999997E-2</v>
      </c>
      <c r="I611" s="236">
        <f>VLOOKUP("CAPEXSalvageEquipmentDefault", Econ.inputsTable!$E:$G,2,FALSE)</f>
        <v>0.2</v>
      </c>
      <c r="J611" s="153">
        <f t="shared" si="35"/>
        <v>2640</v>
      </c>
      <c r="K611" s="257">
        <f>VLOOKUP("CAPEXFinanced amountNADefault", Econ.inputsTable!$E:$G,2,FALSE)</f>
        <v>1</v>
      </c>
      <c r="L611" s="236">
        <f t="shared" si="36"/>
        <v>5.0999999999999997E-2</v>
      </c>
      <c r="M611">
        <f t="shared" si="37"/>
        <v>0.13013423257204779</v>
      </c>
      <c r="N611" s="153">
        <f t="shared" si="38"/>
        <v>1508.8574959608245</v>
      </c>
      <c r="O611" s="157">
        <f t="shared" si="39"/>
        <v>1508.8574959608245</v>
      </c>
    </row>
    <row r="612" spans="1:23" x14ac:dyDescent="0.3">
      <c r="A612" t="s">
        <v>7046</v>
      </c>
      <c r="B612" s="235" t="s">
        <v>3007</v>
      </c>
      <c r="C612" s="260">
        <f>VLOOKUP("Flexible drag hose, 6in 660 ftDefault",Econ.Tables!$C:$E,2,FALSE)*E539</f>
        <v>15200</v>
      </c>
      <c r="D612" s="42">
        <f>VLOOKUP("CAPEXLifetimeDrag hoseDefault",Econ.inputsTable!$E:$G,2,FALSE)</f>
        <v>2.5</v>
      </c>
      <c r="E612" s="152"/>
      <c r="F612" s="259">
        <f>F606</f>
        <v>1.0449879456601332</v>
      </c>
      <c r="G612" s="255">
        <f>VLOOKUP("CAPEXAnnual usage on activityItems that are used only on the given activityDefault",Econ.inputsTable!$E:$G,2,FALSE)</f>
        <v>1</v>
      </c>
      <c r="H612" s="503">
        <f t="shared" si="34"/>
        <v>5.0999999999999997E-2</v>
      </c>
      <c r="I612" s="236">
        <f>VLOOKUP("CAPEXSalvageBuildings and constructionDefault", Econ.inputsTable!$E:$G,2,FALSE)</f>
        <v>0</v>
      </c>
      <c r="J612" s="153">
        <f t="shared" si="35"/>
        <v>0</v>
      </c>
      <c r="K612" s="257">
        <f>VLOOKUP("CAPEXFinanced amountNADefault", Econ.inputsTable!$E:$G,2,FALSE)</f>
        <v>1</v>
      </c>
      <c r="L612" s="236">
        <f t="shared" si="36"/>
        <v>5.0999999999999997E-2</v>
      </c>
      <c r="M612">
        <f t="shared" si="37"/>
        <v>0.43614381549069553</v>
      </c>
      <c r="N612" s="153">
        <f t="shared" si="38"/>
        <v>6629.3859954585723</v>
      </c>
      <c r="O612" s="157">
        <f t="shared" si="39"/>
        <v>6629.3859954585723</v>
      </c>
    </row>
    <row r="613" spans="1:23" x14ac:dyDescent="0.3">
      <c r="A613" t="s">
        <v>7046</v>
      </c>
      <c r="B613" s="235" t="s">
        <v>3465</v>
      </c>
      <c r="C613" s="260">
        <f>VLOOKUP("Manure piping to fieldDefault",Econ.Tables!$C:$E,2,FALSE)*E596</f>
        <v>95040</v>
      </c>
      <c r="D613" s="42">
        <f>VLOOKUP("CAPEXLifetimeBuildings and constructionDefault",Econ.inputsTable!$E:$G,2,FALSE)</f>
        <v>20</v>
      </c>
      <c r="E613" s="152"/>
      <c r="F613" s="259">
        <f>F606</f>
        <v>1.0449879456601332</v>
      </c>
      <c r="G613" s="255">
        <f>VLOOKUP("CAPEXAnnual usage on activityItems that are used only on the given activityDefault",Econ.inputsTable!$E:$G,2,FALSE)</f>
        <v>1</v>
      </c>
      <c r="H613" s="503">
        <f t="shared" si="34"/>
        <v>5.0999999999999997E-2</v>
      </c>
      <c r="I613" s="236">
        <f>VLOOKUP("CAPEXSalvageBuildings and constructionDefault", Econ.inputsTable!$E:$G,2,FALSE)</f>
        <v>0</v>
      </c>
      <c r="J613" s="153">
        <f t="shared" si="35"/>
        <v>0</v>
      </c>
      <c r="K613" s="257">
        <f>VLOOKUP("CAPEXFinanced amountNADefault", Econ.inputsTable!$E:$G,2,FALSE)</f>
        <v>1</v>
      </c>
      <c r="L613" s="236">
        <f t="shared" si="36"/>
        <v>5.0999999999999997E-2</v>
      </c>
      <c r="M613">
        <f t="shared" si="37"/>
        <v>8.0924368970045152E-2</v>
      </c>
      <c r="N613" s="153">
        <f t="shared" si="38"/>
        <v>7691.0520269130911</v>
      </c>
      <c r="O613" s="157">
        <f t="shared" si="39"/>
        <v>7691.0520269130911</v>
      </c>
    </row>
    <row r="614" spans="1:23" x14ac:dyDescent="0.3">
      <c r="A614" t="s">
        <v>7046</v>
      </c>
      <c r="B614" s="235" t="s">
        <v>349</v>
      </c>
      <c r="C614" s="153">
        <f>IF(E580&gt;0,VLOOKUP("Pick up truckDefault",Econ.Tables!$C:$E,2,FALSE),0)</f>
        <v>58700</v>
      </c>
      <c r="D614" s="42">
        <f>VLOOKUP("CAPEXLifetimeTruck, pickupDefault",Econ.inputsTable!$E:$G,2,FALSE)</f>
        <v>8</v>
      </c>
      <c r="E614" s="42">
        <f>VLOOKUP("CAPEXAnnual usage on farmTruck, pickupDefault",Econ.inputsTable!$E:$G,2,FALSE)</f>
        <v>250</v>
      </c>
      <c r="F614" s="259">
        <f>(E559+(E580/E573))</f>
        <v>0.13630277552088696</v>
      </c>
      <c r="G614" s="258">
        <f>F614/E614</f>
        <v>5.4521110208354787E-4</v>
      </c>
      <c r="H614" s="503">
        <f t="shared" si="34"/>
        <v>5.0999999999999997E-2</v>
      </c>
      <c r="I614" s="236">
        <f>VLOOKUP("CAPEXSalvageEquipmentDefault", Econ.inputsTable!$E:$G,2,FALSE)</f>
        <v>0.2</v>
      </c>
      <c r="J614" s="153">
        <f t="shared" si="35"/>
        <v>11740</v>
      </c>
      <c r="K614" s="257">
        <f>VLOOKUP("CAPEXFinanced amountNADefault", Econ.inputsTable!$E:$G,2,FALSE)</f>
        <v>1</v>
      </c>
      <c r="L614" s="236">
        <f t="shared" si="36"/>
        <v>5.0999999999999997E-2</v>
      </c>
      <c r="M614">
        <f t="shared" si="37"/>
        <v>0.1553478599468672</v>
      </c>
      <c r="N614" s="153">
        <f t="shared" si="38"/>
        <v>7893.8755031048831</v>
      </c>
      <c r="O614" s="157">
        <f t="shared" si="39"/>
        <v>4.3038285627581345</v>
      </c>
    </row>
    <row r="615" spans="1:23" x14ac:dyDescent="0.3">
      <c r="B615" s="99"/>
      <c r="C615" s="152"/>
      <c r="D615" s="82"/>
      <c r="E615" s="82"/>
      <c r="F615" s="82"/>
      <c r="G615" s="82"/>
      <c r="H615" s="82"/>
      <c r="I615" s="82"/>
      <c r="J615" s="152"/>
      <c r="K615" s="152"/>
      <c r="L615" s="152"/>
      <c r="M615" s="152"/>
      <c r="N615" s="82"/>
      <c r="O615" s="173"/>
    </row>
    <row r="616" spans="1:23" x14ac:dyDescent="0.3">
      <c r="B616" s="99"/>
      <c r="C616" s="82" t="s">
        <v>7009</v>
      </c>
      <c r="D616" s="82" t="s">
        <v>6963</v>
      </c>
      <c r="E616"/>
      <c r="F616"/>
      <c r="G616"/>
      <c r="H616"/>
      <c r="K616"/>
      <c r="L616"/>
      <c r="O616" s="146"/>
    </row>
    <row r="617" spans="1:23" x14ac:dyDescent="0.3">
      <c r="A617" t="s">
        <v>5205</v>
      </c>
      <c r="B617" s="99" t="s">
        <v>6964</v>
      </c>
      <c r="C617" s="153">
        <f>SUM(C602:C614)</f>
        <v>2115755.6599162407</v>
      </c>
      <c r="D617" s="318">
        <f>SUMPRODUCT(C602:C614,G602:G614)</f>
        <v>929988.15798423695</v>
      </c>
      <c r="E617"/>
      <c r="F617"/>
      <c r="G617"/>
      <c r="H617"/>
      <c r="K617"/>
      <c r="L617"/>
      <c r="O617" s="146"/>
    </row>
    <row r="618" spans="1:23" x14ac:dyDescent="0.3">
      <c r="A618" t="s">
        <v>5205</v>
      </c>
      <c r="B618" s="149" t="s">
        <v>6965</v>
      </c>
      <c r="C618" s="159">
        <f>SUM(N602:N614)</f>
        <v>193233.06625150342</v>
      </c>
      <c r="D618" s="319">
        <f>SUMPRODUCT(N602:N614,G602:G614)</f>
        <v>90055.957961911525</v>
      </c>
      <c r="E618" s="150"/>
      <c r="F618" s="150"/>
      <c r="G618" s="261"/>
      <c r="H618" s="150"/>
      <c r="I618" s="150"/>
      <c r="J618" s="150"/>
      <c r="K618" s="150"/>
      <c r="L618" s="150"/>
      <c r="M618" s="150"/>
      <c r="N618" s="150"/>
      <c r="O618" s="151"/>
    </row>
    <row r="619" spans="1:23" x14ac:dyDescent="0.3">
      <c r="B619" s="142"/>
      <c r="C619" s="142"/>
      <c r="D619" s="142"/>
      <c r="E619" s="142"/>
      <c r="F619" s="142"/>
      <c r="G619" s="142"/>
      <c r="H619" s="142"/>
      <c r="I619" s="142"/>
      <c r="J619" s="142"/>
      <c r="K619" s="142"/>
      <c r="L619" s="142"/>
      <c r="M619" s="142"/>
      <c r="N619" s="142"/>
      <c r="O619" s="141"/>
    </row>
    <row r="620" spans="1:23" ht="43.2" x14ac:dyDescent="0.3">
      <c r="B620" s="498" t="s">
        <v>6966</v>
      </c>
      <c r="C620" s="362" t="s">
        <v>6967</v>
      </c>
      <c r="D620" s="362" t="s">
        <v>6968</v>
      </c>
      <c r="E620" s="362" t="s">
        <v>6969</v>
      </c>
      <c r="F620" s="362" t="s">
        <v>6970</v>
      </c>
      <c r="G620" s="362" t="s">
        <v>6971</v>
      </c>
      <c r="H620" s="362" t="s">
        <v>6972</v>
      </c>
      <c r="I620" s="362" t="s">
        <v>6973</v>
      </c>
      <c r="J620" s="362" t="s">
        <v>6974</v>
      </c>
      <c r="K620" s="362" t="s">
        <v>6975</v>
      </c>
      <c r="L620" s="362" t="s">
        <v>6976</v>
      </c>
      <c r="M620" s="362" t="s">
        <v>6977</v>
      </c>
      <c r="N620" s="362" t="s">
        <v>6978</v>
      </c>
      <c r="O620" s="363" t="s">
        <v>6979</v>
      </c>
    </row>
    <row r="621" spans="1:23" x14ac:dyDescent="0.3">
      <c r="B621" s="99" t="s">
        <v>2808</v>
      </c>
      <c r="C621" s="236">
        <f>VLOOKUP("OPEXInsuranceEverythingDefault",Econ.inputsTable!$E:$K,2,FALSE)</f>
        <v>5.0000000000000001E-3</v>
      </c>
      <c r="D621" s="257">
        <f>VLOOKUP("OPEXRepair and maintenanceEquipmentDefault",Econ.inputsTable!$E:$K,2,FALSE)</f>
        <v>0.03</v>
      </c>
      <c r="E621"/>
      <c r="F621" s="2113">
        <f>E547</f>
        <v>946.46267270594763</v>
      </c>
      <c r="G621" s="365">
        <f>F621*E594</f>
        <v>64.919452158688784</v>
      </c>
      <c r="H621"/>
      <c r="I621" s="365"/>
      <c r="J621" s="365"/>
      <c r="K621" s="147">
        <f>E548</f>
        <v>5.8664287349555071</v>
      </c>
      <c r="L621" s="156">
        <f>K621*E598</f>
        <v>138.79970386904731</v>
      </c>
      <c r="O621" s="167">
        <f t="shared" ref="O621" si="41">(SUM(C621:D621)*C602*G602)+SUM(E621,G621,I621,J621,L621,N621)</f>
        <v>2230.7672530961522</v>
      </c>
      <c r="P621"/>
      <c r="U621"/>
      <c r="W621"/>
    </row>
    <row r="622" spans="1:23" x14ac:dyDescent="0.3">
      <c r="B622" s="99" t="s">
        <v>3003</v>
      </c>
      <c r="C622" s="263">
        <f>VLOOKUP("OPEXInsuranceEverythingDefault", Econ.inputsTable!$E:$G,2,FALSE)</f>
        <v>5.0000000000000001E-3</v>
      </c>
      <c r="D622" s="237">
        <f>VLOOKUP("OPEXRepair and maintenanceEquipmentDefault",Econ.inputsTable!$E:$G,2,FALSE)</f>
        <v>0.03</v>
      </c>
      <c r="E622"/>
      <c r="F622"/>
      <c r="G622"/>
      <c r="H622" s="147">
        <f>(E560+(E581/E573))*E535</f>
        <v>16.356333062506437</v>
      </c>
      <c r="I622" s="259">
        <f>H622*E595</f>
        <v>60.461030860526151</v>
      </c>
      <c r="J622" s="259">
        <f>I622*VLOOKUP("OPEXLubeLubeDefault",Econ.inputsTable!$E:$G,2,FALSE)</f>
        <v>6.0461030860526153</v>
      </c>
      <c r="K622"/>
      <c r="L622" s="233"/>
      <c r="O622" s="264">
        <f t="shared" ref="O622:O633" si="42">(SUM(C622:D622)*C603*G603)+SUM(E622,G622,I622,J622,L622,N622)</f>
        <v>10335.507133946578</v>
      </c>
    </row>
    <row r="623" spans="1:23" x14ac:dyDescent="0.3">
      <c r="B623" s="99" t="s">
        <v>3005</v>
      </c>
      <c r="C623" s="263">
        <f>VLOOKUP("OPEXInsuranceEverythingDefault", Econ.inputsTable!$E:$G,2,FALSE)</f>
        <v>5.0000000000000001E-3</v>
      </c>
      <c r="D623" s="237">
        <f>VLOOKUP("OPEXRepair and maintenanceEquipmentDefault",Econ.inputsTable!$E:$G,2,FALSE)</f>
        <v>0.03</v>
      </c>
      <c r="E623"/>
      <c r="F623"/>
      <c r="G623"/>
      <c r="H623" s="147">
        <f>(E561+(E582/E573))*E597</f>
        <v>6.815138776044348</v>
      </c>
      <c r="I623" s="259">
        <f>H623*E595</f>
        <v>25.192096191885891</v>
      </c>
      <c r="J623" s="259">
        <f>I623*VLOOKUP("OPEXLubeLubeDefault",Econ.inputsTable!$E:$G,2,FALSE)</f>
        <v>2.5192096191885893</v>
      </c>
      <c r="K623"/>
      <c r="L623" s="233"/>
      <c r="O623" s="264">
        <f t="shared" si="42"/>
        <v>6933.2113058110735</v>
      </c>
    </row>
    <row r="624" spans="1:23" x14ac:dyDescent="0.3">
      <c r="B624" s="99" t="s">
        <v>7047</v>
      </c>
      <c r="C624" s="263">
        <f>VLOOKUP("OPEXInsuranceEverythingDefault", Econ.inputsTable!$E:$G,2,FALSE)</f>
        <v>5.0000000000000001E-3</v>
      </c>
      <c r="D624" s="237">
        <f>VLOOKUP("OPEXRepair and maintenanceEquipmentDefault",Econ.inputsTable!$E:$G,2,FALSE)</f>
        <v>0.03</v>
      </c>
      <c r="E624"/>
      <c r="F624"/>
      <c r="G624"/>
      <c r="H624" s="147">
        <f>(E562+(E583/E573))*E536</f>
        <v>5.4521110208354777</v>
      </c>
      <c r="I624" s="259">
        <f>H624*E595</f>
        <v>20.153676953508711</v>
      </c>
      <c r="J624" s="259">
        <f>I624*VLOOKUP("OPEXLubeLubeDefault",Econ.inputsTable!$E:$G,2,FALSE)</f>
        <v>2.015367695350871</v>
      </c>
      <c r="K624"/>
      <c r="L624" s="233"/>
      <c r="O624" s="264">
        <f t="shared" si="42"/>
        <v>4624.6690446488583</v>
      </c>
    </row>
    <row r="625" spans="1:15" x14ac:dyDescent="0.3">
      <c r="B625" s="99" t="s">
        <v>7037</v>
      </c>
      <c r="C625" s="263">
        <f>VLOOKUP("OPEXInsuranceEverythingDefault", Econ.inputsTable!$E:$G,2,FALSE)</f>
        <v>5.0000000000000001E-3</v>
      </c>
      <c r="D625" s="237">
        <f>VLOOKUP("OPEXRepair and maintenanceEquipmentDefault",Econ.inputsTable!$E:$G,2,FALSE)</f>
        <v>0.03</v>
      </c>
      <c r="E625"/>
      <c r="F625"/>
      <c r="G625"/>
      <c r="H625" s="147">
        <f>(E563+(E584/E573))</f>
        <v>26.668092373246601</v>
      </c>
      <c r="I625" s="259">
        <f>H625*E595</f>
        <v>98.578351871928945</v>
      </c>
      <c r="J625" s="259">
        <f>I625*VLOOKUP("OPEXLubeLubeDefault",Econ.inputsTable!$E:$G,2,FALSE)</f>
        <v>9.8578351871928955</v>
      </c>
      <c r="K625" s="147">
        <f>(E557*VLOOKUP("OPEXLaborTractorDefault",Econ.inputsTable!$E:$G,2,FALSE))+(E578/E573*VLOOKUP("OPEXLaborTractorDefault",Econ.inputsTable!$E:$G,2,FALSE))</f>
        <v>1.1494867402261466</v>
      </c>
      <c r="L625" s="233">
        <f>K625*E598</f>
        <v>27.19685627375063</v>
      </c>
      <c r="O625" s="264">
        <f t="shared" si="42"/>
        <v>158.94567941260436</v>
      </c>
    </row>
    <row r="626" spans="1:15" x14ac:dyDescent="0.3">
      <c r="B626" s="99" t="s">
        <v>7048</v>
      </c>
      <c r="C626" s="263">
        <f>VLOOKUP("OPEXInsuranceEverythingDefault", Econ.inputsTable!$E:$G,2,FALSE)</f>
        <v>5.0000000000000001E-3</v>
      </c>
      <c r="D626" s="237">
        <f>VLOOKUP("OPEXRepair and maintenanceEquipmentDefault",Econ.inputsTable!$E:$G,2,FALSE)</f>
        <v>0.03</v>
      </c>
      <c r="E626"/>
      <c r="F626"/>
      <c r="G626"/>
      <c r="H626" s="147"/>
      <c r="I626" s="369"/>
      <c r="J626" s="369"/>
      <c r="K626" s="205"/>
      <c r="L626" s="233"/>
      <c r="O626" s="264">
        <f t="shared" si="42"/>
        <v>1557.4999999999998</v>
      </c>
    </row>
    <row r="627" spans="1:15" x14ac:dyDescent="0.3">
      <c r="B627" s="99" t="s">
        <v>7007</v>
      </c>
      <c r="C627" s="263">
        <f>VLOOKUP("OPEXInsuranceEverythingDefault", Econ.inputsTable!$E:$G,2,FALSE)</f>
        <v>5.0000000000000001E-3</v>
      </c>
      <c r="D627" s="237">
        <f>VLOOKUP("OPEXRepair and maintenanceEquipmentDefault",Econ.inputsTable!$E:$G,2,FALSE)</f>
        <v>0.03</v>
      </c>
      <c r="E627"/>
      <c r="F627"/>
      <c r="G627"/>
      <c r="H627" s="147"/>
      <c r="I627" s="369"/>
      <c r="J627" s="369"/>
      <c r="K627" s="205"/>
      <c r="L627" s="233"/>
      <c r="O627" s="264">
        <f t="shared" si="42"/>
        <v>0</v>
      </c>
    </row>
    <row r="628" spans="1:15" x14ac:dyDescent="0.3">
      <c r="B628" s="99" t="s">
        <v>7008</v>
      </c>
      <c r="C628" s="263">
        <f>VLOOKUP("OPEXInsuranceEverythingDefault", Econ.inputsTable!$E:$G,2,FALSE)</f>
        <v>5.0000000000000001E-3</v>
      </c>
      <c r="D628" s="237">
        <f>VLOOKUP("OPEXRepair and maintenanceEquipmentDefault",Econ.inputsTable!$E:$G,2,FALSE)</f>
        <v>0.03</v>
      </c>
      <c r="E628"/>
      <c r="F628"/>
      <c r="G628"/>
      <c r="H628" s="147"/>
      <c r="I628" s="369"/>
      <c r="J628" s="369"/>
      <c r="K628" s="205"/>
      <c r="L628" s="233"/>
      <c r="O628" s="264">
        <f t="shared" si="42"/>
        <v>2831.4999999999995</v>
      </c>
    </row>
    <row r="629" spans="1:15" x14ac:dyDescent="0.3">
      <c r="B629" s="99" t="s">
        <v>7039</v>
      </c>
      <c r="C629" s="263">
        <f>VLOOKUP("OPEXInsuranceEverythingDefault", Econ.inputsTable!$E:$G,2,FALSE)</f>
        <v>5.0000000000000001E-3</v>
      </c>
      <c r="D629" s="237">
        <f>VLOOKUP("OPEXRepair and maintenanceEquipmentDefault",Econ.inputsTable!$E:$G,2,FALSE)</f>
        <v>0.03</v>
      </c>
      <c r="E629"/>
      <c r="F629"/>
      <c r="G629"/>
      <c r="H629" s="147">
        <f>(E564+(E585/E573))</f>
        <v>10.195447608962343</v>
      </c>
      <c r="I629" s="259">
        <f>H629*E595</f>
        <v>37.687375903061287</v>
      </c>
      <c r="J629" s="259">
        <f>I629*VLOOKUP("OPEXLubeLubeDefault",Econ.inputsTable!$E:$G,2,FALSE)</f>
        <v>3.7687375903061291</v>
      </c>
      <c r="K629" s="205">
        <f>(E558*VLOOKUP("OPEXLaborTractorDefault",Econ.inputsTable!$E:$G,2,FALSE))+(E579/E573*VLOOKUP("OPEXLaborTractorDefault",Econ.inputsTable!$E:$G,2,FALSE))</f>
        <v>0.74966526536487832</v>
      </c>
      <c r="L629" s="233">
        <f>K629*E598</f>
        <v>17.73708017853302</v>
      </c>
      <c r="O629" s="264">
        <f t="shared" si="42"/>
        <v>70.897853762817803</v>
      </c>
    </row>
    <row r="630" spans="1:15" x14ac:dyDescent="0.3">
      <c r="B630" s="99" t="s">
        <v>1325</v>
      </c>
      <c r="C630" s="263">
        <f>VLOOKUP("OPEXInsuranceEverythingDefault", Econ.inputsTable!$E:$G,2,FALSE)</f>
        <v>5.0000000000000001E-3</v>
      </c>
      <c r="D630" s="237">
        <f>VLOOKUP("OPEXRepair and maintenanceEquipmentDefault",Econ.inputsTable!$E:$G,2,FALSE)</f>
        <v>0.03</v>
      </c>
      <c r="E630"/>
      <c r="F630"/>
      <c r="G630"/>
      <c r="H630" s="147"/>
      <c r="I630" s="259"/>
      <c r="J630" s="259"/>
      <c r="K630" s="205"/>
      <c r="L630" s="233"/>
      <c r="O630" s="264">
        <f t="shared" si="42"/>
        <v>461.99999999999994</v>
      </c>
    </row>
    <row r="631" spans="1:15" x14ac:dyDescent="0.3">
      <c r="B631" s="99" t="s">
        <v>3007</v>
      </c>
      <c r="C631" s="263">
        <f>VLOOKUP("OPEXInsuranceEverythingDefault", Econ.inputsTable!$E:$G,2,FALSE)</f>
        <v>5.0000000000000001E-3</v>
      </c>
      <c r="D631" s="237">
        <f>VLOOKUP("OPEXRepair and maintenanceEquipmentDefault",Econ.inputsTable!$E:$G,2,FALSE)</f>
        <v>0.03</v>
      </c>
      <c r="E631"/>
      <c r="F631"/>
      <c r="G631"/>
      <c r="H631" s="147"/>
      <c r="I631" s="259"/>
      <c r="J631" s="259"/>
      <c r="K631" s="205"/>
      <c r="L631" s="233"/>
      <c r="O631" s="264">
        <f t="shared" si="42"/>
        <v>532</v>
      </c>
    </row>
    <row r="632" spans="1:15" x14ac:dyDescent="0.3">
      <c r="B632" s="235" t="s">
        <v>3465</v>
      </c>
      <c r="C632" s="263">
        <f>VLOOKUP("OPEXInsuranceEverythingDefault", Econ.inputsTable!$E:$G,2,FALSE)</f>
        <v>5.0000000000000001E-3</v>
      </c>
      <c r="D632" s="237">
        <f>VLOOKUP("OPEXRepair and maintenanceBuildings and constructionDefault",Econ.inputsTable!$E:$G,2,FALSE)</f>
        <v>0.01</v>
      </c>
      <c r="E632"/>
      <c r="F632"/>
      <c r="G632"/>
      <c r="H632" s="147"/>
      <c r="I632" s="259"/>
      <c r="J632" s="259"/>
      <c r="K632" s="205"/>
      <c r="L632" s="233"/>
      <c r="O632" s="264">
        <f t="shared" si="42"/>
        <v>1425.6</v>
      </c>
    </row>
    <row r="633" spans="1:15" x14ac:dyDescent="0.3">
      <c r="B633" s="99" t="s">
        <v>349</v>
      </c>
      <c r="C633" s="263">
        <f>VLOOKUP("OPEXInsuranceEverythingDefault", Econ.inputsTable!$E:$G,2,FALSE)</f>
        <v>5.0000000000000001E-3</v>
      </c>
      <c r="D633" s="237">
        <f>VLOOKUP("OPEXRepair and maintenanceEquipmentDefault",Econ.inputsTable!$E:$G,2,FALSE)</f>
        <v>0.03</v>
      </c>
      <c r="E633"/>
      <c r="F633"/>
      <c r="G633"/>
      <c r="H633" s="147">
        <f>(E565+(E586/E573))</f>
        <v>0.7348236294323971</v>
      </c>
      <c r="I633" s="259">
        <f>H633*E595</f>
        <v>2.7162686138984649</v>
      </c>
      <c r="J633" s="259">
        <f>I633*VLOOKUP("OPEXLubeLubeDefault",Econ.inputsTable!$E:$G,2,FALSE)</f>
        <v>0.27162686138984649</v>
      </c>
      <c r="K633" s="205">
        <f>(E559*VLOOKUP("OPEXLaborTractorDefault",Econ.inputsTable!$E:$G,2,FALSE))+(E580/E573*VLOOKUP("OPEXLaborTractorDefault",Econ.inputsTable!$E:$G,2,FALSE))</f>
        <v>0.14993305307297566</v>
      </c>
      <c r="L633" s="233">
        <f>K633*E598</f>
        <v>3.547416035706604</v>
      </c>
      <c r="O633" s="264">
        <f t="shared" si="42"/>
        <v>7.6554477202255651</v>
      </c>
    </row>
    <row r="634" spans="1:15" x14ac:dyDescent="0.3">
      <c r="A634" t="s">
        <v>5205</v>
      </c>
      <c r="B634" s="162" t="s">
        <v>5203</v>
      </c>
      <c r="C634" s="241"/>
      <c r="D634" s="241"/>
      <c r="E634" s="242">
        <f t="shared" ref="E634:O634" si="43">SUM(E621:E633)</f>
        <v>0</v>
      </c>
      <c r="F634" s="286">
        <f t="shared" si="43"/>
        <v>946.46267270594763</v>
      </c>
      <c r="G634" s="242">
        <f t="shared" si="43"/>
        <v>64.919452158688784</v>
      </c>
      <c r="H634" s="286">
        <f t="shared" si="43"/>
        <v>66.221946471027607</v>
      </c>
      <c r="I634" s="242">
        <f t="shared" si="43"/>
        <v>244.78880039480944</v>
      </c>
      <c r="J634" s="242">
        <f t="shared" si="43"/>
        <v>24.478880039480948</v>
      </c>
      <c r="K634" s="402">
        <f t="shared" si="43"/>
        <v>7.9155137936195086</v>
      </c>
      <c r="L634" s="242">
        <f t="shared" si="43"/>
        <v>187.28105635703753</v>
      </c>
      <c r="M634" s="374">
        <f t="shared" si="43"/>
        <v>0</v>
      </c>
      <c r="N634" s="242">
        <f t="shared" si="43"/>
        <v>0</v>
      </c>
      <c r="O634" s="169">
        <f t="shared" si="43"/>
        <v>31170.253718398308</v>
      </c>
    </row>
    <row r="635" spans="1:15" x14ac:dyDescent="0.3">
      <c r="B635" s="99"/>
      <c r="D635"/>
      <c r="E635"/>
      <c r="F635"/>
      <c r="G635"/>
      <c r="H635"/>
      <c r="K635"/>
      <c r="L635"/>
      <c r="O635" s="146"/>
    </row>
    <row r="636" spans="1:15" x14ac:dyDescent="0.3">
      <c r="A636" t="s">
        <v>5205</v>
      </c>
      <c r="B636" s="149" t="s">
        <v>6980</v>
      </c>
      <c r="C636" s="159">
        <f>O634</f>
        <v>31170.253718398308</v>
      </c>
      <c r="D636" s="150" t="s">
        <v>5181</v>
      </c>
      <c r="E636" s="150"/>
      <c r="F636" s="150"/>
      <c r="G636" s="150"/>
      <c r="H636" s="150"/>
      <c r="I636" s="150"/>
      <c r="J636" s="150"/>
      <c r="K636" s="150"/>
      <c r="L636" s="150"/>
      <c r="M636" s="150"/>
      <c r="N636" s="150"/>
      <c r="O636" s="151"/>
    </row>
    <row r="637" spans="1:15" x14ac:dyDescent="0.3">
      <c r="D637"/>
      <c r="E637"/>
      <c r="F637"/>
    </row>
    <row r="638" spans="1:15" x14ac:dyDescent="0.3">
      <c r="B638" s="384" t="s">
        <v>7123</v>
      </c>
      <c r="C638" s="3057" t="s">
        <v>6402</v>
      </c>
      <c r="D638" s="3058"/>
      <c r="E638" s="3059" t="s">
        <v>6417</v>
      </c>
      <c r="F638" s="3058"/>
    </row>
    <row r="639" spans="1:15" x14ac:dyDescent="0.3">
      <c r="B639" s="385" t="s">
        <v>7012</v>
      </c>
      <c r="C639" s="139" t="s">
        <v>7124</v>
      </c>
      <c r="D639" s="245" t="s">
        <v>7125</v>
      </c>
      <c r="E639" s="139" t="s">
        <v>7124</v>
      </c>
      <c r="F639" s="245" t="s">
        <v>7125</v>
      </c>
    </row>
    <row r="640" spans="1:15" x14ac:dyDescent="0.3">
      <c r="A640" t="s">
        <v>5205</v>
      </c>
      <c r="B640" s="386" t="s">
        <v>7013</v>
      </c>
      <c r="C640" s="387">
        <f xml:space="preserve"> VLOOKUP("Fertilizer value for on-farm use, liquids",$R$1:$T$332,3, FALSE)</f>
        <v>5638.2898397072368</v>
      </c>
      <c r="D640" s="388">
        <f>VLOOKUP("Fertilizer value for on-farm use, liquids",$R$1:$T$332,3, FALSE)</f>
        <v>5638.2898397072368</v>
      </c>
      <c r="E640" s="387">
        <v>0</v>
      </c>
      <c r="F640" s="389">
        <f>VLOOKUP("Fertilizer value for on-farm use, sludge",$R$1:$T$332,3, FALSE)</f>
        <v>9442.9598467451069</v>
      </c>
    </row>
    <row r="641" spans="1:6" x14ac:dyDescent="0.3">
      <c r="A641" t="s">
        <v>5205</v>
      </c>
      <c r="B641" s="386" t="s">
        <v>7126</v>
      </c>
      <c r="C641" s="390">
        <f>C640</f>
        <v>5638.2898397072368</v>
      </c>
      <c r="D641" s="391"/>
      <c r="E641" s="390">
        <f>(F640/UDV.anaer_lagoon.sludge_time)</f>
        <v>944.29598467451069</v>
      </c>
      <c r="F641" s="391"/>
    </row>
    <row r="642" spans="1:6" x14ac:dyDescent="0.3">
      <c r="A642" t="s">
        <v>5205</v>
      </c>
      <c r="B642" s="386" t="s">
        <v>7014</v>
      </c>
      <c r="C642" s="393">
        <f>SUM(C641,E641)</f>
        <v>6582.5858243817474</v>
      </c>
      <c r="D642" s="146"/>
      <c r="E642" s="99"/>
      <c r="F642" s="146"/>
    </row>
    <row r="643" spans="1:6" x14ac:dyDescent="0.3">
      <c r="B643" s="386"/>
      <c r="D643" s="146"/>
      <c r="E643" s="99"/>
      <c r="F643" s="146"/>
    </row>
    <row r="644" spans="1:6" x14ac:dyDescent="0.3">
      <c r="B644" s="394" t="s">
        <v>7015</v>
      </c>
      <c r="C644" s="139" t="s">
        <v>7124</v>
      </c>
      <c r="D644" s="245" t="s">
        <v>7125</v>
      </c>
      <c r="E644" s="139" t="s">
        <v>7124</v>
      </c>
      <c r="F644" s="245" t="s">
        <v>7125</v>
      </c>
    </row>
    <row r="645" spans="1:6" x14ac:dyDescent="0.3">
      <c r="A645" t="s">
        <v>5205</v>
      </c>
      <c r="B645" s="386" t="s">
        <v>7016</v>
      </c>
      <c r="C645" s="387">
        <f>UDV.econ_manure.liquid_sell_price*C524</f>
        <v>0</v>
      </c>
      <c r="D645" s="389">
        <f>UDV.econ_manure.liquid_sell_price*C524</f>
        <v>0</v>
      </c>
      <c r="E645" s="387">
        <v>0</v>
      </c>
      <c r="F645" s="389">
        <f>UDV.econ_manure.sludge_sell_price*C527</f>
        <v>0</v>
      </c>
    </row>
    <row r="646" spans="1:6" x14ac:dyDescent="0.3">
      <c r="A646" t="s">
        <v>5205</v>
      </c>
      <c r="B646" s="386" t="s">
        <v>7127</v>
      </c>
      <c r="C646" s="390">
        <f>C645</f>
        <v>0</v>
      </c>
      <c r="D646" s="391"/>
      <c r="E646" s="390">
        <f>(F645/UDV.anaer_lagoon.sludge_time)</f>
        <v>0</v>
      </c>
      <c r="F646" s="391"/>
    </row>
    <row r="647" spans="1:6" x14ac:dyDescent="0.3">
      <c r="A647" t="s">
        <v>5205</v>
      </c>
      <c r="B647" s="386" t="s">
        <v>7017</v>
      </c>
      <c r="C647" s="393">
        <f>SUM(C646,E646)</f>
        <v>0</v>
      </c>
      <c r="D647" s="146"/>
      <c r="E647" s="99"/>
      <c r="F647" s="146"/>
    </row>
    <row r="648" spans="1:6" x14ac:dyDescent="0.3">
      <c r="B648" s="386"/>
      <c r="C648" s="166"/>
      <c r="D648" s="146"/>
      <c r="E648" s="395"/>
      <c r="F648" s="396"/>
    </row>
    <row r="649" spans="1:6" x14ac:dyDescent="0.3">
      <c r="B649" s="397" t="s">
        <v>7018</v>
      </c>
      <c r="C649" s="139" t="s">
        <v>7124</v>
      </c>
      <c r="D649" s="245" t="s">
        <v>7125</v>
      </c>
      <c r="E649" s="139" t="s">
        <v>7124</v>
      </c>
      <c r="F649" s="245" t="s">
        <v>7125</v>
      </c>
    </row>
    <row r="650" spans="1:6" x14ac:dyDescent="0.3">
      <c r="A650" t="s">
        <v>5205</v>
      </c>
      <c r="B650" s="386" t="s">
        <v>7019</v>
      </c>
      <c r="C650" s="387">
        <f>UDV.econ_manure.liquid_sell_price*C525</f>
        <v>0</v>
      </c>
      <c r="D650" s="389">
        <f>UDV.econ_manure.liquid_sell_price*C525</f>
        <v>0</v>
      </c>
      <c r="E650" s="387"/>
      <c r="F650" s="389">
        <f>UDV.econ_manure.sludge_sell_price*C528</f>
        <v>8257.6255562536644</v>
      </c>
    </row>
    <row r="651" spans="1:6" x14ac:dyDescent="0.3">
      <c r="A651" t="s">
        <v>5205</v>
      </c>
      <c r="B651" s="386" t="s">
        <v>7128</v>
      </c>
      <c r="C651" s="390">
        <f>C650</f>
        <v>0</v>
      </c>
      <c r="D651" s="391"/>
      <c r="E651" s="390">
        <f>(F650/UDV.anaer_lagoon.sludge_time)</f>
        <v>825.76255562536642</v>
      </c>
      <c r="F651" s="391"/>
    </row>
    <row r="652" spans="1:6" x14ac:dyDescent="0.3">
      <c r="A652" t="s">
        <v>5205</v>
      </c>
      <c r="B652" s="386" t="s">
        <v>7020</v>
      </c>
      <c r="C652" s="393">
        <f>SUM(C651,E651)</f>
        <v>825.76255562536642</v>
      </c>
      <c r="D652" s="146"/>
      <c r="E652" s="99"/>
      <c r="F652" s="146"/>
    </row>
    <row r="653" spans="1:6" x14ac:dyDescent="0.3">
      <c r="B653" s="386"/>
      <c r="D653" s="146"/>
      <c r="E653" s="99"/>
      <c r="F653" s="146"/>
    </row>
    <row r="654" spans="1:6" x14ac:dyDescent="0.3">
      <c r="B654" s="398" t="s">
        <v>7021</v>
      </c>
      <c r="C654" s="139" t="s">
        <v>7124</v>
      </c>
      <c r="D654" s="245" t="s">
        <v>7125</v>
      </c>
      <c r="E654" s="139" t="s">
        <v>7124</v>
      </c>
      <c r="F654" s="245" t="s">
        <v>7125</v>
      </c>
    </row>
    <row r="655" spans="1:6" x14ac:dyDescent="0.3">
      <c r="A655" t="s">
        <v>5205</v>
      </c>
      <c r="B655" s="386" t="s">
        <v>7022</v>
      </c>
      <c r="C655" s="387">
        <f>UDV.econ_manure.liquid_export_cost*C526</f>
        <v>0</v>
      </c>
      <c r="D655" s="389">
        <f>UDV.econ_manure.liquid_export_cost*C526</f>
        <v>0</v>
      </c>
      <c r="E655" s="387"/>
      <c r="F655" s="389">
        <f>UDV.econ_manure.sludge_export_cost*C529</f>
        <v>0</v>
      </c>
    </row>
    <row r="656" spans="1:6" x14ac:dyDescent="0.3">
      <c r="A656" t="s">
        <v>5205</v>
      </c>
      <c r="B656" s="386" t="s">
        <v>7129</v>
      </c>
      <c r="C656" s="390">
        <f>C655</f>
        <v>0</v>
      </c>
      <c r="D656" s="391"/>
      <c r="E656" s="390">
        <f>(F655/UDV.anaer_lagoon.sludge_time)</f>
        <v>0</v>
      </c>
      <c r="F656" s="391"/>
    </row>
    <row r="657" spans="1:23" x14ac:dyDescent="0.3">
      <c r="A657" t="s">
        <v>5205</v>
      </c>
      <c r="B657" s="386" t="s">
        <v>7023</v>
      </c>
      <c r="C657" s="393">
        <f>SUM(C656,E656)</f>
        <v>0</v>
      </c>
      <c r="D657" s="146"/>
      <c r="E657" s="99"/>
      <c r="F657" s="146"/>
    </row>
    <row r="658" spans="1:23" x14ac:dyDescent="0.3">
      <c r="B658" s="386"/>
      <c r="D658" s="146"/>
      <c r="E658" s="99"/>
      <c r="F658" s="146"/>
    </row>
    <row r="659" spans="1:23" x14ac:dyDescent="0.3">
      <c r="B659" s="303" t="s">
        <v>7138</v>
      </c>
      <c r="C659" s="82" t="s">
        <v>5181</v>
      </c>
      <c r="D659" s="173"/>
      <c r="E659" s="99"/>
      <c r="F659" s="146"/>
    </row>
    <row r="660" spans="1:23" x14ac:dyDescent="0.3">
      <c r="B660" s="70" t="s">
        <v>7139</v>
      </c>
      <c r="C660" s="265"/>
      <c r="D660" s="151"/>
      <c r="E660" s="149"/>
      <c r="F660" s="151"/>
    </row>
    <row r="661" spans="1:23" ht="15" thickBot="1" x14ac:dyDescent="0.35">
      <c r="A661" s="137"/>
      <c r="B661" s="137"/>
      <c r="C661" s="137"/>
      <c r="D661" s="137"/>
      <c r="E661" s="137"/>
      <c r="F661" s="137"/>
      <c r="G661" s="137"/>
      <c r="H661" s="137"/>
      <c r="I661" s="137"/>
      <c r="J661" s="137"/>
      <c r="K661" s="137"/>
    </row>
    <row r="662" spans="1:23" x14ac:dyDescent="0.3">
      <c r="D662"/>
      <c r="E662" s="2116"/>
      <c r="F662"/>
      <c r="G662"/>
      <c r="H662"/>
      <c r="K662" s="2116"/>
    </row>
    <row r="663" spans="1:23" x14ac:dyDescent="0.3">
      <c r="B663" s="139" t="s">
        <v>7050</v>
      </c>
      <c r="C663" s="142"/>
      <c r="D663" s="142"/>
      <c r="E663" s="267"/>
      <c r="F663" s="267"/>
      <c r="G663" s="269"/>
      <c r="H663" s="270"/>
      <c r="I663" s="142"/>
      <c r="J663" s="142"/>
      <c r="K663" s="269"/>
      <c r="L663" s="269"/>
      <c r="M663" s="142"/>
      <c r="N663" s="142"/>
      <c r="O663" s="142"/>
      <c r="P663" s="271"/>
      <c r="Q663" s="142"/>
      <c r="R663" s="142"/>
      <c r="S663" s="142"/>
      <c r="T663" s="142"/>
      <c r="U663" s="269"/>
      <c r="V663" s="142"/>
      <c r="W663" s="208"/>
    </row>
    <row r="664" spans="1:23" x14ac:dyDescent="0.3">
      <c r="B664" s="92" t="s">
        <v>7051</v>
      </c>
      <c r="D664"/>
      <c r="F664" s="66"/>
      <c r="W664" s="1256"/>
    </row>
    <row r="665" spans="1:23" x14ac:dyDescent="0.3">
      <c r="B665" s="99"/>
      <c r="F665" s="66"/>
      <c r="W665" s="1256"/>
    </row>
    <row r="666" spans="1:23" x14ac:dyDescent="0.3">
      <c r="B666" s="92" t="s">
        <v>7052</v>
      </c>
      <c r="C666" s="82" t="s">
        <v>565</v>
      </c>
      <c r="D666" s="82" t="s">
        <v>38</v>
      </c>
      <c r="F666"/>
      <c r="W666" s="1256"/>
    </row>
    <row r="667" spans="1:23" x14ac:dyDescent="0.3">
      <c r="A667" s="292"/>
      <c r="B667" s="99" t="s">
        <v>5859</v>
      </c>
      <c r="C667">
        <f>UDV.animal.total</f>
        <v>500</v>
      </c>
      <c r="D667" t="s">
        <v>2442</v>
      </c>
      <c r="W667" s="1256"/>
    </row>
    <row r="668" spans="1:23" x14ac:dyDescent="0.3">
      <c r="A668" s="292"/>
      <c r="B668" s="174" t="s">
        <v>5386</v>
      </c>
      <c r="C668">
        <f>UDV.crops.acres_available</f>
        <v>100</v>
      </c>
      <c r="D668" t="s">
        <v>7029</v>
      </c>
      <c r="W668" s="1256"/>
    </row>
    <row r="669" spans="1:23" x14ac:dyDescent="0.3">
      <c r="B669" s="99" t="s">
        <v>5114</v>
      </c>
      <c r="C669" t="str">
        <f>UDV.u.state</f>
        <v>Iowa</v>
      </c>
      <c r="D669" t="s">
        <v>2852</v>
      </c>
      <c r="W669" s="1256"/>
    </row>
    <row r="670" spans="1:23" ht="13.5" customHeight="1" x14ac:dyDescent="0.3">
      <c r="B670" s="99"/>
      <c r="C670" s="166"/>
      <c r="D670"/>
      <c r="W670" s="1256"/>
    </row>
    <row r="671" spans="1:23" x14ac:dyDescent="0.3">
      <c r="B671" s="99"/>
      <c r="W671" s="1256"/>
    </row>
    <row r="672" spans="1:23" x14ac:dyDescent="0.3">
      <c r="A672" t="s">
        <v>4912</v>
      </c>
      <c r="B672" s="92" t="s">
        <v>7053</v>
      </c>
      <c r="C672" s="82" t="s">
        <v>5181</v>
      </c>
      <c r="D672" s="82" t="s">
        <v>7140</v>
      </c>
      <c r="W672" s="1256"/>
    </row>
    <row r="673" spans="1:25" x14ac:dyDescent="0.3">
      <c r="A673" t="s">
        <v>4912</v>
      </c>
      <c r="B673" s="275" t="s">
        <v>2585</v>
      </c>
      <c r="C673" s="276">
        <f>F690</f>
        <v>50414.928157342118</v>
      </c>
      <c r="D673" s="153">
        <f>C673/C667</f>
        <v>100.82985631468424</v>
      </c>
      <c r="W673" s="1256"/>
    </row>
    <row r="674" spans="1:25" x14ac:dyDescent="0.3">
      <c r="A674" t="s">
        <v>4912</v>
      </c>
      <c r="B674" s="275" t="s">
        <v>2588</v>
      </c>
      <c r="C674" s="276">
        <f>G690+L690</f>
        <v>16961.089675666441</v>
      </c>
      <c r="D674" s="153">
        <f>C674/C667</f>
        <v>33.922179351332879</v>
      </c>
      <c r="W674" s="1256"/>
    </row>
    <row r="675" spans="1:25" x14ac:dyDescent="0.3">
      <c r="A675" t="s">
        <v>4912</v>
      </c>
      <c r="B675" s="275" t="s">
        <v>441</v>
      </c>
      <c r="C675" s="276">
        <f>I690</f>
        <v>0</v>
      </c>
      <c r="D675" s="153">
        <f>C675/C667</f>
        <v>0</v>
      </c>
      <c r="W675" s="1256"/>
    </row>
    <row r="676" spans="1:25" x14ac:dyDescent="0.3">
      <c r="A676" t="s">
        <v>4912</v>
      </c>
      <c r="B676" s="275" t="s">
        <v>440</v>
      </c>
      <c r="C676" s="276">
        <f>J690</f>
        <v>6582.5858243817474</v>
      </c>
      <c r="D676" s="153">
        <f>C676/C667</f>
        <v>13.165171648763495</v>
      </c>
      <c r="W676" s="1256"/>
    </row>
    <row r="677" spans="1:25" x14ac:dyDescent="0.3">
      <c r="A677" t="s">
        <v>4912</v>
      </c>
      <c r="B677" s="275" t="s">
        <v>442</v>
      </c>
      <c r="C677" s="276">
        <f>K690</f>
        <v>0</v>
      </c>
      <c r="D677" s="153">
        <f>C677/C667</f>
        <v>0</v>
      </c>
      <c r="W677" s="1256"/>
    </row>
    <row r="678" spans="1:25" x14ac:dyDescent="0.3">
      <c r="A678" t="s">
        <v>4912</v>
      </c>
      <c r="B678" s="2270" t="s">
        <v>439</v>
      </c>
      <c r="C678" s="2271">
        <f>M690</f>
        <v>-67376.017833008562</v>
      </c>
      <c r="D678" s="159">
        <f>C678/C667</f>
        <v>-134.75203566601712</v>
      </c>
      <c r="E678" s="288"/>
      <c r="W678" s="1256"/>
    </row>
    <row r="679" spans="1:25" x14ac:dyDescent="0.3">
      <c r="A679" t="s">
        <v>4912</v>
      </c>
      <c r="B679" s="99" t="s">
        <v>7055</v>
      </c>
      <c r="C679" s="276">
        <f>L690</f>
        <v>0</v>
      </c>
      <c r="D679" s="153">
        <f>C679/C667</f>
        <v>0</v>
      </c>
      <c r="E679" s="279" t="s">
        <v>7056</v>
      </c>
      <c r="W679" s="1256"/>
    </row>
    <row r="680" spans="1:25" x14ac:dyDescent="0.3">
      <c r="A680" t="s">
        <v>4912</v>
      </c>
      <c r="B680" s="99" t="s">
        <v>7057</v>
      </c>
      <c r="C680" s="153">
        <f>C673+C674</f>
        <v>67376.017833008562</v>
      </c>
      <c r="D680" s="153">
        <f>C680/C667</f>
        <v>134.75203566601712</v>
      </c>
      <c r="W680" s="1256"/>
    </row>
    <row r="681" spans="1:25" ht="13.5" customHeight="1" x14ac:dyDescent="0.3">
      <c r="A681" t="s">
        <v>4912</v>
      </c>
      <c r="B681" s="853" t="s">
        <v>5392</v>
      </c>
      <c r="C681" s="142"/>
      <c r="D681" s="854">
        <f>E690</f>
        <v>1464039.9126087348</v>
      </c>
      <c r="E681" s="271" t="s">
        <v>2284</v>
      </c>
      <c r="W681" s="1256"/>
    </row>
    <row r="682" spans="1:25" ht="13.5" customHeight="1" x14ac:dyDescent="0.3">
      <c r="A682" t="s">
        <v>4912</v>
      </c>
      <c r="B682" s="852" t="s">
        <v>5393</v>
      </c>
      <c r="D682" s="274">
        <f>E690/C667</f>
        <v>2928.0798252174695</v>
      </c>
      <c r="E682" s="20" t="s">
        <v>7058</v>
      </c>
      <c r="W682" s="1256"/>
    </row>
    <row r="683" spans="1:25" x14ac:dyDescent="0.3">
      <c r="B683" s="174"/>
      <c r="D683"/>
      <c r="F683"/>
      <c r="G683"/>
      <c r="H683" s="42"/>
      <c r="I683" s="3"/>
      <c r="L683"/>
      <c r="N683" s="273" t="s">
        <v>7059</v>
      </c>
      <c r="O683" s="90"/>
      <c r="P683" s="90"/>
      <c r="Q683" s="90"/>
      <c r="R683" s="90"/>
      <c r="S683" s="279"/>
      <c r="T683" s="90"/>
      <c r="U683" s="90"/>
      <c r="V683" s="42"/>
      <c r="W683" s="146"/>
    </row>
    <row r="684" spans="1:25" x14ac:dyDescent="0.3">
      <c r="B684" s="92" t="s">
        <v>7060</v>
      </c>
      <c r="D684"/>
      <c r="F684"/>
      <c r="G684"/>
      <c r="H684"/>
      <c r="K684"/>
      <c r="L684"/>
      <c r="M684" s="113"/>
      <c r="N684" s="90" t="s">
        <v>5323</v>
      </c>
      <c r="O684" s="90" t="s">
        <v>5181</v>
      </c>
      <c r="P684" s="90" t="s">
        <v>5324</v>
      </c>
      <c r="Q684" s="90" t="s">
        <v>5181</v>
      </c>
      <c r="R684" s="90" t="s">
        <v>2710</v>
      </c>
      <c r="S684" s="90" t="s">
        <v>5181</v>
      </c>
      <c r="T684" s="90" t="s">
        <v>2710</v>
      </c>
      <c r="U684" s="90" t="s">
        <v>5181</v>
      </c>
      <c r="V684" s="90" t="s">
        <v>2710</v>
      </c>
      <c r="W684" s="280" t="s">
        <v>5181</v>
      </c>
    </row>
    <row r="685" spans="1:25" ht="72" x14ac:dyDescent="0.3">
      <c r="B685" s="92" t="s">
        <v>5187</v>
      </c>
      <c r="C685" s="82" t="s">
        <v>7061</v>
      </c>
      <c r="D685" s="82" t="s">
        <v>7062</v>
      </c>
      <c r="E685" s="277" t="s">
        <v>7063</v>
      </c>
      <c r="F685" s="897" t="s">
        <v>7064</v>
      </c>
      <c r="G685" s="277" t="s">
        <v>2588</v>
      </c>
      <c r="H685" s="152" t="s">
        <v>5188</v>
      </c>
      <c r="I685" s="82" t="s">
        <v>5189</v>
      </c>
      <c r="J685" s="82" t="s">
        <v>5190</v>
      </c>
      <c r="K685" s="82" t="s">
        <v>442</v>
      </c>
      <c r="L685" s="82" t="s">
        <v>5191</v>
      </c>
      <c r="M685" s="173" t="s">
        <v>439</v>
      </c>
      <c r="N685" s="281" t="s">
        <v>5192</v>
      </c>
      <c r="O685" s="281" t="s">
        <v>5193</v>
      </c>
      <c r="P685" s="281" t="s">
        <v>5194</v>
      </c>
      <c r="Q685" s="281" t="s">
        <v>5195</v>
      </c>
      <c r="R685" s="281" t="s">
        <v>5196</v>
      </c>
      <c r="S685" s="281" t="s">
        <v>5197</v>
      </c>
      <c r="T685" s="281" t="s">
        <v>5198</v>
      </c>
      <c r="U685" s="281" t="s">
        <v>5199</v>
      </c>
      <c r="V685" s="281" t="s">
        <v>5200</v>
      </c>
      <c r="W685" s="282" t="s">
        <v>5201</v>
      </c>
    </row>
    <row r="686" spans="1:25" x14ac:dyDescent="0.3">
      <c r="A686" t="s">
        <v>7066</v>
      </c>
      <c r="B686" s="99" t="s">
        <v>6945</v>
      </c>
      <c r="C686" s="158">
        <f>SUMIFS($C$300:$C$766,$A$300:$A$766,_xlfn.CONCAT(B686,"_construction"))</f>
        <v>7858.4422870541339</v>
      </c>
      <c r="D686" s="158">
        <f>SUMIFS($C$300:$C$766,$A$300:$A$766,_xlfn.CONCAT(B686,"_equipment"))</f>
        <v>0</v>
      </c>
      <c r="E686" s="274">
        <f>SUM(C686:D686)</f>
        <v>7858.4422870541339</v>
      </c>
      <c r="F686" s="158">
        <f>SUMIFS($D$300:$D$766,$A$300:$A$766,$B686,$B$300:$B$766,"Total capital recovery value")</f>
        <v>635.93948316737419</v>
      </c>
      <c r="G686" s="158">
        <f>SUMIFS($C$300:$C$766,$A$300:$A$766,$B686,$B$300:$B$766,"Annual operational costs")</f>
        <v>117.876634305812</v>
      </c>
      <c r="H686" s="153">
        <f>SUM(F686:G686)</f>
        <v>753.81611747318618</v>
      </c>
      <c r="I686" s="158">
        <f>SUMIFS($C$300:$C$766,$A$300:$A$766,$B686,$B$300:$B$766,"Annual cost savings")</f>
        <v>0</v>
      </c>
      <c r="J686" s="158">
        <f>SUMIFS($C$300:$C$766,$A$300:$A$766,$B686,$B$300:$B$766,"Annual fertilizer value for on-farm use")</f>
        <v>0</v>
      </c>
      <c r="K686" s="158">
        <f>SUMIFS($C$300:$C$766,$A$300:$A$766,$B686,$B$300:$B$766,"Annual revenues")</f>
        <v>0</v>
      </c>
      <c r="L686" s="158">
        <f>SUMIFS($C$300:$C$766,$A$300:$A$766,$B686,$B$300:$B$766,"Annual cost to export excess")</f>
        <v>0</v>
      </c>
      <c r="M686" s="283">
        <f>K686-F686-G686</f>
        <v>-753.81611747318618</v>
      </c>
      <c r="N686">
        <f>SUMIFS($F$300:$F$766,$A$300:$A$766,$B686,$B$300:$B$766,"Totals")</f>
        <v>0</v>
      </c>
      <c r="O686">
        <f>SUMIFS($G$300:$G$766,$A$300:$A$766,$B686,$B$300:$B$766,"Totals")</f>
        <v>0</v>
      </c>
      <c r="P686" s="147">
        <f>SUMIFS($H$300:$H$766,$A$300:$A$766,$B686,$B$300:$B$766,"Totals")</f>
        <v>0</v>
      </c>
      <c r="Q686" s="147">
        <f>SUMIFS($I$300:$I$766,$A$300:$A$766,$B686,$B$300:$B$766,"Totals")</f>
        <v>0</v>
      </c>
      <c r="R686" s="2315">
        <f>SUMIFS($K$300:$K$766,$A$300:$A$766,$B686,$B$300:$B$766,"Totals")</f>
        <v>0</v>
      </c>
      <c r="S686" s="2315">
        <f>SUMIFS($L$300:$L$766,$A$300:$A$766,$B686,$B$300:$B$766,"Totals")</f>
        <v>0</v>
      </c>
      <c r="T686" s="2315">
        <f>SUMIFS($M$300:$M$766,$A$300:$A$766,$B686,$B$300:$B$766,"Totals")</f>
        <v>0</v>
      </c>
      <c r="U686" s="2315">
        <f>SUMIFS($N$300:$N$766,$A$300:$A$766,$B686,$B$300:$B$766,"Totals")</f>
        <v>0</v>
      </c>
      <c r="V686" s="147">
        <f>R686+T686</f>
        <v>0</v>
      </c>
      <c r="W686" s="285">
        <f>S686+U686</f>
        <v>0</v>
      </c>
      <c r="Y686" s="36"/>
    </row>
    <row r="687" spans="1:25" ht="13.5" customHeight="1" x14ac:dyDescent="0.3">
      <c r="A687" t="str">
        <f>_xlfn.CONCAT("TL",B687)</f>
        <v>TLBarn and parlor</v>
      </c>
      <c r="B687" s="99" t="s">
        <v>5209</v>
      </c>
      <c r="C687" s="233">
        <f>SUMIFS($C:$C,$A:$A,_xlfn.CONCAT(B687,"_construction"))</f>
        <v>0</v>
      </c>
      <c r="D687" s="233">
        <f>SUMIFS($C:$C,$A:$A,_xlfn.CONCAT(B687,"_equipment"))</f>
        <v>0</v>
      </c>
      <c r="E687" s="274">
        <f>SUM(C687:D687)</f>
        <v>0</v>
      </c>
      <c r="F687" s="233">
        <f>SUMIFS($D:$D,$A:$A,$B687,$B:$B,"Total capital recovery value")</f>
        <v>0</v>
      </c>
      <c r="G687" s="233">
        <f>SUMIFS($C:$C,$A:$A,$B687,$B:$B,"Annual operational costs")</f>
        <v>57.602041861056726</v>
      </c>
      <c r="H687" s="153">
        <f>SUM(F687:G687)</f>
        <v>57.602041861056726</v>
      </c>
      <c r="I687" s="233">
        <f>SUMIFS($C:$C,$A:$A,$B687,$B:$B,"Annual cost savings")</f>
        <v>0</v>
      </c>
      <c r="J687" s="233">
        <f>SUMIFS($C:$C,$A:$A,$B687,$B:$B,"Annual fertilizer value for on-farm use")</f>
        <v>0</v>
      </c>
      <c r="K687" s="233">
        <f>SUMIFS($C:$C,$A:$A,$B687,$B:$B,"Annual revenues")</f>
        <v>0</v>
      </c>
      <c r="L687" s="233">
        <f>SUMIFS($C:$C,$A:$A,$B687,$B:$B,"Annual cost to export excess")</f>
        <v>0</v>
      </c>
      <c r="M687" s="283">
        <f>K687-F687-G687</f>
        <v>-57.602041861056726</v>
      </c>
      <c r="N687">
        <f>SUMIFS($F:$F,$A:$A,$B687,$B:$B,"Totals")</f>
        <v>0</v>
      </c>
      <c r="O687">
        <f>SUMIFS($G:$G,$A:$A,$B687,$B:$B,"Totals")</f>
        <v>0</v>
      </c>
      <c r="P687" s="147">
        <f>SUMIFS($H:$H,$A:$A,$B687,$B:$B,"Totals")</f>
        <v>0</v>
      </c>
      <c r="Q687" s="147">
        <f>SUMIFS($I:$I,$A:$A,$B687,$B:$B,"Totals")</f>
        <v>0</v>
      </c>
      <c r="R687" s="284">
        <f>SUMIFS($K:$K,$A:$A,$B687,$B:$B,"Totals")</f>
        <v>0</v>
      </c>
      <c r="S687" s="284">
        <f>SUMIFS($L:$L,$A:$A,$B687,$B:$B,"Totals")</f>
        <v>0</v>
      </c>
      <c r="T687" s="284">
        <f>SUMIFS($M:$M,$A:$A,$B687,$B:$B,"Totals")</f>
        <v>0</v>
      </c>
      <c r="U687" s="284">
        <f>SUMIFS($N:$N,$A:$A,$B687,$B:$B,"Totals")</f>
        <v>0</v>
      </c>
      <c r="V687" s="147">
        <f t="shared" ref="V687:W689" si="44">R687+T687</f>
        <v>0</v>
      </c>
      <c r="W687" s="285">
        <f t="shared" si="44"/>
        <v>0</v>
      </c>
    </row>
    <row r="688" spans="1:25" ht="13.5" customHeight="1" x14ac:dyDescent="0.3">
      <c r="A688" t="str">
        <f t="shared" ref="A688:A690" si="45">_xlfn.CONCAT("TL",B688)</f>
        <v>TLLagoon</v>
      </c>
      <c r="B688" s="99" t="s">
        <v>5210</v>
      </c>
      <c r="C688" s="233">
        <f>SUMIFS($C:$C,$A:$A,_xlfn.CONCAT(B688,"_construction"))</f>
        <v>167081.47032168071</v>
      </c>
      <c r="D688" s="233">
        <f>SUMIFS($C:$C,$A:$A,_xlfn.CONCAT(B688,"_equipment"))</f>
        <v>0</v>
      </c>
      <c r="E688" s="274">
        <f t="shared" ref="E688:E689" si="46">SUM(C688:D688)</f>
        <v>167081.47032168071</v>
      </c>
      <c r="F688" s="233">
        <f>SUMIFS($D:$D,$A:$A,$B688,$B:$B,"Total capital recovery value")</f>
        <v>13520.962552369338</v>
      </c>
      <c r="G688" s="233">
        <f>SUMIFS($C:$C,$A:$A,$B688,$B:$B,"Annual operational costs")</f>
        <v>2506.2220548252108</v>
      </c>
      <c r="H688" s="153">
        <f t="shared" ref="H688:H689" si="47">SUM(F688:G688)</f>
        <v>16027.184607194547</v>
      </c>
      <c r="I688" s="233">
        <f>SUMIFS($C:$C,$A:$A,$B688,$B:$B,"Annual cost savings")</f>
        <v>0</v>
      </c>
      <c r="J688" s="233">
        <f>SUMIFS($C:$C,$A:$A,$B688,$B:$B,"Annual fertilizer value for on-farm use")</f>
        <v>0</v>
      </c>
      <c r="K688" s="233">
        <f>SUMIFS($C:$C,$A:$A,$B688,$B:$B,"Annual revenues")</f>
        <v>0</v>
      </c>
      <c r="L688" s="233">
        <f>SUMIFS($C:$C,$A:$A,$B688,$B:$B,"Annual cost to export excess")</f>
        <v>0</v>
      </c>
      <c r="M688" s="283">
        <f t="shared" ref="M688:M689" si="48">K688-F688-G688</f>
        <v>-16027.184607194547</v>
      </c>
      <c r="N688">
        <f>SUMIFS($F:$F,$A:$A,$B688,$B:$B,"Totals")</f>
        <v>0</v>
      </c>
      <c r="O688">
        <f>SUMIFS($G:$G,$A:$A,$B688,$B:$B,"Totals")</f>
        <v>0</v>
      </c>
      <c r="P688" s="147">
        <f>SUMIFS($H:$H,$A:$A,$B688,$B:$B,"Totals")</f>
        <v>0</v>
      </c>
      <c r="Q688" s="147">
        <f>SUMIFS($I:$I,$A:$A,$B688,$B:$B,"Totals")</f>
        <v>0</v>
      </c>
      <c r="R688" s="284">
        <f>SUMIFS($K:$K,$A:$A,$B688,$B:$B,"Totals")</f>
        <v>0</v>
      </c>
      <c r="S688" s="284">
        <f>SUMIFS($L:$L,$A:$A,$B688,$B:$B,"Totals")</f>
        <v>0</v>
      </c>
      <c r="T688" s="284">
        <f>SUMIFS($M:$M,$A:$A,$B688,$B:$B,"Totals")</f>
        <v>0</v>
      </c>
      <c r="U688" s="284">
        <f>SUMIFS($N:$N,$A:$A,$B688,$B:$B,"Totals")</f>
        <v>0</v>
      </c>
      <c r="V688" s="147">
        <f t="shared" si="44"/>
        <v>0</v>
      </c>
      <c r="W688" s="285">
        <f t="shared" si="44"/>
        <v>0</v>
      </c>
    </row>
    <row r="689" spans="1:23" ht="13.5" customHeight="1" x14ac:dyDescent="0.3">
      <c r="A689" t="str">
        <f t="shared" si="45"/>
        <v>TLEnd use tanker</v>
      </c>
      <c r="B689" s="99" t="s">
        <v>5202</v>
      </c>
      <c r="C689" s="233">
        <f>SUMIFS($C:$C,$A:$A,_xlfn.CONCAT(B689,"_construction"))</f>
        <v>0</v>
      </c>
      <c r="D689" s="233">
        <f>SUMIFS($C:$C,$A:$A,_xlfn.CONCAT(B689,"_equipment"))</f>
        <v>1289100</v>
      </c>
      <c r="E689" s="274">
        <f t="shared" si="46"/>
        <v>1289100</v>
      </c>
      <c r="F689" s="233">
        <f>SUMIFS($D:$D,$A:$A,$B689,$B:$B,"Total capital recovery value")</f>
        <v>36258.026121805407</v>
      </c>
      <c r="G689" s="233">
        <f>SUMIFS($C:$C,$A:$A,$B689,$B:$B,"Annual operational costs")</f>
        <v>14279.388944674361</v>
      </c>
      <c r="H689" s="153">
        <f t="shared" si="47"/>
        <v>50537.415066479771</v>
      </c>
      <c r="I689" s="233">
        <f>SUMIFS($C:$C,$A:$A,$B689,$B:$B,"Annual cost savings")</f>
        <v>0</v>
      </c>
      <c r="J689" s="233">
        <f>SUMIFS($C:$C,$A:$A,$B689,$B:$B,"Annual fertilizer value for on-farm use")</f>
        <v>6582.5858243817474</v>
      </c>
      <c r="K689" s="233">
        <f>SUMIFS($C:$C,$A:$A,$B689,$B:$B,"Annual revenues")</f>
        <v>0</v>
      </c>
      <c r="L689" s="233">
        <f>SUMIFS($C:$C,$A:$A,$B689,$B:$B,"Annual cost to export excess")</f>
        <v>0</v>
      </c>
      <c r="M689" s="283">
        <f t="shared" si="48"/>
        <v>-50537.415066479771</v>
      </c>
      <c r="N689">
        <f>SUMIFS($F:$F,$A:$A,$B689,$B:$B,"Totals")</f>
        <v>946.46267270594763</v>
      </c>
      <c r="O689">
        <f>SUMIFS($G:$G,$A:$A,$B689,$B:$B,"Totals")</f>
        <v>64.919452158688784</v>
      </c>
      <c r="P689" s="147">
        <f>SUMIFS($H:$H,$A:$A,$B689,$B:$B,"Totals")</f>
        <v>173.68792485077398</v>
      </c>
      <c r="Q689" s="147">
        <f>SUMIFS($I:$I,$A:$A,$B689,$B:$B,"Totals")</f>
        <v>642.03577564555712</v>
      </c>
      <c r="R689" s="284">
        <f>SUMIFS($K:$K,$A:$A,$B689,$B:$B,"Totals")</f>
        <v>27.697383596829393</v>
      </c>
      <c r="S689" s="284">
        <f>SUMIFS($L:$L,$A:$A,$B689,$B:$B,"Totals")</f>
        <v>655.32009590098335</v>
      </c>
      <c r="T689" s="284">
        <f>SUMIFS($M:$M,$A:$A,$B689,$B:$B,"Totals")</f>
        <v>0</v>
      </c>
      <c r="U689" s="284">
        <f>SUMIFS($N:$N,$A:$A,$B689,$B:$B,"Totals")</f>
        <v>0</v>
      </c>
      <c r="V689" s="147">
        <f t="shared" si="44"/>
        <v>27.697383596829393</v>
      </c>
      <c r="W689" s="285">
        <f t="shared" si="44"/>
        <v>655.32009590098335</v>
      </c>
    </row>
    <row r="690" spans="1:23" ht="13.5" customHeight="1" x14ac:dyDescent="0.3">
      <c r="A690" t="str">
        <f t="shared" si="45"/>
        <v>TLTotals</v>
      </c>
      <c r="B690" s="162" t="s">
        <v>5203</v>
      </c>
      <c r="C690" s="242">
        <f t="shared" ref="C690:W690" si="49">SUM(C686:C689)</f>
        <v>174939.91260873486</v>
      </c>
      <c r="D690" s="242">
        <f t="shared" si="49"/>
        <v>1289100</v>
      </c>
      <c r="E690" s="367">
        <f t="shared" si="49"/>
        <v>1464039.9126087348</v>
      </c>
      <c r="F690" s="242">
        <f t="shared" si="49"/>
        <v>50414.928157342118</v>
      </c>
      <c r="G690" s="242">
        <f t="shared" si="49"/>
        <v>16961.089675666441</v>
      </c>
      <c r="H690" s="242">
        <f t="shared" si="49"/>
        <v>67376.017833008562</v>
      </c>
      <c r="I690" s="242">
        <f t="shared" si="49"/>
        <v>0</v>
      </c>
      <c r="J690" s="242">
        <f t="shared" si="49"/>
        <v>6582.5858243817474</v>
      </c>
      <c r="K690" s="242">
        <f t="shared" si="49"/>
        <v>0</v>
      </c>
      <c r="L690" s="242">
        <f t="shared" si="49"/>
        <v>0</v>
      </c>
      <c r="M690" s="367">
        <f t="shared" si="49"/>
        <v>-67376.017833008562</v>
      </c>
      <c r="N690" s="286">
        <f t="shared" si="49"/>
        <v>946.46267270594763</v>
      </c>
      <c r="O690" s="286">
        <f t="shared" si="49"/>
        <v>64.919452158688784</v>
      </c>
      <c r="P690" s="286">
        <f t="shared" si="49"/>
        <v>173.68792485077398</v>
      </c>
      <c r="Q690" s="286">
        <f t="shared" si="49"/>
        <v>642.03577564555712</v>
      </c>
      <c r="R690" s="286">
        <f t="shared" si="49"/>
        <v>27.697383596829393</v>
      </c>
      <c r="S690" s="286">
        <f t="shared" si="49"/>
        <v>655.32009590098335</v>
      </c>
      <c r="T690" s="286">
        <f t="shared" si="49"/>
        <v>0</v>
      </c>
      <c r="U690" s="286">
        <f t="shared" si="49"/>
        <v>0</v>
      </c>
      <c r="V690" s="541">
        <f t="shared" si="49"/>
        <v>27.697383596829393</v>
      </c>
      <c r="W690" s="541">
        <f t="shared" si="49"/>
        <v>655.32009590098335</v>
      </c>
    </row>
    <row r="691" spans="1:23" x14ac:dyDescent="0.3">
      <c r="A691" s="82"/>
      <c r="B691" s="287" t="s">
        <v>7069</v>
      </c>
      <c r="C691" s="150"/>
      <c r="D691" s="150"/>
      <c r="E691" s="288"/>
      <c r="F691" s="150"/>
      <c r="G691" s="150"/>
      <c r="H691" s="150"/>
      <c r="I691" s="150"/>
      <c r="J691" s="150"/>
      <c r="K691" s="150"/>
      <c r="L691" s="150"/>
      <c r="M691" s="289"/>
      <c r="N691" s="150"/>
      <c r="O691" s="150"/>
      <c r="P691" s="150"/>
      <c r="Q691" s="150"/>
      <c r="R691" s="290"/>
      <c r="S691" s="291"/>
      <c r="T691" s="150"/>
      <c r="U691" s="150"/>
      <c r="V691" s="150"/>
      <c r="W691" s="151"/>
    </row>
    <row r="692" spans="1:23" x14ac:dyDescent="0.3">
      <c r="D692"/>
      <c r="E692" s="288"/>
      <c r="F692"/>
      <c r="G692"/>
      <c r="H692"/>
      <c r="K692"/>
      <c r="L692"/>
      <c r="P692"/>
      <c r="U692"/>
      <c r="W692"/>
    </row>
    <row r="693" spans="1:23" x14ac:dyDescent="0.3">
      <c r="B693" s="139" t="s">
        <v>7050</v>
      </c>
      <c r="C693" s="142"/>
      <c r="D693" s="142"/>
      <c r="F693" s="267"/>
      <c r="G693" s="267"/>
      <c r="H693" s="268"/>
      <c r="I693" s="269"/>
      <c r="J693" s="270"/>
      <c r="K693" s="142"/>
      <c r="L693" s="269"/>
      <c r="M693" s="142"/>
      <c r="N693" s="142"/>
      <c r="O693" s="142"/>
      <c r="P693" s="142"/>
      <c r="Q693" s="142"/>
      <c r="R693" s="142"/>
      <c r="S693" s="142"/>
      <c r="T693" s="271"/>
      <c r="U693" s="142"/>
      <c r="V693" s="142"/>
      <c r="W693" s="272"/>
    </row>
    <row r="694" spans="1:23" x14ac:dyDescent="0.3">
      <c r="B694" s="92" t="s">
        <v>7070</v>
      </c>
      <c r="D694"/>
      <c r="F694" s="66"/>
      <c r="G694" s="66"/>
      <c r="H694" s="19"/>
      <c r="I694" s="42"/>
      <c r="J694" s="3"/>
      <c r="K694"/>
      <c r="P694"/>
      <c r="T694" s="20"/>
      <c r="U694"/>
      <c r="W694" s="113"/>
    </row>
    <row r="695" spans="1:23" x14ac:dyDescent="0.3">
      <c r="B695" s="99"/>
      <c r="F695" s="66"/>
      <c r="G695" s="19"/>
      <c r="H695" s="19"/>
      <c r="I695" s="42"/>
      <c r="J695" s="3"/>
      <c r="K695"/>
      <c r="P695"/>
      <c r="T695" s="20"/>
      <c r="U695"/>
      <c r="W695" s="113"/>
    </row>
    <row r="696" spans="1:23" x14ac:dyDescent="0.3">
      <c r="B696" s="92" t="s">
        <v>7052</v>
      </c>
      <c r="C696" s="82" t="s">
        <v>565</v>
      </c>
      <c r="D696" s="82" t="s">
        <v>38</v>
      </c>
      <c r="F696"/>
      <c r="G696"/>
      <c r="H696" s="19"/>
      <c r="I696" s="42"/>
      <c r="J696" s="3"/>
      <c r="K696"/>
      <c r="P696"/>
      <c r="T696" s="20"/>
      <c r="U696"/>
      <c r="W696" s="113"/>
    </row>
    <row r="697" spans="1:23" x14ac:dyDescent="0.3">
      <c r="B697" s="99" t="s">
        <v>5859</v>
      </c>
      <c r="C697">
        <f>UDV.animal.total</f>
        <v>500</v>
      </c>
      <c r="D697" t="s">
        <v>2442</v>
      </c>
      <c r="F697"/>
      <c r="G697"/>
      <c r="H697" s="19"/>
      <c r="I697" s="42"/>
      <c r="J697" s="3"/>
      <c r="K697"/>
      <c r="P697"/>
      <c r="T697" s="20"/>
      <c r="U697"/>
      <c r="W697" s="113"/>
    </row>
    <row r="698" spans="1:23" x14ac:dyDescent="0.3">
      <c r="A698" s="292"/>
      <c r="B698" s="174" t="s">
        <v>5386</v>
      </c>
      <c r="C698">
        <f>UDV.crops.acres_available</f>
        <v>100</v>
      </c>
      <c r="D698" t="s">
        <v>7029</v>
      </c>
      <c r="F698"/>
      <c r="G698"/>
      <c r="H698" s="19"/>
      <c r="I698" s="42"/>
      <c r="J698" s="3"/>
      <c r="K698"/>
      <c r="P698"/>
      <c r="T698" s="20"/>
      <c r="U698"/>
      <c r="W698" s="113"/>
    </row>
    <row r="699" spans="1:23" x14ac:dyDescent="0.3">
      <c r="B699" s="99" t="s">
        <v>5114</v>
      </c>
      <c r="C699" t="str">
        <f>UDV.u.state</f>
        <v>Iowa</v>
      </c>
      <c r="D699" t="s">
        <v>2852</v>
      </c>
      <c r="F699"/>
      <c r="G699"/>
      <c r="H699" s="19"/>
      <c r="I699" s="42"/>
      <c r="J699" s="3"/>
      <c r="K699"/>
      <c r="P699"/>
      <c r="T699" s="20"/>
      <c r="U699"/>
      <c r="W699" s="113"/>
    </row>
    <row r="700" spans="1:23" ht="13.5" customHeight="1" x14ac:dyDescent="0.3">
      <c r="B700" s="99"/>
      <c r="C700" s="166"/>
      <c r="D700"/>
      <c r="F700"/>
      <c r="G700"/>
      <c r="H700" s="19"/>
      <c r="I700" s="42"/>
      <c r="J700" s="3"/>
      <c r="K700"/>
      <c r="P700"/>
      <c r="T700" s="20"/>
      <c r="U700"/>
      <c r="W700" s="113"/>
    </row>
    <row r="701" spans="1:23" x14ac:dyDescent="0.3">
      <c r="B701" s="99"/>
      <c r="F701" s="66"/>
      <c r="G701"/>
      <c r="H701" s="19"/>
      <c r="I701" s="42"/>
      <c r="J701" s="3"/>
      <c r="K701"/>
      <c r="P701"/>
      <c r="T701" s="20"/>
      <c r="U701"/>
      <c r="W701" s="113"/>
    </row>
    <row r="702" spans="1:23" x14ac:dyDescent="0.3">
      <c r="A702" t="s">
        <v>4917</v>
      </c>
      <c r="B702" s="92" t="s">
        <v>7053</v>
      </c>
      <c r="C702" s="82" t="s">
        <v>5181</v>
      </c>
      <c r="D702" s="82" t="s">
        <v>7140</v>
      </c>
      <c r="F702"/>
      <c r="G702"/>
      <c r="H702"/>
      <c r="I702" s="42"/>
      <c r="J702" s="3"/>
      <c r="K702"/>
      <c r="P702"/>
      <c r="T702" s="20"/>
      <c r="U702"/>
      <c r="W702" s="113"/>
    </row>
    <row r="703" spans="1:23" x14ac:dyDescent="0.3">
      <c r="A703" t="s">
        <v>4917</v>
      </c>
      <c r="B703" s="275" t="s">
        <v>2585</v>
      </c>
      <c r="C703" s="276">
        <f>F720</f>
        <v>104212.85999744823</v>
      </c>
      <c r="D703" s="153">
        <f>C703/C697</f>
        <v>208.42571999489647</v>
      </c>
      <c r="F703"/>
      <c r="G703"/>
      <c r="H703"/>
      <c r="K703"/>
      <c r="L703"/>
      <c r="P703"/>
      <c r="T703" s="20"/>
      <c r="U703"/>
      <c r="W703" s="113"/>
    </row>
    <row r="704" spans="1:23" x14ac:dyDescent="0.3">
      <c r="A704" t="s">
        <v>4917</v>
      </c>
      <c r="B704" s="275" t="s">
        <v>2588</v>
      </c>
      <c r="C704" s="276">
        <f>G720+L720</f>
        <v>33851.954449390389</v>
      </c>
      <c r="D704" s="153">
        <f>C704/C697</f>
        <v>67.703908898780782</v>
      </c>
      <c r="F704"/>
      <c r="G704"/>
      <c r="H704"/>
      <c r="I704" s="42"/>
      <c r="J704" s="3"/>
      <c r="K704"/>
      <c r="P704"/>
      <c r="T704" s="20"/>
      <c r="U704"/>
      <c r="W704" s="113"/>
    </row>
    <row r="705" spans="1:25" x14ac:dyDescent="0.3">
      <c r="A705" t="s">
        <v>4917</v>
      </c>
      <c r="B705" s="275" t="s">
        <v>441</v>
      </c>
      <c r="C705" s="276">
        <f>I720</f>
        <v>0</v>
      </c>
      <c r="D705" s="153">
        <f>C705/C697</f>
        <v>0</v>
      </c>
      <c r="F705" s="66"/>
      <c r="G705" s="66"/>
      <c r="H705"/>
      <c r="I705" s="42"/>
      <c r="J705" s="3"/>
      <c r="K705"/>
      <c r="P705"/>
      <c r="T705" s="20"/>
      <c r="U705"/>
      <c r="W705" s="113"/>
    </row>
    <row r="706" spans="1:25" x14ac:dyDescent="0.3">
      <c r="A706" t="s">
        <v>4917</v>
      </c>
      <c r="B706" s="275" t="s">
        <v>440</v>
      </c>
      <c r="C706" s="276">
        <f>J720</f>
        <v>6582.5858243817474</v>
      </c>
      <c r="D706" s="153">
        <f>C706/C697</f>
        <v>13.165171648763495</v>
      </c>
      <c r="F706" s="66"/>
      <c r="G706" s="66"/>
      <c r="H706"/>
      <c r="I706" s="42"/>
      <c r="J706" s="3"/>
      <c r="K706"/>
      <c r="P706"/>
      <c r="T706" s="20"/>
      <c r="U706"/>
      <c r="W706" s="113"/>
    </row>
    <row r="707" spans="1:25" x14ac:dyDescent="0.3">
      <c r="A707" t="s">
        <v>4917</v>
      </c>
      <c r="B707" s="275" t="s">
        <v>442</v>
      </c>
      <c r="C707" s="276">
        <f>K720</f>
        <v>0</v>
      </c>
      <c r="D707" s="153">
        <f>C707/C697</f>
        <v>0</v>
      </c>
      <c r="F707" s="66"/>
      <c r="G707" s="66"/>
      <c r="H707"/>
      <c r="I707" s="42"/>
      <c r="J707" s="3"/>
      <c r="K707"/>
      <c r="P707" s="277"/>
      <c r="T707" s="20"/>
      <c r="U707"/>
      <c r="W707" s="113"/>
    </row>
    <row r="708" spans="1:25" x14ac:dyDescent="0.3">
      <c r="A708" t="s">
        <v>4917</v>
      </c>
      <c r="B708" s="2270" t="s">
        <v>439</v>
      </c>
      <c r="C708" s="2271">
        <f>M720</f>
        <v>-138064.81444683863</v>
      </c>
      <c r="D708" s="159">
        <f>C708/C697</f>
        <v>-276.12962889367725</v>
      </c>
      <c r="E708" s="288"/>
      <c r="F708" s="66"/>
      <c r="G708" s="66"/>
      <c r="H708"/>
      <c r="I708" s="42"/>
      <c r="J708" s="3"/>
      <c r="K708"/>
      <c r="P708"/>
      <c r="T708" s="20"/>
      <c r="U708"/>
      <c r="W708" s="113"/>
    </row>
    <row r="709" spans="1:25" x14ac:dyDescent="0.3">
      <c r="A709" t="s">
        <v>4917</v>
      </c>
      <c r="B709" s="99" t="s">
        <v>7055</v>
      </c>
      <c r="C709" s="276">
        <f>L720</f>
        <v>0</v>
      </c>
      <c r="D709" s="153">
        <f>C709/C697</f>
        <v>0</v>
      </c>
      <c r="E709" s="279" t="s">
        <v>7056</v>
      </c>
      <c r="F709" s="66"/>
      <c r="G709" s="66"/>
      <c r="H709"/>
      <c r="I709" s="42"/>
      <c r="J709" s="3"/>
      <c r="K709"/>
      <c r="P709"/>
      <c r="T709" s="20"/>
      <c r="U709"/>
      <c r="W709" s="113"/>
    </row>
    <row r="710" spans="1:25" x14ac:dyDescent="0.3">
      <c r="A710" t="s">
        <v>4917</v>
      </c>
      <c r="B710" s="99" t="s">
        <v>7057</v>
      </c>
      <c r="C710" s="153">
        <f>C703+C704</f>
        <v>138064.81444683863</v>
      </c>
      <c r="D710" s="153">
        <f>C710/C697</f>
        <v>276.12962889367725</v>
      </c>
      <c r="F710" s="66"/>
      <c r="G710" s="66"/>
      <c r="H710"/>
      <c r="I710" s="42"/>
      <c r="J710" s="3"/>
      <c r="K710"/>
      <c r="P710"/>
      <c r="T710" s="20"/>
      <c r="U710"/>
      <c r="W710" s="113"/>
    </row>
    <row r="711" spans="1:25" ht="13.5" customHeight="1" x14ac:dyDescent="0.3">
      <c r="A711" t="s">
        <v>4917</v>
      </c>
      <c r="B711" s="853" t="s">
        <v>5392</v>
      </c>
      <c r="C711" s="142"/>
      <c r="D711" s="854">
        <f>E720</f>
        <v>2232779.9126087348</v>
      </c>
      <c r="E711" s="271" t="s">
        <v>2284</v>
      </c>
      <c r="F711"/>
      <c r="G711" s="66"/>
      <c r="H711"/>
      <c r="I711" s="42"/>
      <c r="J711" s="3"/>
      <c r="K711"/>
      <c r="P711"/>
      <c r="T711" s="20"/>
      <c r="U711"/>
      <c r="W711" s="113"/>
    </row>
    <row r="712" spans="1:25" ht="13.5" customHeight="1" x14ac:dyDescent="0.3">
      <c r="A712" t="s">
        <v>4917</v>
      </c>
      <c r="B712" s="852" t="s">
        <v>5393</v>
      </c>
      <c r="D712" s="274">
        <f>E720/C697</f>
        <v>4465.5598252174696</v>
      </c>
      <c r="E712" s="20" t="s">
        <v>7058</v>
      </c>
      <c r="F712"/>
      <c r="G712" s="66"/>
      <c r="H712"/>
      <c r="I712" s="42"/>
      <c r="J712" s="3"/>
      <c r="K712"/>
      <c r="P712"/>
      <c r="T712" s="20"/>
      <c r="U712"/>
      <c r="W712" s="113"/>
    </row>
    <row r="713" spans="1:25" x14ac:dyDescent="0.3">
      <c r="B713" s="99"/>
      <c r="D713"/>
      <c r="F713"/>
      <c r="G713"/>
      <c r="H713" s="42"/>
      <c r="I713" s="3"/>
      <c r="L713"/>
      <c r="N713" s="273" t="s">
        <v>7059</v>
      </c>
      <c r="O713" s="90"/>
      <c r="P713" s="90"/>
      <c r="Q713" s="90"/>
      <c r="R713" s="90"/>
      <c r="S713" s="279"/>
      <c r="T713" s="90"/>
      <c r="U713" s="90"/>
      <c r="V713" s="42"/>
      <c r="W713" s="146"/>
    </row>
    <row r="714" spans="1:25" x14ac:dyDescent="0.3">
      <c r="B714" s="92" t="s">
        <v>7060</v>
      </c>
      <c r="D714"/>
      <c r="F714"/>
      <c r="G714"/>
      <c r="H714"/>
      <c r="K714"/>
      <c r="L714"/>
      <c r="M714" s="113"/>
      <c r="N714" s="90" t="s">
        <v>5323</v>
      </c>
      <c r="O714" s="90" t="s">
        <v>5181</v>
      </c>
      <c r="P714" s="90" t="s">
        <v>5324</v>
      </c>
      <c r="Q714" s="90" t="s">
        <v>5181</v>
      </c>
      <c r="R714" s="90" t="s">
        <v>2710</v>
      </c>
      <c r="S714" s="90" t="s">
        <v>5181</v>
      </c>
      <c r="T714" s="90" t="s">
        <v>2710</v>
      </c>
      <c r="U714" s="90" t="s">
        <v>5181</v>
      </c>
      <c r="V714" s="90" t="s">
        <v>2710</v>
      </c>
      <c r="W714" s="280" t="s">
        <v>5181</v>
      </c>
    </row>
    <row r="715" spans="1:25" ht="72" x14ac:dyDescent="0.3">
      <c r="B715" s="92" t="s">
        <v>5187</v>
      </c>
      <c r="C715" s="82" t="s">
        <v>7061</v>
      </c>
      <c r="D715" s="82" t="s">
        <v>7062</v>
      </c>
      <c r="E715" s="277" t="s">
        <v>7063</v>
      </c>
      <c r="F715" s="82" t="s">
        <v>7064</v>
      </c>
      <c r="G715" s="277" t="s">
        <v>2588</v>
      </c>
      <c r="H715" s="82" t="s">
        <v>5188</v>
      </c>
      <c r="I715" s="82" t="s">
        <v>5189</v>
      </c>
      <c r="J715" s="82" t="s">
        <v>5190</v>
      </c>
      <c r="K715" s="82" t="s">
        <v>442</v>
      </c>
      <c r="L715" s="82" t="s">
        <v>5191</v>
      </c>
      <c r="M715" s="173" t="s">
        <v>439</v>
      </c>
      <c r="N715" s="281" t="s">
        <v>5192</v>
      </c>
      <c r="O715" s="281" t="s">
        <v>5193</v>
      </c>
      <c r="P715" s="281" t="s">
        <v>5194</v>
      </c>
      <c r="Q715" s="281" t="s">
        <v>5195</v>
      </c>
      <c r="R715" s="281" t="s">
        <v>5196</v>
      </c>
      <c r="S715" s="281" t="s">
        <v>5197</v>
      </c>
      <c r="T715" s="281" t="s">
        <v>5198</v>
      </c>
      <c r="U715" s="281" t="s">
        <v>5199</v>
      </c>
      <c r="V715" s="281" t="s">
        <v>5200</v>
      </c>
      <c r="W715" s="282" t="s">
        <v>5201</v>
      </c>
    </row>
    <row r="716" spans="1:25" x14ac:dyDescent="0.3">
      <c r="A716" t="s">
        <v>7071</v>
      </c>
      <c r="B716" s="99" t="s">
        <v>6945</v>
      </c>
      <c r="C716" s="158">
        <f>SUMIFS($C$300:$C$765,$A$300:$A$765,_xlfn.CONCAT(B716,"_construction"))</f>
        <v>7858.4422870541339</v>
      </c>
      <c r="D716" s="158">
        <f>SUMIFS($C$300:$C$765,$A$300:$A$765,_xlfn.CONCAT(B716,"_equipment"))</f>
        <v>0</v>
      </c>
      <c r="E716" s="274">
        <f>SUM(C716:D716)</f>
        <v>7858.4422870541339</v>
      </c>
      <c r="F716" s="158">
        <f>SUMIFS($D$300:$D$765,$A$300:$A$765,$B716,$B$300:$B$765,"Total capital recovery value")</f>
        <v>635.93948316737419</v>
      </c>
      <c r="G716" s="158">
        <f>SUMIFS($C$300:$C$765,$A$300:$A$765,$B716,$B$300:$B$765,"Annual operational costs")</f>
        <v>117.876634305812</v>
      </c>
      <c r="H716" s="153">
        <f>SUM(F716:G716)</f>
        <v>753.81611747318618</v>
      </c>
      <c r="I716" s="158">
        <f>SUMIFS($C$300:$C$765,$A$300:$A$765,$B716,$B$300:$B$765,"Annual cost savings")</f>
        <v>0</v>
      </c>
      <c r="J716" s="158">
        <f>SUMIFS($C$300:$C$765,$A$300:$A$765,$B716,$B$300:$B$765,"Annual fertilizer value for on-farm use")</f>
        <v>0</v>
      </c>
      <c r="K716" s="158">
        <f>SUMIFS($C$300:$C$765,$A$300:$A$765,$B716,$B$300:$B$765,"Annual revenues")</f>
        <v>0</v>
      </c>
      <c r="L716" s="158">
        <f>SUMIFS($C$300:$C$765,$A$300:$A$765,$B716,$B$300:$B$765,"Annual cost to export excess")</f>
        <v>0</v>
      </c>
      <c r="M716" s="283">
        <f>K716-F716-G716</f>
        <v>-753.81611747318618</v>
      </c>
      <c r="N716">
        <f>SUMIFS($F$300:$F$765,$A$300:$A$765,$B716,$B$300:$B$765,"Totals")</f>
        <v>0</v>
      </c>
      <c r="O716">
        <f>SUMIFS($G$300:$G$765,$A$300:$A$765,$B716,$B$300:$B$765,"Totals")</f>
        <v>0</v>
      </c>
      <c r="P716" s="147">
        <f>SUMIFS($H$300:$H$765,$A$300:$A$765,$B716,$B$300:$B$765,"Totals")</f>
        <v>0</v>
      </c>
      <c r="Q716" s="147">
        <f>SUMIFS($I$300:$I$765,$A$300:$A$765,$B716,$B$300:$B$765,"Totals")</f>
        <v>0</v>
      </c>
      <c r="R716" s="2315">
        <f>SUMIFS($K$300:$K$765,$A$300:$A$765,$B716,$B$300:$B$765,"Totals")</f>
        <v>0</v>
      </c>
      <c r="S716" s="2315">
        <f>SUMIFS($L$300:$L$765,$A$300:$A$765,$B716,$B$300:$B$765,"Totals")</f>
        <v>0</v>
      </c>
      <c r="T716" s="2315">
        <f>SUMIFS($M$300:$M$765,$A$300:$A$765,$B716,$B$300:$B$765,"Totals")</f>
        <v>0</v>
      </c>
      <c r="U716" s="2315">
        <f>SUMIFS($N$300:$N$765,$A$300:$A$765,$B716,$B$300:$B$765,"Totals")</f>
        <v>0</v>
      </c>
      <c r="V716" s="147">
        <f>R716+T716</f>
        <v>0</v>
      </c>
      <c r="W716" s="285">
        <f>S716+U716</f>
        <v>0</v>
      </c>
      <c r="Y716" s="36"/>
    </row>
    <row r="717" spans="1:25" ht="13.5" customHeight="1" x14ac:dyDescent="0.3">
      <c r="A717" t="str">
        <f>_xlfn.CONCAT("DHL",B717)</f>
        <v>DHLBarn and parlor</v>
      </c>
      <c r="B717" s="99" t="s">
        <v>5209</v>
      </c>
      <c r="C717" s="233">
        <f>SUMIFS($C:$C,$A:$A,_xlfn.CONCAT(B717,"_construction"))</f>
        <v>0</v>
      </c>
      <c r="D717" s="233">
        <f>SUMIFS($C:$C,$A:$A,_xlfn.CONCAT(B717,"_equipment"))</f>
        <v>0</v>
      </c>
      <c r="E717" s="274">
        <f>SUM(C717:D717)</f>
        <v>0</v>
      </c>
      <c r="F717" s="233">
        <f>SUMIFS($D:$D,$A:$A,$B717,$B:$B,"Total capital recovery value")</f>
        <v>0</v>
      </c>
      <c r="G717" s="233">
        <f>SUMIFS($C:$C,$A:$A,$B717,$B:$B,"Annual operational costs")</f>
        <v>57.602041861056726</v>
      </c>
      <c r="H717" s="153">
        <f>SUM(F717:G717)</f>
        <v>57.602041861056726</v>
      </c>
      <c r="I717" s="233">
        <f>SUMIFS($C:$C,$A:$A,$B717,$B:$B,"Annual cost savings")</f>
        <v>0</v>
      </c>
      <c r="J717" s="233">
        <f>SUMIFS($C:$C,$A:$A,$B717,$B:$B,"Annual fertilizer value for on-farm use")</f>
        <v>0</v>
      </c>
      <c r="K717" s="233">
        <f>SUMIFS($C:$C,$A:$A,$B717,$B:$B,"Annual revenues")</f>
        <v>0</v>
      </c>
      <c r="L717" s="233">
        <f>SUMIFS($C:$C,$A:$A,$B717,$B:$B,"Annual cost to export excess")</f>
        <v>0</v>
      </c>
      <c r="M717" s="283">
        <f>K717-F717-G717</f>
        <v>-57.602041861056726</v>
      </c>
      <c r="N717">
        <f>SUMIFS($F:$F,$A:$A,$B717,$B:$B,"Totals")</f>
        <v>0</v>
      </c>
      <c r="O717">
        <f>SUMIFS($G:$G,$A:$A,$B717,$B:$B,"Totals")</f>
        <v>0</v>
      </c>
      <c r="P717" s="147">
        <f>SUMIFS($H:$H,$A:$A,$B717,$B:$B,"Totals")</f>
        <v>0</v>
      </c>
      <c r="Q717" s="147">
        <f>SUMIFS($I:$I,$A:$A,$B717,$B:$B,"Totals")</f>
        <v>0</v>
      </c>
      <c r="R717" s="284">
        <f>SUMIFS($K:$K,$A:$A,$B717,$B:$B,"Totals")</f>
        <v>0</v>
      </c>
      <c r="S717" s="284">
        <f>SUMIFS($L:$L,$A:$A,$B717,$B:$B,"Totals")</f>
        <v>0</v>
      </c>
      <c r="T717" s="284">
        <f>SUMIFS($M:$M,$A:$A,$B717,$B:$B,"Totals")</f>
        <v>0</v>
      </c>
      <c r="U717" s="284">
        <f>SUMIFS($N:$N,$A:$A,$B717,$B:$B,"Totals")</f>
        <v>0</v>
      </c>
      <c r="V717" s="147">
        <f t="shared" ref="V717:W719" si="50">R717+T717</f>
        <v>0</v>
      </c>
      <c r="W717" s="285">
        <f t="shared" si="50"/>
        <v>0</v>
      </c>
    </row>
    <row r="718" spans="1:25" ht="13.5" customHeight="1" x14ac:dyDescent="0.3">
      <c r="A718" t="str">
        <f t="shared" ref="A718:A720" si="51">_xlfn.CONCAT("DHL",B718)</f>
        <v>DHLLagoon</v>
      </c>
      <c r="B718" s="99" t="s">
        <v>5210</v>
      </c>
      <c r="C718" s="233">
        <f>SUMIFS($C:$C,$A:$A,_xlfn.CONCAT(B718,"_construction"))</f>
        <v>167081.47032168071</v>
      </c>
      <c r="D718" s="233">
        <f>SUMIFS($C:$C,$A:$A,_xlfn.CONCAT(B718,"_equipment"))</f>
        <v>0</v>
      </c>
      <c r="E718" s="274">
        <f t="shared" ref="E718:E719" si="52">SUM(C718:D718)</f>
        <v>167081.47032168071</v>
      </c>
      <c r="F718" s="233">
        <f>SUMIFS($D:$D,$A:$A,$B718,$B:$B,"Total capital recovery value")</f>
        <v>13520.962552369338</v>
      </c>
      <c r="G718" s="233">
        <f>SUMIFS($C:$C,$A:$A,$B718,$B:$B,"Annual operational costs")</f>
        <v>2506.2220548252108</v>
      </c>
      <c r="H718" s="153">
        <f t="shared" ref="H718:H719" si="53">SUM(F718:G718)</f>
        <v>16027.184607194547</v>
      </c>
      <c r="I718" s="233">
        <f>SUMIFS($C:$C,$A:$A,$B718,$B:$B,"Annual cost savings")</f>
        <v>0</v>
      </c>
      <c r="J718" s="233">
        <f>SUMIFS($C:$C,$A:$A,$B718,$B:$B,"Annual fertilizer value for on-farm use")</f>
        <v>0</v>
      </c>
      <c r="K718" s="233">
        <f>SUMIFS($C:$C,$A:$A,$B718,$B:$B,"Annual revenues")</f>
        <v>0</v>
      </c>
      <c r="L718" s="233">
        <f>SUMIFS($C:$C,$A:$A,$B718,$B:$B,"Annual cost to export excess")</f>
        <v>0</v>
      </c>
      <c r="M718" s="283">
        <f t="shared" ref="M718:M719" si="54">K718-F718-G718</f>
        <v>-16027.184607194547</v>
      </c>
      <c r="N718">
        <f>SUMIFS($F:$F,$A:$A,$B718,$B:$B,"Totals")</f>
        <v>0</v>
      </c>
      <c r="O718">
        <f>SUMIFS($G:$G,$A:$A,$B718,$B:$B,"Totals")</f>
        <v>0</v>
      </c>
      <c r="P718" s="147">
        <f>SUMIFS($H:$H,$A:$A,$B718,$B:$B,"Totals")</f>
        <v>0</v>
      </c>
      <c r="Q718" s="147">
        <f>SUMIFS($I:$I,$A:$A,$B718,$B:$B,"Totals")</f>
        <v>0</v>
      </c>
      <c r="R718" s="284">
        <f>SUMIFS($K:$K,$A:$A,$B718,$B:$B,"Totals")</f>
        <v>0</v>
      </c>
      <c r="S718" s="284">
        <f>SUMIFS($L:$L,$A:$A,$B718,$B:$B,"Totals")</f>
        <v>0</v>
      </c>
      <c r="T718" s="284">
        <f>SUMIFS($M:$M,$A:$A,$B718,$B:$B,"Totals")</f>
        <v>0</v>
      </c>
      <c r="U718" s="284">
        <f>SUMIFS($N:$N,$A:$A,$B718,$B:$B,"Totals")</f>
        <v>0</v>
      </c>
      <c r="V718" s="147">
        <f t="shared" si="50"/>
        <v>0</v>
      </c>
      <c r="W718" s="285">
        <f t="shared" si="50"/>
        <v>0</v>
      </c>
    </row>
    <row r="719" spans="1:25" ht="13.5" customHeight="1" x14ac:dyDescent="0.3">
      <c r="A719" t="str">
        <f t="shared" si="51"/>
        <v>DHLEnd use drag hose</v>
      </c>
      <c r="B719" s="99" t="s">
        <v>5205</v>
      </c>
      <c r="C719" s="233">
        <f>SUMIFS($C:$C,$A:$A,_xlfn.CONCAT(B719,"_construction"))</f>
        <v>0</v>
      </c>
      <c r="D719" s="233">
        <f>SUMIFS($C:$C,$A:$A,_xlfn.CONCAT(B719,"_equipment"))</f>
        <v>2057840</v>
      </c>
      <c r="E719" s="274">
        <f t="shared" si="52"/>
        <v>2057840</v>
      </c>
      <c r="F719" s="233">
        <f>SUMIFS($D:$D,$A:$A,$B719,$B:$B,"Total capital recovery value")</f>
        <v>90055.957961911525</v>
      </c>
      <c r="G719" s="233">
        <f>SUMIFS($C:$C,$A:$A,$B719,$B:$B,"Annual operational costs")</f>
        <v>31170.253718398308</v>
      </c>
      <c r="H719" s="153">
        <f t="shared" si="53"/>
        <v>121226.21168030983</v>
      </c>
      <c r="I719" s="233">
        <f>SUMIFS($C:$C,$A:$A,$B719,$B:$B,"Annual cost savings")</f>
        <v>0</v>
      </c>
      <c r="J719" s="233">
        <f>SUMIFS($C:$C,$A:$A,$B719,$B:$B,"Annual fertilizer value for on-farm use")</f>
        <v>6582.5858243817474</v>
      </c>
      <c r="K719" s="233">
        <f>SUMIFS($C:$C,$A:$A,$B719,$B:$B,"Annual revenues")</f>
        <v>0</v>
      </c>
      <c r="L719" s="233">
        <f>SUMIFS($C:$C,$A:$A,$B719,$B:$B,"Annual cost to export excess")</f>
        <v>0</v>
      </c>
      <c r="M719" s="283">
        <f t="shared" si="54"/>
        <v>-121226.21168030983</v>
      </c>
      <c r="N719">
        <f>SUMIFS($F:$F,$A:$A,$B719,$B:$B,"Totals")</f>
        <v>946.46267270594763</v>
      </c>
      <c r="O719">
        <f>SUMIFS($G:$G,$A:$A,$B719,$B:$B,"Totals")</f>
        <v>64.919452158688784</v>
      </c>
      <c r="P719" s="147">
        <f>SUMIFS($H:$H,$A:$A,$B719,$B:$B,"Totals")</f>
        <v>66.221946471027607</v>
      </c>
      <c r="Q719" s="147">
        <f>SUMIFS($I:$I,$A:$A,$B719,$B:$B,"Totals")</f>
        <v>244.78880039480944</v>
      </c>
      <c r="R719" s="284">
        <f>SUMIFS($K:$K,$A:$A,$B719,$B:$B,"Totals")</f>
        <v>7.9155137936195086</v>
      </c>
      <c r="S719" s="284">
        <f>SUMIFS($L:$L,$A:$A,$B719,$B:$B,"Totals")</f>
        <v>187.28105635703753</v>
      </c>
      <c r="T719" s="284">
        <f>SUMIFS($M:$M,$A:$A,$B719,$B:$B,"Totals")</f>
        <v>0</v>
      </c>
      <c r="U719" s="284">
        <f>SUMIFS($N:$N,$A:$A,$B719,$B:$B,"Totals")</f>
        <v>0</v>
      </c>
      <c r="V719" s="147">
        <f t="shared" si="50"/>
        <v>7.9155137936195086</v>
      </c>
      <c r="W719" s="285">
        <f t="shared" si="50"/>
        <v>187.28105635703753</v>
      </c>
    </row>
    <row r="720" spans="1:25" ht="13.5" customHeight="1" x14ac:dyDescent="0.3">
      <c r="A720" t="str">
        <f t="shared" si="51"/>
        <v>DHLTotals</v>
      </c>
      <c r="B720" s="162" t="s">
        <v>5203</v>
      </c>
      <c r="C720" s="242">
        <f t="shared" ref="C720:W720" si="55">SUM(C716:C719)</f>
        <v>174939.91260873486</v>
      </c>
      <c r="D720" s="242">
        <f t="shared" si="55"/>
        <v>2057840</v>
      </c>
      <c r="E720" s="367">
        <f t="shared" si="55"/>
        <v>2232779.9126087348</v>
      </c>
      <c r="F720" s="242">
        <f t="shared" si="55"/>
        <v>104212.85999744823</v>
      </c>
      <c r="G720" s="242">
        <f t="shared" si="55"/>
        <v>33851.954449390389</v>
      </c>
      <c r="H720" s="242">
        <f t="shared" si="55"/>
        <v>138064.81444683863</v>
      </c>
      <c r="I720" s="242">
        <f t="shared" si="55"/>
        <v>0</v>
      </c>
      <c r="J720" s="242">
        <f t="shared" si="55"/>
        <v>6582.5858243817474</v>
      </c>
      <c r="K720" s="242">
        <f t="shared" si="55"/>
        <v>0</v>
      </c>
      <c r="L720" s="242">
        <f t="shared" si="55"/>
        <v>0</v>
      </c>
      <c r="M720" s="367">
        <f t="shared" si="55"/>
        <v>-138064.81444683863</v>
      </c>
      <c r="N720" s="286">
        <f t="shared" si="55"/>
        <v>946.46267270594763</v>
      </c>
      <c r="O720" s="286">
        <f t="shared" si="55"/>
        <v>64.919452158688784</v>
      </c>
      <c r="P720" s="286">
        <f t="shared" si="55"/>
        <v>66.221946471027607</v>
      </c>
      <c r="Q720" s="286">
        <f t="shared" si="55"/>
        <v>244.78880039480944</v>
      </c>
      <c r="R720" s="286">
        <f t="shared" si="55"/>
        <v>7.9155137936195086</v>
      </c>
      <c r="S720" s="286">
        <f t="shared" si="55"/>
        <v>187.28105635703753</v>
      </c>
      <c r="T720" s="286">
        <f t="shared" si="55"/>
        <v>0</v>
      </c>
      <c r="U720" s="286">
        <f t="shared" si="55"/>
        <v>0</v>
      </c>
      <c r="V720" s="541">
        <f t="shared" si="55"/>
        <v>7.9155137936195086</v>
      </c>
      <c r="W720" s="541">
        <f t="shared" si="55"/>
        <v>187.28105635703753</v>
      </c>
    </row>
    <row r="721" spans="1:23" x14ac:dyDescent="0.3">
      <c r="A721" s="82"/>
      <c r="B721" s="287" t="s">
        <v>7069</v>
      </c>
      <c r="C721" s="150"/>
      <c r="D721" s="150"/>
      <c r="E721" s="288"/>
      <c r="F721" s="150"/>
      <c r="G721" s="150"/>
      <c r="H721" s="150"/>
      <c r="I721" s="150"/>
      <c r="J721" s="150"/>
      <c r="K721" s="150"/>
      <c r="L721" s="150"/>
      <c r="M721" s="289"/>
      <c r="N721" s="150"/>
      <c r="O721" s="150"/>
      <c r="P721" s="150"/>
      <c r="Q721" s="150"/>
      <c r="R721" s="290"/>
      <c r="S721" s="291"/>
      <c r="T721" s="150"/>
      <c r="U721" s="150"/>
      <c r="V721" s="150"/>
      <c r="W721" s="151"/>
    </row>
    <row r="722" spans="1:23" ht="15" thickBot="1" x14ac:dyDescent="0.35">
      <c r="A722" s="137"/>
      <c r="B722" s="137"/>
      <c r="C722" s="137"/>
      <c r="D722" s="137"/>
      <c r="E722" s="137"/>
      <c r="F722" s="137"/>
      <c r="G722" s="137"/>
      <c r="H722" s="137"/>
      <c r="I722" s="137"/>
      <c r="J722" s="137"/>
      <c r="K722" s="137"/>
      <c r="L722" s="137"/>
      <c r="M722" s="137"/>
      <c r="N722" s="137"/>
      <c r="O722" s="137"/>
      <c r="P722" s="137"/>
      <c r="Q722" s="137"/>
      <c r="U722"/>
      <c r="W722"/>
    </row>
    <row r="723" spans="1:23" x14ac:dyDescent="0.3">
      <c r="D723"/>
      <c r="E723"/>
      <c r="F723"/>
      <c r="G723"/>
      <c r="H723"/>
      <c r="L723"/>
      <c r="P723"/>
      <c r="U723"/>
      <c r="W723"/>
    </row>
    <row r="724" spans="1:23" x14ac:dyDescent="0.3">
      <c r="D724"/>
      <c r="E724"/>
      <c r="F724"/>
      <c r="G724"/>
      <c r="H724"/>
      <c r="K724"/>
      <c r="L724"/>
      <c r="P724"/>
      <c r="U724"/>
      <c r="W724"/>
    </row>
    <row r="725" spans="1:23" x14ac:dyDescent="0.3">
      <c r="D725"/>
      <c r="E725"/>
      <c r="F725"/>
      <c r="G725"/>
      <c r="H725"/>
      <c r="K725"/>
      <c r="L725"/>
      <c r="P725"/>
      <c r="U725"/>
      <c r="W725"/>
    </row>
    <row r="726" spans="1:23" x14ac:dyDescent="0.3">
      <c r="D726"/>
      <c r="E726"/>
      <c r="F726"/>
      <c r="G726"/>
      <c r="H726"/>
      <c r="K726"/>
      <c r="L726"/>
      <c r="P726"/>
      <c r="U726"/>
      <c r="W726"/>
    </row>
    <row r="727" spans="1:23" x14ac:dyDescent="0.3">
      <c r="D727"/>
      <c r="E727"/>
      <c r="F727"/>
      <c r="G727"/>
      <c r="H727"/>
      <c r="K727"/>
      <c r="L727"/>
      <c r="P727"/>
      <c r="U727"/>
      <c r="W727"/>
    </row>
    <row r="728" spans="1:23" x14ac:dyDescent="0.3">
      <c r="D728"/>
      <c r="E728"/>
      <c r="F728"/>
      <c r="G728"/>
      <c r="H728"/>
      <c r="K728"/>
      <c r="L728"/>
      <c r="P728"/>
      <c r="U728"/>
      <c r="W728"/>
    </row>
    <row r="729" spans="1:23" x14ac:dyDescent="0.3">
      <c r="D729"/>
      <c r="E729"/>
      <c r="F729"/>
      <c r="G729"/>
      <c r="H729"/>
      <c r="K729"/>
      <c r="L729"/>
      <c r="P729"/>
      <c r="U729"/>
      <c r="W729"/>
    </row>
    <row r="730" spans="1:23" x14ac:dyDescent="0.3">
      <c r="D730"/>
      <c r="E730"/>
      <c r="F730"/>
      <c r="G730"/>
      <c r="H730"/>
      <c r="K730"/>
      <c r="L730"/>
      <c r="P730"/>
      <c r="U730"/>
      <c r="W730"/>
    </row>
    <row r="731" spans="1:23" x14ac:dyDescent="0.3">
      <c r="D731"/>
      <c r="E731"/>
      <c r="F731"/>
      <c r="G731"/>
      <c r="H731"/>
      <c r="K731"/>
      <c r="L731"/>
      <c r="P731"/>
      <c r="U731"/>
      <c r="W731"/>
    </row>
    <row r="732" spans="1:23" x14ac:dyDescent="0.3">
      <c r="D732"/>
      <c r="E732"/>
      <c r="F732"/>
      <c r="G732"/>
      <c r="H732"/>
      <c r="K732"/>
      <c r="L732"/>
      <c r="P732"/>
      <c r="U732"/>
      <c r="W732"/>
    </row>
    <row r="733" spans="1:23" x14ac:dyDescent="0.3">
      <c r="D733"/>
      <c r="E733"/>
      <c r="F733"/>
      <c r="G733"/>
      <c r="H733"/>
      <c r="K733"/>
      <c r="L733"/>
      <c r="P733"/>
      <c r="U733"/>
      <c r="W733"/>
    </row>
    <row r="734" spans="1:23" x14ac:dyDescent="0.3">
      <c r="D734"/>
      <c r="E734"/>
      <c r="F734"/>
      <c r="G734"/>
      <c r="H734"/>
      <c r="K734"/>
      <c r="L734"/>
      <c r="P734"/>
      <c r="U734"/>
      <c r="W734"/>
    </row>
    <row r="735" spans="1:23" x14ac:dyDescent="0.3">
      <c r="D735"/>
      <c r="E735"/>
      <c r="F735"/>
      <c r="G735"/>
      <c r="H735"/>
      <c r="K735"/>
      <c r="L735"/>
      <c r="P735"/>
      <c r="U735"/>
      <c r="W735"/>
    </row>
    <row r="736" spans="1:23" x14ac:dyDescent="0.3">
      <c r="D736"/>
      <c r="E736"/>
      <c r="F736"/>
      <c r="G736"/>
      <c r="H736"/>
      <c r="K736"/>
      <c r="L736"/>
      <c r="P736"/>
      <c r="U736"/>
      <c r="W736"/>
    </row>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sheetData>
  <mergeCells count="5">
    <mergeCell ref="C495:D495"/>
    <mergeCell ref="E495:F495"/>
    <mergeCell ref="C638:D638"/>
    <mergeCell ref="E638:F638"/>
    <mergeCell ref="D465:F465"/>
  </mergeCells>
  <pageMargins left="0.7" right="0.7" top="0.75" bottom="0.75" header="0.3" footer="0.3"/>
  <pageSetup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D5C6-D8DA-4CDC-B0B7-D0B6C2127B09}">
  <sheetPr codeName="Sheet29">
    <tabColor rgb="FF92D050"/>
  </sheetPr>
  <dimension ref="A1:AA855"/>
  <sheetViews>
    <sheetView topLeftCell="A569" workbookViewId="0"/>
  </sheetViews>
  <sheetFormatPr defaultColWidth="8.88671875" defaultRowHeight="14.4" x14ac:dyDescent="0.3"/>
  <cols>
    <col min="1" max="1" width="26.5546875" customWidth="1"/>
    <col min="2" max="2" width="43.6640625" customWidth="1"/>
    <col min="3" max="3" width="15.6640625" customWidth="1"/>
    <col min="4" max="4" width="21.88671875" style="66" customWidth="1"/>
    <col min="5" max="5" width="18" style="66" customWidth="1"/>
    <col min="6" max="6" width="19.6640625" style="19" customWidth="1"/>
    <col min="7" max="7" width="19.6640625" style="42" customWidth="1"/>
    <col min="8" max="8" width="19" style="3" customWidth="1"/>
    <col min="9" max="9" width="16.88671875" customWidth="1"/>
    <col min="10" max="10" width="16" customWidth="1"/>
    <col min="11" max="11" width="18.88671875" style="42" customWidth="1"/>
    <col min="12" max="12" width="15.5546875" style="42" bestFit="1" customWidth="1"/>
    <col min="13" max="13" width="15.44140625" customWidth="1"/>
    <col min="14" max="14" width="16.88671875" customWidth="1"/>
    <col min="15" max="15" width="14" customWidth="1"/>
    <col min="16" max="16" width="16.44140625" style="20" customWidth="1"/>
    <col min="17" max="17" width="40.6640625" customWidth="1"/>
    <col min="18" max="18" width="56.109375" customWidth="1"/>
    <col min="19" max="19" width="11.33203125" customWidth="1"/>
    <col min="20" max="20" width="10.33203125" customWidth="1"/>
    <col min="21" max="21" width="18" style="42" customWidth="1"/>
    <col min="22" max="22" width="6.109375" customWidth="1"/>
    <col min="23" max="23" width="29" style="36" customWidth="1"/>
    <col min="24" max="24" width="39.88671875" customWidth="1"/>
    <col min="25" max="25" width="7.44140625" customWidth="1"/>
    <col min="26" max="26" width="11" customWidth="1"/>
    <col min="27" max="27" width="14.5546875" bestFit="1" customWidth="1"/>
    <col min="28" max="28" width="20.5546875" bestFit="1" customWidth="1"/>
    <col min="29" max="33" width="9.44140625" bestFit="1" customWidth="1"/>
    <col min="34" max="34" width="14.44140625" bestFit="1" customWidth="1"/>
    <col min="35" max="35" width="20.5546875" bestFit="1" customWidth="1"/>
    <col min="36" max="36" width="15.5546875" bestFit="1" customWidth="1"/>
  </cols>
  <sheetData>
    <row r="1" spans="1:27" ht="18" x14ac:dyDescent="0.35">
      <c r="A1" s="522" t="s">
        <v>7169</v>
      </c>
      <c r="B1" s="1"/>
      <c r="C1" s="1"/>
      <c r="D1" s="5"/>
      <c r="E1" s="5"/>
      <c r="F1" s="4"/>
      <c r="G1" s="46"/>
      <c r="I1" s="2"/>
      <c r="J1" s="2"/>
      <c r="K1" s="3"/>
      <c r="L1" s="3"/>
      <c r="M1" s="2"/>
      <c r="N1" s="14"/>
      <c r="O1" s="2"/>
      <c r="P1" s="2"/>
      <c r="Q1" s="2"/>
      <c r="R1" s="14"/>
      <c r="S1" s="2"/>
      <c r="T1" s="2"/>
      <c r="U1" s="2"/>
      <c r="W1" s="42"/>
      <c r="Y1" s="36"/>
    </row>
    <row r="2" spans="1:27" x14ac:dyDescent="0.3">
      <c r="A2" s="38"/>
      <c r="B2" s="1660" t="s">
        <v>6921</v>
      </c>
      <c r="C2" s="1804"/>
      <c r="D2" s="1661"/>
      <c r="E2" s="1881"/>
      <c r="F2" s="1881"/>
      <c r="G2" s="1881"/>
      <c r="H2" s="1881"/>
      <c r="I2" s="1884"/>
      <c r="J2" s="1884"/>
      <c r="K2" s="1884"/>
      <c r="L2" s="1884"/>
      <c r="M2" s="1884"/>
      <c r="N2" s="1884"/>
      <c r="O2" s="1884"/>
      <c r="P2" s="1884"/>
      <c r="Q2" s="1667" t="s">
        <v>6923</v>
      </c>
      <c r="R2" s="1705"/>
      <c r="S2" s="1664"/>
      <c r="T2" s="1719"/>
      <c r="U2" s="1720"/>
      <c r="W2" s="1667" t="s">
        <v>7141</v>
      </c>
      <c r="X2" s="1705"/>
      <c r="Y2" s="1664"/>
      <c r="Z2" s="1719"/>
      <c r="AA2" s="1720"/>
    </row>
    <row r="3" spans="1:27" x14ac:dyDescent="0.3">
      <c r="A3" s="38"/>
      <c r="B3" s="1668" t="s">
        <v>6922</v>
      </c>
      <c r="C3" s="1670"/>
      <c r="D3" s="1670"/>
      <c r="E3" s="1881"/>
      <c r="F3" s="1881"/>
      <c r="G3" s="1886"/>
      <c r="H3" s="1881"/>
      <c r="I3" s="1881"/>
      <c r="J3" s="1881"/>
      <c r="K3" s="1881"/>
      <c r="L3" s="1881"/>
      <c r="M3" s="1881"/>
      <c r="N3" s="1881"/>
      <c r="O3" s="1881"/>
      <c r="P3" s="1881"/>
      <c r="Q3" s="49" t="s">
        <v>1901</v>
      </c>
      <c r="R3" s="49" t="s">
        <v>6925</v>
      </c>
      <c r="S3" s="49"/>
      <c r="T3" s="61">
        <f>C5*UDV.animal.total</f>
        <v>100.73851037621104</v>
      </c>
      <c r="U3" s="49" t="s">
        <v>2521</v>
      </c>
      <c r="W3" s="1802"/>
      <c r="X3" s="1785"/>
      <c r="Y3" s="1785"/>
      <c r="Z3" s="1823"/>
      <c r="AA3" s="1785"/>
    </row>
    <row r="4" spans="1:27" x14ac:dyDescent="0.3">
      <c r="A4" s="42"/>
      <c r="B4" s="1577" t="s">
        <v>6924</v>
      </c>
      <c r="C4" s="1879">
        <f>UDV.animal.manure*UC.year_to_day/UDV.animal.total/UDV.density.manure</f>
        <v>2.0526696680080483</v>
      </c>
      <c r="D4" s="1806" t="s">
        <v>5838</v>
      </c>
      <c r="E4" s="904"/>
      <c r="F4" s="904"/>
      <c r="G4" s="904"/>
      <c r="H4" s="904"/>
      <c r="I4" s="1881"/>
      <c r="J4" s="1881"/>
      <c r="K4" s="1881"/>
      <c r="L4" s="904"/>
      <c r="M4" s="1881"/>
      <c r="N4" s="1881"/>
      <c r="O4" s="1881"/>
      <c r="P4" s="1881"/>
      <c r="Q4" s="1906" t="str">
        <f>PT.shallow_plug!B70</f>
        <v>Shallow plug properties</v>
      </c>
      <c r="R4" s="1353"/>
      <c r="S4" s="1352"/>
      <c r="T4" s="1521"/>
      <c r="U4" s="1352"/>
      <c r="V4" s="1785"/>
      <c r="W4" s="1906" t="str">
        <f>PT.anaer_lagoon!C305</f>
        <v>Lagoon sludge</v>
      </c>
      <c r="X4" s="1353" t="str">
        <f>PT.anaer_lagoon!B305</f>
        <v>Interval between sludge removal</v>
      </c>
      <c r="Y4" s="1352"/>
      <c r="Z4" s="1521">
        <f>PT.anaer_lagoon!O305</f>
        <v>10</v>
      </c>
      <c r="AA4" s="1353" t="str">
        <f>PT.anaer_lagoon!F305</f>
        <v>year</v>
      </c>
    </row>
    <row r="5" spans="1:27" x14ac:dyDescent="0.3">
      <c r="A5" s="42"/>
      <c r="B5" s="1577" t="s">
        <v>415</v>
      </c>
      <c r="C5" s="1811">
        <f>SUM(C41:C43)</f>
        <v>0.20147702075242208</v>
      </c>
      <c r="D5" s="1806" t="s">
        <v>5838</v>
      </c>
      <c r="E5" s="904"/>
      <c r="F5" s="904"/>
      <c r="G5" s="904"/>
      <c r="H5" s="904"/>
      <c r="I5" s="1881"/>
      <c r="J5" s="1881"/>
      <c r="K5" s="1881"/>
      <c r="L5" s="1881"/>
      <c r="M5" s="1881"/>
      <c r="N5" s="1881"/>
      <c r="O5" s="1881"/>
      <c r="P5" s="904"/>
      <c r="Q5" s="18"/>
      <c r="R5" s="1353" t="str">
        <f>PT.shallow_plug!B71</f>
        <v>Pit recharge frequency</v>
      </c>
      <c r="S5" s="1352"/>
      <c r="T5" s="1521">
        <f>PT.shallow_plug!G71</f>
        <v>52.142857142857146</v>
      </c>
      <c r="U5" s="1353" t="str">
        <f>PT.shallow_plug!C71</f>
        <v>events/year</v>
      </c>
      <c r="V5" s="1785"/>
      <c r="W5" s="1906"/>
      <c r="X5" s="1353" t="str">
        <f>PT.anaer_lagoon!B306</f>
        <v>Manure sludge removed, lagoon</v>
      </c>
      <c r="Y5" s="1352"/>
      <c r="Z5" s="1521">
        <f>PT.anaer_lagoon!O306</f>
        <v>4525.5947564400622</v>
      </c>
      <c r="AA5" s="1353" t="str">
        <f>PT.anaer_lagoon!F306</f>
        <v>m3/event</v>
      </c>
    </row>
    <row r="6" spans="1:27" x14ac:dyDescent="0.3">
      <c r="A6" s="42"/>
      <c r="B6" s="1577" t="s">
        <v>409</v>
      </c>
      <c r="C6" s="1811">
        <f>SUM(C33:C34)</f>
        <v>2.0647162832032113</v>
      </c>
      <c r="D6" s="1806" t="s">
        <v>5769</v>
      </c>
      <c r="E6" s="904"/>
      <c r="F6" s="904"/>
      <c r="G6" s="1882"/>
      <c r="H6" s="904"/>
      <c r="I6" s="1881"/>
      <c r="J6" s="1881"/>
      <c r="K6" s="1881"/>
      <c r="L6" s="1881"/>
      <c r="M6" s="1881"/>
      <c r="N6" s="1881"/>
      <c r="O6" s="1881"/>
      <c r="P6" s="904"/>
      <c r="Q6" s="18"/>
      <c r="R6" s="1353" t="str">
        <f>PT.shallow_plug!B72</f>
        <v>Total recycled water needed</v>
      </c>
      <c r="S6" s="1352"/>
      <c r="T6" s="1521">
        <f>PT.shallow_plug!G72</f>
        <v>16.2</v>
      </c>
      <c r="U6" s="1353" t="str">
        <f>PT.shallow_plug!C72</f>
        <v>m3/event</v>
      </c>
      <c r="V6" s="1785"/>
      <c r="W6" s="1906"/>
      <c r="X6" s="1353" t="str">
        <f>PT.anaer_lagoon!B307</f>
        <v>Lagoon surface area</v>
      </c>
      <c r="Y6" s="1352"/>
      <c r="Z6" s="1521">
        <f>PT.anaer_lagoon!O307</f>
        <v>3348.7402420606995</v>
      </c>
      <c r="AA6" s="1353" t="str">
        <f>PT.anaer_lagoon!F307</f>
        <v>m3</v>
      </c>
    </row>
    <row r="7" spans="1:27" x14ac:dyDescent="0.3">
      <c r="A7" s="42"/>
      <c r="B7" s="1577" t="s">
        <v>6926</v>
      </c>
      <c r="C7" s="1353" t="s">
        <v>6927</v>
      </c>
      <c r="D7" s="1806"/>
      <c r="E7" s="1881"/>
      <c r="F7" s="1881"/>
      <c r="G7" s="1881"/>
      <c r="H7" s="1881"/>
      <c r="I7" s="1881"/>
      <c r="J7" s="1881"/>
      <c r="K7" s="1881"/>
      <c r="L7" s="1881"/>
      <c r="M7" s="1881"/>
      <c r="N7" s="1881"/>
      <c r="O7" s="1881"/>
      <c r="P7" s="1883"/>
      <c r="Q7" s="18"/>
      <c r="R7" s="1353" t="str">
        <f>PT.shallow_plug!B73</f>
        <v>Number of pumps needed from pond/lagoon</v>
      </c>
      <c r="S7" s="1352"/>
      <c r="T7" s="1521">
        <f>PT.shallow_plug!G73</f>
        <v>1</v>
      </c>
      <c r="U7" s="1353" t="str">
        <f>PT.shallow_plug!C73</f>
        <v>quantity</v>
      </c>
      <c r="V7" s="1823"/>
      <c r="W7" s="1906"/>
      <c r="X7" s="1353" t="str">
        <f>PT.anaer_lagoon!B308</f>
        <v>Lagoon constructed size</v>
      </c>
      <c r="Y7" s="1352"/>
      <c r="Z7" s="1521">
        <f>PT.anaer_lagoon!O308</f>
        <v>7667.3081434083915</v>
      </c>
      <c r="AA7" s="1353" t="str">
        <f>PT.anaer_lagoon!F308</f>
        <v>m2</v>
      </c>
    </row>
    <row r="8" spans="1:27" x14ac:dyDescent="0.3">
      <c r="A8" s="42"/>
      <c r="B8" s="1577" t="s">
        <v>6928</v>
      </c>
      <c r="C8" s="1360">
        <f>SUM(C36:C39)/UDV.animal.total</f>
        <v>310.97888250661771</v>
      </c>
      <c r="D8" s="1353" t="s">
        <v>2270</v>
      </c>
      <c r="E8" s="1881"/>
      <c r="F8" s="1881"/>
      <c r="G8" s="1884"/>
      <c r="H8" s="1881"/>
      <c r="I8" s="1881"/>
      <c r="J8" s="1881"/>
      <c r="K8" s="1881"/>
      <c r="L8" s="1881"/>
      <c r="M8" s="1881"/>
      <c r="N8" s="1881"/>
      <c r="O8" s="1881"/>
      <c r="P8" s="1883"/>
      <c r="Q8" s="18"/>
      <c r="R8" s="1353" t="str">
        <f>PT.shallow_plug!B74</f>
        <v>Size of motor(s) needed for pump(s)</v>
      </c>
      <c r="S8" s="1352"/>
      <c r="T8" s="1521">
        <f>PT.shallow_plug!G74</f>
        <v>4.9783549783549788</v>
      </c>
      <c r="U8" s="1353" t="str">
        <f>PT.shallow_plug!C74</f>
        <v>hp</v>
      </c>
      <c r="V8" s="1823"/>
      <c r="W8" s="1906"/>
      <c r="X8" s="1353" t="str">
        <f>PT.anaer_lagoon!B309</f>
        <v>N removed, lagoon</v>
      </c>
      <c r="Y8" s="1352"/>
      <c r="Z8" s="1521">
        <f>PT.anaer_lagoon!O309</f>
        <v>1.571413954989199</v>
      </c>
      <c r="AA8" s="1353" t="str">
        <f>PT.anaer_lagoon!F309</f>
        <v>g/L</v>
      </c>
    </row>
    <row r="9" spans="1:27" x14ac:dyDescent="0.3">
      <c r="A9" s="42"/>
      <c r="B9" s="1810" t="s">
        <v>6929</v>
      </c>
      <c r="C9" s="1807"/>
      <c r="D9" s="1806"/>
      <c r="E9" s="1881"/>
      <c r="F9" s="1881"/>
      <c r="G9" s="1884"/>
      <c r="H9" s="1881"/>
      <c r="I9" s="1881"/>
      <c r="J9" s="904"/>
      <c r="K9" s="904"/>
      <c r="L9" s="904"/>
      <c r="M9" s="904"/>
      <c r="N9" s="1881"/>
      <c r="O9" s="1881"/>
      <c r="P9" s="1883"/>
      <c r="Q9" s="18"/>
      <c r="R9" s="1353" t="str">
        <f>PT.shallow_plug!B75</f>
        <v>Operational time for pump/motor</v>
      </c>
      <c r="S9" s="1352"/>
      <c r="T9" s="1521">
        <f>PT.shallow_plug!G75</f>
        <v>6.7929956228571425E-2</v>
      </c>
      <c r="U9" s="1353" t="str">
        <f>PT.shallow_plug!C75</f>
        <v>hr/day</v>
      </c>
      <c r="V9" s="1823"/>
      <c r="W9" s="1906"/>
      <c r="X9" s="1353" t="str">
        <f>PT.anaer_lagoon!B310</f>
        <v>P2O5 removed, lagoon</v>
      </c>
      <c r="Y9" s="1352"/>
      <c r="Z9" s="1521">
        <f>PT.anaer_lagoon!O310</f>
        <v>3.3027695097379093</v>
      </c>
      <c r="AA9" s="1353" t="str">
        <f>PT.anaer_lagoon!F310</f>
        <v>g/L</v>
      </c>
    </row>
    <row r="10" spans="1:27" x14ac:dyDescent="0.3">
      <c r="A10" s="42"/>
      <c r="B10" s="1577" t="s">
        <v>6163</v>
      </c>
      <c r="C10" s="1811">
        <f>C52</f>
        <v>5.6892662039166897</v>
      </c>
      <c r="D10" s="1806" t="s">
        <v>2385</v>
      </c>
      <c r="E10" s="1881"/>
      <c r="F10" s="1881"/>
      <c r="G10" s="1884"/>
      <c r="H10" s="1881"/>
      <c r="I10" s="1881"/>
      <c r="J10" s="904"/>
      <c r="K10" s="904"/>
      <c r="L10" s="904"/>
      <c r="M10" s="904"/>
      <c r="N10" s="1881"/>
      <c r="O10" s="1881"/>
      <c r="P10" s="1885"/>
      <c r="Q10" s="18"/>
      <c r="R10" s="1353" t="str">
        <f>PT.shallow_plug!B76</f>
        <v>Energy needed for motor(s) for pump(s)</v>
      </c>
      <c r="S10" s="1352"/>
      <c r="T10" s="1521">
        <f>PT.shallow_plug!G76</f>
        <v>0.25218036129032084</v>
      </c>
      <c r="U10" s="1353" t="str">
        <f>PT.shallow_plug!C76</f>
        <v>kWh/day</v>
      </c>
      <c r="V10" s="1785"/>
      <c r="W10" s="1906"/>
      <c r="X10" s="1353" t="str">
        <f>PT.anaer_lagoon!B311</f>
        <v>K2O removed, lagoon</v>
      </c>
      <c r="Y10" s="1352"/>
      <c r="Z10" s="1521">
        <f>PT.anaer_lagoon!O311</f>
        <v>3.3027856402144384</v>
      </c>
      <c r="AA10" s="1353" t="str">
        <f>PT.anaer_lagoon!F311</f>
        <v>g/L</v>
      </c>
    </row>
    <row r="11" spans="1:27" ht="48.75" customHeight="1" x14ac:dyDescent="0.3">
      <c r="A11" s="42"/>
      <c r="B11" s="1577" t="s">
        <v>6164</v>
      </c>
      <c r="C11" s="1811">
        <f>C53</f>
        <v>3.6537102250000002</v>
      </c>
      <c r="D11" s="1806" t="s">
        <v>2385</v>
      </c>
      <c r="E11" s="1881"/>
      <c r="F11" s="1881"/>
      <c r="G11" s="1884"/>
      <c r="H11" s="1881"/>
      <c r="I11" s="1886"/>
      <c r="J11" s="1889"/>
      <c r="K11" s="1885"/>
      <c r="L11" s="1885"/>
      <c r="M11" s="1885"/>
      <c r="N11" s="1885"/>
      <c r="O11" s="904"/>
      <c r="P11" s="1887"/>
      <c r="Q11" s="18"/>
      <c r="R11" s="1353" t="str">
        <f>PT.shallow_plug!B77</f>
        <v>Total distance from pump to splitters</v>
      </c>
      <c r="S11" s="1352"/>
      <c r="T11" s="1521">
        <f>PT.shallow_plug!G77</f>
        <v>600</v>
      </c>
      <c r="U11" s="1353" t="str">
        <f>PT.shallow_plug!C77</f>
        <v>ft</v>
      </c>
      <c r="V11" s="1802"/>
      <c r="W11" s="1906" t="str">
        <f>PT.anaer_lagoon!C312</f>
        <v>Tanker application during sludge years</v>
      </c>
      <c r="X11" s="1353" t="str">
        <f>PT.anaer_lagoon!B312</f>
        <v>Tanker, size</v>
      </c>
      <c r="Y11" s="1352"/>
      <c r="Z11" s="1521">
        <f>PT.anaer_lagoon!O312</f>
        <v>6000</v>
      </c>
      <c r="AA11" s="1353" t="str">
        <f>PT.anaer_lagoon!F312</f>
        <v>gal</v>
      </c>
    </row>
    <row r="12" spans="1:27" x14ac:dyDescent="0.3">
      <c r="A12" s="42"/>
      <c r="B12" s="1577" t="s">
        <v>6165</v>
      </c>
      <c r="C12" s="1811">
        <f>C54</f>
        <v>5.5517686249999993</v>
      </c>
      <c r="D12" s="1806" t="s">
        <v>2385</v>
      </c>
      <c r="E12" s="1881"/>
      <c r="F12" s="1881"/>
      <c r="G12" s="1884"/>
      <c r="H12" s="1881"/>
      <c r="I12" s="1886"/>
      <c r="J12" s="1885"/>
      <c r="K12" s="1888"/>
      <c r="L12" s="1889"/>
      <c r="M12" s="1881"/>
      <c r="N12" s="1881"/>
      <c r="O12" s="1881"/>
      <c r="P12" s="1890"/>
      <c r="Q12" s="18"/>
      <c r="R12" s="1353" t="str">
        <f>PT.shallow_plug!B78</f>
        <v>Total distance from splitters to barns</v>
      </c>
      <c r="S12" s="1352"/>
      <c r="T12" s="1521">
        <f>PT.shallow_plug!G78</f>
        <v>200</v>
      </c>
      <c r="U12" s="1353" t="str">
        <f>PT.shallow_plug!C78</f>
        <v>ft</v>
      </c>
      <c r="V12" s="1823"/>
      <c r="W12" s="1906"/>
      <c r="X12" s="1353" t="str">
        <f>PT.anaer_lagoon!B313</f>
        <v>Tractor for tanker, size</v>
      </c>
      <c r="Y12" s="1352"/>
      <c r="Z12" s="1521">
        <f>PT.anaer_lagoon!O313</f>
        <v>250</v>
      </c>
      <c r="AA12" s="1353" t="str">
        <f>PT.anaer_lagoon!F313</f>
        <v>PTO hp</v>
      </c>
    </row>
    <row r="13" spans="1:27" x14ac:dyDescent="0.3">
      <c r="A13" s="42"/>
      <c r="B13" s="1810" t="s">
        <v>6930</v>
      </c>
      <c r="C13" s="1811"/>
      <c r="D13" s="1806"/>
      <c r="E13" s="1881"/>
      <c r="F13" s="1881"/>
      <c r="G13" s="1884"/>
      <c r="H13" s="1881"/>
      <c r="I13" s="1886"/>
      <c r="J13" s="1885"/>
      <c r="K13" s="1885"/>
      <c r="L13" s="1891"/>
      <c r="M13" s="1885"/>
      <c r="N13" s="1892"/>
      <c r="O13" s="1881"/>
      <c r="P13" s="1890"/>
      <c r="Q13" s="1906" t="str">
        <f>PT.anaer_lagoon!C260</f>
        <v>Lagoon liquids</v>
      </c>
      <c r="R13" s="1353" t="str">
        <f>PT.anaer_lagoon!B260</f>
        <v>Interval between liquids removal</v>
      </c>
      <c r="S13" s="1352"/>
      <c r="T13" s="1521">
        <f>PT.anaer_lagoon!O260</f>
        <v>182.5</v>
      </c>
      <c r="U13" s="1353" t="str">
        <f>PT.anaer_lagoon!F260</f>
        <v>days</v>
      </c>
      <c r="V13" s="1823"/>
      <c r="W13" s="1906"/>
      <c r="X13" s="1353" t="str">
        <f>PT.anaer_lagoon!B314</f>
        <v>Application by broadcast or injection?</v>
      </c>
      <c r="Y13" s="1352"/>
      <c r="Z13" s="1521" t="str">
        <f>PT.anaer_lagoon!O314</f>
        <v>Injection</v>
      </c>
      <c r="AA13" s="1353" t="str">
        <f>PT.anaer_lagoon!F314</f>
        <v>type</v>
      </c>
    </row>
    <row r="14" spans="1:27" x14ac:dyDescent="0.3">
      <c r="A14" s="7"/>
      <c r="B14" s="1577" t="s">
        <v>6163</v>
      </c>
      <c r="C14" s="1811">
        <f>C56</f>
        <v>1.4223165509791718</v>
      </c>
      <c r="D14" s="1806" t="s">
        <v>2385</v>
      </c>
      <c r="E14" s="1881"/>
      <c r="F14" s="1881"/>
      <c r="G14" s="1884"/>
      <c r="H14" s="1881"/>
      <c r="I14" s="1886"/>
      <c r="J14" s="1889"/>
      <c r="K14" s="1889"/>
      <c r="L14" s="1893"/>
      <c r="M14" s="1893"/>
      <c r="N14" s="1886"/>
      <c r="O14" s="1881"/>
      <c r="P14" s="1890"/>
      <c r="Q14" s="1906"/>
      <c r="R14" s="1353" t="str">
        <f>PT.anaer_lagoon!B261</f>
        <v>Manure liquids removed, lagoon</v>
      </c>
      <c r="S14" s="1352"/>
      <c r="T14" s="1521">
        <f>PT.anaer_lagoon!O261</f>
        <v>1193.3317430779252</v>
      </c>
      <c r="U14" s="1353" t="str">
        <f>PT.anaer_lagoon!F261</f>
        <v>m3/event</v>
      </c>
      <c r="V14" s="1823"/>
      <c r="W14" s="1906"/>
      <c r="X14" s="1353" t="str">
        <f>PT.anaer_lagoon!B315</f>
        <v>Operation time for tractor with tanker</v>
      </c>
      <c r="Y14" s="1352"/>
      <c r="Z14" s="1521">
        <f>PT.anaer_lagoon!O315</f>
        <v>44.173161274947127</v>
      </c>
      <c r="AA14" s="1353" t="str">
        <f>PT.anaer_lagoon!F315</f>
        <v>hrs/event</v>
      </c>
    </row>
    <row r="15" spans="1:27" x14ac:dyDescent="0.3">
      <c r="A15" s="7"/>
      <c r="B15" s="1577" t="s">
        <v>6164</v>
      </c>
      <c r="C15" s="1811">
        <f>C57</f>
        <v>2.9893992749999998</v>
      </c>
      <c r="D15" s="1806" t="s">
        <v>2385</v>
      </c>
      <c r="E15" s="1881"/>
      <c r="F15" s="1881"/>
      <c r="G15" s="1881"/>
      <c r="H15" s="1881"/>
      <c r="I15" s="1881"/>
      <c r="J15" s="1889"/>
      <c r="K15" s="1889"/>
      <c r="L15" s="1888"/>
      <c r="M15" s="1893"/>
      <c r="N15" s="1886"/>
      <c r="O15" s="1881"/>
      <c r="P15" s="1881"/>
      <c r="Q15" s="1906"/>
      <c r="R15" s="1353" t="str">
        <f>PT.anaer_lagoon!B262</f>
        <v>Lagoon surface area</v>
      </c>
      <c r="S15" s="1352"/>
      <c r="T15" s="1521">
        <f>PT.anaer_lagoon!O262</f>
        <v>3348.7402420606995</v>
      </c>
      <c r="U15" s="1353" t="str">
        <f>PT.anaer_lagoon!F262</f>
        <v>m2</v>
      </c>
      <c r="V15" s="1785"/>
      <c r="W15" s="1906"/>
      <c r="X15" s="1353" t="str">
        <f>PT.anaer_lagoon!B316</f>
        <v>Fuel needed for tractor with tank and applicator</v>
      </c>
      <c r="Y15" s="1352"/>
      <c r="Z15" s="1521">
        <f>PT.anaer_lagoon!O316</f>
        <v>485.90477402441837</v>
      </c>
      <c r="AA15" s="1353" t="str">
        <f>PT.anaer_lagoon!F316</f>
        <v>gal/event</v>
      </c>
    </row>
    <row r="16" spans="1:27" x14ac:dyDescent="0.3">
      <c r="A16" s="7"/>
      <c r="B16" s="1577" t="s">
        <v>6165</v>
      </c>
      <c r="C16" s="1811">
        <f>C58</f>
        <v>2.9894138749999994</v>
      </c>
      <c r="D16" s="1806" t="s">
        <v>2385</v>
      </c>
      <c r="E16" s="1881"/>
      <c r="F16" s="1881"/>
      <c r="G16" s="1884"/>
      <c r="H16" s="1881"/>
      <c r="I16" s="1881"/>
      <c r="J16" s="1885"/>
      <c r="K16" s="1889"/>
      <c r="L16" s="1893"/>
      <c r="M16" s="1893"/>
      <c r="N16" s="1886"/>
      <c r="O16" s="1881"/>
      <c r="P16" s="1881"/>
      <c r="Q16" s="1906"/>
      <c r="R16" s="1353" t="str">
        <f>PT.anaer_lagoon!B263</f>
        <v>Lagoon constructed size</v>
      </c>
      <c r="S16" s="1352"/>
      <c r="T16" s="1521">
        <f>PT.anaer_lagoon!O263</f>
        <v>7667.3081434083915</v>
      </c>
      <c r="U16" s="1353" t="str">
        <f>PT.anaer_lagoon!F263</f>
        <v>m3</v>
      </c>
      <c r="V16" s="1785"/>
      <c r="W16" s="1906"/>
      <c r="X16" s="1353" t="str">
        <f>PT.anaer_lagoon!B317</f>
        <v>Number of tractors with tanker needed</v>
      </c>
      <c r="Y16" s="1352"/>
      <c r="Z16" s="1521">
        <f>PT.anaer_lagoon!O317</f>
        <v>1</v>
      </c>
      <c r="AA16" s="1353" t="str">
        <f>PT.anaer_lagoon!F317</f>
        <v>quantity</v>
      </c>
    </row>
    <row r="17" spans="1:27" x14ac:dyDescent="0.3">
      <c r="A17" s="42"/>
      <c r="B17" s="1808" t="s">
        <v>5271</v>
      </c>
      <c r="C17" s="1809"/>
      <c r="D17" s="1806"/>
      <c r="E17" s="1881"/>
      <c r="F17" s="1881"/>
      <c r="G17" s="1883"/>
      <c r="H17" s="1881"/>
      <c r="I17" s="1881"/>
      <c r="J17" s="1885"/>
      <c r="K17" s="1889"/>
      <c r="L17" s="1888"/>
      <c r="M17" s="1893"/>
      <c r="N17" s="1886"/>
      <c r="O17" s="1881"/>
      <c r="P17" s="1881"/>
      <c r="Q17" s="1906"/>
      <c r="R17" s="1353" t="str">
        <f>PT.anaer_lagoon!B264</f>
        <v>N removed, lagoon</v>
      </c>
      <c r="S17" s="1352"/>
      <c r="T17" s="1521">
        <f>PT.anaer_lagoon!O264</f>
        <v>1.1918869662434635</v>
      </c>
      <c r="U17" s="1353" t="str">
        <f>PT.anaer_lagoon!F264</f>
        <v>g/L</v>
      </c>
      <c r="W17" s="1906"/>
      <c r="X17" s="1353" t="str">
        <f>PT.anaer_lagoon!B318</f>
        <v>Tractor for agitator, size</v>
      </c>
      <c r="Y17" s="1352"/>
      <c r="Z17" s="1521">
        <f>PT.anaer_lagoon!O318</f>
        <v>160</v>
      </c>
      <c r="AA17" s="1353" t="str">
        <f>PT.anaer_lagoon!F318</f>
        <v>PTO hp</v>
      </c>
    </row>
    <row r="18" spans="1:27" ht="15.6" x14ac:dyDescent="0.3">
      <c r="A18" s="42"/>
      <c r="B18" s="1577" t="s">
        <v>6782</v>
      </c>
      <c r="C18" s="1812">
        <f>C68+C72</f>
        <v>32.722167799057068</v>
      </c>
      <c r="D18" s="1806" t="s">
        <v>2385</v>
      </c>
      <c r="E18" s="1881"/>
      <c r="F18" s="1881"/>
      <c r="G18" s="1881"/>
      <c r="H18" s="1881"/>
      <c r="I18" s="1881"/>
      <c r="J18" s="1885"/>
      <c r="K18" s="1889"/>
      <c r="L18" s="1888"/>
      <c r="M18" s="1893"/>
      <c r="N18" s="1886"/>
      <c r="O18" s="1881"/>
      <c r="P18" s="1881"/>
      <c r="Q18" s="1906"/>
      <c r="R18" s="1353" t="str">
        <f>PT.anaer_lagoon!B265</f>
        <v>P2O5 removed, lagoon</v>
      </c>
      <c r="S18" s="1352"/>
      <c r="T18" s="1521">
        <f>PT.anaer_lagoon!O265</f>
        <v>0.76544310628494927</v>
      </c>
      <c r="U18" s="1353" t="str">
        <f>PT.anaer_lagoon!F265</f>
        <v>g/L</v>
      </c>
      <c r="W18" s="1906"/>
      <c r="X18" s="1353" t="str">
        <f>PT.anaer_lagoon!B319</f>
        <v>Number of tractors for agitating needed</v>
      </c>
      <c r="Y18" s="1352"/>
      <c r="Z18" s="1521">
        <f>PT.anaer_lagoon!O319</f>
        <v>1</v>
      </c>
      <c r="AA18" s="1353" t="str">
        <f>PT.anaer_lagoon!F319</f>
        <v>quantity</v>
      </c>
    </row>
    <row r="19" spans="1:27" ht="20.25" customHeight="1" x14ac:dyDescent="0.3">
      <c r="A19" s="42"/>
      <c r="B19" s="1577" t="s">
        <v>6783</v>
      </c>
      <c r="C19" s="1812">
        <f>C70+C74</f>
        <v>5.9651376409799999E-2</v>
      </c>
      <c r="D19" s="1806" t="s">
        <v>2385</v>
      </c>
      <c r="E19" s="1892"/>
      <c r="F19" s="1892"/>
      <c r="G19" s="1892"/>
      <c r="H19" s="1892"/>
      <c r="I19" s="1881"/>
      <c r="J19" s="1885"/>
      <c r="K19" s="1889"/>
      <c r="L19" s="1889"/>
      <c r="M19" s="1893"/>
      <c r="N19" s="1886"/>
      <c r="O19" s="1881"/>
      <c r="P19" s="1881"/>
      <c r="Q19" s="1906"/>
      <c r="R19" s="1353" t="str">
        <f>PT.anaer_lagoon!B266</f>
        <v>K2O removed, lagoon</v>
      </c>
      <c r="S19" s="1352"/>
      <c r="T19" s="1521">
        <f>PT.anaer_lagoon!O266</f>
        <v>1.1630815691453258</v>
      </c>
      <c r="U19" s="1353" t="str">
        <f>PT.anaer_lagoon!F266</f>
        <v>g/L</v>
      </c>
      <c r="W19" s="1906"/>
      <c r="X19" s="1353" t="str">
        <f>PT.anaer_lagoon!B320</f>
        <v>Operation time for tractor agitating</v>
      </c>
      <c r="Y19" s="1352"/>
      <c r="Z19" s="1521">
        <f>PT.anaer_lagoon!O320</f>
        <v>55.216451593683907</v>
      </c>
      <c r="AA19" s="1353" t="str">
        <f>PT.anaer_lagoon!F320</f>
        <v>hr/year</v>
      </c>
    </row>
    <row r="20" spans="1:27" ht="15.6" x14ac:dyDescent="0.3">
      <c r="A20" s="42"/>
      <c r="B20" s="1577" t="s">
        <v>6784</v>
      </c>
      <c r="C20" s="1812">
        <f>C71+C75</f>
        <v>0.26084188469175701</v>
      </c>
      <c r="D20" s="1806" t="s">
        <v>2385</v>
      </c>
      <c r="E20" s="1892"/>
      <c r="F20" s="1892"/>
      <c r="G20" s="1892"/>
      <c r="H20" s="1892"/>
      <c r="I20" s="1881"/>
      <c r="J20" s="1889"/>
      <c r="K20" s="1889"/>
      <c r="L20" s="1889"/>
      <c r="M20" s="1893"/>
      <c r="N20" s="1886"/>
      <c r="O20" s="1881"/>
      <c r="P20" s="1881"/>
      <c r="Q20" s="1906" t="str">
        <f>PT.anaer_lagoon!C267</f>
        <v>Lagoon liquids irrigation</v>
      </c>
      <c r="R20" s="1353" t="str">
        <f>PT.anaer_lagoon!B267</f>
        <v>Field area applied by lagoon liquids</v>
      </c>
      <c r="S20" s="1352"/>
      <c r="T20" s="1521">
        <f>PT.anaer_lagoon!O267</f>
        <v>27.497424960787516</v>
      </c>
      <c r="U20" s="1353" t="str">
        <f>PT.anaer_lagoon!F267</f>
        <v>ac/y</v>
      </c>
      <c r="W20" s="1906"/>
      <c r="X20" s="1353" t="str">
        <f>PT.anaer_lagoon!B321</f>
        <v>Fuel needed for tractor for agitating</v>
      </c>
      <c r="Y20" s="1352"/>
      <c r="Z20" s="1521">
        <f>PT.anaer_lagoon!O321</f>
        <v>388.72381921953468</v>
      </c>
      <c r="AA20" s="1353" t="str">
        <f>PT.anaer_lagoon!F321</f>
        <v>gal/event</v>
      </c>
    </row>
    <row r="21" spans="1:27" ht="15.6" x14ac:dyDescent="0.3">
      <c r="A21" s="42"/>
      <c r="B21" s="1577" t="s">
        <v>6785</v>
      </c>
      <c r="C21" s="1812">
        <f>C69+C73</f>
        <v>11.856664879895861</v>
      </c>
      <c r="D21" s="1806" t="s">
        <v>2385</v>
      </c>
      <c r="E21" s="1881"/>
      <c r="F21" s="904"/>
      <c r="G21" s="1881"/>
      <c r="H21" s="1881"/>
      <c r="I21" s="1881"/>
      <c r="J21" s="1889"/>
      <c r="K21" s="1889"/>
      <c r="L21" s="1889"/>
      <c r="M21" s="1893"/>
      <c r="N21" s="1886"/>
      <c r="O21" s="1881"/>
      <c r="P21" s="1881"/>
      <c r="Q21" s="1906"/>
      <c r="R21" s="1353" t="str">
        <f>PT.anaer_lagoon!B268</f>
        <v>Energy needed to pump lagoon liquids</v>
      </c>
      <c r="S21" s="1352"/>
      <c r="T21" s="1521">
        <f>PT.anaer_lagoon!O268</f>
        <v>940.31230973063862</v>
      </c>
      <c r="U21" s="1353" t="str">
        <f>PT.anaer_lagoon!F268</f>
        <v>kWh/y</v>
      </c>
      <c r="W21" s="1906"/>
      <c r="X21" s="1353" t="str">
        <f>PT.anaer_lagoon!B322</f>
        <v>Number of tractors for pumping needed</v>
      </c>
      <c r="Y21" s="1352"/>
      <c r="Z21" s="1521">
        <f>PT.anaer_lagoon!O322</f>
        <v>1</v>
      </c>
      <c r="AA21" s="1353" t="str">
        <f>PT.anaer_lagoon!F322</f>
        <v>quantity</v>
      </c>
    </row>
    <row r="22" spans="1:27" x14ac:dyDescent="0.3">
      <c r="A22" s="7"/>
      <c r="E22" s="1881"/>
      <c r="F22" s="904"/>
      <c r="G22" s="1883"/>
      <c r="H22" s="1881"/>
      <c r="I22" s="1881"/>
      <c r="J22" s="1885"/>
      <c r="K22" s="1889"/>
      <c r="L22" s="1889"/>
      <c r="M22" s="1893"/>
      <c r="N22" s="1886"/>
      <c r="O22" s="1881"/>
      <c r="P22" s="1881"/>
      <c r="Q22" s="1906"/>
      <c r="R22" s="1353" t="str">
        <f>PT.anaer_lagoon!B269</f>
        <v>Total labor time required for irrigation</v>
      </c>
      <c r="S22" s="1352"/>
      <c r="T22" s="1521">
        <f>PT.anaer_lagoon!O269</f>
        <v>8.2492274882362544</v>
      </c>
      <c r="U22" s="1353" t="str">
        <f>PT.anaer_lagoon!F269</f>
        <v>hr/year</v>
      </c>
      <c r="W22" s="1906"/>
      <c r="X22" s="1353" t="str">
        <f>PT.anaer_lagoon!B323</f>
        <v>Tractor for pumping, size</v>
      </c>
      <c r="Y22" s="1352"/>
      <c r="Z22" s="1521">
        <f>PT.anaer_lagoon!O323</f>
        <v>180</v>
      </c>
      <c r="AA22" s="1353" t="str">
        <f>PT.anaer_lagoon!F323</f>
        <v>PTO hp</v>
      </c>
    </row>
    <row r="23" spans="1:27" x14ac:dyDescent="0.3">
      <c r="A23" s="7"/>
      <c r="E23" s="1881"/>
      <c r="F23" s="904"/>
      <c r="G23" s="1884"/>
      <c r="H23" s="1881"/>
      <c r="I23" s="1881"/>
      <c r="J23" s="1885"/>
      <c r="K23" s="1889"/>
      <c r="L23" s="1895"/>
      <c r="M23" s="1893"/>
      <c r="N23" s="1886"/>
      <c r="O23" s="1881"/>
      <c r="P23" s="1894"/>
      <c r="Q23" s="1906" t="str">
        <f>PT.anaer_lagoon!C270</f>
        <v>Tanker application during non-sludge years</v>
      </c>
      <c r="R23" s="1353" t="str">
        <f>PT.anaer_lagoon!B270</f>
        <v>Tanker, size</v>
      </c>
      <c r="S23" s="1352"/>
      <c r="T23" s="1521">
        <f>PT.anaer_lagoon!O270</f>
        <v>6000</v>
      </c>
      <c r="U23" s="1353" t="str">
        <f>PT.anaer_lagoon!F270</f>
        <v>gal</v>
      </c>
      <c r="W23" s="1906"/>
      <c r="X23" s="1353" t="str">
        <f>PT.anaer_lagoon!B324</f>
        <v>Operation time for tractor pumping</v>
      </c>
      <c r="Y23" s="1352"/>
      <c r="Z23" s="1521">
        <f>PT.anaer_lagoon!O324</f>
        <v>5.7791771738630144</v>
      </c>
      <c r="AA23" s="1353" t="str">
        <f>PT.anaer_lagoon!F324</f>
        <v>hr/event</v>
      </c>
    </row>
    <row r="24" spans="1:27" x14ac:dyDescent="0.3">
      <c r="A24" s="7"/>
      <c r="B24" s="1668" t="s">
        <v>6931</v>
      </c>
      <c r="C24" s="1680"/>
      <c r="D24" s="1815"/>
      <c r="E24" s="1894"/>
      <c r="F24" s="904"/>
      <c r="G24" s="1883"/>
      <c r="H24" s="1881"/>
      <c r="I24" s="1884"/>
      <c r="J24" s="1889"/>
      <c r="K24" s="1889"/>
      <c r="L24" s="1895"/>
      <c r="M24" s="1893"/>
      <c r="N24" s="1886"/>
      <c r="O24" s="1881"/>
      <c r="P24" s="1894"/>
      <c r="Q24" s="1906"/>
      <c r="R24" s="1353" t="str">
        <f>PT.anaer_lagoon!B271</f>
        <v>Tractor for tanker, size</v>
      </c>
      <c r="S24" s="1352"/>
      <c r="T24" s="1521">
        <f>PT.anaer_lagoon!O271</f>
        <v>250</v>
      </c>
      <c r="U24" s="1353" t="str">
        <f>PT.anaer_lagoon!F271</f>
        <v>PTO hp</v>
      </c>
      <c r="W24" s="1906"/>
      <c r="X24" s="1353" t="str">
        <f>PT.anaer_lagoon!B325</f>
        <v>Fuel needed for tractor for pumping</v>
      </c>
      <c r="Y24" s="1352"/>
      <c r="Z24" s="1521">
        <f>PT.anaer_lagoon!O325</f>
        <v>45.771083216995073</v>
      </c>
      <c r="AA24" s="1353" t="str">
        <f>PT.anaer_lagoon!F325</f>
        <v>gal/event</v>
      </c>
    </row>
    <row r="25" spans="1:27" x14ac:dyDescent="0.3">
      <c r="A25" s="42"/>
      <c r="B25" s="510" t="s">
        <v>6932</v>
      </c>
      <c r="C25" s="1378">
        <v>0.21</v>
      </c>
      <c r="D25" s="510" t="s">
        <v>1694</v>
      </c>
      <c r="E25" s="1883"/>
      <c r="F25" s="1883"/>
      <c r="G25" s="1883"/>
      <c r="H25" s="1881"/>
      <c r="I25" s="1884"/>
      <c r="J25" s="1889"/>
      <c r="K25" s="1889"/>
      <c r="L25" s="1895"/>
      <c r="M25" s="1893"/>
      <c r="N25" s="1886"/>
      <c r="O25" s="1881"/>
      <c r="P25" s="1894"/>
      <c r="Q25" s="1906"/>
      <c r="R25" s="1353" t="str">
        <f>PT.anaer_lagoon!B272</f>
        <v>Application by broadcast or injection?</v>
      </c>
      <c r="S25" s="1352"/>
      <c r="T25" s="1521" t="str">
        <f>PT.anaer_lagoon!O272</f>
        <v>Injection</v>
      </c>
      <c r="U25" s="1353" t="str">
        <f>PT.anaer_lagoon!F272</f>
        <v>type</v>
      </c>
      <c r="W25" s="1906" t="str">
        <f>PT.anaer_lagoon!C326</f>
        <v>Drag hose application during sludge years</v>
      </c>
      <c r="X25" s="1353" t="str">
        <f>PT.anaer_lagoon!B326</f>
        <v>Size of tractor for pulling hose reel and applicator toolbar</v>
      </c>
      <c r="Y25" s="1352"/>
      <c r="Z25" s="1521">
        <f>PT.anaer_lagoon!O326</f>
        <v>580</v>
      </c>
      <c r="AA25" s="1353" t="str">
        <f>PT.anaer_lagoon!F326</f>
        <v>PTO hp</v>
      </c>
    </row>
    <row r="26" spans="1:27" x14ac:dyDescent="0.3">
      <c r="A26" s="42"/>
      <c r="B26" s="1813" t="s">
        <v>6933</v>
      </c>
      <c r="C26" s="1414">
        <v>2.1428571399999998</v>
      </c>
      <c r="D26" s="510" t="s">
        <v>6934</v>
      </c>
      <c r="E26" s="1881"/>
      <c r="F26" s="1881"/>
      <c r="G26" s="1881"/>
      <c r="H26" s="1881"/>
      <c r="I26" s="1884"/>
      <c r="J26" s="1889"/>
      <c r="K26" s="1889"/>
      <c r="L26" s="1895"/>
      <c r="M26" s="1893"/>
      <c r="N26" s="1886"/>
      <c r="O26" s="1881"/>
      <c r="P26" s="1881"/>
      <c r="Q26" s="1906"/>
      <c r="R26" s="1353" t="str">
        <f>PT.anaer_lagoon!B273</f>
        <v>Operation time for tractor with tanker</v>
      </c>
      <c r="S26" s="1352"/>
      <c r="T26" s="1521">
        <f>PT.anaer_lagoon!O273</f>
        <v>2.0079795649132497</v>
      </c>
      <c r="U26" s="1353" t="str">
        <f>PT.anaer_lagoon!F273</f>
        <v>hrs/event</v>
      </c>
      <c r="W26" s="1906"/>
      <c r="X26" s="1353" t="str">
        <f>PT.anaer_lagoon!B327</f>
        <v>Number of tractors for pulling hose reel and applicator</v>
      </c>
      <c r="Y26" s="1352"/>
      <c r="Z26" s="1521">
        <f>PT.anaer_lagoon!O327</f>
        <v>1</v>
      </c>
      <c r="AA26" s="1353" t="str">
        <f>PT.anaer_lagoon!F327</f>
        <v>quantity</v>
      </c>
    </row>
    <row r="27" spans="1:27" x14ac:dyDescent="0.3">
      <c r="A27" s="42"/>
      <c r="B27" s="91" t="s">
        <v>6935</v>
      </c>
      <c r="C27" s="1403">
        <f>(C19+C20)*(28/44)</f>
        <v>0.20395025706462719</v>
      </c>
      <c r="D27" s="510" t="s">
        <v>2358</v>
      </c>
      <c r="E27" s="1892"/>
      <c r="F27" s="1892"/>
      <c r="G27" s="1892"/>
      <c r="H27" s="1892"/>
      <c r="I27" s="1881"/>
      <c r="J27" s="1885"/>
      <c r="K27" s="1889"/>
      <c r="L27" s="1895"/>
      <c r="M27" s="1893"/>
      <c r="N27" s="1886"/>
      <c r="O27" s="1881"/>
      <c r="P27" s="1881"/>
      <c r="Q27" s="1906"/>
      <c r="R27" s="1353" t="str">
        <f>PT.anaer_lagoon!B274</f>
        <v>Fuel needed for tractor with tank and applicator</v>
      </c>
      <c r="S27" s="1352"/>
      <c r="T27" s="1521">
        <f>PT.anaer_lagoon!O274</f>
        <v>22.087775214045745</v>
      </c>
      <c r="U27" s="1353" t="str">
        <f>PT.anaer_lagoon!F274</f>
        <v>gal/event</v>
      </c>
      <c r="W27" s="1906"/>
      <c r="X27" s="1353" t="str">
        <f>PT.anaer_lagoon!B328</f>
        <v>Size of tractor for support with hose pulley</v>
      </c>
      <c r="Y27" s="1352"/>
      <c r="Z27" s="1521">
        <f>PT.anaer_lagoon!O328</f>
        <v>340</v>
      </c>
      <c r="AA27" s="1353" t="str">
        <f>PT.anaer_lagoon!F328</f>
        <v>PTO hp</v>
      </c>
    </row>
    <row r="28" spans="1:27" x14ac:dyDescent="0.3">
      <c r="A28" s="42"/>
      <c r="B28" s="91" t="s">
        <v>6936</v>
      </c>
      <c r="C28" s="1380">
        <f>C21*(14/17)</f>
        <v>9.7643122540318856</v>
      </c>
      <c r="D28" s="510" t="s">
        <v>2358</v>
      </c>
      <c r="E28" s="1892"/>
      <c r="F28" s="1892"/>
      <c r="G28" s="1892"/>
      <c r="H28" s="1892"/>
      <c r="I28" s="1884"/>
      <c r="J28" s="1889"/>
      <c r="K28" s="1889"/>
      <c r="L28" s="1895"/>
      <c r="M28" s="1893"/>
      <c r="N28" s="1886"/>
      <c r="O28" s="1881"/>
      <c r="P28" s="1881"/>
      <c r="Q28" s="1906"/>
      <c r="R28" s="1353" t="str">
        <f>PT.anaer_lagoon!B275</f>
        <v>Number of tractors with tanker needed</v>
      </c>
      <c r="S28" s="1352"/>
      <c r="T28" s="1521">
        <f>PT.anaer_lagoon!O275</f>
        <v>1</v>
      </c>
      <c r="U28" s="1353" t="str">
        <f>PT.anaer_lagoon!F275</f>
        <v>quantity</v>
      </c>
      <c r="W28" s="1906"/>
      <c r="X28" s="1353" t="str">
        <f>PT.anaer_lagoon!B329</f>
        <v>Distance from storage to field</v>
      </c>
      <c r="Y28" s="1352"/>
      <c r="Z28" s="1521">
        <f>PT.anaer_lagoon!O329</f>
        <v>2</v>
      </c>
      <c r="AA28" s="1353" t="str">
        <f>PT.anaer_lagoon!F329</f>
        <v>miles</v>
      </c>
    </row>
    <row r="29" spans="1:27" x14ac:dyDescent="0.3">
      <c r="A29" s="42"/>
      <c r="B29" s="91" t="s">
        <v>6937</v>
      </c>
      <c r="C29" s="1404">
        <f>C25*C27*(44/28)/C26</f>
        <v>3.1408339629830376E-2</v>
      </c>
      <c r="D29" s="510" t="s">
        <v>2358</v>
      </c>
      <c r="E29" s="1894"/>
      <c r="F29" s="1882"/>
      <c r="G29" s="1883"/>
      <c r="H29" s="1881"/>
      <c r="I29" s="1884"/>
      <c r="J29" s="1889"/>
      <c r="K29" s="1889"/>
      <c r="L29" s="1895"/>
      <c r="M29" s="1893"/>
      <c r="N29" s="1886"/>
      <c r="O29" s="1881"/>
      <c r="P29" s="1881"/>
      <c r="Q29" s="1906"/>
      <c r="R29" s="1353" t="str">
        <f>PT.anaer_lagoon!B276</f>
        <v>Tractor for agitator, size</v>
      </c>
      <c r="S29" s="1352"/>
      <c r="T29" s="1521">
        <f>PT.anaer_lagoon!O276</f>
        <v>160</v>
      </c>
      <c r="U29" s="1353" t="str">
        <f>PT.anaer_lagoon!F276</f>
        <v>PTO hp</v>
      </c>
      <c r="W29" s="1906"/>
      <c r="X29" s="1353" t="str">
        <f>PT.anaer_lagoon!B330</f>
        <v>Application by broadcast or injection?</v>
      </c>
      <c r="Y29" s="1352"/>
      <c r="Z29" s="1521" t="str">
        <f>PT.anaer_lagoon!O330</f>
        <v>Injection</v>
      </c>
      <c r="AA29" s="1353" t="str">
        <f>PT.anaer_lagoon!F330</f>
        <v>type</v>
      </c>
    </row>
    <row r="30" spans="1:27" x14ac:dyDescent="0.3">
      <c r="A30" s="42"/>
      <c r="B30" s="1881"/>
      <c r="C30" s="1881"/>
      <c r="D30" s="1881"/>
      <c r="E30" s="1881"/>
      <c r="F30" s="1881"/>
      <c r="G30" s="1881"/>
      <c r="H30" s="1881"/>
      <c r="I30" s="1884"/>
      <c r="J30" s="1889"/>
      <c r="K30" s="1889"/>
      <c r="L30" s="1895"/>
      <c r="M30" s="1893"/>
      <c r="N30" s="1886"/>
      <c r="O30" s="1881"/>
      <c r="P30" s="1881"/>
      <c r="Q30" s="1906"/>
      <c r="R30" s="1353" t="str">
        <f>PT.anaer_lagoon!B277</f>
        <v>Number of tractors for agitating needed</v>
      </c>
      <c r="S30" s="1352"/>
      <c r="T30" s="1521">
        <f>PT.anaer_lagoon!O277</f>
        <v>1</v>
      </c>
      <c r="U30" s="1353" t="str">
        <f>PT.anaer_lagoon!F277</f>
        <v>quantity</v>
      </c>
      <c r="W30" s="1906"/>
      <c r="X30" s="1353" t="str">
        <f>PT.anaer_lagoon!B331</f>
        <v>Fuel needed for tractor for pulling hose reel and applicator</v>
      </c>
      <c r="Y30" s="1352"/>
      <c r="Z30" s="1521">
        <f>PT.anaer_lagoon!O331</f>
        <v>25.52</v>
      </c>
      <c r="AA30" s="1353" t="str">
        <f>PT.anaer_lagoon!F331</f>
        <v>gal/hr</v>
      </c>
    </row>
    <row r="31" spans="1:27" x14ac:dyDescent="0.3">
      <c r="A31" s="42"/>
      <c r="E31" s="1881"/>
      <c r="F31" s="1881"/>
      <c r="G31" s="1883"/>
      <c r="H31" s="1881"/>
      <c r="I31" s="1881"/>
      <c r="J31" s="1885"/>
      <c r="K31" s="1889"/>
      <c r="L31" s="1889"/>
      <c r="M31" s="1893"/>
      <c r="N31" s="1886"/>
      <c r="O31" s="1881"/>
      <c r="P31" s="1881"/>
      <c r="Q31" s="1906"/>
      <c r="R31" s="1353" t="str">
        <f>PT.anaer_lagoon!B278</f>
        <v>Operation time for tractor agitating</v>
      </c>
      <c r="S31" s="1352"/>
      <c r="T31" s="1521">
        <f>PT.anaer_lagoon!O278</f>
        <v>2.509974456141562</v>
      </c>
      <c r="U31" s="1353" t="str">
        <f>PT.anaer_lagoon!F278</f>
        <v>hr/year</v>
      </c>
      <c r="W31" s="1906"/>
      <c r="X31" s="1353" t="str">
        <f>PT.anaer_lagoon!B332</f>
        <v>Fuel needed for support tractor with hose pulley</v>
      </c>
      <c r="Y31" s="1352"/>
      <c r="Z31" s="1521">
        <f>PT.anaer_lagoon!O332</f>
        <v>14.959999999999999</v>
      </c>
      <c r="AA31" s="1353" t="str">
        <f>PT.anaer_lagoon!F332</f>
        <v>gal/hr</v>
      </c>
    </row>
    <row r="32" spans="1:27" x14ac:dyDescent="0.3">
      <c r="A32" s="42"/>
      <c r="B32" s="1668" t="str">
        <f>PT.shallow_plug!B84</f>
        <v>Electricity</v>
      </c>
      <c r="C32" s="1680"/>
      <c r="D32" s="1815"/>
      <c r="E32" s="1881"/>
      <c r="F32" s="1881"/>
      <c r="G32" s="1881"/>
      <c r="H32" s="1881"/>
      <c r="I32" s="1881"/>
      <c r="J32" s="1885"/>
      <c r="K32" s="1889"/>
      <c r="L32" s="1893"/>
      <c r="M32" s="1893"/>
      <c r="N32" s="1886"/>
      <c r="O32" s="1881"/>
      <c r="P32" s="1881"/>
      <c r="Q32" s="1906"/>
      <c r="R32" s="1353" t="str">
        <f>PT.anaer_lagoon!B279</f>
        <v>Fuel needed for tractor for agitating</v>
      </c>
      <c r="S32" s="1352"/>
      <c r="T32" s="1521">
        <f>PT.anaer_lagoon!O279</f>
        <v>17.670220171236593</v>
      </c>
      <c r="U32" s="1353" t="str">
        <f>PT.anaer_lagoon!F279</f>
        <v>gal/event</v>
      </c>
      <c r="W32" s="1906"/>
      <c r="X32" s="1353" t="str">
        <f>PT.anaer_lagoon!B333</f>
        <v>Diesel powered pump(s), size</v>
      </c>
      <c r="Y32" s="1352"/>
      <c r="Z32" s="1521">
        <f>PT.anaer_lagoon!O333</f>
        <v>3000</v>
      </c>
      <c r="AA32" s="1353" t="str">
        <f>PT.anaer_lagoon!F333</f>
        <v>gal/min</v>
      </c>
    </row>
    <row r="33" spans="2:27" ht="19.5" customHeight="1" x14ac:dyDescent="0.3">
      <c r="B33" s="1903" t="str">
        <f>PT.shallow_plug!B85</f>
        <v>Electricity used by recharge system</v>
      </c>
      <c r="C33" s="1904">
        <f>PT.shallow_plug!G85</f>
        <v>0.18409166374193422</v>
      </c>
      <c r="D33" s="1903" t="str">
        <f>PT.shallow_plug!C85</f>
        <v>kWh/head/year</v>
      </c>
      <c r="E33" s="1881"/>
      <c r="F33" s="1881"/>
      <c r="G33" s="1881"/>
      <c r="H33" s="1881"/>
      <c r="I33" s="1881"/>
      <c r="J33" s="1885"/>
      <c r="K33" s="1889"/>
      <c r="L33" s="1893"/>
      <c r="M33" s="1893"/>
      <c r="N33" s="1886"/>
      <c r="O33" s="1881"/>
      <c r="P33" s="1881"/>
      <c r="Q33" s="1906"/>
      <c r="R33" s="1353" t="str">
        <f>PT.anaer_lagoon!B280</f>
        <v>Number of tractors for pumping needed</v>
      </c>
      <c r="S33" s="1352"/>
      <c r="T33" s="1521">
        <f>PT.anaer_lagoon!O280</f>
        <v>1</v>
      </c>
      <c r="U33" s="1353" t="str">
        <f>PT.anaer_lagoon!F280</f>
        <v>quantity</v>
      </c>
      <c r="W33" s="1906"/>
      <c r="X33" s="1353" t="str">
        <f>PT.anaer_lagoon!B334</f>
        <v>Number of diesel powered lead pumps needed</v>
      </c>
      <c r="Y33" s="1352"/>
      <c r="Z33" s="1521">
        <f>PT.anaer_lagoon!O334</f>
        <v>1</v>
      </c>
      <c r="AA33" s="1353" t="str">
        <f>PT.anaer_lagoon!F334</f>
        <v>quantity</v>
      </c>
    </row>
    <row r="34" spans="2:27" x14ac:dyDescent="0.3">
      <c r="B34" s="1353" t="str">
        <f>PT.anaer_lagoon!B348</f>
        <v>Electricity for irrigation pump</v>
      </c>
      <c r="C34" s="1905">
        <f>PT.anaer_lagoon!O348</f>
        <v>1.8806246194612772</v>
      </c>
      <c r="D34" s="1902" t="str">
        <f>PT.anaer_lagoon!F348</f>
        <v>kWh/head/year</v>
      </c>
      <c r="E34" s="1892"/>
      <c r="F34" s="1892"/>
      <c r="G34" s="1892"/>
      <c r="H34" s="1892"/>
      <c r="I34" s="1881"/>
      <c r="J34" s="1885"/>
      <c r="K34" s="1889"/>
      <c r="L34" s="1893"/>
      <c r="M34" s="1893"/>
      <c r="N34" s="1886"/>
      <c r="O34" s="1881"/>
      <c r="P34" s="1881"/>
      <c r="Q34" s="1906"/>
      <c r="R34" s="1353" t="str">
        <f>PT.anaer_lagoon!B281</f>
        <v>Tractor for pumping, size</v>
      </c>
      <c r="S34" s="1352"/>
      <c r="T34" s="1521">
        <f>PT.anaer_lagoon!O281</f>
        <v>180</v>
      </c>
      <c r="U34" s="1353" t="str">
        <f>PT.anaer_lagoon!F281</f>
        <v>PTO hp</v>
      </c>
      <c r="W34" s="1906"/>
      <c r="X34" s="1353" t="str">
        <f>PT.anaer_lagoon!B335</f>
        <v>Number of diesel powered agitation trailers needed</v>
      </c>
      <c r="Y34" s="1352"/>
      <c r="Z34" s="1521">
        <f>PT.anaer_lagoon!O335</f>
        <v>1</v>
      </c>
      <c r="AA34" s="1353" t="str">
        <f>PT.anaer_lagoon!F335</f>
        <v>quantity</v>
      </c>
    </row>
    <row r="35" spans="2:27" x14ac:dyDescent="0.3">
      <c r="B35" s="1668" t="str">
        <f>PT.shallow_plug!B86</f>
        <v>Land footprint</v>
      </c>
      <c r="C35" s="1680"/>
      <c r="D35" s="1815"/>
      <c r="E35" s="1892"/>
      <c r="F35" s="1892"/>
      <c r="G35" s="1892"/>
      <c r="H35" s="1892"/>
      <c r="I35" s="1881"/>
      <c r="J35" s="1885"/>
      <c r="K35" s="1889"/>
      <c r="L35" s="1893"/>
      <c r="M35" s="1893"/>
      <c r="N35" s="1886"/>
      <c r="O35" s="1881"/>
      <c r="P35" s="1881"/>
      <c r="Q35" s="1906"/>
      <c r="R35" s="1353" t="str">
        <f>PT.anaer_lagoon!B282</f>
        <v>Operation time for tractor pumping</v>
      </c>
      <c r="S35" s="1352"/>
      <c r="T35" s="1521">
        <f>PT.anaer_lagoon!O282</f>
        <v>0.26270407940469342</v>
      </c>
      <c r="U35" s="1353" t="str">
        <f>PT.anaer_lagoon!F282</f>
        <v>hr/event</v>
      </c>
      <c r="W35" s="1906"/>
      <c r="X35" s="1353" t="str">
        <f>PT.anaer_lagoon!B336</f>
        <v>Number of booster pumps needed</v>
      </c>
      <c r="Y35" s="1352"/>
      <c r="Z35" s="1521">
        <f>PT.anaer_lagoon!O336</f>
        <v>1</v>
      </c>
      <c r="AA35" s="1353" t="str">
        <f>PT.anaer_lagoon!F336</f>
        <v>quantity</v>
      </c>
    </row>
    <row r="36" spans="2:27" x14ac:dyDescent="0.3">
      <c r="B36" s="1903" t="str">
        <f>PT.shallow_plug!B87</f>
        <v>Shallow pit</v>
      </c>
      <c r="C36" s="1904">
        <f>PT.shallow_plug!G87</f>
        <v>40.061693590059214</v>
      </c>
      <c r="D36" s="1903" t="str">
        <f>PT.shallow_plug!C87</f>
        <v>m2</v>
      </c>
      <c r="E36" s="904"/>
      <c r="F36" s="1881"/>
      <c r="G36" s="1883"/>
      <c r="H36" s="1881"/>
      <c r="I36" s="1881"/>
      <c r="J36" s="1885"/>
      <c r="K36" s="1889"/>
      <c r="L36" s="1893"/>
      <c r="M36" s="1893"/>
      <c r="N36" s="1886"/>
      <c r="O36" s="1881"/>
      <c r="P36" s="1881"/>
      <c r="Q36" s="1906"/>
      <c r="R36" s="1353" t="str">
        <f>PT.anaer_lagoon!B283</f>
        <v>Fuel needed for tractor for pumping</v>
      </c>
      <c r="S36" s="1352"/>
      <c r="T36" s="1521">
        <f>PT.anaer_lagoon!O283</f>
        <v>2.0806163088851717</v>
      </c>
      <c r="U36" s="1353" t="str">
        <f>PT.anaer_lagoon!F283</f>
        <v>gal/event</v>
      </c>
      <c r="W36" s="1906"/>
      <c r="X36" s="1353" t="str">
        <f>PT.anaer_lagoon!B337</f>
        <v>Operation time for pumping</v>
      </c>
      <c r="Y36" s="1352"/>
      <c r="Z36" s="1521">
        <f>PT.anaer_lagoon!O337</f>
        <v>5.7213854021243842</v>
      </c>
      <c r="AA36" s="1353" t="str">
        <f>PT.anaer_lagoon!F337</f>
        <v>hr</v>
      </c>
    </row>
    <row r="37" spans="2:27" x14ac:dyDescent="0.3">
      <c r="B37" s="1353" t="str">
        <f>PT.anaer_lagoon!B350</f>
        <v>Land for lagoon surface area</v>
      </c>
      <c r="C37" s="1905">
        <f>PT.anaer_lagoon!O350</f>
        <v>3348.7402420606995</v>
      </c>
      <c r="D37" s="1902" t="str">
        <f>PT.anaer_lagoon!F350</f>
        <v>m2</v>
      </c>
      <c r="E37" s="1894"/>
      <c r="F37" s="904"/>
      <c r="G37" s="1883"/>
      <c r="H37" s="1881"/>
      <c r="I37" s="1881"/>
      <c r="J37" s="1885"/>
      <c r="K37" s="1889"/>
      <c r="L37" s="1889"/>
      <c r="M37" s="1893"/>
      <c r="N37" s="1886"/>
      <c r="O37" s="1881"/>
      <c r="P37" s="1881"/>
      <c r="Q37" s="1906" t="str">
        <f>PT.anaer_lagoon!C284</f>
        <v>Drag hose application during non-sludge years</v>
      </c>
      <c r="R37" s="1353" t="str">
        <f>PT.anaer_lagoon!B284</f>
        <v>Size of tractor for pulling hose reel and applicator</v>
      </c>
      <c r="S37" s="1352"/>
      <c r="T37" s="1521">
        <f>PT.anaer_lagoon!O284</f>
        <v>580</v>
      </c>
      <c r="U37" s="1353" t="str">
        <f>PT.anaer_lagoon!F284</f>
        <v>PTO hp</v>
      </c>
      <c r="W37" s="1906"/>
      <c r="X37" s="1353" t="str">
        <f>PT.anaer_lagoon!B338</f>
        <v>Fuel needed for diesel powered lead pump</v>
      </c>
      <c r="Y37" s="1352"/>
      <c r="Z37" s="1521">
        <f>PT.anaer_lagoon!O338</f>
        <v>102.98493723823891</v>
      </c>
      <c r="AA37" s="1353" t="str">
        <f>PT.anaer_lagoon!F338</f>
        <v>gal/event</v>
      </c>
    </row>
    <row r="38" spans="2:27" x14ac:dyDescent="0.3">
      <c r="B38" s="1353" t="str">
        <f>PT.anaer_lagoon!B351</f>
        <v>Land for liquid application</v>
      </c>
      <c r="C38" s="1905">
        <f>PT.anaer_lagoon!O351</f>
        <v>124035.6390196201</v>
      </c>
      <c r="D38" s="1902" t="str">
        <f>PT.anaer_lagoon!F351</f>
        <v>m2</v>
      </c>
      <c r="E38" s="1886"/>
      <c r="F38" s="904"/>
      <c r="G38" s="1886"/>
      <c r="H38" s="1881"/>
      <c r="I38" s="1881"/>
      <c r="J38" s="1889"/>
      <c r="K38" s="1889"/>
      <c r="L38" s="1889"/>
      <c r="M38" s="1893"/>
      <c r="N38" s="1883"/>
      <c r="O38" s="1881"/>
      <c r="P38" s="1881"/>
      <c r="Q38" s="1906"/>
      <c r="R38" s="1353" t="str">
        <f>PT.anaer_lagoon!B285</f>
        <v>Number of tractors for pulling hose reel and applicator</v>
      </c>
      <c r="S38" s="1352"/>
      <c r="T38" s="1521">
        <f>PT.anaer_lagoon!O285</f>
        <v>1</v>
      </c>
      <c r="U38" s="1353" t="str">
        <f>PT.anaer_lagoon!F285</f>
        <v>quantity</v>
      </c>
      <c r="W38" s="1906"/>
      <c r="X38" s="1353" t="str">
        <f>PT.anaer_lagoon!B339</f>
        <v>Fuel needed for diesel powered booster pump</v>
      </c>
      <c r="Y38" s="1352"/>
      <c r="Z38" s="1521">
        <f>PT.anaer_lagoon!O339</f>
        <v>42.910390515932882</v>
      </c>
      <c r="AA38" s="1353" t="str">
        <f>PT.anaer_lagoon!F339</f>
        <v>gal/event</v>
      </c>
    </row>
    <row r="39" spans="2:27" x14ac:dyDescent="0.3">
      <c r="B39" s="1353" t="str">
        <f>PT.anaer_lagoon!B352</f>
        <v>Land for sludge application</v>
      </c>
      <c r="C39" s="1905">
        <f>PT.anaer_lagoon!O352</f>
        <v>28065.000298037998</v>
      </c>
      <c r="D39" s="1902" t="str">
        <f>PT.anaer_lagoon!F352</f>
        <v>m2</v>
      </c>
      <c r="E39" s="1881"/>
      <c r="F39" s="904"/>
      <c r="G39" s="1883"/>
      <c r="H39" s="1881"/>
      <c r="I39" s="1881"/>
      <c r="J39" s="1881"/>
      <c r="K39" s="1881"/>
      <c r="L39" s="904"/>
      <c r="M39" s="1882"/>
      <c r="N39" s="1882"/>
      <c r="O39" s="1882"/>
      <c r="P39" s="1881"/>
      <c r="Q39" s="1906"/>
      <c r="R39" s="1353" t="str">
        <f>PT.anaer_lagoon!B286</f>
        <v>Number of tractors for support with hose pulley</v>
      </c>
      <c r="S39" s="1352"/>
      <c r="T39" s="1521">
        <f>PT.anaer_lagoon!O286</f>
        <v>1</v>
      </c>
      <c r="U39" s="1353" t="str">
        <f>PT.anaer_lagoon!F286</f>
        <v>quantity</v>
      </c>
      <c r="W39" s="1906"/>
      <c r="X39" s="1353" t="str">
        <f>PT.anaer_lagoon!B340</f>
        <v>Fuel needed for diesel powered agitation trailer</v>
      </c>
      <c r="Y39" s="1352"/>
      <c r="Z39" s="1521">
        <f>PT.anaer_lagoon!O340</f>
        <v>34.328312412746307</v>
      </c>
      <c r="AA39" s="1353" t="str">
        <f>PT.anaer_lagoon!F340</f>
        <v>gal/event</v>
      </c>
    </row>
    <row r="40" spans="2:27" x14ac:dyDescent="0.3">
      <c r="B40" s="1668" t="str">
        <f>PT.shallow_plug!B88</f>
        <v>Fresh water</v>
      </c>
      <c r="C40" s="1680"/>
      <c r="D40" s="1815"/>
      <c r="E40" s="1886"/>
      <c r="F40" s="904"/>
      <c r="G40" s="1886"/>
      <c r="H40" s="1881"/>
      <c r="I40" s="1881"/>
      <c r="J40" s="1881"/>
      <c r="K40" s="1881"/>
      <c r="L40" s="1881"/>
      <c r="M40" s="1881"/>
      <c r="N40" s="904"/>
      <c r="O40" s="1881"/>
      <c r="P40" s="1881"/>
      <c r="Q40" s="1906"/>
      <c r="R40" s="1353" t="str">
        <f>PT.anaer_lagoon!B287</f>
        <v>Size of tractor for support with hose pulley</v>
      </c>
      <c r="S40" s="1352"/>
      <c r="T40" s="1521">
        <f>PT.anaer_lagoon!O287</f>
        <v>340</v>
      </c>
      <c r="U40" s="1353" t="str">
        <f>PT.anaer_lagoon!F287</f>
        <v>PTO hp</v>
      </c>
      <c r="W40" s="1906"/>
      <c r="X40" s="1353" t="str">
        <f>PT.anaer_lagoon!B341</f>
        <v>Fuel needed for pickup truck</v>
      </c>
      <c r="Y40" s="1352"/>
      <c r="Z40" s="1521">
        <f>PT.anaer_lagoon!O341</f>
        <v>5.1492468619119451</v>
      </c>
      <c r="AA40" s="1353" t="str">
        <f>PT.anaer_lagoon!F341</f>
        <v>gal/event</v>
      </c>
    </row>
    <row r="41" spans="2:27" x14ac:dyDescent="0.3">
      <c r="B41" s="1903" t="str">
        <f>PT.shallow_plug!B89</f>
        <v>Fresh water used to fill pull plug pit</v>
      </c>
      <c r="C41" s="1904">
        <f>PT.shallow_plug!G89</f>
        <v>0</v>
      </c>
      <c r="D41" s="1903" t="str">
        <f>PT.shallow_plug!C89</f>
        <v>m3/head/year</v>
      </c>
      <c r="E41" s="1886"/>
      <c r="F41" s="904"/>
      <c r="G41" s="1886"/>
      <c r="H41" s="1881"/>
      <c r="I41" s="1881"/>
      <c r="J41" s="1881"/>
      <c r="K41" s="1881"/>
      <c r="L41" s="1881"/>
      <c r="M41" s="1881"/>
      <c r="N41" s="1881"/>
      <c r="O41" s="1881"/>
      <c r="P41" s="1881"/>
      <c r="Q41" s="1906"/>
      <c r="R41" s="1353" t="str">
        <f>PT.anaer_lagoon!B288</f>
        <v>Distance from storage to field</v>
      </c>
      <c r="S41" s="1352"/>
      <c r="T41" s="1521">
        <f>PT.anaer_lagoon!O288</f>
        <v>2</v>
      </c>
      <c r="U41" s="1353" t="str">
        <f>PT.anaer_lagoon!F288</f>
        <v>miles</v>
      </c>
      <c r="W41" s="1802"/>
      <c r="X41" s="2117" t="str">
        <f>PT.anaer_lagoon!B342</f>
        <v>Number of tractors for support with hose pulley</v>
      </c>
      <c r="Y41" s="2118"/>
      <c r="Z41" s="2119">
        <f>PT.anaer_lagoon!O342</f>
        <v>1</v>
      </c>
      <c r="AA41" s="2117" t="str">
        <f>PT.anaer_lagoon!F342</f>
        <v>quantity</v>
      </c>
    </row>
    <row r="42" spans="2:27" x14ac:dyDescent="0.3">
      <c r="B42" s="1353" t="str">
        <f>PT.anaer_lagoon!B359</f>
        <v>Fresh water used to supplement flow into storage structure</v>
      </c>
      <c r="C42" s="1905">
        <f>PT.anaer_lagoon!O359</f>
        <v>0</v>
      </c>
      <c r="D42" s="1902" t="str">
        <f>PT.anaer_lagoon!F359</f>
        <v>m3/head/year</v>
      </c>
      <c r="E42" s="1886"/>
      <c r="F42" s="904"/>
      <c r="G42" s="1886"/>
      <c r="H42" s="1881"/>
      <c r="I42" s="1881"/>
      <c r="J42" s="1881"/>
      <c r="K42" s="1881"/>
      <c r="L42" s="1881"/>
      <c r="M42" s="1881"/>
      <c r="N42" s="1881"/>
      <c r="O42" s="1881"/>
      <c r="P42" s="1881"/>
      <c r="Q42" s="1906"/>
      <c r="R42" s="1353" t="str">
        <f>PT.anaer_lagoon!B289</f>
        <v>Fuel needed for tractor for pulling hose reel and applicator</v>
      </c>
      <c r="S42" s="1352"/>
      <c r="T42" s="1521">
        <f>PT.anaer_lagoon!O289</f>
        <v>25.52</v>
      </c>
      <c r="U42" s="1353" t="str">
        <f>PT.anaer_lagoon!F289</f>
        <v>gal/hr</v>
      </c>
      <c r="W42" s="1802"/>
      <c r="X42" s="1611"/>
      <c r="Y42" s="1785"/>
      <c r="Z42" s="1634"/>
      <c r="AA42" s="1611"/>
    </row>
    <row r="43" spans="2:27" x14ac:dyDescent="0.3">
      <c r="B43" s="1353" t="str">
        <f>PT.anaer_lagoon!B360</f>
        <v>Fresh water used to supplement application liquid volume</v>
      </c>
      <c r="C43" s="1905">
        <f>PT.anaer_lagoon!O360</f>
        <v>0.20147702075242208</v>
      </c>
      <c r="D43" s="1902" t="str">
        <f>PT.anaer_lagoon!F360</f>
        <v>m3/head/year</v>
      </c>
      <c r="E43" s="1886"/>
      <c r="F43" s="904"/>
      <c r="G43" s="1886"/>
      <c r="H43" s="1881"/>
      <c r="I43" s="1881"/>
      <c r="J43" s="904"/>
      <c r="K43" s="904"/>
      <c r="L43" s="904"/>
      <c r="M43" s="1881"/>
      <c r="N43" s="1881"/>
      <c r="O43" s="1881"/>
      <c r="P43" s="1881"/>
      <c r="Q43" s="1906"/>
      <c r="R43" s="1353" t="str">
        <f>PT.anaer_lagoon!B290</f>
        <v>Fuel needed for support tractor with hose pulley</v>
      </c>
      <c r="S43" s="1352"/>
      <c r="T43" s="1521">
        <f>PT.anaer_lagoon!O290</f>
        <v>14.959999999999999</v>
      </c>
      <c r="U43" s="1353" t="str">
        <f>PT.anaer_lagoon!F290</f>
        <v>gal/hr</v>
      </c>
      <c r="W43" s="1802"/>
      <c r="X43" s="1611"/>
      <c r="Y43" s="1785"/>
      <c r="Z43" s="1634"/>
      <c r="AA43" s="1611"/>
    </row>
    <row r="44" spans="2:27" x14ac:dyDescent="0.3">
      <c r="B44" s="1668" t="str">
        <f>PT.anaer_lagoon!B353</f>
        <v>Fuel</v>
      </c>
      <c r="C44" s="1680"/>
      <c r="D44" s="1815"/>
      <c r="E44" s="1881"/>
      <c r="F44" s="904"/>
      <c r="G44" s="1886"/>
      <c r="H44" s="1881"/>
      <c r="I44" s="1881"/>
      <c r="J44" s="1896"/>
      <c r="K44" s="1896"/>
      <c r="L44" s="1896"/>
      <c r="M44" s="1881"/>
      <c r="N44" s="904"/>
      <c r="O44" s="1881"/>
      <c r="P44" s="1881"/>
      <c r="Q44" s="1906"/>
      <c r="R44" s="1353" t="str">
        <f>PT.anaer_lagoon!B291</f>
        <v>Diesel powered pump(s), size</v>
      </c>
      <c r="S44" s="1352"/>
      <c r="T44" s="1521">
        <f>PT.anaer_lagoon!O291</f>
        <v>3000</v>
      </c>
      <c r="U44" s="1353" t="str">
        <f>PT.anaer_lagoon!F291</f>
        <v>gal/min</v>
      </c>
      <c r="V44" s="42"/>
      <c r="W44" s="1802"/>
      <c r="X44" s="1785"/>
      <c r="Y44" s="1785"/>
      <c r="Z44" s="1823"/>
      <c r="AA44" s="1785"/>
    </row>
    <row r="45" spans="2:27" x14ac:dyDescent="0.3">
      <c r="B45" s="1353" t="str">
        <f>PT.anaer_lagoon!B354</f>
        <v>Diesel fuel used for tanker land application of liquids</v>
      </c>
      <c r="C45" s="1905">
        <f>PT.anaer_lagoon!O354</f>
        <v>0.16735444677667005</v>
      </c>
      <c r="D45" s="1902" t="str">
        <f>PT.anaer_lagoon!F354</f>
        <v>gal/head/year</v>
      </c>
      <c r="E45" s="1881"/>
      <c r="F45" s="904"/>
      <c r="G45" s="1886"/>
      <c r="H45" s="1881"/>
      <c r="I45" s="1881"/>
      <c r="J45" s="1881"/>
      <c r="K45" s="1897"/>
      <c r="L45" s="1881"/>
      <c r="M45" s="1881"/>
      <c r="N45" s="1883"/>
      <c r="O45" s="1881"/>
      <c r="P45" s="1881"/>
      <c r="Q45" s="1906"/>
      <c r="R45" s="1353" t="str">
        <f>PT.anaer_lagoon!B292</f>
        <v>Number of diesel powered lead pumps needed</v>
      </c>
      <c r="S45" s="1352"/>
      <c r="T45" s="1521">
        <f>PT.anaer_lagoon!O292</f>
        <v>1</v>
      </c>
      <c r="U45" s="1353" t="str">
        <f>PT.anaer_lagoon!F292</f>
        <v>quantity</v>
      </c>
      <c r="V45" s="42"/>
      <c r="W45" s="1802"/>
      <c r="X45" s="1785"/>
      <c r="Y45" s="1785"/>
      <c r="Z45" s="1823"/>
      <c r="AA45" s="1785"/>
    </row>
    <row r="46" spans="2:27" x14ac:dyDescent="0.3">
      <c r="B46" s="1353" t="str">
        <f>PT.anaer_lagoon!B355</f>
        <v>Diesel fuel used for tanker land application of sludge</v>
      </c>
      <c r="C46" s="1905">
        <f>PT.anaer_lagoon!O355</f>
        <v>0.18407993529218963</v>
      </c>
      <c r="D46" s="1902" t="str">
        <f>PT.anaer_lagoon!F355</f>
        <v>gal/head/year</v>
      </c>
      <c r="E46" s="1881"/>
      <c r="F46" s="904"/>
      <c r="G46" s="1886"/>
      <c r="H46" s="1881"/>
      <c r="I46" s="1881"/>
      <c r="J46" s="1898"/>
      <c r="K46" s="1897"/>
      <c r="L46" s="1881"/>
      <c r="M46" s="1881"/>
      <c r="N46" s="1883"/>
      <c r="O46" s="1881"/>
      <c r="P46" s="1881"/>
      <c r="Q46" s="1906"/>
      <c r="R46" s="1353" t="str">
        <f>PT.anaer_lagoon!B293</f>
        <v>Number of diesel powered agitation trailers needed</v>
      </c>
      <c r="S46" s="1352"/>
      <c r="T46" s="1521">
        <f>PT.anaer_lagoon!O293</f>
        <v>1</v>
      </c>
      <c r="U46" s="1353" t="str">
        <f>PT.anaer_lagoon!F293</f>
        <v>quantity</v>
      </c>
      <c r="V46" s="42"/>
      <c r="W46" s="1802"/>
      <c r="X46" s="1785"/>
      <c r="Y46" s="1785"/>
      <c r="Z46" s="1823"/>
      <c r="AA46" s="1785"/>
    </row>
    <row r="47" spans="2:27" x14ac:dyDescent="0.3">
      <c r="B47" s="1353" t="str">
        <f>PT.anaer_lagoon!B356</f>
        <v>Diesel fuel used for drag hose land application of liquids</v>
      </c>
      <c r="C47" s="1905">
        <f>PT.anaer_lagoon!O356</f>
        <v>5.5309366605758262E-2</v>
      </c>
      <c r="D47" s="1902" t="str">
        <f>PT.anaer_lagoon!F356</f>
        <v>gal/head/year</v>
      </c>
      <c r="E47" s="1881"/>
      <c r="F47" s="904"/>
      <c r="G47" s="1883"/>
      <c r="H47" s="1881"/>
      <c r="I47" s="1881"/>
      <c r="J47" s="1898"/>
      <c r="K47" s="1897"/>
      <c r="L47" s="1881"/>
      <c r="M47" s="1881"/>
      <c r="N47" s="1883"/>
      <c r="O47" s="1881"/>
      <c r="P47" s="1881"/>
      <c r="Q47" s="1906"/>
      <c r="R47" s="1353" t="str">
        <f>PT.anaer_lagoon!B294</f>
        <v>Number of booster pumps needed</v>
      </c>
      <c r="S47" s="1352"/>
      <c r="T47" s="1521">
        <f>PT.anaer_lagoon!O294</f>
        <v>1</v>
      </c>
      <c r="U47" s="1353" t="str">
        <f>PT.anaer_lagoon!F294</f>
        <v>quantity</v>
      </c>
      <c r="V47" s="42"/>
      <c r="W47" s="1802"/>
      <c r="X47" s="1785"/>
      <c r="Y47" s="1785"/>
      <c r="Z47" s="1823"/>
      <c r="AA47" s="1785"/>
    </row>
    <row r="48" spans="2:27" ht="24.75" customHeight="1" x14ac:dyDescent="0.3">
      <c r="B48" s="1353" t="str">
        <f>PT.anaer_lagoon!B357</f>
        <v>Diesel fuel used for drag hose land application of sludge</v>
      </c>
      <c r="C48" s="1905">
        <f>PT.anaer_lagoon!O357</f>
        <v>9.0342964053704872E-2</v>
      </c>
      <c r="D48" s="1902" t="str">
        <f>PT.anaer_lagoon!F357</f>
        <v>gal/head/year</v>
      </c>
      <c r="E48" s="1881"/>
      <c r="F48" s="904"/>
      <c r="G48" s="1883"/>
      <c r="H48" s="1881"/>
      <c r="I48" s="1881"/>
      <c r="J48" s="1898"/>
      <c r="K48" s="1897"/>
      <c r="L48" s="1881"/>
      <c r="M48" s="1881"/>
      <c r="N48" s="1883"/>
      <c r="O48" s="1881"/>
      <c r="P48" s="1881"/>
      <c r="Q48" s="1906"/>
      <c r="R48" s="1353" t="str">
        <f>PT.anaer_lagoon!B295</f>
        <v>Operation time for pumping</v>
      </c>
      <c r="S48" s="1352"/>
      <c r="T48" s="1521">
        <f>PT.anaer_lagoon!O295</f>
        <v>0.17513605293646226</v>
      </c>
      <c r="U48" s="1353" t="str">
        <f>PT.anaer_lagoon!F295</f>
        <v>hr</v>
      </c>
      <c r="W48" s="1802"/>
      <c r="X48" s="1785"/>
      <c r="Y48" s="1785"/>
      <c r="Z48" s="1823"/>
      <c r="AA48" s="1785"/>
    </row>
    <row r="49" spans="2:21" x14ac:dyDescent="0.3">
      <c r="B49" s="1880" t="s">
        <v>7085</v>
      </c>
      <c r="C49" s="1399">
        <f>C45+C46</f>
        <v>0.35143438206885969</v>
      </c>
      <c r="D49" s="510" t="s">
        <v>2497</v>
      </c>
      <c r="E49" s="1881"/>
      <c r="F49" s="904"/>
      <c r="G49" s="1883"/>
      <c r="H49" s="1881"/>
      <c r="I49" s="1881"/>
      <c r="J49" s="1881"/>
      <c r="K49" s="1881"/>
      <c r="L49" s="1881"/>
      <c r="M49" s="1881"/>
      <c r="N49" s="1892"/>
      <c r="O49" s="904"/>
      <c r="P49" s="1881"/>
      <c r="Q49" s="1906"/>
      <c r="R49" s="1353" t="s">
        <v>5714</v>
      </c>
      <c r="S49" s="1352"/>
      <c r="T49" s="1521">
        <f>PT.anaer_lagoon!O296</f>
        <v>3.1524489528563207</v>
      </c>
      <c r="U49" s="1353" t="str">
        <f>PT.anaer_lagoon!F296</f>
        <v>gal/event</v>
      </c>
    </row>
    <row r="50" spans="2:21" ht="15.75" customHeight="1" x14ac:dyDescent="0.3">
      <c r="B50" s="1880" t="s">
        <v>7086</v>
      </c>
      <c r="C50" s="1905">
        <f>C47+C48</f>
        <v>0.14565233065946315</v>
      </c>
      <c r="D50" s="1902" t="s">
        <v>2497</v>
      </c>
      <c r="E50" s="1881"/>
      <c r="F50" s="904"/>
      <c r="G50" s="1884"/>
      <c r="H50" s="1881"/>
      <c r="I50" s="1881"/>
      <c r="J50" s="1881"/>
      <c r="K50" s="1881"/>
      <c r="L50" s="1881"/>
      <c r="M50" s="1881"/>
      <c r="N50" s="1881"/>
      <c r="O50" s="1881"/>
      <c r="P50" s="1881"/>
      <c r="Q50" s="1906"/>
      <c r="R50" s="1353" t="str">
        <f>PT.anaer_lagoon!B297</f>
        <v>Fuel needed for diesel powered booster pump</v>
      </c>
      <c r="S50" s="1352"/>
      <c r="T50" s="1521">
        <f>PT.anaer_lagoon!O297</f>
        <v>1.313520397023467</v>
      </c>
      <c r="U50" s="1353" t="str">
        <f>PT.anaer_lagoon!F297</f>
        <v>gal/event</v>
      </c>
    </row>
    <row r="51" spans="2:21" x14ac:dyDescent="0.3">
      <c r="B51" s="1668" t="str">
        <f>PT.anaer_lagoon!B361</f>
        <v>Slurry nutrient contents</v>
      </c>
      <c r="C51" s="1680"/>
      <c r="D51" s="1815"/>
      <c r="E51" s="1881"/>
      <c r="F51" s="904"/>
      <c r="G51" s="1884"/>
      <c r="H51" s="1881"/>
      <c r="I51" s="1881"/>
      <c r="J51" s="1881"/>
      <c r="K51" s="1881"/>
      <c r="L51" s="1881"/>
      <c r="M51" s="1881"/>
      <c r="N51" s="1881"/>
      <c r="O51" s="1881"/>
      <c r="P51" s="1881"/>
      <c r="Q51" s="1906"/>
      <c r="R51" s="1353" t="str">
        <f>PT.anaer_lagoon!B298</f>
        <v>Fuel needed for diesel powered agitation trailer</v>
      </c>
      <c r="S51" s="1352"/>
      <c r="T51" s="1521">
        <f>PT.anaer_lagoon!O298</f>
        <v>1.0508163176187735</v>
      </c>
      <c r="U51" s="1353" t="str">
        <f>PT.anaer_lagoon!F298</f>
        <v>gal/event</v>
      </c>
    </row>
    <row r="52" spans="2:21" x14ac:dyDescent="0.3">
      <c r="B52" s="1351" t="str">
        <f>PT.anaer_lagoon!B362</f>
        <v>Total N accumulated in liquids</v>
      </c>
      <c r="C52" s="1905">
        <f>PT.anaer_lagoon!O362</f>
        <v>5.6892662039166897</v>
      </c>
      <c r="D52" s="1902" t="str">
        <f>PT.anaer_lagoon!F362</f>
        <v>kg/head/year</v>
      </c>
      <c r="E52" s="1881"/>
      <c r="F52" s="904"/>
      <c r="G52" s="1886"/>
      <c r="H52" s="1881"/>
      <c r="I52" s="1881"/>
      <c r="J52" s="1881"/>
      <c r="K52" s="1881"/>
      <c r="L52" s="1881"/>
      <c r="M52" s="1881"/>
      <c r="N52" s="1881"/>
      <c r="O52" s="1881"/>
      <c r="P52" s="1881"/>
      <c r="Q52" s="1906"/>
      <c r="R52" s="1353" t="str">
        <f>PT.anaer_lagoon!B299</f>
        <v>Fuel needed for pickup truck</v>
      </c>
      <c r="S52" s="1352"/>
      <c r="T52" s="1521">
        <f>PT.anaer_lagoon!O299</f>
        <v>0.15762244764281602</v>
      </c>
      <c r="U52" s="1353" t="str">
        <f>PT.anaer_lagoon!F299</f>
        <v>gal/event</v>
      </c>
    </row>
    <row r="53" spans="2:21" x14ac:dyDescent="0.3">
      <c r="B53" s="1351" t="str">
        <f>PT.anaer_lagoon!B363</f>
        <v>Total P2O5 accumulated in liquids</v>
      </c>
      <c r="C53" s="1905">
        <f>PT.anaer_lagoon!O363</f>
        <v>3.6537102250000002</v>
      </c>
      <c r="D53" s="1902" t="str">
        <f>PT.anaer_lagoon!F363</f>
        <v>kg/head/year</v>
      </c>
      <c r="E53" s="1881"/>
      <c r="F53" s="904"/>
      <c r="G53" s="1886"/>
      <c r="H53" s="1881"/>
      <c r="I53" s="1881"/>
      <c r="J53" s="1881"/>
      <c r="K53" s="1881"/>
      <c r="L53" s="1881"/>
      <c r="M53" s="1881"/>
      <c r="N53" s="1881"/>
      <c r="O53" s="1899"/>
      <c r="P53" s="1881"/>
      <c r="Q53" s="1906" t="str">
        <f>PT.anaer_lagoon!C300</f>
        <v>Manure costs and excess</v>
      </c>
      <c r="R53" s="1353" t="str">
        <f>PT.anaer_lagoon!B300</f>
        <v>Excess volume, lagoon liquid manure</v>
      </c>
      <c r="S53" s="1352"/>
      <c r="T53" s="1521">
        <f>PT.anaer_lagoon!O300</f>
        <v>0</v>
      </c>
      <c r="U53" s="1353" t="str">
        <f>PT.anaer_lagoon!F300</f>
        <v>1000 gal/year</v>
      </c>
    </row>
    <row r="54" spans="2:21" x14ac:dyDescent="0.3">
      <c r="B54" s="1351" t="str">
        <f>PT.anaer_lagoon!B364</f>
        <v>Total K2O accumulated in liquids</v>
      </c>
      <c r="C54" s="1905">
        <f>PT.anaer_lagoon!O364</f>
        <v>5.5517686249999993</v>
      </c>
      <c r="D54" s="1902" t="str">
        <f>PT.anaer_lagoon!F364</f>
        <v>kg/head/year</v>
      </c>
      <c r="E54" s="1881"/>
      <c r="F54" s="904"/>
      <c r="G54" s="1886"/>
      <c r="H54" s="1881"/>
      <c r="I54" s="1881"/>
      <c r="J54" s="1881"/>
      <c r="K54" s="1881"/>
      <c r="L54" s="1881"/>
      <c r="M54" s="1881"/>
      <c r="N54" s="1881"/>
      <c r="O54" s="1886"/>
      <c r="P54" s="1881"/>
      <c r="Q54" s="1906"/>
      <c r="R54" s="1353" t="str">
        <f>PT.anaer_lagoon!B301</f>
        <v>Excess volume, lagoon sludge manure</v>
      </c>
      <c r="S54" s="1352"/>
      <c r="T54" s="1521">
        <f>PT.anaer_lagoon!O301</f>
        <v>502.03439246564983</v>
      </c>
      <c r="U54" s="1353" t="str">
        <f>PT.anaer_lagoon!F301</f>
        <v>1000 gal/event</v>
      </c>
    </row>
    <row r="55" spans="2:21" x14ac:dyDescent="0.3">
      <c r="B55" s="1668" t="str">
        <f>PT.anaer_lagoon!B365</f>
        <v>Sludge nutrient contents</v>
      </c>
      <c r="C55" s="1680"/>
      <c r="D55" s="1815"/>
      <c r="E55" s="1881"/>
      <c r="F55" s="904"/>
      <c r="G55" s="1886"/>
      <c r="H55" s="1881"/>
      <c r="I55" s="1881"/>
      <c r="J55" s="1881"/>
      <c r="K55" s="1881"/>
      <c r="L55" s="1881"/>
      <c r="M55" s="1881"/>
      <c r="N55" s="1881"/>
      <c r="O55" s="1900"/>
      <c r="P55" s="1881"/>
      <c r="Q55" s="1906"/>
      <c r="R55" s="1353" t="str">
        <f>PT.anaer_lagoon!B302</f>
        <v>Fertilizer value for on-farm use, liquids</v>
      </c>
      <c r="S55" s="1352"/>
      <c r="T55" s="1521">
        <f>PT.anaer_lagoon!O302</f>
        <v>5292.384684415726</v>
      </c>
      <c r="U55" s="1353" t="str">
        <f>PT.anaer_lagoon!F302</f>
        <v>$/year</v>
      </c>
    </row>
    <row r="56" spans="2:21" ht="21.75" customHeight="1" x14ac:dyDescent="0.3">
      <c r="B56" s="1351" t="str">
        <f>PT.anaer_lagoon!B366</f>
        <v>Total N accumulated in sludge</v>
      </c>
      <c r="C56" s="1905">
        <f>PT.anaer_lagoon!O366</f>
        <v>1.4223165509791718</v>
      </c>
      <c r="D56" s="1902" t="str">
        <f>PT.anaer_lagoon!F366</f>
        <v>kg/head/year</v>
      </c>
      <c r="E56" s="1881"/>
      <c r="F56" s="1881"/>
      <c r="G56" s="1881"/>
      <c r="H56" s="1881"/>
      <c r="I56" s="1881"/>
      <c r="J56" s="1898"/>
      <c r="K56" s="1897"/>
      <c r="L56" s="1881"/>
      <c r="M56" s="1881"/>
      <c r="N56" s="1881"/>
      <c r="O56" s="1901"/>
      <c r="P56" s="1881"/>
      <c r="Q56" s="1906"/>
      <c r="R56" s="1353" t="str">
        <f>PT.anaer_lagoon!B303</f>
        <v>Fertilizer value for on-farm use, sludge</v>
      </c>
      <c r="S56" s="1352"/>
      <c r="T56" s="1521">
        <f>PT.anaer_lagoon!O303</f>
        <v>9409.3847903288861</v>
      </c>
      <c r="U56" s="1353" t="str">
        <f>PT.anaer_lagoon!F303</f>
        <v>$/event</v>
      </c>
    </row>
    <row r="57" spans="2:21" ht="21.75" customHeight="1" x14ac:dyDescent="0.3">
      <c r="B57" s="1351" t="str">
        <f>PT.anaer_lagoon!B367</f>
        <v>Total P2O5 accumulated in sludge</v>
      </c>
      <c r="C57" s="1905">
        <f>PT.anaer_lagoon!O367</f>
        <v>2.9893992749999998</v>
      </c>
      <c r="D57" s="1902" t="str">
        <f>PT.anaer_lagoon!F367</f>
        <v>kg/head/year</v>
      </c>
      <c r="E57" s="1892"/>
      <c r="F57" s="1892"/>
      <c r="G57" s="1892"/>
      <c r="H57" s="1892"/>
      <c r="I57" s="1881"/>
      <c r="J57" s="1898"/>
      <c r="K57" s="1897"/>
      <c r="L57" s="1881"/>
      <c r="M57" s="1881"/>
      <c r="N57" s="1881"/>
      <c r="O57" s="1881"/>
      <c r="P57" s="1881"/>
    </row>
    <row r="58" spans="2:21" ht="20.25" customHeight="1" x14ac:dyDescent="0.3">
      <c r="B58" s="1351" t="str">
        <f>PT.anaer_lagoon!B368</f>
        <v>Total K2O accumulated in sludge</v>
      </c>
      <c r="C58" s="1905">
        <f>PT.anaer_lagoon!O368</f>
        <v>2.9894138749999994</v>
      </c>
      <c r="D58" s="1902" t="str">
        <f>PT.anaer_lagoon!F368</f>
        <v>kg/head/year</v>
      </c>
      <c r="E58" s="1881"/>
      <c r="F58" s="1881"/>
      <c r="G58" s="1886"/>
      <c r="H58" s="1881"/>
      <c r="I58" s="1886"/>
      <c r="J58" s="1898"/>
      <c r="K58" s="1897"/>
      <c r="L58" s="1881"/>
      <c r="M58" s="1881"/>
      <c r="N58" s="1881"/>
      <c r="O58" s="1881"/>
      <c r="P58" s="1881"/>
      <c r="Q58" s="49" t="s">
        <v>5925</v>
      </c>
      <c r="R58" s="18" t="s">
        <v>5724</v>
      </c>
      <c r="S58" s="49"/>
      <c r="T58" s="1360">
        <f>PT.shallow_plug!G19</f>
        <v>72.912282333907768</v>
      </c>
      <c r="U58" s="49" t="s">
        <v>2479</v>
      </c>
    </row>
    <row r="59" spans="2:21" x14ac:dyDescent="0.3">
      <c r="B59" s="1668" t="str">
        <f>PT.anaer_lagoon!B369</f>
        <v>Excess slurry nutrient application</v>
      </c>
      <c r="C59" s="1680"/>
      <c r="D59" s="1815"/>
      <c r="E59" s="1886"/>
      <c r="F59" s="1881"/>
      <c r="G59" s="1886"/>
      <c r="H59" s="1881"/>
      <c r="I59" s="1886"/>
      <c r="J59" s="1881"/>
      <c r="K59" s="1881"/>
      <c r="L59" s="1881"/>
      <c r="M59" s="1881"/>
      <c r="N59" s="1881"/>
      <c r="O59" s="1881"/>
      <c r="P59" s="1881"/>
      <c r="Q59" s="1802"/>
      <c r="R59" s="1785"/>
      <c r="S59" s="1785"/>
      <c r="T59" s="1823"/>
      <c r="U59" s="1785"/>
    </row>
    <row r="60" spans="2:21" x14ac:dyDescent="0.3">
      <c r="B60" s="1351" t="str">
        <f>PT.anaer_lagoon!B370</f>
        <v>Excess N from liquids</v>
      </c>
      <c r="C60" s="1905">
        <f>PT.anaer_lagoon!O370</f>
        <v>0</v>
      </c>
      <c r="D60" s="1902" t="str">
        <f>PT.anaer_lagoon!F370</f>
        <v>kg/head/year</v>
      </c>
      <c r="E60" s="1881"/>
      <c r="F60" s="1881"/>
      <c r="G60" s="1886"/>
      <c r="H60" s="1881"/>
      <c r="I60" s="1886"/>
      <c r="J60" s="904"/>
      <c r="K60" s="1881"/>
      <c r="L60" s="1881"/>
      <c r="M60" s="1881"/>
      <c r="N60" s="1881"/>
      <c r="O60" s="1881"/>
      <c r="P60" s="1881"/>
      <c r="Q60" s="1802"/>
      <c r="R60" s="1785"/>
      <c r="S60" s="1785"/>
      <c r="T60" s="1823"/>
      <c r="U60" s="1785"/>
    </row>
    <row r="61" spans="2:21" x14ac:dyDescent="0.3">
      <c r="B61" s="1351" t="str">
        <f>PT.anaer_lagoon!B371</f>
        <v>Excess P2O5 from liquids</v>
      </c>
      <c r="C61" s="1905">
        <f>PT.anaer_lagoon!O371</f>
        <v>1.9417443573008482</v>
      </c>
      <c r="D61" s="1902" t="str">
        <f>PT.anaer_lagoon!F371</f>
        <v>kg/head/year</v>
      </c>
      <c r="E61" s="1881"/>
      <c r="F61" s="1881"/>
      <c r="G61" s="1883"/>
      <c r="H61" s="1881"/>
      <c r="I61" s="1886"/>
      <c r="J61" s="1881"/>
      <c r="K61" s="1881"/>
      <c r="L61" s="1900"/>
      <c r="M61" s="1881"/>
      <c r="N61" s="1881"/>
      <c r="O61" s="1881"/>
      <c r="P61" s="1881"/>
      <c r="Q61" s="1802"/>
      <c r="R61" s="1785"/>
      <c r="S61" s="1785"/>
      <c r="T61" s="1823"/>
      <c r="U61" s="1785"/>
    </row>
    <row r="62" spans="2:21" ht="27" customHeight="1" x14ac:dyDescent="0.3">
      <c r="B62" s="1351" t="str">
        <f>PT.anaer_lagoon!B372</f>
        <v>Excess K2O from liquids</v>
      </c>
      <c r="C62" s="1905">
        <f>PT.anaer_lagoon!O372</f>
        <v>3.0493098588242256</v>
      </c>
      <c r="D62" s="1902" t="str">
        <f>PT.anaer_lagoon!F372</f>
        <v>kg/head/year</v>
      </c>
      <c r="E62" s="1886"/>
      <c r="F62" s="1881"/>
      <c r="G62" s="1886"/>
      <c r="H62" s="1881"/>
      <c r="I62" s="1886"/>
      <c r="J62" s="1881"/>
      <c r="K62" s="1881"/>
      <c r="L62" s="1900"/>
      <c r="M62" s="1881"/>
      <c r="N62" s="1881"/>
      <c r="O62" s="1881"/>
      <c r="P62" s="1881"/>
      <c r="Q62" s="1802"/>
      <c r="R62" s="1785"/>
      <c r="S62" s="1785"/>
      <c r="T62" s="1823"/>
      <c r="U62" s="1785"/>
    </row>
    <row r="63" spans="2:21" x14ac:dyDescent="0.3">
      <c r="B63" s="1668" t="str">
        <f>PT.anaer_lagoon!B373</f>
        <v>Excess sludge nutrient application</v>
      </c>
      <c r="C63" s="1680"/>
      <c r="D63" s="1815"/>
      <c r="E63" s="1886"/>
      <c r="F63" s="1881"/>
      <c r="G63" s="1886"/>
      <c r="H63" s="1881"/>
      <c r="I63" s="1886"/>
      <c r="J63" s="1881"/>
      <c r="K63" s="1881"/>
      <c r="L63" s="1900"/>
      <c r="M63" s="1894"/>
      <c r="N63" s="1881"/>
      <c r="O63" s="1881"/>
      <c r="P63" s="1881"/>
      <c r="Q63" s="1802"/>
      <c r="R63" s="1785"/>
      <c r="S63" s="1785"/>
      <c r="T63" s="1823"/>
      <c r="U63" s="1785"/>
    </row>
    <row r="64" spans="2:21" x14ac:dyDescent="0.3">
      <c r="B64" s="1351" t="str">
        <f>PT.anaer_lagoon!B374</f>
        <v>Excess N from sludge</v>
      </c>
      <c r="C64" s="1905">
        <f>PT.anaer_lagoon!O374</f>
        <v>0</v>
      </c>
      <c r="D64" s="1902" t="str">
        <f>PT.anaer_lagoon!F374</f>
        <v>kg/head/year</v>
      </c>
      <c r="E64" s="1881"/>
      <c r="F64" s="1881"/>
      <c r="G64" s="1886"/>
      <c r="H64" s="1881"/>
      <c r="I64" s="1886"/>
      <c r="J64" s="1881"/>
      <c r="K64" s="1881"/>
      <c r="L64" s="1900"/>
      <c r="M64" s="1881"/>
      <c r="N64" s="1881"/>
      <c r="O64" s="1881"/>
      <c r="P64" s="1881"/>
      <c r="Q64" s="1802"/>
      <c r="R64" s="1785"/>
      <c r="S64" s="1785"/>
      <c r="T64" s="1823"/>
      <c r="U64" s="1785"/>
    </row>
    <row r="65" spans="2:4" ht="21.75" customHeight="1" x14ac:dyDescent="0.3">
      <c r="B65" s="1351" t="str">
        <f>PT.anaer_lagoon!B375</f>
        <v>Excess P2O5 from sludge</v>
      </c>
      <c r="C65" s="1905">
        <f>PT.anaer_lagoon!O375</f>
        <v>1.3013506179319945</v>
      </c>
      <c r="D65" s="1902" t="str">
        <f>PT.anaer_lagoon!F375</f>
        <v>kg/head/year</v>
      </c>
    </row>
    <row r="66" spans="2:4" x14ac:dyDescent="0.3">
      <c r="B66" s="1351" t="str">
        <f>PT.anaer_lagoon!B376</f>
        <v>Excess K2O from sludge</v>
      </c>
      <c r="C66" s="1905">
        <f>PT.anaer_lagoon!O376</f>
        <v>1.1678661750621568</v>
      </c>
      <c r="D66" s="1902" t="str">
        <f>PT.anaer_lagoon!F376</f>
        <v>kg/head/year</v>
      </c>
    </row>
    <row r="67" spans="2:4" x14ac:dyDescent="0.3">
      <c r="B67" s="1668" t="str">
        <f>PT.anaer_lagoon!B377</f>
        <v>Emissions</v>
      </c>
      <c r="C67" s="1680"/>
      <c r="D67" s="1815"/>
    </row>
    <row r="68" spans="2:4" x14ac:dyDescent="0.3">
      <c r="B68" s="1351" t="str">
        <f>PT.anaer_lagoon!B378</f>
        <v>CH4 from lagoon</v>
      </c>
      <c r="C68" s="1905">
        <f>PT.anaer_lagoon!O378</f>
        <v>30.759158784959986</v>
      </c>
      <c r="D68" s="1902" t="str">
        <f>PT.anaer_lagoon!F378</f>
        <v>kg/head/year</v>
      </c>
    </row>
    <row r="69" spans="2:4" x14ac:dyDescent="0.3">
      <c r="B69" s="1351" t="str">
        <f>PT.anaer_lagoon!B379</f>
        <v>NH3 from lagoon</v>
      </c>
      <c r="C69" s="1905">
        <f>PT.anaer_lagoon!O379</f>
        <v>7.1115827548958617</v>
      </c>
      <c r="D69" s="1902" t="str">
        <f>PT.anaer_lagoon!F379</f>
        <v>kg/head/year</v>
      </c>
    </row>
    <row r="70" spans="2:4" x14ac:dyDescent="0.3">
      <c r="B70" s="1351" t="str">
        <f>PT.anaer_lagoon!B380</f>
        <v>N2O direct from lagoon</v>
      </c>
      <c r="C70" s="1905">
        <f>PT.anaer_lagoon!O380</f>
        <v>0</v>
      </c>
      <c r="D70" s="1902" t="str">
        <f>PT.anaer_lagoon!F380</f>
        <v>kg/head/year</v>
      </c>
    </row>
    <row r="71" spans="2:4" x14ac:dyDescent="0.3">
      <c r="B71" s="1351" t="str">
        <f>PT.anaer_lagoon!B381</f>
        <v>N2O indirect from lagoon</v>
      </c>
      <c r="C71" s="1905">
        <f>PT.anaer_lagoon!O381</f>
        <v>0.156451975974607</v>
      </c>
      <c r="D71" s="1902" t="str">
        <f>PT.anaer_lagoon!F381</f>
        <v>kg/head/year</v>
      </c>
    </row>
    <row r="72" spans="2:4" x14ac:dyDescent="0.3">
      <c r="B72" t="str">
        <f>PT.shallow_plug!B91</f>
        <v>CH4 from shallow plug</v>
      </c>
      <c r="C72" s="78">
        <f>PT.shallow_plug!G91</f>
        <v>1.9630090140970797</v>
      </c>
      <c r="D72" s="279" t="str">
        <f>PT.shallow_plug!C91</f>
        <v>kg/head/year</v>
      </c>
    </row>
    <row r="73" spans="2:4" x14ac:dyDescent="0.3">
      <c r="B73" t="str">
        <f>PT.shallow_plug!B92</f>
        <v>NH3 from shallow plug</v>
      </c>
      <c r="C73" s="78">
        <f>PT.shallow_plug!G92</f>
        <v>4.7450821249999997</v>
      </c>
      <c r="D73" s="279" t="str">
        <f>PT.shallow_plug!C92</f>
        <v>kg/head/year</v>
      </c>
    </row>
    <row r="74" spans="2:4" x14ac:dyDescent="0.3">
      <c r="B74" t="str">
        <f>PT.shallow_plug!B93</f>
        <v>Direct N2O from shallow plug</v>
      </c>
      <c r="C74" s="78">
        <f>PT.shallow_plug!G93</f>
        <v>5.9651376409799999E-2</v>
      </c>
      <c r="D74" s="279" t="str">
        <f>PT.shallow_plug!C93</f>
        <v>kg/head/year</v>
      </c>
    </row>
    <row r="75" spans="2:4" x14ac:dyDescent="0.3">
      <c r="B75" t="str">
        <f>PT.shallow_plug!B94</f>
        <v>Indirect N2O from shallow plug</v>
      </c>
      <c r="C75" s="78">
        <f>PT.shallow_plug!G94</f>
        <v>0.10438990871715</v>
      </c>
      <c r="D75" s="279" t="str">
        <f>PT.shallow_plug!C94</f>
        <v>kg/head/year</v>
      </c>
    </row>
    <row r="153" spans="21:21" x14ac:dyDescent="0.3">
      <c r="U153"/>
    </row>
    <row r="154" spans="21:21" x14ac:dyDescent="0.3">
      <c r="U154"/>
    </row>
    <row r="155" spans="21:21" x14ac:dyDescent="0.3">
      <c r="U155"/>
    </row>
    <row r="156" spans="21:21" x14ac:dyDescent="0.3">
      <c r="U156"/>
    </row>
    <row r="157" spans="21:21" x14ac:dyDescent="0.3">
      <c r="U157"/>
    </row>
    <row r="158" spans="21:21" x14ac:dyDescent="0.3">
      <c r="U158"/>
    </row>
    <row r="159" spans="21:21" x14ac:dyDescent="0.3">
      <c r="U159"/>
    </row>
    <row r="160" spans="21:21" x14ac:dyDescent="0.3">
      <c r="U160"/>
    </row>
    <row r="161" spans="21:21" x14ac:dyDescent="0.3">
      <c r="U161"/>
    </row>
    <row r="162" spans="21:21" x14ac:dyDescent="0.3">
      <c r="U162"/>
    </row>
    <row r="163" spans="21:21" ht="13.5" customHeight="1" x14ac:dyDescent="0.3">
      <c r="U163"/>
    </row>
    <row r="164" spans="21:21" ht="13.5" customHeight="1" x14ac:dyDescent="0.3">
      <c r="U164"/>
    </row>
    <row r="165" spans="21:21" ht="13.5" customHeight="1" x14ac:dyDescent="0.3">
      <c r="U165"/>
    </row>
    <row r="166" spans="21:21" ht="13.5" customHeight="1" x14ac:dyDescent="0.3">
      <c r="U166"/>
    </row>
    <row r="167" spans="21:21" ht="13.5" customHeight="1" x14ac:dyDescent="0.3">
      <c r="U167"/>
    </row>
    <row r="168" spans="21:21" ht="13.5" customHeight="1" x14ac:dyDescent="0.3">
      <c r="U168"/>
    </row>
    <row r="169" spans="21:21" ht="13.5" customHeight="1" x14ac:dyDescent="0.3">
      <c r="U169"/>
    </row>
    <row r="170" spans="21:21" ht="13.5" customHeight="1" x14ac:dyDescent="0.3">
      <c r="U170"/>
    </row>
    <row r="171" spans="21:21" x14ac:dyDescent="0.3">
      <c r="U171"/>
    </row>
    <row r="172" spans="21:21" x14ac:dyDescent="0.3">
      <c r="U172"/>
    </row>
    <row r="298" spans="1:11" ht="15" thickBot="1" x14ac:dyDescent="0.35">
      <c r="A298" s="137"/>
      <c r="B298" s="137"/>
      <c r="C298" s="137"/>
      <c r="D298" s="137"/>
      <c r="E298" s="137"/>
      <c r="F298" s="137"/>
      <c r="G298" s="137"/>
      <c r="H298" s="137"/>
      <c r="I298" s="137"/>
      <c r="J298" s="137"/>
      <c r="K298" s="137"/>
    </row>
    <row r="299" spans="1:11" x14ac:dyDescent="0.3">
      <c r="D299"/>
      <c r="E299" s="2116"/>
      <c r="F299"/>
      <c r="G299"/>
      <c r="H299"/>
      <c r="K299" s="2116"/>
    </row>
    <row r="300" spans="1:11" x14ac:dyDescent="0.3">
      <c r="B300" s="82" t="s">
        <v>6938</v>
      </c>
    </row>
    <row r="301" spans="1:11" x14ac:dyDescent="0.3">
      <c r="B301" t="s">
        <v>5209</v>
      </c>
    </row>
    <row r="302" spans="1:11" x14ac:dyDescent="0.3">
      <c r="B302" t="s">
        <v>5210</v>
      </c>
    </row>
    <row r="303" spans="1:11" x14ac:dyDescent="0.3">
      <c r="B303" t="s">
        <v>7170</v>
      </c>
    </row>
    <row r="304" spans="1:11" x14ac:dyDescent="0.3">
      <c r="B304" t="s">
        <v>7074</v>
      </c>
      <c r="C304" t="s">
        <v>5205</v>
      </c>
    </row>
    <row r="305" spans="1:25" ht="15" thickBot="1" x14ac:dyDescent="0.35">
      <c r="A305" s="137"/>
      <c r="B305" s="137"/>
      <c r="C305" s="137"/>
      <c r="D305" s="137"/>
      <c r="E305" s="137"/>
      <c r="F305" s="137"/>
      <c r="G305" s="137"/>
      <c r="H305" s="137"/>
      <c r="I305" s="137"/>
      <c r="J305" s="137"/>
      <c r="K305" s="137"/>
      <c r="L305" s="137"/>
      <c r="M305" s="137"/>
      <c r="N305" s="137"/>
      <c r="O305" s="137"/>
      <c r="P305"/>
      <c r="R305" s="20"/>
      <c r="U305"/>
      <c r="W305" s="42"/>
      <c r="Y305" s="36"/>
    </row>
    <row r="306" spans="1:25" x14ac:dyDescent="0.3">
      <c r="D306"/>
      <c r="E306"/>
      <c r="F306"/>
      <c r="G306"/>
      <c r="H306"/>
      <c r="K306"/>
      <c r="L306"/>
      <c r="P306"/>
      <c r="R306" s="20"/>
      <c r="U306"/>
      <c r="W306" s="42"/>
      <c r="Y306" s="36"/>
    </row>
    <row r="307" spans="1:25" ht="18" x14ac:dyDescent="0.35">
      <c r="B307" s="138" t="s">
        <v>6941</v>
      </c>
      <c r="C307" s="34"/>
      <c r="D307"/>
      <c r="E307"/>
      <c r="F307"/>
      <c r="G307"/>
      <c r="H307" s="355"/>
      <c r="K307"/>
      <c r="L307"/>
      <c r="P307"/>
      <c r="R307" s="20"/>
      <c r="U307"/>
      <c r="W307" s="42"/>
      <c r="Y307" s="36"/>
    </row>
    <row r="308" spans="1:25" x14ac:dyDescent="0.3">
      <c r="D308"/>
      <c r="E308"/>
      <c r="F308"/>
      <c r="G308"/>
      <c r="H308"/>
      <c r="K308"/>
      <c r="L308"/>
      <c r="P308"/>
      <c r="R308" s="20"/>
      <c r="U308"/>
      <c r="W308" s="42"/>
      <c r="Y308" s="36"/>
    </row>
    <row r="309" spans="1:25" x14ac:dyDescent="0.3">
      <c r="B309" s="139" t="s">
        <v>6942</v>
      </c>
      <c r="C309" s="140"/>
      <c r="D309" s="140"/>
      <c r="E309" s="139"/>
      <c r="F309" s="141"/>
      <c r="G309"/>
      <c r="H309"/>
      <c r="K309"/>
      <c r="L309"/>
      <c r="P309"/>
      <c r="R309" s="20"/>
      <c r="U309"/>
      <c r="W309" s="42"/>
      <c r="Y309" s="36"/>
    </row>
    <row r="310" spans="1:25" x14ac:dyDescent="0.3">
      <c r="B310" s="143" t="s">
        <v>2663</v>
      </c>
      <c r="C310" s="144" t="s">
        <v>565</v>
      </c>
      <c r="D310" s="144" t="s">
        <v>6943</v>
      </c>
      <c r="E310" s="143" t="s">
        <v>565</v>
      </c>
      <c r="F310" s="145" t="s">
        <v>6944</v>
      </c>
      <c r="G310"/>
      <c r="H310"/>
      <c r="K310"/>
      <c r="L310"/>
      <c r="P310"/>
      <c r="R310" s="20"/>
      <c r="U310"/>
      <c r="W310" s="42"/>
      <c r="Y310" s="36"/>
    </row>
    <row r="311" spans="1:25" x14ac:dyDescent="0.3">
      <c r="A311" t="s">
        <v>6945</v>
      </c>
      <c r="B311" s="149" t="s">
        <v>5724</v>
      </c>
      <c r="C311" s="295">
        <f>VLOOKUP(B311,R4:U303,3,FALSE)</f>
        <v>72.912282333907768</v>
      </c>
      <c r="D311" s="151" t="s">
        <v>2478</v>
      </c>
      <c r="E311" s="359">
        <f>CONVERT(C311,"m^3","ft^3")</f>
        <v>2574.872950525033</v>
      </c>
      <c r="F311" s="151" t="s">
        <v>2479</v>
      </c>
      <c r="G311"/>
      <c r="H311"/>
      <c r="K311"/>
      <c r="L311"/>
      <c r="P311"/>
      <c r="R311" s="20"/>
      <c r="U311"/>
      <c r="W311" s="42"/>
      <c r="Y311" s="36"/>
    </row>
    <row r="312" spans="1:25" x14ac:dyDescent="0.3">
      <c r="D312"/>
      <c r="E312"/>
      <c r="F312"/>
      <c r="G312"/>
      <c r="H312"/>
      <c r="K312"/>
      <c r="L312"/>
      <c r="P312"/>
      <c r="R312" s="20"/>
      <c r="U312"/>
      <c r="W312" s="42"/>
      <c r="Y312" s="36"/>
    </row>
    <row r="313" spans="1:25" s="369" customFormat="1" ht="43.2" x14ac:dyDescent="0.3">
      <c r="B313" s="370" t="s">
        <v>6946</v>
      </c>
      <c r="C313" s="362" t="s">
        <v>6947</v>
      </c>
      <c r="D313" s="371" t="s">
        <v>6948</v>
      </c>
      <c r="E313" s="362" t="s">
        <v>6949</v>
      </c>
      <c r="F313" s="362" t="s">
        <v>6950</v>
      </c>
      <c r="G313" s="362" t="s">
        <v>6951</v>
      </c>
      <c r="H313" s="362" t="s">
        <v>6952</v>
      </c>
      <c r="I313" s="371" t="s">
        <v>6953</v>
      </c>
      <c r="J313" s="371" t="s">
        <v>6954</v>
      </c>
      <c r="K313" s="362" t="s">
        <v>6955</v>
      </c>
      <c r="L313" s="362" t="s">
        <v>6956</v>
      </c>
      <c r="M313" s="362" t="s">
        <v>6957</v>
      </c>
      <c r="N313" s="362" t="s">
        <v>6958</v>
      </c>
      <c r="O313" s="363" t="s">
        <v>6959</v>
      </c>
    </row>
    <row r="314" spans="1:25" x14ac:dyDescent="0.3">
      <c r="A314" t="s">
        <v>6960</v>
      </c>
      <c r="B314" s="99" t="s">
        <v>6961</v>
      </c>
      <c r="C314" s="153">
        <f>VLOOKUP("Deep and shallow pit constructiona",Econ.Equations!C:E,2,FALSE)*E311^VLOOKUP("Deep and shallow pit constructionb",Econ.Equations!$C:$E,2,FALSE)*E311</f>
        <v>17700.891908535374</v>
      </c>
      <c r="D314">
        <f>VLOOKUP("CAPEXLifetimeBuildings and constructionDefault",Econ.inputsTable!$E:$I,2,FALSE)</f>
        <v>20</v>
      </c>
      <c r="E314" t="s">
        <v>2852</v>
      </c>
      <c r="F314" t="s">
        <v>2852</v>
      </c>
      <c r="G314" s="154">
        <f>VLOOKUP("CAPEXAnnual usage on activityItems that are used only on the given activityDefault",Econ.inputsTable!$E:$I,2,FALSE)</f>
        <v>1</v>
      </c>
      <c r="H314" s="503">
        <f>UDV.econ_capital.interest_rate</f>
        <v>5.0999999999999997E-2</v>
      </c>
      <c r="I314" s="155">
        <f>VLOOKUP("CAPEXSalvageBuildings and constructionDefault",Econ.inputsTable!$E:$J,2,FALSE)</f>
        <v>0</v>
      </c>
      <c r="J314" s="156">
        <f>C314*I314</f>
        <v>0</v>
      </c>
      <c r="K314" s="154">
        <f>VLOOKUP("CAPEXFinanced amountNADefault",Econ.inputsTable!$E:$G,2,FALSE)</f>
        <v>1</v>
      </c>
      <c r="L314" s="364">
        <f>H314*K314</f>
        <v>5.0999999999999997E-2</v>
      </c>
      <c r="M314" s="351">
        <f>L314/(1-(1+L314)^-D314)</f>
        <v>8.0924368970045152E-2</v>
      </c>
      <c r="N314" s="153">
        <f>((C314-J314)*M314)+(J314*L314)</f>
        <v>1432.4335079052032</v>
      </c>
      <c r="O314" s="372">
        <f>N314*G314</f>
        <v>1432.4335079052032</v>
      </c>
      <c r="P314"/>
      <c r="R314" s="20"/>
      <c r="U314"/>
      <c r="W314" s="42"/>
      <c r="Y314" s="36"/>
    </row>
    <row r="315" spans="1:25" x14ac:dyDescent="0.3">
      <c r="B315" s="99"/>
      <c r="D315"/>
      <c r="E315"/>
      <c r="F315"/>
      <c r="G315"/>
      <c r="H315"/>
      <c r="K315"/>
      <c r="L315"/>
      <c r="O315" s="146"/>
      <c r="P315"/>
      <c r="R315" s="20"/>
      <c r="U315"/>
      <c r="W315" s="42"/>
      <c r="Y315" s="36"/>
    </row>
    <row r="316" spans="1:25" x14ac:dyDescent="0.3">
      <c r="B316" s="99"/>
      <c r="C316" s="82" t="s">
        <v>6962</v>
      </c>
      <c r="D316" s="82" t="s">
        <v>6963</v>
      </c>
      <c r="E316"/>
      <c r="F316"/>
      <c r="G316"/>
      <c r="H316"/>
      <c r="K316"/>
      <c r="L316"/>
      <c r="O316" s="146"/>
      <c r="P316"/>
      <c r="R316" s="20"/>
      <c r="U316"/>
      <c r="W316" s="42"/>
      <c r="Y316" s="36"/>
    </row>
    <row r="317" spans="1:25" x14ac:dyDescent="0.3">
      <c r="A317" t="s">
        <v>6945</v>
      </c>
      <c r="B317" s="99" t="s">
        <v>6964</v>
      </c>
      <c r="C317" s="153">
        <f>SUM(C314:C314)</f>
        <v>17700.891908535374</v>
      </c>
      <c r="D317" s="158">
        <f>SUMPRODUCT(C314:C314,G314:G314)</f>
        <v>17700.891908535374</v>
      </c>
      <c r="E317"/>
      <c r="F317"/>
      <c r="G317"/>
      <c r="H317"/>
      <c r="K317"/>
      <c r="L317"/>
      <c r="O317" s="146"/>
      <c r="P317"/>
      <c r="R317" s="20"/>
      <c r="U317"/>
      <c r="W317" s="42"/>
      <c r="Y317" s="36"/>
    </row>
    <row r="318" spans="1:25" x14ac:dyDescent="0.3">
      <c r="A318" t="s">
        <v>6945</v>
      </c>
      <c r="B318" s="149" t="s">
        <v>6965</v>
      </c>
      <c r="C318" s="159">
        <f>SUM(N314:N314)</f>
        <v>1432.4335079052032</v>
      </c>
      <c r="D318" s="159">
        <f>SUMPRODUCT(N314:N314,G314:G314)</f>
        <v>1432.4335079052032</v>
      </c>
      <c r="E318" s="150"/>
      <c r="F318" s="150"/>
      <c r="G318" s="150"/>
      <c r="H318" s="150"/>
      <c r="I318" s="150"/>
      <c r="J318" s="150"/>
      <c r="K318" s="150"/>
      <c r="L318" s="150"/>
      <c r="M318" s="150"/>
      <c r="N318" s="150"/>
      <c r="O318" s="151"/>
      <c r="P318"/>
      <c r="R318" s="20"/>
      <c r="U318"/>
      <c r="W318" s="42"/>
      <c r="Y318" s="36"/>
    </row>
    <row r="319" spans="1:25" x14ac:dyDescent="0.3">
      <c r="B319" s="262"/>
      <c r="C319" s="142"/>
      <c r="D319" s="142"/>
      <c r="E319" s="142"/>
      <c r="F319" s="142"/>
      <c r="G319" s="142"/>
      <c r="H319" s="142"/>
      <c r="I319" s="142"/>
      <c r="J319" s="142"/>
      <c r="K319" s="142"/>
      <c r="L319" s="142"/>
      <c r="M319" s="142"/>
      <c r="N319" s="142"/>
      <c r="O319" s="141"/>
      <c r="P319"/>
      <c r="R319" s="20"/>
      <c r="U319"/>
      <c r="W319" s="42"/>
      <c r="Y319" s="36"/>
    </row>
    <row r="320" spans="1:25" ht="28.8" x14ac:dyDescent="0.3">
      <c r="B320" s="160" t="s">
        <v>6966</v>
      </c>
      <c r="C320" s="152" t="s">
        <v>6967</v>
      </c>
      <c r="D320" s="152" t="s">
        <v>6968</v>
      </c>
      <c r="E320" s="152" t="s">
        <v>6969</v>
      </c>
      <c r="F320" s="152" t="s">
        <v>6970</v>
      </c>
      <c r="G320" s="152" t="s">
        <v>6971</v>
      </c>
      <c r="H320" s="152" t="s">
        <v>6972</v>
      </c>
      <c r="I320" s="152" t="s">
        <v>6973</v>
      </c>
      <c r="J320" s="152" t="s">
        <v>6974</v>
      </c>
      <c r="K320" s="152" t="s">
        <v>6975</v>
      </c>
      <c r="L320" s="152" t="s">
        <v>6976</v>
      </c>
      <c r="M320" s="152" t="s">
        <v>6977</v>
      </c>
      <c r="N320" s="152" t="s">
        <v>6978</v>
      </c>
      <c r="O320" s="161" t="s">
        <v>6979</v>
      </c>
      <c r="P320"/>
      <c r="R320" s="20"/>
      <c r="U320"/>
      <c r="W320" s="42"/>
      <c r="Y320" s="36"/>
    </row>
    <row r="321" spans="1:25" x14ac:dyDescent="0.3">
      <c r="B321" s="99" t="s">
        <v>6945</v>
      </c>
      <c r="C321" s="155">
        <f>VLOOKUP("OPEXInsuranceEverythingDefault",Econ.inputsTable!$E$1:$J$213,2,FALSE)</f>
        <v>5.0000000000000001E-3</v>
      </c>
      <c r="D321" s="155">
        <f>VLOOKUP("OPEXRepair and maintenanceBuildings and constructionDefault",Econ.inputsTable!$E$1:$J$503,2,FALSE)</f>
        <v>0.01</v>
      </c>
      <c r="E321"/>
      <c r="F321"/>
      <c r="G321"/>
      <c r="H321"/>
      <c r="K321"/>
      <c r="L321"/>
      <c r="O321" s="157">
        <f>(SUM(C321:D321)*SUMPRODUCT(C314:C314,G314:G314))+SUM(E321,G321,I321,J321,L321,N321)</f>
        <v>265.51337862803058</v>
      </c>
      <c r="P321"/>
      <c r="R321" s="20"/>
      <c r="U321"/>
      <c r="W321" s="42"/>
      <c r="Y321" s="36"/>
    </row>
    <row r="322" spans="1:25" x14ac:dyDescent="0.3">
      <c r="A322" t="s">
        <v>6945</v>
      </c>
      <c r="B322" s="162" t="s">
        <v>5203</v>
      </c>
      <c r="C322" s="241"/>
      <c r="D322" s="241"/>
      <c r="E322" s="367">
        <f t="shared" ref="E322:O322" si="0">SUM(E321)</f>
        <v>0</v>
      </c>
      <c r="F322" s="537">
        <f t="shared" si="0"/>
        <v>0</v>
      </c>
      <c r="G322" s="367">
        <f t="shared" si="0"/>
        <v>0</v>
      </c>
      <c r="H322" s="537">
        <f t="shared" si="0"/>
        <v>0</v>
      </c>
      <c r="I322" s="367">
        <f t="shared" si="0"/>
        <v>0</v>
      </c>
      <c r="J322" s="367">
        <f t="shared" si="0"/>
        <v>0</v>
      </c>
      <c r="K322" s="537">
        <f t="shared" si="0"/>
        <v>0</v>
      </c>
      <c r="L322" s="367">
        <f t="shared" si="0"/>
        <v>0</v>
      </c>
      <c r="M322" s="537">
        <f t="shared" si="0"/>
        <v>0</v>
      </c>
      <c r="N322" s="367">
        <f t="shared" si="0"/>
        <v>0</v>
      </c>
      <c r="O322" s="169">
        <f t="shared" si="0"/>
        <v>265.51337862803058</v>
      </c>
      <c r="P322"/>
      <c r="R322" s="20"/>
      <c r="U322"/>
      <c r="W322" s="42"/>
      <c r="Y322" s="36"/>
    </row>
    <row r="323" spans="1:25" x14ac:dyDescent="0.3">
      <c r="B323" s="99"/>
      <c r="C323" s="155"/>
      <c r="D323" s="155"/>
      <c r="E323" s="155"/>
      <c r="F323" s="158"/>
      <c r="G323" s="154"/>
      <c r="H323" s="156"/>
      <c r="I323" s="153"/>
      <c r="K323"/>
      <c r="L323"/>
      <c r="O323" s="146"/>
      <c r="P323"/>
      <c r="R323" s="20"/>
      <c r="U323"/>
      <c r="W323" s="42"/>
      <c r="Y323" s="36"/>
    </row>
    <row r="324" spans="1:25" x14ac:dyDescent="0.3">
      <c r="A324" t="s">
        <v>6945</v>
      </c>
      <c r="B324" s="149" t="s">
        <v>6980</v>
      </c>
      <c r="C324" s="159">
        <f>O322</f>
        <v>265.51337862803058</v>
      </c>
      <c r="D324" s="150"/>
      <c r="E324" s="150"/>
      <c r="F324" s="150"/>
      <c r="G324" s="150"/>
      <c r="H324" s="150"/>
      <c r="I324" s="150"/>
      <c r="J324" s="150"/>
      <c r="K324" s="150"/>
      <c r="L324" s="150"/>
      <c r="M324" s="150"/>
      <c r="N324" s="150"/>
      <c r="O324" s="151"/>
      <c r="P324"/>
      <c r="R324" s="20"/>
      <c r="U324"/>
      <c r="W324" s="42"/>
      <c r="Y324" s="36"/>
    </row>
    <row r="325" spans="1:25" ht="15" thickBot="1" x14ac:dyDescent="0.35">
      <c r="A325" s="137"/>
      <c r="B325" s="137"/>
      <c r="C325" s="137"/>
      <c r="D325" s="137"/>
      <c r="E325" s="137"/>
      <c r="F325" s="137"/>
      <c r="G325" s="137"/>
      <c r="H325" s="137"/>
      <c r="I325" s="137"/>
      <c r="J325" s="137"/>
      <c r="K325" s="137"/>
      <c r="L325" s="137"/>
      <c r="M325" s="137"/>
      <c r="N325" s="137"/>
      <c r="O325" s="137"/>
      <c r="P325"/>
      <c r="R325" s="20"/>
      <c r="U325"/>
      <c r="W325" s="42"/>
      <c r="Y325" s="36"/>
    </row>
    <row r="327" spans="1:25" ht="15.6" x14ac:dyDescent="0.3">
      <c r="A327" s="82" t="s">
        <v>7088</v>
      </c>
      <c r="B327" s="138" t="s">
        <v>7171</v>
      </c>
      <c r="D327"/>
      <c r="E327"/>
      <c r="F327"/>
    </row>
    <row r="328" spans="1:25" x14ac:dyDescent="0.3">
      <c r="D328"/>
      <c r="E328"/>
      <c r="F328"/>
    </row>
    <row r="329" spans="1:25" x14ac:dyDescent="0.3">
      <c r="B329" s="139" t="s">
        <v>6942</v>
      </c>
      <c r="C329" s="140"/>
      <c r="D329" s="140"/>
      <c r="E329" s="139" t="s">
        <v>6988</v>
      </c>
      <c r="F329" s="141"/>
    </row>
    <row r="330" spans="1:25" x14ac:dyDescent="0.3">
      <c r="B330" s="143" t="s">
        <v>2663</v>
      </c>
      <c r="C330" s="144" t="s">
        <v>565</v>
      </c>
      <c r="D330" s="144" t="s">
        <v>6943</v>
      </c>
      <c r="E330" s="143" t="s">
        <v>565</v>
      </c>
      <c r="F330" s="145" t="s">
        <v>6944</v>
      </c>
    </row>
    <row r="331" spans="1:25" x14ac:dyDescent="0.3">
      <c r="B331" s="99" t="s">
        <v>6925</v>
      </c>
      <c r="C331" s="205">
        <f>VLOOKUP(B331,$R:$U,3,FALSE)</f>
        <v>100.73851037621104</v>
      </c>
      <c r="D331" t="s">
        <v>7090</v>
      </c>
      <c r="E331" s="164">
        <f>CONVERT(C331,"m^3","gal")*365</f>
        <v>9713489.1487189997</v>
      </c>
      <c r="F331" s="146" t="s">
        <v>5324</v>
      </c>
    </row>
    <row r="332" spans="1:25" x14ac:dyDescent="0.3">
      <c r="B332" s="99" t="s">
        <v>5829</v>
      </c>
      <c r="C332" s="205">
        <f>VLOOKUP(B332,$R:$U,3,FALSE)</f>
        <v>16.2</v>
      </c>
      <c r="D332" t="s">
        <v>5910</v>
      </c>
      <c r="E332" s="164">
        <f>CONVERT(C332,"m^3","gal")*E333</f>
        <v>223149.90651339022</v>
      </c>
      <c r="F332" s="146" t="s">
        <v>2489</v>
      </c>
    </row>
    <row r="333" spans="1:25" x14ac:dyDescent="0.3">
      <c r="B333" s="99" t="s">
        <v>5510</v>
      </c>
      <c r="C333" s="205">
        <f>VLOOKUP(B333,$R:$U,3,FALSE)</f>
        <v>52.142857142857146</v>
      </c>
      <c r="D333" t="s">
        <v>7043</v>
      </c>
      <c r="E333" s="164">
        <f>C333</f>
        <v>52.142857142857146</v>
      </c>
      <c r="F333" s="146" t="s">
        <v>7043</v>
      </c>
    </row>
    <row r="334" spans="1:25" x14ac:dyDescent="0.3">
      <c r="B334" s="99"/>
      <c r="D334" s="146"/>
      <c r="E334"/>
      <c r="F334" s="146"/>
    </row>
    <row r="335" spans="1:25" x14ac:dyDescent="0.3">
      <c r="B335" s="92" t="s">
        <v>6996</v>
      </c>
      <c r="D335"/>
      <c r="E335" s="143" t="s">
        <v>565</v>
      </c>
      <c r="F335" s="145" t="s">
        <v>6944</v>
      </c>
    </row>
    <row r="336" spans="1:25" x14ac:dyDescent="0.3">
      <c r="B336" s="149" t="s">
        <v>7091</v>
      </c>
      <c r="C336" s="150"/>
      <c r="D336" s="150"/>
      <c r="E336" s="497">
        <f>UDV.water.avg_cost/1000</f>
        <v>3.858144828221536E-3</v>
      </c>
      <c r="F336" s="151" t="s">
        <v>2315</v>
      </c>
    </row>
    <row r="337" spans="1:15" x14ac:dyDescent="0.3">
      <c r="D337"/>
      <c r="E337"/>
      <c r="F337"/>
    </row>
    <row r="338" spans="1:15" ht="28.8" x14ac:dyDescent="0.3">
      <c r="B338" s="498" t="s">
        <v>6966</v>
      </c>
      <c r="C338" s="362" t="s">
        <v>6979</v>
      </c>
      <c r="D338" s="362"/>
      <c r="E338" s="362"/>
      <c r="F338" s="363"/>
    </row>
    <row r="339" spans="1:15" x14ac:dyDescent="0.3">
      <c r="B339" s="99" t="s">
        <v>7092</v>
      </c>
      <c r="C339" s="153">
        <f>E331*E336</f>
        <v>37476.047923116217</v>
      </c>
      <c r="D339" s="236"/>
      <c r="E339" s="236"/>
      <c r="F339" s="146"/>
    </row>
    <row r="340" spans="1:15" x14ac:dyDescent="0.3">
      <c r="B340" s="99"/>
      <c r="F340" s="2089"/>
    </row>
    <row r="341" spans="1:15" x14ac:dyDescent="0.3">
      <c r="A341" t="s">
        <v>5209</v>
      </c>
      <c r="B341" s="149" t="s">
        <v>6980</v>
      </c>
      <c r="C341" s="159">
        <f>SUM(C339:C339)</f>
        <v>37476.047923116217</v>
      </c>
      <c r="D341" s="150"/>
      <c r="E341" s="150"/>
      <c r="F341" s="151"/>
      <c r="G341"/>
      <c r="H341"/>
      <c r="K341"/>
      <c r="L341"/>
    </row>
    <row r="342" spans="1:15" ht="15" thickBot="1" x14ac:dyDescent="0.35">
      <c r="A342" s="137"/>
      <c r="B342" s="137"/>
      <c r="C342" s="137"/>
      <c r="D342" s="137"/>
      <c r="E342" s="137"/>
      <c r="F342" s="137"/>
      <c r="G342" s="137"/>
      <c r="H342" s="137"/>
      <c r="I342" s="137"/>
      <c r="J342" s="137"/>
      <c r="K342" s="137"/>
      <c r="L342" s="137"/>
      <c r="M342" s="137"/>
      <c r="N342" s="137"/>
      <c r="O342" s="137"/>
    </row>
    <row r="343" spans="1:15" x14ac:dyDescent="0.3">
      <c r="D343"/>
      <c r="E343"/>
      <c r="F343"/>
      <c r="G343"/>
      <c r="H343"/>
      <c r="K343"/>
      <c r="L343"/>
    </row>
    <row r="344" spans="1:15" ht="18" x14ac:dyDescent="0.35">
      <c r="B344" s="138" t="s">
        <v>5210</v>
      </c>
      <c r="C344" s="34"/>
      <c r="D344"/>
      <c r="E344"/>
      <c r="F344"/>
      <c r="G344"/>
      <c r="H344" s="355"/>
      <c r="K344"/>
      <c r="L344"/>
    </row>
    <row r="345" spans="1:15" x14ac:dyDescent="0.3">
      <c r="D345"/>
      <c r="E345"/>
      <c r="F345"/>
      <c r="G345"/>
      <c r="H345"/>
      <c r="K345"/>
      <c r="L345"/>
    </row>
    <row r="346" spans="1:15" x14ac:dyDescent="0.3">
      <c r="B346" s="139" t="s">
        <v>6942</v>
      </c>
      <c r="C346" s="140"/>
      <c r="D346" s="140"/>
      <c r="E346" s="139"/>
      <c r="F346" s="141"/>
      <c r="G346"/>
      <c r="H346"/>
      <c r="K346"/>
      <c r="L346"/>
    </row>
    <row r="347" spans="1:15" x14ac:dyDescent="0.3">
      <c r="B347" s="143" t="s">
        <v>2663</v>
      </c>
      <c r="C347" s="144" t="s">
        <v>565</v>
      </c>
      <c r="D347" s="144" t="s">
        <v>6943</v>
      </c>
      <c r="E347" s="143" t="s">
        <v>565</v>
      </c>
      <c r="F347" s="145" t="s">
        <v>6944</v>
      </c>
      <c r="G347"/>
      <c r="H347"/>
      <c r="K347"/>
      <c r="L347"/>
    </row>
    <row r="348" spans="1:15" x14ac:dyDescent="0.3">
      <c r="B348" s="99" t="s">
        <v>5437</v>
      </c>
      <c r="C348" s="147">
        <f>VLOOKUP(B348,$R:$U,3,FALSE)</f>
        <v>7667.3081434083915</v>
      </c>
      <c r="D348" s="146" t="s">
        <v>2478</v>
      </c>
      <c r="E348" s="278">
        <f>CONVERT(C348,"m^3","ft^3")</f>
        <v>270768.43173542281</v>
      </c>
      <c r="F348" s="146" t="s">
        <v>2479</v>
      </c>
      <c r="G348"/>
      <c r="H348"/>
      <c r="K348"/>
      <c r="L348"/>
    </row>
    <row r="349" spans="1:15" x14ac:dyDescent="0.3">
      <c r="B349" s="149" t="s">
        <v>6343</v>
      </c>
      <c r="C349" s="295">
        <f>VLOOKUP(B349,$R:$U,3,FALSE)</f>
        <v>3348.7402420606995</v>
      </c>
      <c r="D349" s="151" t="s">
        <v>2268</v>
      </c>
      <c r="E349" s="359">
        <f>CONVERT(C349,"m^2","ft^2")</f>
        <v>36045.539974372201</v>
      </c>
      <c r="F349" s="151" t="s">
        <v>2267</v>
      </c>
      <c r="G349"/>
      <c r="H349"/>
      <c r="K349"/>
      <c r="L349"/>
    </row>
    <row r="350" spans="1:15" x14ac:dyDescent="0.3">
      <c r="D350"/>
      <c r="E350"/>
      <c r="F350"/>
      <c r="G350"/>
      <c r="H350"/>
      <c r="K350"/>
      <c r="L350"/>
    </row>
    <row r="351" spans="1:15" s="369" customFormat="1" ht="43.2" x14ac:dyDescent="0.3">
      <c r="B351" s="370" t="s">
        <v>6946</v>
      </c>
      <c r="C351" s="362" t="s">
        <v>6947</v>
      </c>
      <c r="D351" s="371" t="s">
        <v>6948</v>
      </c>
      <c r="E351" s="362" t="s">
        <v>6949</v>
      </c>
      <c r="F351" s="362" t="s">
        <v>6950</v>
      </c>
      <c r="G351" s="362" t="s">
        <v>6951</v>
      </c>
      <c r="H351" s="362" t="s">
        <v>6952</v>
      </c>
      <c r="I351" s="371" t="s">
        <v>6953</v>
      </c>
      <c r="J351" s="371" t="s">
        <v>6954</v>
      </c>
      <c r="K351" s="362" t="s">
        <v>6955</v>
      </c>
      <c r="L351" s="362" t="s">
        <v>6956</v>
      </c>
      <c r="M351" s="362" t="s">
        <v>6957</v>
      </c>
      <c r="N351" s="362" t="s">
        <v>6958</v>
      </c>
      <c r="O351" s="363" t="s">
        <v>6959</v>
      </c>
    </row>
    <row r="352" spans="1:15" x14ac:dyDescent="0.3">
      <c r="A352" t="s">
        <v>7093</v>
      </c>
      <c r="B352" s="99" t="s">
        <v>7094</v>
      </c>
      <c r="C352" s="153">
        <f>VLOOKUP("Lagoon constructiona",Econ.Equations!C:E,2,FALSE)*E348^VLOOKUP("Lagoon constructionb",Econ.Equations!$C:$E,2,FALSE)*E348</f>
        <v>75887.959141387459</v>
      </c>
      <c r="D352">
        <f>VLOOKUP("CAPEXLifetimeBuildings and constructionDefault",Econ.inputsTable!$E:$I,2,FALSE)</f>
        <v>20</v>
      </c>
      <c r="E352" t="s">
        <v>2852</v>
      </c>
      <c r="F352" t="s">
        <v>2852</v>
      </c>
      <c r="G352" s="257">
        <f>VLOOKUP("CAPEXAnnual usage on activityItems that are used only on the given activityDefault",Econ.inputsTable!$E:$I,2,FALSE)</f>
        <v>1</v>
      </c>
      <c r="H352" s="503">
        <f>UDV.econ_capital.interest_rate</f>
        <v>5.0999999999999997E-2</v>
      </c>
      <c r="I352" s="155">
        <f>VLOOKUP("CAPEXSalvageBuildings and constructionDefault",Econ.inputsTable!$E:$J,2,FALSE)</f>
        <v>0</v>
      </c>
      <c r="J352" s="156">
        <f>C352*I352</f>
        <v>0</v>
      </c>
      <c r="K352" s="257">
        <f>VLOOKUP("CAPEXFinanced amountNADefault",Econ.inputsTable!$E:$G,2,FALSE)</f>
        <v>1</v>
      </c>
      <c r="L352" s="364">
        <f>H352*K352</f>
        <v>5.0999999999999997E-2</v>
      </c>
      <c r="M352" s="351">
        <f>L352/(1-(1+L352)^-D352)</f>
        <v>8.0924368970045152E-2</v>
      </c>
      <c r="N352" s="153">
        <f>((C352-J352)*M352)+(J352*L352)</f>
        <v>6141.1852059413495</v>
      </c>
      <c r="O352" s="372">
        <f>N352*G352</f>
        <v>6141.1852059413495</v>
      </c>
    </row>
    <row r="353" spans="1:15" x14ac:dyDescent="0.3">
      <c r="A353" t="s">
        <v>7093</v>
      </c>
      <c r="B353" s="99" t="s">
        <v>7095</v>
      </c>
      <c r="C353" s="373">
        <f>UDV.econ_liner.lagoon_geomembrane*E349</f>
        <v>90113.849935930499</v>
      </c>
      <c r="D353">
        <f>VLOOKUP("CAPEXLifetimeBuildings and constructionDefault",Econ.inputsTable!$E:$I,2,FALSE)</f>
        <v>20</v>
      </c>
      <c r="E353" t="s">
        <v>2852</v>
      </c>
      <c r="F353" t="s">
        <v>2852</v>
      </c>
      <c r="G353" s="257">
        <f>VLOOKUP("CAPEXAnnual usage on activityItems that are used only on the given activityDefault",Econ.inputsTable!E:G,2,FALSE)</f>
        <v>1</v>
      </c>
      <c r="H353" s="503">
        <f>UDV.econ_capital.interest_rate</f>
        <v>5.0999999999999997E-2</v>
      </c>
      <c r="I353" s="155">
        <f>VLOOKUP("CAPEXSalvageBuildings and constructionDefault",Econ.inputsTable!$E:$J,2,FALSE)</f>
        <v>0</v>
      </c>
      <c r="J353" s="156">
        <f>C353*I353</f>
        <v>0</v>
      </c>
      <c r="K353" s="257">
        <f>VLOOKUP("CAPEXFinanced amountNADefault",Econ.inputsTable!$E:$G,2,FALSE)</f>
        <v>1</v>
      </c>
      <c r="L353" s="364">
        <f>H353*K353</f>
        <v>5.0999999999999997E-2</v>
      </c>
      <c r="M353" s="351">
        <f>L353/(1-(1+L353)^-D353)</f>
        <v>8.0924368970045152E-2</v>
      </c>
      <c r="N353" s="153">
        <f>((C353-J353)*M353)+(J353*L353)</f>
        <v>7292.4064415265193</v>
      </c>
      <c r="O353" s="372">
        <f>N353*G353</f>
        <v>7292.4064415265193</v>
      </c>
    </row>
    <row r="354" spans="1:15" x14ac:dyDescent="0.3">
      <c r="B354" s="99"/>
      <c r="D354"/>
      <c r="E354"/>
      <c r="F354"/>
      <c r="G354"/>
      <c r="H354"/>
      <c r="K354"/>
      <c r="L354"/>
      <c r="O354" s="146"/>
    </row>
    <row r="355" spans="1:15" x14ac:dyDescent="0.3">
      <c r="B355" s="99"/>
      <c r="C355" s="82" t="s">
        <v>6962</v>
      </c>
      <c r="D355" s="82" t="s">
        <v>6963</v>
      </c>
      <c r="E355"/>
      <c r="F355"/>
      <c r="G355"/>
      <c r="H355"/>
      <c r="K355"/>
      <c r="L355"/>
      <c r="O355" s="146"/>
    </row>
    <row r="356" spans="1:15" x14ac:dyDescent="0.3">
      <c r="A356" t="s">
        <v>5210</v>
      </c>
      <c r="B356" s="99" t="s">
        <v>6964</v>
      </c>
      <c r="C356" s="153">
        <f>SUM(C352:C353)</f>
        <v>166001.80907731794</v>
      </c>
      <c r="D356" s="233">
        <f>SUMPRODUCT(C352:C353,G352:G353)</f>
        <v>166001.80907731794</v>
      </c>
      <c r="E356"/>
      <c r="F356"/>
      <c r="G356"/>
      <c r="H356"/>
      <c r="K356"/>
      <c r="L356"/>
      <c r="O356" s="146"/>
    </row>
    <row r="357" spans="1:15" x14ac:dyDescent="0.3">
      <c r="A357" t="s">
        <v>5210</v>
      </c>
      <c r="B357" s="149" t="s">
        <v>6965</v>
      </c>
      <c r="C357" s="159">
        <f>SUM(N352:N353)</f>
        <v>13433.591647467869</v>
      </c>
      <c r="D357" s="159">
        <f>SUMPRODUCT(N352:N353,G352:G353)</f>
        <v>13433.591647467869</v>
      </c>
      <c r="E357" s="150"/>
      <c r="F357" s="150"/>
      <c r="G357" s="150"/>
      <c r="H357" s="150"/>
      <c r="I357" s="150"/>
      <c r="J357" s="150"/>
      <c r="K357" s="150"/>
      <c r="L357" s="150"/>
      <c r="M357" s="150"/>
      <c r="N357" s="150"/>
      <c r="O357" s="151"/>
    </row>
    <row r="358" spans="1:15" x14ac:dyDescent="0.3">
      <c r="B358" s="262"/>
      <c r="C358" s="142"/>
      <c r="D358" s="142"/>
      <c r="E358" s="142"/>
      <c r="F358" s="142"/>
      <c r="G358" s="142"/>
      <c r="H358" s="142"/>
      <c r="I358" s="142"/>
      <c r="J358" s="142"/>
      <c r="K358" s="142"/>
      <c r="L358" s="142"/>
      <c r="M358" s="142"/>
      <c r="N358" s="142"/>
      <c r="O358" s="141"/>
    </row>
    <row r="359" spans="1:15" ht="28.8" x14ac:dyDescent="0.3">
      <c r="B359" s="160" t="s">
        <v>6966</v>
      </c>
      <c r="C359" s="152" t="s">
        <v>6967</v>
      </c>
      <c r="D359" s="152" t="s">
        <v>6968</v>
      </c>
      <c r="E359" s="152" t="s">
        <v>6969</v>
      </c>
      <c r="F359" s="152" t="s">
        <v>6970</v>
      </c>
      <c r="G359" s="152" t="s">
        <v>6971</v>
      </c>
      <c r="H359" s="152" t="s">
        <v>6972</v>
      </c>
      <c r="I359" s="152" t="s">
        <v>6973</v>
      </c>
      <c r="J359" s="152" t="s">
        <v>6974</v>
      </c>
      <c r="K359" s="152" t="s">
        <v>6975</v>
      </c>
      <c r="L359" s="152" t="s">
        <v>6976</v>
      </c>
      <c r="M359" s="152" t="s">
        <v>6977</v>
      </c>
      <c r="N359" s="152" t="s">
        <v>6978</v>
      </c>
      <c r="O359" s="161" t="s">
        <v>6979</v>
      </c>
    </row>
    <row r="360" spans="1:15" x14ac:dyDescent="0.3">
      <c r="B360" s="99" t="s">
        <v>5210</v>
      </c>
      <c r="C360" s="236">
        <f>VLOOKUP("OPEXInsuranceEverythingDefault",Econ.inputsTable!$E$1:$J$213,2,FALSE)</f>
        <v>5.0000000000000001E-3</v>
      </c>
      <c r="D360" s="236">
        <f>VLOOKUP("OPEXRepair and maintenanceBuildings and constructionDefault",Econ.inputsTable!$E$1:$J$503,2,FALSE)</f>
        <v>0.01</v>
      </c>
      <c r="E360"/>
      <c r="F360"/>
      <c r="G360"/>
      <c r="H360"/>
      <c r="K360"/>
      <c r="L360"/>
      <c r="O360" s="157">
        <f>(SUM(C360:D360)*SUMPRODUCT(C352:C353,G352:G353))+SUM(E360,G360,I360,J360,L360,N360)</f>
        <v>2490.0271361597693</v>
      </c>
    </row>
    <row r="361" spans="1:15" x14ac:dyDescent="0.3">
      <c r="A361" t="s">
        <v>5210</v>
      </c>
      <c r="B361" s="162" t="s">
        <v>5203</v>
      </c>
      <c r="C361" s="241"/>
      <c r="D361" s="241"/>
      <c r="E361" s="242">
        <f>SUM(E360)</f>
        <v>0</v>
      </c>
      <c r="F361" s="374">
        <f t="shared" ref="F361:M361" si="1">SUM(F360)</f>
        <v>0</v>
      </c>
      <c r="G361" s="242">
        <f t="shared" si="1"/>
        <v>0</v>
      </c>
      <c r="H361" s="374">
        <f t="shared" si="1"/>
        <v>0</v>
      </c>
      <c r="I361" s="242">
        <f t="shared" si="1"/>
        <v>0</v>
      </c>
      <c r="J361" s="242">
        <f t="shared" si="1"/>
        <v>0</v>
      </c>
      <c r="K361" s="374">
        <f t="shared" si="1"/>
        <v>0</v>
      </c>
      <c r="L361" s="242">
        <f t="shared" si="1"/>
        <v>0</v>
      </c>
      <c r="M361" s="374">
        <f t="shared" si="1"/>
        <v>0</v>
      </c>
      <c r="N361" s="242">
        <f>SUM(N360)</f>
        <v>0</v>
      </c>
      <c r="O361" s="169">
        <f>SUM(O360)</f>
        <v>2490.0271361597693</v>
      </c>
    </row>
    <row r="362" spans="1:15" x14ac:dyDescent="0.3">
      <c r="B362" s="99"/>
      <c r="C362" s="236"/>
      <c r="D362" s="236"/>
      <c r="E362" s="236"/>
      <c r="F362" s="233"/>
      <c r="G362" s="257"/>
      <c r="H362" s="156"/>
      <c r="I362" s="153"/>
      <c r="K362"/>
      <c r="L362"/>
      <c r="O362" s="146"/>
    </row>
    <row r="363" spans="1:15" x14ac:dyDescent="0.3">
      <c r="A363" t="s">
        <v>5210</v>
      </c>
      <c r="B363" s="149" t="s">
        <v>6980</v>
      </c>
      <c r="C363" s="159">
        <f>O361</f>
        <v>2490.0271361597693</v>
      </c>
      <c r="D363" s="150"/>
      <c r="E363" s="150"/>
      <c r="F363" s="150"/>
      <c r="G363" s="150"/>
      <c r="H363" s="150"/>
      <c r="I363" s="150"/>
      <c r="J363" s="150"/>
      <c r="K363" s="150"/>
      <c r="L363" s="150"/>
      <c r="M363" s="150"/>
      <c r="N363" s="150"/>
      <c r="O363" s="151"/>
    </row>
    <row r="364" spans="1:15" ht="15" thickBot="1" x14ac:dyDescent="0.35">
      <c r="A364" s="137"/>
      <c r="B364" s="137"/>
      <c r="C364" s="137"/>
      <c r="D364" s="137"/>
      <c r="E364" s="137"/>
      <c r="F364" s="137"/>
      <c r="G364" s="137"/>
      <c r="H364" s="137"/>
      <c r="I364" s="137"/>
      <c r="J364" s="137"/>
      <c r="K364" s="137"/>
      <c r="L364" s="137"/>
      <c r="M364" s="137"/>
      <c r="N364" s="137"/>
      <c r="O364" s="137"/>
    </row>
    <row r="365" spans="1:15" x14ac:dyDescent="0.3">
      <c r="D365"/>
      <c r="E365"/>
      <c r="F365"/>
      <c r="G365"/>
      <c r="H365"/>
      <c r="K365"/>
      <c r="L365"/>
    </row>
    <row r="366" spans="1:15" ht="18" x14ac:dyDescent="0.35">
      <c r="B366" s="138" t="s">
        <v>7170</v>
      </c>
      <c r="D366"/>
      <c r="E366"/>
      <c r="F366"/>
      <c r="G366"/>
      <c r="H366" s="355"/>
      <c r="K366"/>
      <c r="L366"/>
    </row>
    <row r="367" spans="1:15" x14ac:dyDescent="0.3">
      <c r="D367"/>
      <c r="E367"/>
      <c r="F367"/>
      <c r="G367"/>
      <c r="H367"/>
      <c r="K367"/>
      <c r="L367"/>
    </row>
    <row r="368" spans="1:15" x14ac:dyDescent="0.3">
      <c r="B368" s="139" t="s">
        <v>6942</v>
      </c>
      <c r="C368" s="140"/>
      <c r="D368" s="140"/>
      <c r="E368" s="139" t="s">
        <v>6988</v>
      </c>
      <c r="F368" s="141"/>
      <c r="G368"/>
      <c r="H368" s="139" t="s">
        <v>7033</v>
      </c>
      <c r="I368" s="142"/>
      <c r="J368" s="142"/>
      <c r="K368" s="141"/>
      <c r="L368"/>
    </row>
    <row r="369" spans="2:15" x14ac:dyDescent="0.3">
      <c r="B369" s="143" t="s">
        <v>2663</v>
      </c>
      <c r="C369" s="144" t="s">
        <v>565</v>
      </c>
      <c r="D369" s="144" t="s">
        <v>6943</v>
      </c>
      <c r="E369" s="143" t="s">
        <v>565</v>
      </c>
      <c r="F369" s="145" t="s">
        <v>6944</v>
      </c>
      <c r="G369"/>
      <c r="H369" s="99" t="s">
        <v>7096</v>
      </c>
      <c r="K369" s="146"/>
      <c r="L369"/>
    </row>
    <row r="370" spans="2:15" x14ac:dyDescent="0.3">
      <c r="B370" s="99" t="s">
        <v>5510</v>
      </c>
      <c r="C370" s="205">
        <f t="shared" ref="C370:C375" si="2">VLOOKUP(B370,$R:$U,3,FALSE)</f>
        <v>52.142857142857146</v>
      </c>
      <c r="D370" t="s">
        <v>7043</v>
      </c>
      <c r="E370" s="178">
        <f>C370</f>
        <v>52.142857142857146</v>
      </c>
      <c r="F370" s="146" t="s">
        <v>7043</v>
      </c>
      <c r="G370"/>
      <c r="H370" s="99" t="s">
        <v>1477</v>
      </c>
      <c r="K370" s="146"/>
      <c r="L370"/>
    </row>
    <row r="371" spans="2:15" x14ac:dyDescent="0.3">
      <c r="B371" s="99" t="s">
        <v>5829</v>
      </c>
      <c r="C371" s="205">
        <f t="shared" si="2"/>
        <v>16.2</v>
      </c>
      <c r="D371" t="s">
        <v>5910</v>
      </c>
      <c r="E371" s="164">
        <f>CONVERT(C371,"m^3","gal")*E370</f>
        <v>223149.90651339022</v>
      </c>
      <c r="F371" s="146" t="s">
        <v>5324</v>
      </c>
      <c r="G371"/>
      <c r="H371" s="149" t="s">
        <v>7099</v>
      </c>
      <c r="I371" s="150"/>
      <c r="J371" s="150"/>
      <c r="K371" s="151"/>
      <c r="L371"/>
    </row>
    <row r="372" spans="2:15" x14ac:dyDescent="0.3">
      <c r="B372" s="99" t="s">
        <v>5802</v>
      </c>
      <c r="C372" s="205">
        <f t="shared" si="2"/>
        <v>1</v>
      </c>
      <c r="D372" t="s">
        <v>2442</v>
      </c>
      <c r="E372" s="165">
        <f>C372</f>
        <v>1</v>
      </c>
      <c r="F372" s="146" t="s">
        <v>2442</v>
      </c>
      <c r="G372"/>
      <c r="H372"/>
      <c r="K372"/>
      <c r="L372"/>
    </row>
    <row r="373" spans="2:15" x14ac:dyDescent="0.3">
      <c r="B373" s="99" t="s">
        <v>5797</v>
      </c>
      <c r="C373" s="147">
        <f t="shared" si="2"/>
        <v>4.9783549783549788</v>
      </c>
      <c r="D373" t="s">
        <v>971</v>
      </c>
      <c r="E373" s="178">
        <f>ROUNDUP(C373,0.1)</f>
        <v>5</v>
      </c>
      <c r="F373" s="146" t="s">
        <v>971</v>
      </c>
      <c r="G373"/>
      <c r="H373"/>
      <c r="K373"/>
      <c r="L373"/>
    </row>
    <row r="374" spans="2:15" x14ac:dyDescent="0.3">
      <c r="B374" s="99" t="s">
        <v>5804</v>
      </c>
      <c r="C374" s="205">
        <f t="shared" si="2"/>
        <v>6.7929956228571425E-2</v>
      </c>
      <c r="D374" t="s">
        <v>7075</v>
      </c>
      <c r="E374" s="164">
        <f>C374*365</f>
        <v>24.794434023428572</v>
      </c>
      <c r="F374" s="146" t="s">
        <v>2710</v>
      </c>
      <c r="G374"/>
      <c r="H374"/>
      <c r="K374"/>
      <c r="L374"/>
    </row>
    <row r="375" spans="2:15" x14ac:dyDescent="0.3">
      <c r="B375" s="99" t="s">
        <v>5808</v>
      </c>
      <c r="C375" s="205">
        <f t="shared" si="2"/>
        <v>0.25218036129032084</v>
      </c>
      <c r="D375" t="s">
        <v>6704</v>
      </c>
      <c r="E375" s="356">
        <f>C375*365</f>
        <v>92.045831870967106</v>
      </c>
      <c r="F375" s="146" t="s">
        <v>5323</v>
      </c>
      <c r="G375"/>
      <c r="H375"/>
      <c r="K375"/>
      <c r="L375"/>
    </row>
    <row r="376" spans="2:15" x14ac:dyDescent="0.3">
      <c r="B376" s="99"/>
      <c r="D376"/>
      <c r="E376" s="99"/>
      <c r="F376" s="146"/>
      <c r="G376"/>
      <c r="H376"/>
      <c r="K376"/>
      <c r="L376"/>
    </row>
    <row r="377" spans="2:15" x14ac:dyDescent="0.3">
      <c r="B377" s="92" t="s">
        <v>6996</v>
      </c>
      <c r="D377"/>
      <c r="E377" s="99"/>
      <c r="F377" s="146"/>
      <c r="G377"/>
      <c r="H377"/>
      <c r="K377"/>
      <c r="L377"/>
    </row>
    <row r="378" spans="2:15" x14ac:dyDescent="0.3">
      <c r="B378" s="143" t="s">
        <v>2663</v>
      </c>
      <c r="D378"/>
      <c r="E378" s="143" t="s">
        <v>565</v>
      </c>
      <c r="F378" s="145" t="s">
        <v>6944</v>
      </c>
      <c r="G378"/>
      <c r="H378"/>
      <c r="K378"/>
      <c r="L378"/>
    </row>
    <row r="379" spans="2:15" x14ac:dyDescent="0.3">
      <c r="B379" s="99" t="s">
        <v>7076</v>
      </c>
      <c r="D379"/>
      <c r="E379" s="357">
        <f>UDV.electricity.avg_cost</f>
        <v>6.8591666666666662E-2</v>
      </c>
      <c r="F379" s="146" t="s">
        <v>2306</v>
      </c>
      <c r="G379"/>
      <c r="H379"/>
      <c r="K379"/>
      <c r="L379"/>
    </row>
    <row r="380" spans="2:15" x14ac:dyDescent="0.3">
      <c r="B380" s="99" t="s">
        <v>7100</v>
      </c>
      <c r="D380"/>
      <c r="E380" s="358">
        <f>UDV.water.avg_cost/1000</f>
        <v>3.858144828221536E-3</v>
      </c>
      <c r="F380" s="146" t="s">
        <v>2315</v>
      </c>
      <c r="G380"/>
      <c r="H380"/>
      <c r="K380"/>
      <c r="L380"/>
    </row>
    <row r="381" spans="2:15" x14ac:dyDescent="0.3">
      <c r="B381" s="99" t="s">
        <v>5819</v>
      </c>
      <c r="C381" s="205">
        <f>VLOOKUP(B381,$R:$U,3,FALSE)</f>
        <v>600</v>
      </c>
      <c r="D381" t="s">
        <v>2340</v>
      </c>
      <c r="E381" s="2101"/>
      <c r="F381" s="2089"/>
      <c r="G381"/>
      <c r="H381"/>
      <c r="K381"/>
      <c r="L381"/>
    </row>
    <row r="382" spans="2:15" x14ac:dyDescent="0.3">
      <c r="B382" s="99" t="s">
        <v>5820</v>
      </c>
      <c r="C382" s="205">
        <f>VLOOKUP(B382,$R:$U,3,FALSE)</f>
        <v>200</v>
      </c>
      <c r="D382" t="s">
        <v>2340</v>
      </c>
      <c r="E382" s="164"/>
      <c r="F382" s="146"/>
      <c r="G382"/>
      <c r="H382"/>
      <c r="K382"/>
      <c r="L382"/>
    </row>
    <row r="383" spans="2:15" x14ac:dyDescent="0.3">
      <c r="B383" s="149" t="s">
        <v>7101</v>
      </c>
      <c r="C383" s="209"/>
      <c r="D383" s="150"/>
      <c r="E383" s="360">
        <f>SUM(C381:C382)</f>
        <v>800</v>
      </c>
      <c r="F383" s="151" t="s">
        <v>2340</v>
      </c>
      <c r="G383"/>
      <c r="H383"/>
      <c r="K383"/>
      <c r="L383"/>
    </row>
    <row r="384" spans="2:15" x14ac:dyDescent="0.3">
      <c r="B384" s="90"/>
      <c r="C384" s="82"/>
      <c r="D384"/>
      <c r="E384"/>
      <c r="F384"/>
      <c r="G384"/>
      <c r="H384" s="152"/>
      <c r="I384" s="152"/>
      <c r="K384"/>
      <c r="L384"/>
      <c r="O384" s="152"/>
    </row>
    <row r="385" spans="1:15" ht="43.2" x14ac:dyDescent="0.3">
      <c r="B385" s="361" t="s">
        <v>6946</v>
      </c>
      <c r="C385" s="362" t="s">
        <v>6947</v>
      </c>
      <c r="D385" s="362" t="s">
        <v>6948</v>
      </c>
      <c r="E385" s="362" t="s">
        <v>6949</v>
      </c>
      <c r="F385" s="362" t="s">
        <v>6950</v>
      </c>
      <c r="G385" s="362" t="s">
        <v>6951</v>
      </c>
      <c r="H385" s="362" t="s">
        <v>6952</v>
      </c>
      <c r="I385" s="362" t="s">
        <v>6953</v>
      </c>
      <c r="J385" s="362" t="s">
        <v>6954</v>
      </c>
      <c r="K385" s="362" t="s">
        <v>6955</v>
      </c>
      <c r="L385" s="362" t="s">
        <v>6956</v>
      </c>
      <c r="M385" s="140" t="s">
        <v>6957</v>
      </c>
      <c r="N385" s="140" t="s">
        <v>6958</v>
      </c>
      <c r="O385" s="363" t="s">
        <v>6959</v>
      </c>
    </row>
    <row r="386" spans="1:15" x14ac:dyDescent="0.3">
      <c r="B386" s="99" t="s">
        <v>7102</v>
      </c>
      <c r="C386" s="153">
        <f>VLOOKUP("Underground 12 in pipe for flushDefault",Econ.Tables!$C:$E,2,FALSE)*E383</f>
        <v>25600</v>
      </c>
      <c r="D386">
        <f>VLOOKUP("CAPEXLifetimeBuildings and constructionDefault",Econ.inputsTable!$E:$H,2,FALSE)</f>
        <v>20</v>
      </c>
      <c r="E386" t="s">
        <v>2852</v>
      </c>
      <c r="F386" t="s">
        <v>2852</v>
      </c>
      <c r="G386" s="257">
        <f>VLOOKUP("CAPEXAnnual usage on activityItems that are used only on the given activityDefault",Econ.inputsTable!$E:$I,2,FALSE)</f>
        <v>1</v>
      </c>
      <c r="H386" s="503">
        <f>UDV.econ_capital.interest_rate</f>
        <v>5.0999999999999997E-2</v>
      </c>
      <c r="I386" s="154">
        <f>VLOOKUP("CAPEXSalvageBuildings and constructionDefault",Econ.inputsTable!$E:$H,2,FALSE)</f>
        <v>0</v>
      </c>
      <c r="J386" s="153">
        <f>C386*I386</f>
        <v>0</v>
      </c>
      <c r="K386" s="257">
        <f>VLOOKUP("CAPEXFinanced amountNADefault",Econ.inputsTable!$E:$I,2,FALSE)</f>
        <v>1</v>
      </c>
      <c r="L386" s="364">
        <f>H386*K386</f>
        <v>5.0999999999999997E-2</v>
      </c>
      <c r="M386" s="351">
        <f>L386/(1-(1+L386)^-D386)</f>
        <v>8.0924368970045152E-2</v>
      </c>
      <c r="N386" s="153">
        <f>((C386-J386)*M386)+(J386*L386)</f>
        <v>2071.6638456331557</v>
      </c>
      <c r="O386" s="157">
        <f>G386*N386</f>
        <v>2071.6638456331557</v>
      </c>
    </row>
    <row r="387" spans="1:15" x14ac:dyDescent="0.3">
      <c r="B387" s="99" t="s">
        <v>7103</v>
      </c>
      <c r="C387" s="153">
        <f>VLOOKUP("Pump, non-pto flushDefault",Econ.Tables!$C:$E,2,FALSE)*E372</f>
        <v>10800</v>
      </c>
      <c r="D387">
        <f>VLOOKUP("CAPEXLifetimePump, non-ptoDefault",Econ.inputsTable!$E:$I,2,FALSE)</f>
        <v>17</v>
      </c>
      <c r="E387" t="s">
        <v>2852</v>
      </c>
      <c r="F387" s="166">
        <f>E374*E372</f>
        <v>24.794434023428572</v>
      </c>
      <c r="G387" s="257">
        <f>VLOOKUP("CAPEXAnnual usage on activityItems that are used only on the given activityDefault",Econ.inputsTable!$E:$I,2,FALSE)</f>
        <v>1</v>
      </c>
      <c r="H387" s="503">
        <f>UDV.econ_capital.interest_rate</f>
        <v>5.0999999999999997E-2</v>
      </c>
      <c r="I387" s="257">
        <f>VLOOKUP("CAPEXSalvageEquipmentDefault",Econ.inputsTable!$E:$I,2,FALSE)</f>
        <v>0.2</v>
      </c>
      <c r="J387" s="153">
        <f>C387*I387</f>
        <v>2160</v>
      </c>
      <c r="K387" s="257">
        <f>VLOOKUP("CAPEXFinanced amountNADefault",Econ.inputsTable!$E:$I,2,FALSE)</f>
        <v>1</v>
      </c>
      <c r="L387" s="364">
        <f>H387*K387</f>
        <v>5.0999999999999997E-2</v>
      </c>
      <c r="M387" s="351">
        <f>L387/(1-(1+L387)^-D387)</f>
        <v>8.9362846108502439E-2</v>
      </c>
      <c r="N387" s="153">
        <f>((C387-J387)*M387)+(J387*L387)</f>
        <v>882.25499037746101</v>
      </c>
      <c r="O387" s="157">
        <f>G387*N387</f>
        <v>882.25499037746101</v>
      </c>
    </row>
    <row r="388" spans="1:15" x14ac:dyDescent="0.3">
      <c r="B388" s="99" t="s">
        <v>7099</v>
      </c>
      <c r="C388" s="153">
        <f>VLOOKUP(_xlfn.CONCAT("Motor, ", E373, " hpDefault"), Econ.Tables!C:E, 2, FALSE)*E372</f>
        <v>850</v>
      </c>
      <c r="D388">
        <f>VLOOKUP("CAPEXLifetimeMotorDefault",Econ.inputsTable!$E:$I,2,FALSE)</f>
        <v>20</v>
      </c>
      <c r="E388" t="s">
        <v>2852</v>
      </c>
      <c r="F388" s="166">
        <f>E374*E372</f>
        <v>24.794434023428572</v>
      </c>
      <c r="G388" s="257">
        <f>VLOOKUP("CAPEXAnnual usage on activityItems that are used only on the given activityDefault",Econ.inputsTable!$E:$I,2,FALSE)</f>
        <v>1</v>
      </c>
      <c r="H388" s="503">
        <f>UDV.econ_capital.interest_rate</f>
        <v>5.0999999999999997E-2</v>
      </c>
      <c r="I388" s="257">
        <f>VLOOKUP("CAPEXSalvageEquipmentDefault",Econ.inputsTable!$E:$I,2,FALSE)</f>
        <v>0.2</v>
      </c>
      <c r="J388" s="153">
        <f>C388*I388</f>
        <v>170</v>
      </c>
      <c r="K388" s="257">
        <f>VLOOKUP("CAPEXFinanced amountNADefault",Econ.inputsTable!$E:$I,2,FALSE)</f>
        <v>1</v>
      </c>
      <c r="L388" s="364">
        <f>H388*K388</f>
        <v>5.0999999999999997E-2</v>
      </c>
      <c r="M388" s="351">
        <f>L388/(1-(1+L388)^-D388)</f>
        <v>8.0924368970045152E-2</v>
      </c>
      <c r="N388" s="153">
        <f>((C388-J388)*M388)+(J388*L388)</f>
        <v>63.698570899630703</v>
      </c>
      <c r="O388" s="157">
        <f>G388*N388</f>
        <v>63.698570899630703</v>
      </c>
    </row>
    <row r="389" spans="1:15" x14ac:dyDescent="0.3">
      <c r="B389" s="99"/>
    </row>
    <row r="390" spans="1:15" x14ac:dyDescent="0.3">
      <c r="B390" s="99"/>
      <c r="C390" s="82" t="s">
        <v>7009</v>
      </c>
      <c r="D390" s="82" t="s">
        <v>6963</v>
      </c>
      <c r="E390"/>
      <c r="F390"/>
      <c r="G390"/>
      <c r="H390"/>
      <c r="K390"/>
      <c r="L390"/>
      <c r="O390" s="146"/>
    </row>
    <row r="391" spans="1:15" x14ac:dyDescent="0.3">
      <c r="A391" t="s">
        <v>5216</v>
      </c>
      <c r="B391" s="99" t="s">
        <v>6964</v>
      </c>
      <c r="C391" s="153">
        <f>SUM(C386:C388)</f>
        <v>37250</v>
      </c>
      <c r="D391" s="153">
        <f>SUMPRODUCT(C386:C388,G386:G388)</f>
        <v>37250</v>
      </c>
      <c r="E391"/>
      <c r="F391"/>
      <c r="G391"/>
      <c r="H391"/>
      <c r="K391"/>
      <c r="L391"/>
      <c r="O391" s="146"/>
    </row>
    <row r="392" spans="1:15" x14ac:dyDescent="0.3">
      <c r="A392" t="s">
        <v>5216</v>
      </c>
      <c r="B392" s="149" t="s">
        <v>6965</v>
      </c>
      <c r="C392" s="159">
        <f>SUM(N386:N388)</f>
        <v>3017.6174069102476</v>
      </c>
      <c r="D392" s="159">
        <f>SUMPRODUCT(N386:N388,G386:G388)</f>
        <v>3017.6174069102476</v>
      </c>
      <c r="E392" s="150"/>
      <c r="F392" s="150"/>
      <c r="G392" s="150"/>
      <c r="H392" s="150"/>
      <c r="I392" s="150"/>
      <c r="J392" s="150"/>
      <c r="K392" s="150"/>
      <c r="L392" s="150"/>
      <c r="M392" s="150"/>
      <c r="N392" s="150"/>
      <c r="O392" s="151"/>
    </row>
    <row r="393" spans="1:15" x14ac:dyDescent="0.3">
      <c r="B393" s="99"/>
      <c r="C393" s="153"/>
      <c r="D393" s="153"/>
      <c r="E393"/>
      <c r="F393"/>
      <c r="G393"/>
      <c r="H393"/>
      <c r="K393"/>
      <c r="L393"/>
      <c r="O393" s="146"/>
    </row>
    <row r="394" spans="1:15" ht="28.8" x14ac:dyDescent="0.3">
      <c r="B394" s="160" t="s">
        <v>6966</v>
      </c>
      <c r="C394" s="152" t="s">
        <v>6967</v>
      </c>
      <c r="D394" s="152" t="s">
        <v>6968</v>
      </c>
      <c r="E394" s="152" t="s">
        <v>6969</v>
      </c>
      <c r="F394" s="152" t="s">
        <v>6970</v>
      </c>
      <c r="G394" s="152" t="s">
        <v>6971</v>
      </c>
      <c r="H394" s="152" t="s">
        <v>6972</v>
      </c>
      <c r="I394" s="152" t="s">
        <v>6973</v>
      </c>
      <c r="J394" s="152" t="s">
        <v>6974</v>
      </c>
      <c r="K394" s="152" t="s">
        <v>6975</v>
      </c>
      <c r="L394" s="152" t="s">
        <v>6976</v>
      </c>
      <c r="M394" s="152" t="s">
        <v>6977</v>
      </c>
      <c r="N394" s="152" t="s">
        <v>6978</v>
      </c>
      <c r="O394" s="161" t="s">
        <v>6979</v>
      </c>
    </row>
    <row r="395" spans="1:15" x14ac:dyDescent="0.3">
      <c r="B395" s="99" t="s">
        <v>7102</v>
      </c>
      <c r="C395" s="236">
        <f>VLOOKUP("OPEXInsuranceEverythingDefault",Econ.inputsTable!$E:$I,2,FALSE)</f>
        <v>5.0000000000000001E-3</v>
      </c>
      <c r="D395" s="236">
        <f>VLOOKUP("OPEXRepair and maintenanceBuildings and constructionDefault",Econ.inputsTable!$E:$I,2,FALSE)</f>
        <v>0.01</v>
      </c>
      <c r="E395"/>
      <c r="F395" s="365"/>
      <c r="G395" s="365"/>
      <c r="H395"/>
      <c r="I395" s="365"/>
      <c r="J395" s="365"/>
      <c r="K395"/>
      <c r="L395"/>
      <c r="O395" s="167">
        <f>(SUM(C395:D395)*C386*G386)+SUM(E395,G395,I395,J395,L395,N395)</f>
        <v>384</v>
      </c>
    </row>
    <row r="396" spans="1:15" x14ac:dyDescent="0.3">
      <c r="B396" s="99" t="s">
        <v>7103</v>
      </c>
      <c r="C396" s="236">
        <f>VLOOKUP("OPEXInsuranceEverythingDefault",Econ.inputsTable!$E:$I,2,FALSE)</f>
        <v>5.0000000000000001E-3</v>
      </c>
      <c r="D396" s="236">
        <f>VLOOKUP("OPEXRepair and maintenancePump, non-ptoDefault",Econ.inputsTable!$E:$I,2,FALSE)</f>
        <v>0.05</v>
      </c>
      <c r="E396"/>
      <c r="F396" s="365"/>
      <c r="G396" s="365"/>
      <c r="H396"/>
      <c r="I396" s="365"/>
      <c r="J396" s="365"/>
      <c r="K396"/>
      <c r="L396"/>
      <c r="O396" s="167">
        <f>(SUM(C396:D396)*C387*G387)+SUM(E396,G396,I396,J396,L396,N396)</f>
        <v>594</v>
      </c>
    </row>
    <row r="397" spans="1:15" x14ac:dyDescent="0.3">
      <c r="B397" s="99" t="s">
        <v>7099</v>
      </c>
      <c r="C397" s="236">
        <f>VLOOKUP("OPEXInsuranceEverythingDefault",Econ.inputsTable!$E:$I,2,FALSE)</f>
        <v>5.0000000000000001E-3</v>
      </c>
      <c r="D397" s="236">
        <f>VLOOKUP("OPEXRepair and maintenanceEquipmentDefault",Econ.inputsTable!$E:$I,2,FALSE)</f>
        <v>0.03</v>
      </c>
      <c r="E397"/>
      <c r="F397" s="166">
        <f>E375</f>
        <v>92.045831870967106</v>
      </c>
      <c r="G397" s="233">
        <f>F397*E379</f>
        <v>6.3135770177494184</v>
      </c>
      <c r="H397"/>
      <c r="I397" s="365"/>
      <c r="J397" s="365"/>
      <c r="K397"/>
      <c r="L397"/>
      <c r="O397" s="167">
        <f>(SUM(C397:D397)*C388*G388)+SUM(E397,G397,I397,J397,L397,N397)</f>
        <v>36.063577017749417</v>
      </c>
    </row>
    <row r="398" spans="1:15" x14ac:dyDescent="0.3">
      <c r="A398" t="s">
        <v>5216</v>
      </c>
      <c r="B398" s="162" t="s">
        <v>5203</v>
      </c>
      <c r="C398" s="366"/>
      <c r="D398" s="366"/>
      <c r="E398" s="367">
        <f>SUM(E395:E397)</f>
        <v>0</v>
      </c>
      <c r="F398" s="168">
        <f t="shared" ref="F398:O398" si="3">SUM(F395:F397)</f>
        <v>92.045831870967106</v>
      </c>
      <c r="G398" s="367">
        <f t="shared" si="3"/>
        <v>6.3135770177494184</v>
      </c>
      <c r="H398" s="163">
        <f t="shared" si="3"/>
        <v>0</v>
      </c>
      <c r="I398" s="367">
        <f t="shared" si="3"/>
        <v>0</v>
      </c>
      <c r="J398" s="367">
        <f t="shared" si="3"/>
        <v>0</v>
      </c>
      <c r="K398" s="163">
        <f t="shared" si="3"/>
        <v>0</v>
      </c>
      <c r="L398" s="367">
        <f t="shared" si="3"/>
        <v>0</v>
      </c>
      <c r="M398" s="163">
        <f t="shared" si="3"/>
        <v>0</v>
      </c>
      <c r="N398" s="367">
        <f t="shared" si="3"/>
        <v>0</v>
      </c>
      <c r="O398" s="169">
        <f t="shared" si="3"/>
        <v>1014.0635770177494</v>
      </c>
    </row>
    <row r="399" spans="1:15" x14ac:dyDescent="0.3">
      <c r="B399" s="99"/>
      <c r="D399"/>
      <c r="E399"/>
      <c r="F399"/>
      <c r="G399"/>
      <c r="H399"/>
      <c r="K399"/>
      <c r="L399"/>
      <c r="O399" s="146"/>
    </row>
    <row r="400" spans="1:15" x14ac:dyDescent="0.3">
      <c r="A400" t="s">
        <v>5216</v>
      </c>
      <c r="B400" s="149" t="s">
        <v>6980</v>
      </c>
      <c r="C400" s="159">
        <f>O398</f>
        <v>1014.0635770177494</v>
      </c>
      <c r="D400" s="150"/>
      <c r="E400" s="150"/>
      <c r="F400" s="150"/>
      <c r="G400" s="150"/>
      <c r="H400" s="150"/>
      <c r="I400" s="150"/>
      <c r="J400" s="150"/>
      <c r="K400" s="150"/>
      <c r="L400" s="150"/>
      <c r="M400" s="150"/>
      <c r="N400" s="150"/>
      <c r="O400" s="151"/>
    </row>
    <row r="401" spans="1:24" x14ac:dyDescent="0.3">
      <c r="B401" s="99"/>
      <c r="C401" s="153"/>
      <c r="D401"/>
      <c r="E401"/>
      <c r="F401"/>
      <c r="G401"/>
      <c r="H401"/>
      <c r="K401"/>
      <c r="L401"/>
      <c r="O401" s="146"/>
    </row>
    <row r="402" spans="1:24" x14ac:dyDescent="0.3">
      <c r="B402" s="368" t="s">
        <v>7104</v>
      </c>
      <c r="C402" s="82" t="s">
        <v>7105</v>
      </c>
      <c r="D402"/>
      <c r="E402"/>
      <c r="F402"/>
      <c r="G402"/>
      <c r="H402"/>
      <c r="K402"/>
      <c r="L402"/>
      <c r="O402" s="146"/>
    </row>
    <row r="403" spans="1:24" x14ac:dyDescent="0.3">
      <c r="B403" s="99" t="s">
        <v>7106</v>
      </c>
      <c r="C403" s="153">
        <f>E371*E380</f>
        <v>860.94465773275579</v>
      </c>
      <c r="D403"/>
      <c r="E403"/>
      <c r="F403"/>
      <c r="G403"/>
      <c r="H403"/>
      <c r="K403"/>
      <c r="L403"/>
      <c r="O403" s="146"/>
    </row>
    <row r="404" spans="1:24" x14ac:dyDescent="0.3">
      <c r="B404" s="99"/>
      <c r="D404"/>
      <c r="E404"/>
      <c r="F404"/>
      <c r="G404"/>
      <c r="H404"/>
      <c r="K404"/>
      <c r="L404"/>
      <c r="O404" s="146"/>
    </row>
    <row r="405" spans="1:24" x14ac:dyDescent="0.3">
      <c r="A405" t="s">
        <v>5216</v>
      </c>
      <c r="B405" s="149" t="s">
        <v>7107</v>
      </c>
      <c r="C405" s="159">
        <f>SUM(C403)</f>
        <v>860.94465773275579</v>
      </c>
      <c r="D405" s="150"/>
      <c r="E405" s="150"/>
      <c r="F405" s="150"/>
      <c r="G405" s="150"/>
      <c r="H405" s="150"/>
      <c r="I405" s="150"/>
      <c r="J405" s="150"/>
      <c r="K405" s="150"/>
      <c r="L405" s="150"/>
      <c r="M405" s="150"/>
      <c r="N405" s="150"/>
      <c r="O405" s="151"/>
    </row>
    <row r="406" spans="1:24" ht="15" thickBot="1" x14ac:dyDescent="0.35">
      <c r="A406" s="137"/>
      <c r="B406" s="137"/>
      <c r="C406" s="137"/>
      <c r="D406" s="137"/>
      <c r="E406" s="137"/>
      <c r="F406" s="137"/>
      <c r="G406" s="137"/>
      <c r="H406" s="137"/>
      <c r="I406" s="137"/>
      <c r="J406" s="137"/>
      <c r="K406" s="137"/>
      <c r="L406" s="137"/>
      <c r="M406" s="137"/>
      <c r="N406" s="137"/>
      <c r="O406" s="137"/>
      <c r="P406" s="137"/>
      <c r="Q406" s="137"/>
    </row>
    <row r="407" spans="1:24" x14ac:dyDescent="0.3">
      <c r="D407"/>
      <c r="E407"/>
      <c r="F407"/>
      <c r="G407"/>
      <c r="H407"/>
      <c r="K407"/>
      <c r="L407"/>
      <c r="P407"/>
    </row>
    <row r="408" spans="1:24" ht="15.6" x14ac:dyDescent="0.3">
      <c r="B408" s="138" t="s">
        <v>6981</v>
      </c>
      <c r="C408" s="170" t="s">
        <v>7108</v>
      </c>
      <c r="D408"/>
      <c r="E408"/>
      <c r="F408"/>
      <c r="G408"/>
      <c r="H408"/>
      <c r="K408"/>
      <c r="L408"/>
      <c r="P408"/>
      <c r="Q408" s="171" t="s">
        <v>7153</v>
      </c>
      <c r="R408" s="142"/>
      <c r="S408" s="142"/>
      <c r="T408" s="141"/>
      <c r="U408"/>
      <c r="W408" s="142"/>
      <c r="X408" s="142"/>
    </row>
    <row r="409" spans="1:24" ht="15.6" x14ac:dyDescent="0.3">
      <c r="B409" s="138"/>
      <c r="D409"/>
      <c r="E409"/>
      <c r="F409"/>
      <c r="G409"/>
      <c r="H409"/>
      <c r="K409"/>
      <c r="L409"/>
      <c r="P409"/>
      <c r="Q409" s="172" t="s">
        <v>565</v>
      </c>
      <c r="R409" s="82" t="s">
        <v>38</v>
      </c>
      <c r="S409" s="82" t="s">
        <v>565</v>
      </c>
      <c r="T409" s="173" t="s">
        <v>38</v>
      </c>
      <c r="U409"/>
      <c r="W409"/>
    </row>
    <row r="410" spans="1:24" x14ac:dyDescent="0.3">
      <c r="B410" s="139" t="s">
        <v>6983</v>
      </c>
      <c r="C410" s="140" t="s">
        <v>565</v>
      </c>
      <c r="D410" s="140" t="s">
        <v>38</v>
      </c>
      <c r="E410" s="142"/>
      <c r="F410" s="141"/>
      <c r="G410"/>
      <c r="H410"/>
      <c r="K410"/>
      <c r="L410"/>
      <c r="P410"/>
      <c r="Q410" s="99">
        <v>1</v>
      </c>
      <c r="R410" t="s">
        <v>2359</v>
      </c>
      <c r="S410">
        <v>453.59199999999998</v>
      </c>
      <c r="T410" s="146" t="s">
        <v>2535</v>
      </c>
      <c r="U410"/>
      <c r="W410"/>
    </row>
    <row r="411" spans="1:24" x14ac:dyDescent="0.3">
      <c r="B411" s="99" t="s">
        <v>6984</v>
      </c>
      <c r="C411">
        <f>UDV.crops.acres_available</f>
        <v>100</v>
      </c>
      <c r="D411" t="s">
        <v>5385</v>
      </c>
      <c r="E411" s="34"/>
      <c r="F411" s="146"/>
      <c r="G411"/>
      <c r="H411"/>
      <c r="K411"/>
      <c r="L411"/>
      <c r="P411"/>
      <c r="Q411" s="99">
        <v>1</v>
      </c>
      <c r="R411" t="s">
        <v>2535</v>
      </c>
      <c r="S411">
        <v>2.20462E-3</v>
      </c>
      <c r="T411" s="146" t="s">
        <v>2359</v>
      </c>
      <c r="U411"/>
      <c r="W411"/>
    </row>
    <row r="412" spans="1:24" x14ac:dyDescent="0.3">
      <c r="B412" s="99" t="s">
        <v>7109</v>
      </c>
      <c r="C412" s="166">
        <f>UDV.econ_manure.liquid_sell_pct*R462</f>
        <v>0</v>
      </c>
      <c r="D412" t="s">
        <v>5246</v>
      </c>
      <c r="E412"/>
      <c r="F412" s="146"/>
      <c r="G412"/>
      <c r="H412"/>
      <c r="K412"/>
      <c r="L412"/>
      <c r="P412"/>
      <c r="Q412" s="99">
        <v>1</v>
      </c>
      <c r="R412" t="s">
        <v>2358</v>
      </c>
      <c r="S412">
        <v>1.10231E-3</v>
      </c>
      <c r="T412" s="146" t="s">
        <v>2537</v>
      </c>
      <c r="U412"/>
      <c r="W412"/>
    </row>
    <row r="413" spans="1:24" x14ac:dyDescent="0.3">
      <c r="B413" s="99" t="s">
        <v>7110</v>
      </c>
      <c r="C413" s="166">
        <f>UDV.econ_manure.liquid_give_pct*R462</f>
        <v>0</v>
      </c>
      <c r="D413" t="s">
        <v>5246</v>
      </c>
      <c r="E413"/>
      <c r="F413" s="146"/>
      <c r="G413"/>
      <c r="H413"/>
      <c r="K413"/>
      <c r="L413"/>
      <c r="P413"/>
      <c r="Q413" s="99">
        <v>1</v>
      </c>
      <c r="R413" t="s">
        <v>2481</v>
      </c>
      <c r="S413">
        <v>0.26417200000000002</v>
      </c>
      <c r="T413" s="146" t="s">
        <v>2480</v>
      </c>
      <c r="U413"/>
      <c r="W413"/>
    </row>
    <row r="414" spans="1:24" x14ac:dyDescent="0.3">
      <c r="B414" s="99" t="s">
        <v>7111</v>
      </c>
      <c r="C414" s="147">
        <f>R462-C412-C413</f>
        <v>0</v>
      </c>
      <c r="D414" t="s">
        <v>5246</v>
      </c>
      <c r="E414"/>
      <c r="F414" s="146"/>
      <c r="G414"/>
      <c r="H414"/>
      <c r="K414"/>
      <c r="L414"/>
      <c r="P414"/>
      <c r="Q414" s="99">
        <v>1</v>
      </c>
      <c r="R414" t="s">
        <v>2480</v>
      </c>
      <c r="S414">
        <v>3.7854100000000002</v>
      </c>
      <c r="T414" s="146" t="s">
        <v>2481</v>
      </c>
      <c r="U414"/>
      <c r="W414"/>
    </row>
    <row r="415" spans="1:24" x14ac:dyDescent="0.3">
      <c r="B415" s="99" t="s">
        <v>7112</v>
      </c>
      <c r="C415" s="166">
        <f>UDV.econ_manure.sludge_sell_pct*X462</f>
        <v>0</v>
      </c>
      <c r="D415" t="s">
        <v>5246</v>
      </c>
      <c r="E415"/>
      <c r="F415" s="146"/>
      <c r="G415"/>
      <c r="H415"/>
      <c r="K415"/>
      <c r="L415"/>
      <c r="P415"/>
      <c r="Q415" s="149">
        <v>1</v>
      </c>
      <c r="R415" s="150" t="s">
        <v>2480</v>
      </c>
      <c r="S415" s="150">
        <v>1E-3</v>
      </c>
      <c r="T415" s="151" t="s">
        <v>7154</v>
      </c>
      <c r="U415"/>
      <c r="W415"/>
    </row>
    <row r="416" spans="1:24" x14ac:dyDescent="0.3">
      <c r="B416" s="99" t="s">
        <v>7113</v>
      </c>
      <c r="C416" s="166">
        <f>UDV.econ_manure.sludge_give_pct*X462</f>
        <v>108.53693354337156</v>
      </c>
      <c r="D416" t="s">
        <v>5246</v>
      </c>
      <c r="E416"/>
      <c r="F416" s="146"/>
      <c r="G416"/>
      <c r="H416"/>
      <c r="K416"/>
      <c r="L416"/>
      <c r="P416"/>
      <c r="Q416" s="174">
        <v>1</v>
      </c>
      <c r="R416" t="s">
        <v>84</v>
      </c>
      <c r="S416">
        <v>1</v>
      </c>
      <c r="T416" s="146" t="s">
        <v>84</v>
      </c>
      <c r="U416"/>
      <c r="W416"/>
    </row>
    <row r="417" spans="2:27" x14ac:dyDescent="0.3">
      <c r="B417" s="99" t="s">
        <v>7114</v>
      </c>
      <c r="C417" s="147">
        <f>X462-C415-C416</f>
        <v>0</v>
      </c>
      <c r="D417" t="s">
        <v>5246</v>
      </c>
      <c r="E417"/>
      <c r="F417" s="146"/>
      <c r="G417"/>
      <c r="H417"/>
      <c r="K417"/>
      <c r="L417"/>
      <c r="P417"/>
      <c r="Q417" s="99">
        <v>1</v>
      </c>
      <c r="R417" t="s">
        <v>704</v>
      </c>
      <c r="S417">
        <v>2.29</v>
      </c>
      <c r="T417" s="146" t="s">
        <v>941</v>
      </c>
      <c r="U417"/>
      <c r="W417"/>
    </row>
    <row r="418" spans="2:27" x14ac:dyDescent="0.3">
      <c r="B418" s="99"/>
      <c r="D418"/>
      <c r="E418"/>
      <c r="F418" s="151"/>
      <c r="G418"/>
      <c r="H418"/>
      <c r="K418"/>
      <c r="L418"/>
      <c r="P418"/>
      <c r="Q418" s="149">
        <v>1</v>
      </c>
      <c r="R418" s="150" t="s">
        <v>702</v>
      </c>
      <c r="S418" s="150">
        <v>1.21</v>
      </c>
      <c r="T418" s="151" t="s">
        <v>934</v>
      </c>
      <c r="U418"/>
      <c r="W418"/>
    </row>
    <row r="419" spans="2:27" x14ac:dyDescent="0.3">
      <c r="B419" s="92" t="s">
        <v>6942</v>
      </c>
      <c r="D419"/>
      <c r="E419" s="139" t="s">
        <v>6988</v>
      </c>
      <c r="F419" s="141"/>
      <c r="G419"/>
      <c r="H419"/>
      <c r="K419"/>
      <c r="L419"/>
      <c r="P419"/>
      <c r="U419"/>
      <c r="W419"/>
    </row>
    <row r="420" spans="2:27" x14ac:dyDescent="0.3">
      <c r="B420" s="175" t="s">
        <v>2908</v>
      </c>
      <c r="D420"/>
      <c r="E420" s="99"/>
      <c r="F420" s="146"/>
      <c r="G420"/>
      <c r="H420"/>
      <c r="K420"/>
      <c r="L420"/>
      <c r="P420"/>
      <c r="Q420" s="176" t="s">
        <v>7155</v>
      </c>
      <c r="R420" s="170" t="s">
        <v>7156</v>
      </c>
      <c r="S420" s="177"/>
      <c r="T420" s="177"/>
      <c r="U420" s="177"/>
      <c r="W420" s="176" t="s">
        <v>7157</v>
      </c>
      <c r="X420" s="170" t="s">
        <v>7158</v>
      </c>
      <c r="Y420" s="177"/>
      <c r="Z420" s="177"/>
      <c r="AA420" s="177"/>
    </row>
    <row r="421" spans="2:27" x14ac:dyDescent="0.3">
      <c r="B421" s="143" t="s">
        <v>2663</v>
      </c>
      <c r="C421" s="144" t="s">
        <v>565</v>
      </c>
      <c r="D421" s="144" t="s">
        <v>6943</v>
      </c>
      <c r="E421" s="143" t="s">
        <v>565</v>
      </c>
      <c r="F421" s="145" t="s">
        <v>6944</v>
      </c>
      <c r="G421"/>
      <c r="H421"/>
      <c r="K421"/>
      <c r="L421"/>
      <c r="P421"/>
      <c r="Q421" s="179" t="s">
        <v>5328</v>
      </c>
      <c r="R421" s="179" t="s">
        <v>565</v>
      </c>
      <c r="S421" s="179" t="s">
        <v>5329</v>
      </c>
      <c r="T421" s="179" t="s">
        <v>5330</v>
      </c>
      <c r="U421" s="179" t="s">
        <v>5330</v>
      </c>
      <c r="W421" s="179" t="s">
        <v>5328</v>
      </c>
      <c r="X421" s="179" t="s">
        <v>565</v>
      </c>
      <c r="Y421" s="179" t="s">
        <v>5329</v>
      </c>
      <c r="Z421" s="179" t="s">
        <v>5330</v>
      </c>
      <c r="AA421" s="179" t="s">
        <v>5330</v>
      </c>
    </row>
    <row r="422" spans="2:27" x14ac:dyDescent="0.3">
      <c r="B422" s="99" t="s">
        <v>5676</v>
      </c>
      <c r="C422" s="147">
        <f>VLOOKUP(B422,$R:$U,3,FALSE)</f>
        <v>160</v>
      </c>
      <c r="D422" t="s">
        <v>5689</v>
      </c>
      <c r="E422" s="99">
        <f>C422</f>
        <v>160</v>
      </c>
      <c r="F422" s="146" t="s">
        <v>5689</v>
      </c>
      <c r="G422"/>
      <c r="H422"/>
      <c r="K422"/>
      <c r="L422"/>
      <c r="P422"/>
      <c r="Q422" s="180" t="s">
        <v>5332</v>
      </c>
      <c r="R422" s="252">
        <f>R453*R461</f>
        <v>5285.6108530058209</v>
      </c>
      <c r="S422" s="180" t="s">
        <v>5181</v>
      </c>
      <c r="T422" s="177" t="s">
        <v>5333</v>
      </c>
      <c r="U422" s="177">
        <f>UDV.crops.N_avail</f>
        <v>0.95</v>
      </c>
      <c r="W422" s="180" t="s">
        <v>5332</v>
      </c>
      <c r="X422" s="252">
        <f>X453*X461</f>
        <v>12014.389146994179</v>
      </c>
      <c r="Y422" s="180" t="s">
        <v>7159</v>
      </c>
      <c r="Z422" s="177" t="s">
        <v>5333</v>
      </c>
      <c r="AA422" s="177">
        <f>UDV.crops.N_avail</f>
        <v>0.95</v>
      </c>
    </row>
    <row r="423" spans="2:27" x14ac:dyDescent="0.3">
      <c r="B423" s="99" t="s">
        <v>6989</v>
      </c>
      <c r="C423" s="147"/>
      <c r="D423" t="s">
        <v>2442</v>
      </c>
      <c r="E423" s="99">
        <f>E424</f>
        <v>1</v>
      </c>
      <c r="F423" s="146" t="s">
        <v>2442</v>
      </c>
      <c r="G423"/>
      <c r="H423"/>
      <c r="K423"/>
      <c r="L423"/>
      <c r="P423"/>
      <c r="Q423" s="182" t="s">
        <v>5336</v>
      </c>
      <c r="R423" s="183">
        <f>E449/1000</f>
        <v>630.48979142604435</v>
      </c>
      <c r="S423" s="182" t="s">
        <v>5246</v>
      </c>
      <c r="T423" s="177" t="s">
        <v>5337</v>
      </c>
      <c r="U423" s="177">
        <f>UDV.crops.P_avail</f>
        <v>0.95</v>
      </c>
      <c r="W423" s="182" t="s">
        <v>5336</v>
      </c>
      <c r="X423" s="183">
        <f>E463/1000</f>
        <v>1195.5356549500459</v>
      </c>
      <c r="Y423" s="182" t="s">
        <v>5249</v>
      </c>
      <c r="Z423" s="177" t="s">
        <v>5337</v>
      </c>
      <c r="AA423" s="177">
        <f>UDV.crops.P_avail</f>
        <v>0.95</v>
      </c>
    </row>
    <row r="424" spans="2:27" x14ac:dyDescent="0.3">
      <c r="B424" s="222" t="s">
        <v>5735</v>
      </c>
      <c r="C424" s="147">
        <f>VLOOKUP(B424,$R:$U,3,FALSE)</f>
        <v>1</v>
      </c>
      <c r="D424" t="s">
        <v>2442</v>
      </c>
      <c r="E424" s="178">
        <f>C424</f>
        <v>1</v>
      </c>
      <c r="F424" s="146" t="s">
        <v>2442</v>
      </c>
      <c r="G424"/>
      <c r="H424"/>
      <c r="K424"/>
      <c r="L424"/>
      <c r="P424"/>
      <c r="Q424" s="177" t="s">
        <v>5338</v>
      </c>
      <c r="R424" s="189">
        <f>U439</f>
        <v>9.9467689366006411</v>
      </c>
      <c r="S424" s="177" t="s">
        <v>2414</v>
      </c>
      <c r="T424" s="177" t="s">
        <v>5339</v>
      </c>
      <c r="U424" s="177">
        <f>UDV.crops.K_avail</f>
        <v>1</v>
      </c>
      <c r="W424" s="177" t="s">
        <v>5338</v>
      </c>
      <c r="X424" s="188">
        <f>AA439</f>
        <v>13.114072019170418</v>
      </c>
      <c r="Y424" s="177" t="s">
        <v>2414</v>
      </c>
      <c r="Z424" s="182" t="s">
        <v>5339</v>
      </c>
      <c r="AA424" s="177">
        <f>UDV.crops.K_avail</f>
        <v>1</v>
      </c>
    </row>
    <row r="425" spans="2:27" x14ac:dyDescent="0.3">
      <c r="B425" s="99" t="s">
        <v>5663</v>
      </c>
      <c r="C425" s="147">
        <f>VLOOKUP(B425,$R:$U,3,FALSE)</f>
        <v>180</v>
      </c>
      <c r="D425" t="s">
        <v>5689</v>
      </c>
      <c r="E425" s="99">
        <f>C425</f>
        <v>180</v>
      </c>
      <c r="F425" s="146" t="s">
        <v>5689</v>
      </c>
      <c r="G425"/>
      <c r="H425"/>
      <c r="K425"/>
      <c r="L425"/>
      <c r="P425"/>
      <c r="Q425" s="177" t="s">
        <v>5340</v>
      </c>
      <c r="R425" s="189">
        <f>U440</f>
        <v>6.387925976174329</v>
      </c>
      <c r="S425" s="177" t="s">
        <v>2414</v>
      </c>
      <c r="T425" s="184" t="s">
        <v>5341</v>
      </c>
      <c r="U425" s="150"/>
      <c r="W425" s="177" t="s">
        <v>5340</v>
      </c>
      <c r="X425" s="188">
        <f>AA440</f>
        <v>27.562920054201012</v>
      </c>
      <c r="Y425" s="177" t="s">
        <v>2414</v>
      </c>
      <c r="Z425" s="375" t="s">
        <v>5341</v>
      </c>
      <c r="AA425" s="185"/>
    </row>
    <row r="426" spans="2:27" x14ac:dyDescent="0.3">
      <c r="B426" s="99" t="s">
        <v>6990</v>
      </c>
      <c r="C426" s="297"/>
      <c r="D426" t="s">
        <v>2442</v>
      </c>
      <c r="E426" s="99">
        <f>E427</f>
        <v>1</v>
      </c>
      <c r="F426" s="146" t="s">
        <v>2442</v>
      </c>
      <c r="G426"/>
      <c r="H426"/>
      <c r="K426"/>
      <c r="L426"/>
      <c r="P426"/>
      <c r="Q426" s="177" t="s">
        <v>5342</v>
      </c>
      <c r="R426" s="189">
        <f>U441</f>
        <v>9.7063764856577084</v>
      </c>
      <c r="S426" s="177" t="s">
        <v>2414</v>
      </c>
      <c r="T426" s="185" t="s">
        <v>5343</v>
      </c>
      <c r="U426" s="185" t="str">
        <f>UDV.crops.apply_for</f>
        <v>N</v>
      </c>
      <c r="W426" s="177" t="s">
        <v>5342</v>
      </c>
      <c r="X426" s="188">
        <f>AA441</f>
        <v>27.563054669418239</v>
      </c>
      <c r="Y426" s="177" t="s">
        <v>2414</v>
      </c>
      <c r="Z426" s="185" t="s">
        <v>5343</v>
      </c>
      <c r="AA426" s="185" t="str">
        <f>UDV.crops.apply_for</f>
        <v>N</v>
      </c>
    </row>
    <row r="427" spans="2:27" x14ac:dyDescent="0.3">
      <c r="B427" s="222" t="s">
        <v>5736</v>
      </c>
      <c r="C427" s="147">
        <f>VLOOKUP(B427,$R:$U,3,FALSE)</f>
        <v>1</v>
      </c>
      <c r="D427" t="s">
        <v>2442</v>
      </c>
      <c r="E427" s="178">
        <f>C427</f>
        <v>1</v>
      </c>
      <c r="F427" s="146" t="s">
        <v>2442</v>
      </c>
      <c r="G427"/>
      <c r="H427"/>
      <c r="K427"/>
      <c r="L427"/>
      <c r="P427"/>
      <c r="Q427" s="186" t="s">
        <v>5344</v>
      </c>
      <c r="R427" s="187">
        <f>R424*U422</f>
        <v>9.4494304897706094</v>
      </c>
      <c r="S427" s="186" t="s">
        <v>2414</v>
      </c>
      <c r="T427" s="989" t="s">
        <v>5345</v>
      </c>
      <c r="U427" s="990">
        <f>U430*S416</f>
        <v>195</v>
      </c>
      <c r="W427" s="186" t="s">
        <v>5344</v>
      </c>
      <c r="X427" s="187">
        <f>X424*AA422</f>
        <v>12.458368418211897</v>
      </c>
      <c r="Y427" s="186" t="s">
        <v>2414</v>
      </c>
      <c r="Z427" s="989" t="s">
        <v>5345</v>
      </c>
      <c r="AA427" s="989">
        <f>AA430</f>
        <v>195</v>
      </c>
    </row>
    <row r="428" spans="2:27" x14ac:dyDescent="0.3">
      <c r="B428" s="99" t="s">
        <v>5638</v>
      </c>
      <c r="C428" s="147">
        <f>VLOOKUP(B428,$R:$U,3,FALSE)</f>
        <v>250</v>
      </c>
      <c r="D428" t="s">
        <v>5689</v>
      </c>
      <c r="E428" s="99">
        <f>C428</f>
        <v>250</v>
      </c>
      <c r="F428" s="146" t="s">
        <v>5689</v>
      </c>
      <c r="G428"/>
      <c r="H428"/>
      <c r="K428"/>
      <c r="L428"/>
      <c r="P428"/>
      <c r="Q428" s="177" t="s">
        <v>5347</v>
      </c>
      <c r="R428" s="189">
        <f>R425*U423</f>
        <v>6.0685296773656123</v>
      </c>
      <c r="S428" s="177" t="s">
        <v>2414</v>
      </c>
      <c r="T428" s="989" t="s">
        <v>5348</v>
      </c>
      <c r="U428" s="990">
        <f>U431/S417</f>
        <v>24.017467248908297</v>
      </c>
      <c r="W428" s="177" t="s">
        <v>5347</v>
      </c>
      <c r="X428" s="189">
        <f>X425*AA423</f>
        <v>26.184774051490962</v>
      </c>
      <c r="Y428" s="177" t="s">
        <v>2414</v>
      </c>
      <c r="Z428" s="989" t="s">
        <v>5348</v>
      </c>
      <c r="AA428" s="990">
        <f>AA431/S417</f>
        <v>24.017467248908297</v>
      </c>
    </row>
    <row r="429" spans="2:27" x14ac:dyDescent="0.3">
      <c r="B429" s="99" t="s">
        <v>5637</v>
      </c>
      <c r="C429" s="147">
        <f>VLOOKUP(B429,$R:$U,3,FALSE)</f>
        <v>6000</v>
      </c>
      <c r="D429" t="s">
        <v>2480</v>
      </c>
      <c r="E429" s="99">
        <f>C429</f>
        <v>6000</v>
      </c>
      <c r="F429" s="146" t="s">
        <v>2480</v>
      </c>
      <c r="G429"/>
      <c r="H429"/>
      <c r="K429"/>
      <c r="L429"/>
      <c r="P429"/>
      <c r="Q429" s="182" t="s">
        <v>5349</v>
      </c>
      <c r="R429" s="190">
        <f>R426*U424</f>
        <v>9.7063764856577084</v>
      </c>
      <c r="S429" s="182" t="s">
        <v>2414</v>
      </c>
      <c r="T429" s="991" t="s">
        <v>5350</v>
      </c>
      <c r="U429" s="992">
        <f>U432/S418</f>
        <v>74.380165289256198</v>
      </c>
      <c r="W429" s="182" t="s">
        <v>5349</v>
      </c>
      <c r="X429" s="190">
        <f>X426*AA424</f>
        <v>27.563054669418239</v>
      </c>
      <c r="Y429" s="182" t="s">
        <v>2414</v>
      </c>
      <c r="Z429" s="991" t="s">
        <v>5350</v>
      </c>
      <c r="AA429" s="993">
        <f>AA432/S418</f>
        <v>74.380165289256198</v>
      </c>
    </row>
    <row r="430" spans="2:27" x14ac:dyDescent="0.3">
      <c r="B430" s="99" t="s">
        <v>6991</v>
      </c>
      <c r="C430" s="147"/>
      <c r="D430" s="146" t="s">
        <v>2442</v>
      </c>
      <c r="E430">
        <f>E431</f>
        <v>1</v>
      </c>
      <c r="F430" s="146" t="s">
        <v>2442</v>
      </c>
      <c r="G430"/>
      <c r="H430"/>
      <c r="K430"/>
      <c r="L430"/>
      <c r="P430"/>
      <c r="Q430" s="177" t="s">
        <v>5351</v>
      </c>
      <c r="R430" s="193">
        <f>U430/R427</f>
        <v>20.636164286418676</v>
      </c>
      <c r="S430" s="177" t="s">
        <v>5352</v>
      </c>
      <c r="T430" s="186" t="s">
        <v>5345</v>
      </c>
      <c r="U430" s="186">
        <f>UDV.crops.N_need</f>
        <v>195</v>
      </c>
      <c r="W430" s="177" t="s">
        <v>5351</v>
      </c>
      <c r="X430" s="193">
        <f>AA430/X427</f>
        <v>15.652129833866931</v>
      </c>
      <c r="Y430" s="177" t="s">
        <v>5358</v>
      </c>
      <c r="Z430" s="186" t="s">
        <v>5345</v>
      </c>
      <c r="AA430" s="186">
        <f>UDV.crops.N_need</f>
        <v>195</v>
      </c>
    </row>
    <row r="431" spans="2:27" x14ac:dyDescent="0.3">
      <c r="B431" s="222" t="s">
        <v>5734</v>
      </c>
      <c r="C431" s="147">
        <f>VLOOKUP(B431,$R:$U,3,FALSE)</f>
        <v>1</v>
      </c>
      <c r="D431" t="s">
        <v>2442</v>
      </c>
      <c r="E431" s="178">
        <f>C431</f>
        <v>1</v>
      </c>
      <c r="F431" s="146" t="s">
        <v>2442</v>
      </c>
      <c r="G431"/>
      <c r="H431"/>
      <c r="K431"/>
      <c r="L431"/>
      <c r="P431"/>
      <c r="Q431" s="177" t="s">
        <v>5353</v>
      </c>
      <c r="R431" s="193">
        <f>U431/R428</f>
        <v>9.0631508658742934</v>
      </c>
      <c r="S431" s="177" t="s">
        <v>5352</v>
      </c>
      <c r="T431" s="177" t="s">
        <v>5354</v>
      </c>
      <c r="U431" s="177">
        <f>UDV.crops.P_need</f>
        <v>55</v>
      </c>
      <c r="W431" s="177" t="s">
        <v>5353</v>
      </c>
      <c r="X431" s="193">
        <f>AA431/X428</f>
        <v>2.1004573074354367</v>
      </c>
      <c r="Y431" s="177" t="s">
        <v>5358</v>
      </c>
      <c r="Z431" s="177" t="s">
        <v>5354</v>
      </c>
      <c r="AA431" s="177">
        <f>UDV.crops.P_need</f>
        <v>55</v>
      </c>
    </row>
    <row r="432" spans="2:27" x14ac:dyDescent="0.3">
      <c r="B432" s="99" t="s">
        <v>5732</v>
      </c>
      <c r="C432" s="147" t="str">
        <f>VLOOKUP(B432,$R:$U,3,FALSE)</f>
        <v>Injection</v>
      </c>
      <c r="D432" t="s">
        <v>6992</v>
      </c>
      <c r="E432" s="99" t="str">
        <f>C432</f>
        <v>Injection</v>
      </c>
      <c r="F432" s="146" t="s">
        <v>6992</v>
      </c>
      <c r="G432"/>
      <c r="H432"/>
      <c r="K432"/>
      <c r="L432"/>
      <c r="P432"/>
      <c r="Q432" s="177" t="s">
        <v>5355</v>
      </c>
      <c r="R432" s="193">
        <f>U432/R429</f>
        <v>9.2722552162473182</v>
      </c>
      <c r="S432" s="177" t="s">
        <v>5352</v>
      </c>
      <c r="T432" s="182" t="s">
        <v>5356</v>
      </c>
      <c r="U432" s="182">
        <f>UDV.crops.K_need</f>
        <v>90</v>
      </c>
      <c r="W432" s="177" t="s">
        <v>5355</v>
      </c>
      <c r="X432" s="193">
        <f>AA432/X429</f>
        <v>3.2652404125532866</v>
      </c>
      <c r="Y432" s="177" t="s">
        <v>5358</v>
      </c>
      <c r="Z432" s="182" t="s">
        <v>5356</v>
      </c>
      <c r="AA432" s="182">
        <f>UDV.crops.K_need</f>
        <v>90</v>
      </c>
    </row>
    <row r="433" spans="2:27" x14ac:dyDescent="0.3">
      <c r="B433" s="99"/>
      <c r="C433" s="147"/>
      <c r="D433"/>
      <c r="E433" s="99"/>
      <c r="F433" s="146"/>
      <c r="G433"/>
      <c r="H433"/>
      <c r="K433"/>
      <c r="L433"/>
      <c r="P433"/>
      <c r="U433"/>
      <c r="W433"/>
    </row>
    <row r="434" spans="2:27" x14ac:dyDescent="0.3">
      <c r="B434" s="175" t="s">
        <v>7115</v>
      </c>
      <c r="C434" s="147"/>
      <c r="D434"/>
      <c r="E434" s="99"/>
      <c r="F434" s="146"/>
      <c r="G434"/>
      <c r="H434"/>
      <c r="K434"/>
      <c r="L434"/>
      <c r="P434"/>
      <c r="U434"/>
      <c r="W434"/>
    </row>
    <row r="435" spans="2:27" x14ac:dyDescent="0.3">
      <c r="B435" s="143" t="s">
        <v>2663</v>
      </c>
      <c r="C435" s="147"/>
      <c r="D435"/>
      <c r="E435" s="99"/>
      <c r="F435" s="146"/>
      <c r="G435"/>
      <c r="H435"/>
      <c r="K435"/>
      <c r="L435"/>
      <c r="P435"/>
      <c r="U435"/>
      <c r="W435"/>
    </row>
    <row r="436" spans="2:27" x14ac:dyDescent="0.3">
      <c r="B436" s="99" t="s">
        <v>6407</v>
      </c>
      <c r="C436" s="147">
        <f>VLOOKUP(B436,$R:$U,3,FALSE)</f>
        <v>27.497424960787516</v>
      </c>
      <c r="D436" t="s">
        <v>5385</v>
      </c>
      <c r="E436" s="178">
        <f>C436</f>
        <v>27.497424960787516</v>
      </c>
      <c r="F436" s="146" t="s">
        <v>5385</v>
      </c>
      <c r="G436"/>
      <c r="H436"/>
      <c r="K436"/>
      <c r="L436"/>
      <c r="P436"/>
      <c r="U436"/>
      <c r="W436"/>
    </row>
    <row r="437" spans="2:27" x14ac:dyDescent="0.3">
      <c r="B437" s="99" t="s">
        <v>6409</v>
      </c>
      <c r="C437" s="147">
        <f>VLOOKUP(B437,$R:$U,3,FALSE)</f>
        <v>940.31230973063862</v>
      </c>
      <c r="D437" t="s">
        <v>5323</v>
      </c>
      <c r="E437" s="178">
        <f>C437</f>
        <v>940.31230973063862</v>
      </c>
      <c r="F437" s="146" t="s">
        <v>5323</v>
      </c>
      <c r="G437"/>
      <c r="H437"/>
      <c r="K437"/>
      <c r="L437"/>
      <c r="P437"/>
      <c r="U437"/>
      <c r="W437"/>
    </row>
    <row r="438" spans="2:27" x14ac:dyDescent="0.3">
      <c r="B438" s="99" t="s">
        <v>6390</v>
      </c>
      <c r="C438" s="205">
        <f>VLOOKUP(B438,$R:$U, 3, FALSE)</f>
        <v>8.2492274882362544</v>
      </c>
      <c r="D438" t="s">
        <v>2472</v>
      </c>
      <c r="E438" s="178">
        <f>C438</f>
        <v>8.2492274882362544</v>
      </c>
      <c r="F438" s="146" t="s">
        <v>2710</v>
      </c>
      <c r="G438"/>
      <c r="H438"/>
      <c r="K438"/>
      <c r="L438"/>
      <c r="P438"/>
      <c r="U438"/>
      <c r="W438"/>
    </row>
    <row r="439" spans="2:27" x14ac:dyDescent="0.3">
      <c r="B439" s="99"/>
      <c r="D439"/>
      <c r="E439" s="99"/>
      <c r="F439" s="146"/>
      <c r="G439"/>
      <c r="H439"/>
      <c r="K439"/>
      <c r="L439"/>
      <c r="P439"/>
      <c r="Q439" s="185" t="s">
        <v>5357</v>
      </c>
      <c r="R439" s="192">
        <f>IF(U426="P",VLOOKUP("Amount of manure needed for P2O5",Q430:R432,2,FALSE),VLOOKUP("Amount of manure needed for N",Q430:R432,2,FALSE))</f>
        <v>20.636164286418676</v>
      </c>
      <c r="S439" s="185" t="s">
        <v>5358</v>
      </c>
      <c r="T439" s="177" t="s">
        <v>5359</v>
      </c>
      <c r="U439" s="193">
        <f>E450</f>
        <v>9.9467689366006411</v>
      </c>
      <c r="W439" s="185" t="s">
        <v>5357</v>
      </c>
      <c r="X439" s="192">
        <f>IF(AA426="P",VLOOKUP("Amount of manure needed for P2O5",W430:X432,2,FALSE),VLOOKUP("Amount of manure needed for N",W430:X432,2,FALSE))</f>
        <v>15.652129833866931</v>
      </c>
      <c r="Y439" s="185" t="s">
        <v>5358</v>
      </c>
      <c r="Z439" s="177" t="s">
        <v>5359</v>
      </c>
      <c r="AA439" s="378">
        <f>E464</f>
        <v>13.114072019170418</v>
      </c>
    </row>
    <row r="440" spans="2:27" x14ac:dyDescent="0.3">
      <c r="B440" s="175" t="s">
        <v>6380</v>
      </c>
      <c r="D440"/>
      <c r="E440" s="99"/>
      <c r="F440" s="146"/>
      <c r="G440"/>
      <c r="H440"/>
      <c r="K440"/>
      <c r="L440"/>
      <c r="P440"/>
      <c r="Q440" s="194" t="s">
        <v>5360</v>
      </c>
      <c r="R440" s="195">
        <f>R427*R439</f>
        <v>195</v>
      </c>
      <c r="S440" s="194" t="s">
        <v>5361</v>
      </c>
      <c r="T440" s="177" t="s">
        <v>5362</v>
      </c>
      <c r="U440" s="193">
        <f>E451</f>
        <v>6.387925976174329</v>
      </c>
      <c r="W440" s="194" t="s">
        <v>5360</v>
      </c>
      <c r="X440" s="379">
        <f>X427*X439</f>
        <v>195</v>
      </c>
      <c r="Y440" s="194" t="s">
        <v>7160</v>
      </c>
      <c r="Z440" s="177" t="s">
        <v>5362</v>
      </c>
      <c r="AA440" s="193">
        <f>E465</f>
        <v>27.562920054201012</v>
      </c>
    </row>
    <row r="441" spans="2:27" x14ac:dyDescent="0.3">
      <c r="B441" s="143" t="s">
        <v>2663</v>
      </c>
      <c r="C441" s="144" t="s">
        <v>565</v>
      </c>
      <c r="D441" s="144" t="s">
        <v>6943</v>
      </c>
      <c r="E441" s="143" t="s">
        <v>565</v>
      </c>
      <c r="F441" s="145" t="s">
        <v>6944</v>
      </c>
      <c r="G441" s="1222" t="s">
        <v>6392</v>
      </c>
      <c r="H441" s="1215" t="s">
        <v>6993</v>
      </c>
      <c r="I441" s="142"/>
      <c r="J441" s="141"/>
      <c r="K441"/>
      <c r="L441"/>
      <c r="P441"/>
      <c r="Q441" s="194" t="s">
        <v>5363</v>
      </c>
      <c r="R441" s="195">
        <f>R428*R439</f>
        <v>125.2311753991241</v>
      </c>
      <c r="S441" s="194" t="s">
        <v>5361</v>
      </c>
      <c r="T441" s="182" t="s">
        <v>5364</v>
      </c>
      <c r="U441" s="196">
        <f>E452</f>
        <v>9.7063764856577084</v>
      </c>
      <c r="W441" s="194" t="s">
        <v>5363</v>
      </c>
      <c r="X441" s="379">
        <f>X428*X439</f>
        <v>409.84748312440638</v>
      </c>
      <c r="Y441" s="194" t="s">
        <v>7160</v>
      </c>
      <c r="Z441" s="182" t="s">
        <v>5364</v>
      </c>
      <c r="AA441" s="196">
        <f>E466</f>
        <v>27.563054669418239</v>
      </c>
    </row>
    <row r="442" spans="2:27" x14ac:dyDescent="0.3">
      <c r="B442" s="99" t="s">
        <v>6401</v>
      </c>
      <c r="C442" s="147">
        <f t="shared" ref="C442:C452" si="4">VLOOKUP(B442,$R:$U,3,FALSE)</f>
        <v>182.5</v>
      </c>
      <c r="D442" t="s">
        <v>5121</v>
      </c>
      <c r="E442" s="201">
        <f>UC.year_to_day/C442</f>
        <v>2</v>
      </c>
      <c r="F442" s="146" t="s">
        <v>6994</v>
      </c>
      <c r="G442" s="42" t="s">
        <v>7117</v>
      </c>
      <c r="H442" s="92" t="s">
        <v>4838</v>
      </c>
      <c r="I442" s="1216" t="s">
        <v>2710</v>
      </c>
      <c r="J442" s="285">
        <f>(SUM(E443:E444)*UDV.OPEX_labor.tractor_stationary)+(E445*UDV.OPEX_labor.tractor_active)+E438</f>
        <v>13.221318238154655</v>
      </c>
      <c r="K442"/>
      <c r="L442"/>
      <c r="P442"/>
      <c r="Q442" s="197" t="s">
        <v>5365</v>
      </c>
      <c r="R442" s="198">
        <f>R429*R439</f>
        <v>200.30237978386361</v>
      </c>
      <c r="S442" s="197" t="s">
        <v>5361</v>
      </c>
      <c r="U442"/>
      <c r="W442" s="197" t="s">
        <v>5365</v>
      </c>
      <c r="X442" s="380">
        <f>X429*X439</f>
        <v>431.42051030370646</v>
      </c>
      <c r="Y442" s="197" t="s">
        <v>7160</v>
      </c>
    </row>
    <row r="443" spans="2:27" x14ac:dyDescent="0.3">
      <c r="B443" s="99" t="s">
        <v>5679</v>
      </c>
      <c r="C443" s="147">
        <f t="shared" si="4"/>
        <v>2.509974456141562</v>
      </c>
      <c r="D443" t="s">
        <v>6085</v>
      </c>
      <c r="E443" s="178">
        <f>C443*E442</f>
        <v>5.019948912283124</v>
      </c>
      <c r="F443" s="146" t="s">
        <v>2710</v>
      </c>
      <c r="G443" s="42" t="s">
        <v>7118</v>
      </c>
      <c r="H443" s="1217" t="s">
        <v>5444</v>
      </c>
      <c r="I443" s="1216" t="s">
        <v>6085</v>
      </c>
      <c r="J443" s="285">
        <f>(SUM(E457:E458)*UDV.OPEX_labor.tractor_stationary)+(E459*UDV.OPEX_labor.tractor_active)</f>
        <v>54.690040279196538</v>
      </c>
      <c r="K443"/>
      <c r="L443"/>
      <c r="P443"/>
      <c r="Q443" s="177" t="s">
        <v>5366</v>
      </c>
      <c r="R443" s="188">
        <f>IF(U430&lt;R440,U430,R440)</f>
        <v>195</v>
      </c>
      <c r="S443" s="177" t="s">
        <v>5361</v>
      </c>
      <c r="T443" s="199" t="s">
        <v>5367</v>
      </c>
      <c r="U443" s="177"/>
      <c r="W443" s="177" t="s">
        <v>5366</v>
      </c>
      <c r="X443" s="188">
        <f>IF(AA430&lt;X440,AA430,X440)</f>
        <v>195</v>
      </c>
      <c r="Y443" s="177" t="s">
        <v>7161</v>
      </c>
      <c r="Z443" s="177"/>
      <c r="AA443" s="177"/>
    </row>
    <row r="444" spans="2:27" x14ac:dyDescent="0.3">
      <c r="B444" s="99" t="s">
        <v>5667</v>
      </c>
      <c r="C444" s="78">
        <f t="shared" si="4"/>
        <v>0.26270407940469342</v>
      </c>
      <c r="D444" t="s">
        <v>6085</v>
      </c>
      <c r="E444" s="178">
        <f>C444*E442</f>
        <v>0.52540815880938685</v>
      </c>
      <c r="F444" s="146" t="s">
        <v>2710</v>
      </c>
      <c r="G444" s="42" t="s">
        <v>7119</v>
      </c>
      <c r="H444" s="1218" t="s">
        <v>5445</v>
      </c>
      <c r="I444" s="1216" t="s">
        <v>6995</v>
      </c>
      <c r="J444" s="285">
        <f>SUM(J442:J443)</f>
        <v>67.911358517351189</v>
      </c>
      <c r="K444"/>
      <c r="L444"/>
      <c r="P444"/>
      <c r="Q444" s="177" t="s">
        <v>5368</v>
      </c>
      <c r="R444" s="188">
        <f>IF(U431&lt;R441,U431,R441)</f>
        <v>55</v>
      </c>
      <c r="S444" s="177" t="s">
        <v>5361</v>
      </c>
      <c r="T444" s="199" t="s">
        <v>5369</v>
      </c>
      <c r="U444" s="177"/>
      <c r="W444" s="177" t="s">
        <v>5368</v>
      </c>
      <c r="X444" s="188">
        <f>IF(AA431&lt;X441,AA431,X441)</f>
        <v>55</v>
      </c>
      <c r="Y444" s="177" t="s">
        <v>7161</v>
      </c>
      <c r="Z444" s="177"/>
      <c r="AA444" s="177"/>
    </row>
    <row r="445" spans="2:27" x14ac:dyDescent="0.3">
      <c r="B445" s="99" t="s">
        <v>5654</v>
      </c>
      <c r="C445" s="147">
        <f t="shared" si="4"/>
        <v>2.0079795649132497</v>
      </c>
      <c r="D445" t="s">
        <v>6085</v>
      </c>
      <c r="E445" s="178">
        <f>C445*E442</f>
        <v>4.0159591298264994</v>
      </c>
      <c r="F445" s="146" t="s">
        <v>2710</v>
      </c>
      <c r="G445" s="42" t="s">
        <v>7120</v>
      </c>
      <c r="H445" s="1219" t="s">
        <v>5446</v>
      </c>
      <c r="I445" s="1220" t="s">
        <v>5447</v>
      </c>
      <c r="J445" s="1221">
        <f>J442+(J443/UDV.anaer_lagoon.sludge_time)</f>
        <v>18.690322266074311</v>
      </c>
      <c r="K445"/>
      <c r="L445"/>
      <c r="P445"/>
      <c r="Q445" s="182" t="s">
        <v>5370</v>
      </c>
      <c r="R445" s="191">
        <f>IF(U432&lt;R442,U432,R442)</f>
        <v>90</v>
      </c>
      <c r="S445" s="182" t="s">
        <v>5361</v>
      </c>
      <c r="T445" s="199" t="s">
        <v>5371</v>
      </c>
      <c r="U445" s="177"/>
      <c r="W445" s="182" t="s">
        <v>5370</v>
      </c>
      <c r="X445" s="191">
        <f>IF(AA432&lt;X442,AA432,X442)</f>
        <v>90</v>
      </c>
      <c r="Y445" s="182" t="s">
        <v>7161</v>
      </c>
      <c r="Z445" s="177"/>
      <c r="AA445" s="177"/>
    </row>
    <row r="446" spans="2:27" x14ac:dyDescent="0.3">
      <c r="B446" s="99" t="s">
        <v>5682</v>
      </c>
      <c r="C446" s="147">
        <f t="shared" si="4"/>
        <v>17.670220171236593</v>
      </c>
      <c r="D446" t="s">
        <v>2489</v>
      </c>
      <c r="E446" s="178">
        <f>C446*E442</f>
        <v>35.340440342473187</v>
      </c>
      <c r="F446" s="146" t="s">
        <v>5324</v>
      </c>
      <c r="G446"/>
      <c r="H446"/>
      <c r="K446"/>
      <c r="L446"/>
      <c r="P446"/>
      <c r="Q446" s="177" t="s">
        <v>5372</v>
      </c>
      <c r="R446" s="189">
        <f>UDV.econ_fertilizer.N</f>
        <v>0.53</v>
      </c>
      <c r="S446" s="177" t="s">
        <v>2299</v>
      </c>
      <c r="T446" s="177"/>
      <c r="U446" s="177"/>
      <c r="W446" s="177" t="s">
        <v>5372</v>
      </c>
      <c r="X446" s="189">
        <f>UDV.econ_fertilizer.N</f>
        <v>0.53</v>
      </c>
      <c r="Y446" s="177" t="s">
        <v>2299</v>
      </c>
      <c r="Z446" s="177"/>
      <c r="AA446" s="177"/>
    </row>
    <row r="447" spans="2:27" x14ac:dyDescent="0.3">
      <c r="B447" s="99" t="s">
        <v>5672</v>
      </c>
      <c r="C447" s="147">
        <f t="shared" si="4"/>
        <v>2.0806163088851717</v>
      </c>
      <c r="D447" t="s">
        <v>2489</v>
      </c>
      <c r="E447" s="178">
        <f>C447*E442</f>
        <v>4.1612326177703434</v>
      </c>
      <c r="F447" s="146" t="s">
        <v>5324</v>
      </c>
      <c r="G447"/>
      <c r="H447"/>
      <c r="K447"/>
      <c r="L447"/>
      <c r="P447"/>
      <c r="Q447" s="177" t="s">
        <v>5373</v>
      </c>
      <c r="R447" s="189">
        <f>UDV.econ_fertilizer.P2O5</f>
        <v>0.53</v>
      </c>
      <c r="S447" s="177" t="s">
        <v>2299</v>
      </c>
      <c r="T447" s="177"/>
      <c r="U447" s="177"/>
      <c r="W447" s="177" t="s">
        <v>5373</v>
      </c>
      <c r="X447" s="189">
        <f>UDV.econ_fertilizer.P2O5</f>
        <v>0.53</v>
      </c>
      <c r="Y447" s="177" t="s">
        <v>2299</v>
      </c>
      <c r="Z447" s="177"/>
      <c r="AA447" s="177"/>
    </row>
    <row r="448" spans="2:27" x14ac:dyDescent="0.3">
      <c r="B448" s="99" t="s">
        <v>5660</v>
      </c>
      <c r="C448" s="147">
        <f t="shared" si="4"/>
        <v>22.087775214045745</v>
      </c>
      <c r="D448" t="s">
        <v>2489</v>
      </c>
      <c r="E448" s="178">
        <f>C448*E442</f>
        <v>44.175550428091491</v>
      </c>
      <c r="F448" s="146" t="s">
        <v>5324</v>
      </c>
      <c r="G448"/>
      <c r="H448"/>
      <c r="K448"/>
      <c r="L448"/>
      <c r="P448"/>
      <c r="Q448" s="182" t="s">
        <v>5374</v>
      </c>
      <c r="R448" s="190">
        <f>UDV.econ_fertilizer.K2O</f>
        <v>0.45</v>
      </c>
      <c r="S448" s="182" t="s">
        <v>2299</v>
      </c>
      <c r="T448" s="177"/>
      <c r="U448" s="177"/>
      <c r="W448" s="182" t="s">
        <v>5374</v>
      </c>
      <c r="X448" s="190">
        <f>UDV.econ_fertilizer.K2O</f>
        <v>0.45</v>
      </c>
      <c r="Y448" s="182" t="s">
        <v>2299</v>
      </c>
      <c r="Z448" s="177"/>
      <c r="AA448" s="177"/>
    </row>
    <row r="449" spans="1:27" x14ac:dyDescent="0.3">
      <c r="B449" s="99" t="s">
        <v>6403</v>
      </c>
      <c r="C449" s="147">
        <f t="shared" si="4"/>
        <v>1193.3317430779252</v>
      </c>
      <c r="D449" t="s">
        <v>5910</v>
      </c>
      <c r="E449" s="164">
        <f>CONVERT(C449,"m^3","gal")*E442</f>
        <v>630489.79142604431</v>
      </c>
      <c r="F449" s="146" t="s">
        <v>5324</v>
      </c>
      <c r="G449"/>
      <c r="H449"/>
      <c r="K449"/>
      <c r="L449"/>
      <c r="P449"/>
      <c r="Q449" s="177" t="s">
        <v>5375</v>
      </c>
      <c r="R449" s="193">
        <f>R443*R446</f>
        <v>103.35000000000001</v>
      </c>
      <c r="S449" s="177" t="s">
        <v>5376</v>
      </c>
      <c r="T449" s="177"/>
      <c r="U449" s="177"/>
      <c r="W449" s="177" t="s">
        <v>5375</v>
      </c>
      <c r="X449" s="193">
        <f>X443*X446</f>
        <v>103.35000000000001</v>
      </c>
      <c r="Y449" s="177" t="s">
        <v>2813</v>
      </c>
      <c r="Z449" s="177"/>
      <c r="AA449" s="177"/>
    </row>
    <row r="450" spans="1:27" x14ac:dyDescent="0.3">
      <c r="A450" t="str">
        <f>_xlfn.CONCAT("Liquids",B450)</f>
        <v>LiquidsN removed, lagoon</v>
      </c>
      <c r="B450" s="99" t="s">
        <v>6404</v>
      </c>
      <c r="C450" s="78">
        <f t="shared" si="4"/>
        <v>1.1918869662434635</v>
      </c>
      <c r="D450" t="s">
        <v>2413</v>
      </c>
      <c r="E450" s="201">
        <f>C450*S411/(S413*S415)</f>
        <v>9.9467689366006411</v>
      </c>
      <c r="F450" s="146" t="s">
        <v>2414</v>
      </c>
      <c r="G450"/>
      <c r="H450"/>
      <c r="K450"/>
      <c r="L450"/>
      <c r="P450"/>
      <c r="Q450" s="177" t="s">
        <v>5377</v>
      </c>
      <c r="R450" s="193">
        <f>R444*R447</f>
        <v>29.150000000000002</v>
      </c>
      <c r="S450" s="177" t="s">
        <v>5376</v>
      </c>
      <c r="T450" s="177"/>
      <c r="U450" s="177"/>
      <c r="W450" s="177" t="s">
        <v>5377</v>
      </c>
      <c r="X450" s="193">
        <f>X444*X447</f>
        <v>29.150000000000002</v>
      </c>
      <c r="Y450" s="177" t="s">
        <v>2813</v>
      </c>
      <c r="Z450" s="177"/>
      <c r="AA450" s="177"/>
    </row>
    <row r="451" spans="1:27" x14ac:dyDescent="0.3">
      <c r="A451" t="str">
        <f>_xlfn.CONCAT("Liquids",B451)</f>
        <v>LiquidsP2O5 removed, lagoon</v>
      </c>
      <c r="B451" s="99" t="s">
        <v>6405</v>
      </c>
      <c r="C451" s="78">
        <f t="shared" si="4"/>
        <v>0.76544310628494927</v>
      </c>
      <c r="D451" t="s">
        <v>2413</v>
      </c>
      <c r="E451" s="201">
        <f>C451*S411/(S413*S415)</f>
        <v>6.387925976174329</v>
      </c>
      <c r="F451" s="146" t="s">
        <v>2414</v>
      </c>
      <c r="G451"/>
      <c r="H451"/>
      <c r="K451"/>
      <c r="L451"/>
      <c r="P451"/>
      <c r="Q451" s="182" t="s">
        <v>5378</v>
      </c>
      <c r="R451" s="196">
        <f>R445*R448</f>
        <v>40.5</v>
      </c>
      <c r="S451" s="182" t="s">
        <v>5376</v>
      </c>
      <c r="T451" s="177"/>
      <c r="U451" s="177"/>
      <c r="W451" s="182" t="s">
        <v>5378</v>
      </c>
      <c r="X451" s="196">
        <f>X445*X448</f>
        <v>40.5</v>
      </c>
      <c r="Y451" s="182" t="s">
        <v>2813</v>
      </c>
      <c r="Z451" s="177"/>
      <c r="AA451" s="177"/>
    </row>
    <row r="452" spans="1:27" x14ac:dyDescent="0.3">
      <c r="A452" t="str">
        <f>_xlfn.CONCAT("Liquids",B452)</f>
        <v>LiquidsK2O removed, lagoon</v>
      </c>
      <c r="B452" s="99" t="s">
        <v>6406</v>
      </c>
      <c r="C452" s="78">
        <f t="shared" si="4"/>
        <v>1.1630815691453258</v>
      </c>
      <c r="D452" t="s">
        <v>2413</v>
      </c>
      <c r="E452" s="201">
        <f>C452*S411/(S413*S415)</f>
        <v>9.7063764856577084</v>
      </c>
      <c r="F452" s="146" t="s">
        <v>2414</v>
      </c>
      <c r="G452"/>
      <c r="H452"/>
      <c r="K452"/>
      <c r="L452"/>
      <c r="P452"/>
      <c r="Q452" s="185" t="s">
        <v>5379</v>
      </c>
      <c r="R452" s="202">
        <f>SUM(R449:R451)</f>
        <v>173</v>
      </c>
      <c r="S452" s="185" t="s">
        <v>5376</v>
      </c>
      <c r="T452" s="177"/>
      <c r="U452" s="177"/>
      <c r="W452" s="185" t="s">
        <v>5379</v>
      </c>
      <c r="X452" s="202">
        <f>SUM(X449:X451)</f>
        <v>173</v>
      </c>
      <c r="Y452" s="185" t="s">
        <v>2813</v>
      </c>
      <c r="Z452" s="177"/>
      <c r="AA452" s="177"/>
    </row>
    <row r="453" spans="1:27" x14ac:dyDescent="0.3">
      <c r="B453" s="99"/>
      <c r="D453"/>
      <c r="E453" s="99"/>
      <c r="F453" s="146"/>
      <c r="G453"/>
      <c r="H453"/>
      <c r="K453"/>
      <c r="L453"/>
      <c r="P453"/>
      <c r="Q453" s="185" t="s">
        <v>5380</v>
      </c>
      <c r="R453" s="202">
        <f>R452/R439</f>
        <v>8.3833408960528999</v>
      </c>
      <c r="S453" s="203" t="s">
        <v>2314</v>
      </c>
      <c r="T453" s="177"/>
      <c r="U453" s="177"/>
      <c r="W453" s="381" t="s">
        <v>5380</v>
      </c>
      <c r="X453" s="202">
        <f>X452/X439</f>
        <v>11.052808904362349</v>
      </c>
      <c r="Y453" s="203" t="s">
        <v>2314</v>
      </c>
      <c r="Z453" s="177"/>
      <c r="AA453" s="177"/>
    </row>
    <row r="454" spans="1:27" x14ac:dyDescent="0.3">
      <c r="B454" s="175" t="s">
        <v>263</v>
      </c>
      <c r="D454"/>
      <c r="E454" s="99"/>
      <c r="F454" s="146"/>
      <c r="G454"/>
      <c r="H454"/>
      <c r="K454"/>
      <c r="L454"/>
      <c r="P454"/>
      <c r="Q454" s="186" t="s">
        <v>5381</v>
      </c>
      <c r="R454" s="204">
        <f>R440-R443</f>
        <v>0</v>
      </c>
      <c r="S454" s="186" t="s">
        <v>5361</v>
      </c>
      <c r="T454" s="34"/>
      <c r="U454"/>
      <c r="W454" s="186" t="s">
        <v>5381</v>
      </c>
      <c r="X454" s="204">
        <f>X440-X443</f>
        <v>0</v>
      </c>
      <c r="Y454" s="186" t="s">
        <v>7161</v>
      </c>
    </row>
    <row r="455" spans="1:27" x14ac:dyDescent="0.3">
      <c r="B455" s="143" t="s">
        <v>2663</v>
      </c>
      <c r="C455" s="144" t="s">
        <v>565</v>
      </c>
      <c r="D455" s="144" t="s">
        <v>6943</v>
      </c>
      <c r="E455" s="143" t="s">
        <v>565</v>
      </c>
      <c r="F455" s="145" t="s">
        <v>6944</v>
      </c>
      <c r="G455"/>
      <c r="H455"/>
      <c r="K455"/>
      <c r="L455"/>
      <c r="P455"/>
      <c r="Q455" s="177" t="s">
        <v>7167</v>
      </c>
      <c r="R455" s="205">
        <f>R441-R444</f>
        <v>70.231175399124098</v>
      </c>
      <c r="S455" s="177" t="s">
        <v>5361</v>
      </c>
      <c r="T455" s="34"/>
      <c r="U455"/>
      <c r="W455" s="177" t="s">
        <v>7167</v>
      </c>
      <c r="X455" s="205">
        <f>X441-X444</f>
        <v>354.84748312440638</v>
      </c>
      <c r="Y455" s="177" t="s">
        <v>7161</v>
      </c>
    </row>
    <row r="456" spans="1:27" x14ac:dyDescent="0.3">
      <c r="B456" s="99" t="s">
        <v>6416</v>
      </c>
      <c r="C456" s="382">
        <f t="shared" ref="C456:C466" si="5">VLOOKUP(B456,$X:$AA,3,FALSE)</f>
        <v>10</v>
      </c>
      <c r="D456" t="s">
        <v>2669</v>
      </c>
      <c r="E456" s="99">
        <f t="shared" ref="E456:E462" si="6">C456</f>
        <v>10</v>
      </c>
      <c r="F456" s="146" t="s">
        <v>2669</v>
      </c>
      <c r="G456"/>
      <c r="H456"/>
      <c r="K456"/>
      <c r="L456"/>
      <c r="P456"/>
      <c r="Q456" s="182" t="s">
        <v>7168</v>
      </c>
      <c r="R456" s="209">
        <f>R442-R445</f>
        <v>110.30237978386361</v>
      </c>
      <c r="S456" s="182" t="s">
        <v>5361</v>
      </c>
      <c r="U456"/>
      <c r="W456" s="182" t="s">
        <v>7168</v>
      </c>
      <c r="X456" s="209">
        <f>X442-X445</f>
        <v>341.42051030370646</v>
      </c>
      <c r="Y456" s="182" t="s">
        <v>7161</v>
      </c>
    </row>
    <row r="457" spans="1:27" x14ac:dyDescent="0.3">
      <c r="B457" s="99" t="s">
        <v>5679</v>
      </c>
      <c r="C457" s="382">
        <f t="shared" si="5"/>
        <v>55.216451593683907</v>
      </c>
      <c r="D457" t="s">
        <v>6085</v>
      </c>
      <c r="E457" s="178">
        <f t="shared" si="6"/>
        <v>55.216451593683907</v>
      </c>
      <c r="F457" s="146" t="s">
        <v>6085</v>
      </c>
      <c r="G457"/>
      <c r="H457"/>
      <c r="K457"/>
      <c r="L457"/>
      <c r="P457"/>
      <c r="Q457" s="186" t="s">
        <v>5384</v>
      </c>
      <c r="R457" s="211">
        <f>R423/R439</f>
        <v>30.552663890207057</v>
      </c>
      <c r="S457" s="212" t="s">
        <v>5385</v>
      </c>
      <c r="U457"/>
      <c r="W457" s="186" t="s">
        <v>5384</v>
      </c>
      <c r="X457" s="211">
        <f>X423/X439</f>
        <v>76.381659725517579</v>
      </c>
      <c r="Y457" s="212" t="s">
        <v>7162</v>
      </c>
    </row>
    <row r="458" spans="1:27" x14ac:dyDescent="0.3">
      <c r="B458" s="99" t="s">
        <v>5667</v>
      </c>
      <c r="C458" s="382">
        <f t="shared" si="5"/>
        <v>5.7791771738630144</v>
      </c>
      <c r="D458" t="s">
        <v>6085</v>
      </c>
      <c r="E458" s="178">
        <f t="shared" si="6"/>
        <v>5.7791771738630144</v>
      </c>
      <c r="F458" s="146" t="s">
        <v>6085</v>
      </c>
      <c r="G458"/>
      <c r="H458"/>
      <c r="K458"/>
      <c r="L458"/>
      <c r="P458"/>
      <c r="Q458" s="177" t="s">
        <v>5386</v>
      </c>
      <c r="R458" s="124">
        <f>UDV.crops.acres_available</f>
        <v>100</v>
      </c>
      <c r="S458" s="194" t="s">
        <v>5385</v>
      </c>
      <c r="U458" s="219"/>
      <c r="W458" s="177" t="s">
        <v>5386</v>
      </c>
      <c r="X458" s="221">
        <f>UDV.crops.acres_available-R459</f>
        <v>69.447336109792943</v>
      </c>
      <c r="Y458" s="194" t="s">
        <v>7162</v>
      </c>
    </row>
    <row r="459" spans="1:27" x14ac:dyDescent="0.3">
      <c r="B459" s="99" t="s">
        <v>5654</v>
      </c>
      <c r="C459" s="382">
        <f t="shared" si="5"/>
        <v>44.173161274947127</v>
      </c>
      <c r="D459" t="s">
        <v>6085</v>
      </c>
      <c r="E459" s="178">
        <f t="shared" si="6"/>
        <v>44.173161274947127</v>
      </c>
      <c r="F459" s="146" t="s">
        <v>6085</v>
      </c>
      <c r="G459"/>
      <c r="H459"/>
      <c r="K459"/>
      <c r="L459"/>
      <c r="P459"/>
      <c r="Q459" s="177" t="s">
        <v>5387</v>
      </c>
      <c r="R459" s="221">
        <f>IF(R457&lt;R458,R457,R458)</f>
        <v>30.552663890207057</v>
      </c>
      <c r="S459" s="194" t="s">
        <v>5385</v>
      </c>
      <c r="U459"/>
      <c r="W459" s="177" t="s">
        <v>7163</v>
      </c>
      <c r="X459" s="221">
        <f>IF(X457&lt;X458,X457,X458)</f>
        <v>69.447336109792943</v>
      </c>
      <c r="Y459" s="194" t="s">
        <v>7162</v>
      </c>
    </row>
    <row r="460" spans="1:27" x14ac:dyDescent="0.3">
      <c r="B460" s="99" t="s">
        <v>5682</v>
      </c>
      <c r="C460" s="382">
        <f t="shared" si="5"/>
        <v>388.72381921953468</v>
      </c>
      <c r="D460" t="s">
        <v>2489</v>
      </c>
      <c r="E460" s="178">
        <f t="shared" si="6"/>
        <v>388.72381921953468</v>
      </c>
      <c r="F460" s="146" t="s">
        <v>2489</v>
      </c>
      <c r="G460"/>
      <c r="H460" s="292"/>
      <c r="K460"/>
      <c r="L460"/>
      <c r="P460"/>
      <c r="Q460" s="177" t="s">
        <v>5388</v>
      </c>
      <c r="R460" s="148">
        <f>R439*R458</f>
        <v>2063.6164286418675</v>
      </c>
      <c r="S460" s="177" t="s">
        <v>5246</v>
      </c>
      <c r="U460"/>
      <c r="W460" s="177" t="s">
        <v>5388</v>
      </c>
      <c r="X460" s="148">
        <f>X439*X458</f>
        <v>1086.9987214066743</v>
      </c>
      <c r="Y460" s="177" t="s">
        <v>7154</v>
      </c>
      <c r="Z460" s="34"/>
    </row>
    <row r="461" spans="1:27" x14ac:dyDescent="0.3">
      <c r="B461" s="99" t="s">
        <v>5672</v>
      </c>
      <c r="C461" s="382">
        <f t="shared" si="5"/>
        <v>45.771083216995073</v>
      </c>
      <c r="D461" t="s">
        <v>2489</v>
      </c>
      <c r="E461" s="178">
        <f t="shared" si="6"/>
        <v>45.771083216995073</v>
      </c>
      <c r="F461" s="146" t="s">
        <v>2489</v>
      </c>
      <c r="G461"/>
      <c r="H461"/>
      <c r="K461"/>
      <c r="L461"/>
      <c r="P461"/>
      <c r="Q461" s="224" t="s">
        <v>5389</v>
      </c>
      <c r="R461" s="225">
        <f>IF(R423&gt;R460,R460,R423)</f>
        <v>630.48979142604435</v>
      </c>
      <c r="S461" s="226" t="s">
        <v>5246</v>
      </c>
      <c r="U461" s="219"/>
      <c r="W461" s="383" t="s">
        <v>5389</v>
      </c>
      <c r="X461" s="225">
        <f>IF(X423&gt;X460,X460,X423)</f>
        <v>1086.9987214066743</v>
      </c>
      <c r="Y461" s="226" t="s">
        <v>7154</v>
      </c>
    </row>
    <row r="462" spans="1:27" x14ac:dyDescent="0.3">
      <c r="B462" s="99" t="s">
        <v>5660</v>
      </c>
      <c r="C462" s="382">
        <f t="shared" si="5"/>
        <v>485.90477402441837</v>
      </c>
      <c r="D462" t="s">
        <v>2489</v>
      </c>
      <c r="E462" s="178">
        <f t="shared" si="6"/>
        <v>485.90477402441837</v>
      </c>
      <c r="F462" s="146" t="s">
        <v>2489</v>
      </c>
      <c r="G462"/>
      <c r="H462"/>
      <c r="K462"/>
      <c r="L462"/>
      <c r="P462"/>
      <c r="Q462" s="185" t="s">
        <v>5390</v>
      </c>
      <c r="R462" s="227">
        <f>R423-R461</f>
        <v>0</v>
      </c>
      <c r="S462" s="228" t="s">
        <v>5246</v>
      </c>
      <c r="T462" s="34"/>
      <c r="U462"/>
      <c r="W462" s="381" t="s">
        <v>5390</v>
      </c>
      <c r="X462" s="227">
        <f>X423-X461</f>
        <v>108.53693354337156</v>
      </c>
      <c r="Y462" s="228" t="s">
        <v>7154</v>
      </c>
    </row>
    <row r="463" spans="1:27" x14ac:dyDescent="0.3">
      <c r="B463" s="99" t="s">
        <v>6418</v>
      </c>
      <c r="C463" s="382">
        <f t="shared" si="5"/>
        <v>4525.5947564400622</v>
      </c>
      <c r="D463" t="s">
        <v>5910</v>
      </c>
      <c r="E463" s="164">
        <f>CONVERT(C463,"m^3","gal")</f>
        <v>1195535.654950046</v>
      </c>
      <c r="F463" s="146" t="s">
        <v>2489</v>
      </c>
      <c r="G463"/>
      <c r="H463"/>
      <c r="K463"/>
      <c r="L463"/>
      <c r="P463"/>
      <c r="U463"/>
      <c r="W463"/>
    </row>
    <row r="464" spans="1:27" x14ac:dyDescent="0.3">
      <c r="A464" t="str">
        <f>_xlfn.CONCAT("Sludge",B464)</f>
        <v>SludgeN removed, lagoon</v>
      </c>
      <c r="B464" s="99" t="s">
        <v>6404</v>
      </c>
      <c r="C464" s="499">
        <f t="shared" si="5"/>
        <v>1.571413954989199</v>
      </c>
      <c r="D464" t="s">
        <v>2413</v>
      </c>
      <c r="E464" s="201">
        <f>C464*S411/(S413*S415)</f>
        <v>13.114072019170418</v>
      </c>
      <c r="F464" s="146" t="s">
        <v>2414</v>
      </c>
      <c r="G464"/>
      <c r="H464"/>
      <c r="K464"/>
      <c r="L464"/>
      <c r="P464"/>
      <c r="U464"/>
      <c r="W464"/>
    </row>
    <row r="465" spans="1:25" x14ac:dyDescent="0.3">
      <c r="A465" t="str">
        <f>_xlfn.CONCAT("Sludge",B465)</f>
        <v>SludgeP2O5 removed, lagoon</v>
      </c>
      <c r="B465" s="99" t="s">
        <v>6405</v>
      </c>
      <c r="C465" s="499">
        <f t="shared" si="5"/>
        <v>3.3027695097379093</v>
      </c>
      <c r="D465" t="s">
        <v>2413</v>
      </c>
      <c r="E465" s="201">
        <f>C465*S411/(S413*S415)</f>
        <v>27.562920054201012</v>
      </c>
      <c r="F465" s="146" t="s">
        <v>2414</v>
      </c>
      <c r="G465"/>
      <c r="H465"/>
      <c r="K465"/>
      <c r="L465"/>
      <c r="P465"/>
      <c r="Q465" s="376" t="s">
        <v>7164</v>
      </c>
      <c r="R465" s="662">
        <f>R454*R459</f>
        <v>0</v>
      </c>
      <c r="S465" s="855" t="s">
        <v>5346</v>
      </c>
      <c r="U465"/>
      <c r="W465" s="376" t="s">
        <v>7164</v>
      </c>
      <c r="X465" s="662">
        <f>X454*X459/VLOOKUP("Interval between sludge removal",$X:$AA,3,FALSE)</f>
        <v>0</v>
      </c>
      <c r="Y465" s="855" t="s">
        <v>5346</v>
      </c>
    </row>
    <row r="466" spans="1:25" x14ac:dyDescent="0.3">
      <c r="A466" t="str">
        <f>_xlfn.CONCAT("Sludge",B466)</f>
        <v>SludgeK2O removed, lagoon</v>
      </c>
      <c r="B466" s="99" t="s">
        <v>6406</v>
      </c>
      <c r="C466" s="499">
        <f t="shared" si="5"/>
        <v>3.3027856402144384</v>
      </c>
      <c r="D466" t="s">
        <v>2413</v>
      </c>
      <c r="E466" s="201">
        <f>C466*S411/(S413*S415)</f>
        <v>27.563054669418239</v>
      </c>
      <c r="F466" s="146" t="s">
        <v>2414</v>
      </c>
      <c r="G466"/>
      <c r="H466"/>
      <c r="K466"/>
      <c r="L466"/>
      <c r="P466"/>
      <c r="Q466" s="174" t="s">
        <v>7165</v>
      </c>
      <c r="R466" s="278">
        <f>R455*R459</f>
        <v>2145.7494965836172</v>
      </c>
      <c r="S466" s="856" t="s">
        <v>5346</v>
      </c>
      <c r="U466"/>
      <c r="W466" s="174" t="s">
        <v>7165</v>
      </c>
      <c r="X466" s="278">
        <f>X455*X459/VLOOKUP("Interval between sludge removal",$X:$AA,3,FALSE)</f>
        <v>2464.3212428254728</v>
      </c>
      <c r="Y466" s="856" t="s">
        <v>5346</v>
      </c>
    </row>
    <row r="467" spans="1:25" x14ac:dyDescent="0.3">
      <c r="B467" s="99"/>
      <c r="D467"/>
      <c r="E467" s="99"/>
      <c r="F467" s="146"/>
      <c r="G467"/>
      <c r="H467"/>
      <c r="K467"/>
      <c r="L467"/>
      <c r="P467"/>
      <c r="Q467" s="377" t="s">
        <v>7166</v>
      </c>
      <c r="R467" s="359">
        <f>R456*R459</f>
        <v>3370.0315358263547</v>
      </c>
      <c r="S467" s="778" t="s">
        <v>5346</v>
      </c>
      <c r="U467"/>
      <c r="W467" s="377" t="s">
        <v>7166</v>
      </c>
      <c r="X467" s="359">
        <f>X456*X459/VLOOKUP("Interval between sludge removal",$X:$AA,3,FALSE)</f>
        <v>2371.0744933838528</v>
      </c>
      <c r="Y467" s="778" t="s">
        <v>5346</v>
      </c>
    </row>
    <row r="468" spans="1:25" x14ac:dyDescent="0.3">
      <c r="B468" s="92" t="s">
        <v>6996</v>
      </c>
      <c r="D468"/>
      <c r="E468" s="99"/>
      <c r="F468" s="146"/>
      <c r="G468"/>
      <c r="H468"/>
      <c r="K468"/>
      <c r="L468"/>
      <c r="P468"/>
      <c r="U468"/>
      <c r="W468"/>
    </row>
    <row r="469" spans="1:25" x14ac:dyDescent="0.3">
      <c r="B469" s="143" t="s">
        <v>2663</v>
      </c>
      <c r="C469" s="144" t="s">
        <v>565</v>
      </c>
      <c r="D469" s="144" t="s">
        <v>6943</v>
      </c>
      <c r="E469" s="143" t="s">
        <v>565</v>
      </c>
      <c r="F469" s="145" t="s">
        <v>6944</v>
      </c>
      <c r="G469"/>
      <c r="H469"/>
      <c r="K469"/>
      <c r="L469"/>
      <c r="P469"/>
      <c r="U469"/>
      <c r="W469"/>
    </row>
    <row r="470" spans="1:25" x14ac:dyDescent="0.3">
      <c r="B470" s="99" t="s">
        <v>7076</v>
      </c>
      <c r="D470"/>
      <c r="E470" s="357">
        <f>UDV.electricity.avg_cost</f>
        <v>6.8591666666666662E-2</v>
      </c>
      <c r="F470" s="146" t="s">
        <v>2306</v>
      </c>
      <c r="G470"/>
      <c r="H470"/>
      <c r="K470"/>
      <c r="L470"/>
      <c r="P470"/>
      <c r="U470"/>
      <c r="W470"/>
    </row>
    <row r="471" spans="1:25" x14ac:dyDescent="0.3">
      <c r="B471" s="99" t="s">
        <v>6997</v>
      </c>
      <c r="D471" s="146"/>
      <c r="E471" s="346">
        <f>UDV.fuel.diesel_avg_cost</f>
        <v>3.6964905660377356</v>
      </c>
      <c r="F471" s="146" t="s">
        <v>2315</v>
      </c>
      <c r="G471"/>
      <c r="H471"/>
      <c r="K471"/>
      <c r="L471"/>
      <c r="P471"/>
      <c r="U471"/>
      <c r="W471"/>
    </row>
    <row r="472" spans="1:25" x14ac:dyDescent="0.3">
      <c r="B472" s="149" t="s">
        <v>6998</v>
      </c>
      <c r="C472" s="150"/>
      <c r="D472" s="151"/>
      <c r="E472" s="347">
        <f>UDV.labor.non_specialized_cost</f>
        <v>23.66</v>
      </c>
      <c r="F472" s="151" t="s">
        <v>3659</v>
      </c>
      <c r="G472"/>
      <c r="H472"/>
      <c r="K472"/>
      <c r="L472"/>
      <c r="P472"/>
      <c r="U472"/>
      <c r="W472"/>
    </row>
    <row r="473" spans="1:25" x14ac:dyDescent="0.3">
      <c r="D473"/>
      <c r="E473"/>
      <c r="F473"/>
      <c r="G473"/>
      <c r="H473"/>
      <c r="K473"/>
      <c r="L473"/>
      <c r="P473"/>
      <c r="U473"/>
      <c r="W473"/>
    </row>
    <row r="474" spans="1:25" x14ac:dyDescent="0.3">
      <c r="B474" s="206" t="s">
        <v>7121</v>
      </c>
      <c r="C474" s="140"/>
      <c r="D474" s="207"/>
      <c r="E474" s="207"/>
      <c r="F474" s="207"/>
      <c r="G474" s="207"/>
      <c r="H474" s="207"/>
      <c r="I474" s="207"/>
      <c r="J474" s="142"/>
      <c r="K474" s="142"/>
      <c r="L474" s="142"/>
      <c r="M474" s="142"/>
      <c r="N474" s="142"/>
      <c r="O474" s="208"/>
      <c r="P474"/>
      <c r="R474" s="36"/>
      <c r="S474" s="36"/>
      <c r="T474" s="36"/>
      <c r="U474" s="36"/>
      <c r="V474" s="36"/>
      <c r="X474" s="36"/>
    </row>
    <row r="475" spans="1:25" ht="29.1" customHeight="1" x14ac:dyDescent="0.3">
      <c r="B475" s="210" t="s">
        <v>6946</v>
      </c>
      <c r="C475" s="152" t="s">
        <v>6947</v>
      </c>
      <c r="D475" s="152" t="s">
        <v>6948</v>
      </c>
      <c r="E475" s="152" t="s">
        <v>6999</v>
      </c>
      <c r="F475" s="152" t="s">
        <v>7000</v>
      </c>
      <c r="G475" s="152" t="s">
        <v>6951</v>
      </c>
      <c r="H475" s="152" t="s">
        <v>6952</v>
      </c>
      <c r="I475" s="152" t="s">
        <v>7001</v>
      </c>
      <c r="J475" s="152" t="s">
        <v>6954</v>
      </c>
      <c r="K475" s="152" t="s">
        <v>6955</v>
      </c>
      <c r="L475" s="152" t="s">
        <v>6956</v>
      </c>
      <c r="M475" s="82" t="s">
        <v>6957</v>
      </c>
      <c r="N475" s="152" t="s">
        <v>7002</v>
      </c>
      <c r="O475" s="161" t="s">
        <v>6959</v>
      </c>
      <c r="P475"/>
      <c r="R475" s="152"/>
      <c r="S475" s="152"/>
      <c r="T475" s="152"/>
      <c r="U475" s="152"/>
      <c r="V475" s="152"/>
      <c r="W475" s="152"/>
      <c r="X475" s="152"/>
    </row>
    <row r="476" spans="1:25" x14ac:dyDescent="0.3">
      <c r="A476" t="s">
        <v>7122</v>
      </c>
      <c r="B476" s="99" t="s">
        <v>2808</v>
      </c>
      <c r="C476" s="153">
        <f>IF(E436=0,0,(VLOOKUP("Irrigation systema",Econ.Equations!$C:$E,2,FALSE)*E436^VLOOKUP("Irrigation systemb",Econ.Equations!$C:$E,2,FALSE))*E436)</f>
        <v>55373.251195732686</v>
      </c>
      <c r="D476" s="42">
        <f>VLOOKUP("CAPEXLifetimeBuildings and constructionDefault",Econ.inputsTable!$E:$G,2,FALSE)</f>
        <v>20</v>
      </c>
      <c r="E476" s="42" t="s">
        <v>2852</v>
      </c>
      <c r="F476" s="42" t="s">
        <v>2852</v>
      </c>
      <c r="G476" s="539">
        <f>VLOOKUP("CAPEXAnnual usage on activityItems that are used only on the given activityDefault",Econ.inputsTable!$E:$J,2,FALSE)</f>
        <v>1</v>
      </c>
      <c r="H476" s="216">
        <f t="shared" ref="H476" si="7">UDV.econ_capital.interest_rate</f>
        <v>5.0999999999999997E-2</v>
      </c>
      <c r="I476" s="2091">
        <f>VLOOKUP("CAPEXSalvageBuildings and constructionDefault",Econ.inputsTable!$E:$K,2,FALSE)</f>
        <v>0</v>
      </c>
      <c r="J476" s="153">
        <f>C476*I476</f>
        <v>0</v>
      </c>
      <c r="K476" s="154">
        <f>VLOOKUP("CAPEXFinanced amountNADefault",Econ.inputsTable!$E:$J,2,FALSE)</f>
        <v>1</v>
      </c>
      <c r="L476" s="2092">
        <f>H476*K476</f>
        <v>5.0999999999999997E-2</v>
      </c>
      <c r="M476" s="351">
        <f>L476/(1-(1+L476)^-D476)</f>
        <v>8.0924368970045152E-2</v>
      </c>
      <c r="N476" s="153">
        <f>((C476-J476)*M476)+(J476*L476)</f>
        <v>4481.0454108344657</v>
      </c>
      <c r="O476" s="372">
        <f>N476*G476</f>
        <v>4481.0454108344657</v>
      </c>
      <c r="P476"/>
      <c r="R476" s="20"/>
      <c r="U476"/>
      <c r="W476"/>
    </row>
    <row r="477" spans="1:25" x14ac:dyDescent="0.3">
      <c r="A477" t="s">
        <v>7003</v>
      </c>
      <c r="B477" s="99" t="s">
        <v>7004</v>
      </c>
      <c r="C477" s="153">
        <f>VLOOKUP(_xlfn.CONCAT("Tractor",E422," hp"), Econ.Tables!$C:$E,2, FALSE)*E424</f>
        <v>283300</v>
      </c>
      <c r="D477" s="79">
        <f>VLOOKUP("CAPEXLifetimeTractor, 4 wheel drive and crawlerDefault",Econ.inputsTable!$E:$H,2,FALSE)/E477</f>
        <v>16</v>
      </c>
      <c r="E477" s="213">
        <f>IF(F477&gt;UDV.tractor.min_usage_yearly,F477,UDV.tractor.min_usage_yearly)</f>
        <v>1000</v>
      </c>
      <c r="F477" s="214">
        <f>IF(E424=0,0,(E443+(E457/E456))/E424)</f>
        <v>10.541594071651515</v>
      </c>
      <c r="G477" s="215">
        <f>F477/E477</f>
        <v>1.0541594071651514E-2</v>
      </c>
      <c r="H477" s="216">
        <f t="shared" ref="H477:H484" si="8">UDV.econ_capital.interest_rate</f>
        <v>5.0999999999999997E-2</v>
      </c>
      <c r="I477" s="503">
        <f>VLOOKUP("CAPEXSalvageEquipmentDefault",Econ.inputsTable!$E:$H,2,FALSE)</f>
        <v>0.2</v>
      </c>
      <c r="J477" s="153">
        <f t="shared" ref="J477:J484" si="9">C477*I477</f>
        <v>56660</v>
      </c>
      <c r="K477" s="217">
        <f>VLOOKUP("CAPEXFinanced amountNADefault",Econ.inputsTable!$E:$H,2,FALSE)</f>
        <v>1</v>
      </c>
      <c r="L477" s="218">
        <f t="shared" ref="L477:L484" si="10">H477*K477</f>
        <v>5.0999999999999997E-2</v>
      </c>
      <c r="M477">
        <f t="shared" ref="M477:M484" si="11">L477/(1-(1+L477)^-D477)</f>
        <v>9.2927821836826949E-2</v>
      </c>
      <c r="N477" s="153">
        <f t="shared" ref="N477:N484" si="12">((C477-J477)*M477)+(J477*L477)</f>
        <v>23950.821541098459</v>
      </c>
      <c r="O477" s="157">
        <f t="shared" ref="O477:O484" si="13">N477*G477</f>
        <v>252.4798383688269</v>
      </c>
      <c r="P477"/>
      <c r="R477" s="156"/>
      <c r="S477" s="156"/>
      <c r="T477" s="156"/>
      <c r="U477" s="156"/>
      <c r="V477" s="156"/>
      <c r="W477" s="156"/>
      <c r="X477" s="156"/>
    </row>
    <row r="478" spans="1:25" x14ac:dyDescent="0.3">
      <c r="A478" t="s">
        <v>7003</v>
      </c>
      <c r="B478" s="99" t="s">
        <v>1226</v>
      </c>
      <c r="C478" s="153">
        <f>VLOOKUP("Agitator, ptoDefault",Econ.Tables!$C:$E,2,FALSE)*E423</f>
        <v>43500</v>
      </c>
      <c r="D478" s="42">
        <f>VLOOKUP("CAPEXLifetimeAgitator, ptoDefault",Econ.inputsTable!$E:$H,2,FALSE)</f>
        <v>15</v>
      </c>
      <c r="E478"/>
      <c r="F478" s="214">
        <f>F477</f>
        <v>10.541594071651515</v>
      </c>
      <c r="G478" s="220">
        <f>VLOOKUP("CAPEXAnnual usage on activityItems that are used only on the given activityDefault",Econ.inputsTable!$E:$H,2,FALSE)</f>
        <v>1</v>
      </c>
      <c r="H478" s="216">
        <f t="shared" si="8"/>
        <v>5.0999999999999997E-2</v>
      </c>
      <c r="I478" s="503">
        <f>VLOOKUP("CAPEXSalvageEquipmentDefault",Econ.inputsTable!$E:$H,2,FALSE)</f>
        <v>0.2</v>
      </c>
      <c r="J478" s="153">
        <f t="shared" si="9"/>
        <v>8700</v>
      </c>
      <c r="K478" s="217">
        <f>VLOOKUP("CAPEXFinanced amountNADefault",Econ.inputsTable!$E:$H,2,FALSE)</f>
        <v>1</v>
      </c>
      <c r="L478" s="218">
        <f t="shared" si="10"/>
        <v>5.0999999999999997E-2</v>
      </c>
      <c r="M478">
        <f t="shared" si="11"/>
        <v>9.6994593888520206E-2</v>
      </c>
      <c r="N478" s="153">
        <f t="shared" si="12"/>
        <v>3819.1118673205028</v>
      </c>
      <c r="O478" s="157">
        <f t="shared" si="13"/>
        <v>3819.1118673205028</v>
      </c>
    </row>
    <row r="479" spans="1:25" x14ac:dyDescent="0.3">
      <c r="A479" t="s">
        <v>7003</v>
      </c>
      <c r="B479" s="99" t="s">
        <v>7005</v>
      </c>
      <c r="C479" s="153">
        <f>VLOOKUP(_xlfn.CONCAT("Tractor",E425," hp"), Econ.Tables!$C:$E,2, FALSE)*E427</f>
        <v>313600</v>
      </c>
      <c r="D479" s="79">
        <f>VLOOKUP("CAPEXLifetimeTractor, 4 wheel drive and crawlerDefault",Econ.inputsTable!$E:$H,2,FALSE)/E479</f>
        <v>16</v>
      </c>
      <c r="E479" s="213">
        <f>IF(F479&gt;UDV.tractor.min_usage_yearly,F479,UDV.tractor.min_usage_yearly)</f>
        <v>1000</v>
      </c>
      <c r="F479" s="214">
        <f>IF(E427=0,0,(E444+(E458/E456))/E427)</f>
        <v>1.1033258761956883</v>
      </c>
      <c r="G479" s="215">
        <f t="shared" ref="G479:G481" si="14">F479/E479</f>
        <v>1.1033258761956883E-3</v>
      </c>
      <c r="H479" s="216">
        <f t="shared" si="8"/>
        <v>5.0999999999999997E-2</v>
      </c>
      <c r="I479" s="503">
        <f>VLOOKUP("CAPEXSalvageEquipmentDefault",Econ.inputsTable!$E:$H,2,FALSE)</f>
        <v>0.2</v>
      </c>
      <c r="J479" s="153">
        <f t="shared" si="9"/>
        <v>62720</v>
      </c>
      <c r="K479" s="217">
        <f>VLOOKUP("CAPEXFinanced amountNADefault",Econ.inputsTable!$E:$H,2,FALSE)</f>
        <v>1</v>
      </c>
      <c r="L479" s="218">
        <f t="shared" si="10"/>
        <v>5.0999999999999997E-2</v>
      </c>
      <c r="M479">
        <f t="shared" si="11"/>
        <v>9.2927821836826949E-2</v>
      </c>
      <c r="N479" s="153">
        <f t="shared" si="12"/>
        <v>26512.451942423148</v>
      </c>
      <c r="O479" s="157">
        <f t="shared" si="13"/>
        <v>29.251874269470097</v>
      </c>
    </row>
    <row r="480" spans="1:25" s="42" customFormat="1" x14ac:dyDescent="0.3">
      <c r="A480" t="s">
        <v>7003</v>
      </c>
      <c r="B480" s="222" t="s">
        <v>3021</v>
      </c>
      <c r="C480" s="223">
        <f>VLOOKUP("Pump, tractor ptoDefault",Econ.Tables!$C:$E,2,FALSE)*E426</f>
        <v>26500</v>
      </c>
      <c r="D480" s="42">
        <f>VLOOKUP("CAPEXLifetimePump, tractor ptoDefault",Econ.inputsTable!$E:$H,2,FALSE)</f>
        <v>15</v>
      </c>
      <c r="F480" s="214">
        <f>F479</f>
        <v>1.1033258761956883</v>
      </c>
      <c r="G480" s="220">
        <f>VLOOKUP("CAPEXAnnual usage on activityItems that are used only on the given activityDefault",Econ.inputsTable!$E:$H,2,FALSE)</f>
        <v>1</v>
      </c>
      <c r="H480" s="216">
        <f t="shared" si="8"/>
        <v>5.0999999999999997E-2</v>
      </c>
      <c r="I480" s="503">
        <f>VLOOKUP("CAPEXSalvageEquipmentDefault",Econ.inputsTable!$E:$H,2,FALSE)</f>
        <v>0.2</v>
      </c>
      <c r="J480" s="153">
        <f t="shared" si="9"/>
        <v>5300</v>
      </c>
      <c r="K480" s="217">
        <f>VLOOKUP("CAPEXFinanced amountNADefault",Econ.inputsTable!$E:$H,2,FALSE)</f>
        <v>1</v>
      </c>
      <c r="L480" s="218">
        <f t="shared" si="10"/>
        <v>5.0999999999999997E-2</v>
      </c>
      <c r="M480">
        <f t="shared" si="11"/>
        <v>9.6994593888520206E-2</v>
      </c>
      <c r="N480" s="153">
        <f t="shared" si="12"/>
        <v>2326.5853904366286</v>
      </c>
      <c r="O480" s="157">
        <f t="shared" si="13"/>
        <v>2326.5853904366286</v>
      </c>
    </row>
    <row r="481" spans="1:23" x14ac:dyDescent="0.3">
      <c r="A481" t="s">
        <v>7003</v>
      </c>
      <c r="B481" s="99" t="s">
        <v>7006</v>
      </c>
      <c r="C481" s="153">
        <f>VLOOKUP(_xlfn.CONCAT("Tractor",E428," hp"), Econ.Tables!$C:$E,2, FALSE)*E431</f>
        <v>404700</v>
      </c>
      <c r="D481" s="79">
        <f>VLOOKUP("CAPEXLifetimeTractor, 4 wheel drive and crawlerDefault",Econ.inputsTable!$E:$H,2,FALSE)/E481</f>
        <v>16</v>
      </c>
      <c r="E481" s="213">
        <f>IF(F481&gt;UDV.tractor.min_usage_yearly,F481,UDV.tractor.min_usage_yearly)</f>
        <v>1000</v>
      </c>
      <c r="F481" s="214">
        <f>IF(E431=0,0,(E445+(E459/E456))/E431)</f>
        <v>8.4332752573212133</v>
      </c>
      <c r="G481" s="215">
        <f t="shared" si="14"/>
        <v>8.4332752573212134E-3</v>
      </c>
      <c r="H481" s="216">
        <f t="shared" si="8"/>
        <v>5.0999999999999997E-2</v>
      </c>
      <c r="I481" s="503">
        <f>VLOOKUP("CAPEXSalvageEquipmentDefault",Econ.inputsTable!$E:$H,2,FALSE)</f>
        <v>0.2</v>
      </c>
      <c r="J481" s="153">
        <f t="shared" si="9"/>
        <v>80940</v>
      </c>
      <c r="K481" s="217">
        <f>VLOOKUP("CAPEXFinanced amountNADefault",Econ.inputsTable!$E:$H,2,FALSE)</f>
        <v>1</v>
      </c>
      <c r="L481" s="218">
        <f t="shared" si="10"/>
        <v>5.0999999999999997E-2</v>
      </c>
      <c r="M481">
        <f t="shared" si="11"/>
        <v>9.2927821836826949E-2</v>
      </c>
      <c r="N481" s="153">
        <f t="shared" si="12"/>
        <v>34214.251597891096</v>
      </c>
      <c r="O481" s="157">
        <f t="shared" si="13"/>
        <v>288.53820144825778</v>
      </c>
    </row>
    <row r="482" spans="1:23" x14ac:dyDescent="0.3">
      <c r="A482" t="s">
        <v>7003</v>
      </c>
      <c r="B482" s="99" t="s">
        <v>6392</v>
      </c>
      <c r="C482" s="153">
        <f>UDV.econ_tanker.cost*E430</f>
        <v>136600</v>
      </c>
      <c r="D482" s="42">
        <f>VLOOKUP("CAPEXLifetimeEquipmentDefault",Econ.inputsTable!$E:$H,2,FALSE)</f>
        <v>10</v>
      </c>
      <c r="E482"/>
      <c r="F482" s="214">
        <f>F481</f>
        <v>8.4332752573212133</v>
      </c>
      <c r="G482" s="220">
        <f>VLOOKUP("CAPEXAnnual usage on activityItems that are used only on the given activityDefault",Econ.inputsTable!$E:$H,2,FALSE)</f>
        <v>1</v>
      </c>
      <c r="H482" s="216">
        <f t="shared" si="8"/>
        <v>5.0999999999999997E-2</v>
      </c>
      <c r="I482" s="503">
        <f>VLOOKUP("CAPEXSalvageEquipmentDefault",Econ.inputsTable!$E:$H,2,FALSE)</f>
        <v>0.2</v>
      </c>
      <c r="J482" s="153">
        <f t="shared" si="9"/>
        <v>27320</v>
      </c>
      <c r="K482" s="217">
        <f>VLOOKUP("CAPEXFinanced amountNADefault",Econ.inputsTable!$E:$H,2,FALSE)</f>
        <v>1</v>
      </c>
      <c r="L482" s="218">
        <f t="shared" si="10"/>
        <v>5.0999999999999997E-2</v>
      </c>
      <c r="M482">
        <f t="shared" si="11"/>
        <v>0.13013423257204779</v>
      </c>
      <c r="N482" s="153">
        <f t="shared" si="12"/>
        <v>15614.388935473382</v>
      </c>
      <c r="O482" s="157">
        <f t="shared" si="13"/>
        <v>15614.388935473382</v>
      </c>
    </row>
    <row r="483" spans="1:23" x14ac:dyDescent="0.3">
      <c r="A483" t="s">
        <v>7003</v>
      </c>
      <c r="B483" s="99" t="s">
        <v>7007</v>
      </c>
      <c r="C483" s="229">
        <f>(IF(E432="Broadcast",VLOOKUP("BoomDefault", Econ.Tables!$C:$E,2,FALSE),0))*E430</f>
        <v>0</v>
      </c>
      <c r="D483" s="42">
        <f>VLOOKUP("CAPEXLifetimeEquipmentDefault",Econ.inputsTable!$E:$H,2,FALSE)</f>
        <v>10</v>
      </c>
      <c r="E483" s="152"/>
      <c r="F483" s="231">
        <f>IF(C432="Broadcast",F481,0)</f>
        <v>0</v>
      </c>
      <c r="G483" s="220">
        <f>VLOOKUP("CAPEXAnnual usage on activityItems that are used only on the given activityDefault",Econ.inputsTable!$E:$H,2,FALSE)</f>
        <v>1</v>
      </c>
      <c r="H483" s="216">
        <f t="shared" si="8"/>
        <v>5.0999999999999997E-2</v>
      </c>
      <c r="I483" s="216">
        <f>VLOOKUP("CAPEXSalvageEquipmentDefault",Econ.inputsTable!$E:$H,2,FALSE)</f>
        <v>0.2</v>
      </c>
      <c r="J483" s="153">
        <f t="shared" si="9"/>
        <v>0</v>
      </c>
      <c r="K483" s="217">
        <f>VLOOKUP("CAPEXFinanced amountNADefault",Econ.inputsTable!$E:$H,2,FALSE)</f>
        <v>1</v>
      </c>
      <c r="L483" s="218">
        <f t="shared" si="10"/>
        <v>5.0999999999999997E-2</v>
      </c>
      <c r="M483">
        <f t="shared" si="11"/>
        <v>0.13013423257204779</v>
      </c>
      <c r="N483" s="153">
        <f t="shared" si="12"/>
        <v>0</v>
      </c>
      <c r="O483" s="157">
        <f t="shared" si="13"/>
        <v>0</v>
      </c>
    </row>
    <row r="484" spans="1:23" x14ac:dyDescent="0.3">
      <c r="A484" t="s">
        <v>7003</v>
      </c>
      <c r="B484" s="99" t="s">
        <v>7008</v>
      </c>
      <c r="C484" s="229">
        <f>(IF(E432="Injection",VLOOKUP("InjectionDefault",Econ.Tables!$C:$E,2,FALSE),0))*E430</f>
        <v>80900</v>
      </c>
      <c r="D484" s="42">
        <f>VLOOKUP("CAPEXLifetimeEquipmentDefault",Econ.inputsTable!$E:$H,2,FALSE)</f>
        <v>10</v>
      </c>
      <c r="E484" s="152"/>
      <c r="F484" s="231">
        <f>IF(C432="Injection",F482,0)</f>
        <v>8.4332752573212133</v>
      </c>
      <c r="G484" s="220">
        <f>VLOOKUP("CAPEXAnnual usage on activityItems that are used only on the given activityDefault",Econ.inputsTable!$E:$H,2,FALSE)</f>
        <v>1</v>
      </c>
      <c r="H484" s="216">
        <f t="shared" si="8"/>
        <v>5.0999999999999997E-2</v>
      </c>
      <c r="I484" s="216">
        <f>VLOOKUP("CAPEXSalvageEquipmentDefault",Econ.inputsTable!$E:$H,2,FALSE)</f>
        <v>0.2</v>
      </c>
      <c r="J484" s="153">
        <f t="shared" si="9"/>
        <v>16180</v>
      </c>
      <c r="K484" s="217">
        <f>VLOOKUP("CAPEXFinanced amountNADefault",Econ.inputsTable!$E:$H,2,FALSE)</f>
        <v>1</v>
      </c>
      <c r="L484" s="218">
        <f t="shared" si="10"/>
        <v>5.0999999999999997E-2</v>
      </c>
      <c r="M484">
        <f t="shared" si="11"/>
        <v>0.13013423257204779</v>
      </c>
      <c r="N484" s="153">
        <f t="shared" si="12"/>
        <v>9247.4675320629322</v>
      </c>
      <c r="O484" s="157">
        <f t="shared" si="13"/>
        <v>9247.4675320629322</v>
      </c>
    </row>
    <row r="485" spans="1:23" x14ac:dyDescent="0.3">
      <c r="B485" s="99"/>
      <c r="C485" s="229"/>
      <c r="D485" s="42"/>
      <c r="E485" s="42"/>
      <c r="F485" s="42"/>
      <c r="H485" s="42"/>
      <c r="I485" s="152"/>
      <c r="J485" s="231"/>
      <c r="K485" s="220"/>
      <c r="L485" s="216"/>
      <c r="M485" s="216"/>
      <c r="N485" s="216"/>
      <c r="O485" s="232"/>
    </row>
    <row r="486" spans="1:23" x14ac:dyDescent="0.3">
      <c r="B486" s="99"/>
      <c r="C486" s="82" t="s">
        <v>7009</v>
      </c>
      <c r="D486" s="82" t="s">
        <v>6963</v>
      </c>
      <c r="E486"/>
      <c r="F486"/>
      <c r="G486"/>
      <c r="H486"/>
      <c r="K486"/>
      <c r="L486"/>
      <c r="N486" s="153"/>
      <c r="O486" s="157"/>
    </row>
    <row r="487" spans="1:23" x14ac:dyDescent="0.3">
      <c r="A487" t="s">
        <v>5202</v>
      </c>
      <c r="B487" s="99" t="s">
        <v>6964</v>
      </c>
      <c r="C487" s="153">
        <f>SUM(C476:C484)</f>
        <v>1344473.2511957327</v>
      </c>
      <c r="D487" s="233">
        <f>SUMPRODUCT(C476:C484,G476:G484)</f>
        <v>349618.63428764441</v>
      </c>
      <c r="E487"/>
      <c r="F487"/>
      <c r="G487"/>
      <c r="H487"/>
      <c r="K487"/>
      <c r="L487"/>
      <c r="O487" s="146"/>
    </row>
    <row r="488" spans="1:23" x14ac:dyDescent="0.3">
      <c r="A488" t="s">
        <v>5202</v>
      </c>
      <c r="B488" s="149" t="s">
        <v>6965</v>
      </c>
      <c r="C488" s="159">
        <f>SUM(N476:N484)</f>
        <v>120166.12421754062</v>
      </c>
      <c r="D488" s="234">
        <f>SUMPRODUCT(N476:N484,G476:G484)</f>
        <v>36058.869050214467</v>
      </c>
      <c r="E488" s="159"/>
      <c r="F488" s="150"/>
      <c r="G488" s="150"/>
      <c r="H488" s="150"/>
      <c r="I488" s="150"/>
      <c r="J488" s="150"/>
      <c r="K488" s="150"/>
      <c r="L488" s="150"/>
      <c r="M488" s="150"/>
      <c r="N488" s="150"/>
      <c r="O488" s="151"/>
    </row>
    <row r="489" spans="1:23" x14ac:dyDescent="0.3">
      <c r="B489" s="262"/>
      <c r="C489" s="142"/>
      <c r="D489" s="142"/>
      <c r="E489" s="142"/>
      <c r="F489" s="142"/>
      <c r="G489" s="142"/>
      <c r="H489" s="142"/>
      <c r="I489" s="142"/>
      <c r="J489" s="142"/>
      <c r="K489" s="142"/>
      <c r="L489" s="142"/>
      <c r="M489" s="142"/>
      <c r="N489" s="142"/>
      <c r="O489" s="141"/>
    </row>
    <row r="490" spans="1:23" ht="28.8" x14ac:dyDescent="0.3">
      <c r="B490" s="160" t="s">
        <v>6966</v>
      </c>
      <c r="C490" s="152" t="s">
        <v>6967</v>
      </c>
      <c r="D490" s="152" t="s">
        <v>6968</v>
      </c>
      <c r="E490" s="152" t="s">
        <v>6969</v>
      </c>
      <c r="F490" s="152" t="s">
        <v>6970</v>
      </c>
      <c r="G490" s="152" t="s">
        <v>6971</v>
      </c>
      <c r="H490" s="152" t="s">
        <v>6972</v>
      </c>
      <c r="I490" s="152" t="s">
        <v>6973</v>
      </c>
      <c r="J490" s="152" t="s">
        <v>6974</v>
      </c>
      <c r="K490" s="152" t="s">
        <v>6975</v>
      </c>
      <c r="L490" s="152" t="s">
        <v>6976</v>
      </c>
      <c r="M490" s="152" t="s">
        <v>6977</v>
      </c>
      <c r="N490" s="152" t="s">
        <v>6978</v>
      </c>
      <c r="O490" s="161" t="s">
        <v>6979</v>
      </c>
    </row>
    <row r="491" spans="1:23" x14ac:dyDescent="0.3">
      <c r="B491" s="99" t="s">
        <v>2808</v>
      </c>
      <c r="C491" s="155">
        <f>VLOOKUP("OPEXInsuranceEverythingDefault",Econ.inputsTable!$E:$K,2,FALSE)</f>
        <v>5.0000000000000001E-3</v>
      </c>
      <c r="D491" s="154">
        <f>VLOOKUP("OPEXRepair and maintenanceEquipmentDefault",Econ.inputsTable!$E:$K,2,FALSE)</f>
        <v>0.03</v>
      </c>
      <c r="E491"/>
      <c r="F491" s="2124">
        <f>E437</f>
        <v>940.31230973063862</v>
      </c>
      <c r="G491" s="504">
        <f>F491*E470</f>
        <v>64.49758851160739</v>
      </c>
      <c r="H491"/>
      <c r="I491" s="504"/>
      <c r="J491" s="504"/>
      <c r="K491" s="147">
        <f>E438</f>
        <v>8.2492274882362544</v>
      </c>
      <c r="L491" s="156">
        <f>K491*E472</f>
        <v>195.17672237166977</v>
      </c>
      <c r="O491" s="167">
        <f t="shared" ref="O491" si="15">(SUM(C491:D491)*C476*G476)+SUM(E491,G491,I491,J491,L491,N491)</f>
        <v>2197.7381027339211</v>
      </c>
      <c r="P491"/>
      <c r="U491"/>
      <c r="W491"/>
    </row>
    <row r="492" spans="1:23" x14ac:dyDescent="0.3">
      <c r="B492" s="235" t="s">
        <v>7004</v>
      </c>
      <c r="C492" s="236">
        <f>VLOOKUP("OPEXInsuranceEverythingDefault",Econ.inputsTable!$E:$H,2,FALSE)</f>
        <v>5.0000000000000001E-3</v>
      </c>
      <c r="D492" s="237">
        <f>VLOOKUP("OPEXRepair and maintenanceEquipmentDefault",Econ.inputsTable!$E:$H,2,FALSE)</f>
        <v>0.03</v>
      </c>
      <c r="E492"/>
      <c r="F492"/>
      <c r="G492"/>
      <c r="H492" s="147">
        <f>E446+(E460/E456)</f>
        <v>74.212822264426649</v>
      </c>
      <c r="I492" s="233">
        <f>H492*E471</f>
        <v>274.32699737948832</v>
      </c>
      <c r="J492" s="229">
        <f>I492*VLOOKUP("OPEXLubeLubeDefault",Econ.inputsTable!$E:$H,2,FALSE)</f>
        <v>27.432699737948834</v>
      </c>
      <c r="K492" s="205">
        <f>(E443+(E457/E456))*VLOOKUP("OPEXLaborTractorDefault",Econ.inputsTable!$E:$H,2,FALSE)</f>
        <v>11.595753478816667</v>
      </c>
      <c r="L492" s="318">
        <f>K492*E472</f>
        <v>274.35552730880232</v>
      </c>
      <c r="O492" s="240">
        <f t="shared" ref="O492:O499" si="16">(SUM(C492:D492)*C477*G477)+SUM(E492,G492,I492,J492,L492,N492)</f>
        <v>680.64040044370006</v>
      </c>
    </row>
    <row r="493" spans="1:23" x14ac:dyDescent="0.3">
      <c r="B493" s="99" t="s">
        <v>1226</v>
      </c>
      <c r="C493" s="236">
        <f>VLOOKUP("OPEXInsuranceEverythingDefault",Econ.inputsTable!$E:$H,2,FALSE)</f>
        <v>5.0000000000000001E-3</v>
      </c>
      <c r="D493" s="237">
        <f>VLOOKUP("OPEXRepair and maintenanceEquipmentDefault",Econ.inputsTable!$E:$H,2,FALSE)</f>
        <v>0.03</v>
      </c>
      <c r="E493"/>
      <c r="F493"/>
      <c r="G493"/>
      <c r="H493" s="147"/>
      <c r="I493" s="233"/>
      <c r="J493" s="233"/>
      <c r="K493"/>
      <c r="L493" s="153"/>
      <c r="O493" s="240">
        <f t="shared" si="16"/>
        <v>1522.4999999999998</v>
      </c>
    </row>
    <row r="494" spans="1:23" x14ac:dyDescent="0.3">
      <c r="B494" s="99" t="s">
        <v>7005</v>
      </c>
      <c r="C494" s="236">
        <f>VLOOKUP("OPEXInsuranceEverythingDefault",Econ.inputsTable!$E:$H,2,FALSE)</f>
        <v>5.0000000000000001E-3</v>
      </c>
      <c r="D494" s="237">
        <f>VLOOKUP("OPEXRepair and maintenanceEquipmentDefault",Econ.inputsTable!$E:$H,2,FALSE)</f>
        <v>0.03</v>
      </c>
      <c r="E494"/>
      <c r="F494"/>
      <c r="G494"/>
      <c r="H494" s="147">
        <f>E447+(E461/E456)</f>
        <v>8.7383409394698504</v>
      </c>
      <c r="I494" s="233">
        <f>H494*E471</f>
        <v>32.301194845571622</v>
      </c>
      <c r="J494" s="229">
        <f>I494*VLOOKUP("OPEXLubeLubeDefault",Econ.inputsTable!$E:$H,2,FALSE)</f>
        <v>3.2301194845571626</v>
      </c>
      <c r="K494" s="205">
        <f>(E444+(E458/E456))*VLOOKUP("OPEXLaborTractorDefault",Econ.inputsTable!$E:$H,2,FALSE)</f>
        <v>1.2136584638152572</v>
      </c>
      <c r="L494" s="318">
        <f>K494*E472</f>
        <v>28.715159253868986</v>
      </c>
      <c r="O494" s="240">
        <f t="shared" si="16"/>
        <v>76.356578401121638</v>
      </c>
    </row>
    <row r="495" spans="1:23" x14ac:dyDescent="0.3">
      <c r="B495" s="222" t="s">
        <v>3021</v>
      </c>
      <c r="C495" s="236">
        <f>VLOOKUP("OPEXInsuranceEverythingDefault",Econ.inputsTable!$E:$H,2,FALSE)</f>
        <v>5.0000000000000001E-3</v>
      </c>
      <c r="D495" s="237">
        <f>VLOOKUP("OPEXRepair and maintenancePump, tractor ptoDefault",Econ.inputsTable!$E:$H,2,FALSE)</f>
        <v>0.05</v>
      </c>
      <c r="E495"/>
      <c r="F495"/>
      <c r="G495"/>
      <c r="H495"/>
      <c r="I495" s="233"/>
      <c r="J495" s="233"/>
      <c r="K495"/>
      <c r="L495" s="153"/>
      <c r="O495" s="240">
        <f t="shared" si="16"/>
        <v>1457.5</v>
      </c>
    </row>
    <row r="496" spans="1:23" x14ac:dyDescent="0.3">
      <c r="B496" s="99" t="s">
        <v>7006</v>
      </c>
      <c r="C496" s="236">
        <f>VLOOKUP("OPEXInsuranceEverythingDefault",Econ.inputsTable!$E:$H,2,FALSE)</f>
        <v>5.0000000000000001E-3</v>
      </c>
      <c r="D496" s="237">
        <f>VLOOKUP("OPEXRepair and maintenanceEquipmentDefault",Econ.inputsTable!$E:$H,2,FALSE)</f>
        <v>0.03</v>
      </c>
      <c r="E496"/>
      <c r="F496"/>
      <c r="G496"/>
      <c r="H496" s="147">
        <f>E448+(E462/E456)</f>
        <v>92.766027830533318</v>
      </c>
      <c r="I496" s="233">
        <f>H496*E471</f>
        <v>342.90874672436041</v>
      </c>
      <c r="J496" s="229">
        <f>I496*VLOOKUP("OPEXLubeLubeDefault",Econ.inputsTable!$E:$H,2,FALSE)</f>
        <v>34.29087467243604</v>
      </c>
      <c r="K496" s="205">
        <f>(E445+(E459/E456))*VLOOKUP("OPEXLaborTractorDefault",Econ.inputsTable!$E:$H,2,FALSE)</f>
        <v>9.2766027830533346</v>
      </c>
      <c r="L496" s="318">
        <f>K496*E472</f>
        <v>219.48442184704189</v>
      </c>
      <c r="O496" s="240">
        <f t="shared" si="16"/>
        <v>716.13717062616468</v>
      </c>
    </row>
    <row r="497" spans="1:15" x14ac:dyDescent="0.3">
      <c r="B497" s="99" t="s">
        <v>6392</v>
      </c>
      <c r="C497" s="236">
        <f>VLOOKUP("OPEXInsuranceEverythingDefault",Econ.inputsTable!$E:$H,2,FALSE)</f>
        <v>5.0000000000000001E-3</v>
      </c>
      <c r="D497" s="237">
        <f>VLOOKUP("OPEXRepair and maintenanceEquipmentDefault",Econ.inputsTable!$E:$H,2,FALSE)</f>
        <v>0.03</v>
      </c>
      <c r="E497"/>
      <c r="F497"/>
      <c r="G497"/>
      <c r="H497"/>
      <c r="I497" s="233"/>
      <c r="J497" s="233"/>
      <c r="K497"/>
      <c r="L497" s="153"/>
      <c r="O497" s="240">
        <f t="shared" si="16"/>
        <v>4780.9999999999991</v>
      </c>
    </row>
    <row r="498" spans="1:15" x14ac:dyDescent="0.3">
      <c r="B498" s="99" t="s">
        <v>7007</v>
      </c>
      <c r="C498" s="236">
        <f>VLOOKUP("OPEXInsuranceEverythingDefault",Econ.inputsTable!$E:$H,2,FALSE)</f>
        <v>5.0000000000000001E-3</v>
      </c>
      <c r="D498" s="237">
        <f>VLOOKUP("OPEXRepair and maintenanceEquipmentDefault",Econ.inputsTable!$E:$H,2,FALSE)</f>
        <v>0.03</v>
      </c>
      <c r="E498"/>
      <c r="F498"/>
      <c r="G498"/>
      <c r="H498"/>
      <c r="I498" s="233"/>
      <c r="J498" s="233"/>
      <c r="K498"/>
      <c r="L498" s="153"/>
      <c r="O498" s="240">
        <f t="shared" si="16"/>
        <v>0</v>
      </c>
    </row>
    <row r="499" spans="1:15" x14ac:dyDescent="0.3">
      <c r="B499" s="99" t="s">
        <v>7008</v>
      </c>
      <c r="C499" s="236">
        <f>VLOOKUP("OPEXInsuranceEverythingDefault",Econ.inputsTable!$E:$H,2,FALSE)</f>
        <v>5.0000000000000001E-3</v>
      </c>
      <c r="D499" s="237">
        <f>VLOOKUP("OPEXRepair and maintenanceEquipmentDefault",Econ.inputsTable!$E:$H,2,FALSE)</f>
        <v>0.03</v>
      </c>
      <c r="E499"/>
      <c r="F499"/>
      <c r="G499"/>
      <c r="H499"/>
      <c r="I499" s="233"/>
      <c r="J499" s="233"/>
      <c r="K499"/>
      <c r="L499" s="153"/>
      <c r="O499" s="240">
        <f t="shared" si="16"/>
        <v>2831.4999999999995</v>
      </c>
    </row>
    <row r="500" spans="1:15" x14ac:dyDescent="0.3">
      <c r="A500" t="s">
        <v>5202</v>
      </c>
      <c r="B500" s="162" t="s">
        <v>5203</v>
      </c>
      <c r="C500" s="241"/>
      <c r="D500" s="241"/>
      <c r="E500" s="242">
        <f t="shared" ref="E500:O500" si="17">SUM(E491:E499)</f>
        <v>0</v>
      </c>
      <c r="F500" s="2125">
        <f t="shared" si="17"/>
        <v>940.31230973063862</v>
      </c>
      <c r="G500" s="242">
        <f t="shared" si="17"/>
        <v>64.49758851160739</v>
      </c>
      <c r="H500" s="286">
        <f t="shared" si="17"/>
        <v>175.71719103442982</v>
      </c>
      <c r="I500" s="242">
        <f t="shared" si="17"/>
        <v>649.53693894942035</v>
      </c>
      <c r="J500" s="242">
        <f t="shared" si="17"/>
        <v>64.953693894942035</v>
      </c>
      <c r="K500" s="243">
        <f t="shared" si="17"/>
        <v>30.335242213921511</v>
      </c>
      <c r="L500" s="242">
        <f t="shared" si="17"/>
        <v>717.731830781383</v>
      </c>
      <c r="M500" s="374">
        <f t="shared" si="17"/>
        <v>0</v>
      </c>
      <c r="N500" s="242">
        <f t="shared" si="17"/>
        <v>0</v>
      </c>
      <c r="O500" s="169">
        <f t="shared" si="17"/>
        <v>14263.372252204907</v>
      </c>
    </row>
    <row r="501" spans="1:15" x14ac:dyDescent="0.3">
      <c r="B501" s="99"/>
      <c r="D501"/>
      <c r="E501"/>
      <c r="F501"/>
      <c r="G501"/>
      <c r="H501"/>
      <c r="K501"/>
      <c r="L501"/>
      <c r="O501" s="146"/>
    </row>
    <row r="502" spans="1:15" x14ac:dyDescent="0.3">
      <c r="A502" t="s">
        <v>5202</v>
      </c>
      <c r="B502" s="149" t="s">
        <v>6980</v>
      </c>
      <c r="C502" s="159">
        <f>O500</f>
        <v>14263.372252204907</v>
      </c>
      <c r="D502" s="150"/>
      <c r="E502" s="150"/>
      <c r="F502" s="150"/>
      <c r="G502" s="150"/>
      <c r="H502" s="150"/>
      <c r="I502" s="150"/>
      <c r="J502" s="150"/>
      <c r="K502" s="150"/>
      <c r="L502" s="150"/>
      <c r="M502" s="150"/>
      <c r="N502" s="150"/>
      <c r="O502" s="151"/>
    </row>
    <row r="503" spans="1:15" x14ac:dyDescent="0.3">
      <c r="C503" s="153"/>
      <c r="D503"/>
      <c r="E503"/>
      <c r="F503"/>
      <c r="G503"/>
      <c r="H503"/>
      <c r="K503"/>
      <c r="L503"/>
    </row>
    <row r="504" spans="1:15" x14ac:dyDescent="0.3">
      <c r="B504" s="384" t="s">
        <v>7123</v>
      </c>
      <c r="C504" s="2997" t="s">
        <v>6402</v>
      </c>
      <c r="D504" s="2999"/>
      <c r="E504" s="3059" t="s">
        <v>6417</v>
      </c>
      <c r="F504" s="3058"/>
      <c r="G504"/>
      <c r="H504"/>
      <c r="K504"/>
      <c r="L504"/>
    </row>
    <row r="505" spans="1:15" x14ac:dyDescent="0.3">
      <c r="B505" s="385" t="s">
        <v>7012</v>
      </c>
      <c r="C505" s="139" t="s">
        <v>7124</v>
      </c>
      <c r="D505" s="245" t="s">
        <v>7125</v>
      </c>
      <c r="E505" s="139" t="s">
        <v>7124</v>
      </c>
      <c r="F505" s="245" t="s">
        <v>7125</v>
      </c>
      <c r="G505"/>
      <c r="H505"/>
      <c r="K505"/>
      <c r="L505"/>
    </row>
    <row r="506" spans="1:15" x14ac:dyDescent="0.3">
      <c r="A506" t="s">
        <v>5202</v>
      </c>
      <c r="B506" s="386" t="s">
        <v>7013</v>
      </c>
      <c r="C506" s="387">
        <f xml:space="preserve"> VLOOKUP("Fertilizer value for on-farm use, liquids",$R$1:$T$332,3, FALSE)</f>
        <v>5292.384684415726</v>
      </c>
      <c r="D506" s="388">
        <f>VLOOKUP("Fertilizer value for on-farm use, liquids",$R$1:$T$332,3, FALSE)</f>
        <v>5292.384684415726</v>
      </c>
      <c r="E506" s="387"/>
      <c r="F506" s="389">
        <f>VLOOKUP("Fertilizer value for on-farm use, sludge",$R$1:$T$332,3, FALSE)</f>
        <v>9409.3847903288861</v>
      </c>
      <c r="G506"/>
      <c r="H506"/>
      <c r="K506"/>
      <c r="L506"/>
    </row>
    <row r="507" spans="1:15" x14ac:dyDescent="0.3">
      <c r="A507" t="s">
        <v>5202</v>
      </c>
      <c r="B507" s="386" t="s">
        <v>7126</v>
      </c>
      <c r="C507" s="390">
        <f>C506</f>
        <v>5292.384684415726</v>
      </c>
      <c r="D507" s="391"/>
      <c r="E507" s="390">
        <f>(F506/UDV.anaer_lagoon.sludge_time)</f>
        <v>940.93847903288861</v>
      </c>
      <c r="F507" s="391"/>
      <c r="G507"/>
      <c r="H507"/>
      <c r="K507"/>
      <c r="L507"/>
    </row>
    <row r="508" spans="1:15" x14ac:dyDescent="0.3">
      <c r="A508" t="s">
        <v>5202</v>
      </c>
      <c r="B508" s="386" t="s">
        <v>7014</v>
      </c>
      <c r="C508" s="393">
        <f>SUM(C507,E507)</f>
        <v>6233.3231634486147</v>
      </c>
      <c r="D508" s="146"/>
      <c r="E508" s="99"/>
      <c r="F508" s="146"/>
      <c r="G508"/>
      <c r="H508"/>
      <c r="K508"/>
      <c r="L508"/>
    </row>
    <row r="509" spans="1:15" x14ac:dyDescent="0.3">
      <c r="B509" s="386"/>
      <c r="D509" s="146"/>
      <c r="E509" s="99"/>
      <c r="F509" s="146"/>
      <c r="G509"/>
      <c r="H509"/>
      <c r="K509"/>
      <c r="L509"/>
    </row>
    <row r="510" spans="1:15" x14ac:dyDescent="0.3">
      <c r="B510" s="394" t="s">
        <v>7015</v>
      </c>
      <c r="C510" s="139" t="s">
        <v>7124</v>
      </c>
      <c r="D510" s="245" t="s">
        <v>7125</v>
      </c>
      <c r="E510" s="139" t="s">
        <v>7124</v>
      </c>
      <c r="F510" s="245" t="s">
        <v>7125</v>
      </c>
      <c r="G510"/>
      <c r="H510"/>
      <c r="K510"/>
      <c r="L510"/>
    </row>
    <row r="511" spans="1:15" x14ac:dyDescent="0.3">
      <c r="A511" t="s">
        <v>5202</v>
      </c>
      <c r="B511" s="386" t="s">
        <v>7016</v>
      </c>
      <c r="C511" s="387">
        <f>UDV.econ_manure.liquid_sell_price*C412</f>
        <v>0</v>
      </c>
      <c r="D511" s="389">
        <f>UDV.econ_manure.liquid_sell_price*C412</f>
        <v>0</v>
      </c>
      <c r="E511" s="387"/>
      <c r="F511" s="389">
        <f>UDV.econ_manure.sludge_sell_price*C415</f>
        <v>0</v>
      </c>
    </row>
    <row r="512" spans="1:15" x14ac:dyDescent="0.3">
      <c r="A512" t="s">
        <v>5202</v>
      </c>
      <c r="B512" s="386" t="s">
        <v>7127</v>
      </c>
      <c r="C512" s="390">
        <f>C511</f>
        <v>0</v>
      </c>
      <c r="D512" s="391"/>
      <c r="E512" s="390">
        <f>(F511/UDV.anaer_lagoon.sludge_time)</f>
        <v>0</v>
      </c>
      <c r="F512" s="391"/>
    </row>
    <row r="513" spans="1:17" x14ac:dyDescent="0.3">
      <c r="A513" t="s">
        <v>5202</v>
      </c>
      <c r="B513" s="386" t="s">
        <v>7017</v>
      </c>
      <c r="C513" s="393">
        <f>SUM(C512,E512)</f>
        <v>0</v>
      </c>
      <c r="D513" s="146"/>
      <c r="E513" s="99"/>
      <c r="F513" s="146"/>
    </row>
    <row r="514" spans="1:17" x14ac:dyDescent="0.3">
      <c r="B514" s="386"/>
      <c r="C514" s="166"/>
      <c r="D514" s="146"/>
      <c r="E514" s="395"/>
      <c r="F514" s="396"/>
    </row>
    <row r="515" spans="1:17" x14ac:dyDescent="0.3">
      <c r="B515" s="397" t="s">
        <v>7018</v>
      </c>
      <c r="C515" s="139" t="s">
        <v>7124</v>
      </c>
      <c r="D515" s="245" t="s">
        <v>7125</v>
      </c>
      <c r="E515" s="139" t="s">
        <v>7124</v>
      </c>
      <c r="F515" s="245" t="s">
        <v>7125</v>
      </c>
    </row>
    <row r="516" spans="1:17" x14ac:dyDescent="0.3">
      <c r="A516" t="s">
        <v>5202</v>
      </c>
      <c r="B516" s="386" t="s">
        <v>7019</v>
      </c>
      <c r="C516" s="387">
        <f>UDV.econ_manure.liquid_sell_price*C413</f>
        <v>0</v>
      </c>
      <c r="D516" s="389">
        <f>UDV.econ_manure.liquid_sell_price*C413</f>
        <v>0</v>
      </c>
      <c r="E516" s="387">
        <v>0</v>
      </c>
      <c r="F516" s="389">
        <f>UDV.econ_manure.sludge_sell_price*C416</f>
        <v>4341.4773417348624</v>
      </c>
    </row>
    <row r="517" spans="1:17" x14ac:dyDescent="0.3">
      <c r="A517" t="s">
        <v>5202</v>
      </c>
      <c r="B517" s="386" t="s">
        <v>7128</v>
      </c>
      <c r="C517" s="390">
        <f>C516</f>
        <v>0</v>
      </c>
      <c r="D517" s="391"/>
      <c r="E517" s="390">
        <f>(F516/UDV.anaer_lagoon.sludge_time)</f>
        <v>434.14773417348624</v>
      </c>
      <c r="F517" s="391"/>
    </row>
    <row r="518" spans="1:17" x14ac:dyDescent="0.3">
      <c r="A518" t="s">
        <v>5202</v>
      </c>
      <c r="B518" s="386" t="s">
        <v>7020</v>
      </c>
      <c r="C518" s="393">
        <f>SUM(C517,E517)</f>
        <v>434.14773417348624</v>
      </c>
      <c r="D518" s="146"/>
      <c r="E518" s="99"/>
      <c r="F518" s="146"/>
    </row>
    <row r="519" spans="1:17" x14ac:dyDescent="0.3">
      <c r="B519" s="386"/>
      <c r="D519" s="146"/>
      <c r="E519" s="99"/>
      <c r="F519" s="146"/>
    </row>
    <row r="520" spans="1:17" x14ac:dyDescent="0.3">
      <c r="B520" s="398" t="s">
        <v>7021</v>
      </c>
      <c r="C520" s="139" t="s">
        <v>7124</v>
      </c>
      <c r="D520" s="245" t="s">
        <v>7125</v>
      </c>
      <c r="E520" s="139" t="s">
        <v>7124</v>
      </c>
      <c r="F520" s="245" t="s">
        <v>7125</v>
      </c>
    </row>
    <row r="521" spans="1:17" x14ac:dyDescent="0.3">
      <c r="A521" t="s">
        <v>5202</v>
      </c>
      <c r="B521" s="386" t="s">
        <v>7022</v>
      </c>
      <c r="C521" s="387">
        <f>UDV.econ_manure.liquid_export_cost*C414</f>
        <v>0</v>
      </c>
      <c r="D521" s="389">
        <f>UDV.econ_manure.liquid_export_cost*C414</f>
        <v>0</v>
      </c>
      <c r="E521" s="387">
        <v>0</v>
      </c>
      <c r="F521" s="389">
        <f>UDV.econ_manure.sludge_export_cost*C417</f>
        <v>0</v>
      </c>
    </row>
    <row r="522" spans="1:17" x14ac:dyDescent="0.3">
      <c r="A522" t="s">
        <v>5202</v>
      </c>
      <c r="B522" s="386" t="s">
        <v>7129</v>
      </c>
      <c r="C522" s="390">
        <f>C521</f>
        <v>0</v>
      </c>
      <c r="D522" s="391"/>
      <c r="E522" s="390">
        <f>(F521/UDV.anaer_lagoon.sludge_time)</f>
        <v>0</v>
      </c>
      <c r="F522" s="391"/>
    </row>
    <row r="523" spans="1:17" x14ac:dyDescent="0.3">
      <c r="A523" t="s">
        <v>5202</v>
      </c>
      <c r="B523" s="386" t="s">
        <v>7023</v>
      </c>
      <c r="C523" s="393">
        <f>SUM(C522,E522)</f>
        <v>0</v>
      </c>
      <c r="D523" s="146"/>
      <c r="E523" s="99"/>
      <c r="F523" s="146"/>
    </row>
    <row r="524" spans="1:17" x14ac:dyDescent="0.3">
      <c r="B524" s="386"/>
      <c r="D524" s="146"/>
      <c r="E524" s="99"/>
      <c r="F524" s="146"/>
    </row>
    <row r="525" spans="1:17" x14ac:dyDescent="0.3">
      <c r="B525" s="303" t="s">
        <v>7138</v>
      </c>
      <c r="C525" s="173" t="s">
        <v>7025</v>
      </c>
      <c r="D525" s="173"/>
      <c r="E525" s="99"/>
      <c r="F525" s="146"/>
    </row>
    <row r="526" spans="1:17" x14ac:dyDescent="0.3">
      <c r="B526" s="70" t="s">
        <v>7139</v>
      </c>
      <c r="C526" s="265"/>
      <c r="D526" s="151"/>
      <c r="E526" s="149"/>
      <c r="F526" s="151"/>
    </row>
    <row r="527" spans="1:17" ht="15" thickBot="1" x14ac:dyDescent="0.35">
      <c r="A527" s="137"/>
      <c r="B527" s="137"/>
      <c r="C527" s="137"/>
      <c r="D527" s="137"/>
      <c r="E527" s="137"/>
      <c r="F527" s="137"/>
      <c r="G527" s="137"/>
      <c r="H527" s="137"/>
      <c r="I527" s="137"/>
      <c r="J527" s="137"/>
      <c r="K527" s="137"/>
      <c r="L527" s="137"/>
      <c r="M527" s="137"/>
      <c r="N527" s="137"/>
      <c r="O527" s="137"/>
      <c r="P527" s="137"/>
      <c r="Q527" s="137"/>
    </row>
    <row r="528" spans="1:17" x14ac:dyDescent="0.3">
      <c r="D528"/>
      <c r="E528"/>
      <c r="F528"/>
      <c r="G528"/>
      <c r="H528"/>
      <c r="K528"/>
      <c r="L528"/>
      <c r="P528"/>
    </row>
    <row r="529" spans="2:27" x14ac:dyDescent="0.3">
      <c r="B529" s="82" t="s">
        <v>7130</v>
      </c>
      <c r="D529"/>
      <c r="E529"/>
      <c r="F529"/>
      <c r="G529"/>
      <c r="H529"/>
      <c r="K529"/>
      <c r="L529"/>
      <c r="P529"/>
      <c r="Q529" s="171" t="s">
        <v>7153</v>
      </c>
      <c r="R529" s="142"/>
      <c r="S529" s="142"/>
      <c r="T529" s="141"/>
      <c r="U529"/>
      <c r="W529" s="142"/>
      <c r="X529" s="142"/>
    </row>
    <row r="530" spans="2:27" x14ac:dyDescent="0.3">
      <c r="D530"/>
      <c r="E530"/>
      <c r="F530"/>
      <c r="G530"/>
      <c r="H530"/>
      <c r="K530"/>
      <c r="L530"/>
      <c r="P530"/>
      <c r="Q530" s="172" t="s">
        <v>565</v>
      </c>
      <c r="R530" s="82" t="s">
        <v>38</v>
      </c>
      <c r="S530" s="82" t="s">
        <v>565</v>
      </c>
      <c r="T530" s="173" t="s">
        <v>38</v>
      </c>
      <c r="U530"/>
      <c r="W530"/>
    </row>
    <row r="531" spans="2:27" x14ac:dyDescent="0.3">
      <c r="B531" s="139" t="s">
        <v>6983</v>
      </c>
      <c r="C531" s="140" t="s">
        <v>565</v>
      </c>
      <c r="D531" s="140" t="s">
        <v>38</v>
      </c>
      <c r="E531" s="142"/>
      <c r="F531" s="141"/>
      <c r="G531"/>
      <c r="L531"/>
      <c r="P531"/>
      <c r="Q531" s="99">
        <v>1</v>
      </c>
      <c r="R531" t="s">
        <v>2359</v>
      </c>
      <c r="S531">
        <v>453.59199999999998</v>
      </c>
      <c r="T531" s="146" t="s">
        <v>2535</v>
      </c>
      <c r="U531"/>
      <c r="W531"/>
    </row>
    <row r="532" spans="2:27" x14ac:dyDescent="0.3">
      <c r="B532" s="99" t="s">
        <v>7028</v>
      </c>
      <c r="C532">
        <f>UDV.crops.acres_available</f>
        <v>100</v>
      </c>
      <c r="D532" t="s">
        <v>7029</v>
      </c>
      <c r="E532" s="34"/>
      <c r="F532" s="146"/>
      <c r="G532"/>
      <c r="L532"/>
      <c r="P532"/>
      <c r="Q532" s="99">
        <v>1</v>
      </c>
      <c r="R532" t="s">
        <v>2535</v>
      </c>
      <c r="S532">
        <v>2.20462E-3</v>
      </c>
      <c r="T532" s="146" t="s">
        <v>2359</v>
      </c>
      <c r="U532"/>
      <c r="W532"/>
    </row>
    <row r="533" spans="2:27" x14ac:dyDescent="0.3">
      <c r="B533" s="99" t="s">
        <v>7109</v>
      </c>
      <c r="C533" s="166">
        <f>UDV.econ_manure.liquid_sell_pct*R583</f>
        <v>0</v>
      </c>
      <c r="D533" t="s">
        <v>5246</v>
      </c>
      <c r="E533"/>
      <c r="F533" s="146"/>
      <c r="G533"/>
      <c r="L533"/>
      <c r="P533"/>
      <c r="Q533" s="99">
        <v>1</v>
      </c>
      <c r="R533" t="s">
        <v>2358</v>
      </c>
      <c r="S533">
        <v>1.10231E-3</v>
      </c>
      <c r="T533" s="146" t="s">
        <v>2537</v>
      </c>
      <c r="U533"/>
      <c r="W533"/>
    </row>
    <row r="534" spans="2:27" x14ac:dyDescent="0.3">
      <c r="B534" s="99" t="s">
        <v>7110</v>
      </c>
      <c r="C534" s="166">
        <f>UDV.econ_manure.liquid_give_pct*R583</f>
        <v>0</v>
      </c>
      <c r="D534" t="s">
        <v>5246</v>
      </c>
      <c r="E534"/>
      <c r="F534" s="146"/>
      <c r="G534"/>
      <c r="L534"/>
      <c r="P534"/>
      <c r="Q534" s="99">
        <v>1</v>
      </c>
      <c r="R534" t="s">
        <v>2481</v>
      </c>
      <c r="S534">
        <v>0.26417200000000002</v>
      </c>
      <c r="T534" s="146" t="s">
        <v>2480</v>
      </c>
      <c r="U534"/>
      <c r="W534"/>
    </row>
    <row r="535" spans="2:27" x14ac:dyDescent="0.3">
      <c r="B535" s="99" t="s">
        <v>7111</v>
      </c>
      <c r="C535" s="147">
        <f>R583-C533-C534</f>
        <v>0</v>
      </c>
      <c r="D535" t="s">
        <v>5246</v>
      </c>
      <c r="E535"/>
      <c r="F535" s="146"/>
      <c r="G535"/>
      <c r="L535"/>
      <c r="P535"/>
      <c r="Q535" s="99">
        <v>1</v>
      </c>
      <c r="R535" t="s">
        <v>2480</v>
      </c>
      <c r="S535">
        <v>3.7854100000000002</v>
      </c>
      <c r="T535" s="146" t="s">
        <v>2481</v>
      </c>
      <c r="U535"/>
      <c r="W535"/>
    </row>
    <row r="536" spans="2:27" x14ac:dyDescent="0.3">
      <c r="B536" s="99" t="s">
        <v>7112</v>
      </c>
      <c r="C536" s="166">
        <f>UDV.econ_manure.sludge_sell_pct*X583</f>
        <v>0</v>
      </c>
      <c r="D536" t="s">
        <v>5249</v>
      </c>
      <c r="E536"/>
      <c r="F536" s="146"/>
      <c r="G536"/>
      <c r="L536"/>
      <c r="P536"/>
      <c r="Q536" s="149">
        <v>1</v>
      </c>
      <c r="R536" s="150" t="s">
        <v>2480</v>
      </c>
      <c r="S536" s="150">
        <v>1E-3</v>
      </c>
      <c r="T536" s="151" t="s">
        <v>7154</v>
      </c>
      <c r="U536"/>
      <c r="W536"/>
    </row>
    <row r="537" spans="2:27" x14ac:dyDescent="0.3">
      <c r="B537" s="99" t="s">
        <v>7113</v>
      </c>
      <c r="C537" s="166">
        <f>UDV.econ_manure.sludge_give_pct*X583</f>
        <v>108.53693354337156</v>
      </c>
      <c r="D537" t="s">
        <v>5249</v>
      </c>
      <c r="E537"/>
      <c r="F537" s="146"/>
      <c r="G537"/>
      <c r="L537"/>
      <c r="P537"/>
      <c r="Q537" s="174">
        <v>1</v>
      </c>
      <c r="R537" t="s">
        <v>84</v>
      </c>
      <c r="S537">
        <v>1</v>
      </c>
      <c r="T537" s="146" t="s">
        <v>84</v>
      </c>
      <c r="U537"/>
      <c r="W537"/>
    </row>
    <row r="538" spans="2:27" x14ac:dyDescent="0.3">
      <c r="B538" s="99" t="s">
        <v>7114</v>
      </c>
      <c r="C538" s="147">
        <f>X583-C536-C537</f>
        <v>0</v>
      </c>
      <c r="D538" t="s">
        <v>5249</v>
      </c>
      <c r="E538"/>
      <c r="F538" s="146"/>
      <c r="G538"/>
      <c r="L538"/>
      <c r="P538"/>
      <c r="Q538" s="99">
        <v>1</v>
      </c>
      <c r="R538" t="s">
        <v>704</v>
      </c>
      <c r="S538">
        <v>2.29</v>
      </c>
      <c r="T538" s="146" t="s">
        <v>941</v>
      </c>
      <c r="U538"/>
      <c r="W538"/>
    </row>
    <row r="539" spans="2:27" x14ac:dyDescent="0.3">
      <c r="B539" s="99"/>
      <c r="D539"/>
      <c r="E539"/>
      <c r="F539" s="151"/>
      <c r="G539"/>
      <c r="L539"/>
      <c r="P539"/>
      <c r="Q539" s="149">
        <v>1</v>
      </c>
      <c r="R539" s="150" t="s">
        <v>702</v>
      </c>
      <c r="S539" s="150">
        <v>1.21</v>
      </c>
      <c r="T539" s="151" t="s">
        <v>934</v>
      </c>
      <c r="U539"/>
      <c r="W539"/>
    </row>
    <row r="540" spans="2:27" x14ac:dyDescent="0.3">
      <c r="B540" s="92" t="s">
        <v>6942</v>
      </c>
      <c r="C540" s="82"/>
      <c r="D540" s="82"/>
      <c r="E540" s="139" t="s">
        <v>6988</v>
      </c>
      <c r="F540" s="141"/>
      <c r="G540"/>
      <c r="H540" s="139" t="s">
        <v>7033</v>
      </c>
      <c r="I540" s="142"/>
      <c r="J540" s="142"/>
      <c r="K540" s="141"/>
      <c r="L540"/>
      <c r="P540"/>
      <c r="U540"/>
      <c r="W540"/>
    </row>
    <row r="541" spans="2:27" x14ac:dyDescent="0.3">
      <c r="B541" s="175" t="s">
        <v>2908</v>
      </c>
      <c r="C541" s="82"/>
      <c r="D541" s="82"/>
      <c r="E541" s="92"/>
      <c r="F541" s="146"/>
      <c r="G541"/>
      <c r="H541" s="99" t="s">
        <v>7034</v>
      </c>
      <c r="K541" s="146"/>
      <c r="L541"/>
      <c r="P541"/>
      <c r="Q541" s="176" t="s">
        <v>7155</v>
      </c>
      <c r="R541" s="170" t="s">
        <v>7156</v>
      </c>
      <c r="S541" s="177"/>
      <c r="T541" s="177"/>
      <c r="U541" s="177"/>
      <c r="W541" s="176" t="s">
        <v>7157</v>
      </c>
      <c r="X541" s="170" t="s">
        <v>7158</v>
      </c>
      <c r="Y541" s="177"/>
      <c r="Z541" s="177"/>
      <c r="AA541" s="177"/>
    </row>
    <row r="542" spans="2:27" x14ac:dyDescent="0.3">
      <c r="B542" s="143" t="s">
        <v>2663</v>
      </c>
      <c r="C542" s="144" t="s">
        <v>565</v>
      </c>
      <c r="D542" s="144" t="s">
        <v>6943</v>
      </c>
      <c r="E542" s="143" t="s">
        <v>565</v>
      </c>
      <c r="F542" s="145" t="s">
        <v>6944</v>
      </c>
      <c r="G542"/>
      <c r="H542" s="99" t="s">
        <v>7035</v>
      </c>
      <c r="K542" s="146"/>
      <c r="L542"/>
      <c r="P542"/>
      <c r="Q542" s="179" t="s">
        <v>5328</v>
      </c>
      <c r="R542" s="179" t="s">
        <v>565</v>
      </c>
      <c r="S542" s="179" t="s">
        <v>5329</v>
      </c>
      <c r="T542" s="179" t="s">
        <v>5330</v>
      </c>
      <c r="U542" s="179" t="s">
        <v>5330</v>
      </c>
      <c r="W542" s="179" t="s">
        <v>5328</v>
      </c>
      <c r="X542" s="179" t="s">
        <v>565</v>
      </c>
      <c r="Y542" s="179" t="s">
        <v>5329</v>
      </c>
      <c r="Z542" s="179" t="s">
        <v>5330</v>
      </c>
      <c r="AA542" s="179" t="s">
        <v>5330</v>
      </c>
    </row>
    <row r="543" spans="2:27" x14ac:dyDescent="0.3">
      <c r="B543" s="99" t="s">
        <v>5708</v>
      </c>
      <c r="C543" s="147">
        <f t="shared" ref="C543:C551" si="18">VLOOKUP(B543,$R:$U,3,FALSE)</f>
        <v>3000</v>
      </c>
      <c r="D543" t="s">
        <v>2514</v>
      </c>
      <c r="E543" s="99">
        <f t="shared" ref="E543:E551" si="19">C543</f>
        <v>3000</v>
      </c>
      <c r="F543" s="146" t="s">
        <v>2514</v>
      </c>
      <c r="G543"/>
      <c r="H543" s="235" t="s">
        <v>7047</v>
      </c>
      <c r="K543" s="146"/>
      <c r="L543"/>
      <c r="P543"/>
      <c r="Q543" s="180" t="s">
        <v>5332</v>
      </c>
      <c r="R543" s="252">
        <f>R574*R582</f>
        <v>5285.6108530058209</v>
      </c>
      <c r="S543" s="180" t="s">
        <v>5181</v>
      </c>
      <c r="T543" s="177" t="s">
        <v>5333</v>
      </c>
      <c r="U543" s="177">
        <f>UDV.crops.N_avail</f>
        <v>0.95</v>
      </c>
      <c r="W543" s="180" t="s">
        <v>5332</v>
      </c>
      <c r="X543" s="252">
        <f>X574*X582</f>
        <v>12014.389146994179</v>
      </c>
      <c r="Y543" s="180" t="s">
        <v>7159</v>
      </c>
      <c r="Z543" s="177" t="s">
        <v>5333</v>
      </c>
      <c r="AA543" s="177">
        <f>UDV.crops.N_avail</f>
        <v>0.95</v>
      </c>
    </row>
    <row r="544" spans="2:27" x14ac:dyDescent="0.3">
      <c r="B544" s="99" t="s">
        <v>5709</v>
      </c>
      <c r="C544" s="147">
        <f t="shared" si="18"/>
        <v>1</v>
      </c>
      <c r="D544" t="s">
        <v>2442</v>
      </c>
      <c r="E544" s="178">
        <f>C544</f>
        <v>1</v>
      </c>
      <c r="F544" s="146" t="s">
        <v>2442</v>
      </c>
      <c r="G544"/>
      <c r="H544" s="235" t="s">
        <v>7037</v>
      </c>
      <c r="K544" s="146"/>
      <c r="L544"/>
      <c r="P544"/>
      <c r="Q544" s="182" t="s">
        <v>5336</v>
      </c>
      <c r="R544" s="183">
        <f>E575/1000</f>
        <v>630.48979142604435</v>
      </c>
      <c r="S544" s="182" t="s">
        <v>5246</v>
      </c>
      <c r="T544" s="177" t="s">
        <v>5337</v>
      </c>
      <c r="U544" s="177">
        <f>UDV.crops.P_avail</f>
        <v>0.95</v>
      </c>
      <c r="W544" s="182" t="s">
        <v>5336</v>
      </c>
      <c r="X544" s="183">
        <f>E596/1000</f>
        <v>1195.5356549500459</v>
      </c>
      <c r="Y544" s="182" t="s">
        <v>5249</v>
      </c>
      <c r="Z544" s="177" t="s">
        <v>5337</v>
      </c>
      <c r="AA544" s="177">
        <f>UDV.crops.P_avail</f>
        <v>0.95</v>
      </c>
    </row>
    <row r="545" spans="2:27" x14ac:dyDescent="0.3">
      <c r="B545" s="99" t="s">
        <v>5710</v>
      </c>
      <c r="C545" s="147">
        <f t="shared" si="18"/>
        <v>1</v>
      </c>
      <c r="D545" t="s">
        <v>2442</v>
      </c>
      <c r="E545" s="99">
        <f t="shared" si="19"/>
        <v>1</v>
      </c>
      <c r="F545" s="146" t="s">
        <v>2442</v>
      </c>
      <c r="G545"/>
      <c r="H545" s="235" t="s">
        <v>7038</v>
      </c>
      <c r="K545" s="146"/>
      <c r="L545"/>
      <c r="P545"/>
      <c r="Q545" s="177" t="s">
        <v>5338</v>
      </c>
      <c r="R545" s="188">
        <f>U560</f>
        <v>9.9467689366006411</v>
      </c>
      <c r="S545" s="177" t="s">
        <v>2414</v>
      </c>
      <c r="T545" s="177" t="s">
        <v>5339</v>
      </c>
      <c r="U545" s="177">
        <f>UDV.crops.K_avail</f>
        <v>1</v>
      </c>
      <c r="W545" s="177" t="s">
        <v>5338</v>
      </c>
      <c r="X545" s="188">
        <f>AA560</f>
        <v>13.114072019170418</v>
      </c>
      <c r="Y545" s="177" t="s">
        <v>2414</v>
      </c>
      <c r="Z545" s="182" t="s">
        <v>5339</v>
      </c>
      <c r="AA545" s="177">
        <f>UDV.crops.K_avail</f>
        <v>1</v>
      </c>
    </row>
    <row r="546" spans="2:27" x14ac:dyDescent="0.3">
      <c r="B546" s="99" t="s">
        <v>5688</v>
      </c>
      <c r="C546" s="147">
        <f t="shared" si="18"/>
        <v>580</v>
      </c>
      <c r="D546" t="s">
        <v>5689</v>
      </c>
      <c r="E546" s="99">
        <f t="shared" si="19"/>
        <v>580</v>
      </c>
      <c r="F546" s="146" t="s">
        <v>5689</v>
      </c>
      <c r="G546"/>
      <c r="H546" s="235" t="s">
        <v>7007</v>
      </c>
      <c r="K546" s="146"/>
      <c r="L546"/>
      <c r="P546"/>
      <c r="Q546" s="177" t="s">
        <v>5340</v>
      </c>
      <c r="R546" s="188">
        <f>U561</f>
        <v>6.387925976174329</v>
      </c>
      <c r="S546" s="177" t="s">
        <v>2414</v>
      </c>
      <c r="T546" s="184" t="s">
        <v>5341</v>
      </c>
      <c r="U546" s="150"/>
      <c r="W546" s="177" t="s">
        <v>5340</v>
      </c>
      <c r="X546" s="188">
        <f>AA561</f>
        <v>27.562920054201012</v>
      </c>
      <c r="Y546" s="177" t="s">
        <v>2414</v>
      </c>
      <c r="Z546" s="375" t="s">
        <v>5341</v>
      </c>
      <c r="AA546" s="185"/>
    </row>
    <row r="547" spans="2:27" x14ac:dyDescent="0.3">
      <c r="B547" s="99" t="s">
        <v>5701</v>
      </c>
      <c r="C547" s="147">
        <f t="shared" si="18"/>
        <v>340</v>
      </c>
      <c r="D547" t="s">
        <v>971</v>
      </c>
      <c r="E547" s="99">
        <f t="shared" si="19"/>
        <v>340</v>
      </c>
      <c r="F547" s="146" t="s">
        <v>971</v>
      </c>
      <c r="G547"/>
      <c r="H547" s="235" t="s">
        <v>7008</v>
      </c>
      <c r="K547" s="146"/>
      <c r="L547"/>
      <c r="P547"/>
      <c r="Q547" s="177" t="s">
        <v>5342</v>
      </c>
      <c r="R547" s="188">
        <f>U562</f>
        <v>9.7063764856577084</v>
      </c>
      <c r="S547" s="177" t="s">
        <v>2414</v>
      </c>
      <c r="T547" s="185" t="s">
        <v>5343</v>
      </c>
      <c r="U547" s="185" t="str">
        <f>UDV.crops.apply_for</f>
        <v>N</v>
      </c>
      <c r="W547" s="177" t="s">
        <v>5342</v>
      </c>
      <c r="X547" s="188">
        <f>AA562</f>
        <v>27.563054669418239</v>
      </c>
      <c r="Y547" s="177" t="s">
        <v>2414</v>
      </c>
      <c r="Z547" s="185" t="s">
        <v>5343</v>
      </c>
      <c r="AA547" s="185" t="str">
        <f>UDV.crops.apply_for</f>
        <v>N</v>
      </c>
    </row>
    <row r="548" spans="2:27" x14ac:dyDescent="0.3">
      <c r="B548" s="99" t="s">
        <v>5738</v>
      </c>
      <c r="C548" s="147">
        <f t="shared" si="18"/>
        <v>1</v>
      </c>
      <c r="D548"/>
      <c r="E548" s="99">
        <f t="shared" si="19"/>
        <v>1</v>
      </c>
      <c r="F548" s="146" t="s">
        <v>2442</v>
      </c>
      <c r="G548"/>
      <c r="H548" s="235" t="s">
        <v>7039</v>
      </c>
      <c r="K548" s="146"/>
      <c r="L548"/>
      <c r="P548"/>
      <c r="Q548" s="186" t="s">
        <v>5344</v>
      </c>
      <c r="R548" s="399">
        <f>R545*U543</f>
        <v>9.4494304897706094</v>
      </c>
      <c r="S548" s="186" t="s">
        <v>2414</v>
      </c>
      <c r="T548" s="989" t="s">
        <v>5345</v>
      </c>
      <c r="U548" s="990">
        <f>U551*S537</f>
        <v>195</v>
      </c>
      <c r="W548" s="186" t="s">
        <v>5344</v>
      </c>
      <c r="X548" s="187">
        <f>X545*AA543</f>
        <v>12.458368418211897</v>
      </c>
      <c r="Y548" s="186" t="s">
        <v>2414</v>
      </c>
      <c r="Z548" s="989" t="s">
        <v>5345</v>
      </c>
      <c r="AA548" s="989">
        <f>AA551</f>
        <v>195</v>
      </c>
    </row>
    <row r="549" spans="2:27" x14ac:dyDescent="0.3">
      <c r="B549" s="99" t="s">
        <v>5702</v>
      </c>
      <c r="C549" s="147">
        <f t="shared" si="18"/>
        <v>1</v>
      </c>
      <c r="D549"/>
      <c r="E549" s="99">
        <f t="shared" si="19"/>
        <v>1</v>
      </c>
      <c r="F549" s="146" t="s">
        <v>2442</v>
      </c>
      <c r="G549"/>
      <c r="H549" s="235" t="s">
        <v>1325</v>
      </c>
      <c r="K549" s="146"/>
      <c r="L549"/>
      <c r="P549"/>
      <c r="Q549" s="177" t="s">
        <v>5347</v>
      </c>
      <c r="R549" s="188">
        <f>R546*U544</f>
        <v>6.0685296773656123</v>
      </c>
      <c r="S549" s="177" t="s">
        <v>2414</v>
      </c>
      <c r="T549" s="989" t="s">
        <v>5348</v>
      </c>
      <c r="U549" s="990">
        <f>U558/S538</f>
        <v>24.017467248908297</v>
      </c>
      <c r="W549" s="177" t="s">
        <v>5347</v>
      </c>
      <c r="X549" s="189">
        <f>X546*AA544</f>
        <v>26.184774051490962</v>
      </c>
      <c r="Y549" s="177" t="s">
        <v>2414</v>
      </c>
      <c r="Z549" s="989" t="s">
        <v>5348</v>
      </c>
      <c r="AA549" s="990">
        <f>AA558/S538</f>
        <v>24.017467248908297</v>
      </c>
    </row>
    <row r="550" spans="2:27" x14ac:dyDescent="0.3">
      <c r="B550" s="99" t="s">
        <v>5739</v>
      </c>
      <c r="C550" s="147">
        <f t="shared" si="18"/>
        <v>2</v>
      </c>
      <c r="D550" t="s">
        <v>2971</v>
      </c>
      <c r="E550" s="201">
        <f t="shared" si="19"/>
        <v>2</v>
      </c>
      <c r="F550" s="146" t="s">
        <v>2971</v>
      </c>
      <c r="G550"/>
      <c r="H550" s="235" t="s">
        <v>7040</v>
      </c>
      <c r="K550" s="146"/>
      <c r="L550"/>
      <c r="P550"/>
      <c r="Q550" s="182" t="s">
        <v>5349</v>
      </c>
      <c r="R550" s="191">
        <f>R547*U545</f>
        <v>9.7063764856577084</v>
      </c>
      <c r="S550" s="182" t="s">
        <v>2414</v>
      </c>
      <c r="T550" s="991" t="s">
        <v>5350</v>
      </c>
      <c r="U550" s="992">
        <f>U559/S539</f>
        <v>74.380165289256198</v>
      </c>
      <c r="W550" s="182" t="s">
        <v>5349</v>
      </c>
      <c r="X550" s="190">
        <f>X547*AA545</f>
        <v>27.563054669418239</v>
      </c>
      <c r="Y550" s="182" t="s">
        <v>2414</v>
      </c>
      <c r="Z550" s="991" t="s">
        <v>5350</v>
      </c>
      <c r="AA550" s="993">
        <f>AA559/S539</f>
        <v>74.380165289256198</v>
      </c>
    </row>
    <row r="551" spans="2:27" x14ac:dyDescent="0.3">
      <c r="B551" s="99" t="s">
        <v>5732</v>
      </c>
      <c r="C551" s="147" t="str">
        <f t="shared" si="18"/>
        <v>Injection</v>
      </c>
      <c r="D551" t="s">
        <v>7042</v>
      </c>
      <c r="E551" s="165" t="str">
        <f t="shared" si="19"/>
        <v>Injection</v>
      </c>
      <c r="F551" s="146" t="s">
        <v>7042</v>
      </c>
      <c r="G551"/>
      <c r="H551" s="235" t="s">
        <v>7041</v>
      </c>
      <c r="K551" s="146"/>
      <c r="L551"/>
      <c r="P551"/>
      <c r="Q551" s="177" t="s">
        <v>5351</v>
      </c>
      <c r="R551" s="193">
        <f>U551/R548</f>
        <v>20.636164286418676</v>
      </c>
      <c r="S551" s="177" t="s">
        <v>5352</v>
      </c>
      <c r="T551" s="186" t="s">
        <v>5345</v>
      </c>
      <c r="U551" s="186">
        <f>UDV.crops.N_need</f>
        <v>195</v>
      </c>
      <c r="W551" s="177" t="s">
        <v>5351</v>
      </c>
      <c r="X551" s="193">
        <f>AA551/X548</f>
        <v>15.652129833866931</v>
      </c>
      <c r="Y551" s="177" t="s">
        <v>5358</v>
      </c>
      <c r="Z551" s="186" t="s">
        <v>5345</v>
      </c>
      <c r="AA551" s="186">
        <f>UDV.crops.N_need</f>
        <v>195</v>
      </c>
    </row>
    <row r="552" spans="2:27" x14ac:dyDescent="0.3">
      <c r="B552" s="99"/>
      <c r="C552" s="82"/>
      <c r="D552" s="82"/>
      <c r="E552" s="92"/>
      <c r="F552" s="146"/>
      <c r="G552"/>
      <c r="H552" s="253" t="s">
        <v>349</v>
      </c>
      <c r="I552" s="150"/>
      <c r="J552" s="150"/>
      <c r="K552" s="151"/>
      <c r="L552"/>
      <c r="P552"/>
      <c r="U552"/>
      <c r="W552"/>
    </row>
    <row r="553" spans="2:27" x14ac:dyDescent="0.3">
      <c r="B553" s="175" t="s">
        <v>7115</v>
      </c>
      <c r="C553" s="147"/>
      <c r="D553"/>
      <c r="E553" s="99"/>
      <c r="F553" s="146"/>
      <c r="G553"/>
      <c r="H553"/>
      <c r="K553"/>
      <c r="L553"/>
      <c r="P553"/>
      <c r="U553"/>
      <c r="W553"/>
    </row>
    <row r="554" spans="2:27" x14ac:dyDescent="0.3">
      <c r="B554" s="143" t="s">
        <v>2663</v>
      </c>
      <c r="C554" s="147"/>
      <c r="D554"/>
      <c r="E554" s="99"/>
      <c r="F554" s="146"/>
      <c r="G554"/>
      <c r="H554"/>
      <c r="K554"/>
      <c r="L554"/>
      <c r="P554"/>
      <c r="U554"/>
      <c r="W554"/>
    </row>
    <row r="555" spans="2:27" x14ac:dyDescent="0.3">
      <c r="B555" s="99" t="s">
        <v>6407</v>
      </c>
      <c r="C555" s="147">
        <f>VLOOKUP(B555,$R:$U,3,FALSE)</f>
        <v>27.497424960787516</v>
      </c>
      <c r="D555" t="s">
        <v>5385</v>
      </c>
      <c r="E555" s="178">
        <f>C555</f>
        <v>27.497424960787516</v>
      </c>
      <c r="F555" s="146" t="s">
        <v>5385</v>
      </c>
      <c r="G555"/>
      <c r="H555"/>
      <c r="K555"/>
      <c r="L555"/>
      <c r="P555"/>
      <c r="U555"/>
      <c r="W555"/>
    </row>
    <row r="556" spans="2:27" x14ac:dyDescent="0.3">
      <c r="B556" s="99" t="s">
        <v>6409</v>
      </c>
      <c r="C556" s="147">
        <f>VLOOKUP(B556,$R:$U,3,FALSE)</f>
        <v>940.31230973063862</v>
      </c>
      <c r="D556" t="s">
        <v>5323</v>
      </c>
      <c r="E556" s="178">
        <f>C556</f>
        <v>940.31230973063862</v>
      </c>
      <c r="F556" s="146" t="s">
        <v>5323</v>
      </c>
      <c r="G556"/>
      <c r="H556"/>
      <c r="K556"/>
      <c r="L556"/>
      <c r="P556"/>
      <c r="U556"/>
      <c r="W556"/>
    </row>
    <row r="557" spans="2:27" x14ac:dyDescent="0.3">
      <c r="B557" s="99" t="s">
        <v>6390</v>
      </c>
      <c r="C557" s="205">
        <f>VLOOKUP(B557,$R:$U, 3, FALSE)</f>
        <v>8.2492274882362544</v>
      </c>
      <c r="D557" t="s">
        <v>2472</v>
      </c>
      <c r="E557" s="178">
        <f>C557</f>
        <v>8.2492274882362544</v>
      </c>
      <c r="F557" s="146" t="s">
        <v>2710</v>
      </c>
      <c r="G557"/>
      <c r="H557"/>
      <c r="K557"/>
      <c r="L557"/>
      <c r="P557"/>
      <c r="U557"/>
      <c r="W557"/>
    </row>
    <row r="558" spans="2:27" x14ac:dyDescent="0.3">
      <c r="B558" s="99"/>
      <c r="C558" s="82"/>
      <c r="D558" s="82"/>
      <c r="E558" s="92"/>
      <c r="F558" s="146"/>
      <c r="G558"/>
      <c r="L558"/>
      <c r="P558"/>
      <c r="Q558" s="177" t="s">
        <v>5353</v>
      </c>
      <c r="R558" s="193">
        <f>U558/R549</f>
        <v>9.0631508658742934</v>
      </c>
      <c r="S558" s="177" t="s">
        <v>5352</v>
      </c>
      <c r="T558" s="177" t="s">
        <v>5354</v>
      </c>
      <c r="U558" s="177">
        <f>UDV.crops.P_need</f>
        <v>55</v>
      </c>
      <c r="W558" s="177" t="s">
        <v>5353</v>
      </c>
      <c r="X558" s="193">
        <f>AA558/X549</f>
        <v>2.1004573074354367</v>
      </c>
      <c r="Y558" s="177" t="s">
        <v>5358</v>
      </c>
      <c r="Z558" s="177" t="s">
        <v>5354</v>
      </c>
      <c r="AA558" s="177">
        <f>UDV.crops.P_need</f>
        <v>55</v>
      </c>
    </row>
    <row r="559" spans="2:27" x14ac:dyDescent="0.3">
      <c r="B559" s="175" t="s">
        <v>6380</v>
      </c>
      <c r="D559"/>
      <c r="E559" s="99"/>
      <c r="F559" s="146"/>
      <c r="G559"/>
      <c r="H559"/>
      <c r="K559"/>
      <c r="L559"/>
      <c r="P559"/>
      <c r="Q559" s="177" t="s">
        <v>5355</v>
      </c>
      <c r="R559" s="193">
        <f>U559/R550</f>
        <v>9.2722552162473182</v>
      </c>
      <c r="S559" s="177" t="s">
        <v>5352</v>
      </c>
      <c r="T559" s="182" t="s">
        <v>5356</v>
      </c>
      <c r="U559" s="182">
        <f>UDV.crops.K_need</f>
        <v>90</v>
      </c>
      <c r="W559" s="177" t="s">
        <v>5355</v>
      </c>
      <c r="X559" s="193">
        <f>AA559/X550</f>
        <v>3.2652404125532866</v>
      </c>
      <c r="Y559" s="177" t="s">
        <v>5358</v>
      </c>
      <c r="Z559" s="182" t="s">
        <v>5356</v>
      </c>
      <c r="AA559" s="182">
        <f>UDV.crops.K_need</f>
        <v>90</v>
      </c>
    </row>
    <row r="560" spans="2:27" x14ac:dyDescent="0.3">
      <c r="B560" s="143" t="s">
        <v>2663</v>
      </c>
      <c r="C560" s="144" t="s">
        <v>565</v>
      </c>
      <c r="D560" s="144" t="s">
        <v>6943</v>
      </c>
      <c r="E560" s="143" t="s">
        <v>565</v>
      </c>
      <c r="F560" s="145" t="s">
        <v>6944</v>
      </c>
      <c r="G560" s="1222" t="s">
        <v>3007</v>
      </c>
      <c r="H560" s="1215" t="s">
        <v>6993</v>
      </c>
      <c r="I560" s="142"/>
      <c r="J560" s="141"/>
      <c r="K560"/>
      <c r="L560"/>
      <c r="P560"/>
      <c r="Q560" s="185" t="s">
        <v>5357</v>
      </c>
      <c r="R560" s="192">
        <f>IF(U547="P",VLOOKUP("Amount of manure needed for P2O5",Q551:R559,2,FALSE),VLOOKUP("Amount of manure needed for N",Q551:R559,2,FALSE))</f>
        <v>20.636164286418676</v>
      </c>
      <c r="S560" s="185" t="s">
        <v>5358</v>
      </c>
      <c r="T560" s="177" t="s">
        <v>5359</v>
      </c>
      <c r="U560" s="378">
        <f>E576</f>
        <v>9.9467689366006411</v>
      </c>
      <c r="W560" s="185" t="s">
        <v>5357</v>
      </c>
      <c r="X560" s="192">
        <f>IF(AA547="P",VLOOKUP("Amount of manure needed for P2O5",W551:X559,2,FALSE),VLOOKUP("Amount of manure needed for N",W551:X559,2,FALSE))</f>
        <v>15.652129833866931</v>
      </c>
      <c r="Y560" s="185" t="s">
        <v>5358</v>
      </c>
      <c r="Z560" s="177" t="s">
        <v>5359</v>
      </c>
      <c r="AA560" s="378">
        <f>E597</f>
        <v>13.114072019170418</v>
      </c>
    </row>
    <row r="561" spans="2:27" x14ac:dyDescent="0.3">
      <c r="B561" s="99" t="s">
        <v>6401</v>
      </c>
      <c r="C561" s="147">
        <f>VLOOKUP(B561,$R:$U,3,FALSE)</f>
        <v>182.5</v>
      </c>
      <c r="D561" t="s">
        <v>5121</v>
      </c>
      <c r="E561" s="201">
        <f>UC.year_to_day/C561</f>
        <v>2</v>
      </c>
      <c r="F561" s="146" t="s">
        <v>7043</v>
      </c>
      <c r="G561" s="42" t="s">
        <v>7131</v>
      </c>
      <c r="H561" s="92" t="s">
        <v>4838</v>
      </c>
      <c r="I561" s="1216" t="s">
        <v>2710</v>
      </c>
      <c r="J561" s="285">
        <f>(SUM(E563:E565)*UDV.OPEX_labor.tractor_stationary)+(SUM(E566:E568)*UDV.OPEX_labor.tractor_active)+E557</f>
        <v>9.1441727187415758</v>
      </c>
      <c r="K561"/>
      <c r="L561"/>
      <c r="P561"/>
      <c r="Q561" s="194" t="s">
        <v>5360</v>
      </c>
      <c r="R561" s="195">
        <f>R548*R560</f>
        <v>195</v>
      </c>
      <c r="S561" s="194" t="s">
        <v>5361</v>
      </c>
      <c r="T561" s="177" t="s">
        <v>5362</v>
      </c>
      <c r="U561" s="193">
        <f>E577</f>
        <v>6.387925976174329</v>
      </c>
      <c r="W561" s="194" t="s">
        <v>5360</v>
      </c>
      <c r="X561" s="379">
        <f>X548*X560</f>
        <v>195</v>
      </c>
      <c r="Y561" s="194" t="s">
        <v>7160</v>
      </c>
      <c r="Z561" s="177" t="s">
        <v>5362</v>
      </c>
      <c r="AA561" s="193">
        <f>E598</f>
        <v>27.562920054201012</v>
      </c>
    </row>
    <row r="562" spans="2:27" x14ac:dyDescent="0.3">
      <c r="B562" s="99" t="s">
        <v>5713</v>
      </c>
      <c r="C562" s="147">
        <f>VLOOKUP(B562,$R:$U,3,FALSE)</f>
        <v>0.17513605293646226</v>
      </c>
      <c r="D562" t="s">
        <v>6085</v>
      </c>
      <c r="E562" s="718">
        <f>C562*E561</f>
        <v>0.35027210587292451</v>
      </c>
      <c r="F562" s="146" t="s">
        <v>2710</v>
      </c>
      <c r="G562" s="42" t="s">
        <v>7132</v>
      </c>
      <c r="H562" s="1217" t="s">
        <v>5444</v>
      </c>
      <c r="I562" s="1216" t="s">
        <v>6085</v>
      </c>
      <c r="J562" s="285">
        <f>(SUM(E584:E586)*UDV.OPEX_labor.tractor_stationary)+(SUM(E587:E589)*UDV.OPEX_labor.tractor_active)</f>
        <v>14.618139702427801</v>
      </c>
      <c r="K562"/>
      <c r="L562"/>
      <c r="P562"/>
      <c r="Q562" s="194" t="s">
        <v>5363</v>
      </c>
      <c r="R562" s="195">
        <f>R549*R560</f>
        <v>125.2311753991241</v>
      </c>
      <c r="S562" s="194" t="s">
        <v>5361</v>
      </c>
      <c r="T562" s="182" t="s">
        <v>5364</v>
      </c>
      <c r="U562" s="196">
        <f>E578</f>
        <v>9.7063764856577084</v>
      </c>
      <c r="W562" s="194" t="s">
        <v>5363</v>
      </c>
      <c r="X562" s="379">
        <f>X549*X560</f>
        <v>409.84748312440638</v>
      </c>
      <c r="Y562" s="194" t="s">
        <v>7160</v>
      </c>
      <c r="Z562" s="182" t="s">
        <v>5364</v>
      </c>
      <c r="AA562" s="196">
        <f>E599</f>
        <v>27.563054669418239</v>
      </c>
    </row>
    <row r="563" spans="2:27" x14ac:dyDescent="0.3">
      <c r="B563" s="99" t="s">
        <v>6543</v>
      </c>
      <c r="C563" s="204">
        <f>C562</f>
        <v>0.17513605293646226</v>
      </c>
      <c r="D563" s="142" t="s">
        <v>6085</v>
      </c>
      <c r="E563" s="178">
        <f>C563*E561</f>
        <v>0.35027210587292451</v>
      </c>
      <c r="F563" s="146" t="s">
        <v>2710</v>
      </c>
      <c r="G563" s="42" t="s">
        <v>7133</v>
      </c>
      <c r="H563" s="1218" t="s">
        <v>5445</v>
      </c>
      <c r="I563" s="1216" t="s">
        <v>6995</v>
      </c>
      <c r="J563" s="285">
        <f>SUM(J561:J562)</f>
        <v>23.762312421169376</v>
      </c>
      <c r="K563"/>
      <c r="L563"/>
      <c r="P563"/>
      <c r="Q563" s="197" t="s">
        <v>5365</v>
      </c>
      <c r="R563" s="198">
        <f>R550*R560</f>
        <v>200.30237978386361</v>
      </c>
      <c r="S563" s="197" t="s">
        <v>5361</v>
      </c>
      <c r="U563"/>
      <c r="W563" s="197" t="s">
        <v>5365</v>
      </c>
      <c r="X563" s="380">
        <f>X550*X560</f>
        <v>431.42051030370646</v>
      </c>
      <c r="Y563" s="197" t="s">
        <v>7160</v>
      </c>
    </row>
    <row r="564" spans="2:27" x14ac:dyDescent="0.3">
      <c r="B564" s="99" t="s">
        <v>6544</v>
      </c>
      <c r="C564" s="205">
        <f>C562</f>
        <v>0.17513605293646226</v>
      </c>
      <c r="D564" t="s">
        <v>6085</v>
      </c>
      <c r="E564" s="178">
        <f>C564*E561</f>
        <v>0.35027210587292451</v>
      </c>
      <c r="F564" s="146" t="s">
        <v>2710</v>
      </c>
      <c r="G564" s="42" t="s">
        <v>7134</v>
      </c>
      <c r="H564" s="1219" t="s">
        <v>5446</v>
      </c>
      <c r="I564" s="1220" t="s">
        <v>5447</v>
      </c>
      <c r="J564" s="1221">
        <f>J561+(J562/UDV.anaer_lagoon.sludge_time)</f>
        <v>10.605986688984355</v>
      </c>
      <c r="K564"/>
      <c r="L564"/>
      <c r="P564"/>
      <c r="Q564" s="177" t="s">
        <v>5366</v>
      </c>
      <c r="R564" s="188">
        <f>IF(U551&lt;R561,U551,R561)</f>
        <v>195</v>
      </c>
      <c r="S564" s="177" t="s">
        <v>5361</v>
      </c>
      <c r="T564" s="199" t="s">
        <v>5367</v>
      </c>
      <c r="U564" s="177"/>
      <c r="W564" s="177" t="s">
        <v>5366</v>
      </c>
      <c r="X564" s="188">
        <f>IF(AA551&lt;X561,AA551,X561)</f>
        <v>195</v>
      </c>
      <c r="Y564" s="177" t="s">
        <v>7161</v>
      </c>
      <c r="Z564" s="177"/>
      <c r="AA564" s="177"/>
    </row>
    <row r="565" spans="2:27" x14ac:dyDescent="0.3">
      <c r="B565" s="99" t="s">
        <v>6545</v>
      </c>
      <c r="C565" s="205">
        <f>C562</f>
        <v>0.17513605293646226</v>
      </c>
      <c r="D565" t="s">
        <v>6085</v>
      </c>
      <c r="E565" s="178">
        <f>C565*E561</f>
        <v>0.35027210587292451</v>
      </c>
      <c r="F565" s="146" t="s">
        <v>2710</v>
      </c>
      <c r="G565"/>
      <c r="H565"/>
      <c r="K565"/>
      <c r="L565"/>
      <c r="P565"/>
      <c r="Q565" s="177" t="s">
        <v>5368</v>
      </c>
      <c r="R565" s="188">
        <f>IF(U558&lt;R562,U558,R562)</f>
        <v>55</v>
      </c>
      <c r="S565" s="177" t="s">
        <v>5361</v>
      </c>
      <c r="T565" s="199" t="s">
        <v>5369</v>
      </c>
      <c r="U565" s="177"/>
      <c r="W565" s="177" t="s">
        <v>5368</v>
      </c>
      <c r="X565" s="188">
        <f>IF(AA558&lt;X562,AA558,X562)</f>
        <v>55</v>
      </c>
      <c r="Y565" s="177" t="s">
        <v>7161</v>
      </c>
      <c r="Z565" s="177"/>
      <c r="AA565" s="177"/>
    </row>
    <row r="566" spans="2:27" x14ac:dyDescent="0.3">
      <c r="B566" s="99" t="s">
        <v>6546</v>
      </c>
      <c r="C566" s="205">
        <f>C562*UDV.dhl.application_maneuver_factor</f>
        <v>0.20140646087693156</v>
      </c>
      <c r="D566" t="s">
        <v>6085</v>
      </c>
      <c r="E566" s="178">
        <f>C566*E561</f>
        <v>0.40281292175386313</v>
      </c>
      <c r="F566" s="146" t="s">
        <v>2710</v>
      </c>
      <c r="G566"/>
      <c r="H566"/>
      <c r="K566"/>
      <c r="L566"/>
      <c r="P566"/>
      <c r="Q566" s="182" t="s">
        <v>5370</v>
      </c>
      <c r="R566" s="191">
        <f>IF(U559&lt;R563,U559,R563)</f>
        <v>90</v>
      </c>
      <c r="S566" s="182" t="s">
        <v>5361</v>
      </c>
      <c r="T566" s="199" t="s">
        <v>5371</v>
      </c>
      <c r="U566" s="177"/>
      <c r="W566" s="182" t="s">
        <v>5370</v>
      </c>
      <c r="X566" s="191">
        <f>IF(AA559&lt;X563,AA559,X563)</f>
        <v>90</v>
      </c>
      <c r="Y566" s="182" t="s">
        <v>7161</v>
      </c>
      <c r="Z566" s="177"/>
      <c r="AA566" s="177"/>
    </row>
    <row r="567" spans="2:27" x14ac:dyDescent="0.3">
      <c r="B567" s="99" t="s">
        <v>6547</v>
      </c>
      <c r="C567" s="205">
        <f>C562*UDV.dhl.hose_mover_utilization</f>
        <v>0.13135203970234668</v>
      </c>
      <c r="D567" t="s">
        <v>6085</v>
      </c>
      <c r="E567" s="178">
        <f>C567*E561</f>
        <v>0.26270407940469337</v>
      </c>
      <c r="F567" s="146" t="s">
        <v>2710</v>
      </c>
      <c r="G567"/>
      <c r="H567"/>
      <c r="K567"/>
      <c r="L567"/>
      <c r="P567"/>
      <c r="Q567" s="177" t="s">
        <v>5372</v>
      </c>
      <c r="R567" s="189">
        <f>UDV.econ_fertilizer.N</f>
        <v>0.53</v>
      </c>
      <c r="S567" s="177" t="s">
        <v>2299</v>
      </c>
      <c r="T567" s="177"/>
      <c r="U567" s="177"/>
      <c r="W567" s="177" t="s">
        <v>5372</v>
      </c>
      <c r="X567" s="189">
        <f>UDV.econ_fertilizer.N</f>
        <v>0.53</v>
      </c>
      <c r="Y567" s="177" t="s">
        <v>2299</v>
      </c>
      <c r="Z567" s="177"/>
      <c r="AA567" s="177"/>
    </row>
    <row r="568" spans="2:27" x14ac:dyDescent="0.3">
      <c r="B568" s="99" t="s">
        <v>6548</v>
      </c>
      <c r="C568" s="209">
        <f>C562*UDV.dhl.pickup_utilization</f>
        <v>2.6270407940469337E-2</v>
      </c>
      <c r="D568" s="150" t="s">
        <v>6085</v>
      </c>
      <c r="E568" s="718">
        <f>C568*E561</f>
        <v>5.2540815880938674E-2</v>
      </c>
      <c r="F568" s="146" t="s">
        <v>2710</v>
      </c>
      <c r="G568"/>
      <c r="H568"/>
      <c r="K568"/>
      <c r="L568"/>
      <c r="P568"/>
      <c r="Q568" s="177" t="s">
        <v>5373</v>
      </c>
      <c r="R568" s="189">
        <f>UDV.econ_fertilizer.P2O5</f>
        <v>0.53</v>
      </c>
      <c r="S568" s="177" t="s">
        <v>2299</v>
      </c>
      <c r="T568" s="177"/>
      <c r="U568" s="177"/>
      <c r="W568" s="177" t="s">
        <v>5373</v>
      </c>
      <c r="X568" s="189">
        <f>UDV.econ_fertilizer.P2O5</f>
        <v>0.53</v>
      </c>
      <c r="Y568" s="177" t="s">
        <v>2299</v>
      </c>
      <c r="Z568" s="177"/>
      <c r="AA568" s="177"/>
    </row>
    <row r="569" spans="2:27" x14ac:dyDescent="0.3">
      <c r="B569" s="99" t="s">
        <v>5714</v>
      </c>
      <c r="C569" s="147">
        <f t="shared" ref="C569:C578" si="20">VLOOKUP(B569,$R:$U,3,FALSE)</f>
        <v>3.1524489528563207</v>
      </c>
      <c r="D569" t="s">
        <v>2489</v>
      </c>
      <c r="E569" s="178">
        <f>C569*E561</f>
        <v>6.3048979057126413</v>
      </c>
      <c r="F569" s="146" t="s">
        <v>7135</v>
      </c>
      <c r="G569"/>
      <c r="H569"/>
      <c r="K569"/>
      <c r="L569"/>
      <c r="P569"/>
      <c r="Q569" s="182" t="s">
        <v>5374</v>
      </c>
      <c r="R569" s="190">
        <f>UDV.econ_fertilizer.K2O</f>
        <v>0.45</v>
      </c>
      <c r="S569" s="182" t="s">
        <v>2299</v>
      </c>
      <c r="T569" s="177"/>
      <c r="U569" s="177"/>
      <c r="W569" s="182" t="s">
        <v>5374</v>
      </c>
      <c r="X569" s="190">
        <f>UDV.econ_fertilizer.K2O</f>
        <v>0.45</v>
      </c>
      <c r="Y569" s="182" t="s">
        <v>2299</v>
      </c>
      <c r="Z569" s="177"/>
      <c r="AA569" s="177"/>
    </row>
    <row r="570" spans="2:27" x14ac:dyDescent="0.3">
      <c r="B570" s="99" t="s">
        <v>5715</v>
      </c>
      <c r="C570" s="147">
        <f t="shared" si="20"/>
        <v>1.313520397023467</v>
      </c>
      <c r="D570" t="s">
        <v>2489</v>
      </c>
      <c r="E570" s="178">
        <f>C570*E561</f>
        <v>2.627040794046934</v>
      </c>
      <c r="F570" s="146" t="s">
        <v>7135</v>
      </c>
      <c r="G570"/>
      <c r="H570"/>
      <c r="K570"/>
      <c r="L570"/>
      <c r="P570"/>
      <c r="Q570" s="177" t="s">
        <v>5375</v>
      </c>
      <c r="R570" s="193">
        <f>R564*R567</f>
        <v>103.35000000000001</v>
      </c>
      <c r="S570" s="177" t="s">
        <v>5376</v>
      </c>
      <c r="T570" s="177"/>
      <c r="U570" s="177"/>
      <c r="W570" s="177" t="s">
        <v>5375</v>
      </c>
      <c r="X570" s="193">
        <f>X564*X567</f>
        <v>103.35000000000001</v>
      </c>
      <c r="Y570" s="177" t="s">
        <v>2813</v>
      </c>
      <c r="Z570" s="177"/>
      <c r="AA570" s="177"/>
    </row>
    <row r="571" spans="2:27" x14ac:dyDescent="0.3">
      <c r="B571" s="99" t="s">
        <v>5716</v>
      </c>
      <c r="C571" s="147">
        <f t="shared" si="20"/>
        <v>1.0508163176187735</v>
      </c>
      <c r="D571" t="s">
        <v>2489</v>
      </c>
      <c r="E571" s="178">
        <f>C571*E561</f>
        <v>2.101632635237547</v>
      </c>
      <c r="F571" s="146" t="s">
        <v>7135</v>
      </c>
      <c r="G571"/>
      <c r="H571"/>
      <c r="K571"/>
      <c r="L571"/>
      <c r="P571"/>
      <c r="Q571" s="177" t="s">
        <v>5377</v>
      </c>
      <c r="R571" s="193">
        <f>R565*R568</f>
        <v>29.150000000000002</v>
      </c>
      <c r="S571" s="177" t="s">
        <v>5376</v>
      </c>
      <c r="T571" s="177"/>
      <c r="U571" s="177"/>
      <c r="W571" s="177" t="s">
        <v>5377</v>
      </c>
      <c r="X571" s="193">
        <f>X565*X568</f>
        <v>29.150000000000002</v>
      </c>
      <c r="Y571" s="177" t="s">
        <v>2813</v>
      </c>
      <c r="Z571" s="177"/>
      <c r="AA571" s="177"/>
    </row>
    <row r="572" spans="2:27" x14ac:dyDescent="0.3">
      <c r="B572" s="99" t="s">
        <v>5740</v>
      </c>
      <c r="C572" s="147">
        <f t="shared" si="20"/>
        <v>25.52</v>
      </c>
      <c r="D572" t="s">
        <v>6549</v>
      </c>
      <c r="E572" s="178">
        <f t="shared" ref="E572:E573" si="21">C572*E566</f>
        <v>10.279785763158587</v>
      </c>
      <c r="F572" s="146" t="s">
        <v>7135</v>
      </c>
      <c r="G572"/>
      <c r="H572"/>
      <c r="K572"/>
      <c r="L572"/>
      <c r="P572"/>
      <c r="Q572" s="182" t="s">
        <v>5378</v>
      </c>
      <c r="R572" s="196">
        <f>R566*R569</f>
        <v>40.5</v>
      </c>
      <c r="S572" s="182" t="s">
        <v>5376</v>
      </c>
      <c r="T572" s="177"/>
      <c r="U572" s="177"/>
      <c r="W572" s="182" t="s">
        <v>5378</v>
      </c>
      <c r="X572" s="196">
        <f>X566*X569</f>
        <v>40.5</v>
      </c>
      <c r="Y572" s="182" t="s">
        <v>2813</v>
      </c>
      <c r="Z572" s="177"/>
      <c r="AA572" s="177"/>
    </row>
    <row r="573" spans="2:27" x14ac:dyDescent="0.3">
      <c r="B573" s="99" t="s">
        <v>5741</v>
      </c>
      <c r="C573" s="147">
        <f t="shared" si="20"/>
        <v>14.959999999999999</v>
      </c>
      <c r="D573" t="s">
        <v>6549</v>
      </c>
      <c r="E573" s="178">
        <f t="shared" si="21"/>
        <v>3.9300530278942127</v>
      </c>
      <c r="F573" s="146" t="s">
        <v>7135</v>
      </c>
      <c r="G573"/>
      <c r="H573"/>
      <c r="K573"/>
      <c r="L573"/>
      <c r="P573"/>
      <c r="Q573" s="185" t="s">
        <v>5379</v>
      </c>
      <c r="R573" s="202">
        <f>SUM(R570:R572)</f>
        <v>173</v>
      </c>
      <c r="S573" s="185" t="s">
        <v>5376</v>
      </c>
      <c r="T573" s="177"/>
      <c r="U573" s="177"/>
      <c r="W573" s="185" t="s">
        <v>5379</v>
      </c>
      <c r="X573" s="202">
        <f>SUM(X570:X572)</f>
        <v>173</v>
      </c>
      <c r="Y573" s="185" t="s">
        <v>2813</v>
      </c>
      <c r="Z573" s="177"/>
      <c r="AA573" s="177"/>
    </row>
    <row r="574" spans="2:27" x14ac:dyDescent="0.3">
      <c r="B574" s="99" t="s">
        <v>5717</v>
      </c>
      <c r="C574" s="147">
        <f t="shared" si="20"/>
        <v>0.15762244764281602</v>
      </c>
      <c r="D574" t="s">
        <v>2489</v>
      </c>
      <c r="E574" s="178">
        <f>C574*E561</f>
        <v>0.31524489528563204</v>
      </c>
      <c r="F574" s="146" t="s">
        <v>7135</v>
      </c>
      <c r="G574"/>
      <c r="H574"/>
      <c r="K574"/>
      <c r="L574"/>
      <c r="P574"/>
      <c r="Q574" s="185" t="s">
        <v>5380</v>
      </c>
      <c r="R574" s="202">
        <f>R573/R560</f>
        <v>8.3833408960528999</v>
      </c>
      <c r="S574" s="203" t="s">
        <v>2314</v>
      </c>
      <c r="T574" s="177"/>
      <c r="U574" s="177"/>
      <c r="W574" s="185" t="s">
        <v>5380</v>
      </c>
      <c r="X574" s="202">
        <f>X573/X560</f>
        <v>11.052808904362349</v>
      </c>
      <c r="Y574" s="203" t="s">
        <v>2314</v>
      </c>
      <c r="Z574" s="177"/>
      <c r="AA574" s="177"/>
    </row>
    <row r="575" spans="2:27" x14ac:dyDescent="0.3">
      <c r="B575" s="99" t="s">
        <v>6403</v>
      </c>
      <c r="C575" s="147">
        <f t="shared" si="20"/>
        <v>1193.3317430779252</v>
      </c>
      <c r="D575" t="s">
        <v>5910</v>
      </c>
      <c r="E575" s="164">
        <f>CONVERT(C575,"m^3","gal")*E561</f>
        <v>630489.79142604431</v>
      </c>
      <c r="F575" s="146" t="s">
        <v>5324</v>
      </c>
      <c r="G575"/>
      <c r="H575"/>
      <c r="K575"/>
      <c r="L575"/>
      <c r="P575"/>
      <c r="Q575" s="186" t="s">
        <v>5381</v>
      </c>
      <c r="R575" s="204">
        <f>R561-R564</f>
        <v>0</v>
      </c>
      <c r="S575" s="186" t="s">
        <v>5361</v>
      </c>
      <c r="T575" s="34"/>
      <c r="U575"/>
      <c r="W575" s="186" t="s">
        <v>5381</v>
      </c>
      <c r="X575" s="204">
        <f>X561-X564</f>
        <v>0</v>
      </c>
      <c r="Y575" s="186" t="s">
        <v>7161</v>
      </c>
    </row>
    <row r="576" spans="2:27" x14ac:dyDescent="0.3">
      <c r="B576" s="99" t="s">
        <v>6404</v>
      </c>
      <c r="C576" s="78">
        <f t="shared" si="20"/>
        <v>1.1918869662434635</v>
      </c>
      <c r="D576" t="s">
        <v>2413</v>
      </c>
      <c r="E576" s="201">
        <f>C576*S532/(S534*S536)</f>
        <v>9.9467689366006411</v>
      </c>
      <c r="F576" s="146" t="s">
        <v>2414</v>
      </c>
      <c r="G576"/>
      <c r="H576"/>
      <c r="K576"/>
      <c r="L576"/>
      <c r="P576"/>
      <c r="Q576" s="177" t="s">
        <v>5382</v>
      </c>
      <c r="R576" s="205">
        <f>R562-R565</f>
        <v>70.231175399124098</v>
      </c>
      <c r="S576" s="177" t="s">
        <v>5361</v>
      </c>
      <c r="T576" s="34"/>
      <c r="U576"/>
      <c r="W576" s="177" t="s">
        <v>5382</v>
      </c>
      <c r="X576" s="205">
        <f>X562-X565</f>
        <v>354.84748312440638</v>
      </c>
      <c r="Y576" s="177" t="s">
        <v>7161</v>
      </c>
    </row>
    <row r="577" spans="2:26" x14ac:dyDescent="0.3">
      <c r="B577" s="99" t="s">
        <v>6405</v>
      </c>
      <c r="C577" s="78">
        <f t="shared" si="20"/>
        <v>0.76544310628494927</v>
      </c>
      <c r="D577" t="s">
        <v>2413</v>
      </c>
      <c r="E577" s="201">
        <f>C577*S532/(S534*S536)</f>
        <v>6.387925976174329</v>
      </c>
      <c r="F577" s="146" t="s">
        <v>2414</v>
      </c>
      <c r="G577"/>
      <c r="H577"/>
      <c r="K577"/>
      <c r="L577"/>
      <c r="P577"/>
      <c r="Q577" s="182" t="s">
        <v>5383</v>
      </c>
      <c r="R577" s="209">
        <f>R563-R566</f>
        <v>110.30237978386361</v>
      </c>
      <c r="S577" s="182" t="s">
        <v>5361</v>
      </c>
      <c r="U577"/>
      <c r="W577" s="182" t="s">
        <v>5383</v>
      </c>
      <c r="X577" s="209">
        <f>X563-X566</f>
        <v>341.42051030370646</v>
      </c>
      <c r="Y577" s="182" t="s">
        <v>7161</v>
      </c>
    </row>
    <row r="578" spans="2:26" x14ac:dyDescent="0.3">
      <c r="B578" s="99" t="s">
        <v>6406</v>
      </c>
      <c r="C578" s="78">
        <f t="shared" si="20"/>
        <v>1.1630815691453258</v>
      </c>
      <c r="D578" t="s">
        <v>2413</v>
      </c>
      <c r="E578" s="201">
        <f>C578*S532/(S534*S536)</f>
        <v>9.7063764856577084</v>
      </c>
      <c r="F578" s="146" t="s">
        <v>2414</v>
      </c>
      <c r="G578"/>
      <c r="H578"/>
      <c r="K578"/>
      <c r="L578"/>
      <c r="P578"/>
      <c r="Q578" s="186" t="s">
        <v>5384</v>
      </c>
      <c r="R578" s="211">
        <f>R544/R560</f>
        <v>30.552663890207057</v>
      </c>
      <c r="S578" s="212" t="s">
        <v>5385</v>
      </c>
      <c r="U578"/>
      <c r="W578" s="186" t="s">
        <v>5384</v>
      </c>
      <c r="X578" s="211">
        <f>X544/X560</f>
        <v>76.381659725517579</v>
      </c>
      <c r="Y578" s="212" t="s">
        <v>7162</v>
      </c>
    </row>
    <row r="579" spans="2:26" x14ac:dyDescent="0.3">
      <c r="B579" s="99"/>
      <c r="D579"/>
      <c r="E579" s="99"/>
      <c r="F579" s="146"/>
      <c r="G579"/>
      <c r="H579"/>
      <c r="K579"/>
      <c r="L579"/>
      <c r="P579"/>
      <c r="Q579" s="177" t="s">
        <v>5386</v>
      </c>
      <c r="R579">
        <f>UDV.crops.acres_available</f>
        <v>100</v>
      </c>
      <c r="S579" s="177" t="s">
        <v>5385</v>
      </c>
      <c r="U579" s="219"/>
      <c r="W579" s="177" t="s">
        <v>5386</v>
      </c>
      <c r="X579" s="221">
        <f>UDV.crops.acres_available-R580</f>
        <v>69.447336109792943</v>
      </c>
      <c r="Y579" s="194" t="s">
        <v>7162</v>
      </c>
    </row>
    <row r="580" spans="2:26" x14ac:dyDescent="0.3">
      <c r="B580" s="175" t="s">
        <v>263</v>
      </c>
      <c r="D580"/>
      <c r="E580" s="99"/>
      <c r="F580" s="146"/>
      <c r="G580"/>
      <c r="H580"/>
      <c r="K580"/>
      <c r="L580"/>
      <c r="P580"/>
      <c r="Q580" s="177" t="s">
        <v>5387</v>
      </c>
      <c r="R580" s="221">
        <f>IF(R578&lt;R579,R578,R579)</f>
        <v>30.552663890207057</v>
      </c>
      <c r="S580" s="194" t="s">
        <v>5385</v>
      </c>
      <c r="U580"/>
      <c r="W580" s="177" t="s">
        <v>7163</v>
      </c>
      <c r="X580" s="221">
        <f>IF(X578&lt;X579,X578,X579)</f>
        <v>69.447336109792943</v>
      </c>
      <c r="Y580" s="194" t="s">
        <v>7162</v>
      </c>
    </row>
    <row r="581" spans="2:26" x14ac:dyDescent="0.3">
      <c r="B581" s="143" t="s">
        <v>2663</v>
      </c>
      <c r="C581" s="144" t="s">
        <v>565</v>
      </c>
      <c r="D581" s="144" t="s">
        <v>6943</v>
      </c>
      <c r="E581" s="143" t="s">
        <v>565</v>
      </c>
      <c r="F581" s="145" t="s">
        <v>6944</v>
      </c>
      <c r="G581"/>
      <c r="H581"/>
      <c r="K581"/>
      <c r="L581"/>
      <c r="P581"/>
      <c r="Q581" s="177" t="s">
        <v>5388</v>
      </c>
      <c r="R581" s="148">
        <f>R560*R579</f>
        <v>2063.6164286418675</v>
      </c>
      <c r="S581" s="177" t="s">
        <v>5246</v>
      </c>
      <c r="U581"/>
      <c r="W581" s="177" t="s">
        <v>5388</v>
      </c>
      <c r="X581" s="148">
        <f>X560*X579</f>
        <v>1086.9987214066743</v>
      </c>
      <c r="Y581" s="177" t="s">
        <v>7154</v>
      </c>
      <c r="Z581" s="34"/>
    </row>
    <row r="582" spans="2:26" x14ac:dyDescent="0.3">
      <c r="B582" s="99" t="s">
        <v>6416</v>
      </c>
      <c r="C582" s="382">
        <f>VLOOKUP(B582,$X:$AA,3,FALSE)</f>
        <v>10</v>
      </c>
      <c r="D582" t="s">
        <v>2669</v>
      </c>
      <c r="E582" s="99">
        <f>C582</f>
        <v>10</v>
      </c>
      <c r="F582" s="146" t="s">
        <v>2669</v>
      </c>
      <c r="G582"/>
      <c r="H582"/>
      <c r="K582"/>
      <c r="L582"/>
      <c r="P582"/>
      <c r="Q582" s="224" t="s">
        <v>5389</v>
      </c>
      <c r="R582" s="225">
        <f>IF(R544&gt;R581,R581,R544)</f>
        <v>630.48979142604435</v>
      </c>
      <c r="S582" s="226" t="s">
        <v>5246</v>
      </c>
      <c r="U582" s="219"/>
      <c r="W582" s="383" t="s">
        <v>5389</v>
      </c>
      <c r="X582" s="225">
        <f>IF(X544&gt;X581,X581,X544)</f>
        <v>1086.9987214066743</v>
      </c>
      <c r="Y582" s="226" t="s">
        <v>7154</v>
      </c>
    </row>
    <row r="583" spans="2:26" x14ac:dyDescent="0.3">
      <c r="B583" s="99" t="s">
        <v>5713</v>
      </c>
      <c r="C583" s="382">
        <f>VLOOKUP(B583,$X:$AA,3,FALSE)</f>
        <v>5.7213854021243842</v>
      </c>
      <c r="D583" t="s">
        <v>6085</v>
      </c>
      <c r="E583" s="311">
        <f>C583</f>
        <v>5.7213854021243842</v>
      </c>
      <c r="F583" s="146" t="s">
        <v>6085</v>
      </c>
      <c r="G583"/>
      <c r="H583"/>
      <c r="K583"/>
      <c r="L583"/>
      <c r="P583"/>
      <c r="Q583" s="185" t="s">
        <v>5390</v>
      </c>
      <c r="R583" s="227">
        <f>R544-R582</f>
        <v>0</v>
      </c>
      <c r="S583" s="228" t="s">
        <v>5246</v>
      </c>
      <c r="T583" s="34"/>
      <c r="U583"/>
      <c r="W583" s="381" t="s">
        <v>5390</v>
      </c>
      <c r="X583" s="227">
        <f>X544-X582</f>
        <v>108.53693354337156</v>
      </c>
      <c r="Y583" s="228" t="s">
        <v>7154</v>
      </c>
    </row>
    <row r="584" spans="2:26" x14ac:dyDescent="0.3">
      <c r="B584" s="99" t="s">
        <v>6543</v>
      </c>
      <c r="C584" s="400">
        <f>C583</f>
        <v>5.7213854021243842</v>
      </c>
      <c r="D584" s="142" t="s">
        <v>6085</v>
      </c>
      <c r="E584" s="401">
        <f>E583</f>
        <v>5.7213854021243842</v>
      </c>
      <c r="F584" s="146" t="s">
        <v>6085</v>
      </c>
      <c r="G584"/>
      <c r="H584"/>
      <c r="K584"/>
      <c r="L584"/>
      <c r="P584"/>
      <c r="U584"/>
      <c r="W584"/>
    </row>
    <row r="585" spans="2:26" x14ac:dyDescent="0.3">
      <c r="B585" s="99" t="s">
        <v>6544</v>
      </c>
      <c r="C585" s="78">
        <f>C583</f>
        <v>5.7213854021243842</v>
      </c>
      <c r="D585" t="s">
        <v>6085</v>
      </c>
      <c r="E585" s="401">
        <f>E583</f>
        <v>5.7213854021243842</v>
      </c>
      <c r="F585" s="146" t="s">
        <v>6085</v>
      </c>
      <c r="G585"/>
      <c r="H585"/>
      <c r="K585"/>
      <c r="L585"/>
      <c r="P585"/>
      <c r="U585"/>
      <c r="W585"/>
    </row>
    <row r="586" spans="2:26" x14ac:dyDescent="0.3">
      <c r="B586" s="99" t="s">
        <v>6545</v>
      </c>
      <c r="C586" s="78">
        <f>C583</f>
        <v>5.7213854021243842</v>
      </c>
      <c r="D586" t="s">
        <v>6085</v>
      </c>
      <c r="E586" s="401">
        <f>E583</f>
        <v>5.7213854021243842</v>
      </c>
      <c r="F586" s="146" t="s">
        <v>6085</v>
      </c>
      <c r="G586"/>
      <c r="L586"/>
      <c r="P586"/>
      <c r="Q586" s="376" t="s">
        <v>7164</v>
      </c>
      <c r="R586" s="662">
        <f>R575*R580</f>
        <v>0</v>
      </c>
      <c r="S586" s="855" t="s">
        <v>5346</v>
      </c>
      <c r="U586"/>
      <c r="W586" s="376" t="s">
        <v>7164</v>
      </c>
      <c r="X586" s="662">
        <f>X575*X580/VLOOKUP("Interval between sludge removal",$X:$AA,3,FALSE)</f>
        <v>0</v>
      </c>
      <c r="Y586" s="855" t="s">
        <v>5346</v>
      </c>
    </row>
    <row r="587" spans="2:26" x14ac:dyDescent="0.3">
      <c r="B587" s="99" t="s">
        <v>7136</v>
      </c>
      <c r="C587" s="78">
        <f>C583*UDV.dhl.application_maneuver_factor</f>
        <v>6.579593212443041</v>
      </c>
      <c r="D587" t="s">
        <v>6085</v>
      </c>
      <c r="E587" s="401">
        <f>E583*VLOOKUP("NAPercent time for useApplicator tractor for drag hose land applicationDefault",Econ.inputsTable!$E:$G,2,FALSE)</f>
        <v>6.579593212443041</v>
      </c>
      <c r="F587" s="146" t="s">
        <v>6085</v>
      </c>
      <c r="G587"/>
      <c r="L587"/>
      <c r="P587"/>
      <c r="Q587" s="174" t="s">
        <v>7165</v>
      </c>
      <c r="R587" s="278">
        <f>R576*R580</f>
        <v>2145.7494965836172</v>
      </c>
      <c r="S587" s="856" t="s">
        <v>5346</v>
      </c>
      <c r="U587"/>
      <c r="W587" s="174" t="s">
        <v>7165</v>
      </c>
      <c r="X587" s="278">
        <f>X576*X580/VLOOKUP("Interval between sludge removal",$X:$AA,3,FALSE)</f>
        <v>2464.3212428254728</v>
      </c>
      <c r="Y587" s="856" t="s">
        <v>5346</v>
      </c>
    </row>
    <row r="588" spans="2:26" x14ac:dyDescent="0.3">
      <c r="B588" s="99" t="s">
        <v>7137</v>
      </c>
      <c r="C588" s="78">
        <f>C583*UDV.dhl.hose_mover_utilization</f>
        <v>4.2910390515932884</v>
      </c>
      <c r="D588" t="s">
        <v>6085</v>
      </c>
      <c r="E588" s="401">
        <f>E583*VLOOKUP("NAPercent time for useHose mover tractor for drag hose land applicationDefault",Econ.inputsTable!$E:$G,2,FALSE)</f>
        <v>4.2910390515932884</v>
      </c>
      <c r="F588" s="146" t="s">
        <v>6085</v>
      </c>
      <c r="G588"/>
      <c r="L588"/>
      <c r="P588"/>
      <c r="Q588" s="377" t="s">
        <v>7166</v>
      </c>
      <c r="R588" s="359">
        <f>R577*R580</f>
        <v>3370.0315358263547</v>
      </c>
      <c r="S588" s="778" t="s">
        <v>5346</v>
      </c>
      <c r="U588"/>
      <c r="W588" s="377" t="s">
        <v>7166</v>
      </c>
      <c r="X588" s="359">
        <f>X577*X580/VLOOKUP("Interval between sludge removal",$X:$AA,3,FALSE)</f>
        <v>2371.0744933838528</v>
      </c>
      <c r="Y588" s="778" t="s">
        <v>5346</v>
      </c>
    </row>
    <row r="589" spans="2:26" x14ac:dyDescent="0.3">
      <c r="B589" s="99" t="s">
        <v>6548</v>
      </c>
      <c r="C589" s="312">
        <f>C583*UDV.dhl.pickup_utilization</f>
        <v>0.85820781031865756</v>
      </c>
      <c r="D589" s="150" t="s">
        <v>6085</v>
      </c>
      <c r="E589" s="311">
        <f>E583*VLOOKUP("NAPercent time for usePickup truck for drag hose land applicationDefault",Econ.inputsTable!$E:$G,2,FALSE)</f>
        <v>0.85820781031865756</v>
      </c>
      <c r="F589" s="146" t="s">
        <v>6085</v>
      </c>
      <c r="G589"/>
      <c r="L589"/>
      <c r="P589"/>
      <c r="U589"/>
      <c r="W589"/>
    </row>
    <row r="590" spans="2:26" x14ac:dyDescent="0.3">
      <c r="B590" s="99" t="s">
        <v>5714</v>
      </c>
      <c r="C590" s="382">
        <f t="shared" ref="C590:C599" si="22">VLOOKUP(B590,$X:$AA,3,FALSE)</f>
        <v>102.98493723823891</v>
      </c>
      <c r="D590" t="s">
        <v>2489</v>
      </c>
      <c r="E590" s="178">
        <f>C590</f>
        <v>102.98493723823891</v>
      </c>
      <c r="F590" s="146" t="s">
        <v>6087</v>
      </c>
      <c r="G590" s="147"/>
      <c r="L590"/>
      <c r="P590"/>
      <c r="U590"/>
      <c r="W590"/>
    </row>
    <row r="591" spans="2:26" x14ac:dyDescent="0.3">
      <c r="B591" s="99" t="s">
        <v>5715</v>
      </c>
      <c r="C591" s="382">
        <f t="shared" si="22"/>
        <v>42.910390515932882</v>
      </c>
      <c r="D591" t="s">
        <v>2489</v>
      </c>
      <c r="E591" s="178">
        <f>C591</f>
        <v>42.910390515932882</v>
      </c>
      <c r="F591" s="146" t="s">
        <v>6087</v>
      </c>
      <c r="G591"/>
      <c r="L591"/>
      <c r="P591"/>
      <c r="U591"/>
      <c r="W591"/>
    </row>
    <row r="592" spans="2:26" x14ac:dyDescent="0.3">
      <c r="B592" s="99" t="s">
        <v>5716</v>
      </c>
      <c r="C592" s="382">
        <f t="shared" si="22"/>
        <v>34.328312412746307</v>
      </c>
      <c r="D592" t="s">
        <v>2489</v>
      </c>
      <c r="E592" s="178">
        <f>C592</f>
        <v>34.328312412746307</v>
      </c>
      <c r="F592" s="146" t="s">
        <v>6087</v>
      </c>
      <c r="G592"/>
      <c r="L592"/>
      <c r="P592"/>
      <c r="U592"/>
      <c r="W592"/>
    </row>
    <row r="593" spans="2:23" x14ac:dyDescent="0.3">
      <c r="B593" s="99" t="s">
        <v>5740</v>
      </c>
      <c r="C593" s="382">
        <f t="shared" si="22"/>
        <v>25.52</v>
      </c>
      <c r="D593" t="s">
        <v>6549</v>
      </c>
      <c r="E593" s="178">
        <f>C593*E587</f>
        <v>167.91121878154641</v>
      </c>
      <c r="F593" s="146" t="s">
        <v>6087</v>
      </c>
      <c r="G593"/>
      <c r="L593"/>
      <c r="P593"/>
      <c r="U593"/>
      <c r="W593"/>
    </row>
    <row r="594" spans="2:23" x14ac:dyDescent="0.3">
      <c r="B594" s="99" t="s">
        <v>5741</v>
      </c>
      <c r="C594" s="382">
        <f t="shared" si="22"/>
        <v>14.959999999999999</v>
      </c>
      <c r="D594" t="s">
        <v>6549</v>
      </c>
      <c r="E594" s="178">
        <f>C594*E588</f>
        <v>64.193944211835586</v>
      </c>
      <c r="F594" s="146" t="s">
        <v>6087</v>
      </c>
      <c r="G594"/>
      <c r="L594"/>
      <c r="P594"/>
      <c r="U594"/>
      <c r="W594"/>
    </row>
    <row r="595" spans="2:23" x14ac:dyDescent="0.3">
      <c r="B595" s="99" t="s">
        <v>5717</v>
      </c>
      <c r="C595" s="382">
        <f t="shared" si="22"/>
        <v>5.1492468619119451</v>
      </c>
      <c r="D595" t="s">
        <v>2489</v>
      </c>
      <c r="E595" s="178">
        <f t="shared" ref="E595" si="23">C595*E589</f>
        <v>4.4191238741516692</v>
      </c>
      <c r="F595" s="146" t="s">
        <v>6087</v>
      </c>
      <c r="G595"/>
      <c r="L595"/>
      <c r="P595"/>
      <c r="U595"/>
      <c r="W595"/>
    </row>
    <row r="596" spans="2:23" x14ac:dyDescent="0.3">
      <c r="B596" s="99" t="s">
        <v>6418</v>
      </c>
      <c r="C596" s="382">
        <f t="shared" si="22"/>
        <v>4525.5947564400622</v>
      </c>
      <c r="D596" t="s">
        <v>5910</v>
      </c>
      <c r="E596" s="164">
        <f>CONVERT(C596,"m^3","gal")</f>
        <v>1195535.654950046</v>
      </c>
      <c r="F596" s="146" t="s">
        <v>2489</v>
      </c>
      <c r="G596"/>
      <c r="L596"/>
      <c r="P596"/>
      <c r="U596"/>
      <c r="W596"/>
    </row>
    <row r="597" spans="2:23" x14ac:dyDescent="0.3">
      <c r="B597" s="99" t="s">
        <v>6404</v>
      </c>
      <c r="C597" s="382">
        <f t="shared" si="22"/>
        <v>1.571413954989199</v>
      </c>
      <c r="D597" t="s">
        <v>2413</v>
      </c>
      <c r="E597" s="201">
        <f>C597*S532/(S534*S536)</f>
        <v>13.114072019170418</v>
      </c>
      <c r="F597" s="146" t="s">
        <v>2414</v>
      </c>
      <c r="G597"/>
      <c r="L597"/>
    </row>
    <row r="598" spans="2:23" x14ac:dyDescent="0.3">
      <c r="B598" s="99" t="s">
        <v>6405</v>
      </c>
      <c r="C598" s="382">
        <f t="shared" si="22"/>
        <v>3.3027695097379093</v>
      </c>
      <c r="D598" t="s">
        <v>2413</v>
      </c>
      <c r="E598" s="201">
        <f>C598*S532/(S534*S536)</f>
        <v>27.562920054201012</v>
      </c>
      <c r="F598" s="146" t="s">
        <v>2414</v>
      </c>
      <c r="G598"/>
      <c r="L598"/>
    </row>
    <row r="599" spans="2:23" x14ac:dyDescent="0.3">
      <c r="B599" s="99" t="s">
        <v>6406</v>
      </c>
      <c r="C599" s="382">
        <f t="shared" si="22"/>
        <v>3.3027856402144384</v>
      </c>
      <c r="D599" t="s">
        <v>2413</v>
      </c>
      <c r="E599" s="201">
        <f>C599*S532/(S534*S536)</f>
        <v>27.563054669418239</v>
      </c>
      <c r="F599" s="146" t="s">
        <v>2414</v>
      </c>
      <c r="G599"/>
      <c r="H599"/>
      <c r="K599"/>
      <c r="L599"/>
    </row>
    <row r="600" spans="2:23" x14ac:dyDescent="0.3">
      <c r="B600" s="99"/>
      <c r="D600"/>
      <c r="E600" s="99"/>
      <c r="F600" s="146"/>
      <c r="G600"/>
      <c r="H600"/>
      <c r="K600"/>
      <c r="L600"/>
    </row>
    <row r="601" spans="2:23" x14ac:dyDescent="0.3">
      <c r="B601" s="92" t="s">
        <v>6996</v>
      </c>
      <c r="D601"/>
      <c r="E601" s="99"/>
      <c r="F601" s="146"/>
      <c r="G601"/>
      <c r="H601"/>
      <c r="K601"/>
      <c r="L601"/>
    </row>
    <row r="602" spans="2:23" x14ac:dyDescent="0.3">
      <c r="B602" s="143" t="s">
        <v>2663</v>
      </c>
      <c r="C602" s="144" t="s">
        <v>565</v>
      </c>
      <c r="D602" s="144" t="s">
        <v>6943</v>
      </c>
      <c r="E602" s="143" t="s">
        <v>565</v>
      </c>
      <c r="F602" s="145" t="s">
        <v>6944</v>
      </c>
      <c r="G602"/>
      <c r="H602"/>
      <c r="K602"/>
      <c r="L602"/>
    </row>
    <row r="603" spans="2:23" x14ac:dyDescent="0.3">
      <c r="B603" s="99" t="s">
        <v>7076</v>
      </c>
      <c r="D603"/>
      <c r="E603" s="357">
        <f>UDV.electricity.avg_cost</f>
        <v>6.8591666666666662E-2</v>
      </c>
      <c r="F603" s="146" t="s">
        <v>2306</v>
      </c>
      <c r="G603"/>
      <c r="H603"/>
      <c r="K603"/>
      <c r="L603"/>
      <c r="P603"/>
      <c r="U603"/>
      <c r="W603"/>
    </row>
    <row r="604" spans="2:23" x14ac:dyDescent="0.3">
      <c r="B604" s="99" t="s">
        <v>6997</v>
      </c>
      <c r="D604"/>
      <c r="E604" s="348">
        <f>UDV.fuel.diesel_avg_cost</f>
        <v>3.6964905660377356</v>
      </c>
      <c r="F604" s="146" t="s">
        <v>2315</v>
      </c>
      <c r="G604"/>
      <c r="H604"/>
      <c r="K604"/>
      <c r="L604"/>
    </row>
    <row r="605" spans="2:23" x14ac:dyDescent="0.3">
      <c r="B605" s="99" t="s">
        <v>7044</v>
      </c>
      <c r="C605" s="147">
        <f>UDV.land_application.max_distance</f>
        <v>2</v>
      </c>
      <c r="D605" t="s">
        <v>2971</v>
      </c>
      <c r="E605" s="178">
        <f>IF(E544=0,0,CONVERT(C605,"mi","ft"))</f>
        <v>10560</v>
      </c>
      <c r="F605" s="146" t="s">
        <v>2340</v>
      </c>
      <c r="G605"/>
      <c r="H605"/>
      <c r="K605"/>
      <c r="L605"/>
    </row>
    <row r="606" spans="2:23" x14ac:dyDescent="0.3">
      <c r="B606" s="99" t="s">
        <v>5712</v>
      </c>
      <c r="C606" s="147">
        <f>VLOOKUP(B606,$R:$U,3,FALSE)</f>
        <v>1</v>
      </c>
      <c r="D606" t="s">
        <v>2442</v>
      </c>
      <c r="E606" s="178">
        <f>C606</f>
        <v>1</v>
      </c>
      <c r="F606" s="146" t="s">
        <v>2442</v>
      </c>
      <c r="G606"/>
      <c r="H606"/>
      <c r="K606"/>
      <c r="L606"/>
    </row>
    <row r="607" spans="2:23" x14ac:dyDescent="0.3">
      <c r="B607" s="149" t="s">
        <v>6998</v>
      </c>
      <c r="C607" s="150"/>
      <c r="D607" s="151"/>
      <c r="E607" s="349">
        <f>UDV.labor.non_specialized_cost</f>
        <v>23.66</v>
      </c>
      <c r="F607" s="151" t="s">
        <v>3659</v>
      </c>
      <c r="G607"/>
      <c r="H607"/>
      <c r="K607"/>
      <c r="L607"/>
    </row>
    <row r="608" spans="2:23" x14ac:dyDescent="0.3">
      <c r="C608" s="82"/>
      <c r="D608"/>
      <c r="E608" s="82"/>
      <c r="F608" s="82"/>
      <c r="G608"/>
      <c r="H608" s="82"/>
      <c r="I608" s="82"/>
      <c r="K608"/>
      <c r="L608"/>
      <c r="O608" s="82"/>
    </row>
    <row r="609" spans="1:23" x14ac:dyDescent="0.3">
      <c r="B609" s="206" t="s">
        <v>7108</v>
      </c>
      <c r="C609" s="142"/>
      <c r="D609" s="142"/>
      <c r="E609" s="142"/>
      <c r="F609" s="142"/>
      <c r="G609" s="142"/>
      <c r="H609" s="142"/>
      <c r="I609" s="142"/>
      <c r="J609" s="142"/>
      <c r="K609" s="142"/>
      <c r="L609" s="142"/>
      <c r="M609" s="142"/>
      <c r="N609" s="142"/>
      <c r="O609" s="141"/>
    </row>
    <row r="610" spans="1:23" ht="43.2" x14ac:dyDescent="0.3">
      <c r="B610" s="210" t="s">
        <v>6946</v>
      </c>
      <c r="C610" s="152" t="s">
        <v>6947</v>
      </c>
      <c r="D610" s="152" t="s">
        <v>6948</v>
      </c>
      <c r="E610" s="152" t="s">
        <v>6999</v>
      </c>
      <c r="F610" s="152" t="s">
        <v>7045</v>
      </c>
      <c r="G610" s="152" t="s">
        <v>6951</v>
      </c>
      <c r="H610" s="152" t="s">
        <v>6952</v>
      </c>
      <c r="I610" s="152" t="s">
        <v>6953</v>
      </c>
      <c r="J610" s="152" t="s">
        <v>6954</v>
      </c>
      <c r="K610" s="152" t="s">
        <v>6955</v>
      </c>
      <c r="L610" s="152" t="s">
        <v>6956</v>
      </c>
      <c r="M610" s="152" t="s">
        <v>6957</v>
      </c>
      <c r="N610" s="152" t="s">
        <v>7002</v>
      </c>
      <c r="O610" s="161" t="s">
        <v>6959</v>
      </c>
    </row>
    <row r="611" spans="1:23" x14ac:dyDescent="0.3">
      <c r="A611" t="s">
        <v>7122</v>
      </c>
      <c r="B611" s="99" t="s">
        <v>2808</v>
      </c>
      <c r="C611" s="153">
        <f>IF(E555=0,0,(VLOOKUP("Irrigation systema",Econ.Equations!$C:$E,2,FALSE)*E555^VLOOKUP("Irrigation systemb",Econ.Equations!$C:$E,2,FALSE))*E555)</f>
        <v>55373.251195732686</v>
      </c>
      <c r="D611" s="42">
        <f>VLOOKUP("CAPEXLifetimeBuildings and constructionDefault",Econ.inputsTable!$E:$G,2,FALSE)</f>
        <v>20</v>
      </c>
      <c r="E611" s="42" t="s">
        <v>2852</v>
      </c>
      <c r="F611" s="42" t="s">
        <v>2852</v>
      </c>
      <c r="G611" s="539">
        <f>VLOOKUP("CAPEXAnnual usage on activityItems that are used only on the given activityDefault",Econ.inputsTable!$E:$J,2,FALSE)</f>
        <v>1</v>
      </c>
      <c r="H611" s="503">
        <f t="shared" ref="H611" si="24">UDV.econ_capital.interest_rate</f>
        <v>5.0999999999999997E-2</v>
      </c>
      <c r="I611" s="2091">
        <f>VLOOKUP("CAPEXSalvageBuildings and constructionDefault",Econ.inputsTable!$E:$K,2,FALSE)</f>
        <v>0</v>
      </c>
      <c r="J611" s="153">
        <f>C611*I611</f>
        <v>0</v>
      </c>
      <c r="K611" s="154">
        <f>VLOOKUP("CAPEXFinanced amountNADefault",Econ.inputsTable!$E:$J,2,FALSE)</f>
        <v>1</v>
      </c>
      <c r="L611" s="2092">
        <f>H611*K611</f>
        <v>5.0999999999999997E-2</v>
      </c>
      <c r="M611" s="351">
        <f>L611/(1-(1+L611)^-D611)</f>
        <v>8.0924368970045152E-2</v>
      </c>
      <c r="N611" s="153">
        <f>((C611-J611)*M611)+(J611*L611)</f>
        <v>4481.0454108344657</v>
      </c>
      <c r="O611" s="372">
        <f>N611*G611</f>
        <v>4481.0454108344657</v>
      </c>
      <c r="P611"/>
      <c r="R611" s="20"/>
      <c r="U611"/>
      <c r="W611"/>
    </row>
    <row r="612" spans="1:23" x14ac:dyDescent="0.3">
      <c r="A612" t="s">
        <v>7046</v>
      </c>
      <c r="B612" s="99" t="s">
        <v>7034</v>
      </c>
      <c r="C612" s="153">
        <f>VLOOKUP("Diesel powered lead pumpDefault", Econ.Tables!$C:$E,2,FALSE)*E544</f>
        <v>293400</v>
      </c>
      <c r="D612" s="42">
        <f>VLOOKUP("CAPEXLifetimeDiesel-powered pump set package (at lagoon)Default",Econ.inputsTable!$E:$G,2,FALSE)</f>
        <v>17</v>
      </c>
      <c r="E612"/>
      <c r="F612" s="147">
        <f>IF(E544=0,0,(E563+(E584/E582))/E544)</f>
        <v>0.92241064608536294</v>
      </c>
      <c r="G612" s="255">
        <f>VLOOKUP("CAPEXAnnual usage on activityItems that are used only on the given activityDefault",Econ.inputsTable!$E:$G,2,FALSE)</f>
        <v>1</v>
      </c>
      <c r="H612" s="503">
        <f t="shared" ref="H612:H623" si="25">UDV.econ_capital.interest_rate</f>
        <v>5.0999999999999997E-2</v>
      </c>
      <c r="I612" s="236">
        <f>VLOOKUP("CAPEXSalvageEquipmentDefault", Econ.inputsTable!$E:$G,2,FALSE)</f>
        <v>0.2</v>
      </c>
      <c r="J612" s="153">
        <f t="shared" ref="J612:J623" si="26">$C612*I612</f>
        <v>58680</v>
      </c>
      <c r="K612" s="257">
        <f>VLOOKUP("CAPEXFinanced amountNADefault", Econ.inputsTable!$E:$G,2,FALSE)</f>
        <v>1</v>
      </c>
      <c r="L612" s="236">
        <f t="shared" ref="L612:L623" si="27">H612*K612</f>
        <v>5.0999999999999997E-2</v>
      </c>
      <c r="M612">
        <f t="shared" ref="M612:M623" si="28">L612/(1-(1+L612)^-D612)</f>
        <v>8.9362846108502439E-2</v>
      </c>
      <c r="N612" s="153">
        <f t="shared" ref="N612:N623" si="29">((C612-J612)*M612)+(J612*L612)</f>
        <v>23967.927238587694</v>
      </c>
      <c r="O612" s="157">
        <f t="shared" ref="O612:O623" si="30">N612*G612</f>
        <v>23967.927238587694</v>
      </c>
    </row>
    <row r="613" spans="1:23" x14ac:dyDescent="0.3">
      <c r="A613" t="s">
        <v>7046</v>
      </c>
      <c r="B613" s="99" t="s">
        <v>7035</v>
      </c>
      <c r="C613" s="153">
        <f>VLOOKUP("Diesel powered booster pumpDefault",Econ.Tables!$C:$E,2,FALSE)*E606</f>
        <v>197300</v>
      </c>
      <c r="D613" s="42">
        <f>VLOOKUP("CAPEXLifetimeDiesel-powered pump set package (at lagoon)Default",Econ.inputsTable!$E:$G,2,FALSE)</f>
        <v>17</v>
      </c>
      <c r="E613"/>
      <c r="F613" s="147">
        <f>IF(E606=0,0,(E564+(E585/E582))/E606)</f>
        <v>0.92241064608536294</v>
      </c>
      <c r="G613" s="255">
        <f>VLOOKUP("CAPEXAnnual usage on activityItems that are used only on the given activityDefault",Econ.inputsTable!$E:$G,2,FALSE)</f>
        <v>1</v>
      </c>
      <c r="H613" s="503">
        <f t="shared" si="25"/>
        <v>5.0999999999999997E-2</v>
      </c>
      <c r="I613" s="236">
        <f>VLOOKUP("CAPEXSalvageEquipmentDefault", Econ.inputsTable!$E:$G,2,FALSE)</f>
        <v>0.2</v>
      </c>
      <c r="J613" s="153">
        <f t="shared" si="26"/>
        <v>39460</v>
      </c>
      <c r="K613" s="257">
        <f>VLOOKUP("CAPEXFinanced amountNADefault", Econ.inputsTable!$E:$G,2,FALSE)</f>
        <v>1</v>
      </c>
      <c r="L613" s="236">
        <f t="shared" si="27"/>
        <v>5.0999999999999997E-2</v>
      </c>
      <c r="M613">
        <f t="shared" si="28"/>
        <v>8.9362846108502439E-2</v>
      </c>
      <c r="N613" s="153">
        <f t="shared" si="29"/>
        <v>16117.491629766024</v>
      </c>
      <c r="O613" s="157">
        <f t="shared" si="30"/>
        <v>16117.491629766024</v>
      </c>
    </row>
    <row r="614" spans="1:23" x14ac:dyDescent="0.3">
      <c r="A614" t="s">
        <v>7046</v>
      </c>
      <c r="B614" s="99" t="s">
        <v>7047</v>
      </c>
      <c r="C614" s="153">
        <f>VLOOKUP("Diesel powered agitation trailerDefault",Econ.Tables!$C:$E,2,FALSE)*E545</f>
        <v>131500</v>
      </c>
      <c r="D614" s="42">
        <f>VLOOKUP("CAPEXLifetimeEquipmentDefault",Econ.inputsTable!$E:$G,2,FALSE)</f>
        <v>10</v>
      </c>
      <c r="E614"/>
      <c r="F614" s="147">
        <f>IF(E545=0,0,(E565+(E586/E582))/E545)</f>
        <v>0.92241064608536294</v>
      </c>
      <c r="G614" s="255">
        <f>VLOOKUP("CAPEXAnnual usage on activityItems that are used only on the given activityDefault",Econ.inputsTable!$E:$G,2,FALSE)</f>
        <v>1</v>
      </c>
      <c r="H614" s="503">
        <f t="shared" si="25"/>
        <v>5.0999999999999997E-2</v>
      </c>
      <c r="I614" s="155">
        <f>VLOOKUP("CAPEXSalvageEquipmentDefault", Econ.inputsTable!$E:$G,2,FALSE)</f>
        <v>0.2</v>
      </c>
      <c r="J614" s="153">
        <f t="shared" si="26"/>
        <v>26300</v>
      </c>
      <c r="K614" s="257">
        <f>VLOOKUP("CAPEXFinanced amountNADefault", Econ.inputsTable!$E:$G,2,FALSE)</f>
        <v>1</v>
      </c>
      <c r="L614" s="236">
        <f t="shared" si="27"/>
        <v>5.0999999999999997E-2</v>
      </c>
      <c r="M614">
        <f t="shared" si="28"/>
        <v>0.13013423257204779</v>
      </c>
      <c r="N614" s="153">
        <f t="shared" si="29"/>
        <v>15031.421266579426</v>
      </c>
      <c r="O614" s="157">
        <f t="shared" si="30"/>
        <v>15031.421266579426</v>
      </c>
    </row>
    <row r="615" spans="1:23" x14ac:dyDescent="0.3">
      <c r="A615" t="s">
        <v>7046</v>
      </c>
      <c r="B615" s="99" t="s">
        <v>7037</v>
      </c>
      <c r="C615" s="153">
        <f>VLOOKUP(_xlfn.CONCAT("Tractor",E546," hp"), Econ.Tables!$C:$E,2, FALSE)*E548</f>
        <v>637400</v>
      </c>
      <c r="D615" s="79">
        <f>VLOOKUP("CAPEXLifetimeTractor, 4 wheel drive and crawlerDefault",Econ.inputsTable!$E:$H,2,FALSE)/E615</f>
        <v>16</v>
      </c>
      <c r="E615" s="213">
        <f>IF(F615&gt;UDV.tractor.min_usage_yearly,F615,UDV.tractor.min_usage_yearly)</f>
        <v>1000</v>
      </c>
      <c r="F615" s="147">
        <f>IF(E548=0,0,(E566+(E587/E582))/E548)</f>
        <v>1.0607722429981672</v>
      </c>
      <c r="G615" s="236">
        <f>F615/E615</f>
        <v>1.0607722429981671E-3</v>
      </c>
      <c r="H615" s="503">
        <f t="shared" si="25"/>
        <v>5.0999999999999997E-2</v>
      </c>
      <c r="I615" s="236">
        <f>VLOOKUP("CAPEXSalvageEquipmentDefault", Econ.inputsTable!$E:$G,2,FALSE)</f>
        <v>0.2</v>
      </c>
      <c r="J615" s="153">
        <f t="shared" si="26"/>
        <v>127480</v>
      </c>
      <c r="K615" s="257">
        <f>VLOOKUP("CAPEXFinanced amountNADefault", Econ.inputsTable!$E:$G,2,FALSE)</f>
        <v>1</v>
      </c>
      <c r="L615" s="236">
        <f t="shared" si="27"/>
        <v>5.0999999999999997E-2</v>
      </c>
      <c r="M615">
        <f t="shared" si="28"/>
        <v>9.2927821836826949E-2</v>
      </c>
      <c r="N615" s="153">
        <f t="shared" si="29"/>
        <v>53887.2349110348</v>
      </c>
      <c r="O615" s="157">
        <f t="shared" si="30"/>
        <v>57.162083045547526</v>
      </c>
    </row>
    <row r="616" spans="1:23" x14ac:dyDescent="0.3">
      <c r="A616" t="s">
        <v>7046</v>
      </c>
      <c r="B616" s="99" t="s">
        <v>7048</v>
      </c>
      <c r="C616" s="229">
        <f>VLOOKUP("Hose reel, hydraulic,no specific sizeDefault",Econ.Tables!$C:$E,2,FALSE)*E548</f>
        <v>44500</v>
      </c>
      <c r="D616" s="42">
        <f>VLOOKUP("CAPEXLifetimeEquipmentDefault",Econ.inputsTable!$E:$G,2,FALSE)</f>
        <v>10</v>
      </c>
      <c r="E616" s="152"/>
      <c r="F616" s="259">
        <f>F615</f>
        <v>1.0607722429981672</v>
      </c>
      <c r="G616" s="255">
        <f>VLOOKUP("CAPEXAnnual usage on activityItems that are used only on the given activityDefault",Econ.inputsTable!$E:$G,2,FALSE)</f>
        <v>1</v>
      </c>
      <c r="H616" s="503">
        <f t="shared" si="25"/>
        <v>5.0999999999999997E-2</v>
      </c>
      <c r="I616" s="236">
        <f>VLOOKUP("CAPEXSalvageEquipmentDefault", Econ.inputsTable!$E:$G,2,FALSE)</f>
        <v>0.2</v>
      </c>
      <c r="J616" s="153">
        <f t="shared" si="26"/>
        <v>8900</v>
      </c>
      <c r="K616" s="257">
        <f>VLOOKUP("CAPEXFinanced amountNADefault", Econ.inputsTable!$E:$G,2,FALSE)</f>
        <v>1</v>
      </c>
      <c r="L616" s="236">
        <f t="shared" si="27"/>
        <v>5.0999999999999997E-2</v>
      </c>
      <c r="M616">
        <f t="shared" si="28"/>
        <v>0.13013423257204779</v>
      </c>
      <c r="N616" s="153">
        <f t="shared" si="29"/>
        <v>5086.6786795649004</v>
      </c>
      <c r="O616" s="157">
        <f t="shared" si="30"/>
        <v>5086.6786795649004</v>
      </c>
    </row>
    <row r="617" spans="1:23" x14ac:dyDescent="0.3">
      <c r="A617" t="s">
        <v>7046</v>
      </c>
      <c r="B617" s="99" t="s">
        <v>7007</v>
      </c>
      <c r="C617" s="229">
        <f>IF(E551="Broadcast",VLOOKUP("BoomDefault", Econ.Tables!$C:$E,2,FALSE),0)*E548</f>
        <v>0</v>
      </c>
      <c r="D617" s="42">
        <f>VLOOKUP("CAPEXLifetimeEquipmentDefault",Econ.inputsTable!$E:$G,2,FALSE)</f>
        <v>10</v>
      </c>
      <c r="E617" s="152"/>
      <c r="F617" s="259">
        <f>IF(E551="Broadcast",F615,0)*VLOOKUP("NAPercent time for useApplication toolbar usage per unit tractor pulling it usageDefault", Econ.inputsTable!$E:$G,2,FALSE)</f>
        <v>0</v>
      </c>
      <c r="G617" s="255">
        <f>VLOOKUP("CAPEXAnnual usage on activityItems that are used only on the given activityDefault",Econ.inputsTable!$E:$G,2,FALSE)</f>
        <v>1</v>
      </c>
      <c r="H617" s="503">
        <f t="shared" si="25"/>
        <v>5.0999999999999997E-2</v>
      </c>
      <c r="I617" s="236">
        <f>VLOOKUP("CAPEXSalvageEquipmentDefault", Econ.inputsTable!$E:$G,2,FALSE)</f>
        <v>0.2</v>
      </c>
      <c r="J617" s="153">
        <f t="shared" si="26"/>
        <v>0</v>
      </c>
      <c r="K617" s="257">
        <f>VLOOKUP("CAPEXFinanced amountNADefault", Econ.inputsTable!$E:$G,2,FALSE)</f>
        <v>1</v>
      </c>
      <c r="L617" s="236">
        <f t="shared" si="27"/>
        <v>5.0999999999999997E-2</v>
      </c>
      <c r="M617">
        <f t="shared" si="28"/>
        <v>0.13013423257204779</v>
      </c>
      <c r="N617" s="153">
        <f t="shared" si="29"/>
        <v>0</v>
      </c>
      <c r="O617" s="157">
        <f t="shared" si="30"/>
        <v>0</v>
      </c>
    </row>
    <row r="618" spans="1:23" x14ac:dyDescent="0.3">
      <c r="A618" t="s">
        <v>7046</v>
      </c>
      <c r="B618" s="99" t="s">
        <v>7008</v>
      </c>
      <c r="C618" s="229">
        <f>IF(E551="Injection",VLOOKUP("InjectionDefault",Econ.Tables!$C:$E,2,FALSE),0)*E548</f>
        <v>80900</v>
      </c>
      <c r="D618" s="42">
        <f>VLOOKUP("CAPEXLifetimeEquipmentDefault",Econ.inputsTable!$E:$G,2,FALSE)</f>
        <v>10</v>
      </c>
      <c r="E618" s="152"/>
      <c r="F618" s="259">
        <f>IF(E551="Injection",F615,0)*VLOOKUP("NAPercent time for useApplication toolbar usage per unit tractor pulling it usageDefault", Econ.inputsTable!$E:$G,2,FALSE)</f>
        <v>0.4243088971992669</v>
      </c>
      <c r="G618" s="255">
        <f>VLOOKUP("CAPEXAnnual usage on activityItems that are used only on the given activityDefault",Econ.inputsTable!$E:$G,2,FALSE)</f>
        <v>1</v>
      </c>
      <c r="H618" s="503">
        <f t="shared" si="25"/>
        <v>5.0999999999999997E-2</v>
      </c>
      <c r="I618" s="236">
        <f>VLOOKUP("CAPEXSalvageEquipmentDefault", Econ.inputsTable!$E:$G,2,FALSE)</f>
        <v>0.2</v>
      </c>
      <c r="J618" s="153">
        <f t="shared" si="26"/>
        <v>16180</v>
      </c>
      <c r="K618" s="257">
        <f>VLOOKUP("CAPEXFinanced amountNADefault", Econ.inputsTable!$E:$G,2,FALSE)</f>
        <v>1</v>
      </c>
      <c r="L618" s="236">
        <f t="shared" si="27"/>
        <v>5.0999999999999997E-2</v>
      </c>
      <c r="M618">
        <f t="shared" si="28"/>
        <v>0.13013423257204779</v>
      </c>
      <c r="N618" s="153">
        <f t="shared" si="29"/>
        <v>9247.4675320629322</v>
      </c>
      <c r="O618" s="157">
        <f t="shared" si="30"/>
        <v>9247.4675320629322</v>
      </c>
    </row>
    <row r="619" spans="1:23" x14ac:dyDescent="0.3">
      <c r="A619" t="s">
        <v>7046</v>
      </c>
      <c r="B619" s="99" t="s">
        <v>7039</v>
      </c>
      <c r="C619" s="153">
        <f>VLOOKUP(_xlfn.CONCAT("Tractor",E547," hp"), Econ.Tables!$C:$E,2, FALSE)*E549</f>
        <v>490700</v>
      </c>
      <c r="D619" s="79">
        <f>VLOOKUP("CAPEXLifetimeTractor, 4 wheel drive and crawlerDefault",Econ.inputsTable!$E:$H,2,FALSE)/E619</f>
        <v>16</v>
      </c>
      <c r="E619" s="213">
        <f>IF(F619&gt;UDV.tractor.min_usage_yearly,F619,UDV.tractor.min_usage_yearly)</f>
        <v>1000</v>
      </c>
      <c r="F619" s="147">
        <f>IF(E549=0,0,(E567+(E588/E582))/E549)</f>
        <v>0.69180798456402215</v>
      </c>
      <c r="G619" s="236">
        <f t="shared" ref="G619" si="31">F619/E619</f>
        <v>6.9180798456402212E-4</v>
      </c>
      <c r="H619" s="503">
        <f t="shared" si="25"/>
        <v>5.0999999999999997E-2</v>
      </c>
      <c r="I619" s="236">
        <f>VLOOKUP("CAPEXSalvageEquipmentDefault", Econ.inputsTable!$E:$G,2,FALSE)</f>
        <v>0.2</v>
      </c>
      <c r="J619" s="153">
        <f t="shared" si="26"/>
        <v>98140</v>
      </c>
      <c r="K619" s="257">
        <f>VLOOKUP("CAPEXFinanced amountNADefault", Econ.inputsTable!$E:$G,2,FALSE)</f>
        <v>1</v>
      </c>
      <c r="L619" s="236">
        <f t="shared" si="27"/>
        <v>5.0999999999999997E-2</v>
      </c>
      <c r="M619">
        <f t="shared" si="28"/>
        <v>9.2927821836826949E-2</v>
      </c>
      <c r="N619" s="153">
        <f t="shared" si="29"/>
        <v>41484.885740264785</v>
      </c>
      <c r="O619" s="157">
        <f t="shared" si="30"/>
        <v>28.699575193841323</v>
      </c>
    </row>
    <row r="620" spans="1:23" x14ac:dyDescent="0.3">
      <c r="A620" t="s">
        <v>7046</v>
      </c>
      <c r="B620" s="99" t="s">
        <v>1325</v>
      </c>
      <c r="C620" s="229">
        <f>VLOOKUP("Hose pulleyDefault",Econ.Tables!$C:$E,2,FALSE)*E549</f>
        <v>13200</v>
      </c>
      <c r="D620" s="42">
        <f>VLOOKUP("CAPEXLifetimeEquipmentDefault",Econ.inputsTable!$E:$G,2,FALSE)</f>
        <v>10</v>
      </c>
      <c r="E620" s="152"/>
      <c r="F620" s="259">
        <f>F619</f>
        <v>0.69180798456402215</v>
      </c>
      <c r="G620" s="255">
        <f>VLOOKUP("CAPEXAnnual usage on activityItems that are used only on the given activityDefault",Econ.inputsTable!$E:$G,2,FALSE)</f>
        <v>1</v>
      </c>
      <c r="H620" s="503">
        <f t="shared" si="25"/>
        <v>5.0999999999999997E-2</v>
      </c>
      <c r="I620" s="236">
        <f>VLOOKUP("CAPEXSalvageEquipmentDefault", Econ.inputsTable!$E:$G,2,FALSE)</f>
        <v>0.2</v>
      </c>
      <c r="J620" s="153">
        <f t="shared" si="26"/>
        <v>2640</v>
      </c>
      <c r="K620" s="257">
        <f>VLOOKUP("CAPEXFinanced amountNADefault", Econ.inputsTable!$E:$G,2,FALSE)</f>
        <v>1</v>
      </c>
      <c r="L620" s="236">
        <f t="shared" si="27"/>
        <v>5.0999999999999997E-2</v>
      </c>
      <c r="M620">
        <f t="shared" si="28"/>
        <v>0.13013423257204779</v>
      </c>
      <c r="N620" s="153">
        <f t="shared" si="29"/>
        <v>1508.8574959608245</v>
      </c>
      <c r="O620" s="157">
        <f t="shared" si="30"/>
        <v>1508.8574959608245</v>
      </c>
    </row>
    <row r="621" spans="1:23" x14ac:dyDescent="0.3">
      <c r="A621" t="s">
        <v>7046</v>
      </c>
      <c r="B621" s="235" t="s">
        <v>3007</v>
      </c>
      <c r="C621" s="260">
        <f>VLOOKUP("Flexible drag hose, 6in 660 ftDefault",Econ.Tables!$C:$E,2,FALSE)*E548</f>
        <v>15200</v>
      </c>
      <c r="D621" s="42">
        <f>VLOOKUP("CAPEXLifetimeDrag hoseDefault",Econ.inputsTable!$E:$G,2,FALSE)</f>
        <v>2.5</v>
      </c>
      <c r="E621" s="152"/>
      <c r="F621" s="259">
        <f>F615</f>
        <v>1.0607722429981672</v>
      </c>
      <c r="G621" s="255">
        <f>VLOOKUP("CAPEXAnnual usage on activityItems that are used only on the given activityDefault",Econ.inputsTable!$E:$G,2,FALSE)</f>
        <v>1</v>
      </c>
      <c r="H621" s="503">
        <f t="shared" si="25"/>
        <v>5.0999999999999997E-2</v>
      </c>
      <c r="I621" s="155">
        <f>VLOOKUP("CAPEXSalvageBuildings and constructionDefault", Econ.inputsTable!$E:$G,2,FALSE)</f>
        <v>0</v>
      </c>
      <c r="J621" s="153">
        <f t="shared" si="26"/>
        <v>0</v>
      </c>
      <c r="K621" s="257">
        <f>VLOOKUP("CAPEXFinanced amountNADefault", Econ.inputsTable!$E:$G,2,FALSE)</f>
        <v>1</v>
      </c>
      <c r="L621" s="236">
        <f t="shared" si="27"/>
        <v>5.0999999999999997E-2</v>
      </c>
      <c r="M621">
        <f t="shared" si="28"/>
        <v>0.43614381549069553</v>
      </c>
      <c r="N621" s="153">
        <f t="shared" si="29"/>
        <v>6629.3859954585723</v>
      </c>
      <c r="O621" s="157">
        <f t="shared" si="30"/>
        <v>6629.3859954585723</v>
      </c>
    </row>
    <row r="622" spans="1:23" x14ac:dyDescent="0.3">
      <c r="A622" t="s">
        <v>7046</v>
      </c>
      <c r="B622" s="235" t="s">
        <v>3465</v>
      </c>
      <c r="C622" s="260">
        <f>VLOOKUP("Manure piping to fieldDefault",Econ.Tables!$C:$E,2,FALSE)*E605</f>
        <v>95040</v>
      </c>
      <c r="D622" s="42">
        <f>VLOOKUP("CAPEXLifetimeBuildings and constructionDefault",Econ.inputsTable!$E:$G,2,FALSE)</f>
        <v>20</v>
      </c>
      <c r="E622" s="152"/>
      <c r="F622" s="259">
        <f>F615</f>
        <v>1.0607722429981672</v>
      </c>
      <c r="G622" s="255">
        <f>VLOOKUP("CAPEXAnnual usage on activityItems that are used only on the given activityDefault",Econ.inputsTable!$E:$G,2,FALSE)</f>
        <v>1</v>
      </c>
      <c r="H622" s="503">
        <f t="shared" si="25"/>
        <v>5.0999999999999997E-2</v>
      </c>
      <c r="I622" s="155">
        <f>VLOOKUP("CAPEXSalvageBuildings and constructionDefault", Econ.inputsTable!$E:$G,2,FALSE)</f>
        <v>0</v>
      </c>
      <c r="J622" s="153">
        <f t="shared" si="26"/>
        <v>0</v>
      </c>
      <c r="K622" s="257">
        <f>VLOOKUP("CAPEXFinanced amountNADefault", Econ.inputsTable!$E:$G,2,FALSE)</f>
        <v>1</v>
      </c>
      <c r="L622" s="236">
        <f t="shared" si="27"/>
        <v>5.0999999999999997E-2</v>
      </c>
      <c r="M622">
        <f t="shared" si="28"/>
        <v>8.0924368970045152E-2</v>
      </c>
      <c r="N622" s="153">
        <f t="shared" si="29"/>
        <v>7691.0520269130911</v>
      </c>
      <c r="O622" s="157">
        <f t="shared" si="30"/>
        <v>7691.0520269130911</v>
      </c>
    </row>
    <row r="623" spans="1:23" x14ac:dyDescent="0.3">
      <c r="A623" t="s">
        <v>7046</v>
      </c>
      <c r="B623" s="235" t="s">
        <v>349</v>
      </c>
      <c r="C623" s="153">
        <f>IF(E589&gt;0,VLOOKUP("Pick up truckDefault",Econ.Tables!$C:$E,2,FALSE),0)</f>
        <v>58700</v>
      </c>
      <c r="D623" s="42">
        <f>VLOOKUP("CAPEXLifetimeTruck, pickupDefault",Econ.inputsTable!$E:$G,2,FALSE)</f>
        <v>8</v>
      </c>
      <c r="E623" s="42">
        <f>VLOOKUP("CAPEXAnnual usage on farmTruck, pickupDefault",Econ.inputsTable!$E:$G,2,FALSE)</f>
        <v>250</v>
      </c>
      <c r="F623" s="259">
        <f>(E568+(E589/E582))</f>
        <v>0.13836159691280442</v>
      </c>
      <c r="G623" s="258">
        <f>F623/E623</f>
        <v>5.5344638765121763E-4</v>
      </c>
      <c r="H623" s="503">
        <f t="shared" si="25"/>
        <v>5.0999999999999997E-2</v>
      </c>
      <c r="I623" s="155">
        <f>VLOOKUP("CAPEXSalvageEquipmentDefault", Econ.inputsTable!$E:$G,2,FALSE)</f>
        <v>0.2</v>
      </c>
      <c r="J623" s="153">
        <f t="shared" si="26"/>
        <v>11740</v>
      </c>
      <c r="K623" s="257">
        <f>VLOOKUP("CAPEXFinanced amountNADefault", Econ.inputsTable!$E:$G,2,FALSE)</f>
        <v>1</v>
      </c>
      <c r="L623" s="236">
        <f t="shared" si="27"/>
        <v>5.0999999999999997E-2</v>
      </c>
      <c r="M623">
        <f t="shared" si="28"/>
        <v>0.1553478599468672</v>
      </c>
      <c r="N623" s="153">
        <f t="shared" si="29"/>
        <v>7893.8755031048831</v>
      </c>
      <c r="O623" s="157">
        <f t="shared" si="30"/>
        <v>4.3688368817618359</v>
      </c>
    </row>
    <row r="624" spans="1:23" x14ac:dyDescent="0.3">
      <c r="B624" s="99"/>
      <c r="C624" s="152"/>
      <c r="D624" s="82"/>
      <c r="E624" s="82"/>
      <c r="F624" s="82"/>
      <c r="G624" s="82"/>
      <c r="H624" s="82"/>
      <c r="I624" s="82"/>
      <c r="J624" s="152"/>
      <c r="K624" s="152"/>
      <c r="L624" s="152"/>
      <c r="M624" s="152"/>
      <c r="N624" s="82"/>
      <c r="O624" s="173"/>
    </row>
    <row r="625" spans="1:23" x14ac:dyDescent="0.3">
      <c r="B625" s="99"/>
      <c r="C625" s="82" t="s">
        <v>7009</v>
      </c>
      <c r="D625" s="82" t="s">
        <v>6963</v>
      </c>
      <c r="E625"/>
      <c r="F625"/>
      <c r="G625"/>
      <c r="H625"/>
      <c r="K625"/>
      <c r="L625"/>
      <c r="O625" s="146"/>
    </row>
    <row r="626" spans="1:23" x14ac:dyDescent="0.3">
      <c r="A626" t="s">
        <v>5205</v>
      </c>
      <c r="B626" s="99" t="s">
        <v>6964</v>
      </c>
      <c r="C626" s="153">
        <f>SUM(C611:C623)</f>
        <v>2113213.2511957325</v>
      </c>
      <c r="D626" s="318">
        <f>SUMPRODUCT(C611:C623,G611:G623)</f>
        <v>927461.34490440041</v>
      </c>
      <c r="E626"/>
      <c r="F626"/>
      <c r="G626"/>
      <c r="H626"/>
      <c r="K626"/>
      <c r="L626"/>
      <c r="O626" s="146"/>
    </row>
    <row r="627" spans="1:23" x14ac:dyDescent="0.3">
      <c r="A627" t="s">
        <v>5205</v>
      </c>
      <c r="B627" s="149" t="s">
        <v>6965</v>
      </c>
      <c r="C627" s="159">
        <f>SUM(N611:N623)</f>
        <v>193027.32343013241</v>
      </c>
      <c r="D627" s="319">
        <f>SUMPRODUCT(N611:N623,G611:G623)</f>
        <v>89851.557770849104</v>
      </c>
      <c r="E627" s="150"/>
      <c r="F627" s="150"/>
      <c r="G627" s="261"/>
      <c r="H627" s="150"/>
      <c r="I627" s="150"/>
      <c r="J627" s="150"/>
      <c r="K627" s="150"/>
      <c r="L627" s="150"/>
      <c r="M627" s="150"/>
      <c r="N627" s="150"/>
      <c r="O627" s="151"/>
    </row>
    <row r="628" spans="1:23" x14ac:dyDescent="0.3">
      <c r="B628" s="262"/>
      <c r="C628" s="142"/>
      <c r="D628" s="142"/>
      <c r="E628" s="142"/>
      <c r="F628" s="142"/>
      <c r="G628" s="142"/>
      <c r="H628" s="142"/>
      <c r="I628" s="142"/>
      <c r="J628" s="142"/>
      <c r="K628" s="142"/>
      <c r="L628" s="142"/>
      <c r="M628" s="142"/>
      <c r="N628" s="142"/>
      <c r="O628" s="141"/>
    </row>
    <row r="629" spans="1:23" ht="28.8" x14ac:dyDescent="0.3">
      <c r="B629" s="160" t="s">
        <v>6966</v>
      </c>
      <c r="C629" s="152" t="s">
        <v>6967</v>
      </c>
      <c r="D629" s="152" t="s">
        <v>6968</v>
      </c>
      <c r="E629" s="152" t="s">
        <v>6969</v>
      </c>
      <c r="F629" s="152" t="s">
        <v>6970</v>
      </c>
      <c r="G629" s="152" t="s">
        <v>6971</v>
      </c>
      <c r="H629" s="152" t="s">
        <v>6972</v>
      </c>
      <c r="I629" s="152" t="s">
        <v>6973</v>
      </c>
      <c r="J629" s="152" t="s">
        <v>6974</v>
      </c>
      <c r="K629" s="152" t="s">
        <v>6975</v>
      </c>
      <c r="L629" s="152" t="s">
        <v>6976</v>
      </c>
      <c r="M629" s="152" t="s">
        <v>6977</v>
      </c>
      <c r="N629" s="152" t="s">
        <v>6978</v>
      </c>
      <c r="O629" s="161" t="s">
        <v>6979</v>
      </c>
    </row>
    <row r="630" spans="1:23" x14ac:dyDescent="0.3">
      <c r="B630" s="99" t="s">
        <v>2808</v>
      </c>
      <c r="C630" s="236">
        <f>VLOOKUP("OPEXInsuranceEverythingDefault",Econ.inputsTable!$E:$K,2,FALSE)</f>
        <v>5.0000000000000001E-3</v>
      </c>
      <c r="D630" s="257">
        <f>VLOOKUP("OPEXRepair and maintenanceEquipmentDefault",Econ.inputsTable!$E:$K,2,FALSE)</f>
        <v>0.03</v>
      </c>
      <c r="E630"/>
      <c r="F630" s="2113">
        <f>E556</f>
        <v>940.31230973063862</v>
      </c>
      <c r="G630" s="365">
        <f>F630*E603</f>
        <v>64.49758851160739</v>
      </c>
      <c r="H630"/>
      <c r="I630" s="365"/>
      <c r="J630" s="365"/>
      <c r="K630" s="147">
        <f>E557</f>
        <v>8.2492274882362544</v>
      </c>
      <c r="L630" s="156">
        <f>K630*E607</f>
        <v>195.17672237166977</v>
      </c>
      <c r="O630" s="167">
        <f t="shared" ref="O630" si="32">(SUM(C630:D630)*C611*G611)+SUM(E630,G630,I630,J630,L630,N630)</f>
        <v>2197.7381027339211</v>
      </c>
      <c r="P630"/>
      <c r="U630"/>
      <c r="W630"/>
    </row>
    <row r="631" spans="1:23" x14ac:dyDescent="0.3">
      <c r="B631" s="99" t="s">
        <v>3003</v>
      </c>
      <c r="C631" s="263">
        <f>VLOOKUP("OPEXInsuranceEverythingDefault", Econ.inputsTable!$E:$G,2,FALSE)</f>
        <v>5.0000000000000001E-3</v>
      </c>
      <c r="D631" s="237">
        <f>VLOOKUP("OPEXRepair and maintenanceEquipmentDefault",Econ.inputsTable!$E:$G,2,FALSE)</f>
        <v>0.03</v>
      </c>
      <c r="E631"/>
      <c r="F631"/>
      <c r="G631"/>
      <c r="H631" s="147">
        <f>(E569+(E590/E582))*E544</f>
        <v>16.603391629536532</v>
      </c>
      <c r="I631" s="259">
        <f>H631*E604</f>
        <v>61.374280522811695</v>
      </c>
      <c r="J631" s="259">
        <f>I631*VLOOKUP("OPEXLubeLubeDefault",Econ.inputsTable!$E:$G,2,FALSE)</f>
        <v>6.1374280522811695</v>
      </c>
      <c r="K631"/>
      <c r="L631" s="233"/>
      <c r="O631" s="264">
        <f t="shared" ref="O631:O642" si="33">(SUM(C631:D631)*C612*G612)+SUM(E631,G631,I631,J631,L631,N631)</f>
        <v>10336.511708575092</v>
      </c>
    </row>
    <row r="632" spans="1:23" x14ac:dyDescent="0.3">
      <c r="B632" s="99" t="s">
        <v>3005</v>
      </c>
      <c r="C632" s="263">
        <f>VLOOKUP("OPEXInsuranceEverythingDefault", Econ.inputsTable!$E:$G,2,FALSE)</f>
        <v>5.0000000000000001E-3</v>
      </c>
      <c r="D632" s="237">
        <f>VLOOKUP("OPEXRepair and maintenanceEquipmentDefault",Econ.inputsTable!$E:$G,2,FALSE)</f>
        <v>0.03</v>
      </c>
      <c r="E632"/>
      <c r="F632"/>
      <c r="G632"/>
      <c r="H632" s="147">
        <f>(E570+(E591/E582))*E606</f>
        <v>6.9180798456402224</v>
      </c>
      <c r="I632" s="259">
        <f>H632*E604</f>
        <v>25.572616884504875</v>
      </c>
      <c r="J632" s="259">
        <f>I632*VLOOKUP("OPEXLubeLubeDefault",Econ.inputsTable!$E:$G,2,FALSE)</f>
        <v>2.5572616884504877</v>
      </c>
      <c r="K632"/>
      <c r="L632" s="233"/>
      <c r="O632" s="264">
        <f t="shared" si="33"/>
        <v>6933.6298785729541</v>
      </c>
    </row>
    <row r="633" spans="1:23" x14ac:dyDescent="0.3">
      <c r="B633" s="99" t="s">
        <v>7047</v>
      </c>
      <c r="C633" s="263">
        <f>VLOOKUP("OPEXInsuranceEverythingDefault", Econ.inputsTable!$E:$G,2,FALSE)</f>
        <v>5.0000000000000001E-3</v>
      </c>
      <c r="D633" s="237">
        <f>VLOOKUP("OPEXRepair and maintenanceEquipmentDefault",Econ.inputsTable!$E:$G,2,FALSE)</f>
        <v>0.03</v>
      </c>
      <c r="E633"/>
      <c r="F633"/>
      <c r="G633"/>
      <c r="H633" s="147">
        <f>(E571+(E592/E582))*E545</f>
        <v>5.5344638765121772</v>
      </c>
      <c r="I633" s="259">
        <f>H633*E604</f>
        <v>20.458093507603898</v>
      </c>
      <c r="J633" s="259">
        <f>I633*VLOOKUP("OPEXLubeLubeDefault",Econ.inputsTable!$E:$G,2,FALSE)</f>
        <v>2.0458093507603898</v>
      </c>
      <c r="K633"/>
      <c r="L633" s="233"/>
      <c r="O633" s="264">
        <f t="shared" si="33"/>
        <v>4625.0039028583633</v>
      </c>
    </row>
    <row r="634" spans="1:23" x14ac:dyDescent="0.3">
      <c r="B634" s="99" t="s">
        <v>7037</v>
      </c>
      <c r="C634" s="263">
        <f>VLOOKUP("OPEXInsuranceEverythingDefault", Econ.inputsTable!$E:$G,2,FALSE)</f>
        <v>5.0000000000000001E-3</v>
      </c>
      <c r="D634" s="237">
        <f>VLOOKUP("OPEXRepair and maintenanceEquipmentDefault",Econ.inputsTable!$E:$G,2,FALSE)</f>
        <v>0.03</v>
      </c>
      <c r="E634"/>
      <c r="F634"/>
      <c r="G634"/>
      <c r="H634" s="147">
        <f>(E572+(E593/E582))</f>
        <v>27.070907641313227</v>
      </c>
      <c r="I634" s="259">
        <f>H634*E604</f>
        <v>100.06735471019319</v>
      </c>
      <c r="J634" s="259">
        <f>I634*VLOOKUP("OPEXLubeLubeDefault",Econ.inputsTable!$E:$G,2,FALSE)</f>
        <v>10.006735471019319</v>
      </c>
      <c r="K634" s="147">
        <f>(E566*VLOOKUP("OPEXLaborTractorDefault",Econ.inputsTable!$E:$G,2,FALSE))+(E587/E582*VLOOKUP("OPEXLaborTractorDefault",Econ.inputsTable!$E:$G,2,FALSE))</f>
        <v>1.1668494672979841</v>
      </c>
      <c r="L634" s="233">
        <f>K634*E607</f>
        <v>27.607658396270303</v>
      </c>
      <c r="O634" s="264">
        <f t="shared" si="33"/>
        <v>161.3465165465289</v>
      </c>
    </row>
    <row r="635" spans="1:23" x14ac:dyDescent="0.3">
      <c r="B635" s="99" t="s">
        <v>7048</v>
      </c>
      <c r="C635" s="263">
        <f>VLOOKUP("OPEXInsuranceEverythingDefault", Econ.inputsTable!$E:$G,2,FALSE)</f>
        <v>5.0000000000000001E-3</v>
      </c>
      <c r="D635" s="237">
        <f>VLOOKUP("OPEXRepair and maintenanceEquipmentDefault",Econ.inputsTable!$E:$G,2,FALSE)</f>
        <v>0.03</v>
      </c>
      <c r="E635"/>
      <c r="F635"/>
      <c r="G635"/>
      <c r="H635" s="147"/>
      <c r="I635" s="369"/>
      <c r="J635" s="369"/>
      <c r="K635" s="205"/>
      <c r="L635" s="233"/>
      <c r="O635" s="264">
        <f t="shared" si="33"/>
        <v>1557.4999999999998</v>
      </c>
    </row>
    <row r="636" spans="1:23" x14ac:dyDescent="0.3">
      <c r="B636" s="99" t="s">
        <v>7007</v>
      </c>
      <c r="C636" s="263">
        <f>VLOOKUP("OPEXInsuranceEverythingDefault", Econ.inputsTable!$E:$G,2,FALSE)</f>
        <v>5.0000000000000001E-3</v>
      </c>
      <c r="D636" s="237">
        <f>VLOOKUP("OPEXRepair and maintenanceEquipmentDefault",Econ.inputsTable!$E:$G,2,FALSE)</f>
        <v>0.03</v>
      </c>
      <c r="E636"/>
      <c r="F636"/>
      <c r="G636"/>
      <c r="H636" s="147"/>
      <c r="I636" s="369"/>
      <c r="J636" s="369"/>
      <c r="K636" s="205"/>
      <c r="L636" s="233"/>
      <c r="O636" s="264">
        <f t="shared" si="33"/>
        <v>0</v>
      </c>
    </row>
    <row r="637" spans="1:23" x14ac:dyDescent="0.3">
      <c r="B637" s="99" t="s">
        <v>7008</v>
      </c>
      <c r="C637" s="263">
        <f>VLOOKUP("OPEXInsuranceEverythingDefault", Econ.inputsTable!$E:$G,2,FALSE)</f>
        <v>5.0000000000000001E-3</v>
      </c>
      <c r="D637" s="237">
        <f>VLOOKUP("OPEXRepair and maintenanceEquipmentDefault",Econ.inputsTable!$E:$G,2,FALSE)</f>
        <v>0.03</v>
      </c>
      <c r="E637"/>
      <c r="F637"/>
      <c r="G637"/>
      <c r="H637" s="147"/>
      <c r="I637" s="369"/>
      <c r="J637" s="369"/>
      <c r="K637" s="205"/>
      <c r="L637" s="233"/>
      <c r="O637" s="264">
        <f t="shared" si="33"/>
        <v>2831.4999999999995</v>
      </c>
    </row>
    <row r="638" spans="1:23" x14ac:dyDescent="0.3">
      <c r="B638" s="99" t="s">
        <v>7039</v>
      </c>
      <c r="C638" s="263">
        <f>VLOOKUP("OPEXInsuranceEverythingDefault", Econ.inputsTable!$E:$G,2,FALSE)</f>
        <v>5.0000000000000001E-3</v>
      </c>
      <c r="D638" s="237">
        <f>VLOOKUP("OPEXRepair and maintenanceEquipmentDefault",Econ.inputsTable!$E:$G,2,FALSE)</f>
        <v>0.03</v>
      </c>
      <c r="E638"/>
      <c r="F638"/>
      <c r="G638"/>
      <c r="H638" s="147">
        <f>(E573+(E594/E582))</f>
        <v>10.349447449077772</v>
      </c>
      <c r="I638" s="259">
        <f>H638*E604</f>
        <v>38.25663485921929</v>
      </c>
      <c r="J638" s="259">
        <f>I638*VLOOKUP("OPEXLubeLubeDefault",Econ.inputsTable!$E:$G,2,FALSE)</f>
        <v>3.825663485921929</v>
      </c>
      <c r="K638" s="205">
        <f>(E567*VLOOKUP("OPEXLaborTractorDefault",Econ.inputsTable!$E:$G,2,FALSE))+(E588/E582*VLOOKUP("OPEXLaborTractorDefault",Econ.inputsTable!$E:$G,2,FALSE))</f>
        <v>0.7609887830204245</v>
      </c>
      <c r="L638" s="233">
        <f>K638*E607</f>
        <v>18.004994606263242</v>
      </c>
      <c r="O638" s="264">
        <f t="shared" si="33"/>
        <v>71.968749182299263</v>
      </c>
    </row>
    <row r="639" spans="1:23" x14ac:dyDescent="0.3">
      <c r="B639" s="99" t="s">
        <v>1325</v>
      </c>
      <c r="C639" s="263">
        <f>VLOOKUP("OPEXInsuranceEverythingDefault", Econ.inputsTable!$E:$G,2,FALSE)</f>
        <v>5.0000000000000001E-3</v>
      </c>
      <c r="D639" s="237">
        <f>VLOOKUP("OPEXRepair and maintenanceEquipmentDefault",Econ.inputsTable!$E:$G,2,FALSE)</f>
        <v>0.03</v>
      </c>
      <c r="E639"/>
      <c r="F639"/>
      <c r="G639"/>
      <c r="H639" s="147"/>
      <c r="I639" s="259"/>
      <c r="J639" s="259"/>
      <c r="K639" s="205"/>
      <c r="L639" s="233"/>
      <c r="O639" s="264">
        <f t="shared" si="33"/>
        <v>461.99999999999994</v>
      </c>
    </row>
    <row r="640" spans="1:23" x14ac:dyDescent="0.3">
      <c r="B640" s="99" t="s">
        <v>3007</v>
      </c>
      <c r="C640" s="263">
        <f>VLOOKUP("OPEXInsuranceEverythingDefault", Econ.inputsTable!$E:$G,2,FALSE)</f>
        <v>5.0000000000000001E-3</v>
      </c>
      <c r="D640" s="237">
        <f>VLOOKUP("OPEXRepair and maintenanceEquipmentDefault",Econ.inputsTable!$E:$G,2,FALSE)</f>
        <v>0.03</v>
      </c>
      <c r="E640"/>
      <c r="F640"/>
      <c r="G640"/>
      <c r="H640" s="147"/>
      <c r="I640" s="259"/>
      <c r="J640" s="259"/>
      <c r="K640" s="205"/>
      <c r="L640" s="233"/>
      <c r="O640" s="264">
        <f t="shared" si="33"/>
        <v>532</v>
      </c>
    </row>
    <row r="641" spans="1:15" x14ac:dyDescent="0.3">
      <c r="B641" s="235" t="s">
        <v>3465</v>
      </c>
      <c r="C641" s="263">
        <f>VLOOKUP("OPEXInsuranceEverythingDefault", Econ.inputsTable!$E:$G,2,FALSE)</f>
        <v>5.0000000000000001E-3</v>
      </c>
      <c r="D641" s="237">
        <f>VLOOKUP("OPEXRepair and maintenanceBuildings and constructionDefault",Econ.inputsTable!$E:$G,2,FALSE)</f>
        <v>0.01</v>
      </c>
      <c r="E641"/>
      <c r="F641"/>
      <c r="G641"/>
      <c r="H641" s="147"/>
      <c r="I641" s="259"/>
      <c r="J641" s="259"/>
      <c r="K641" s="205"/>
      <c r="L641" s="233"/>
      <c r="O641" s="264">
        <f t="shared" si="33"/>
        <v>1425.6</v>
      </c>
    </row>
    <row r="642" spans="1:15" x14ac:dyDescent="0.3">
      <c r="B642" s="99" t="s">
        <v>349</v>
      </c>
      <c r="C642" s="263">
        <f>VLOOKUP("OPEXInsuranceEverythingDefault", Econ.inputsTable!$E:$G,2,FALSE)</f>
        <v>5.0000000000000001E-3</v>
      </c>
      <c r="D642" s="237">
        <f>VLOOKUP("OPEXRepair and maintenanceEquipmentDefault",Econ.inputsTable!$E:$G,2,FALSE)</f>
        <v>0.03</v>
      </c>
      <c r="E642"/>
      <c r="F642"/>
      <c r="G642"/>
      <c r="H642" s="147">
        <f>(E574+(E595/E582))</f>
        <v>0.75715728270079896</v>
      </c>
      <c r="I642" s="259">
        <f>H642*E604</f>
        <v>2.7988247525102703</v>
      </c>
      <c r="J642" s="259">
        <f>I642*VLOOKUP("OPEXLubeLubeDefault",Econ.inputsTable!$E:$G,2,FALSE)</f>
        <v>0.27988247525102705</v>
      </c>
      <c r="K642" s="205">
        <f>(E568*VLOOKUP("OPEXLaborTractorDefault",Econ.inputsTable!$E:$G,2,FALSE))+(E589/E582*VLOOKUP("OPEXLaborTractorDefault",Econ.inputsTable!$E:$G,2,FALSE))</f>
        <v>0.15219775660408488</v>
      </c>
      <c r="L642" s="233">
        <f>K642*E607</f>
        <v>3.6009989212526485</v>
      </c>
      <c r="O642" s="264">
        <f t="shared" si="33"/>
        <v>7.8167617524433721</v>
      </c>
    </row>
    <row r="643" spans="1:15" x14ac:dyDescent="0.3">
      <c r="A643" t="s">
        <v>5205</v>
      </c>
      <c r="B643" s="162" t="s">
        <v>5203</v>
      </c>
      <c r="C643" s="241"/>
      <c r="D643" s="241"/>
      <c r="E643" s="242">
        <f t="shared" ref="E643:O643" si="34">SUM(E630:E642)</f>
        <v>0</v>
      </c>
      <c r="F643" s="286">
        <f t="shared" si="34"/>
        <v>940.31230973063862</v>
      </c>
      <c r="G643" s="242">
        <f t="shared" si="34"/>
        <v>64.49758851160739</v>
      </c>
      <c r="H643" s="286">
        <f t="shared" si="34"/>
        <v>67.233447724780731</v>
      </c>
      <c r="I643" s="242">
        <f t="shared" si="34"/>
        <v>248.52780523684316</v>
      </c>
      <c r="J643" s="242">
        <f t="shared" si="34"/>
        <v>24.852780523684324</v>
      </c>
      <c r="K643" s="402">
        <f t="shared" si="34"/>
        <v>10.329263495158749</v>
      </c>
      <c r="L643" s="242">
        <f t="shared" si="34"/>
        <v>244.39037429545596</v>
      </c>
      <c r="M643" s="374">
        <f t="shared" si="34"/>
        <v>0</v>
      </c>
      <c r="N643" s="242">
        <f t="shared" si="34"/>
        <v>0</v>
      </c>
      <c r="O643" s="169">
        <f t="shared" si="34"/>
        <v>31142.615620221601</v>
      </c>
    </row>
    <row r="644" spans="1:15" x14ac:dyDescent="0.3">
      <c r="B644" s="99"/>
      <c r="D644"/>
      <c r="E644"/>
      <c r="F644"/>
      <c r="G644"/>
      <c r="H644"/>
      <c r="K644"/>
      <c r="L644"/>
      <c r="O644" s="146"/>
    </row>
    <row r="645" spans="1:15" x14ac:dyDescent="0.3">
      <c r="A645" t="s">
        <v>5205</v>
      </c>
      <c r="B645" s="149" t="s">
        <v>6980</v>
      </c>
      <c r="C645" s="159">
        <f>O643</f>
        <v>31142.615620221601</v>
      </c>
      <c r="D645" s="150" t="s">
        <v>5181</v>
      </c>
      <c r="E645" s="150"/>
      <c r="F645" s="150"/>
      <c r="G645" s="150"/>
      <c r="H645" s="150"/>
      <c r="I645" s="150"/>
      <c r="J645" s="150"/>
      <c r="K645" s="150"/>
      <c r="L645" s="150"/>
      <c r="M645" s="150"/>
      <c r="N645" s="150"/>
      <c r="O645" s="151"/>
    </row>
    <row r="646" spans="1:15" x14ac:dyDescent="0.3">
      <c r="D646"/>
      <c r="E646"/>
      <c r="F646"/>
      <c r="G646"/>
      <c r="H646"/>
      <c r="K646"/>
      <c r="L646"/>
    </row>
    <row r="647" spans="1:15" x14ac:dyDescent="0.3">
      <c r="B647" s="384" t="s">
        <v>7123</v>
      </c>
      <c r="C647" s="3057" t="s">
        <v>6402</v>
      </c>
      <c r="D647" s="3058"/>
      <c r="E647" s="3059" t="s">
        <v>6417</v>
      </c>
      <c r="F647" s="3058"/>
      <c r="G647"/>
      <c r="H647"/>
      <c r="K647"/>
      <c r="L647"/>
    </row>
    <row r="648" spans="1:15" x14ac:dyDescent="0.3">
      <c r="B648" s="385" t="s">
        <v>7012</v>
      </c>
      <c r="C648" s="139" t="s">
        <v>7124</v>
      </c>
      <c r="D648" s="245" t="s">
        <v>7125</v>
      </c>
      <c r="E648" s="139" t="s">
        <v>7124</v>
      </c>
      <c r="F648" s="245" t="s">
        <v>7125</v>
      </c>
    </row>
    <row r="649" spans="1:15" x14ac:dyDescent="0.3">
      <c r="A649" t="s">
        <v>5205</v>
      </c>
      <c r="B649" s="386" t="s">
        <v>7013</v>
      </c>
      <c r="C649" s="387">
        <f xml:space="preserve"> VLOOKUP("Fertilizer value for on-farm use, liquids",$R$1:$T$332,3, FALSE)</f>
        <v>5292.384684415726</v>
      </c>
      <c r="D649" s="388">
        <f>VLOOKUP("Fertilizer value for on-farm use, liquids",$R$1:$T$332,3, FALSE)</f>
        <v>5292.384684415726</v>
      </c>
      <c r="E649" s="387">
        <v>0</v>
      </c>
      <c r="F649" s="389">
        <f>VLOOKUP("Fertilizer value for on-farm use, sludge",$R$1:$T$332,3, FALSE)</f>
        <v>9409.3847903288861</v>
      </c>
    </row>
    <row r="650" spans="1:15" x14ac:dyDescent="0.3">
      <c r="A650" t="s">
        <v>5205</v>
      </c>
      <c r="B650" s="386" t="s">
        <v>7126</v>
      </c>
      <c r="C650" s="390">
        <f>C649</f>
        <v>5292.384684415726</v>
      </c>
      <c r="D650" s="391"/>
      <c r="E650" s="390">
        <f>(F649/UDV.anaer_lagoon.sludge_time)</f>
        <v>940.93847903288861</v>
      </c>
      <c r="F650" s="391"/>
    </row>
    <row r="651" spans="1:15" x14ac:dyDescent="0.3">
      <c r="A651" t="s">
        <v>5205</v>
      </c>
      <c r="B651" s="386" t="s">
        <v>7014</v>
      </c>
      <c r="C651" s="393">
        <f>SUM(C650,E650)</f>
        <v>6233.3231634486147</v>
      </c>
      <c r="D651" s="146"/>
      <c r="E651" s="99"/>
      <c r="F651" s="146"/>
    </row>
    <row r="652" spans="1:15" x14ac:dyDescent="0.3">
      <c r="B652" s="386"/>
      <c r="D652" s="146"/>
      <c r="E652" s="99"/>
      <c r="F652" s="146"/>
    </row>
    <row r="653" spans="1:15" x14ac:dyDescent="0.3">
      <c r="B653" s="394" t="s">
        <v>7015</v>
      </c>
      <c r="C653" s="139" t="s">
        <v>7124</v>
      </c>
      <c r="D653" s="245" t="s">
        <v>7125</v>
      </c>
      <c r="E653" s="139" t="s">
        <v>7124</v>
      </c>
      <c r="F653" s="245" t="s">
        <v>7125</v>
      </c>
    </row>
    <row r="654" spans="1:15" x14ac:dyDescent="0.3">
      <c r="A654" t="s">
        <v>5205</v>
      </c>
      <c r="B654" s="386" t="s">
        <v>7016</v>
      </c>
      <c r="C654" s="387">
        <f>UDV.econ_manure.liquid_sell_price*C533</f>
        <v>0</v>
      </c>
      <c r="D654" s="389">
        <f>UDV.econ_manure.liquid_sell_price*C533</f>
        <v>0</v>
      </c>
      <c r="E654" s="387">
        <v>0</v>
      </c>
      <c r="F654" s="389">
        <f>UDV.econ_manure.sludge_sell_price*C536</f>
        <v>0</v>
      </c>
    </row>
    <row r="655" spans="1:15" x14ac:dyDescent="0.3">
      <c r="A655" t="s">
        <v>5205</v>
      </c>
      <c r="B655" s="386" t="s">
        <v>7127</v>
      </c>
      <c r="C655" s="390">
        <f>C654</f>
        <v>0</v>
      </c>
      <c r="D655" s="391"/>
      <c r="E655" s="390">
        <f>(F654/UDV.anaer_lagoon.sludge_time)</f>
        <v>0</v>
      </c>
      <c r="F655" s="391"/>
    </row>
    <row r="656" spans="1:15" x14ac:dyDescent="0.3">
      <c r="A656" t="s">
        <v>5205</v>
      </c>
      <c r="B656" s="386" t="s">
        <v>7017</v>
      </c>
      <c r="C656" s="393">
        <f>SUM(C655,E655)</f>
        <v>0</v>
      </c>
      <c r="D656" s="146"/>
      <c r="E656" s="99"/>
      <c r="F656" s="146"/>
    </row>
    <row r="657" spans="1:23" x14ac:dyDescent="0.3">
      <c r="B657" s="386"/>
      <c r="C657" s="166"/>
      <c r="D657" s="146"/>
      <c r="E657" s="395"/>
      <c r="F657" s="396"/>
    </row>
    <row r="658" spans="1:23" x14ac:dyDescent="0.3">
      <c r="B658" s="397" t="s">
        <v>7018</v>
      </c>
      <c r="C658" s="139" t="s">
        <v>7124</v>
      </c>
      <c r="D658" s="245" t="s">
        <v>7125</v>
      </c>
      <c r="E658" s="139" t="s">
        <v>7124</v>
      </c>
      <c r="F658" s="245" t="s">
        <v>7125</v>
      </c>
    </row>
    <row r="659" spans="1:23" x14ac:dyDescent="0.3">
      <c r="A659" t="s">
        <v>5205</v>
      </c>
      <c r="B659" s="386" t="s">
        <v>7019</v>
      </c>
      <c r="C659" s="387">
        <f>UDV.econ_manure.liquid_sell_price*C534</f>
        <v>0</v>
      </c>
      <c r="D659" s="389">
        <f>UDV.econ_manure.liquid_sell_price*C534</f>
        <v>0</v>
      </c>
      <c r="E659" s="387"/>
      <c r="F659" s="389">
        <f>UDV.econ_manure.sludge_sell_price*C537</f>
        <v>4341.4773417348624</v>
      </c>
    </row>
    <row r="660" spans="1:23" x14ac:dyDescent="0.3">
      <c r="A660" t="s">
        <v>5205</v>
      </c>
      <c r="B660" s="386" t="s">
        <v>7128</v>
      </c>
      <c r="C660" s="390">
        <f>C659</f>
        <v>0</v>
      </c>
      <c r="D660" s="391"/>
      <c r="E660" s="390">
        <f>(F659/UDV.anaer_lagoon.sludge_time)</f>
        <v>434.14773417348624</v>
      </c>
      <c r="F660" s="391"/>
    </row>
    <row r="661" spans="1:23" x14ac:dyDescent="0.3">
      <c r="A661" t="s">
        <v>5205</v>
      </c>
      <c r="B661" s="386" t="s">
        <v>7020</v>
      </c>
      <c r="C661" s="393">
        <f>SUM(C660,E660)</f>
        <v>434.14773417348624</v>
      </c>
      <c r="D661" s="146"/>
      <c r="E661" s="99"/>
      <c r="F661" s="146"/>
    </row>
    <row r="662" spans="1:23" x14ac:dyDescent="0.3">
      <c r="B662" s="386"/>
      <c r="D662" s="146"/>
      <c r="E662" s="99"/>
      <c r="F662" s="146"/>
    </row>
    <row r="663" spans="1:23" x14ac:dyDescent="0.3">
      <c r="B663" s="398" t="s">
        <v>7021</v>
      </c>
      <c r="C663" s="139" t="s">
        <v>7124</v>
      </c>
      <c r="D663" s="245" t="s">
        <v>7125</v>
      </c>
      <c r="E663" s="139" t="s">
        <v>7124</v>
      </c>
      <c r="F663" s="245" t="s">
        <v>7125</v>
      </c>
    </row>
    <row r="664" spans="1:23" x14ac:dyDescent="0.3">
      <c r="A664" t="s">
        <v>5205</v>
      </c>
      <c r="B664" s="386" t="s">
        <v>7022</v>
      </c>
      <c r="C664" s="387">
        <f>UDV.econ_manure.liquid_export_cost*C535</f>
        <v>0</v>
      </c>
      <c r="D664" s="389">
        <f>UDV.econ_manure.liquid_export_cost*C535</f>
        <v>0</v>
      </c>
      <c r="E664" s="387"/>
      <c r="F664" s="389">
        <f>UDV.econ_manure.sludge_export_cost*C538</f>
        <v>0</v>
      </c>
    </row>
    <row r="665" spans="1:23" x14ac:dyDescent="0.3">
      <c r="A665" t="s">
        <v>5205</v>
      </c>
      <c r="B665" s="386" t="s">
        <v>7129</v>
      </c>
      <c r="C665" s="390">
        <f>C664</f>
        <v>0</v>
      </c>
      <c r="D665" s="391"/>
      <c r="E665" s="390">
        <f>(F664/UDV.anaer_lagoon.sludge_time)</f>
        <v>0</v>
      </c>
      <c r="F665" s="391"/>
    </row>
    <row r="666" spans="1:23" x14ac:dyDescent="0.3">
      <c r="A666" t="s">
        <v>5205</v>
      </c>
      <c r="B666" s="386" t="s">
        <v>7023</v>
      </c>
      <c r="C666" s="393">
        <f>SUM(C665,E665)</f>
        <v>0</v>
      </c>
      <c r="D666" s="146"/>
      <c r="E666" s="99"/>
      <c r="F666" s="146"/>
    </row>
    <row r="667" spans="1:23" x14ac:dyDescent="0.3">
      <c r="B667" s="386"/>
      <c r="D667" s="146"/>
      <c r="E667" s="99"/>
      <c r="F667" s="146"/>
    </row>
    <row r="668" spans="1:23" x14ac:dyDescent="0.3">
      <c r="B668" s="303" t="s">
        <v>7138</v>
      </c>
      <c r="C668" s="82" t="s">
        <v>5181</v>
      </c>
      <c r="D668" s="173"/>
      <c r="E668" s="99"/>
      <c r="F668" s="146"/>
    </row>
    <row r="669" spans="1:23" x14ac:dyDescent="0.3">
      <c r="B669" s="70" t="s">
        <v>7139</v>
      </c>
      <c r="C669" s="265"/>
      <c r="D669" s="151"/>
      <c r="E669" s="149"/>
      <c r="F669" s="151"/>
    </row>
    <row r="670" spans="1:23" ht="15" thickBot="1" x14ac:dyDescent="0.35">
      <c r="A670" s="137"/>
      <c r="B670" s="137"/>
      <c r="C670" s="137"/>
      <c r="D670" s="137"/>
      <c r="E670" s="137"/>
      <c r="F670" s="137"/>
      <c r="G670" s="137"/>
      <c r="H670" s="137"/>
      <c r="I670" s="137"/>
      <c r="J670" s="137"/>
      <c r="K670" s="137"/>
      <c r="L670" s="137"/>
      <c r="M670" s="137"/>
      <c r="N670" s="137"/>
      <c r="O670" s="137"/>
      <c r="P670" s="137"/>
      <c r="Q670" s="137"/>
    </row>
    <row r="671" spans="1:23" x14ac:dyDescent="0.3">
      <c r="D671"/>
      <c r="E671"/>
      <c r="F671"/>
      <c r="G671"/>
      <c r="H671"/>
      <c r="K671"/>
      <c r="L671"/>
      <c r="P671"/>
    </row>
    <row r="672" spans="1:23" x14ac:dyDescent="0.3">
      <c r="B672" s="139" t="s">
        <v>7050</v>
      </c>
      <c r="C672" s="142"/>
      <c r="D672" s="142"/>
      <c r="E672" s="267"/>
      <c r="F672" s="267"/>
      <c r="G672" s="269"/>
      <c r="H672" s="270"/>
      <c r="I672" s="142"/>
      <c r="J672" s="142"/>
      <c r="K672" s="269"/>
      <c r="L672" s="269"/>
      <c r="M672" s="142"/>
      <c r="N672" s="142"/>
      <c r="O672" s="142"/>
      <c r="P672" s="271"/>
      <c r="Q672" s="142"/>
      <c r="R672" s="142"/>
      <c r="S672" s="142"/>
      <c r="T672" s="142"/>
      <c r="U672" s="269"/>
      <c r="V672" s="142"/>
      <c r="W672" s="208"/>
    </row>
    <row r="673" spans="1:23" x14ac:dyDescent="0.3">
      <c r="B673" s="92" t="s">
        <v>7051</v>
      </c>
      <c r="D673"/>
      <c r="F673" s="66"/>
      <c r="W673" s="1256"/>
    </row>
    <row r="674" spans="1:23" x14ac:dyDescent="0.3">
      <c r="B674" s="99"/>
      <c r="F674" s="66"/>
      <c r="W674" s="1256"/>
    </row>
    <row r="675" spans="1:23" x14ac:dyDescent="0.3">
      <c r="B675" s="92" t="s">
        <v>7052</v>
      </c>
      <c r="C675" s="82" t="s">
        <v>565</v>
      </c>
      <c r="D675" s="82" t="s">
        <v>38</v>
      </c>
      <c r="F675"/>
      <c r="W675" s="1256"/>
    </row>
    <row r="676" spans="1:23" x14ac:dyDescent="0.3">
      <c r="A676" s="292"/>
      <c r="B676" s="99" t="s">
        <v>5859</v>
      </c>
      <c r="C676">
        <f>UDV.animal.total</f>
        <v>500</v>
      </c>
      <c r="D676" t="s">
        <v>2442</v>
      </c>
      <c r="F676"/>
      <c r="W676" s="1256"/>
    </row>
    <row r="677" spans="1:23" x14ac:dyDescent="0.3">
      <c r="A677" s="292"/>
      <c r="B677" s="174" t="s">
        <v>5386</v>
      </c>
      <c r="C677">
        <f>UDV.crops.acres_available</f>
        <v>100</v>
      </c>
      <c r="D677" t="s">
        <v>7029</v>
      </c>
      <c r="F677"/>
      <c r="W677" s="1256"/>
    </row>
    <row r="678" spans="1:23" x14ac:dyDescent="0.3">
      <c r="B678" s="99" t="s">
        <v>5114</v>
      </c>
      <c r="C678" t="str">
        <f>UDV.u.state</f>
        <v>Iowa</v>
      </c>
      <c r="D678" t="s">
        <v>2852</v>
      </c>
      <c r="F678"/>
      <c r="W678" s="1256"/>
    </row>
    <row r="679" spans="1:23" x14ac:dyDescent="0.3">
      <c r="B679" s="99"/>
      <c r="W679" s="1256"/>
    </row>
    <row r="680" spans="1:23" x14ac:dyDescent="0.3">
      <c r="B680" s="99"/>
      <c r="W680" s="1256"/>
    </row>
    <row r="681" spans="1:23" x14ac:dyDescent="0.3">
      <c r="A681" t="s">
        <v>4912</v>
      </c>
      <c r="B681" s="92" t="s">
        <v>7053</v>
      </c>
      <c r="C681" s="82" t="s">
        <v>5181</v>
      </c>
      <c r="D681" s="82" t="s">
        <v>7140</v>
      </c>
      <c r="F681"/>
      <c r="G681"/>
      <c r="H681"/>
      <c r="I681" s="42"/>
      <c r="J681" s="3"/>
      <c r="K681"/>
      <c r="P681"/>
      <c r="T681" s="20"/>
      <c r="U681"/>
      <c r="W681" s="113"/>
    </row>
    <row r="682" spans="1:23" x14ac:dyDescent="0.3">
      <c r="A682" t="s">
        <v>4912</v>
      </c>
      <c r="B682" s="275" t="s">
        <v>2585</v>
      </c>
      <c r="C682" s="276">
        <f>F700</f>
        <v>53942.511612497787</v>
      </c>
      <c r="D682" s="153">
        <f>C682/C676</f>
        <v>107.88502322499558</v>
      </c>
      <c r="F682"/>
      <c r="G682"/>
      <c r="H682"/>
      <c r="I682" s="42"/>
      <c r="J682" s="3"/>
      <c r="K682"/>
      <c r="P682"/>
      <c r="T682" s="20"/>
      <c r="U682"/>
      <c r="W682" s="113"/>
    </row>
    <row r="683" spans="1:23" x14ac:dyDescent="0.3">
      <c r="A683" t="s">
        <v>4912</v>
      </c>
      <c r="B683" s="275" t="s">
        <v>2588</v>
      </c>
      <c r="C683" s="276">
        <f>G700+L700</f>
        <v>55509.024267126668</v>
      </c>
      <c r="D683" s="153">
        <f>C683/C676</f>
        <v>111.01804853425334</v>
      </c>
      <c r="F683"/>
      <c r="G683"/>
      <c r="H683"/>
      <c r="I683" s="42"/>
      <c r="J683" s="3"/>
      <c r="K683"/>
      <c r="P683"/>
      <c r="T683" s="20"/>
      <c r="U683"/>
      <c r="W683" s="113"/>
    </row>
    <row r="684" spans="1:23" x14ac:dyDescent="0.3">
      <c r="A684" t="s">
        <v>4912</v>
      </c>
      <c r="B684" s="275" t="s">
        <v>441</v>
      </c>
      <c r="C684" s="276">
        <f>I700</f>
        <v>860.94465773275579</v>
      </c>
      <c r="D684" s="153">
        <f>C684/C676</f>
        <v>1.7218893154655115</v>
      </c>
      <c r="F684" s="66"/>
      <c r="G684" s="66"/>
      <c r="H684"/>
      <c r="I684" s="42"/>
      <c r="J684" s="3"/>
      <c r="K684"/>
      <c r="P684"/>
      <c r="T684" s="20"/>
      <c r="U684"/>
      <c r="W684" s="113"/>
    </row>
    <row r="685" spans="1:23" x14ac:dyDescent="0.3">
      <c r="A685" t="s">
        <v>4912</v>
      </c>
      <c r="B685" s="275" t="s">
        <v>440</v>
      </c>
      <c r="C685" s="276">
        <f>J700</f>
        <v>6233.3231634486147</v>
      </c>
      <c r="D685" s="153">
        <f>C685/C676</f>
        <v>12.46664632689723</v>
      </c>
      <c r="F685" s="66"/>
      <c r="G685" s="66"/>
      <c r="H685"/>
      <c r="I685" s="42"/>
      <c r="J685" s="3"/>
      <c r="K685"/>
      <c r="P685"/>
      <c r="T685" s="20"/>
      <c r="U685"/>
      <c r="W685" s="113"/>
    </row>
    <row r="686" spans="1:23" x14ac:dyDescent="0.3">
      <c r="A686" t="s">
        <v>4912</v>
      </c>
      <c r="B686" s="275" t="s">
        <v>442</v>
      </c>
      <c r="C686" s="276">
        <f>K700</f>
        <v>0</v>
      </c>
      <c r="D686" s="153">
        <f>C686/C676</f>
        <v>0</v>
      </c>
      <c r="F686" s="66"/>
      <c r="G686" s="66"/>
      <c r="H686"/>
      <c r="I686" s="42"/>
      <c r="J686" s="3"/>
      <c r="K686"/>
      <c r="P686" s="277"/>
      <c r="T686" s="20"/>
      <c r="U686"/>
      <c r="W686" s="113"/>
    </row>
    <row r="687" spans="1:23" x14ac:dyDescent="0.3">
      <c r="A687" t="s">
        <v>4912</v>
      </c>
      <c r="B687" s="2270" t="s">
        <v>439</v>
      </c>
      <c r="C687" s="2271">
        <f>M700</f>
        <v>-109451.53587962445</v>
      </c>
      <c r="D687" s="159">
        <f>C687/C676</f>
        <v>-218.90307175924892</v>
      </c>
      <c r="E687" s="288"/>
      <c r="F687" s="66"/>
      <c r="G687" s="66"/>
      <c r="H687"/>
      <c r="I687" s="42"/>
      <c r="J687" s="3"/>
      <c r="K687"/>
      <c r="P687"/>
      <c r="T687" s="20"/>
      <c r="U687"/>
      <c r="W687" s="113"/>
    </row>
    <row r="688" spans="1:23" x14ac:dyDescent="0.3">
      <c r="A688" t="s">
        <v>4912</v>
      </c>
      <c r="B688" s="99" t="s">
        <v>7055</v>
      </c>
      <c r="C688" s="276">
        <f>L700</f>
        <v>0</v>
      </c>
      <c r="D688" s="153">
        <f>C688/C676</f>
        <v>0</v>
      </c>
      <c r="E688" s="279" t="s">
        <v>7056</v>
      </c>
      <c r="F688"/>
      <c r="G688"/>
      <c r="H688"/>
      <c r="I688" s="42"/>
      <c r="J688" s="3"/>
      <c r="K688"/>
      <c r="P688"/>
      <c r="T688" s="20"/>
      <c r="U688"/>
      <c r="W688" s="113"/>
    </row>
    <row r="689" spans="1:25" x14ac:dyDescent="0.3">
      <c r="A689" t="s">
        <v>4912</v>
      </c>
      <c r="B689" s="99" t="s">
        <v>7057</v>
      </c>
      <c r="C689" s="153">
        <f>C682+C683</f>
        <v>109451.53587962445</v>
      </c>
      <c r="D689" s="153">
        <f>C689/C676</f>
        <v>218.90307175924892</v>
      </c>
      <c r="F689" s="66"/>
      <c r="G689" s="66"/>
      <c r="H689"/>
      <c r="I689" s="42"/>
      <c r="J689" s="3"/>
      <c r="K689"/>
      <c r="P689"/>
      <c r="T689" s="20"/>
      <c r="U689"/>
      <c r="W689" s="113"/>
    </row>
    <row r="690" spans="1:25" ht="13.5" customHeight="1" x14ac:dyDescent="0.3">
      <c r="A690" t="s">
        <v>4912</v>
      </c>
      <c r="B690" s="853" t="s">
        <v>5392</v>
      </c>
      <c r="C690" s="142"/>
      <c r="D690" s="854">
        <f>E700</f>
        <v>1472802.7009858533</v>
      </c>
      <c r="E690" s="271" t="s">
        <v>2284</v>
      </c>
      <c r="F690"/>
      <c r="G690" s="66"/>
      <c r="H690"/>
      <c r="I690" s="42"/>
      <c r="J690" s="3"/>
      <c r="K690"/>
      <c r="P690"/>
      <c r="T690" s="20"/>
      <c r="U690"/>
      <c r="W690" s="113"/>
    </row>
    <row r="691" spans="1:25" ht="13.5" customHeight="1" x14ac:dyDescent="0.3">
      <c r="A691" t="s">
        <v>4912</v>
      </c>
      <c r="B691" s="852" t="s">
        <v>5393</v>
      </c>
      <c r="D691" s="274">
        <f>E700/C676</f>
        <v>2945.6054019717067</v>
      </c>
      <c r="E691" s="20" t="s">
        <v>7058</v>
      </c>
      <c r="F691"/>
      <c r="G691" s="66"/>
      <c r="H691"/>
      <c r="I691" s="42"/>
      <c r="J691" s="3"/>
      <c r="K691"/>
      <c r="P691"/>
      <c r="T691" s="20"/>
      <c r="U691"/>
      <c r="W691" s="113"/>
    </row>
    <row r="692" spans="1:25" x14ac:dyDescent="0.3">
      <c r="B692" s="174"/>
      <c r="D692"/>
      <c r="F692"/>
      <c r="G692"/>
      <c r="H692" s="42"/>
      <c r="I692" s="3"/>
      <c r="L692"/>
      <c r="N692" s="273" t="s">
        <v>7059</v>
      </c>
      <c r="O692" s="90"/>
      <c r="P692" s="90"/>
      <c r="Q692" s="90"/>
      <c r="R692" s="90"/>
      <c r="S692" s="279"/>
      <c r="T692" s="90"/>
      <c r="U692" s="90"/>
      <c r="V692" s="42"/>
      <c r="W692" s="146"/>
    </row>
    <row r="693" spans="1:25" x14ac:dyDescent="0.3">
      <c r="B693" s="92" t="s">
        <v>7060</v>
      </c>
      <c r="D693"/>
      <c r="F693"/>
      <c r="G693"/>
      <c r="H693"/>
      <c r="K693"/>
      <c r="L693"/>
      <c r="M693" s="113"/>
      <c r="N693" s="90" t="s">
        <v>5323</v>
      </c>
      <c r="O693" s="90" t="s">
        <v>5181</v>
      </c>
      <c r="P693" s="90" t="s">
        <v>5324</v>
      </c>
      <c r="Q693" s="90" t="s">
        <v>5181</v>
      </c>
      <c r="R693" s="90" t="s">
        <v>2710</v>
      </c>
      <c r="S693" s="90" t="s">
        <v>5181</v>
      </c>
      <c r="T693" s="90" t="s">
        <v>2710</v>
      </c>
      <c r="U693" s="90" t="s">
        <v>5181</v>
      </c>
      <c r="V693" s="90" t="s">
        <v>2710</v>
      </c>
      <c r="W693" s="280" t="s">
        <v>5181</v>
      </c>
    </row>
    <row r="694" spans="1:25" ht="57.6" x14ac:dyDescent="0.3">
      <c r="B694" s="92" t="s">
        <v>5187</v>
      </c>
      <c r="C694" s="82" t="s">
        <v>7061</v>
      </c>
      <c r="D694" s="82" t="s">
        <v>7062</v>
      </c>
      <c r="E694" s="277" t="s">
        <v>7063</v>
      </c>
      <c r="F694" s="897" t="s">
        <v>7064</v>
      </c>
      <c r="G694" s="277" t="s">
        <v>2588</v>
      </c>
      <c r="H694" s="152" t="s">
        <v>5188</v>
      </c>
      <c r="I694" s="82" t="s">
        <v>5189</v>
      </c>
      <c r="J694" s="82" t="s">
        <v>5190</v>
      </c>
      <c r="K694" s="82" t="s">
        <v>442</v>
      </c>
      <c r="L694" s="82" t="s">
        <v>5191</v>
      </c>
      <c r="M694" s="173" t="s">
        <v>439</v>
      </c>
      <c r="N694" s="281" t="s">
        <v>5192</v>
      </c>
      <c r="O694" s="281" t="s">
        <v>5193</v>
      </c>
      <c r="P694" s="281" t="s">
        <v>5194</v>
      </c>
      <c r="Q694" s="281" t="s">
        <v>5195</v>
      </c>
      <c r="R694" s="281" t="s">
        <v>5196</v>
      </c>
      <c r="S694" s="281" t="s">
        <v>5197</v>
      </c>
      <c r="T694" s="281" t="s">
        <v>5198</v>
      </c>
      <c r="U694" s="281" t="s">
        <v>5199</v>
      </c>
      <c r="V694" s="281" t="s">
        <v>5200</v>
      </c>
      <c r="W694" s="282" t="s">
        <v>5201</v>
      </c>
    </row>
    <row r="695" spans="1:25" x14ac:dyDescent="0.3">
      <c r="A695" t="s">
        <v>7066</v>
      </c>
      <c r="B695" s="99" t="s">
        <v>6945</v>
      </c>
      <c r="C695" s="158">
        <f>SUMIFS($C$300:$C$767,$A$300:$A$767,_xlfn.CONCAT(B695,"_construction"))</f>
        <v>17700.891908535374</v>
      </c>
      <c r="D695" s="158">
        <f>SUMIFS($C$300:$C$767,$A$300:$A$767,_xlfn.CONCAT(B695,"_equipment"))</f>
        <v>0</v>
      </c>
      <c r="E695" s="274">
        <f>SUM(C695:D695)</f>
        <v>17700.891908535374</v>
      </c>
      <c r="F695" s="158">
        <f>SUMIFS($D$300:$D$767,$A$300:$A$767,$B695,$B$300:$B$767,"Total capital recovery value")</f>
        <v>1432.4335079052032</v>
      </c>
      <c r="G695" s="158">
        <f>SUMIFS($C$300:$C$767,$A$300:$A$767,$B695,$B$300:$B$767,"Annual operational costs")</f>
        <v>265.51337862803058</v>
      </c>
      <c r="H695" s="153">
        <f>SUM(F695:G695)</f>
        <v>1697.9468865332337</v>
      </c>
      <c r="I695" s="158">
        <f>SUMIFS($C$300:$C$767,$A$300:$A$767,$B695,$B$300:$B$767,"Annual cost savings")</f>
        <v>0</v>
      </c>
      <c r="J695" s="158">
        <f>SUMIFS($C$300:$C$767,$A$300:$A$767,$B695,$B$300:$B$767,"Annual fertilizer value for on-farm use")</f>
        <v>0</v>
      </c>
      <c r="K695" s="158">
        <f>SUMIFS($C$300:$C$767,$A$300:$A$767,$B695,$B$300:$B$767,"Annual revenues")</f>
        <v>0</v>
      </c>
      <c r="L695" s="158">
        <f>SUMIFS($C$300:$C$767,$A$300:$A$767,$B695,$B$300:$B$767,"Annual cost to export excess")</f>
        <v>0</v>
      </c>
      <c r="M695" s="283">
        <f>K695-F695-G695</f>
        <v>-1697.9468865332337</v>
      </c>
      <c r="N695">
        <f>SUMIFS($F$300:$F$767,$A$300:$A$767,$B695,$B$300:$B$767,"Totals")</f>
        <v>0</v>
      </c>
      <c r="O695">
        <f>SUMIFS($G$300:$G$767,$A$300:$A$767,$B695,$B$300:$B$767,"Totals")</f>
        <v>0</v>
      </c>
      <c r="P695" s="147">
        <f>SUMIFS($H$300:$H$767,$A$300:$A$767,$B695,$B$300:$B$767,"Totals")</f>
        <v>0</v>
      </c>
      <c r="Q695" s="147">
        <f>SUMIFS($I$300:$I$767,$A$300:$A$767,$B695,$B$300:$B$767,"Totals")</f>
        <v>0</v>
      </c>
      <c r="R695" s="2315">
        <f>SUMIFS($K$300:$K$767,$A$300:$A$767,$B695,$B$300:$B$767,"Totals")</f>
        <v>0</v>
      </c>
      <c r="S695" s="2315">
        <f>SUMIFS($L$300:$L$767,$A$300:$A$767,$B695,$B$300:$B$767,"Totals")</f>
        <v>0</v>
      </c>
      <c r="T695" s="2315">
        <f>SUMIFS($M$300:$M$767,$A$300:$A$767,$B695,$B$300:$B$767,"Totals")</f>
        <v>0</v>
      </c>
      <c r="U695" s="2315">
        <f>SUMIFS($N$300:$N$767,$A$300:$A$767,$B695,$B$300:$B$767,"Totals")</f>
        <v>0</v>
      </c>
      <c r="V695" s="147">
        <f>R695+T695</f>
        <v>0</v>
      </c>
      <c r="W695" s="285">
        <f>S695+U695</f>
        <v>0</v>
      </c>
      <c r="Y695" s="36"/>
    </row>
    <row r="696" spans="1:25" ht="13.5" customHeight="1" x14ac:dyDescent="0.3">
      <c r="A696" t="str">
        <f>_xlfn.CONCAT("TL",B696)</f>
        <v>TLBarn and parlor</v>
      </c>
      <c r="B696" s="99" t="s">
        <v>5209</v>
      </c>
      <c r="C696" s="233">
        <f>SUMIFS($C:$C,$A:$A,_xlfn.CONCAT(B696,"_construction"))</f>
        <v>0</v>
      </c>
      <c r="D696" s="233">
        <f>SUMIFS($C:$C,$A:$A,_xlfn.CONCAT(B696,"_equipment"))</f>
        <v>0</v>
      </c>
      <c r="E696" s="274">
        <f>SUM(C696:D696)</f>
        <v>0</v>
      </c>
      <c r="F696" s="233">
        <f>SUMIFS($D:$D,$A:$A,$B696,$B:$B,"Total capital recovery value")</f>
        <v>0</v>
      </c>
      <c r="G696" s="233">
        <f>SUMIFS($C:$C,$A:$A,$B696,$B:$B,"Annual operational costs")</f>
        <v>37476.047923116217</v>
      </c>
      <c r="H696" s="153">
        <f>SUM(F696:G696)</f>
        <v>37476.047923116217</v>
      </c>
      <c r="I696" s="233">
        <f>SUMIFS($C:$C,$A:$A,$B696,$B:$B,"Annual cost savings")</f>
        <v>0</v>
      </c>
      <c r="J696" s="233">
        <f>SUMIFS($C:$C,$A:$A,$B696,$B:$B,"Annual fertilizer value for on-farm use")</f>
        <v>0</v>
      </c>
      <c r="K696" s="233">
        <f>SUMIFS($C:$C,$A:$A,$B696,$B:$B,"Annual revenues")</f>
        <v>0</v>
      </c>
      <c r="L696" s="233">
        <f>SUMIFS($C:$C,$A:$A,$B696,$B:$B,"Annual cost to export excess")</f>
        <v>0</v>
      </c>
      <c r="M696" s="283">
        <f>K696-F696-G696</f>
        <v>-37476.047923116217</v>
      </c>
      <c r="N696">
        <f>SUMIFS($F:$F,$A:$A,$B696,$B:$B,"Totals")</f>
        <v>0</v>
      </c>
      <c r="O696">
        <f>SUMIFS($G:$G,$A:$A,$B696,$B:$B,"Totals")</f>
        <v>0</v>
      </c>
      <c r="P696" s="147">
        <f>SUMIFS($H:$H,$A:$A,$B696,$B:$B,"Totals")</f>
        <v>0</v>
      </c>
      <c r="Q696" s="147">
        <f>SUMIFS($I:$I,$A:$A,$B696,$B:$B,"Totals")</f>
        <v>0</v>
      </c>
      <c r="R696" s="284">
        <f>SUMIFS($K:$K,$A:$A,$B696,$B:$B,"Totals")</f>
        <v>0</v>
      </c>
      <c r="S696" s="284">
        <f>SUMIFS($L:$L,$A:$A,$B696,$B:$B,"Totals")</f>
        <v>0</v>
      </c>
      <c r="T696" s="284">
        <f>SUMIFS($M:$M,$A:$A,$B696,$B:$B,"Totals")</f>
        <v>0</v>
      </c>
      <c r="U696" s="284">
        <f>SUMIFS($N:$N,$A:$A,$B696,$B:$B,"Totals")</f>
        <v>0</v>
      </c>
      <c r="V696" s="147">
        <f t="shared" ref="V696:W699" si="35">R696+T696</f>
        <v>0</v>
      </c>
      <c r="W696" s="285">
        <f t="shared" si="35"/>
        <v>0</v>
      </c>
    </row>
    <row r="697" spans="1:25" ht="13.5" customHeight="1" x14ac:dyDescent="0.3">
      <c r="A697" t="str">
        <f>_xlfn.CONCAT("TL",B697)</f>
        <v>TLLagoon</v>
      </c>
      <c r="B697" s="99" t="s">
        <v>5210</v>
      </c>
      <c r="C697" s="233">
        <f>SUMIFS($C:$C,$A:$A,_xlfn.CONCAT(B697,"_construction"))</f>
        <v>166001.80907731794</v>
      </c>
      <c r="D697" s="233">
        <f>SUMIFS($C:$C,$A:$A,_xlfn.CONCAT(B697,"_equipment"))</f>
        <v>0</v>
      </c>
      <c r="E697" s="274">
        <f>SUM(C697:D697)</f>
        <v>166001.80907731794</v>
      </c>
      <c r="F697" s="233">
        <f>SUMIFS($D:$D,$A:$A,$B697,$B:$B,"Total capital recovery value")</f>
        <v>13433.591647467869</v>
      </c>
      <c r="G697" s="233">
        <f>SUMIFS($C:$C,$A:$A,$B697,$B:$B,"Annual operational costs")</f>
        <v>2490.0271361597693</v>
      </c>
      <c r="H697" s="153">
        <f t="shared" ref="H697:H699" si="36">SUM(F697:G697)</f>
        <v>15923.618783627639</v>
      </c>
      <c r="I697" s="233">
        <f>SUMIFS($C:$C,$A:$A,$B697,$B:$B,"Annual cost savings")</f>
        <v>0</v>
      </c>
      <c r="J697" s="233">
        <f>SUMIFS($C:$C,$A:$A,$B697,$B:$B,"Annual fertilizer value for on-farm use")</f>
        <v>0</v>
      </c>
      <c r="K697" s="233">
        <f>SUMIFS($C:$C,$A:$A,$B697,$B:$B,"Annual revenues")</f>
        <v>0</v>
      </c>
      <c r="L697" s="233">
        <f>SUMIFS($C:$C,$A:$A,$B697,$B:$B,"Annual cost to export excess")</f>
        <v>0</v>
      </c>
      <c r="M697" s="283">
        <f t="shared" ref="M697:M699" si="37">K697-F697-G697</f>
        <v>-15923.618783627639</v>
      </c>
      <c r="N697">
        <f>SUMIFS($F:$F,$A:$A,$B697,$B:$B,"Totals")</f>
        <v>0</v>
      </c>
      <c r="O697">
        <f>SUMIFS($G:$G,$A:$A,$B697,$B:$B,"Totals")</f>
        <v>0</v>
      </c>
      <c r="P697" s="147">
        <f>SUMIFS($H:$H,$A:$A,$B697,$B:$B,"Totals")</f>
        <v>0</v>
      </c>
      <c r="Q697" s="147">
        <f>SUMIFS($I:$I,$A:$A,$B697,$B:$B,"Totals")</f>
        <v>0</v>
      </c>
      <c r="R697" s="284">
        <f>SUMIFS($K:$K,$A:$A,$B697,$B:$B,"Totals")</f>
        <v>0</v>
      </c>
      <c r="S697" s="284">
        <f>SUMIFS($L:$L,$A:$A,$B697,$B:$B,"Totals")</f>
        <v>0</v>
      </c>
      <c r="T697" s="284">
        <f>SUMIFS($M:$M,$A:$A,$B697,$B:$B,"Totals")</f>
        <v>0</v>
      </c>
      <c r="U697" s="284">
        <f>SUMIFS($N:$N,$A:$A,$B697,$B:$B,"Totals")</f>
        <v>0</v>
      </c>
      <c r="V697" s="147">
        <f t="shared" si="35"/>
        <v>0</v>
      </c>
      <c r="W697" s="285">
        <f t="shared" si="35"/>
        <v>0</v>
      </c>
    </row>
    <row r="698" spans="1:25" ht="13.5" customHeight="1" x14ac:dyDescent="0.3">
      <c r="A698" t="str">
        <f>_xlfn.CONCAT("TL",B698)</f>
        <v>TLPit recharge</v>
      </c>
      <c r="B698" s="99" t="s">
        <v>5216</v>
      </c>
      <c r="C698" s="233">
        <f>SUMIFS($C:$C,$A:$A,_xlfn.CONCAT(B698,"_construction"))</f>
        <v>0</v>
      </c>
      <c r="D698" s="233">
        <f>SUMIFS($C:$C,$A:$A,_xlfn.CONCAT(B698,"_equipment"))</f>
        <v>0</v>
      </c>
      <c r="E698" s="274">
        <f>SUM(C698:D698)</f>
        <v>0</v>
      </c>
      <c r="F698" s="233">
        <f>SUMIFS($D:$D,$A:$A,$B698,$B:$B,"Total capital recovery value")</f>
        <v>3017.6174069102476</v>
      </c>
      <c r="G698" s="233">
        <f>SUMIFS($C:$C,$A:$A,$B698,$B:$B,"Annual operational costs")</f>
        <v>1014.0635770177494</v>
      </c>
      <c r="H698" s="153">
        <f t="shared" si="36"/>
        <v>4031.6809839279967</v>
      </c>
      <c r="I698" s="233">
        <f>SUMIFS($C:$C,$A:$A,$B698,$B:$B,"Annual cost savings")</f>
        <v>860.94465773275579</v>
      </c>
      <c r="J698" s="233">
        <f>SUMIFS($C:$C,$A:$A,$B698,$B:$B,"Annual fertilizer value for on-farm use")</f>
        <v>0</v>
      </c>
      <c r="K698" s="233">
        <f>SUMIFS($C:$C,$A:$A,$B698,$B:$B,"Annual revenues")</f>
        <v>0</v>
      </c>
      <c r="L698" s="233">
        <f>SUMIFS($C:$C,$A:$A,$B698,$B:$B,"Annual cost to export excess")</f>
        <v>0</v>
      </c>
      <c r="M698" s="283">
        <f t="shared" si="37"/>
        <v>-4031.6809839279967</v>
      </c>
      <c r="N698" s="278">
        <f>SUMIFS($F:$F,$A:$A,$B698,$B:$B,"Totals")</f>
        <v>92.045831870967106</v>
      </c>
      <c r="O698" s="147">
        <f>SUMIFS($G:$G,$A:$A,$B698,$B:$B,"Totals")</f>
        <v>6.3135770177494184</v>
      </c>
      <c r="P698" s="147">
        <f>SUMIFS($H:$H,$A:$A,$B698,$B:$B,"Totals")</f>
        <v>0</v>
      </c>
      <c r="Q698" s="147">
        <f>SUMIFS($I:$I,$A:$A,$B698,$B:$B,"Totals")</f>
        <v>0</v>
      </c>
      <c r="R698" s="284">
        <f>SUMIFS($K:$K,$A:$A,$B698,$B:$B,"Totals")</f>
        <v>0</v>
      </c>
      <c r="S698" s="284">
        <f>SUMIFS($L:$L,$A:$A,$B698,$B:$B,"Totals")</f>
        <v>0</v>
      </c>
      <c r="T698" s="284">
        <f>SUMIFS($M:$M,$A:$A,$B698,$B:$B,"Totals")</f>
        <v>0</v>
      </c>
      <c r="U698" s="284">
        <f>SUMIFS($N:$N,$A:$A,$B698,$B:$B,"Totals")</f>
        <v>0</v>
      </c>
      <c r="V698" s="147">
        <f t="shared" si="35"/>
        <v>0</v>
      </c>
      <c r="W698" s="285">
        <f t="shared" si="35"/>
        <v>0</v>
      </c>
    </row>
    <row r="699" spans="1:25" ht="13.5" customHeight="1" x14ac:dyDescent="0.3">
      <c r="A699" t="str">
        <f>_xlfn.CONCAT("TL",B699)</f>
        <v>TLEnd use tanker</v>
      </c>
      <c r="B699" s="99" t="s">
        <v>5202</v>
      </c>
      <c r="C699" s="233">
        <f>SUMIFS($C:$C,$A:$A,_xlfn.CONCAT(B699,"_construction"))</f>
        <v>0</v>
      </c>
      <c r="D699" s="233">
        <f>SUMIFS($C:$C,$A:$A,_xlfn.CONCAT(B699,"_equipment"))</f>
        <v>1289100</v>
      </c>
      <c r="E699" s="274">
        <f>SUM(C699:D699)</f>
        <v>1289100</v>
      </c>
      <c r="F699" s="233">
        <f>SUMIFS($D:$D,$A:$A,$B699,$B:$B,"Total capital recovery value")</f>
        <v>36058.869050214467</v>
      </c>
      <c r="G699" s="233">
        <f>SUMIFS($C:$C,$A:$A,$B699,$B:$B,"Annual operational costs")</f>
        <v>14263.372252204907</v>
      </c>
      <c r="H699" s="153">
        <f t="shared" si="36"/>
        <v>50322.241302419374</v>
      </c>
      <c r="I699" s="233">
        <f>SUMIFS($C:$C,$A:$A,$B699,$B:$B,"Annual cost savings")</f>
        <v>0</v>
      </c>
      <c r="J699" s="233">
        <f>SUMIFS($C:$C,$A:$A,$B699,$B:$B,"Annual fertilizer value for on-farm use")</f>
        <v>6233.3231634486147</v>
      </c>
      <c r="K699" s="233">
        <f>SUMIFS($C:$C,$A:$A,$B699,$B:$B,"Annual revenues")</f>
        <v>0</v>
      </c>
      <c r="L699" s="233">
        <f>SUMIFS($C:$C,$A:$A,$B699,$B:$B,"Annual cost to export excess")</f>
        <v>0</v>
      </c>
      <c r="M699" s="283">
        <f t="shared" si="37"/>
        <v>-50322.241302419374</v>
      </c>
      <c r="N699">
        <f>SUMIFS($F:$F,$A:$A,$B699,$B:$B,"Totals")</f>
        <v>940.31230973063862</v>
      </c>
      <c r="O699">
        <f>SUMIFS($G:$G,$A:$A,$B699,$B:$B,"Totals")</f>
        <v>64.49758851160739</v>
      </c>
      <c r="P699" s="147">
        <f>SUMIFS($H:$H,$A:$A,$B699,$B:$B,"Totals")</f>
        <v>175.71719103442982</v>
      </c>
      <c r="Q699" s="147">
        <f>SUMIFS($I:$I,$A:$A,$B699,$B:$B,"Totals")</f>
        <v>649.53693894942035</v>
      </c>
      <c r="R699" s="284">
        <f>SUMIFS($K:$K,$A:$A,$B699,$B:$B,"Totals")</f>
        <v>30.335242213921511</v>
      </c>
      <c r="S699" s="284">
        <f>SUMIFS($L:$L,$A:$A,$B699,$B:$B,"Totals")</f>
        <v>717.731830781383</v>
      </c>
      <c r="T699" s="284">
        <f>SUMIFS($M:$M,$A:$A,$B699,$B:$B,"Totals")</f>
        <v>0</v>
      </c>
      <c r="U699" s="284">
        <f>SUMIFS($N:$N,$A:$A,$B699,$B:$B,"Totals")</f>
        <v>0</v>
      </c>
      <c r="V699" s="147">
        <f t="shared" si="35"/>
        <v>30.335242213921511</v>
      </c>
      <c r="W699" s="285">
        <f t="shared" si="35"/>
        <v>717.731830781383</v>
      </c>
    </row>
    <row r="700" spans="1:25" ht="13.5" customHeight="1" x14ac:dyDescent="0.3">
      <c r="A700" t="str">
        <f>_xlfn.CONCAT("TL",B700)</f>
        <v>TLTotals</v>
      </c>
      <c r="B700" s="162" t="s">
        <v>5203</v>
      </c>
      <c r="C700" s="242">
        <f>SUM(C695:C699)</f>
        <v>183702.70098585333</v>
      </c>
      <c r="D700" s="242">
        <f t="shared" ref="D700:M700" si="38">SUM(D695:D699)</f>
        <v>1289100</v>
      </c>
      <c r="E700" s="242">
        <f t="shared" si="38"/>
        <v>1472802.7009858533</v>
      </c>
      <c r="F700" s="242">
        <f t="shared" si="38"/>
        <v>53942.511612497787</v>
      </c>
      <c r="G700" s="242">
        <f t="shared" si="38"/>
        <v>55509.024267126668</v>
      </c>
      <c r="H700" s="242">
        <f t="shared" si="38"/>
        <v>109451.53587962445</v>
      </c>
      <c r="I700" s="242">
        <f t="shared" si="38"/>
        <v>860.94465773275579</v>
      </c>
      <c r="J700" s="242">
        <f t="shared" si="38"/>
        <v>6233.3231634486147</v>
      </c>
      <c r="K700" s="242">
        <f t="shared" si="38"/>
        <v>0</v>
      </c>
      <c r="L700" s="242">
        <f t="shared" si="38"/>
        <v>0</v>
      </c>
      <c r="M700" s="242">
        <f t="shared" si="38"/>
        <v>-109451.53587962445</v>
      </c>
      <c r="N700" s="286">
        <f>SUM(N695:N699)</f>
        <v>1032.3581416016057</v>
      </c>
      <c r="O700" s="286">
        <f t="shared" ref="O700:W700" si="39">SUM(O695:O699)</f>
        <v>70.811165529356813</v>
      </c>
      <c r="P700" s="286">
        <f t="shared" si="39"/>
        <v>175.71719103442982</v>
      </c>
      <c r="Q700" s="286">
        <f t="shared" si="39"/>
        <v>649.53693894942035</v>
      </c>
      <c r="R700" s="286">
        <f t="shared" si="39"/>
        <v>30.335242213921511</v>
      </c>
      <c r="S700" s="286">
        <f t="shared" si="39"/>
        <v>717.731830781383</v>
      </c>
      <c r="T700" s="286">
        <f t="shared" si="39"/>
        <v>0</v>
      </c>
      <c r="U700" s="286">
        <f t="shared" si="39"/>
        <v>0</v>
      </c>
      <c r="V700" s="286">
        <f t="shared" si="39"/>
        <v>30.335242213921511</v>
      </c>
      <c r="W700" s="286">
        <f t="shared" si="39"/>
        <v>717.731830781383</v>
      </c>
    </row>
    <row r="701" spans="1:25" x14ac:dyDescent="0.3">
      <c r="A701" s="82"/>
      <c r="B701" s="287" t="s">
        <v>7069</v>
      </c>
      <c r="C701" s="150"/>
      <c r="D701" s="150"/>
      <c r="E701" s="288"/>
      <c r="F701" s="150"/>
      <c r="G701" s="150"/>
      <c r="H701" s="150"/>
      <c r="I701" s="150"/>
      <c r="J701" s="150"/>
      <c r="K701" s="150"/>
      <c r="L701" s="150"/>
      <c r="M701" s="289"/>
      <c r="N701" s="150"/>
      <c r="O701" s="150"/>
      <c r="P701" s="150"/>
      <c r="Q701" s="150"/>
      <c r="R701" s="290"/>
      <c r="S701" s="291"/>
      <c r="T701" s="150"/>
      <c r="U701" s="150"/>
      <c r="V701" s="150"/>
      <c r="W701" s="151"/>
    </row>
    <row r="702" spans="1:25" x14ac:dyDescent="0.3">
      <c r="D702"/>
      <c r="E702" s="288"/>
      <c r="F702"/>
      <c r="G702"/>
      <c r="H702"/>
      <c r="K702"/>
      <c r="L702"/>
      <c r="P702"/>
      <c r="U702"/>
      <c r="W702"/>
    </row>
    <row r="703" spans="1:25" x14ac:dyDescent="0.3">
      <c r="B703" s="139" t="s">
        <v>7050</v>
      </c>
      <c r="C703" s="142"/>
      <c r="D703" s="142"/>
      <c r="E703" s="267"/>
      <c r="F703" s="267"/>
      <c r="G703" s="267"/>
      <c r="H703" s="268"/>
      <c r="I703" s="269"/>
      <c r="J703" s="270"/>
      <c r="K703" s="142"/>
      <c r="L703" s="269"/>
      <c r="M703" s="142"/>
      <c r="N703" s="142"/>
      <c r="O703" s="142"/>
      <c r="P703" s="142"/>
      <c r="Q703" s="142"/>
      <c r="R703" s="142"/>
      <c r="S703" s="142"/>
      <c r="T703" s="271"/>
      <c r="U703" s="142"/>
      <c r="V703" s="142"/>
      <c r="W703" s="272"/>
    </row>
    <row r="704" spans="1:25" x14ac:dyDescent="0.3">
      <c r="B704" s="92" t="s">
        <v>7070</v>
      </c>
      <c r="D704"/>
      <c r="W704" s="1256"/>
    </row>
    <row r="705" spans="1:23" x14ac:dyDescent="0.3">
      <c r="B705" s="99"/>
      <c r="W705" s="1256"/>
    </row>
    <row r="706" spans="1:23" x14ac:dyDescent="0.3">
      <c r="B706" s="92" t="s">
        <v>7052</v>
      </c>
      <c r="C706" s="82" t="s">
        <v>565</v>
      </c>
      <c r="D706" s="82" t="s">
        <v>38</v>
      </c>
      <c r="W706" s="1256"/>
    </row>
    <row r="707" spans="1:23" x14ac:dyDescent="0.3">
      <c r="B707" s="99" t="s">
        <v>5859</v>
      </c>
      <c r="C707">
        <f>UDV.animal.total</f>
        <v>500</v>
      </c>
      <c r="D707" t="s">
        <v>2442</v>
      </c>
      <c r="W707" s="1256"/>
    </row>
    <row r="708" spans="1:23" x14ac:dyDescent="0.3">
      <c r="A708" s="292"/>
      <c r="B708" s="174" t="s">
        <v>5386</v>
      </c>
      <c r="C708">
        <f>UDV.crops.acres_available</f>
        <v>100</v>
      </c>
      <c r="D708" t="s">
        <v>7029</v>
      </c>
      <c r="W708" s="1256"/>
    </row>
    <row r="709" spans="1:23" x14ac:dyDescent="0.3">
      <c r="B709" s="99" t="s">
        <v>5114</v>
      </c>
      <c r="C709" t="str">
        <f>UDV.u.state</f>
        <v>Iowa</v>
      </c>
      <c r="D709" t="s">
        <v>2852</v>
      </c>
      <c r="W709" s="1256"/>
    </row>
    <row r="710" spans="1:23" ht="13.5" customHeight="1" x14ac:dyDescent="0.3">
      <c r="B710" s="99"/>
      <c r="C710" s="166"/>
      <c r="D710"/>
      <c r="W710" s="1256"/>
    </row>
    <row r="711" spans="1:23" x14ac:dyDescent="0.3">
      <c r="B711" s="99"/>
      <c r="W711" s="1256"/>
    </row>
    <row r="712" spans="1:23" x14ac:dyDescent="0.3">
      <c r="A712" t="s">
        <v>4917</v>
      </c>
      <c r="B712" s="92" t="s">
        <v>7053</v>
      </c>
      <c r="C712" s="82" t="s">
        <v>5181</v>
      </c>
      <c r="D712" s="82" t="s">
        <v>7140</v>
      </c>
      <c r="W712" s="1256"/>
    </row>
    <row r="713" spans="1:23" x14ac:dyDescent="0.3">
      <c r="A713" t="s">
        <v>4917</v>
      </c>
      <c r="B713" s="275" t="s">
        <v>2585</v>
      </c>
      <c r="C713" s="276">
        <f>F731</f>
        <v>107735.20033313242</v>
      </c>
      <c r="D713" s="153">
        <f>C713/C707</f>
        <v>215.47040066626485</v>
      </c>
      <c r="W713" s="1256"/>
    </row>
    <row r="714" spans="1:23" x14ac:dyDescent="0.3">
      <c r="A714" t="s">
        <v>4917</v>
      </c>
      <c r="B714" s="275" t="s">
        <v>2588</v>
      </c>
      <c r="C714" s="276">
        <f>G731+L731</f>
        <v>72388.267635143362</v>
      </c>
      <c r="D714" s="153">
        <f>C714/C707</f>
        <v>144.77653527028673</v>
      </c>
      <c r="W714" s="1256"/>
    </row>
    <row r="715" spans="1:23" x14ac:dyDescent="0.3">
      <c r="A715" t="s">
        <v>4917</v>
      </c>
      <c r="B715" s="275" t="s">
        <v>441</v>
      </c>
      <c r="C715" s="276">
        <f>I731</f>
        <v>860.94465773275579</v>
      </c>
      <c r="D715" s="153">
        <f>C715/C707</f>
        <v>1.7218893154655115</v>
      </c>
      <c r="W715" s="1256"/>
    </row>
    <row r="716" spans="1:23" x14ac:dyDescent="0.3">
      <c r="A716" t="s">
        <v>4917</v>
      </c>
      <c r="B716" s="275" t="s">
        <v>440</v>
      </c>
      <c r="C716" s="276">
        <f>J731</f>
        <v>6233.3231634486147</v>
      </c>
      <c r="D716" s="153">
        <f>C716/C707</f>
        <v>12.46664632689723</v>
      </c>
      <c r="W716" s="1256"/>
    </row>
    <row r="717" spans="1:23" x14ac:dyDescent="0.3">
      <c r="A717" t="s">
        <v>4917</v>
      </c>
      <c r="B717" s="275" t="s">
        <v>442</v>
      </c>
      <c r="C717" s="276">
        <f>K731</f>
        <v>0</v>
      </c>
      <c r="D717" s="153">
        <f>C717/C707</f>
        <v>0</v>
      </c>
      <c r="W717" s="1256"/>
    </row>
    <row r="718" spans="1:23" x14ac:dyDescent="0.3">
      <c r="A718" t="s">
        <v>4917</v>
      </c>
      <c r="B718" s="2270" t="s">
        <v>439</v>
      </c>
      <c r="C718" s="2271">
        <f>M731</f>
        <v>-180123.4679682758</v>
      </c>
      <c r="D718" s="159">
        <f>C718/C707</f>
        <v>-360.24693593655161</v>
      </c>
      <c r="E718" s="288"/>
      <c r="F718" s="66"/>
      <c r="G718" s="66"/>
      <c r="H718"/>
      <c r="I718" s="42"/>
      <c r="J718" s="3"/>
      <c r="K718"/>
      <c r="P718"/>
      <c r="T718" s="20"/>
      <c r="U718"/>
      <c r="W718" s="113"/>
    </row>
    <row r="719" spans="1:23" x14ac:dyDescent="0.3">
      <c r="A719" t="s">
        <v>4917</v>
      </c>
      <c r="B719" s="99" t="s">
        <v>7055</v>
      </c>
      <c r="C719" s="276">
        <f>L731</f>
        <v>0</v>
      </c>
      <c r="D719" s="153">
        <f>C719/C707</f>
        <v>0</v>
      </c>
      <c r="E719" s="279" t="s">
        <v>7056</v>
      </c>
      <c r="W719" s="1256"/>
    </row>
    <row r="720" spans="1:23" x14ac:dyDescent="0.3">
      <c r="A720" t="s">
        <v>4917</v>
      </c>
      <c r="B720" s="99" t="s">
        <v>7057</v>
      </c>
      <c r="C720" s="153">
        <f>C713+C714</f>
        <v>180123.46796827577</v>
      </c>
      <c r="D720" s="153">
        <f>C720/C707</f>
        <v>360.24693593655155</v>
      </c>
      <c r="W720" s="1256"/>
    </row>
    <row r="721" spans="1:25" ht="13.5" customHeight="1" x14ac:dyDescent="0.3">
      <c r="A721" t="s">
        <v>4917</v>
      </c>
      <c r="B721" s="853" t="s">
        <v>5392</v>
      </c>
      <c r="C721" s="142"/>
      <c r="D721" s="854">
        <f>E731</f>
        <v>2241542.7009858536</v>
      </c>
      <c r="E721" s="271" t="s">
        <v>2284</v>
      </c>
      <c r="F721"/>
      <c r="G721" s="66"/>
      <c r="H721"/>
      <c r="I721" s="42"/>
      <c r="J721" s="3"/>
      <c r="K721"/>
      <c r="P721"/>
      <c r="T721" s="20"/>
      <c r="U721"/>
      <c r="W721" s="113"/>
    </row>
    <row r="722" spans="1:25" ht="13.5" customHeight="1" x14ac:dyDescent="0.3">
      <c r="A722" t="s">
        <v>4917</v>
      </c>
      <c r="B722" s="852" t="s">
        <v>5393</v>
      </c>
      <c r="D722" s="274">
        <f>E731/C707</f>
        <v>4483.0854019717071</v>
      </c>
      <c r="E722" s="20" t="s">
        <v>7058</v>
      </c>
      <c r="F722"/>
      <c r="G722" s="66"/>
      <c r="H722"/>
      <c r="I722" s="42"/>
      <c r="J722" s="3"/>
      <c r="K722"/>
      <c r="P722"/>
      <c r="T722" s="20"/>
      <c r="U722"/>
      <c r="W722" s="113"/>
    </row>
    <row r="723" spans="1:25" x14ac:dyDescent="0.3">
      <c r="B723" s="99"/>
      <c r="D723"/>
      <c r="F723"/>
      <c r="G723"/>
      <c r="H723" s="42"/>
      <c r="I723" s="3"/>
      <c r="L723"/>
      <c r="N723" s="273" t="s">
        <v>7059</v>
      </c>
      <c r="O723" s="90"/>
      <c r="P723" s="90"/>
      <c r="Q723" s="90"/>
      <c r="R723" s="90"/>
      <c r="S723" s="279"/>
      <c r="T723" s="90"/>
      <c r="U723" s="90"/>
      <c r="V723" s="42"/>
      <c r="W723" s="146"/>
    </row>
    <row r="724" spans="1:25" x14ac:dyDescent="0.3">
      <c r="B724" s="92" t="s">
        <v>7060</v>
      </c>
      <c r="D724"/>
      <c r="F724"/>
      <c r="G724"/>
      <c r="H724"/>
      <c r="K724"/>
      <c r="L724"/>
      <c r="M724" s="113"/>
      <c r="N724" s="90" t="s">
        <v>5323</v>
      </c>
      <c r="O724" s="90" t="s">
        <v>5181</v>
      </c>
      <c r="P724" s="90" t="s">
        <v>5324</v>
      </c>
      <c r="Q724" s="90" t="s">
        <v>5181</v>
      </c>
      <c r="R724" s="90" t="s">
        <v>2710</v>
      </c>
      <c r="S724" s="90" t="s">
        <v>5181</v>
      </c>
      <c r="T724" s="90" t="s">
        <v>2710</v>
      </c>
      <c r="U724" s="90" t="s">
        <v>5181</v>
      </c>
      <c r="V724" s="90" t="s">
        <v>2710</v>
      </c>
      <c r="W724" s="280" t="s">
        <v>5181</v>
      </c>
    </row>
    <row r="725" spans="1:25" ht="57.6" x14ac:dyDescent="0.3">
      <c r="B725" s="92" t="s">
        <v>5187</v>
      </c>
      <c r="C725" s="82" t="s">
        <v>7061</v>
      </c>
      <c r="D725" s="82" t="s">
        <v>7062</v>
      </c>
      <c r="E725" s="277" t="s">
        <v>7063</v>
      </c>
      <c r="F725" s="82" t="s">
        <v>7064</v>
      </c>
      <c r="G725" s="277" t="s">
        <v>2588</v>
      </c>
      <c r="H725" s="82" t="s">
        <v>5188</v>
      </c>
      <c r="I725" s="82" t="s">
        <v>5189</v>
      </c>
      <c r="J725" s="82" t="s">
        <v>5190</v>
      </c>
      <c r="K725" s="82" t="s">
        <v>442</v>
      </c>
      <c r="L725" s="82" t="s">
        <v>5191</v>
      </c>
      <c r="M725" s="173" t="s">
        <v>439</v>
      </c>
      <c r="N725" s="281" t="s">
        <v>5192</v>
      </c>
      <c r="O725" s="281" t="s">
        <v>5193</v>
      </c>
      <c r="P725" s="281" t="s">
        <v>5194</v>
      </c>
      <c r="Q725" s="281" t="s">
        <v>5195</v>
      </c>
      <c r="R725" s="281" t="s">
        <v>5196</v>
      </c>
      <c r="S725" s="281" t="s">
        <v>5197</v>
      </c>
      <c r="T725" s="281" t="s">
        <v>5198</v>
      </c>
      <c r="U725" s="281" t="s">
        <v>5199</v>
      </c>
      <c r="V725" s="281" t="s">
        <v>5200</v>
      </c>
      <c r="W725" s="282" t="s">
        <v>5201</v>
      </c>
    </row>
    <row r="726" spans="1:25" x14ac:dyDescent="0.3">
      <c r="A726" t="s">
        <v>7071</v>
      </c>
      <c r="B726" s="99" t="s">
        <v>6945</v>
      </c>
      <c r="C726" s="158">
        <f>SUMIFS($C$300:$C$765,$A$300:$A$765,_xlfn.CONCAT(B726,"_construction"))</f>
        <v>17700.891908535374</v>
      </c>
      <c r="D726" s="158">
        <f>SUMIFS($C$300:$C$765,$A$300:$A$765,_xlfn.CONCAT(B726,"_equipment"))</f>
        <v>0</v>
      </c>
      <c r="E726" s="274">
        <f>SUM(C726:D726)</f>
        <v>17700.891908535374</v>
      </c>
      <c r="F726" s="158">
        <f>SUMIFS($D$300:$D$765,$A$300:$A$765,$B726,$B$300:$B$765,"Total capital recovery value")</f>
        <v>1432.4335079052032</v>
      </c>
      <c r="G726" s="158">
        <f>SUMIFS($C$300:$C$765,$A$300:$A$765,$B726,$B$300:$B$765,"Annual operational costs")</f>
        <v>265.51337862803058</v>
      </c>
      <c r="H726" s="153">
        <f>SUM(F726:G726)</f>
        <v>1697.9468865332337</v>
      </c>
      <c r="I726" s="158">
        <f>SUMIFS($C$300:$C$765,$A$300:$A$765,$B726,$B$300:$B$765,"Annual cost savings")</f>
        <v>0</v>
      </c>
      <c r="J726" s="158">
        <f>SUMIFS($C$300:$C$765,$A$300:$A$765,$B726,$B$300:$B$765,"Annual fertilizer value for on-farm use")</f>
        <v>0</v>
      </c>
      <c r="K726" s="158">
        <f>SUMIFS($C$300:$C$765,$A$300:$A$765,$B726,$B$300:$B$765,"Annual revenues")</f>
        <v>0</v>
      </c>
      <c r="L726" s="158">
        <f>SUMIFS($C$300:$C$765,$A$300:$A$765,$B726,$B$300:$B$765,"Annual cost to export excess")</f>
        <v>0</v>
      </c>
      <c r="M726" s="283">
        <f>K726-F726-G726</f>
        <v>-1697.9468865332337</v>
      </c>
      <c r="N726">
        <f>SUMIFS($F$300:$F$765,$A$300:$A$765,$B726,$B$300:$B$765,"Totals")</f>
        <v>0</v>
      </c>
      <c r="O726">
        <f>SUMIFS($G$300:$G$765,$A$300:$A$765,$B726,$B$300:$B$765,"Totals")</f>
        <v>0</v>
      </c>
      <c r="P726" s="147">
        <f>SUMIFS($H$300:$H$765,$A$300:$A$765,$B726,$B$300:$B$765,"Totals")</f>
        <v>0</v>
      </c>
      <c r="Q726" s="147">
        <f>SUMIFS($I$300:$I$765,$A$300:$A$765,$B726,$B$300:$B$765,"Totals")</f>
        <v>0</v>
      </c>
      <c r="R726" s="2315">
        <f>SUMIFS($K$300:$K$765,$A$300:$A$765,$B726,$B$300:$B$765,"Totals")</f>
        <v>0</v>
      </c>
      <c r="S726" s="2315">
        <f>SUMIFS($L$300:$L$765,$A$300:$A$765,$B726,$B$300:$B$765,"Totals")</f>
        <v>0</v>
      </c>
      <c r="T726" s="2315">
        <f>SUMIFS($M$300:$M$765,$A$300:$A$765,$B726,$B$300:$B$765,"Totals")</f>
        <v>0</v>
      </c>
      <c r="U726" s="2315">
        <f>SUMIFS($N$300:$N$765,$A$300:$A$765,$B726,$B$300:$B$765,"Totals")</f>
        <v>0</v>
      </c>
      <c r="V726" s="147">
        <f>R726+T726</f>
        <v>0</v>
      </c>
      <c r="W726" s="285">
        <f>S726+U726</f>
        <v>0</v>
      </c>
      <c r="Y726" s="36"/>
    </row>
    <row r="727" spans="1:25" ht="13.5" customHeight="1" x14ac:dyDescent="0.3">
      <c r="A727" t="str">
        <f>_xlfn.CONCAT("DHL",B727)</f>
        <v>DHLBarn and parlor</v>
      </c>
      <c r="B727" s="99" t="s">
        <v>5209</v>
      </c>
      <c r="C727" s="233">
        <f>SUMIFS($C:$C,$A:$A,_xlfn.CONCAT(B727,"_construction"))</f>
        <v>0</v>
      </c>
      <c r="D727" s="233">
        <f>SUMIFS($C:$C,$A:$A,_xlfn.CONCAT(B727,"_equipment"))</f>
        <v>0</v>
      </c>
      <c r="E727" s="274">
        <f>SUM(C727:D727)</f>
        <v>0</v>
      </c>
      <c r="F727" s="233">
        <f>SUMIFS($D:$D,$A:$A,$B727,$B:$B,"Total capital recovery value")</f>
        <v>0</v>
      </c>
      <c r="G727" s="233">
        <f>SUMIFS($C:$C,$A:$A,$B727,$B:$B,"Annual operational costs")</f>
        <v>37476.047923116217</v>
      </c>
      <c r="H727" s="153">
        <f>SUM(F727:G727)</f>
        <v>37476.047923116217</v>
      </c>
      <c r="I727" s="233">
        <f>SUMIFS($C:$C,$A:$A,$B727,$B:$B,"Annual cost savings")</f>
        <v>0</v>
      </c>
      <c r="J727" s="233">
        <f>SUMIFS($C:$C,$A:$A,$B727,$B:$B,"Annual fertilizer value for on-farm use")</f>
        <v>0</v>
      </c>
      <c r="K727" s="233">
        <f>SUMIFS($C:$C,$A:$A,$B727,$B:$B,"Annual revenues")</f>
        <v>0</v>
      </c>
      <c r="L727" s="233">
        <f>SUMIFS($C:$C,$A:$A,$B727,$B:$B,"Annual cost to export excess")</f>
        <v>0</v>
      </c>
      <c r="M727" s="283">
        <f>K727-F727-G727</f>
        <v>-37476.047923116217</v>
      </c>
      <c r="N727">
        <f>SUMIFS($F:$F,$A:$A,$B727,$B:$B,"Totals")</f>
        <v>0</v>
      </c>
      <c r="O727">
        <f>SUMIFS($G:$G,$A:$A,$B727,$B:$B,"Totals")</f>
        <v>0</v>
      </c>
      <c r="P727" s="147">
        <f>SUMIFS($H:$H,$A:$A,$B727,$B:$B,"Totals")</f>
        <v>0</v>
      </c>
      <c r="Q727" s="147">
        <f>SUMIFS($I:$I,$A:$A,$B727,$B:$B,"Totals")</f>
        <v>0</v>
      </c>
      <c r="R727" s="284">
        <f>SUMIFS($K:$K,$A:$A,$B727,$B:$B,"Totals")</f>
        <v>0</v>
      </c>
      <c r="S727" s="284">
        <f>SUMIFS($L:$L,$A:$A,$B727,$B:$B,"Totals")</f>
        <v>0</v>
      </c>
      <c r="T727" s="284">
        <f>SUMIFS($M:$M,$A:$A,$B727,$B:$B,"Totals")</f>
        <v>0</v>
      </c>
      <c r="U727" s="284">
        <f>SUMIFS($N:$N,$A:$A,$B727,$B:$B,"Totals")</f>
        <v>0</v>
      </c>
      <c r="V727" s="147">
        <f t="shared" ref="V727:W730" si="40">R727+T727</f>
        <v>0</v>
      </c>
      <c r="W727" s="285">
        <f t="shared" si="40"/>
        <v>0</v>
      </c>
    </row>
    <row r="728" spans="1:25" ht="13.5" customHeight="1" x14ac:dyDescent="0.3">
      <c r="A728" t="str">
        <f>_xlfn.CONCAT("DHL",B728)</f>
        <v>DHLLagoon</v>
      </c>
      <c r="B728" s="99" t="s">
        <v>5210</v>
      </c>
      <c r="C728" s="233">
        <f>SUMIFS($C:$C,$A:$A,_xlfn.CONCAT(B728,"_construction"))</f>
        <v>166001.80907731794</v>
      </c>
      <c r="D728" s="233">
        <f>SUMIFS($C:$C,$A:$A,_xlfn.CONCAT(B728,"_equipment"))</f>
        <v>0</v>
      </c>
      <c r="E728" s="274">
        <f>SUM(C728:D728)</f>
        <v>166001.80907731794</v>
      </c>
      <c r="F728" s="233">
        <f>SUMIFS($D:$D,$A:$A,$B728,$B:$B,"Total capital recovery value")</f>
        <v>13433.591647467869</v>
      </c>
      <c r="G728" s="233">
        <f>SUMIFS($C:$C,$A:$A,$B728,$B:$B,"Annual operational costs")</f>
        <v>2490.0271361597693</v>
      </c>
      <c r="H728" s="153">
        <f t="shared" ref="H728:H730" si="41">SUM(F728:G728)</f>
        <v>15923.618783627639</v>
      </c>
      <c r="I728" s="233">
        <f>SUMIFS($C:$C,$A:$A,$B728,$B:$B,"Annual cost savings")</f>
        <v>0</v>
      </c>
      <c r="J728" s="233">
        <f>SUMIFS($C:$C,$A:$A,$B728,$B:$B,"Annual fertilizer value for on-farm use")</f>
        <v>0</v>
      </c>
      <c r="K728" s="233">
        <f>SUMIFS($C:$C,$A:$A,$B728,$B:$B,"Annual revenues")</f>
        <v>0</v>
      </c>
      <c r="L728" s="233">
        <f>SUMIFS($C:$C,$A:$A,$B728,$B:$B,"Annual cost to export excess")</f>
        <v>0</v>
      </c>
      <c r="M728" s="283">
        <f t="shared" ref="M728:M730" si="42">K728-F728-G728</f>
        <v>-15923.618783627639</v>
      </c>
      <c r="N728">
        <f>SUMIFS($F:$F,$A:$A,$B728,$B:$B,"Totals")</f>
        <v>0</v>
      </c>
      <c r="O728">
        <f>SUMIFS($G:$G,$A:$A,$B728,$B:$B,"Totals")</f>
        <v>0</v>
      </c>
      <c r="P728" s="147">
        <f>SUMIFS($H:$H,$A:$A,$B728,$B:$B,"Totals")</f>
        <v>0</v>
      </c>
      <c r="Q728" s="147">
        <f>SUMIFS($I:$I,$A:$A,$B728,$B:$B,"Totals")</f>
        <v>0</v>
      </c>
      <c r="R728" s="284">
        <f>SUMIFS($K:$K,$A:$A,$B728,$B:$B,"Totals")</f>
        <v>0</v>
      </c>
      <c r="S728" s="284">
        <f>SUMIFS($L:$L,$A:$A,$B728,$B:$B,"Totals")</f>
        <v>0</v>
      </c>
      <c r="T728" s="284">
        <f>SUMIFS($M:$M,$A:$A,$B728,$B:$B,"Totals")</f>
        <v>0</v>
      </c>
      <c r="U728" s="284">
        <f>SUMIFS($N:$N,$A:$A,$B728,$B:$B,"Totals")</f>
        <v>0</v>
      </c>
      <c r="V728" s="147">
        <f t="shared" si="40"/>
        <v>0</v>
      </c>
      <c r="W728" s="285">
        <f t="shared" si="40"/>
        <v>0</v>
      </c>
    </row>
    <row r="729" spans="1:25" ht="13.5" customHeight="1" x14ac:dyDescent="0.3">
      <c r="A729" t="str">
        <f>_xlfn.CONCAT("DHL",B729)</f>
        <v>DHLPit recharge</v>
      </c>
      <c r="B729" s="99" t="s">
        <v>5216</v>
      </c>
      <c r="C729" s="233">
        <f>SUMIFS($C:$C,$A:$A,_xlfn.CONCAT(B729,"_construction"))</f>
        <v>0</v>
      </c>
      <c r="D729" s="233">
        <f>SUMIFS($C:$C,$A:$A,_xlfn.CONCAT(B729,"_equipment"))</f>
        <v>0</v>
      </c>
      <c r="E729" s="274">
        <f>SUM(C729:D729)</f>
        <v>0</v>
      </c>
      <c r="F729" s="233">
        <f>SUMIFS($D:$D,$A:$A,$B729,$B:$B,"Total capital recovery value")</f>
        <v>3017.6174069102476</v>
      </c>
      <c r="G729" s="233">
        <f>SUMIFS($C:$C,$A:$A,$B729,$B:$B,"Annual operational costs")</f>
        <v>1014.0635770177494</v>
      </c>
      <c r="H729" s="153">
        <f t="shared" si="41"/>
        <v>4031.6809839279967</v>
      </c>
      <c r="I729" s="233">
        <f>SUMIFS($C:$C,$A:$A,$B729,$B:$B,"Annual cost savings")</f>
        <v>860.94465773275579</v>
      </c>
      <c r="J729" s="233">
        <f>SUMIFS($C:$C,$A:$A,$B729,$B:$B,"Annual fertilizer value for on-farm use")</f>
        <v>0</v>
      </c>
      <c r="K729" s="233">
        <f>SUMIFS($C:$C,$A:$A,$B729,$B:$B,"Annual revenues")</f>
        <v>0</v>
      </c>
      <c r="L729" s="233">
        <f>SUMIFS($C:$C,$A:$A,$B729,$B:$B,"Annual cost to export excess")</f>
        <v>0</v>
      </c>
      <c r="M729" s="283">
        <f t="shared" si="42"/>
        <v>-4031.6809839279967</v>
      </c>
      <c r="N729" s="278">
        <f>SUMIFS($F:$F,$A:$A,$B729,$B:$B,"Totals")</f>
        <v>92.045831870967106</v>
      </c>
      <c r="O729" s="147">
        <f>SUMIFS($G:$G,$A:$A,$B729,$B:$B,"Totals")</f>
        <v>6.3135770177494184</v>
      </c>
      <c r="P729" s="147">
        <f>SUMIFS($H:$H,$A:$A,$B729,$B:$B,"Totals")</f>
        <v>0</v>
      </c>
      <c r="Q729" s="147">
        <f>SUMIFS($I:$I,$A:$A,$B729,$B:$B,"Totals")</f>
        <v>0</v>
      </c>
      <c r="R729" s="284">
        <f>SUMIFS($K:$K,$A:$A,$B729,$B:$B,"Totals")</f>
        <v>0</v>
      </c>
      <c r="S729" s="284">
        <f>SUMIFS($L:$L,$A:$A,$B729,$B:$B,"Totals")</f>
        <v>0</v>
      </c>
      <c r="T729" s="284">
        <f>SUMIFS($M:$M,$A:$A,$B729,$B:$B,"Totals")</f>
        <v>0</v>
      </c>
      <c r="U729" s="284">
        <f>SUMIFS($N:$N,$A:$A,$B729,$B:$B,"Totals")</f>
        <v>0</v>
      </c>
      <c r="V729" s="147">
        <f t="shared" si="40"/>
        <v>0</v>
      </c>
      <c r="W729" s="285">
        <f t="shared" si="40"/>
        <v>0</v>
      </c>
    </row>
    <row r="730" spans="1:25" ht="13.5" customHeight="1" x14ac:dyDescent="0.3">
      <c r="A730" t="str">
        <f>_xlfn.CONCAT("DHL",B730)</f>
        <v>DHLEnd use drag hose</v>
      </c>
      <c r="B730" s="99" t="s">
        <v>5205</v>
      </c>
      <c r="C730" s="233">
        <f>SUMIFS($C:$C,$A:$A,_xlfn.CONCAT(B730,"_construction"))</f>
        <v>0</v>
      </c>
      <c r="D730" s="233">
        <f>SUMIFS($C:$C,$A:$A,_xlfn.CONCAT(B730,"_equipment"))</f>
        <v>2057840</v>
      </c>
      <c r="E730" s="274">
        <f>SUM(C730:D730)</f>
        <v>2057840</v>
      </c>
      <c r="F730" s="233">
        <f>SUMIFS($D:$D,$A:$A,$B730,$B:$B,"Total capital recovery value")</f>
        <v>89851.557770849104</v>
      </c>
      <c r="G730" s="233">
        <f>SUMIFS($C:$C,$A:$A,$B730,$B:$B,"Annual operational costs")</f>
        <v>31142.615620221601</v>
      </c>
      <c r="H730" s="153">
        <f t="shared" si="41"/>
        <v>120994.17339107071</v>
      </c>
      <c r="I730" s="233">
        <f>SUMIFS($C:$C,$A:$A,$B730,$B:$B,"Annual cost savings")</f>
        <v>0</v>
      </c>
      <c r="J730" s="233">
        <f>SUMIFS($C:$C,$A:$A,$B730,$B:$B,"Annual fertilizer value for on-farm use")</f>
        <v>6233.3231634486147</v>
      </c>
      <c r="K730" s="233">
        <f>SUMIFS($C:$C,$A:$A,$B730,$B:$B,"Annual revenues")</f>
        <v>0</v>
      </c>
      <c r="L730" s="233">
        <f>SUMIFS($C:$C,$A:$A,$B730,$B:$B,"Annual cost to export excess")</f>
        <v>0</v>
      </c>
      <c r="M730" s="283">
        <f t="shared" si="42"/>
        <v>-120994.17339107071</v>
      </c>
      <c r="N730">
        <f>SUMIFS($F:$F,$A:$A,$B730,$B:$B,"Totals")</f>
        <v>940.31230973063862</v>
      </c>
      <c r="O730">
        <f>SUMIFS($G:$G,$A:$A,$B730,$B:$B,"Totals")</f>
        <v>64.49758851160739</v>
      </c>
      <c r="P730" s="147">
        <f>SUMIFS($H:$H,$A:$A,$B730,$B:$B,"Totals")</f>
        <v>67.233447724780731</v>
      </c>
      <c r="Q730" s="147">
        <f>SUMIFS($I:$I,$A:$A,$B730,$B:$B,"Totals")</f>
        <v>248.52780523684316</v>
      </c>
      <c r="R730" s="284">
        <f>SUMIFS($K:$K,$A:$A,$B730,$B:$B,"Totals")</f>
        <v>10.329263495158749</v>
      </c>
      <c r="S730" s="284">
        <f>SUMIFS($L:$L,$A:$A,$B730,$B:$B,"Totals")</f>
        <v>244.39037429545596</v>
      </c>
      <c r="T730" s="284">
        <f>SUMIFS($M:$M,$A:$A,$B730,$B:$B,"Totals")</f>
        <v>0</v>
      </c>
      <c r="U730" s="284">
        <f>SUMIFS($N:$N,$A:$A,$B730,$B:$B,"Totals")</f>
        <v>0</v>
      </c>
      <c r="V730" s="147">
        <f t="shared" si="40"/>
        <v>10.329263495158749</v>
      </c>
      <c r="W730" s="285">
        <f t="shared" si="40"/>
        <v>244.39037429545596</v>
      </c>
    </row>
    <row r="731" spans="1:25" ht="13.5" customHeight="1" x14ac:dyDescent="0.3">
      <c r="A731" t="str">
        <f>_xlfn.CONCAT("DHL",B731)</f>
        <v>DHLTotals</v>
      </c>
      <c r="B731" s="162" t="s">
        <v>5203</v>
      </c>
      <c r="C731" s="242">
        <f>SUM(C726:C730)</f>
        <v>183702.70098585333</v>
      </c>
      <c r="D731" s="242">
        <f t="shared" ref="D731:M731" si="43">SUM(D726:D730)</f>
        <v>2057840</v>
      </c>
      <c r="E731" s="242">
        <f t="shared" si="43"/>
        <v>2241542.7009858536</v>
      </c>
      <c r="F731" s="242">
        <f t="shared" si="43"/>
        <v>107735.20033313242</v>
      </c>
      <c r="G731" s="242">
        <f t="shared" si="43"/>
        <v>72388.267635143362</v>
      </c>
      <c r="H731" s="242">
        <f t="shared" si="43"/>
        <v>180123.4679682758</v>
      </c>
      <c r="I731" s="242">
        <f t="shared" si="43"/>
        <v>860.94465773275579</v>
      </c>
      <c r="J731" s="242">
        <f t="shared" si="43"/>
        <v>6233.3231634486147</v>
      </c>
      <c r="K731" s="242">
        <f t="shared" si="43"/>
        <v>0</v>
      </c>
      <c r="L731" s="242">
        <f t="shared" si="43"/>
        <v>0</v>
      </c>
      <c r="M731" s="242">
        <f t="shared" si="43"/>
        <v>-180123.4679682758</v>
      </c>
      <c r="N731" s="286">
        <f>SUM(N726:N730)</f>
        <v>1032.3581416016057</v>
      </c>
      <c r="O731" s="286">
        <f t="shared" ref="O731:W731" si="44">SUM(O726:O730)</f>
        <v>70.811165529356813</v>
      </c>
      <c r="P731" s="286">
        <f t="shared" si="44"/>
        <v>67.233447724780731</v>
      </c>
      <c r="Q731" s="286">
        <f t="shared" si="44"/>
        <v>248.52780523684316</v>
      </c>
      <c r="R731" s="286">
        <f t="shared" si="44"/>
        <v>10.329263495158749</v>
      </c>
      <c r="S731" s="286">
        <f t="shared" si="44"/>
        <v>244.39037429545596</v>
      </c>
      <c r="T731" s="286">
        <f t="shared" si="44"/>
        <v>0</v>
      </c>
      <c r="U731" s="286">
        <f t="shared" si="44"/>
        <v>0</v>
      </c>
      <c r="V731" s="286">
        <f t="shared" si="44"/>
        <v>10.329263495158749</v>
      </c>
      <c r="W731" s="286">
        <f t="shared" si="44"/>
        <v>244.39037429545596</v>
      </c>
    </row>
    <row r="732" spans="1:25" x14ac:dyDescent="0.3">
      <c r="A732" s="82"/>
      <c r="B732" s="287" t="s">
        <v>7069</v>
      </c>
      <c r="C732" s="150"/>
      <c r="D732" s="150"/>
      <c r="E732" s="288"/>
      <c r="F732" s="150"/>
      <c r="G732" s="150"/>
      <c r="H732" s="150"/>
      <c r="I732" s="150"/>
      <c r="J732" s="150"/>
      <c r="K732" s="150"/>
      <c r="L732" s="150"/>
      <c r="M732" s="289"/>
      <c r="N732" s="150"/>
      <c r="O732" s="150"/>
      <c r="P732" s="150"/>
      <c r="Q732" s="150"/>
      <c r="R732" s="290"/>
      <c r="S732" s="291"/>
      <c r="T732" s="150"/>
      <c r="U732" s="150"/>
      <c r="V732" s="150"/>
      <c r="W732" s="151"/>
    </row>
    <row r="733" spans="1:25" ht="15" thickBot="1" x14ac:dyDescent="0.35">
      <c r="A733" s="137"/>
      <c r="B733" s="137"/>
      <c r="C733" s="137"/>
      <c r="D733" s="137"/>
      <c r="E733" s="137"/>
      <c r="F733" s="137"/>
      <c r="G733" s="137"/>
      <c r="H733" s="137"/>
      <c r="I733" s="137"/>
      <c r="J733" s="137"/>
      <c r="K733" s="137"/>
      <c r="L733" s="137"/>
      <c r="M733" s="137"/>
      <c r="N733" s="137"/>
      <c r="O733" s="137"/>
      <c r="P733" s="137"/>
      <c r="Q733" s="137"/>
      <c r="U733"/>
      <c r="W733"/>
    </row>
    <row r="734" spans="1:25" x14ac:dyDescent="0.3">
      <c r="D734"/>
      <c r="E734"/>
      <c r="F734"/>
      <c r="G734"/>
      <c r="H734"/>
      <c r="L734"/>
      <c r="P734"/>
      <c r="U734"/>
      <c r="W734"/>
    </row>
    <row r="735" spans="1:25" x14ac:dyDescent="0.3">
      <c r="D735"/>
      <c r="E735"/>
      <c r="F735"/>
      <c r="G735"/>
      <c r="H735"/>
      <c r="K735"/>
      <c r="L735"/>
      <c r="P735"/>
      <c r="U735"/>
      <c r="W735"/>
    </row>
    <row r="736" spans="1:25" x14ac:dyDescent="0.3">
      <c r="D736"/>
      <c r="E736"/>
      <c r="F736"/>
      <c r="G736"/>
      <c r="H736"/>
      <c r="K736"/>
      <c r="L736"/>
      <c r="P736"/>
      <c r="U736"/>
      <c r="W736"/>
    </row>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sheetData>
  <mergeCells count="4">
    <mergeCell ref="C647:D647"/>
    <mergeCell ref="E647:F647"/>
    <mergeCell ref="C504:D504"/>
    <mergeCell ref="E504:F504"/>
  </mergeCells>
  <pageMargins left="0.7" right="0.7" top="0.75" bottom="0.75" header="0.3" footer="0.3"/>
  <pageSetup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34F5-DC3B-418E-9101-D5B544BD224B}">
  <sheetPr codeName="Sheet30">
    <tabColor rgb="FF92D050"/>
  </sheetPr>
  <dimension ref="A1:AB962"/>
  <sheetViews>
    <sheetView topLeftCell="A705" workbookViewId="0"/>
  </sheetViews>
  <sheetFormatPr defaultColWidth="9.44140625" defaultRowHeight="13.5" customHeight="1" x14ac:dyDescent="0.3"/>
  <cols>
    <col min="1" max="1" width="27.33203125" customWidth="1"/>
    <col min="2" max="2" width="59.88671875" customWidth="1"/>
    <col min="3" max="3" width="15.33203125" customWidth="1"/>
    <col min="4" max="4" width="13" style="66" customWidth="1"/>
    <col min="5" max="5" width="10.33203125" style="66" customWidth="1"/>
    <col min="6" max="6" width="12.5546875" style="19" customWidth="1"/>
    <col min="7" max="7" width="12.44140625" style="42" customWidth="1"/>
    <col min="8" max="8" width="17" style="3" customWidth="1"/>
    <col min="9" max="9" width="12" customWidth="1"/>
    <col min="10" max="10" width="12.88671875" customWidth="1"/>
    <col min="11" max="11" width="12.6640625" style="42" customWidth="1"/>
    <col min="12" max="12" width="17" style="42" customWidth="1"/>
    <col min="13" max="13" width="17.33203125" customWidth="1"/>
    <col min="14" max="14" width="14.5546875" customWidth="1"/>
    <col min="15" max="15" width="17.5546875" customWidth="1"/>
    <col min="16" max="16" width="16.33203125" style="20" customWidth="1"/>
    <col min="17" max="17" width="28.88671875" customWidth="1"/>
    <col min="18" max="18" width="29.33203125" customWidth="1"/>
    <col min="19" max="19" width="14.44140625" customWidth="1"/>
    <col min="20" max="20" width="14" customWidth="1"/>
    <col min="21" max="21" width="16.6640625" style="42" customWidth="1"/>
    <col min="22" max="22" width="5" customWidth="1"/>
    <col min="23" max="23" width="21.44140625" style="36" customWidth="1"/>
    <col min="24" max="24" width="28.109375" customWidth="1"/>
    <col min="25" max="25" width="18.109375" customWidth="1"/>
    <col min="26" max="26" width="12.33203125" customWidth="1"/>
    <col min="27" max="27" width="14.5546875" bestFit="1" customWidth="1"/>
    <col min="28" max="28" width="20.5546875" bestFit="1" customWidth="1"/>
    <col min="29" max="29" width="12.44140625" customWidth="1"/>
    <col min="30" max="30" width="15" customWidth="1"/>
    <col min="31" max="32" width="13.44140625" customWidth="1"/>
    <col min="34" max="34" width="14.44140625" bestFit="1" customWidth="1"/>
    <col min="35" max="35" width="20.5546875" bestFit="1" customWidth="1"/>
    <col min="36" max="36" width="15.5546875" bestFit="1" customWidth="1"/>
  </cols>
  <sheetData>
    <row r="1" spans="1:27" ht="18" x14ac:dyDescent="0.35">
      <c r="A1" s="522" t="s">
        <v>7172</v>
      </c>
      <c r="B1" s="1068" t="s">
        <v>7173</v>
      </c>
      <c r="C1" s="1"/>
      <c r="D1" s="5"/>
      <c r="E1" s="5"/>
      <c r="F1" s="4"/>
      <c r="G1" s="46"/>
      <c r="I1" s="36"/>
      <c r="J1" s="36"/>
      <c r="K1"/>
      <c r="N1" s="79"/>
      <c r="P1" s="2"/>
      <c r="Q1" s="2"/>
      <c r="R1" s="2"/>
      <c r="S1" s="2"/>
    </row>
    <row r="2" spans="1:27" ht="14.4" x14ac:dyDescent="0.3">
      <c r="B2" s="1660" t="s">
        <v>6921</v>
      </c>
      <c r="C2" s="1804"/>
      <c r="D2" s="1661"/>
      <c r="G2" s="38"/>
      <c r="H2" s="38"/>
      <c r="I2" s="38"/>
      <c r="J2" s="38"/>
      <c r="K2" s="1787"/>
      <c r="L2" s="1787"/>
      <c r="M2" s="86"/>
      <c r="N2" s="1787"/>
      <c r="O2" s="1787"/>
      <c r="P2" s="86"/>
      <c r="Q2" s="1928" t="s">
        <v>6923</v>
      </c>
      <c r="R2" s="1923"/>
      <c r="S2" s="1929"/>
      <c r="T2" s="1930"/>
      <c r="U2" s="1931"/>
      <c r="W2" s="1928" t="s">
        <v>7141</v>
      </c>
      <c r="X2" s="1923"/>
      <c r="Y2" s="1929"/>
      <c r="Z2" s="1930"/>
      <c r="AA2" s="1931"/>
    </row>
    <row r="3" spans="1:27" ht="14.4" x14ac:dyDescent="0.3">
      <c r="B3" s="1668" t="s">
        <v>6922</v>
      </c>
      <c r="C3" s="1670"/>
      <c r="D3" s="1670"/>
      <c r="G3" s="38"/>
      <c r="H3" s="38"/>
      <c r="I3" s="38"/>
      <c r="J3" s="38"/>
      <c r="K3" s="921"/>
      <c r="L3" s="921"/>
      <c r="M3" s="921"/>
      <c r="N3" s="921"/>
      <c r="O3" s="921"/>
      <c r="P3" s="921"/>
      <c r="Q3" s="49" t="s">
        <v>1901</v>
      </c>
      <c r="R3" s="95" t="s">
        <v>6925</v>
      </c>
      <c r="S3" s="49"/>
      <c r="T3" s="1924">
        <f>C5*UDV.animal.total*UC.day_to_year</f>
        <v>0.5855973846883441</v>
      </c>
      <c r="U3" s="18" t="s">
        <v>2521</v>
      </c>
      <c r="W3" s="9" t="s">
        <v>7142</v>
      </c>
      <c r="X3" s="714" t="str">
        <f>PT.anaer_lagoon!B305</f>
        <v>Interval between sludge removal</v>
      </c>
      <c r="Y3" s="49"/>
      <c r="Z3" s="648">
        <f>PT.anaer_lagoon!S305</f>
        <v>10</v>
      </c>
      <c r="AA3" s="648" t="str">
        <f>PT.anaer_lagoon!F305</f>
        <v>year</v>
      </c>
    </row>
    <row r="4" spans="1:27" ht="14.4" x14ac:dyDescent="0.3">
      <c r="B4" s="1577" t="s">
        <v>6924</v>
      </c>
      <c r="C4" s="1879">
        <f>UDV.animal.manure*UC.year_to_day/UDV.animal.total/UDV.density.manure</f>
        <v>2.0526696680080483</v>
      </c>
      <c r="D4" s="1806" t="s">
        <v>5838</v>
      </c>
      <c r="G4" s="38"/>
      <c r="H4" s="38"/>
      <c r="I4" s="38"/>
      <c r="J4" s="38"/>
      <c r="K4" s="921"/>
      <c r="L4" s="921"/>
      <c r="M4" s="921"/>
      <c r="N4" s="921"/>
      <c r="O4" s="921"/>
      <c r="P4" s="921"/>
      <c r="Q4" s="49" t="s">
        <v>4618</v>
      </c>
      <c r="R4" s="2335" t="str">
        <f>PT.shallow_flush!B82</f>
        <v>Total recycled water needed</v>
      </c>
      <c r="S4" s="49"/>
      <c r="T4" s="1425">
        <f>PT.shallow_flush!G82</f>
        <v>28.39</v>
      </c>
      <c r="U4" s="714" t="str">
        <f>PT.shallow_flush!D82</f>
        <v>m3/day</v>
      </c>
      <c r="W4" s="49"/>
      <c r="X4" s="714" t="str">
        <f>PT.anaer_lagoon!B306</f>
        <v>Manure sludge removed, lagoon</v>
      </c>
      <c r="Y4" s="49"/>
      <c r="Z4" s="648">
        <f>PT.anaer_lagoon!S306</f>
        <v>2693.8026530909328</v>
      </c>
      <c r="AA4" s="648" t="str">
        <f>PT.anaer_lagoon!F306</f>
        <v>m3/event</v>
      </c>
    </row>
    <row r="5" spans="1:27" ht="14.4" x14ac:dyDescent="0.3">
      <c r="B5" s="1577" t="s">
        <v>415</v>
      </c>
      <c r="C5" s="1811">
        <f>SUM(C38:C40)</f>
        <v>0.42748609082249117</v>
      </c>
      <c r="D5" s="1806" t="s">
        <v>5838</v>
      </c>
      <c r="G5" s="38"/>
      <c r="H5" s="38"/>
      <c r="I5" s="38"/>
      <c r="J5" s="38"/>
      <c r="K5" s="921"/>
      <c r="L5" s="921"/>
      <c r="M5" s="921"/>
      <c r="N5" s="921"/>
      <c r="O5" s="921"/>
      <c r="P5" s="921"/>
      <c r="Q5" s="102"/>
      <c r="R5" s="2335" t="str">
        <f>PT.shallow_flush!B83</f>
        <v>Number of flushes</v>
      </c>
      <c r="S5" s="49"/>
      <c r="T5" s="1425">
        <f>PT.shallow_flush!G83</f>
        <v>3</v>
      </c>
      <c r="U5" s="714" t="str">
        <f>PT.shallow_flush!D83</f>
        <v>flush/day</v>
      </c>
      <c r="W5" s="49"/>
      <c r="X5" s="714" t="str">
        <f>PT.anaer_lagoon!B307</f>
        <v>Lagoon surface area</v>
      </c>
      <c r="Y5" s="49"/>
      <c r="Z5" s="648">
        <f>PT.anaer_lagoon!S307</f>
        <v>2664.5817743943217</v>
      </c>
      <c r="AA5" s="648" t="str">
        <f>PT.anaer_lagoon!F307</f>
        <v>m3</v>
      </c>
    </row>
    <row r="6" spans="1:27" ht="14.4" x14ac:dyDescent="0.3">
      <c r="B6" s="1577" t="s">
        <v>409</v>
      </c>
      <c r="C6" s="1811">
        <f>SUM(C34:C36)</f>
        <v>7.1267710411645808</v>
      </c>
      <c r="D6" s="1806" t="s">
        <v>5769</v>
      </c>
      <c r="G6" s="38"/>
      <c r="H6" s="38"/>
      <c r="I6" s="38"/>
      <c r="J6" s="38"/>
      <c r="K6" s="86"/>
      <c r="L6" s="86"/>
      <c r="M6" s="1828"/>
      <c r="N6" s="86"/>
      <c r="O6" s="86"/>
      <c r="P6" s="921"/>
      <c r="Q6" s="102"/>
      <c r="R6" s="2335" t="str">
        <f>PT.shallow_flush!B84</f>
        <v>Volume of recycled water per flush</v>
      </c>
      <c r="S6" s="49"/>
      <c r="T6" s="1425">
        <f>PT.shallow_flush!G84</f>
        <v>9.4633333333333329</v>
      </c>
      <c r="U6" s="714" t="str">
        <f>PT.shallow_flush!D84</f>
        <v>m3/flush</v>
      </c>
      <c r="W6" s="49"/>
      <c r="X6" s="714" t="str">
        <f>PT.anaer_lagoon!B308</f>
        <v>Lagoon constructed size</v>
      </c>
      <c r="Y6" s="49"/>
      <c r="Z6" s="648">
        <f>PT.anaer_lagoon!S308</f>
        <v>5536.05004954981</v>
      </c>
      <c r="AA6" s="648" t="str">
        <f>PT.anaer_lagoon!F308</f>
        <v>m2</v>
      </c>
    </row>
    <row r="7" spans="1:27" ht="15" customHeight="1" x14ac:dyDescent="0.3">
      <c r="B7" s="1577" t="s">
        <v>6926</v>
      </c>
      <c r="C7" s="1353" t="s">
        <v>6927</v>
      </c>
      <c r="D7" s="1806"/>
      <c r="G7" s="38"/>
      <c r="H7" s="38"/>
      <c r="I7" s="38"/>
      <c r="J7" s="38"/>
      <c r="K7" s="86"/>
      <c r="L7" s="86"/>
      <c r="M7" s="86"/>
      <c r="N7" s="86"/>
      <c r="O7" s="86"/>
      <c r="P7" s="86"/>
      <c r="Q7" s="67"/>
      <c r="R7" s="2335" t="str">
        <f>PT.shallow_flush!B85</f>
        <v>Total flush water volume</v>
      </c>
      <c r="S7" s="49"/>
      <c r="T7" s="1425">
        <f>PT.shallow_flush!G85</f>
        <v>28.39</v>
      </c>
      <c r="U7" s="714" t="str">
        <f>PT.shallow_flush!D85</f>
        <v>m3/day</v>
      </c>
      <c r="W7" s="49"/>
      <c r="X7" s="714" t="str">
        <f>PT.anaer_lagoon!B309</f>
        <v>N removed, lagoon</v>
      </c>
      <c r="Y7" s="49"/>
      <c r="Z7" s="648">
        <f>PT.anaer_lagoon!S309</f>
        <v>2.2785732307584281</v>
      </c>
      <c r="AA7" s="648" t="str">
        <f>PT.anaer_lagoon!F309</f>
        <v>g/L</v>
      </c>
    </row>
    <row r="8" spans="1:27" ht="14.4" x14ac:dyDescent="0.3">
      <c r="A8" s="38"/>
      <c r="B8" s="1577" t="s">
        <v>6928</v>
      </c>
      <c r="C8" s="1360">
        <f>SUM(C42:C47)/UDV.animal.total</f>
        <v>280.60366404954834</v>
      </c>
      <c r="D8" s="1353" t="s">
        <v>2270</v>
      </c>
      <c r="E8" s="38"/>
      <c r="F8" s="38"/>
      <c r="G8" s="38"/>
      <c r="H8" s="38"/>
      <c r="I8" s="38"/>
      <c r="J8" s="38"/>
      <c r="K8" s="86"/>
      <c r="L8" s="86"/>
      <c r="M8" s="86"/>
      <c r="N8" s="86"/>
      <c r="O8" s="86"/>
      <c r="P8" s="86"/>
      <c r="Q8" s="102"/>
      <c r="R8" s="2335" t="str">
        <f>PT.shallow_flush!B86</f>
        <v>Recycled water volume</v>
      </c>
      <c r="S8" s="49"/>
      <c r="T8" s="1425">
        <f>PT.shallow_flush!G86</f>
        <v>28.39</v>
      </c>
      <c r="U8" s="714" t="str">
        <f>PT.shallow_flush!D86</f>
        <v>m3/day</v>
      </c>
      <c r="W8" s="67"/>
      <c r="X8" s="714" t="str">
        <f>PT.anaer_lagoon!B310</f>
        <v>P2O5 removed, lagoon</v>
      </c>
      <c r="Y8" s="49"/>
      <c r="Z8" s="648">
        <f>PT.anaer_lagoon!S310</f>
        <v>5.5486604996284568</v>
      </c>
      <c r="AA8" s="648" t="str">
        <f>PT.anaer_lagoon!F310</f>
        <v>g/L</v>
      </c>
    </row>
    <row r="9" spans="1:27" ht="15" customHeight="1" x14ac:dyDescent="0.3">
      <c r="A9" s="38"/>
      <c r="B9" s="1810" t="s">
        <v>6929</v>
      </c>
      <c r="C9" s="1807"/>
      <c r="D9" s="1806"/>
      <c r="E9" s="38"/>
      <c r="F9" s="38"/>
      <c r="G9" s="38"/>
      <c r="H9" s="38"/>
      <c r="I9" s="38"/>
      <c r="J9" s="38"/>
      <c r="K9" s="1907"/>
      <c r="L9" s="1907"/>
      <c r="M9" s="1907"/>
      <c r="N9" s="86"/>
      <c r="O9" s="86"/>
      <c r="P9" s="86"/>
      <c r="Q9" s="102"/>
      <c r="R9" s="2335" t="str">
        <f>PT.shallow_flush!B87</f>
        <v>Volume of water per flush</v>
      </c>
      <c r="S9" s="49"/>
      <c r="T9" s="1425">
        <f>PT.shallow_flush!G87</f>
        <v>9.4633333333333329</v>
      </c>
      <c r="U9" s="714" t="str">
        <f>PT.shallow_flush!D87</f>
        <v>m3/flush</v>
      </c>
      <c r="W9" s="67"/>
      <c r="X9" s="714" t="str">
        <f>PT.anaer_lagoon!B311</f>
        <v>K2O removed, lagoon</v>
      </c>
      <c r="Y9" s="49"/>
      <c r="Z9" s="648">
        <f>PT.anaer_lagoon!S311</f>
        <v>5.5486875988667448</v>
      </c>
      <c r="AA9" s="648" t="str">
        <f>PT.anaer_lagoon!F311</f>
        <v>g/L</v>
      </c>
    </row>
    <row r="10" spans="1:27" ht="14.4" x14ac:dyDescent="0.3">
      <c r="A10" s="38"/>
      <c r="B10" s="1577" t="s">
        <v>6163</v>
      </c>
      <c r="C10" s="1811">
        <f>C56</f>
        <v>4.9104212914232273</v>
      </c>
      <c r="D10" s="1806" t="s">
        <v>2385</v>
      </c>
      <c r="E10" s="38"/>
      <c r="F10" s="38"/>
      <c r="G10" s="38"/>
      <c r="H10" s="38"/>
      <c r="I10" s="38"/>
      <c r="J10" s="38"/>
      <c r="K10" s="1907"/>
      <c r="L10" s="1907"/>
      <c r="M10" s="1907"/>
      <c r="N10" s="86"/>
      <c r="O10" s="86"/>
      <c r="P10" s="86"/>
      <c r="Q10" s="102"/>
      <c r="R10" s="2335" t="str">
        <f>PT.shallow_flush!B88</f>
        <v>Size of motor(s) needed for pump(s)</v>
      </c>
      <c r="S10" s="49"/>
      <c r="T10" s="1425">
        <f>PT.shallow_flush!G88</f>
        <v>4.9783549783549788</v>
      </c>
      <c r="U10" s="714" t="str">
        <f>PT.shallow_flush!D88</f>
        <v>hp/pump</v>
      </c>
      <c r="W10" s="49"/>
      <c r="X10" s="714" t="str">
        <f>PT.anaer_lagoon!B312</f>
        <v>Tanker, size</v>
      </c>
      <c r="Y10" s="49"/>
      <c r="Z10" s="648">
        <f>PT.anaer_lagoon!S312</f>
        <v>6000</v>
      </c>
      <c r="AA10" s="648" t="str">
        <f>PT.anaer_lagoon!F312</f>
        <v>gal</v>
      </c>
    </row>
    <row r="11" spans="1:27" ht="14.4" x14ac:dyDescent="0.3">
      <c r="A11" s="38"/>
      <c r="B11" s="1577" t="s">
        <v>6164</v>
      </c>
      <c r="C11" s="1811">
        <f t="shared" ref="C11:C12" si="0">C57</f>
        <v>3.6537102250000002</v>
      </c>
      <c r="D11" s="1806" t="s">
        <v>2385</v>
      </c>
      <c r="E11" s="38"/>
      <c r="F11" s="38"/>
      <c r="G11" s="38"/>
      <c r="H11" s="38"/>
      <c r="I11" s="38"/>
      <c r="J11" s="38"/>
      <c r="K11" s="1642"/>
      <c r="L11" s="1642"/>
      <c r="M11" s="1642"/>
      <c r="N11" s="1642"/>
      <c r="O11" s="1140"/>
      <c r="P11" s="86"/>
      <c r="Q11" s="33"/>
      <c r="R11" s="2335" t="str">
        <f>PT.shallow_flush!B89</f>
        <v>Number of pumps needed from pond/lagoon</v>
      </c>
      <c r="S11" s="49"/>
      <c r="T11" s="1425">
        <f>PT.shallow_flush!G89</f>
        <v>1</v>
      </c>
      <c r="U11" s="714" t="str">
        <f>PT.shallow_flush!D89</f>
        <v>pumps</v>
      </c>
      <c r="W11" s="49"/>
      <c r="X11" s="714" t="str">
        <f>PT.anaer_lagoon!B313</f>
        <v>Tractor for tanker, size</v>
      </c>
      <c r="Y11" s="49"/>
      <c r="Z11" s="648">
        <f>PT.anaer_lagoon!S313</f>
        <v>250</v>
      </c>
      <c r="AA11" s="648" t="str">
        <f>PT.anaer_lagoon!F313</f>
        <v>PTO hp</v>
      </c>
    </row>
    <row r="12" spans="1:27" ht="14.4" x14ac:dyDescent="0.3">
      <c r="A12" s="38"/>
      <c r="B12" s="1577" t="s">
        <v>6165</v>
      </c>
      <c r="C12" s="1811">
        <f t="shared" si="0"/>
        <v>5.5517686249999993</v>
      </c>
      <c r="D12" s="1806" t="s">
        <v>2385</v>
      </c>
      <c r="E12" s="38"/>
      <c r="F12" s="38"/>
      <c r="G12" s="38"/>
      <c r="H12" s="38"/>
      <c r="I12" s="38"/>
      <c r="J12" s="38"/>
      <c r="K12" s="1909"/>
      <c r="L12" s="1908"/>
      <c r="M12" s="86"/>
      <c r="N12" s="86"/>
      <c r="O12" s="86"/>
      <c r="P12" s="86"/>
      <c r="Q12" s="49"/>
      <c r="R12" s="2335" t="str">
        <f>PT.shallow_flush!B90</f>
        <v>Operational time for pump/motor</v>
      </c>
      <c r="S12" s="49"/>
      <c r="T12" s="1425">
        <f>PT.shallow_flush!G90</f>
        <v>0.83331606180888895</v>
      </c>
      <c r="U12" s="714" t="str">
        <f>PT.shallow_flush!D90</f>
        <v>hr/day/pump</v>
      </c>
      <c r="W12" s="49"/>
      <c r="X12" s="714" t="str">
        <f>PT.anaer_lagoon!B314</f>
        <v>Application by broadcast or injection?</v>
      </c>
      <c r="Y12" s="49"/>
      <c r="Z12" s="648" t="str">
        <f>PT.anaer_lagoon!S314</f>
        <v>Injection</v>
      </c>
      <c r="AA12" s="648" t="str">
        <f>PT.anaer_lagoon!F314</f>
        <v>type</v>
      </c>
    </row>
    <row r="13" spans="1:27" ht="30" customHeight="1" x14ac:dyDescent="0.3">
      <c r="A13" s="42"/>
      <c r="B13" s="1810" t="s">
        <v>6930</v>
      </c>
      <c r="C13" s="1811"/>
      <c r="D13" s="1806"/>
      <c r="E13" s="1920"/>
      <c r="F13" s="1881"/>
      <c r="G13" s="1884"/>
      <c r="H13" s="1920"/>
      <c r="I13" s="1795"/>
      <c r="J13" s="1910"/>
      <c r="K13" s="1910"/>
      <c r="L13" s="1911"/>
      <c r="M13" s="1910"/>
      <c r="N13" s="1791"/>
      <c r="O13" s="86"/>
      <c r="P13" s="86"/>
      <c r="Q13" s="49"/>
      <c r="R13" s="2335" t="str">
        <f>PT.shallow_flush!B91</f>
        <v>Energy needed for motor(s) for pump(s)</v>
      </c>
      <c r="S13" s="49"/>
      <c r="T13" s="1425">
        <f>PT.shallow_flush!G91</f>
        <v>3.0935680987176215</v>
      </c>
      <c r="U13" s="714" t="str">
        <f>PT.shallow_flush!D91</f>
        <v>kWh/day</v>
      </c>
      <c r="W13" s="49"/>
      <c r="X13" s="714" t="str">
        <f>PT.anaer_lagoon!B315</f>
        <v>Operation time for tractor with tanker</v>
      </c>
      <c r="Y13" s="49"/>
      <c r="Z13" s="648">
        <f>PT.anaer_lagoon!S315</f>
        <v>45.327719728331026</v>
      </c>
      <c r="AA13" s="648" t="str">
        <f>PT.anaer_lagoon!F315</f>
        <v>hrs/event</v>
      </c>
    </row>
    <row r="14" spans="1:27" ht="14.4" x14ac:dyDescent="0.3">
      <c r="A14" s="7"/>
      <c r="B14" s="1577" t="s">
        <v>6163</v>
      </c>
      <c r="C14" s="1811">
        <f>C60</f>
        <v>1.2276053228558064</v>
      </c>
      <c r="D14" s="1806" t="s">
        <v>2385</v>
      </c>
      <c r="E14" s="1920"/>
      <c r="F14" s="1881"/>
      <c r="G14" s="1884"/>
      <c r="H14" s="1920"/>
      <c r="I14" s="1795"/>
      <c r="J14" s="1908"/>
      <c r="K14" s="1908"/>
      <c r="L14" s="1912"/>
      <c r="M14" s="1913"/>
      <c r="N14" s="1795"/>
      <c r="O14" s="86"/>
      <c r="P14" s="86"/>
      <c r="Q14" s="49"/>
      <c r="R14" s="2335" t="str">
        <f>PT.shallow_flush!B92</f>
        <v>Total distance from pump to splitters</v>
      </c>
      <c r="S14" s="49"/>
      <c r="T14" s="1425">
        <f>PT.shallow_flush!G92</f>
        <v>600</v>
      </c>
      <c r="U14" s="714" t="str">
        <f>PT.shallow_flush!D92</f>
        <v>ft</v>
      </c>
      <c r="W14" s="49"/>
      <c r="X14" s="714" t="str">
        <f>PT.anaer_lagoon!B316</f>
        <v>Fuel needed for tractor with tank and applicator</v>
      </c>
      <c r="Y14" s="49"/>
      <c r="Z14" s="648">
        <f>PT.anaer_lagoon!S316</f>
        <v>498.60491701164131</v>
      </c>
      <c r="AA14" s="648" t="str">
        <f>PT.anaer_lagoon!F316</f>
        <v>gal/event</v>
      </c>
    </row>
    <row r="15" spans="1:27" ht="14.4" x14ac:dyDescent="0.3">
      <c r="B15" s="1577" t="s">
        <v>6164</v>
      </c>
      <c r="C15" s="1811">
        <f t="shared" ref="C15:C16" si="1">C61</f>
        <v>2.9893992749999998</v>
      </c>
      <c r="D15" s="1806" t="s">
        <v>2385</v>
      </c>
      <c r="G15" s="1881"/>
      <c r="H15" s="1920"/>
      <c r="I15" s="86"/>
      <c r="J15" s="1908"/>
      <c r="K15" s="1908"/>
      <c r="L15" s="1912"/>
      <c r="M15" s="1913"/>
      <c r="N15" s="1795"/>
      <c r="O15" s="86"/>
      <c r="P15" s="86"/>
      <c r="Q15" s="49"/>
      <c r="R15" s="2335" t="str">
        <f>PT.shallow_flush!B93</f>
        <v>Total distance from splitters to barns</v>
      </c>
      <c r="S15" s="49"/>
      <c r="T15" s="1425">
        <f>PT.shallow_flush!G93</f>
        <v>200</v>
      </c>
      <c r="U15" s="714" t="str">
        <f>PT.shallow_flush!D93</f>
        <v>ft</v>
      </c>
      <c r="W15" s="49"/>
      <c r="X15" s="714" t="str">
        <f>PT.anaer_lagoon!B317</f>
        <v>Number of tractors with tanker needed</v>
      </c>
      <c r="Y15" s="49"/>
      <c r="Z15" s="648">
        <f>PT.anaer_lagoon!S317</f>
        <v>1</v>
      </c>
      <c r="AA15" s="648" t="str">
        <f>PT.anaer_lagoon!F317</f>
        <v>quantity</v>
      </c>
    </row>
    <row r="16" spans="1:27" ht="14.4" x14ac:dyDescent="0.3">
      <c r="B16" s="1577" t="s">
        <v>6165</v>
      </c>
      <c r="C16" s="1811">
        <f t="shared" si="1"/>
        <v>2.9894138749999994</v>
      </c>
      <c r="D16" s="1806" t="s">
        <v>2385</v>
      </c>
      <c r="G16" s="1790"/>
      <c r="H16" s="1920"/>
      <c r="I16" s="86"/>
      <c r="J16" s="1642"/>
      <c r="K16" s="1908"/>
      <c r="L16" s="1913"/>
      <c r="M16" s="1913"/>
      <c r="N16" s="1795"/>
      <c r="O16" s="86"/>
      <c r="P16" s="86"/>
      <c r="Q16" s="49"/>
      <c r="R16" s="2335" t="str">
        <f>PT.shallow_flush!B94</f>
        <v>Transfer channel total length</v>
      </c>
      <c r="S16" s="49"/>
      <c r="T16" s="1425">
        <f>PT.shallow_flush!G94</f>
        <v>53.3</v>
      </c>
      <c r="U16" s="714" t="str">
        <f>PT.shallow_flush!D94</f>
        <v>m</v>
      </c>
      <c r="W16" s="49"/>
      <c r="X16" s="714" t="str">
        <f>PT.anaer_lagoon!B318</f>
        <v>Tractor for agitator, size</v>
      </c>
      <c r="Y16" s="49"/>
      <c r="Z16" s="648">
        <f>PT.anaer_lagoon!S318</f>
        <v>160</v>
      </c>
      <c r="AA16" s="648" t="str">
        <f>PT.anaer_lagoon!F318</f>
        <v>PTO hp</v>
      </c>
    </row>
    <row r="17" spans="1:27" ht="14.4" x14ac:dyDescent="0.3">
      <c r="B17" s="1808" t="s">
        <v>5271</v>
      </c>
      <c r="C17" s="1809"/>
      <c r="D17" s="1806"/>
      <c r="G17" s="921"/>
      <c r="H17" s="1920"/>
      <c r="I17" s="86"/>
      <c r="J17" s="1642"/>
      <c r="K17" s="1908"/>
      <c r="L17" s="1912"/>
      <c r="M17" s="1913"/>
      <c r="N17" s="1795"/>
      <c r="O17" s="86"/>
      <c r="P17" s="86"/>
      <c r="Q17" s="49" t="s">
        <v>5219</v>
      </c>
      <c r="R17" s="1818" t="str">
        <f>PT.reception_pit!B26</f>
        <v>Reception pit constructed size</v>
      </c>
      <c r="S17" s="49"/>
      <c r="T17" s="1425">
        <f>PT.reception_pit!G26</f>
        <v>31283.734452421984</v>
      </c>
      <c r="U17" s="714" t="str">
        <f>PT.reception_pit!C26</f>
        <v>L</v>
      </c>
      <c r="W17" s="49"/>
      <c r="X17" s="714" t="str">
        <f>PT.anaer_lagoon!B319</f>
        <v>Number of tractors for agitating needed</v>
      </c>
      <c r="Y17" s="49"/>
      <c r="Z17" s="648">
        <f>PT.anaer_lagoon!S319</f>
        <v>1</v>
      </c>
      <c r="AA17" s="648" t="str">
        <f>PT.anaer_lagoon!F319</f>
        <v>quantity</v>
      </c>
    </row>
    <row r="18" spans="1:27" ht="15.6" x14ac:dyDescent="0.3">
      <c r="B18" s="1577" t="s">
        <v>6782</v>
      </c>
      <c r="C18" s="1812">
        <f>C72+C77+C81</f>
        <v>17.626080193518657</v>
      </c>
      <c r="D18" s="1806" t="s">
        <v>2385</v>
      </c>
      <c r="G18" s="921"/>
      <c r="H18" s="1920"/>
      <c r="I18" s="86"/>
      <c r="J18" s="1642"/>
      <c r="K18" s="1908"/>
      <c r="L18" s="1912"/>
      <c r="M18" s="1913"/>
      <c r="N18" s="1795"/>
      <c r="O18" s="86"/>
      <c r="P18" s="86"/>
      <c r="Q18" s="49"/>
      <c r="R18" s="1818" t="str">
        <f>PT.reception_pit!B27</f>
        <v>Size of motor(s) for agi-pump(s)</v>
      </c>
      <c r="S18" s="49"/>
      <c r="T18" s="1425">
        <f>PT.reception_pit!G27</f>
        <v>15</v>
      </c>
      <c r="U18" s="714" t="str">
        <f>PT.reception_pit!C27</f>
        <v>hp</v>
      </c>
      <c r="W18" s="49"/>
      <c r="X18" s="714" t="str">
        <f>PT.anaer_lagoon!B320</f>
        <v>Operation time for tractor agitating</v>
      </c>
      <c r="Y18" s="49"/>
      <c r="Z18" s="648">
        <f>PT.anaer_lagoon!S320</f>
        <v>56.659649660413777</v>
      </c>
      <c r="AA18" s="648" t="str">
        <f>PT.anaer_lagoon!F320</f>
        <v>hr/year</v>
      </c>
    </row>
    <row r="19" spans="1:27" ht="15.6" x14ac:dyDescent="0.3">
      <c r="B19" s="1577" t="s">
        <v>6783</v>
      </c>
      <c r="C19" s="1812">
        <f>C74+C79+C83</f>
        <v>7.2166775132905023E-2</v>
      </c>
      <c r="D19" s="1806" t="s">
        <v>2385</v>
      </c>
      <c r="G19" s="86"/>
      <c r="H19" s="86"/>
      <c r="I19" s="86"/>
      <c r="J19" s="1642"/>
      <c r="K19" s="1908"/>
      <c r="L19" s="1908"/>
      <c r="M19" s="1913"/>
      <c r="N19" s="1795"/>
      <c r="O19" s="86"/>
      <c r="P19" s="86"/>
      <c r="Q19" s="49"/>
      <c r="R19" s="1818" t="str">
        <f>PT.reception_pit!B28</f>
        <v>Number of agi-pumps needed</v>
      </c>
      <c r="S19" s="49"/>
      <c r="T19" s="1425">
        <f>PT.reception_pit!G28</f>
        <v>1</v>
      </c>
      <c r="U19" s="714" t="str">
        <f>PT.reception_pit!C28</f>
        <v>pumps</v>
      </c>
      <c r="W19" s="49"/>
      <c r="X19" s="714" t="str">
        <f>PT.anaer_lagoon!B321</f>
        <v>Fuel needed for tractor for agitating</v>
      </c>
      <c r="Y19" s="49"/>
      <c r="Z19" s="648">
        <f>PT.anaer_lagoon!S321</f>
        <v>398.88393360931292</v>
      </c>
      <c r="AA19" s="648" t="str">
        <f>PT.anaer_lagoon!F321</f>
        <v>gal/event</v>
      </c>
    </row>
    <row r="20" spans="1:27" ht="15.6" x14ac:dyDescent="0.3">
      <c r="B20" s="1577" t="s">
        <v>6784</v>
      </c>
      <c r="C20" s="1812">
        <f>C75+C80+C84</f>
        <v>0.2822039685295068</v>
      </c>
      <c r="D20" s="1806" t="s">
        <v>2385</v>
      </c>
      <c r="G20" s="1799"/>
      <c r="H20" s="1799"/>
      <c r="I20" s="86"/>
      <c r="J20" s="1908"/>
      <c r="K20" s="1908"/>
      <c r="L20" s="1908"/>
      <c r="M20" s="1913"/>
      <c r="N20" s="1795"/>
      <c r="O20" s="86"/>
      <c r="P20" s="86"/>
      <c r="Q20" s="49"/>
      <c r="R20" s="1818" t="str">
        <f>PT.reception_pit!B29</f>
        <v>Energy needed for motor for agi-pump</v>
      </c>
      <c r="S20" s="49"/>
      <c r="T20" s="1425">
        <f>PT.reception_pit!G29</f>
        <v>4.1084544279722408</v>
      </c>
      <c r="U20" s="714" t="str">
        <f>PT.reception_pit!C29</f>
        <v>kWh/day</v>
      </c>
      <c r="W20" s="49"/>
      <c r="X20" s="714" t="str">
        <f>PT.anaer_lagoon!B322</f>
        <v>Number of tractors for pumping needed</v>
      </c>
      <c r="Y20" s="49"/>
      <c r="Z20" s="648">
        <f>PT.anaer_lagoon!S322</f>
        <v>1</v>
      </c>
      <c r="AA20" s="648" t="str">
        <f>PT.anaer_lagoon!F322</f>
        <v>quantity</v>
      </c>
    </row>
    <row r="21" spans="1:27" ht="14.25" customHeight="1" x14ac:dyDescent="0.3">
      <c r="A21" s="42"/>
      <c r="B21" s="1577" t="s">
        <v>6785</v>
      </c>
      <c r="C21" s="1812">
        <f>C73+C78+C82</f>
        <v>12.827686345638412</v>
      </c>
      <c r="D21" s="1806" t="s">
        <v>2385</v>
      </c>
      <c r="E21" s="1799"/>
      <c r="F21" s="1799"/>
      <c r="G21" s="1799"/>
      <c r="H21" s="1799"/>
      <c r="I21" s="86"/>
      <c r="J21" s="1908"/>
      <c r="K21" s="1908"/>
      <c r="L21" s="1908"/>
      <c r="M21" s="1913"/>
      <c r="N21" s="1795"/>
      <c r="O21" s="86"/>
      <c r="P21" s="86"/>
      <c r="Q21" s="49" t="s">
        <v>3086</v>
      </c>
      <c r="R21" s="1818" t="str">
        <f>PT.anaer_digest!B81</f>
        <v>Manure inflow volume</v>
      </c>
      <c r="S21" s="49"/>
      <c r="T21" s="1425">
        <f>PT.anaer_digest!G81</f>
        <v>31.283734452421985</v>
      </c>
      <c r="U21" s="714" t="str">
        <f>PT.anaer_digest!C81</f>
        <v>m3/day</v>
      </c>
      <c r="W21" s="49"/>
      <c r="X21" s="714" t="str">
        <f>PT.anaer_lagoon!B323</f>
        <v>Tractor for pumping, size</v>
      </c>
      <c r="Y21" s="49"/>
      <c r="Z21" s="648">
        <f>PT.anaer_lagoon!S323</f>
        <v>180</v>
      </c>
      <c r="AA21" s="648" t="str">
        <f>PT.anaer_lagoon!F323</f>
        <v>PTO hp</v>
      </c>
    </row>
    <row r="22" spans="1:27" ht="15.75" customHeight="1" x14ac:dyDescent="0.3">
      <c r="A22" s="42"/>
      <c r="B22" s="2329" t="s">
        <v>7466</v>
      </c>
      <c r="C22" s="302">
        <f>C76</f>
        <v>36.27284479979874</v>
      </c>
      <c r="D22" s="1806" t="s">
        <v>2385</v>
      </c>
      <c r="E22" s="1881"/>
      <c r="F22" s="1921"/>
      <c r="G22" s="1792"/>
      <c r="H22" s="86"/>
      <c r="I22" s="86"/>
      <c r="J22" s="1642"/>
      <c r="K22" s="1908"/>
      <c r="L22" s="1908"/>
      <c r="M22" s="1913"/>
      <c r="N22" s="1795"/>
      <c r="O22" s="86"/>
      <c r="P22" s="86"/>
      <c r="Q22" s="49"/>
      <c r="R22" s="1818" t="str">
        <f>PT.anaer_digest!B82</f>
        <v>Number of digesters</v>
      </c>
      <c r="S22" s="49"/>
      <c r="T22" s="1425">
        <f>PT.anaer_digest!G82</f>
        <v>1</v>
      </c>
      <c r="U22" s="714" t="str">
        <f>PT.anaer_digest!C82</f>
        <v>quantity</v>
      </c>
      <c r="W22" s="49"/>
      <c r="X22" s="714" t="str">
        <f>PT.anaer_lagoon!B324</f>
        <v>Operation time for tractor pumping</v>
      </c>
      <c r="Y22" s="49"/>
      <c r="Z22" s="648">
        <f>PT.anaer_lagoon!S324</f>
        <v>5.9302281212506323</v>
      </c>
      <c r="AA22" s="648" t="str">
        <f>PT.anaer_lagoon!F324</f>
        <v>hr/event</v>
      </c>
    </row>
    <row r="23" spans="1:27" ht="30" customHeight="1" x14ac:dyDescent="0.3">
      <c r="A23" s="42"/>
      <c r="E23" s="1785"/>
      <c r="F23" s="536"/>
      <c r="G23" s="86"/>
      <c r="H23" s="86"/>
      <c r="I23" s="86"/>
      <c r="J23" s="1642"/>
      <c r="K23" s="1908"/>
      <c r="L23" s="1913"/>
      <c r="M23" s="1913"/>
      <c r="N23" s="1795"/>
      <c r="O23" s="86"/>
      <c r="P23" s="1830"/>
      <c r="Q23" s="49"/>
      <c r="R23" s="1818" t="str">
        <f>PT.anaer_digest!B83</f>
        <v>Digester constructed size</v>
      </c>
      <c r="S23" s="49"/>
      <c r="T23" s="1425">
        <f>PT.anaer_digest!G83</f>
        <v>782.09336131054965</v>
      </c>
      <c r="U23" s="714" t="str">
        <f>PT.anaer_digest!C83</f>
        <v>m3/digester</v>
      </c>
      <c r="W23" s="49"/>
      <c r="X23" s="714" t="str">
        <f>PT.anaer_lagoon!B325</f>
        <v>Fuel needed for tractor for pumping</v>
      </c>
      <c r="Y23" s="49"/>
      <c r="Z23" s="648">
        <f>PT.anaer_lagoon!S325</f>
        <v>46.967406720305007</v>
      </c>
      <c r="AA23" s="648" t="str">
        <f>PT.anaer_lagoon!F325</f>
        <v>gal/event</v>
      </c>
    </row>
    <row r="24" spans="1:27" ht="14.4" x14ac:dyDescent="0.3">
      <c r="A24" s="42"/>
      <c r="B24" s="1668" t="s">
        <v>6931</v>
      </c>
      <c r="C24" s="1680"/>
      <c r="D24" s="1815"/>
      <c r="E24" s="1799"/>
      <c r="F24" s="1799"/>
      <c r="G24" s="1799"/>
      <c r="H24" s="1799"/>
      <c r="I24" s="1797"/>
      <c r="J24" s="1908"/>
      <c r="K24" s="1908"/>
      <c r="L24" s="1913"/>
      <c r="M24" s="1913"/>
      <c r="N24" s="1795"/>
      <c r="O24" s="86"/>
      <c r="P24" s="1830"/>
      <c r="Q24" s="49"/>
      <c r="R24" s="1818" t="str">
        <f>PT.anaer_digest!B84</f>
        <v>Carbon/methane produced by volume</v>
      </c>
      <c r="S24" s="49"/>
      <c r="T24" s="1425">
        <f>PT.anaer_digest!G84</f>
        <v>9962.3303487499979</v>
      </c>
      <c r="U24" s="714" t="str">
        <f>PT.anaer_digest!C84</f>
        <v>m3/year</v>
      </c>
      <c r="W24" s="49"/>
      <c r="X24" s="714" t="str">
        <f>PT.anaer_lagoon!B326</f>
        <v>Size of tractor for pulling hose reel and applicator toolbar</v>
      </c>
      <c r="Y24" s="49"/>
      <c r="Z24" s="648">
        <f>PT.anaer_lagoon!S326</f>
        <v>580</v>
      </c>
      <c r="AA24" s="648" t="str">
        <f>PT.anaer_lagoon!F326</f>
        <v>PTO hp</v>
      </c>
    </row>
    <row r="25" spans="1:27" ht="14.4" x14ac:dyDescent="0.3">
      <c r="A25" s="42"/>
      <c r="B25" s="510" t="s">
        <v>6932</v>
      </c>
      <c r="C25" s="1378">
        <v>0.21</v>
      </c>
      <c r="D25" s="510" t="s">
        <v>1694</v>
      </c>
      <c r="E25" s="1799"/>
      <c r="F25" s="1799"/>
      <c r="G25" s="1799"/>
      <c r="H25" s="1799"/>
      <c r="I25" s="1797"/>
      <c r="J25" s="1908"/>
      <c r="K25" s="1908"/>
      <c r="L25" s="1913"/>
      <c r="M25" s="1913"/>
      <c r="N25" s="1795"/>
      <c r="O25" s="86"/>
      <c r="P25" s="1801"/>
      <c r="Q25" s="49"/>
      <c r="R25" s="1818" t="e">
        <f>PT.anaer_digest!#REF!</f>
        <v>#REF!</v>
      </c>
      <c r="S25" s="49"/>
      <c r="T25" s="1425" t="e">
        <f>PT.anaer_digest!#REF!</f>
        <v>#REF!</v>
      </c>
      <c r="U25" s="714" t="e">
        <f>PT.anaer_digest!#REF!</f>
        <v>#REF!</v>
      </c>
      <c r="W25" s="49"/>
      <c r="X25" s="714" t="str">
        <f>PT.anaer_lagoon!B327</f>
        <v>Number of tractors for pulling hose reel and applicator</v>
      </c>
      <c r="Y25" s="49"/>
      <c r="Z25" s="648">
        <f>PT.anaer_lagoon!S327</f>
        <v>1</v>
      </c>
      <c r="AA25" s="648" t="str">
        <f>PT.anaer_lagoon!F327</f>
        <v>quantity</v>
      </c>
    </row>
    <row r="26" spans="1:27" ht="14.4" x14ac:dyDescent="0.3">
      <c r="A26" s="42"/>
      <c r="B26" s="1813" t="s">
        <v>6933</v>
      </c>
      <c r="C26" s="1414">
        <v>2.1428571399999998</v>
      </c>
      <c r="D26" s="510" t="s">
        <v>6934</v>
      </c>
      <c r="E26" s="1894"/>
      <c r="F26" s="1921"/>
      <c r="G26" s="921"/>
      <c r="H26" s="86"/>
      <c r="I26" s="1797"/>
      <c r="J26" s="1908"/>
      <c r="K26" s="1908"/>
      <c r="L26" s="1913"/>
      <c r="M26" s="1913"/>
      <c r="N26" s="1795"/>
      <c r="O26" s="86"/>
      <c r="P26" s="86"/>
      <c r="Q26" s="49" t="s">
        <v>7174</v>
      </c>
      <c r="R26" s="1818" t="str">
        <f>PT.anaer_lagoon!B260</f>
        <v>Interval between liquids removal</v>
      </c>
      <c r="S26" s="49"/>
      <c r="T26" s="1425">
        <f>PT.anaer_lagoon!S260</f>
        <v>182.5</v>
      </c>
      <c r="U26" s="714" t="str">
        <f>PT.anaer_lagoon!F260</f>
        <v>days</v>
      </c>
      <c r="W26" s="49"/>
      <c r="X26" s="714" t="str">
        <f>PT.anaer_lagoon!B328</f>
        <v>Size of tractor for support with hose pulley</v>
      </c>
      <c r="Y26" s="49"/>
      <c r="Z26" s="648">
        <f>PT.anaer_lagoon!S328</f>
        <v>340</v>
      </c>
      <c r="AA26" s="648" t="str">
        <f>PT.anaer_lagoon!F328</f>
        <v>PTO hp</v>
      </c>
    </row>
    <row r="27" spans="1:27" ht="14.4" x14ac:dyDescent="0.3">
      <c r="A27" s="42"/>
      <c r="B27" s="91" t="s">
        <v>6935</v>
      </c>
      <c r="C27" s="1403">
        <f>(C19+C20)*(28/44)</f>
        <v>0.22550865505789844</v>
      </c>
      <c r="D27" s="510" t="s">
        <v>2358</v>
      </c>
      <c r="E27" s="1785"/>
      <c r="F27" s="536"/>
      <c r="G27" s="86"/>
      <c r="H27" s="86"/>
      <c r="I27" s="86"/>
      <c r="J27" s="1642"/>
      <c r="K27" s="1908"/>
      <c r="L27" s="1913"/>
      <c r="M27" s="1913"/>
      <c r="N27" s="1795"/>
      <c r="O27" s="86"/>
      <c r="P27" s="86"/>
      <c r="Q27" s="49"/>
      <c r="R27" s="1818" t="str">
        <f>PT.anaer_lagoon!B261</f>
        <v>Manure liquids removed, lagoon</v>
      </c>
      <c r="S27" s="49"/>
      <c r="T27" s="1425">
        <f>PT.anaer_lagoon!S261</f>
        <v>1186.1423892357984</v>
      </c>
      <c r="U27" s="714" t="str">
        <f>PT.anaer_lagoon!F261</f>
        <v>m3/event</v>
      </c>
      <c r="W27" s="67"/>
      <c r="X27" s="714" t="str">
        <f>PT.anaer_lagoon!B329</f>
        <v>Distance from storage to field</v>
      </c>
      <c r="Y27" s="49"/>
      <c r="Z27" s="648">
        <f>PT.anaer_lagoon!S329</f>
        <v>2</v>
      </c>
      <c r="AA27" s="648" t="str">
        <f>PT.anaer_lagoon!F329</f>
        <v>miles</v>
      </c>
    </row>
    <row r="28" spans="1:27" ht="14.4" x14ac:dyDescent="0.3">
      <c r="A28" s="42"/>
      <c r="B28" s="91" t="s">
        <v>6936</v>
      </c>
      <c r="C28" s="1380">
        <f>C21*(14/17)</f>
        <v>10.563976990525751</v>
      </c>
      <c r="D28" s="510" t="s">
        <v>2358</v>
      </c>
      <c r="E28" s="1799"/>
      <c r="F28" s="1799"/>
      <c r="G28" s="1799"/>
      <c r="H28" s="1799"/>
      <c r="I28" s="1797"/>
      <c r="J28" s="1908"/>
      <c r="K28" s="1908"/>
      <c r="L28" s="1913"/>
      <c r="M28" s="1913"/>
      <c r="N28" s="1795"/>
      <c r="O28" s="86"/>
      <c r="P28" s="86"/>
      <c r="Q28" s="49"/>
      <c r="R28" s="1818" t="str">
        <f>PT.anaer_lagoon!B262</f>
        <v>Lagoon surface area</v>
      </c>
      <c r="S28" s="49"/>
      <c r="T28" s="1425">
        <f>PT.anaer_lagoon!S262</f>
        <v>2664.5817743943217</v>
      </c>
      <c r="U28" s="714" t="str">
        <f>PT.anaer_lagoon!F262</f>
        <v>m2</v>
      </c>
      <c r="W28" s="67"/>
      <c r="X28" s="714" t="str">
        <f>PT.anaer_lagoon!B330</f>
        <v>Application by broadcast or injection?</v>
      </c>
      <c r="Y28" s="49"/>
      <c r="Z28" s="648" t="str">
        <f>PT.anaer_lagoon!S330</f>
        <v>Injection</v>
      </c>
      <c r="AA28" s="648" t="str">
        <f>PT.anaer_lagoon!F330</f>
        <v>type</v>
      </c>
    </row>
    <row r="29" spans="1:27" ht="18" customHeight="1" x14ac:dyDescent="0.3">
      <c r="A29" s="42"/>
      <c r="B29" s="91" t="s">
        <v>6937</v>
      </c>
      <c r="C29" s="1404">
        <f>C25*C27*(44/28)/C26</f>
        <v>3.4728332925220803E-2</v>
      </c>
      <c r="D29" s="510" t="s">
        <v>2358</v>
      </c>
      <c r="E29" s="1799"/>
      <c r="F29" s="1799"/>
      <c r="G29" s="1799"/>
      <c r="H29" s="1799"/>
      <c r="I29" s="1797"/>
      <c r="J29" s="1908"/>
      <c r="K29" s="1908"/>
      <c r="L29" s="1913"/>
      <c r="M29" s="1913"/>
      <c r="N29" s="1795"/>
      <c r="O29" s="86"/>
      <c r="P29" s="86"/>
      <c r="Q29" s="49"/>
      <c r="R29" s="1818" t="str">
        <f>PT.anaer_lagoon!B263</f>
        <v>Lagoon constructed size</v>
      </c>
      <c r="S29" s="49"/>
      <c r="T29" s="1425">
        <f>PT.anaer_lagoon!S263</f>
        <v>5536.05004954981</v>
      </c>
      <c r="U29" s="714" t="str">
        <f>PT.anaer_lagoon!F263</f>
        <v>m3</v>
      </c>
      <c r="W29" s="67"/>
      <c r="X29" s="714" t="str">
        <f>PT.anaer_lagoon!B331</f>
        <v>Fuel needed for tractor for pulling hose reel and applicator</v>
      </c>
      <c r="Y29" s="49"/>
      <c r="Z29" s="648">
        <f>PT.anaer_lagoon!S331</f>
        <v>25.52</v>
      </c>
      <c r="AA29" s="648" t="str">
        <f>PT.anaer_lagoon!F331</f>
        <v>gal/hr</v>
      </c>
    </row>
    <row r="30" spans="1:27" ht="14.4" x14ac:dyDescent="0.3">
      <c r="A30" s="42"/>
      <c r="B30" s="1920"/>
      <c r="C30" s="86"/>
      <c r="D30" s="1785"/>
      <c r="E30" s="1785"/>
      <c r="F30" s="536"/>
      <c r="G30" s="921"/>
      <c r="H30" s="86"/>
      <c r="I30" s="1797"/>
      <c r="J30" s="1908"/>
      <c r="K30" s="1908"/>
      <c r="L30" s="1913"/>
      <c r="M30" s="1913"/>
      <c r="N30" s="1795"/>
      <c r="O30" s="86"/>
      <c r="P30" s="86"/>
      <c r="Q30" s="91"/>
      <c r="R30" s="1818" t="str">
        <f>PT.anaer_lagoon!B264</f>
        <v>N removed, lagoon</v>
      </c>
      <c r="S30" s="49"/>
      <c r="T30" s="1425">
        <f>PT.anaer_lagoon!S264</f>
        <v>1.034956118250459</v>
      </c>
      <c r="U30" s="714" t="str">
        <f>PT.anaer_lagoon!F264</f>
        <v>g/L</v>
      </c>
      <c r="W30" s="67"/>
      <c r="X30" s="714" t="str">
        <f>PT.anaer_lagoon!B332</f>
        <v>Fuel needed for support tractor with hose pulley</v>
      </c>
      <c r="Y30" s="49"/>
      <c r="Z30" s="648">
        <f>PT.anaer_lagoon!S332</f>
        <v>14.959999999999999</v>
      </c>
      <c r="AA30" s="648" t="str">
        <f>PT.anaer_lagoon!F332</f>
        <v>gal/hr</v>
      </c>
    </row>
    <row r="31" spans="1:27" ht="15.75" customHeight="1" x14ac:dyDescent="0.3">
      <c r="A31" s="42"/>
      <c r="B31" s="86"/>
      <c r="C31" s="86"/>
      <c r="D31" s="1785"/>
      <c r="E31" s="1785"/>
      <c r="F31" s="536"/>
      <c r="G31" s="921"/>
      <c r="H31" s="86"/>
      <c r="I31" s="86"/>
      <c r="J31" s="1642"/>
      <c r="K31" s="1908"/>
      <c r="L31" s="1908"/>
      <c r="M31" s="1913"/>
      <c r="N31" s="1795"/>
      <c r="O31" s="86"/>
      <c r="P31" s="86"/>
      <c r="Q31" s="49"/>
      <c r="R31" s="1818" t="str">
        <f>PT.anaer_lagoon!B265</f>
        <v>P2O5 removed, lagoon</v>
      </c>
      <c r="S31" s="49"/>
      <c r="T31" s="1425">
        <f>PT.anaer_lagoon!S265</f>
        <v>0.77008255040821727</v>
      </c>
      <c r="U31" s="714" t="str">
        <f>PT.anaer_lagoon!F265</f>
        <v>g/L</v>
      </c>
      <c r="W31" s="67"/>
      <c r="X31" s="714" t="str">
        <f>PT.anaer_lagoon!B333</f>
        <v>Diesel powered pump(s), size</v>
      </c>
      <c r="Y31" s="49"/>
      <c r="Z31" s="648">
        <f>PT.anaer_lagoon!S333</f>
        <v>3000</v>
      </c>
      <c r="AA31" s="648" t="str">
        <f>PT.anaer_lagoon!F333</f>
        <v>gal/min</v>
      </c>
    </row>
    <row r="32" spans="1:27" ht="14.4" x14ac:dyDescent="0.3">
      <c r="E32" s="38"/>
      <c r="G32" s="86"/>
      <c r="H32" s="86"/>
      <c r="I32" s="86"/>
      <c r="J32" s="1642"/>
      <c r="K32" s="1908"/>
      <c r="L32" s="1913"/>
      <c r="M32" s="1913"/>
      <c r="N32" s="1795"/>
      <c r="O32" s="86"/>
      <c r="P32" s="86"/>
      <c r="Q32" s="49"/>
      <c r="R32" s="1818" t="str">
        <f>PT.anaer_lagoon!B266</f>
        <v>K2O removed, lagoon</v>
      </c>
      <c r="S32" s="49"/>
      <c r="T32" s="1425">
        <f>PT.anaer_lagoon!S266</f>
        <v>1.1701311485412944</v>
      </c>
      <c r="U32" s="714" t="str">
        <f>PT.anaer_lagoon!F266</f>
        <v>g/L</v>
      </c>
      <c r="W32" s="67"/>
      <c r="X32" s="714" t="str">
        <f>PT.anaer_lagoon!B334</f>
        <v>Number of diesel powered lead pumps needed</v>
      </c>
      <c r="Y32" s="49"/>
      <c r="Z32" s="648">
        <f>PT.anaer_lagoon!S334</f>
        <v>1</v>
      </c>
      <c r="AA32" s="648" t="str">
        <f>PT.anaer_lagoon!F334</f>
        <v>quantity</v>
      </c>
    </row>
    <row r="33" spans="2:27" ht="15" customHeight="1" x14ac:dyDescent="0.3">
      <c r="B33" s="1668" t="str">
        <f>PT.shallow_flush!B103</f>
        <v>Electricity</v>
      </c>
      <c r="C33" s="1680"/>
      <c r="D33" s="1815"/>
      <c r="E33" s="38"/>
      <c r="G33" s="86"/>
      <c r="H33" s="86"/>
      <c r="I33" s="86"/>
      <c r="J33" s="1642"/>
      <c r="K33" s="1908"/>
      <c r="L33" s="1913"/>
      <c r="M33" s="1913"/>
      <c r="N33" s="1795"/>
      <c r="O33" s="86"/>
      <c r="P33" s="86"/>
      <c r="Q33" s="49"/>
      <c r="R33" s="1818" t="str">
        <f>PT.anaer_lagoon!B267</f>
        <v>Field area applied by lagoon liquids</v>
      </c>
      <c r="S33" s="49"/>
      <c r="T33" s="1425">
        <f>PT.anaer_lagoon!S267</f>
        <v>23.73310303072272</v>
      </c>
      <c r="U33" s="714" t="str">
        <f>PT.anaer_lagoon!F267</f>
        <v>ac/y</v>
      </c>
      <c r="W33" s="67"/>
      <c r="X33" s="714" t="str">
        <f>PT.anaer_lagoon!B335</f>
        <v>Number of diesel powered agitation trailers needed</v>
      </c>
      <c r="Y33" s="49"/>
      <c r="Z33" s="648">
        <f>PT.anaer_lagoon!S335</f>
        <v>1</v>
      </c>
      <c r="AA33" s="648" t="str">
        <f>PT.anaer_lagoon!F335</f>
        <v>quantity</v>
      </c>
    </row>
    <row r="34" spans="2:27" ht="15" customHeight="1" x14ac:dyDescent="0.3">
      <c r="B34" s="1925" t="str">
        <f>PT.shallow_flush!B104</f>
        <v>Electricity for pumping to shallow pit</v>
      </c>
      <c r="C34" s="1927">
        <f>PT.shallow_flush!G104</f>
        <v>2.2583047120638637</v>
      </c>
      <c r="D34" s="1925" t="str">
        <f>PT.shallow_flush!C104</f>
        <v>kWh/head/year</v>
      </c>
      <c r="E34" s="38"/>
      <c r="G34" s="1799"/>
      <c r="H34" s="1799"/>
      <c r="I34" s="86"/>
      <c r="J34" s="1642"/>
      <c r="K34" s="1908"/>
      <c r="L34" s="1913"/>
      <c r="M34" s="1913"/>
      <c r="N34" s="1795"/>
      <c r="O34" s="86"/>
      <c r="P34" s="86"/>
      <c r="Q34" s="49"/>
      <c r="R34" s="1818" t="str">
        <f>PT.anaer_lagoon!B268</f>
        <v>Energy needed to pump lagoon liquids</v>
      </c>
      <c r="S34" s="49"/>
      <c r="T34" s="1425">
        <f>PT.anaer_lagoon!S268</f>
        <v>934.64729834049092</v>
      </c>
      <c r="U34" s="714" t="str">
        <f>PT.anaer_lagoon!F268</f>
        <v>kWh/y</v>
      </c>
      <c r="W34" s="67"/>
      <c r="X34" s="714" t="str">
        <f>PT.anaer_lagoon!B336</f>
        <v>Number of booster pumps needed</v>
      </c>
      <c r="Y34" s="49"/>
      <c r="Z34" s="648">
        <f>PT.anaer_lagoon!S336</f>
        <v>1</v>
      </c>
      <c r="AA34" s="648" t="str">
        <f>PT.anaer_lagoon!F336</f>
        <v>quantity</v>
      </c>
    </row>
    <row r="35" spans="2:27" ht="14.4" x14ac:dyDescent="0.3">
      <c r="B35" s="602" t="str">
        <f>PT.reception_pit!B36</f>
        <v>Electricity used by reception pit pumps</v>
      </c>
      <c r="C35" s="1725">
        <f>PT.reception_pit!G36</f>
        <v>2.9991717324197356</v>
      </c>
      <c r="D35" s="602" t="str">
        <f>PT.reception_pit!C36</f>
        <v>kWh/head/year</v>
      </c>
      <c r="E35" s="38"/>
      <c r="G35" s="1799"/>
      <c r="H35" s="1799"/>
      <c r="I35" s="86"/>
      <c r="J35" s="1642"/>
      <c r="K35" s="1908"/>
      <c r="L35" s="1913"/>
      <c r="M35" s="1913"/>
      <c r="N35" s="1795"/>
      <c r="O35" s="86"/>
      <c r="P35" s="86"/>
      <c r="Q35" s="91"/>
      <c r="R35" s="1818" t="str">
        <f>PT.anaer_lagoon!B269</f>
        <v>Total labor time required for irrigation</v>
      </c>
      <c r="S35" s="49"/>
      <c r="T35" s="1425">
        <f>PT.anaer_lagoon!S269</f>
        <v>7.1199309092168166</v>
      </c>
      <c r="U35" s="714" t="str">
        <f>PT.anaer_lagoon!F269</f>
        <v>hr/year</v>
      </c>
      <c r="W35" s="67"/>
      <c r="X35" s="714" t="str">
        <f>PT.anaer_lagoon!B337</f>
        <v>Operation time for pumping</v>
      </c>
      <c r="Y35" s="49"/>
      <c r="Z35" s="648">
        <f>PT.anaer_lagoon!S337</f>
        <v>5.8709258400381259</v>
      </c>
      <c r="AA35" s="648" t="str">
        <f>PT.anaer_lagoon!F337</f>
        <v>hr</v>
      </c>
    </row>
    <row r="36" spans="2:27" ht="18" customHeight="1" x14ac:dyDescent="0.3">
      <c r="B36" s="714" t="str">
        <f>PT.anaer_lagoon!B348</f>
        <v>Electricity for irrigation pump</v>
      </c>
      <c r="C36" s="648">
        <f>PT.anaer_lagoon!S348</f>
        <v>1.8692945966809817</v>
      </c>
      <c r="D36" s="714" t="str">
        <f>PT.anaer_lagoon!F348</f>
        <v>kWh/head/year</v>
      </c>
      <c r="E36" s="38"/>
      <c r="G36" s="921"/>
      <c r="H36" s="1920"/>
      <c r="I36" s="86"/>
      <c r="J36" s="1642"/>
      <c r="K36" s="1908"/>
      <c r="L36" s="1913"/>
      <c r="M36" s="1913"/>
      <c r="N36" s="1795"/>
      <c r="O36" s="86"/>
      <c r="P36" s="86"/>
      <c r="Q36" s="49"/>
      <c r="R36" s="1818" t="str">
        <f>PT.anaer_lagoon!B270</f>
        <v>Tanker, size</v>
      </c>
      <c r="S36" s="49"/>
      <c r="T36" s="1425">
        <f>PT.anaer_lagoon!S270</f>
        <v>6000</v>
      </c>
      <c r="U36" s="714" t="str">
        <f>PT.anaer_lagoon!F270</f>
        <v>gal</v>
      </c>
      <c r="V36" s="292"/>
      <c r="W36" s="67"/>
      <c r="X36" s="714" t="str">
        <f>PT.anaer_lagoon!B338</f>
        <v>Fuel needed for diesel powered lead pump</v>
      </c>
      <c r="Y36" s="49"/>
      <c r="Z36" s="648">
        <f>PT.anaer_lagoon!S338</f>
        <v>105.67666512068627</v>
      </c>
      <c r="AA36" s="648" t="str">
        <f>PT.anaer_lagoon!F338</f>
        <v>gal/event</v>
      </c>
    </row>
    <row r="37" spans="2:27" ht="14.4" x14ac:dyDescent="0.3">
      <c r="B37" s="1668" t="str">
        <f>PT.shallow_flush!B107</f>
        <v>Fresh water</v>
      </c>
      <c r="C37" s="1680"/>
      <c r="D37" s="1815"/>
      <c r="E37" s="38"/>
      <c r="G37" s="921"/>
      <c r="H37" s="1920"/>
      <c r="I37" s="86"/>
      <c r="J37" s="1642"/>
      <c r="K37" s="1908"/>
      <c r="L37" s="1908"/>
      <c r="M37" s="1913"/>
      <c r="N37" s="1795"/>
      <c r="O37" s="86"/>
      <c r="P37" s="86"/>
      <c r="Q37" s="49"/>
      <c r="R37" s="1818" t="str">
        <f>PT.anaer_lagoon!B271</f>
        <v>Tractor for tanker, size</v>
      </c>
      <c r="S37" s="49"/>
      <c r="T37" s="1425">
        <f>PT.anaer_lagoon!S271</f>
        <v>250</v>
      </c>
      <c r="U37" s="714" t="str">
        <f>PT.anaer_lagoon!F271</f>
        <v>PTO hp</v>
      </c>
      <c r="W37" s="67"/>
      <c r="X37" s="714" t="str">
        <f>PT.anaer_lagoon!B339</f>
        <v>Fuel needed for diesel powered booster pump</v>
      </c>
      <c r="Y37" s="49"/>
      <c r="Z37" s="648">
        <f>PT.anaer_lagoon!S339</f>
        <v>44.031943800285944</v>
      </c>
      <c r="AA37" s="648" t="str">
        <f>PT.anaer_lagoon!F339</f>
        <v>gal/event</v>
      </c>
    </row>
    <row r="38" spans="2:27" ht="14.4" x14ac:dyDescent="0.3">
      <c r="B38" s="1925" t="str">
        <f>PT.shallow_flush!B108</f>
        <v>Fresh water used for pumping to shallow pit</v>
      </c>
      <c r="C38" s="1926">
        <f>PT.shallow_flush!G108</f>
        <v>0</v>
      </c>
      <c r="D38" s="1925" t="str">
        <f>PT.shallow_flush!C108</f>
        <v>m3/head/year</v>
      </c>
      <c r="E38" s="1886"/>
      <c r="F38" s="1922"/>
      <c r="G38" s="1795"/>
      <c r="H38" s="1920"/>
      <c r="I38" s="86"/>
      <c r="J38" s="1908"/>
      <c r="K38" s="1908"/>
      <c r="L38" s="1908"/>
      <c r="M38" s="1913"/>
      <c r="N38" s="921"/>
      <c r="O38" s="86"/>
      <c r="P38" s="86"/>
      <c r="Q38" s="49"/>
      <c r="R38" s="1818" t="str">
        <f>PT.anaer_lagoon!B272</f>
        <v>Application by broadcast or injection?</v>
      </c>
      <c r="S38" s="49"/>
      <c r="T38" s="1425" t="str">
        <f>PT.anaer_lagoon!S272</f>
        <v>Injection</v>
      </c>
      <c r="U38" s="714" t="str">
        <f>PT.anaer_lagoon!F272</f>
        <v>type</v>
      </c>
      <c r="W38" s="67"/>
      <c r="X38" s="714" t="str">
        <f>PT.anaer_lagoon!B340</f>
        <v>Fuel needed for diesel powered agitation trailer</v>
      </c>
      <c r="Y38" s="49"/>
      <c r="Z38" s="648">
        <f>PT.anaer_lagoon!S340</f>
        <v>35.225555040228755</v>
      </c>
      <c r="AA38" s="648" t="str">
        <f>PT.anaer_lagoon!F340</f>
        <v>gal/event</v>
      </c>
    </row>
    <row r="39" spans="2:27" ht="14.4" x14ac:dyDescent="0.3">
      <c r="B39" s="714" t="str">
        <f>PT.anaer_lagoon!B359</f>
        <v>Fresh water used to supplement flow into storage structure</v>
      </c>
      <c r="C39" s="648">
        <f>PT.anaer_lagoon!S359</f>
        <v>0</v>
      </c>
      <c r="D39" s="714" t="str">
        <f>PT.anaer_lagoon!F359</f>
        <v>m3/head/year</v>
      </c>
      <c r="E39" s="1881"/>
      <c r="F39" s="1921"/>
      <c r="G39" s="921"/>
      <c r="H39" s="1920"/>
      <c r="I39" s="86"/>
      <c r="J39" s="86"/>
      <c r="K39" s="86"/>
      <c r="L39" s="1787"/>
      <c r="M39" s="1789"/>
      <c r="N39" s="1789"/>
      <c r="O39" s="1789"/>
      <c r="P39" s="86"/>
      <c r="Q39" s="49"/>
      <c r="R39" s="1818" t="str">
        <f>PT.anaer_lagoon!B273</f>
        <v>Operation time for tractor with tanker</v>
      </c>
      <c r="S39" s="49"/>
      <c r="T39" s="1425">
        <f>PT.anaer_lagoon!S273</f>
        <v>1.9958822787364086</v>
      </c>
      <c r="U39" s="714" t="str">
        <f>PT.anaer_lagoon!F273</f>
        <v>hrs/event</v>
      </c>
      <c r="W39" s="67"/>
      <c r="X39" s="714" t="str">
        <f>PT.anaer_lagoon!B341</f>
        <v>Fuel needed for pickup truck</v>
      </c>
      <c r="Y39" s="49"/>
      <c r="Z39" s="648">
        <f>PT.anaer_lagoon!S341</f>
        <v>5.2838332560343124</v>
      </c>
      <c r="AA39" s="648" t="str">
        <f>PT.anaer_lagoon!F341</f>
        <v>gal/event</v>
      </c>
    </row>
    <row r="40" spans="2:27" ht="14.4" x14ac:dyDescent="0.3">
      <c r="B40" s="714" t="str">
        <f>PT.anaer_lagoon!B360</f>
        <v>Fresh water used to supplement application liquid volume</v>
      </c>
      <c r="C40" s="648">
        <f>PT.anaer_lagoon!S360</f>
        <v>0.42748609082249117</v>
      </c>
      <c r="D40" s="714" t="str">
        <f>PT.anaer_lagoon!F360</f>
        <v>m3/head/year</v>
      </c>
      <c r="E40" s="1886"/>
      <c r="F40" s="1921"/>
      <c r="G40" s="1795"/>
      <c r="H40" s="1920"/>
      <c r="I40" s="86"/>
      <c r="J40" s="86"/>
      <c r="K40" s="86"/>
      <c r="L40" s="86"/>
      <c r="M40" s="86"/>
      <c r="N40" s="1787"/>
      <c r="O40" s="86"/>
      <c r="P40" s="86"/>
      <c r="Q40" s="49"/>
      <c r="R40" s="1818" t="str">
        <f>PT.anaer_lagoon!B274</f>
        <v>Fuel needed for tractor with tank and applicator</v>
      </c>
      <c r="S40" s="49"/>
      <c r="T40" s="1425">
        <f>PT.anaer_lagoon!S274</f>
        <v>21.954705066100495</v>
      </c>
      <c r="U40" s="714" t="str">
        <f>PT.anaer_lagoon!F274</f>
        <v>gal/event</v>
      </c>
      <c r="X40" s="714" t="str">
        <f>PT.anaer_lagoon!B342</f>
        <v>Number of tractors for support with hose pulley</v>
      </c>
      <c r="Y40" s="49"/>
      <c r="Z40" s="648">
        <f>PT.anaer_lagoon!S342</f>
        <v>1</v>
      </c>
      <c r="AA40" s="648" t="str">
        <f>PT.anaer_lagoon!F342</f>
        <v>quantity</v>
      </c>
    </row>
    <row r="41" spans="2:27" ht="14.4" x14ac:dyDescent="0.3">
      <c r="B41" s="1668" t="str">
        <f>PT.anaer_lagoon!B349</f>
        <v>Land footprint</v>
      </c>
      <c r="C41" s="1680"/>
      <c r="D41" s="1815"/>
      <c r="E41" s="1886"/>
      <c r="F41" s="1921"/>
      <c r="G41" s="1795"/>
      <c r="H41" s="1920"/>
      <c r="I41" s="86"/>
      <c r="J41" s="86"/>
      <c r="K41" s="86"/>
      <c r="L41" s="86"/>
      <c r="M41" s="86"/>
      <c r="N41" s="86"/>
      <c r="O41" s="86"/>
      <c r="P41" s="86"/>
      <c r="Q41" s="49"/>
      <c r="R41" s="1818" t="str">
        <f>PT.anaer_lagoon!B275</f>
        <v>Number of tractors with tanker needed</v>
      </c>
      <c r="S41" s="49"/>
      <c r="T41" s="1425">
        <f>PT.anaer_lagoon!S275</f>
        <v>1</v>
      </c>
      <c r="U41" s="714" t="str">
        <f>PT.anaer_lagoon!F275</f>
        <v>quantity</v>
      </c>
      <c r="V41" s="42"/>
      <c r="X41" s="79"/>
      <c r="Z41" s="147"/>
      <c r="AA41" s="147"/>
    </row>
    <row r="42" spans="2:27" ht="14.4" x14ac:dyDescent="0.3">
      <c r="B42" s="1925" t="str">
        <f>PT.shallow_flush!B106</f>
        <v>Shallow pit land footprint</v>
      </c>
      <c r="C42" s="1725">
        <f>PT.shallow_flush!G106</f>
        <v>26.728648992831804</v>
      </c>
      <c r="D42" s="1925" t="str">
        <f>PT.shallow_flush!C106</f>
        <v>m2</v>
      </c>
      <c r="E42" s="1886"/>
      <c r="F42" s="1921"/>
      <c r="G42" s="1795"/>
      <c r="H42" s="1920"/>
      <c r="I42" s="86"/>
      <c r="J42" s="86"/>
      <c r="K42" s="86"/>
      <c r="L42" s="86"/>
      <c r="M42" s="86"/>
      <c r="N42" s="86"/>
      <c r="O42" s="86"/>
      <c r="P42" s="86"/>
      <c r="Q42" s="49"/>
      <c r="R42" s="1818" t="str">
        <f>PT.anaer_lagoon!B276</f>
        <v>Tractor for agitator, size</v>
      </c>
      <c r="S42" s="49"/>
      <c r="T42" s="1425">
        <f>PT.anaer_lagoon!S276</f>
        <v>160</v>
      </c>
      <c r="U42" s="714" t="str">
        <f>PT.anaer_lagoon!F276</f>
        <v>PTO hp</v>
      </c>
      <c r="V42" s="42"/>
      <c r="W42"/>
      <c r="X42" s="79"/>
      <c r="Z42" s="147"/>
      <c r="AA42" s="147"/>
    </row>
    <row r="43" spans="2:27" ht="14.4" x14ac:dyDescent="0.3">
      <c r="B43" s="602" t="str">
        <f>PT.reception_pit!B38</f>
        <v>Land used by reception pit</v>
      </c>
      <c r="C43" s="1725">
        <f>PT.reception_pit!G38</f>
        <v>8.5544802987208044</v>
      </c>
      <c r="D43" s="602" t="str">
        <f>PT.reception_pit!C38</f>
        <v>m2</v>
      </c>
      <c r="E43" s="1886"/>
      <c r="F43" s="1921"/>
      <c r="G43" s="1795"/>
      <c r="H43" s="1920"/>
      <c r="I43" s="86"/>
      <c r="J43" s="1787"/>
      <c r="K43" s="1787"/>
      <c r="L43" s="1787"/>
      <c r="M43" s="86"/>
      <c r="N43" s="86"/>
      <c r="O43" s="86"/>
      <c r="P43" s="86"/>
      <c r="Q43" s="49"/>
      <c r="R43" s="1818" t="str">
        <f>PT.anaer_lagoon!B277</f>
        <v>Number of tractors for agitating needed</v>
      </c>
      <c r="S43" s="49"/>
      <c r="T43" s="1425">
        <f>PT.anaer_lagoon!S277</f>
        <v>1</v>
      </c>
      <c r="U43" s="714" t="str">
        <f>PT.anaer_lagoon!F277</f>
        <v>quantity</v>
      </c>
      <c r="W43"/>
    </row>
    <row r="44" spans="2:27" ht="15" customHeight="1" x14ac:dyDescent="0.3">
      <c r="B44" s="49" t="str">
        <f>PT.anaer_digest!B92</f>
        <v>Land used for anaerobic digesters</v>
      </c>
      <c r="C44" s="1398">
        <f>PT.anaer_digest!G92</f>
        <v>78.319341400264761</v>
      </c>
      <c r="D44" s="49" t="str">
        <f>PT.anaer_digest!C92</f>
        <v>m2</v>
      </c>
      <c r="E44" s="1881"/>
      <c r="F44" s="1921"/>
      <c r="G44" s="1795"/>
      <c r="H44" s="1920"/>
      <c r="I44" s="86"/>
      <c r="J44" s="1842"/>
      <c r="K44" s="1842"/>
      <c r="L44" s="1842"/>
      <c r="M44" s="86"/>
      <c r="N44" s="1787"/>
      <c r="O44" s="86"/>
      <c r="P44" s="86"/>
      <c r="Q44" s="49"/>
      <c r="R44" s="1818" t="str">
        <f>PT.anaer_lagoon!B278</f>
        <v>Operation time for tractor agitating</v>
      </c>
      <c r="S44" s="49"/>
      <c r="T44" s="1425">
        <f>PT.anaer_lagoon!S278</f>
        <v>2.4948528484205106</v>
      </c>
      <c r="U44" s="714" t="str">
        <f>PT.anaer_lagoon!F278</f>
        <v>hr/year</v>
      </c>
      <c r="W44"/>
    </row>
    <row r="45" spans="2:27" ht="14.4" x14ac:dyDescent="0.3">
      <c r="B45" s="714" t="str">
        <f>PT.anaer_lagoon!B350</f>
        <v>Land for lagoon surface area</v>
      </c>
      <c r="C45" s="1425">
        <f>PT.anaer_lagoon!S350</f>
        <v>2664.5817743943217</v>
      </c>
      <c r="D45" s="714" t="str">
        <f>PT.anaer_lagoon!F350</f>
        <v>m2</v>
      </c>
      <c r="E45" s="1881"/>
      <c r="F45" s="1921"/>
      <c r="G45" s="1795"/>
      <c r="H45" s="1920"/>
      <c r="I45" s="86"/>
      <c r="J45" s="86"/>
      <c r="K45" s="1798"/>
      <c r="L45" s="86"/>
      <c r="M45" s="86"/>
      <c r="N45" s="921"/>
      <c r="O45" s="86"/>
      <c r="P45" s="86"/>
      <c r="Q45" s="49"/>
      <c r="R45" s="1818" t="str">
        <f>PT.anaer_lagoon!B279</f>
        <v>Fuel needed for tractor for agitating</v>
      </c>
      <c r="S45" s="49"/>
      <c r="T45" s="1425">
        <f>PT.anaer_lagoon!S279</f>
        <v>17.563764052880391</v>
      </c>
      <c r="U45" s="714" t="str">
        <f>PT.anaer_lagoon!F279</f>
        <v>gal/event</v>
      </c>
      <c r="W45" s="42"/>
    </row>
    <row r="46" spans="2:27" ht="14.4" x14ac:dyDescent="0.3">
      <c r="B46" s="714" t="str">
        <f>PT.anaer_lagoon!B351</f>
        <v>Land for liquid application</v>
      </c>
      <c r="C46" s="1425">
        <f>PT.anaer_lagoon!S351</f>
        <v>108725.10968623082</v>
      </c>
      <c r="D46" s="714" t="str">
        <f>PT.anaer_lagoon!F351</f>
        <v>m2</v>
      </c>
      <c r="E46" s="1881"/>
      <c r="F46" s="1921"/>
      <c r="G46" s="1795"/>
      <c r="H46" s="1920"/>
      <c r="I46" s="86"/>
      <c r="J46" s="1919"/>
      <c r="K46" s="1798"/>
      <c r="L46" s="86"/>
      <c r="M46" s="86"/>
      <c r="N46" s="921"/>
      <c r="O46" s="86"/>
      <c r="P46" s="86"/>
      <c r="Q46" s="49"/>
      <c r="R46" s="1818" t="str">
        <f>PT.anaer_lagoon!B280</f>
        <v>Number of tractors for pumping needed</v>
      </c>
      <c r="S46" s="49"/>
      <c r="T46" s="1425">
        <f>PT.anaer_lagoon!S280</f>
        <v>1</v>
      </c>
      <c r="U46" s="714" t="str">
        <f>PT.anaer_lagoon!F280</f>
        <v>quantity</v>
      </c>
      <c r="W46"/>
    </row>
    <row r="47" spans="2:27" ht="14.4" x14ac:dyDescent="0.3">
      <c r="B47" s="714" t="str">
        <f>PT.anaer_lagoon!B352</f>
        <v>Land for sludge application</v>
      </c>
      <c r="C47" s="1425">
        <f>PT.anaer_lagoon!S352</f>
        <v>28798.538093457191</v>
      </c>
      <c r="D47" s="714" t="str">
        <f>PT.anaer_lagoon!F352</f>
        <v>m2</v>
      </c>
      <c r="E47" s="1881"/>
      <c r="F47" s="1921"/>
      <c r="G47" s="1792"/>
      <c r="H47" s="1920"/>
      <c r="I47" s="86"/>
      <c r="J47" s="1919"/>
      <c r="K47" s="1798"/>
      <c r="L47" s="86"/>
      <c r="M47" s="86"/>
      <c r="N47" s="921"/>
      <c r="O47" s="86"/>
      <c r="P47" s="86"/>
      <c r="Q47" s="49"/>
      <c r="R47" s="1818" t="str">
        <f>PT.anaer_lagoon!B281</f>
        <v>Tractor for pumping, size</v>
      </c>
      <c r="S47" s="49"/>
      <c r="T47" s="1425">
        <f>PT.anaer_lagoon!S281</f>
        <v>180</v>
      </c>
      <c r="U47" s="714" t="str">
        <f>PT.anaer_lagoon!F281</f>
        <v>PTO hp</v>
      </c>
      <c r="W47"/>
    </row>
    <row r="48" spans="2:27" ht="14.4" x14ac:dyDescent="0.3">
      <c r="B48" s="1668" t="str">
        <f>PT.anaer_lagoon!B353</f>
        <v>Fuel</v>
      </c>
      <c r="C48" s="1680"/>
      <c r="D48" s="1815"/>
      <c r="E48" s="1881"/>
      <c r="F48" s="1921"/>
      <c r="G48" s="1792"/>
      <c r="H48" s="1920"/>
      <c r="I48" s="86"/>
      <c r="J48" s="1919"/>
      <c r="K48" s="1798"/>
      <c r="L48" s="86"/>
      <c r="M48" s="86"/>
      <c r="N48" s="921"/>
      <c r="O48" s="86"/>
      <c r="P48" s="921"/>
      <c r="Q48" s="49"/>
      <c r="R48" s="1818" t="str">
        <f>PT.anaer_lagoon!B282</f>
        <v>Operation time for tractor pumping</v>
      </c>
      <c r="S48" s="49"/>
      <c r="T48" s="1425">
        <f>PT.anaer_lagoon!S282</f>
        <v>0.261121390773836</v>
      </c>
      <c r="U48" s="714" t="str">
        <f>PT.anaer_lagoon!F282</f>
        <v>hr/event</v>
      </c>
      <c r="W48"/>
    </row>
    <row r="49" spans="2:21" ht="14.4" x14ac:dyDescent="0.3">
      <c r="B49" s="714" t="str">
        <f>PT.anaer_lagoon!B354</f>
        <v>Diesel fuel used for tanker land application of liquids</v>
      </c>
      <c r="C49" s="1500">
        <f>PT.anaer_lagoon!S354</f>
        <v>0.16634620213563867</v>
      </c>
      <c r="D49" s="714" t="str">
        <f>PT.anaer_lagoon!F354</f>
        <v>gal/head/year</v>
      </c>
      <c r="E49" s="1881"/>
      <c r="F49" s="1921"/>
      <c r="G49" s="921"/>
      <c r="H49" s="1920"/>
      <c r="I49" s="86"/>
      <c r="J49" s="86"/>
      <c r="K49" s="86"/>
      <c r="L49" s="86"/>
      <c r="M49" s="86"/>
      <c r="N49" s="1791"/>
      <c r="O49" s="1788"/>
      <c r="P49" s="86"/>
      <c r="Q49" s="49"/>
      <c r="R49" s="1818" t="str">
        <f>PT.anaer_lagoon!B283</f>
        <v>Fuel needed for tractor for pumping</v>
      </c>
      <c r="S49" s="49"/>
      <c r="T49" s="1425">
        <f>PT.anaer_lagoon!S283</f>
        <v>2.0680814149287809</v>
      </c>
      <c r="U49" s="714" t="str">
        <f>PT.anaer_lagoon!F283</f>
        <v>gal/event</v>
      </c>
    </row>
    <row r="50" spans="2:21" ht="14.4" x14ac:dyDescent="0.3">
      <c r="B50" s="714" t="str">
        <f>PT.anaer_lagoon!B355</f>
        <v>Diesel fuel used for tanker land application of sludge</v>
      </c>
      <c r="C50" s="1500">
        <f>PT.anaer_lagoon!S355</f>
        <v>0.18889125146825186</v>
      </c>
      <c r="D50" s="714" t="str">
        <f>PT.anaer_lagoon!F355</f>
        <v>gal/head/year</v>
      </c>
      <c r="E50" s="1881"/>
      <c r="F50" s="1921"/>
      <c r="G50" s="1790"/>
      <c r="H50" s="1920"/>
      <c r="I50" s="86"/>
      <c r="J50" s="86"/>
      <c r="K50" s="86"/>
      <c r="L50" s="86"/>
      <c r="M50" s="86"/>
      <c r="N50" s="86"/>
      <c r="O50" s="86"/>
      <c r="P50" s="86"/>
      <c r="Q50" s="49"/>
      <c r="R50" s="1818" t="str">
        <f>PT.anaer_lagoon!B284</f>
        <v>Size of tractor for pulling hose reel and applicator</v>
      </c>
      <c r="S50" s="49"/>
      <c r="T50" s="1425">
        <f>PT.anaer_lagoon!S284</f>
        <v>580</v>
      </c>
      <c r="U50" s="714" t="str">
        <f>PT.anaer_lagoon!F284</f>
        <v>PTO hp</v>
      </c>
    </row>
    <row r="51" spans="2:21" ht="14.4" x14ac:dyDescent="0.3">
      <c r="B51" s="714" t="str">
        <f>PT.anaer_lagoon!B356</f>
        <v>Diesel fuel used for drag hose land application of liquids</v>
      </c>
      <c r="C51" s="1500">
        <f>PT.anaer_lagoon!S356</f>
        <v>5.4976149451669058E-2</v>
      </c>
      <c r="D51" s="714" t="str">
        <f>PT.anaer_lagoon!F356</f>
        <v>gal/head/year</v>
      </c>
      <c r="E51" s="1881"/>
      <c r="F51" s="1921"/>
      <c r="G51" s="1790"/>
      <c r="H51" s="1920"/>
      <c r="I51" s="86"/>
      <c r="J51" s="86"/>
      <c r="K51" s="86"/>
      <c r="L51" s="86"/>
      <c r="M51" s="86"/>
      <c r="N51" s="86"/>
      <c r="O51" s="86"/>
      <c r="P51" s="86"/>
      <c r="Q51" s="494"/>
      <c r="R51" s="1818" t="str">
        <f>PT.anaer_lagoon!B285</f>
        <v>Number of tractors for pulling hose reel and applicator</v>
      </c>
      <c r="S51" s="49"/>
      <c r="T51" s="1425">
        <f>PT.anaer_lagoon!S285</f>
        <v>1</v>
      </c>
      <c r="U51" s="714" t="str">
        <f>PT.anaer_lagoon!F285</f>
        <v>quantity</v>
      </c>
    </row>
    <row r="52" spans="2:21" ht="15.75" customHeight="1" x14ac:dyDescent="0.3">
      <c r="B52" s="714" t="str">
        <f>PT.anaer_lagoon!B357</f>
        <v>Diesel fuel used for drag hose land application of sludge</v>
      </c>
      <c r="C52" s="1500">
        <f>PT.anaer_lagoon!S357</f>
        <v>9.2704267384538006E-2</v>
      </c>
      <c r="D52" s="714" t="str">
        <f>PT.anaer_lagoon!F357</f>
        <v>gal/head/year</v>
      </c>
      <c r="E52" s="1881"/>
      <c r="F52" s="1921"/>
      <c r="G52" s="1795"/>
      <c r="H52" s="1920"/>
      <c r="I52" s="86"/>
      <c r="J52" s="86"/>
      <c r="K52" s="86"/>
      <c r="L52" s="86"/>
      <c r="M52" s="86"/>
      <c r="N52" s="86"/>
      <c r="O52" s="86"/>
      <c r="P52" s="86"/>
      <c r="Q52" s="76"/>
      <c r="R52" s="1818" t="str">
        <f>PT.anaer_lagoon!B286</f>
        <v>Number of tractors for support with hose pulley</v>
      </c>
      <c r="S52" s="49"/>
      <c r="T52" s="1425">
        <f>PT.anaer_lagoon!S286</f>
        <v>1</v>
      </c>
      <c r="U52" s="714" t="str">
        <f>PT.anaer_lagoon!F286</f>
        <v>quantity</v>
      </c>
    </row>
    <row r="53" spans="2:21" ht="14.4" x14ac:dyDescent="0.3">
      <c r="B53" s="1490" t="s">
        <v>7144</v>
      </c>
      <c r="C53" s="1500">
        <f>C49+C50</f>
        <v>0.35523745360389053</v>
      </c>
      <c r="D53" s="714" t="s">
        <v>2497</v>
      </c>
      <c r="E53" s="1881"/>
      <c r="F53" s="1921"/>
      <c r="G53" s="1795"/>
      <c r="H53" s="1920"/>
      <c r="I53" s="86"/>
      <c r="J53" s="86"/>
      <c r="K53" s="86"/>
      <c r="L53" s="86"/>
      <c r="M53" s="86"/>
      <c r="N53" s="86"/>
      <c r="O53" s="1915"/>
      <c r="P53" s="86"/>
      <c r="Q53" s="76"/>
      <c r="R53" s="1818" t="str">
        <f>PT.anaer_lagoon!B287</f>
        <v>Size of tractor for support with hose pulley</v>
      </c>
      <c r="S53" s="49"/>
      <c r="T53" s="1425">
        <f>PT.anaer_lagoon!S287</f>
        <v>340</v>
      </c>
      <c r="U53" s="714" t="str">
        <f>PT.anaer_lagoon!F287</f>
        <v>PTO hp</v>
      </c>
    </row>
    <row r="54" spans="2:21" ht="14.4" x14ac:dyDescent="0.3">
      <c r="B54" s="76" t="s">
        <v>7145</v>
      </c>
      <c r="C54" s="1500">
        <f>C51+C52</f>
        <v>0.14768041683620706</v>
      </c>
      <c r="D54" s="714" t="s">
        <v>2497</v>
      </c>
      <c r="E54" s="1881"/>
      <c r="F54" s="1921"/>
      <c r="G54" s="1795"/>
      <c r="H54" s="1920"/>
      <c r="I54" s="86"/>
      <c r="J54" s="86"/>
      <c r="K54" s="86"/>
      <c r="L54" s="86"/>
      <c r="M54" s="86"/>
      <c r="N54" s="86"/>
      <c r="O54" s="1796"/>
      <c r="P54" s="86"/>
      <c r="Q54" s="76"/>
      <c r="R54" s="1818" t="str">
        <f>PT.anaer_lagoon!B288</f>
        <v>Distance from storage to field</v>
      </c>
      <c r="S54" s="49"/>
      <c r="T54" s="1425">
        <f>PT.anaer_lagoon!S288</f>
        <v>2</v>
      </c>
      <c r="U54" s="714" t="str">
        <f>PT.anaer_lagoon!F288</f>
        <v>miles</v>
      </c>
    </row>
    <row r="55" spans="2:21" ht="14.4" x14ac:dyDescent="0.3">
      <c r="B55" s="1668" t="str">
        <f>PT.anaer_lagoon!B361</f>
        <v>Slurry nutrient contents</v>
      </c>
      <c r="C55" s="1680"/>
      <c r="D55" s="1815"/>
      <c r="E55" s="1881"/>
      <c r="F55" s="1921"/>
      <c r="G55" s="1795"/>
      <c r="H55" s="1920"/>
      <c r="I55" s="86"/>
      <c r="J55" s="86"/>
      <c r="K55" s="86"/>
      <c r="L55" s="86"/>
      <c r="M55" s="86"/>
      <c r="N55" s="86"/>
      <c r="O55" s="1844"/>
      <c r="P55" s="86"/>
      <c r="Q55" s="49"/>
      <c r="R55" s="1818" t="str">
        <f>PT.anaer_lagoon!B289</f>
        <v>Fuel needed for tractor for pulling hose reel and applicator</v>
      </c>
      <c r="S55" s="49"/>
      <c r="T55" s="1425">
        <f>PT.anaer_lagoon!S289</f>
        <v>25.52</v>
      </c>
      <c r="U55" s="714" t="str">
        <f>PT.anaer_lagoon!F289</f>
        <v>gal/hr</v>
      </c>
    </row>
    <row r="56" spans="2:21" ht="20.25" customHeight="1" x14ac:dyDescent="0.3">
      <c r="B56" s="714" t="str">
        <f>PT.anaer_lagoon!B362</f>
        <v>Total N accumulated in liquids</v>
      </c>
      <c r="C56" s="1360">
        <f>PT.anaer_lagoon!S362</f>
        <v>4.9104212914232273</v>
      </c>
      <c r="D56" s="714" t="str">
        <f>PT.anaer_lagoon!F362</f>
        <v>kg/head/year</v>
      </c>
      <c r="E56" s="1785"/>
      <c r="F56" s="536"/>
      <c r="G56" s="86"/>
      <c r="H56" s="86"/>
      <c r="I56" s="86"/>
      <c r="J56" s="1919"/>
      <c r="K56" s="1798"/>
      <c r="L56" s="86"/>
      <c r="M56" s="1920"/>
      <c r="N56" s="86"/>
      <c r="O56" s="1916"/>
      <c r="P56" s="86"/>
      <c r="Q56" s="49"/>
      <c r="R56" s="1818" t="str">
        <f>PT.anaer_lagoon!B290</f>
        <v>Fuel needed for support tractor with hose pulley</v>
      </c>
      <c r="S56" s="49"/>
      <c r="T56" s="1425">
        <f>PT.anaer_lagoon!S290</f>
        <v>14.959999999999999</v>
      </c>
      <c r="U56" s="714" t="str">
        <f>PT.anaer_lagoon!F290</f>
        <v>gal/hr</v>
      </c>
    </row>
    <row r="57" spans="2:21" ht="18.75" customHeight="1" x14ac:dyDescent="0.3">
      <c r="B57" s="714" t="str">
        <f>PT.anaer_lagoon!B363</f>
        <v>Total P2O5 accumulated in liquids</v>
      </c>
      <c r="C57" s="1360">
        <f>PT.anaer_lagoon!S363</f>
        <v>3.6537102250000002</v>
      </c>
      <c r="D57" s="714" t="str">
        <f>PT.anaer_lagoon!F363</f>
        <v>kg/head/year</v>
      </c>
      <c r="E57" s="1799"/>
      <c r="F57" s="1799"/>
      <c r="G57" s="1799"/>
      <c r="H57" s="1799"/>
      <c r="I57" s="86"/>
      <c r="J57" s="1919"/>
      <c r="K57" s="1798"/>
      <c r="L57" s="86"/>
      <c r="M57" s="1920"/>
      <c r="N57" s="86"/>
      <c r="O57" s="86"/>
      <c r="P57" s="86"/>
      <c r="Q57" s="49"/>
      <c r="R57" s="1818" t="str">
        <f>PT.anaer_lagoon!B291</f>
        <v>Diesel powered pump(s), size</v>
      </c>
      <c r="S57" s="49"/>
      <c r="T57" s="1425">
        <f>PT.anaer_lagoon!S291</f>
        <v>3000</v>
      </c>
      <c r="U57" s="714" t="str">
        <f>PT.anaer_lagoon!F291</f>
        <v>gal/min</v>
      </c>
    </row>
    <row r="58" spans="2:21" ht="19.5" customHeight="1" x14ac:dyDescent="0.3">
      <c r="B58" s="714" t="str">
        <f>PT.anaer_lagoon!B364</f>
        <v>Total K2O accumulated in liquids</v>
      </c>
      <c r="C58" s="1360">
        <f>PT.anaer_lagoon!S364</f>
        <v>5.5517686249999993</v>
      </c>
      <c r="D58" s="714" t="str">
        <f>PT.anaer_lagoon!F364</f>
        <v>kg/head/year</v>
      </c>
      <c r="E58" s="1785"/>
      <c r="F58" s="1785"/>
      <c r="G58" s="1795"/>
      <c r="H58" s="86"/>
      <c r="I58" s="86"/>
      <c r="J58" s="1919"/>
      <c r="K58" s="1798"/>
      <c r="L58" s="86"/>
      <c r="M58" s="1920"/>
      <c r="N58" s="86"/>
      <c r="O58" s="86"/>
      <c r="P58" s="86"/>
      <c r="Q58" s="49"/>
      <c r="R58" s="1818" t="str">
        <f>PT.anaer_lagoon!B292</f>
        <v>Number of diesel powered lead pumps needed</v>
      </c>
      <c r="S58" s="49"/>
      <c r="T58" s="1425">
        <f>PT.anaer_lagoon!S292</f>
        <v>1</v>
      </c>
      <c r="U58" s="714" t="str">
        <f>PT.anaer_lagoon!F292</f>
        <v>quantity</v>
      </c>
    </row>
    <row r="59" spans="2:21" ht="14.4" x14ac:dyDescent="0.3">
      <c r="B59" s="1668" t="str">
        <f>PT.anaer_lagoon!B365</f>
        <v>Sludge nutrient contents</v>
      </c>
      <c r="C59" s="2310"/>
      <c r="D59" s="1815"/>
      <c r="E59" s="1785"/>
      <c r="F59" s="1785"/>
      <c r="G59" s="86"/>
      <c r="H59" s="86"/>
      <c r="I59" s="86"/>
      <c r="J59" s="86"/>
      <c r="K59" s="86"/>
      <c r="L59" s="86"/>
      <c r="M59" s="86"/>
      <c r="N59" s="86"/>
      <c r="O59" s="86"/>
      <c r="P59" s="86"/>
      <c r="Q59" s="49"/>
      <c r="R59" s="1818" t="str">
        <f>PT.anaer_lagoon!B293</f>
        <v>Number of diesel powered agitation trailers needed</v>
      </c>
      <c r="S59" s="49"/>
      <c r="T59" s="1425">
        <f>PT.anaer_lagoon!S293</f>
        <v>1</v>
      </c>
      <c r="U59" s="714" t="str">
        <f>PT.anaer_lagoon!F293</f>
        <v>quantity</v>
      </c>
    </row>
    <row r="60" spans="2:21" ht="14.4" x14ac:dyDescent="0.3">
      <c r="B60" s="714" t="str">
        <f>PT.anaer_lagoon!B366</f>
        <v>Total N accumulated in sludge</v>
      </c>
      <c r="C60" s="1360">
        <f>PT.anaer_lagoon!S366</f>
        <v>1.2276053228558064</v>
      </c>
      <c r="D60" s="714" t="str">
        <f>PT.anaer_lagoon!F366</f>
        <v>kg/head/year</v>
      </c>
      <c r="E60" s="1785"/>
      <c r="F60" s="1785"/>
      <c r="G60" s="86"/>
      <c r="H60" s="86"/>
      <c r="I60" s="86"/>
      <c r="J60" s="1787"/>
      <c r="K60" s="86"/>
      <c r="L60" s="86"/>
      <c r="M60" s="86"/>
      <c r="N60" s="86"/>
      <c r="O60" s="86"/>
      <c r="P60" s="86"/>
      <c r="Q60" s="49"/>
      <c r="R60" s="1818" t="str">
        <f>PT.anaer_lagoon!B294</f>
        <v>Number of booster pumps needed</v>
      </c>
      <c r="S60" s="49"/>
      <c r="T60" s="1425">
        <f>PT.anaer_lagoon!S294</f>
        <v>1</v>
      </c>
      <c r="U60" s="714" t="str">
        <f>PT.anaer_lagoon!F294</f>
        <v>quantity</v>
      </c>
    </row>
    <row r="61" spans="2:21" ht="14.4" x14ac:dyDescent="0.3">
      <c r="B61" s="714" t="str">
        <f>PT.anaer_lagoon!B367</f>
        <v>Total P2O5 accumulated in sludge</v>
      </c>
      <c r="C61" s="1360">
        <f>PT.anaer_lagoon!S367</f>
        <v>2.9893992749999998</v>
      </c>
      <c r="D61" s="714" t="str">
        <f>PT.anaer_lagoon!F367</f>
        <v>kg/head/year</v>
      </c>
      <c r="E61" s="1785"/>
      <c r="F61" s="536"/>
      <c r="G61" s="921"/>
      <c r="H61" s="86"/>
      <c r="I61" s="86"/>
      <c r="J61" s="86"/>
      <c r="K61" s="86"/>
      <c r="L61" s="1844"/>
      <c r="M61" s="86"/>
      <c r="N61" s="86"/>
      <c r="O61" s="86"/>
      <c r="P61" s="86"/>
      <c r="Q61" s="49"/>
      <c r="R61" s="1818" t="str">
        <f>PT.anaer_lagoon!B295</f>
        <v>Operation time for pumping</v>
      </c>
      <c r="S61" s="49"/>
      <c r="T61" s="1425">
        <f>PT.anaer_lagoon!S295</f>
        <v>0.17408092718255735</v>
      </c>
      <c r="U61" s="714" t="str">
        <f>PT.anaer_lagoon!F295</f>
        <v>hr</v>
      </c>
    </row>
    <row r="62" spans="2:21" ht="14.4" x14ac:dyDescent="0.3">
      <c r="B62" s="714" t="str">
        <f>PT.anaer_lagoon!B368</f>
        <v>Total K2O accumulated in sludge</v>
      </c>
      <c r="C62" s="1360">
        <f>PT.anaer_lagoon!S368</f>
        <v>2.9894138749999994</v>
      </c>
      <c r="D62" s="714" t="str">
        <f>PT.anaer_lagoon!F368</f>
        <v>kg/head/year</v>
      </c>
      <c r="E62" s="1794"/>
      <c r="F62" s="536"/>
      <c r="G62" s="1795"/>
      <c r="H62" s="86"/>
      <c r="I62" s="1795"/>
      <c r="J62" s="86"/>
      <c r="K62" s="86"/>
      <c r="L62" s="1844"/>
      <c r="M62" s="86"/>
      <c r="N62" s="86"/>
      <c r="O62" s="86"/>
      <c r="P62" s="86"/>
      <c r="Q62" s="49"/>
      <c r="R62" s="1818" t="str">
        <f>PT.anaer_lagoon!B296</f>
        <v>Fuel needed for diesel powered lead pump</v>
      </c>
      <c r="S62" s="49"/>
      <c r="T62" s="1425">
        <f>PT.anaer_lagoon!S296</f>
        <v>3.1334566892860325</v>
      </c>
      <c r="U62" s="714" t="str">
        <f>PT.anaer_lagoon!F296</f>
        <v>gal/event</v>
      </c>
    </row>
    <row r="63" spans="2:21" ht="14.4" x14ac:dyDescent="0.3">
      <c r="B63" s="1668" t="str">
        <f>PT.anaer_lagoon!B369</f>
        <v>Excess slurry nutrient application</v>
      </c>
      <c r="C63" s="2310"/>
      <c r="D63" s="1815"/>
      <c r="E63" s="1794"/>
      <c r="F63" s="536"/>
      <c r="G63" s="1795"/>
      <c r="H63" s="86"/>
      <c r="I63" s="86"/>
      <c r="J63" s="86"/>
      <c r="K63" s="86"/>
      <c r="L63" s="1844"/>
      <c r="M63" s="1801"/>
      <c r="N63" s="86"/>
      <c r="O63" s="86"/>
      <c r="P63" s="86"/>
      <c r="Q63" s="49"/>
      <c r="R63" s="1818" t="str">
        <f>PT.anaer_lagoon!B297</f>
        <v>Fuel needed for diesel powered booster pump</v>
      </c>
      <c r="S63" s="49"/>
      <c r="T63" s="1425">
        <f>PT.anaer_lagoon!S297</f>
        <v>1.3056069538691801</v>
      </c>
      <c r="U63" s="714" t="str">
        <f>PT.anaer_lagoon!F297</f>
        <v>gal/event</v>
      </c>
    </row>
    <row r="64" spans="2:21" ht="14.4" x14ac:dyDescent="0.3">
      <c r="B64" s="714" t="str">
        <f>PT.anaer_lagoon!B370</f>
        <v>Excess N from liquids</v>
      </c>
      <c r="C64" s="1360">
        <f>PT.anaer_lagoon!S370</f>
        <v>0</v>
      </c>
      <c r="D64" s="714" t="str">
        <f>PT.anaer_lagoon!F370</f>
        <v>kg/head/year</v>
      </c>
      <c r="E64" s="1785"/>
      <c r="F64" s="536"/>
      <c r="G64" s="1796"/>
      <c r="H64" s="86"/>
      <c r="I64" s="86"/>
      <c r="J64" s="86"/>
      <c r="K64" s="86"/>
      <c r="L64" s="1844"/>
      <c r="M64" s="86"/>
      <c r="N64" s="86"/>
      <c r="O64" s="86"/>
      <c r="P64" s="86"/>
      <c r="Q64" s="49"/>
      <c r="R64" s="1818" t="str">
        <f>PT.anaer_lagoon!B298</f>
        <v>Fuel needed for diesel powered agitation trailer</v>
      </c>
      <c r="S64" s="49"/>
      <c r="T64" s="1425">
        <f>PT.anaer_lagoon!S298</f>
        <v>1.044485563095344</v>
      </c>
      <c r="U64" s="714" t="str">
        <f>PT.anaer_lagoon!F298</f>
        <v>gal/event</v>
      </c>
    </row>
    <row r="65" spans="2:21" ht="14.4" x14ac:dyDescent="0.3">
      <c r="B65" s="714" t="str">
        <f>PT.anaer_lagoon!B371</f>
        <v>Excess P2O5 from liquids</v>
      </c>
      <c r="C65" s="1360">
        <f>PT.anaer_lagoon!S371</f>
        <v>2.130513427129161</v>
      </c>
      <c r="D65" s="714" t="str">
        <f>PT.anaer_lagoon!F371</f>
        <v>kg/head/year</v>
      </c>
      <c r="E65" s="1785"/>
      <c r="F65" s="536"/>
      <c r="G65" s="921"/>
      <c r="H65" s="86"/>
      <c r="I65" s="86"/>
      <c r="J65" s="86"/>
      <c r="K65" s="86"/>
      <c r="L65" s="1844"/>
      <c r="M65" s="86"/>
      <c r="N65" s="86"/>
      <c r="O65" s="86"/>
      <c r="P65" s="86"/>
      <c r="Q65" s="49"/>
      <c r="R65" s="1818" t="str">
        <f>PT.anaer_lagoon!B299</f>
        <v>Fuel needed for pickup truck</v>
      </c>
      <c r="S65" s="49"/>
      <c r="T65" s="1425">
        <f>PT.anaer_lagoon!S299</f>
        <v>0.15667283446430161</v>
      </c>
      <c r="U65" s="714" t="str">
        <f>PT.anaer_lagoon!F299</f>
        <v>gal/event</v>
      </c>
    </row>
    <row r="66" spans="2:21" ht="14.4" x14ac:dyDescent="0.3">
      <c r="B66" s="714" t="str">
        <f>PT.anaer_lagoon!B372</f>
        <v>Excess K2O from liquids</v>
      </c>
      <c r="C66" s="1360">
        <f>PT.anaer_lagoon!S372</f>
        <v>3.358204700361465</v>
      </c>
      <c r="D66" s="714" t="str">
        <f>PT.anaer_lagoon!F372</f>
        <v>kg/head/year</v>
      </c>
      <c r="E66" s="1785"/>
      <c r="F66" s="536"/>
      <c r="G66" s="1798"/>
      <c r="H66" s="86"/>
      <c r="I66" s="86"/>
      <c r="J66" s="86"/>
      <c r="K66" s="86"/>
      <c r="L66" s="1845"/>
      <c r="M66" s="86"/>
      <c r="N66" s="86"/>
      <c r="O66" s="86"/>
      <c r="P66" s="86"/>
      <c r="Q66" s="49"/>
      <c r="R66" s="1818" t="str">
        <f>PT.anaer_lagoon!B300</f>
        <v>Excess volume, lagoon liquid manure</v>
      </c>
      <c r="S66" s="49"/>
      <c r="T66" s="1425">
        <f>PT.anaer_lagoon!S300</f>
        <v>0</v>
      </c>
      <c r="U66" s="714" t="str">
        <f>PT.anaer_lagoon!F300</f>
        <v>1000 gal/year</v>
      </c>
    </row>
    <row r="67" spans="2:21" ht="15" customHeight="1" x14ac:dyDescent="0.3">
      <c r="B67" s="1668" t="str">
        <f>PT.anaer_lagoon!B373</f>
        <v>Excess sludge nutrient application</v>
      </c>
      <c r="C67" s="2310"/>
      <c r="D67" s="1815"/>
      <c r="E67" s="1785"/>
      <c r="F67" s="536"/>
      <c r="G67" s="86"/>
      <c r="H67" s="86"/>
      <c r="I67" s="86"/>
      <c r="J67" s="1846"/>
      <c r="K67" s="86"/>
      <c r="L67" s="1843"/>
      <c r="M67" s="86"/>
      <c r="N67" s="86"/>
      <c r="O67" s="86"/>
      <c r="P67" s="86"/>
      <c r="Q67" s="49"/>
      <c r="R67" s="1818" t="str">
        <f>PT.anaer_lagoon!B301</f>
        <v>Excess volume, lagoon sludge manure</v>
      </c>
      <c r="S67" s="49"/>
      <c r="T67" s="1425">
        <f>PT.anaer_lagoon!S301</f>
        <v>0</v>
      </c>
      <c r="U67" s="714" t="str">
        <f>PT.anaer_lagoon!F301</f>
        <v>1000 gal/event</v>
      </c>
    </row>
    <row r="68" spans="2:21" ht="14.4" x14ac:dyDescent="0.3">
      <c r="B68" s="714" t="str">
        <f>PT.anaer_lagoon!B374</f>
        <v>Excess N from sludge</v>
      </c>
      <c r="C68" s="1360">
        <f>PT.anaer_lagoon!S374</f>
        <v>0</v>
      </c>
      <c r="D68" s="714" t="str">
        <f>PT.anaer_lagoon!F374</f>
        <v>kg/head/year</v>
      </c>
      <c r="E68" s="1917"/>
      <c r="F68" s="536"/>
      <c r="G68" s="86"/>
      <c r="H68" s="86"/>
      <c r="I68" s="86"/>
      <c r="J68" s="86"/>
      <c r="K68" s="86"/>
      <c r="L68" s="86"/>
      <c r="M68" s="86"/>
      <c r="N68" s="86"/>
      <c r="O68" s="86"/>
      <c r="P68" s="86"/>
      <c r="Q68" s="49"/>
      <c r="R68" s="1818" t="str">
        <f>PT.anaer_lagoon!B302</f>
        <v>Fertilizer value for on-farm use, liquids</v>
      </c>
      <c r="S68" s="49"/>
      <c r="T68" s="1425">
        <f>PT.anaer_lagoon!S302</f>
        <v>4596.6072158599345</v>
      </c>
      <c r="U68" s="714" t="str">
        <f>PT.anaer_lagoon!F302</f>
        <v>$/year</v>
      </c>
    </row>
    <row r="69" spans="2:21" ht="14.4" x14ac:dyDescent="0.3">
      <c r="B69" s="714" t="str">
        <f>PT.anaer_lagoon!B375</f>
        <v>Excess P2O5 from sludge</v>
      </c>
      <c r="C69" s="1360">
        <f>PT.anaer_lagoon!S375</f>
        <v>2.4848617127174339</v>
      </c>
      <c r="D69" s="714" t="str">
        <f>PT.anaer_lagoon!F375</f>
        <v>kg/head/year</v>
      </c>
      <c r="E69" s="1785"/>
      <c r="F69" s="536"/>
      <c r="G69" s="921"/>
      <c r="H69" s="86"/>
      <c r="I69" s="86"/>
      <c r="J69" s="1842"/>
      <c r="K69" s="1842"/>
      <c r="L69" s="1842"/>
      <c r="M69" s="86"/>
      <c r="N69" s="86"/>
      <c r="O69" s="86"/>
      <c r="P69" s="86"/>
      <c r="Q69" s="49"/>
      <c r="R69" s="1818" t="str">
        <f>PT.anaer_lagoon!B303</f>
        <v>Fertilizer value for on-farm use, sludge</v>
      </c>
      <c r="S69" s="49"/>
      <c r="T69" s="1425">
        <f>PT.anaer_lagoon!S303</f>
        <v>11769.86299214459</v>
      </c>
      <c r="U69" s="714" t="str">
        <f>PT.anaer_lagoon!F303</f>
        <v>$/event</v>
      </c>
    </row>
    <row r="70" spans="2:21" ht="14.4" x14ac:dyDescent="0.3">
      <c r="B70" s="714" t="str">
        <f>PT.anaer_lagoon!B376</f>
        <v>Excess K2O from sludge</v>
      </c>
      <c r="C70" s="1360">
        <f>PT.anaer_lagoon!S376</f>
        <v>2.4083941543696969</v>
      </c>
      <c r="D70" s="714" t="str">
        <f>PT.anaer_lagoon!F376</f>
        <v>kg/head/year</v>
      </c>
      <c r="E70" s="1785"/>
      <c r="F70" s="536"/>
      <c r="G70" s="921"/>
      <c r="H70" s="86"/>
      <c r="I70" s="86"/>
      <c r="J70" s="86"/>
      <c r="K70" s="86"/>
      <c r="L70" s="86"/>
      <c r="M70" s="86"/>
      <c r="N70" s="86"/>
      <c r="O70" s="86"/>
      <c r="P70" s="86"/>
      <c r="R70" s="20"/>
    </row>
    <row r="71" spans="2:21" ht="14.4" x14ac:dyDescent="0.3">
      <c r="B71" s="1668" t="s">
        <v>5271</v>
      </c>
      <c r="C71" s="2310"/>
      <c r="D71" s="1815"/>
      <c r="E71" s="1785"/>
      <c r="F71" s="536"/>
      <c r="G71" s="921"/>
      <c r="H71" s="86"/>
      <c r="I71" s="86"/>
      <c r="J71" s="86"/>
      <c r="K71" s="86"/>
      <c r="L71" s="86"/>
      <c r="M71" s="86"/>
      <c r="N71" s="86"/>
      <c r="O71" s="86"/>
      <c r="P71" s="86"/>
      <c r="Q71" s="118" t="s">
        <v>7175</v>
      </c>
      <c r="R71" s="1610"/>
      <c r="S71" s="1293"/>
      <c r="T71" s="1293"/>
      <c r="U71" s="1293"/>
    </row>
    <row r="72" spans="2:21" ht="22.5" customHeight="1" x14ac:dyDescent="0.3">
      <c r="B72" s="49" t="str">
        <f>PT.anaer_digest!B94</f>
        <v>CH4 from anaerobic digesters</v>
      </c>
      <c r="C72" s="1500">
        <f>PT.anaer_digest!G94</f>
        <v>0.72284023144655962</v>
      </c>
      <c r="D72" s="49" t="str">
        <f>PT.anaer_digest!C94</f>
        <v>kg/head/year</v>
      </c>
      <c r="E72" s="1785"/>
      <c r="F72" s="536"/>
      <c r="G72" s="921"/>
      <c r="H72" s="86"/>
      <c r="I72" s="86"/>
      <c r="J72" s="86"/>
      <c r="K72" s="86"/>
      <c r="L72" s="86"/>
      <c r="M72" s="86"/>
      <c r="N72" s="86"/>
      <c r="O72" s="86"/>
      <c r="P72" s="86"/>
      <c r="Q72" s="49"/>
      <c r="R72" s="18" t="s">
        <v>7176</v>
      </c>
      <c r="S72" s="49"/>
      <c r="T72" s="2126">
        <f>VLOOKUP("Sc 6a",'LCIA Summary output'!P:T,5,FALSE)</f>
        <v>0.60230640615119579</v>
      </c>
      <c r="U72" s="18" t="s">
        <v>7177</v>
      </c>
    </row>
    <row r="73" spans="2:21" ht="13.5" customHeight="1" x14ac:dyDescent="0.3">
      <c r="B73" s="49" t="str">
        <f>PT.anaer_digest!B95</f>
        <v>NH3 from anaerobic digester</v>
      </c>
      <c r="C73" s="1500">
        <f>PT.anaer_digest!G95</f>
        <v>0.99556118135937899</v>
      </c>
      <c r="D73" s="49" t="str">
        <f>PT.anaer_digest!C95</f>
        <v>kg/head/year</v>
      </c>
      <c r="Q73" s="49"/>
      <c r="R73" s="18" t="s">
        <v>7178</v>
      </c>
      <c r="S73" s="49"/>
      <c r="T73" s="2126">
        <f>VLOOKUP("Sc 6b",'LCIA Summary output'!P:T,5,FALSE)</f>
        <v>0.60019347551690072</v>
      </c>
      <c r="U73" s="18" t="s">
        <v>7177</v>
      </c>
    </row>
    <row r="74" spans="2:21" ht="13.5" customHeight="1" x14ac:dyDescent="0.3">
      <c r="B74" s="49" t="str">
        <f>PT.anaer_digest!B96</f>
        <v>Direct N2O from anaerobic digester</v>
      </c>
      <c r="C74" s="1500">
        <f>PT.anaer_digest!G96</f>
        <v>1.2515398723105024E-2</v>
      </c>
      <c r="D74" s="49" t="str">
        <f>PT.anaer_digest!C96</f>
        <v>kg/head/year</v>
      </c>
      <c r="Q74" s="49"/>
      <c r="R74" s="18" t="s">
        <v>7179</v>
      </c>
      <c r="S74" s="49"/>
      <c r="T74" s="2127">
        <f>T72*UDV.animal.total</f>
        <v>301.1532030755979</v>
      </c>
      <c r="U74" s="49" t="s">
        <v>7180</v>
      </c>
    </row>
    <row r="75" spans="2:21" ht="13.5" customHeight="1" x14ac:dyDescent="0.3">
      <c r="B75" s="49" t="str">
        <f>PT.anaer_digest!B97</f>
        <v>Indirect N2O from anaerobic digester</v>
      </c>
      <c r="C75" s="1500">
        <f>PT.anaer_digest!G97</f>
        <v>2.1901947765433794E-2</v>
      </c>
      <c r="D75" s="49" t="str">
        <f>PT.anaer_digest!C97</f>
        <v>kg/head/year</v>
      </c>
      <c r="Q75" s="49"/>
      <c r="R75" s="18" t="s">
        <v>7181</v>
      </c>
      <c r="S75" s="49"/>
      <c r="T75" s="2127">
        <f>T73*UDV.animal.total</f>
        <v>300.09673775845039</v>
      </c>
      <c r="U75" s="49" t="s">
        <v>7180</v>
      </c>
    </row>
    <row r="76" spans="2:21" ht="13.5" customHeight="1" x14ac:dyDescent="0.3">
      <c r="B76" s="49" t="str">
        <f>PT.anaer_digest!B98</f>
        <v>CO2 from anaerobic digesters</v>
      </c>
      <c r="C76" s="1500">
        <f>PT.anaer_digest!G98</f>
        <v>36.27284479979874</v>
      </c>
      <c r="D76" s="49" t="str">
        <f>PT.anaer_digest!C98</f>
        <v>kg/head/year</v>
      </c>
      <c r="R76" s="20"/>
    </row>
    <row r="77" spans="2:21" ht="13.5" customHeight="1" x14ac:dyDescent="0.3">
      <c r="B77" s="49" t="str">
        <f>PT.shallow_flush!B110</f>
        <v>CH4 from shallow flush</v>
      </c>
      <c r="C77" s="1209">
        <f>PT.shallow_flush!G110</f>
        <v>1.5236605695921037</v>
      </c>
      <c r="D77" s="510" t="str">
        <f>PT.shallow_flush!C110</f>
        <v>kg/head/year</v>
      </c>
      <c r="Q77" s="76" t="s">
        <v>7182</v>
      </c>
      <c r="R77" s="18" t="s">
        <v>7183</v>
      </c>
      <c r="S77" s="49"/>
      <c r="T77" s="2128">
        <f>MAX(0, INDEX(EconIntermediate!$C$25:$BV$25, MATCH(UDV.u.farm_baseline, EconIntermediate!$C$3:$BV$3,0))-T74)</f>
        <v>0</v>
      </c>
      <c r="U77" s="49" t="s">
        <v>7180</v>
      </c>
    </row>
    <row r="78" spans="2:21" ht="13.5" customHeight="1" x14ac:dyDescent="0.3">
      <c r="B78" s="49" t="str">
        <f>PT.shallow_flush!B111</f>
        <v>NH3 from shallow flush</v>
      </c>
      <c r="C78" s="1209">
        <f>PT.shallow_flush!G111</f>
        <v>5.6940985499999996</v>
      </c>
      <c r="D78" s="510" t="str">
        <f>PT.shallow_flush!C111</f>
        <v>kg/head/year</v>
      </c>
      <c r="Q78" s="49"/>
      <c r="R78" s="18" t="s">
        <v>7184</v>
      </c>
      <c r="S78" s="49"/>
      <c r="T78" s="2128">
        <f>MAX(0, INDEX(EconIntermediate!$C$25:$BV$25, MATCH(UDV.u.farm_baseline, EconIntermediate!$C$3:$BV$3,0))-T75)</f>
        <v>0</v>
      </c>
      <c r="U78" s="49" t="s">
        <v>7180</v>
      </c>
    </row>
    <row r="79" spans="2:21" ht="13.5" customHeight="1" x14ac:dyDescent="0.3">
      <c r="B79" s="49" t="str">
        <f>PT.shallow_flush!B112</f>
        <v>Direct N2O from shallow flush</v>
      </c>
      <c r="C79" s="1209">
        <f>PT.shallow_flush!G112</f>
        <v>5.9651376409799999E-2</v>
      </c>
      <c r="D79" s="510" t="str">
        <f>PT.shallow_flush!C112</f>
        <v>kg/head/year</v>
      </c>
      <c r="R79" s="20"/>
    </row>
    <row r="80" spans="2:21" ht="13.5" customHeight="1" x14ac:dyDescent="0.3">
      <c r="B80" s="49" t="str">
        <f>PT.shallow_flush!B113</f>
        <v>Indirect N2O from shallow flush</v>
      </c>
      <c r="C80" s="1209">
        <f>PT.shallow_flush!G113</f>
        <v>0.12526789046057998</v>
      </c>
      <c r="D80" s="510" t="str">
        <f>PT.shallow_flush!C113</f>
        <v>kg/head/year</v>
      </c>
      <c r="Q80" s="49" t="s">
        <v>5925</v>
      </c>
      <c r="R80" s="18" t="s">
        <v>5724</v>
      </c>
      <c r="S80" s="49"/>
      <c r="T80" s="1360">
        <f>PT.shallow_flush!G16</f>
        <v>48.646141166953889</v>
      </c>
      <c r="U80" s="49" t="s">
        <v>2479</v>
      </c>
    </row>
    <row r="81" spans="2:21" ht="13.5" customHeight="1" x14ac:dyDescent="0.3">
      <c r="B81" t="str">
        <f>PT.anaer_lagoon!B378</f>
        <v>CH4 from lagoon</v>
      </c>
      <c r="C81" s="78">
        <f>PT.anaer_lagoon!S378</f>
        <v>15.379579392479993</v>
      </c>
      <c r="D81" s="66" t="str">
        <f>PT.anaer_lagoon!F378</f>
        <v>kg/head/year</v>
      </c>
      <c r="U81"/>
    </row>
    <row r="82" spans="2:21" ht="13.5" customHeight="1" x14ac:dyDescent="0.3">
      <c r="B82" t="str">
        <f>PT.anaer_lagoon!B379</f>
        <v>NH3 from lagoon</v>
      </c>
      <c r="C82" s="78">
        <f>PT.anaer_lagoon!S379</f>
        <v>6.1380266142790338</v>
      </c>
      <c r="D82" s="66" t="str">
        <f>PT.anaer_lagoon!F379</f>
        <v>kg/head/year</v>
      </c>
      <c r="U82"/>
    </row>
    <row r="83" spans="2:21" ht="13.5" customHeight="1" x14ac:dyDescent="0.3">
      <c r="B83" t="str">
        <f>PT.anaer_lagoon!B380</f>
        <v>N2O direct from lagoon</v>
      </c>
      <c r="C83" s="78">
        <f>PT.anaer_lagoon!S380</f>
        <v>0</v>
      </c>
      <c r="D83" s="66" t="str">
        <f>PT.anaer_lagoon!F380</f>
        <v>kg/head/year</v>
      </c>
      <c r="U83"/>
    </row>
    <row r="84" spans="2:21" ht="13.5" customHeight="1" x14ac:dyDescent="0.3">
      <c r="B84" t="str">
        <f>PT.anaer_lagoon!B381</f>
        <v>N2O indirect from lagoon</v>
      </c>
      <c r="C84" s="78">
        <f>PT.anaer_lagoon!S381</f>
        <v>0.13503413030349304</v>
      </c>
      <c r="D84" s="66" t="str">
        <f>PT.anaer_lagoon!F381</f>
        <v>kg/head/year</v>
      </c>
      <c r="U84"/>
    </row>
    <row r="85" spans="2:21" ht="13.5" customHeight="1" x14ac:dyDescent="0.3">
      <c r="U85"/>
    </row>
    <row r="86" spans="2:21" ht="13.5" customHeight="1" x14ac:dyDescent="0.3">
      <c r="U86"/>
    </row>
    <row r="87" spans="2:21" ht="13.5" customHeight="1" x14ac:dyDescent="0.3">
      <c r="U87"/>
    </row>
    <row r="88" spans="2:21" ht="13.5" customHeight="1" x14ac:dyDescent="0.3">
      <c r="U88"/>
    </row>
    <row r="89" spans="2:21" ht="13.5" customHeight="1" x14ac:dyDescent="0.3">
      <c r="U89"/>
    </row>
    <row r="90" spans="2:21" ht="13.5" customHeight="1" x14ac:dyDescent="0.3">
      <c r="U90"/>
    </row>
    <row r="91" spans="2:21" ht="13.5" customHeight="1" x14ac:dyDescent="0.3">
      <c r="U91"/>
    </row>
    <row r="92" spans="2:21" ht="13.5" customHeight="1" x14ac:dyDescent="0.3">
      <c r="U92"/>
    </row>
    <row r="93" spans="2:21" ht="13.5" customHeight="1" x14ac:dyDescent="0.3">
      <c r="U93"/>
    </row>
    <row r="94" spans="2:21" ht="13.5" customHeight="1" x14ac:dyDescent="0.3">
      <c r="U94"/>
    </row>
    <row r="95" spans="2:21" ht="13.5" customHeight="1" x14ac:dyDescent="0.3">
      <c r="U95"/>
    </row>
    <row r="96" spans="2:21" ht="13.5" customHeight="1" x14ac:dyDescent="0.3">
      <c r="U96"/>
    </row>
    <row r="298" spans="1:17" ht="15" thickBot="1" x14ac:dyDescent="0.35">
      <c r="A298" s="137"/>
      <c r="B298" s="137"/>
      <c r="C298" s="137"/>
      <c r="D298" s="137"/>
      <c r="E298" s="137"/>
      <c r="F298" s="137"/>
      <c r="G298" s="137"/>
      <c r="H298" s="137"/>
      <c r="I298" s="137"/>
      <c r="J298" s="137"/>
      <c r="K298" s="137"/>
      <c r="L298" s="137"/>
      <c r="M298" s="137"/>
      <c r="N298" s="137"/>
      <c r="O298" s="137"/>
      <c r="P298" s="137"/>
      <c r="Q298" s="137"/>
    </row>
    <row r="299" spans="1:17" ht="14.4" x14ac:dyDescent="0.3">
      <c r="D299"/>
      <c r="E299"/>
      <c r="F299"/>
      <c r="G299"/>
      <c r="H299"/>
      <c r="K299"/>
      <c r="L299"/>
      <c r="P299"/>
    </row>
    <row r="300" spans="1:17" ht="14.4" x14ac:dyDescent="0.3">
      <c r="B300" s="82" t="s">
        <v>6938</v>
      </c>
    </row>
    <row r="301" spans="1:17" ht="14.4" x14ac:dyDescent="0.3">
      <c r="B301" t="s">
        <v>5209</v>
      </c>
    </row>
    <row r="302" spans="1:17" ht="14.4" x14ac:dyDescent="0.3">
      <c r="B302" t="s">
        <v>5219</v>
      </c>
    </row>
    <row r="303" spans="1:17" ht="14.4" x14ac:dyDescent="0.3">
      <c r="B303" t="s">
        <v>3086</v>
      </c>
    </row>
    <row r="304" spans="1:17" ht="14.4" x14ac:dyDescent="0.3">
      <c r="B304" t="s">
        <v>5210</v>
      </c>
    </row>
    <row r="305" spans="1:25" ht="14.4" x14ac:dyDescent="0.3">
      <c r="B305" t="s">
        <v>7087</v>
      </c>
    </row>
    <row r="306" spans="1:25" ht="14.4" x14ac:dyDescent="0.3">
      <c r="B306" t="s">
        <v>7185</v>
      </c>
      <c r="C306" t="s">
        <v>7186</v>
      </c>
    </row>
    <row r="307" spans="1:25" ht="15" thickBot="1" x14ac:dyDescent="0.35">
      <c r="A307" s="137"/>
      <c r="B307" s="137"/>
      <c r="C307" s="137"/>
      <c r="D307" s="137"/>
      <c r="E307" s="137"/>
      <c r="F307" s="137"/>
      <c r="G307" s="137"/>
      <c r="H307" s="137"/>
      <c r="I307" s="137"/>
      <c r="J307" s="137"/>
      <c r="K307" s="137"/>
      <c r="L307" s="137"/>
      <c r="M307" s="137"/>
      <c r="N307" s="137"/>
      <c r="O307" s="137"/>
      <c r="P307"/>
      <c r="R307" s="20"/>
      <c r="U307"/>
      <c r="W307" s="42"/>
      <c r="Y307" s="36"/>
    </row>
    <row r="308" spans="1:25" ht="14.4" x14ac:dyDescent="0.3">
      <c r="D308"/>
      <c r="E308"/>
      <c r="F308"/>
      <c r="G308"/>
      <c r="H308"/>
      <c r="K308"/>
      <c r="L308"/>
      <c r="P308"/>
      <c r="R308" s="20"/>
      <c r="U308"/>
      <c r="W308" s="42"/>
      <c r="Y308" s="36"/>
    </row>
    <row r="309" spans="1:25" ht="18" x14ac:dyDescent="0.35">
      <c r="B309" s="138" t="s">
        <v>6941</v>
      </c>
      <c r="C309" s="34"/>
      <c r="D309"/>
      <c r="E309"/>
      <c r="F309"/>
      <c r="G309"/>
      <c r="H309" s="355"/>
      <c r="K309"/>
      <c r="L309"/>
      <c r="P309"/>
      <c r="R309" s="20"/>
      <c r="U309"/>
      <c r="W309" s="42"/>
      <c r="Y309" s="36"/>
    </row>
    <row r="310" spans="1:25" ht="14.4" x14ac:dyDescent="0.3">
      <c r="D310"/>
      <c r="E310"/>
      <c r="F310"/>
      <c r="G310"/>
      <c r="H310"/>
      <c r="K310"/>
      <c r="L310"/>
      <c r="P310"/>
      <c r="R310" s="20"/>
      <c r="U310"/>
      <c r="W310" s="42"/>
      <c r="Y310" s="36"/>
    </row>
    <row r="311" spans="1:25" ht="14.4" x14ac:dyDescent="0.3">
      <c r="B311" s="139" t="s">
        <v>6942</v>
      </c>
      <c r="C311" s="140"/>
      <c r="D311" s="140"/>
      <c r="E311" s="139"/>
      <c r="F311" s="141"/>
      <c r="G311"/>
      <c r="H311"/>
      <c r="K311"/>
      <c r="L311"/>
      <c r="P311"/>
      <c r="R311" s="20"/>
      <c r="U311"/>
      <c r="W311" s="42"/>
      <c r="Y311" s="36"/>
    </row>
    <row r="312" spans="1:25" ht="14.4" x14ac:dyDescent="0.3">
      <c r="B312" s="143" t="s">
        <v>2663</v>
      </c>
      <c r="C312" s="144" t="s">
        <v>565</v>
      </c>
      <c r="D312" s="144" t="s">
        <v>6943</v>
      </c>
      <c r="E312" s="143" t="s">
        <v>565</v>
      </c>
      <c r="F312" s="145" t="s">
        <v>6944</v>
      </c>
      <c r="G312"/>
      <c r="H312"/>
      <c r="K312"/>
      <c r="L312"/>
      <c r="P312"/>
      <c r="R312" s="20"/>
      <c r="U312"/>
      <c r="W312" s="42"/>
      <c r="Y312" s="36"/>
    </row>
    <row r="313" spans="1:25" ht="14.4" x14ac:dyDescent="0.3">
      <c r="A313" t="s">
        <v>6945</v>
      </c>
      <c r="B313" s="149" t="s">
        <v>5724</v>
      </c>
      <c r="C313" s="295">
        <f>VLOOKUP(B313,R6:U305,3,FALSE)</f>
        <v>48.646141166953889</v>
      </c>
      <c r="D313" s="151" t="s">
        <v>2478</v>
      </c>
      <c r="E313" s="359">
        <f>CONVERT(C313,"m^3","ft^3")</f>
        <v>1717.9222625974626</v>
      </c>
      <c r="F313" s="151" t="s">
        <v>2479</v>
      </c>
      <c r="G313"/>
      <c r="H313"/>
      <c r="K313"/>
      <c r="L313"/>
      <c r="P313"/>
      <c r="R313" s="20"/>
      <c r="U313"/>
      <c r="W313" s="42"/>
      <c r="Y313" s="36"/>
    </row>
    <row r="314" spans="1:25" ht="14.4" x14ac:dyDescent="0.3">
      <c r="D314"/>
      <c r="E314"/>
      <c r="F314"/>
      <c r="G314"/>
      <c r="H314"/>
      <c r="K314"/>
      <c r="L314"/>
      <c r="P314"/>
      <c r="R314" s="20"/>
      <c r="U314"/>
      <c r="W314" s="42"/>
      <c r="Y314" s="36"/>
    </row>
    <row r="315" spans="1:25" s="369" customFormat="1" ht="43.2"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ht="14.4" x14ac:dyDescent="0.3">
      <c r="A316" t="s">
        <v>6960</v>
      </c>
      <c r="B316" s="99" t="s">
        <v>6961</v>
      </c>
      <c r="C316" s="153">
        <f>VLOOKUP("Deep and shallow pit constructiona",Econ.Equations!C:E,2,FALSE)*E313^VLOOKUP("Deep and shallow pit constructionb",Econ.Equations!$C:$E,2,FALSE)*E313</f>
        <v>13695.194157051748</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1108.2749450816623</v>
      </c>
      <c r="O316" s="372">
        <f>N316*G316</f>
        <v>1108.2749450816623</v>
      </c>
      <c r="P316"/>
      <c r="R316" s="20"/>
      <c r="U316"/>
      <c r="W316" s="42"/>
      <c r="Y316" s="36"/>
    </row>
    <row r="317" spans="1:25" ht="14.4" x14ac:dyDescent="0.3">
      <c r="B317" s="99"/>
      <c r="D317"/>
      <c r="E317"/>
      <c r="F317"/>
      <c r="G317"/>
      <c r="H317"/>
      <c r="K317"/>
      <c r="L317"/>
      <c r="O317" s="146"/>
      <c r="P317"/>
      <c r="R317" s="20"/>
      <c r="U317"/>
      <c r="W317" s="42"/>
      <c r="Y317" s="36"/>
    </row>
    <row r="318" spans="1:25" ht="14.4" x14ac:dyDescent="0.3">
      <c r="B318" s="99"/>
      <c r="C318" s="82" t="s">
        <v>6962</v>
      </c>
      <c r="D318" s="82" t="s">
        <v>6963</v>
      </c>
      <c r="E318"/>
      <c r="F318"/>
      <c r="G318"/>
      <c r="H318"/>
      <c r="K318"/>
      <c r="L318"/>
      <c r="O318" s="146"/>
      <c r="P318"/>
      <c r="R318" s="20"/>
      <c r="U318"/>
      <c r="W318" s="42"/>
      <c r="Y318" s="36"/>
    </row>
    <row r="319" spans="1:25" ht="14.4" x14ac:dyDescent="0.3">
      <c r="A319" t="s">
        <v>6945</v>
      </c>
      <c r="B319" s="99" t="s">
        <v>6964</v>
      </c>
      <c r="C319" s="153">
        <f>SUM(C316:C316)</f>
        <v>13695.194157051748</v>
      </c>
      <c r="D319" s="158">
        <f>SUMPRODUCT(C316:C316,G316:G316)</f>
        <v>13695.194157051748</v>
      </c>
      <c r="E319"/>
      <c r="F319"/>
      <c r="G319"/>
      <c r="H319"/>
      <c r="K319"/>
      <c r="L319"/>
      <c r="O319" s="146"/>
      <c r="P319"/>
      <c r="R319" s="20"/>
      <c r="U319"/>
      <c r="W319" s="42"/>
      <c r="Y319" s="36"/>
    </row>
    <row r="320" spans="1:25" ht="14.4" x14ac:dyDescent="0.3">
      <c r="A320" t="s">
        <v>6945</v>
      </c>
      <c r="B320" s="149" t="s">
        <v>6965</v>
      </c>
      <c r="C320" s="159">
        <f>SUM(N316:N316)</f>
        <v>1108.2749450816623</v>
      </c>
      <c r="D320" s="159">
        <f>SUMPRODUCT(N316:N316,G316:G316)</f>
        <v>1108.2749450816623</v>
      </c>
      <c r="E320" s="150"/>
      <c r="F320" s="150"/>
      <c r="G320" s="150"/>
      <c r="H320" s="150"/>
      <c r="I320" s="150"/>
      <c r="J320" s="150"/>
      <c r="K320" s="150"/>
      <c r="L320" s="150"/>
      <c r="M320" s="150"/>
      <c r="N320" s="150"/>
      <c r="O320" s="151"/>
      <c r="P320"/>
      <c r="R320" s="20"/>
      <c r="U320"/>
      <c r="W320" s="42"/>
      <c r="Y320" s="36"/>
    </row>
    <row r="321" spans="1:25" ht="14.4" x14ac:dyDescent="0.3">
      <c r="B321" s="262"/>
      <c r="C321" s="142"/>
      <c r="D321" s="142"/>
      <c r="E321" s="142"/>
      <c r="F321" s="142"/>
      <c r="G321" s="142"/>
      <c r="H321" s="142"/>
      <c r="I321" s="142"/>
      <c r="J321" s="142"/>
      <c r="K321" s="142"/>
      <c r="L321" s="142"/>
      <c r="M321" s="142"/>
      <c r="N321" s="142"/>
      <c r="O321" s="141"/>
      <c r="P321"/>
      <c r="R321" s="20"/>
      <c r="U321"/>
      <c r="W321" s="42"/>
      <c r="Y321" s="36"/>
    </row>
    <row r="322" spans="1:25" ht="43.2"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c r="P322"/>
      <c r="R322" s="20"/>
      <c r="U322"/>
      <c r="W322" s="42"/>
      <c r="Y322" s="36"/>
    </row>
    <row r="323" spans="1:25" ht="14.4" x14ac:dyDescent="0.3">
      <c r="B323" s="99" t="s">
        <v>6945</v>
      </c>
      <c r="C323" s="155">
        <f>VLOOKUP("OPEXInsuranceEverythingDefault",Econ.inputsTable!$E$1:$J$213,2,FALSE)</f>
        <v>5.0000000000000001E-3</v>
      </c>
      <c r="D323" s="155">
        <f>VLOOKUP("OPEXRepair and maintenanceBuildings and constructionDefault",Econ.inputsTable!$E$1:$J$503,2,FALSE)</f>
        <v>0.01</v>
      </c>
      <c r="E323"/>
      <c r="F323"/>
      <c r="G323"/>
      <c r="H323"/>
      <c r="K323"/>
      <c r="L323"/>
      <c r="O323" s="157">
        <f>(SUM(C323:D323)*SUMPRODUCT(C316:C316,G316:G316))+SUM(E323,G323,I323,J323,L323,N323)</f>
        <v>205.42791235577621</v>
      </c>
      <c r="P323"/>
      <c r="R323" s="20"/>
      <c r="U323"/>
      <c r="W323" s="42"/>
      <c r="Y323" s="36"/>
    </row>
    <row r="324" spans="1:25" ht="14.4"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205.42791235577621</v>
      </c>
      <c r="P324"/>
      <c r="R324" s="20"/>
      <c r="U324"/>
      <c r="W324" s="42"/>
      <c r="Y324" s="36"/>
    </row>
    <row r="325" spans="1:25" ht="14.4" x14ac:dyDescent="0.3">
      <c r="B325" s="99"/>
      <c r="C325" s="155"/>
      <c r="D325" s="155"/>
      <c r="E325" s="155"/>
      <c r="F325" s="158"/>
      <c r="G325" s="154"/>
      <c r="H325" s="156"/>
      <c r="I325" s="153"/>
      <c r="K325"/>
      <c r="L325"/>
      <c r="O325" s="146"/>
      <c r="P325"/>
      <c r="R325" s="20"/>
      <c r="U325"/>
      <c r="W325" s="42"/>
      <c r="Y325" s="36"/>
    </row>
    <row r="326" spans="1:25" ht="14.4" x14ac:dyDescent="0.3">
      <c r="A326" t="s">
        <v>6945</v>
      </c>
      <c r="B326" s="149" t="s">
        <v>6980</v>
      </c>
      <c r="C326" s="159">
        <f>O324</f>
        <v>205.42791235577621</v>
      </c>
      <c r="D326" s="150"/>
      <c r="E326" s="150"/>
      <c r="F326" s="150"/>
      <c r="G326" s="150"/>
      <c r="H326" s="150"/>
      <c r="I326" s="150"/>
      <c r="J326" s="150"/>
      <c r="K326" s="150"/>
      <c r="L326" s="150"/>
      <c r="M326" s="150"/>
      <c r="N326" s="150"/>
      <c r="O326" s="151"/>
      <c r="P326"/>
      <c r="R326" s="20"/>
      <c r="U326"/>
      <c r="W326" s="42"/>
      <c r="Y326" s="36"/>
    </row>
    <row r="327" spans="1:25" ht="15" thickBot="1" x14ac:dyDescent="0.35">
      <c r="A327" s="137"/>
      <c r="B327" s="137"/>
      <c r="C327" s="137"/>
      <c r="D327" s="137"/>
      <c r="E327" s="137"/>
      <c r="F327" s="137"/>
      <c r="G327" s="137"/>
      <c r="H327" s="137"/>
      <c r="I327" s="137"/>
      <c r="J327" s="137"/>
      <c r="K327" s="137"/>
      <c r="L327" s="137"/>
      <c r="M327" s="137"/>
      <c r="N327" s="137"/>
      <c r="O327" s="137"/>
      <c r="P327"/>
      <c r="R327" s="20"/>
      <c r="U327"/>
      <c r="W327" s="42"/>
      <c r="Y327" s="36"/>
    </row>
    <row r="328" spans="1:25" ht="14.4" x14ac:dyDescent="0.3">
      <c r="D328"/>
      <c r="E328"/>
      <c r="F328"/>
      <c r="G328"/>
      <c r="H328"/>
      <c r="K328"/>
      <c r="L328"/>
      <c r="P328"/>
    </row>
    <row r="329" spans="1:25" ht="15.6" x14ac:dyDescent="0.3">
      <c r="A329" s="82" t="s">
        <v>7088</v>
      </c>
      <c r="B329" s="138" t="s">
        <v>7089</v>
      </c>
      <c r="D329"/>
      <c r="E329"/>
      <c r="F329"/>
    </row>
    <row r="330" spans="1:25" ht="14.4" x14ac:dyDescent="0.3">
      <c r="D330"/>
      <c r="E330"/>
      <c r="F330"/>
    </row>
    <row r="331" spans="1:25" ht="14.4" x14ac:dyDescent="0.3">
      <c r="B331" s="139" t="s">
        <v>6942</v>
      </c>
      <c r="C331" s="140"/>
      <c r="D331" s="140"/>
      <c r="E331" s="139" t="s">
        <v>6988</v>
      </c>
      <c r="F331" s="141"/>
    </row>
    <row r="332" spans="1:25" ht="14.4" x14ac:dyDescent="0.3">
      <c r="B332" s="143" t="s">
        <v>2663</v>
      </c>
      <c r="C332" s="144" t="s">
        <v>565</v>
      </c>
      <c r="D332" s="144" t="s">
        <v>6943</v>
      </c>
      <c r="E332" s="143" t="s">
        <v>565</v>
      </c>
      <c r="F332" s="145" t="s">
        <v>6944</v>
      </c>
    </row>
    <row r="333" spans="1:25" ht="14.4" x14ac:dyDescent="0.3">
      <c r="B333" s="99" t="s">
        <v>6925</v>
      </c>
      <c r="C333" s="205">
        <f>VLOOKUP(B333,$R:$U,3,FALSE)</f>
        <v>0.5855973846883441</v>
      </c>
      <c r="D333" t="s">
        <v>7090</v>
      </c>
      <c r="E333" s="164">
        <f>CONVERT(C333,"m^3","gal")*365</f>
        <v>56464.938983569657</v>
      </c>
      <c r="F333" s="146" t="s">
        <v>5324</v>
      </c>
    </row>
    <row r="334" spans="1:25" ht="14.4" x14ac:dyDescent="0.3">
      <c r="B334" s="99" t="s">
        <v>5829</v>
      </c>
      <c r="C334" s="147">
        <f>VLOOKUP(B334,$R:$U,3,FALSE)</f>
        <v>28.39</v>
      </c>
      <c r="D334" t="s">
        <v>7090</v>
      </c>
      <c r="E334" s="164">
        <f>CONVERT(C334,"m^3","gal")*365</f>
        <v>2737443.2667534593</v>
      </c>
      <c r="F334" s="146" t="s">
        <v>5324</v>
      </c>
    </row>
    <row r="335" spans="1:25" ht="14.4" x14ac:dyDescent="0.3">
      <c r="B335" s="99"/>
      <c r="D335" s="146"/>
      <c r="E335"/>
      <c r="F335" s="146"/>
    </row>
    <row r="336" spans="1:25" ht="14.4" x14ac:dyDescent="0.3">
      <c r="B336" s="92" t="s">
        <v>6996</v>
      </c>
      <c r="D336"/>
      <c r="E336" s="143" t="s">
        <v>565</v>
      </c>
      <c r="F336" s="145" t="s">
        <v>6944</v>
      </c>
    </row>
    <row r="337" spans="1:17" ht="14.4" x14ac:dyDescent="0.3">
      <c r="B337" s="149" t="s">
        <v>7091</v>
      </c>
      <c r="C337" s="150"/>
      <c r="D337" s="150"/>
      <c r="E337" s="497">
        <f>UDV.water.avg_cost/1000</f>
        <v>3.858144828221536E-3</v>
      </c>
      <c r="F337" s="151" t="s">
        <v>2315</v>
      </c>
    </row>
    <row r="338" spans="1:17" ht="14.4" x14ac:dyDescent="0.3">
      <c r="D338"/>
      <c r="E338"/>
      <c r="F338"/>
    </row>
    <row r="339" spans="1:17" ht="28.8" x14ac:dyDescent="0.3">
      <c r="B339" s="498" t="s">
        <v>6966</v>
      </c>
      <c r="C339" s="362" t="s">
        <v>6979</v>
      </c>
      <c r="D339" s="362"/>
      <c r="E339" s="362"/>
      <c r="F339" s="363"/>
    </row>
    <row r="340" spans="1:17" ht="14.4" x14ac:dyDescent="0.3">
      <c r="B340" s="99" t="s">
        <v>7092</v>
      </c>
      <c r="C340" s="153">
        <f>E333*E337</f>
        <v>217.84991231530387</v>
      </c>
      <c r="D340" s="236"/>
      <c r="E340" s="236"/>
      <c r="F340" s="146"/>
    </row>
    <row r="341" spans="1:17" ht="14.4" x14ac:dyDescent="0.3">
      <c r="B341" s="99"/>
      <c r="D341"/>
      <c r="E341"/>
      <c r="F341" s="146"/>
      <c r="G341"/>
      <c r="H341"/>
    </row>
    <row r="342" spans="1:17" ht="14.4" x14ac:dyDescent="0.3">
      <c r="A342" t="s">
        <v>5209</v>
      </c>
      <c r="B342" s="149" t="s">
        <v>6980</v>
      </c>
      <c r="C342" s="159">
        <f>SUM(C340:C340)</f>
        <v>217.84991231530387</v>
      </c>
      <c r="D342" s="150"/>
      <c r="E342" s="150"/>
      <c r="F342" s="151"/>
      <c r="G342"/>
      <c r="H342"/>
    </row>
    <row r="343" spans="1:17" ht="15" thickBot="1" x14ac:dyDescent="0.35">
      <c r="A343" s="137"/>
      <c r="B343" s="137"/>
      <c r="C343" s="137"/>
      <c r="D343" s="137"/>
      <c r="E343" s="137"/>
      <c r="F343" s="137"/>
      <c r="G343" s="137"/>
      <c r="H343" s="137"/>
      <c r="I343" s="137"/>
      <c r="J343" s="137"/>
      <c r="K343" s="137"/>
      <c r="L343" s="137"/>
      <c r="M343" s="137"/>
      <c r="N343" s="137"/>
      <c r="O343" s="137"/>
      <c r="P343" s="137"/>
      <c r="Q343" s="137"/>
    </row>
    <row r="344" spans="1:17" ht="14.4" x14ac:dyDescent="0.3">
      <c r="D344"/>
      <c r="E344"/>
      <c r="F344"/>
      <c r="G344"/>
      <c r="H344"/>
      <c r="K344"/>
      <c r="L344"/>
      <c r="P344"/>
    </row>
    <row r="345" spans="1:17" ht="18" x14ac:dyDescent="0.35">
      <c r="B345" s="138" t="s">
        <v>7187</v>
      </c>
      <c r="C345" t="s">
        <v>7188</v>
      </c>
      <c r="D345"/>
      <c r="E345"/>
      <c r="F345"/>
      <c r="G345"/>
      <c r="H345" s="355"/>
    </row>
    <row r="346" spans="1:17" ht="14.4" x14ac:dyDescent="0.3">
      <c r="D346"/>
      <c r="E346"/>
      <c r="F346"/>
      <c r="G346"/>
      <c r="H346"/>
    </row>
    <row r="347" spans="1:17" ht="14.4" x14ac:dyDescent="0.3">
      <c r="B347" s="139" t="s">
        <v>6942</v>
      </c>
      <c r="C347" s="140"/>
      <c r="D347" s="140"/>
      <c r="E347" s="139" t="s">
        <v>6988</v>
      </c>
      <c r="F347" s="141"/>
      <c r="G347"/>
      <c r="H347"/>
    </row>
    <row r="348" spans="1:17" ht="14.4" x14ac:dyDescent="0.3">
      <c r="B348" s="143" t="s">
        <v>2663</v>
      </c>
      <c r="C348" s="144" t="s">
        <v>565</v>
      </c>
      <c r="D348" s="144" t="s">
        <v>6943</v>
      </c>
      <c r="E348" s="143" t="s">
        <v>565</v>
      </c>
      <c r="F348" s="145" t="s">
        <v>6944</v>
      </c>
      <c r="G348"/>
      <c r="H348" s="139" t="s">
        <v>7189</v>
      </c>
    </row>
    <row r="349" spans="1:17" ht="14.4" x14ac:dyDescent="0.3">
      <c r="B349" s="99" t="s">
        <v>5951</v>
      </c>
      <c r="C349" s="147">
        <f>VLOOKUP(B349,$R:$U,3,FALSE)</f>
        <v>31283.734452421984</v>
      </c>
      <c r="D349" t="s">
        <v>2481</v>
      </c>
      <c r="E349" s="164">
        <f>CONVERT(C349,"l","gal")</f>
        <v>8264.2883357236315</v>
      </c>
      <c r="F349" s="146" t="s">
        <v>2480</v>
      </c>
      <c r="G349"/>
      <c r="H349" s="99" t="s">
        <v>2787</v>
      </c>
    </row>
    <row r="350" spans="1:17" ht="14.4" x14ac:dyDescent="0.3">
      <c r="B350" s="99" t="s">
        <v>5953</v>
      </c>
      <c r="C350" s="147">
        <f>VLOOKUP(B350,$R:$U,3,FALSE)</f>
        <v>1</v>
      </c>
      <c r="D350" t="s">
        <v>2442</v>
      </c>
      <c r="E350" s="523">
        <f>C350</f>
        <v>1</v>
      </c>
      <c r="F350" s="146" t="s">
        <v>2442</v>
      </c>
      <c r="G350"/>
      <c r="H350" s="99" t="s">
        <v>1228</v>
      </c>
    </row>
    <row r="351" spans="1:17" ht="14.4" x14ac:dyDescent="0.3">
      <c r="B351" s="99" t="s">
        <v>5952</v>
      </c>
      <c r="C351" s="78">
        <f>VLOOKUP(B351,$R:$U,3,FALSE)</f>
        <v>15</v>
      </c>
      <c r="D351" t="s">
        <v>971</v>
      </c>
      <c r="E351" s="524">
        <f>ROUNDUP(C351,0.1)</f>
        <v>15</v>
      </c>
      <c r="F351" s="146" t="s">
        <v>971</v>
      </c>
      <c r="G351"/>
      <c r="H351" s="149" t="s">
        <v>7190</v>
      </c>
    </row>
    <row r="352" spans="1:17" ht="14.4" x14ac:dyDescent="0.3">
      <c r="B352" s="99" t="s">
        <v>5954</v>
      </c>
      <c r="C352" s="147">
        <f>VLOOKUP(B352,$R:$U,3,FALSE)</f>
        <v>4.1084544279722408</v>
      </c>
      <c r="D352" t="s">
        <v>6704</v>
      </c>
      <c r="E352" s="164">
        <f>C352*365</f>
        <v>1499.5858662098678</v>
      </c>
      <c r="F352" s="146" t="s">
        <v>5323</v>
      </c>
      <c r="G352"/>
      <c r="H352"/>
    </row>
    <row r="353" spans="1:15" ht="14.4" x14ac:dyDescent="0.3">
      <c r="B353" s="99"/>
      <c r="D353"/>
      <c r="E353" s="99"/>
      <c r="F353" s="146"/>
      <c r="G353"/>
      <c r="H353"/>
    </row>
    <row r="354" spans="1:15" ht="14.4" x14ac:dyDescent="0.3">
      <c r="B354" s="92" t="s">
        <v>6942</v>
      </c>
      <c r="C354" s="82"/>
      <c r="D354" s="82"/>
      <c r="E354" s="92"/>
      <c r="F354" s="146"/>
      <c r="G354"/>
      <c r="H354"/>
    </row>
    <row r="355" spans="1:15" ht="14.4" x14ac:dyDescent="0.3">
      <c r="B355" s="143" t="s">
        <v>2663</v>
      </c>
      <c r="C355" s="144" t="s">
        <v>565</v>
      </c>
      <c r="D355" s="144" t="s">
        <v>6943</v>
      </c>
      <c r="E355" s="143" t="s">
        <v>565</v>
      </c>
      <c r="F355" s="145" t="s">
        <v>6944</v>
      </c>
      <c r="G355"/>
      <c r="H355" s="153"/>
    </row>
    <row r="356" spans="1:15" ht="14.4" x14ac:dyDescent="0.3">
      <c r="B356" s="99" t="s">
        <v>7076</v>
      </c>
      <c r="D356" s="146"/>
      <c r="E356" s="525">
        <f>UDV.electricity.avg_cost</f>
        <v>6.8591666666666662E-2</v>
      </c>
      <c r="F356" s="146" t="s">
        <v>2306</v>
      </c>
      <c r="G356"/>
      <c r="H356"/>
      <c r="K356"/>
      <c r="L356"/>
    </row>
    <row r="357" spans="1:15" ht="14.4" x14ac:dyDescent="0.3">
      <c r="B357" s="149" t="s">
        <v>6998</v>
      </c>
      <c r="C357" s="150"/>
      <c r="D357" s="151"/>
      <c r="E357" s="497">
        <f>UDV.labor.non_specialized_cost</f>
        <v>23.66</v>
      </c>
      <c r="F357" s="151" t="s">
        <v>3659</v>
      </c>
      <c r="G357"/>
      <c r="H357"/>
      <c r="K357"/>
      <c r="L357"/>
    </row>
    <row r="358" spans="1:15" ht="14.4" x14ac:dyDescent="0.3">
      <c r="D358"/>
      <c r="E358"/>
      <c r="F358"/>
      <c r="G358"/>
      <c r="H358"/>
      <c r="K358"/>
      <c r="L358"/>
    </row>
    <row r="359" spans="1:15" ht="43.2" x14ac:dyDescent="0.3">
      <c r="B359" s="361" t="s">
        <v>6946</v>
      </c>
      <c r="C359" s="362" t="s">
        <v>6947</v>
      </c>
      <c r="D359" s="371" t="s">
        <v>6948</v>
      </c>
      <c r="E359" s="362" t="s">
        <v>6949</v>
      </c>
      <c r="F359" s="362" t="s">
        <v>6950</v>
      </c>
      <c r="G359" s="362" t="s">
        <v>6951</v>
      </c>
      <c r="H359" s="362" t="s">
        <v>6952</v>
      </c>
      <c r="I359" s="371" t="s">
        <v>6953</v>
      </c>
      <c r="J359" s="371" t="s">
        <v>6954</v>
      </c>
      <c r="K359" s="362" t="s">
        <v>6955</v>
      </c>
      <c r="L359" s="362" t="s">
        <v>6956</v>
      </c>
      <c r="M359" s="362" t="s">
        <v>6957</v>
      </c>
      <c r="N359" s="362" t="s">
        <v>6958</v>
      </c>
      <c r="O359" s="363" t="s">
        <v>6959</v>
      </c>
    </row>
    <row r="360" spans="1:15" ht="14.4" x14ac:dyDescent="0.3">
      <c r="A360" t="s">
        <v>7191</v>
      </c>
      <c r="B360" s="99" t="s">
        <v>2787</v>
      </c>
      <c r="C360" s="153">
        <f>VLOOKUP("Reception pit constructiona",Econ.Equations!$C:$E,2,FALSE)*E349^VLOOKUP("Reception pit constructionb",Econ.Equations!$C:$E,2,FALSE)*E349</f>
        <v>31928.926399622596</v>
      </c>
      <c r="D360">
        <f>VLOOKUP("CAPEXLifetimeBuildings and constructionDefault",Econ.inputsTable!$E:$H,2,FALSE)</f>
        <v>20</v>
      </c>
      <c r="E360" t="s">
        <v>2852</v>
      </c>
      <c r="F360" t="s">
        <v>2852</v>
      </c>
      <c r="G360" s="154">
        <v>1</v>
      </c>
      <c r="H360" s="503">
        <f>UDV.econ_capital.interest_rate</f>
        <v>5.0999999999999997E-2</v>
      </c>
      <c r="I360" s="154">
        <f>VLOOKUP("CAPEXSalvageBuildings and constructionDefault",Econ.inputsTable!$E:$J,2,FALSE)</f>
        <v>0</v>
      </c>
      <c r="J360" s="153">
        <f>$C360*I360</f>
        <v>0</v>
      </c>
      <c r="K360" s="154">
        <f>VLOOKUP("CAPEXFinanced amountNADefault", Econ.inputsTable!$E:$I,2,FALSE)</f>
        <v>1</v>
      </c>
      <c r="L360" s="364">
        <f>H360*K360</f>
        <v>5.0999999999999997E-2</v>
      </c>
      <c r="M360" s="351">
        <f>L360/(1-(1+L360)^-D360)</f>
        <v>8.0924368970045152E-2</v>
      </c>
      <c r="N360" s="153">
        <f>((C360-J360)*M360)+(J360*L360)</f>
        <v>2583.8282207804741</v>
      </c>
      <c r="O360" s="157">
        <f>G360*N360</f>
        <v>2583.8282207804741</v>
      </c>
    </row>
    <row r="361" spans="1:15" ht="14.4" x14ac:dyDescent="0.3">
      <c r="A361" t="s">
        <v>7192</v>
      </c>
      <c r="B361" s="99" t="s">
        <v>1228</v>
      </c>
      <c r="C361" s="153">
        <f>UDV.econ_agi.electric_pump*E350</f>
        <v>12100</v>
      </c>
      <c r="D361">
        <f>VLOOKUP("CAPEXLifetimeAgi-pump, electricDefault",Econ.inputsTable!$E:$H,2,FALSE)</f>
        <v>15</v>
      </c>
      <c r="E361" t="s">
        <v>2852</v>
      </c>
      <c r="F361" t="s">
        <v>2852</v>
      </c>
      <c r="G361" s="154">
        <v>1</v>
      </c>
      <c r="H361" s="503">
        <f>UDV.econ_capital.interest_rate</f>
        <v>5.0999999999999997E-2</v>
      </c>
      <c r="I361" s="154">
        <f>VLOOKUP("CAPEXSalvageEquipmentDefault",Econ.inputsTable!$E:$J,2,FALSE)</f>
        <v>0.2</v>
      </c>
      <c r="J361" s="153">
        <f>$C361*I361</f>
        <v>2420</v>
      </c>
      <c r="K361" s="154">
        <f>VLOOKUP("CAPEXFinanced amountNADefault", Econ.inputsTable!$E:$I,2,FALSE)</f>
        <v>1</v>
      </c>
      <c r="L361" s="364">
        <f>H361*K361</f>
        <v>5.0999999999999997E-2</v>
      </c>
      <c r="M361" s="351">
        <f>L361/(1-(1+L361)^-D361)</f>
        <v>9.6994593888520206E-2</v>
      </c>
      <c r="N361" s="153">
        <f>((C361-J361)*M361)+(J361*L361)</f>
        <v>1062.3276688408755</v>
      </c>
      <c r="O361" s="157">
        <f>G361*N361</f>
        <v>1062.3276688408755</v>
      </c>
    </row>
    <row r="362" spans="1:15" ht="14.4" x14ac:dyDescent="0.3">
      <c r="A362" t="s">
        <v>7192</v>
      </c>
      <c r="B362" s="99" t="s">
        <v>7193</v>
      </c>
      <c r="C362" s="153">
        <f>VLOOKUP(_xlfn.CONCAT("Motor, ",E351," hpDefault"), Econ.Tables!C:E, 2, FALSE)*E350</f>
        <v>1470</v>
      </c>
      <c r="D362">
        <f>VLOOKUP("CAPEXLifetimeMotorDefault",Econ.inputsTable!$E:$H,2,FALSE)</f>
        <v>20</v>
      </c>
      <c r="E362" t="s">
        <v>2852</v>
      </c>
      <c r="F362" t="s">
        <v>2852</v>
      </c>
      <c r="G362" s="154">
        <v>1</v>
      </c>
      <c r="H362" s="503">
        <f>UDV.econ_capital.interest_rate</f>
        <v>5.0999999999999997E-2</v>
      </c>
      <c r="I362" s="154">
        <f>VLOOKUP("CAPEXSalvageEquipmentDefault",Econ.inputsTable!$E:$I,2,FALSE)</f>
        <v>0.2</v>
      </c>
      <c r="J362" s="153">
        <f>$C362*I362</f>
        <v>294</v>
      </c>
      <c r="K362" s="154">
        <f>VLOOKUP("CAPEXFinanced amountNADefault", Econ.inputsTable!$E:$I,2,FALSE)</f>
        <v>1</v>
      </c>
      <c r="L362" s="364">
        <f>H362*K362</f>
        <v>5.0999999999999997E-2</v>
      </c>
      <c r="M362" s="351">
        <f>L362/(1-(1+L362)^-D362)</f>
        <v>8.0924368970045152E-2</v>
      </c>
      <c r="N362" s="153">
        <f>((C362-J362)*M362)+(J362*L362)</f>
        <v>110.1610579087731</v>
      </c>
      <c r="O362" s="157">
        <f>G362*N362</f>
        <v>110.1610579087731</v>
      </c>
    </row>
    <row r="363" spans="1:15" ht="14.4" x14ac:dyDescent="0.3">
      <c r="B363" s="99"/>
      <c r="C363" s="153"/>
      <c r="D363"/>
      <c r="E363"/>
      <c r="F363"/>
      <c r="G363"/>
      <c r="H363"/>
      <c r="K363"/>
      <c r="L363" s="154"/>
      <c r="M363" s="155"/>
      <c r="N363" s="154"/>
      <c r="O363" s="501"/>
    </row>
    <row r="364" spans="1:15" ht="14.4" x14ac:dyDescent="0.3">
      <c r="B364" s="99"/>
      <c r="C364" s="82" t="s">
        <v>7009</v>
      </c>
      <c r="D364" s="82" t="s">
        <v>6963</v>
      </c>
      <c r="E364"/>
      <c r="F364"/>
      <c r="G364"/>
      <c r="H364"/>
      <c r="K364"/>
      <c r="L364"/>
      <c r="O364" s="146"/>
    </row>
    <row r="365" spans="1:15" ht="14.4" x14ac:dyDescent="0.3">
      <c r="A365" t="s">
        <v>5219</v>
      </c>
      <c r="B365" s="99" t="s">
        <v>6964</v>
      </c>
      <c r="C365" s="153">
        <f>SUM(C360:C362)</f>
        <v>45498.926399622593</v>
      </c>
      <c r="D365" s="153">
        <f>SUMPRODUCT(C360:C362,G360:G362)</f>
        <v>45498.926399622593</v>
      </c>
      <c r="E365"/>
      <c r="F365"/>
      <c r="G365"/>
      <c r="H365"/>
      <c r="K365"/>
      <c r="L365"/>
      <c r="O365" s="146"/>
    </row>
    <row r="366" spans="1:15" ht="14.4" x14ac:dyDescent="0.3">
      <c r="A366" t="s">
        <v>5219</v>
      </c>
      <c r="B366" s="149" t="s">
        <v>6965</v>
      </c>
      <c r="C366" s="159">
        <f>SUM(N360:N362)</f>
        <v>3756.3169475301229</v>
      </c>
      <c r="D366" s="159">
        <f>SUMPRODUCT(N360:N362,G360:G362)</f>
        <v>3756.3169475301229</v>
      </c>
      <c r="E366" s="150"/>
      <c r="F366" s="150"/>
      <c r="G366" s="150"/>
      <c r="H366" s="150"/>
      <c r="I366" s="150"/>
      <c r="J366" s="150"/>
      <c r="K366" s="150"/>
      <c r="L366" s="150"/>
      <c r="M366" s="150"/>
      <c r="N366" s="150"/>
      <c r="O366" s="151"/>
    </row>
    <row r="367" spans="1:15" ht="14.4" x14ac:dyDescent="0.3">
      <c r="B367" s="262"/>
      <c r="C367" s="142"/>
      <c r="D367" s="142"/>
      <c r="E367" s="142"/>
      <c r="F367" s="142"/>
      <c r="G367" s="142"/>
      <c r="H367" s="142"/>
      <c r="I367" s="142"/>
      <c r="J367" s="142"/>
      <c r="K367" s="142"/>
      <c r="L367" s="142"/>
      <c r="M367" s="142"/>
      <c r="N367" s="142"/>
      <c r="O367" s="141"/>
    </row>
    <row r="368" spans="1:15" ht="43.2" x14ac:dyDescent="0.3">
      <c r="B368" s="160" t="s">
        <v>6966</v>
      </c>
      <c r="C368" s="152" t="s">
        <v>6967</v>
      </c>
      <c r="D368" s="152" t="s">
        <v>6968</v>
      </c>
      <c r="E368" s="152" t="s">
        <v>6969</v>
      </c>
      <c r="F368" s="152" t="s">
        <v>6970</v>
      </c>
      <c r="G368" s="152" t="s">
        <v>6971</v>
      </c>
      <c r="H368" s="152" t="s">
        <v>6972</v>
      </c>
      <c r="I368" s="152" t="s">
        <v>6973</v>
      </c>
      <c r="J368" s="152" t="s">
        <v>6974</v>
      </c>
      <c r="K368" s="152" t="s">
        <v>6975</v>
      </c>
      <c r="L368" s="152" t="s">
        <v>6976</v>
      </c>
      <c r="M368" s="152" t="s">
        <v>6977</v>
      </c>
      <c r="N368" s="152" t="s">
        <v>6978</v>
      </c>
      <c r="O368" s="161" t="s">
        <v>6979</v>
      </c>
    </row>
    <row r="369" spans="1:23" ht="14.4" x14ac:dyDescent="0.3">
      <c r="B369" s="99" t="s">
        <v>5219</v>
      </c>
      <c r="C369" s="155">
        <f>VLOOKUP("OPEXInsuranceEverythingDefault",Econ.inputsTable!$E$1:$J$89,2,FALSE)</f>
        <v>5.0000000000000001E-3</v>
      </c>
      <c r="D369" s="155">
        <f>VLOOKUP("OPEXRepair and maintenanceBuildings and constructionDefault",Econ.inputsTable!$E:$I,2,FALSE)</f>
        <v>0.01</v>
      </c>
      <c r="E369"/>
      <c r="F369"/>
      <c r="G369" s="504"/>
      <c r="H369"/>
      <c r="K369"/>
      <c r="L369"/>
      <c r="O369" s="157">
        <f>(SUM(C369:D369)*C360*G360)+SUM(G369,I369,J369,L369,N369)</f>
        <v>478.93389599433891</v>
      </c>
    </row>
    <row r="370" spans="1:23" ht="14.4" x14ac:dyDescent="0.3">
      <c r="B370" s="99" t="s">
        <v>1228</v>
      </c>
      <c r="C370" s="155">
        <f>VLOOKUP("OPEXInsuranceEverythingDefault",Econ.inputsTable!$E$1:$J$89,2,FALSE)</f>
        <v>5.0000000000000001E-3</v>
      </c>
      <c r="D370" s="155">
        <f>VLOOKUP("OPEXRepair and maintenanceAgi-pump, electricDefault",Econ.inputsTable!$E:$I,2,FALSE)</f>
        <v>0.11</v>
      </c>
      <c r="E370"/>
      <c r="F370"/>
      <c r="G370" s="504"/>
      <c r="H370"/>
      <c r="K370"/>
      <c r="L370"/>
      <c r="O370" s="157">
        <f>(SUM(C370:D370)*C361*G361)+SUM(G370,I370,J370,L370,N370)</f>
        <v>1391.5</v>
      </c>
    </row>
    <row r="371" spans="1:23" ht="14.4" x14ac:dyDescent="0.3">
      <c r="B371" s="99" t="s">
        <v>7190</v>
      </c>
      <c r="C371" s="155">
        <f>VLOOKUP("OPEXInsuranceEverythingDefault",Econ.inputsTable!$E$1:$J$89,2,FALSE)</f>
        <v>5.0000000000000001E-3</v>
      </c>
      <c r="D371" s="155">
        <f>VLOOKUP("OPEXRepair and maintenanceEquipmentDefault",Econ.inputsTable!$E:$I,2,FALSE)</f>
        <v>0.03</v>
      </c>
      <c r="E371"/>
      <c r="F371" s="166">
        <f>E352</f>
        <v>1499.5858662098678</v>
      </c>
      <c r="G371" s="158">
        <f>F371*E356</f>
        <v>102.85909387311185</v>
      </c>
      <c r="H371"/>
      <c r="K371"/>
      <c r="L371"/>
      <c r="O371" s="157">
        <f>(SUM(C371:D371)*C362*G362)+SUM(G371,I371,J371,L371,N371)</f>
        <v>154.30909387311183</v>
      </c>
    </row>
    <row r="372" spans="1:23" ht="14.4" x14ac:dyDescent="0.3">
      <c r="A372" t="s">
        <v>5219</v>
      </c>
      <c r="B372" s="162" t="s">
        <v>5203</v>
      </c>
      <c r="C372" s="505"/>
      <c r="D372" s="505"/>
      <c r="E372" s="367">
        <f t="shared" ref="E372:O372" si="3">SUM(E369:E371)</f>
        <v>0</v>
      </c>
      <c r="F372" s="526">
        <f t="shared" si="3"/>
        <v>1499.5858662098678</v>
      </c>
      <c r="G372" s="367">
        <f t="shared" si="3"/>
        <v>102.85909387311185</v>
      </c>
      <c r="H372" s="526">
        <f t="shared" si="3"/>
        <v>0</v>
      </c>
      <c r="I372" s="367">
        <f t="shared" si="3"/>
        <v>0</v>
      </c>
      <c r="J372" s="367">
        <f t="shared" si="3"/>
        <v>0</v>
      </c>
      <c r="K372" s="526">
        <f t="shared" si="3"/>
        <v>0</v>
      </c>
      <c r="L372" s="367">
        <f t="shared" si="3"/>
        <v>0</v>
      </c>
      <c r="M372" s="526">
        <f t="shared" si="3"/>
        <v>0</v>
      </c>
      <c r="N372" s="367">
        <f t="shared" si="3"/>
        <v>0</v>
      </c>
      <c r="O372" s="169">
        <f t="shared" si="3"/>
        <v>2024.7429898674507</v>
      </c>
    </row>
    <row r="373" spans="1:23" ht="14.4" x14ac:dyDescent="0.3">
      <c r="B373" s="99"/>
      <c r="D373"/>
      <c r="E373"/>
      <c r="F373"/>
      <c r="G373"/>
      <c r="H373"/>
      <c r="K373"/>
      <c r="L373"/>
      <c r="O373" s="146"/>
    </row>
    <row r="374" spans="1:23" ht="14.4" x14ac:dyDescent="0.3">
      <c r="A374" t="s">
        <v>5219</v>
      </c>
      <c r="B374" s="149" t="s">
        <v>6980</v>
      </c>
      <c r="C374" s="159">
        <f>O372</f>
        <v>2024.7429898674507</v>
      </c>
      <c r="D374" s="150"/>
      <c r="E374" s="150"/>
      <c r="F374" s="150"/>
      <c r="G374" s="150"/>
      <c r="H374" s="150"/>
      <c r="I374" s="150"/>
      <c r="J374" s="150"/>
      <c r="K374" s="150"/>
      <c r="L374" s="150"/>
      <c r="M374" s="150"/>
      <c r="N374" s="150"/>
      <c r="O374" s="151"/>
    </row>
    <row r="375" spans="1:23" ht="15" thickBot="1" x14ac:dyDescent="0.35">
      <c r="A375" s="137"/>
      <c r="B375" s="137"/>
      <c r="C375" s="137"/>
      <c r="D375" s="137"/>
      <c r="E375" s="137"/>
      <c r="F375" s="137"/>
      <c r="G375" s="137"/>
      <c r="H375" s="137"/>
      <c r="I375" s="137"/>
      <c r="J375" s="137"/>
      <c r="K375" s="137"/>
      <c r="L375" s="137"/>
      <c r="M375" s="137"/>
      <c r="N375" s="137"/>
      <c r="O375" s="137"/>
    </row>
    <row r="376" spans="1:23" ht="14.4" x14ac:dyDescent="0.3">
      <c r="D376"/>
      <c r="E376"/>
      <c r="F376"/>
      <c r="G376"/>
      <c r="H376"/>
      <c r="K376"/>
      <c r="L376"/>
    </row>
    <row r="377" spans="1:23" ht="18" x14ac:dyDescent="0.35">
      <c r="B377" s="138" t="s">
        <v>7194</v>
      </c>
      <c r="D377"/>
      <c r="E377"/>
      <c r="F377"/>
      <c r="G377"/>
      <c r="H377" s="355"/>
      <c r="K377"/>
      <c r="L377"/>
    </row>
    <row r="378" spans="1:23" ht="14.4" x14ac:dyDescent="0.3">
      <c r="D378"/>
      <c r="E378"/>
      <c r="F378"/>
      <c r="G378"/>
      <c r="H378"/>
      <c r="K378"/>
      <c r="L378"/>
    </row>
    <row r="379" spans="1:23" ht="14.4" x14ac:dyDescent="0.3">
      <c r="B379" s="139" t="s">
        <v>6942</v>
      </c>
      <c r="C379" s="140"/>
      <c r="D379" s="140"/>
      <c r="E379" s="139"/>
      <c r="F379" s="141"/>
      <c r="G379"/>
      <c r="H379" s="139" t="s">
        <v>7033</v>
      </c>
      <c r="I379" s="142"/>
      <c r="J379" s="141"/>
      <c r="K379"/>
      <c r="L379"/>
    </row>
    <row r="380" spans="1:23" ht="14.4" x14ac:dyDescent="0.3">
      <c r="B380" s="143" t="s">
        <v>2663</v>
      </c>
      <c r="C380" s="144" t="s">
        <v>565</v>
      </c>
      <c r="D380" s="144" t="s">
        <v>6943</v>
      </c>
      <c r="E380" s="143" t="s">
        <v>565</v>
      </c>
      <c r="F380" s="145" t="s">
        <v>6944</v>
      </c>
      <c r="G380"/>
      <c r="H380" s="99" t="s">
        <v>7195</v>
      </c>
      <c r="J380" s="146"/>
      <c r="K380"/>
      <c r="L380"/>
    </row>
    <row r="381" spans="1:23" ht="14.4" x14ac:dyDescent="0.3">
      <c r="B381" s="99" t="s">
        <v>5859</v>
      </c>
      <c r="C381">
        <f>UDV.animal.total</f>
        <v>500</v>
      </c>
      <c r="D381" t="s">
        <v>2442</v>
      </c>
      <c r="E381" s="99">
        <f>C381</f>
        <v>500</v>
      </c>
      <c r="F381" s="146" t="s">
        <v>2442</v>
      </c>
      <c r="G381"/>
      <c r="H381" s="99" t="s">
        <v>7196</v>
      </c>
      <c r="J381" s="146"/>
      <c r="K381"/>
      <c r="L381"/>
    </row>
    <row r="382" spans="1:23" ht="14.4" x14ac:dyDescent="0.3">
      <c r="B382" s="99" t="s">
        <v>6239</v>
      </c>
      <c r="C382" s="147">
        <f>VLOOKUP(B382,$R:$U,3,FALSE)</f>
        <v>31.283734452421985</v>
      </c>
      <c r="D382" t="s">
        <v>2521</v>
      </c>
      <c r="E382" s="164">
        <f>C382*365</f>
        <v>11418.563075134025</v>
      </c>
      <c r="F382" s="146" t="s">
        <v>7197</v>
      </c>
      <c r="G382"/>
      <c r="H382" s="99" t="s">
        <v>7198</v>
      </c>
      <c r="J382" s="146"/>
      <c r="K382"/>
      <c r="L382"/>
    </row>
    <row r="383" spans="1:23" ht="14.4" x14ac:dyDescent="0.3">
      <c r="A383" s="34"/>
      <c r="B383" s="99" t="s">
        <v>6240</v>
      </c>
      <c r="C383" s="147">
        <f>VLOOKUP(B383,$R:$U,3,FALSE)</f>
        <v>1</v>
      </c>
      <c r="D383" s="146" t="s">
        <v>2442</v>
      </c>
      <c r="E383" s="147">
        <f>C383</f>
        <v>1</v>
      </c>
      <c r="F383" s="146" t="s">
        <v>2442</v>
      </c>
      <c r="G383"/>
      <c r="H383" s="99" t="s">
        <v>7198</v>
      </c>
      <c r="J383" s="146"/>
      <c r="K383"/>
      <c r="L383"/>
      <c r="P383"/>
      <c r="U383"/>
      <c r="W383"/>
    </row>
    <row r="384" spans="1:23" ht="14.4" x14ac:dyDescent="0.3">
      <c r="B384" s="99" t="s">
        <v>6241</v>
      </c>
      <c r="C384" s="147">
        <f>VLOOKUP(B384,$R:$U,3,FALSE)</f>
        <v>782.09336131054965</v>
      </c>
      <c r="D384" t="s">
        <v>6218</v>
      </c>
      <c r="E384" s="164">
        <f>C384</f>
        <v>782.09336131054965</v>
      </c>
      <c r="F384" s="146" t="s">
        <v>6218</v>
      </c>
      <c r="G384" s="219">
        <f>E384*UC.m3_to_ft3*E383</f>
        <v>27619.366382964734</v>
      </c>
      <c r="H384" s="99" t="s">
        <v>7199</v>
      </c>
      <c r="J384" s="146"/>
      <c r="K384"/>
      <c r="L384"/>
    </row>
    <row r="385" spans="2:12" ht="14.4" x14ac:dyDescent="0.3">
      <c r="B385" s="99" t="s">
        <v>6242</v>
      </c>
      <c r="C385" s="147"/>
      <c r="D385" s="146" t="s">
        <v>7200</v>
      </c>
      <c r="E385" s="316"/>
      <c r="F385" s="146" t="s">
        <v>6243</v>
      </c>
      <c r="G385" s="34"/>
      <c r="H385" s="149" t="s">
        <v>7201</v>
      </c>
      <c r="I385" s="150"/>
      <c r="J385" s="151"/>
      <c r="K385"/>
      <c r="L385"/>
    </row>
    <row r="386" spans="2:12" ht="14.4" x14ac:dyDescent="0.3">
      <c r="B386" s="99" t="s">
        <v>6242</v>
      </c>
      <c r="C386" s="147"/>
      <c r="D386" s="146" t="s">
        <v>7200</v>
      </c>
      <c r="E386" s="316"/>
      <c r="F386" s="146" t="s">
        <v>7202</v>
      </c>
      <c r="G386" s="34"/>
      <c r="H386"/>
      <c r="K386"/>
      <c r="L386"/>
    </row>
    <row r="387" spans="2:12" ht="14.4" x14ac:dyDescent="0.3">
      <c r="B387" s="99" t="s">
        <v>7203</v>
      </c>
      <c r="C387" s="153"/>
      <c r="D387" t="s">
        <v>7204</v>
      </c>
      <c r="E387" s="99">
        <f>UDV.econ_methane.fate</f>
        <v>0</v>
      </c>
      <c r="F387" s="146" t="s">
        <v>7205</v>
      </c>
      <c r="G387" s="34"/>
      <c r="H387" s="139" t="s">
        <v>7206</v>
      </c>
      <c r="I387" s="142"/>
      <c r="J387" s="142"/>
      <c r="K387" s="141"/>
      <c r="L387"/>
    </row>
    <row r="388" spans="2:12" ht="14.4" x14ac:dyDescent="0.3">
      <c r="B388" s="99" t="s">
        <v>1302</v>
      </c>
      <c r="C388" s="153"/>
      <c r="D388" t="s">
        <v>7207</v>
      </c>
      <c r="E388" s="178">
        <f>UDV.econ_elec.connected</f>
        <v>0</v>
      </c>
      <c r="F388" s="146" t="s">
        <v>7208</v>
      </c>
      <c r="G388" s="34"/>
      <c r="H388" s="99">
        <v>0.71699999999999997</v>
      </c>
      <c r="I388" t="s">
        <v>7209</v>
      </c>
      <c r="J388">
        <v>1</v>
      </c>
      <c r="K388" s="146" t="s">
        <v>676</v>
      </c>
      <c r="L388"/>
    </row>
    <row r="389" spans="2:12" ht="14.4" x14ac:dyDescent="0.3">
      <c r="B389" s="99" t="s">
        <v>7210</v>
      </c>
      <c r="C389" s="153"/>
      <c r="D389" t="s">
        <v>7207</v>
      </c>
      <c r="E389" s="178">
        <f>UDV.econ_cng.connected</f>
        <v>0</v>
      </c>
      <c r="F389" s="146" t="s">
        <v>7208</v>
      </c>
      <c r="G389" s="34"/>
      <c r="H389" s="99">
        <v>1</v>
      </c>
      <c r="I389" t="s">
        <v>2478</v>
      </c>
      <c r="J389">
        <v>35.314700000000002</v>
      </c>
      <c r="K389" s="146" t="s">
        <v>2479</v>
      </c>
      <c r="L389"/>
    </row>
    <row r="390" spans="2:12" ht="14.4" x14ac:dyDescent="0.3">
      <c r="B390" s="99" t="s">
        <v>7211</v>
      </c>
      <c r="C390" s="147"/>
      <c r="D390" s="146" t="s">
        <v>7212</v>
      </c>
      <c r="E390"/>
      <c r="F390" s="146" t="s">
        <v>7135</v>
      </c>
      <c r="G390" s="34"/>
      <c r="H390" s="149">
        <v>1</v>
      </c>
      <c r="I390" s="150" t="s">
        <v>2557</v>
      </c>
      <c r="J390" s="150">
        <v>1000</v>
      </c>
      <c r="K390" s="151" t="s">
        <v>2479</v>
      </c>
      <c r="L390"/>
    </row>
    <row r="391" spans="2:12" ht="14.4" x14ac:dyDescent="0.3">
      <c r="B391" s="99" t="s">
        <v>7183</v>
      </c>
      <c r="C391" s="148">
        <f>VLOOKUP(B391,R1:U299,3,FALSE)</f>
        <v>0</v>
      </c>
      <c r="D391" s="146" t="s">
        <v>7213</v>
      </c>
      <c r="E391" s="148"/>
      <c r="F391" s="146" t="s">
        <v>7213</v>
      </c>
      <c r="G391" s="34"/>
      <c r="H391"/>
      <c r="K391"/>
      <c r="L391"/>
    </row>
    <row r="392" spans="2:12" ht="14.4" x14ac:dyDescent="0.3">
      <c r="B392" s="99" t="s">
        <v>7184</v>
      </c>
      <c r="C392" s="148">
        <f>VLOOKUP(B392,R1:U299,3,FALSE)</f>
        <v>0</v>
      </c>
      <c r="D392" s="146" t="s">
        <v>7213</v>
      </c>
      <c r="E392" s="148"/>
      <c r="F392" s="146" t="s">
        <v>7213</v>
      </c>
      <c r="G392" s="34"/>
      <c r="H392"/>
      <c r="K392"/>
      <c r="L392"/>
    </row>
    <row r="393" spans="2:12" ht="14.4" x14ac:dyDescent="0.3">
      <c r="B393" s="99"/>
      <c r="D393" s="146"/>
      <c r="E393" s="148"/>
      <c r="F393" s="146"/>
      <c r="G393" s="34"/>
      <c r="H393"/>
      <c r="K393"/>
      <c r="L393"/>
    </row>
    <row r="394" spans="2:12" ht="14.4" x14ac:dyDescent="0.3">
      <c r="B394" s="92" t="s">
        <v>6996</v>
      </c>
      <c r="C394" s="78"/>
      <c r="D394"/>
      <c r="E394" s="99"/>
      <c r="F394" s="146"/>
      <c r="G394" s="34"/>
      <c r="H394" s="341" t="s">
        <v>7214</v>
      </c>
      <c r="I394" s="527"/>
      <c r="J394" s="527"/>
      <c r="K394" s="391"/>
      <c r="L394"/>
    </row>
    <row r="395" spans="2:12" ht="14.4" x14ac:dyDescent="0.3">
      <c r="B395" s="143" t="s">
        <v>2663</v>
      </c>
      <c r="C395" s="144"/>
      <c r="D395" s="144"/>
      <c r="E395" s="143" t="s">
        <v>565</v>
      </c>
      <c r="F395" s="145" t="s">
        <v>6944</v>
      </c>
      <c r="G395" s="34"/>
      <c r="H395"/>
      <c r="K395"/>
      <c r="L395"/>
    </row>
    <row r="396" spans="2:12" ht="14.4" x14ac:dyDescent="0.3">
      <c r="B396" s="99" t="s">
        <v>6998</v>
      </c>
      <c r="D396"/>
      <c r="E396" s="348">
        <f>UDV.labor.non_specialized_cost</f>
        <v>23.66</v>
      </c>
      <c r="F396" s="146" t="s">
        <v>3659</v>
      </c>
      <c r="G396" s="34"/>
      <c r="H396"/>
      <c r="K396"/>
      <c r="L396"/>
    </row>
    <row r="397" spans="2:12" ht="14.4" x14ac:dyDescent="0.3">
      <c r="B397" s="99" t="s">
        <v>7077</v>
      </c>
      <c r="D397" s="146"/>
      <c r="E397" s="348">
        <f>UDV.labor.specialized_cost</f>
        <v>48.82</v>
      </c>
      <c r="F397" s="146" t="s">
        <v>3659</v>
      </c>
      <c r="G397"/>
      <c r="H397"/>
      <c r="K397"/>
      <c r="L397"/>
    </row>
    <row r="398" spans="2:12" ht="14.4" x14ac:dyDescent="0.3">
      <c r="B398" s="99" t="s">
        <v>7076</v>
      </c>
      <c r="D398" s="146"/>
      <c r="E398" s="358">
        <f>UDV.electricity.avg_cost</f>
        <v>6.8591666666666662E-2</v>
      </c>
      <c r="F398" s="146" t="s">
        <v>2306</v>
      </c>
      <c r="G398"/>
      <c r="H398"/>
      <c r="K398"/>
      <c r="L398"/>
    </row>
    <row r="399" spans="2:12" ht="14.4" x14ac:dyDescent="0.3">
      <c r="B399" s="149" t="s">
        <v>7215</v>
      </c>
      <c r="C399" s="150"/>
      <c r="D399" s="151"/>
      <c r="E399" s="497">
        <f>UDV.fuel.naturalgas_avg_cost</f>
        <v>5.544999999999999</v>
      </c>
      <c r="F399" s="151" t="s">
        <v>2311</v>
      </c>
      <c r="G399" s="34"/>
      <c r="H399"/>
      <c r="K399"/>
      <c r="L399"/>
    </row>
    <row r="400" spans="2:12" ht="14.4" x14ac:dyDescent="0.3">
      <c r="C400" s="153"/>
      <c r="D400"/>
      <c r="E400"/>
      <c r="F400"/>
      <c r="G400"/>
      <c r="H400"/>
      <c r="K400"/>
      <c r="L400"/>
    </row>
    <row r="401" spans="1:16" ht="43.2" x14ac:dyDescent="0.3">
      <c r="B401" s="361" t="s">
        <v>6946</v>
      </c>
      <c r="C401" s="362" t="s">
        <v>6947</v>
      </c>
      <c r="D401" s="362" t="s">
        <v>6948</v>
      </c>
      <c r="E401" s="362" t="s">
        <v>6949</v>
      </c>
      <c r="F401" s="362" t="s">
        <v>6950</v>
      </c>
      <c r="G401" s="362" t="s">
        <v>6951</v>
      </c>
      <c r="H401" s="362" t="s">
        <v>6952</v>
      </c>
      <c r="I401" s="362" t="s">
        <v>6953</v>
      </c>
      <c r="J401" s="362" t="s">
        <v>6954</v>
      </c>
      <c r="K401" s="362" t="s">
        <v>6955</v>
      </c>
      <c r="L401" s="362" t="s">
        <v>6956</v>
      </c>
      <c r="M401" s="140" t="s">
        <v>6957</v>
      </c>
      <c r="N401" s="140" t="s">
        <v>6958</v>
      </c>
      <c r="O401" s="362" t="s">
        <v>6959</v>
      </c>
    </row>
    <row r="402" spans="1:16" ht="14.4" x14ac:dyDescent="0.3">
      <c r="A402" t="s">
        <v>7216</v>
      </c>
      <c r="B402" s="99" t="s">
        <v>3086</v>
      </c>
      <c r="C402" s="158">
        <f>((VLOOKUP("Anaerobic digester systema",Econ.Equations!$C:$E,2,FALSE)*E384^VLOOKUP("Anaerobic digester systemb",Econ.Equations!$C:$E,2,FALSE))*E384)*E383</f>
        <v>2460012.5579201453</v>
      </c>
      <c r="D402">
        <f>VLOOKUP("CAPEXLifetimeEquipmentDefault",Econ.inputsTable!$E:$G,2,FALSE)</f>
        <v>10</v>
      </c>
      <c r="E402" t="s">
        <v>2852</v>
      </c>
      <c r="F402" t="s">
        <v>2852</v>
      </c>
      <c r="G402" s="154">
        <f>VLOOKUP("CAPEXAnnual usage on activityItems that are used only on the given activityDefault",Econ.inputsTable!$E:$I,2,FALSE)</f>
        <v>1</v>
      </c>
      <c r="H402" s="503">
        <f>UDV.econ_capital.interest_rate</f>
        <v>5.0999999999999997E-2</v>
      </c>
      <c r="I402" s="154">
        <f>VLOOKUP("CAPEXSalvageEquipmentDefault",Econ.inputsTable!$E:$G,2,FALSE)</f>
        <v>0.2</v>
      </c>
      <c r="J402" s="153">
        <f>C402*I402</f>
        <v>492002.51158402907</v>
      </c>
      <c r="K402" s="154">
        <f>VLOOKUP("CAPEXFinanced amountNADefault", Econ.inputsTable!$E:$I,2,FALSE)</f>
        <v>1</v>
      </c>
      <c r="L402" s="364">
        <f>H402*K402</f>
        <v>5.0999999999999997E-2</v>
      </c>
      <c r="M402" s="351">
        <f>L402/(1-(1+L402)^-D402)</f>
        <v>0.13013423257204779</v>
      </c>
      <c r="N402" s="153">
        <f>((C402-J402)*M402)+(J402*L402)</f>
        <v>281197.6051648162</v>
      </c>
      <c r="O402" s="153">
        <f>G402*N402</f>
        <v>281197.6051648162</v>
      </c>
    </row>
    <row r="403" spans="1:16" ht="14.4" x14ac:dyDescent="0.3">
      <c r="A403" t="s">
        <v>7216</v>
      </c>
      <c r="B403" s="99" t="s">
        <v>2681</v>
      </c>
      <c r="C403" s="158">
        <f>IF(E387="1",((VLOOKUP("Combined heat and powera",Econ.Equations!$C:$E,2,FALSE)*E384^VLOOKUP("Combined heat and powerb",Econ.Equations!$C:$E,2,FALSE))*E384),0)</f>
        <v>0</v>
      </c>
      <c r="D403">
        <f>VLOOKUP("CAPEXLifetimeEquipmentDefault",Econ.inputsTable!$E:$G,2,FALSE)</f>
        <v>10</v>
      </c>
      <c r="E403" t="s">
        <v>2852</v>
      </c>
      <c r="F403" t="s">
        <v>2852</v>
      </c>
      <c r="G403" s="154">
        <f>VLOOKUP("CAPEXAnnual usage on activityItems that are used only on the given activityDefault",Econ.inputsTable!$E:$I,2,FALSE)</f>
        <v>1</v>
      </c>
      <c r="H403" s="503">
        <f>UDV.econ_capital.interest_rate</f>
        <v>5.0999999999999997E-2</v>
      </c>
      <c r="I403" s="154">
        <f>VLOOKUP("CAPEXSalvageEquipmentDefault",Econ.inputsTable!$E:$G,2,FALSE)</f>
        <v>0.2</v>
      </c>
      <c r="J403" s="153">
        <f>C403*I403</f>
        <v>0</v>
      </c>
      <c r="K403" s="154">
        <f>VLOOKUP("CAPEXFinanced amountNADefault", Econ.inputsTable!$E:$I,2,FALSE)</f>
        <v>1</v>
      </c>
      <c r="L403" s="364">
        <f>H403*K403</f>
        <v>5.0999999999999997E-2</v>
      </c>
      <c r="M403" s="351">
        <f>L403/(1-(1+L403)^-D403)</f>
        <v>0.13013423257204779</v>
      </c>
      <c r="N403" s="153">
        <f>((C403-J403)*M403)+(J403*L403)</f>
        <v>0</v>
      </c>
      <c r="O403" s="153">
        <f>G403*N403</f>
        <v>0</v>
      </c>
    </row>
    <row r="404" spans="1:16" ht="14.4" x14ac:dyDescent="0.3">
      <c r="A404" t="s">
        <v>7216</v>
      </c>
      <c r="B404" s="99" t="s">
        <v>7217</v>
      </c>
      <c r="C404" s="153">
        <f>IF(E388="1",(VLOOKUP("CHP utility connectionDefault",Econ.Tables!$C:$E,2,FALSE)),0)</f>
        <v>0</v>
      </c>
      <c r="D404">
        <f>VLOOKUP("CAPEXLifetimeEquipmentDefault",Econ.inputsTable!$E:$G,2,FALSE)</f>
        <v>10</v>
      </c>
      <c r="E404" t="s">
        <v>2852</v>
      </c>
      <c r="F404" t="s">
        <v>2852</v>
      </c>
      <c r="G404" s="154">
        <f>VLOOKUP("CAPEXAnnual usage on activityItems that are used only on the given activityDefault",Econ.inputsTable!$E:$I,2,FALSE)</f>
        <v>1</v>
      </c>
      <c r="H404" s="503">
        <f>UDV.econ_capital.interest_rate</f>
        <v>5.0999999999999997E-2</v>
      </c>
      <c r="I404" s="154">
        <f>VLOOKUP("CAPEXSalvageEquipmentDefault",Econ.inputsTable!$E:$G,2,FALSE)</f>
        <v>0.2</v>
      </c>
      <c r="J404" s="153">
        <f>C404*I404</f>
        <v>0</v>
      </c>
      <c r="K404" s="154">
        <f>VLOOKUP("CAPEXFinanced amountNADefault", Econ.inputsTable!$E:$I,2,FALSE)</f>
        <v>1</v>
      </c>
      <c r="L404" s="364">
        <f>H404*K404</f>
        <v>5.0999999999999997E-2</v>
      </c>
      <c r="M404" s="351">
        <f>L404/(1-(1+L404)^-D404)</f>
        <v>0.13013423257204779</v>
      </c>
      <c r="N404" s="153">
        <f>((C404-J404)*M404)+(J404*L404)</f>
        <v>0</v>
      </c>
      <c r="O404" s="153">
        <f>G404*N404</f>
        <v>0</v>
      </c>
    </row>
    <row r="405" spans="1:16" ht="14.4" x14ac:dyDescent="0.3">
      <c r="A405" t="s">
        <v>7216</v>
      </c>
      <c r="B405" s="99" t="s">
        <v>2690</v>
      </c>
      <c r="C405" s="153">
        <f>IF(E387="2",(VLOOKUP("Compressed natural gasa",Econ.Equations!$C:$E,2,FALSE)*E385^VLOOKUP("Compressed natural gasb",Econ.Equations!$C:$E,2,FALSE)*E385),0)</f>
        <v>0</v>
      </c>
      <c r="D405">
        <f>VLOOKUP("CAPEXLifetimeEquipmentDefault",Econ.inputsTable!$E:$G,2,FALSE)</f>
        <v>10</v>
      </c>
      <c r="E405" t="s">
        <v>2852</v>
      </c>
      <c r="F405" t="s">
        <v>2852</v>
      </c>
      <c r="G405" s="154">
        <f>VLOOKUP("CAPEXAnnual usage on activityItems that are used only on the given activityDefault",Econ.inputsTable!$E:$I,2,FALSE)</f>
        <v>1</v>
      </c>
      <c r="H405" s="503">
        <f>UDV.econ_capital.interest_rate</f>
        <v>5.0999999999999997E-2</v>
      </c>
      <c r="I405" s="154">
        <f>VLOOKUP("CAPEXSalvageEquipmentDefault",Econ.inputsTable!$E:$G,2,FALSE)</f>
        <v>0.2</v>
      </c>
      <c r="J405" s="153">
        <f>C405*I405</f>
        <v>0</v>
      </c>
      <c r="K405" s="154">
        <f>VLOOKUP("CAPEXFinanced amountNADefault", Econ.inputsTable!$E:$I,2,FALSE)</f>
        <v>1</v>
      </c>
      <c r="L405" s="364">
        <f>H405*K405</f>
        <v>5.0999999999999997E-2</v>
      </c>
      <c r="M405" s="351">
        <f>L405/(1-(1+L405)^-D405)</f>
        <v>0.13013423257204779</v>
      </c>
      <c r="N405" s="153">
        <f>((C405-J405)*M405)+(J405*L405)</f>
        <v>0</v>
      </c>
      <c r="O405" s="153">
        <f>G405*N405</f>
        <v>0</v>
      </c>
      <c r="P405" s="146"/>
    </row>
    <row r="406" spans="1:16" ht="14.4" x14ac:dyDescent="0.3">
      <c r="A406" t="s">
        <v>7216</v>
      </c>
      <c r="B406" s="99" t="s">
        <v>2697</v>
      </c>
      <c r="C406" s="153">
        <f>IF(E389="1",(VLOOKUP("Compressed natural gas utility connectiona",Econ.Equations!$C:$E,2,FALSE)*E385^VLOOKUP("Compressed natural gas utility connectionb",Econ.Equations!$C:$E,2,FALSE)*E385),0)</f>
        <v>0</v>
      </c>
      <c r="D406">
        <f>VLOOKUP("CAPEXLifetimeEquipmentDefault",Econ.inputsTable!$E:$G,2,FALSE)</f>
        <v>10</v>
      </c>
      <c r="E406" t="s">
        <v>2852</v>
      </c>
      <c r="F406" t="s">
        <v>2852</v>
      </c>
      <c r="G406" s="154">
        <f>VLOOKUP("CAPEXAnnual usage on activityItems that are used only on the given activityDefault",Econ.inputsTable!$E:$I,2,FALSE)</f>
        <v>1</v>
      </c>
      <c r="H406" s="503">
        <f>UDV.econ_capital.interest_rate</f>
        <v>5.0999999999999997E-2</v>
      </c>
      <c r="I406" s="154">
        <f>VLOOKUP("CAPEXSalvageBuildings and constructionDefault", Econ.inputsTable!$E:$I,2,FALSE)</f>
        <v>0</v>
      </c>
      <c r="J406" s="153">
        <f>C406*I406</f>
        <v>0</v>
      </c>
      <c r="K406" s="154">
        <f>VLOOKUP("CAPEXFinanced amountNADefault", Econ.inputsTable!$E:$I,2,FALSE)</f>
        <v>1</v>
      </c>
      <c r="L406" s="364">
        <f>H406*K406</f>
        <v>5.0999999999999997E-2</v>
      </c>
      <c r="M406" s="351">
        <f>L406/(1-(1+L406)^-D406)</f>
        <v>0.13013423257204779</v>
      </c>
      <c r="N406" s="153">
        <f>((C406-J406)*M406)+(J406*L406)</f>
        <v>0</v>
      </c>
      <c r="O406" s="153">
        <f>G406*N406</f>
        <v>0</v>
      </c>
      <c r="P406" s="146"/>
    </row>
    <row r="407" spans="1:16" ht="14.4" x14ac:dyDescent="0.3">
      <c r="B407" s="99"/>
      <c r="D407"/>
      <c r="E407"/>
      <c r="F407"/>
      <c r="G407"/>
      <c r="H407"/>
      <c r="K407"/>
      <c r="L407"/>
      <c r="P407" s="146"/>
    </row>
    <row r="408" spans="1:16" ht="14.4" x14ac:dyDescent="0.3">
      <c r="B408" s="99"/>
      <c r="C408" s="82" t="s">
        <v>6962</v>
      </c>
      <c r="D408" s="82" t="s">
        <v>6963</v>
      </c>
      <c r="E408"/>
      <c r="F408"/>
      <c r="G408"/>
      <c r="H408"/>
      <c r="K408"/>
      <c r="L408"/>
      <c r="P408" s="146"/>
    </row>
    <row r="409" spans="1:16" ht="14.4" x14ac:dyDescent="0.3">
      <c r="A409" t="s">
        <v>5220</v>
      </c>
      <c r="B409" s="99" t="s">
        <v>6964</v>
      </c>
      <c r="C409" s="153">
        <f>SUM(C402:C406)</f>
        <v>2460012.5579201453</v>
      </c>
      <c r="D409" s="158">
        <f>SUMPRODUCT(C402:C406,G402:G406)</f>
        <v>2460012.5579201453</v>
      </c>
      <c r="E409"/>
      <c r="F409"/>
      <c r="G409"/>
      <c r="H409"/>
      <c r="K409"/>
      <c r="L409"/>
      <c r="P409" s="146"/>
    </row>
    <row r="410" spans="1:16" ht="14.4" x14ac:dyDescent="0.3">
      <c r="A410" t="s">
        <v>5220</v>
      </c>
      <c r="B410" s="149" t="s">
        <v>6965</v>
      </c>
      <c r="C410" s="159">
        <f>SUM(N402:N406)</f>
        <v>281197.6051648162</v>
      </c>
      <c r="D410" s="159">
        <f>SUMPRODUCT(N402:N406,G402:G406)</f>
        <v>281197.6051648162</v>
      </c>
      <c r="E410" s="150"/>
      <c r="F410" s="150"/>
      <c r="G410" s="150"/>
      <c r="H410" s="150"/>
      <c r="I410" s="150"/>
      <c r="J410" s="150"/>
      <c r="K410" s="150"/>
      <c r="L410" s="150"/>
      <c r="M410" s="150"/>
      <c r="N410" s="150"/>
      <c r="O410" s="150"/>
      <c r="P410" s="151"/>
    </row>
    <row r="411" spans="1:16" ht="14.4" x14ac:dyDescent="0.3">
      <c r="B411" s="262"/>
      <c r="C411" s="142"/>
      <c r="D411" s="142"/>
      <c r="E411" s="142"/>
      <c r="F411" s="142"/>
      <c r="G411" s="142"/>
      <c r="H411" s="142"/>
      <c r="I411" s="142"/>
      <c r="J411" s="142"/>
      <c r="K411" s="142"/>
      <c r="L411" s="142"/>
      <c r="M411" s="142"/>
      <c r="N411" s="142"/>
      <c r="O411" s="142"/>
      <c r="P411" s="141"/>
    </row>
    <row r="412" spans="1:16" ht="43.2" x14ac:dyDescent="0.3">
      <c r="B412" s="160" t="s">
        <v>6966</v>
      </c>
      <c r="C412" s="152" t="s">
        <v>6967</v>
      </c>
      <c r="D412" s="152" t="s">
        <v>6968</v>
      </c>
      <c r="E412" s="152" t="s">
        <v>6969</v>
      </c>
      <c r="F412" s="152" t="s">
        <v>6970</v>
      </c>
      <c r="G412" s="152" t="s">
        <v>7218</v>
      </c>
      <c r="H412" s="152" t="s">
        <v>6972</v>
      </c>
      <c r="I412" s="152" t="s">
        <v>6973</v>
      </c>
      <c r="J412" s="152" t="s">
        <v>6974</v>
      </c>
      <c r="K412" s="152" t="s">
        <v>6975</v>
      </c>
      <c r="L412" s="152" t="s">
        <v>6976</v>
      </c>
      <c r="M412" s="152" t="s">
        <v>6977</v>
      </c>
      <c r="N412" s="152" t="s">
        <v>6978</v>
      </c>
      <c r="O412" s="152" t="s">
        <v>6979</v>
      </c>
      <c r="P412" s="161" t="s">
        <v>7219</v>
      </c>
    </row>
    <row r="413" spans="1:16" ht="14.4" x14ac:dyDescent="0.3">
      <c r="B413" s="99" t="s">
        <v>3086</v>
      </c>
      <c r="C413" s="155">
        <f>VLOOKUP("OPEXInsuranceEverythingDefault",Econ.inputsTable!$E$1:$J$209,2,FALSE)</f>
        <v>5.0000000000000001E-3</v>
      </c>
      <c r="D413" s="155">
        <f>VLOOKUP("OPEXRepair and maintenanceAnaerobic digesterDefault",Econ.inputsTable!$E:$H,2,FALSE)</f>
        <v>0.05</v>
      </c>
      <c r="E413"/>
      <c r="F413"/>
      <c r="G413"/>
      <c r="H413"/>
      <c r="K413" s="166">
        <f>VLOOKUP("AD system operational laborm",Econ.Equations!$C:$E,2,FALSE)*E382+VLOOKUP("AD system operational laborb",Econ.Equations!$C:$E,2,FALSE)</f>
        <v>27.563850460107219</v>
      </c>
      <c r="L413" s="158">
        <f>K413*E396</f>
        <v>652.16070188613685</v>
      </c>
      <c r="M413" s="153"/>
      <c r="O413" s="373">
        <f>(SUM(C413:D413,P413)*C402*G402)+SUM(E413,G413,I413,J413,L413,N413)</f>
        <v>135952.85138749413</v>
      </c>
      <c r="P413" s="146"/>
    </row>
    <row r="414" spans="1:16" ht="14.4" x14ac:dyDescent="0.3">
      <c r="B414" s="99" t="s">
        <v>2681</v>
      </c>
      <c r="C414" s="155">
        <f>VLOOKUP("OPEXInsuranceEverythingDefault",Econ.inputsTable!$E$1:$J$209,2,FALSE)</f>
        <v>5.0000000000000001E-3</v>
      </c>
      <c r="D414" s="155">
        <f>VLOOKUP("OPEXRepair and maintenanceElectricity generation equipmentDefault",Econ.inputsTable!$E:$H,2,FALSE)</f>
        <v>0.06</v>
      </c>
      <c r="E414"/>
      <c r="F414"/>
      <c r="G414" s="158">
        <f>IF(E387="CHP",((VLOOKUP("CHP energy inputsa",Econ.Equations!$C:$E,2,FALSE)*E382^VLOOKUP("CHP energy inputsb",Econ.Equations!$C:$E,2,FALSE))*E382),0)</f>
        <v>0</v>
      </c>
      <c r="H414"/>
      <c r="K414"/>
      <c r="L414"/>
      <c r="M414" s="166">
        <f>IF(E387="CHP",(VLOOKUP("CHP operational laborm",Econ.Equations!$C:$E,2,FALSE)*E382+VLOOKUP("CHP operational laborb",Econ.Equations!$C:$E,2,FALSE)),0)</f>
        <v>0</v>
      </c>
      <c r="N414" s="158">
        <f>M414*E397</f>
        <v>0</v>
      </c>
      <c r="O414" s="373">
        <f>(SUM(C414:D414,P414)*C403*G403)+SUM(E414,G414,I414,J414,L414,N414)</f>
        <v>0</v>
      </c>
      <c r="P414" s="528">
        <f>VLOOKUP("OPEXSystem operationsElectricity generation equipmentDefault",Econ.inputsTable!$E:$H,2,FALSE)</f>
        <v>0.03</v>
      </c>
    </row>
    <row r="415" spans="1:16" ht="14.4" x14ac:dyDescent="0.3">
      <c r="B415" s="99" t="s">
        <v>7217</v>
      </c>
      <c r="C415" s="155">
        <f>VLOOKUP("OPEXInsuranceEverythingDefault",Econ.inputsTable!$E$1:$J$209,2,FALSE)</f>
        <v>5.0000000000000001E-3</v>
      </c>
      <c r="D415" s="155"/>
      <c r="E415"/>
      <c r="F415"/>
      <c r="G415" s="153"/>
      <c r="H415"/>
      <c r="K415"/>
      <c r="L415"/>
      <c r="M415" s="153"/>
      <c r="O415" s="373">
        <f>((SUM(C415:D415,P415)*C404*G404)+SUM(E415,G415,I415,J415,L415,N415))</f>
        <v>0</v>
      </c>
      <c r="P415" s="146"/>
    </row>
    <row r="416" spans="1:16" ht="14.4" x14ac:dyDescent="0.3">
      <c r="B416" s="99" t="s">
        <v>2690</v>
      </c>
      <c r="C416" s="155">
        <f>VLOOKUP("OPEXInsuranceEverythingDefault",Econ.inputsTable!$E$1:$J$209,2,FALSE)</f>
        <v>5.0000000000000001E-3</v>
      </c>
      <c r="D416" s="155">
        <f>VLOOKUP("OPEXRepair and maintenanceCNG equipmentDefault",Econ.inputsTable!$E:$H,2,FALSE)</f>
        <v>1.2999999999999999E-2</v>
      </c>
      <c r="E416"/>
      <c r="F416"/>
      <c r="G416" s="153">
        <f>IF(E387="CNG",(VLOOKUP("CNG energy inputsDefault",Econ.Tables!$C:$E,2,FALSE)*E382),0)</f>
        <v>0</v>
      </c>
      <c r="H416"/>
      <c r="K416"/>
      <c r="L416"/>
      <c r="M416" s="166">
        <f>IF(E387="CNG",(VLOOKUP("CNG operational laborm",Econ.Equations!$C:$E,2,FALSE)*E382+VLOOKUP("CNG operational laborb",Econ.Equations!$C:$E,2,FALSE)),0)</f>
        <v>0</v>
      </c>
      <c r="N416" s="158">
        <f>M416*E397</f>
        <v>0</v>
      </c>
      <c r="O416" s="373">
        <f>(SUM(C416:D416,P416)*C405*G405)+SUM(E416,G416,I416,J416,L416,N416)</f>
        <v>0</v>
      </c>
      <c r="P416" s="146"/>
    </row>
    <row r="417" spans="1:16" ht="14.4" x14ac:dyDescent="0.3">
      <c r="B417" s="99" t="s">
        <v>2697</v>
      </c>
      <c r="C417" s="155">
        <f>VLOOKUP("OPEXInsuranceEverythingDefault",Econ.inputsTable!$E$1:$J$209,2,FALSE)</f>
        <v>5.0000000000000001E-3</v>
      </c>
      <c r="D417" s="155"/>
      <c r="E417"/>
      <c r="F417"/>
      <c r="G417" s="153"/>
      <c r="H417"/>
      <c r="K417"/>
      <c r="L417"/>
      <c r="M417" s="153"/>
      <c r="O417" s="373">
        <f>(SUM(C417:D417,P417)*C406*G406)+SUM(E417,G417,I417,J417,L417,N417)</f>
        <v>0</v>
      </c>
      <c r="P417" s="146"/>
    </row>
    <row r="418" spans="1:16" ht="14.4" x14ac:dyDescent="0.3">
      <c r="A418" t="s">
        <v>5220</v>
      </c>
      <c r="B418" s="162" t="s">
        <v>5203</v>
      </c>
      <c r="C418" s="163"/>
      <c r="D418" s="505"/>
      <c r="E418" s="163"/>
      <c r="F418" s="163"/>
      <c r="G418" s="163"/>
      <c r="H418" s="163"/>
      <c r="I418" s="163"/>
      <c r="J418" s="163"/>
      <c r="K418" s="163"/>
      <c r="L418" s="529"/>
      <c r="M418" s="163"/>
      <c r="N418" s="163"/>
      <c r="O418" s="163"/>
      <c r="P418" s="530"/>
    </row>
    <row r="419" spans="1:16" ht="14.4" x14ac:dyDescent="0.3">
      <c r="B419" s="99"/>
      <c r="D419" s="155"/>
      <c r="E419" s="155"/>
      <c r="F419" s="158"/>
      <c r="G419" s="154"/>
      <c r="H419" s="156"/>
      <c r="I419" s="153"/>
      <c r="K419"/>
      <c r="L419"/>
      <c r="P419" s="146"/>
    </row>
    <row r="420" spans="1:16" ht="14.4" x14ac:dyDescent="0.3">
      <c r="A420" t="s">
        <v>5220</v>
      </c>
      <c r="B420" s="149" t="s">
        <v>6980</v>
      </c>
      <c r="C420" s="159">
        <f>SUM(O413:O417)</f>
        <v>135952.85138749413</v>
      </c>
      <c r="D420" s="150"/>
      <c r="E420" s="150"/>
      <c r="F420" s="150"/>
      <c r="G420" s="150"/>
      <c r="H420" s="150"/>
      <c r="I420" s="150"/>
      <c r="J420" s="150"/>
      <c r="K420" s="150"/>
      <c r="L420" s="150"/>
      <c r="M420" s="150"/>
      <c r="N420" s="150"/>
      <c r="O420" s="150"/>
      <c r="P420" s="151"/>
    </row>
    <row r="422" spans="1:16" ht="14.4" x14ac:dyDescent="0.3">
      <c r="B422" s="92" t="s">
        <v>7220</v>
      </c>
      <c r="D422"/>
    </row>
    <row r="423" spans="1:16" ht="14.4" x14ac:dyDescent="0.3">
      <c r="A423" t="s">
        <v>5220</v>
      </c>
      <c r="B423" s="99" t="s">
        <v>7221</v>
      </c>
      <c r="C423" s="166"/>
      <c r="D423" t="s">
        <v>4888</v>
      </c>
    </row>
    <row r="424" spans="1:16" ht="14.4" x14ac:dyDescent="0.3">
      <c r="A424" t="s">
        <v>5220</v>
      </c>
      <c r="B424" s="99" t="s">
        <v>7222</v>
      </c>
      <c r="C424" s="166"/>
      <c r="D424" t="s">
        <v>7223</v>
      </c>
    </row>
    <row r="425" spans="1:16" ht="14.4" x14ac:dyDescent="0.3">
      <c r="B425" s="99"/>
      <c r="D425"/>
    </row>
    <row r="426" spans="1:16" ht="14.4" x14ac:dyDescent="0.3">
      <c r="B426" s="531" t="s">
        <v>7104</v>
      </c>
      <c r="C426" t="s">
        <v>5745</v>
      </c>
      <c r="D426"/>
    </row>
    <row r="427" spans="1:16" ht="14.4" x14ac:dyDescent="0.3">
      <c r="A427" t="s">
        <v>5220</v>
      </c>
      <c r="B427" s="99" t="s">
        <v>7224</v>
      </c>
      <c r="C427" s="532"/>
      <c r="D427" s="533"/>
    </row>
    <row r="428" spans="1:16" ht="14.4" x14ac:dyDescent="0.3">
      <c r="A428" t="s">
        <v>5220</v>
      </c>
      <c r="B428" s="99" t="s">
        <v>7225</v>
      </c>
      <c r="C428" s="532"/>
      <c r="D428"/>
    </row>
    <row r="429" spans="1:16" ht="14.4" x14ac:dyDescent="0.3">
      <c r="B429" s="99"/>
      <c r="C429" s="532"/>
      <c r="D429"/>
    </row>
    <row r="430" spans="1:16" ht="14.4" x14ac:dyDescent="0.3">
      <c r="A430" t="s">
        <v>5220</v>
      </c>
      <c r="B430" s="99" t="s">
        <v>7107</v>
      </c>
      <c r="C430" s="532"/>
      <c r="D430"/>
    </row>
    <row r="431" spans="1:16" ht="14.4" x14ac:dyDescent="0.3">
      <c r="B431" s="99"/>
      <c r="C431" s="532"/>
      <c r="D431"/>
    </row>
    <row r="432" spans="1:16" ht="14.4" x14ac:dyDescent="0.3">
      <c r="B432" s="247" t="s">
        <v>7226</v>
      </c>
      <c r="C432" s="532"/>
      <c r="D432"/>
    </row>
    <row r="433" spans="1:15" ht="14.4" x14ac:dyDescent="0.3">
      <c r="A433" t="s">
        <v>5220</v>
      </c>
      <c r="B433" s="99" t="s">
        <v>7227</v>
      </c>
      <c r="C433" s="532"/>
      <c r="D433"/>
    </row>
    <row r="434" spans="1:15" ht="14.4" x14ac:dyDescent="0.3">
      <c r="A434" t="s">
        <v>5220</v>
      </c>
      <c r="B434" s="99" t="s">
        <v>7228</v>
      </c>
      <c r="C434" s="532"/>
      <c r="D434"/>
    </row>
    <row r="435" spans="1:15" ht="14.4" x14ac:dyDescent="0.3">
      <c r="A435" t="s">
        <v>5220</v>
      </c>
      <c r="B435" s="99" t="s">
        <v>1313</v>
      </c>
      <c r="C435" s="532"/>
      <c r="D435"/>
    </row>
    <row r="436" spans="1:15" ht="14.4" x14ac:dyDescent="0.3">
      <c r="A436" t="s">
        <v>5220</v>
      </c>
      <c r="B436" s="99" t="s">
        <v>7229</v>
      </c>
      <c r="C436" s="532">
        <f>UDV.econ_energy.carbon_credits*C391</f>
        <v>0</v>
      </c>
      <c r="D436"/>
    </row>
    <row r="437" spans="1:15" ht="14.4" x14ac:dyDescent="0.3">
      <c r="A437" t="s">
        <v>5220</v>
      </c>
      <c r="B437" s="99" t="s">
        <v>7231</v>
      </c>
      <c r="C437" s="532">
        <f>UDV.econ_energy.carbon_credits*C392</f>
        <v>0</v>
      </c>
      <c r="D437"/>
      <c r="E437"/>
      <c r="F437"/>
      <c r="G437"/>
      <c r="H437"/>
      <c r="K437"/>
      <c r="L437"/>
    </row>
    <row r="438" spans="1:15" ht="14.4" x14ac:dyDescent="0.3">
      <c r="B438" s="99"/>
      <c r="C438" s="532"/>
      <c r="D438"/>
      <c r="E438"/>
      <c r="F438"/>
      <c r="G438"/>
      <c r="H438"/>
      <c r="K438"/>
      <c r="L438"/>
    </row>
    <row r="439" spans="1:15" ht="14.4" x14ac:dyDescent="0.3">
      <c r="A439" t="s">
        <v>5220</v>
      </c>
      <c r="B439" s="99" t="s">
        <v>7232</v>
      </c>
      <c r="C439" s="532">
        <f>SUM(C433:C436)</f>
        <v>0</v>
      </c>
      <c r="D439"/>
      <c r="E439"/>
      <c r="F439"/>
      <c r="G439"/>
      <c r="H439"/>
      <c r="K439"/>
      <c r="L439"/>
    </row>
    <row r="440" spans="1:15" ht="14.4" x14ac:dyDescent="0.3">
      <c r="A440" t="s">
        <v>5220</v>
      </c>
      <c r="B440" s="149" t="s">
        <v>7234</v>
      </c>
      <c r="C440" s="534">
        <f>SUM(C433:C435,C437)</f>
        <v>0</v>
      </c>
      <c r="D440" s="150"/>
      <c r="E440" s="150"/>
      <c r="F440" s="150"/>
      <c r="G440" s="150"/>
      <c r="H440" s="150"/>
      <c r="I440" s="150"/>
      <c r="J440" s="150"/>
      <c r="K440" s="150"/>
      <c r="L440" s="150"/>
      <c r="M440" s="150"/>
      <c r="N440" s="150"/>
      <c r="O440" s="150"/>
    </row>
    <row r="441" spans="1:15" ht="15" thickBot="1" x14ac:dyDescent="0.35">
      <c r="A441" s="137"/>
      <c r="B441" s="137"/>
      <c r="C441" s="137"/>
      <c r="D441" s="137"/>
      <c r="E441" s="137"/>
      <c r="F441" s="137"/>
      <c r="G441" s="137"/>
      <c r="H441" s="137"/>
      <c r="I441" s="137"/>
      <c r="J441" s="137"/>
      <c r="K441" s="137"/>
      <c r="L441" s="137"/>
      <c r="M441" s="137"/>
      <c r="N441" s="137"/>
      <c r="O441" s="137"/>
    </row>
    <row r="442" spans="1:15" ht="14.4" x14ac:dyDescent="0.3">
      <c r="D442"/>
      <c r="E442"/>
      <c r="F442"/>
      <c r="G442"/>
      <c r="H442"/>
      <c r="K442"/>
      <c r="L442"/>
    </row>
    <row r="443" spans="1:15" ht="18" x14ac:dyDescent="0.35">
      <c r="B443" s="138" t="s">
        <v>5210</v>
      </c>
      <c r="C443" s="34"/>
      <c r="D443"/>
      <c r="E443"/>
      <c r="F443"/>
      <c r="G443"/>
      <c r="H443" s="355"/>
      <c r="K443"/>
      <c r="L443"/>
    </row>
    <row r="444" spans="1:15" ht="14.4" x14ac:dyDescent="0.3">
      <c r="D444"/>
      <c r="E444"/>
      <c r="F444"/>
      <c r="G444"/>
      <c r="H444"/>
      <c r="K444"/>
      <c r="L444"/>
    </row>
    <row r="445" spans="1:15" ht="14.4" x14ac:dyDescent="0.3">
      <c r="B445" s="139" t="s">
        <v>6942</v>
      </c>
      <c r="C445" s="140"/>
      <c r="D445" s="140"/>
      <c r="E445" s="139"/>
      <c r="F445" s="141"/>
      <c r="G445"/>
      <c r="H445"/>
      <c r="K445"/>
      <c r="L445"/>
    </row>
    <row r="446" spans="1:15" ht="14.4" x14ac:dyDescent="0.3">
      <c r="B446" s="143" t="s">
        <v>2663</v>
      </c>
      <c r="C446" s="144" t="s">
        <v>565</v>
      </c>
      <c r="D446" s="144" t="s">
        <v>6943</v>
      </c>
      <c r="E446" s="143" t="s">
        <v>565</v>
      </c>
      <c r="F446" s="145" t="s">
        <v>6944</v>
      </c>
      <c r="G446"/>
      <c r="H446"/>
      <c r="K446"/>
      <c r="L446"/>
    </row>
    <row r="447" spans="1:15" ht="14.4" x14ac:dyDescent="0.3">
      <c r="B447" s="99" t="s">
        <v>5437</v>
      </c>
      <c r="C447" s="147">
        <f>VLOOKUP(B447,$R:$U,3,FALSE)</f>
        <v>5536.05004954981</v>
      </c>
      <c r="D447" s="146" t="s">
        <v>2478</v>
      </c>
      <c r="E447" s="278">
        <f>CONVERT(C447,"m^3","ft^3")</f>
        <v>195503.7624533319</v>
      </c>
      <c r="F447" s="146" t="s">
        <v>2479</v>
      </c>
      <c r="G447"/>
      <c r="H447"/>
      <c r="K447"/>
      <c r="L447"/>
    </row>
    <row r="448" spans="1:15" ht="14.4" x14ac:dyDescent="0.3">
      <c r="B448" s="149" t="s">
        <v>6343</v>
      </c>
      <c r="C448" s="295">
        <f>VLOOKUP(B448,$R:$U,3,FALSE)</f>
        <v>2664.5817743943217</v>
      </c>
      <c r="D448" s="151" t="s">
        <v>2268</v>
      </c>
      <c r="E448" s="359">
        <f>CONVERT(C448,"m^2","ft^2")</f>
        <v>28681.319517577915</v>
      </c>
      <c r="F448" s="151" t="s">
        <v>2267</v>
      </c>
      <c r="G448"/>
      <c r="H448"/>
      <c r="K448"/>
      <c r="L448"/>
    </row>
    <row r="449" spans="1:15" ht="14.4" x14ac:dyDescent="0.3">
      <c r="D449"/>
      <c r="E449"/>
      <c r="F449"/>
      <c r="G449"/>
      <c r="H449"/>
      <c r="K449"/>
      <c r="L449"/>
    </row>
    <row r="450" spans="1:15" s="369" customFormat="1" ht="43.2" x14ac:dyDescent="0.3">
      <c r="B450" s="370" t="s">
        <v>6946</v>
      </c>
      <c r="C450" s="362" t="s">
        <v>6947</v>
      </c>
      <c r="D450" s="371" t="s">
        <v>6948</v>
      </c>
      <c r="E450" s="362" t="s">
        <v>6949</v>
      </c>
      <c r="F450" s="362" t="s">
        <v>6950</v>
      </c>
      <c r="G450" s="362" t="s">
        <v>6951</v>
      </c>
      <c r="H450" s="362" t="s">
        <v>6952</v>
      </c>
      <c r="I450" s="371" t="s">
        <v>6953</v>
      </c>
      <c r="J450" s="371" t="s">
        <v>6954</v>
      </c>
      <c r="K450" s="362" t="s">
        <v>6955</v>
      </c>
      <c r="L450" s="362" t="s">
        <v>6956</v>
      </c>
      <c r="M450" s="362" t="s">
        <v>6957</v>
      </c>
      <c r="N450" s="362" t="s">
        <v>6958</v>
      </c>
      <c r="O450" s="363" t="s">
        <v>6959</v>
      </c>
    </row>
    <row r="451" spans="1:15" ht="14.4" x14ac:dyDescent="0.3">
      <c r="A451" t="s">
        <v>7093</v>
      </c>
      <c r="B451" s="99" t="s">
        <v>7094</v>
      </c>
      <c r="C451" s="153">
        <f>VLOOKUP("Lagoon constructiona",Econ.Equations!C:E,2,FALSE)*E447^VLOOKUP("Lagoon constructionb",Econ.Equations!$C:$E,2,FALSE)*E447</f>
        <v>57434.110558130211</v>
      </c>
      <c r="D451">
        <f>VLOOKUP("CAPEXLifetimeBuildings and constructionDefault",Econ.inputsTable!$E:$I,2,FALSE)</f>
        <v>20</v>
      </c>
      <c r="E451" t="s">
        <v>2852</v>
      </c>
      <c r="F451" t="s">
        <v>2852</v>
      </c>
      <c r="G451" s="257">
        <f>VLOOKUP("CAPEXAnnual usage on activityItems that are used only on the given activityDefault",Econ.inputsTable!$E:$I,2,FALSE)</f>
        <v>1</v>
      </c>
      <c r="H451" s="503">
        <f>UDV.econ_capital.interest_rate</f>
        <v>5.0999999999999997E-2</v>
      </c>
      <c r="I451" s="155">
        <f>VLOOKUP("CAPEXSalvageBuildings and constructionDefault",Econ.inputsTable!$E:$J,2,FALSE)</f>
        <v>0</v>
      </c>
      <c r="J451" s="156">
        <f>C451*I451</f>
        <v>0</v>
      </c>
      <c r="K451" s="257">
        <f>VLOOKUP("CAPEXFinanced amountNADefault",Econ.inputsTable!$E:$G,2,FALSE)</f>
        <v>1</v>
      </c>
      <c r="L451" s="364">
        <f>H451*K451</f>
        <v>5.0999999999999997E-2</v>
      </c>
      <c r="M451" s="351">
        <f>L451/(1-(1+L451)^-D451)</f>
        <v>8.0924368970045152E-2</v>
      </c>
      <c r="N451" s="153">
        <f>((C451-J451)*M451)+(J451*L451)</f>
        <v>4647.8191542724953</v>
      </c>
      <c r="O451" s="372">
        <f>N451*G451</f>
        <v>4647.8191542724953</v>
      </c>
    </row>
    <row r="452" spans="1:15" ht="14.4" x14ac:dyDescent="0.3">
      <c r="A452" t="s">
        <v>7093</v>
      </c>
      <c r="B452" s="99" t="s">
        <v>7095</v>
      </c>
      <c r="C452" s="373">
        <f>UDV.econ_liner.lagoon_geomembrane*E448</f>
        <v>71703.298793944792</v>
      </c>
      <c r="D452">
        <f>VLOOKUP("CAPEXLifetimeBuildings and constructionDefault",Econ.inputsTable!$E:$I,2,FALSE)</f>
        <v>20</v>
      </c>
      <c r="E452" t="s">
        <v>2852</v>
      </c>
      <c r="F452" t="s">
        <v>2852</v>
      </c>
      <c r="G452" s="257">
        <f>VLOOKUP("CAPEXAnnual usage on activityItems that are used only on the given activityDefault",Econ.inputsTable!E:G,2,FALSE)</f>
        <v>1</v>
      </c>
      <c r="H452" s="503">
        <f>UDV.econ_capital.interest_rate</f>
        <v>5.0999999999999997E-2</v>
      </c>
      <c r="I452" s="155">
        <f>VLOOKUP("CAPEXSalvageBuildings and constructionDefault",Econ.inputsTable!$E:$J,2,FALSE)</f>
        <v>0</v>
      </c>
      <c r="J452" s="156">
        <f>C452*I452</f>
        <v>0</v>
      </c>
      <c r="K452" s="257">
        <f>VLOOKUP("CAPEXFinanced amountNADefault",Econ.inputsTable!$E:$G,2,FALSE)</f>
        <v>1</v>
      </c>
      <c r="L452" s="364">
        <f>H452*K452</f>
        <v>5.0999999999999997E-2</v>
      </c>
      <c r="M452" s="351">
        <f>L452/(1-(1+L452)^-D452)</f>
        <v>8.0924368970045152E-2</v>
      </c>
      <c r="N452" s="153">
        <f>((C452-J452)*M452)+(J452*L452)</f>
        <v>5802.5442079705817</v>
      </c>
      <c r="O452" s="372">
        <f>N452*G452</f>
        <v>5802.5442079705817</v>
      </c>
    </row>
    <row r="453" spans="1:15" ht="13.5" customHeight="1" x14ac:dyDescent="0.3">
      <c r="B453" s="99"/>
      <c r="O453" s="146"/>
    </row>
    <row r="454" spans="1:15" ht="14.4" x14ac:dyDescent="0.3">
      <c r="B454" s="99"/>
      <c r="C454" s="82" t="s">
        <v>6962</v>
      </c>
      <c r="D454" s="82" t="s">
        <v>6963</v>
      </c>
      <c r="E454"/>
      <c r="F454"/>
      <c r="G454"/>
      <c r="H454"/>
      <c r="K454"/>
      <c r="L454"/>
      <c r="O454" s="146"/>
    </row>
    <row r="455" spans="1:15" ht="14.4" x14ac:dyDescent="0.3">
      <c r="A455" t="s">
        <v>5210</v>
      </c>
      <c r="B455" s="99" t="s">
        <v>6964</v>
      </c>
      <c r="C455" s="153">
        <f>SUM(C451:C452)</f>
        <v>129137.409352075</v>
      </c>
      <c r="D455" s="233">
        <f>SUMPRODUCT(C451:C452,G451:G452)</f>
        <v>129137.409352075</v>
      </c>
      <c r="E455"/>
      <c r="F455"/>
      <c r="G455"/>
      <c r="H455"/>
      <c r="K455"/>
      <c r="L455"/>
      <c r="O455" s="146"/>
    </row>
    <row r="456" spans="1:15" ht="14.4" x14ac:dyDescent="0.3">
      <c r="A456" t="s">
        <v>5210</v>
      </c>
      <c r="B456" s="149" t="s">
        <v>6965</v>
      </c>
      <c r="C456" s="159">
        <f>SUM(N451:N452)</f>
        <v>10450.363362243077</v>
      </c>
      <c r="D456" s="159">
        <f>SUMPRODUCT(N451:N452,G451:G452)</f>
        <v>10450.363362243077</v>
      </c>
      <c r="E456" s="150"/>
      <c r="F456" s="150"/>
      <c r="G456" s="150"/>
      <c r="H456" s="150"/>
      <c r="I456" s="150"/>
      <c r="J456" s="150"/>
      <c r="K456" s="150"/>
      <c r="L456" s="150"/>
      <c r="M456" s="150"/>
      <c r="N456" s="150"/>
      <c r="O456" s="151"/>
    </row>
    <row r="457" spans="1:15" ht="14.4" x14ac:dyDescent="0.3">
      <c r="B457" s="262"/>
      <c r="C457" s="142"/>
      <c r="D457" s="142"/>
      <c r="E457" s="142"/>
      <c r="F457" s="142"/>
      <c r="G457" s="142"/>
      <c r="H457" s="142"/>
      <c r="I457" s="142"/>
      <c r="J457" s="142"/>
      <c r="K457" s="142"/>
      <c r="L457" s="142"/>
      <c r="M457" s="142"/>
      <c r="N457" s="142"/>
      <c r="O457" s="141"/>
    </row>
    <row r="458" spans="1:15" ht="43.2" x14ac:dyDescent="0.3">
      <c r="B458" s="160" t="s">
        <v>6966</v>
      </c>
      <c r="C458" s="152" t="s">
        <v>6967</v>
      </c>
      <c r="D458" s="152" t="s">
        <v>6968</v>
      </c>
      <c r="E458" s="152" t="s">
        <v>6969</v>
      </c>
      <c r="F458" s="152" t="s">
        <v>6970</v>
      </c>
      <c r="G458" s="152" t="s">
        <v>6971</v>
      </c>
      <c r="H458" s="152" t="s">
        <v>6972</v>
      </c>
      <c r="I458" s="152" t="s">
        <v>6973</v>
      </c>
      <c r="J458" s="152" t="s">
        <v>6974</v>
      </c>
      <c r="K458" s="152" t="s">
        <v>6975</v>
      </c>
      <c r="L458" s="152" t="s">
        <v>6976</v>
      </c>
      <c r="M458" s="152" t="s">
        <v>6977</v>
      </c>
      <c r="N458" s="152" t="s">
        <v>6978</v>
      </c>
      <c r="O458" s="161" t="s">
        <v>6979</v>
      </c>
    </row>
    <row r="459" spans="1:15" ht="14.4" x14ac:dyDescent="0.3">
      <c r="B459" s="99" t="s">
        <v>5210</v>
      </c>
      <c r="C459" s="236">
        <f>VLOOKUP("OPEXInsuranceEverythingDefault",Econ.inputsTable!$E$1:$J$213,2,FALSE)</f>
        <v>5.0000000000000001E-3</v>
      </c>
      <c r="D459" s="236">
        <f>VLOOKUP("OPEXRepair and maintenanceBuildings and constructionDefault",Econ.inputsTable!$E$1:$J$503,2,FALSE)</f>
        <v>0.01</v>
      </c>
      <c r="E459"/>
      <c r="F459"/>
      <c r="G459"/>
      <c r="H459"/>
      <c r="K459"/>
      <c r="L459"/>
      <c r="O459" s="157">
        <f>(SUM(C459:D459)*SUMPRODUCT(C451:C452,G451:G452))+SUM(E459,G459,I459,J459,L459,N459)</f>
        <v>1937.0611402811251</v>
      </c>
    </row>
    <row r="460" spans="1:15" ht="14.4" x14ac:dyDescent="0.3">
      <c r="A460" t="s">
        <v>5210</v>
      </c>
      <c r="B460" s="162" t="s">
        <v>5203</v>
      </c>
      <c r="C460" s="241"/>
      <c r="D460" s="241"/>
      <c r="E460" s="242">
        <f>SUM(E459)</f>
        <v>0</v>
      </c>
      <c r="F460" s="374">
        <f t="shared" ref="F460:M460" si="4">SUM(F459)</f>
        <v>0</v>
      </c>
      <c r="G460" s="242">
        <f t="shared" si="4"/>
        <v>0</v>
      </c>
      <c r="H460" s="374">
        <f t="shared" si="4"/>
        <v>0</v>
      </c>
      <c r="I460" s="242">
        <f t="shared" si="4"/>
        <v>0</v>
      </c>
      <c r="J460" s="242">
        <f t="shared" si="4"/>
        <v>0</v>
      </c>
      <c r="K460" s="374">
        <f t="shared" si="4"/>
        <v>0</v>
      </c>
      <c r="L460" s="242">
        <f t="shared" si="4"/>
        <v>0</v>
      </c>
      <c r="M460" s="374">
        <f t="shared" si="4"/>
        <v>0</v>
      </c>
      <c r="N460" s="242">
        <f>SUM(N459)</f>
        <v>0</v>
      </c>
      <c r="O460" s="169">
        <f>SUM(O459)</f>
        <v>1937.0611402811251</v>
      </c>
    </row>
    <row r="461" spans="1:15" ht="14.4" x14ac:dyDescent="0.3">
      <c r="B461" s="99"/>
      <c r="C461" s="236"/>
      <c r="D461" s="236"/>
      <c r="E461" s="236"/>
      <c r="F461" s="233"/>
      <c r="G461" s="257"/>
      <c r="H461" s="156"/>
      <c r="I461" s="153"/>
      <c r="K461"/>
      <c r="L461"/>
      <c r="O461" s="146"/>
    </row>
    <row r="462" spans="1:15" ht="14.4" x14ac:dyDescent="0.3">
      <c r="A462" t="s">
        <v>5210</v>
      </c>
      <c r="B462" s="149" t="s">
        <v>6980</v>
      </c>
      <c r="C462" s="159">
        <f>O460</f>
        <v>1937.0611402811251</v>
      </c>
      <c r="D462" s="150"/>
      <c r="E462" s="150"/>
      <c r="F462" s="150"/>
      <c r="G462" s="150"/>
      <c r="H462" s="150"/>
      <c r="I462" s="150"/>
      <c r="J462" s="150"/>
      <c r="K462" s="150"/>
      <c r="L462" s="150"/>
      <c r="M462" s="150"/>
      <c r="N462" s="150"/>
      <c r="O462" s="151"/>
    </row>
    <row r="463" spans="1:15" ht="15" thickBot="1" x14ac:dyDescent="0.35">
      <c r="A463" s="137"/>
      <c r="B463" s="137"/>
      <c r="C463" s="137"/>
      <c r="D463" s="137"/>
      <c r="E463" s="137"/>
      <c r="F463" s="137"/>
      <c r="G463" s="137"/>
      <c r="H463" s="137"/>
      <c r="I463" s="137"/>
      <c r="J463" s="137"/>
      <c r="K463" s="137"/>
      <c r="L463" s="137"/>
      <c r="M463" s="137"/>
      <c r="N463" s="137"/>
      <c r="O463" s="137"/>
    </row>
    <row r="464" spans="1:15" ht="14.4" x14ac:dyDescent="0.3">
      <c r="D464"/>
      <c r="E464"/>
      <c r="F464"/>
      <c r="G464"/>
      <c r="H464"/>
      <c r="K464"/>
      <c r="L464"/>
    </row>
    <row r="465" spans="2:12" ht="18" x14ac:dyDescent="0.35">
      <c r="B465" s="138" t="s">
        <v>2760</v>
      </c>
      <c r="D465"/>
      <c r="E465"/>
      <c r="F465"/>
      <c r="G465"/>
      <c r="H465" s="355"/>
      <c r="K465"/>
      <c r="L465"/>
    </row>
    <row r="466" spans="2:12" ht="14.4" x14ac:dyDescent="0.3">
      <c r="D466"/>
      <c r="E466"/>
      <c r="F466"/>
      <c r="G466"/>
      <c r="H466"/>
      <c r="K466"/>
      <c r="L466"/>
    </row>
    <row r="467" spans="2:12" ht="14.4" x14ac:dyDescent="0.3">
      <c r="B467" s="139" t="s">
        <v>6942</v>
      </c>
      <c r="C467" s="140"/>
      <c r="D467" s="140"/>
      <c r="E467" s="139" t="s">
        <v>6988</v>
      </c>
      <c r="F467" s="141"/>
      <c r="G467"/>
      <c r="H467" s="139" t="s">
        <v>7033</v>
      </c>
      <c r="I467" s="142"/>
      <c r="J467" s="142"/>
      <c r="K467" s="141"/>
      <c r="L467"/>
    </row>
    <row r="468" spans="2:12" ht="14.4" x14ac:dyDescent="0.3">
      <c r="B468" s="143" t="s">
        <v>2663</v>
      </c>
      <c r="C468" s="144" t="s">
        <v>565</v>
      </c>
      <c r="D468" s="144" t="s">
        <v>6943</v>
      </c>
      <c r="E468" s="143" t="s">
        <v>565</v>
      </c>
      <c r="F468" s="145" t="s">
        <v>6944</v>
      </c>
      <c r="G468"/>
      <c r="H468" s="99" t="s">
        <v>7096</v>
      </c>
      <c r="K468" s="146"/>
      <c r="L468"/>
    </row>
    <row r="469" spans="2:12" ht="14.4" x14ac:dyDescent="0.3">
      <c r="B469" s="99" t="s">
        <v>5831</v>
      </c>
      <c r="C469" s="205">
        <f t="shared" ref="C469:C474" si="5">VLOOKUP(B469,$R:$U,3,FALSE)</f>
        <v>3</v>
      </c>
      <c r="D469" t="s">
        <v>7097</v>
      </c>
      <c r="E469" s="99">
        <f>C469</f>
        <v>3</v>
      </c>
      <c r="F469" s="146" t="s">
        <v>7097</v>
      </c>
      <c r="G469"/>
      <c r="H469" s="99" t="s">
        <v>1477</v>
      </c>
      <c r="K469" s="146"/>
      <c r="L469"/>
    </row>
    <row r="470" spans="2:12" ht="14.4" x14ac:dyDescent="0.3">
      <c r="B470" s="99" t="s">
        <v>5832</v>
      </c>
      <c r="C470" s="205">
        <f t="shared" si="5"/>
        <v>9.4633333333333329</v>
      </c>
      <c r="D470" t="s">
        <v>5792</v>
      </c>
      <c r="E470" s="164">
        <f>CONVERT(C470,"m^3","gal")</f>
        <v>2499.9481888159444</v>
      </c>
      <c r="F470" s="146" t="s">
        <v>7098</v>
      </c>
      <c r="G470"/>
      <c r="H470" s="149" t="s">
        <v>7099</v>
      </c>
      <c r="I470" s="150"/>
      <c r="J470" s="150"/>
      <c r="K470" s="151"/>
      <c r="L470"/>
    </row>
    <row r="471" spans="2:12" ht="14.4" x14ac:dyDescent="0.3">
      <c r="B471" s="99" t="s">
        <v>5802</v>
      </c>
      <c r="C471" s="205">
        <f t="shared" si="5"/>
        <v>1</v>
      </c>
      <c r="D471" t="s">
        <v>2442</v>
      </c>
      <c r="E471" s="165">
        <f>C471</f>
        <v>1</v>
      </c>
      <c r="F471" s="146" t="s">
        <v>2442</v>
      </c>
      <c r="G471"/>
      <c r="H471"/>
      <c r="K471"/>
      <c r="L471"/>
    </row>
    <row r="472" spans="2:12" ht="14.4" x14ac:dyDescent="0.3">
      <c r="B472" s="99" t="s">
        <v>5797</v>
      </c>
      <c r="C472" s="205">
        <f t="shared" si="5"/>
        <v>4.9783549783549788</v>
      </c>
      <c r="D472" t="s">
        <v>971</v>
      </c>
      <c r="E472" s="178">
        <f>ROUNDUP(C472,0.1)</f>
        <v>5</v>
      </c>
      <c r="F472" s="146" t="s">
        <v>971</v>
      </c>
      <c r="G472"/>
      <c r="H472"/>
      <c r="K472"/>
      <c r="L472"/>
    </row>
    <row r="473" spans="2:12" ht="14.4" x14ac:dyDescent="0.3">
      <c r="B473" s="99" t="s">
        <v>5804</v>
      </c>
      <c r="C473" s="205">
        <f t="shared" si="5"/>
        <v>0.83331606180888895</v>
      </c>
      <c r="D473" t="s">
        <v>7075</v>
      </c>
      <c r="E473" s="164">
        <f>C473*365</f>
        <v>304.16036256024449</v>
      </c>
      <c r="F473" s="146" t="s">
        <v>2710</v>
      </c>
      <c r="G473"/>
      <c r="H473"/>
      <c r="K473"/>
      <c r="L473"/>
    </row>
    <row r="474" spans="2:12" ht="14.4" x14ac:dyDescent="0.3">
      <c r="B474" s="99" t="s">
        <v>5808</v>
      </c>
      <c r="C474" s="205">
        <f t="shared" si="5"/>
        <v>3.0935680987176215</v>
      </c>
      <c r="D474" t="s">
        <v>6704</v>
      </c>
      <c r="E474" s="356">
        <f>C474*365</f>
        <v>1129.152356031932</v>
      </c>
      <c r="F474" s="146" t="s">
        <v>5323</v>
      </c>
      <c r="G474"/>
      <c r="H474"/>
      <c r="K474"/>
      <c r="L474"/>
    </row>
    <row r="475" spans="2:12" ht="14.4" x14ac:dyDescent="0.3">
      <c r="B475" s="99"/>
      <c r="D475"/>
      <c r="E475" s="99"/>
      <c r="F475" s="146"/>
      <c r="G475"/>
      <c r="H475"/>
      <c r="K475"/>
      <c r="L475"/>
    </row>
    <row r="476" spans="2:12" ht="14.4" x14ac:dyDescent="0.3">
      <c r="B476" s="92" t="s">
        <v>6996</v>
      </c>
      <c r="D476"/>
      <c r="E476" s="99"/>
      <c r="F476" s="146"/>
      <c r="G476"/>
      <c r="H476"/>
      <c r="K476"/>
      <c r="L476"/>
    </row>
    <row r="477" spans="2:12" ht="14.4" x14ac:dyDescent="0.3">
      <c r="B477" s="143" t="s">
        <v>2663</v>
      </c>
      <c r="D477"/>
      <c r="E477" s="143" t="s">
        <v>565</v>
      </c>
      <c r="F477" s="145" t="s">
        <v>6944</v>
      </c>
      <c r="G477"/>
      <c r="H477"/>
      <c r="K477"/>
      <c r="L477"/>
    </row>
    <row r="478" spans="2:12" ht="14.4" x14ac:dyDescent="0.3">
      <c r="B478" s="99" t="s">
        <v>7076</v>
      </c>
      <c r="D478"/>
      <c r="E478" s="357">
        <f>UDV.electricity.avg_cost</f>
        <v>6.8591666666666662E-2</v>
      </c>
      <c r="F478" s="146" t="s">
        <v>2306</v>
      </c>
      <c r="G478"/>
      <c r="H478"/>
      <c r="K478"/>
      <c r="L478"/>
    </row>
    <row r="479" spans="2:12" ht="14.4" x14ac:dyDescent="0.3">
      <c r="B479" s="99" t="s">
        <v>7100</v>
      </c>
      <c r="D479"/>
      <c r="E479" s="358">
        <f>UDV.water.avg_cost/1000</f>
        <v>3.858144828221536E-3</v>
      </c>
      <c r="F479" s="146" t="s">
        <v>2315</v>
      </c>
      <c r="G479"/>
      <c r="H479"/>
      <c r="K479"/>
      <c r="L479"/>
    </row>
    <row r="480" spans="2:12" ht="14.4" x14ac:dyDescent="0.3">
      <c r="B480" s="99" t="s">
        <v>5960</v>
      </c>
      <c r="C480" s="278"/>
      <c r="D480"/>
      <c r="E480" s="164">
        <f>E469*E470*365</f>
        <v>2737443.2667534589</v>
      </c>
      <c r="F480" s="146" t="s">
        <v>5324</v>
      </c>
      <c r="G480"/>
      <c r="H480"/>
      <c r="K480"/>
      <c r="L480"/>
    </row>
    <row r="481" spans="1:15" ht="14.4" x14ac:dyDescent="0.3">
      <c r="B481" s="99" t="s">
        <v>5819</v>
      </c>
      <c r="C481" s="205">
        <f>VLOOKUP(B481,$R:$U,3,FALSE)</f>
        <v>600</v>
      </c>
      <c r="D481" t="s">
        <v>2340</v>
      </c>
      <c r="E481" s="2101"/>
      <c r="F481" s="2089"/>
      <c r="G481"/>
      <c r="H481"/>
      <c r="K481"/>
      <c r="L481"/>
    </row>
    <row r="482" spans="1:15" ht="14.4" x14ac:dyDescent="0.3">
      <c r="B482" s="99" t="s">
        <v>5820</v>
      </c>
      <c r="C482" s="205">
        <f>VLOOKUP(B482,$R:$U,3,FALSE)</f>
        <v>200</v>
      </c>
      <c r="D482" t="s">
        <v>2340</v>
      </c>
      <c r="E482" s="164"/>
      <c r="F482" s="146"/>
      <c r="G482"/>
      <c r="H482"/>
      <c r="K482"/>
      <c r="L482"/>
    </row>
    <row r="483" spans="1:15" ht="14.4" x14ac:dyDescent="0.3">
      <c r="B483" s="149" t="s">
        <v>7101</v>
      </c>
      <c r="C483" s="209"/>
      <c r="D483" s="150"/>
      <c r="E483" s="360">
        <f>SUM(C481:C482)</f>
        <v>800</v>
      </c>
      <c r="F483" s="151" t="s">
        <v>2340</v>
      </c>
      <c r="G483"/>
      <c r="H483"/>
      <c r="K483"/>
      <c r="L483"/>
    </row>
    <row r="484" spans="1:15" ht="14.4" x14ac:dyDescent="0.3">
      <c r="B484" s="90"/>
      <c r="C484" s="82"/>
      <c r="D484"/>
      <c r="E484"/>
      <c r="F484"/>
      <c r="G484"/>
      <c r="H484" s="152"/>
      <c r="I484" s="152"/>
      <c r="K484"/>
      <c r="L484"/>
      <c r="O484" s="152"/>
    </row>
    <row r="485" spans="1:15" ht="43.2" x14ac:dyDescent="0.3">
      <c r="B485" s="361" t="s">
        <v>6946</v>
      </c>
      <c r="C485" s="362" t="s">
        <v>6947</v>
      </c>
      <c r="D485" s="362" t="s">
        <v>6948</v>
      </c>
      <c r="E485" s="362" t="s">
        <v>6949</v>
      </c>
      <c r="F485" s="362" t="s">
        <v>6950</v>
      </c>
      <c r="G485" s="362" t="s">
        <v>6951</v>
      </c>
      <c r="H485" s="362" t="s">
        <v>6952</v>
      </c>
      <c r="I485" s="362" t="s">
        <v>6953</v>
      </c>
      <c r="J485" s="362" t="s">
        <v>6954</v>
      </c>
      <c r="K485" s="362" t="s">
        <v>6955</v>
      </c>
      <c r="L485" s="362" t="s">
        <v>6956</v>
      </c>
      <c r="M485" s="140" t="s">
        <v>6957</v>
      </c>
      <c r="N485" s="140" t="s">
        <v>6958</v>
      </c>
      <c r="O485" s="363" t="s">
        <v>6959</v>
      </c>
    </row>
    <row r="486" spans="1:15" ht="14.4" x14ac:dyDescent="0.3">
      <c r="B486" s="99" t="s">
        <v>7102</v>
      </c>
      <c r="C486" s="153">
        <f>VLOOKUP("Underground 12 in pipe for flushDefault",Econ.Tables!$C:$E,2,FALSE)*E483</f>
        <v>25600</v>
      </c>
      <c r="D486">
        <f>VLOOKUP("CAPEXLifetimeBuildings and constructionDefault",Econ.inputsTable!$E:$H,2,FALSE)</f>
        <v>20</v>
      </c>
      <c r="E486" t="s">
        <v>2852</v>
      </c>
      <c r="F486" t="s">
        <v>2852</v>
      </c>
      <c r="G486" s="257">
        <f>VLOOKUP("CAPEXAnnual usage on activityItems that are used only on the given activityDefault",Econ.inputsTable!$E:$I,2,FALSE)</f>
        <v>1</v>
      </c>
      <c r="H486" s="503">
        <f>UDV.econ_capital.interest_rate</f>
        <v>5.0999999999999997E-2</v>
      </c>
      <c r="I486" s="154">
        <f>VLOOKUP("CAPEXSalvageBuildings and constructionDefault",Econ.inputsTable!$E:$H,2,FALSE)</f>
        <v>0</v>
      </c>
      <c r="J486" s="153">
        <f>C486*I486</f>
        <v>0</v>
      </c>
      <c r="K486" s="257">
        <f>VLOOKUP("CAPEXFinanced amountNADefault",Econ.inputsTable!$E:$I,2,FALSE)</f>
        <v>1</v>
      </c>
      <c r="L486" s="364">
        <f>H486*K486</f>
        <v>5.0999999999999997E-2</v>
      </c>
      <c r="M486" s="351">
        <f>L486/(1-(1+L486)^-D486)</f>
        <v>8.0924368970045152E-2</v>
      </c>
      <c r="N486" s="153">
        <f>((C486-J486)*M486)+(J486*L486)</f>
        <v>2071.6638456331557</v>
      </c>
      <c r="O486" s="157">
        <f>G486*N486</f>
        <v>2071.6638456331557</v>
      </c>
    </row>
    <row r="487" spans="1:15" ht="14.4" x14ac:dyDescent="0.3">
      <c r="B487" s="99" t="s">
        <v>7103</v>
      </c>
      <c r="C487" s="153">
        <f>VLOOKUP("Pump, non-pto flushDefault",Econ.Tables!$C:$E,2,FALSE)*E471</f>
        <v>10800</v>
      </c>
      <c r="D487">
        <f>VLOOKUP("CAPEXLifetimePump, non-ptoDefault",Econ.inputsTable!$E:$I,2,FALSE)</f>
        <v>17</v>
      </c>
      <c r="E487" t="s">
        <v>2852</v>
      </c>
      <c r="F487" s="166">
        <f>E473*E471</f>
        <v>304.16036256024449</v>
      </c>
      <c r="G487" s="257">
        <f>VLOOKUP("CAPEXAnnual usage on activityItems that are used only on the given activityDefault",Econ.inputsTable!$E:$I,2,FALSE)</f>
        <v>1</v>
      </c>
      <c r="H487" s="503">
        <f>UDV.econ_capital.interest_rate</f>
        <v>5.0999999999999997E-2</v>
      </c>
      <c r="I487" s="257">
        <f>VLOOKUP("CAPEXSalvageEquipmentDefault",Econ.inputsTable!$E:$I,2,FALSE)</f>
        <v>0.2</v>
      </c>
      <c r="J487" s="153">
        <f>C487*I487</f>
        <v>2160</v>
      </c>
      <c r="K487" s="257">
        <f>VLOOKUP("CAPEXFinanced amountNADefault",Econ.inputsTable!$E:$I,2,FALSE)</f>
        <v>1</v>
      </c>
      <c r="L487" s="364">
        <f>H487*K487</f>
        <v>5.0999999999999997E-2</v>
      </c>
      <c r="M487" s="351">
        <f>L487/(1-(1+L487)^-D487)</f>
        <v>8.9362846108502439E-2</v>
      </c>
      <c r="N487" s="153">
        <f>((C487-J487)*M487)+(J487*L487)</f>
        <v>882.25499037746101</v>
      </c>
      <c r="O487" s="157">
        <f>G487*N487</f>
        <v>882.25499037746101</v>
      </c>
    </row>
    <row r="488" spans="1:15" ht="14.4" x14ac:dyDescent="0.3">
      <c r="B488" s="99" t="s">
        <v>7099</v>
      </c>
      <c r="C488" s="153">
        <f>VLOOKUP(_xlfn.CONCAT("Motor, ", E472, " hpDefault"), Econ.Tables!C:E, 2, FALSE)*E471</f>
        <v>850</v>
      </c>
      <c r="D488">
        <f>VLOOKUP("CAPEXLifetimeMotorDefault",Econ.inputsTable!$E:$I,2,FALSE)</f>
        <v>20</v>
      </c>
      <c r="E488" t="s">
        <v>2852</v>
      </c>
      <c r="F488" s="166">
        <f>E473*E471</f>
        <v>304.16036256024449</v>
      </c>
      <c r="G488" s="257">
        <f>VLOOKUP("CAPEXAnnual usage on activityItems that are used only on the given activityDefault",Econ.inputsTable!$E:$I,2,FALSE)</f>
        <v>1</v>
      </c>
      <c r="H488" s="503">
        <f>UDV.econ_capital.interest_rate</f>
        <v>5.0999999999999997E-2</v>
      </c>
      <c r="I488" s="257">
        <f>VLOOKUP("CAPEXSalvageEquipmentDefault",Econ.inputsTable!$E:$I,2,FALSE)</f>
        <v>0.2</v>
      </c>
      <c r="J488" s="153">
        <f>C488*I488</f>
        <v>170</v>
      </c>
      <c r="K488" s="257">
        <f>VLOOKUP("CAPEXFinanced amountNADefault",Econ.inputsTable!$E:$I,2,FALSE)</f>
        <v>1</v>
      </c>
      <c r="L488" s="364">
        <f>H488*K488</f>
        <v>5.0999999999999997E-2</v>
      </c>
      <c r="M488" s="351">
        <f>L488/(1-(1+L488)^-D488)</f>
        <v>8.0924368970045152E-2</v>
      </c>
      <c r="N488" s="153">
        <f>((C488-J488)*M488)+(J488*L488)</f>
        <v>63.698570899630703</v>
      </c>
      <c r="O488" s="157">
        <f>G488*N488</f>
        <v>63.698570899630703</v>
      </c>
    </row>
    <row r="489" spans="1:15" ht="14.4" x14ac:dyDescent="0.3">
      <c r="B489" s="99"/>
      <c r="C489" s="153"/>
      <c r="D489"/>
      <c r="E489"/>
      <c r="F489" s="166"/>
      <c r="G489" s="257"/>
      <c r="H489" s="256"/>
      <c r="I489" s="257"/>
      <c r="J489" s="153"/>
      <c r="K489" s="153"/>
      <c r="L489" s="257"/>
      <c r="M489" s="364"/>
      <c r="N489" s="351"/>
      <c r="O489" s="157"/>
    </row>
    <row r="490" spans="1:15" ht="14.4" x14ac:dyDescent="0.3">
      <c r="B490" s="99"/>
      <c r="C490" s="82" t="s">
        <v>7009</v>
      </c>
      <c r="D490" s="82" t="s">
        <v>6963</v>
      </c>
      <c r="E490"/>
      <c r="F490"/>
      <c r="G490"/>
      <c r="H490"/>
      <c r="K490"/>
      <c r="L490"/>
      <c r="O490" s="146"/>
    </row>
    <row r="491" spans="1:15" ht="14.4" x14ac:dyDescent="0.3">
      <c r="A491" t="s">
        <v>5211</v>
      </c>
      <c r="B491" s="99" t="s">
        <v>6964</v>
      </c>
      <c r="C491" s="153">
        <f>SUM(C486:C488)</f>
        <v>37250</v>
      </c>
      <c r="D491" s="153">
        <f>SUMPRODUCT(C486:C488,G486:G488)</f>
        <v>37250</v>
      </c>
      <c r="E491"/>
      <c r="F491"/>
      <c r="G491"/>
      <c r="H491"/>
      <c r="K491"/>
      <c r="L491"/>
      <c r="O491" s="146"/>
    </row>
    <row r="492" spans="1:15" ht="14.4" x14ac:dyDescent="0.3">
      <c r="A492" t="s">
        <v>5211</v>
      </c>
      <c r="B492" s="149" t="s">
        <v>6965</v>
      </c>
      <c r="C492" s="159">
        <f>SUM(N486:N488)</f>
        <v>3017.6174069102476</v>
      </c>
      <c r="D492" s="159">
        <f>SUMPRODUCT(N486:N488,G486:G488)</f>
        <v>3017.6174069102476</v>
      </c>
      <c r="E492" s="150"/>
      <c r="F492" s="150"/>
      <c r="G492" s="150"/>
      <c r="H492" s="150"/>
      <c r="I492" s="150"/>
      <c r="J492" s="150"/>
      <c r="K492" s="150"/>
      <c r="L492" s="150"/>
      <c r="M492" s="150"/>
      <c r="N492" s="150"/>
      <c r="O492" s="151"/>
    </row>
    <row r="493" spans="1:15" ht="14.4" x14ac:dyDescent="0.3">
      <c r="B493" s="99"/>
      <c r="C493" s="153"/>
      <c r="D493" s="153"/>
      <c r="E493"/>
      <c r="F493"/>
      <c r="G493"/>
      <c r="H493"/>
      <c r="K493"/>
      <c r="L493"/>
      <c r="O493" s="146"/>
    </row>
    <row r="494" spans="1:15" ht="43.2" x14ac:dyDescent="0.3">
      <c r="B494" s="160" t="s">
        <v>6966</v>
      </c>
      <c r="C494" s="152" t="s">
        <v>6967</v>
      </c>
      <c r="D494" s="152" t="s">
        <v>6968</v>
      </c>
      <c r="E494" s="152" t="s">
        <v>6969</v>
      </c>
      <c r="F494" s="152" t="s">
        <v>6970</v>
      </c>
      <c r="G494" s="152" t="s">
        <v>6971</v>
      </c>
      <c r="H494" s="152" t="s">
        <v>6972</v>
      </c>
      <c r="I494" s="152" t="s">
        <v>6973</v>
      </c>
      <c r="J494" s="152" t="s">
        <v>6974</v>
      </c>
      <c r="K494" s="152" t="s">
        <v>6975</v>
      </c>
      <c r="L494" s="152" t="s">
        <v>6976</v>
      </c>
      <c r="M494" s="152" t="s">
        <v>6977</v>
      </c>
      <c r="N494" s="152" t="s">
        <v>6978</v>
      </c>
      <c r="O494" s="161" t="s">
        <v>6979</v>
      </c>
    </row>
    <row r="495" spans="1:15" ht="14.4" x14ac:dyDescent="0.3">
      <c r="B495" s="99" t="s">
        <v>7102</v>
      </c>
      <c r="C495" s="236">
        <f>VLOOKUP("OPEXInsuranceEverythingDefault",Econ.inputsTable!$E:$I,2,FALSE)</f>
        <v>5.0000000000000001E-3</v>
      </c>
      <c r="D495" s="236">
        <f>VLOOKUP("OPEXRepair and maintenanceBuildings and constructionDefault",Econ.inputsTable!$E:$I,2,FALSE)</f>
        <v>0.01</v>
      </c>
      <c r="E495"/>
      <c r="F495" s="365"/>
      <c r="G495" s="365"/>
      <c r="H495"/>
      <c r="I495" s="365"/>
      <c r="J495" s="365"/>
      <c r="K495"/>
      <c r="L495"/>
      <c r="O495" s="167">
        <f>(SUM(C495:D495)*C486*G486)+SUM(E495,G495,I495,J495,L495,N495)</f>
        <v>384</v>
      </c>
    </row>
    <row r="496" spans="1:15" ht="14.4" x14ac:dyDescent="0.3">
      <c r="B496" s="99" t="s">
        <v>7103</v>
      </c>
      <c r="C496" s="236">
        <f>VLOOKUP("OPEXInsuranceEverythingDefault",Econ.inputsTable!$E:$I,2,FALSE)</f>
        <v>5.0000000000000001E-3</v>
      </c>
      <c r="D496" s="236">
        <f>VLOOKUP("OPEXRepair and maintenancePump, non-ptoDefault",Econ.inputsTable!$E:$I,2,FALSE)</f>
        <v>0.05</v>
      </c>
      <c r="E496"/>
      <c r="F496" s="365"/>
      <c r="G496" s="365"/>
      <c r="H496"/>
      <c r="I496" s="365"/>
      <c r="J496" s="365"/>
      <c r="K496"/>
      <c r="L496"/>
      <c r="O496" s="167">
        <f>(SUM(C496:D496)*C487*G487)+SUM(E496,G496,I496,J496,L496,N496)</f>
        <v>594</v>
      </c>
    </row>
    <row r="497" spans="1:23" ht="14.4" x14ac:dyDescent="0.3">
      <c r="B497" s="99" t="s">
        <v>7099</v>
      </c>
      <c r="C497" s="236">
        <f>VLOOKUP("OPEXInsuranceEverythingDefault",Econ.inputsTable!$E:$I,2,FALSE)</f>
        <v>5.0000000000000001E-3</v>
      </c>
      <c r="D497" s="236">
        <f>VLOOKUP("OPEXRepair and maintenanceEquipmentDefault",Econ.inputsTable!$E:$I,2,FALSE)</f>
        <v>0.03</v>
      </c>
      <c r="E497"/>
      <c r="F497" s="166">
        <f>E474</f>
        <v>1129.152356031932</v>
      </c>
      <c r="G497" s="233">
        <f>F497*E478</f>
        <v>77.450442020823601</v>
      </c>
      <c r="H497"/>
      <c r="I497" s="365"/>
      <c r="J497" s="365"/>
      <c r="K497"/>
      <c r="L497"/>
      <c r="O497" s="167">
        <f>(SUM(C497:D497)*C488*G488)+SUM(E497,G497,I497,J497,L497,N497)</f>
        <v>107.2004420208236</v>
      </c>
    </row>
    <row r="498" spans="1:23" ht="14.4" x14ac:dyDescent="0.3">
      <c r="A498" t="s">
        <v>5211</v>
      </c>
      <c r="B498" s="162" t="s">
        <v>5203</v>
      </c>
      <c r="C498" s="366"/>
      <c r="D498" s="366"/>
      <c r="E498" s="367">
        <f>SUM(E495:E497)</f>
        <v>0</v>
      </c>
      <c r="F498" s="168">
        <f t="shared" ref="F498:O498" si="6">SUM(F495:F497)</f>
        <v>1129.152356031932</v>
      </c>
      <c r="G498" s="367">
        <f t="shared" si="6"/>
        <v>77.450442020823601</v>
      </c>
      <c r="H498" s="163">
        <f t="shared" si="6"/>
        <v>0</v>
      </c>
      <c r="I498" s="367">
        <f t="shared" si="6"/>
        <v>0</v>
      </c>
      <c r="J498" s="367">
        <f t="shared" si="6"/>
        <v>0</v>
      </c>
      <c r="K498" s="163">
        <f t="shared" si="6"/>
        <v>0</v>
      </c>
      <c r="L498" s="367">
        <f t="shared" si="6"/>
        <v>0</v>
      </c>
      <c r="M498" s="163">
        <f t="shared" si="6"/>
        <v>0</v>
      </c>
      <c r="N498" s="367">
        <f t="shared" si="6"/>
        <v>0</v>
      </c>
      <c r="O498" s="169">
        <f t="shared" si="6"/>
        <v>1085.2004420208236</v>
      </c>
    </row>
    <row r="499" spans="1:23" ht="14.4" x14ac:dyDescent="0.3">
      <c r="B499" s="99"/>
      <c r="D499"/>
      <c r="E499"/>
      <c r="F499"/>
      <c r="G499"/>
      <c r="H499"/>
      <c r="K499"/>
      <c r="L499"/>
      <c r="O499" s="146"/>
    </row>
    <row r="500" spans="1:23" ht="14.4" x14ac:dyDescent="0.3">
      <c r="A500" t="s">
        <v>5211</v>
      </c>
      <c r="B500" s="149" t="s">
        <v>6980</v>
      </c>
      <c r="C500" s="159">
        <f>O498</f>
        <v>1085.2004420208236</v>
      </c>
      <c r="D500" s="150"/>
      <c r="E500" s="150"/>
      <c r="F500" s="150"/>
      <c r="G500" s="150"/>
      <c r="H500" s="150"/>
      <c r="I500" s="150"/>
      <c r="J500" s="150"/>
      <c r="K500" s="150"/>
      <c r="L500" s="150"/>
      <c r="M500" s="150"/>
      <c r="N500" s="150"/>
      <c r="O500" s="151"/>
    </row>
    <row r="501" spans="1:23" ht="14.4" x14ac:dyDescent="0.3">
      <c r="B501" s="99"/>
      <c r="C501" s="153"/>
      <c r="D501"/>
      <c r="E501"/>
      <c r="F501"/>
      <c r="G501"/>
      <c r="H501"/>
      <c r="K501"/>
      <c r="L501"/>
      <c r="O501" s="146"/>
    </row>
    <row r="502" spans="1:23" ht="14.4" x14ac:dyDescent="0.3">
      <c r="B502" s="368" t="s">
        <v>7104</v>
      </c>
      <c r="C502" s="82" t="s">
        <v>7105</v>
      </c>
      <c r="D502"/>
      <c r="E502"/>
      <c r="F502"/>
      <c r="G502"/>
      <c r="H502"/>
      <c r="K502"/>
      <c r="L502"/>
      <c r="O502" s="146"/>
    </row>
    <row r="503" spans="1:23" ht="14.4" x14ac:dyDescent="0.3">
      <c r="B503" s="99" t="s">
        <v>7106</v>
      </c>
      <c r="C503" s="153">
        <f>E480*E479</f>
        <v>10561.452582174725</v>
      </c>
      <c r="D503"/>
      <c r="E503"/>
      <c r="F503"/>
      <c r="G503"/>
      <c r="H503"/>
      <c r="K503"/>
      <c r="L503"/>
      <c r="O503" s="146"/>
      <c r="P503"/>
    </row>
    <row r="504" spans="1:23" ht="14.4" x14ac:dyDescent="0.3">
      <c r="B504" s="99"/>
      <c r="D504"/>
      <c r="E504"/>
      <c r="F504"/>
      <c r="G504"/>
      <c r="H504"/>
      <c r="K504"/>
      <c r="L504"/>
      <c r="O504" s="146"/>
      <c r="P504"/>
    </row>
    <row r="505" spans="1:23" ht="14.4" x14ac:dyDescent="0.3">
      <c r="A505" t="s">
        <v>5211</v>
      </c>
      <c r="B505" s="149" t="s">
        <v>7107</v>
      </c>
      <c r="C505" s="159">
        <f>SUM(C503)</f>
        <v>10561.452582174725</v>
      </c>
      <c r="D505" s="150"/>
      <c r="E505" s="150"/>
      <c r="F505" s="150"/>
      <c r="G505" s="150"/>
      <c r="H505" s="150"/>
      <c r="I505" s="150"/>
      <c r="J505" s="150"/>
      <c r="K505" s="150"/>
      <c r="L505" s="150"/>
      <c r="M505" s="150"/>
      <c r="N505" s="150"/>
      <c r="O505" s="151"/>
      <c r="P505"/>
    </row>
    <row r="506" spans="1:23" ht="15" thickBot="1" x14ac:dyDescent="0.35">
      <c r="A506" s="137"/>
      <c r="B506" s="137"/>
      <c r="C506" s="137"/>
      <c r="D506" s="137"/>
      <c r="E506" s="137"/>
      <c r="F506" s="137"/>
      <c r="G506" s="137"/>
      <c r="H506" s="137"/>
      <c r="I506" s="137"/>
      <c r="J506" s="137"/>
      <c r="K506" s="137"/>
      <c r="L506" s="137"/>
      <c r="M506" s="137"/>
      <c r="N506" s="137"/>
      <c r="O506" s="137"/>
      <c r="P506" s="137"/>
      <c r="Q506" s="137"/>
    </row>
    <row r="507" spans="1:23" ht="14.4" x14ac:dyDescent="0.3">
      <c r="D507"/>
      <c r="E507"/>
      <c r="F507"/>
      <c r="G507"/>
      <c r="H507"/>
      <c r="K507"/>
      <c r="L507"/>
      <c r="P507"/>
    </row>
    <row r="508" spans="1:23" ht="14.4" x14ac:dyDescent="0.3">
      <c r="B508" s="82" t="s">
        <v>7235</v>
      </c>
      <c r="C508" s="170" t="s">
        <v>7236</v>
      </c>
      <c r="D508"/>
      <c r="E508"/>
      <c r="F508"/>
      <c r="G508"/>
      <c r="H508"/>
      <c r="K508"/>
      <c r="L508"/>
      <c r="P508"/>
      <c r="U508"/>
      <c r="W508"/>
    </row>
    <row r="509" spans="1:23" ht="15.6" x14ac:dyDescent="0.3">
      <c r="B509" s="138"/>
      <c r="D509"/>
      <c r="E509"/>
      <c r="F509"/>
      <c r="G509"/>
      <c r="H509"/>
      <c r="K509"/>
      <c r="L509"/>
      <c r="P509"/>
      <c r="U509"/>
      <c r="W509"/>
    </row>
    <row r="510" spans="1:23" ht="14.4" x14ac:dyDescent="0.3">
      <c r="B510" s="139" t="s">
        <v>6983</v>
      </c>
      <c r="C510" s="140" t="s">
        <v>565</v>
      </c>
      <c r="D510" s="140" t="s">
        <v>38</v>
      </c>
      <c r="E510" s="142"/>
      <c r="F510" s="141"/>
      <c r="G510"/>
      <c r="H510"/>
      <c r="K510"/>
      <c r="L510"/>
      <c r="P510"/>
      <c r="U510"/>
      <c r="W510"/>
    </row>
    <row r="511" spans="1:23" ht="14.4" x14ac:dyDescent="0.3">
      <c r="A511" s="292"/>
      <c r="B511" s="99" t="s">
        <v>6984</v>
      </c>
      <c r="C511">
        <f>UDV.crops.acres_available</f>
        <v>100</v>
      </c>
      <c r="D511" t="s">
        <v>5385</v>
      </c>
      <c r="E511" s="34"/>
      <c r="F511" s="146"/>
      <c r="G511"/>
      <c r="H511"/>
      <c r="K511"/>
      <c r="L511"/>
      <c r="P511"/>
      <c r="U511"/>
      <c r="W511"/>
    </row>
    <row r="512" spans="1:23" ht="14.4" x14ac:dyDescent="0.3">
      <c r="B512" s="99" t="s">
        <v>7109</v>
      </c>
      <c r="C512" s="166">
        <f>UDV.econ_manure.liquid_sell_pct*VLOOKUP("Excess volume, lagoon liquid manure",$R$1:$T$332, 3, FALSE)</f>
        <v>0</v>
      </c>
      <c r="D512" t="s">
        <v>5246</v>
      </c>
      <c r="E512"/>
      <c r="F512" s="146"/>
      <c r="G512"/>
      <c r="H512"/>
      <c r="K512"/>
      <c r="L512"/>
      <c r="P512"/>
      <c r="U512"/>
      <c r="W512"/>
    </row>
    <row r="513" spans="2:23" ht="14.4" x14ac:dyDescent="0.3">
      <c r="B513" s="99" t="s">
        <v>7110</v>
      </c>
      <c r="C513" s="166">
        <f>UDV.econ_manure.liquid_give_pct*VLOOKUP("Excess volume, lagoon liquid manure",$R$1:$T$332, 3, FALSE)</f>
        <v>0</v>
      </c>
      <c r="D513" t="s">
        <v>5246</v>
      </c>
      <c r="E513"/>
      <c r="F513" s="146"/>
      <c r="G513"/>
      <c r="H513"/>
      <c r="K513"/>
      <c r="L513"/>
      <c r="P513"/>
      <c r="U513"/>
      <c r="W513"/>
    </row>
    <row r="514" spans="2:23" ht="14.4" x14ac:dyDescent="0.3">
      <c r="B514" s="99" t="s">
        <v>7111</v>
      </c>
      <c r="C514" s="166">
        <f>UDV.econ_manure.liquid_export_pct*VLOOKUP("Excess volume, lagoon liquid manure",$R$1:$T$332, 3, FALSE)</f>
        <v>0</v>
      </c>
      <c r="D514" t="s">
        <v>5246</v>
      </c>
      <c r="E514"/>
      <c r="F514" s="146"/>
      <c r="G514"/>
      <c r="H514"/>
      <c r="K514"/>
      <c r="L514"/>
      <c r="P514"/>
      <c r="U514"/>
      <c r="W514"/>
    </row>
    <row r="515" spans="2:23" ht="14.4" x14ac:dyDescent="0.3">
      <c r="B515" s="99" t="s">
        <v>7112</v>
      </c>
      <c r="C515" s="166">
        <f>UDV.econ_manure.sludge_sell_pct*VLOOKUP("Excess volume, lagoon sludge manure",$R$1:$T$332, 3, FALSE)</f>
        <v>0</v>
      </c>
      <c r="D515" t="s">
        <v>5246</v>
      </c>
      <c r="E515"/>
      <c r="F515" s="146"/>
      <c r="G515"/>
      <c r="H515"/>
      <c r="K515"/>
      <c r="L515"/>
      <c r="P515"/>
      <c r="U515"/>
      <c r="W515"/>
    </row>
    <row r="516" spans="2:23" ht="14.4" x14ac:dyDescent="0.3">
      <c r="B516" s="99" t="s">
        <v>7113</v>
      </c>
      <c r="C516" s="166">
        <f>UDV.econ_manure.sludge_give_pct*VLOOKUP("Excess volume, lagoon sludge manure",$R$1:$T$332, 3, FALSE)</f>
        <v>0</v>
      </c>
      <c r="D516" t="s">
        <v>5246</v>
      </c>
      <c r="E516"/>
      <c r="F516" s="146"/>
      <c r="G516"/>
      <c r="H516"/>
      <c r="K516"/>
      <c r="L516"/>
      <c r="P516"/>
      <c r="U516"/>
      <c r="W516"/>
    </row>
    <row r="517" spans="2:23" ht="14.4" x14ac:dyDescent="0.3">
      <c r="B517" s="99" t="s">
        <v>7114</v>
      </c>
      <c r="C517" s="166">
        <f>UDV.econ_manure.sludge_export_pct*VLOOKUP("Excess volume, lagoon sludge manure",$R$1:$T$332, 3, FALSE)</f>
        <v>0</v>
      </c>
      <c r="D517" t="s">
        <v>5246</v>
      </c>
      <c r="E517"/>
      <c r="F517" s="146"/>
      <c r="G517"/>
      <c r="H517"/>
      <c r="K517"/>
      <c r="L517"/>
      <c r="P517"/>
      <c r="U517"/>
      <c r="W517"/>
    </row>
    <row r="518" spans="2:23" ht="14.4" x14ac:dyDescent="0.3">
      <c r="B518" s="99"/>
      <c r="D518"/>
      <c r="E518"/>
      <c r="F518" s="151"/>
      <c r="G518"/>
      <c r="H518"/>
      <c r="K518"/>
      <c r="L518"/>
      <c r="P518"/>
      <c r="U518"/>
      <c r="W518"/>
    </row>
    <row r="519" spans="2:23" ht="14.4" x14ac:dyDescent="0.3">
      <c r="B519" s="92" t="s">
        <v>6942</v>
      </c>
      <c r="D519"/>
      <c r="E519" s="139" t="s">
        <v>6988</v>
      </c>
      <c r="F519" s="141"/>
      <c r="G519"/>
      <c r="H519"/>
      <c r="K519"/>
      <c r="L519"/>
      <c r="P519"/>
      <c r="U519"/>
      <c r="W519"/>
    </row>
    <row r="520" spans="2:23" ht="14.4" x14ac:dyDescent="0.3">
      <c r="B520" s="175" t="s">
        <v>2908</v>
      </c>
      <c r="D520"/>
      <c r="E520" s="99"/>
      <c r="F520" s="146"/>
      <c r="G520"/>
      <c r="H520"/>
      <c r="K520"/>
      <c r="L520"/>
      <c r="P520"/>
      <c r="U520"/>
      <c r="W520"/>
    </row>
    <row r="521" spans="2:23" ht="14.4" x14ac:dyDescent="0.3">
      <c r="B521" s="143" t="s">
        <v>2663</v>
      </c>
      <c r="C521" s="144" t="s">
        <v>565</v>
      </c>
      <c r="D521" s="144" t="s">
        <v>6943</v>
      </c>
      <c r="E521" s="143" t="s">
        <v>565</v>
      </c>
      <c r="F521" s="145" t="s">
        <v>6944</v>
      </c>
      <c r="G521"/>
      <c r="H521"/>
      <c r="K521"/>
      <c r="L521"/>
      <c r="P521"/>
      <c r="U521"/>
      <c r="W521"/>
    </row>
    <row r="522" spans="2:23" ht="14.4" x14ac:dyDescent="0.3">
      <c r="B522" s="99" t="s">
        <v>5676</v>
      </c>
      <c r="C522" s="147">
        <f>VLOOKUP(B522,$R:$U,3,FALSE)</f>
        <v>160</v>
      </c>
      <c r="D522" t="s">
        <v>5689</v>
      </c>
      <c r="E522" s="99">
        <f>C522</f>
        <v>160</v>
      </c>
      <c r="F522" s="146" t="s">
        <v>5689</v>
      </c>
      <c r="G522"/>
      <c r="H522"/>
      <c r="K522"/>
      <c r="L522"/>
      <c r="P522"/>
      <c r="U522"/>
      <c r="W522"/>
    </row>
    <row r="523" spans="2:23" ht="14.4" x14ac:dyDescent="0.3">
      <c r="B523" s="99" t="s">
        <v>6989</v>
      </c>
      <c r="C523" s="147"/>
      <c r="D523" t="s">
        <v>2442</v>
      </c>
      <c r="E523" s="99">
        <f>E524</f>
        <v>1</v>
      </c>
      <c r="F523" s="146" t="s">
        <v>2442</v>
      </c>
      <c r="G523"/>
      <c r="H523"/>
      <c r="K523"/>
      <c r="L523"/>
      <c r="P523"/>
      <c r="U523"/>
      <c r="W523"/>
    </row>
    <row r="524" spans="2:23" ht="14.4" x14ac:dyDescent="0.3">
      <c r="B524" s="222" t="s">
        <v>5735</v>
      </c>
      <c r="C524" s="147">
        <f>VLOOKUP(B524,$R:$U,3,FALSE)</f>
        <v>1</v>
      </c>
      <c r="D524" t="s">
        <v>2442</v>
      </c>
      <c r="E524" s="178">
        <f>C524</f>
        <v>1</v>
      </c>
      <c r="F524" s="146" t="s">
        <v>2442</v>
      </c>
      <c r="G524"/>
      <c r="H524"/>
      <c r="K524"/>
      <c r="L524"/>
      <c r="P524"/>
      <c r="U524"/>
      <c r="W524"/>
    </row>
    <row r="525" spans="2:23" ht="14.4" x14ac:dyDescent="0.3">
      <c r="B525" s="99" t="s">
        <v>5663</v>
      </c>
      <c r="C525" s="147">
        <f>VLOOKUP(B525,$R:$U,3,FALSE)</f>
        <v>180</v>
      </c>
      <c r="D525" t="s">
        <v>5689</v>
      </c>
      <c r="E525" s="99">
        <f>C525</f>
        <v>180</v>
      </c>
      <c r="F525" s="146" t="s">
        <v>5689</v>
      </c>
      <c r="G525"/>
      <c r="H525"/>
      <c r="K525"/>
      <c r="L525"/>
      <c r="P525"/>
      <c r="U525"/>
      <c r="W525"/>
    </row>
    <row r="526" spans="2:23" ht="14.4" x14ac:dyDescent="0.3">
      <c r="B526" s="99" t="s">
        <v>6990</v>
      </c>
      <c r="C526" s="297"/>
      <c r="D526" t="s">
        <v>2442</v>
      </c>
      <c r="E526" s="99">
        <f>E527</f>
        <v>1</v>
      </c>
      <c r="F526" s="146" t="s">
        <v>2442</v>
      </c>
      <c r="G526"/>
      <c r="H526"/>
      <c r="K526"/>
      <c r="L526"/>
      <c r="P526"/>
      <c r="U526"/>
      <c r="W526"/>
    </row>
    <row r="527" spans="2:23" ht="14.4" x14ac:dyDescent="0.3">
      <c r="B527" s="222" t="s">
        <v>5736</v>
      </c>
      <c r="C527" s="147">
        <f>VLOOKUP(B527,$R:$U,3,FALSE)</f>
        <v>1</v>
      </c>
      <c r="D527" t="s">
        <v>2442</v>
      </c>
      <c r="E527" s="178">
        <f>C527</f>
        <v>1</v>
      </c>
      <c r="F527" s="146" t="s">
        <v>2442</v>
      </c>
      <c r="G527"/>
      <c r="H527"/>
      <c r="K527"/>
      <c r="L527"/>
      <c r="P527"/>
      <c r="U527"/>
      <c r="W527"/>
    </row>
    <row r="528" spans="2:23" ht="14.4" x14ac:dyDescent="0.3">
      <c r="B528" s="99" t="s">
        <v>5638</v>
      </c>
      <c r="C528" s="147">
        <f>VLOOKUP(B528,$R:$U,3,FALSE)</f>
        <v>250</v>
      </c>
      <c r="D528" t="s">
        <v>5689</v>
      </c>
      <c r="E528" s="99">
        <f>C528</f>
        <v>250</v>
      </c>
      <c r="F528" s="146" t="s">
        <v>5689</v>
      </c>
      <c r="G528"/>
      <c r="H528"/>
      <c r="K528"/>
      <c r="L528"/>
      <c r="P528"/>
      <c r="U528"/>
      <c r="W528"/>
    </row>
    <row r="529" spans="2:23" ht="14.4" x14ac:dyDescent="0.3">
      <c r="B529" s="99" t="s">
        <v>5637</v>
      </c>
      <c r="C529" s="147">
        <f>VLOOKUP(B529,$R:$U,3,FALSE)</f>
        <v>6000</v>
      </c>
      <c r="D529" t="s">
        <v>2480</v>
      </c>
      <c r="E529" s="99">
        <f>C529</f>
        <v>6000</v>
      </c>
      <c r="F529" s="146" t="s">
        <v>2480</v>
      </c>
      <c r="G529"/>
      <c r="H529"/>
      <c r="K529"/>
      <c r="L529"/>
      <c r="P529"/>
      <c r="U529"/>
      <c r="W529"/>
    </row>
    <row r="530" spans="2:23" ht="14.4" x14ac:dyDescent="0.3">
      <c r="B530" s="99" t="s">
        <v>6991</v>
      </c>
      <c r="C530" s="147"/>
      <c r="D530" s="146" t="s">
        <v>2442</v>
      </c>
      <c r="E530">
        <f>E531</f>
        <v>1</v>
      </c>
      <c r="F530" s="146" t="s">
        <v>2442</v>
      </c>
      <c r="G530"/>
      <c r="H530"/>
      <c r="K530"/>
      <c r="L530"/>
      <c r="P530"/>
      <c r="U530"/>
      <c r="W530"/>
    </row>
    <row r="531" spans="2:23" ht="14.4" x14ac:dyDescent="0.3">
      <c r="B531" s="222" t="s">
        <v>5734</v>
      </c>
      <c r="C531" s="147">
        <f>VLOOKUP(B531,$R:$U,3,FALSE)</f>
        <v>1</v>
      </c>
      <c r="D531" t="s">
        <v>2442</v>
      </c>
      <c r="E531" s="178">
        <f>C531</f>
        <v>1</v>
      </c>
      <c r="F531" s="146" t="s">
        <v>2442</v>
      </c>
      <c r="G531"/>
      <c r="H531"/>
      <c r="K531"/>
      <c r="L531"/>
      <c r="P531"/>
      <c r="U531"/>
      <c r="W531"/>
    </row>
    <row r="532" spans="2:23" ht="14.4" x14ac:dyDescent="0.3">
      <c r="B532" s="99" t="s">
        <v>5732</v>
      </c>
      <c r="C532" s="147" t="str">
        <f>VLOOKUP(B532,$R:$U,3,FALSE)</f>
        <v>Injection</v>
      </c>
      <c r="D532" t="s">
        <v>6992</v>
      </c>
      <c r="E532" s="99" t="str">
        <f>C532</f>
        <v>Injection</v>
      </c>
      <c r="F532" s="146" t="s">
        <v>6992</v>
      </c>
      <c r="G532"/>
      <c r="H532"/>
      <c r="K532"/>
      <c r="L532"/>
      <c r="P532"/>
      <c r="U532"/>
      <c r="W532"/>
    </row>
    <row r="533" spans="2:23" ht="14.4" x14ac:dyDescent="0.3">
      <c r="B533" s="99"/>
      <c r="C533" s="147"/>
      <c r="D533"/>
      <c r="E533" s="99"/>
      <c r="F533" s="146"/>
      <c r="G533"/>
      <c r="H533"/>
      <c r="K533"/>
      <c r="L533"/>
      <c r="P533"/>
      <c r="U533"/>
      <c r="W533"/>
    </row>
    <row r="534" spans="2:23" ht="14.4" x14ac:dyDescent="0.3">
      <c r="B534" s="175" t="s">
        <v>7115</v>
      </c>
      <c r="C534" s="147"/>
      <c r="D534"/>
      <c r="E534" s="99"/>
      <c r="F534" s="146"/>
      <c r="G534"/>
      <c r="H534"/>
      <c r="K534"/>
      <c r="L534"/>
      <c r="P534"/>
      <c r="U534"/>
      <c r="W534"/>
    </row>
    <row r="535" spans="2:23" ht="14.4" x14ac:dyDescent="0.3">
      <c r="B535" s="143" t="s">
        <v>2663</v>
      </c>
      <c r="C535" s="147"/>
      <c r="D535"/>
      <c r="E535" s="99"/>
      <c r="F535" s="146"/>
      <c r="G535"/>
      <c r="H535"/>
      <c r="K535"/>
      <c r="L535"/>
      <c r="P535"/>
      <c r="U535"/>
      <c r="W535"/>
    </row>
    <row r="536" spans="2:23" ht="14.4" x14ac:dyDescent="0.3">
      <c r="B536" s="99" t="s">
        <v>6407</v>
      </c>
      <c r="C536" s="147">
        <f>VLOOKUP(B536,$R:$U,3,FALSE)</f>
        <v>23.73310303072272</v>
      </c>
      <c r="D536" t="s">
        <v>5385</v>
      </c>
      <c r="E536" s="178">
        <f>C536</f>
        <v>23.73310303072272</v>
      </c>
      <c r="F536" s="146" t="s">
        <v>5385</v>
      </c>
      <c r="G536"/>
      <c r="H536"/>
      <c r="K536"/>
      <c r="L536"/>
      <c r="P536"/>
      <c r="U536"/>
      <c r="W536"/>
    </row>
    <row r="537" spans="2:23" ht="14.4" x14ac:dyDescent="0.3">
      <c r="B537" s="99" t="s">
        <v>6409</v>
      </c>
      <c r="C537" s="147">
        <f>VLOOKUP(B537,$R:$U,3,FALSE)</f>
        <v>934.64729834049092</v>
      </c>
      <c r="D537" t="s">
        <v>5323</v>
      </c>
      <c r="E537" s="178">
        <f>C537</f>
        <v>934.64729834049092</v>
      </c>
      <c r="F537" s="146" t="s">
        <v>5323</v>
      </c>
      <c r="G537"/>
      <c r="H537"/>
      <c r="K537"/>
      <c r="L537"/>
      <c r="P537"/>
      <c r="U537"/>
      <c r="W537"/>
    </row>
    <row r="538" spans="2:23" ht="14.4" x14ac:dyDescent="0.3">
      <c r="B538" s="99" t="s">
        <v>6390</v>
      </c>
      <c r="C538" s="205">
        <f>VLOOKUP(B538,$R:$U, 3, FALSE)</f>
        <v>7.1199309092168166</v>
      </c>
      <c r="D538" t="s">
        <v>2472</v>
      </c>
      <c r="E538" s="178">
        <f>C538</f>
        <v>7.1199309092168166</v>
      </c>
      <c r="F538" s="146" t="s">
        <v>2710</v>
      </c>
      <c r="G538"/>
      <c r="H538"/>
      <c r="K538"/>
      <c r="L538"/>
      <c r="P538"/>
      <c r="U538"/>
      <c r="W538"/>
    </row>
    <row r="539" spans="2:23" ht="14.4" x14ac:dyDescent="0.3">
      <c r="B539" s="99"/>
      <c r="D539"/>
      <c r="E539" s="99"/>
      <c r="F539" s="146"/>
      <c r="G539"/>
      <c r="H539"/>
      <c r="K539"/>
      <c r="L539"/>
      <c r="P539"/>
      <c r="U539"/>
      <c r="W539"/>
    </row>
    <row r="540" spans="2:23" ht="14.4" x14ac:dyDescent="0.3">
      <c r="B540" s="175" t="s">
        <v>7237</v>
      </c>
      <c r="D540"/>
      <c r="E540" s="99"/>
      <c r="F540" s="146"/>
      <c r="G540"/>
      <c r="H540"/>
      <c r="K540"/>
      <c r="L540"/>
      <c r="P540"/>
      <c r="U540"/>
      <c r="W540"/>
    </row>
    <row r="541" spans="2:23" ht="14.4" x14ac:dyDescent="0.3">
      <c r="B541" s="143" t="s">
        <v>2663</v>
      </c>
      <c r="C541" s="144" t="s">
        <v>565</v>
      </c>
      <c r="D541" s="144" t="s">
        <v>6943</v>
      </c>
      <c r="E541" s="143" t="s">
        <v>565</v>
      </c>
      <c r="F541" s="145" t="s">
        <v>6944</v>
      </c>
      <c r="G541" s="1222" t="s">
        <v>6392</v>
      </c>
      <c r="H541" s="1215" t="s">
        <v>6993</v>
      </c>
      <c r="I541" s="142"/>
      <c r="J541" s="141"/>
      <c r="K541"/>
      <c r="L541"/>
      <c r="P541"/>
      <c r="U541"/>
      <c r="W541"/>
    </row>
    <row r="542" spans="2:23" ht="14.4" x14ac:dyDescent="0.3">
      <c r="B542" s="99" t="s">
        <v>6401</v>
      </c>
      <c r="C542" s="147">
        <f t="shared" ref="C542:C552" si="7">VLOOKUP(B542,$R:$U,3,FALSE)</f>
        <v>182.5</v>
      </c>
      <c r="D542" t="s">
        <v>5121</v>
      </c>
      <c r="E542" s="201">
        <f>UC.year_to_day/C542</f>
        <v>2</v>
      </c>
      <c r="F542" s="146" t="s">
        <v>6994</v>
      </c>
      <c r="G542" s="42" t="s">
        <v>7117</v>
      </c>
      <c r="H542" s="92" t="s">
        <v>4838</v>
      </c>
      <c r="I542" s="1216" t="s">
        <v>2710</v>
      </c>
      <c r="J542" s="285">
        <f>(SUM(E543:E544)*UDV.OPEX_labor.tractor_stationary)+(E545*UDV.OPEX_labor.tractor_active)+E538</f>
        <v>12.062066770275784</v>
      </c>
      <c r="K542"/>
      <c r="L542"/>
      <c r="P542"/>
      <c r="U542"/>
      <c r="W542"/>
    </row>
    <row r="543" spans="2:23" ht="14.4" x14ac:dyDescent="0.3">
      <c r="B543" s="99" t="s">
        <v>5679</v>
      </c>
      <c r="C543" s="147">
        <f t="shared" si="7"/>
        <v>2.4948528484205106</v>
      </c>
      <c r="D543" t="s">
        <v>6085</v>
      </c>
      <c r="E543" s="178">
        <f>C543*E542</f>
        <v>4.9897056968410212</v>
      </c>
      <c r="F543" s="146" t="s">
        <v>2710</v>
      </c>
      <c r="G543" s="42" t="s">
        <v>7118</v>
      </c>
      <c r="H543" s="1217" t="s">
        <v>5444</v>
      </c>
      <c r="I543" s="1216" t="s">
        <v>6085</v>
      </c>
      <c r="J543" s="285">
        <f>(SUM(E557:E558)*UDV.OPEX_labor.tractor_stationary)+(E559*UDV.OPEX_labor.tractor_active)</f>
        <v>56.119479479330572</v>
      </c>
      <c r="K543"/>
      <c r="L543"/>
      <c r="P543"/>
      <c r="U543"/>
      <c r="W543"/>
    </row>
    <row r="544" spans="2:23" ht="14.4" x14ac:dyDescent="0.3">
      <c r="B544" s="99" t="s">
        <v>5667</v>
      </c>
      <c r="C544" s="147">
        <f t="shared" si="7"/>
        <v>0.261121390773836</v>
      </c>
      <c r="D544" t="s">
        <v>6085</v>
      </c>
      <c r="E544" s="178">
        <f>C544*E542</f>
        <v>0.52224278154767201</v>
      </c>
      <c r="F544" s="146" t="s">
        <v>2710</v>
      </c>
      <c r="G544" s="42" t="s">
        <v>7119</v>
      </c>
      <c r="H544" s="1218" t="s">
        <v>5445</v>
      </c>
      <c r="I544" s="1216" t="s">
        <v>6995</v>
      </c>
      <c r="J544" s="285">
        <f>SUM(J542:J543)</f>
        <v>68.181546249606356</v>
      </c>
      <c r="K544"/>
      <c r="L544"/>
      <c r="P544"/>
      <c r="U544"/>
      <c r="W544"/>
    </row>
    <row r="545" spans="1:23" ht="14.4" x14ac:dyDescent="0.3">
      <c r="B545" s="99" t="s">
        <v>5654</v>
      </c>
      <c r="C545" s="147">
        <f t="shared" si="7"/>
        <v>1.9958822787364086</v>
      </c>
      <c r="D545" t="s">
        <v>6085</v>
      </c>
      <c r="E545" s="178">
        <f>C545*E542</f>
        <v>3.9917645574728171</v>
      </c>
      <c r="F545" s="146" t="s">
        <v>2710</v>
      </c>
      <c r="G545" s="42" t="s">
        <v>7120</v>
      </c>
      <c r="H545" s="1219" t="s">
        <v>5446</v>
      </c>
      <c r="I545" s="1220" t="s">
        <v>5447</v>
      </c>
      <c r="J545" s="1221">
        <f>J542+(J543/UDV.anaer_lagoon.sludge_time)</f>
        <v>17.674014718208841</v>
      </c>
      <c r="K545"/>
      <c r="L545"/>
      <c r="P545"/>
      <c r="U545"/>
      <c r="W545"/>
    </row>
    <row r="546" spans="1:23" ht="14.4" x14ac:dyDescent="0.3">
      <c r="B546" s="99" t="s">
        <v>5682</v>
      </c>
      <c r="C546" s="147">
        <f t="shared" si="7"/>
        <v>17.563764052880391</v>
      </c>
      <c r="D546" t="s">
        <v>2489</v>
      </c>
      <c r="E546" s="178">
        <f>C546*E542</f>
        <v>35.127528105760781</v>
      </c>
      <c r="F546" s="146" t="s">
        <v>5324</v>
      </c>
      <c r="G546"/>
      <c r="H546"/>
      <c r="K546"/>
      <c r="L546"/>
      <c r="P546"/>
      <c r="U546"/>
      <c r="W546"/>
    </row>
    <row r="547" spans="1:23" ht="14.4" x14ac:dyDescent="0.3">
      <c r="B547" s="99" t="s">
        <v>5672</v>
      </c>
      <c r="C547" s="147">
        <f t="shared" si="7"/>
        <v>2.0680814149287809</v>
      </c>
      <c r="D547" t="s">
        <v>2489</v>
      </c>
      <c r="E547" s="178">
        <f>C547*E542</f>
        <v>4.1361628298575619</v>
      </c>
      <c r="F547" s="146" t="s">
        <v>5324</v>
      </c>
      <c r="G547"/>
      <c r="H547"/>
      <c r="K547"/>
      <c r="L547"/>
      <c r="P547"/>
      <c r="U547"/>
      <c r="W547"/>
    </row>
    <row r="548" spans="1:23" ht="14.4" x14ac:dyDescent="0.3">
      <c r="B548" s="99" t="s">
        <v>5660</v>
      </c>
      <c r="C548" s="147">
        <f t="shared" si="7"/>
        <v>21.954705066100495</v>
      </c>
      <c r="D548" t="s">
        <v>2489</v>
      </c>
      <c r="E548" s="178">
        <f>C548*E542</f>
        <v>43.909410132200989</v>
      </c>
      <c r="F548" s="146" t="s">
        <v>5324</v>
      </c>
      <c r="G548"/>
      <c r="H548"/>
      <c r="K548"/>
      <c r="L548"/>
      <c r="P548"/>
      <c r="U548"/>
      <c r="W548"/>
    </row>
    <row r="549" spans="1:23" ht="14.4" x14ac:dyDescent="0.3">
      <c r="B549" s="99" t="s">
        <v>6403</v>
      </c>
      <c r="C549" s="147">
        <f t="shared" si="7"/>
        <v>1186.1423892357984</v>
      </c>
      <c r="D549" t="s">
        <v>5910</v>
      </c>
      <c r="E549" s="164">
        <f>CONVERT(C549,"m^3","gal")*E542</f>
        <v>626691.33870683727</v>
      </c>
      <c r="F549" s="146" t="s">
        <v>5324</v>
      </c>
      <c r="G549"/>
      <c r="H549"/>
      <c r="K549"/>
      <c r="L549"/>
      <c r="P549"/>
      <c r="U549"/>
      <c r="W549"/>
    </row>
    <row r="550" spans="1:23" ht="14.4" x14ac:dyDescent="0.3">
      <c r="A550" t="str">
        <f>_xlfn.CONCAT("Liquids",B550)</f>
        <v>LiquidsN removed, lagoon</v>
      </c>
      <c r="B550" s="99" t="s">
        <v>6404</v>
      </c>
      <c r="C550" s="78">
        <f t="shared" si="7"/>
        <v>1.034956118250459</v>
      </c>
      <c r="D550" t="s">
        <v>2413</v>
      </c>
      <c r="E550" s="201">
        <f>C550*UC.g_to_lb/UC.L_to_gal*1000</f>
        <v>8.6371274739918871</v>
      </c>
      <c r="F550" s="146" t="s">
        <v>2414</v>
      </c>
      <c r="G550"/>
      <c r="H550"/>
      <c r="K550"/>
      <c r="L550"/>
      <c r="P550"/>
      <c r="U550"/>
      <c r="W550"/>
    </row>
    <row r="551" spans="1:23" ht="14.4" x14ac:dyDescent="0.3">
      <c r="A551" t="str">
        <f>_xlfn.CONCAT("Liquids",B551)</f>
        <v>LiquidsP2O5 removed, lagoon</v>
      </c>
      <c r="B551" s="99" t="s">
        <v>6405</v>
      </c>
      <c r="C551" s="78">
        <f t="shared" si="7"/>
        <v>0.77008255040821727</v>
      </c>
      <c r="D551" t="s">
        <v>2413</v>
      </c>
      <c r="E551" s="201">
        <f>C551*UC.g_to_lb/UC.L_to_gal*1000</f>
        <v>6.426650401967037</v>
      </c>
      <c r="F551" s="146" t="s">
        <v>2414</v>
      </c>
      <c r="G551"/>
      <c r="H551"/>
      <c r="K551"/>
      <c r="L551"/>
      <c r="P551"/>
      <c r="U551"/>
      <c r="W551"/>
    </row>
    <row r="552" spans="1:23" ht="14.4" x14ac:dyDescent="0.3">
      <c r="A552" t="str">
        <f>_xlfn.CONCAT("Liquids",B552)</f>
        <v>LiquidsK2O removed, lagoon</v>
      </c>
      <c r="B552" s="99" t="s">
        <v>6406</v>
      </c>
      <c r="C552" s="78">
        <f t="shared" si="7"/>
        <v>1.1701311485412944</v>
      </c>
      <c r="D552" t="s">
        <v>2413</v>
      </c>
      <c r="E552" s="201">
        <f>C552*UC.g_to_lb/UC.L_to_gal*1000</f>
        <v>9.7652177836528438</v>
      </c>
      <c r="F552" s="146" t="s">
        <v>2414</v>
      </c>
      <c r="G552"/>
      <c r="H552"/>
      <c r="K552"/>
      <c r="L552"/>
      <c r="P552"/>
      <c r="U552"/>
      <c r="W552"/>
    </row>
    <row r="553" spans="1:23" ht="14.4" x14ac:dyDescent="0.3">
      <c r="B553" s="99"/>
      <c r="D553"/>
      <c r="E553" s="99"/>
      <c r="F553" s="146"/>
      <c r="G553"/>
      <c r="H553"/>
      <c r="K553"/>
      <c r="L553"/>
      <c r="P553"/>
      <c r="U553"/>
      <c r="W553"/>
    </row>
    <row r="554" spans="1:23" ht="14.4" x14ac:dyDescent="0.3">
      <c r="B554" s="175" t="s">
        <v>7238</v>
      </c>
      <c r="D554"/>
      <c r="E554" s="99"/>
      <c r="F554" s="146"/>
      <c r="G554"/>
      <c r="H554"/>
      <c r="K554"/>
      <c r="L554"/>
      <c r="P554"/>
      <c r="U554"/>
      <c r="W554"/>
    </row>
    <row r="555" spans="1:23" ht="14.4" x14ac:dyDescent="0.3">
      <c r="B555" s="143" t="s">
        <v>2663</v>
      </c>
      <c r="C555" s="144" t="s">
        <v>565</v>
      </c>
      <c r="D555" s="144" t="s">
        <v>6943</v>
      </c>
      <c r="E555" s="143" t="s">
        <v>565</v>
      </c>
      <c r="F555" s="145" t="s">
        <v>6944</v>
      </c>
      <c r="G555"/>
      <c r="H555"/>
      <c r="K555"/>
      <c r="L555"/>
      <c r="P555"/>
      <c r="U555"/>
      <c r="W555"/>
    </row>
    <row r="556" spans="1:23" ht="14.4" x14ac:dyDescent="0.3">
      <c r="B556" s="99" t="s">
        <v>6416</v>
      </c>
      <c r="C556" s="382">
        <f t="shared" ref="C556:C566" si="8">VLOOKUP(B556,$X:$AA,3,FALSE)</f>
        <v>10</v>
      </c>
      <c r="D556" t="s">
        <v>2669</v>
      </c>
      <c r="E556" s="99">
        <f t="shared" ref="E556:E562" si="9">C556</f>
        <v>10</v>
      </c>
      <c r="F556" s="146" t="s">
        <v>2669</v>
      </c>
      <c r="G556"/>
      <c r="H556"/>
      <c r="K556"/>
      <c r="L556"/>
      <c r="P556"/>
      <c r="U556"/>
      <c r="W556"/>
    </row>
    <row r="557" spans="1:23" ht="14.4" x14ac:dyDescent="0.3">
      <c r="B557" s="99" t="s">
        <v>5679</v>
      </c>
      <c r="C557" s="382">
        <f t="shared" si="8"/>
        <v>56.659649660413777</v>
      </c>
      <c r="D557" t="s">
        <v>6085</v>
      </c>
      <c r="E557" s="178">
        <f t="shared" si="9"/>
        <v>56.659649660413777</v>
      </c>
      <c r="F557" s="146" t="s">
        <v>6085</v>
      </c>
      <c r="G557"/>
      <c r="H557"/>
      <c r="K557"/>
      <c r="L557"/>
      <c r="P557"/>
      <c r="U557"/>
      <c r="W557"/>
    </row>
    <row r="558" spans="1:23" ht="14.4" x14ac:dyDescent="0.3">
      <c r="B558" s="99" t="s">
        <v>5667</v>
      </c>
      <c r="C558" s="382">
        <f t="shared" si="8"/>
        <v>5.9302281212506323</v>
      </c>
      <c r="D558" t="s">
        <v>6085</v>
      </c>
      <c r="E558" s="178">
        <f t="shared" si="9"/>
        <v>5.9302281212506323</v>
      </c>
      <c r="F558" s="146" t="s">
        <v>6085</v>
      </c>
      <c r="G558"/>
      <c r="H558"/>
      <c r="K558"/>
      <c r="L558"/>
      <c r="P558"/>
      <c r="U558"/>
      <c r="W558"/>
    </row>
    <row r="559" spans="1:23" ht="14.4" x14ac:dyDescent="0.3">
      <c r="B559" s="99" t="s">
        <v>5654</v>
      </c>
      <c r="C559" s="382">
        <f t="shared" si="8"/>
        <v>45.327719728331026</v>
      </c>
      <c r="D559" t="s">
        <v>6085</v>
      </c>
      <c r="E559" s="178">
        <f t="shared" si="9"/>
        <v>45.327719728331026</v>
      </c>
      <c r="F559" s="146" t="s">
        <v>6085</v>
      </c>
      <c r="G559"/>
      <c r="H559"/>
      <c r="K559"/>
      <c r="L559"/>
      <c r="P559"/>
      <c r="U559"/>
      <c r="W559"/>
    </row>
    <row r="560" spans="1:23" ht="14.4" x14ac:dyDescent="0.3">
      <c r="B560" s="99" t="s">
        <v>5682</v>
      </c>
      <c r="C560" s="382">
        <f t="shared" si="8"/>
        <v>398.88393360931292</v>
      </c>
      <c r="D560" t="s">
        <v>2489</v>
      </c>
      <c r="E560" s="178">
        <f t="shared" si="9"/>
        <v>398.88393360931292</v>
      </c>
      <c r="F560" s="146" t="s">
        <v>2489</v>
      </c>
      <c r="G560"/>
      <c r="H560"/>
      <c r="K560"/>
      <c r="L560"/>
      <c r="P560"/>
      <c r="U560"/>
      <c r="W560"/>
    </row>
    <row r="561" spans="1:23" ht="14.4" x14ac:dyDescent="0.3">
      <c r="B561" s="99" t="s">
        <v>5672</v>
      </c>
      <c r="C561" s="382">
        <f t="shared" si="8"/>
        <v>46.967406720305007</v>
      </c>
      <c r="D561" t="s">
        <v>2489</v>
      </c>
      <c r="E561" s="178">
        <f t="shared" si="9"/>
        <v>46.967406720305007</v>
      </c>
      <c r="F561" s="146" t="s">
        <v>2489</v>
      </c>
      <c r="G561"/>
      <c r="H561"/>
      <c r="K561"/>
      <c r="L561"/>
      <c r="P561"/>
      <c r="U561"/>
      <c r="W561"/>
    </row>
    <row r="562" spans="1:23" ht="14.4" x14ac:dyDescent="0.3">
      <c r="B562" s="99" t="s">
        <v>5660</v>
      </c>
      <c r="C562" s="382">
        <f t="shared" si="8"/>
        <v>498.60491701164131</v>
      </c>
      <c r="D562" t="s">
        <v>2489</v>
      </c>
      <c r="E562" s="178">
        <f t="shared" si="9"/>
        <v>498.60491701164131</v>
      </c>
      <c r="F562" s="146" t="s">
        <v>2489</v>
      </c>
      <c r="G562"/>
      <c r="H562"/>
      <c r="K562"/>
      <c r="L562"/>
      <c r="P562"/>
      <c r="U562"/>
      <c r="W562"/>
    </row>
    <row r="563" spans="1:23" ht="14.4" x14ac:dyDescent="0.3">
      <c r="B563" s="99" t="s">
        <v>6418</v>
      </c>
      <c r="C563" s="382">
        <f t="shared" si="8"/>
        <v>2693.8026530909328</v>
      </c>
      <c r="D563" t="s">
        <v>5910</v>
      </c>
      <c r="E563" s="164">
        <f>CONVERT(C563,"m^3","gal")</f>
        <v>711627.37551485701</v>
      </c>
      <c r="F563" s="146" t="s">
        <v>2489</v>
      </c>
      <c r="G563"/>
      <c r="H563"/>
      <c r="K563"/>
      <c r="L563"/>
      <c r="P563"/>
      <c r="U563"/>
      <c r="W563"/>
    </row>
    <row r="564" spans="1:23" ht="14.4" x14ac:dyDescent="0.3">
      <c r="A564" t="str">
        <f>_xlfn.CONCAT("Sludge",B564)</f>
        <v>SludgeN removed, lagoon</v>
      </c>
      <c r="B564" s="99" t="s">
        <v>6404</v>
      </c>
      <c r="C564" s="382">
        <f t="shared" si="8"/>
        <v>2.2785732307584281</v>
      </c>
      <c r="D564" t="s">
        <v>2413</v>
      </c>
      <c r="E564" s="201">
        <f>C564*UC.g_to_lb/UC.L_to_gal*1000</f>
        <v>19.015615353967544</v>
      </c>
      <c r="F564" s="146" t="s">
        <v>2414</v>
      </c>
      <c r="G564"/>
      <c r="H564"/>
      <c r="K564"/>
      <c r="L564"/>
      <c r="P564"/>
      <c r="U564"/>
      <c r="W564"/>
    </row>
    <row r="565" spans="1:23" ht="14.4" x14ac:dyDescent="0.3">
      <c r="A565" t="str">
        <f>_xlfn.CONCAT("Sludge",B565)</f>
        <v>SludgeP2O5 removed, lagoon</v>
      </c>
      <c r="B565" s="99" t="s">
        <v>6405</v>
      </c>
      <c r="C565" s="382">
        <f t="shared" si="8"/>
        <v>5.5486604996284568</v>
      </c>
      <c r="D565" t="s">
        <v>2413</v>
      </c>
      <c r="E565" s="201">
        <f>C565*UC.g_to_lb/UC.L_to_gal*1000</f>
        <v>46.305816449694916</v>
      </c>
      <c r="F565" s="146" t="s">
        <v>2414</v>
      </c>
      <c r="G565"/>
      <c r="H565"/>
      <c r="K565"/>
      <c r="L565"/>
      <c r="P565"/>
      <c r="U565"/>
      <c r="W565"/>
    </row>
    <row r="566" spans="1:23" ht="14.4" x14ac:dyDescent="0.3">
      <c r="A566" t="str">
        <f>_xlfn.CONCAT("Sludge",B566)</f>
        <v>SludgeK2O removed, lagoon</v>
      </c>
      <c r="B566" s="99" t="s">
        <v>6406</v>
      </c>
      <c r="C566" s="382">
        <f t="shared" si="8"/>
        <v>5.5486875988667448</v>
      </c>
      <c r="D566" t="s">
        <v>2413</v>
      </c>
      <c r="E566" s="201">
        <f>C566*UC.g_to_lb/UC.L_to_gal*1000</f>
        <v>46.306042603800783</v>
      </c>
      <c r="F566" s="146" t="s">
        <v>2414</v>
      </c>
      <c r="G566"/>
      <c r="H566"/>
      <c r="K566"/>
      <c r="L566"/>
      <c r="P566"/>
      <c r="U566"/>
      <c r="W566"/>
    </row>
    <row r="567" spans="1:23" ht="14.4" x14ac:dyDescent="0.3">
      <c r="B567" s="99"/>
      <c r="D567"/>
      <c r="E567" s="99"/>
      <c r="F567" s="146"/>
      <c r="G567"/>
      <c r="H567"/>
      <c r="K567"/>
      <c r="L567"/>
      <c r="P567"/>
      <c r="U567"/>
      <c r="W567"/>
    </row>
    <row r="568" spans="1:23" ht="14.4" x14ac:dyDescent="0.3">
      <c r="B568" s="92" t="s">
        <v>6996</v>
      </c>
      <c r="D568"/>
      <c r="E568" s="99"/>
      <c r="F568" s="146"/>
      <c r="G568"/>
      <c r="H568"/>
      <c r="K568"/>
      <c r="L568"/>
      <c r="P568"/>
      <c r="U568"/>
      <c r="W568"/>
    </row>
    <row r="569" spans="1:23" ht="14.4" x14ac:dyDescent="0.3">
      <c r="B569" s="143" t="s">
        <v>2663</v>
      </c>
      <c r="C569" s="144" t="s">
        <v>565</v>
      </c>
      <c r="D569" s="144" t="s">
        <v>6943</v>
      </c>
      <c r="E569" s="143" t="s">
        <v>565</v>
      </c>
      <c r="F569" s="145" t="s">
        <v>6944</v>
      </c>
      <c r="G569"/>
      <c r="H569"/>
      <c r="K569"/>
      <c r="L569"/>
      <c r="P569"/>
      <c r="U569"/>
      <c r="W569"/>
    </row>
    <row r="570" spans="1:23" ht="14.4" x14ac:dyDescent="0.3">
      <c r="B570" s="99" t="s">
        <v>7076</v>
      </c>
      <c r="D570"/>
      <c r="E570" s="357">
        <f>UDV.electricity.avg_cost</f>
        <v>6.8591666666666662E-2</v>
      </c>
      <c r="F570" s="146" t="s">
        <v>2306</v>
      </c>
      <c r="G570"/>
      <c r="H570"/>
      <c r="K570"/>
      <c r="L570"/>
      <c r="P570"/>
      <c r="U570"/>
      <c r="W570"/>
    </row>
    <row r="571" spans="1:23" ht="14.4" x14ac:dyDescent="0.3">
      <c r="B571" s="99" t="s">
        <v>6997</v>
      </c>
      <c r="D571" s="146"/>
      <c r="E571" s="346">
        <f>UDV.fuel.diesel_avg_cost</f>
        <v>3.6964905660377356</v>
      </c>
      <c r="F571" s="146" t="s">
        <v>2315</v>
      </c>
      <c r="G571"/>
      <c r="H571"/>
      <c r="K571"/>
      <c r="L571"/>
      <c r="P571"/>
      <c r="U571"/>
      <c r="W571"/>
    </row>
    <row r="572" spans="1:23" ht="14.4" x14ac:dyDescent="0.3">
      <c r="B572" s="149" t="s">
        <v>6998</v>
      </c>
      <c r="C572" s="150"/>
      <c r="D572" s="151"/>
      <c r="E572" s="347">
        <f>UDV.labor.non_specialized_cost</f>
        <v>23.66</v>
      </c>
      <c r="F572" s="151" t="s">
        <v>3659</v>
      </c>
      <c r="G572"/>
      <c r="H572"/>
      <c r="K572"/>
      <c r="L572"/>
      <c r="P572"/>
      <c r="U572"/>
      <c r="W572"/>
    </row>
    <row r="573" spans="1:23" ht="13.5" customHeight="1" x14ac:dyDescent="0.3">
      <c r="U573"/>
      <c r="W573"/>
    </row>
    <row r="574" spans="1:23" ht="14.4" x14ac:dyDescent="0.3">
      <c r="B574" s="206" t="s">
        <v>7121</v>
      </c>
      <c r="C574" s="140"/>
      <c r="D574" s="207"/>
      <c r="E574" s="207"/>
      <c r="F574" s="207"/>
      <c r="G574" s="207"/>
      <c r="H574" s="207"/>
      <c r="I574" s="207"/>
      <c r="J574" s="142"/>
      <c r="K574" s="142"/>
      <c r="L574" s="142"/>
      <c r="M574" s="142"/>
      <c r="N574" s="142"/>
      <c r="O574" s="208"/>
      <c r="U574"/>
      <c r="W574"/>
    </row>
    <row r="575" spans="1:23" ht="29.1" customHeight="1" x14ac:dyDescent="0.3">
      <c r="B575" s="210" t="s">
        <v>6946</v>
      </c>
      <c r="C575" s="152" t="s">
        <v>6947</v>
      </c>
      <c r="D575" s="152" t="s">
        <v>6948</v>
      </c>
      <c r="E575" s="152" t="s">
        <v>6999</v>
      </c>
      <c r="F575" s="152" t="s">
        <v>7000</v>
      </c>
      <c r="G575" s="152" t="s">
        <v>6951</v>
      </c>
      <c r="H575" s="152" t="s">
        <v>6952</v>
      </c>
      <c r="I575" s="152" t="s">
        <v>7001</v>
      </c>
      <c r="J575" s="152" t="s">
        <v>6954</v>
      </c>
      <c r="K575" s="152" t="s">
        <v>6955</v>
      </c>
      <c r="L575" s="152" t="s">
        <v>6956</v>
      </c>
      <c r="M575" s="82" t="s">
        <v>6957</v>
      </c>
      <c r="N575" s="152" t="s">
        <v>7002</v>
      </c>
      <c r="O575" s="161" t="s">
        <v>6959</v>
      </c>
      <c r="U575"/>
      <c r="W575"/>
    </row>
    <row r="576" spans="1:23" ht="14.4" x14ac:dyDescent="0.3">
      <c r="A576" t="s">
        <v>7122</v>
      </c>
      <c r="B576" s="99" t="s">
        <v>2808</v>
      </c>
      <c r="C576" s="153">
        <f>IF(E536=0,0,(VLOOKUP("Irrigation systema",Econ.Equations!$C:$E,2,FALSE)*E536^VLOOKUP("Irrigation systemb",Econ.Equations!$C:$E,2,FALSE))*E536)</f>
        <v>49987.735175278664</v>
      </c>
      <c r="D576" s="42">
        <f>VLOOKUP("CAPEXLifetimeBuildings and constructionDefault",Econ.inputsTable!$E:$G,2,FALSE)</f>
        <v>20</v>
      </c>
      <c r="E576" s="42" t="s">
        <v>2852</v>
      </c>
      <c r="F576" s="42" t="s">
        <v>2852</v>
      </c>
      <c r="G576" s="539">
        <f>VLOOKUP("CAPEXAnnual usage on activityItems that are used only on the given activityDefault",Econ.inputsTable!$E:$J,2,FALSE)</f>
        <v>1</v>
      </c>
      <c r="H576" s="216">
        <f t="shared" ref="H576" si="10">UDV.econ_capital.interest_rate</f>
        <v>5.0999999999999997E-2</v>
      </c>
      <c r="I576" s="2091">
        <f>VLOOKUP("CAPEXSalvageBuildings and constructionDefault",Econ.inputsTable!$E:$K,2,FALSE)</f>
        <v>0</v>
      </c>
      <c r="J576" s="153">
        <f>C576*I576</f>
        <v>0</v>
      </c>
      <c r="K576" s="154">
        <f>VLOOKUP("CAPEXFinanced amountNADefault",Econ.inputsTable!$E:$J,2,FALSE)</f>
        <v>1</v>
      </c>
      <c r="L576" s="2092">
        <f>H576*K576</f>
        <v>5.0999999999999997E-2</v>
      </c>
      <c r="M576" s="351">
        <f>L576/(1-(1+L576)^-D576)</f>
        <v>8.0924368970045152E-2</v>
      </c>
      <c r="N576" s="153">
        <f>((C576-J576)*M576)+(J576*L576)</f>
        <v>4045.2259253011553</v>
      </c>
      <c r="O576" s="372">
        <f>N576*G576</f>
        <v>4045.2259253011553</v>
      </c>
      <c r="P576"/>
      <c r="U576"/>
      <c r="W576"/>
    </row>
    <row r="577" spans="1:28" ht="14.4" x14ac:dyDescent="0.3">
      <c r="A577" t="s">
        <v>7003</v>
      </c>
      <c r="B577" s="99" t="s">
        <v>7004</v>
      </c>
      <c r="C577" s="153">
        <f>VLOOKUP(_xlfn.CONCAT("Tractor",E522," hp"), Econ.Tables!$C:$E,2, FALSE)*E524</f>
        <v>283300</v>
      </c>
      <c r="D577" s="79">
        <f>VLOOKUP("CAPEXLifetimeTractor, 4 wheel drive and crawlerDefault",Econ.inputsTable!$E:$H,2,FALSE)/E577</f>
        <v>16</v>
      </c>
      <c r="E577" s="213">
        <f>IF(F577&gt;UDV.tractor.min_usage_yearly,F577,UDV.tractor.min_usage_yearly)</f>
        <v>1000</v>
      </c>
      <c r="F577" s="214">
        <f>IF(E524=0,0,(E543+(E557/E556))/E524)</f>
        <v>10.655670662882399</v>
      </c>
      <c r="G577" s="215">
        <f>F577/E577</f>
        <v>1.0655670662882399E-2</v>
      </c>
      <c r="H577" s="216">
        <f t="shared" ref="H577:H584" si="11">UDV.econ_capital.interest_rate</f>
        <v>5.0999999999999997E-2</v>
      </c>
      <c r="I577" s="503">
        <f>VLOOKUP("CAPEXSalvageEquipmentDefault",Econ.inputsTable!$E:$H,2,FALSE)</f>
        <v>0.2</v>
      </c>
      <c r="J577" s="153">
        <f t="shared" ref="J577:J584" si="12">C577*I577</f>
        <v>56660</v>
      </c>
      <c r="K577" s="217">
        <f>VLOOKUP("CAPEXFinanced amountNADefault",Econ.inputsTable!$E:$H,2,FALSE)</f>
        <v>1</v>
      </c>
      <c r="L577" s="218">
        <f t="shared" ref="L577:L584" si="13">H577*K577</f>
        <v>5.0999999999999997E-2</v>
      </c>
      <c r="M577">
        <f t="shared" ref="M577:M584" si="14">L577/(1-(1+L577)^-D577)</f>
        <v>9.2927821836826949E-2</v>
      </c>
      <c r="N577" s="153">
        <f t="shared" ref="N577:N584" si="15">((C577-J577)*M577)+(J577*L577)</f>
        <v>23950.821541098459</v>
      </c>
      <c r="O577" s="157">
        <f t="shared" ref="O577:O584" si="16">N577*G577</f>
        <v>255.21206644741466</v>
      </c>
      <c r="U577"/>
      <c r="W577"/>
    </row>
    <row r="578" spans="1:28" ht="14.4" x14ac:dyDescent="0.3">
      <c r="A578" t="s">
        <v>7003</v>
      </c>
      <c r="B578" s="99" t="s">
        <v>1226</v>
      </c>
      <c r="C578" s="153">
        <f>VLOOKUP("Agitator, ptoDefault",Econ.Tables!$C:$E,2,FALSE)*E523</f>
        <v>43500</v>
      </c>
      <c r="D578" s="42">
        <f>VLOOKUP("CAPEXLifetimeAgitator, ptoDefault",Econ.inputsTable!$E:$H,2,FALSE)</f>
        <v>15</v>
      </c>
      <c r="E578"/>
      <c r="F578" s="214">
        <f>F577</f>
        <v>10.655670662882399</v>
      </c>
      <c r="G578" s="220">
        <f>VLOOKUP("CAPEXAnnual usage on activityItems that are used only on the given activityDefault",Econ.inputsTable!$E:$H,2,FALSE)</f>
        <v>1</v>
      </c>
      <c r="H578" s="216">
        <f t="shared" si="11"/>
        <v>5.0999999999999997E-2</v>
      </c>
      <c r="I578" s="503">
        <f>VLOOKUP("CAPEXSalvageEquipmentDefault",Econ.inputsTable!$E:$H,2,FALSE)</f>
        <v>0.2</v>
      </c>
      <c r="J578" s="153">
        <f t="shared" si="12"/>
        <v>8700</v>
      </c>
      <c r="K578" s="217">
        <f>VLOOKUP("CAPEXFinanced amountNADefault",Econ.inputsTable!$E:$H,2,FALSE)</f>
        <v>1</v>
      </c>
      <c r="L578" s="218">
        <f t="shared" si="13"/>
        <v>5.0999999999999997E-2</v>
      </c>
      <c r="M578">
        <f t="shared" si="14"/>
        <v>9.6994593888520206E-2</v>
      </c>
      <c r="N578" s="153">
        <f t="shared" si="15"/>
        <v>3819.1118673205028</v>
      </c>
      <c r="O578" s="157">
        <f t="shared" si="16"/>
        <v>3819.1118673205028</v>
      </c>
      <c r="U578"/>
      <c r="W578"/>
    </row>
    <row r="579" spans="1:28" ht="14.4" x14ac:dyDescent="0.3">
      <c r="A579" t="s">
        <v>7003</v>
      </c>
      <c r="B579" s="99" t="s">
        <v>7005</v>
      </c>
      <c r="C579" s="153">
        <f>VLOOKUP(_xlfn.CONCAT("Tractor",E525," hp"), Econ.Tables!$C:$E,2, FALSE)*E527</f>
        <v>313600</v>
      </c>
      <c r="D579" s="79">
        <f>VLOOKUP("CAPEXLifetimeTractor, 4 wheel drive and crawlerDefault",Econ.inputsTable!$E:$H,2,FALSE)/E579</f>
        <v>16</v>
      </c>
      <c r="E579" s="213">
        <f>IF(F579&gt;UDV.tractor.min_usage_yearly,F579,UDV.tractor.min_usage_yearly)</f>
        <v>1000</v>
      </c>
      <c r="F579" s="214">
        <f>IF(E527=0,0,(E544+(E558/E556))/E527)</f>
        <v>1.1152655936727354</v>
      </c>
      <c r="G579" s="215">
        <f t="shared" ref="G579:G581" si="17">F579/E579</f>
        <v>1.1152655936727354E-3</v>
      </c>
      <c r="H579" s="216">
        <f t="shared" si="11"/>
        <v>5.0999999999999997E-2</v>
      </c>
      <c r="I579" s="503">
        <f>VLOOKUP("CAPEXSalvageEquipmentDefault",Econ.inputsTable!$E:$H,2,FALSE)</f>
        <v>0.2</v>
      </c>
      <c r="J579" s="153">
        <f t="shared" si="12"/>
        <v>62720</v>
      </c>
      <c r="K579" s="217">
        <f>VLOOKUP("CAPEXFinanced amountNADefault",Econ.inputsTable!$E:$H,2,FALSE)</f>
        <v>1</v>
      </c>
      <c r="L579" s="218">
        <f t="shared" si="13"/>
        <v>5.0999999999999997E-2</v>
      </c>
      <c r="M579">
        <f t="shared" si="14"/>
        <v>9.2927821836826949E-2</v>
      </c>
      <c r="N579" s="153">
        <f t="shared" si="15"/>
        <v>26512.451942423148</v>
      </c>
      <c r="O579" s="157">
        <f t="shared" si="16"/>
        <v>29.568425455286416</v>
      </c>
      <c r="U579"/>
      <c r="W579"/>
    </row>
    <row r="580" spans="1:28" s="42" customFormat="1" ht="14.4" x14ac:dyDescent="0.3">
      <c r="A580" t="s">
        <v>7003</v>
      </c>
      <c r="B580" s="222" t="s">
        <v>3021</v>
      </c>
      <c r="C580" s="223">
        <f>VLOOKUP("Pump, tractor ptoDefault",Econ.Tables!$C:$E,2,FALSE)*E526</f>
        <v>26500</v>
      </c>
      <c r="D580" s="42">
        <f>VLOOKUP("CAPEXLifetimePump, tractor ptoDefault",Econ.inputsTable!$E:$H,2,FALSE)</f>
        <v>15</v>
      </c>
      <c r="F580" s="214">
        <f>F579</f>
        <v>1.1152655936727354</v>
      </c>
      <c r="G580" s="220">
        <f>VLOOKUP("CAPEXAnnual usage on activityItems that are used only on the given activityDefault",Econ.inputsTable!$E:$H,2,FALSE)</f>
        <v>1</v>
      </c>
      <c r="H580" s="216">
        <f t="shared" si="11"/>
        <v>5.0999999999999997E-2</v>
      </c>
      <c r="I580" s="503">
        <f>VLOOKUP("CAPEXSalvageEquipmentDefault",Econ.inputsTable!$E:$H,2,FALSE)</f>
        <v>0.2</v>
      </c>
      <c r="J580" s="153">
        <f t="shared" si="12"/>
        <v>5300</v>
      </c>
      <c r="K580" s="217">
        <f>VLOOKUP("CAPEXFinanced amountNADefault",Econ.inputsTable!$E:$H,2,FALSE)</f>
        <v>1</v>
      </c>
      <c r="L580" s="218">
        <f t="shared" si="13"/>
        <v>5.0999999999999997E-2</v>
      </c>
      <c r="M580">
        <f t="shared" si="14"/>
        <v>9.6994593888520206E-2</v>
      </c>
      <c r="N580" s="153">
        <f t="shared" si="15"/>
        <v>2326.5853904366286</v>
      </c>
      <c r="O580" s="157">
        <f t="shared" si="16"/>
        <v>2326.5853904366286</v>
      </c>
      <c r="Q580"/>
      <c r="R580"/>
      <c r="S580"/>
      <c r="T580"/>
      <c r="U580"/>
      <c r="V580"/>
      <c r="W580"/>
      <c r="X580"/>
      <c r="Y580"/>
      <c r="Z580"/>
      <c r="AA580"/>
      <c r="AB580"/>
    </row>
    <row r="581" spans="1:28" ht="14.4" x14ac:dyDescent="0.3">
      <c r="A581" t="s">
        <v>7003</v>
      </c>
      <c r="B581" s="99" t="s">
        <v>7006</v>
      </c>
      <c r="C581" s="153">
        <f>VLOOKUP(_xlfn.CONCAT("Tractor",E528," hp"), Econ.Tables!$C:$E,2, FALSE)*E531</f>
        <v>404700</v>
      </c>
      <c r="D581" s="79">
        <f>VLOOKUP("CAPEXLifetimeTractor, 4 wheel drive and crawlerDefault",Econ.inputsTable!$E:$H,2,FALSE)/E581</f>
        <v>16</v>
      </c>
      <c r="E581" s="213">
        <f>IF(F581&gt;UDV.tractor.min_usage_yearly,F581,UDV.tractor.min_usage_yearly)</f>
        <v>1000</v>
      </c>
      <c r="F581" s="214">
        <f>IF(E531=0,0,(E545+(E559/E556))/E531)</f>
        <v>8.5245365303059195</v>
      </c>
      <c r="G581" s="215">
        <f t="shared" si="17"/>
        <v>8.5245365303059199E-3</v>
      </c>
      <c r="H581" s="216">
        <f t="shared" si="11"/>
        <v>5.0999999999999997E-2</v>
      </c>
      <c r="I581" s="503">
        <f>VLOOKUP("CAPEXSalvageEquipmentDefault",Econ.inputsTable!$E:$H,2,FALSE)</f>
        <v>0.2</v>
      </c>
      <c r="J581" s="153">
        <f t="shared" si="12"/>
        <v>80940</v>
      </c>
      <c r="K581" s="217">
        <f>VLOOKUP("CAPEXFinanced amountNADefault",Econ.inputsTable!$E:$H,2,FALSE)</f>
        <v>1</v>
      </c>
      <c r="L581" s="218">
        <f t="shared" si="13"/>
        <v>5.0999999999999997E-2</v>
      </c>
      <c r="M581">
        <f t="shared" si="14"/>
        <v>9.2927821836826949E-2</v>
      </c>
      <c r="N581" s="153">
        <f t="shared" si="15"/>
        <v>34214.251597891096</v>
      </c>
      <c r="O581" s="157">
        <f t="shared" si="16"/>
        <v>291.66063760330036</v>
      </c>
      <c r="U581"/>
      <c r="W581"/>
    </row>
    <row r="582" spans="1:28" ht="14.4" x14ac:dyDescent="0.3">
      <c r="A582" t="s">
        <v>7003</v>
      </c>
      <c r="B582" s="99" t="s">
        <v>6392</v>
      </c>
      <c r="C582" s="153">
        <f>UDV.econ_tanker.cost*E530</f>
        <v>136600</v>
      </c>
      <c r="D582" s="42">
        <f>VLOOKUP("CAPEXLifetimeEquipmentDefault",Econ.inputsTable!$E:$H,2,FALSE)</f>
        <v>10</v>
      </c>
      <c r="E582"/>
      <c r="F582" s="214">
        <f>F581</f>
        <v>8.5245365303059195</v>
      </c>
      <c r="G582" s="220">
        <f>VLOOKUP("CAPEXAnnual usage on activityItems that are used only on the given activityDefault",Econ.inputsTable!$E:$H,2,FALSE)</f>
        <v>1</v>
      </c>
      <c r="H582" s="216">
        <f t="shared" si="11"/>
        <v>5.0999999999999997E-2</v>
      </c>
      <c r="I582" s="503">
        <f>VLOOKUP("CAPEXSalvageEquipmentDefault",Econ.inputsTable!$E:$H,2,FALSE)</f>
        <v>0.2</v>
      </c>
      <c r="J582" s="153">
        <f t="shared" si="12"/>
        <v>27320</v>
      </c>
      <c r="K582" s="217">
        <f>VLOOKUP("CAPEXFinanced amountNADefault",Econ.inputsTable!$E:$H,2,FALSE)</f>
        <v>1</v>
      </c>
      <c r="L582" s="218">
        <f t="shared" si="13"/>
        <v>5.0999999999999997E-2</v>
      </c>
      <c r="M582">
        <f t="shared" si="14"/>
        <v>0.13013423257204779</v>
      </c>
      <c r="N582" s="153">
        <f t="shared" si="15"/>
        <v>15614.388935473382</v>
      </c>
      <c r="O582" s="157">
        <f t="shared" si="16"/>
        <v>15614.388935473382</v>
      </c>
    </row>
    <row r="583" spans="1:28" ht="14.4" x14ac:dyDescent="0.3">
      <c r="A583" t="s">
        <v>7003</v>
      </c>
      <c r="B583" s="99" t="s">
        <v>7007</v>
      </c>
      <c r="C583" s="229">
        <f>(IF(E532="Broadcast",VLOOKUP("BoomDefault", Econ.Tables!$C:$E,2,FALSE),0))*E530</f>
        <v>0</v>
      </c>
      <c r="D583" s="42">
        <f>VLOOKUP("CAPEXLifetimeEquipmentDefault",Econ.inputsTable!$E:$H,2,FALSE)</f>
        <v>10</v>
      </c>
      <c r="E583" s="152"/>
      <c r="F583" s="231">
        <f>IF(C532="Broadcast",F581,0)</f>
        <v>0</v>
      </c>
      <c r="G583" s="220">
        <f>VLOOKUP("CAPEXAnnual usage on activityItems that are used only on the given activityDefault",Econ.inputsTable!$E:$H,2,FALSE)</f>
        <v>1</v>
      </c>
      <c r="H583" s="216">
        <f t="shared" si="11"/>
        <v>5.0999999999999997E-2</v>
      </c>
      <c r="I583" s="216">
        <f>VLOOKUP("CAPEXSalvageEquipmentDefault",Econ.inputsTable!$E:$H,2,FALSE)</f>
        <v>0.2</v>
      </c>
      <c r="J583" s="153">
        <f t="shared" si="12"/>
        <v>0</v>
      </c>
      <c r="K583" s="217">
        <f>VLOOKUP("CAPEXFinanced amountNADefault",Econ.inputsTable!$E:$H,2,FALSE)</f>
        <v>1</v>
      </c>
      <c r="L583" s="218">
        <f t="shared" si="13"/>
        <v>5.0999999999999997E-2</v>
      </c>
      <c r="M583">
        <f t="shared" si="14"/>
        <v>0.13013423257204779</v>
      </c>
      <c r="N583" s="153">
        <f t="shared" si="15"/>
        <v>0</v>
      </c>
      <c r="O583" s="157">
        <f t="shared" si="16"/>
        <v>0</v>
      </c>
    </row>
    <row r="584" spans="1:28" ht="14.4" x14ac:dyDescent="0.3">
      <c r="A584" t="s">
        <v>7003</v>
      </c>
      <c r="B584" s="99" t="s">
        <v>7008</v>
      </c>
      <c r="C584" s="229">
        <f>(IF(E532="Injection",VLOOKUP("InjectionDefault",Econ.Tables!$C:$E,2,FALSE),0))*E530</f>
        <v>80900</v>
      </c>
      <c r="D584" s="42">
        <f>VLOOKUP("CAPEXLifetimeEquipmentDefault",Econ.inputsTable!$E:$H,2,FALSE)</f>
        <v>10</v>
      </c>
      <c r="E584" s="152"/>
      <c r="F584" s="231">
        <f>IF(C532="Injection",F582,0)</f>
        <v>8.5245365303059195</v>
      </c>
      <c r="G584" s="220">
        <f>VLOOKUP("CAPEXAnnual usage on activityItems that are used only on the given activityDefault",Econ.inputsTable!$E:$H,2,FALSE)</f>
        <v>1</v>
      </c>
      <c r="H584" s="216">
        <f t="shared" si="11"/>
        <v>5.0999999999999997E-2</v>
      </c>
      <c r="I584" s="216">
        <f>VLOOKUP("CAPEXSalvageEquipmentDefault",Econ.inputsTable!$E:$H,2,FALSE)</f>
        <v>0.2</v>
      </c>
      <c r="J584" s="153">
        <f t="shared" si="12"/>
        <v>16180</v>
      </c>
      <c r="K584" s="217">
        <f>VLOOKUP("CAPEXFinanced amountNADefault",Econ.inputsTable!$E:$H,2,FALSE)</f>
        <v>1</v>
      </c>
      <c r="L584" s="218">
        <f t="shared" si="13"/>
        <v>5.0999999999999997E-2</v>
      </c>
      <c r="M584">
        <f t="shared" si="14"/>
        <v>0.13013423257204779</v>
      </c>
      <c r="N584" s="153">
        <f t="shared" si="15"/>
        <v>9247.4675320629322</v>
      </c>
      <c r="O584" s="157">
        <f t="shared" si="16"/>
        <v>9247.4675320629322</v>
      </c>
    </row>
    <row r="585" spans="1:28" ht="14.4" x14ac:dyDescent="0.3">
      <c r="B585" s="99"/>
      <c r="C585" s="229"/>
      <c r="D585" s="42"/>
      <c r="E585" s="42"/>
      <c r="F585" s="42"/>
      <c r="H585" s="42"/>
      <c r="I585" s="152"/>
      <c r="J585" s="231"/>
      <c r="K585" s="220"/>
      <c r="L585" s="216"/>
      <c r="M585" s="216"/>
      <c r="N585" s="216"/>
      <c r="O585" s="232"/>
    </row>
    <row r="586" spans="1:28" ht="14.4" x14ac:dyDescent="0.3">
      <c r="B586" s="99"/>
      <c r="C586" s="82" t="s">
        <v>7009</v>
      </c>
      <c r="D586" s="82" t="s">
        <v>6963</v>
      </c>
      <c r="E586"/>
      <c r="F586"/>
      <c r="G586"/>
      <c r="H586"/>
      <c r="K586"/>
      <c r="L586"/>
      <c r="N586" s="153"/>
      <c r="O586" s="157"/>
    </row>
    <row r="587" spans="1:28" ht="14.4" x14ac:dyDescent="0.3">
      <c r="A587" t="s">
        <v>5202</v>
      </c>
      <c r="B587" s="99" t="s">
        <v>6964</v>
      </c>
      <c r="C587" s="153">
        <f>SUM(C576:C584)</f>
        <v>1339087.7351752787</v>
      </c>
      <c r="D587" s="233">
        <f>SUMPRODUCT(C576:C584,G576:G584)</f>
        <v>344306.11389806384</v>
      </c>
      <c r="E587"/>
      <c r="F587"/>
      <c r="G587"/>
      <c r="H587"/>
      <c r="K587"/>
      <c r="L587"/>
      <c r="O587" s="146"/>
    </row>
    <row r="588" spans="1:28" ht="14.4" x14ac:dyDescent="0.3">
      <c r="A588" t="s">
        <v>5202</v>
      </c>
      <c r="B588" s="149" t="s">
        <v>6965</v>
      </c>
      <c r="C588" s="159">
        <f>SUM(N576:N584)</f>
        <v>119730.30473200731</v>
      </c>
      <c r="D588" s="234">
        <f>SUMPRODUCT(N576:N584,G576:G584)</f>
        <v>35629.220780100601</v>
      </c>
      <c r="E588" s="159"/>
      <c r="F588" s="150"/>
      <c r="G588" s="150"/>
      <c r="H588" s="150"/>
      <c r="I588" s="150"/>
      <c r="J588" s="150"/>
      <c r="K588" s="150"/>
      <c r="L588" s="150"/>
      <c r="M588" s="150"/>
      <c r="N588" s="150"/>
      <c r="O588" s="151"/>
    </row>
    <row r="589" spans="1:28" ht="14.4" x14ac:dyDescent="0.3">
      <c r="B589" s="262"/>
      <c r="C589" s="142"/>
      <c r="D589" s="142"/>
      <c r="E589" s="142"/>
      <c r="F589" s="142"/>
      <c r="G589" s="142"/>
      <c r="H589" s="142"/>
      <c r="I589" s="142"/>
      <c r="J589" s="142"/>
      <c r="K589" s="142"/>
      <c r="L589" s="142"/>
      <c r="M589" s="142"/>
      <c r="N589" s="142"/>
      <c r="O589" s="141"/>
    </row>
    <row r="590" spans="1:28" ht="43.2" x14ac:dyDescent="0.3">
      <c r="B590" s="160" t="s">
        <v>6966</v>
      </c>
      <c r="C590" s="152" t="s">
        <v>6967</v>
      </c>
      <c r="D590" s="152" t="s">
        <v>6968</v>
      </c>
      <c r="E590" s="152" t="s">
        <v>6969</v>
      </c>
      <c r="F590" s="152" t="s">
        <v>6970</v>
      </c>
      <c r="G590" s="152" t="s">
        <v>6971</v>
      </c>
      <c r="H590" s="152" t="s">
        <v>6972</v>
      </c>
      <c r="I590" s="152" t="s">
        <v>6973</v>
      </c>
      <c r="J590" s="152" t="s">
        <v>6974</v>
      </c>
      <c r="K590" s="152" t="s">
        <v>6975</v>
      </c>
      <c r="L590" s="152" t="s">
        <v>6976</v>
      </c>
      <c r="M590" s="152" t="s">
        <v>6977</v>
      </c>
      <c r="N590" s="152" t="s">
        <v>6978</v>
      </c>
      <c r="O590" s="161" t="s">
        <v>6979</v>
      </c>
    </row>
    <row r="591" spans="1:28" ht="14.4" x14ac:dyDescent="0.3">
      <c r="B591" s="99" t="s">
        <v>2808</v>
      </c>
      <c r="C591" s="155">
        <f>VLOOKUP("OPEXInsuranceEverythingDefault",Econ.inputsTable!$E:$K,2,FALSE)</f>
        <v>5.0000000000000001E-3</v>
      </c>
      <c r="D591" s="154">
        <f>VLOOKUP("OPEXRepair and maintenanceEquipmentDefault",Econ.inputsTable!$E:$K,2,FALSE)</f>
        <v>0.03</v>
      </c>
      <c r="E591"/>
      <c r="F591" s="504">
        <f>E537</f>
        <v>934.64729834049092</v>
      </c>
      <c r="G591" s="504">
        <f>F591*E570</f>
        <v>64.109015938671504</v>
      </c>
      <c r="H591"/>
      <c r="I591" s="504"/>
      <c r="J591" s="504"/>
      <c r="K591" s="147">
        <f>E538</f>
        <v>7.1199309092168166</v>
      </c>
      <c r="L591" s="156">
        <f>K591*E572</f>
        <v>168.45756531206987</v>
      </c>
      <c r="O591" s="167">
        <f t="shared" ref="O591" si="18">(SUM(C591:D591)*C576*G576)+SUM(E591,G591,I591,J591,L591,N591)</f>
        <v>1982.1373123854944</v>
      </c>
      <c r="P591"/>
      <c r="U591"/>
      <c r="W591"/>
    </row>
    <row r="592" spans="1:28" ht="14.4" x14ac:dyDescent="0.3">
      <c r="B592" s="235" t="s">
        <v>7004</v>
      </c>
      <c r="C592" s="236">
        <f>VLOOKUP("OPEXInsuranceEverythingDefault",Econ.inputsTable!$E:$H,2,FALSE)</f>
        <v>5.0000000000000001E-3</v>
      </c>
      <c r="D592" s="237">
        <f>VLOOKUP("OPEXRepair and maintenanceEquipmentDefault",Econ.inputsTable!$E:$H,2,FALSE)</f>
        <v>0.03</v>
      </c>
      <c r="E592"/>
      <c r="F592"/>
      <c r="G592"/>
      <c r="H592" s="147">
        <f>E546+(E560/E556)</f>
        <v>75.015921466692078</v>
      </c>
      <c r="I592" s="233">
        <f>H592*E571</f>
        <v>277.29564600425493</v>
      </c>
      <c r="J592" s="229">
        <f>I592*VLOOKUP("OPEXLubeLubeDefault",Econ.inputsTable!$E:$H,2,FALSE)</f>
        <v>27.729564600425494</v>
      </c>
      <c r="K592" s="205">
        <f>(E543+(E557/E556))*VLOOKUP("OPEXLaborTractorDefault",Econ.inputsTable!$E:$H,2,FALSE)</f>
        <v>11.721237729170639</v>
      </c>
      <c r="L592" s="318">
        <f>K592*E572</f>
        <v>277.32448467217733</v>
      </c>
      <c r="O592" s="240">
        <f t="shared" ref="O592:O599" si="19">(SUM(C592:D592)*C577*G577)+SUM(E592,G592,I592,J592,L592,N592)</f>
        <v>688.0059977346682</v>
      </c>
    </row>
    <row r="593" spans="1:15" ht="14.4" x14ac:dyDescent="0.3">
      <c r="B593" s="99" t="s">
        <v>1226</v>
      </c>
      <c r="C593" s="236">
        <f>VLOOKUP("OPEXInsuranceEverythingDefault",Econ.inputsTable!$E:$H,2,FALSE)</f>
        <v>5.0000000000000001E-3</v>
      </c>
      <c r="D593" s="237">
        <f>VLOOKUP("OPEXRepair and maintenanceEquipmentDefault",Econ.inputsTable!$E:$H,2,FALSE)</f>
        <v>0.03</v>
      </c>
      <c r="E593"/>
      <c r="F593"/>
      <c r="G593"/>
      <c r="H593" s="147"/>
      <c r="I593" s="233"/>
      <c r="J593" s="233"/>
      <c r="K593"/>
      <c r="L593" s="153"/>
      <c r="O593" s="240">
        <f t="shared" si="19"/>
        <v>1522.4999999999998</v>
      </c>
    </row>
    <row r="594" spans="1:15" ht="14.4" x14ac:dyDescent="0.3">
      <c r="B594" s="99" t="s">
        <v>7005</v>
      </c>
      <c r="C594" s="236">
        <f>VLOOKUP("OPEXInsuranceEverythingDefault",Econ.inputsTable!$E:$H,2,FALSE)</f>
        <v>5.0000000000000001E-3</v>
      </c>
      <c r="D594" s="237">
        <f>VLOOKUP("OPEXRepair and maintenanceEquipmentDefault",Econ.inputsTable!$E:$H,2,FALSE)</f>
        <v>0.03</v>
      </c>
      <c r="E594"/>
      <c r="F594"/>
      <c r="G594"/>
      <c r="H594" s="147">
        <f>E547+(E561/E556)</f>
        <v>8.8329035018880617</v>
      </c>
      <c r="I594" s="233">
        <f>H594*E571</f>
        <v>32.650744465450899</v>
      </c>
      <c r="J594" s="229">
        <f>I594*VLOOKUP("OPEXLubeLubeDefault",Econ.inputsTable!$E:$H,2,FALSE)</f>
        <v>3.26507444654509</v>
      </c>
      <c r="K594" s="205">
        <f>(E544+(E558/E556))*VLOOKUP("OPEXLaborTractorDefault",Econ.inputsTable!$E:$H,2,FALSE)</f>
        <v>1.226792153040009</v>
      </c>
      <c r="L594" s="318">
        <f>K594*E572</f>
        <v>29.025902340926613</v>
      </c>
      <c r="O594" s="240">
        <f t="shared" si="19"/>
        <v>77.182876409074552</v>
      </c>
    </row>
    <row r="595" spans="1:15" ht="14.4" x14ac:dyDescent="0.3">
      <c r="B595" s="222" t="s">
        <v>3021</v>
      </c>
      <c r="C595" s="236">
        <f>VLOOKUP("OPEXInsuranceEverythingDefault",Econ.inputsTable!$E:$H,2,FALSE)</f>
        <v>5.0000000000000001E-3</v>
      </c>
      <c r="D595" s="237">
        <f>VLOOKUP("OPEXRepair and maintenancePump, tractor ptoDefault",Econ.inputsTable!$E:$H,2,FALSE)</f>
        <v>0.05</v>
      </c>
      <c r="E595"/>
      <c r="F595"/>
      <c r="G595"/>
      <c r="H595"/>
      <c r="I595" s="233"/>
      <c r="J595" s="233"/>
      <c r="K595"/>
      <c r="L595" s="153"/>
      <c r="O595" s="240">
        <f t="shared" si="19"/>
        <v>1457.5</v>
      </c>
    </row>
    <row r="596" spans="1:15" ht="14.4" x14ac:dyDescent="0.3">
      <c r="B596" s="99" t="s">
        <v>7006</v>
      </c>
      <c r="C596" s="236">
        <f>VLOOKUP("OPEXInsuranceEverythingDefault",Econ.inputsTable!$E:$H,2,FALSE)</f>
        <v>5.0000000000000001E-3</v>
      </c>
      <c r="D596" s="237">
        <f>VLOOKUP("OPEXRepair and maintenanceEquipmentDefault",Econ.inputsTable!$E:$H,2,FALSE)</f>
        <v>0.03</v>
      </c>
      <c r="E596"/>
      <c r="F596"/>
      <c r="G596"/>
      <c r="H596" s="147">
        <f>E548+(E562/E556)</f>
        <v>93.769901833365111</v>
      </c>
      <c r="I596" s="233">
        <f>H596*E571</f>
        <v>346.61955750531871</v>
      </c>
      <c r="J596" s="229">
        <f>I596*VLOOKUP("OPEXLubeLubeDefault",Econ.inputsTable!$E:$H,2,FALSE)</f>
        <v>34.661955750531874</v>
      </c>
      <c r="K596" s="205">
        <f>(E545+(E559/E556))*VLOOKUP("OPEXLaborTractorDefault",Econ.inputsTable!$E:$H,2,FALSE)</f>
        <v>9.3769901833365115</v>
      </c>
      <c r="L596" s="318">
        <f>K596*E572</f>
        <v>221.85958773774186</v>
      </c>
      <c r="O596" s="240">
        <f t="shared" si="19"/>
        <v>723.88689867711059</v>
      </c>
    </row>
    <row r="597" spans="1:15" ht="14.4" x14ac:dyDescent="0.3">
      <c r="B597" s="99" t="s">
        <v>6392</v>
      </c>
      <c r="C597" s="236">
        <f>VLOOKUP("OPEXInsuranceEverythingDefault",Econ.inputsTable!$E:$H,2,FALSE)</f>
        <v>5.0000000000000001E-3</v>
      </c>
      <c r="D597" s="237">
        <f>VLOOKUP("OPEXRepair and maintenanceEquipmentDefault",Econ.inputsTable!$E:$H,2,FALSE)</f>
        <v>0.03</v>
      </c>
      <c r="E597"/>
      <c r="F597"/>
      <c r="G597"/>
      <c r="H597"/>
      <c r="I597" s="233"/>
      <c r="J597" s="233"/>
      <c r="K597"/>
      <c r="L597" s="153"/>
      <c r="O597" s="240">
        <f t="shared" si="19"/>
        <v>4780.9999999999991</v>
      </c>
    </row>
    <row r="598" spans="1:15" ht="14.4" x14ac:dyDescent="0.3">
      <c r="B598" s="99" t="s">
        <v>7007</v>
      </c>
      <c r="C598" s="236">
        <f>VLOOKUP("OPEXInsuranceEverythingDefault",Econ.inputsTable!$E:$H,2,FALSE)</f>
        <v>5.0000000000000001E-3</v>
      </c>
      <c r="D598" s="237">
        <f>VLOOKUP("OPEXRepair and maintenanceEquipmentDefault",Econ.inputsTable!$E:$H,2,FALSE)</f>
        <v>0.03</v>
      </c>
      <c r="E598"/>
      <c r="F598"/>
      <c r="G598"/>
      <c r="H598"/>
      <c r="I598" s="233"/>
      <c r="J598" s="233"/>
      <c r="K598"/>
      <c r="L598" s="153"/>
      <c r="O598" s="240">
        <f t="shared" si="19"/>
        <v>0</v>
      </c>
    </row>
    <row r="599" spans="1:15" ht="14.4" x14ac:dyDescent="0.3">
      <c r="B599" s="99" t="s">
        <v>7008</v>
      </c>
      <c r="C599" s="236">
        <f>VLOOKUP("OPEXInsuranceEverythingDefault",Econ.inputsTable!$E:$H,2,FALSE)</f>
        <v>5.0000000000000001E-3</v>
      </c>
      <c r="D599" s="237">
        <f>VLOOKUP("OPEXRepair and maintenanceEquipmentDefault",Econ.inputsTable!$E:$H,2,FALSE)</f>
        <v>0.03</v>
      </c>
      <c r="E599"/>
      <c r="F599"/>
      <c r="G599"/>
      <c r="H599"/>
      <c r="I599" s="233"/>
      <c r="J599" s="233"/>
      <c r="K599"/>
      <c r="L599" s="153"/>
      <c r="O599" s="240">
        <f t="shared" si="19"/>
        <v>2831.4999999999995</v>
      </c>
    </row>
    <row r="600" spans="1:15" ht="14.4" x14ac:dyDescent="0.3">
      <c r="A600" t="s">
        <v>5202</v>
      </c>
      <c r="B600" s="162" t="s">
        <v>5203</v>
      </c>
      <c r="C600" s="241"/>
      <c r="D600" s="241"/>
      <c r="E600" s="242">
        <f t="shared" ref="E600:O600" si="20">SUM(E591:E599)</f>
        <v>0</v>
      </c>
      <c r="F600" s="2125">
        <f t="shared" si="20"/>
        <v>934.64729834049092</v>
      </c>
      <c r="G600" s="242">
        <f t="shared" si="20"/>
        <v>64.109015938671504</v>
      </c>
      <c r="H600" s="286">
        <f t="shared" si="20"/>
        <v>177.61872680194526</v>
      </c>
      <c r="I600" s="242">
        <f t="shared" si="20"/>
        <v>656.56594797502453</v>
      </c>
      <c r="J600" s="242">
        <f t="shared" si="20"/>
        <v>65.656594797502464</v>
      </c>
      <c r="K600" s="243">
        <f t="shared" si="20"/>
        <v>29.444950974763977</v>
      </c>
      <c r="L600" s="242">
        <f t="shared" si="20"/>
        <v>696.66754006291569</v>
      </c>
      <c r="M600" s="374">
        <f t="shared" si="20"/>
        <v>0</v>
      </c>
      <c r="N600" s="242">
        <f t="shared" si="20"/>
        <v>0</v>
      </c>
      <c r="O600" s="169">
        <f t="shared" si="20"/>
        <v>14063.713085206346</v>
      </c>
    </row>
    <row r="601" spans="1:15" ht="14.4" x14ac:dyDescent="0.3">
      <c r="B601" s="99"/>
      <c r="D601"/>
      <c r="E601"/>
      <c r="F601"/>
      <c r="G601"/>
      <c r="H601"/>
      <c r="K601"/>
      <c r="L601"/>
      <c r="O601" s="146"/>
    </row>
    <row r="602" spans="1:15" ht="14.4" x14ac:dyDescent="0.3">
      <c r="A602" t="s">
        <v>5202</v>
      </c>
      <c r="B602" s="149" t="s">
        <v>6980</v>
      </c>
      <c r="C602" s="159">
        <f>O600</f>
        <v>14063.713085206346</v>
      </c>
      <c r="D602" s="150"/>
      <c r="E602" s="150"/>
      <c r="F602" s="150"/>
      <c r="G602" s="150"/>
      <c r="H602" s="150"/>
      <c r="I602" s="150"/>
      <c r="J602" s="150"/>
      <c r="K602" s="150"/>
      <c r="L602" s="150"/>
      <c r="M602" s="150"/>
      <c r="N602" s="150"/>
      <c r="O602" s="151"/>
    </row>
    <row r="603" spans="1:15" ht="14.4" x14ac:dyDescent="0.3">
      <c r="C603" s="153"/>
      <c r="D603"/>
      <c r="E603"/>
      <c r="F603"/>
      <c r="G603"/>
      <c r="H603"/>
      <c r="K603"/>
      <c r="L603"/>
    </row>
    <row r="604" spans="1:15" ht="14.4" x14ac:dyDescent="0.3">
      <c r="B604" s="384" t="s">
        <v>7123</v>
      </c>
      <c r="C604" s="2997" t="s">
        <v>6402</v>
      </c>
      <c r="D604" s="2999"/>
      <c r="E604" s="3059" t="s">
        <v>6417</v>
      </c>
      <c r="F604" s="3058"/>
      <c r="G604"/>
      <c r="H604"/>
      <c r="K604"/>
      <c r="L604"/>
    </row>
    <row r="605" spans="1:15" ht="14.4" x14ac:dyDescent="0.3">
      <c r="B605" s="385" t="s">
        <v>7012</v>
      </c>
      <c r="C605" s="139" t="s">
        <v>7124</v>
      </c>
      <c r="D605" s="245" t="s">
        <v>7125</v>
      </c>
      <c r="E605" s="139" t="s">
        <v>7124</v>
      </c>
      <c r="F605" s="245" t="s">
        <v>7125</v>
      </c>
      <c r="G605"/>
      <c r="H605"/>
      <c r="K605"/>
      <c r="L605"/>
    </row>
    <row r="606" spans="1:15" ht="14.4" x14ac:dyDescent="0.3">
      <c r="A606" t="s">
        <v>5202</v>
      </c>
      <c r="B606" s="386" t="s">
        <v>7013</v>
      </c>
      <c r="C606" s="387">
        <f xml:space="preserve"> VLOOKUP("Fertilizer value for on-farm use, liquids",$R$1:$T$332,3, FALSE)</f>
        <v>4596.6072158599345</v>
      </c>
      <c r="D606" s="388">
        <f>VLOOKUP("Fertilizer value for on-farm use, liquids",$R$1:$T$332,3, FALSE)</f>
        <v>4596.6072158599345</v>
      </c>
      <c r="E606" s="387"/>
      <c r="F606" s="389">
        <f>VLOOKUP("Fertilizer value for on-farm use, sludge",$R$1:$T$332,3, FALSE)</f>
        <v>11769.86299214459</v>
      </c>
      <c r="G606"/>
      <c r="H606"/>
      <c r="K606"/>
      <c r="L606"/>
    </row>
    <row r="607" spans="1:15" ht="14.4" x14ac:dyDescent="0.3">
      <c r="A607" t="s">
        <v>5202</v>
      </c>
      <c r="B607" s="386" t="s">
        <v>7126</v>
      </c>
      <c r="C607" s="390">
        <f>C606</f>
        <v>4596.6072158599345</v>
      </c>
      <c r="D607" s="391"/>
      <c r="E607" s="390">
        <f>(F606/UDV.anaer_lagoon.sludge_time)</f>
        <v>1176.986299214459</v>
      </c>
      <c r="F607" s="391"/>
      <c r="G607"/>
      <c r="H607"/>
      <c r="K607"/>
      <c r="L607"/>
    </row>
    <row r="608" spans="1:15" ht="14.4" x14ac:dyDescent="0.3">
      <c r="A608" t="s">
        <v>5202</v>
      </c>
      <c r="B608" s="386" t="s">
        <v>7014</v>
      </c>
      <c r="C608" s="393">
        <f>SUM(C607,E607)</f>
        <v>5773.5935150743935</v>
      </c>
      <c r="D608" s="146"/>
      <c r="E608" s="99"/>
      <c r="F608" s="146"/>
    </row>
    <row r="609" spans="1:6" ht="14.4" x14ac:dyDescent="0.3">
      <c r="B609" s="386"/>
      <c r="D609" s="146"/>
      <c r="E609" s="99"/>
      <c r="F609" s="146"/>
    </row>
    <row r="610" spans="1:6" ht="14.4" x14ac:dyDescent="0.3">
      <c r="B610" s="394" t="s">
        <v>7015</v>
      </c>
      <c r="C610" s="139" t="s">
        <v>7124</v>
      </c>
      <c r="D610" s="245" t="s">
        <v>7125</v>
      </c>
      <c r="E610" s="139" t="s">
        <v>7124</v>
      </c>
      <c r="F610" s="245" t="s">
        <v>7125</v>
      </c>
    </row>
    <row r="611" spans="1:6" ht="14.4" x14ac:dyDescent="0.3">
      <c r="A611" t="s">
        <v>5202</v>
      </c>
      <c r="B611" s="386" t="s">
        <v>7016</v>
      </c>
      <c r="C611" s="387">
        <f>UDV.econ_manure.liquid_sell_price*C512</f>
        <v>0</v>
      </c>
      <c r="D611" s="389">
        <f>UDV.econ_manure.liquid_sell_price*C512</f>
        <v>0</v>
      </c>
      <c r="E611" s="387"/>
      <c r="F611" s="389">
        <f>UDV.econ_manure.sludge_sell_price*C515</f>
        <v>0</v>
      </c>
    </row>
    <row r="612" spans="1:6" ht="14.4" x14ac:dyDescent="0.3">
      <c r="A612" t="s">
        <v>5202</v>
      </c>
      <c r="B612" s="386" t="s">
        <v>7127</v>
      </c>
      <c r="C612" s="390">
        <f>C611</f>
        <v>0</v>
      </c>
      <c r="D612" s="391"/>
      <c r="E612" s="390">
        <f>(F611/UDV.anaer_lagoon.sludge_time)</f>
        <v>0</v>
      </c>
      <c r="F612" s="391"/>
    </row>
    <row r="613" spans="1:6" ht="14.4" x14ac:dyDescent="0.3">
      <c r="A613" t="s">
        <v>5202</v>
      </c>
      <c r="B613" s="386" t="s">
        <v>7017</v>
      </c>
      <c r="C613" s="393">
        <f>SUM(C612,E612)</f>
        <v>0</v>
      </c>
      <c r="D613" s="146"/>
      <c r="E613" s="99"/>
      <c r="F613" s="146"/>
    </row>
    <row r="614" spans="1:6" ht="14.4" x14ac:dyDescent="0.3">
      <c r="B614" s="386"/>
      <c r="C614" s="166"/>
      <c r="D614" s="146"/>
      <c r="E614" s="395"/>
      <c r="F614" s="396"/>
    </row>
    <row r="615" spans="1:6" ht="14.4" x14ac:dyDescent="0.3">
      <c r="B615" s="397" t="s">
        <v>7018</v>
      </c>
      <c r="C615" s="139" t="s">
        <v>7124</v>
      </c>
      <c r="D615" s="245" t="s">
        <v>7125</v>
      </c>
      <c r="E615" s="139" t="s">
        <v>7124</v>
      </c>
      <c r="F615" s="245" t="s">
        <v>7125</v>
      </c>
    </row>
    <row r="616" spans="1:6" ht="14.4" x14ac:dyDescent="0.3">
      <c r="A616" t="s">
        <v>5202</v>
      </c>
      <c r="B616" s="386" t="s">
        <v>7019</v>
      </c>
      <c r="C616" s="387">
        <f>UDV.econ_manure.liquid_sell_price*C513</f>
        <v>0</v>
      </c>
      <c r="D616" s="389">
        <f>UDV.econ_manure.liquid_sell_price*C513</f>
        <v>0</v>
      </c>
      <c r="E616" s="387">
        <v>0</v>
      </c>
      <c r="F616" s="389">
        <f>UDV.econ_manure.sludge_sell_price*C516</f>
        <v>0</v>
      </c>
    </row>
    <row r="617" spans="1:6" ht="14.4" x14ac:dyDescent="0.3">
      <c r="A617" t="s">
        <v>5202</v>
      </c>
      <c r="B617" s="386" t="s">
        <v>7128</v>
      </c>
      <c r="C617" s="390">
        <f>C616</f>
        <v>0</v>
      </c>
      <c r="D617" s="391"/>
      <c r="E617" s="390">
        <f>(F616/UDV.anaer_lagoon.sludge_time)</f>
        <v>0</v>
      </c>
      <c r="F617" s="391"/>
    </row>
    <row r="618" spans="1:6" ht="14.4" x14ac:dyDescent="0.3">
      <c r="A618" t="s">
        <v>5202</v>
      </c>
      <c r="B618" s="386" t="s">
        <v>7020</v>
      </c>
      <c r="C618" s="393">
        <f>SUM(C617,E617)</f>
        <v>0</v>
      </c>
      <c r="D618" s="146"/>
      <c r="E618" s="99"/>
      <c r="F618" s="146"/>
    </row>
    <row r="619" spans="1:6" ht="14.4" x14ac:dyDescent="0.3">
      <c r="B619" s="386"/>
      <c r="D619" s="146"/>
      <c r="E619" s="99"/>
      <c r="F619" s="146"/>
    </row>
    <row r="620" spans="1:6" ht="14.4" x14ac:dyDescent="0.3">
      <c r="B620" s="398" t="s">
        <v>7021</v>
      </c>
      <c r="C620" s="139" t="s">
        <v>7124</v>
      </c>
      <c r="D620" s="245" t="s">
        <v>7125</v>
      </c>
      <c r="E620" s="139" t="s">
        <v>7124</v>
      </c>
      <c r="F620" s="245" t="s">
        <v>7125</v>
      </c>
    </row>
    <row r="621" spans="1:6" ht="14.4" x14ac:dyDescent="0.3">
      <c r="A621" t="s">
        <v>5202</v>
      </c>
      <c r="B621" s="386" t="s">
        <v>7022</v>
      </c>
      <c r="C621" s="387">
        <f>UDV.econ_manure.liquid_export_cost*C514</f>
        <v>0</v>
      </c>
      <c r="D621" s="389">
        <f>UDV.econ_manure.liquid_export_cost*C514</f>
        <v>0</v>
      </c>
      <c r="E621" s="387">
        <v>0</v>
      </c>
      <c r="F621" s="389">
        <f>UDV.econ_manure.sludge_export_cost*C517</f>
        <v>0</v>
      </c>
    </row>
    <row r="622" spans="1:6" ht="14.4" x14ac:dyDescent="0.3">
      <c r="A622" t="s">
        <v>5202</v>
      </c>
      <c r="B622" s="386" t="s">
        <v>7129</v>
      </c>
      <c r="C622" s="390">
        <f>C621</f>
        <v>0</v>
      </c>
      <c r="D622" s="391"/>
      <c r="E622" s="390">
        <f>(F621/UDV.anaer_lagoon.sludge_time)</f>
        <v>0</v>
      </c>
      <c r="F622" s="391"/>
    </row>
    <row r="623" spans="1:6" ht="14.4" x14ac:dyDescent="0.3">
      <c r="A623" t="s">
        <v>5202</v>
      </c>
      <c r="B623" s="386" t="s">
        <v>7023</v>
      </c>
      <c r="C623" s="393">
        <f>SUM(C622,E622)</f>
        <v>0</v>
      </c>
      <c r="D623" s="146"/>
      <c r="E623" s="99"/>
      <c r="F623" s="146"/>
    </row>
    <row r="624" spans="1:6" ht="13.5" customHeight="1" x14ac:dyDescent="0.3">
      <c r="D624" s="146"/>
      <c r="E624" s="99"/>
      <c r="F624" s="146"/>
    </row>
    <row r="625" spans="1:23" ht="14.4" x14ac:dyDescent="0.3">
      <c r="B625" s="303" t="s">
        <v>7138</v>
      </c>
      <c r="C625" s="173" t="s">
        <v>7025</v>
      </c>
      <c r="D625" s="173"/>
      <c r="E625" s="99"/>
      <c r="F625" s="146"/>
      <c r="G625"/>
      <c r="H625"/>
      <c r="K625"/>
      <c r="L625"/>
      <c r="P625"/>
    </row>
    <row r="626" spans="1:23" ht="14.4" x14ac:dyDescent="0.3">
      <c r="B626" s="70" t="s">
        <v>7139</v>
      </c>
      <c r="C626" s="265"/>
      <c r="D626" s="151"/>
      <c r="E626" s="149"/>
      <c r="F626" s="151"/>
      <c r="G626"/>
      <c r="H626"/>
      <c r="K626"/>
      <c r="L626"/>
      <c r="P626"/>
    </row>
    <row r="627" spans="1:23" ht="15" thickBot="1" x14ac:dyDescent="0.35">
      <c r="A627" s="137"/>
      <c r="B627" s="137"/>
      <c r="C627" s="137"/>
      <c r="D627" s="137"/>
      <c r="E627" s="137"/>
      <c r="F627" s="137"/>
      <c r="G627" s="137"/>
      <c r="H627" s="137"/>
      <c r="I627" s="137"/>
      <c r="J627" s="137"/>
      <c r="K627" s="137"/>
      <c r="L627" s="137"/>
      <c r="M627" s="137"/>
      <c r="N627" s="137"/>
      <c r="O627" s="137"/>
      <c r="P627" s="137"/>
      <c r="Q627" s="137"/>
    </row>
    <row r="628" spans="1:23" ht="14.4" x14ac:dyDescent="0.3">
      <c r="D628"/>
      <c r="E628"/>
      <c r="F628"/>
      <c r="G628"/>
      <c r="H628"/>
      <c r="K628"/>
      <c r="L628"/>
      <c r="P628"/>
    </row>
    <row r="629" spans="1:23" ht="14.4" x14ac:dyDescent="0.3">
      <c r="B629" s="82" t="s">
        <v>7239</v>
      </c>
      <c r="C629" s="170" t="s">
        <v>7236</v>
      </c>
      <c r="D629"/>
      <c r="E629"/>
      <c r="F629"/>
      <c r="G629"/>
      <c r="H629"/>
      <c r="K629"/>
      <c r="L629"/>
      <c r="P629"/>
      <c r="U629"/>
      <c r="W629"/>
    </row>
    <row r="630" spans="1:23" ht="14.4" x14ac:dyDescent="0.3">
      <c r="D630"/>
      <c r="E630"/>
      <c r="F630"/>
      <c r="G630"/>
      <c r="H630"/>
      <c r="K630"/>
      <c r="L630"/>
      <c r="P630"/>
      <c r="U630"/>
      <c r="W630"/>
    </row>
    <row r="631" spans="1:23" ht="14.4" x14ac:dyDescent="0.3">
      <c r="B631" s="139" t="s">
        <v>6983</v>
      </c>
      <c r="C631" s="140" t="s">
        <v>565</v>
      </c>
      <c r="D631" s="140" t="s">
        <v>38</v>
      </c>
      <c r="E631" s="142"/>
      <c r="F631" s="141"/>
      <c r="G631"/>
      <c r="H631"/>
      <c r="K631"/>
      <c r="L631"/>
      <c r="P631"/>
      <c r="U631"/>
      <c r="W631"/>
    </row>
    <row r="632" spans="1:23" ht="14.4" x14ac:dyDescent="0.3">
      <c r="B632" s="99" t="s">
        <v>7028</v>
      </c>
      <c r="C632">
        <f>UDV.crops.acres_available</f>
        <v>100</v>
      </c>
      <c r="D632" t="s">
        <v>7029</v>
      </c>
      <c r="E632" s="34"/>
      <c r="F632" s="146"/>
      <c r="G632"/>
      <c r="H632"/>
      <c r="K632"/>
      <c r="L632"/>
      <c r="P632"/>
      <c r="U632"/>
      <c r="W632"/>
    </row>
    <row r="633" spans="1:23" ht="14.4" x14ac:dyDescent="0.3">
      <c r="B633" s="99" t="s">
        <v>7109</v>
      </c>
      <c r="C633" s="166">
        <f>UDV.econ_manure.liquid_sell_pct*VLOOKUP("Excess volume, lagoon liquid manure",$R$1:$T$332, 3, FALSE)</f>
        <v>0</v>
      </c>
      <c r="D633" t="s">
        <v>5246</v>
      </c>
      <c r="E633"/>
      <c r="F633" s="146"/>
      <c r="G633"/>
      <c r="H633"/>
      <c r="K633"/>
      <c r="L633"/>
      <c r="P633"/>
      <c r="U633"/>
      <c r="W633"/>
    </row>
    <row r="634" spans="1:23" ht="14.4" x14ac:dyDescent="0.3">
      <c r="B634" s="99" t="s">
        <v>7110</v>
      </c>
      <c r="C634" s="166">
        <f>UDV.econ_manure.liquid_give_pct*VLOOKUP("Excess volume, lagoon liquid manure",$R$1:$T$332, 3, FALSE)</f>
        <v>0</v>
      </c>
      <c r="D634" t="s">
        <v>5246</v>
      </c>
      <c r="E634"/>
      <c r="F634" s="146"/>
      <c r="G634"/>
      <c r="H634"/>
      <c r="K634"/>
      <c r="L634"/>
      <c r="P634"/>
      <c r="U634"/>
      <c r="W634"/>
    </row>
    <row r="635" spans="1:23" ht="14.4" x14ac:dyDescent="0.3">
      <c r="B635" s="99" t="s">
        <v>7111</v>
      </c>
      <c r="C635" s="166">
        <f>UDV.econ_manure.liquid_export_pct*VLOOKUP("Excess volume, lagoon liquid manure",$R$1:$T$332, 3, FALSE)</f>
        <v>0</v>
      </c>
      <c r="D635" t="s">
        <v>5246</v>
      </c>
      <c r="E635"/>
      <c r="F635" s="146"/>
      <c r="G635"/>
      <c r="H635"/>
      <c r="K635"/>
      <c r="L635"/>
      <c r="P635"/>
      <c r="U635"/>
      <c r="W635"/>
    </row>
    <row r="636" spans="1:23" ht="14.4" x14ac:dyDescent="0.3">
      <c r="B636" s="99" t="s">
        <v>7112</v>
      </c>
      <c r="C636" s="166">
        <f>UDV.econ_manure.sludge_sell_pct*VLOOKUP("Excess volume, lagoon sludge manure",$R$1:$T$332, 3, FALSE)</f>
        <v>0</v>
      </c>
      <c r="D636" t="s">
        <v>5249</v>
      </c>
      <c r="E636"/>
      <c r="F636" s="146"/>
      <c r="G636"/>
      <c r="H636"/>
      <c r="K636"/>
      <c r="L636"/>
      <c r="P636"/>
      <c r="U636"/>
      <c r="W636"/>
    </row>
    <row r="637" spans="1:23" ht="14.4" x14ac:dyDescent="0.3">
      <c r="B637" s="99" t="s">
        <v>7113</v>
      </c>
      <c r="C637" s="166">
        <f>UDV.econ_manure.sludge_give_pct*VLOOKUP("Excess volume, lagoon sludge manure",$R$1:$T$332, 3, FALSE)</f>
        <v>0</v>
      </c>
      <c r="D637" t="s">
        <v>5249</v>
      </c>
      <c r="E637"/>
      <c r="F637" s="146"/>
      <c r="G637"/>
      <c r="H637"/>
      <c r="K637"/>
      <c r="L637"/>
      <c r="P637"/>
      <c r="U637"/>
      <c r="W637"/>
    </row>
    <row r="638" spans="1:23" ht="14.4" x14ac:dyDescent="0.3">
      <c r="B638" s="99" t="s">
        <v>7114</v>
      </c>
      <c r="C638" s="166">
        <f>UDV.econ_manure.sludge_export_pct*VLOOKUP("Excess volume, lagoon sludge manure",$R$1:$T$332, 3, FALSE)</f>
        <v>0</v>
      </c>
      <c r="D638" t="s">
        <v>5249</v>
      </c>
      <c r="E638"/>
      <c r="F638" s="146"/>
      <c r="G638"/>
      <c r="H638"/>
      <c r="K638"/>
      <c r="L638"/>
      <c r="P638"/>
      <c r="U638"/>
      <c r="W638"/>
    </row>
    <row r="639" spans="1:23" ht="14.4" x14ac:dyDescent="0.3">
      <c r="B639" s="99"/>
      <c r="D639"/>
      <c r="E639"/>
      <c r="F639" s="151"/>
      <c r="G639"/>
      <c r="H639"/>
      <c r="K639"/>
      <c r="L639"/>
      <c r="P639"/>
      <c r="U639"/>
      <c r="W639"/>
    </row>
    <row r="640" spans="1:23" ht="14.4" x14ac:dyDescent="0.3">
      <c r="B640" s="92" t="s">
        <v>6942</v>
      </c>
      <c r="C640" s="82"/>
      <c r="D640" s="82"/>
      <c r="E640" s="139" t="s">
        <v>6988</v>
      </c>
      <c r="F640" s="141"/>
      <c r="G640"/>
      <c r="H640"/>
      <c r="K640"/>
      <c r="L640"/>
      <c r="P640"/>
      <c r="U640"/>
      <c r="W640"/>
    </row>
    <row r="641" spans="2:23" ht="14.4" x14ac:dyDescent="0.3">
      <c r="B641" s="175" t="s">
        <v>2908</v>
      </c>
      <c r="C641" s="82"/>
      <c r="D641" s="82"/>
      <c r="E641" s="92"/>
      <c r="F641" s="146"/>
      <c r="G641"/>
      <c r="H641"/>
      <c r="K641"/>
      <c r="L641"/>
      <c r="P641"/>
      <c r="U641"/>
      <c r="W641"/>
    </row>
    <row r="642" spans="2:23" ht="14.4" x14ac:dyDescent="0.3">
      <c r="B642" s="143" t="s">
        <v>2663</v>
      </c>
      <c r="C642" s="144" t="s">
        <v>565</v>
      </c>
      <c r="D642" s="144" t="s">
        <v>6943</v>
      </c>
      <c r="E642" s="143" t="s">
        <v>565</v>
      </c>
      <c r="F642" s="145" t="s">
        <v>6944</v>
      </c>
      <c r="G642"/>
      <c r="H642"/>
      <c r="K642"/>
      <c r="L642"/>
      <c r="P642"/>
      <c r="U642"/>
      <c r="W642"/>
    </row>
    <row r="643" spans="2:23" ht="14.4" x14ac:dyDescent="0.3">
      <c r="B643" s="99" t="s">
        <v>5708</v>
      </c>
      <c r="C643" s="147">
        <f t="shared" ref="C643:C651" si="21">VLOOKUP(B643,$R:$U,3,FALSE)</f>
        <v>3000</v>
      </c>
      <c r="D643" t="s">
        <v>2514</v>
      </c>
      <c r="E643" s="99">
        <f t="shared" ref="E643:E651" si="22">C643</f>
        <v>3000</v>
      </c>
      <c r="F643" s="146" t="s">
        <v>2514</v>
      </c>
      <c r="G643"/>
      <c r="H643"/>
      <c r="K643"/>
      <c r="L643"/>
      <c r="P643"/>
      <c r="U643"/>
      <c r="W643"/>
    </row>
    <row r="644" spans="2:23" ht="14.4" x14ac:dyDescent="0.3">
      <c r="B644" s="99" t="s">
        <v>5709</v>
      </c>
      <c r="C644" s="147">
        <f t="shared" si="21"/>
        <v>1</v>
      </c>
      <c r="D644" t="s">
        <v>2442</v>
      </c>
      <c r="E644" s="99">
        <f t="shared" si="22"/>
        <v>1</v>
      </c>
      <c r="F644" s="146" t="s">
        <v>2442</v>
      </c>
      <c r="G644"/>
      <c r="H644"/>
      <c r="K644"/>
      <c r="L644"/>
      <c r="P644"/>
      <c r="U644"/>
      <c r="W644"/>
    </row>
    <row r="645" spans="2:23" ht="14.4" x14ac:dyDescent="0.3">
      <c r="B645" s="99" t="s">
        <v>5710</v>
      </c>
      <c r="C645" s="147">
        <f t="shared" si="21"/>
        <v>1</v>
      </c>
      <c r="D645" t="s">
        <v>2442</v>
      </c>
      <c r="E645" s="99">
        <f t="shared" si="22"/>
        <v>1</v>
      </c>
      <c r="F645" s="146" t="s">
        <v>2442</v>
      </c>
      <c r="G645"/>
      <c r="H645"/>
      <c r="K645"/>
      <c r="L645"/>
      <c r="P645"/>
      <c r="U645"/>
      <c r="W645"/>
    </row>
    <row r="646" spans="2:23" ht="14.4" x14ac:dyDescent="0.3">
      <c r="B646" s="99" t="s">
        <v>5688</v>
      </c>
      <c r="C646" s="147">
        <f t="shared" si="21"/>
        <v>580</v>
      </c>
      <c r="D646" t="s">
        <v>5689</v>
      </c>
      <c r="E646" s="99">
        <f t="shared" si="22"/>
        <v>580</v>
      </c>
      <c r="F646" s="146" t="s">
        <v>5689</v>
      </c>
      <c r="G646"/>
      <c r="H646"/>
      <c r="K646"/>
      <c r="L646"/>
      <c r="P646"/>
      <c r="U646"/>
      <c r="W646"/>
    </row>
    <row r="647" spans="2:23" ht="14.4" x14ac:dyDescent="0.3">
      <c r="B647" s="99" t="s">
        <v>5701</v>
      </c>
      <c r="C647" s="147">
        <f t="shared" si="21"/>
        <v>340</v>
      </c>
      <c r="D647" s="146" t="s">
        <v>971</v>
      </c>
      <c r="E647">
        <f t="shared" si="22"/>
        <v>340</v>
      </c>
      <c r="F647" s="146" t="s">
        <v>971</v>
      </c>
      <c r="G647"/>
      <c r="H647"/>
      <c r="K647"/>
      <c r="L647"/>
      <c r="P647"/>
      <c r="U647"/>
      <c r="W647"/>
    </row>
    <row r="648" spans="2:23" ht="14.4" x14ac:dyDescent="0.3">
      <c r="B648" s="99" t="s">
        <v>5738</v>
      </c>
      <c r="C648" s="147">
        <f t="shared" si="21"/>
        <v>1</v>
      </c>
      <c r="D648" s="146" t="s">
        <v>2442</v>
      </c>
      <c r="E648">
        <f t="shared" si="22"/>
        <v>1</v>
      </c>
      <c r="F648" s="146" t="s">
        <v>2442</v>
      </c>
      <c r="G648"/>
      <c r="H648"/>
      <c r="K648"/>
      <c r="L648"/>
      <c r="P648"/>
      <c r="U648"/>
      <c r="W648"/>
    </row>
    <row r="649" spans="2:23" ht="14.4" x14ac:dyDescent="0.3">
      <c r="B649" s="99" t="s">
        <v>5702</v>
      </c>
      <c r="C649" s="147">
        <f t="shared" si="21"/>
        <v>1</v>
      </c>
      <c r="D649" s="146" t="s">
        <v>2442</v>
      </c>
      <c r="E649">
        <f t="shared" si="22"/>
        <v>1</v>
      </c>
      <c r="F649" s="146" t="s">
        <v>2442</v>
      </c>
      <c r="G649"/>
      <c r="H649"/>
      <c r="K649"/>
      <c r="L649"/>
      <c r="P649"/>
      <c r="U649"/>
      <c r="W649"/>
    </row>
    <row r="650" spans="2:23" ht="14.4" x14ac:dyDescent="0.3">
      <c r="B650" s="99" t="s">
        <v>5739</v>
      </c>
      <c r="C650" s="147">
        <f t="shared" si="21"/>
        <v>2</v>
      </c>
      <c r="D650" t="s">
        <v>2971</v>
      </c>
      <c r="E650" s="201">
        <f t="shared" si="22"/>
        <v>2</v>
      </c>
      <c r="F650" s="146" t="s">
        <v>2971</v>
      </c>
      <c r="G650"/>
      <c r="H650"/>
      <c r="K650"/>
      <c r="L650"/>
      <c r="P650"/>
      <c r="U650"/>
      <c r="W650"/>
    </row>
    <row r="651" spans="2:23" ht="14.4" x14ac:dyDescent="0.3">
      <c r="B651" s="99" t="s">
        <v>5732</v>
      </c>
      <c r="C651" s="147" t="str">
        <f t="shared" si="21"/>
        <v>Injection</v>
      </c>
      <c r="D651" t="s">
        <v>7042</v>
      </c>
      <c r="E651" s="165" t="str">
        <f t="shared" si="22"/>
        <v>Injection</v>
      </c>
      <c r="F651" s="146" t="s">
        <v>7042</v>
      </c>
      <c r="G651"/>
      <c r="H651"/>
      <c r="K651"/>
      <c r="L651"/>
      <c r="P651"/>
      <c r="U651"/>
      <c r="W651"/>
    </row>
    <row r="652" spans="2:23" ht="14.4" x14ac:dyDescent="0.3">
      <c r="B652" s="99"/>
      <c r="C652" s="82"/>
      <c r="D652" s="82"/>
      <c r="E652" s="92"/>
      <c r="F652" s="146"/>
      <c r="G652"/>
      <c r="H652"/>
      <c r="K652"/>
      <c r="L652"/>
      <c r="P652"/>
      <c r="U652"/>
      <c r="W652"/>
    </row>
    <row r="653" spans="2:23" ht="14.4" x14ac:dyDescent="0.3">
      <c r="B653" s="175" t="s">
        <v>7115</v>
      </c>
      <c r="C653" s="147"/>
      <c r="D653"/>
      <c r="E653" s="99"/>
      <c r="F653" s="146"/>
      <c r="G653"/>
      <c r="H653"/>
      <c r="K653"/>
      <c r="L653"/>
      <c r="P653"/>
      <c r="U653"/>
      <c r="W653"/>
    </row>
    <row r="654" spans="2:23" ht="14.4" x14ac:dyDescent="0.3">
      <c r="B654" s="143" t="s">
        <v>2663</v>
      </c>
      <c r="C654" s="147"/>
      <c r="D654"/>
      <c r="E654" s="99"/>
      <c r="F654" s="146"/>
      <c r="G654"/>
      <c r="H654"/>
      <c r="K654"/>
      <c r="L654"/>
      <c r="P654"/>
      <c r="U654"/>
      <c r="W654"/>
    </row>
    <row r="655" spans="2:23" ht="14.4" x14ac:dyDescent="0.3">
      <c r="B655" s="99" t="s">
        <v>6407</v>
      </c>
      <c r="C655" s="147">
        <f>VLOOKUP(B655,$R:$U,3,FALSE)</f>
        <v>23.73310303072272</v>
      </c>
      <c r="D655" t="s">
        <v>5385</v>
      </c>
      <c r="E655" s="178">
        <f>C655</f>
        <v>23.73310303072272</v>
      </c>
      <c r="F655" s="146" t="s">
        <v>5385</v>
      </c>
      <c r="G655"/>
      <c r="H655"/>
      <c r="K655"/>
      <c r="L655"/>
      <c r="P655"/>
      <c r="U655"/>
      <c r="W655"/>
    </row>
    <row r="656" spans="2:23" ht="14.4" x14ac:dyDescent="0.3">
      <c r="B656" s="99" t="s">
        <v>6409</v>
      </c>
      <c r="C656" s="147">
        <f>VLOOKUP(B656,$R:$U,3,FALSE)</f>
        <v>934.64729834049092</v>
      </c>
      <c r="D656" t="s">
        <v>5323</v>
      </c>
      <c r="E656" s="178">
        <f>C656</f>
        <v>934.64729834049092</v>
      </c>
      <c r="F656" s="146" t="s">
        <v>5323</v>
      </c>
      <c r="G656"/>
      <c r="H656"/>
      <c r="K656"/>
      <c r="L656"/>
      <c r="P656"/>
      <c r="U656"/>
      <c r="W656"/>
    </row>
    <row r="657" spans="2:23" ht="14.4" x14ac:dyDescent="0.3">
      <c r="B657" s="99" t="s">
        <v>6390</v>
      </c>
      <c r="C657" s="205">
        <f>VLOOKUP(B657,$R:$U, 3, FALSE)</f>
        <v>7.1199309092168166</v>
      </c>
      <c r="D657" t="s">
        <v>2472</v>
      </c>
      <c r="E657" s="178">
        <f>C657</f>
        <v>7.1199309092168166</v>
      </c>
      <c r="F657" s="146" t="s">
        <v>2710</v>
      </c>
      <c r="G657"/>
      <c r="H657"/>
      <c r="K657"/>
      <c r="L657"/>
      <c r="P657"/>
      <c r="U657"/>
      <c r="W657"/>
    </row>
    <row r="658" spans="2:23" ht="14.4" x14ac:dyDescent="0.3">
      <c r="B658" s="99"/>
      <c r="C658" s="82"/>
      <c r="D658" s="82"/>
      <c r="E658" s="92"/>
      <c r="F658" s="146"/>
      <c r="G658"/>
      <c r="H658"/>
      <c r="K658"/>
      <c r="L658"/>
      <c r="P658"/>
      <c r="U658"/>
      <c r="W658"/>
    </row>
    <row r="659" spans="2:23" ht="14.4" x14ac:dyDescent="0.3">
      <c r="B659" s="175" t="s">
        <v>7237</v>
      </c>
      <c r="D659"/>
      <c r="E659" s="99"/>
      <c r="F659" s="146"/>
      <c r="G659"/>
      <c r="H659"/>
      <c r="K659"/>
      <c r="L659"/>
      <c r="P659"/>
      <c r="U659"/>
      <c r="W659"/>
    </row>
    <row r="660" spans="2:23" ht="14.4" x14ac:dyDescent="0.3">
      <c r="B660" s="143" t="s">
        <v>2663</v>
      </c>
      <c r="C660" s="144" t="s">
        <v>565</v>
      </c>
      <c r="D660" s="144" t="s">
        <v>6943</v>
      </c>
      <c r="E660" s="143" t="s">
        <v>565</v>
      </c>
      <c r="F660" s="145" t="s">
        <v>6944</v>
      </c>
      <c r="G660" s="1222" t="s">
        <v>3007</v>
      </c>
      <c r="H660" s="1215" t="s">
        <v>6993</v>
      </c>
      <c r="I660" s="142"/>
      <c r="J660" s="141"/>
      <c r="K660"/>
      <c r="L660"/>
      <c r="P660"/>
      <c r="U660"/>
      <c r="W660"/>
    </row>
    <row r="661" spans="2:23" ht="14.4" x14ac:dyDescent="0.3">
      <c r="B661" s="99" t="s">
        <v>6401</v>
      </c>
      <c r="C661" s="147">
        <f>VLOOKUP(B661,$R:$U,3,FALSE)</f>
        <v>182.5</v>
      </c>
      <c r="D661" t="s">
        <v>5121</v>
      </c>
      <c r="E661" s="201">
        <f>UC.year_to_day/C661</f>
        <v>2</v>
      </c>
      <c r="F661" s="146" t="s">
        <v>7043</v>
      </c>
      <c r="G661" s="42" t="s">
        <v>7131</v>
      </c>
      <c r="H661" s="92" t="s">
        <v>4838</v>
      </c>
      <c r="I661" s="1216" t="s">
        <v>2710</v>
      </c>
      <c r="J661" s="285">
        <f>(SUM(E663:E665)*UDV.OPEX_labor.tractor_stationary)+(SUM(E666:E668)*UDV.OPEX_labor.tractor_active)+E657</f>
        <v>139.58373583222269</v>
      </c>
      <c r="K661"/>
      <c r="L661"/>
      <c r="P661"/>
      <c r="U661"/>
      <c r="W661"/>
    </row>
    <row r="662" spans="2:23" ht="14.4" x14ac:dyDescent="0.3">
      <c r="B662" s="99" t="s">
        <v>5713</v>
      </c>
      <c r="C662" s="147">
        <f>VLOOKUP(B662,$R:$U,3,FALSE)</f>
        <v>0.17408092718255735</v>
      </c>
      <c r="D662" s="146" t="s">
        <v>6085</v>
      </c>
      <c r="E662" s="147">
        <f>C662*E661</f>
        <v>0.34816185436511471</v>
      </c>
      <c r="F662" s="146" t="s">
        <v>2710</v>
      </c>
      <c r="G662" s="42" t="s">
        <v>7132</v>
      </c>
      <c r="H662" s="1217" t="s">
        <v>5444</v>
      </c>
      <c r="I662" s="1216" t="s">
        <v>6085</v>
      </c>
      <c r="J662" s="285">
        <f>(SUM(E684:E686)*UDV.OPEX_labor.tractor_stationary)+(SUM(E687:E689)*UDV.OPEX_labor.tractor_active)</f>
        <v>15.000215521297413</v>
      </c>
      <c r="K662"/>
      <c r="L662"/>
      <c r="P662"/>
      <c r="U662"/>
      <c r="W662"/>
    </row>
    <row r="663" spans="2:23" ht="14.4" x14ac:dyDescent="0.3">
      <c r="B663" s="99" t="s">
        <v>6543</v>
      </c>
      <c r="C663" s="204">
        <f>C662</f>
        <v>0.17408092718255735</v>
      </c>
      <c r="D663" s="141" t="s">
        <v>6085</v>
      </c>
      <c r="E663" s="178">
        <f>C663*E661</f>
        <v>0.34816185436511471</v>
      </c>
      <c r="F663" s="146" t="s">
        <v>2710</v>
      </c>
      <c r="G663" s="42" t="s">
        <v>7133</v>
      </c>
      <c r="H663" s="1218" t="s">
        <v>5445</v>
      </c>
      <c r="I663" s="1216" t="s">
        <v>6995</v>
      </c>
      <c r="J663" s="285">
        <f>SUM(J661:J662)</f>
        <v>154.58395135352009</v>
      </c>
      <c r="K663"/>
      <c r="L663"/>
      <c r="P663"/>
      <c r="U663"/>
      <c r="W663"/>
    </row>
    <row r="664" spans="2:23" ht="14.4" x14ac:dyDescent="0.3">
      <c r="B664" s="99" t="s">
        <v>6544</v>
      </c>
      <c r="C664" s="205">
        <f>C662</f>
        <v>0.17408092718255735</v>
      </c>
      <c r="D664" s="146" t="s">
        <v>6085</v>
      </c>
      <c r="E664" s="178">
        <f>C664*E661</f>
        <v>0.34816185436511471</v>
      </c>
      <c r="F664" s="146" t="s">
        <v>2710</v>
      </c>
      <c r="G664" s="42" t="s">
        <v>7134</v>
      </c>
      <c r="H664" s="1219" t="s">
        <v>5446</v>
      </c>
      <c r="I664" s="1220" t="s">
        <v>5447</v>
      </c>
      <c r="J664" s="1221">
        <f>J661+(J662/UDV.anaer_lagoon.sludge_time)</f>
        <v>141.08375738435242</v>
      </c>
      <c r="K664"/>
      <c r="L664"/>
      <c r="P664"/>
      <c r="U664"/>
      <c r="W664"/>
    </row>
    <row r="665" spans="2:23" ht="14.4" x14ac:dyDescent="0.3">
      <c r="B665" s="99" t="s">
        <v>6545</v>
      </c>
      <c r="C665" s="205">
        <f>C662</f>
        <v>0.17408092718255735</v>
      </c>
      <c r="D665" s="146" t="s">
        <v>6085</v>
      </c>
      <c r="E665" s="178">
        <f>C665*E661</f>
        <v>0.34816185436511471</v>
      </c>
      <c r="F665" s="146" t="s">
        <v>2710</v>
      </c>
      <c r="G665"/>
      <c r="H665"/>
      <c r="K665"/>
      <c r="L665"/>
      <c r="P665"/>
      <c r="U665"/>
      <c r="W665"/>
    </row>
    <row r="666" spans="2:23" ht="14.4" x14ac:dyDescent="0.3">
      <c r="B666" s="99" t="s">
        <v>6546</v>
      </c>
      <c r="C666" s="205">
        <f>C662*UDV.dhl.application_maneuver_factor</f>
        <v>0.20019306625994093</v>
      </c>
      <c r="D666" s="146" t="s">
        <v>6085</v>
      </c>
      <c r="E666" s="178">
        <f>C666*E661</f>
        <v>0.40038613251988187</v>
      </c>
      <c r="F666" s="146" t="s">
        <v>2710</v>
      </c>
      <c r="G666"/>
      <c r="H666"/>
      <c r="K666"/>
      <c r="L666"/>
      <c r="P666"/>
      <c r="U666"/>
      <c r="W666"/>
    </row>
    <row r="667" spans="2:23" ht="14.4" x14ac:dyDescent="0.3">
      <c r="B667" s="99" t="s">
        <v>6547</v>
      </c>
      <c r="C667" s="205">
        <f>C662*UDV.dhl.hose_mover_utilization</f>
        <v>0.130560695386918</v>
      </c>
      <c r="D667" s="146" t="s">
        <v>6085</v>
      </c>
      <c r="E667" s="178">
        <f>C667*E661</f>
        <v>0.261121390773836</v>
      </c>
      <c r="F667" s="146" t="s">
        <v>2710</v>
      </c>
      <c r="G667"/>
      <c r="H667"/>
      <c r="K667"/>
      <c r="L667"/>
      <c r="P667"/>
      <c r="U667"/>
      <c r="W667"/>
    </row>
    <row r="668" spans="2:23" ht="14.4" x14ac:dyDescent="0.3">
      <c r="B668" s="99" t="s">
        <v>6548</v>
      </c>
      <c r="C668" s="209">
        <f>C560*UDV.dhl.pickup_utilization</f>
        <v>59.832590041396934</v>
      </c>
      <c r="D668" s="151" t="s">
        <v>6085</v>
      </c>
      <c r="E668" s="178">
        <f>C668*E661</f>
        <v>119.66518008279387</v>
      </c>
      <c r="F668" s="146" t="s">
        <v>2710</v>
      </c>
      <c r="G668"/>
      <c r="H668"/>
      <c r="K668"/>
      <c r="L668"/>
      <c r="P668"/>
      <c r="U668"/>
      <c r="W668"/>
    </row>
    <row r="669" spans="2:23" ht="14.4" x14ac:dyDescent="0.3">
      <c r="B669" s="99" t="s">
        <v>5714</v>
      </c>
      <c r="C669" s="147">
        <f t="shared" ref="C669:C678" si="23">VLOOKUP(B669,$R:$U,3,FALSE)</f>
        <v>3.1334566892860325</v>
      </c>
      <c r="D669" t="s">
        <v>2489</v>
      </c>
      <c r="E669" s="178">
        <f>C669*E661</f>
        <v>6.266913378572065</v>
      </c>
      <c r="F669" s="146" t="s">
        <v>7135</v>
      </c>
      <c r="G669"/>
      <c r="H669"/>
      <c r="K669"/>
      <c r="L669"/>
      <c r="P669"/>
      <c r="U669"/>
      <c r="W669"/>
    </row>
    <row r="670" spans="2:23" ht="14.4" x14ac:dyDescent="0.3">
      <c r="B670" s="99" t="s">
        <v>5715</v>
      </c>
      <c r="C670" s="147">
        <f t="shared" si="23"/>
        <v>1.3056069538691801</v>
      </c>
      <c r="D670" t="s">
        <v>2489</v>
      </c>
      <c r="E670" s="178">
        <f>C670*E661</f>
        <v>2.6112139077383603</v>
      </c>
      <c r="F670" s="146" t="s">
        <v>7135</v>
      </c>
      <c r="G670"/>
      <c r="H670"/>
      <c r="K670"/>
      <c r="L670"/>
      <c r="P670"/>
      <c r="U670"/>
      <c r="W670"/>
    </row>
    <row r="671" spans="2:23" ht="14.4" x14ac:dyDescent="0.3">
      <c r="B671" s="99" t="s">
        <v>5716</v>
      </c>
      <c r="C671" s="147">
        <f t="shared" si="23"/>
        <v>1.044485563095344</v>
      </c>
      <c r="D671" t="s">
        <v>2489</v>
      </c>
      <c r="E671" s="178">
        <f>C671*E661</f>
        <v>2.088971126190688</v>
      </c>
      <c r="F671" s="146" t="s">
        <v>7135</v>
      </c>
      <c r="G671"/>
      <c r="H671"/>
      <c r="K671"/>
      <c r="L671"/>
      <c r="P671"/>
      <c r="U671"/>
      <c r="W671"/>
    </row>
    <row r="672" spans="2:23" ht="14.4" x14ac:dyDescent="0.3">
      <c r="B672" s="99" t="s">
        <v>5740</v>
      </c>
      <c r="C672" s="147">
        <f t="shared" si="23"/>
        <v>25.52</v>
      </c>
      <c r="D672" t="s">
        <v>6549</v>
      </c>
      <c r="E672" s="178">
        <f t="shared" ref="E672:E673" si="24">C672*E666</f>
        <v>10.217854101907385</v>
      </c>
      <c r="F672" s="146" t="s">
        <v>7135</v>
      </c>
      <c r="G672"/>
      <c r="H672"/>
      <c r="K672"/>
      <c r="L672"/>
      <c r="P672"/>
      <c r="U672"/>
      <c r="W672"/>
    </row>
    <row r="673" spans="2:23" ht="14.4" x14ac:dyDescent="0.3">
      <c r="B673" s="99" t="s">
        <v>5741</v>
      </c>
      <c r="C673" s="147">
        <f t="shared" si="23"/>
        <v>14.959999999999999</v>
      </c>
      <c r="D673" t="s">
        <v>6549</v>
      </c>
      <c r="E673" s="178">
        <f t="shared" si="24"/>
        <v>3.9063760059765862</v>
      </c>
      <c r="F673" s="146" t="s">
        <v>7135</v>
      </c>
      <c r="G673"/>
      <c r="H673"/>
      <c r="K673"/>
      <c r="L673"/>
      <c r="P673"/>
      <c r="U673"/>
      <c r="W673"/>
    </row>
    <row r="674" spans="2:23" ht="14.4" x14ac:dyDescent="0.3">
      <c r="B674" s="99" t="s">
        <v>5717</v>
      </c>
      <c r="C674" s="147">
        <f t="shared" si="23"/>
        <v>0.15667283446430161</v>
      </c>
      <c r="D674" t="s">
        <v>2489</v>
      </c>
      <c r="E674" s="178">
        <f>C674*E661</f>
        <v>0.31334566892860322</v>
      </c>
      <c r="F674" s="146" t="s">
        <v>7135</v>
      </c>
      <c r="G674"/>
      <c r="H674"/>
      <c r="K674"/>
      <c r="L674"/>
      <c r="P674"/>
      <c r="U674"/>
      <c r="W674"/>
    </row>
    <row r="675" spans="2:23" ht="14.4" x14ac:dyDescent="0.3">
      <c r="B675" s="99" t="s">
        <v>6403</v>
      </c>
      <c r="C675" s="147">
        <f t="shared" si="23"/>
        <v>1186.1423892357984</v>
      </c>
      <c r="D675" t="s">
        <v>5910</v>
      </c>
      <c r="E675" s="164">
        <f>CONVERT(C675,"m^3","gal")*E661</f>
        <v>626691.33870683727</v>
      </c>
      <c r="F675" s="146" t="s">
        <v>5324</v>
      </c>
      <c r="G675"/>
      <c r="H675"/>
      <c r="K675"/>
      <c r="L675"/>
      <c r="P675"/>
      <c r="U675"/>
      <c r="W675"/>
    </row>
    <row r="676" spans="2:23" ht="14.4" x14ac:dyDescent="0.3">
      <c r="B676" s="99" t="s">
        <v>6404</v>
      </c>
      <c r="C676" s="78">
        <f t="shared" si="23"/>
        <v>1.034956118250459</v>
      </c>
      <c r="D676" s="146" t="s">
        <v>2413</v>
      </c>
      <c r="E676" s="201">
        <f>C676*UC.g_to_lb/UC.L_to_gal*1000</f>
        <v>8.6371274739918871</v>
      </c>
      <c r="F676" s="146" t="s">
        <v>2414</v>
      </c>
      <c r="G676"/>
      <c r="H676"/>
      <c r="K676"/>
      <c r="L676"/>
      <c r="P676"/>
      <c r="U676"/>
      <c r="W676"/>
    </row>
    <row r="677" spans="2:23" ht="14.4" x14ac:dyDescent="0.3">
      <c r="B677" s="99" t="s">
        <v>6405</v>
      </c>
      <c r="C677" s="78">
        <f t="shared" si="23"/>
        <v>0.77008255040821727</v>
      </c>
      <c r="D677" s="146" t="s">
        <v>2413</v>
      </c>
      <c r="E677" s="201">
        <f>C677*UC.g_to_lb/UC.L_to_gal*1000</f>
        <v>6.426650401967037</v>
      </c>
      <c r="F677" s="146" t="s">
        <v>2414</v>
      </c>
      <c r="G677"/>
      <c r="H677"/>
      <c r="K677"/>
      <c r="L677"/>
      <c r="P677"/>
      <c r="U677"/>
      <c r="W677"/>
    </row>
    <row r="678" spans="2:23" ht="14.4" x14ac:dyDescent="0.3">
      <c r="B678" s="99" t="s">
        <v>6406</v>
      </c>
      <c r="C678" s="78">
        <f t="shared" si="23"/>
        <v>1.1701311485412944</v>
      </c>
      <c r="D678" s="146" t="s">
        <v>2413</v>
      </c>
      <c r="E678" s="201">
        <f>C678*UC.g_to_lb/UC.L_to_gal*1000</f>
        <v>9.7652177836528438</v>
      </c>
      <c r="F678" s="146" t="s">
        <v>2414</v>
      </c>
      <c r="G678"/>
      <c r="H678"/>
      <c r="K678"/>
      <c r="L678"/>
      <c r="P678"/>
      <c r="U678"/>
      <c r="W678"/>
    </row>
    <row r="679" spans="2:23" ht="14.4" x14ac:dyDescent="0.3">
      <c r="B679" s="99"/>
      <c r="D679"/>
      <c r="E679" s="99"/>
      <c r="F679" s="146"/>
      <c r="G679"/>
      <c r="H679"/>
      <c r="K679"/>
      <c r="L679"/>
      <c r="P679"/>
      <c r="U679"/>
      <c r="W679"/>
    </row>
    <row r="680" spans="2:23" ht="14.4" x14ac:dyDescent="0.3">
      <c r="B680" s="175" t="s">
        <v>7238</v>
      </c>
      <c r="D680"/>
      <c r="E680" s="99"/>
      <c r="F680" s="146"/>
      <c r="G680"/>
      <c r="H680"/>
      <c r="K680"/>
      <c r="L680"/>
      <c r="P680"/>
      <c r="U680"/>
      <c r="W680"/>
    </row>
    <row r="681" spans="2:23" ht="14.4" x14ac:dyDescent="0.3">
      <c r="B681" s="143" t="s">
        <v>2663</v>
      </c>
      <c r="C681" s="144" t="s">
        <v>565</v>
      </c>
      <c r="D681" s="144" t="s">
        <v>6943</v>
      </c>
      <c r="E681" s="143" t="s">
        <v>565</v>
      </c>
      <c r="F681" s="145" t="s">
        <v>6944</v>
      </c>
      <c r="G681"/>
      <c r="H681"/>
      <c r="K681"/>
      <c r="L681"/>
      <c r="P681"/>
      <c r="U681"/>
      <c r="W681"/>
    </row>
    <row r="682" spans="2:23" ht="14.4" x14ac:dyDescent="0.3">
      <c r="B682" s="99" t="s">
        <v>6416</v>
      </c>
      <c r="C682" s="382">
        <f>VLOOKUP(B682,$X:$AA,3,FALSE)</f>
        <v>10</v>
      </c>
      <c r="D682" t="s">
        <v>2669</v>
      </c>
      <c r="E682" s="99">
        <f>C682</f>
        <v>10</v>
      </c>
      <c r="F682" s="146" t="s">
        <v>2669</v>
      </c>
      <c r="G682"/>
      <c r="H682"/>
      <c r="K682"/>
      <c r="L682"/>
      <c r="P682"/>
      <c r="U682"/>
      <c r="W682"/>
    </row>
    <row r="683" spans="2:23" ht="14.4" x14ac:dyDescent="0.3">
      <c r="B683" s="99" t="s">
        <v>5713</v>
      </c>
      <c r="C683" s="382">
        <f>VLOOKUP(B683,$X:$AA,3,FALSE)</f>
        <v>5.8709258400381259</v>
      </c>
      <c r="D683" s="146" t="s">
        <v>6085</v>
      </c>
      <c r="E683" s="311">
        <f>C683</f>
        <v>5.8709258400381259</v>
      </c>
      <c r="F683" s="146" t="s">
        <v>6085</v>
      </c>
      <c r="G683"/>
      <c r="H683"/>
      <c r="K683"/>
      <c r="L683"/>
      <c r="P683"/>
      <c r="U683"/>
      <c r="W683"/>
    </row>
    <row r="684" spans="2:23" ht="14.4" x14ac:dyDescent="0.3">
      <c r="B684" s="99" t="s">
        <v>6543</v>
      </c>
      <c r="C684" s="400">
        <f>C683</f>
        <v>5.8709258400381259</v>
      </c>
      <c r="D684" s="141" t="s">
        <v>6085</v>
      </c>
      <c r="E684" s="401">
        <f>E683</f>
        <v>5.8709258400381259</v>
      </c>
      <c r="F684" s="146" t="s">
        <v>6085</v>
      </c>
      <c r="G684"/>
      <c r="H684"/>
      <c r="K684"/>
      <c r="L684"/>
      <c r="P684"/>
      <c r="U684"/>
      <c r="W684"/>
    </row>
    <row r="685" spans="2:23" ht="14.4" x14ac:dyDescent="0.3">
      <c r="B685" s="99" t="s">
        <v>6544</v>
      </c>
      <c r="C685" s="78">
        <f>C683</f>
        <v>5.8709258400381259</v>
      </c>
      <c r="D685" t="s">
        <v>6085</v>
      </c>
      <c r="E685" s="401">
        <f>E683</f>
        <v>5.8709258400381259</v>
      </c>
      <c r="F685" s="146" t="s">
        <v>6085</v>
      </c>
      <c r="G685"/>
      <c r="H685"/>
      <c r="K685"/>
      <c r="L685"/>
      <c r="P685"/>
      <c r="U685"/>
      <c r="W685"/>
    </row>
    <row r="686" spans="2:23" ht="14.4" x14ac:dyDescent="0.3">
      <c r="B686" s="99" t="s">
        <v>6545</v>
      </c>
      <c r="C686" s="78">
        <f>C683</f>
        <v>5.8709258400381259</v>
      </c>
      <c r="D686" t="s">
        <v>6085</v>
      </c>
      <c r="E686" s="401">
        <f>E683</f>
        <v>5.8709258400381259</v>
      </c>
      <c r="F686" s="146" t="s">
        <v>6085</v>
      </c>
      <c r="G686"/>
      <c r="H686" s="139" t="s">
        <v>7033</v>
      </c>
      <c r="I686" s="142"/>
      <c r="J686" s="142"/>
      <c r="K686" s="141"/>
      <c r="L686"/>
      <c r="P686"/>
      <c r="U686"/>
      <c r="W686"/>
    </row>
    <row r="687" spans="2:23" ht="14.4" x14ac:dyDescent="0.3">
      <c r="B687" s="99" t="s">
        <v>7136</v>
      </c>
      <c r="C687" s="78">
        <f>C683*UDV.dhl.application_maneuver_factor</f>
        <v>6.7515647160438439</v>
      </c>
      <c r="D687" t="s">
        <v>6085</v>
      </c>
      <c r="E687" s="401">
        <f>E683*VLOOKUP("NAPercent time for useApplicator tractor for drag hose land applicationDefault",Econ.inputsTable!$E:$G,2,FALSE)</f>
        <v>6.7515647160438439</v>
      </c>
      <c r="F687" s="146" t="s">
        <v>6085</v>
      </c>
      <c r="G687"/>
      <c r="H687" s="99" t="s">
        <v>7034</v>
      </c>
      <c r="K687" s="146"/>
      <c r="L687"/>
      <c r="P687"/>
      <c r="U687"/>
      <c r="W687"/>
    </row>
    <row r="688" spans="2:23" ht="14.4" x14ac:dyDescent="0.3">
      <c r="B688" s="99" t="s">
        <v>7137</v>
      </c>
      <c r="C688" s="78">
        <f>C683*UDV.dhl.hose_mover_utilization</f>
        <v>4.4031943800285944</v>
      </c>
      <c r="D688" t="s">
        <v>6085</v>
      </c>
      <c r="E688" s="401">
        <f>E683*VLOOKUP("NAPercent time for useHose mover tractor for drag hose land applicationDefault",Econ.inputsTable!$E:$G,2,FALSE)</f>
        <v>4.4031943800285944</v>
      </c>
      <c r="F688" s="146" t="s">
        <v>6085</v>
      </c>
      <c r="G688"/>
      <c r="H688" s="99" t="s">
        <v>7035</v>
      </c>
      <c r="K688" s="146"/>
      <c r="L688"/>
      <c r="P688"/>
      <c r="U688"/>
      <c r="W688"/>
    </row>
    <row r="689" spans="2:23" ht="14.4" x14ac:dyDescent="0.3">
      <c r="B689" s="99" t="s">
        <v>6548</v>
      </c>
      <c r="C689" s="312">
        <f>C683*UDV.dhl.pickup_utilization</f>
        <v>0.88063887600571888</v>
      </c>
      <c r="D689" s="151" t="s">
        <v>6085</v>
      </c>
      <c r="E689" s="311">
        <f>E683*VLOOKUP("NAPercent time for usePickup truck for drag hose land applicationDefault",Econ.inputsTable!$E:$G,2,FALSE)</f>
        <v>0.88063887600571888</v>
      </c>
      <c r="F689" s="146" t="s">
        <v>6085</v>
      </c>
      <c r="G689"/>
      <c r="H689" s="235" t="s">
        <v>7047</v>
      </c>
      <c r="K689" s="146"/>
      <c r="L689"/>
      <c r="P689"/>
      <c r="U689"/>
      <c r="W689"/>
    </row>
    <row r="690" spans="2:23" ht="14.4" x14ac:dyDescent="0.3">
      <c r="B690" s="99" t="s">
        <v>5714</v>
      </c>
      <c r="C690" s="382">
        <f t="shared" ref="C690:C699" si="25">VLOOKUP(B690,$X:$AA,3,FALSE)</f>
        <v>105.67666512068627</v>
      </c>
      <c r="D690" t="s">
        <v>2489</v>
      </c>
      <c r="E690" s="178">
        <f>C690</f>
        <v>105.67666512068627</v>
      </c>
      <c r="F690" s="146" t="s">
        <v>6087</v>
      </c>
      <c r="G690" s="147"/>
      <c r="H690" s="235" t="s">
        <v>7037</v>
      </c>
      <c r="K690" s="146"/>
      <c r="L690"/>
      <c r="P690"/>
      <c r="U690"/>
      <c r="W690"/>
    </row>
    <row r="691" spans="2:23" ht="14.4" x14ac:dyDescent="0.3">
      <c r="B691" s="99" t="s">
        <v>5715</v>
      </c>
      <c r="C691" s="382">
        <f t="shared" si="25"/>
        <v>44.031943800285944</v>
      </c>
      <c r="D691" t="s">
        <v>2489</v>
      </c>
      <c r="E691" s="178">
        <f>C691</f>
        <v>44.031943800285944</v>
      </c>
      <c r="F691" s="146" t="s">
        <v>6087</v>
      </c>
      <c r="G691"/>
      <c r="H691" s="235" t="s">
        <v>7038</v>
      </c>
      <c r="K691" s="146"/>
      <c r="L691"/>
      <c r="P691"/>
      <c r="U691"/>
      <c r="W691"/>
    </row>
    <row r="692" spans="2:23" ht="14.4" x14ac:dyDescent="0.3">
      <c r="B692" s="99" t="s">
        <v>5716</v>
      </c>
      <c r="C692" s="382">
        <f t="shared" si="25"/>
        <v>35.225555040228755</v>
      </c>
      <c r="D692" t="s">
        <v>2489</v>
      </c>
      <c r="E692" s="178">
        <f>C692</f>
        <v>35.225555040228755</v>
      </c>
      <c r="F692" s="146" t="s">
        <v>6087</v>
      </c>
      <c r="G692"/>
      <c r="H692" s="235" t="s">
        <v>7007</v>
      </c>
      <c r="K692" s="146"/>
      <c r="L692"/>
      <c r="P692"/>
      <c r="U692"/>
      <c r="W692"/>
    </row>
    <row r="693" spans="2:23" ht="14.4" x14ac:dyDescent="0.3">
      <c r="B693" s="99" t="s">
        <v>5740</v>
      </c>
      <c r="C693" s="382">
        <f t="shared" si="25"/>
        <v>25.52</v>
      </c>
      <c r="D693" t="s">
        <v>6549</v>
      </c>
      <c r="E693" s="178">
        <f>C693*E687</f>
        <v>172.29993155343888</v>
      </c>
      <c r="F693" s="146" t="s">
        <v>6087</v>
      </c>
      <c r="G693"/>
      <c r="H693" s="235" t="s">
        <v>7008</v>
      </c>
      <c r="K693" s="146"/>
      <c r="L693"/>
      <c r="P693"/>
      <c r="U693"/>
      <c r="W693"/>
    </row>
    <row r="694" spans="2:23" ht="14.4" x14ac:dyDescent="0.3">
      <c r="B694" s="99" t="s">
        <v>5741</v>
      </c>
      <c r="C694" s="382">
        <f t="shared" si="25"/>
        <v>14.959999999999999</v>
      </c>
      <c r="D694" t="s">
        <v>6549</v>
      </c>
      <c r="E694" s="178">
        <f>C694*E688</f>
        <v>65.871787925227764</v>
      </c>
      <c r="F694" s="146" t="s">
        <v>6087</v>
      </c>
      <c r="G694"/>
      <c r="H694" s="235" t="s">
        <v>7039</v>
      </c>
      <c r="K694" s="146"/>
      <c r="L694"/>
      <c r="U694"/>
      <c r="W694"/>
    </row>
    <row r="695" spans="2:23" ht="14.4" x14ac:dyDescent="0.3">
      <c r="B695" s="99" t="s">
        <v>5717</v>
      </c>
      <c r="C695" s="382">
        <f t="shared" si="25"/>
        <v>5.2838332560343124</v>
      </c>
      <c r="D695" t="s">
        <v>2489</v>
      </c>
      <c r="E695" s="178">
        <f>C695</f>
        <v>5.2838332560343124</v>
      </c>
      <c r="F695" s="146" t="s">
        <v>6087</v>
      </c>
      <c r="G695"/>
      <c r="H695" s="235" t="s">
        <v>1325</v>
      </c>
      <c r="K695" s="146"/>
      <c r="L695"/>
      <c r="U695"/>
      <c r="W695"/>
    </row>
    <row r="696" spans="2:23" ht="14.4" x14ac:dyDescent="0.3">
      <c r="B696" s="99" t="s">
        <v>6418</v>
      </c>
      <c r="C696" s="382">
        <f t="shared" si="25"/>
        <v>2693.8026530909328</v>
      </c>
      <c r="D696" t="s">
        <v>5910</v>
      </c>
      <c r="E696" s="164">
        <f>CONVERT(C696,"m^3","gal")</f>
        <v>711627.37551485701</v>
      </c>
      <c r="F696" s="146" t="s">
        <v>2489</v>
      </c>
      <c r="G696"/>
      <c r="H696" s="235" t="s">
        <v>7040</v>
      </c>
      <c r="K696" s="146"/>
      <c r="L696"/>
      <c r="U696"/>
      <c r="W696"/>
    </row>
    <row r="697" spans="2:23" ht="14.4" x14ac:dyDescent="0.3">
      <c r="B697" s="99" t="s">
        <v>6404</v>
      </c>
      <c r="C697" s="499">
        <f t="shared" si="25"/>
        <v>2.2785732307584281</v>
      </c>
      <c r="D697" s="146" t="s">
        <v>2413</v>
      </c>
      <c r="E697" s="201">
        <f>C697*UC.g_to_lb/UC.L_to_gal*1000</f>
        <v>19.015615353967544</v>
      </c>
      <c r="F697" s="146" t="s">
        <v>2414</v>
      </c>
      <c r="G697"/>
      <c r="H697" s="235" t="s">
        <v>7041</v>
      </c>
      <c r="K697" s="146"/>
      <c r="L697"/>
      <c r="U697"/>
      <c r="W697"/>
    </row>
    <row r="698" spans="2:23" ht="14.4" x14ac:dyDescent="0.3">
      <c r="B698" s="99" t="s">
        <v>6405</v>
      </c>
      <c r="C698" s="499">
        <f t="shared" si="25"/>
        <v>5.5486604996284568</v>
      </c>
      <c r="D698" s="146" t="s">
        <v>2413</v>
      </c>
      <c r="E698" s="201">
        <f>C698*UC.g_to_lb/UC.L_to_gal*1000</f>
        <v>46.305816449694916</v>
      </c>
      <c r="F698" s="146" t="s">
        <v>2414</v>
      </c>
      <c r="G698"/>
      <c r="H698" s="253" t="s">
        <v>349</v>
      </c>
      <c r="I698" s="150"/>
      <c r="J698" s="150"/>
      <c r="K698" s="151"/>
      <c r="L698"/>
      <c r="U698"/>
      <c r="W698"/>
    </row>
    <row r="699" spans="2:23" ht="14.4" x14ac:dyDescent="0.3">
      <c r="B699" s="99" t="s">
        <v>6406</v>
      </c>
      <c r="C699" s="499">
        <f t="shared" si="25"/>
        <v>5.5486875988667448</v>
      </c>
      <c r="D699" s="146" t="s">
        <v>2413</v>
      </c>
      <c r="E699" s="201">
        <f>C699*UC.g_to_lb/UC.L_to_gal*1000</f>
        <v>46.306042603800783</v>
      </c>
      <c r="F699" s="146" t="s">
        <v>2414</v>
      </c>
      <c r="G699"/>
      <c r="H699"/>
      <c r="K699"/>
      <c r="L699"/>
      <c r="U699"/>
      <c r="W699"/>
    </row>
    <row r="700" spans="2:23" ht="14.4" x14ac:dyDescent="0.3">
      <c r="B700" s="99"/>
      <c r="D700"/>
      <c r="E700" s="99"/>
      <c r="F700" s="146"/>
      <c r="G700"/>
      <c r="H700"/>
      <c r="K700"/>
      <c r="L700"/>
      <c r="U700"/>
      <c r="W700"/>
    </row>
    <row r="701" spans="2:23" ht="14.4" x14ac:dyDescent="0.3">
      <c r="B701" s="92" t="s">
        <v>6996</v>
      </c>
      <c r="D701"/>
      <c r="E701" s="99"/>
      <c r="F701" s="146"/>
      <c r="G701"/>
      <c r="H701"/>
      <c r="K701"/>
      <c r="L701"/>
      <c r="U701"/>
      <c r="W701"/>
    </row>
    <row r="702" spans="2:23" ht="14.4" x14ac:dyDescent="0.3">
      <c r="B702" s="143" t="s">
        <v>2663</v>
      </c>
      <c r="C702" s="144" t="s">
        <v>565</v>
      </c>
      <c r="D702" s="144" t="s">
        <v>6943</v>
      </c>
      <c r="E702" s="143" t="s">
        <v>565</v>
      </c>
      <c r="F702" s="145" t="s">
        <v>6944</v>
      </c>
      <c r="G702"/>
      <c r="H702"/>
      <c r="K702"/>
      <c r="L702"/>
      <c r="U702"/>
      <c r="W702"/>
    </row>
    <row r="703" spans="2:23" ht="14.4" x14ac:dyDescent="0.3">
      <c r="B703" s="99" t="s">
        <v>7076</v>
      </c>
      <c r="D703"/>
      <c r="E703" s="357">
        <f>UDV.electricity.avg_cost</f>
        <v>6.8591666666666662E-2</v>
      </c>
      <c r="F703" s="146" t="s">
        <v>2306</v>
      </c>
      <c r="G703"/>
      <c r="H703"/>
      <c r="K703"/>
      <c r="L703"/>
      <c r="P703"/>
      <c r="U703"/>
      <c r="W703"/>
    </row>
    <row r="704" spans="2:23" ht="14.4" x14ac:dyDescent="0.3">
      <c r="B704" s="99" t="s">
        <v>6997</v>
      </c>
      <c r="D704"/>
      <c r="E704" s="348">
        <f>UDV.fuel.diesel_avg_cost</f>
        <v>3.6964905660377356</v>
      </c>
      <c r="F704" s="146" t="s">
        <v>2315</v>
      </c>
      <c r="G704"/>
      <c r="H704"/>
      <c r="K704"/>
      <c r="L704"/>
      <c r="U704"/>
      <c r="W704"/>
    </row>
    <row r="705" spans="1:23" ht="14.4" x14ac:dyDescent="0.3">
      <c r="B705" s="99" t="s">
        <v>7044</v>
      </c>
      <c r="C705">
        <f>UDV.land_application.max_distance</f>
        <v>2</v>
      </c>
      <c r="D705" t="s">
        <v>2971</v>
      </c>
      <c r="E705" s="178">
        <f>IF(E644=0,0,CONVERT(C705,"mi","ft"))</f>
        <v>10560</v>
      </c>
      <c r="F705" s="146" t="s">
        <v>2340</v>
      </c>
      <c r="G705" s="254"/>
      <c r="H705"/>
      <c r="K705"/>
      <c r="L705"/>
      <c r="U705"/>
      <c r="W705"/>
    </row>
    <row r="706" spans="1:23" ht="14.4" x14ac:dyDescent="0.3">
      <c r="B706" s="99" t="s">
        <v>5712</v>
      </c>
      <c r="C706" s="382">
        <f>VLOOKUP(B706,$X:$AA,3,FALSE)</f>
        <v>1</v>
      </c>
      <c r="D706"/>
      <c r="E706" s="201">
        <f>C706</f>
        <v>1</v>
      </c>
      <c r="F706" s="146" t="s">
        <v>2442</v>
      </c>
      <c r="G706"/>
      <c r="H706"/>
      <c r="K706"/>
      <c r="L706"/>
      <c r="U706"/>
      <c r="W706"/>
    </row>
    <row r="707" spans="1:23" ht="14.4" x14ac:dyDescent="0.3">
      <c r="B707" s="149" t="s">
        <v>6998</v>
      </c>
      <c r="C707" s="150"/>
      <c r="D707" s="151"/>
      <c r="E707" s="349">
        <f>UDV.labor.non_specialized_cost</f>
        <v>23.66</v>
      </c>
      <c r="F707" s="151" t="s">
        <v>3659</v>
      </c>
      <c r="G707"/>
      <c r="H707"/>
      <c r="K707"/>
      <c r="L707"/>
      <c r="U707"/>
      <c r="W707"/>
    </row>
    <row r="708" spans="1:23" ht="14.4" x14ac:dyDescent="0.3">
      <c r="C708" s="82"/>
      <c r="D708"/>
      <c r="E708" s="82"/>
      <c r="F708" s="82"/>
      <c r="G708"/>
      <c r="H708" s="82"/>
      <c r="I708" s="82"/>
      <c r="K708"/>
      <c r="L708"/>
      <c r="O708" s="82"/>
      <c r="U708"/>
      <c r="W708"/>
    </row>
    <row r="709" spans="1:23" ht="14.4" x14ac:dyDescent="0.3">
      <c r="B709" s="206" t="s">
        <v>7108</v>
      </c>
      <c r="C709" s="142"/>
      <c r="D709" s="142"/>
      <c r="E709" s="142"/>
      <c r="F709" s="142"/>
      <c r="G709" s="142"/>
      <c r="H709" s="142"/>
      <c r="I709" s="142"/>
      <c r="J709" s="142"/>
      <c r="K709" s="142"/>
      <c r="L709" s="142"/>
      <c r="M709" s="142"/>
      <c r="N709" s="142"/>
      <c r="O709" s="141"/>
      <c r="U709"/>
      <c r="W709"/>
    </row>
    <row r="710" spans="1:23" ht="72" x14ac:dyDescent="0.3">
      <c r="B710" s="210" t="s">
        <v>6946</v>
      </c>
      <c r="C710" s="152" t="s">
        <v>6947</v>
      </c>
      <c r="D710" s="152" t="s">
        <v>6948</v>
      </c>
      <c r="E710" s="152" t="s">
        <v>6999</v>
      </c>
      <c r="F710" s="152" t="s">
        <v>7045</v>
      </c>
      <c r="G710" s="152" t="s">
        <v>6951</v>
      </c>
      <c r="H710" s="152" t="s">
        <v>6952</v>
      </c>
      <c r="I710" s="152" t="s">
        <v>6953</v>
      </c>
      <c r="J710" s="152" t="s">
        <v>6954</v>
      </c>
      <c r="K710" s="152" t="s">
        <v>6955</v>
      </c>
      <c r="L710" s="152" t="s">
        <v>6956</v>
      </c>
      <c r="M710" s="152" t="s">
        <v>6957</v>
      </c>
      <c r="N710" s="152" t="s">
        <v>7002</v>
      </c>
      <c r="O710" s="161" t="s">
        <v>6959</v>
      </c>
      <c r="U710"/>
      <c r="W710"/>
    </row>
    <row r="711" spans="1:23" ht="14.4" x14ac:dyDescent="0.3">
      <c r="A711" t="s">
        <v>7122</v>
      </c>
      <c r="B711" s="99" t="s">
        <v>2808</v>
      </c>
      <c r="C711" s="153">
        <f>IF(E655=0,0,(VLOOKUP("Irrigation systema",Econ.Equations!$C:$E,2,FALSE)*E655^VLOOKUP("Irrigation systemb",Econ.Equations!$C:$E,2,FALSE))*E655)</f>
        <v>49987.735175278664</v>
      </c>
      <c r="D711" s="42">
        <f>VLOOKUP("CAPEXLifetimeBuildings and constructionDefault",Econ.inputsTable!$E:$G,2,FALSE)</f>
        <v>20</v>
      </c>
      <c r="E711" s="42" t="s">
        <v>2852</v>
      </c>
      <c r="F711" s="42" t="s">
        <v>2852</v>
      </c>
      <c r="G711" s="539">
        <f>VLOOKUP("CAPEXAnnual usage on activityItems that are used only on the given activityDefault",Econ.inputsTable!$E:$J,2,FALSE)</f>
        <v>1</v>
      </c>
      <c r="H711" s="503">
        <f t="shared" ref="H711" si="26">UDV.econ_capital.interest_rate</f>
        <v>5.0999999999999997E-2</v>
      </c>
      <c r="I711" s="2091">
        <f>VLOOKUP("CAPEXSalvageBuildings and constructionDefault",Econ.inputsTable!$E:$K,2,FALSE)</f>
        <v>0</v>
      </c>
      <c r="J711" s="153">
        <f>C711*I711</f>
        <v>0</v>
      </c>
      <c r="K711" s="154">
        <f>VLOOKUP("CAPEXFinanced amountNADefault",Econ.inputsTable!$E:$J,2,FALSE)</f>
        <v>1</v>
      </c>
      <c r="L711" s="2092">
        <f>H711*K711</f>
        <v>5.0999999999999997E-2</v>
      </c>
      <c r="M711" s="351">
        <f>L711/(1-(1+L711)^-D711)</f>
        <v>8.0924368970045152E-2</v>
      </c>
      <c r="N711" s="153">
        <f>((C711-J711)*M711)+(J711*L711)</f>
        <v>4045.2259253011553</v>
      </c>
      <c r="O711" s="372">
        <f>N711*G711</f>
        <v>4045.2259253011553</v>
      </c>
      <c r="P711"/>
      <c r="U711"/>
      <c r="W711"/>
    </row>
    <row r="712" spans="1:23" ht="14.4" x14ac:dyDescent="0.3">
      <c r="A712" t="s">
        <v>7046</v>
      </c>
      <c r="B712" s="99" t="s">
        <v>7034</v>
      </c>
      <c r="C712" s="153">
        <f>VLOOKUP("Diesel powered lead pumpDefault", Econ.Tables!$C:$E,2,FALSE)*E644</f>
        <v>293400</v>
      </c>
      <c r="D712" s="42">
        <f>VLOOKUP("CAPEXLifetimeDiesel-powered pump set package (at lagoon)Default",Econ.inputsTable!$E:$G,2,FALSE)</f>
        <v>17</v>
      </c>
      <c r="E712"/>
      <c r="F712" s="147">
        <f>IF(E644=0,0,(E663+(E684/E682))/E644)</f>
        <v>0.9352544383689273</v>
      </c>
      <c r="G712" s="255">
        <f>VLOOKUP("CAPEXAnnual usage on activityItems that are used only on the given activityDefault",Econ.inputsTable!$E:$G,2,FALSE)</f>
        <v>1</v>
      </c>
      <c r="H712" s="503">
        <f t="shared" ref="H712:H723" si="27">UDV.econ_capital.interest_rate</f>
        <v>5.0999999999999997E-2</v>
      </c>
      <c r="I712" s="236">
        <f>VLOOKUP("CAPEXSalvageEquipmentDefault", Econ.inputsTable!$E:$G,2,FALSE)</f>
        <v>0.2</v>
      </c>
      <c r="J712" s="153">
        <f t="shared" ref="J712:J723" si="28">$C712*I712</f>
        <v>58680</v>
      </c>
      <c r="K712" s="257">
        <f>VLOOKUP("CAPEXFinanced amountNADefault", Econ.inputsTable!$E:$G,2,FALSE)</f>
        <v>1</v>
      </c>
      <c r="L712" s="236">
        <f t="shared" ref="L712:L723" si="29">H712*K712</f>
        <v>5.0999999999999997E-2</v>
      </c>
      <c r="M712">
        <f t="shared" ref="M712:M723" si="30">L712/(1-(1+L712)^-D712)</f>
        <v>8.9362846108502439E-2</v>
      </c>
      <c r="N712" s="153">
        <f t="shared" ref="N712:N723" si="31">((C712-J712)*M712)+(J712*L712)</f>
        <v>23967.927238587694</v>
      </c>
      <c r="O712" s="157">
        <f t="shared" ref="O712:O723" si="32">N712*G712</f>
        <v>23967.927238587694</v>
      </c>
    </row>
    <row r="713" spans="1:23" ht="14.4" x14ac:dyDescent="0.3">
      <c r="A713" t="s">
        <v>7046</v>
      </c>
      <c r="B713" s="99" t="s">
        <v>7035</v>
      </c>
      <c r="C713" s="153">
        <f>VLOOKUP("Diesel powered booster pumpDefault",Econ.Tables!$C:$E,2,FALSE)*E706</f>
        <v>197300</v>
      </c>
      <c r="D713" s="42">
        <f>VLOOKUP("CAPEXLifetimeDiesel-powered pump set package (at lagoon)Default",Econ.inputsTable!$E:$G,2,FALSE)</f>
        <v>17</v>
      </c>
      <c r="E713"/>
      <c r="F713" s="147">
        <f>IF(E706=0,0,(E664+(E685/E682))/E706)</f>
        <v>0.9352544383689273</v>
      </c>
      <c r="G713" s="255">
        <f>VLOOKUP("CAPEXAnnual usage on activityItems that are used only on the given activityDefault",Econ.inputsTable!$E:$G,2,FALSE)</f>
        <v>1</v>
      </c>
      <c r="H713" s="503">
        <f t="shared" si="27"/>
        <v>5.0999999999999997E-2</v>
      </c>
      <c r="I713" s="236">
        <f>VLOOKUP("CAPEXSalvageEquipmentDefault", Econ.inputsTable!$E:$G,2,FALSE)</f>
        <v>0.2</v>
      </c>
      <c r="J713" s="153">
        <f t="shared" si="28"/>
        <v>39460</v>
      </c>
      <c r="K713" s="257">
        <f>VLOOKUP("CAPEXFinanced amountNADefault", Econ.inputsTable!$E:$G,2,FALSE)</f>
        <v>1</v>
      </c>
      <c r="L713" s="236">
        <f t="shared" si="29"/>
        <v>5.0999999999999997E-2</v>
      </c>
      <c r="M713">
        <f t="shared" si="30"/>
        <v>8.9362846108502439E-2</v>
      </c>
      <c r="N713" s="153">
        <f t="shared" si="31"/>
        <v>16117.491629766024</v>
      </c>
      <c r="O713" s="157">
        <f t="shared" si="32"/>
        <v>16117.491629766024</v>
      </c>
    </row>
    <row r="714" spans="1:23" ht="14.4" x14ac:dyDescent="0.3">
      <c r="A714" t="s">
        <v>7046</v>
      </c>
      <c r="B714" s="99" t="s">
        <v>7047</v>
      </c>
      <c r="C714" s="153">
        <f>VLOOKUP("Diesel powered agitation trailerDefault",Econ.Tables!$C:$E,2,FALSE)*E645</f>
        <v>131500</v>
      </c>
      <c r="D714" s="42">
        <f>VLOOKUP("CAPEXLifetimeEquipmentDefault",Econ.inputsTable!$E:$G,2,FALSE)</f>
        <v>10</v>
      </c>
      <c r="E714"/>
      <c r="F714" s="147">
        <f>IF(E645=0,0,(E665+(E686/E682))/E645)</f>
        <v>0.9352544383689273</v>
      </c>
      <c r="G714" s="255">
        <f>VLOOKUP("CAPEXAnnual usage on activityItems that are used only on the given activityDefault",Econ.inputsTable!$E:$G,2,FALSE)</f>
        <v>1</v>
      </c>
      <c r="H714" s="503">
        <f t="shared" si="27"/>
        <v>5.0999999999999997E-2</v>
      </c>
      <c r="I714" s="155">
        <f>VLOOKUP("CAPEXSalvageEquipmentDefault", Econ.inputsTable!$E:$G,2,FALSE)</f>
        <v>0.2</v>
      </c>
      <c r="J714" s="153">
        <f t="shared" si="28"/>
        <v>26300</v>
      </c>
      <c r="K714" s="257">
        <f>VLOOKUP("CAPEXFinanced amountNADefault", Econ.inputsTable!$E:$G,2,FALSE)</f>
        <v>1</v>
      </c>
      <c r="L714" s="236">
        <f t="shared" si="29"/>
        <v>5.0999999999999997E-2</v>
      </c>
      <c r="M714">
        <f t="shared" si="30"/>
        <v>0.13013423257204779</v>
      </c>
      <c r="N714" s="153">
        <f t="shared" si="31"/>
        <v>15031.421266579426</v>
      </c>
      <c r="O714" s="157">
        <f t="shared" si="32"/>
        <v>15031.421266579426</v>
      </c>
    </row>
    <row r="715" spans="1:23" ht="14.4" x14ac:dyDescent="0.3">
      <c r="A715" t="s">
        <v>7046</v>
      </c>
      <c r="B715" s="99" t="s">
        <v>7037</v>
      </c>
      <c r="C715" s="153">
        <f>VLOOKUP(_xlfn.CONCAT("Tractor",E646," hp"), Econ.Tables!$C:$E,2, FALSE)*E648</f>
        <v>637400</v>
      </c>
      <c r="D715" s="79">
        <f>VLOOKUP("CAPEXLifetimeTractor, 4 wheel drive and crawlerDefault",Econ.inputsTable!$E:$H,2,FALSE)/E715</f>
        <v>16</v>
      </c>
      <c r="E715" s="213">
        <f>IF(F715&gt;UDV.tractor.min_usage_yearly,F715,UDV.tractor.min_usage_yearly)</f>
        <v>1000</v>
      </c>
      <c r="F715" s="147">
        <f>IF(E648=0,0,(E666+(E687/E682))/E648)</f>
        <v>1.0755426041242662</v>
      </c>
      <c r="G715" s="236">
        <f>F715/E715</f>
        <v>1.0755426041242661E-3</v>
      </c>
      <c r="H715" s="503">
        <f t="shared" si="27"/>
        <v>5.0999999999999997E-2</v>
      </c>
      <c r="I715" s="236">
        <f>VLOOKUP("CAPEXSalvageEquipmentDefault", Econ.inputsTable!$E:$G,2,FALSE)</f>
        <v>0.2</v>
      </c>
      <c r="J715" s="153">
        <f t="shared" si="28"/>
        <v>127480</v>
      </c>
      <c r="K715" s="257">
        <f>VLOOKUP("CAPEXFinanced amountNADefault", Econ.inputsTable!$E:$G,2,FALSE)</f>
        <v>1</v>
      </c>
      <c r="L715" s="236">
        <f t="shared" si="29"/>
        <v>5.0999999999999997E-2</v>
      </c>
      <c r="M715">
        <f t="shared" si="30"/>
        <v>9.2927821836826949E-2</v>
      </c>
      <c r="N715" s="153">
        <f t="shared" si="31"/>
        <v>53887.2349110348</v>
      </c>
      <c r="O715" s="157">
        <f t="shared" si="32"/>
        <v>57.958016965270431</v>
      </c>
    </row>
    <row r="716" spans="1:23" ht="14.4" x14ac:dyDescent="0.3">
      <c r="A716" t="s">
        <v>7046</v>
      </c>
      <c r="B716" s="99" t="s">
        <v>7048</v>
      </c>
      <c r="C716" s="229">
        <f>VLOOKUP("Hose reel, hydraulic,no specific sizeDefault",Econ.Tables!$C:$E,2,FALSE)*E648</f>
        <v>44500</v>
      </c>
      <c r="D716" s="42">
        <f>VLOOKUP("CAPEXLifetimeEquipmentDefault",Econ.inputsTable!$E:$G,2,FALSE)</f>
        <v>10</v>
      </c>
      <c r="E716" s="152"/>
      <c r="F716" s="259">
        <f>F715</f>
        <v>1.0755426041242662</v>
      </c>
      <c r="G716" s="255">
        <f>VLOOKUP("CAPEXAnnual usage on activityItems that are used only on the given activityDefault",Econ.inputsTable!$E:$G,2,FALSE)</f>
        <v>1</v>
      </c>
      <c r="H716" s="503">
        <f t="shared" si="27"/>
        <v>5.0999999999999997E-2</v>
      </c>
      <c r="I716" s="236">
        <f>VLOOKUP("CAPEXSalvageEquipmentDefault", Econ.inputsTable!$E:$G,2,FALSE)</f>
        <v>0.2</v>
      </c>
      <c r="J716" s="153">
        <f t="shared" si="28"/>
        <v>8900</v>
      </c>
      <c r="K716" s="257">
        <f>VLOOKUP("CAPEXFinanced amountNADefault", Econ.inputsTable!$E:$G,2,FALSE)</f>
        <v>1</v>
      </c>
      <c r="L716" s="236">
        <f t="shared" si="29"/>
        <v>5.0999999999999997E-2</v>
      </c>
      <c r="M716">
        <f t="shared" si="30"/>
        <v>0.13013423257204779</v>
      </c>
      <c r="N716" s="153">
        <f t="shared" si="31"/>
        <v>5086.6786795649004</v>
      </c>
      <c r="O716" s="157">
        <f t="shared" si="32"/>
        <v>5086.6786795649004</v>
      </c>
    </row>
    <row r="717" spans="1:23" ht="14.4" x14ac:dyDescent="0.3">
      <c r="A717" t="s">
        <v>7046</v>
      </c>
      <c r="B717" s="99" t="s">
        <v>7007</v>
      </c>
      <c r="C717" s="229">
        <f>IF(E651="Broadcast",VLOOKUP("BoomDefault", Econ.Tables!$C:$E,2,FALSE),0)*E648</f>
        <v>0</v>
      </c>
      <c r="D717" s="42">
        <f>VLOOKUP("CAPEXLifetimeEquipmentDefault",Econ.inputsTable!$E:$G,2,FALSE)</f>
        <v>10</v>
      </c>
      <c r="E717" s="152"/>
      <c r="F717" s="259">
        <f>IF(E651="Broadcast",F715,0)*VLOOKUP("NAPercent time for useApplication toolbar usage per unit tractor pulling it usageDefault", Econ.inputsTable!$E:$G,2,FALSE)</f>
        <v>0</v>
      </c>
      <c r="G717" s="255">
        <f>VLOOKUP("CAPEXAnnual usage on activityItems that are used only on the given activityDefault",Econ.inputsTable!$E:$G,2,FALSE)</f>
        <v>1</v>
      </c>
      <c r="H717" s="503">
        <f t="shared" si="27"/>
        <v>5.0999999999999997E-2</v>
      </c>
      <c r="I717" s="236">
        <f>VLOOKUP("CAPEXSalvageEquipmentDefault", Econ.inputsTable!$E:$G,2,FALSE)</f>
        <v>0.2</v>
      </c>
      <c r="J717" s="153">
        <f t="shared" si="28"/>
        <v>0</v>
      </c>
      <c r="K717" s="257">
        <f>VLOOKUP("CAPEXFinanced amountNADefault", Econ.inputsTable!$E:$G,2,FALSE)</f>
        <v>1</v>
      </c>
      <c r="L717" s="236">
        <f t="shared" si="29"/>
        <v>5.0999999999999997E-2</v>
      </c>
      <c r="M717">
        <f t="shared" si="30"/>
        <v>0.13013423257204779</v>
      </c>
      <c r="N717" s="153">
        <f t="shared" si="31"/>
        <v>0</v>
      </c>
      <c r="O717" s="157">
        <f t="shared" si="32"/>
        <v>0</v>
      </c>
    </row>
    <row r="718" spans="1:23" ht="14.4" x14ac:dyDescent="0.3">
      <c r="A718" t="s">
        <v>7046</v>
      </c>
      <c r="B718" s="99" t="s">
        <v>7008</v>
      </c>
      <c r="C718" s="229">
        <f>IF(E651="Injection",VLOOKUP("InjectionDefault",Econ.Tables!$C:$E,2,FALSE),0)*E648</f>
        <v>80900</v>
      </c>
      <c r="D718" s="42">
        <f>VLOOKUP("CAPEXLifetimeEquipmentDefault",Econ.inputsTable!$E:$G,2,FALSE)</f>
        <v>10</v>
      </c>
      <c r="E718" s="152"/>
      <c r="F718" s="259">
        <f>IF(E651="Injection",F715,0)*VLOOKUP("NAPercent time for useApplication toolbar usage per unit tractor pulling it usageDefault", Econ.inputsTable!$E:$G,2,FALSE)</f>
        <v>0.43021704164970648</v>
      </c>
      <c r="G718" s="255">
        <f>VLOOKUP("CAPEXAnnual usage on activityItems that are used only on the given activityDefault",Econ.inputsTable!$E:$G,2,FALSE)</f>
        <v>1</v>
      </c>
      <c r="H718" s="503">
        <f t="shared" si="27"/>
        <v>5.0999999999999997E-2</v>
      </c>
      <c r="I718" s="236">
        <f>VLOOKUP("CAPEXSalvageEquipmentDefault", Econ.inputsTable!$E:$G,2,FALSE)</f>
        <v>0.2</v>
      </c>
      <c r="J718" s="153">
        <f t="shared" si="28"/>
        <v>16180</v>
      </c>
      <c r="K718" s="257">
        <f>VLOOKUP("CAPEXFinanced amountNADefault", Econ.inputsTable!$E:$G,2,FALSE)</f>
        <v>1</v>
      </c>
      <c r="L718" s="236">
        <f t="shared" si="29"/>
        <v>5.0999999999999997E-2</v>
      </c>
      <c r="M718">
        <f t="shared" si="30"/>
        <v>0.13013423257204779</v>
      </c>
      <c r="N718" s="153">
        <f t="shared" si="31"/>
        <v>9247.4675320629322</v>
      </c>
      <c r="O718" s="157">
        <f t="shared" si="32"/>
        <v>9247.4675320629322</v>
      </c>
    </row>
    <row r="719" spans="1:23" ht="14.4" x14ac:dyDescent="0.3">
      <c r="A719" t="s">
        <v>7046</v>
      </c>
      <c r="B719" s="99" t="s">
        <v>7039</v>
      </c>
      <c r="C719" s="153">
        <f>VLOOKUP(_xlfn.CONCAT("Tractor",E647," hp"), Econ.Tables!$C:$E,2, FALSE)*E649</f>
        <v>490700</v>
      </c>
      <c r="D719" s="79">
        <f>VLOOKUP("CAPEXLifetimeTractor, 4 wheel drive and crawlerDefault",Econ.inputsTable!$E:$H,2,FALSE)/E719</f>
        <v>16</v>
      </c>
      <c r="E719" s="213">
        <f>IF(F719&gt;UDV.tractor.min_usage_yearly,F719,UDV.tractor.min_usage_yearly)</f>
        <v>1000</v>
      </c>
      <c r="F719" s="147">
        <f>IF(E649=0,0,(E667+(E688/E682))/E649)</f>
        <v>0.70144082877669545</v>
      </c>
      <c r="G719" s="236">
        <f t="shared" ref="G719" si="33">F719/E719</f>
        <v>7.014408287766955E-4</v>
      </c>
      <c r="H719" s="503">
        <f t="shared" si="27"/>
        <v>5.0999999999999997E-2</v>
      </c>
      <c r="I719" s="236">
        <f>VLOOKUP("CAPEXSalvageEquipmentDefault", Econ.inputsTable!$E:$G,2,FALSE)</f>
        <v>0.2</v>
      </c>
      <c r="J719" s="153">
        <f t="shared" si="28"/>
        <v>98140</v>
      </c>
      <c r="K719" s="257">
        <f>VLOOKUP("CAPEXFinanced amountNADefault", Econ.inputsTable!$E:$G,2,FALSE)</f>
        <v>1</v>
      </c>
      <c r="L719" s="236">
        <f t="shared" si="29"/>
        <v>5.0999999999999997E-2</v>
      </c>
      <c r="M719">
        <f t="shared" si="30"/>
        <v>9.2927821836826949E-2</v>
      </c>
      <c r="N719" s="153">
        <f t="shared" si="31"/>
        <v>41484.885740264785</v>
      </c>
      <c r="O719" s="157">
        <f t="shared" si="32"/>
        <v>29.099192635357849</v>
      </c>
    </row>
    <row r="720" spans="1:23" ht="14.4" x14ac:dyDescent="0.3">
      <c r="A720" t="s">
        <v>7046</v>
      </c>
      <c r="B720" s="99" t="s">
        <v>1325</v>
      </c>
      <c r="C720" s="229">
        <f>VLOOKUP("Hose pulleyDefault",Econ.Tables!$C:$E,2,FALSE)*E649</f>
        <v>13200</v>
      </c>
      <c r="D720" s="42">
        <f>VLOOKUP("CAPEXLifetimeEquipmentDefault",Econ.inputsTable!$E:$G,2,FALSE)</f>
        <v>10</v>
      </c>
      <c r="E720" s="152"/>
      <c r="F720" s="259">
        <f>F719</f>
        <v>0.70144082877669545</v>
      </c>
      <c r="G720" s="255">
        <f>VLOOKUP("CAPEXAnnual usage on activityItems that are used only on the given activityDefault",Econ.inputsTable!$E:$G,2,FALSE)</f>
        <v>1</v>
      </c>
      <c r="H720" s="503">
        <f t="shared" si="27"/>
        <v>5.0999999999999997E-2</v>
      </c>
      <c r="I720" s="236">
        <f>VLOOKUP("CAPEXSalvageEquipmentDefault", Econ.inputsTable!$E:$G,2,FALSE)</f>
        <v>0.2</v>
      </c>
      <c r="J720" s="153">
        <f t="shared" si="28"/>
        <v>2640</v>
      </c>
      <c r="K720" s="257">
        <f>VLOOKUP("CAPEXFinanced amountNADefault", Econ.inputsTable!$E:$G,2,FALSE)</f>
        <v>1</v>
      </c>
      <c r="L720" s="236">
        <f t="shared" si="29"/>
        <v>5.0999999999999997E-2</v>
      </c>
      <c r="M720">
        <f t="shared" si="30"/>
        <v>0.13013423257204779</v>
      </c>
      <c r="N720" s="153">
        <f t="shared" si="31"/>
        <v>1508.8574959608245</v>
      </c>
      <c r="O720" s="157">
        <f t="shared" si="32"/>
        <v>1508.8574959608245</v>
      </c>
    </row>
    <row r="721" spans="1:23" ht="14.4" x14ac:dyDescent="0.3">
      <c r="A721" t="s">
        <v>7046</v>
      </c>
      <c r="B721" s="235" t="s">
        <v>3007</v>
      </c>
      <c r="C721" s="260">
        <f>VLOOKUP("Flexible drag hose, 6in 660 ftDefault",Econ.Tables!$C:$E,2,FALSE)*E648</f>
        <v>15200</v>
      </c>
      <c r="D721" s="42">
        <f>VLOOKUP("CAPEXLifetimeDrag hoseDefault",Econ.inputsTable!$E:$G,2,FALSE)</f>
        <v>2.5</v>
      </c>
      <c r="E721" s="152"/>
      <c r="F721" s="259">
        <f>F715</f>
        <v>1.0755426041242662</v>
      </c>
      <c r="G721" s="255">
        <f>VLOOKUP("CAPEXAnnual usage on activityItems that are used only on the given activityDefault",Econ.inputsTable!$E:$G,2,FALSE)</f>
        <v>1</v>
      </c>
      <c r="H721" s="503">
        <f t="shared" si="27"/>
        <v>5.0999999999999997E-2</v>
      </c>
      <c r="I721" s="155">
        <f>VLOOKUP("CAPEXSalvageBuildings and constructionDefault", Econ.inputsTable!$E:$G,2,FALSE)</f>
        <v>0</v>
      </c>
      <c r="J721" s="153">
        <f t="shared" si="28"/>
        <v>0</v>
      </c>
      <c r="K721" s="257">
        <f>VLOOKUP("CAPEXFinanced amountNADefault", Econ.inputsTable!$E:$G,2,FALSE)</f>
        <v>1</v>
      </c>
      <c r="L721" s="236">
        <f t="shared" si="29"/>
        <v>5.0999999999999997E-2</v>
      </c>
      <c r="M721">
        <f t="shared" si="30"/>
        <v>0.43614381549069553</v>
      </c>
      <c r="N721" s="153">
        <f t="shared" si="31"/>
        <v>6629.3859954585723</v>
      </c>
      <c r="O721" s="157">
        <f t="shared" si="32"/>
        <v>6629.3859954585723</v>
      </c>
    </row>
    <row r="722" spans="1:23" ht="14.4" x14ac:dyDescent="0.3">
      <c r="A722" t="s">
        <v>7046</v>
      </c>
      <c r="B722" s="235" t="s">
        <v>3465</v>
      </c>
      <c r="C722" s="260">
        <f>VLOOKUP("Manure piping to fieldDefault",Econ.Tables!$C:$E,2,FALSE)*E705</f>
        <v>95040</v>
      </c>
      <c r="D722" s="42">
        <f>VLOOKUP("CAPEXLifetimeBuildings and constructionDefault",Econ.inputsTable!$E:$G,2,FALSE)</f>
        <v>20</v>
      </c>
      <c r="E722" s="152"/>
      <c r="F722" s="259">
        <f>F715</f>
        <v>1.0755426041242662</v>
      </c>
      <c r="G722" s="255">
        <f>VLOOKUP("CAPEXAnnual usage on activityItems that are used only on the given activityDefault",Econ.inputsTable!$E:$G,2,FALSE)</f>
        <v>1</v>
      </c>
      <c r="H722" s="503">
        <f t="shared" si="27"/>
        <v>5.0999999999999997E-2</v>
      </c>
      <c r="I722" s="155">
        <f>VLOOKUP("CAPEXSalvageBuildings and constructionDefault", Econ.inputsTable!$E:$G,2,FALSE)</f>
        <v>0</v>
      </c>
      <c r="J722" s="153">
        <f t="shared" si="28"/>
        <v>0</v>
      </c>
      <c r="K722" s="257">
        <f>VLOOKUP("CAPEXFinanced amountNADefault", Econ.inputsTable!$E:$G,2,FALSE)</f>
        <v>1</v>
      </c>
      <c r="L722" s="236">
        <f t="shared" si="29"/>
        <v>5.0999999999999997E-2</v>
      </c>
      <c r="M722">
        <f t="shared" si="30"/>
        <v>8.0924368970045152E-2</v>
      </c>
      <c r="N722" s="153">
        <f t="shared" si="31"/>
        <v>7691.0520269130911</v>
      </c>
      <c r="O722" s="157">
        <f t="shared" si="32"/>
        <v>7691.0520269130911</v>
      </c>
    </row>
    <row r="723" spans="1:23" ht="14.4" x14ac:dyDescent="0.3">
      <c r="A723" t="s">
        <v>7046</v>
      </c>
      <c r="B723" s="235" t="s">
        <v>349</v>
      </c>
      <c r="C723" s="153">
        <f>IF(E689&gt;0,VLOOKUP("Pick up truckDefault",Econ.Tables!$C:$E,2,FALSE),0)</f>
        <v>58700</v>
      </c>
      <c r="D723" s="42">
        <f>VLOOKUP("CAPEXLifetimeTruck, pickupDefault",Econ.inputsTable!$E:$G,2,FALSE)</f>
        <v>8</v>
      </c>
      <c r="E723" s="42">
        <f>VLOOKUP("CAPEXAnnual usage on farmTruck, pickupDefault",Econ.inputsTable!$E:$G,2,FALSE)</f>
        <v>250</v>
      </c>
      <c r="F723" s="259">
        <f>(E668+(E689/E682))</f>
        <v>119.75324397039444</v>
      </c>
      <c r="G723" s="258">
        <f>F723/E723</f>
        <v>0.47901297588157776</v>
      </c>
      <c r="H723" s="503">
        <f t="shared" si="27"/>
        <v>5.0999999999999997E-2</v>
      </c>
      <c r="I723" s="155">
        <f>VLOOKUP("CAPEXSalvageEquipmentDefault", Econ.inputsTable!$E:$G,2,FALSE)</f>
        <v>0.2</v>
      </c>
      <c r="J723" s="153">
        <f t="shared" si="28"/>
        <v>11740</v>
      </c>
      <c r="K723" s="257">
        <f>VLOOKUP("CAPEXFinanced amountNADefault", Econ.inputsTable!$E:$G,2,FALSE)</f>
        <v>1</v>
      </c>
      <c r="L723" s="236">
        <f t="shared" si="29"/>
        <v>5.0999999999999997E-2</v>
      </c>
      <c r="M723">
        <f t="shared" si="30"/>
        <v>0.1553478599468672</v>
      </c>
      <c r="N723" s="153">
        <f t="shared" si="31"/>
        <v>7893.8755031048831</v>
      </c>
      <c r="O723" s="157">
        <f t="shared" si="32"/>
        <v>3781.2687959809568</v>
      </c>
    </row>
    <row r="724" spans="1:23" ht="14.4" x14ac:dyDescent="0.3">
      <c r="B724" s="99"/>
      <c r="C724" s="152"/>
      <c r="D724" s="82"/>
      <c r="E724" s="82"/>
      <c r="F724" s="82"/>
      <c r="G724" s="82"/>
      <c r="H724" s="82"/>
      <c r="I724" s="82"/>
      <c r="J724" s="152"/>
      <c r="K724" s="152"/>
      <c r="L724" s="152"/>
      <c r="M724" s="152"/>
      <c r="N724" s="82"/>
      <c r="O724" s="173"/>
    </row>
    <row r="725" spans="1:23" ht="14.4" x14ac:dyDescent="0.3">
      <c r="B725" s="99"/>
      <c r="C725" s="82" t="s">
        <v>7009</v>
      </c>
      <c r="D725" s="82" t="s">
        <v>6963</v>
      </c>
      <c r="E725"/>
      <c r="F725"/>
      <c r="G725"/>
      <c r="H725"/>
      <c r="K725"/>
      <c r="L725"/>
      <c r="O725" s="146"/>
    </row>
    <row r="726" spans="1:23" ht="14.4" x14ac:dyDescent="0.3">
      <c r="A726" t="s">
        <v>5205</v>
      </c>
      <c r="B726" s="99" t="s">
        <v>6964</v>
      </c>
      <c r="C726" s="153">
        <f>SUM(C711:C723)</f>
        <v>2107827.735175279</v>
      </c>
      <c r="D726" s="318">
        <f>SUMPRODUCT(C711:C723,G711:G723)</f>
        <v>950175.54473007692</v>
      </c>
      <c r="E726"/>
      <c r="F726"/>
      <c r="G726"/>
      <c r="H726"/>
      <c r="K726"/>
      <c r="L726"/>
      <c r="O726" s="146"/>
    </row>
    <row r="727" spans="1:23" ht="14.4" x14ac:dyDescent="0.3">
      <c r="A727" t="s">
        <v>5205</v>
      </c>
      <c r="B727" s="149" t="s">
        <v>6965</v>
      </c>
      <c r="C727" s="159">
        <f>SUM(N711:N723)</f>
        <v>192591.5039445991</v>
      </c>
      <c r="D727" s="319">
        <f>SUMPRODUCT(N711:N723,G711:G723)</f>
        <v>93193.833795776212</v>
      </c>
      <c r="E727" s="150"/>
      <c r="F727" s="150"/>
      <c r="G727" s="261"/>
      <c r="H727" s="150"/>
      <c r="I727" s="150"/>
      <c r="J727" s="150"/>
      <c r="K727" s="150"/>
      <c r="L727" s="150"/>
      <c r="M727" s="150"/>
      <c r="N727" s="150"/>
      <c r="O727" s="151"/>
    </row>
    <row r="729" spans="1:23" ht="43.2" x14ac:dyDescent="0.3">
      <c r="B729" s="498" t="s">
        <v>6966</v>
      </c>
      <c r="C729" s="362" t="s">
        <v>6967</v>
      </c>
      <c r="D729" s="362" t="s">
        <v>6968</v>
      </c>
      <c r="E729" s="362" t="s">
        <v>6969</v>
      </c>
      <c r="F729" s="362" t="s">
        <v>6970</v>
      </c>
      <c r="G729" s="362" t="s">
        <v>6971</v>
      </c>
      <c r="H729" s="362" t="s">
        <v>6972</v>
      </c>
      <c r="I729" s="362" t="s">
        <v>6973</v>
      </c>
      <c r="J729" s="362" t="s">
        <v>6974</v>
      </c>
      <c r="K729" s="362" t="s">
        <v>6975</v>
      </c>
      <c r="L729" s="362" t="s">
        <v>6976</v>
      </c>
      <c r="M729" s="362" t="s">
        <v>6977</v>
      </c>
      <c r="N729" s="362" t="s">
        <v>6978</v>
      </c>
      <c r="O729" s="363" t="s">
        <v>6979</v>
      </c>
    </row>
    <row r="730" spans="1:23" ht="14.4" x14ac:dyDescent="0.3">
      <c r="B730" s="99" t="s">
        <v>2808</v>
      </c>
      <c r="C730" s="236">
        <f>VLOOKUP("OPEXInsuranceEverythingDefault",Econ.inputsTable!$E:$K,2,FALSE)</f>
        <v>5.0000000000000001E-3</v>
      </c>
      <c r="D730" s="257">
        <f>VLOOKUP("OPEXRepair and maintenanceEquipmentDefault",Econ.inputsTable!$E:$K,2,FALSE)</f>
        <v>0.03</v>
      </c>
      <c r="E730"/>
      <c r="F730" s="2129">
        <f>E656</f>
        <v>934.64729834049092</v>
      </c>
      <c r="G730" s="365">
        <f>F730*E703</f>
        <v>64.109015938671504</v>
      </c>
      <c r="H730"/>
      <c r="I730" s="365"/>
      <c r="J730" s="365"/>
      <c r="K730" s="147">
        <f>E657</f>
        <v>7.1199309092168166</v>
      </c>
      <c r="L730" s="156">
        <f>K730*E707</f>
        <v>168.45756531206987</v>
      </c>
      <c r="O730" s="167">
        <f t="shared" ref="O730" si="34">(SUM(C730:D730)*C711*G711)+SUM(E730,G730,I730,J730,L730,N730)</f>
        <v>1982.1373123854944</v>
      </c>
      <c r="P730"/>
      <c r="U730"/>
      <c r="W730"/>
    </row>
    <row r="731" spans="1:23" ht="14.4" x14ac:dyDescent="0.3">
      <c r="B731" s="99" t="s">
        <v>3003</v>
      </c>
      <c r="C731" s="263">
        <f>VLOOKUP("OPEXInsuranceEverythingDefault", Econ.inputsTable!$E:$G,2,FALSE)</f>
        <v>5.0000000000000001E-3</v>
      </c>
      <c r="D731" s="237">
        <f>VLOOKUP("OPEXRepair and maintenanceEquipmentDefault",Econ.inputsTable!$E:$G,2,FALSE)</f>
        <v>0.03</v>
      </c>
      <c r="E731"/>
      <c r="F731"/>
      <c r="G731"/>
      <c r="H731" s="147">
        <f>(E669+(E690/E682))*E644</f>
        <v>16.83457989064069</v>
      </c>
      <c r="I731" s="259">
        <f>H731*E704</f>
        <v>62.228865748961887</v>
      </c>
      <c r="J731" s="259">
        <f>I731*VLOOKUP("OPEXLubeLubeDefault",Econ.inputsTable!$E:$G,2,FALSE)</f>
        <v>6.2228865748961892</v>
      </c>
      <c r="K731"/>
      <c r="L731" s="233"/>
      <c r="O731" s="264">
        <f t="shared" ref="O731:O742" si="35">(SUM(C731:D731)*C712*G712)+SUM(E731,G731,I731,J731,L731,N731)</f>
        <v>10337.451752323856</v>
      </c>
    </row>
    <row r="732" spans="1:23" ht="14.4" x14ac:dyDescent="0.3">
      <c r="B732" s="99" t="s">
        <v>3005</v>
      </c>
      <c r="C732" s="263">
        <f>VLOOKUP("OPEXInsuranceEverythingDefault", Econ.inputsTable!$E:$G,2,FALSE)</f>
        <v>5.0000000000000001E-3</v>
      </c>
      <c r="D732" s="237">
        <f>VLOOKUP("OPEXRepair and maintenanceEquipmentDefault",Econ.inputsTable!$E:$G,2,FALSE)</f>
        <v>0.03</v>
      </c>
      <c r="E732"/>
      <c r="F732"/>
      <c r="G732"/>
      <c r="H732" s="147">
        <f>(E670+(E691/E682))*E706</f>
        <v>7.0144082877669547</v>
      </c>
      <c r="I732" s="259">
        <f>H732*E704</f>
        <v>25.928694062067454</v>
      </c>
      <c r="J732" s="259">
        <f>I732*VLOOKUP("OPEXLubeLubeDefault",Econ.inputsTable!$E:$G,2,FALSE)</f>
        <v>2.5928694062067454</v>
      </c>
      <c r="K732"/>
      <c r="L732" s="233"/>
      <c r="O732" s="264">
        <f t="shared" si="35"/>
        <v>6934.0215634682736</v>
      </c>
    </row>
    <row r="733" spans="1:23" ht="14.4" x14ac:dyDescent="0.3">
      <c r="B733" s="99" t="s">
        <v>7047</v>
      </c>
      <c r="C733" s="263">
        <f>VLOOKUP("OPEXInsuranceEverythingDefault", Econ.inputsTable!$E:$G,2,FALSE)</f>
        <v>5.0000000000000001E-3</v>
      </c>
      <c r="D733" s="237">
        <f>VLOOKUP("OPEXRepair and maintenanceEquipmentDefault",Econ.inputsTable!$E:$G,2,FALSE)</f>
        <v>0.03</v>
      </c>
      <c r="E733"/>
      <c r="F733"/>
      <c r="G733"/>
      <c r="H733" s="147">
        <f>(E671+(E692/E682))*E645</f>
        <v>5.6115266302135636</v>
      </c>
      <c r="I733" s="259">
        <f>H733*E704</f>
        <v>20.742955249653964</v>
      </c>
      <c r="J733" s="259">
        <f>I733*VLOOKUP("OPEXLubeLubeDefault",Econ.inputsTable!$E:$G,2,FALSE)</f>
        <v>2.0742955249653963</v>
      </c>
      <c r="K733"/>
      <c r="L733" s="233"/>
      <c r="O733" s="264">
        <f t="shared" si="35"/>
        <v>4625.3172507746185</v>
      </c>
    </row>
    <row r="734" spans="1:23" ht="14.4" x14ac:dyDescent="0.3">
      <c r="B734" s="99" t="s">
        <v>7037</v>
      </c>
      <c r="C734" s="263">
        <f>VLOOKUP("OPEXInsuranceEverythingDefault", Econ.inputsTable!$E:$G,2,FALSE)</f>
        <v>5.0000000000000001E-3</v>
      </c>
      <c r="D734" s="237">
        <f>VLOOKUP("OPEXRepair and maintenanceEquipmentDefault",Econ.inputsTable!$E:$G,2,FALSE)</f>
        <v>0.03</v>
      </c>
      <c r="E734"/>
      <c r="F734"/>
      <c r="G734"/>
      <c r="H734" s="147">
        <f>(E672+(E693/E682))</f>
        <v>27.447847257251272</v>
      </c>
      <c r="I734" s="259">
        <f>H734*E704</f>
        <v>101.46070844447407</v>
      </c>
      <c r="J734" s="259">
        <f>I734*VLOOKUP("OPEXLubeLubeDefault",Econ.inputsTable!$E:$G,2,FALSE)</f>
        <v>10.146070844447408</v>
      </c>
      <c r="K734" s="147">
        <f>(E666*VLOOKUP("OPEXLaborTractorDefault",Econ.inputsTable!$E:$G,2,FALSE))+(E687/E682*VLOOKUP("OPEXLaborTractorDefault",Econ.inputsTable!$E:$G,2,FALSE))</f>
        <v>1.1830968645366928</v>
      </c>
      <c r="L734" s="233">
        <f>K734*E707</f>
        <v>27.992071814938154</v>
      </c>
      <c r="O734" s="264">
        <f t="shared" si="35"/>
        <v>163.59313105926788</v>
      </c>
    </row>
    <row r="735" spans="1:23" ht="14.4" x14ac:dyDescent="0.3">
      <c r="B735" s="99" t="s">
        <v>7048</v>
      </c>
      <c r="C735" s="263">
        <f>VLOOKUP("OPEXInsuranceEverythingDefault", Econ.inputsTable!$E:$G,2,FALSE)</f>
        <v>5.0000000000000001E-3</v>
      </c>
      <c r="D735" s="237">
        <f>VLOOKUP("OPEXRepair and maintenanceEquipmentDefault",Econ.inputsTable!$E:$G,2,FALSE)</f>
        <v>0.03</v>
      </c>
      <c r="E735"/>
      <c r="F735"/>
      <c r="G735"/>
      <c r="H735" s="147"/>
      <c r="I735" s="369"/>
      <c r="J735" s="369"/>
      <c r="K735" s="205"/>
      <c r="L735" s="233"/>
      <c r="O735" s="264">
        <f t="shared" si="35"/>
        <v>1557.4999999999998</v>
      </c>
    </row>
    <row r="736" spans="1:23" ht="14.4" x14ac:dyDescent="0.3">
      <c r="B736" s="99" t="s">
        <v>7007</v>
      </c>
      <c r="C736" s="263">
        <f>VLOOKUP("OPEXInsuranceEverythingDefault", Econ.inputsTable!$E:$G,2,FALSE)</f>
        <v>5.0000000000000001E-3</v>
      </c>
      <c r="D736" s="237">
        <f>VLOOKUP("OPEXRepair and maintenanceEquipmentDefault",Econ.inputsTable!$E:$G,2,FALSE)</f>
        <v>0.03</v>
      </c>
      <c r="E736"/>
      <c r="F736"/>
      <c r="G736"/>
      <c r="H736" s="147"/>
      <c r="I736" s="369"/>
      <c r="J736" s="369"/>
      <c r="K736" s="205"/>
      <c r="L736" s="233"/>
      <c r="O736" s="264">
        <f t="shared" si="35"/>
        <v>0</v>
      </c>
    </row>
    <row r="737" spans="1:15" ht="14.4" x14ac:dyDescent="0.3">
      <c r="B737" s="99" t="s">
        <v>7008</v>
      </c>
      <c r="C737" s="263">
        <f>VLOOKUP("OPEXInsuranceEverythingDefault", Econ.inputsTable!$E:$G,2,FALSE)</f>
        <v>5.0000000000000001E-3</v>
      </c>
      <c r="D737" s="237">
        <f>VLOOKUP("OPEXRepair and maintenanceEquipmentDefault",Econ.inputsTable!$E:$G,2,FALSE)</f>
        <v>0.03</v>
      </c>
      <c r="E737"/>
      <c r="F737"/>
      <c r="G737"/>
      <c r="H737" s="147"/>
      <c r="I737" s="369"/>
      <c r="J737" s="369"/>
      <c r="K737" s="205"/>
      <c r="L737" s="233"/>
      <c r="O737" s="264">
        <f t="shared" si="35"/>
        <v>2831.4999999999995</v>
      </c>
    </row>
    <row r="738" spans="1:15" ht="14.4" x14ac:dyDescent="0.3">
      <c r="B738" s="99" t="s">
        <v>7039</v>
      </c>
      <c r="C738" s="263">
        <f>VLOOKUP("OPEXInsuranceEverythingDefault", Econ.inputsTable!$E:$G,2,FALSE)</f>
        <v>5.0000000000000001E-3</v>
      </c>
      <c r="D738" s="237">
        <f>VLOOKUP("OPEXRepair and maintenanceEquipmentDefault",Econ.inputsTable!$E:$G,2,FALSE)</f>
        <v>0.03</v>
      </c>
      <c r="E738"/>
      <c r="F738"/>
      <c r="G738"/>
      <c r="H738" s="147">
        <f>(E673+(E694/E682))</f>
        <v>10.493554798499362</v>
      </c>
      <c r="I738" s="259">
        <f>H738*E704</f>
        <v>38.789326316852907</v>
      </c>
      <c r="J738" s="259">
        <f>I738*VLOOKUP("OPEXLubeLubeDefault",Econ.inputsTable!$E:$G,2,FALSE)</f>
        <v>3.878932631685291</v>
      </c>
      <c r="K738" s="205">
        <f>(E667*VLOOKUP("OPEXLaborTractorDefault",Econ.inputsTable!$E:$G,2,FALSE))+(E688/E682*VLOOKUP("OPEXLaborTractorDefault",Econ.inputsTable!$E:$G,2,FALSE))</f>
        <v>0.77158491165436505</v>
      </c>
      <c r="L738" s="233">
        <f>K738*E707</f>
        <v>18.255699009742276</v>
      </c>
      <c r="O738" s="264">
        <f t="shared" si="35"/>
        <v>72.97085347210583</v>
      </c>
    </row>
    <row r="739" spans="1:15" ht="14.4" x14ac:dyDescent="0.3">
      <c r="B739" s="99" t="s">
        <v>1325</v>
      </c>
      <c r="C739" s="263">
        <f>VLOOKUP("OPEXInsuranceEverythingDefault", Econ.inputsTable!$E:$G,2,FALSE)</f>
        <v>5.0000000000000001E-3</v>
      </c>
      <c r="D739" s="237">
        <f>VLOOKUP("OPEXRepair and maintenanceEquipmentDefault",Econ.inputsTable!$E:$G,2,FALSE)</f>
        <v>0.03</v>
      </c>
      <c r="E739"/>
      <c r="F739"/>
      <c r="G739"/>
      <c r="H739" s="147"/>
      <c r="I739" s="259"/>
      <c r="J739" s="259"/>
      <c r="K739" s="205"/>
      <c r="L739" s="233"/>
      <c r="O739" s="264">
        <f t="shared" si="35"/>
        <v>461.99999999999994</v>
      </c>
    </row>
    <row r="740" spans="1:15" ht="14.4" x14ac:dyDescent="0.3">
      <c r="B740" s="99" t="s">
        <v>3007</v>
      </c>
      <c r="C740" s="263">
        <f>VLOOKUP("OPEXInsuranceEverythingDefault", Econ.inputsTable!$E:$G,2,FALSE)</f>
        <v>5.0000000000000001E-3</v>
      </c>
      <c r="D740" s="237">
        <f>VLOOKUP("OPEXRepair and maintenanceEquipmentDefault",Econ.inputsTable!$E:$G,2,FALSE)</f>
        <v>0.03</v>
      </c>
      <c r="E740"/>
      <c r="F740"/>
      <c r="G740"/>
      <c r="H740" s="147"/>
      <c r="I740" s="259"/>
      <c r="J740" s="259"/>
      <c r="K740" s="205"/>
      <c r="L740" s="233"/>
      <c r="O740" s="264">
        <f t="shared" si="35"/>
        <v>532</v>
      </c>
    </row>
    <row r="741" spans="1:15" ht="14.4" x14ac:dyDescent="0.3">
      <c r="B741" s="235" t="s">
        <v>3465</v>
      </c>
      <c r="C741" s="263">
        <f>VLOOKUP("OPEXInsuranceEverythingDefault", Econ.inputsTable!$E:$G,2,FALSE)</f>
        <v>5.0000000000000001E-3</v>
      </c>
      <c r="D741" s="237">
        <f>VLOOKUP("OPEXRepair and maintenanceBuildings and constructionDefault",Econ.inputsTable!$E:$G,2,FALSE)</f>
        <v>0.01</v>
      </c>
      <c r="E741"/>
      <c r="F741"/>
      <c r="G741"/>
      <c r="H741" s="147"/>
      <c r="I741" s="259"/>
      <c r="J741" s="259"/>
      <c r="K741" s="205"/>
      <c r="L741" s="233"/>
      <c r="O741" s="264">
        <f t="shared" si="35"/>
        <v>1425.6</v>
      </c>
    </row>
    <row r="742" spans="1:15" ht="14.4" x14ac:dyDescent="0.3">
      <c r="B742" s="99" t="s">
        <v>349</v>
      </c>
      <c r="C742" s="263">
        <f>VLOOKUP("OPEXInsuranceEverythingDefault", Econ.inputsTable!$E:$G,2,FALSE)</f>
        <v>5.0000000000000001E-3</v>
      </c>
      <c r="D742" s="237">
        <f>VLOOKUP("OPEXRepair and maintenanceEquipmentDefault",Econ.inputsTable!$E:$G,2,FALSE)</f>
        <v>0.03</v>
      </c>
      <c r="E742"/>
      <c r="F742"/>
      <c r="G742"/>
      <c r="H742" s="147">
        <f>(E674+(E695/E682))</f>
        <v>0.84172899453203454</v>
      </c>
      <c r="I742" s="259">
        <f>H742*E704</f>
        <v>3.1114432874480946</v>
      </c>
      <c r="J742" s="259">
        <f>I742*VLOOKUP("OPEXLubeLubeDefault",Econ.inputsTable!$E:$G,2,FALSE)</f>
        <v>0.31114432874480946</v>
      </c>
      <c r="K742" s="205">
        <f>(E668*VLOOKUP("OPEXLaborTractorDefault",Econ.inputsTable!$E:$G,2,FALSE))+(E689/E682*VLOOKUP("OPEXLaborTractorDefault",Econ.inputsTable!$E:$G,2,FALSE))</f>
        <v>131.72856836743389</v>
      </c>
      <c r="L742" s="233">
        <f>K742*E707</f>
        <v>3116.6979275734861</v>
      </c>
      <c r="O742" s="264">
        <f t="shared" si="35"/>
        <v>4104.2526741383808</v>
      </c>
    </row>
    <row r="743" spans="1:15" ht="14.4" x14ac:dyDescent="0.3">
      <c r="A743" t="s">
        <v>5205</v>
      </c>
      <c r="B743" s="162" t="s">
        <v>5203</v>
      </c>
      <c r="C743" s="241"/>
      <c r="D743" s="241"/>
      <c r="E743" s="242">
        <f t="shared" ref="E743:O743" si="36">SUM(E730:E742)</f>
        <v>0</v>
      </c>
      <c r="F743" s="286">
        <f t="shared" si="36"/>
        <v>934.64729834049092</v>
      </c>
      <c r="G743" s="242">
        <f t="shared" si="36"/>
        <v>64.109015938671504</v>
      </c>
      <c r="H743" s="286">
        <f t="shared" si="36"/>
        <v>68.243645858903875</v>
      </c>
      <c r="I743" s="242">
        <f t="shared" si="36"/>
        <v>252.26199310945836</v>
      </c>
      <c r="J743" s="242">
        <f t="shared" si="36"/>
        <v>25.226199310945841</v>
      </c>
      <c r="K743" s="402">
        <f t="shared" si="36"/>
        <v>140.80318105284178</v>
      </c>
      <c r="L743" s="242">
        <f t="shared" si="36"/>
        <v>3331.4032637102364</v>
      </c>
      <c r="M743" s="374">
        <f t="shared" si="36"/>
        <v>0</v>
      </c>
      <c r="N743" s="242">
        <f t="shared" si="36"/>
        <v>0</v>
      </c>
      <c r="O743" s="169">
        <f t="shared" si="36"/>
        <v>35028.344537621997</v>
      </c>
    </row>
    <row r="744" spans="1:15" ht="13.5" customHeight="1" x14ac:dyDescent="0.3">
      <c r="B744" s="99"/>
      <c r="D744"/>
      <c r="E744"/>
      <c r="F744"/>
      <c r="G744"/>
      <c r="H744"/>
      <c r="K744"/>
      <c r="L744"/>
      <c r="O744" s="146"/>
    </row>
    <row r="745" spans="1:15" ht="14.4" x14ac:dyDescent="0.3">
      <c r="A745" t="s">
        <v>5205</v>
      </c>
      <c r="B745" s="149" t="s">
        <v>6980</v>
      </c>
      <c r="C745" s="159">
        <f>O743</f>
        <v>35028.344537621997</v>
      </c>
      <c r="D745" s="150" t="s">
        <v>5181</v>
      </c>
      <c r="E745" s="150"/>
      <c r="F745" s="150"/>
      <c r="G745" s="150"/>
      <c r="H745" s="150"/>
      <c r="I745" s="150"/>
      <c r="J745" s="150"/>
      <c r="K745" s="150"/>
      <c r="L745" s="150"/>
      <c r="M745" s="150"/>
      <c r="N745" s="150"/>
      <c r="O745" s="151"/>
    </row>
    <row r="746" spans="1:15" ht="14.4" x14ac:dyDescent="0.3">
      <c r="D746"/>
      <c r="E746"/>
      <c r="F746"/>
    </row>
    <row r="747" spans="1:15" ht="14.4" x14ac:dyDescent="0.3">
      <c r="B747" s="384" t="s">
        <v>7123</v>
      </c>
      <c r="C747" s="3057" t="s">
        <v>6402</v>
      </c>
      <c r="D747" s="3058"/>
      <c r="E747" s="3059" t="s">
        <v>6417</v>
      </c>
      <c r="F747" s="3058"/>
    </row>
    <row r="748" spans="1:15" ht="14.4" x14ac:dyDescent="0.3">
      <c r="B748" s="385" t="s">
        <v>7012</v>
      </c>
      <c r="C748" s="139" t="s">
        <v>7124</v>
      </c>
      <c r="D748" s="245" t="s">
        <v>7125</v>
      </c>
      <c r="E748" s="139" t="s">
        <v>7124</v>
      </c>
      <c r="F748" s="245" t="s">
        <v>7125</v>
      </c>
    </row>
    <row r="749" spans="1:15" ht="14.4" x14ac:dyDescent="0.3">
      <c r="A749" t="s">
        <v>5205</v>
      </c>
      <c r="B749" s="386" t="s">
        <v>7013</v>
      </c>
      <c r="C749" s="387">
        <f xml:space="preserve"> VLOOKUP("Fertilizer value for on-farm use, liquids",$R$1:$T$332,3, FALSE)</f>
        <v>4596.6072158599345</v>
      </c>
      <c r="D749" s="388">
        <f>VLOOKUP("Fertilizer value for on-farm use, liquids",$R$1:$T$332,3, FALSE)</f>
        <v>4596.6072158599345</v>
      </c>
      <c r="E749" s="387">
        <v>0</v>
      </c>
      <c r="F749" s="389">
        <f>VLOOKUP("Fertilizer value for on-farm use, sludge",$R$1:$T$332,3, FALSE)</f>
        <v>11769.86299214459</v>
      </c>
    </row>
    <row r="750" spans="1:15" ht="14.4" x14ac:dyDescent="0.3">
      <c r="A750" t="s">
        <v>5205</v>
      </c>
      <c r="B750" s="386" t="s">
        <v>7126</v>
      </c>
      <c r="C750" s="390">
        <f>C749</f>
        <v>4596.6072158599345</v>
      </c>
      <c r="D750" s="391"/>
      <c r="E750" s="390">
        <f>(F749/UDV.anaer_lagoon.sludge_time)</f>
        <v>1176.986299214459</v>
      </c>
      <c r="F750" s="391"/>
    </row>
    <row r="751" spans="1:15" ht="14.4" x14ac:dyDescent="0.3">
      <c r="A751" t="s">
        <v>5205</v>
      </c>
      <c r="B751" s="386" t="s">
        <v>7014</v>
      </c>
      <c r="C751" s="393">
        <f>SUM(C750,E750)</f>
        <v>5773.5935150743935</v>
      </c>
      <c r="D751" s="146"/>
      <c r="E751" s="99"/>
      <c r="F751" s="146"/>
    </row>
    <row r="752" spans="1:15" ht="14.4" x14ac:dyDescent="0.3">
      <c r="B752" s="386"/>
      <c r="D752" s="146"/>
      <c r="E752" s="99"/>
      <c r="F752" s="146"/>
    </row>
    <row r="753" spans="1:6" ht="14.4" x14ac:dyDescent="0.3">
      <c r="B753" s="394" t="s">
        <v>7015</v>
      </c>
      <c r="C753" s="139" t="s">
        <v>7124</v>
      </c>
      <c r="D753" s="245" t="s">
        <v>7125</v>
      </c>
      <c r="E753" s="139" t="s">
        <v>7124</v>
      </c>
      <c r="F753" s="245" t="s">
        <v>7125</v>
      </c>
    </row>
    <row r="754" spans="1:6" ht="14.4" x14ac:dyDescent="0.3">
      <c r="A754" t="s">
        <v>5205</v>
      </c>
      <c r="B754" s="386" t="s">
        <v>7016</v>
      </c>
      <c r="C754" s="387">
        <f>UDV.econ_manure.liquid_sell_price*C633</f>
        <v>0</v>
      </c>
      <c r="D754" s="389">
        <f>UDV.econ_manure.liquid_sell_price*C633</f>
        <v>0</v>
      </c>
      <c r="E754" s="387">
        <v>0</v>
      </c>
      <c r="F754" s="389">
        <f>UDV.econ_manure.sludge_sell_price*C636</f>
        <v>0</v>
      </c>
    </row>
    <row r="755" spans="1:6" ht="14.4" x14ac:dyDescent="0.3">
      <c r="A755" t="s">
        <v>5205</v>
      </c>
      <c r="B755" s="386" t="s">
        <v>7127</v>
      </c>
      <c r="C755" s="390">
        <f>C754</f>
        <v>0</v>
      </c>
      <c r="D755" s="391"/>
      <c r="E755" s="390">
        <f>(F754/UDV.anaer_lagoon.sludge_time)</f>
        <v>0</v>
      </c>
      <c r="F755" s="391"/>
    </row>
    <row r="756" spans="1:6" ht="14.4" x14ac:dyDescent="0.3">
      <c r="A756" t="s">
        <v>5205</v>
      </c>
      <c r="B756" s="386" t="s">
        <v>7017</v>
      </c>
      <c r="C756" s="393">
        <f>SUM(C755,E755)</f>
        <v>0</v>
      </c>
      <c r="D756" s="146"/>
      <c r="E756" s="99"/>
      <c r="F756" s="146"/>
    </row>
    <row r="757" spans="1:6" ht="14.4" x14ac:dyDescent="0.3">
      <c r="B757" s="386"/>
      <c r="C757" s="166"/>
      <c r="D757" s="146"/>
      <c r="E757" s="395"/>
      <c r="F757" s="396"/>
    </row>
    <row r="758" spans="1:6" ht="14.4" x14ac:dyDescent="0.3">
      <c r="B758" s="397" t="s">
        <v>7018</v>
      </c>
      <c r="C758" s="139" t="s">
        <v>7124</v>
      </c>
      <c r="D758" s="245" t="s">
        <v>7125</v>
      </c>
      <c r="E758" s="139" t="s">
        <v>7124</v>
      </c>
      <c r="F758" s="245" t="s">
        <v>7125</v>
      </c>
    </row>
    <row r="759" spans="1:6" ht="14.4" x14ac:dyDescent="0.3">
      <c r="A759" t="s">
        <v>5205</v>
      </c>
      <c r="B759" s="386" t="s">
        <v>7019</v>
      </c>
      <c r="C759" s="387">
        <f>UDV.econ_manure.liquid_sell_price*C634</f>
        <v>0</v>
      </c>
      <c r="D759" s="389">
        <f>UDV.econ_manure.liquid_sell_price*C634</f>
        <v>0</v>
      </c>
      <c r="E759" s="387"/>
      <c r="F759" s="389">
        <f>UDV.econ_manure.sludge_sell_price*C637</f>
        <v>0</v>
      </c>
    </row>
    <row r="760" spans="1:6" ht="14.4" x14ac:dyDescent="0.3">
      <c r="A760" t="s">
        <v>5205</v>
      </c>
      <c r="B760" s="386" t="s">
        <v>7128</v>
      </c>
      <c r="C760" s="390">
        <f>C759</f>
        <v>0</v>
      </c>
      <c r="D760" s="391"/>
      <c r="E760" s="390">
        <f>(F759/UDV.anaer_lagoon.sludge_time)</f>
        <v>0</v>
      </c>
      <c r="F760" s="391"/>
    </row>
    <row r="761" spans="1:6" ht="14.4" x14ac:dyDescent="0.3">
      <c r="A761" t="s">
        <v>5205</v>
      </c>
      <c r="B761" s="386" t="s">
        <v>7020</v>
      </c>
      <c r="C761" s="393">
        <f>SUM(C760,E760)</f>
        <v>0</v>
      </c>
      <c r="D761" s="146"/>
      <c r="E761" s="99"/>
      <c r="F761" s="146"/>
    </row>
    <row r="762" spans="1:6" ht="14.4" x14ac:dyDescent="0.3">
      <c r="B762" s="386"/>
      <c r="D762" s="146"/>
      <c r="E762" s="99"/>
      <c r="F762" s="146"/>
    </row>
    <row r="763" spans="1:6" ht="14.4" x14ac:dyDescent="0.3">
      <c r="B763" s="398" t="s">
        <v>7021</v>
      </c>
      <c r="C763" s="139" t="s">
        <v>7124</v>
      </c>
      <c r="D763" s="245" t="s">
        <v>7125</v>
      </c>
      <c r="E763" s="139" t="s">
        <v>7124</v>
      </c>
      <c r="F763" s="245" t="s">
        <v>7125</v>
      </c>
    </row>
    <row r="764" spans="1:6" ht="14.4" x14ac:dyDescent="0.3">
      <c r="A764" t="s">
        <v>5205</v>
      </c>
      <c r="B764" s="386" t="s">
        <v>7022</v>
      </c>
      <c r="C764" s="387">
        <f>UDV.econ_manure.liquid_export_cost*C635</f>
        <v>0</v>
      </c>
      <c r="D764" s="389">
        <f>UDV.econ_manure.liquid_export_cost*C635</f>
        <v>0</v>
      </c>
      <c r="E764" s="387"/>
      <c r="F764" s="389">
        <f>UDV.econ_manure.sludge_export_cost*C638</f>
        <v>0</v>
      </c>
    </row>
    <row r="765" spans="1:6" ht="14.4" x14ac:dyDescent="0.3">
      <c r="A765" t="s">
        <v>5205</v>
      </c>
      <c r="B765" s="386" t="s">
        <v>7129</v>
      </c>
      <c r="C765" s="390">
        <f>C764</f>
        <v>0</v>
      </c>
      <c r="D765" s="391"/>
      <c r="E765" s="390">
        <f>(F764/UDV.anaer_lagoon.sludge_time)</f>
        <v>0</v>
      </c>
      <c r="F765" s="391"/>
    </row>
    <row r="766" spans="1:6" ht="14.4" x14ac:dyDescent="0.3">
      <c r="A766" t="s">
        <v>5205</v>
      </c>
      <c r="B766" s="386" t="s">
        <v>7023</v>
      </c>
      <c r="C766" s="393">
        <f>SUM(C765,E765)</f>
        <v>0</v>
      </c>
      <c r="D766" s="146"/>
      <c r="E766" s="99"/>
      <c r="F766" s="146"/>
    </row>
    <row r="767" spans="1:6" ht="14.4" x14ac:dyDescent="0.3">
      <c r="B767" s="386"/>
      <c r="D767" s="146"/>
      <c r="E767" s="99"/>
      <c r="F767" s="146"/>
    </row>
    <row r="768" spans="1:6" ht="14.4" x14ac:dyDescent="0.3">
      <c r="B768" s="303" t="s">
        <v>7138</v>
      </c>
      <c r="C768" s="82" t="s">
        <v>5181</v>
      </c>
      <c r="D768" s="173"/>
      <c r="E768" s="99"/>
      <c r="F768" s="146"/>
    </row>
    <row r="769" spans="1:23" ht="14.4" x14ac:dyDescent="0.3">
      <c r="B769" s="70" t="s">
        <v>7139</v>
      </c>
      <c r="C769" s="265"/>
      <c r="D769" s="151"/>
      <c r="E769" s="149"/>
      <c r="F769" s="151"/>
    </row>
    <row r="770" spans="1:23" ht="15" thickBot="1" x14ac:dyDescent="0.35">
      <c r="A770" s="137"/>
      <c r="B770" s="137"/>
      <c r="C770" s="137"/>
      <c r="D770" s="137"/>
      <c r="E770" s="137"/>
      <c r="F770" s="137"/>
      <c r="G770" s="137"/>
      <c r="H770" s="137"/>
      <c r="I770" s="137"/>
      <c r="J770" s="137"/>
      <c r="K770" s="137"/>
      <c r="L770" s="137"/>
      <c r="M770" s="137"/>
      <c r="N770" s="137"/>
      <c r="O770" s="137"/>
      <c r="P770" s="137"/>
      <c r="Q770" s="137"/>
    </row>
    <row r="771" spans="1:23" ht="14.4" x14ac:dyDescent="0.3">
      <c r="D771"/>
      <c r="E771"/>
      <c r="F771"/>
      <c r="G771"/>
      <c r="H771"/>
      <c r="K771"/>
      <c r="L771"/>
      <c r="P771"/>
    </row>
    <row r="772" spans="1:23" ht="14.4" x14ac:dyDescent="0.3">
      <c r="B772" s="139" t="s">
        <v>7050</v>
      </c>
      <c r="C772" s="142"/>
      <c r="D772" s="142"/>
      <c r="E772" s="267"/>
      <c r="F772" s="267"/>
      <c r="G772" s="269"/>
      <c r="H772" s="270"/>
      <c r="I772" s="142"/>
      <c r="J772" s="142"/>
      <c r="K772" s="269"/>
      <c r="L772" s="269"/>
      <c r="M772" s="142"/>
      <c r="N772" s="142"/>
      <c r="O772" s="142"/>
      <c r="P772" s="271"/>
      <c r="Q772" s="142"/>
      <c r="R772" s="142"/>
      <c r="S772" s="142"/>
      <c r="T772" s="142"/>
      <c r="U772" s="269"/>
      <c r="V772" s="142"/>
      <c r="W772" s="208"/>
    </row>
    <row r="773" spans="1:23" ht="14.4" x14ac:dyDescent="0.3">
      <c r="B773" s="92" t="s">
        <v>7051</v>
      </c>
      <c r="D773"/>
      <c r="F773" s="66"/>
      <c r="W773" s="1256"/>
    </row>
    <row r="774" spans="1:23" ht="14.4" x14ac:dyDescent="0.3">
      <c r="B774" s="99"/>
      <c r="F774" s="66"/>
      <c r="W774" s="1256"/>
    </row>
    <row r="775" spans="1:23" ht="14.4" x14ac:dyDescent="0.3">
      <c r="B775" s="92" t="s">
        <v>7052</v>
      </c>
      <c r="C775" s="82" t="s">
        <v>565</v>
      </c>
      <c r="D775" s="82" t="s">
        <v>38</v>
      </c>
      <c r="F775"/>
      <c r="W775" s="1256"/>
    </row>
    <row r="776" spans="1:23" ht="14.4" x14ac:dyDescent="0.3">
      <c r="A776" s="292"/>
      <c r="B776" s="99" t="s">
        <v>5859</v>
      </c>
      <c r="C776">
        <f>UDV.animal.total</f>
        <v>500</v>
      </c>
      <c r="D776" t="s">
        <v>2442</v>
      </c>
      <c r="F776"/>
      <c r="W776" s="1256"/>
    </row>
    <row r="777" spans="1:23" ht="14.4" x14ac:dyDescent="0.3">
      <c r="A777" s="292"/>
      <c r="B777" s="174" t="s">
        <v>5386</v>
      </c>
      <c r="C777">
        <f>UDV.crops.acres_available</f>
        <v>100</v>
      </c>
      <c r="D777" t="s">
        <v>7029</v>
      </c>
      <c r="W777" s="1256"/>
    </row>
    <row r="778" spans="1:23" ht="14.4" x14ac:dyDescent="0.3">
      <c r="B778" s="99" t="s">
        <v>5114</v>
      </c>
      <c r="C778" t="str">
        <f>UDV.u.state</f>
        <v>Iowa</v>
      </c>
      <c r="D778" t="s">
        <v>2852</v>
      </c>
      <c r="W778" s="1256"/>
    </row>
    <row r="779" spans="1:23" ht="13.5" customHeight="1" x14ac:dyDescent="0.3">
      <c r="A779" t="s">
        <v>4912</v>
      </c>
      <c r="B779" s="99"/>
      <c r="C779" s="166"/>
      <c r="D779"/>
      <c r="W779" s="1256"/>
    </row>
    <row r="780" spans="1:23" ht="14.4" x14ac:dyDescent="0.3">
      <c r="B780" s="99"/>
      <c r="W780" s="1256"/>
    </row>
    <row r="781" spans="1:23" ht="14.4" x14ac:dyDescent="0.3">
      <c r="A781" t="s">
        <v>4912</v>
      </c>
      <c r="B781" s="92" t="s">
        <v>7053</v>
      </c>
      <c r="C781" s="82" t="s">
        <v>5181</v>
      </c>
      <c r="D781" s="82" t="s">
        <v>7140</v>
      </c>
      <c r="W781" s="1256"/>
    </row>
    <row r="782" spans="1:23" ht="14.4" x14ac:dyDescent="0.3">
      <c r="A782" t="s">
        <v>4912</v>
      </c>
      <c r="B782" s="275" t="s">
        <v>2585</v>
      </c>
      <c r="C782" s="276">
        <f>F802</f>
        <v>335159.39860668185</v>
      </c>
      <c r="D782" s="153">
        <f>C782/C776</f>
        <v>670.31879721336372</v>
      </c>
      <c r="W782" s="1256"/>
    </row>
    <row r="783" spans="1:23" ht="14.4" x14ac:dyDescent="0.3">
      <c r="A783" t="s">
        <v>4912</v>
      </c>
      <c r="B783" s="275" t="s">
        <v>2588</v>
      </c>
      <c r="C783" s="276">
        <f>G802+L802</f>
        <v>155486.84686954092</v>
      </c>
      <c r="D783" s="153">
        <f>C783/C776</f>
        <v>310.97369373908185</v>
      </c>
      <c r="W783" s="1256"/>
    </row>
    <row r="784" spans="1:23" ht="14.4" x14ac:dyDescent="0.3">
      <c r="A784" t="s">
        <v>4912</v>
      </c>
      <c r="B784" s="275" t="s">
        <v>441</v>
      </c>
      <c r="C784" s="276">
        <f>I802</f>
        <v>10561.452582174725</v>
      </c>
      <c r="D784" s="153">
        <f>C784/C776</f>
        <v>21.122905164349451</v>
      </c>
      <c r="W784" s="1256"/>
    </row>
    <row r="785" spans="1:25" ht="14.4" x14ac:dyDescent="0.3">
      <c r="A785" t="s">
        <v>4912</v>
      </c>
      <c r="B785" s="275" t="s">
        <v>440</v>
      </c>
      <c r="C785" s="276">
        <f>J802</f>
        <v>5773.5935150743935</v>
      </c>
      <c r="D785" s="153">
        <f>C785/C776</f>
        <v>11.547187030148788</v>
      </c>
      <c r="W785" s="1256"/>
    </row>
    <row r="786" spans="1:25" ht="14.4" x14ac:dyDescent="0.3">
      <c r="A786" t="s">
        <v>4912</v>
      </c>
      <c r="B786" s="275" t="s">
        <v>442</v>
      </c>
      <c r="C786" s="276">
        <f>K802</f>
        <v>0</v>
      </c>
      <c r="D786" s="153">
        <f>C786/C776</f>
        <v>0</v>
      </c>
      <c r="W786" s="1256"/>
    </row>
    <row r="787" spans="1:25" ht="14.4" x14ac:dyDescent="0.3">
      <c r="A787" t="s">
        <v>4912</v>
      </c>
      <c r="B787" s="2270" t="s">
        <v>439</v>
      </c>
      <c r="C787" s="2271">
        <f>M802</f>
        <v>-490646.24547622289</v>
      </c>
      <c r="D787" s="159">
        <f>C787/C776</f>
        <v>-981.29249095244575</v>
      </c>
      <c r="E787" s="288"/>
      <c r="W787" s="1256"/>
    </row>
    <row r="788" spans="1:25" ht="14.4" x14ac:dyDescent="0.3">
      <c r="A788" t="s">
        <v>4912</v>
      </c>
      <c r="B788" s="99" t="s">
        <v>7055</v>
      </c>
      <c r="C788" s="276">
        <f>L802</f>
        <v>0</v>
      </c>
      <c r="D788" s="153">
        <f>C788/C776</f>
        <v>0</v>
      </c>
      <c r="E788" s="279" t="s">
        <v>7056</v>
      </c>
      <c r="W788" s="1256"/>
    </row>
    <row r="789" spans="1:25" ht="14.4" x14ac:dyDescent="0.3">
      <c r="A789" t="s">
        <v>4912</v>
      </c>
      <c r="B789" s="99" t="s">
        <v>7057</v>
      </c>
      <c r="C789" s="153">
        <f>C782+C783</f>
        <v>490646.24547622277</v>
      </c>
      <c r="D789" s="153">
        <f>C789/C776</f>
        <v>981.29249095244552</v>
      </c>
      <c r="W789" s="1256"/>
    </row>
    <row r="790" spans="1:25" ht="13.5" customHeight="1" x14ac:dyDescent="0.3">
      <c r="A790" t="s">
        <v>4912</v>
      </c>
      <c r="B790" s="853" t="s">
        <v>5392</v>
      </c>
      <c r="C790" s="142"/>
      <c r="D790" s="854">
        <f>E802</f>
        <v>3937444.0878288946</v>
      </c>
      <c r="E790" s="271" t="s">
        <v>2284</v>
      </c>
      <c r="W790" s="1256"/>
    </row>
    <row r="791" spans="1:25" ht="13.5" customHeight="1" x14ac:dyDescent="0.3">
      <c r="A791" t="s">
        <v>4912</v>
      </c>
      <c r="B791" s="852" t="s">
        <v>5393</v>
      </c>
      <c r="D791" s="274">
        <f>E802/C776</f>
        <v>7874.8881756577894</v>
      </c>
      <c r="E791" s="20" t="s">
        <v>7058</v>
      </c>
      <c r="W791" s="1256"/>
    </row>
    <row r="792" spans="1:25" ht="14.4" x14ac:dyDescent="0.3">
      <c r="B792" s="174"/>
      <c r="D792"/>
      <c r="F792"/>
      <c r="G792"/>
      <c r="H792" s="42"/>
      <c r="I792" s="3"/>
      <c r="L792"/>
      <c r="N792" s="273" t="s">
        <v>7059</v>
      </c>
      <c r="O792" s="90"/>
      <c r="P792" s="90"/>
      <c r="Q792" s="90"/>
      <c r="R792" s="90"/>
      <c r="S792" s="279"/>
      <c r="T792" s="90"/>
      <c r="U792" s="90"/>
      <c r="V792" s="42"/>
      <c r="W792" s="146"/>
    </row>
    <row r="793" spans="1:25" ht="14.4" x14ac:dyDescent="0.3">
      <c r="B793" s="92" t="s">
        <v>7060</v>
      </c>
      <c r="D793"/>
      <c r="F793"/>
      <c r="G793"/>
      <c r="H793"/>
      <c r="K793"/>
      <c r="L793"/>
      <c r="M793" s="113"/>
      <c r="N793" s="90" t="s">
        <v>5323</v>
      </c>
      <c r="O793" s="90" t="s">
        <v>5181</v>
      </c>
      <c r="P793" s="90" t="s">
        <v>5324</v>
      </c>
      <c r="Q793" s="90" t="s">
        <v>5181</v>
      </c>
      <c r="R793" s="90" t="s">
        <v>2710</v>
      </c>
      <c r="S793" s="90" t="s">
        <v>5181</v>
      </c>
      <c r="T793" s="90" t="s">
        <v>2710</v>
      </c>
      <c r="U793" s="90" t="s">
        <v>5181</v>
      </c>
      <c r="V793" s="90" t="s">
        <v>2710</v>
      </c>
      <c r="W793" s="280" t="s">
        <v>5181</v>
      </c>
    </row>
    <row r="794" spans="1:25" ht="86.4" x14ac:dyDescent="0.3">
      <c r="B794" s="92" t="s">
        <v>5187</v>
      </c>
      <c r="C794" s="82" t="s">
        <v>7061</v>
      </c>
      <c r="D794" s="82" t="s">
        <v>7062</v>
      </c>
      <c r="E794" s="277" t="s">
        <v>7063</v>
      </c>
      <c r="F794" s="152" t="s">
        <v>7064</v>
      </c>
      <c r="G794" s="277" t="s">
        <v>2588</v>
      </c>
      <c r="H794" s="152" t="s">
        <v>5188</v>
      </c>
      <c r="I794" s="82" t="s">
        <v>5189</v>
      </c>
      <c r="J794" s="82" t="s">
        <v>5190</v>
      </c>
      <c r="K794" s="82" t="s">
        <v>442</v>
      </c>
      <c r="L794" s="82" t="s">
        <v>5191</v>
      </c>
      <c r="M794" s="173" t="s">
        <v>439</v>
      </c>
      <c r="N794" s="281" t="s">
        <v>5192</v>
      </c>
      <c r="O794" s="281" t="s">
        <v>5193</v>
      </c>
      <c r="P794" s="281" t="s">
        <v>5194</v>
      </c>
      <c r="Q794" s="281" t="s">
        <v>5195</v>
      </c>
      <c r="R794" s="281" t="s">
        <v>5196</v>
      </c>
      <c r="S794" s="281" t="s">
        <v>5197</v>
      </c>
      <c r="T794" s="281" t="s">
        <v>5198</v>
      </c>
      <c r="U794" s="281" t="s">
        <v>5199</v>
      </c>
      <c r="V794" s="281" t="s">
        <v>5200</v>
      </c>
      <c r="W794" s="282" t="s">
        <v>5201</v>
      </c>
    </row>
    <row r="795" spans="1:25" ht="14.4" x14ac:dyDescent="0.3">
      <c r="A795" t="s">
        <v>7066</v>
      </c>
      <c r="B795" s="99" t="s">
        <v>6945</v>
      </c>
      <c r="C795" s="158">
        <f>SUMIFS($C$300:$C$766,$A$300:$A$766,_xlfn.CONCAT(B795,"_construction"))</f>
        <v>13695.194157051748</v>
      </c>
      <c r="D795" s="158">
        <f>SUMIFS($C$300:$C$766,$A$300:$A$766,_xlfn.CONCAT(B795,"_equipment"))</f>
        <v>0</v>
      </c>
      <c r="E795" s="274">
        <f>SUM(C795:D795)</f>
        <v>13695.194157051748</v>
      </c>
      <c r="F795" s="158">
        <f>SUMIFS($D$300:$D$766,$A$300:$A$766,$B795,$B$300:$B$766,"Total capital recovery value")</f>
        <v>1108.2749450816623</v>
      </c>
      <c r="G795" s="158">
        <f>SUMIFS($C$300:$C$766,$A$300:$A$766,$B795,$B$300:$B$766,"Annual operational costs")</f>
        <v>205.42791235577621</v>
      </c>
      <c r="H795" s="153">
        <f>SUM(F795:G795)</f>
        <v>1313.7028574374385</v>
      </c>
      <c r="I795" s="158">
        <f>SUMIFS($C$300:$C$766,$A$300:$A$766,$B795,$B$300:$B$766,"Annual cost savings")</f>
        <v>0</v>
      </c>
      <c r="J795" s="158">
        <f>SUMIFS($C$300:$C$766,$A$300:$A$766,$B795,$B$300:$B$766,"Annual fertilizer value for on-farm use")</f>
        <v>0</v>
      </c>
      <c r="K795" s="158">
        <f>SUMIFS($C$300:$C$766,$A$300:$A$766,$B795,$B$300:$B$766,"Annual revenues")</f>
        <v>0</v>
      </c>
      <c r="L795" s="158">
        <f>SUMIFS($C$300:$C$766,$A$300:$A$766,$B795,$B$300:$B$766,"Annual cost to export excess")</f>
        <v>0</v>
      </c>
      <c r="M795" s="283">
        <f>K795-F795-G795</f>
        <v>-1313.7028574374385</v>
      </c>
      <c r="N795">
        <f>SUMIFS($F$300:$F$766,$A$300:$A$766,$B795,$B$300:$B$766,"Totals")</f>
        <v>0</v>
      </c>
      <c r="O795">
        <f>SUMIFS($G$300:$G$766,$A$300:$A$766,$B795,$B$300:$B$766,"Totals")</f>
        <v>0</v>
      </c>
      <c r="P795" s="147">
        <f>SUMIFS($H$300:$H$766,$A$300:$A$766,$B795,$B$300:$B$766,"Totals")</f>
        <v>0</v>
      </c>
      <c r="Q795" s="147">
        <f>SUMIFS($I$300:$I$766,$A$300:$A$766,$B795,$B$300:$B$766,"Totals")</f>
        <v>0</v>
      </c>
      <c r="R795" s="2315">
        <f>SUMIFS($K$300:$K$766,$A$300:$A$766,$B795,$B$300:$B$766,"Totals")</f>
        <v>0</v>
      </c>
      <c r="S795" s="2315">
        <f>SUMIFS($L$300:$L$766,$A$300:$A$766,$B795,$B$300:$B$766,"Totals")</f>
        <v>0</v>
      </c>
      <c r="T795" s="2315">
        <f>SUMIFS($M$300:$M$766,$A$300:$A$766,$B795,$B$300:$B$766,"Totals")</f>
        <v>0</v>
      </c>
      <c r="U795" s="2315">
        <f>SUMIFS($N$300:$N$766,$A$300:$A$766,$B795,$B$300:$B$766,"Totals")</f>
        <v>0</v>
      </c>
      <c r="V795" s="147">
        <f>R795+T795</f>
        <v>0</v>
      </c>
      <c r="W795" s="285">
        <f>S795+U795</f>
        <v>0</v>
      </c>
      <c r="Y795" s="36"/>
    </row>
    <row r="796" spans="1:25" ht="13.5" customHeight="1" x14ac:dyDescent="0.3">
      <c r="A796" t="str">
        <f t="shared" ref="A796:A802" si="37">_xlfn.CONCAT("TL",B796)</f>
        <v>TLBarn and parlor</v>
      </c>
      <c r="B796" s="99" t="s">
        <v>5209</v>
      </c>
      <c r="C796" s="233">
        <f t="shared" ref="C796:C801" si="38">SUMIFS($C:$C,$A:$A,_xlfn.CONCAT(B796,"_construction"))</f>
        <v>0</v>
      </c>
      <c r="D796" s="233">
        <f t="shared" ref="D796:D801" si="39">SUMIFS($C:$C,$A:$A,_xlfn.CONCAT(B796,"_equipment"))</f>
        <v>0</v>
      </c>
      <c r="E796" s="274">
        <f t="shared" ref="E796:E801" si="40">SUM(C796:D796)</f>
        <v>0</v>
      </c>
      <c r="F796" s="233">
        <f t="shared" ref="F796:F801" si="41">SUMIFS($D:$D,$A:$A,$B796,$B:$B,"Total capital recovery value")</f>
        <v>0</v>
      </c>
      <c r="G796" s="233">
        <f t="shared" ref="G796:G801" si="42">SUMIFS($C:$C,$A:$A,$B796,$B:$B,"Annual operational costs")</f>
        <v>217.84991231530387</v>
      </c>
      <c r="H796" s="153">
        <f>SUM(F796:G796)</f>
        <v>217.84991231530387</v>
      </c>
      <c r="I796" s="233">
        <f t="shared" ref="I796:I801" si="43">SUMIFS($C:$C,$A:$A,$B796,$B:$B,"Annual cost savings")</f>
        <v>0</v>
      </c>
      <c r="J796" s="233">
        <f t="shared" ref="J796:J801" si="44">SUMIFS($C:$C,$A:$A,$B796,$B:$B,"Annual fertilizer value for on-farm use")</f>
        <v>0</v>
      </c>
      <c r="K796" s="233">
        <f>SUMIFS($C:$C,$A:$A,$B796,$B:$B,"Annual revenues")</f>
        <v>0</v>
      </c>
      <c r="L796" s="233">
        <f t="shared" ref="L796:L801" si="45">SUMIFS($C:$C,$A:$A,$B796,$B:$B,"Annual cost to export excess")</f>
        <v>0</v>
      </c>
      <c r="M796" s="283">
        <f>K796-F796-G796</f>
        <v>-217.84991231530387</v>
      </c>
      <c r="N796">
        <f t="shared" ref="N796:N801" si="46">SUMIFS($F:$F,$A:$A,$B796,$B:$B,"Totals")</f>
        <v>0</v>
      </c>
      <c r="O796">
        <f t="shared" ref="O796:O801" si="47">SUMIFS($G:$G,$A:$A,$B796,$B:$B,"Totals")</f>
        <v>0</v>
      </c>
      <c r="P796" s="147">
        <f t="shared" ref="P796:P801" si="48">SUMIFS($H:$H,$A:$A,$B796,$B:$B,"Totals")</f>
        <v>0</v>
      </c>
      <c r="Q796" s="147">
        <f t="shared" ref="Q796:Q801" si="49">SUMIFS($I:$I,$A:$A,$B796,$B:$B,"Totals")</f>
        <v>0</v>
      </c>
      <c r="R796" s="284">
        <f t="shared" ref="R796:R801" si="50">SUMIFS($K:$K,$A:$A,$B796,$B:$B,"Totals")</f>
        <v>0</v>
      </c>
      <c r="S796" s="284">
        <f t="shared" ref="S796:S801" si="51">SUMIFS($L:$L,$A:$A,$B796,$B:$B,"Totals")</f>
        <v>0</v>
      </c>
      <c r="T796" s="284">
        <f t="shared" ref="T796:T801" si="52">SUMIFS($M:$M,$A:$A,$B796,$B:$B,"Totals")</f>
        <v>0</v>
      </c>
      <c r="U796" s="284">
        <f t="shared" ref="U796:U801" si="53">SUMIFS($N:$N,$A:$A,$B796,$B:$B,"Totals")</f>
        <v>0</v>
      </c>
      <c r="V796" s="147">
        <f t="shared" ref="V796:W801" si="54">R796+T796</f>
        <v>0</v>
      </c>
      <c r="W796" s="285">
        <f t="shared" si="54"/>
        <v>0</v>
      </c>
    </row>
    <row r="797" spans="1:25" ht="13.5" customHeight="1" x14ac:dyDescent="0.3">
      <c r="A797" t="str">
        <f t="shared" si="37"/>
        <v>TLReception pit</v>
      </c>
      <c r="B797" s="99" t="s">
        <v>5219</v>
      </c>
      <c r="C797" s="233">
        <f t="shared" si="38"/>
        <v>31928.926399622596</v>
      </c>
      <c r="D797" s="233">
        <f t="shared" si="39"/>
        <v>13570</v>
      </c>
      <c r="E797" s="274">
        <f t="shared" si="40"/>
        <v>45498.926399622593</v>
      </c>
      <c r="F797" s="233">
        <f t="shared" si="41"/>
        <v>3756.3169475301229</v>
      </c>
      <c r="G797" s="233">
        <f t="shared" si="42"/>
        <v>2024.7429898674507</v>
      </c>
      <c r="H797" s="153">
        <f>SUM(F797:G797)</f>
        <v>5781.0599373975738</v>
      </c>
      <c r="I797" s="233">
        <f t="shared" si="43"/>
        <v>0</v>
      </c>
      <c r="J797" s="233">
        <f t="shared" si="44"/>
        <v>0</v>
      </c>
      <c r="K797" s="233">
        <f>SUMIFS($C:$C,$A:$A,$B797,$B:$B,"Annual revenues")</f>
        <v>0</v>
      </c>
      <c r="L797" s="233">
        <f t="shared" si="45"/>
        <v>0</v>
      </c>
      <c r="M797" s="283">
        <f t="shared" ref="M797:M801" si="55">K797-F797-G797</f>
        <v>-5781.0599373975738</v>
      </c>
      <c r="N797">
        <f t="shared" si="46"/>
        <v>1499.5858662098678</v>
      </c>
      <c r="O797">
        <f t="shared" si="47"/>
        <v>102.85909387311185</v>
      </c>
      <c r="P797" s="147">
        <f t="shared" si="48"/>
        <v>0</v>
      </c>
      <c r="Q797" s="147">
        <f t="shared" si="49"/>
        <v>0</v>
      </c>
      <c r="R797" s="284">
        <f t="shared" si="50"/>
        <v>0</v>
      </c>
      <c r="S797" s="284">
        <f t="shared" si="51"/>
        <v>0</v>
      </c>
      <c r="T797" s="284">
        <f t="shared" si="52"/>
        <v>0</v>
      </c>
      <c r="U797" s="284">
        <f t="shared" si="53"/>
        <v>0</v>
      </c>
      <c r="V797" s="147">
        <f t="shared" si="54"/>
        <v>0</v>
      </c>
      <c r="W797" s="285">
        <f t="shared" si="54"/>
        <v>0</v>
      </c>
    </row>
    <row r="798" spans="1:25" ht="13.5" customHeight="1" x14ac:dyDescent="0.3">
      <c r="A798" t="str">
        <f t="shared" si="37"/>
        <v>TLAnaerobic digestion</v>
      </c>
      <c r="B798" s="99" t="s">
        <v>5220</v>
      </c>
      <c r="C798" s="233">
        <f t="shared" si="38"/>
        <v>2460012.5579201453</v>
      </c>
      <c r="D798" s="233">
        <f t="shared" si="39"/>
        <v>0</v>
      </c>
      <c r="E798" s="274">
        <f t="shared" si="40"/>
        <v>2460012.5579201453</v>
      </c>
      <c r="F798" s="233">
        <f t="shared" si="41"/>
        <v>281197.6051648162</v>
      </c>
      <c r="G798" s="233">
        <f t="shared" si="42"/>
        <v>135952.85138749413</v>
      </c>
      <c r="H798" s="153">
        <f>SUM(F798:G798)</f>
        <v>417150.45655231032</v>
      </c>
      <c r="I798" s="233">
        <f t="shared" si="43"/>
        <v>0</v>
      </c>
      <c r="J798" s="233">
        <f t="shared" si="44"/>
        <v>0</v>
      </c>
      <c r="K798" s="233">
        <f>SUMIFS($C:$C,$A:$A,$B798,$B:$B,"Annual revenues for tanker")</f>
        <v>0</v>
      </c>
      <c r="L798" s="233">
        <f t="shared" si="45"/>
        <v>0</v>
      </c>
      <c r="M798" s="283">
        <f t="shared" si="55"/>
        <v>-417150.45655231032</v>
      </c>
      <c r="N798">
        <f t="shared" si="46"/>
        <v>0</v>
      </c>
      <c r="O798">
        <f t="shared" si="47"/>
        <v>0</v>
      </c>
      <c r="P798" s="147">
        <f t="shared" si="48"/>
        <v>0</v>
      </c>
      <c r="Q798" s="147">
        <f t="shared" si="49"/>
        <v>0</v>
      </c>
      <c r="R798" s="284">
        <f t="shared" si="50"/>
        <v>0</v>
      </c>
      <c r="S798" s="284">
        <f t="shared" si="51"/>
        <v>0</v>
      </c>
      <c r="T798" s="284">
        <f t="shared" si="52"/>
        <v>0</v>
      </c>
      <c r="U798" s="284">
        <f t="shared" si="53"/>
        <v>0</v>
      </c>
      <c r="V798" s="147">
        <f t="shared" si="54"/>
        <v>0</v>
      </c>
      <c r="W798" s="285">
        <f t="shared" si="54"/>
        <v>0</v>
      </c>
    </row>
    <row r="799" spans="1:25" ht="13.5" customHeight="1" x14ac:dyDescent="0.3">
      <c r="A799" t="str">
        <f t="shared" si="37"/>
        <v>TLLagoon</v>
      </c>
      <c r="B799" s="99" t="s">
        <v>5210</v>
      </c>
      <c r="C799" s="233">
        <f t="shared" si="38"/>
        <v>129137.409352075</v>
      </c>
      <c r="D799" s="233">
        <f t="shared" si="39"/>
        <v>0</v>
      </c>
      <c r="E799" s="274">
        <f t="shared" si="40"/>
        <v>129137.409352075</v>
      </c>
      <c r="F799" s="233">
        <f t="shared" si="41"/>
        <v>10450.363362243077</v>
      </c>
      <c r="G799" s="233">
        <f t="shared" si="42"/>
        <v>1937.0611402811251</v>
      </c>
      <c r="H799" s="153">
        <f t="shared" ref="H799:H801" si="56">SUM(F799:G799)</f>
        <v>12387.424502524202</v>
      </c>
      <c r="I799" s="233">
        <f t="shared" si="43"/>
        <v>0</v>
      </c>
      <c r="J799" s="233">
        <f t="shared" si="44"/>
        <v>0</v>
      </c>
      <c r="K799" s="233">
        <f>SUMIFS($C:$C,$A:$A,$B799,$B:$B,"Annual revenues")</f>
        <v>0</v>
      </c>
      <c r="L799" s="233">
        <f t="shared" si="45"/>
        <v>0</v>
      </c>
      <c r="M799" s="283">
        <f t="shared" si="55"/>
        <v>-12387.424502524202</v>
      </c>
      <c r="N799">
        <f t="shared" si="46"/>
        <v>0</v>
      </c>
      <c r="O799">
        <f t="shared" si="47"/>
        <v>0</v>
      </c>
      <c r="P799" s="147">
        <f t="shared" si="48"/>
        <v>0</v>
      </c>
      <c r="Q799" s="147">
        <f t="shared" si="49"/>
        <v>0</v>
      </c>
      <c r="R799" s="284">
        <f t="shared" si="50"/>
        <v>0</v>
      </c>
      <c r="S799" s="284">
        <f t="shared" si="51"/>
        <v>0</v>
      </c>
      <c r="T799" s="284">
        <f t="shared" si="52"/>
        <v>0</v>
      </c>
      <c r="U799" s="284">
        <f t="shared" si="53"/>
        <v>0</v>
      </c>
      <c r="V799" s="147">
        <f t="shared" si="54"/>
        <v>0</v>
      </c>
      <c r="W799" s="285">
        <f t="shared" si="54"/>
        <v>0</v>
      </c>
    </row>
    <row r="800" spans="1:25" ht="13.5" customHeight="1" x14ac:dyDescent="0.3">
      <c r="A800" t="str">
        <f t="shared" si="37"/>
        <v>TLFlush water</v>
      </c>
      <c r="B800" s="99" t="s">
        <v>5211</v>
      </c>
      <c r="C800" s="233">
        <f t="shared" si="38"/>
        <v>0</v>
      </c>
      <c r="D800" s="233">
        <f t="shared" si="39"/>
        <v>0</v>
      </c>
      <c r="E800" s="274">
        <f t="shared" si="40"/>
        <v>0</v>
      </c>
      <c r="F800" s="233">
        <f t="shared" si="41"/>
        <v>3017.6174069102476</v>
      </c>
      <c r="G800" s="233">
        <f t="shared" si="42"/>
        <v>1085.2004420208236</v>
      </c>
      <c r="H800" s="153">
        <f t="shared" si="56"/>
        <v>4102.8178489310712</v>
      </c>
      <c r="I800" s="233">
        <f t="shared" si="43"/>
        <v>10561.452582174725</v>
      </c>
      <c r="J800" s="233">
        <f t="shared" si="44"/>
        <v>0</v>
      </c>
      <c r="K800" s="233">
        <f>SUMIFS($C:$C,$A:$A,$B800,$B:$B,"Annual revenues")</f>
        <v>0</v>
      </c>
      <c r="L800" s="233">
        <f t="shared" si="45"/>
        <v>0</v>
      </c>
      <c r="M800" s="283">
        <f t="shared" si="55"/>
        <v>-4102.8178489310712</v>
      </c>
      <c r="N800" s="278">
        <f t="shared" si="46"/>
        <v>1129.152356031932</v>
      </c>
      <c r="O800" s="147">
        <f t="shared" si="47"/>
        <v>77.450442020823601</v>
      </c>
      <c r="P800" s="147">
        <f t="shared" si="48"/>
        <v>0</v>
      </c>
      <c r="Q800" s="147">
        <f t="shared" si="49"/>
        <v>0</v>
      </c>
      <c r="R800" s="284">
        <f t="shared" si="50"/>
        <v>0</v>
      </c>
      <c r="S800" s="284">
        <f t="shared" si="51"/>
        <v>0</v>
      </c>
      <c r="T800" s="284">
        <f t="shared" si="52"/>
        <v>0</v>
      </c>
      <c r="U800" s="284">
        <f t="shared" si="53"/>
        <v>0</v>
      </c>
      <c r="V800" s="147">
        <f t="shared" si="54"/>
        <v>0</v>
      </c>
      <c r="W800" s="285">
        <f t="shared" si="54"/>
        <v>0</v>
      </c>
    </row>
    <row r="801" spans="1:23" ht="13.5" customHeight="1" x14ac:dyDescent="0.3">
      <c r="A801" t="str">
        <f t="shared" si="37"/>
        <v>TLEnd use tanker</v>
      </c>
      <c r="B801" s="99" t="s">
        <v>5202</v>
      </c>
      <c r="C801" s="233">
        <f t="shared" si="38"/>
        <v>0</v>
      </c>
      <c r="D801" s="233">
        <f t="shared" si="39"/>
        <v>1289100</v>
      </c>
      <c r="E801" s="274">
        <f t="shared" si="40"/>
        <v>1289100</v>
      </c>
      <c r="F801" s="233">
        <f t="shared" si="41"/>
        <v>35629.220780100601</v>
      </c>
      <c r="G801" s="233">
        <f t="shared" si="42"/>
        <v>14063.713085206346</v>
      </c>
      <c r="H801" s="153">
        <f t="shared" si="56"/>
        <v>49692.933865306943</v>
      </c>
      <c r="I801" s="233">
        <f t="shared" si="43"/>
        <v>0</v>
      </c>
      <c r="J801" s="233">
        <f t="shared" si="44"/>
        <v>5773.5935150743935</v>
      </c>
      <c r="K801" s="233">
        <f>SUMIFS($C:$C,$A:$A,$B801,$B:$B,"Annual revenues")</f>
        <v>0</v>
      </c>
      <c r="L801" s="233">
        <f t="shared" si="45"/>
        <v>0</v>
      </c>
      <c r="M801" s="283">
        <f t="shared" si="55"/>
        <v>-49692.933865306943</v>
      </c>
      <c r="N801">
        <f t="shared" si="46"/>
        <v>934.64729834049092</v>
      </c>
      <c r="O801">
        <f t="shared" si="47"/>
        <v>64.109015938671504</v>
      </c>
      <c r="P801" s="147">
        <f t="shared" si="48"/>
        <v>177.61872680194526</v>
      </c>
      <c r="Q801" s="147">
        <f t="shared" si="49"/>
        <v>656.56594797502453</v>
      </c>
      <c r="R801" s="284">
        <f t="shared" si="50"/>
        <v>29.444950974763977</v>
      </c>
      <c r="S801" s="284">
        <f t="shared" si="51"/>
        <v>696.66754006291569</v>
      </c>
      <c r="T801" s="284">
        <f t="shared" si="52"/>
        <v>0</v>
      </c>
      <c r="U801" s="284">
        <f t="shared" si="53"/>
        <v>0</v>
      </c>
      <c r="V801" s="147">
        <f t="shared" si="54"/>
        <v>29.444950974763977</v>
      </c>
      <c r="W801" s="285">
        <f t="shared" si="54"/>
        <v>696.66754006291569</v>
      </c>
    </row>
    <row r="802" spans="1:23" ht="13.5" customHeight="1" x14ac:dyDescent="0.3">
      <c r="A802" t="str">
        <f t="shared" si="37"/>
        <v>TLTotals</v>
      </c>
      <c r="B802" s="162" t="s">
        <v>5203</v>
      </c>
      <c r="C802" s="242">
        <f>SUM(C795:C801)</f>
        <v>2634774.0878288946</v>
      </c>
      <c r="D802" s="242">
        <f t="shared" ref="D802:M802" si="57">SUM(D795:D801)</f>
        <v>1302670</v>
      </c>
      <c r="E802" s="242">
        <f t="shared" si="57"/>
        <v>3937444.0878288946</v>
      </c>
      <c r="F802" s="242">
        <f t="shared" si="57"/>
        <v>335159.39860668185</v>
      </c>
      <c r="G802" s="242">
        <f t="shared" si="57"/>
        <v>155486.84686954092</v>
      </c>
      <c r="H802" s="242">
        <f t="shared" si="57"/>
        <v>490646.24547622289</v>
      </c>
      <c r="I802" s="242">
        <f t="shared" si="57"/>
        <v>10561.452582174725</v>
      </c>
      <c r="J802" s="242">
        <f t="shared" si="57"/>
        <v>5773.5935150743935</v>
      </c>
      <c r="K802" s="242">
        <f t="shared" si="57"/>
        <v>0</v>
      </c>
      <c r="L802" s="242">
        <f t="shared" si="57"/>
        <v>0</v>
      </c>
      <c r="M802" s="242">
        <f t="shared" si="57"/>
        <v>-490646.24547622289</v>
      </c>
      <c r="N802" s="286">
        <f>SUM(N795:N801)</f>
        <v>3563.3855205822911</v>
      </c>
      <c r="O802" s="286">
        <f t="shared" ref="O802:W802" si="58">SUM(O795:O801)</f>
        <v>244.41855183260697</v>
      </c>
      <c r="P802" s="286">
        <f t="shared" si="58"/>
        <v>177.61872680194526</v>
      </c>
      <c r="Q802" s="286">
        <f t="shared" si="58"/>
        <v>656.56594797502453</v>
      </c>
      <c r="R802" s="286">
        <f t="shared" si="58"/>
        <v>29.444950974763977</v>
      </c>
      <c r="S802" s="286">
        <f t="shared" si="58"/>
        <v>696.66754006291569</v>
      </c>
      <c r="T802" s="286">
        <f t="shared" si="58"/>
        <v>0</v>
      </c>
      <c r="U802" s="286">
        <f t="shared" si="58"/>
        <v>0</v>
      </c>
      <c r="V802" s="286">
        <f t="shared" si="58"/>
        <v>29.444950974763977</v>
      </c>
      <c r="W802" s="286">
        <f t="shared" si="58"/>
        <v>696.66754006291569</v>
      </c>
    </row>
    <row r="803" spans="1:23" ht="14.4" x14ac:dyDescent="0.3">
      <c r="A803" s="82"/>
      <c r="B803" s="287" t="s">
        <v>7069</v>
      </c>
      <c r="C803" s="150"/>
      <c r="D803" s="150"/>
      <c r="E803" s="288"/>
      <c r="F803" s="150"/>
      <c r="G803" s="150"/>
      <c r="H803" s="150"/>
      <c r="I803" s="150"/>
      <c r="J803" s="150"/>
      <c r="K803" s="150"/>
      <c r="L803" s="150"/>
      <c r="M803" s="289"/>
      <c r="N803" s="150"/>
      <c r="O803" s="150"/>
      <c r="P803" s="150"/>
      <c r="Q803" s="150"/>
      <c r="R803" s="290"/>
      <c r="S803" s="291"/>
      <c r="T803" s="150"/>
      <c r="U803" s="150"/>
      <c r="V803" s="150"/>
      <c r="W803" s="151"/>
    </row>
    <row r="804" spans="1:23" ht="14.4" x14ac:dyDescent="0.3">
      <c r="D804"/>
      <c r="E804" s="288"/>
      <c r="F804"/>
      <c r="G804"/>
      <c r="H804"/>
      <c r="K804"/>
      <c r="L804"/>
      <c r="P804"/>
      <c r="U804"/>
      <c r="W804"/>
    </row>
    <row r="805" spans="1:23" ht="14.4" x14ac:dyDescent="0.3">
      <c r="B805" s="139" t="s">
        <v>7050</v>
      </c>
      <c r="C805" s="142"/>
      <c r="D805" s="142"/>
      <c r="E805" s="267"/>
      <c r="F805" s="267"/>
      <c r="G805" s="267"/>
      <c r="H805" s="268"/>
      <c r="I805" s="269"/>
      <c r="J805" s="270"/>
      <c r="K805" s="142"/>
      <c r="L805" s="269"/>
      <c r="M805" s="142"/>
      <c r="N805" s="142"/>
      <c r="O805" s="142"/>
      <c r="P805" s="142"/>
      <c r="Q805" s="142"/>
      <c r="R805" s="142"/>
      <c r="S805" s="142"/>
      <c r="T805" s="271"/>
      <c r="U805" s="142"/>
      <c r="V805" s="142"/>
      <c r="W805" s="272"/>
    </row>
    <row r="806" spans="1:23" ht="14.4" x14ac:dyDescent="0.3">
      <c r="B806" s="92" t="s">
        <v>7070</v>
      </c>
      <c r="D806"/>
      <c r="F806" s="66"/>
      <c r="G806" s="66"/>
      <c r="H806" s="19"/>
      <c r="I806" s="42"/>
      <c r="J806" s="3"/>
      <c r="K806"/>
      <c r="P806"/>
      <c r="T806" s="20"/>
      <c r="U806"/>
      <c r="W806" s="113"/>
    </row>
    <row r="807" spans="1:23" ht="14.4" x14ac:dyDescent="0.3">
      <c r="B807" s="99"/>
      <c r="F807" s="66"/>
      <c r="G807" s="19"/>
      <c r="H807" s="19"/>
      <c r="I807" s="42"/>
      <c r="J807" s="3"/>
      <c r="K807"/>
      <c r="P807"/>
      <c r="T807" s="20"/>
      <c r="U807"/>
      <c r="W807" s="113"/>
    </row>
    <row r="808" spans="1:23" ht="14.4" x14ac:dyDescent="0.3">
      <c r="B808" s="92" t="s">
        <v>7052</v>
      </c>
      <c r="C808" s="82" t="s">
        <v>565</v>
      </c>
      <c r="D808" s="82" t="s">
        <v>38</v>
      </c>
      <c r="F808"/>
      <c r="G808"/>
      <c r="H808" s="19"/>
      <c r="I808" s="42"/>
      <c r="J808" s="3"/>
      <c r="K808"/>
      <c r="P808"/>
      <c r="T808" s="20"/>
      <c r="U808"/>
      <c r="W808" s="113"/>
    </row>
    <row r="809" spans="1:23" ht="14.4" x14ac:dyDescent="0.3">
      <c r="B809" s="99" t="s">
        <v>5859</v>
      </c>
      <c r="C809">
        <f>UDV.animal.total</f>
        <v>500</v>
      </c>
      <c r="D809" t="s">
        <v>2442</v>
      </c>
      <c r="F809"/>
      <c r="G809"/>
      <c r="H809" s="19"/>
      <c r="I809" s="42"/>
      <c r="J809" s="3"/>
      <c r="K809"/>
      <c r="P809"/>
      <c r="T809" s="20"/>
      <c r="U809"/>
      <c r="W809" s="113"/>
    </row>
    <row r="810" spans="1:23" ht="14.4" x14ac:dyDescent="0.3">
      <c r="A810" s="292"/>
      <c r="B810" s="174" t="s">
        <v>5386</v>
      </c>
      <c r="C810">
        <f>UDV.crops.acres_available</f>
        <v>100</v>
      </c>
      <c r="D810" t="s">
        <v>7029</v>
      </c>
      <c r="F810"/>
      <c r="G810"/>
      <c r="H810" s="19"/>
      <c r="I810" s="42"/>
      <c r="J810" s="3"/>
      <c r="K810"/>
      <c r="P810"/>
      <c r="T810" s="20"/>
      <c r="U810"/>
      <c r="W810" s="113"/>
    </row>
    <row r="811" spans="1:23" ht="14.4" x14ac:dyDescent="0.3">
      <c r="B811" s="99" t="s">
        <v>5114</v>
      </c>
      <c r="C811" t="str">
        <f>UDV.u.state</f>
        <v>Iowa</v>
      </c>
      <c r="D811" t="s">
        <v>2852</v>
      </c>
      <c r="F811"/>
      <c r="G811"/>
      <c r="H811" s="19"/>
      <c r="I811" s="42"/>
      <c r="J811" s="3"/>
      <c r="K811"/>
      <c r="P811"/>
      <c r="T811" s="20"/>
      <c r="U811"/>
      <c r="W811" s="113"/>
    </row>
    <row r="812" spans="1:23" ht="13.5" customHeight="1" x14ac:dyDescent="0.3">
      <c r="A812" t="s">
        <v>4917</v>
      </c>
      <c r="B812" s="99" t="s">
        <v>7240</v>
      </c>
      <c r="C812" s="166">
        <f>VLOOKUP("Emissions reductions for drag hose", $R$1:$U$299,3,FALSE)*UDV.econ_energy.carbon_credits</f>
        <v>0</v>
      </c>
      <c r="D812" t="s">
        <v>5181</v>
      </c>
      <c r="F812"/>
      <c r="G812"/>
      <c r="H812" s="19"/>
      <c r="I812" s="42"/>
      <c r="J812" s="3"/>
      <c r="K812"/>
      <c r="P812"/>
      <c r="T812" s="20"/>
      <c r="U812"/>
      <c r="W812" s="113"/>
    </row>
    <row r="813" spans="1:23" ht="14.4" x14ac:dyDescent="0.3">
      <c r="B813" s="99"/>
      <c r="F813" s="66"/>
      <c r="G813"/>
      <c r="H813" s="19"/>
      <c r="I813" s="42"/>
      <c r="J813" s="3"/>
      <c r="K813"/>
      <c r="P813"/>
      <c r="T813" s="20"/>
      <c r="U813"/>
      <c r="W813" s="113"/>
    </row>
    <row r="814" spans="1:23" ht="14.4" x14ac:dyDescent="0.3">
      <c r="A814" t="s">
        <v>4917</v>
      </c>
      <c r="B814" s="92" t="s">
        <v>7053</v>
      </c>
      <c r="C814" s="82" t="s">
        <v>5181</v>
      </c>
      <c r="D814" s="82" t="s">
        <v>7140</v>
      </c>
      <c r="F814"/>
      <c r="G814"/>
      <c r="H814"/>
      <c r="I814" s="42"/>
      <c r="J814" s="3"/>
      <c r="K814"/>
      <c r="P814"/>
      <c r="T814" s="20"/>
      <c r="U814"/>
      <c r="W814" s="113"/>
    </row>
    <row r="815" spans="1:23" ht="14.4" x14ac:dyDescent="0.3">
      <c r="A815" t="s">
        <v>4917</v>
      </c>
      <c r="B815" s="275" t="s">
        <v>2585</v>
      </c>
      <c r="C815" s="276">
        <f>F835</f>
        <v>392724.01162235742</v>
      </c>
      <c r="D815" s="153">
        <f>C815/C809</f>
        <v>785.44802324471482</v>
      </c>
      <c r="F815" s="66"/>
      <c r="G815" s="66"/>
      <c r="H815"/>
      <c r="K815"/>
      <c r="L815"/>
      <c r="P815"/>
      <c r="T815" s="20"/>
      <c r="U815"/>
      <c r="W815" s="113"/>
    </row>
    <row r="816" spans="1:23" ht="14.4" x14ac:dyDescent="0.3">
      <c r="A816" t="s">
        <v>4917</v>
      </c>
      <c r="B816" s="275" t="s">
        <v>2588</v>
      </c>
      <c r="C816" s="276">
        <f>G835+L835</f>
        <v>176451.47832195659</v>
      </c>
      <c r="D816" s="153">
        <f>C816/C809</f>
        <v>352.90295664391317</v>
      </c>
      <c r="F816" s="66"/>
      <c r="G816" s="66"/>
      <c r="H816" s="19"/>
      <c r="I816" s="42"/>
      <c r="J816" s="3"/>
      <c r="K816"/>
      <c r="P816"/>
      <c r="T816" s="20"/>
      <c r="U816"/>
      <c r="W816" s="113"/>
    </row>
    <row r="817" spans="1:25" ht="14.4" x14ac:dyDescent="0.3">
      <c r="A817" t="s">
        <v>4917</v>
      </c>
      <c r="B817" s="275" t="s">
        <v>441</v>
      </c>
      <c r="C817" s="276">
        <f>I835</f>
        <v>10561.452582174725</v>
      </c>
      <c r="D817" s="153">
        <f>C817/C809</f>
        <v>21.122905164349451</v>
      </c>
      <c r="F817" s="66"/>
      <c r="G817" s="66"/>
      <c r="H817"/>
      <c r="I817" s="42"/>
      <c r="J817" s="3"/>
      <c r="K817"/>
      <c r="P817"/>
      <c r="T817" s="20"/>
      <c r="U817"/>
      <c r="W817" s="113"/>
    </row>
    <row r="818" spans="1:25" ht="14.4" x14ac:dyDescent="0.3">
      <c r="A818" t="s">
        <v>4917</v>
      </c>
      <c r="B818" s="275" t="s">
        <v>440</v>
      </c>
      <c r="C818" s="276">
        <f>J835</f>
        <v>5773.5935150743935</v>
      </c>
      <c r="D818" s="153">
        <f>C818/C809</f>
        <v>11.547187030148788</v>
      </c>
      <c r="F818" s="66"/>
      <c r="G818" s="66"/>
      <c r="H818"/>
      <c r="I818" s="42"/>
      <c r="J818" s="3"/>
      <c r="K818"/>
      <c r="P818"/>
      <c r="T818" s="20"/>
      <c r="U818"/>
      <c r="W818" s="113"/>
    </row>
    <row r="819" spans="1:25" ht="14.4" x14ac:dyDescent="0.3">
      <c r="A819" t="s">
        <v>4917</v>
      </c>
      <c r="B819" s="275" t="s">
        <v>442</v>
      </c>
      <c r="C819" s="276">
        <f>K835</f>
        <v>0</v>
      </c>
      <c r="D819" s="153">
        <f>C819/C809</f>
        <v>0</v>
      </c>
      <c r="F819" s="66"/>
      <c r="G819" s="66"/>
      <c r="H819"/>
      <c r="I819" s="42"/>
      <c r="J819" s="3"/>
      <c r="K819"/>
      <c r="P819" s="277"/>
      <c r="T819" s="20"/>
      <c r="U819"/>
      <c r="W819" s="113"/>
    </row>
    <row r="820" spans="1:25" ht="14.4" x14ac:dyDescent="0.3">
      <c r="A820" t="s">
        <v>4917</v>
      </c>
      <c r="B820" s="2270" t="s">
        <v>439</v>
      </c>
      <c r="C820" s="2271">
        <f>M835</f>
        <v>-569175.48994431412</v>
      </c>
      <c r="D820" s="159">
        <f>C820/C809</f>
        <v>-1138.3509798886282</v>
      </c>
      <c r="E820" s="288"/>
      <c r="F820" s="66"/>
      <c r="G820" s="66"/>
      <c r="H820"/>
      <c r="I820" s="42"/>
      <c r="J820" s="3"/>
      <c r="K820"/>
      <c r="P820"/>
      <c r="T820" s="20"/>
      <c r="U820"/>
      <c r="W820" s="113"/>
    </row>
    <row r="821" spans="1:25" ht="14.4" x14ac:dyDescent="0.3">
      <c r="A821" t="s">
        <v>4917</v>
      </c>
      <c r="B821" s="99" t="s">
        <v>7055</v>
      </c>
      <c r="C821" s="276">
        <f>L835</f>
        <v>0</v>
      </c>
      <c r="D821" s="153">
        <f>C821/C809</f>
        <v>0</v>
      </c>
      <c r="E821" s="279" t="s">
        <v>7056</v>
      </c>
      <c r="F821" s="66"/>
      <c r="G821" s="66"/>
      <c r="H821"/>
      <c r="I821" s="42"/>
      <c r="J821" s="3"/>
      <c r="K821"/>
      <c r="P821"/>
      <c r="T821" s="20"/>
      <c r="U821"/>
      <c r="W821" s="113"/>
    </row>
    <row r="822" spans="1:25" ht="14.4" x14ac:dyDescent="0.3">
      <c r="A822" t="s">
        <v>4917</v>
      </c>
      <c r="B822" s="99" t="s">
        <v>7057</v>
      </c>
      <c r="C822" s="153">
        <f>C815+C816</f>
        <v>569175.489944314</v>
      </c>
      <c r="D822" s="153">
        <f>C822/C809</f>
        <v>1138.350979888628</v>
      </c>
      <c r="F822" s="66"/>
      <c r="G822" s="66"/>
      <c r="H822"/>
      <c r="I822" s="42"/>
      <c r="J822" s="3"/>
      <c r="K822"/>
      <c r="P822"/>
      <c r="T822" s="20"/>
      <c r="U822"/>
      <c r="W822" s="113"/>
    </row>
    <row r="823" spans="1:25" ht="13.5" customHeight="1" x14ac:dyDescent="0.3">
      <c r="A823" t="s">
        <v>4917</v>
      </c>
      <c r="B823" s="853" t="s">
        <v>5392</v>
      </c>
      <c r="C823" s="142"/>
      <c r="D823" s="854">
        <f>E835</f>
        <v>4706184.0878288951</v>
      </c>
      <c r="E823" s="271" t="s">
        <v>2284</v>
      </c>
      <c r="F823"/>
      <c r="G823" s="66"/>
      <c r="H823"/>
      <c r="I823" s="42"/>
      <c r="J823" s="3"/>
      <c r="K823"/>
      <c r="P823"/>
      <c r="T823" s="20"/>
      <c r="U823"/>
      <c r="W823" s="113"/>
    </row>
    <row r="824" spans="1:25" ht="13.5" customHeight="1" x14ac:dyDescent="0.3">
      <c r="A824" t="s">
        <v>4917</v>
      </c>
      <c r="B824" s="852" t="s">
        <v>5393</v>
      </c>
      <c r="D824" s="274">
        <f>E835/C809</f>
        <v>9412.3681756577898</v>
      </c>
      <c r="E824" s="20" t="s">
        <v>7058</v>
      </c>
      <c r="F824"/>
      <c r="G824" s="66"/>
      <c r="H824"/>
      <c r="I824" s="42"/>
      <c r="J824" s="3"/>
      <c r="K824"/>
      <c r="P824"/>
      <c r="T824" s="20"/>
      <c r="U824"/>
      <c r="W824" s="113"/>
    </row>
    <row r="825" spans="1:25" ht="14.4" x14ac:dyDescent="0.3">
      <c r="B825" s="99"/>
      <c r="D825"/>
      <c r="F825"/>
      <c r="G825"/>
      <c r="H825" s="42"/>
      <c r="I825" s="3"/>
      <c r="L825"/>
      <c r="N825" s="273" t="s">
        <v>7059</v>
      </c>
      <c r="O825" s="90"/>
      <c r="P825" s="90"/>
      <c r="Q825" s="90"/>
      <c r="R825" s="90"/>
      <c r="S825" s="279"/>
      <c r="T825" s="90"/>
      <c r="U825" s="90"/>
      <c r="V825" s="42"/>
      <c r="W825" s="146"/>
    </row>
    <row r="826" spans="1:25" ht="14.4" x14ac:dyDescent="0.3">
      <c r="B826" s="92" t="s">
        <v>7060</v>
      </c>
      <c r="D826"/>
      <c r="F826"/>
      <c r="G826"/>
      <c r="H826"/>
      <c r="K826"/>
      <c r="L826"/>
      <c r="M826" s="113"/>
      <c r="N826" s="90" t="s">
        <v>5323</v>
      </c>
      <c r="O826" s="90" t="s">
        <v>5181</v>
      </c>
      <c r="P826" s="90" t="s">
        <v>5324</v>
      </c>
      <c r="Q826" s="90" t="s">
        <v>5181</v>
      </c>
      <c r="R826" s="90" t="s">
        <v>2710</v>
      </c>
      <c r="S826" s="90" t="s">
        <v>5181</v>
      </c>
      <c r="T826" s="90" t="s">
        <v>2710</v>
      </c>
      <c r="U826" s="90" t="s">
        <v>5181</v>
      </c>
      <c r="V826" s="90" t="s">
        <v>2710</v>
      </c>
      <c r="W826" s="280" t="s">
        <v>5181</v>
      </c>
    </row>
    <row r="827" spans="1:25" ht="86.4" x14ac:dyDescent="0.3">
      <c r="B827" s="92" t="s">
        <v>5187</v>
      </c>
      <c r="C827" s="82" t="s">
        <v>7061</v>
      </c>
      <c r="D827" s="82" t="s">
        <v>7062</v>
      </c>
      <c r="E827" s="277" t="s">
        <v>7063</v>
      </c>
      <c r="F827" s="82" t="s">
        <v>7064</v>
      </c>
      <c r="G827" s="277" t="s">
        <v>2588</v>
      </c>
      <c r="H827" s="82" t="s">
        <v>5188</v>
      </c>
      <c r="I827" s="82" t="s">
        <v>5189</v>
      </c>
      <c r="J827" s="82" t="s">
        <v>5190</v>
      </c>
      <c r="K827" s="82" t="s">
        <v>442</v>
      </c>
      <c r="L827" s="82" t="s">
        <v>5191</v>
      </c>
      <c r="M827" s="173" t="s">
        <v>439</v>
      </c>
      <c r="N827" s="281" t="s">
        <v>5192</v>
      </c>
      <c r="O827" s="281" t="s">
        <v>5193</v>
      </c>
      <c r="P827" s="281" t="s">
        <v>5194</v>
      </c>
      <c r="Q827" s="281" t="s">
        <v>5195</v>
      </c>
      <c r="R827" s="281" t="s">
        <v>5196</v>
      </c>
      <c r="S827" s="281" t="s">
        <v>5197</v>
      </c>
      <c r="T827" s="281" t="s">
        <v>5198</v>
      </c>
      <c r="U827" s="281" t="s">
        <v>5199</v>
      </c>
      <c r="V827" s="281" t="s">
        <v>5200</v>
      </c>
      <c r="W827" s="282" t="s">
        <v>5201</v>
      </c>
    </row>
    <row r="828" spans="1:25" ht="14.4" x14ac:dyDescent="0.3">
      <c r="A828" t="s">
        <v>7071</v>
      </c>
      <c r="B828" s="99" t="s">
        <v>6945</v>
      </c>
      <c r="C828" s="158">
        <f>SUMIFS($C$300:$C$765,$A$300:$A$765,_xlfn.CONCAT(B828,"_construction"))</f>
        <v>13695.194157051748</v>
      </c>
      <c r="D828" s="158">
        <f>SUMIFS($C$300:$C$765,$A$300:$A$765,_xlfn.CONCAT(B828,"_equipment"))</f>
        <v>0</v>
      </c>
      <c r="E828" s="274">
        <f>SUM(C828:D828)</f>
        <v>13695.194157051748</v>
      </c>
      <c r="F828" s="158">
        <f>SUMIFS($D$300:$D$765,$A$300:$A$765,$B828,$B$300:$B$765,"Total capital recovery value")</f>
        <v>1108.2749450816623</v>
      </c>
      <c r="G828" s="158">
        <f>SUMIFS($C$300:$C$765,$A$300:$A$765,$B828,$B$300:$B$765,"Annual operational costs")</f>
        <v>205.42791235577621</v>
      </c>
      <c r="H828" s="153">
        <f>SUM(F828:G828)</f>
        <v>1313.7028574374385</v>
      </c>
      <c r="I828" s="158">
        <f>SUMIFS($C$300:$C$765,$A$300:$A$765,$B828,$B$300:$B$765,"Annual cost savings")</f>
        <v>0</v>
      </c>
      <c r="J828" s="158">
        <f>SUMIFS($C$300:$C$765,$A$300:$A$765,$B828,$B$300:$B$765,"Annual fertilizer value for on-farm use")</f>
        <v>0</v>
      </c>
      <c r="K828" s="158">
        <f>SUMIFS($C$300:$C$765,$A$300:$A$765,$B828,$B$300:$B$765,"Annual revenues")</f>
        <v>0</v>
      </c>
      <c r="L828" s="158">
        <f>SUMIFS($C$300:$C$765,$A$300:$A$765,$B828,$B$300:$B$765,"Annual cost to export excess")</f>
        <v>0</v>
      </c>
      <c r="M828" s="283">
        <f>K828-F828-G828</f>
        <v>-1313.7028574374385</v>
      </c>
      <c r="N828">
        <f>SUMIFS($F$300:$F$765,$A$300:$A$765,$B828,$B$300:$B$765,"Totals")</f>
        <v>0</v>
      </c>
      <c r="O828">
        <f>SUMIFS($G$300:$G$765,$A$300:$A$765,$B828,$B$300:$B$765,"Totals")</f>
        <v>0</v>
      </c>
      <c r="P828" s="147">
        <f>SUMIFS($H$300:$H$765,$A$300:$A$765,$B828,$B$300:$B$765,"Totals")</f>
        <v>0</v>
      </c>
      <c r="Q828" s="147">
        <f>SUMIFS($I$300:$I$765,$A$300:$A$765,$B828,$B$300:$B$765,"Totals")</f>
        <v>0</v>
      </c>
      <c r="R828" s="2315">
        <f>SUMIFS($K$300:$K$765,$A$300:$A$765,$B828,$B$300:$B$765,"Totals")</f>
        <v>0</v>
      </c>
      <c r="S828" s="2315">
        <f>SUMIFS($L$300:$L$765,$A$300:$A$765,$B828,$B$300:$B$765,"Totals")</f>
        <v>0</v>
      </c>
      <c r="T828" s="2315">
        <f>SUMIFS($M$300:$M$765,$A$300:$A$765,$B828,$B$300:$B$765,"Totals")</f>
        <v>0</v>
      </c>
      <c r="U828" s="2315">
        <f>SUMIFS($N$300:$N$765,$A$300:$A$765,$B828,$B$300:$B$765,"Totals")</f>
        <v>0</v>
      </c>
      <c r="V828" s="147">
        <f>R828+T828</f>
        <v>0</v>
      </c>
      <c r="W828" s="285">
        <f>S828+U828</f>
        <v>0</v>
      </c>
      <c r="Y828" s="36"/>
    </row>
    <row r="829" spans="1:25" ht="13.5" customHeight="1" x14ac:dyDescent="0.3">
      <c r="A829" t="str">
        <f t="shared" ref="A829:A835" si="59">_xlfn.CONCAT("DHL",B829)</f>
        <v>DHLBarn and parlor</v>
      </c>
      <c r="B829" s="99" t="s">
        <v>5209</v>
      </c>
      <c r="C829" s="233">
        <f t="shared" ref="C829:C834" si="60">SUMIFS($C:$C,$A:$A,_xlfn.CONCAT(B829,"_construction"))</f>
        <v>0</v>
      </c>
      <c r="D829" s="233">
        <f t="shared" ref="D829:D834" si="61">SUMIFS($C:$C,$A:$A,_xlfn.CONCAT(B829,"_equipment"))</f>
        <v>0</v>
      </c>
      <c r="E829" s="274">
        <f t="shared" ref="E829:E834" si="62">SUM(C829:D829)</f>
        <v>0</v>
      </c>
      <c r="F829" s="233">
        <f t="shared" ref="F829:F834" si="63">SUMIFS($D:$D,$A:$A,$B829,$B:$B,"Total capital recovery value")</f>
        <v>0</v>
      </c>
      <c r="G829" s="233">
        <f t="shared" ref="G829:G834" si="64">SUMIFS($C:$C,$A:$A,$B829,$B:$B,"Annual operational costs")</f>
        <v>217.84991231530387</v>
      </c>
      <c r="H829" s="153">
        <f>SUM(F829:G829)</f>
        <v>217.84991231530387</v>
      </c>
      <c r="I829" s="233">
        <f t="shared" ref="I829:I834" si="65">SUMIFS($C:$C,$A:$A,$B829,$B:$B,"Annual cost savings")</f>
        <v>0</v>
      </c>
      <c r="J829" s="233">
        <f t="shared" ref="J829:J834" si="66">SUMIFS($C:$C,$A:$A,$B829,$B:$B,"Annual fertilizer value for on-farm use")</f>
        <v>0</v>
      </c>
      <c r="K829" s="233">
        <f>SUMIFS($C:$C,$A:$A,$B829,$B:$B,"Annual revenues")</f>
        <v>0</v>
      </c>
      <c r="L829" s="233">
        <f t="shared" ref="L829:L834" si="67">SUMIFS($C:$C,$A:$A,$B829,$B:$B,"Annual cost to export excess")</f>
        <v>0</v>
      </c>
      <c r="M829" s="283">
        <f>K829-F829-G829</f>
        <v>-217.84991231530387</v>
      </c>
      <c r="N829">
        <f t="shared" ref="N829:N834" si="68">SUMIFS($F:$F,$A:$A,$B829,$B:$B,"Totals")</f>
        <v>0</v>
      </c>
      <c r="O829">
        <f t="shared" ref="O829:O834" si="69">SUMIFS($G:$G,$A:$A,$B829,$B:$B,"Totals")</f>
        <v>0</v>
      </c>
      <c r="P829" s="147">
        <f t="shared" ref="P829:P834" si="70">SUMIFS($H:$H,$A:$A,$B829,$B:$B,"Totals")</f>
        <v>0</v>
      </c>
      <c r="Q829" s="147">
        <f t="shared" ref="Q829:Q834" si="71">SUMIFS($I:$I,$A:$A,$B829,$B:$B,"Totals")</f>
        <v>0</v>
      </c>
      <c r="R829" s="284">
        <f t="shared" ref="R829:R834" si="72">SUMIFS($K:$K,$A:$A,$B829,$B:$B,"Totals")</f>
        <v>0</v>
      </c>
      <c r="S829" s="284">
        <f t="shared" ref="S829:S834" si="73">SUMIFS($L:$L,$A:$A,$B829,$B:$B,"Totals")</f>
        <v>0</v>
      </c>
      <c r="T829" s="284">
        <f t="shared" ref="T829:T834" si="74">SUMIFS($M:$M,$A:$A,$B829,$B:$B,"Totals")</f>
        <v>0</v>
      </c>
      <c r="U829" s="284">
        <f t="shared" ref="U829:U834" si="75">SUMIFS($N:$N,$A:$A,$B829,$B:$B,"Totals")</f>
        <v>0</v>
      </c>
      <c r="V829" s="147">
        <f t="shared" ref="V829:W834" si="76">R829+T829</f>
        <v>0</v>
      </c>
      <c r="W829" s="285">
        <f t="shared" si="76"/>
        <v>0</v>
      </c>
    </row>
    <row r="830" spans="1:25" ht="13.5" customHeight="1" x14ac:dyDescent="0.3">
      <c r="A830" t="str">
        <f t="shared" si="59"/>
        <v>DHLReception pit</v>
      </c>
      <c r="B830" s="99" t="s">
        <v>5219</v>
      </c>
      <c r="C830" s="233">
        <f t="shared" si="60"/>
        <v>31928.926399622596</v>
      </c>
      <c r="D830" s="233">
        <f t="shared" si="61"/>
        <v>13570</v>
      </c>
      <c r="E830" s="274">
        <f t="shared" si="62"/>
        <v>45498.926399622593</v>
      </c>
      <c r="F830" s="233">
        <f t="shared" si="63"/>
        <v>3756.3169475301229</v>
      </c>
      <c r="G830" s="233">
        <f t="shared" si="64"/>
        <v>2024.7429898674507</v>
      </c>
      <c r="H830" s="153">
        <f>SUM(F830:G830)</f>
        <v>5781.0599373975738</v>
      </c>
      <c r="I830" s="233">
        <f t="shared" si="65"/>
        <v>0</v>
      </c>
      <c r="J830" s="233">
        <f t="shared" si="66"/>
        <v>0</v>
      </c>
      <c r="K830" s="233">
        <f>SUMIFS($C:$C,$A:$A,$B830,$B:$B,"Annual revenues")</f>
        <v>0</v>
      </c>
      <c r="L830" s="233">
        <f t="shared" si="67"/>
        <v>0</v>
      </c>
      <c r="M830" s="283">
        <f t="shared" ref="M830:M834" si="77">K830-F830-G830</f>
        <v>-5781.0599373975738</v>
      </c>
      <c r="N830">
        <f t="shared" si="68"/>
        <v>1499.5858662098678</v>
      </c>
      <c r="O830">
        <f t="shared" si="69"/>
        <v>102.85909387311185</v>
      </c>
      <c r="P830" s="147">
        <f t="shared" si="70"/>
        <v>0</v>
      </c>
      <c r="Q830" s="147">
        <f t="shared" si="71"/>
        <v>0</v>
      </c>
      <c r="R830" s="284">
        <f t="shared" si="72"/>
        <v>0</v>
      </c>
      <c r="S830" s="284">
        <f t="shared" si="73"/>
        <v>0</v>
      </c>
      <c r="T830" s="284">
        <f t="shared" si="74"/>
        <v>0</v>
      </c>
      <c r="U830" s="284">
        <f t="shared" si="75"/>
        <v>0</v>
      </c>
      <c r="V830" s="147">
        <f t="shared" si="76"/>
        <v>0</v>
      </c>
      <c r="W830" s="285">
        <f t="shared" si="76"/>
        <v>0</v>
      </c>
    </row>
    <row r="831" spans="1:25" ht="13.5" customHeight="1" x14ac:dyDescent="0.3">
      <c r="A831" t="str">
        <f t="shared" si="59"/>
        <v>DHLAnaerobic digestion</v>
      </c>
      <c r="B831" s="99" t="s">
        <v>5220</v>
      </c>
      <c r="C831" s="233">
        <f t="shared" si="60"/>
        <v>2460012.5579201453</v>
      </c>
      <c r="D831" s="233">
        <f t="shared" si="61"/>
        <v>0</v>
      </c>
      <c r="E831" s="274">
        <f t="shared" si="62"/>
        <v>2460012.5579201453</v>
      </c>
      <c r="F831" s="233">
        <f t="shared" si="63"/>
        <v>281197.6051648162</v>
      </c>
      <c r="G831" s="233">
        <f t="shared" si="64"/>
        <v>135952.85138749413</v>
      </c>
      <c r="H831" s="153">
        <f>SUM(F831:G831)</f>
        <v>417150.45655231032</v>
      </c>
      <c r="I831" s="233">
        <f t="shared" si="65"/>
        <v>0</v>
      </c>
      <c r="J831" s="233">
        <f t="shared" si="66"/>
        <v>0</v>
      </c>
      <c r="K831" s="233">
        <f>SUMIFS($C:$C,$A:$A,$B831,$B:$B,"Annual revenues for drag hose")</f>
        <v>0</v>
      </c>
      <c r="L831" s="233">
        <f t="shared" si="67"/>
        <v>0</v>
      </c>
      <c r="M831" s="283">
        <f t="shared" si="77"/>
        <v>-417150.45655231032</v>
      </c>
      <c r="N831">
        <f t="shared" si="68"/>
        <v>0</v>
      </c>
      <c r="O831">
        <f t="shared" si="69"/>
        <v>0</v>
      </c>
      <c r="P831" s="147">
        <f t="shared" si="70"/>
        <v>0</v>
      </c>
      <c r="Q831" s="147">
        <f t="shared" si="71"/>
        <v>0</v>
      </c>
      <c r="R831" s="284">
        <f t="shared" si="72"/>
        <v>0</v>
      </c>
      <c r="S831" s="284">
        <f t="shared" si="73"/>
        <v>0</v>
      </c>
      <c r="T831" s="284">
        <f t="shared" si="74"/>
        <v>0</v>
      </c>
      <c r="U831" s="284">
        <f t="shared" si="75"/>
        <v>0</v>
      </c>
      <c r="V831" s="147">
        <f t="shared" si="76"/>
        <v>0</v>
      </c>
      <c r="W831" s="285">
        <f t="shared" si="76"/>
        <v>0</v>
      </c>
    </row>
    <row r="832" spans="1:25" ht="13.5" customHeight="1" x14ac:dyDescent="0.3">
      <c r="A832" t="str">
        <f t="shared" si="59"/>
        <v>DHLLagoon</v>
      </c>
      <c r="B832" s="99" t="s">
        <v>5210</v>
      </c>
      <c r="C832" s="233">
        <f t="shared" si="60"/>
        <v>129137.409352075</v>
      </c>
      <c r="D832" s="233">
        <f t="shared" si="61"/>
        <v>0</v>
      </c>
      <c r="E832" s="274">
        <f t="shared" si="62"/>
        <v>129137.409352075</v>
      </c>
      <c r="F832" s="233">
        <f t="shared" si="63"/>
        <v>10450.363362243077</v>
      </c>
      <c r="G832" s="233">
        <f t="shared" si="64"/>
        <v>1937.0611402811251</v>
      </c>
      <c r="H832" s="153">
        <f t="shared" ref="H832:H834" si="78">SUM(F832:G832)</f>
        <v>12387.424502524202</v>
      </c>
      <c r="I832" s="233">
        <f t="shared" si="65"/>
        <v>0</v>
      </c>
      <c r="J832" s="233">
        <f t="shared" si="66"/>
        <v>0</v>
      </c>
      <c r="K832" s="233">
        <f>SUMIFS($C:$C,$A:$A,$B832,$B:$B,"Annual revenues")</f>
        <v>0</v>
      </c>
      <c r="L832" s="233">
        <f t="shared" si="67"/>
        <v>0</v>
      </c>
      <c r="M832" s="283">
        <f t="shared" si="77"/>
        <v>-12387.424502524202</v>
      </c>
      <c r="N832">
        <f t="shared" si="68"/>
        <v>0</v>
      </c>
      <c r="O832">
        <f t="shared" si="69"/>
        <v>0</v>
      </c>
      <c r="P832" s="147">
        <f t="shared" si="70"/>
        <v>0</v>
      </c>
      <c r="Q832" s="147">
        <f t="shared" si="71"/>
        <v>0</v>
      </c>
      <c r="R832" s="284">
        <f t="shared" si="72"/>
        <v>0</v>
      </c>
      <c r="S832" s="284">
        <f t="shared" si="73"/>
        <v>0</v>
      </c>
      <c r="T832" s="284">
        <f t="shared" si="74"/>
        <v>0</v>
      </c>
      <c r="U832" s="284">
        <f t="shared" si="75"/>
        <v>0</v>
      </c>
      <c r="V832" s="147">
        <f t="shared" si="76"/>
        <v>0</v>
      </c>
      <c r="W832" s="285">
        <f t="shared" si="76"/>
        <v>0</v>
      </c>
    </row>
    <row r="833" spans="1:23" ht="13.5" customHeight="1" x14ac:dyDescent="0.3">
      <c r="A833" t="str">
        <f t="shared" si="59"/>
        <v>DHLFlush water</v>
      </c>
      <c r="B833" s="99" t="s">
        <v>5211</v>
      </c>
      <c r="C833" s="233">
        <f t="shared" si="60"/>
        <v>0</v>
      </c>
      <c r="D833" s="233">
        <f t="shared" si="61"/>
        <v>0</v>
      </c>
      <c r="E833" s="274">
        <f t="shared" si="62"/>
        <v>0</v>
      </c>
      <c r="F833" s="233">
        <f t="shared" si="63"/>
        <v>3017.6174069102476</v>
      </c>
      <c r="G833" s="233">
        <f t="shared" si="64"/>
        <v>1085.2004420208236</v>
      </c>
      <c r="H833" s="153">
        <f t="shared" si="78"/>
        <v>4102.8178489310712</v>
      </c>
      <c r="I833" s="233">
        <f t="shared" si="65"/>
        <v>10561.452582174725</v>
      </c>
      <c r="J833" s="233">
        <f t="shared" si="66"/>
        <v>0</v>
      </c>
      <c r="K833" s="233">
        <f>SUMIFS($C:$C,$A:$A,$B833,$B:$B,"Annual revenues")</f>
        <v>0</v>
      </c>
      <c r="L833" s="233">
        <f t="shared" si="67"/>
        <v>0</v>
      </c>
      <c r="M833" s="283">
        <f t="shared" si="77"/>
        <v>-4102.8178489310712</v>
      </c>
      <c r="N833" s="278">
        <f t="shared" si="68"/>
        <v>1129.152356031932</v>
      </c>
      <c r="O833" s="147">
        <f t="shared" si="69"/>
        <v>77.450442020823601</v>
      </c>
      <c r="P833" s="147">
        <f t="shared" si="70"/>
        <v>0</v>
      </c>
      <c r="Q833" s="147">
        <f t="shared" si="71"/>
        <v>0</v>
      </c>
      <c r="R833" s="284">
        <f t="shared" si="72"/>
        <v>0</v>
      </c>
      <c r="S833" s="284">
        <f t="shared" si="73"/>
        <v>0</v>
      </c>
      <c r="T833" s="284">
        <f t="shared" si="74"/>
        <v>0</v>
      </c>
      <c r="U833" s="284">
        <f t="shared" si="75"/>
        <v>0</v>
      </c>
      <c r="V833" s="147">
        <f t="shared" si="76"/>
        <v>0</v>
      </c>
      <c r="W833" s="285">
        <f t="shared" si="76"/>
        <v>0</v>
      </c>
    </row>
    <row r="834" spans="1:23" ht="13.5" customHeight="1" x14ac:dyDescent="0.3">
      <c r="A834" t="str">
        <f t="shared" si="59"/>
        <v>DHLEnd use drag hose</v>
      </c>
      <c r="B834" s="99" t="s">
        <v>5205</v>
      </c>
      <c r="C834" s="233">
        <f t="shared" si="60"/>
        <v>0</v>
      </c>
      <c r="D834" s="233">
        <f t="shared" si="61"/>
        <v>2057840</v>
      </c>
      <c r="E834" s="274">
        <f t="shared" si="62"/>
        <v>2057840</v>
      </c>
      <c r="F834" s="233">
        <f t="shared" si="63"/>
        <v>93193.833795776212</v>
      </c>
      <c r="G834" s="233">
        <f t="shared" si="64"/>
        <v>35028.344537621997</v>
      </c>
      <c r="H834" s="153">
        <f t="shared" si="78"/>
        <v>128222.17833339822</v>
      </c>
      <c r="I834" s="233">
        <f t="shared" si="65"/>
        <v>0</v>
      </c>
      <c r="J834" s="233">
        <f t="shared" si="66"/>
        <v>5773.5935150743935</v>
      </c>
      <c r="K834" s="233">
        <f>SUMIFS($C:$C,$A:$A,$B834,$B:$B,"Annual revenues")</f>
        <v>0</v>
      </c>
      <c r="L834" s="233">
        <f t="shared" si="67"/>
        <v>0</v>
      </c>
      <c r="M834" s="283">
        <f t="shared" si="77"/>
        <v>-128222.17833339822</v>
      </c>
      <c r="N834">
        <f t="shared" si="68"/>
        <v>934.64729834049092</v>
      </c>
      <c r="O834">
        <f t="shared" si="69"/>
        <v>64.109015938671504</v>
      </c>
      <c r="P834" s="147">
        <f t="shared" si="70"/>
        <v>68.243645858903875</v>
      </c>
      <c r="Q834" s="147">
        <f t="shared" si="71"/>
        <v>252.26199310945836</v>
      </c>
      <c r="R834" s="284">
        <f t="shared" si="72"/>
        <v>140.80318105284178</v>
      </c>
      <c r="S834" s="284">
        <f t="shared" si="73"/>
        <v>3331.4032637102364</v>
      </c>
      <c r="T834" s="284">
        <f t="shared" si="74"/>
        <v>0</v>
      </c>
      <c r="U834" s="284">
        <f t="shared" si="75"/>
        <v>0</v>
      </c>
      <c r="V834" s="147">
        <f t="shared" si="76"/>
        <v>140.80318105284178</v>
      </c>
      <c r="W834" s="285">
        <f t="shared" si="76"/>
        <v>3331.4032637102364</v>
      </c>
    </row>
    <row r="835" spans="1:23" ht="13.5" customHeight="1" x14ac:dyDescent="0.3">
      <c r="A835" t="str">
        <f t="shared" si="59"/>
        <v>DHLTotals</v>
      </c>
      <c r="B835" s="162" t="s">
        <v>5203</v>
      </c>
      <c r="C835" s="242">
        <f>SUM(C828:C834)</f>
        <v>2634774.0878288946</v>
      </c>
      <c r="D835" s="242">
        <f t="shared" ref="D835:M835" si="79">SUM(D828:D834)</f>
        <v>2071410</v>
      </c>
      <c r="E835" s="242">
        <f t="shared" si="79"/>
        <v>4706184.0878288951</v>
      </c>
      <c r="F835" s="242">
        <f t="shared" si="79"/>
        <v>392724.01162235742</v>
      </c>
      <c r="G835" s="242">
        <f t="shared" si="79"/>
        <v>176451.47832195659</v>
      </c>
      <c r="H835" s="242">
        <f t="shared" si="79"/>
        <v>569175.48994431412</v>
      </c>
      <c r="I835" s="242">
        <f t="shared" si="79"/>
        <v>10561.452582174725</v>
      </c>
      <c r="J835" s="242">
        <f t="shared" si="79"/>
        <v>5773.5935150743935</v>
      </c>
      <c r="K835" s="242">
        <f t="shared" si="79"/>
        <v>0</v>
      </c>
      <c r="L835" s="242">
        <f t="shared" si="79"/>
        <v>0</v>
      </c>
      <c r="M835" s="242">
        <f t="shared" si="79"/>
        <v>-569175.48994431412</v>
      </c>
      <c r="N835" s="286">
        <f>SUM(N828:N834)</f>
        <v>3563.3855205822911</v>
      </c>
      <c r="O835" s="286">
        <f t="shared" ref="O835:W835" si="80">SUM(O828:O834)</f>
        <v>244.41855183260697</v>
      </c>
      <c r="P835" s="286">
        <f t="shared" si="80"/>
        <v>68.243645858903875</v>
      </c>
      <c r="Q835" s="286">
        <f t="shared" si="80"/>
        <v>252.26199310945836</v>
      </c>
      <c r="R835" s="286">
        <f t="shared" si="80"/>
        <v>140.80318105284178</v>
      </c>
      <c r="S835" s="286">
        <f t="shared" si="80"/>
        <v>3331.4032637102364</v>
      </c>
      <c r="T835" s="286">
        <f t="shared" si="80"/>
        <v>0</v>
      </c>
      <c r="U835" s="286">
        <f t="shared" si="80"/>
        <v>0</v>
      </c>
      <c r="V835" s="286">
        <f t="shared" si="80"/>
        <v>140.80318105284178</v>
      </c>
      <c r="W835" s="286">
        <f t="shared" si="80"/>
        <v>3331.4032637102364</v>
      </c>
    </row>
    <row r="836" spans="1:23" ht="14.4" x14ac:dyDescent="0.3">
      <c r="A836" s="82"/>
      <c r="B836" s="287" t="s">
        <v>7069</v>
      </c>
      <c r="C836" s="150"/>
      <c r="D836" s="150"/>
      <c r="E836" s="288"/>
      <c r="F836" s="150"/>
      <c r="G836" s="150"/>
      <c r="H836" s="150"/>
      <c r="I836" s="150"/>
      <c r="J836" s="150"/>
      <c r="K836" s="150"/>
      <c r="L836" s="150"/>
      <c r="M836" s="289"/>
      <c r="N836" s="150"/>
      <c r="O836" s="150"/>
      <c r="P836" s="150"/>
      <c r="Q836" s="150"/>
      <c r="R836" s="290"/>
      <c r="S836" s="291"/>
      <c r="T836" s="150"/>
      <c r="U836" s="150"/>
      <c r="V836" s="150"/>
      <c r="W836" s="151"/>
    </row>
    <row r="837" spans="1:23" ht="15" thickBot="1" x14ac:dyDescent="0.35">
      <c r="A837" s="137"/>
      <c r="B837" s="137"/>
      <c r="C837" s="137"/>
      <c r="D837" s="137"/>
      <c r="E837" s="137"/>
      <c r="F837" s="137"/>
      <c r="G837" s="137"/>
      <c r="H837" s="137"/>
      <c r="I837" s="137"/>
      <c r="J837" s="137"/>
      <c r="K837" s="137"/>
      <c r="L837" s="137"/>
    </row>
    <row r="838" spans="1:23" ht="14.4" x14ac:dyDescent="0.3">
      <c r="D838"/>
      <c r="E838" s="2116"/>
      <c r="F838"/>
      <c r="G838"/>
      <c r="H838"/>
      <c r="K838" s="2116"/>
      <c r="L838"/>
    </row>
    <row r="839" spans="1:23" ht="14.4" x14ac:dyDescent="0.3">
      <c r="D839"/>
      <c r="E839"/>
      <c r="F839"/>
      <c r="G839"/>
      <c r="H839"/>
      <c r="K839"/>
      <c r="L839"/>
      <c r="P839"/>
      <c r="U839"/>
      <c r="W839"/>
    </row>
    <row r="840" spans="1:23" ht="14.4" x14ac:dyDescent="0.3">
      <c r="D840"/>
      <c r="E840"/>
      <c r="F840"/>
      <c r="G840"/>
      <c r="H840"/>
      <c r="K840"/>
      <c r="L840"/>
      <c r="P840"/>
      <c r="U840"/>
      <c r="W840"/>
    </row>
    <row r="841" spans="1:23" ht="14.4" x14ac:dyDescent="0.3">
      <c r="D841"/>
      <c r="E841"/>
      <c r="F841"/>
      <c r="G841"/>
      <c r="H841"/>
      <c r="K841"/>
      <c r="L841"/>
      <c r="P841"/>
      <c r="U841"/>
      <c r="W841"/>
    </row>
    <row r="842" spans="1:23" ht="14.4" x14ac:dyDescent="0.3">
      <c r="D842"/>
      <c r="E842"/>
      <c r="F842"/>
      <c r="G842"/>
      <c r="H842"/>
      <c r="K842"/>
      <c r="L842"/>
      <c r="P842"/>
      <c r="U842"/>
      <c r="W842"/>
    </row>
    <row r="843" spans="1:23" ht="14.4" x14ac:dyDescent="0.3">
      <c r="D843"/>
      <c r="E843"/>
      <c r="F843"/>
      <c r="G843"/>
      <c r="H843"/>
      <c r="K843"/>
      <c r="L843"/>
      <c r="P843"/>
      <c r="U843"/>
      <c r="W843"/>
    </row>
    <row r="844" spans="1:23" ht="14.4" x14ac:dyDescent="0.3">
      <c r="D844"/>
      <c r="E844"/>
      <c r="F844"/>
      <c r="G844"/>
      <c r="H844"/>
      <c r="K844"/>
      <c r="L844"/>
      <c r="P844"/>
      <c r="U844"/>
      <c r="W844"/>
    </row>
    <row r="845" spans="1:23" ht="14.4" x14ac:dyDescent="0.3">
      <c r="D845"/>
      <c r="E845"/>
      <c r="F845"/>
      <c r="G845"/>
      <c r="H845"/>
      <c r="K845"/>
      <c r="L845"/>
      <c r="P845"/>
      <c r="U845"/>
      <c r="W845"/>
    </row>
    <row r="846" spans="1:23" ht="14.4" x14ac:dyDescent="0.3">
      <c r="D846"/>
      <c r="E846"/>
      <c r="F846"/>
      <c r="G846"/>
      <c r="H846"/>
      <c r="K846"/>
      <c r="L846"/>
      <c r="P846"/>
      <c r="U846"/>
      <c r="W846"/>
    </row>
    <row r="847" spans="1:23" ht="14.4" x14ac:dyDescent="0.3">
      <c r="D847"/>
      <c r="E847"/>
      <c r="F847"/>
      <c r="G847"/>
      <c r="H847"/>
      <c r="K847"/>
      <c r="L847"/>
      <c r="P847"/>
      <c r="U847"/>
      <c r="W847"/>
    </row>
    <row r="848" spans="1:23" ht="14.4" x14ac:dyDescent="0.3">
      <c r="D848"/>
      <c r="E848"/>
      <c r="F848"/>
      <c r="G848"/>
      <c r="H848"/>
      <c r="K848"/>
      <c r="L848"/>
      <c r="P848"/>
      <c r="U848"/>
      <c r="W848"/>
    </row>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3.5" customHeight="1"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3.5" customHeight="1" x14ac:dyDescent="0.3"/>
    <row r="960" customFormat="1" ht="13.5" customHeight="1" x14ac:dyDescent="0.3"/>
    <row r="961" customFormat="1" ht="13.5" customHeight="1" x14ac:dyDescent="0.3"/>
    <row r="962" customFormat="1" ht="13.5" customHeight="1" x14ac:dyDescent="0.3"/>
  </sheetData>
  <mergeCells count="4">
    <mergeCell ref="C604:D604"/>
    <mergeCell ref="E604:F604"/>
    <mergeCell ref="C747:D747"/>
    <mergeCell ref="E747:F747"/>
  </mergeCells>
  <phoneticPr fontId="51" type="noConversion"/>
  <pageMargins left="0.7" right="0.7" top="0.75" bottom="0.75" header="0.3" footer="0.3"/>
  <pageSetup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11E7-4BA2-4BE6-9F94-142975746233}">
  <sheetPr codeName="Sheet31">
    <tabColor rgb="FF92D050"/>
  </sheetPr>
  <dimension ref="A1:AA963"/>
  <sheetViews>
    <sheetView topLeftCell="A659" workbookViewId="0"/>
  </sheetViews>
  <sheetFormatPr defaultColWidth="9.44140625" defaultRowHeight="13.5" customHeight="1" x14ac:dyDescent="0.3"/>
  <cols>
    <col min="1" max="1" width="22.44140625" customWidth="1"/>
    <col min="2" max="2" width="25.109375" customWidth="1"/>
    <col min="3" max="3" width="25.33203125" customWidth="1"/>
    <col min="4" max="4" width="18.88671875" style="66" customWidth="1"/>
    <col min="5" max="5" width="17.33203125" style="66" customWidth="1"/>
    <col min="6" max="6" width="17.5546875" style="19" customWidth="1"/>
    <col min="7" max="7" width="23" style="42" customWidth="1"/>
    <col min="8" max="8" width="30" style="3" customWidth="1"/>
    <col min="9" max="9" width="12" customWidth="1"/>
    <col min="10" max="10" width="27.5546875" customWidth="1"/>
    <col min="11" max="11" width="20.5546875" style="42" customWidth="1"/>
    <col min="12" max="12" width="15.5546875" style="42" bestFit="1" customWidth="1"/>
    <col min="13" max="15" width="15.44140625" customWidth="1"/>
    <col min="16" max="16" width="14.5546875" customWidth="1"/>
    <col min="17" max="17" width="51.6640625" customWidth="1"/>
    <col min="18" max="18" width="35.88671875" style="20" customWidth="1"/>
    <col min="19" max="19" width="12.44140625" customWidth="1"/>
    <col min="20" max="20" width="17.44140625" customWidth="1"/>
    <col min="21" max="21" width="26.44140625" customWidth="1"/>
    <col min="22" max="22" width="14.88671875" customWidth="1"/>
    <col min="23" max="23" width="45.44140625" style="42" customWidth="1"/>
    <col min="24" max="24" width="40.109375" customWidth="1"/>
    <col min="25" max="25" width="31" style="36" customWidth="1"/>
    <col min="26" max="26" width="30.44140625" customWidth="1"/>
    <col min="27" max="27" width="16.6640625" customWidth="1"/>
    <col min="28" max="29" width="14.5546875" bestFit="1" customWidth="1"/>
    <col min="30" max="30" width="20.5546875" bestFit="1" customWidth="1"/>
    <col min="36" max="36" width="14.44140625" bestFit="1" customWidth="1"/>
    <col min="37" max="37" width="20.5546875" bestFit="1" customWidth="1"/>
    <col min="38" max="38" width="15.5546875" bestFit="1" customWidth="1"/>
  </cols>
  <sheetData>
    <row r="1" spans="1:27" ht="18" x14ac:dyDescent="0.35">
      <c r="A1" s="522" t="str">
        <f>Sc.Table!J24</f>
        <v>The farm uses a scrape system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B1" s="1"/>
      <c r="C1" s="1"/>
      <c r="D1" s="5"/>
      <c r="E1" s="5"/>
      <c r="F1" s="4"/>
      <c r="G1" s="46"/>
      <c r="I1" s="36"/>
      <c r="J1" s="36"/>
      <c r="K1"/>
      <c r="N1" s="79"/>
      <c r="P1" s="2"/>
      <c r="Q1" s="2"/>
      <c r="R1" s="2"/>
      <c r="S1" s="2"/>
      <c r="U1" s="42"/>
    </row>
    <row r="2" spans="1:27" ht="14.4" x14ac:dyDescent="0.3">
      <c r="A2" s="1611"/>
      <c r="B2" s="1660" t="s">
        <v>6921</v>
      </c>
      <c r="C2" s="2001"/>
      <c r="D2" s="2000"/>
      <c r="E2" s="1611"/>
      <c r="F2" s="1611"/>
      <c r="G2" s="1611"/>
      <c r="H2" s="1611"/>
      <c r="I2" s="1611"/>
      <c r="J2" s="1918"/>
      <c r="K2" s="1918"/>
      <c r="L2" s="1918"/>
      <c r="M2" s="1611"/>
      <c r="N2" s="1918"/>
      <c r="O2" s="1918"/>
      <c r="P2" s="1611"/>
      <c r="Q2" s="1667" t="s">
        <v>6923</v>
      </c>
      <c r="R2" s="2010"/>
      <c r="S2" s="2011"/>
      <c r="T2" s="2055"/>
      <c r="U2" s="2011"/>
      <c r="V2" s="90"/>
      <c r="W2" s="1928" t="s">
        <v>7141</v>
      </c>
      <c r="X2" s="2005"/>
      <c r="Y2" s="2006"/>
      <c r="Z2" s="2036"/>
      <c r="AA2" s="2006"/>
    </row>
    <row r="3" spans="1:27" ht="14.4" x14ac:dyDescent="0.3">
      <c r="A3" s="1611"/>
      <c r="B3" s="1668" t="s">
        <v>6922</v>
      </c>
      <c r="C3" s="1670"/>
      <c r="D3" s="1670"/>
      <c r="E3" s="1611"/>
      <c r="F3" s="1611"/>
      <c r="G3" s="1939"/>
      <c r="H3" s="1611"/>
      <c r="I3" s="1918"/>
      <c r="J3" s="1632"/>
      <c r="K3" s="1632"/>
      <c r="L3" s="1632"/>
      <c r="M3" s="1632"/>
      <c r="N3" s="1632"/>
      <c r="O3" s="1632"/>
      <c r="P3" s="1632"/>
      <c r="Q3" s="91" t="s">
        <v>1901</v>
      </c>
      <c r="R3" s="1546" t="s">
        <v>6925</v>
      </c>
      <c r="S3" s="91"/>
      <c r="T3" s="1376">
        <f>C5*UDV.animal.total*UC.day_to_year</f>
        <v>0.5855973846883441</v>
      </c>
      <c r="U3" s="510" t="s">
        <v>2521</v>
      </c>
      <c r="V3" s="90"/>
      <c r="W3" s="52" t="s">
        <v>7142</v>
      </c>
      <c r="X3" s="91" t="str">
        <f>PT.anaer_lagoon!B305</f>
        <v>Interval between sludge removal</v>
      </c>
      <c r="Y3" s="91"/>
      <c r="Z3" s="1379">
        <f>PT.anaer_lagoon!W305</f>
        <v>10</v>
      </c>
      <c r="AA3" s="1465" t="str">
        <f>PT.anaer_lagoon!F305</f>
        <v>year</v>
      </c>
    </row>
    <row r="4" spans="1:27" ht="14.4" x14ac:dyDescent="0.3">
      <c r="A4" s="1611"/>
      <c r="B4" s="1577" t="s">
        <v>6924</v>
      </c>
      <c r="C4" s="1879">
        <f>UDV.animal.manure*UC.year_to_day/UDV.animal.total/UDV.density.manure</f>
        <v>2.0526696680080483</v>
      </c>
      <c r="D4" s="1806" t="s">
        <v>5838</v>
      </c>
      <c r="E4" s="1918"/>
      <c r="F4" s="1918"/>
      <c r="G4" s="1918"/>
      <c r="H4" s="1918"/>
      <c r="I4" s="1918"/>
      <c r="J4" s="1632"/>
      <c r="K4" s="1632"/>
      <c r="L4" s="1632"/>
      <c r="M4" s="1632"/>
      <c r="N4" s="1632"/>
      <c r="O4" s="1632"/>
      <c r="P4" s="1632"/>
      <c r="Q4" s="2033" t="s">
        <v>7143</v>
      </c>
      <c r="R4" s="1439" t="str">
        <f>PT.shallow_scrape!B91</f>
        <v>Total recycled water needed</v>
      </c>
      <c r="S4" s="91"/>
      <c r="T4" s="1439">
        <f>PT.shallow_scrape!G91</f>
        <v>0</v>
      </c>
      <c r="U4" s="1465" t="str">
        <f>PT.shallow_scrape!C91</f>
        <v>m3/year</v>
      </c>
      <c r="V4" s="90"/>
      <c r="W4" s="52"/>
      <c r="X4" s="91" t="str">
        <f>PT.anaer_lagoon!B306</f>
        <v>Manure sludge removed, lagoon</v>
      </c>
      <c r="Y4" s="91"/>
      <c r="Z4" s="1379">
        <f>PT.anaer_lagoon!W306</f>
        <v>2693.8026530909328</v>
      </c>
      <c r="AA4" s="1465" t="str">
        <f>PT.anaer_lagoon!F306</f>
        <v>m3/event</v>
      </c>
    </row>
    <row r="5" spans="1:27" ht="14.4" x14ac:dyDescent="0.3">
      <c r="A5" s="1611"/>
      <c r="B5" s="1577" t="s">
        <v>415</v>
      </c>
      <c r="C5" s="1811">
        <f>SUM(C43:C46)</f>
        <v>0.42748609082249117</v>
      </c>
      <c r="D5" s="1806" t="s">
        <v>5838</v>
      </c>
      <c r="E5" s="1918"/>
      <c r="F5" s="1918"/>
      <c r="G5" s="1918"/>
      <c r="H5" s="1918"/>
      <c r="I5" s="1918"/>
      <c r="J5" s="1632"/>
      <c r="K5" s="1632"/>
      <c r="L5" s="1632"/>
      <c r="M5" s="1632"/>
      <c r="N5" s="1632"/>
      <c r="O5" s="1632"/>
      <c r="P5" s="1632"/>
      <c r="Q5" s="654"/>
      <c r="R5" s="1439" t="str">
        <f>PT.shallow_scrape!B92</f>
        <v>Number of flushes</v>
      </c>
      <c r="S5" s="91"/>
      <c r="T5" s="1439">
        <f>PT.shallow_scrape!G92</f>
        <v>3</v>
      </c>
      <c r="U5" s="1465" t="str">
        <f>PT.shallow_scrape!C92</f>
        <v>flush/day</v>
      </c>
      <c r="V5" s="90"/>
      <c r="W5" s="52"/>
      <c r="X5" s="91" t="str">
        <f>PT.anaer_lagoon!B307</f>
        <v>Lagoon surface area</v>
      </c>
      <c r="Y5" s="91"/>
      <c r="Z5" s="1379">
        <f>PT.anaer_lagoon!W307</f>
        <v>2664.5817743943217</v>
      </c>
      <c r="AA5" s="1465" t="str">
        <f>PT.anaer_lagoon!F307</f>
        <v>m3</v>
      </c>
    </row>
    <row r="6" spans="1:27" ht="14.4" x14ac:dyDescent="0.3">
      <c r="A6" s="1611"/>
      <c r="B6" s="1577" t="s">
        <v>409</v>
      </c>
      <c r="C6" s="1811">
        <f>SUM(C34:C41)</f>
        <v>11.505836204393461</v>
      </c>
      <c r="D6" s="1806" t="s">
        <v>5769</v>
      </c>
      <c r="E6" s="1918"/>
      <c r="F6" s="1918"/>
      <c r="G6" s="2017"/>
      <c r="H6" s="1918"/>
      <c r="I6" s="1611"/>
      <c r="J6" s="1611"/>
      <c r="K6" s="1611"/>
      <c r="L6" s="1611"/>
      <c r="M6" s="2032"/>
      <c r="N6" s="1611"/>
      <c r="O6" s="1611"/>
      <c r="P6" s="1611"/>
      <c r="Q6" s="654"/>
      <c r="R6" s="1439" t="str">
        <f>PT.shallow_scrape!B93</f>
        <v>Volume of recycled water per flush</v>
      </c>
      <c r="S6" s="91"/>
      <c r="T6" s="1439">
        <f>PT.shallow_scrape!G93</f>
        <v>0</v>
      </c>
      <c r="U6" s="1465" t="str">
        <f>PT.shallow_scrape!C93</f>
        <v>m3/flush</v>
      </c>
      <c r="V6" s="90"/>
      <c r="W6" s="52"/>
      <c r="X6" s="91" t="str">
        <f>PT.anaer_lagoon!B308</f>
        <v>Lagoon constructed size</v>
      </c>
      <c r="Y6" s="91"/>
      <c r="Z6" s="1379">
        <f>PT.anaer_lagoon!W308</f>
        <v>5536.05004954981</v>
      </c>
      <c r="AA6" s="1465" t="str">
        <f>PT.anaer_lagoon!F308</f>
        <v>m2</v>
      </c>
    </row>
    <row r="7" spans="1:27" ht="15" customHeight="1" x14ac:dyDescent="0.3">
      <c r="A7" s="1611"/>
      <c r="B7" s="1577" t="s">
        <v>6926</v>
      </c>
      <c r="C7" s="1390" t="s">
        <v>6927</v>
      </c>
      <c r="D7" s="1806"/>
      <c r="E7" s="1611"/>
      <c r="F7" s="1611"/>
      <c r="G7" s="1611"/>
      <c r="H7" s="1611"/>
      <c r="I7" s="1611"/>
      <c r="J7" s="1611"/>
      <c r="K7" s="1611"/>
      <c r="L7" s="1611"/>
      <c r="M7" s="1611"/>
      <c r="N7" s="1611"/>
      <c r="O7" s="1611"/>
      <c r="P7" s="1611"/>
      <c r="Q7" s="2034"/>
      <c r="R7" s="1439" t="str">
        <f>PT.shallow_scrape!B94</f>
        <v>Total flush water volume</v>
      </c>
      <c r="S7" s="91"/>
      <c r="T7" s="1439">
        <f>PT.shallow_scrape!G94</f>
        <v>0</v>
      </c>
      <c r="U7" s="1465" t="str">
        <f>PT.shallow_scrape!C94</f>
        <v>m3/day</v>
      </c>
      <c r="V7" s="90"/>
      <c r="W7" s="52"/>
      <c r="X7" s="91" t="str">
        <f>PT.anaer_lagoon!B309</f>
        <v>N removed, lagoon</v>
      </c>
      <c r="Y7" s="91"/>
      <c r="Z7" s="1379">
        <f>PT.anaer_lagoon!W309</f>
        <v>2.6043799408898596</v>
      </c>
      <c r="AA7" s="1465" t="str">
        <f>PT.anaer_lagoon!F309</f>
        <v>g/L</v>
      </c>
    </row>
    <row r="8" spans="1:27" ht="14.4" x14ac:dyDescent="0.3">
      <c r="A8" s="1611"/>
      <c r="B8" s="1577" t="s">
        <v>6928</v>
      </c>
      <c r="C8" s="1395">
        <f>SUM(C48:C55)/UDV.animal.total</f>
        <v>306.74699292691577</v>
      </c>
      <c r="D8" s="1353" t="s">
        <v>2270</v>
      </c>
      <c r="E8" s="1611"/>
      <c r="F8" s="1611"/>
      <c r="G8" s="1850"/>
      <c r="H8" s="1611"/>
      <c r="I8" s="1611"/>
      <c r="J8" s="1611"/>
      <c r="K8" s="1611"/>
      <c r="L8" s="1611"/>
      <c r="M8" s="1611"/>
      <c r="N8" s="1611"/>
      <c r="O8" s="1611"/>
      <c r="P8" s="1611"/>
      <c r="Q8" s="654"/>
      <c r="R8" s="1439" t="str">
        <f>PT.shallow_scrape!B95</f>
        <v>Recycled water volume</v>
      </c>
      <c r="S8" s="91"/>
      <c r="T8" s="1439">
        <f>PT.shallow_scrape!G95</f>
        <v>0</v>
      </c>
      <c r="U8" s="1465" t="str">
        <f>PT.shallow_scrape!C95</f>
        <v>m3/day</v>
      </c>
      <c r="V8" s="90"/>
      <c r="W8" s="52"/>
      <c r="X8" s="91" t="str">
        <f>PT.anaer_lagoon!B310</f>
        <v>P2O5 removed, lagoon</v>
      </c>
      <c r="Y8" s="91"/>
      <c r="Z8" s="1379">
        <f>PT.anaer_lagoon!W310</f>
        <v>5.5486604996284568</v>
      </c>
      <c r="AA8" s="1465" t="str">
        <f>PT.anaer_lagoon!F310</f>
        <v>g/L</v>
      </c>
    </row>
    <row r="9" spans="1:27" ht="14.4" x14ac:dyDescent="0.3">
      <c r="A9" s="1611"/>
      <c r="B9" s="1810" t="s">
        <v>6929</v>
      </c>
      <c r="C9" s="1807"/>
      <c r="D9" s="1806"/>
      <c r="E9" s="1611"/>
      <c r="F9" s="1611"/>
      <c r="G9" s="1850"/>
      <c r="H9" s="1611"/>
      <c r="I9" s="1611"/>
      <c r="J9" s="1918"/>
      <c r="K9" s="1918"/>
      <c r="L9" s="1918"/>
      <c r="M9" s="1918"/>
      <c r="N9" s="1611"/>
      <c r="O9" s="1611"/>
      <c r="P9" s="1611"/>
      <c r="Q9" s="654"/>
      <c r="R9" s="1439" t="str">
        <f>PT.shallow_scrape!B96</f>
        <v>Volume of water per cleaning</v>
      </c>
      <c r="S9" s="91"/>
      <c r="T9" s="1439">
        <f>PT.shallow_scrape!G96</f>
        <v>0</v>
      </c>
      <c r="U9" s="1465" t="str">
        <f>PT.shallow_scrape!C96</f>
        <v>m3/flush</v>
      </c>
      <c r="V9" s="90"/>
      <c r="W9" s="91"/>
      <c r="X9" s="91" t="str">
        <f>PT.anaer_lagoon!B311</f>
        <v>K2O removed, lagoon</v>
      </c>
      <c r="Y9" s="91"/>
      <c r="Z9" s="1379">
        <f>PT.anaer_lagoon!W311</f>
        <v>5.5486875988667448</v>
      </c>
      <c r="AA9" s="1465" t="str">
        <f>PT.anaer_lagoon!F311</f>
        <v>g/L</v>
      </c>
    </row>
    <row r="10" spans="1:27" ht="14.4" x14ac:dyDescent="0.3">
      <c r="A10" s="1611"/>
      <c r="B10" s="1577" t="s">
        <v>6163</v>
      </c>
      <c r="C10" s="1811">
        <f>C64</f>
        <v>5.6125484755407298</v>
      </c>
      <c r="D10" s="1806" t="s">
        <v>2385</v>
      </c>
      <c r="E10" s="1611"/>
      <c r="F10" s="1611"/>
      <c r="G10" s="1850"/>
      <c r="H10" s="1611"/>
      <c r="I10" s="1611"/>
      <c r="J10" s="1918"/>
      <c r="K10" s="1918"/>
      <c r="L10" s="1918"/>
      <c r="M10" s="1918"/>
      <c r="N10" s="1611"/>
      <c r="O10" s="1611"/>
      <c r="P10" s="1611"/>
      <c r="Q10" s="654"/>
      <c r="R10" s="1439" t="str">
        <f>PT.shallow_scrape!B97</f>
        <v>Size of motor(s) needed for pump(s)</v>
      </c>
      <c r="S10" s="91"/>
      <c r="T10" s="1439">
        <f>PT.shallow_scrape!G97</f>
        <v>4.9783549783549788</v>
      </c>
      <c r="U10" s="1465" t="str">
        <f>PT.shallow_scrape!C97</f>
        <v>hp/pump</v>
      </c>
      <c r="V10" s="90"/>
      <c r="W10" s="91"/>
      <c r="X10" s="91" t="str">
        <f>PT.anaer_lagoon!B312</f>
        <v>Tanker, size</v>
      </c>
      <c r="Y10" s="91"/>
      <c r="Z10" s="1379">
        <f>PT.anaer_lagoon!W312</f>
        <v>6000</v>
      </c>
      <c r="AA10" s="1465" t="str">
        <f>PT.anaer_lagoon!F312</f>
        <v>gal</v>
      </c>
    </row>
    <row r="11" spans="1:27" ht="14.4" x14ac:dyDescent="0.3">
      <c r="A11" s="1611"/>
      <c r="B11" s="1577" t="s">
        <v>6164</v>
      </c>
      <c r="C11" s="1811">
        <f>C65</f>
        <v>3.6537102250000002</v>
      </c>
      <c r="D11" s="1806" t="s">
        <v>2385</v>
      </c>
      <c r="E11" s="1611"/>
      <c r="F11" s="1611"/>
      <c r="G11" s="1850"/>
      <c r="H11" s="1611"/>
      <c r="I11" s="1939"/>
      <c r="J11" s="1862"/>
      <c r="K11" s="1857"/>
      <c r="L11" s="1857"/>
      <c r="M11" s="1857"/>
      <c r="N11" s="1857"/>
      <c r="O11" s="1918"/>
      <c r="P11" s="1611"/>
      <c r="Q11" s="91"/>
      <c r="R11" s="1439" t="str">
        <f>PT.shallow_scrape!B98</f>
        <v>Number of pumps needed from pond/lagoon</v>
      </c>
      <c r="S11" s="91"/>
      <c r="T11" s="1439">
        <f>PT.shallow_scrape!G98</f>
        <v>0</v>
      </c>
      <c r="U11" s="1465" t="str">
        <f>PT.shallow_scrape!C98</f>
        <v>pumps</v>
      </c>
      <c r="V11" s="90"/>
      <c r="W11" s="91"/>
      <c r="X11" s="91" t="str">
        <f>PT.anaer_lagoon!B313</f>
        <v>Tractor for tanker, size</v>
      </c>
      <c r="Y11" s="91"/>
      <c r="Z11" s="1379">
        <f>PT.anaer_lagoon!W313</f>
        <v>250</v>
      </c>
      <c r="AA11" s="1465" t="str">
        <f>PT.anaer_lagoon!F313</f>
        <v>PTO hp</v>
      </c>
    </row>
    <row r="12" spans="1:27" ht="14.4" x14ac:dyDescent="0.3">
      <c r="A12" s="20"/>
      <c r="B12" s="1577" t="s">
        <v>6165</v>
      </c>
      <c r="C12" s="1811">
        <f>C66</f>
        <v>5.5517686249999993</v>
      </c>
      <c r="D12" s="1806" t="s">
        <v>2385</v>
      </c>
      <c r="E12" s="1945"/>
      <c r="F12" s="1611"/>
      <c r="G12" s="1850"/>
      <c r="H12" s="1945"/>
      <c r="I12" s="1998"/>
      <c r="J12" s="1955"/>
      <c r="K12" s="1956"/>
      <c r="L12" s="1954"/>
      <c r="M12" s="20"/>
      <c r="N12" s="20"/>
      <c r="O12" s="20"/>
      <c r="P12" s="20"/>
      <c r="R12" s="1439" t="str">
        <f>PT.shallow_scrape!B99</f>
        <v>Operational time for pump/motor</v>
      </c>
      <c r="S12" s="91"/>
      <c r="T12" s="1439">
        <f>PT.shallow_scrape!G99</f>
        <v>0</v>
      </c>
      <c r="U12" s="1465" t="str">
        <f>PT.shallow_scrape!C99</f>
        <v>hr/day/pump</v>
      </c>
      <c r="V12" s="90"/>
      <c r="W12" s="91"/>
      <c r="X12" s="91" t="str">
        <f>PT.anaer_lagoon!B314</f>
        <v>Application by broadcast or injection?</v>
      </c>
      <c r="Y12" s="91"/>
      <c r="Z12" s="1379" t="str">
        <f>PT.anaer_lagoon!W314</f>
        <v>Injection</v>
      </c>
      <c r="AA12" s="1465" t="str">
        <f>PT.anaer_lagoon!F314</f>
        <v>type</v>
      </c>
    </row>
    <row r="13" spans="1:27" ht="14.4" x14ac:dyDescent="0.3">
      <c r="A13" s="20"/>
      <c r="B13" s="1810" t="s">
        <v>6930</v>
      </c>
      <c r="C13" s="1811"/>
      <c r="D13" s="1806"/>
      <c r="E13" s="1945"/>
      <c r="F13" s="1611"/>
      <c r="G13" s="1850"/>
      <c r="H13" s="1945"/>
      <c r="I13" s="1998"/>
      <c r="J13" s="1957"/>
      <c r="K13" s="1957"/>
      <c r="L13" s="2037"/>
      <c r="M13" s="1957"/>
      <c r="N13" s="2038"/>
      <c r="O13" s="20"/>
      <c r="P13" s="20"/>
      <c r="R13" s="1439" t="str">
        <f>PT.shallow_scrape!B100</f>
        <v>Energy needed for motor(s) for pump(s)</v>
      </c>
      <c r="S13" s="91"/>
      <c r="T13" s="1439">
        <f>PT.shallow_scrape!G100</f>
        <v>0</v>
      </c>
      <c r="U13" s="1465" t="str">
        <f>PT.shallow_scrape!C100</f>
        <v>kWh/day</v>
      </c>
      <c r="V13" s="90"/>
      <c r="W13" s="91"/>
      <c r="X13" s="91" t="str">
        <f>PT.anaer_lagoon!B315</f>
        <v>Operation time for tractor with tanker</v>
      </c>
      <c r="Y13" s="91"/>
      <c r="Z13" s="1379">
        <f>PT.anaer_lagoon!W315</f>
        <v>41.951924462034526</v>
      </c>
      <c r="AA13" s="1465" t="str">
        <f>PT.anaer_lagoon!F315</f>
        <v>hrs/event</v>
      </c>
    </row>
    <row r="14" spans="1:27" ht="14.4" x14ac:dyDescent="0.3">
      <c r="A14" s="1998"/>
      <c r="B14" s="1577" t="s">
        <v>6163</v>
      </c>
      <c r="C14" s="1811">
        <f>C68</f>
        <v>1.4031371188851822</v>
      </c>
      <c r="D14" s="1806" t="s">
        <v>2385</v>
      </c>
      <c r="E14" s="1945"/>
      <c r="F14" s="1611"/>
      <c r="G14" s="1850"/>
      <c r="H14" s="1945"/>
      <c r="I14" s="1998"/>
      <c r="J14" s="1954"/>
      <c r="K14" s="1954"/>
      <c r="L14" s="1959"/>
      <c r="M14" s="1959"/>
      <c r="N14" s="1998"/>
      <c r="O14" s="20"/>
      <c r="P14" s="20"/>
      <c r="R14" s="1439" t="str">
        <f>PT.shallow_scrape!B101</f>
        <v>Distance from pump to barns</v>
      </c>
      <c r="S14" s="91"/>
      <c r="T14" s="1439">
        <f>PT.shallow_scrape!G101</f>
        <v>800</v>
      </c>
      <c r="U14" s="1465" t="str">
        <f>PT.shallow_scrape!C101</f>
        <v>ft</v>
      </c>
      <c r="V14" s="90"/>
      <c r="W14" s="91"/>
      <c r="X14" s="91" t="str">
        <f>PT.anaer_lagoon!B316</f>
        <v>Fuel needed for tractor with tank and applicator</v>
      </c>
      <c r="Y14" s="91"/>
      <c r="Z14" s="1379">
        <f>PT.anaer_lagoon!W316</f>
        <v>461.47116908237979</v>
      </c>
      <c r="AA14" s="1465" t="str">
        <f>PT.anaer_lagoon!F316</f>
        <v>gal/event</v>
      </c>
    </row>
    <row r="15" spans="1:27" ht="14.4" x14ac:dyDescent="0.3">
      <c r="A15" s="1998"/>
      <c r="B15" s="1577" t="s">
        <v>6164</v>
      </c>
      <c r="C15" s="1811">
        <f>C69</f>
        <v>2.9893992749999998</v>
      </c>
      <c r="D15" s="1806" t="s">
        <v>2385</v>
      </c>
      <c r="E15" s="1945"/>
      <c r="F15" s="1611"/>
      <c r="G15" s="1611"/>
      <c r="H15" s="1945"/>
      <c r="I15" s="20"/>
      <c r="J15" s="1954"/>
      <c r="K15" s="1954"/>
      <c r="L15" s="1959"/>
      <c r="M15" s="1959"/>
      <c r="N15" s="1998"/>
      <c r="O15" s="20"/>
      <c r="P15" s="20"/>
      <c r="R15" s="1439" t="str">
        <f>PT.shallow_scrape!B102</f>
        <v>Number of scrapes, auto</v>
      </c>
      <c r="S15" s="91"/>
      <c r="T15" s="1439">
        <f>PT.shallow_scrape!G102</f>
        <v>12</v>
      </c>
      <c r="U15" s="1465" t="str">
        <f>PT.shallow_scrape!C102</f>
        <v>quantity/day</v>
      </c>
      <c r="V15" s="90"/>
      <c r="W15" s="91"/>
      <c r="X15" s="91" t="str">
        <f>PT.anaer_lagoon!B317</f>
        <v>Number of tractors with tanker needed</v>
      </c>
      <c r="Y15" s="91"/>
      <c r="Z15" s="1379">
        <f>PT.anaer_lagoon!W317</f>
        <v>1</v>
      </c>
      <c r="AA15" s="1465" t="str">
        <f>PT.anaer_lagoon!F317</f>
        <v>quantity</v>
      </c>
    </row>
    <row r="16" spans="1:27" ht="14.4" x14ac:dyDescent="0.3">
      <c r="A16" s="1998"/>
      <c r="B16" s="1577" t="s">
        <v>6165</v>
      </c>
      <c r="C16" s="1811">
        <f>C70</f>
        <v>2.9894138749999994</v>
      </c>
      <c r="D16" s="1806" t="s">
        <v>2385</v>
      </c>
      <c r="E16" s="1611"/>
      <c r="F16" s="1611"/>
      <c r="G16" s="1948"/>
      <c r="H16" s="1945"/>
      <c r="I16" s="20"/>
      <c r="J16" s="1955"/>
      <c r="K16" s="1954"/>
      <c r="L16" s="1959"/>
      <c r="M16" s="1959"/>
      <c r="N16" s="1998"/>
      <c r="O16" s="20"/>
      <c r="P16" s="20"/>
      <c r="R16" s="1439" t="str">
        <f>PT.shallow_scrape!B103</f>
        <v>Alley length, total</v>
      </c>
      <c r="S16" s="91"/>
      <c r="T16" s="1439">
        <f>PT.shallow_scrape!G103</f>
        <v>115</v>
      </c>
      <c r="U16" s="1465" t="str">
        <f>PT.shallow_scrape!C103</f>
        <v>m</v>
      </c>
      <c r="V16" s="90"/>
      <c r="W16" s="91"/>
      <c r="X16" s="91" t="str">
        <f>PT.anaer_lagoon!B318</f>
        <v>Tractor for agitator, size</v>
      </c>
      <c r="Y16" s="91"/>
      <c r="Z16" s="1379">
        <f>PT.anaer_lagoon!W318</f>
        <v>160</v>
      </c>
      <c r="AA16" s="1465" t="str">
        <f>PT.anaer_lagoon!F318</f>
        <v>PTO hp</v>
      </c>
    </row>
    <row r="17" spans="1:27" ht="14.4" x14ac:dyDescent="0.3">
      <c r="A17" s="20"/>
      <c r="B17" s="1808" t="s">
        <v>5271</v>
      </c>
      <c r="C17" s="1809"/>
      <c r="D17" s="1806"/>
      <c r="E17" s="1945"/>
      <c r="F17" s="1611"/>
      <c r="G17" s="1946"/>
      <c r="H17" s="1945"/>
      <c r="I17" s="20"/>
      <c r="J17" s="1955"/>
      <c r="K17" s="1954"/>
      <c r="L17" s="1958"/>
      <c r="M17" s="1959"/>
      <c r="N17" s="1998"/>
      <c r="O17" s="20"/>
      <c r="P17" s="20"/>
      <c r="R17" s="1439" t="str">
        <f>PT.shallow_scrape!B104</f>
        <v>Auto alley system number of drive units/motors</v>
      </c>
      <c r="S17" s="91"/>
      <c r="T17" s="1439">
        <f>PT.shallow_scrape!G104</f>
        <v>2</v>
      </c>
      <c r="U17" s="1465" t="str">
        <f>PT.shallow_scrape!C104</f>
        <v>quantity</v>
      </c>
      <c r="V17" s="90"/>
      <c r="W17" s="91"/>
      <c r="X17" s="91" t="str">
        <f>PT.anaer_lagoon!B319</f>
        <v>Number of tractors for agitating needed</v>
      </c>
      <c r="Y17" s="91"/>
      <c r="Z17" s="1379">
        <f>PT.anaer_lagoon!W319</f>
        <v>1</v>
      </c>
      <c r="AA17" s="1465" t="str">
        <f>PT.anaer_lagoon!F319</f>
        <v>quantity</v>
      </c>
    </row>
    <row r="18" spans="1:27" ht="15.6" x14ac:dyDescent="0.3">
      <c r="A18" s="20"/>
      <c r="B18" s="1577" t="s">
        <v>6782</v>
      </c>
      <c r="C18" s="1812">
        <f>C83+C88+C92</f>
        <v>17.626080193518657</v>
      </c>
      <c r="D18" s="1806" t="s">
        <v>2385</v>
      </c>
      <c r="E18" s="1945"/>
      <c r="F18" s="1611"/>
      <c r="G18" s="1946"/>
      <c r="H18" s="1945"/>
      <c r="I18" s="20"/>
      <c r="J18" s="1955"/>
      <c r="K18" s="1954"/>
      <c r="L18" s="1958"/>
      <c r="M18" s="1959"/>
      <c r="N18" s="1998"/>
      <c r="O18" s="20"/>
      <c r="P18" s="20"/>
      <c r="R18" s="1439" t="str">
        <f>PT.shallow_scrape!B105</f>
        <v>Number of scraper blades, auto</v>
      </c>
      <c r="S18" s="91"/>
      <c r="T18" s="1439">
        <f>PT.shallow_scrape!G105</f>
        <v>2</v>
      </c>
      <c r="U18" s="1465" t="str">
        <f>PT.shallow_scrape!C105</f>
        <v>quantity</v>
      </c>
      <c r="V18" s="90"/>
      <c r="W18" s="91"/>
      <c r="X18" s="91" t="str">
        <f>PT.anaer_lagoon!B320</f>
        <v>Operation time for tractor agitating</v>
      </c>
      <c r="Y18" s="91"/>
      <c r="Z18" s="1379">
        <f>PT.anaer_lagoon!W320</f>
        <v>52.439905577543158</v>
      </c>
      <c r="AA18" s="1465" t="str">
        <f>PT.anaer_lagoon!F320</f>
        <v>hr/year</v>
      </c>
    </row>
    <row r="19" spans="1:27" ht="15.6" x14ac:dyDescent="0.3">
      <c r="A19" s="20"/>
      <c r="B19" s="1577" t="s">
        <v>6783</v>
      </c>
      <c r="C19" s="1812">
        <f>C85+C90+C94</f>
        <v>7.3956316425199023E-2</v>
      </c>
      <c r="D19" s="1806" t="s">
        <v>2385</v>
      </c>
      <c r="E19" s="279"/>
      <c r="F19" s="87"/>
      <c r="G19" s="20"/>
      <c r="H19" s="20"/>
      <c r="I19" s="20"/>
      <c r="J19" s="1955"/>
      <c r="K19" s="1954"/>
      <c r="L19" s="1954"/>
      <c r="M19" s="1959"/>
      <c r="N19" s="1998"/>
      <c r="O19" s="20"/>
      <c r="P19" s="20"/>
      <c r="R19" s="1439" t="str">
        <f>PT.shallow_scrape!B106</f>
        <v>Auto alley system operation time</v>
      </c>
      <c r="S19" s="91"/>
      <c r="T19" s="1439">
        <f>PT.shallow_scrape!G106</f>
        <v>10.952380952380953</v>
      </c>
      <c r="U19" s="1465" t="str">
        <f>PT.shallow_scrape!C106</f>
        <v>hr/day</v>
      </c>
      <c r="V19" s="90"/>
      <c r="W19" s="2034"/>
      <c r="X19" s="91" t="str">
        <f>PT.anaer_lagoon!B321</f>
        <v>Fuel needed for tractor for agitating</v>
      </c>
      <c r="Y19" s="91"/>
      <c r="Z19" s="1379">
        <f>PT.anaer_lagoon!W321</f>
        <v>369.17693526590381</v>
      </c>
      <c r="AA19" s="1465" t="str">
        <f>PT.anaer_lagoon!F321</f>
        <v>gal/event</v>
      </c>
    </row>
    <row r="20" spans="1:27" ht="15.6" x14ac:dyDescent="0.3">
      <c r="A20" s="20"/>
      <c r="B20" s="1577" t="s">
        <v>6784</v>
      </c>
      <c r="C20" s="1812">
        <f>C86+C91+C95</f>
        <v>0.26288784880380056</v>
      </c>
      <c r="D20" s="1806" t="s">
        <v>2385</v>
      </c>
      <c r="E20" s="1944"/>
      <c r="F20" s="1944"/>
      <c r="G20" s="2040"/>
      <c r="H20" s="1944"/>
      <c r="I20" s="20"/>
      <c r="J20" s="1954"/>
      <c r="K20" s="1954"/>
      <c r="L20" s="1954"/>
      <c r="M20" s="1959"/>
      <c r="N20" s="1998"/>
      <c r="O20" s="20"/>
      <c r="P20" s="20"/>
      <c r="R20" s="1439" t="str">
        <f>PT.shallow_scrape!B107</f>
        <v>Auto alley system total electricity</v>
      </c>
      <c r="S20" s="91"/>
      <c r="T20" s="1439">
        <f>PT.shallow_scrape!G107</f>
        <v>12.250783578571429</v>
      </c>
      <c r="U20" s="1465" t="str">
        <f>PT.shallow_scrape!C107</f>
        <v>kWh/day</v>
      </c>
      <c r="V20" s="90"/>
      <c r="W20" s="91"/>
      <c r="X20" s="91" t="str">
        <f>PT.anaer_lagoon!B322</f>
        <v>Number of tractors for pumping needed</v>
      </c>
      <c r="Y20" s="91"/>
      <c r="Z20" s="1379">
        <f>PT.anaer_lagoon!W322</f>
        <v>1</v>
      </c>
      <c r="AA20" s="1465" t="str">
        <f>PT.anaer_lagoon!F322</f>
        <v>quantity</v>
      </c>
    </row>
    <row r="21" spans="1:27" ht="14.25" customHeight="1" x14ac:dyDescent="0.3">
      <c r="A21" s="20"/>
      <c r="B21" s="1577" t="s">
        <v>6785</v>
      </c>
      <c r="C21" s="1812">
        <f>C84+C89+C93</f>
        <v>11.949664939535291</v>
      </c>
      <c r="D21" s="1806" t="s">
        <v>2385</v>
      </c>
      <c r="E21" s="2040"/>
      <c r="F21" s="2040"/>
      <c r="G21" s="2040"/>
      <c r="H21" s="2040"/>
      <c r="I21" s="20"/>
      <c r="J21" s="1954"/>
      <c r="K21" s="1954"/>
      <c r="L21" s="1954"/>
      <c r="M21" s="1959"/>
      <c r="N21" s="1998"/>
      <c r="O21" s="20"/>
      <c r="P21" s="20"/>
      <c r="R21" s="1439"/>
      <c r="S21" s="91"/>
      <c r="T21" s="1439"/>
      <c r="U21" s="1465"/>
      <c r="V21" s="90"/>
      <c r="W21" s="91"/>
      <c r="X21" s="91" t="str">
        <f>PT.anaer_lagoon!B323</f>
        <v>Tractor for pumping, size</v>
      </c>
      <c r="Y21" s="91"/>
      <c r="Z21" s="1379">
        <f>PT.anaer_lagoon!W323</f>
        <v>180</v>
      </c>
      <c r="AA21" s="1465" t="str">
        <f>PT.anaer_lagoon!F323</f>
        <v>PTO hp</v>
      </c>
    </row>
    <row r="22" spans="1:27" ht="15.75" customHeight="1" x14ac:dyDescent="0.3">
      <c r="A22" s="20"/>
      <c r="B22" s="1577" t="s">
        <v>7466</v>
      </c>
      <c r="C22" s="1500">
        <f>C87</f>
        <v>36.27284479979874</v>
      </c>
      <c r="D22" s="1806" t="s">
        <v>2385</v>
      </c>
      <c r="E22" s="1960"/>
      <c r="F22" s="1936"/>
      <c r="G22" s="1943"/>
      <c r="H22" s="20"/>
      <c r="I22" s="20"/>
      <c r="J22" s="1955"/>
      <c r="K22" s="1954"/>
      <c r="L22" s="1954"/>
      <c r="M22" s="1959"/>
      <c r="N22" s="1998"/>
      <c r="O22" s="20"/>
      <c r="P22" s="20"/>
      <c r="R22" s="1439"/>
      <c r="S22" s="91"/>
      <c r="T22" s="1439"/>
      <c r="U22" s="1465"/>
      <c r="V22" s="90"/>
      <c r="W22" s="91"/>
      <c r="X22" s="91" t="str">
        <f>PT.anaer_lagoon!B324</f>
        <v>Operation time for tractor pumping</v>
      </c>
      <c r="Y22" s="91"/>
      <c r="Z22" s="1379">
        <f>PT.anaer_lagoon!W324</f>
        <v>5.4885726367091552</v>
      </c>
      <c r="AA22" s="1465" t="str">
        <f>PT.anaer_lagoon!F324</f>
        <v>hr/event</v>
      </c>
    </row>
    <row r="23" spans="1:27" ht="14.4" x14ac:dyDescent="0.3">
      <c r="A23" s="20"/>
      <c r="B23" s="90"/>
      <c r="C23" s="1848"/>
      <c r="E23" s="279"/>
      <c r="F23" s="87"/>
      <c r="G23" s="20"/>
      <c r="H23" s="20"/>
      <c r="I23" s="20"/>
      <c r="J23" s="1955"/>
      <c r="K23" s="1954"/>
      <c r="L23" s="1959"/>
      <c r="M23" s="1959"/>
      <c r="N23" s="1998"/>
      <c r="O23" s="20"/>
      <c r="P23" s="2041"/>
      <c r="R23" s="1439"/>
      <c r="S23" s="91"/>
      <c r="T23" s="1439"/>
      <c r="U23" s="1465"/>
      <c r="V23" s="90"/>
      <c r="W23" s="91"/>
      <c r="X23" s="91" t="str">
        <f>PT.anaer_lagoon!B325</f>
        <v>Fuel needed for tractor for pumping</v>
      </c>
      <c r="Y23" s="91"/>
      <c r="Z23" s="1379">
        <f>PT.anaer_lagoon!W325</f>
        <v>43.46949528273651</v>
      </c>
      <c r="AA23" s="1465" t="str">
        <f>PT.anaer_lagoon!F325</f>
        <v>gal/event</v>
      </c>
    </row>
    <row r="24" spans="1:27" ht="14.4" x14ac:dyDescent="0.3">
      <c r="A24" s="20"/>
      <c r="B24" s="1668" t="s">
        <v>6931</v>
      </c>
      <c r="C24" s="1680"/>
      <c r="D24" s="1815"/>
      <c r="E24" s="1944"/>
      <c r="F24" s="1944"/>
      <c r="G24" s="1944"/>
      <c r="H24" s="1944"/>
      <c r="I24" s="2042"/>
      <c r="J24" s="1954"/>
      <c r="K24" s="1954"/>
      <c r="L24" s="1959"/>
      <c r="M24" s="1959"/>
      <c r="N24" s="1998"/>
      <c r="O24" s="20"/>
      <c r="P24" s="2041"/>
      <c r="R24" s="1439"/>
      <c r="S24" s="91"/>
      <c r="T24" s="1439"/>
      <c r="U24" s="1465"/>
      <c r="V24" s="90"/>
      <c r="W24" s="91"/>
      <c r="X24" s="91" t="str">
        <f>PT.anaer_lagoon!B326</f>
        <v>Size of tractor for pulling hose reel and applicator toolbar</v>
      </c>
      <c r="Y24" s="91"/>
      <c r="Z24" s="1379">
        <f>PT.anaer_lagoon!W326</f>
        <v>580</v>
      </c>
      <c r="AA24" s="1465" t="str">
        <f>PT.anaer_lagoon!F326</f>
        <v>PTO hp</v>
      </c>
    </row>
    <row r="25" spans="1:27" ht="14.4" x14ac:dyDescent="0.3">
      <c r="A25" s="20"/>
      <c r="B25" s="510" t="s">
        <v>6932</v>
      </c>
      <c r="C25" s="1378">
        <v>0.21</v>
      </c>
      <c r="D25" s="510" t="s">
        <v>1694</v>
      </c>
      <c r="E25" s="2040"/>
      <c r="F25" s="2040"/>
      <c r="G25" s="2040"/>
      <c r="H25" s="2040"/>
      <c r="I25" s="2042"/>
      <c r="J25" s="1954"/>
      <c r="K25" s="1954"/>
      <c r="L25" s="1959"/>
      <c r="M25" s="1959"/>
      <c r="N25" s="1998"/>
      <c r="O25" s="20"/>
      <c r="P25" s="2041"/>
      <c r="R25" s="1439"/>
      <c r="S25" s="91"/>
      <c r="T25" s="1439"/>
      <c r="U25" s="1465"/>
      <c r="V25" s="90"/>
      <c r="W25" s="91"/>
      <c r="X25" s="91" t="str">
        <f>PT.anaer_lagoon!B327</f>
        <v>Number of tractors for pulling hose reel and applicator</v>
      </c>
      <c r="Y25" s="91"/>
      <c r="Z25" s="1379">
        <f>PT.anaer_lagoon!W327</f>
        <v>1</v>
      </c>
      <c r="AA25" s="1465" t="str">
        <f>PT.anaer_lagoon!F327</f>
        <v>quantity</v>
      </c>
    </row>
    <row r="26" spans="1:27" ht="14.4" x14ac:dyDescent="0.3">
      <c r="A26" s="20"/>
      <c r="B26" s="1813" t="s">
        <v>6933</v>
      </c>
      <c r="C26" s="1414">
        <v>2.1428571399999998</v>
      </c>
      <c r="D26" s="510" t="s">
        <v>6934</v>
      </c>
      <c r="E26" s="1960"/>
      <c r="F26" s="1939"/>
      <c r="G26" s="1946"/>
      <c r="H26" s="20"/>
      <c r="I26" s="2042"/>
      <c r="J26" s="1954"/>
      <c r="K26" s="1954"/>
      <c r="L26" s="1959"/>
      <c r="M26" s="1959"/>
      <c r="N26" s="1998"/>
      <c r="O26" s="20"/>
      <c r="P26" s="20"/>
      <c r="R26" s="1439"/>
      <c r="S26" s="91"/>
      <c r="T26" s="1439"/>
      <c r="U26" s="1465"/>
      <c r="V26" s="90"/>
      <c r="W26" s="91"/>
      <c r="X26" s="91" t="str">
        <f>PT.anaer_lagoon!B328</f>
        <v>Size of tractor for support with hose pulley</v>
      </c>
      <c r="Y26" s="91"/>
      <c r="Z26" s="1379">
        <f>PT.anaer_lagoon!W328</f>
        <v>340</v>
      </c>
      <c r="AA26" s="1465" t="str">
        <f>PT.anaer_lagoon!F328</f>
        <v>PTO hp</v>
      </c>
    </row>
    <row r="27" spans="1:27" ht="14.4" x14ac:dyDescent="0.3">
      <c r="A27" s="20"/>
      <c r="B27" s="91" t="s">
        <v>6935</v>
      </c>
      <c r="C27" s="1403">
        <f>(C19+C20)*(28/44)</f>
        <v>0.21435537787299971</v>
      </c>
      <c r="D27" s="510" t="s">
        <v>2358</v>
      </c>
      <c r="E27" s="279"/>
      <c r="F27" s="87"/>
      <c r="G27" s="20"/>
      <c r="H27" s="20"/>
      <c r="I27" s="20"/>
      <c r="J27" s="1955"/>
      <c r="K27" s="1954"/>
      <c r="L27" s="1959"/>
      <c r="M27" s="1959"/>
      <c r="N27" s="1998"/>
      <c r="O27" s="20"/>
      <c r="P27" s="20"/>
      <c r="R27" s="1439"/>
      <c r="S27" s="91"/>
      <c r="T27" s="1439"/>
      <c r="U27" s="1465"/>
      <c r="V27" s="90"/>
      <c r="W27" s="91"/>
      <c r="X27" s="91" t="str">
        <f>PT.anaer_lagoon!B329</f>
        <v>Distance from storage to field</v>
      </c>
      <c r="Y27" s="91"/>
      <c r="Z27" s="1379">
        <f>PT.anaer_lagoon!W329</f>
        <v>2</v>
      </c>
      <c r="AA27" s="1465" t="str">
        <f>PT.anaer_lagoon!F329</f>
        <v>miles</v>
      </c>
    </row>
    <row r="28" spans="1:27" ht="14.4" x14ac:dyDescent="0.3">
      <c r="A28" s="20"/>
      <c r="B28" s="91" t="s">
        <v>6936</v>
      </c>
      <c r="C28" s="1380">
        <f>C21*(14/17)</f>
        <v>9.8409005384408275</v>
      </c>
      <c r="D28" s="510" t="s">
        <v>2358</v>
      </c>
      <c r="E28" s="2040"/>
      <c r="F28" s="2040"/>
      <c r="G28" s="2040"/>
      <c r="H28" s="2040"/>
      <c r="I28" s="2042"/>
      <c r="J28" s="1954"/>
      <c r="K28" s="1954"/>
      <c r="L28" s="1959"/>
      <c r="M28" s="1959"/>
      <c r="N28" s="1998"/>
      <c r="O28" s="20"/>
      <c r="P28" s="20"/>
      <c r="R28" s="1439"/>
      <c r="S28" s="91"/>
      <c r="T28" s="1439"/>
      <c r="U28" s="1465"/>
      <c r="V28" s="90"/>
      <c r="W28" s="91"/>
      <c r="X28" s="91" t="str">
        <f>PT.anaer_lagoon!B330</f>
        <v>Application by broadcast or injection?</v>
      </c>
      <c r="Y28" s="91"/>
      <c r="Z28" s="1379" t="str">
        <f>PT.anaer_lagoon!W330</f>
        <v>Injection</v>
      </c>
      <c r="AA28" s="1465" t="str">
        <f>PT.anaer_lagoon!F330</f>
        <v>type</v>
      </c>
    </row>
    <row r="29" spans="1:27" ht="18" customHeight="1" x14ac:dyDescent="0.3">
      <c r="A29" s="20"/>
      <c r="B29" s="91" t="s">
        <v>6937</v>
      </c>
      <c r="C29" s="1404">
        <f>C25*C27*(44/28)/C26</f>
        <v>3.301072823645626E-2</v>
      </c>
      <c r="D29" s="510" t="s">
        <v>2358</v>
      </c>
      <c r="E29" s="2040"/>
      <c r="F29" s="2040"/>
      <c r="G29" s="2040"/>
      <c r="H29" s="2040"/>
      <c r="I29" s="2042"/>
      <c r="J29" s="1954"/>
      <c r="K29" s="1954"/>
      <c r="L29" s="1959"/>
      <c r="M29" s="1959"/>
      <c r="N29" s="1998"/>
      <c r="O29" s="20"/>
      <c r="P29" s="20"/>
      <c r="R29" s="1439"/>
      <c r="S29" s="91"/>
      <c r="T29" s="1439"/>
      <c r="U29" s="1465"/>
      <c r="V29" s="90"/>
      <c r="W29" s="91"/>
      <c r="X29" s="91" t="str">
        <f>PT.anaer_lagoon!B331</f>
        <v>Fuel needed for tractor for pulling hose reel and applicator</v>
      </c>
      <c r="Y29" s="91"/>
      <c r="Z29" s="1379">
        <f>PT.anaer_lagoon!W331</f>
        <v>25.52</v>
      </c>
      <c r="AA29" s="1465" t="str">
        <f>PT.anaer_lagoon!F331</f>
        <v>gal/hr</v>
      </c>
    </row>
    <row r="30" spans="1:27" ht="15" customHeight="1" x14ac:dyDescent="0.3">
      <c r="A30" s="20"/>
      <c r="B30" s="2024"/>
      <c r="C30" s="1390"/>
      <c r="D30" s="1352"/>
      <c r="E30" s="279"/>
      <c r="F30" s="87"/>
      <c r="G30" s="1946"/>
      <c r="H30" s="20"/>
      <c r="I30" s="2042"/>
      <c r="J30" s="1954"/>
      <c r="K30" s="1954"/>
      <c r="L30" s="1959"/>
      <c r="M30" s="1959"/>
      <c r="N30" s="1998"/>
      <c r="O30" s="20"/>
      <c r="P30" s="20"/>
      <c r="R30" s="1439"/>
      <c r="S30" s="91"/>
      <c r="T30" s="1439"/>
      <c r="U30" s="1465"/>
      <c r="V30" s="90"/>
      <c r="W30" s="91"/>
      <c r="X30" s="91" t="str">
        <f>PT.anaer_lagoon!B332</f>
        <v>Fuel needed for support tractor with hose pulley</v>
      </c>
      <c r="Y30" s="91"/>
      <c r="Z30" s="1379">
        <f>PT.anaer_lagoon!W332</f>
        <v>14.959999999999999</v>
      </c>
      <c r="AA30" s="1465" t="str">
        <f>PT.anaer_lagoon!F332</f>
        <v>gal/hr</v>
      </c>
    </row>
    <row r="31" spans="1:27" ht="14.4" x14ac:dyDescent="0.3">
      <c r="A31" s="20"/>
      <c r="B31" s="1352"/>
      <c r="C31" s="1390"/>
      <c r="D31" s="1352"/>
      <c r="E31" s="279"/>
      <c r="F31" s="87"/>
      <c r="G31" s="2039"/>
      <c r="H31" s="20"/>
      <c r="I31" s="20"/>
      <c r="J31" s="1955"/>
      <c r="K31" s="1954"/>
      <c r="L31" s="1954"/>
      <c r="M31" s="1959"/>
      <c r="N31" s="1998"/>
      <c r="O31" s="20"/>
      <c r="P31" s="20"/>
      <c r="R31" s="1439"/>
      <c r="S31" s="91"/>
      <c r="T31" s="1439"/>
      <c r="U31" s="1465"/>
      <c r="V31" s="90"/>
      <c r="W31" s="91"/>
      <c r="X31" s="91" t="str">
        <f>PT.anaer_lagoon!B333</f>
        <v>Diesel powered pump(s), size</v>
      </c>
      <c r="Y31" s="91"/>
      <c r="Z31" s="1379">
        <f>PT.anaer_lagoon!W333</f>
        <v>3000</v>
      </c>
      <c r="AA31" s="1465" t="str">
        <f>PT.anaer_lagoon!F333</f>
        <v>gal/min</v>
      </c>
    </row>
    <row r="32" spans="1:27" ht="21.75" customHeight="1" x14ac:dyDescent="0.3">
      <c r="A32" s="20"/>
      <c r="B32" s="91"/>
      <c r="C32" s="1384"/>
      <c r="D32" s="52"/>
      <c r="E32" s="2043"/>
      <c r="F32" s="87"/>
      <c r="G32" s="20"/>
      <c r="H32" s="1945"/>
      <c r="I32" s="20"/>
      <c r="J32" s="1955"/>
      <c r="K32" s="1954"/>
      <c r="L32" s="1959"/>
      <c r="M32" s="1959"/>
      <c r="N32" s="1998"/>
      <c r="O32" s="20"/>
      <c r="P32" s="20"/>
      <c r="Q32" s="91" t="s">
        <v>5219</v>
      </c>
      <c r="R32" s="1439" t="str">
        <f>PT.reception_pit!B26</f>
        <v>Reception pit constructed size</v>
      </c>
      <c r="S32" s="91"/>
      <c r="T32" s="1439">
        <f>PT.reception_pit!H26</f>
        <v>2893.7344524219843</v>
      </c>
      <c r="U32" s="1465" t="str">
        <f>PT.reception_pit!C26</f>
        <v>L</v>
      </c>
      <c r="V32" s="2035"/>
      <c r="W32" s="91"/>
      <c r="X32" s="91" t="str">
        <f>PT.anaer_lagoon!B334</f>
        <v>Number of diesel powered lead pumps needed</v>
      </c>
      <c r="Y32" s="91"/>
      <c r="Z32" s="1379">
        <f>PT.anaer_lagoon!W334</f>
        <v>1</v>
      </c>
      <c r="AA32" s="1465" t="str">
        <f>PT.anaer_lagoon!F334</f>
        <v>quantity</v>
      </c>
    </row>
    <row r="33" spans="2:27" ht="15" customHeight="1" x14ac:dyDescent="0.3">
      <c r="B33" s="1668" t="s">
        <v>409</v>
      </c>
      <c r="C33" s="1680"/>
      <c r="D33" s="1815"/>
      <c r="E33" s="279"/>
      <c r="F33" s="87"/>
      <c r="G33" s="20"/>
      <c r="H33" s="20"/>
      <c r="I33" s="20"/>
      <c r="J33" s="1955"/>
      <c r="K33" s="1954"/>
      <c r="L33" s="1959"/>
      <c r="M33" s="1959"/>
      <c r="N33" s="1998"/>
      <c r="O33" s="20"/>
      <c r="P33" s="20"/>
      <c r="Q33" s="91"/>
      <c r="R33" s="1439" t="str">
        <f>PT.reception_pit!B27</f>
        <v>Size of motor(s) for agi-pump(s)</v>
      </c>
      <c r="S33" s="91"/>
      <c r="T33" s="1439">
        <f>PT.reception_pit!H27</f>
        <v>15</v>
      </c>
      <c r="U33" s="1465" t="str">
        <f>PT.reception_pit!C27</f>
        <v>hp</v>
      </c>
      <c r="V33" s="90"/>
      <c r="W33" s="91"/>
      <c r="X33" s="91" t="str">
        <f>PT.anaer_lagoon!B335</f>
        <v>Number of diesel powered agitation trailers needed</v>
      </c>
      <c r="Y33" s="91"/>
      <c r="Z33" s="1379">
        <f>PT.anaer_lagoon!W335</f>
        <v>1</v>
      </c>
      <c r="AA33" s="1465" t="str">
        <f>PT.anaer_lagoon!F335</f>
        <v>quantity</v>
      </c>
    </row>
    <row r="34" spans="2:27" ht="15" customHeight="1" x14ac:dyDescent="0.3">
      <c r="B34" s="91" t="str">
        <f>PT.reception_pit!B36</f>
        <v>Electricity used by reception pit pumps</v>
      </c>
      <c r="C34" s="1878">
        <f>PT.reception_pit!H36</f>
        <v>0.27742233217176548</v>
      </c>
      <c r="D34" s="91" t="str">
        <f>PT.reception_pit!C36</f>
        <v>kWh/head/year</v>
      </c>
      <c r="E34" s="2040"/>
      <c r="F34" s="2040"/>
      <c r="G34" s="2040"/>
      <c r="H34" s="2040"/>
      <c r="I34" s="20"/>
      <c r="J34" s="1955"/>
      <c r="K34" s="1954"/>
      <c r="L34" s="1959"/>
      <c r="M34" s="1959"/>
      <c r="N34" s="1998"/>
      <c r="O34" s="20"/>
      <c r="P34" s="20"/>
      <c r="Q34" s="91"/>
      <c r="R34" s="1439" t="str">
        <f>PT.reception_pit!B28</f>
        <v>Number of agi-pumps needed</v>
      </c>
      <c r="S34" s="91"/>
      <c r="T34" s="1439">
        <f>PT.reception_pit!H28</f>
        <v>1</v>
      </c>
      <c r="U34" s="1465" t="str">
        <f>PT.reception_pit!C28</f>
        <v>pumps</v>
      </c>
      <c r="V34" s="90"/>
      <c r="W34" s="91"/>
      <c r="X34" s="91" t="str">
        <f>PT.anaer_lagoon!B336</f>
        <v>Number of booster pumps needed</v>
      </c>
      <c r="Y34" s="91"/>
      <c r="Z34" s="1379">
        <f>PT.anaer_lagoon!W336</f>
        <v>1</v>
      </c>
      <c r="AA34" s="1465" t="str">
        <f>PT.anaer_lagoon!F336</f>
        <v>quantity</v>
      </c>
    </row>
    <row r="35" spans="2:27" ht="14.4" x14ac:dyDescent="0.3">
      <c r="B35" s="1353" t="str">
        <f>PT.shallow_scrape!B117</f>
        <v>Electricity for pumping flush water into scrape system</v>
      </c>
      <c r="C35" s="1878">
        <f>PT.shallow_scrape!G117</f>
        <v>0</v>
      </c>
      <c r="D35" s="1353" t="str">
        <f>PT.shallow_scrape!C117</f>
        <v>kWh/head/year</v>
      </c>
      <c r="E35" s="2040"/>
      <c r="F35" s="2040"/>
      <c r="G35" s="2040"/>
      <c r="H35" s="2040"/>
      <c r="I35" s="20"/>
      <c r="J35" s="1955"/>
      <c r="K35" s="1954"/>
      <c r="L35" s="1959"/>
      <c r="M35" s="1959"/>
      <c r="N35" s="1998"/>
      <c r="O35" s="20"/>
      <c r="P35" s="20"/>
      <c r="Q35" s="91"/>
      <c r="R35" s="1439" t="str">
        <f>PT.reception_pit!B29</f>
        <v>Energy needed for motor for agi-pump</v>
      </c>
      <c r="S35" s="91"/>
      <c r="T35" s="1439">
        <f>PT.reception_pit!H29</f>
        <v>0.38003059201611716</v>
      </c>
      <c r="U35" s="1465" t="str">
        <f>PT.reception_pit!C29</f>
        <v>kWh/day</v>
      </c>
      <c r="V35" s="90"/>
      <c r="W35" s="91"/>
      <c r="X35" s="91" t="str">
        <f>PT.anaer_lagoon!B337</f>
        <v>Operation time for pumping</v>
      </c>
      <c r="Y35" s="91"/>
      <c r="Z35" s="1379">
        <f>PT.anaer_lagoon!W337</f>
        <v>5.7535426848554803</v>
      </c>
      <c r="AA35" s="1465" t="str">
        <f>PT.anaer_lagoon!F337</f>
        <v>hr</v>
      </c>
    </row>
    <row r="36" spans="2:27" ht="18" customHeight="1" x14ac:dyDescent="0.3">
      <c r="B36" s="1353" t="str">
        <f>PT.shallow_scrape!B118</f>
        <v>Electricity used by auto alley scrape system</v>
      </c>
      <c r="C36" s="1878">
        <f>PT.shallow_scrape!G118</f>
        <v>8.9430720123571419</v>
      </c>
      <c r="D36" s="1353" t="str">
        <f>PT.shallow_scrape!C118</f>
        <v>kWh/head/year</v>
      </c>
      <c r="E36" s="1936"/>
      <c r="F36" s="1611"/>
      <c r="G36" s="1946"/>
      <c r="H36" s="1945"/>
      <c r="I36" s="20"/>
      <c r="J36" s="1955"/>
      <c r="K36" s="1954"/>
      <c r="L36" s="1959"/>
      <c r="M36" s="1959"/>
      <c r="N36" s="1998"/>
      <c r="O36" s="20"/>
      <c r="P36" s="20"/>
      <c r="Q36" s="91" t="s">
        <v>3086</v>
      </c>
      <c r="R36" s="1439" t="str">
        <f>PT.anaer_digest!B81</f>
        <v>Manure inflow volume</v>
      </c>
      <c r="S36" s="91"/>
      <c r="T36" s="1439">
        <f>PT.anaer_digest!H81</f>
        <v>2.8937344524219841</v>
      </c>
      <c r="U36" s="1465" t="str">
        <f>PT.anaer_digest!C81</f>
        <v>m3/day</v>
      </c>
      <c r="V36" s="90"/>
      <c r="W36" s="91"/>
      <c r="X36" s="91" t="str">
        <f>PT.anaer_lagoon!B338</f>
        <v>Fuel needed for diesel powered lead pump</v>
      </c>
      <c r="Y36" s="91"/>
      <c r="Z36" s="1379">
        <f>PT.anaer_lagoon!W338</f>
        <v>103.56376832739865</v>
      </c>
      <c r="AA36" s="1465" t="str">
        <f>PT.anaer_lagoon!F338</f>
        <v>gal/event</v>
      </c>
    </row>
    <row r="37" spans="2:27" ht="14.4" x14ac:dyDescent="0.3">
      <c r="B37" s="1353" t="str">
        <f>PT.shallow_scrape!B119</f>
        <v>Electricity used by transfer channel in scrape system</v>
      </c>
      <c r="C37" s="1878">
        <f>PT.shallow_scrape!G119</f>
        <v>0.41604726318357144</v>
      </c>
      <c r="D37" s="1353" t="str">
        <f>PT.shallow_scrape!C119</f>
        <v>kWh/head/year</v>
      </c>
      <c r="E37" s="1960"/>
      <c r="F37" s="1936"/>
      <c r="G37" s="1946"/>
      <c r="H37" s="1945"/>
      <c r="I37" s="20"/>
      <c r="J37" s="1955"/>
      <c r="K37" s="1954"/>
      <c r="L37" s="1954"/>
      <c r="M37" s="1959"/>
      <c r="N37" s="1998"/>
      <c r="O37" s="20"/>
      <c r="P37" s="20"/>
      <c r="Q37" s="91"/>
      <c r="R37" s="1439" t="str">
        <f>PT.anaer_digest!B82</f>
        <v>Number of digesters</v>
      </c>
      <c r="S37" s="91"/>
      <c r="T37" s="1439">
        <f>PT.anaer_digest!H82</f>
        <v>1</v>
      </c>
      <c r="U37" s="1465" t="str">
        <f>PT.anaer_digest!C82</f>
        <v>quantity</v>
      </c>
      <c r="V37" s="90"/>
      <c r="W37" s="91"/>
      <c r="X37" s="91" t="str">
        <f>PT.anaer_lagoon!B339</f>
        <v>Fuel needed for diesel powered booster pump</v>
      </c>
      <c r="Y37" s="91"/>
      <c r="Z37" s="1379">
        <f>PT.anaer_lagoon!W339</f>
        <v>43.151570136416105</v>
      </c>
      <c r="AA37" s="1465" t="str">
        <f>PT.anaer_lagoon!F339</f>
        <v>gal/event</v>
      </c>
    </row>
    <row r="38" spans="2:27" ht="14.4" x14ac:dyDescent="0.3">
      <c r="C38" s="314"/>
      <c r="E38" s="1939"/>
      <c r="F38" s="1936"/>
      <c r="G38" s="1947"/>
      <c r="H38" s="1945"/>
      <c r="I38" s="20"/>
      <c r="J38" s="1954"/>
      <c r="K38" s="1954"/>
      <c r="L38" s="1954"/>
      <c r="M38" s="1959"/>
      <c r="N38" s="2039"/>
      <c r="O38" s="20"/>
      <c r="P38" s="20"/>
      <c r="Q38" s="91"/>
      <c r="R38" s="1439" t="str">
        <f>PT.anaer_digest!B83</f>
        <v>Digester constructed size</v>
      </c>
      <c r="S38" s="91"/>
      <c r="T38" s="1439">
        <f>PT.anaer_digest!H83</f>
        <v>72.343361310549597</v>
      </c>
      <c r="U38" s="1465" t="str">
        <f>PT.anaer_digest!C83</f>
        <v>m3/digester</v>
      </c>
      <c r="V38" s="90"/>
      <c r="W38" s="91"/>
      <c r="X38" s="91" t="str">
        <f>PT.anaer_lagoon!B340</f>
        <v>Fuel needed for diesel powered agitation trailer</v>
      </c>
      <c r="Y38" s="91"/>
      <c r="Z38" s="1379">
        <f>PT.anaer_lagoon!W340</f>
        <v>34.521256109132878</v>
      </c>
      <c r="AA38" s="1465" t="str">
        <f>PT.anaer_lagoon!F340</f>
        <v>gal/event</v>
      </c>
    </row>
    <row r="39" spans="2:27" ht="14.4" x14ac:dyDescent="0.3">
      <c r="C39" s="314"/>
      <c r="E39" s="1611"/>
      <c r="F39" s="1936"/>
      <c r="G39" s="1946"/>
      <c r="H39" s="1945"/>
      <c r="I39" s="20"/>
      <c r="J39" s="20"/>
      <c r="K39" s="20"/>
      <c r="L39" s="84"/>
      <c r="M39" s="2044"/>
      <c r="N39" s="2044"/>
      <c r="O39" s="2044"/>
      <c r="P39" s="20"/>
      <c r="Q39" s="91"/>
      <c r="R39" s="1439" t="str">
        <f>PT.anaer_digest!B84</f>
        <v>Carbon/methane produced by volume</v>
      </c>
      <c r="S39" s="91"/>
      <c r="T39" s="1439">
        <f>PT.anaer_digest!H84</f>
        <v>9962.3303487499979</v>
      </c>
      <c r="U39" s="1465" t="str">
        <f>PT.anaer_digest!C84</f>
        <v>m3/year</v>
      </c>
      <c r="V39" s="90"/>
      <c r="W39" s="91"/>
      <c r="X39" s="91" t="str">
        <f>PT.anaer_lagoon!B341</f>
        <v>Fuel needed for pickup truck</v>
      </c>
      <c r="Y39" s="91"/>
      <c r="Z39" s="1379">
        <f>PT.anaer_lagoon!W341</f>
        <v>5.1781884163699319</v>
      </c>
      <c r="AA39" s="1465" t="str">
        <f>PT.anaer_lagoon!F341</f>
        <v>gal/event</v>
      </c>
    </row>
    <row r="40" spans="2:27" ht="14.4" x14ac:dyDescent="0.3">
      <c r="C40" s="314"/>
      <c r="E40" s="1939"/>
      <c r="F40" s="1936"/>
      <c r="G40" s="1947"/>
      <c r="H40" s="1945"/>
      <c r="I40" s="20"/>
      <c r="J40" s="20"/>
      <c r="K40" s="20"/>
      <c r="L40" s="20"/>
      <c r="M40" s="20"/>
      <c r="N40" s="84"/>
      <c r="O40" s="20"/>
      <c r="P40" s="20"/>
      <c r="Q40" s="91"/>
      <c r="R40" s="1439" t="e">
        <f>PT.anaer_digest!#REF!</f>
        <v>#REF!</v>
      </c>
      <c r="S40" s="91"/>
      <c r="T40" s="1439" t="e">
        <f>PT.anaer_digest!#REF!</f>
        <v>#REF!</v>
      </c>
      <c r="U40" s="1465" t="e">
        <f>PT.anaer_digest!#REF!</f>
        <v>#REF!</v>
      </c>
      <c r="V40" s="90"/>
      <c r="W40" s="90"/>
      <c r="X40" s="91" t="str">
        <f>PT.anaer_lagoon!B342</f>
        <v>Number of tractors for support with hose pulley</v>
      </c>
      <c r="Y40" s="91"/>
      <c r="Z40" s="1379">
        <f>PT.anaer_lagoon!W342</f>
        <v>1</v>
      </c>
      <c r="AA40" s="1465" t="str">
        <f>PT.anaer_lagoon!F342</f>
        <v>quantity</v>
      </c>
    </row>
    <row r="41" spans="2:27" ht="14.4" x14ac:dyDescent="0.3">
      <c r="B41" s="91" t="str">
        <f>PT.anaer_lagoon!B348</f>
        <v>Electricity for irrigation pump</v>
      </c>
      <c r="C41" s="1878">
        <f>PT.anaer_lagoon!W348</f>
        <v>1.8692945966809817</v>
      </c>
      <c r="D41" s="91" t="str">
        <f>PT.anaer_lagoon!F348</f>
        <v>kWh/head/year</v>
      </c>
      <c r="E41" s="1939"/>
      <c r="F41" s="1936"/>
      <c r="G41" s="1947"/>
      <c r="H41" s="1945"/>
      <c r="I41" s="20"/>
      <c r="J41" s="20"/>
      <c r="K41" s="20"/>
      <c r="L41" s="20"/>
      <c r="M41" s="20"/>
      <c r="N41" s="20"/>
      <c r="O41" s="20"/>
      <c r="P41" s="20"/>
      <c r="Q41" s="91" t="s">
        <v>7241</v>
      </c>
      <c r="R41" s="91" t="str">
        <f>PT.anaer_lagoon!B260</f>
        <v>Interval between liquids removal</v>
      </c>
      <c r="S41" s="91"/>
      <c r="T41" s="1439">
        <f>PT.anaer_lagoon!W260</f>
        <v>182.5</v>
      </c>
      <c r="U41" s="1465" t="str">
        <f>PT.anaer_lagoon!F260</f>
        <v>days</v>
      </c>
      <c r="V41" s="90"/>
      <c r="W41" s="90"/>
      <c r="X41" s="90"/>
      <c r="Y41" s="90"/>
      <c r="Z41" s="90"/>
      <c r="AA41" s="90"/>
    </row>
    <row r="42" spans="2:27" ht="14.4" x14ac:dyDescent="0.3">
      <c r="B42" s="1668" t="s">
        <v>415</v>
      </c>
      <c r="C42" s="1680"/>
      <c r="D42" s="1815"/>
      <c r="E42" s="1939"/>
      <c r="F42" s="1936"/>
      <c r="G42" s="1947"/>
      <c r="H42" s="1945"/>
      <c r="I42" s="20"/>
      <c r="J42" s="20"/>
      <c r="K42" s="20"/>
      <c r="L42" s="20"/>
      <c r="M42" s="20"/>
      <c r="N42" s="20"/>
      <c r="O42" s="20"/>
      <c r="P42" s="20"/>
      <c r="Q42" s="91"/>
      <c r="R42" s="91" t="str">
        <f>PT.anaer_lagoon!B261</f>
        <v>Manure liquids removed, lagoon</v>
      </c>
      <c r="S42" s="91"/>
      <c r="T42" s="1439">
        <f>PT.anaer_lagoon!W261</f>
        <v>1186.1423892357984</v>
      </c>
      <c r="U42" s="1465" t="str">
        <f>PT.anaer_lagoon!F261</f>
        <v>m3/event</v>
      </c>
      <c r="V42" s="90"/>
      <c r="W42" s="90"/>
      <c r="X42" s="90"/>
      <c r="Y42" s="90"/>
      <c r="Z42" s="90"/>
      <c r="AA42" s="90"/>
    </row>
    <row r="43" spans="2:27" ht="14.4" x14ac:dyDescent="0.3">
      <c r="B43" s="1353" t="str">
        <f>PT.shallow_scrape!B121</f>
        <v>Fresh water used by scrape system</v>
      </c>
      <c r="C43" s="1521">
        <f>PT.shallow_scrape!G121</f>
        <v>0</v>
      </c>
      <c r="D43" s="1353" t="str">
        <f>PT.shallow_scrape!C121</f>
        <v>m3/head/year</v>
      </c>
      <c r="E43" s="1939"/>
      <c r="F43" s="1936"/>
      <c r="G43" s="1947"/>
      <c r="H43" s="1945"/>
      <c r="I43" s="20"/>
      <c r="J43" s="84"/>
      <c r="K43" s="84"/>
      <c r="L43" s="84"/>
      <c r="M43" s="20"/>
      <c r="N43" s="20"/>
      <c r="O43" s="20"/>
      <c r="P43" s="20"/>
      <c r="Q43" s="91"/>
      <c r="R43" s="91" t="str">
        <f>PT.anaer_lagoon!B262</f>
        <v>Lagoon surface area</v>
      </c>
      <c r="S43" s="91"/>
      <c r="T43" s="1439">
        <f>PT.anaer_lagoon!W262</f>
        <v>2664.5817743943217</v>
      </c>
      <c r="U43" s="1465" t="str">
        <f>PT.anaer_lagoon!F262</f>
        <v>m2</v>
      </c>
      <c r="V43" s="90"/>
      <c r="W43" s="90"/>
      <c r="X43" s="90"/>
      <c r="Y43" s="90"/>
      <c r="Z43" s="90"/>
      <c r="AA43" s="90"/>
    </row>
    <row r="44" spans="2:27" ht="15" customHeight="1" x14ac:dyDescent="0.3">
      <c r="B44" s="1353"/>
      <c r="C44" s="1390"/>
      <c r="D44" s="1353"/>
      <c r="E44" s="1611"/>
      <c r="F44" s="1936"/>
      <c r="G44" s="1947"/>
      <c r="H44" s="1945"/>
      <c r="I44" s="20"/>
      <c r="J44" s="2045"/>
      <c r="K44" s="2045"/>
      <c r="L44" s="2045"/>
      <c r="M44" s="20"/>
      <c r="N44" s="84"/>
      <c r="O44" s="20"/>
      <c r="P44" s="20"/>
      <c r="Q44" s="91"/>
      <c r="R44" s="91" t="str">
        <f>PT.anaer_lagoon!B263</f>
        <v>Lagoon constructed size</v>
      </c>
      <c r="S44" s="91"/>
      <c r="T44" s="1439">
        <f>PT.anaer_lagoon!W263</f>
        <v>5536.05004954981</v>
      </c>
      <c r="U44" s="1465" t="str">
        <f>PT.anaer_lagoon!F263</f>
        <v>m3</v>
      </c>
      <c r="V44" s="90"/>
      <c r="W44" s="90"/>
      <c r="X44" s="90"/>
      <c r="Y44" s="90"/>
      <c r="Z44" s="90"/>
      <c r="AA44" s="90"/>
    </row>
    <row r="45" spans="2:27" ht="14.4" x14ac:dyDescent="0.3">
      <c r="B45" s="91" t="str">
        <f>PT.anaer_lagoon!B359</f>
        <v>Fresh water used to supplement flow into storage structure</v>
      </c>
      <c r="C45" s="1878">
        <f>PT.anaer_lagoon!W359</f>
        <v>0</v>
      </c>
      <c r="D45" s="91" t="str">
        <f>PT.anaer_lagoon!F359</f>
        <v>m3/head/year</v>
      </c>
      <c r="E45" s="1611"/>
      <c r="F45" s="1936"/>
      <c r="G45" s="1947"/>
      <c r="H45" s="1945"/>
      <c r="I45" s="20"/>
      <c r="J45" s="20"/>
      <c r="K45" s="2046"/>
      <c r="L45" s="20"/>
      <c r="M45" s="20"/>
      <c r="N45" s="2039"/>
      <c r="O45" s="20"/>
      <c r="P45" s="20"/>
      <c r="Q45" s="91"/>
      <c r="R45" s="91" t="str">
        <f>PT.anaer_lagoon!B264</f>
        <v>N removed, lagoon</v>
      </c>
      <c r="S45" s="91"/>
      <c r="T45" s="1439">
        <f>PT.anaer_lagoon!W264</f>
        <v>1.1829415520586768</v>
      </c>
      <c r="U45" s="1465" t="str">
        <f>PT.anaer_lagoon!F264</f>
        <v>g/L</v>
      </c>
      <c r="V45" s="90"/>
      <c r="W45" s="277"/>
      <c r="X45" s="90"/>
      <c r="Y45" s="90"/>
      <c r="Z45" s="90"/>
      <c r="AA45" s="90"/>
    </row>
    <row r="46" spans="2:27" ht="14.4" x14ac:dyDescent="0.3">
      <c r="B46" s="91" t="str">
        <f>PT.anaer_lagoon!B360</f>
        <v>Fresh water used to supplement application liquid volume</v>
      </c>
      <c r="C46" s="1878">
        <f>PT.anaer_lagoon!W360</f>
        <v>0.42748609082249117</v>
      </c>
      <c r="D46" s="91" t="str">
        <f>PT.anaer_lagoon!F360</f>
        <v>m3/head/year</v>
      </c>
      <c r="E46" s="1611"/>
      <c r="F46" s="1936"/>
      <c r="G46" s="1947"/>
      <c r="H46" s="1945"/>
      <c r="I46" s="20"/>
      <c r="J46" s="1961"/>
      <c r="K46" s="2046"/>
      <c r="L46" s="20"/>
      <c r="M46" s="20"/>
      <c r="N46" s="2039"/>
      <c r="O46" s="20"/>
      <c r="P46" s="20"/>
      <c r="Q46" s="91"/>
      <c r="R46" s="91" t="str">
        <f>PT.anaer_lagoon!B265</f>
        <v>P2O5 removed, lagoon</v>
      </c>
      <c r="S46" s="91"/>
      <c r="T46" s="1439">
        <f>PT.anaer_lagoon!W265</f>
        <v>0.77008255040821727</v>
      </c>
      <c r="U46" s="1465" t="str">
        <f>PT.anaer_lagoon!F265</f>
        <v>g/L</v>
      </c>
      <c r="V46" s="90"/>
      <c r="W46" s="277"/>
      <c r="X46" s="90"/>
      <c r="Y46" s="90"/>
      <c r="Z46" s="90"/>
      <c r="AA46" s="90"/>
    </row>
    <row r="47" spans="2:27" ht="14.4" x14ac:dyDescent="0.3">
      <c r="B47" s="1668" t="s">
        <v>447</v>
      </c>
      <c r="C47" s="1680"/>
      <c r="D47" s="1815"/>
      <c r="E47" s="1611"/>
      <c r="F47" s="1936"/>
      <c r="G47" s="1943"/>
      <c r="H47" s="1945"/>
      <c r="I47" s="20"/>
      <c r="J47" s="1961"/>
      <c r="K47" s="2046"/>
      <c r="L47" s="20"/>
      <c r="M47" s="20"/>
      <c r="N47" s="2039"/>
      <c r="O47" s="20"/>
      <c r="P47" s="20"/>
      <c r="Q47" s="91"/>
      <c r="R47" s="91" t="str">
        <f>PT.anaer_lagoon!B266</f>
        <v>K2O removed, lagoon</v>
      </c>
      <c r="S47" s="91"/>
      <c r="T47" s="1439">
        <f>PT.anaer_lagoon!W266</f>
        <v>1.1701311485412944</v>
      </c>
      <c r="U47" s="1465" t="str">
        <f>PT.anaer_lagoon!F266</f>
        <v>g/L</v>
      </c>
      <c r="V47" s="90"/>
      <c r="W47" s="277"/>
      <c r="X47" s="90"/>
      <c r="Y47" s="90"/>
      <c r="Z47" s="90"/>
      <c r="AA47" s="90"/>
    </row>
    <row r="48" spans="2:27" ht="14.4" x14ac:dyDescent="0.3">
      <c r="B48" s="1353" t="str">
        <f>PT.shallow_scrape!B115</f>
        <v>Shallow pit land footprint</v>
      </c>
      <c r="C48" s="1394">
        <f>PT.shallow_scrape!G115</f>
        <v>11.129747893930706</v>
      </c>
      <c r="D48" s="1353" t="str">
        <f>PT.shallow_scrape!C115</f>
        <v>m2</v>
      </c>
      <c r="E48" s="1611"/>
      <c r="F48" s="1936"/>
      <c r="G48" s="1943"/>
      <c r="H48" s="1945"/>
      <c r="I48" s="20"/>
      <c r="J48" s="1961"/>
      <c r="K48" s="2046"/>
      <c r="L48" s="20"/>
      <c r="M48" s="20"/>
      <c r="N48" s="2039"/>
      <c r="O48" s="20"/>
      <c r="P48" s="20"/>
      <c r="Q48" s="91"/>
      <c r="R48" s="91" t="str">
        <f>PT.anaer_lagoon!B267</f>
        <v>Field area applied by lagoon liquids</v>
      </c>
      <c r="S48" s="91"/>
      <c r="T48" s="1439">
        <f>PT.anaer_lagoon!W267</f>
        <v>27.126631979132384</v>
      </c>
      <c r="U48" s="1465" t="str">
        <f>PT.anaer_lagoon!F267</f>
        <v>ac/y</v>
      </c>
      <c r="V48" s="90"/>
      <c r="W48" s="277"/>
      <c r="X48" s="90"/>
      <c r="Y48" s="90"/>
      <c r="Z48" s="90"/>
      <c r="AA48" s="90"/>
    </row>
    <row r="49" spans="2:21" ht="14.4" x14ac:dyDescent="0.3">
      <c r="B49" s="91" t="str">
        <f>PT.reception_pit!B38</f>
        <v>Land used by reception pit</v>
      </c>
      <c r="C49" s="1394">
        <f>PT.reception_pit!H38</f>
        <v>0.79128642396007209</v>
      </c>
      <c r="D49" s="91" t="str">
        <f>PT.reception_pit!C38</f>
        <v>m2</v>
      </c>
      <c r="E49" s="1611"/>
      <c r="F49" s="1936"/>
      <c r="G49" s="1946"/>
      <c r="H49" s="1945"/>
      <c r="I49" s="20"/>
      <c r="J49" s="20"/>
      <c r="K49" s="20"/>
      <c r="L49" s="20"/>
      <c r="M49" s="20"/>
      <c r="N49" s="2038"/>
      <c r="O49" s="716"/>
      <c r="P49" s="20"/>
      <c r="Q49" s="91"/>
      <c r="R49" s="91" t="str">
        <f>PT.anaer_lagoon!B268</f>
        <v>Energy needed to pump lagoon liquids</v>
      </c>
      <c r="S49" s="91"/>
      <c r="T49" s="1439">
        <f>PT.anaer_lagoon!W268</f>
        <v>934.64729834049092</v>
      </c>
      <c r="U49" s="1465" t="str">
        <f>PT.anaer_lagoon!F268</f>
        <v>kWh/y</v>
      </c>
    </row>
    <row r="50" spans="2:21" ht="14.4" x14ac:dyDescent="0.3">
      <c r="B50" s="91" t="str">
        <f>PT.anaer_digest!B92</f>
        <v>Land used for anaerobic digesters</v>
      </c>
      <c r="C50" s="1394">
        <f>PT.anaer_digest!H92</f>
        <v>16.018766943173528</v>
      </c>
      <c r="D50" s="91" t="str">
        <f>PT.anaer_digest!C92</f>
        <v>m2</v>
      </c>
      <c r="E50" s="1611"/>
      <c r="F50" s="1936"/>
      <c r="G50" s="1948"/>
      <c r="H50" s="1945"/>
      <c r="I50" s="20"/>
      <c r="J50" s="20"/>
      <c r="K50" s="20"/>
      <c r="L50" s="20"/>
      <c r="M50" s="20"/>
      <c r="N50" s="20"/>
      <c r="O50" s="20"/>
      <c r="P50" s="20"/>
      <c r="Q50" s="91"/>
      <c r="R50" s="91" t="str">
        <f>PT.anaer_lagoon!B269</f>
        <v>Total labor time required for irrigation</v>
      </c>
      <c r="S50" s="91"/>
      <c r="T50" s="1439">
        <f>PT.anaer_lagoon!W269</f>
        <v>8.1379895937397162</v>
      </c>
      <c r="U50" s="1465" t="str">
        <f>PT.anaer_lagoon!F269</f>
        <v>hr/year</v>
      </c>
    </row>
    <row r="51" spans="2:21" ht="14.4" x14ac:dyDescent="0.3">
      <c r="B51" s="91" t="str">
        <f>PT.anaer_lagoon!B350</f>
        <v>Land for lagoon surface area</v>
      </c>
      <c r="C51" s="1394">
        <f>PT.anaer_lagoon!W350</f>
        <v>2664.5817743943217</v>
      </c>
      <c r="D51" s="91" t="str">
        <f>PT.anaer_lagoon!F350</f>
        <v>m2</v>
      </c>
      <c r="E51" s="1611"/>
      <c r="F51" s="1936"/>
      <c r="G51" s="1948"/>
      <c r="H51" s="1945"/>
      <c r="I51" s="20"/>
      <c r="J51" s="20"/>
      <c r="K51" s="20"/>
      <c r="L51" s="20"/>
      <c r="M51" s="20"/>
      <c r="N51" s="20"/>
      <c r="O51" s="20"/>
      <c r="P51" s="20"/>
      <c r="Q51" s="91"/>
      <c r="R51" s="91" t="str">
        <f>PT.anaer_lagoon!B270</f>
        <v>Tanker, size</v>
      </c>
      <c r="S51" s="91"/>
      <c r="T51" s="1439">
        <f>PT.anaer_lagoon!W270</f>
        <v>6000</v>
      </c>
      <c r="U51" s="1465" t="str">
        <f>PT.anaer_lagoon!F270</f>
        <v>gal</v>
      </c>
    </row>
    <row r="52" spans="2:21" ht="15.75" customHeight="1" x14ac:dyDescent="0.3">
      <c r="B52" s="91" t="str">
        <f>PT.anaer_lagoon!B351</f>
        <v>Land for liquid application</v>
      </c>
      <c r="C52" s="1394">
        <f>PT.anaer_lagoon!W351</f>
        <v>122458.23409755832</v>
      </c>
      <c r="D52" s="91" t="str">
        <f>PT.anaer_lagoon!F351</f>
        <v>m2</v>
      </c>
      <c r="E52" s="1611"/>
      <c r="F52" s="1936"/>
      <c r="G52" s="1947"/>
      <c r="H52" s="1945"/>
      <c r="I52" s="20"/>
      <c r="J52" s="20"/>
      <c r="K52" s="20"/>
      <c r="L52" s="20"/>
      <c r="M52" s="20"/>
      <c r="N52" s="20"/>
      <c r="O52" s="20"/>
      <c r="P52" s="20"/>
      <c r="Q52" s="91"/>
      <c r="R52" s="91" t="str">
        <f>PT.anaer_lagoon!B271</f>
        <v>Tractor for tanker, size</v>
      </c>
      <c r="S52" s="91"/>
      <c r="T52" s="1439">
        <f>PT.anaer_lagoon!W271</f>
        <v>250</v>
      </c>
      <c r="U52" s="1465" t="str">
        <f>PT.anaer_lagoon!F271</f>
        <v>PTO hp</v>
      </c>
    </row>
    <row r="53" spans="2:21" ht="14.4" x14ac:dyDescent="0.3">
      <c r="B53" s="91" t="str">
        <f>PT.anaer_lagoon!B352</f>
        <v>Land for sludge application</v>
      </c>
      <c r="C53" s="1394">
        <f>PT.anaer_lagoon!W352</f>
        <v>28222.74079024417</v>
      </c>
      <c r="D53" s="91" t="str">
        <f>PT.anaer_lagoon!F352</f>
        <v>m2</v>
      </c>
      <c r="E53" s="1611"/>
      <c r="F53" s="1936"/>
      <c r="G53" s="1947"/>
      <c r="H53" s="1945"/>
      <c r="I53" s="20"/>
      <c r="J53" s="20"/>
      <c r="K53" s="20"/>
      <c r="L53" s="20"/>
      <c r="M53" s="20"/>
      <c r="N53" s="20"/>
      <c r="O53" s="2047"/>
      <c r="P53" s="20"/>
      <c r="Q53" s="91"/>
      <c r="R53" s="91" t="str">
        <f>PT.anaer_lagoon!B272</f>
        <v>Application by broadcast or injection?</v>
      </c>
      <c r="S53" s="91"/>
      <c r="T53" s="1439" t="str">
        <f>PT.anaer_lagoon!W272</f>
        <v>Injection</v>
      </c>
      <c r="U53" s="1465" t="str">
        <f>PT.anaer_lagoon!F272</f>
        <v>type</v>
      </c>
    </row>
    <row r="54" spans="2:21" ht="14.4" x14ac:dyDescent="0.3">
      <c r="B54" s="1465"/>
      <c r="C54" s="1379"/>
      <c r="D54" s="1465"/>
      <c r="E54" s="1611"/>
      <c r="F54" s="1936"/>
      <c r="G54" s="1947"/>
      <c r="H54" s="1945"/>
      <c r="I54" s="20"/>
      <c r="J54" s="20"/>
      <c r="K54" s="20"/>
      <c r="L54" s="20"/>
      <c r="M54" s="20"/>
      <c r="N54" s="20"/>
      <c r="O54" s="2048"/>
      <c r="P54" s="20"/>
      <c r="Q54" s="91"/>
      <c r="R54" s="91" t="str">
        <f>PT.anaer_lagoon!B273</f>
        <v>Operation time for tractor with tanker</v>
      </c>
      <c r="S54" s="91"/>
      <c r="T54" s="1439">
        <f>PT.anaer_lagoon!W273</f>
        <v>1.9958822787364086</v>
      </c>
      <c r="U54" s="1465" t="str">
        <f>PT.anaer_lagoon!F273</f>
        <v>hrs/event</v>
      </c>
    </row>
    <row r="55" spans="2:21" ht="14.4" x14ac:dyDescent="0.3">
      <c r="B55" s="1465"/>
      <c r="C55" s="1379"/>
      <c r="D55" s="1465"/>
      <c r="E55" s="1611"/>
      <c r="F55" s="1936"/>
      <c r="G55" s="1947"/>
      <c r="H55" s="1945"/>
      <c r="I55" s="20"/>
      <c r="J55" s="20"/>
      <c r="K55" s="20"/>
      <c r="L55" s="20"/>
      <c r="M55" s="20"/>
      <c r="N55" s="20"/>
      <c r="O55" s="1998"/>
      <c r="P55" s="20"/>
      <c r="Q55" s="91"/>
      <c r="R55" s="91" t="str">
        <f>PT.anaer_lagoon!B274</f>
        <v>Fuel needed for tractor with tank and applicator</v>
      </c>
      <c r="S55" s="91"/>
      <c r="T55" s="1439">
        <f>PT.anaer_lagoon!W274</f>
        <v>21.954705066100495</v>
      </c>
      <c r="U55" s="1465" t="str">
        <f>PT.anaer_lagoon!F274</f>
        <v>gal/event</v>
      </c>
    </row>
    <row r="56" spans="2:21" ht="17.25" customHeight="1" x14ac:dyDescent="0.3">
      <c r="B56" s="1668" t="s">
        <v>5753</v>
      </c>
      <c r="C56" s="1680"/>
      <c r="D56" s="1815"/>
      <c r="E56" s="279"/>
      <c r="F56" s="87"/>
      <c r="G56" s="20"/>
      <c r="H56" s="20"/>
      <c r="I56" s="20"/>
      <c r="J56" s="1961"/>
      <c r="K56" s="2046"/>
      <c r="L56" s="20"/>
      <c r="M56" s="20"/>
      <c r="N56" s="20"/>
      <c r="O56" s="2047"/>
      <c r="P56" s="20"/>
      <c r="Q56" s="91"/>
      <c r="R56" s="91" t="str">
        <f>PT.anaer_lagoon!B275</f>
        <v>Number of tractors with tanker needed</v>
      </c>
      <c r="S56" s="91"/>
      <c r="T56" s="1439">
        <f>PT.anaer_lagoon!W275</f>
        <v>1</v>
      </c>
      <c r="U56" s="1465" t="str">
        <f>PT.anaer_lagoon!F275</f>
        <v>quantity</v>
      </c>
    </row>
    <row r="57" spans="2:21" ht="37.5" customHeight="1" x14ac:dyDescent="0.3">
      <c r="B57" s="91" t="str">
        <f>PT.anaer_lagoon!B354</f>
        <v>Diesel fuel used for tanker land application of liquids</v>
      </c>
      <c r="C57" s="2253">
        <f>PT.anaer_lagoon!W354</f>
        <v>0.16634620213563867</v>
      </c>
      <c r="D57" s="91" t="str">
        <f>PT.anaer_lagoon!F354</f>
        <v>gal/head/year</v>
      </c>
      <c r="E57" s="2040"/>
      <c r="F57" s="2040"/>
      <c r="G57" s="2040"/>
      <c r="H57" s="2040"/>
      <c r="I57" s="20"/>
      <c r="J57" s="1961"/>
      <c r="K57" s="2046"/>
      <c r="L57" s="20"/>
      <c r="M57" s="1945"/>
      <c r="N57" s="20"/>
      <c r="O57" s="20"/>
      <c r="P57" s="20"/>
      <c r="Q57" s="91"/>
      <c r="R57" s="91" t="str">
        <f>PT.anaer_lagoon!B276</f>
        <v>Tractor for agitator, size</v>
      </c>
      <c r="S57" s="91"/>
      <c r="T57" s="1439">
        <f>PT.anaer_lagoon!W276</f>
        <v>160</v>
      </c>
      <c r="U57" s="1465" t="str">
        <f>PT.anaer_lagoon!F276</f>
        <v>PTO hp</v>
      </c>
    </row>
    <row r="58" spans="2:21" ht="29.25" customHeight="1" x14ac:dyDescent="0.3">
      <c r="B58" s="91" t="str">
        <f>PT.anaer_lagoon!B355</f>
        <v>Diesel fuel used for tanker land application of sludge</v>
      </c>
      <c r="C58" s="2253">
        <f>PT.anaer_lagoon!W355</f>
        <v>0.17482351992620401</v>
      </c>
      <c r="D58" s="91" t="str">
        <f>PT.anaer_lagoon!F355</f>
        <v>gal/head/year</v>
      </c>
      <c r="E58" s="279"/>
      <c r="F58" s="279"/>
      <c r="G58" s="1998"/>
      <c r="H58" s="20"/>
      <c r="I58" s="20"/>
      <c r="J58" s="1961"/>
      <c r="K58" s="2046"/>
      <c r="L58" s="20"/>
      <c r="M58" s="20"/>
      <c r="N58" s="20"/>
      <c r="O58" s="20"/>
      <c r="P58" s="20"/>
      <c r="Q58" s="91"/>
      <c r="R58" s="91" t="str">
        <f>PT.anaer_lagoon!B277</f>
        <v>Number of tractors for agitating needed</v>
      </c>
      <c r="S58" s="91"/>
      <c r="T58" s="1439">
        <f>PT.anaer_lagoon!W277</f>
        <v>1</v>
      </c>
      <c r="U58" s="1465" t="str">
        <f>PT.anaer_lagoon!F277</f>
        <v>quantity</v>
      </c>
    </row>
    <row r="59" spans="2:21" ht="14.4" x14ac:dyDescent="0.3">
      <c r="B59" s="91" t="str">
        <f>PT.anaer_lagoon!B356</f>
        <v>Diesel fuel used for drag hose land application of liquids</v>
      </c>
      <c r="C59" s="2253">
        <f>PT.anaer_lagoon!W356</f>
        <v>5.4976149451669058E-2</v>
      </c>
      <c r="D59" s="91" t="str">
        <f>PT.anaer_lagoon!F356</f>
        <v>gal/head/year</v>
      </c>
      <c r="E59" s="279"/>
      <c r="F59" s="279"/>
      <c r="G59" s="20"/>
      <c r="H59" s="20"/>
      <c r="I59" s="20"/>
      <c r="J59" s="20"/>
      <c r="K59" s="20"/>
      <c r="L59" s="20"/>
      <c r="M59" s="20"/>
      <c r="N59" s="20"/>
      <c r="O59" s="20"/>
      <c r="P59" s="20"/>
      <c r="Q59" s="91"/>
      <c r="R59" s="91" t="str">
        <f>PT.anaer_lagoon!B278</f>
        <v>Operation time for tractor agitating</v>
      </c>
      <c r="S59" s="91"/>
      <c r="T59" s="1439">
        <f>PT.anaer_lagoon!W278</f>
        <v>2.4948528484205106</v>
      </c>
      <c r="U59" s="1465" t="str">
        <f>PT.anaer_lagoon!F278</f>
        <v>hr/year</v>
      </c>
    </row>
    <row r="60" spans="2:21" ht="14.4" x14ac:dyDescent="0.3">
      <c r="B60" s="91" t="str">
        <f>PT.anaer_lagoon!B357</f>
        <v>Diesel fuel used for drag hose land application of sludge</v>
      </c>
      <c r="C60" s="2253">
        <f>PT.anaer_lagoon!W357</f>
        <v>9.085074041094196E-2</v>
      </c>
      <c r="D60" s="91" t="str">
        <f>PT.anaer_lagoon!F357</f>
        <v>gal/head/year</v>
      </c>
      <c r="E60" s="279"/>
      <c r="F60" s="279"/>
      <c r="G60" s="20"/>
      <c r="H60" s="20"/>
      <c r="I60" s="20"/>
      <c r="J60" s="84"/>
      <c r="K60" s="20"/>
      <c r="L60" s="20"/>
      <c r="M60" s="20"/>
      <c r="N60" s="20"/>
      <c r="O60" s="20"/>
      <c r="P60" s="20"/>
      <c r="Q60" s="91"/>
      <c r="R60" s="91" t="str">
        <f>PT.anaer_lagoon!B279</f>
        <v>Fuel needed for tractor for agitating</v>
      </c>
      <c r="S60" s="91"/>
      <c r="T60" s="1439">
        <f>PT.anaer_lagoon!W279</f>
        <v>17.563764052880391</v>
      </c>
      <c r="U60" s="1465" t="str">
        <f>PT.anaer_lagoon!F279</f>
        <v>gal/event</v>
      </c>
    </row>
    <row r="61" spans="2:21" ht="14.4" x14ac:dyDescent="0.3">
      <c r="B61" s="1465" t="s">
        <v>7144</v>
      </c>
      <c r="C61" s="1403">
        <f>C57+C58</f>
        <v>0.34116972206184271</v>
      </c>
      <c r="D61" s="1465" t="s">
        <v>2497</v>
      </c>
      <c r="E61" s="279"/>
      <c r="F61" s="87"/>
      <c r="G61" s="2039"/>
      <c r="H61" s="20"/>
      <c r="I61" s="20"/>
      <c r="J61" s="20"/>
      <c r="K61" s="20"/>
      <c r="L61" s="2049"/>
      <c r="M61" s="20"/>
      <c r="N61" s="20"/>
      <c r="O61" s="20"/>
      <c r="P61" s="20"/>
      <c r="Q61" s="91"/>
      <c r="R61" s="91" t="str">
        <f>PT.anaer_lagoon!B280</f>
        <v>Number of tractors for pumping needed</v>
      </c>
      <c r="S61" s="91"/>
      <c r="T61" s="1439">
        <f>PT.anaer_lagoon!W280</f>
        <v>1</v>
      </c>
      <c r="U61" s="1465" t="str">
        <f>PT.anaer_lagoon!F280</f>
        <v>quantity</v>
      </c>
    </row>
    <row r="62" spans="2:21" ht="14.4" x14ac:dyDescent="0.3">
      <c r="B62" s="91" t="s">
        <v>7145</v>
      </c>
      <c r="C62" s="1403">
        <f>C59+C60</f>
        <v>0.14582688986261103</v>
      </c>
      <c r="D62" s="1465" t="s">
        <v>2497</v>
      </c>
      <c r="E62" s="2014"/>
      <c r="F62" s="87"/>
      <c r="G62" s="1998"/>
      <c r="H62" s="20"/>
      <c r="I62" s="20"/>
      <c r="J62" s="20"/>
      <c r="K62" s="20"/>
      <c r="L62" s="2049"/>
      <c r="M62" s="20"/>
      <c r="N62" s="20"/>
      <c r="O62" s="20"/>
      <c r="P62" s="20"/>
      <c r="Q62" s="494"/>
      <c r="R62" s="91" t="str">
        <f>PT.anaer_lagoon!B281</f>
        <v>Tractor for pumping, size</v>
      </c>
      <c r="S62" s="91"/>
      <c r="T62" s="1439">
        <f>PT.anaer_lagoon!W281</f>
        <v>180</v>
      </c>
      <c r="U62" s="1465" t="str">
        <f>PT.anaer_lagoon!F281</f>
        <v>PTO hp</v>
      </c>
    </row>
    <row r="63" spans="2:21" ht="14.4" x14ac:dyDescent="0.3">
      <c r="B63" s="1668" t="s">
        <v>5756</v>
      </c>
      <c r="C63" s="1680"/>
      <c r="D63" s="1815"/>
      <c r="E63" s="2014"/>
      <c r="F63" s="87"/>
      <c r="G63" s="1998"/>
      <c r="H63" s="20"/>
      <c r="I63" s="20"/>
      <c r="J63" s="20"/>
      <c r="K63" s="20"/>
      <c r="L63" s="2049"/>
      <c r="M63" s="2041"/>
      <c r="N63" s="20"/>
      <c r="O63" s="20"/>
      <c r="P63" s="20"/>
      <c r="Q63" s="494"/>
      <c r="R63" s="91" t="str">
        <f>PT.anaer_lagoon!B282</f>
        <v>Operation time for tractor pumping</v>
      </c>
      <c r="S63" s="91"/>
      <c r="T63" s="1439">
        <f>PT.anaer_lagoon!W282</f>
        <v>0.261121390773836</v>
      </c>
      <c r="U63" s="1465" t="str">
        <f>PT.anaer_lagoon!F282</f>
        <v>hr/event</v>
      </c>
    </row>
    <row r="64" spans="2:21" ht="14.4" x14ac:dyDescent="0.3">
      <c r="B64" s="91" t="str">
        <f>PT.anaer_lagoon!B362</f>
        <v>Total N accumulated in liquids</v>
      </c>
      <c r="C64" s="1878">
        <f>PT.anaer_lagoon!W362</f>
        <v>5.6125484755407298</v>
      </c>
      <c r="D64" s="91" t="str">
        <f>PT.anaer_lagoon!F362</f>
        <v>kg/head/year</v>
      </c>
      <c r="E64" s="279"/>
      <c r="F64" s="87"/>
      <c r="G64" s="2048"/>
      <c r="H64" s="20"/>
      <c r="I64" s="20"/>
      <c r="J64" s="20"/>
      <c r="K64" s="20"/>
      <c r="L64" s="2049"/>
      <c r="M64" s="20"/>
      <c r="N64" s="20"/>
      <c r="O64" s="20"/>
      <c r="P64" s="20"/>
      <c r="Q64" s="494"/>
      <c r="R64" s="91" t="str">
        <f>PT.anaer_lagoon!B283</f>
        <v>Fuel needed for tractor for pumping</v>
      </c>
      <c r="S64" s="91"/>
      <c r="T64" s="1439">
        <f>PT.anaer_lagoon!W283</f>
        <v>2.0680814149287809</v>
      </c>
      <c r="U64" s="1465" t="str">
        <f>PT.anaer_lagoon!F283</f>
        <v>gal/event</v>
      </c>
    </row>
    <row r="65" spans="2:21" ht="14.4" x14ac:dyDescent="0.3">
      <c r="B65" s="91" t="str">
        <f>PT.anaer_lagoon!B363</f>
        <v>Total P2O5 accumulated in liquids</v>
      </c>
      <c r="C65" s="1878">
        <f>PT.anaer_lagoon!W363</f>
        <v>3.6537102250000002</v>
      </c>
      <c r="D65" s="91" t="str">
        <f>PT.anaer_lagoon!F363</f>
        <v>kg/head/year</v>
      </c>
      <c r="E65" s="279"/>
      <c r="F65" s="87"/>
      <c r="G65" s="2039"/>
      <c r="H65" s="20"/>
      <c r="I65" s="20"/>
      <c r="J65" s="20"/>
      <c r="K65" s="20"/>
      <c r="L65" s="2049"/>
      <c r="M65" s="20"/>
      <c r="N65" s="20"/>
      <c r="O65" s="20"/>
      <c r="P65" s="20"/>
      <c r="Q65" s="494"/>
      <c r="R65" s="91" t="str">
        <f>PT.anaer_lagoon!B284</f>
        <v>Size of tractor for pulling hose reel and applicator</v>
      </c>
      <c r="S65" s="91"/>
      <c r="T65" s="1439">
        <f>PT.anaer_lagoon!W284</f>
        <v>580</v>
      </c>
      <c r="U65" s="1465" t="str">
        <f>PT.anaer_lagoon!F284</f>
        <v>PTO hp</v>
      </c>
    </row>
    <row r="66" spans="2:21" ht="14.4" x14ac:dyDescent="0.3">
      <c r="B66" s="91" t="str">
        <f>PT.anaer_lagoon!B364</f>
        <v>Total K2O accumulated in liquids</v>
      </c>
      <c r="C66" s="1878">
        <f>PT.anaer_lagoon!W364</f>
        <v>5.5517686249999993</v>
      </c>
      <c r="D66" s="91" t="str">
        <f>PT.anaer_lagoon!F364</f>
        <v>kg/head/year</v>
      </c>
      <c r="E66" s="279"/>
      <c r="F66" s="87"/>
      <c r="G66" s="2050"/>
      <c r="H66" s="20"/>
      <c r="I66" s="20"/>
      <c r="J66" s="20"/>
      <c r="K66" s="20"/>
      <c r="L66" s="2051"/>
      <c r="M66" s="20"/>
      <c r="N66" s="20"/>
      <c r="O66" s="20"/>
      <c r="P66" s="20"/>
      <c r="Q66" s="91"/>
      <c r="R66" s="91" t="str">
        <f>PT.anaer_lagoon!B285</f>
        <v>Number of tractors for pulling hose reel and applicator</v>
      </c>
      <c r="S66" s="91"/>
      <c r="T66" s="1439">
        <f>PT.anaer_lagoon!W285</f>
        <v>1</v>
      </c>
      <c r="U66" s="1465" t="str">
        <f>PT.anaer_lagoon!F285</f>
        <v>quantity</v>
      </c>
    </row>
    <row r="67" spans="2:21" ht="14.4" x14ac:dyDescent="0.3">
      <c r="B67" s="1668" t="s">
        <v>6432</v>
      </c>
      <c r="C67" s="1680"/>
      <c r="D67" s="1815"/>
      <c r="E67" s="279"/>
      <c r="F67" s="87"/>
      <c r="G67" s="20"/>
      <c r="H67" s="20"/>
      <c r="I67" s="20"/>
      <c r="J67" s="2052"/>
      <c r="K67" s="20"/>
      <c r="L67" s="2047"/>
      <c r="M67" s="20"/>
      <c r="N67" s="20"/>
      <c r="O67" s="20"/>
      <c r="P67" s="20"/>
      <c r="Q67" s="91"/>
      <c r="R67" s="91" t="str">
        <f>PT.anaer_lagoon!B286</f>
        <v>Number of tractors for support with hose pulley</v>
      </c>
      <c r="S67" s="91"/>
      <c r="T67" s="1439">
        <f>PT.anaer_lagoon!W286</f>
        <v>1</v>
      </c>
      <c r="U67" s="1465" t="str">
        <f>PT.anaer_lagoon!F286</f>
        <v>quantity</v>
      </c>
    </row>
    <row r="68" spans="2:21" ht="14.4" x14ac:dyDescent="0.3">
      <c r="B68" s="91" t="str">
        <f>PT.anaer_lagoon!B366</f>
        <v>Total N accumulated in sludge</v>
      </c>
      <c r="C68" s="1878">
        <f>PT.anaer_lagoon!W366</f>
        <v>1.4031371188851822</v>
      </c>
      <c r="D68" s="91" t="str">
        <f>PT.anaer_lagoon!F366</f>
        <v>kg/head/year</v>
      </c>
      <c r="E68" s="2053"/>
      <c r="F68" s="87"/>
      <c r="G68" s="20"/>
      <c r="H68" s="20"/>
      <c r="I68" s="20"/>
      <c r="J68" s="20"/>
      <c r="K68" s="20"/>
      <c r="L68" s="20"/>
      <c r="M68" s="20"/>
      <c r="N68" s="20"/>
      <c r="O68" s="20"/>
      <c r="P68" s="20"/>
      <c r="Q68" s="91"/>
      <c r="R68" s="91" t="str">
        <f>PT.anaer_lagoon!B287</f>
        <v>Size of tractor for support with hose pulley</v>
      </c>
      <c r="S68" s="91"/>
      <c r="T68" s="1439">
        <f>PT.anaer_lagoon!W287</f>
        <v>340</v>
      </c>
      <c r="U68" s="1465" t="str">
        <f>PT.anaer_lagoon!F287</f>
        <v>PTO hp</v>
      </c>
    </row>
    <row r="69" spans="2:21" ht="14.4" x14ac:dyDescent="0.3">
      <c r="B69" s="91" t="str">
        <f>PT.anaer_lagoon!B367</f>
        <v>Total P2O5 accumulated in sludge</v>
      </c>
      <c r="C69" s="1878">
        <f>PT.anaer_lagoon!W367</f>
        <v>2.9893992749999998</v>
      </c>
      <c r="D69" s="91" t="str">
        <f>PT.anaer_lagoon!F367</f>
        <v>kg/head/year</v>
      </c>
      <c r="E69" s="279"/>
      <c r="F69" s="87"/>
      <c r="G69" s="2039"/>
      <c r="H69" s="20"/>
      <c r="I69" s="20"/>
      <c r="J69" s="2045"/>
      <c r="K69" s="2045"/>
      <c r="L69" s="2045"/>
      <c r="M69" s="20"/>
      <c r="N69" s="20"/>
      <c r="O69" s="20"/>
      <c r="P69" s="20"/>
      <c r="Q69" s="91"/>
      <c r="R69" s="91" t="str">
        <f>PT.anaer_lagoon!B288</f>
        <v>Distance from storage to field</v>
      </c>
      <c r="S69" s="91"/>
      <c r="T69" s="1439">
        <f>PT.anaer_lagoon!W288</f>
        <v>2</v>
      </c>
      <c r="U69" s="1465" t="str">
        <f>PT.anaer_lagoon!F288</f>
        <v>miles</v>
      </c>
    </row>
    <row r="70" spans="2:21" ht="14.4" x14ac:dyDescent="0.3">
      <c r="B70" s="91" t="str">
        <f>PT.anaer_lagoon!B368</f>
        <v>Total K2O accumulated in sludge</v>
      </c>
      <c r="C70" s="1878">
        <f>PT.anaer_lagoon!W368</f>
        <v>2.9894138749999994</v>
      </c>
      <c r="D70" s="91" t="str">
        <f>PT.anaer_lagoon!F368</f>
        <v>kg/head/year</v>
      </c>
      <c r="E70" s="279"/>
      <c r="F70" s="87"/>
      <c r="G70" s="2039"/>
      <c r="H70" s="20"/>
      <c r="I70" s="20"/>
      <c r="J70" s="20"/>
      <c r="K70" s="20"/>
      <c r="L70" s="20"/>
      <c r="M70" s="20"/>
      <c r="N70" s="20"/>
      <c r="O70" s="20"/>
      <c r="P70" s="20"/>
      <c r="Q70" s="91"/>
      <c r="R70" s="91" t="str">
        <f>PT.anaer_lagoon!B289</f>
        <v>Fuel needed for tractor for pulling hose reel and applicator</v>
      </c>
      <c r="S70" s="91"/>
      <c r="T70" s="1439">
        <f>PT.anaer_lagoon!W289</f>
        <v>25.52</v>
      </c>
      <c r="U70" s="1465" t="str">
        <f>PT.anaer_lagoon!F289</f>
        <v>gal/hr</v>
      </c>
    </row>
    <row r="71" spans="2:21" ht="14.4" x14ac:dyDescent="0.3">
      <c r="B71" s="1668" t="s">
        <v>5760</v>
      </c>
      <c r="C71" s="1680"/>
      <c r="D71" s="1815"/>
      <c r="E71" s="279"/>
      <c r="F71" s="87"/>
      <c r="G71" s="2039"/>
      <c r="H71" s="20"/>
      <c r="I71" s="20"/>
      <c r="J71" s="20"/>
      <c r="K71" s="20"/>
      <c r="L71" s="20"/>
      <c r="M71" s="20"/>
      <c r="N71" s="20"/>
      <c r="O71" s="20"/>
      <c r="P71" s="20"/>
      <c r="Q71" s="91"/>
      <c r="R71" s="91" t="str">
        <f>PT.anaer_lagoon!B290</f>
        <v>Fuel needed for support tractor with hose pulley</v>
      </c>
      <c r="S71" s="91"/>
      <c r="T71" s="1439">
        <f>PT.anaer_lagoon!W290</f>
        <v>14.959999999999999</v>
      </c>
      <c r="U71" s="1465" t="str">
        <f>PT.anaer_lagoon!F290</f>
        <v>gal/hr</v>
      </c>
    </row>
    <row r="72" spans="2:21" ht="14.4" x14ac:dyDescent="0.3">
      <c r="B72" s="91" t="str">
        <f>PT.anaer_lagoon!B370</f>
        <v>Excess N from liquids</v>
      </c>
      <c r="C72" s="1878">
        <f>PT.anaer_lagoon!W370</f>
        <v>0</v>
      </c>
      <c r="D72" s="91" t="str">
        <f>PT.anaer_lagoon!F370</f>
        <v>kg/head/year</v>
      </c>
      <c r="E72" s="279"/>
      <c r="F72" s="87"/>
      <c r="G72" s="2039"/>
      <c r="H72" s="20"/>
      <c r="I72" s="20"/>
      <c r="J72" s="20"/>
      <c r="K72" s="20"/>
      <c r="L72" s="20"/>
      <c r="M72" s="20"/>
      <c r="N72" s="20"/>
      <c r="O72" s="20"/>
      <c r="P72" s="20"/>
      <c r="Q72" s="91"/>
      <c r="R72" s="91" t="str">
        <f>PT.anaer_lagoon!B291</f>
        <v>Diesel powered pump(s), size</v>
      </c>
      <c r="S72" s="91"/>
      <c r="T72" s="1439">
        <f>PT.anaer_lagoon!W291</f>
        <v>3000</v>
      </c>
      <c r="U72" s="1465" t="str">
        <f>PT.anaer_lagoon!F291</f>
        <v>gal/min</v>
      </c>
    </row>
    <row r="73" spans="2:21" ht="14.4" x14ac:dyDescent="0.3">
      <c r="B73" s="91" t="str">
        <f>PT.anaer_lagoon!B371</f>
        <v>Excess P2O5 from liquids</v>
      </c>
      <c r="C73" s="1878">
        <f>PT.anaer_lagoon!W371</f>
        <v>1.9611927547661674</v>
      </c>
      <c r="D73" s="91" t="str">
        <f>PT.anaer_lagoon!F371</f>
        <v>kg/head/year</v>
      </c>
      <c r="E73" s="279"/>
      <c r="F73" s="87"/>
      <c r="G73" s="2039"/>
      <c r="H73" s="20"/>
      <c r="I73" s="20"/>
      <c r="J73" s="20"/>
      <c r="K73" s="20"/>
      <c r="L73" s="20"/>
      <c r="M73" s="20"/>
      <c r="N73" s="20"/>
      <c r="O73" s="20"/>
      <c r="P73" s="20"/>
      <c r="Q73" s="91"/>
      <c r="R73" s="91" t="str">
        <f>PT.anaer_lagoon!B292</f>
        <v>Number of diesel powered lead pumps needed</v>
      </c>
      <c r="S73" s="91"/>
      <c r="T73" s="1439">
        <f>PT.anaer_lagoon!W292</f>
        <v>1</v>
      </c>
      <c r="U73" s="1465" t="str">
        <f>PT.anaer_lagoon!F292</f>
        <v>quantity</v>
      </c>
    </row>
    <row r="74" spans="2:21" ht="14.4" x14ac:dyDescent="0.3">
      <c r="B74" s="91" t="str">
        <f>PT.anaer_lagoon!B372</f>
        <v>Excess K2O from liquids</v>
      </c>
      <c r="C74" s="1878">
        <f>PT.anaer_lagoon!W372</f>
        <v>3.0811345092220215</v>
      </c>
      <c r="D74" s="91" t="str">
        <f>PT.anaer_lagoon!F372</f>
        <v>kg/head/year</v>
      </c>
      <c r="E74" s="279"/>
      <c r="F74" s="87"/>
      <c r="G74" s="2044"/>
      <c r="H74" s="1945"/>
      <c r="I74" s="20"/>
      <c r="J74" s="20"/>
      <c r="K74" s="2049"/>
      <c r="L74" s="2049"/>
      <c r="M74" s="20"/>
      <c r="N74" s="20"/>
      <c r="O74" s="20"/>
      <c r="P74" s="20"/>
      <c r="Q74" s="91"/>
      <c r="R74" s="91" t="str">
        <f>PT.anaer_lagoon!B293</f>
        <v>Number of diesel powered agitation trailers needed</v>
      </c>
      <c r="S74" s="91"/>
      <c r="T74" s="1439">
        <f>PT.anaer_lagoon!W293</f>
        <v>1</v>
      </c>
      <c r="U74" s="1465" t="str">
        <f>PT.anaer_lagoon!F293</f>
        <v>quantity</v>
      </c>
    </row>
    <row r="75" spans="2:21" ht="14.4" x14ac:dyDescent="0.3">
      <c r="B75" s="1668" t="s">
        <v>6439</v>
      </c>
      <c r="C75" s="1680"/>
      <c r="D75" s="1815"/>
      <c r="E75" s="20"/>
      <c r="F75" s="87"/>
      <c r="G75" s="2044"/>
      <c r="H75" s="1945"/>
      <c r="I75" s="20"/>
      <c r="J75" s="20"/>
      <c r="K75" s="20"/>
      <c r="L75" s="20"/>
      <c r="M75" s="20"/>
      <c r="N75" s="20"/>
      <c r="O75" s="20"/>
      <c r="P75" s="20"/>
      <c r="Q75" s="91"/>
      <c r="R75" s="91" t="str">
        <f>PT.anaer_lagoon!B294</f>
        <v>Number of booster pumps needed</v>
      </c>
      <c r="S75" s="91"/>
      <c r="T75" s="1439">
        <f>PT.anaer_lagoon!W294</f>
        <v>1</v>
      </c>
      <c r="U75" s="1465" t="str">
        <f>PT.anaer_lagoon!F294</f>
        <v>quantity</v>
      </c>
    </row>
    <row r="76" spans="2:21" ht="14.4" x14ac:dyDescent="0.3">
      <c r="B76" s="91" t="str">
        <f>PT.anaer_lagoon!B374</f>
        <v>Excess N from sludge</v>
      </c>
      <c r="C76" s="1878">
        <f>PT.anaer_lagoon!W374</f>
        <v>0</v>
      </c>
      <c r="D76" s="91" t="str">
        <f>PT.anaer_lagoon!F374</f>
        <v>kg/head/year</v>
      </c>
      <c r="E76" s="279"/>
      <c r="F76" s="87"/>
      <c r="G76" s="2044"/>
      <c r="H76" s="1945"/>
      <c r="I76" s="20"/>
      <c r="J76" s="84"/>
      <c r="K76" s="20"/>
      <c r="L76" s="20"/>
      <c r="M76" s="20"/>
      <c r="N76" s="20"/>
      <c r="O76" s="20"/>
      <c r="P76" s="20"/>
      <c r="Q76" s="91"/>
      <c r="R76" s="91" t="str">
        <f>PT.anaer_lagoon!B295</f>
        <v>Operation time for pumping</v>
      </c>
      <c r="S76" s="91"/>
      <c r="T76" s="1439">
        <f>PT.anaer_lagoon!W295</f>
        <v>0.17408092718255735</v>
      </c>
      <c r="U76" s="1465" t="str">
        <f>PT.anaer_lagoon!F295</f>
        <v>hr</v>
      </c>
    </row>
    <row r="77" spans="2:21" ht="24.75" customHeight="1" x14ac:dyDescent="0.3">
      <c r="B77" s="91" t="str">
        <f>PT.anaer_lagoon!B375</f>
        <v>Excess P2O5 from sludge</v>
      </c>
      <c r="C77" s="1878">
        <f>PT.anaer_lagoon!W375</f>
        <v>2.2804563535321107</v>
      </c>
      <c r="D77" s="91" t="str">
        <f>PT.anaer_lagoon!F375</f>
        <v>kg/head/year</v>
      </c>
      <c r="E77" s="279"/>
      <c r="F77" s="87"/>
      <c r="G77" s="2044"/>
      <c r="H77" s="1945"/>
      <c r="I77" s="20"/>
      <c r="J77" s="1953"/>
      <c r="K77" s="1953"/>
      <c r="L77" s="1953"/>
      <c r="M77" s="1953"/>
      <c r="N77" s="20"/>
      <c r="O77" s="20"/>
      <c r="P77" s="20"/>
      <c r="Q77" s="91"/>
      <c r="R77" s="91" t="str">
        <f>PT.anaer_lagoon!B296</f>
        <v>Fuel needed for diesel powered lead pump</v>
      </c>
      <c r="S77" s="91"/>
      <c r="T77" s="1439">
        <f>PT.anaer_lagoon!W296</f>
        <v>3.1334566892860325</v>
      </c>
      <c r="U77" s="1465" t="str">
        <f>PT.anaer_lagoon!F296</f>
        <v>gal/event</v>
      </c>
    </row>
    <row r="78" spans="2:21" ht="24" customHeight="1" x14ac:dyDescent="0.3">
      <c r="B78" s="91" t="str">
        <f>PT.anaer_lagoon!B376</f>
        <v>Excess K2O from sludge</v>
      </c>
      <c r="C78" s="1878">
        <f>PT.anaer_lagoon!W376</f>
        <v>2.1973735697312931</v>
      </c>
      <c r="D78" s="91" t="str">
        <f>PT.anaer_lagoon!F376</f>
        <v>kg/head/year</v>
      </c>
      <c r="E78" s="20"/>
      <c r="F78" s="87"/>
      <c r="G78" s="2044"/>
      <c r="H78" s="1945"/>
      <c r="I78" s="20"/>
      <c r="J78" s="1953"/>
      <c r="K78" s="1953"/>
      <c r="L78" s="1953"/>
      <c r="M78" s="1953"/>
      <c r="N78" s="20"/>
      <c r="O78" s="20"/>
      <c r="P78" s="20"/>
      <c r="Q78" s="91"/>
      <c r="R78" s="91" t="str">
        <f>PT.anaer_lagoon!B297</f>
        <v>Fuel needed for diesel powered booster pump</v>
      </c>
      <c r="S78" s="91"/>
      <c r="T78" s="1439">
        <f>PT.anaer_lagoon!W297</f>
        <v>1.3056069538691801</v>
      </c>
      <c r="U78" s="1465" t="str">
        <f>PT.anaer_lagoon!F297</f>
        <v>gal/event</v>
      </c>
    </row>
    <row r="79" spans="2:21" ht="21" customHeight="1" x14ac:dyDescent="0.3">
      <c r="B79" s="1611"/>
      <c r="C79" s="2252"/>
      <c r="D79" s="1942"/>
      <c r="E79" s="20"/>
      <c r="F79" s="87"/>
      <c r="G79" s="2044"/>
      <c r="H79" s="1945"/>
      <c r="I79" s="20"/>
      <c r="J79" s="1954"/>
      <c r="K79" s="1955"/>
      <c r="L79" s="1955"/>
      <c r="M79" s="1955"/>
      <c r="N79" s="1955"/>
      <c r="O79" s="1914"/>
      <c r="P79" s="20"/>
      <c r="Q79" s="91"/>
      <c r="R79" s="91" t="str">
        <f>PT.anaer_lagoon!B298</f>
        <v>Fuel needed for diesel powered agitation trailer</v>
      </c>
      <c r="S79" s="91"/>
      <c r="T79" s="1439">
        <f>PT.anaer_lagoon!W298</f>
        <v>1.044485563095344</v>
      </c>
      <c r="U79" s="1465" t="str">
        <f>PT.anaer_lagoon!F298</f>
        <v>gal/event</v>
      </c>
    </row>
    <row r="80" spans="2:21" ht="18.75" customHeight="1" x14ac:dyDescent="0.3">
      <c r="B80" s="90"/>
      <c r="C80" s="1848"/>
      <c r="D80" s="90"/>
      <c r="E80" s="20"/>
      <c r="F80" s="20"/>
      <c r="G80" s="20"/>
      <c r="H80" s="20"/>
      <c r="I80" s="20"/>
      <c r="J80" s="1955"/>
      <c r="K80" s="1956"/>
      <c r="L80" s="1954"/>
      <c r="M80" s="20"/>
      <c r="N80" s="20"/>
      <c r="O80" s="20"/>
      <c r="P80" s="20"/>
      <c r="Q80" s="91"/>
      <c r="R80" s="91" t="str">
        <f>PT.anaer_lagoon!B299</f>
        <v>Fuel needed for pickup truck</v>
      </c>
      <c r="S80" s="91"/>
      <c r="T80" s="1439">
        <f>PT.anaer_lagoon!W299</f>
        <v>0.15667283446430161</v>
      </c>
      <c r="U80" s="1465" t="str">
        <f>PT.anaer_lagoon!F299</f>
        <v>gal/event</v>
      </c>
    </row>
    <row r="81" spans="2:21" ht="28.5" customHeight="1" x14ac:dyDescent="0.3">
      <c r="B81" s="90"/>
      <c r="C81" s="1848"/>
      <c r="D81" s="90"/>
      <c r="E81" s="2040"/>
      <c r="F81" s="2040"/>
      <c r="G81" s="2040"/>
      <c r="H81" s="2040"/>
      <c r="I81" s="20"/>
      <c r="J81" s="1957"/>
      <c r="K81" s="1957"/>
      <c r="L81" s="2037"/>
      <c r="M81" s="1957"/>
      <c r="N81" s="2038"/>
      <c r="O81" s="20"/>
      <c r="P81" s="20"/>
      <c r="Q81" s="91"/>
      <c r="R81" s="91" t="str">
        <f>PT.anaer_lagoon!B300</f>
        <v>Excess volume, lagoon liquid manure</v>
      </c>
      <c r="S81" s="91"/>
      <c r="T81" s="1439">
        <f>PT.anaer_lagoon!W300</f>
        <v>0</v>
      </c>
      <c r="U81" s="1465" t="str">
        <f>PT.anaer_lagoon!F300</f>
        <v>1000 gal/year</v>
      </c>
    </row>
    <row r="82" spans="2:21" ht="25.5" customHeight="1" x14ac:dyDescent="0.3">
      <c r="B82" s="1668" t="s">
        <v>5271</v>
      </c>
      <c r="C82" s="1680"/>
      <c r="D82" s="1815"/>
      <c r="E82" s="20"/>
      <c r="F82" s="1960"/>
      <c r="G82" s="2039"/>
      <c r="H82" s="20"/>
      <c r="I82" s="20"/>
      <c r="J82" s="1954"/>
      <c r="K82" s="1954"/>
      <c r="L82" s="1959"/>
      <c r="M82" s="1959"/>
      <c r="N82" s="1998"/>
      <c r="O82" s="20"/>
      <c r="P82" s="20"/>
      <c r="Q82" s="91"/>
      <c r="R82" s="91" t="str">
        <f>PT.anaer_lagoon!B301</f>
        <v>Excess volume, lagoon sludge manure</v>
      </c>
      <c r="S82" s="91"/>
      <c r="T82" s="1439">
        <f>PT.anaer_lagoon!W301</f>
        <v>52.998658144977185</v>
      </c>
      <c r="U82" s="1465" t="str">
        <f>PT.anaer_lagoon!F301</f>
        <v>1000 gal/event</v>
      </c>
    </row>
    <row r="83" spans="2:21" ht="14.4" x14ac:dyDescent="0.3">
      <c r="B83" s="91" t="str">
        <f>PT.anaer_digest!B94</f>
        <v>CH4 from anaerobic digesters</v>
      </c>
      <c r="C83" s="2253">
        <f>PT.anaer_digest!H94</f>
        <v>0.72284023144655962</v>
      </c>
      <c r="D83" s="91" t="str">
        <f>PT.anaer_digest!C94</f>
        <v>kg/head/year</v>
      </c>
      <c r="E83" s="20"/>
      <c r="F83" s="2054"/>
      <c r="G83" s="1998"/>
      <c r="H83" s="1945"/>
      <c r="I83" s="20"/>
      <c r="J83" s="1954"/>
      <c r="K83" s="1954"/>
      <c r="L83" s="1959"/>
      <c r="M83" s="1959"/>
      <c r="N83" s="1998"/>
      <c r="O83" s="20"/>
      <c r="P83" s="20"/>
      <c r="Q83" s="91"/>
      <c r="R83" s="91" t="str">
        <f>PT.anaer_lagoon!B302</f>
        <v>Fertilizer value for on-farm use, liquids</v>
      </c>
      <c r="S83" s="91"/>
      <c r="T83" s="1439">
        <f>PT.anaer_lagoon!W302</f>
        <v>5222.6567480257117</v>
      </c>
      <c r="U83" s="1465" t="str">
        <f>PT.anaer_lagoon!F302</f>
        <v>$/year</v>
      </c>
    </row>
    <row r="84" spans="2:21" ht="28.5" customHeight="1" x14ac:dyDescent="0.3">
      <c r="B84" s="91" t="str">
        <f>PT.anaer_digest!B95</f>
        <v>NH3 from anaerobic digester</v>
      </c>
      <c r="C84" s="2253">
        <f>PT.anaer_digest!H95</f>
        <v>1.1379136451093792</v>
      </c>
      <c r="D84" s="91" t="str">
        <f>PT.anaer_digest!C95</f>
        <v>kg/head/year</v>
      </c>
      <c r="E84" s="20"/>
      <c r="F84" s="2054"/>
      <c r="G84" s="1998"/>
      <c r="H84" s="1945"/>
      <c r="I84" s="20"/>
      <c r="J84" s="1955"/>
      <c r="K84" s="1954"/>
      <c r="L84" s="1959"/>
      <c r="M84" s="1959"/>
      <c r="N84" s="1998"/>
      <c r="O84" s="20"/>
      <c r="P84" s="20"/>
      <c r="Q84" s="91"/>
      <c r="R84" s="91" t="str">
        <f>PT.anaer_lagoon!B303</f>
        <v>Fertilizer value for on-farm use, sludge</v>
      </c>
      <c r="S84" s="91"/>
      <c r="T84" s="1439">
        <f>PT.anaer_lagoon!W303</f>
        <v>12065.004660363613</v>
      </c>
      <c r="U84" s="1465" t="str">
        <f>PT.anaer_lagoon!F303</f>
        <v>$/event</v>
      </c>
    </row>
    <row r="85" spans="2:21" ht="13.5" customHeight="1" x14ac:dyDescent="0.3">
      <c r="B85" s="91" t="str">
        <f>PT.anaer_digest!B96</f>
        <v>Direct N2O from anaerobic digester</v>
      </c>
      <c r="C85" s="2253">
        <f>PT.anaer_digest!H96</f>
        <v>1.4304940015399028E-2</v>
      </c>
      <c r="D85" s="91" t="str">
        <f>PT.anaer_digest!C96</f>
        <v>kg/head/year</v>
      </c>
    </row>
    <row r="86" spans="2:21" ht="13.5" customHeight="1" x14ac:dyDescent="0.3">
      <c r="B86" s="91" t="str">
        <f>PT.anaer_digest!B97</f>
        <v>Indirect N2O from anaerobic digester</v>
      </c>
      <c r="C86" s="2253">
        <f>PT.anaer_digest!H97</f>
        <v>2.5033645026948298E-2</v>
      </c>
      <c r="D86" s="91" t="str">
        <f>PT.anaer_digest!C97</f>
        <v>kg/head/year</v>
      </c>
      <c r="Q86" s="118" t="s">
        <v>7175</v>
      </c>
      <c r="R86" s="1293"/>
      <c r="S86" s="1293"/>
      <c r="T86" s="1293"/>
      <c r="U86" s="1293"/>
    </row>
    <row r="87" spans="2:21" ht="13.5" customHeight="1" x14ac:dyDescent="0.3">
      <c r="B87" s="91" t="str">
        <f>PT.anaer_digest!B98</f>
        <v>CO2 from anaerobic digesters</v>
      </c>
      <c r="C87" s="2253">
        <f>PT.anaer_digest!H98</f>
        <v>36.27284479979874</v>
      </c>
      <c r="D87" s="91" t="str">
        <f>PT.anaer_digest!C98</f>
        <v>kg/head/year</v>
      </c>
      <c r="Q87" s="49"/>
      <c r="R87" s="18" t="s">
        <v>7176</v>
      </c>
      <c r="S87" s="49"/>
      <c r="T87" s="2126">
        <f>VLOOKUP("Sc 7a",'LCIA Summary output'!P:T,5,FALSE)</f>
        <v>0.59870568071677921</v>
      </c>
      <c r="U87" s="18" t="s">
        <v>7177</v>
      </c>
    </row>
    <row r="88" spans="2:21" ht="13.5" customHeight="1" x14ac:dyDescent="0.3">
      <c r="B88" s="18" t="str">
        <f>PT.shallow_scrape!B123</f>
        <v>CH4 from shallow scrape</v>
      </c>
      <c r="C88" s="1380">
        <f>PT.shallow_scrape!G123</f>
        <v>1.5236605695921037</v>
      </c>
      <c r="D88" s="1360" t="str">
        <f>PT.shallow_scrape!C123</f>
        <v>kg/head/year</v>
      </c>
      <c r="Q88" s="49"/>
      <c r="R88" s="18" t="s">
        <v>7178</v>
      </c>
      <c r="S88" s="49"/>
      <c r="T88" s="2126">
        <f>VLOOKUP("Sc 7b",'LCIA Summary output'!P:T,5,FALSE)</f>
        <v>0.59671709068499101</v>
      </c>
      <c r="U88" s="18" t="s">
        <v>7177</v>
      </c>
    </row>
    <row r="89" spans="2:21" ht="13.5" customHeight="1" x14ac:dyDescent="0.3">
      <c r="B89" s="18" t="str">
        <f>PT.shallow_scrape!B124</f>
        <v>NH3 from shallow scrape</v>
      </c>
      <c r="C89" s="1380">
        <f>PT.shallow_scrape!G124</f>
        <v>3.7960656999999998</v>
      </c>
      <c r="D89" s="1360" t="str">
        <f>PT.shallow_scrape!C124</f>
        <v>kg/head/year</v>
      </c>
      <c r="Q89" s="49"/>
      <c r="R89" s="18" t="s">
        <v>7179</v>
      </c>
      <c r="S89" s="49"/>
      <c r="T89" s="2127">
        <f>T87*UDV.animal.total</f>
        <v>299.35284035838959</v>
      </c>
      <c r="U89" s="49" t="s">
        <v>7180</v>
      </c>
    </row>
    <row r="90" spans="2:21" ht="13.5" customHeight="1" x14ac:dyDescent="0.3">
      <c r="B90" s="18" t="str">
        <f>PT.shallow_scrape!B125</f>
        <v>Direct N2O from shallow scrape</v>
      </c>
      <c r="C90" s="1380">
        <f>PT.shallow_scrape!G125</f>
        <v>5.9651376409799999E-2</v>
      </c>
      <c r="D90" s="1360" t="str">
        <f>PT.shallow_scrape!C125</f>
        <v>kg/head/year</v>
      </c>
      <c r="Q90" s="49"/>
      <c r="R90" s="18" t="s">
        <v>7181</v>
      </c>
      <c r="S90" s="49"/>
      <c r="T90" s="2127">
        <f>T88*UDV.animal.total</f>
        <v>298.35854534249552</v>
      </c>
      <c r="U90" s="49" t="s">
        <v>7180</v>
      </c>
    </row>
    <row r="91" spans="2:21" ht="13.5" customHeight="1" x14ac:dyDescent="0.3">
      <c r="B91" s="18" t="str">
        <f>PT.shallow_scrape!B126</f>
        <v>Indirect N2O from shallow scrape</v>
      </c>
      <c r="C91" s="1380">
        <f>PT.shallow_scrape!G126</f>
        <v>8.3511926973719994E-2</v>
      </c>
      <c r="D91" s="1360" t="str">
        <f>PT.shallow_scrape!C126</f>
        <v>kg/head/year</v>
      </c>
      <c r="R91"/>
      <c r="U91" s="42"/>
    </row>
    <row r="92" spans="2:21" ht="13.5" customHeight="1" x14ac:dyDescent="0.3">
      <c r="B92" s="49" t="str">
        <f>PT.anaer_lagoon!B378</f>
        <v>CH4 from lagoon</v>
      </c>
      <c r="C92" s="1209">
        <f>PT.anaer_lagoon!W378</f>
        <v>15.379579392479993</v>
      </c>
      <c r="D92" s="91" t="str">
        <f>PT.anaer_lagoon!F378</f>
        <v>kg/head/year</v>
      </c>
      <c r="Q92" s="76" t="s">
        <v>7182</v>
      </c>
      <c r="R92" s="18" t="s">
        <v>7183</v>
      </c>
      <c r="S92" s="49"/>
      <c r="T92" s="2128">
        <f>MAX(0, INDEX(EconIntermediate!$C$25:$BV$25, MATCH(UDV.u.farm_baseline, EconIntermediate!$C$3:$BV$3,0))-T89)</f>
        <v>0</v>
      </c>
      <c r="U92" s="49" t="s">
        <v>7180</v>
      </c>
    </row>
    <row r="93" spans="2:21" ht="13.5" customHeight="1" x14ac:dyDescent="0.3">
      <c r="B93" s="49" t="str">
        <f>PT.anaer_lagoon!B379</f>
        <v>NH3 from lagoon</v>
      </c>
      <c r="C93" s="1209">
        <f>PT.anaer_lagoon!W379</f>
        <v>7.0156855944259116</v>
      </c>
      <c r="D93" s="91" t="str">
        <f>PT.anaer_lagoon!F379</f>
        <v>kg/head/year</v>
      </c>
      <c r="Q93" s="49"/>
      <c r="R93" s="18" t="s">
        <v>7184</v>
      </c>
      <c r="S93" s="49"/>
      <c r="T93" s="2128">
        <f>MAX(0, INDEX(EconIntermediate!$C$25:$BV$25, MATCH(UDV.u.farm_baseline, EconIntermediate!$C$3:$BV$3,0))-T90)</f>
        <v>0</v>
      </c>
      <c r="U93" s="49" t="s">
        <v>7180</v>
      </c>
    </row>
    <row r="94" spans="2:21" ht="13.5" customHeight="1" x14ac:dyDescent="0.3">
      <c r="B94" s="49" t="str">
        <f>PT.anaer_lagoon!B380</f>
        <v>N2O direct from lagoon</v>
      </c>
      <c r="C94" s="1209">
        <f>PT.anaer_lagoon!W380</f>
        <v>0</v>
      </c>
      <c r="D94" s="91" t="str">
        <f>PT.anaer_lagoon!F380</f>
        <v>kg/head/year</v>
      </c>
    </row>
    <row r="95" spans="2:21" ht="13.5" customHeight="1" x14ac:dyDescent="0.3">
      <c r="B95" s="49" t="str">
        <f>PT.anaer_lagoon!B381</f>
        <v>N2O indirect from lagoon</v>
      </c>
      <c r="C95" s="1209">
        <f>PT.anaer_lagoon!W381</f>
        <v>0.15434227680313228</v>
      </c>
      <c r="D95" s="91" t="str">
        <f>PT.anaer_lagoon!F381</f>
        <v>kg/head/year</v>
      </c>
      <c r="Q95" s="49" t="s">
        <v>5925</v>
      </c>
      <c r="R95" s="18" t="s">
        <v>5724</v>
      </c>
      <c r="S95" s="49"/>
      <c r="T95" s="1360">
        <f>PT.shallow_scrape!G16</f>
        <v>20.256141166953888</v>
      </c>
      <c r="U95" s="49" t="s">
        <v>2479</v>
      </c>
    </row>
    <row r="186" spans="18:18" ht="13.5" customHeight="1" x14ac:dyDescent="0.3">
      <c r="R186"/>
    </row>
    <row r="187" spans="18:18" ht="13.5" customHeight="1" x14ac:dyDescent="0.3">
      <c r="R187"/>
    </row>
    <row r="188" spans="18:18" ht="13.5" customHeight="1" x14ac:dyDescent="0.3">
      <c r="R188"/>
    </row>
    <row r="189" spans="18:18" ht="13.5" customHeight="1" x14ac:dyDescent="0.3">
      <c r="R189"/>
    </row>
    <row r="190" spans="18:18" ht="13.5" customHeight="1" x14ac:dyDescent="0.3">
      <c r="R190"/>
    </row>
    <row r="191" spans="18:18" ht="13.5" customHeight="1" x14ac:dyDescent="0.3">
      <c r="R191"/>
    </row>
    <row r="192" spans="18:18" ht="13.5" customHeight="1" x14ac:dyDescent="0.3">
      <c r="R192"/>
    </row>
    <row r="193" spans="18:18" ht="13.5" customHeight="1" x14ac:dyDescent="0.3">
      <c r="R193"/>
    </row>
    <row r="194" spans="18:18" ht="13.5" customHeight="1" x14ac:dyDescent="0.3">
      <c r="R194"/>
    </row>
    <row r="195" spans="18:18" ht="13.5" customHeight="1" x14ac:dyDescent="0.3">
      <c r="R195"/>
    </row>
    <row r="196" spans="18:18" ht="13.5" customHeight="1" x14ac:dyDescent="0.3">
      <c r="R196"/>
    </row>
    <row r="197" spans="18:18" ht="13.5" customHeight="1" x14ac:dyDescent="0.3">
      <c r="R197"/>
    </row>
    <row r="198" spans="18:18" ht="13.5" customHeight="1" x14ac:dyDescent="0.3">
      <c r="R198"/>
    </row>
    <row r="199" spans="18:18" ht="13.5" customHeight="1" x14ac:dyDescent="0.3">
      <c r="R199"/>
    </row>
    <row r="200" spans="18:18" ht="13.5" customHeight="1" x14ac:dyDescent="0.3">
      <c r="R200"/>
    </row>
    <row r="201" spans="18:18" ht="13.5" customHeight="1" x14ac:dyDescent="0.3">
      <c r="R201"/>
    </row>
    <row r="298" spans="1:18" ht="15" thickBot="1" x14ac:dyDescent="0.35">
      <c r="A298" s="137"/>
      <c r="B298" s="137"/>
      <c r="C298" s="137"/>
      <c r="D298" s="2093"/>
      <c r="E298" s="2093"/>
      <c r="F298" s="2094"/>
      <c r="G298" s="2095"/>
      <c r="H298" s="2096"/>
      <c r="I298" s="137"/>
      <c r="J298" s="137"/>
      <c r="K298" s="2095"/>
      <c r="L298" s="2095"/>
      <c r="M298" s="137"/>
      <c r="N298" s="137"/>
      <c r="O298" s="137"/>
      <c r="P298" s="137"/>
      <c r="Q298" s="137"/>
      <c r="R298" s="2097"/>
    </row>
    <row r="299" spans="1:18" ht="14.4" x14ac:dyDescent="0.3"/>
    <row r="300" spans="1:18" ht="14.4" x14ac:dyDescent="0.3">
      <c r="B300" s="82" t="s">
        <v>6938</v>
      </c>
    </row>
    <row r="301" spans="1:18" ht="14.4" x14ac:dyDescent="0.3">
      <c r="B301" t="s">
        <v>5209</v>
      </c>
    </row>
    <row r="302" spans="1:18" ht="14.4" x14ac:dyDescent="0.3">
      <c r="B302" t="s">
        <v>6289</v>
      </c>
    </row>
    <row r="303" spans="1:18" ht="14.4" x14ac:dyDescent="0.3">
      <c r="B303" t="s">
        <v>5219</v>
      </c>
    </row>
    <row r="304" spans="1:18" ht="14.4" x14ac:dyDescent="0.3">
      <c r="B304" t="s">
        <v>3086</v>
      </c>
    </row>
    <row r="305" spans="1:18" ht="14.4" x14ac:dyDescent="0.3">
      <c r="B305" t="s">
        <v>5210</v>
      </c>
    </row>
    <row r="306" spans="1:18" ht="14.4" x14ac:dyDescent="0.3">
      <c r="B306" t="s">
        <v>7074</v>
      </c>
      <c r="C306" t="s">
        <v>5205</v>
      </c>
    </row>
    <row r="307" spans="1:18" ht="15" thickBot="1" x14ac:dyDescent="0.35">
      <c r="A307" s="137"/>
      <c r="B307" s="137"/>
      <c r="C307" s="137"/>
      <c r="D307" s="2093"/>
      <c r="E307" s="2093"/>
      <c r="F307" s="2094"/>
      <c r="G307" s="2095"/>
      <c r="H307" s="2096"/>
      <c r="I307" s="137"/>
      <c r="J307" s="137"/>
      <c r="K307" s="2095"/>
      <c r="L307" s="2095"/>
      <c r="M307" s="137"/>
      <c r="N307" s="137"/>
      <c r="O307" s="137"/>
      <c r="P307" s="137"/>
      <c r="Q307" s="137"/>
      <c r="R307" s="2097"/>
    </row>
    <row r="308" spans="1:18" ht="14.4" x14ac:dyDescent="0.3">
      <c r="D308"/>
      <c r="E308"/>
      <c r="F308"/>
      <c r="G308"/>
      <c r="H308"/>
      <c r="K308"/>
      <c r="L308"/>
    </row>
    <row r="309" spans="1:18" ht="18" x14ac:dyDescent="0.35">
      <c r="B309" s="138" t="s">
        <v>6941</v>
      </c>
      <c r="C309" s="34"/>
      <c r="D309"/>
      <c r="E309"/>
      <c r="F309"/>
      <c r="G309"/>
      <c r="H309" s="355"/>
      <c r="K309"/>
      <c r="L309"/>
    </row>
    <row r="310" spans="1:18" ht="14.4" x14ac:dyDescent="0.3">
      <c r="D310"/>
      <c r="E310"/>
      <c r="F310"/>
      <c r="G310"/>
      <c r="H310"/>
      <c r="K310"/>
      <c r="L310"/>
    </row>
    <row r="311" spans="1:18" ht="14.4" x14ac:dyDescent="0.3">
      <c r="B311" s="139" t="s">
        <v>6942</v>
      </c>
      <c r="C311" s="140"/>
      <c r="D311" s="140"/>
      <c r="E311" s="139"/>
      <c r="F311" s="141"/>
      <c r="G311"/>
      <c r="H311"/>
      <c r="K311"/>
      <c r="L311"/>
    </row>
    <row r="312" spans="1:18" ht="14.4" x14ac:dyDescent="0.3">
      <c r="B312" s="143" t="s">
        <v>2663</v>
      </c>
      <c r="C312" s="144" t="s">
        <v>565</v>
      </c>
      <c r="D312" s="144" t="s">
        <v>6943</v>
      </c>
      <c r="E312" s="143" t="s">
        <v>565</v>
      </c>
      <c r="F312" s="145" t="s">
        <v>6944</v>
      </c>
      <c r="G312"/>
      <c r="H312"/>
      <c r="K312"/>
      <c r="L312"/>
    </row>
    <row r="313" spans="1:18" ht="14.4" x14ac:dyDescent="0.3">
      <c r="A313" t="s">
        <v>6945</v>
      </c>
      <c r="B313" s="149" t="s">
        <v>5724</v>
      </c>
      <c r="C313" s="295">
        <f>VLOOKUP(B313,R5:U304,3,FALSE)</f>
        <v>20.256141166953888</v>
      </c>
      <c r="D313" s="151" t="s">
        <v>2478</v>
      </c>
      <c r="E313" s="359">
        <f>CONVERT(C313,"m^3","ft^3")</f>
        <v>715.3388743744016</v>
      </c>
      <c r="F313" s="151" t="s">
        <v>2479</v>
      </c>
      <c r="G313"/>
      <c r="H313"/>
      <c r="K313"/>
      <c r="L313"/>
    </row>
    <row r="314" spans="1:18" ht="14.4" x14ac:dyDescent="0.3">
      <c r="D314"/>
      <c r="E314"/>
      <c r="F314"/>
      <c r="G314"/>
      <c r="H314"/>
      <c r="K314"/>
      <c r="L314"/>
    </row>
    <row r="315" spans="1:18" s="369" customFormat="1" ht="28.8"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18" ht="14.4" x14ac:dyDescent="0.3">
      <c r="A316" t="s">
        <v>6960</v>
      </c>
      <c r="B316" s="99" t="s">
        <v>6961</v>
      </c>
      <c r="C316" s="153">
        <f>VLOOKUP("Deep and shallow pit constructiona",Econ.Equations!C:E,2,FALSE)*E313^VLOOKUP("Deep and shallow pit constructionb",Econ.Equations!$C:$E,2,FALSE)*E313</f>
        <v>7858.4422870541339</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635.93948316737419</v>
      </c>
      <c r="O316" s="372">
        <f>N316*G316</f>
        <v>635.93948316737419</v>
      </c>
    </row>
    <row r="317" spans="1:18" ht="14.4" x14ac:dyDescent="0.3">
      <c r="B317" s="99"/>
      <c r="D317"/>
      <c r="E317"/>
      <c r="F317"/>
      <c r="G317"/>
      <c r="H317"/>
      <c r="K317"/>
      <c r="L317"/>
      <c r="O317" s="146"/>
    </row>
    <row r="318" spans="1:18" ht="14.4" x14ac:dyDescent="0.3">
      <c r="B318" s="99"/>
      <c r="C318" s="82" t="s">
        <v>6962</v>
      </c>
      <c r="D318" s="82" t="s">
        <v>6963</v>
      </c>
      <c r="E318"/>
      <c r="F318"/>
      <c r="G318"/>
      <c r="H318"/>
      <c r="K318"/>
      <c r="L318"/>
      <c r="O318" s="146"/>
    </row>
    <row r="319" spans="1:18" ht="14.4" x14ac:dyDescent="0.3">
      <c r="A319" t="s">
        <v>6945</v>
      </c>
      <c r="B319" s="99" t="s">
        <v>6964</v>
      </c>
      <c r="C319" s="153">
        <f>SUM(C316:C316)</f>
        <v>7858.4422870541339</v>
      </c>
      <c r="D319" s="158">
        <f>SUMPRODUCT(C316:C316,G316:G316)</f>
        <v>7858.4422870541339</v>
      </c>
      <c r="E319"/>
      <c r="F319"/>
      <c r="G319"/>
      <c r="H319"/>
      <c r="K319"/>
      <c r="L319"/>
      <c r="O319" s="146"/>
    </row>
    <row r="320" spans="1:18" ht="14.4" x14ac:dyDescent="0.3">
      <c r="A320" t="s">
        <v>6945</v>
      </c>
      <c r="B320" s="149" t="s">
        <v>6965</v>
      </c>
      <c r="C320" s="159">
        <f>SUM(N316:N316)</f>
        <v>635.93948316737419</v>
      </c>
      <c r="D320" s="159">
        <f>SUMPRODUCT(N316:N316,G316:G316)</f>
        <v>635.93948316737419</v>
      </c>
      <c r="E320" s="150"/>
      <c r="F320" s="150"/>
      <c r="G320" s="150"/>
      <c r="H320" s="150"/>
      <c r="I320" s="150"/>
      <c r="J320" s="150"/>
      <c r="K320" s="150"/>
      <c r="L320" s="150"/>
      <c r="M320" s="150"/>
      <c r="N320" s="150"/>
      <c r="O320" s="151"/>
    </row>
    <row r="321" spans="1:15" ht="14.4" x14ac:dyDescent="0.3">
      <c r="B321" s="262"/>
      <c r="C321" s="142"/>
      <c r="D321" s="142"/>
      <c r="E321" s="142"/>
      <c r="F321" s="142"/>
      <c r="G321" s="142"/>
      <c r="H321" s="142"/>
      <c r="I321" s="142"/>
      <c r="J321" s="142"/>
      <c r="K321" s="142"/>
      <c r="L321" s="142"/>
      <c r="M321" s="142"/>
      <c r="N321" s="142"/>
      <c r="O321" s="141"/>
    </row>
    <row r="322" spans="1:15" ht="28.8"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row>
    <row r="323" spans="1:15" ht="14.4" x14ac:dyDescent="0.3">
      <c r="B323" s="99" t="s">
        <v>6945</v>
      </c>
      <c r="C323" s="155">
        <f>VLOOKUP("OPEXInsuranceEverythingDefault",Econ.inputsTable!$E$1:$J$213,2,FALSE)</f>
        <v>5.0000000000000001E-3</v>
      </c>
      <c r="D323" s="155">
        <f>VLOOKUP("OPEXRepair and maintenanceBuildings and constructionDefault",Econ.inputsTable!$E$1:$J$503,2,FALSE)</f>
        <v>0.01</v>
      </c>
      <c r="E323"/>
      <c r="F323"/>
      <c r="G323"/>
      <c r="H323"/>
      <c r="K323"/>
      <c r="L323"/>
      <c r="O323" s="157">
        <f>(SUM(C323:D323)*SUMPRODUCT(C316:C316,G316:G316))+SUM(E323,G323,I323,J323,L323,N323)</f>
        <v>117.876634305812</v>
      </c>
    </row>
    <row r="324" spans="1:15" ht="14.4" x14ac:dyDescent="0.3">
      <c r="A324" t="s">
        <v>6945</v>
      </c>
      <c r="B324" s="162" t="s">
        <v>5203</v>
      </c>
      <c r="C324" s="241"/>
      <c r="D324" s="241"/>
      <c r="E324" s="367">
        <f t="shared" ref="E324:O324" si="0">SUM(E323)</f>
        <v>0</v>
      </c>
      <c r="F324" s="537">
        <f t="shared" si="0"/>
        <v>0</v>
      </c>
      <c r="G324" s="367">
        <f t="shared" si="0"/>
        <v>0</v>
      </c>
      <c r="H324" s="537">
        <f t="shared" si="0"/>
        <v>0</v>
      </c>
      <c r="I324" s="367">
        <f t="shared" si="0"/>
        <v>0</v>
      </c>
      <c r="J324" s="367">
        <f t="shared" si="0"/>
        <v>0</v>
      </c>
      <c r="K324" s="537">
        <f t="shared" si="0"/>
        <v>0</v>
      </c>
      <c r="L324" s="367">
        <f t="shared" si="0"/>
        <v>0</v>
      </c>
      <c r="M324" s="537">
        <f t="shared" si="0"/>
        <v>0</v>
      </c>
      <c r="N324" s="367">
        <f t="shared" si="0"/>
        <v>0</v>
      </c>
      <c r="O324" s="169">
        <f t="shared" si="0"/>
        <v>117.876634305812</v>
      </c>
    </row>
    <row r="325" spans="1:15" ht="14.4" x14ac:dyDescent="0.3">
      <c r="B325" s="99"/>
      <c r="C325" s="155"/>
      <c r="D325" s="155"/>
      <c r="E325" s="155"/>
      <c r="F325" s="158"/>
      <c r="G325" s="154"/>
      <c r="H325" s="156"/>
      <c r="I325" s="153"/>
      <c r="K325"/>
      <c r="L325"/>
      <c r="O325" s="146"/>
    </row>
    <row r="326" spans="1:15" ht="14.4" x14ac:dyDescent="0.3">
      <c r="A326" t="s">
        <v>6945</v>
      </c>
      <c r="B326" s="149" t="s">
        <v>6980</v>
      </c>
      <c r="C326" s="159">
        <f>O324</f>
        <v>117.876634305812</v>
      </c>
      <c r="D326" s="150"/>
      <c r="E326" s="150"/>
      <c r="F326" s="150"/>
      <c r="G326" s="150"/>
      <c r="H326" s="150"/>
      <c r="I326" s="150"/>
      <c r="J326" s="150"/>
      <c r="K326" s="150"/>
      <c r="L326" s="150"/>
      <c r="M326" s="150"/>
      <c r="N326" s="150"/>
      <c r="O326" s="151"/>
    </row>
    <row r="327" spans="1:15" ht="15" thickBot="1" x14ac:dyDescent="0.35">
      <c r="A327" s="137"/>
      <c r="B327" s="137"/>
      <c r="C327" s="137"/>
      <c r="D327" s="137"/>
      <c r="E327" s="137"/>
      <c r="F327" s="137"/>
      <c r="G327" s="137"/>
      <c r="H327" s="137"/>
      <c r="I327" s="137"/>
      <c r="J327" s="137"/>
      <c r="K327" s="137"/>
      <c r="L327" s="137"/>
      <c r="M327" s="137"/>
      <c r="N327" s="137"/>
      <c r="O327" s="137"/>
    </row>
    <row r="328" spans="1:15" ht="14.4" x14ac:dyDescent="0.3"/>
    <row r="329" spans="1:15" ht="15.6" x14ac:dyDescent="0.3">
      <c r="A329" s="82" t="s">
        <v>7088</v>
      </c>
      <c r="B329" s="138" t="s">
        <v>7089</v>
      </c>
      <c r="D329"/>
      <c r="E329"/>
      <c r="F329"/>
    </row>
    <row r="330" spans="1:15" ht="14.4" x14ac:dyDescent="0.3">
      <c r="D330"/>
      <c r="E330"/>
      <c r="F330"/>
    </row>
    <row r="331" spans="1:15" ht="14.4" x14ac:dyDescent="0.3">
      <c r="B331" s="139" t="s">
        <v>6942</v>
      </c>
      <c r="C331" s="140"/>
      <c r="D331" s="140"/>
      <c r="E331" s="139" t="s">
        <v>6988</v>
      </c>
      <c r="F331" s="141"/>
    </row>
    <row r="332" spans="1:15" ht="14.4" x14ac:dyDescent="0.3">
      <c r="B332" s="143" t="s">
        <v>2663</v>
      </c>
      <c r="C332" s="144" t="s">
        <v>565</v>
      </c>
      <c r="D332" s="144" t="s">
        <v>6943</v>
      </c>
      <c r="E332" s="143" t="s">
        <v>565</v>
      </c>
      <c r="F332" s="145" t="s">
        <v>6944</v>
      </c>
    </row>
    <row r="333" spans="1:15" ht="14.4" x14ac:dyDescent="0.3">
      <c r="B333" s="99" t="s">
        <v>6925</v>
      </c>
      <c r="C333" s="205">
        <f>VLOOKUP(B333,$R:$U,3,FALSE)</f>
        <v>0.5855973846883441</v>
      </c>
      <c r="D333" t="s">
        <v>7090</v>
      </c>
      <c r="E333" s="164">
        <f>CONVERT(C333,"m^3","gal")*365</f>
        <v>56464.938983569657</v>
      </c>
      <c r="F333" s="146" t="s">
        <v>5324</v>
      </c>
    </row>
    <row r="334" spans="1:15" ht="14.4" x14ac:dyDescent="0.3">
      <c r="B334" s="99" t="s">
        <v>5829</v>
      </c>
      <c r="C334" s="147">
        <f>VLOOKUP(B334,$R:$U,3,FALSE)</f>
        <v>0</v>
      </c>
      <c r="D334" t="s">
        <v>7090</v>
      </c>
      <c r="E334" s="164">
        <f>CONVERT(C334,"m^3","gal")*365</f>
        <v>0</v>
      </c>
      <c r="F334" s="146" t="s">
        <v>5324</v>
      </c>
    </row>
    <row r="335" spans="1:15" ht="14.4" x14ac:dyDescent="0.3">
      <c r="B335" s="99"/>
      <c r="D335" s="146"/>
      <c r="E335"/>
      <c r="F335" s="146"/>
    </row>
    <row r="336" spans="1:15" ht="14.4" x14ac:dyDescent="0.3">
      <c r="B336" s="92" t="s">
        <v>6996</v>
      </c>
      <c r="D336"/>
      <c r="E336" s="143" t="s">
        <v>565</v>
      </c>
      <c r="F336" s="145" t="s">
        <v>6944</v>
      </c>
    </row>
    <row r="337" spans="1:18" ht="14.4" x14ac:dyDescent="0.3">
      <c r="B337" s="149" t="s">
        <v>7091</v>
      </c>
      <c r="C337" s="150"/>
      <c r="D337" s="150"/>
      <c r="E337" s="497">
        <f>UDV.water.avg_cost/1000</f>
        <v>3.858144828221536E-3</v>
      </c>
      <c r="F337" s="151" t="s">
        <v>2315</v>
      </c>
    </row>
    <row r="338" spans="1:18" ht="14.4" x14ac:dyDescent="0.3">
      <c r="D338"/>
      <c r="E338"/>
      <c r="F338"/>
    </row>
    <row r="339" spans="1:18" ht="14.4" x14ac:dyDescent="0.3">
      <c r="B339" s="498" t="s">
        <v>6966</v>
      </c>
      <c r="C339" s="362" t="s">
        <v>6979</v>
      </c>
      <c r="D339" s="362"/>
      <c r="E339" s="362"/>
      <c r="F339" s="363"/>
    </row>
    <row r="340" spans="1:18" ht="14.4" x14ac:dyDescent="0.3">
      <c r="B340" s="99" t="s">
        <v>7092</v>
      </c>
      <c r="C340" s="153">
        <f>E333*E337</f>
        <v>217.84991231530387</v>
      </c>
      <c r="D340" s="236"/>
      <c r="E340" s="236"/>
      <c r="F340" s="146"/>
    </row>
    <row r="341" spans="1:18" ht="14.4" x14ac:dyDescent="0.3">
      <c r="B341" s="99"/>
      <c r="D341"/>
      <c r="E341"/>
      <c r="F341" s="146"/>
      <c r="G341"/>
      <c r="H341"/>
    </row>
    <row r="342" spans="1:18" ht="14.4" x14ac:dyDescent="0.3">
      <c r="A342" t="s">
        <v>5209</v>
      </c>
      <c r="B342" s="149" t="s">
        <v>6980</v>
      </c>
      <c r="C342" s="159">
        <f>SUM(C340:C340)</f>
        <v>217.84991231530387</v>
      </c>
      <c r="D342" s="150"/>
      <c r="E342" s="150"/>
      <c r="F342" s="151"/>
      <c r="G342"/>
      <c r="H342"/>
    </row>
    <row r="343" spans="1:18" ht="15" thickBot="1" x14ac:dyDescent="0.35">
      <c r="A343" s="137"/>
      <c r="B343" s="137"/>
      <c r="C343" s="137"/>
      <c r="D343" s="2093"/>
      <c r="E343" s="2093"/>
      <c r="F343" s="2094"/>
      <c r="G343" s="2095"/>
      <c r="H343" s="2096"/>
      <c r="I343" s="137"/>
      <c r="J343" s="137"/>
      <c r="K343" s="2095"/>
      <c r="L343" s="2095"/>
      <c r="M343" s="137"/>
      <c r="N343" s="137"/>
      <c r="O343" s="137"/>
      <c r="P343" s="137"/>
      <c r="Q343" s="137"/>
      <c r="R343" s="2097"/>
    </row>
    <row r="344" spans="1:18" ht="14.4" x14ac:dyDescent="0.3"/>
    <row r="345" spans="1:18" ht="18" x14ac:dyDescent="0.35">
      <c r="A345" s="502"/>
      <c r="B345" s="138" t="s">
        <v>7146</v>
      </c>
      <c r="D345"/>
      <c r="E345"/>
      <c r="F345"/>
      <c r="G345"/>
      <c r="H345" s="355"/>
    </row>
    <row r="346" spans="1:18" ht="14.4" x14ac:dyDescent="0.3">
      <c r="D346"/>
      <c r="E346"/>
      <c r="F346"/>
      <c r="G346"/>
      <c r="H346"/>
    </row>
    <row r="347" spans="1:18" ht="14.4" x14ac:dyDescent="0.3">
      <c r="B347" s="139" t="s">
        <v>6942</v>
      </c>
      <c r="C347" s="140"/>
      <c r="D347" s="140"/>
      <c r="E347" s="139" t="s">
        <v>6988</v>
      </c>
      <c r="F347" s="141"/>
      <c r="G347"/>
      <c r="H347" s="139" t="s">
        <v>7033</v>
      </c>
    </row>
    <row r="348" spans="1:18" ht="14.4" x14ac:dyDescent="0.3">
      <c r="B348" s="143" t="s">
        <v>2663</v>
      </c>
      <c r="C348" s="144" t="s">
        <v>565</v>
      </c>
      <c r="D348" s="144" t="s">
        <v>6943</v>
      </c>
      <c r="E348" s="143" t="s">
        <v>565</v>
      </c>
      <c r="F348" s="145" t="s">
        <v>6944</v>
      </c>
      <c r="G348"/>
      <c r="H348" s="99" t="s">
        <v>1236</v>
      </c>
    </row>
    <row r="349" spans="1:18" ht="14.4" x14ac:dyDescent="0.3">
      <c r="B349" s="99" t="s">
        <v>5893</v>
      </c>
      <c r="C349" s="147">
        <f t="shared" ref="C349:C354" si="1">VLOOKUP(B349,$R:$U,3,FALSE)</f>
        <v>12</v>
      </c>
      <c r="D349" t="s">
        <v>7097</v>
      </c>
      <c r="E349" s="178">
        <f>C349</f>
        <v>12</v>
      </c>
      <c r="F349" s="146" t="s">
        <v>7097</v>
      </c>
      <c r="G349"/>
      <c r="H349" s="99" t="s">
        <v>7147</v>
      </c>
    </row>
    <row r="350" spans="1:18" ht="14.4" x14ac:dyDescent="0.3">
      <c r="A350" s="321"/>
      <c r="B350" s="99" t="s">
        <v>5894</v>
      </c>
      <c r="C350" s="147">
        <f t="shared" si="1"/>
        <v>115</v>
      </c>
      <c r="D350" t="s">
        <v>2337</v>
      </c>
      <c r="E350" s="178">
        <f>CONVERT(C350,"m","ft")</f>
        <v>377.29658792650918</v>
      </c>
      <c r="F350" s="146" t="s">
        <v>2340</v>
      </c>
      <c r="G350"/>
      <c r="H350" s="99" t="s">
        <v>7148</v>
      </c>
    </row>
    <row r="351" spans="1:18" ht="14.4" x14ac:dyDescent="0.3">
      <c r="A351" s="199"/>
      <c r="B351" s="99" t="s">
        <v>5895</v>
      </c>
      <c r="C351" s="147">
        <f t="shared" si="1"/>
        <v>2</v>
      </c>
      <c r="D351" t="s">
        <v>2442</v>
      </c>
      <c r="E351" s="178">
        <f>C351</f>
        <v>2</v>
      </c>
      <c r="F351" s="146" t="s">
        <v>2442</v>
      </c>
      <c r="G351"/>
      <c r="H351" s="149" t="s">
        <v>1239</v>
      </c>
    </row>
    <row r="352" spans="1:18" ht="14.4" x14ac:dyDescent="0.3">
      <c r="B352" s="99" t="s">
        <v>5898</v>
      </c>
      <c r="C352" s="78">
        <f t="shared" si="1"/>
        <v>12.250783578571429</v>
      </c>
      <c r="D352" t="s">
        <v>6704</v>
      </c>
      <c r="E352" s="178">
        <f>C352*365</f>
        <v>4471.5360061785714</v>
      </c>
      <c r="F352" s="146" t="s">
        <v>5323</v>
      </c>
      <c r="G352"/>
      <c r="H352"/>
    </row>
    <row r="353" spans="1:15" ht="14.4" x14ac:dyDescent="0.3">
      <c r="B353" s="235" t="s">
        <v>5897</v>
      </c>
      <c r="C353" s="78">
        <f t="shared" si="1"/>
        <v>10.952380952380953</v>
      </c>
      <c r="D353" t="s">
        <v>7075</v>
      </c>
      <c r="E353" s="178">
        <f>C353*365</f>
        <v>3997.6190476190477</v>
      </c>
      <c r="F353" s="146" t="s">
        <v>2710</v>
      </c>
      <c r="G353"/>
      <c r="H353"/>
    </row>
    <row r="354" spans="1:15" ht="14.4" x14ac:dyDescent="0.3">
      <c r="B354" s="235" t="s">
        <v>5896</v>
      </c>
      <c r="C354" s="147">
        <f t="shared" si="1"/>
        <v>2</v>
      </c>
      <c r="D354" t="s">
        <v>2442</v>
      </c>
      <c r="E354" s="178">
        <f>C354</f>
        <v>2</v>
      </c>
      <c r="F354" s="146" t="s">
        <v>2442</v>
      </c>
      <c r="G354"/>
      <c r="H354"/>
    </row>
    <row r="355" spans="1:15" ht="13.5" customHeight="1" x14ac:dyDescent="0.3">
      <c r="E355" s="2101"/>
      <c r="F355" s="2089"/>
    </row>
    <row r="356" spans="1:15" ht="14.4" x14ac:dyDescent="0.3">
      <c r="B356" s="92" t="s">
        <v>6996</v>
      </c>
      <c r="D356"/>
      <c r="E356" s="99"/>
      <c r="F356" s="146"/>
      <c r="G356"/>
      <c r="H356"/>
      <c r="K356"/>
      <c r="L356"/>
    </row>
    <row r="357" spans="1:15" ht="14.4" x14ac:dyDescent="0.3">
      <c r="B357" s="143" t="s">
        <v>2663</v>
      </c>
      <c r="D357"/>
      <c r="E357" s="143" t="s">
        <v>565</v>
      </c>
      <c r="F357" s="145" t="s">
        <v>6944</v>
      </c>
      <c r="G357"/>
      <c r="H357"/>
      <c r="K357"/>
      <c r="L357"/>
    </row>
    <row r="358" spans="1:15" ht="14.4" x14ac:dyDescent="0.3">
      <c r="B358" s="99" t="s">
        <v>7076</v>
      </c>
      <c r="D358"/>
      <c r="E358" s="357">
        <f>UDV.electricity.avg_cost</f>
        <v>6.8591666666666662E-2</v>
      </c>
      <c r="F358" s="146" t="s">
        <v>2306</v>
      </c>
      <c r="G358"/>
      <c r="H358"/>
      <c r="K358"/>
      <c r="L358"/>
    </row>
    <row r="359" spans="1:15" ht="14.4" x14ac:dyDescent="0.3">
      <c r="B359" s="149" t="s">
        <v>6998</v>
      </c>
      <c r="C359" s="150"/>
      <c r="D359" s="150"/>
      <c r="E359" s="349">
        <f>UDV.labor.non_specialized_cost</f>
        <v>23.66</v>
      </c>
      <c r="F359" s="151" t="s">
        <v>3659</v>
      </c>
      <c r="G359"/>
      <c r="H359"/>
      <c r="K359"/>
      <c r="L359"/>
    </row>
    <row r="360" spans="1:15" ht="14.4" x14ac:dyDescent="0.3">
      <c r="B360" s="90"/>
      <c r="C360" s="82"/>
      <c r="D360"/>
      <c r="E360" s="82"/>
      <c r="F360" s="82"/>
      <c r="G360"/>
      <c r="H360" s="82"/>
      <c r="I360" s="82"/>
      <c r="K360"/>
      <c r="L360"/>
      <c r="O360" s="82"/>
    </row>
    <row r="361" spans="1:15" ht="28.8" x14ac:dyDescent="0.3">
      <c r="B361" s="361" t="s">
        <v>6946</v>
      </c>
      <c r="C361" s="362" t="s">
        <v>6947</v>
      </c>
      <c r="D361" s="362" t="s">
        <v>6948</v>
      </c>
      <c r="E361" s="362" t="s">
        <v>6949</v>
      </c>
      <c r="F361" s="362" t="s">
        <v>6950</v>
      </c>
      <c r="G361" s="362" t="s">
        <v>6951</v>
      </c>
      <c r="H361" s="362" t="s">
        <v>6952</v>
      </c>
      <c r="I361" s="362" t="s">
        <v>6953</v>
      </c>
      <c r="J361" s="362" t="s">
        <v>6954</v>
      </c>
      <c r="K361" s="362" t="s">
        <v>6955</v>
      </c>
      <c r="L361" s="362" t="s">
        <v>6956</v>
      </c>
      <c r="M361" s="140" t="s">
        <v>6957</v>
      </c>
      <c r="N361" s="140" t="s">
        <v>6958</v>
      </c>
      <c r="O361" s="363"/>
    </row>
    <row r="362" spans="1:15" ht="14.4" x14ac:dyDescent="0.3">
      <c r="A362" t="s">
        <v>7149</v>
      </c>
      <c r="B362" s="99" t="s">
        <v>1236</v>
      </c>
      <c r="C362" s="153">
        <f>VLOOKUP("Auto alley system chain and accessoriesDefault",Econ.Tables!$C:$E,2,FALSE)*E350</f>
        <v>4263.4514435695537</v>
      </c>
      <c r="D362">
        <f>VLOOKUP("CAPEXLifetimeEquipmentDefault",Econ.inputsTable!$E:$I,2,FALSE)</f>
        <v>10</v>
      </c>
      <c r="E362" t="s">
        <v>2852</v>
      </c>
      <c r="F362" s="147">
        <f>E353</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 t="shared" ref="J362:J365" si="2">C362*I362</f>
        <v>0</v>
      </c>
      <c r="K362" s="154">
        <f>VLOOKUP("CAPEXFinanced amountNADefault",Econ.inputsTable!$E:$G,2,FALSE)</f>
        <v>1</v>
      </c>
      <c r="L362" s="364">
        <f t="shared" ref="L362:L365" si="3">H362*K362</f>
        <v>5.0999999999999997E-2</v>
      </c>
      <c r="M362" s="351">
        <f t="shared" ref="M362:M365" si="4">L362/(1-(1+L362)^-D362)</f>
        <v>0.13013423257204779</v>
      </c>
      <c r="N362" s="153">
        <f t="shared" ref="N362:N365" si="5">((C362-J362)*M362)+(J362*L362)</f>
        <v>554.82098171711323</v>
      </c>
      <c r="O362" s="157"/>
    </row>
    <row r="363" spans="1:15" ht="14.4" x14ac:dyDescent="0.3">
      <c r="A363" t="s">
        <v>7149</v>
      </c>
      <c r="B363" s="99" t="s">
        <v>7147</v>
      </c>
      <c r="C363" s="153">
        <f>VLOOKUP("Scraper bladeDefault",Econ.Tables!$C:$E,2,FALSE)*E354</f>
        <v>2800</v>
      </c>
      <c r="D363">
        <f>VLOOKUP("CAPEXLifetimeScraper bladeDefault",Econ.inputsTable!$E:$I,2,FALSE)</f>
        <v>1</v>
      </c>
      <c r="E363" t="s">
        <v>2852</v>
      </c>
      <c r="F363" s="147">
        <f>E353</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 t="shared" si="2"/>
        <v>0</v>
      </c>
      <c r="K363" s="154">
        <f>VLOOKUP("CAPEXFinanced amountNADefault",Econ.inputsTable!$E:$G,2,FALSE)</f>
        <v>1</v>
      </c>
      <c r="L363" s="364">
        <f t="shared" si="3"/>
        <v>5.0999999999999997E-2</v>
      </c>
      <c r="M363" s="351">
        <f t="shared" si="4"/>
        <v>1.0510000000000017</v>
      </c>
      <c r="N363" s="153">
        <f t="shared" si="5"/>
        <v>2942.8000000000047</v>
      </c>
      <c r="O363" s="157"/>
    </row>
    <row r="364" spans="1:15" ht="14.4" x14ac:dyDescent="0.3">
      <c r="A364" t="s">
        <v>7149</v>
      </c>
      <c r="B364" s="99" t="s">
        <v>7148</v>
      </c>
      <c r="C364" s="153">
        <f>VLOOKUP("Drive unit, motor, controls, ancillariesDefault",Econ.Tables!$C:$E,2,FALSE)*E351</f>
        <v>24800</v>
      </c>
      <c r="D364">
        <f>VLOOKUP("CAPEXLifetimeDrive units for auto scraper, transfer channelDefault",Econ.inputsTable!$E:$I,2,FALSE)</f>
        <v>18</v>
      </c>
      <c r="E364" t="s">
        <v>2852</v>
      </c>
      <c r="F364" s="147">
        <f>E353</f>
        <v>3997.6190476190477</v>
      </c>
      <c r="G364" s="154">
        <f>VLOOKUP("CAPEXAnnual usage on activityItems that are used only on the given activityDefault",Econ.inputsTable!$E:$G,2,FALSE)</f>
        <v>1</v>
      </c>
      <c r="H364" s="503">
        <f>UDV.econ_capital.interest_rate</f>
        <v>5.0999999999999997E-2</v>
      </c>
      <c r="I364" s="503">
        <f>VLOOKUP("CAPEXSalvageBuildings and constructionDefault",Econ.inputsTable!$E:$G,2,FALSE)</f>
        <v>0</v>
      </c>
      <c r="J364" s="153">
        <f t="shared" si="2"/>
        <v>0</v>
      </c>
      <c r="K364" s="154">
        <f>VLOOKUP("CAPEXFinanced amountNADefault",Econ.inputsTable!$E:$G,2,FALSE)</f>
        <v>1</v>
      </c>
      <c r="L364" s="364">
        <f t="shared" si="3"/>
        <v>5.0999999999999997E-2</v>
      </c>
      <c r="M364" s="351">
        <f t="shared" si="4"/>
        <v>8.6215856907131391E-2</v>
      </c>
      <c r="N364" s="153">
        <f t="shared" si="5"/>
        <v>2138.1532512968583</v>
      </c>
      <c r="O364" s="501"/>
    </row>
    <row r="365" spans="1:15" ht="14.4" x14ac:dyDescent="0.3">
      <c r="A365" t="s">
        <v>7150</v>
      </c>
      <c r="B365" s="99" t="s">
        <v>1239</v>
      </c>
      <c r="C365" s="153">
        <f>VLOOKUP("Auto alley system installation and electricalDefault",Econ.Tables!$C:$E,2,FALSE)*SUM(C362:C364)</f>
        <v>12426.746062992126</v>
      </c>
      <c r="D365">
        <f>VLOOKUP("CAPEXLifetimeDrive units for auto scraper, transfer channelDefault",Econ.inputsTable!$E:$I,2,FALSE)</f>
        <v>18</v>
      </c>
      <c r="E365" t="s">
        <v>2852</v>
      </c>
      <c r="F365" s="147">
        <f>E353</f>
        <v>3997.6190476190477</v>
      </c>
      <c r="G365" s="154">
        <f>VLOOKUP("CAPEXAnnual usage on activityItems that are used only on the given activityDefault",Econ.inputsTable!$E:$G,2,FALSE)</f>
        <v>1</v>
      </c>
      <c r="H365" s="503">
        <f>UDV.econ_capital.interest_rate</f>
        <v>5.0999999999999997E-2</v>
      </c>
      <c r="I365" s="503">
        <f>VLOOKUP("CAPEXSalvageBuildings and constructionDefault",Econ.inputsTable!$E:$G,2,FALSE)</f>
        <v>0</v>
      </c>
      <c r="J365" s="153">
        <f t="shared" si="2"/>
        <v>0</v>
      </c>
      <c r="K365" s="154">
        <f>VLOOKUP("CAPEXFinanced amountNADefault",Econ.inputsTable!$E:$G,2,FALSE)</f>
        <v>1</v>
      </c>
      <c r="L365" s="364">
        <f t="shared" si="3"/>
        <v>5.0999999999999997E-2</v>
      </c>
      <c r="M365" s="351">
        <f t="shared" si="4"/>
        <v>8.6215856907131391E-2</v>
      </c>
      <c r="N365" s="153">
        <f t="shared" si="5"/>
        <v>1071.3825603881876</v>
      </c>
      <c r="O365" s="501"/>
    </row>
    <row r="366" spans="1:15" ht="14.4" x14ac:dyDescent="0.3">
      <c r="B366" s="99"/>
      <c r="C366" s="153"/>
      <c r="D366"/>
      <c r="E366"/>
      <c r="F366"/>
      <c r="G366"/>
      <c r="H366"/>
      <c r="K366" s="166"/>
      <c r="L366" s="154"/>
      <c r="M366" s="503"/>
      <c r="N366" s="154"/>
      <c r="O366" s="501"/>
    </row>
    <row r="367" spans="1:15" ht="14.4" x14ac:dyDescent="0.3">
      <c r="B367" s="99"/>
      <c r="C367" s="152" t="s">
        <v>7009</v>
      </c>
      <c r="D367" s="152" t="s">
        <v>6963</v>
      </c>
      <c r="E367"/>
      <c r="F367"/>
      <c r="G367"/>
      <c r="H367"/>
      <c r="K367"/>
      <c r="L367"/>
      <c r="O367" s="146"/>
    </row>
    <row r="368" spans="1:15" ht="14.4" x14ac:dyDescent="0.3">
      <c r="A368" t="s">
        <v>5223</v>
      </c>
      <c r="B368" s="99" t="s">
        <v>6964</v>
      </c>
      <c r="C368" s="153">
        <f>SUM(C362:C365)</f>
        <v>44290.197506561679</v>
      </c>
      <c r="D368" s="153">
        <f>SUMPRODUCT(C362:C365,G362:G365)</f>
        <v>44290.197506561679</v>
      </c>
      <c r="E368"/>
      <c r="F368"/>
      <c r="G368"/>
      <c r="H368"/>
      <c r="K368"/>
      <c r="L368"/>
      <c r="O368" s="146"/>
    </row>
    <row r="369" spans="1:15" ht="14.4" x14ac:dyDescent="0.3">
      <c r="A369" t="s">
        <v>5223</v>
      </c>
      <c r="B369" s="149" t="s">
        <v>6965</v>
      </c>
      <c r="C369" s="159">
        <f>SUM(N362:N365)</f>
        <v>6707.1567934021641</v>
      </c>
      <c r="D369" s="159">
        <f>SUMPRODUCT(G362:G365,N362:N365)</f>
        <v>6707.1567934021641</v>
      </c>
      <c r="E369" s="150"/>
      <c r="F369" s="150"/>
      <c r="G369" s="150"/>
      <c r="H369" s="150"/>
      <c r="I369" s="150"/>
      <c r="J369" s="150"/>
      <c r="K369" s="150"/>
      <c r="L369" s="150"/>
      <c r="M369" s="150"/>
      <c r="N369" s="150"/>
      <c r="O369" s="151"/>
    </row>
    <row r="370" spans="1:15" ht="14.4" x14ac:dyDescent="0.3">
      <c r="B370" s="99"/>
      <c r="D370"/>
      <c r="E370"/>
      <c r="F370"/>
      <c r="G370"/>
      <c r="H370"/>
      <c r="K370"/>
      <c r="L370"/>
      <c r="O370" s="146"/>
    </row>
    <row r="371" spans="1:15" ht="28.8" x14ac:dyDescent="0.3">
      <c r="B371" s="160" t="s">
        <v>6966</v>
      </c>
      <c r="C371" s="152" t="s">
        <v>6967</v>
      </c>
      <c r="D371" s="152" t="s">
        <v>6968</v>
      </c>
      <c r="E371" s="152" t="s">
        <v>6969</v>
      </c>
      <c r="F371" s="152" t="s">
        <v>6970</v>
      </c>
      <c r="G371" s="152" t="s">
        <v>6971</v>
      </c>
      <c r="H371" s="152" t="s">
        <v>6972</v>
      </c>
      <c r="I371" s="152" t="s">
        <v>6973</v>
      </c>
      <c r="J371" s="152" t="s">
        <v>6974</v>
      </c>
      <c r="K371" s="152" t="s">
        <v>6975</v>
      </c>
      <c r="L371" s="152" t="s">
        <v>6976</v>
      </c>
      <c r="M371" s="152" t="s">
        <v>6977</v>
      </c>
      <c r="N371" s="152" t="s">
        <v>6978</v>
      </c>
      <c r="O371" s="161" t="s">
        <v>6979</v>
      </c>
    </row>
    <row r="372" spans="1:15" ht="14.4" x14ac:dyDescent="0.3">
      <c r="B372" s="99" t="s">
        <v>7151</v>
      </c>
      <c r="C372" s="155">
        <f>VLOOKUP("OPEXInsuranceEverythingDefault",Econ.inputsTable!$E:$G,2,FALSE)</f>
        <v>5.0000000000000001E-3</v>
      </c>
      <c r="D372" s="155">
        <f>VLOOKUP("OPEXRepair and maintenanceEquipmentDefault",Econ.inputsTable!$E:$G,2,FALSE)</f>
        <v>0.03</v>
      </c>
      <c r="E372"/>
      <c r="F372"/>
      <c r="G372"/>
      <c r="H372"/>
      <c r="I372" s="504"/>
      <c r="K372" s="504"/>
      <c r="L372" s="158"/>
      <c r="O372" s="157">
        <f>(SUM(C372:D372)*C364*G364)+SUM(E372,G372,I372,J372,L372,N372)</f>
        <v>867.99999999999989</v>
      </c>
    </row>
    <row r="373" spans="1:15" ht="14.4" x14ac:dyDescent="0.3">
      <c r="B373" s="99" t="s">
        <v>7152</v>
      </c>
      <c r="C373" s="155">
        <f>VLOOKUP("OPEXInsuranceEverythingDefault",Econ.inputsTable!$E:$G,2,FALSE)</f>
        <v>5.0000000000000001E-3</v>
      </c>
      <c r="D373" s="155">
        <f>VLOOKUP("OPEXRepair and maintenanceAuto scraper systemDefault",Econ.inputsTable!$E:$G,2,FALSE)</f>
        <v>0.06</v>
      </c>
      <c r="E373" s="504"/>
      <c r="F373" s="147">
        <f>E352</f>
        <v>4471.5360061785714</v>
      </c>
      <c r="G373" s="504">
        <f>F373*E358</f>
        <v>306.7101072237985</v>
      </c>
      <c r="H373" s="158"/>
      <c r="I373" s="504"/>
      <c r="J373" s="504"/>
      <c r="K373"/>
      <c r="L373"/>
      <c r="O373" s="157">
        <f>(SUM(C373:D373)*SUM(C362:C364)*G364)+SUM(E373,G373,I373,J373,L373,N373)</f>
        <v>2377.8344510558195</v>
      </c>
    </row>
    <row r="374" spans="1:15" ht="14.4" x14ac:dyDescent="0.3">
      <c r="A374" t="s">
        <v>5223</v>
      </c>
      <c r="B374" s="162" t="s">
        <v>5203</v>
      </c>
      <c r="C374" s="505"/>
      <c r="D374" s="505"/>
      <c r="E374" s="506">
        <f t="shared" ref="E374:O374" si="6">SUM(E372:E373)</f>
        <v>0</v>
      </c>
      <c r="F374" s="507">
        <f t="shared" si="6"/>
        <v>4471.5360061785714</v>
      </c>
      <c r="G374" s="506">
        <f t="shared" si="6"/>
        <v>306.7101072237985</v>
      </c>
      <c r="H374" s="508">
        <f t="shared" si="6"/>
        <v>0</v>
      </c>
      <c r="I374" s="506">
        <f t="shared" si="6"/>
        <v>0</v>
      </c>
      <c r="J374" s="506">
        <f t="shared" si="6"/>
        <v>0</v>
      </c>
      <c r="K374" s="508">
        <f t="shared" si="6"/>
        <v>0</v>
      </c>
      <c r="L374" s="506">
        <f t="shared" si="6"/>
        <v>0</v>
      </c>
      <c r="M374" s="508">
        <f t="shared" si="6"/>
        <v>0</v>
      </c>
      <c r="N374" s="506">
        <f t="shared" si="6"/>
        <v>0</v>
      </c>
      <c r="O374" s="509">
        <f t="shared" si="6"/>
        <v>3245.8344510558195</v>
      </c>
    </row>
    <row r="375" spans="1:15" ht="14.4" x14ac:dyDescent="0.3">
      <c r="B375" s="99"/>
      <c r="D375"/>
      <c r="E375"/>
      <c r="F375"/>
      <c r="G375"/>
      <c r="H375"/>
      <c r="K375"/>
      <c r="L375"/>
      <c r="O375" s="146"/>
    </row>
    <row r="376" spans="1:15" ht="14.4" x14ac:dyDescent="0.3">
      <c r="A376" t="s">
        <v>5223</v>
      </c>
      <c r="B376" s="149" t="s">
        <v>6980</v>
      </c>
      <c r="C376" s="159">
        <f>SUM(O372:O373)</f>
        <v>3245.8344510558195</v>
      </c>
      <c r="D376" s="150"/>
      <c r="E376" s="150"/>
      <c r="F376" s="150"/>
      <c r="G376" s="150"/>
      <c r="H376" s="150"/>
      <c r="I376" s="150"/>
      <c r="J376" s="150"/>
      <c r="K376" s="150"/>
      <c r="L376" s="150"/>
      <c r="M376" s="150"/>
      <c r="N376" s="150"/>
      <c r="O376" s="151"/>
    </row>
    <row r="377" spans="1:15" ht="15" thickBot="1" x14ac:dyDescent="0.35">
      <c r="A377" s="137"/>
      <c r="B377" s="137"/>
      <c r="C377" s="137"/>
      <c r="D377" s="137"/>
      <c r="E377" s="137"/>
      <c r="F377" s="137"/>
      <c r="G377" s="137"/>
      <c r="H377" s="137"/>
      <c r="I377" s="137"/>
      <c r="J377" s="137"/>
      <c r="K377" s="137"/>
      <c r="L377" s="137"/>
      <c r="M377" s="137"/>
      <c r="N377" s="137"/>
      <c r="O377" s="137"/>
    </row>
    <row r="378" spans="1:15" ht="14.4" x14ac:dyDescent="0.3">
      <c r="D378"/>
      <c r="E378"/>
      <c r="F378"/>
      <c r="G378"/>
      <c r="H378"/>
      <c r="K378"/>
      <c r="L378"/>
    </row>
    <row r="379" spans="1:15" ht="18" x14ac:dyDescent="0.35">
      <c r="B379" s="138" t="s">
        <v>7187</v>
      </c>
      <c r="D379"/>
      <c r="E379"/>
      <c r="F379"/>
      <c r="G379"/>
      <c r="H379" s="355"/>
      <c r="K379"/>
      <c r="L379"/>
    </row>
    <row r="380" spans="1:15" ht="14.4" x14ac:dyDescent="0.3">
      <c r="D380"/>
      <c r="E380"/>
      <c r="F380"/>
      <c r="G380"/>
      <c r="H380"/>
      <c r="K380"/>
      <c r="L380"/>
    </row>
    <row r="381" spans="1:15" ht="14.4" x14ac:dyDescent="0.3">
      <c r="B381" s="139" t="s">
        <v>6942</v>
      </c>
      <c r="C381" s="140"/>
      <c r="D381" s="245"/>
      <c r="E381" s="139" t="s">
        <v>6988</v>
      </c>
      <c r="F381" s="141"/>
      <c r="G381"/>
      <c r="H381"/>
      <c r="K381"/>
      <c r="L381"/>
    </row>
    <row r="382" spans="1:15" ht="14.4" x14ac:dyDescent="0.3">
      <c r="B382" s="143" t="s">
        <v>2663</v>
      </c>
      <c r="C382" s="144" t="s">
        <v>565</v>
      </c>
      <c r="D382" s="145" t="s">
        <v>6943</v>
      </c>
      <c r="E382" s="143" t="s">
        <v>565</v>
      </c>
      <c r="F382" s="145" t="s">
        <v>6944</v>
      </c>
      <c r="G382"/>
      <c r="H382" s="139" t="s">
        <v>7189</v>
      </c>
      <c r="I382" s="142"/>
      <c r="J382" s="142"/>
      <c r="K382" s="141"/>
      <c r="L382"/>
    </row>
    <row r="383" spans="1:15" ht="14.4" x14ac:dyDescent="0.3">
      <c r="B383" s="99" t="s">
        <v>5951</v>
      </c>
      <c r="C383" s="147">
        <f>VLOOKUP(B383,$R:$U,3,FALSE)</f>
        <v>2893.7344524219843</v>
      </c>
      <c r="D383" s="146" t="s">
        <v>2481</v>
      </c>
      <c r="E383" s="164">
        <f>CONVERT(C383,"l","gal")</f>
        <v>764.44376927579845</v>
      </c>
      <c r="F383" s="146" t="s">
        <v>2480</v>
      </c>
      <c r="G383"/>
      <c r="H383" s="99" t="s">
        <v>2787</v>
      </c>
      <c r="K383" s="146"/>
      <c r="L383"/>
    </row>
    <row r="384" spans="1:15" ht="14.4" x14ac:dyDescent="0.3">
      <c r="B384" s="99" t="s">
        <v>5953</v>
      </c>
      <c r="C384" s="147">
        <f>VLOOKUP(B384,$R:$U,3,FALSE)</f>
        <v>1</v>
      </c>
      <c r="D384" s="146" t="s">
        <v>2442</v>
      </c>
      <c r="E384" s="523">
        <f>C384</f>
        <v>1</v>
      </c>
      <c r="F384" s="146" t="s">
        <v>2442</v>
      </c>
      <c r="G384"/>
      <c r="H384" s="99" t="s">
        <v>1228</v>
      </c>
      <c r="K384" s="146"/>
      <c r="L384"/>
    </row>
    <row r="385" spans="1:15" ht="14.4" x14ac:dyDescent="0.3">
      <c r="B385" s="99" t="s">
        <v>5952</v>
      </c>
      <c r="C385" s="147">
        <f>VLOOKUP(B385,$R:$U,3,FALSE)</f>
        <v>15</v>
      </c>
      <c r="D385" s="146" t="s">
        <v>971</v>
      </c>
      <c r="E385" s="524">
        <f>ROUNDUP(C385,0.1)</f>
        <v>15</v>
      </c>
      <c r="F385" s="146" t="s">
        <v>971</v>
      </c>
      <c r="G385"/>
      <c r="H385" s="149" t="s">
        <v>7190</v>
      </c>
      <c r="I385" s="150"/>
      <c r="J385" s="150"/>
      <c r="K385" s="151"/>
      <c r="L385"/>
    </row>
    <row r="386" spans="1:15" ht="14.4" x14ac:dyDescent="0.3">
      <c r="B386" s="99" t="s">
        <v>5954</v>
      </c>
      <c r="C386" s="147">
        <f>VLOOKUP(B386,$R:$U,3,FALSE)</f>
        <v>0.38003059201611716</v>
      </c>
      <c r="D386" s="146" t="s">
        <v>6704</v>
      </c>
      <c r="E386" s="164">
        <f>C386*365</f>
        <v>138.71116608588275</v>
      </c>
      <c r="F386" s="146" t="s">
        <v>5323</v>
      </c>
      <c r="G386"/>
      <c r="H386"/>
      <c r="K386"/>
      <c r="L386"/>
    </row>
    <row r="387" spans="1:15" ht="13.5" customHeight="1" x14ac:dyDescent="0.3">
      <c r="B387" s="99"/>
      <c r="D387" s="2100"/>
      <c r="E387" s="2101"/>
      <c r="F387" s="2089"/>
    </row>
    <row r="388" spans="1:15" ht="14.4" x14ac:dyDescent="0.3">
      <c r="B388" s="92" t="s">
        <v>6942</v>
      </c>
      <c r="C388" s="82"/>
      <c r="D388" s="173"/>
      <c r="E388" s="92"/>
      <c r="F388" s="146"/>
      <c r="G388"/>
      <c r="H388"/>
      <c r="K388"/>
      <c r="L388"/>
    </row>
    <row r="389" spans="1:15" ht="14.4" x14ac:dyDescent="0.3">
      <c r="B389" s="143" t="s">
        <v>2663</v>
      </c>
      <c r="C389" s="144" t="s">
        <v>565</v>
      </c>
      <c r="D389" s="145" t="s">
        <v>6943</v>
      </c>
      <c r="E389" s="143" t="s">
        <v>565</v>
      </c>
      <c r="F389" s="145" t="s">
        <v>6944</v>
      </c>
      <c r="G389"/>
      <c r="H389"/>
      <c r="K389"/>
      <c r="L389"/>
    </row>
    <row r="390" spans="1:15" ht="14.4" x14ac:dyDescent="0.3">
      <c r="B390" s="99" t="s">
        <v>7076</v>
      </c>
      <c r="D390" s="146"/>
      <c r="E390" s="358">
        <f>UDV.electricity.avg_cost</f>
        <v>6.8591666666666662E-2</v>
      </c>
      <c r="F390" s="146" t="s">
        <v>2306</v>
      </c>
      <c r="G390"/>
      <c r="H390"/>
      <c r="K390"/>
      <c r="L390"/>
    </row>
    <row r="391" spans="1:15" ht="14.4" x14ac:dyDescent="0.3">
      <c r="B391" s="149" t="s">
        <v>6998</v>
      </c>
      <c r="C391" s="150"/>
      <c r="D391" s="151"/>
      <c r="E391" s="497">
        <f>UDV.labor.non_specialized_cost</f>
        <v>23.66</v>
      </c>
      <c r="F391" s="151" t="s">
        <v>3659</v>
      </c>
      <c r="G391"/>
      <c r="H391"/>
      <c r="K391"/>
      <c r="L391"/>
    </row>
    <row r="392" spans="1:15" ht="14.4" x14ac:dyDescent="0.3">
      <c r="D392"/>
      <c r="E392"/>
      <c r="F392"/>
      <c r="G392"/>
      <c r="H392"/>
      <c r="K392"/>
      <c r="L392"/>
    </row>
    <row r="393" spans="1:15" ht="28.8" x14ac:dyDescent="0.3">
      <c r="B393" s="361" t="s">
        <v>6946</v>
      </c>
      <c r="C393" s="362" t="s">
        <v>6947</v>
      </c>
      <c r="D393" s="371" t="s">
        <v>6948</v>
      </c>
      <c r="E393" s="362" t="s">
        <v>6949</v>
      </c>
      <c r="F393" s="362" t="s">
        <v>6950</v>
      </c>
      <c r="G393" s="362" t="s">
        <v>6951</v>
      </c>
      <c r="H393" s="362" t="s">
        <v>6952</v>
      </c>
      <c r="I393" s="371" t="s">
        <v>6953</v>
      </c>
      <c r="J393" s="371" t="s">
        <v>6954</v>
      </c>
      <c r="K393" s="362" t="s">
        <v>6955</v>
      </c>
      <c r="L393" s="362" t="s">
        <v>6956</v>
      </c>
      <c r="M393" s="362" t="s">
        <v>6957</v>
      </c>
      <c r="N393" s="362" t="s">
        <v>6958</v>
      </c>
      <c r="O393" s="363" t="s">
        <v>6959</v>
      </c>
    </row>
    <row r="394" spans="1:15" ht="14.4" x14ac:dyDescent="0.3">
      <c r="A394" t="s">
        <v>7191</v>
      </c>
      <c r="B394" s="99" t="s">
        <v>2787</v>
      </c>
      <c r="C394" s="153">
        <f>VLOOKUP("Reception pit constructiona",Econ.Equations!$C:$E,2,FALSE)*E383^VLOOKUP("Reception pit constructionb",Econ.Equations!$C:$E,2,FALSE)*E383</f>
        <v>8018.7932118545777</v>
      </c>
      <c r="D394">
        <f>VLOOKUP("CAPEXLifetimeBuildings and constructionDefault",Econ.inputsTable!$E:$H,2,FALSE)</f>
        <v>20</v>
      </c>
      <c r="E394" t="s">
        <v>2852</v>
      </c>
      <c r="F394" t="s">
        <v>2852</v>
      </c>
      <c r="G394" s="154">
        <v>1</v>
      </c>
      <c r="H394" s="503">
        <f>UDV.econ_capital.interest_rate</f>
        <v>5.0999999999999997E-2</v>
      </c>
      <c r="I394" s="154">
        <f>VLOOKUP("CAPEXSalvageBuildings and constructionDefault",Econ.inputsTable!$E:$J,2,FALSE)</f>
        <v>0</v>
      </c>
      <c r="J394" s="153">
        <f>$C394*I394</f>
        <v>0</v>
      </c>
      <c r="K394" s="154">
        <f>VLOOKUP("CAPEXFinanced amountNADefault", Econ.inputsTable!$E:$I,2,FALSE)</f>
        <v>1</v>
      </c>
      <c r="L394" s="364">
        <f>H394*K394</f>
        <v>5.0999999999999997E-2</v>
      </c>
      <c r="M394" s="351">
        <f>L394/(1-(1+L394)^-D394)</f>
        <v>8.0924368970045152E-2</v>
      </c>
      <c r="N394" s="153">
        <f>((C394-J394)*M394)+(J394*L394)</f>
        <v>648.91578057061326</v>
      </c>
      <c r="O394" s="157">
        <f>G394*N394</f>
        <v>648.91578057061326</v>
      </c>
    </row>
    <row r="395" spans="1:15" ht="14.4" x14ac:dyDescent="0.3">
      <c r="A395" t="s">
        <v>7192</v>
      </c>
      <c r="B395" s="99" t="s">
        <v>1228</v>
      </c>
      <c r="C395" s="153">
        <f>UDV.econ_agi.electric_pump*E384</f>
        <v>12100</v>
      </c>
      <c r="D395">
        <f>VLOOKUP("CAPEXLifetimeAgi-pump, electricDefault",Econ.inputsTable!$E:$H,2,FALSE)</f>
        <v>15</v>
      </c>
      <c r="E395" t="s">
        <v>2852</v>
      </c>
      <c r="F395" t="s">
        <v>2852</v>
      </c>
      <c r="G395" s="154">
        <v>1</v>
      </c>
      <c r="H395" s="503">
        <f>UDV.econ_capital.interest_rate</f>
        <v>5.0999999999999997E-2</v>
      </c>
      <c r="I395" s="154">
        <f>VLOOKUP("CAPEXSalvageEquipmentDefault",Econ.inputsTable!$E:$J,2,FALSE)</f>
        <v>0.2</v>
      </c>
      <c r="J395" s="153">
        <f>$C395*I395</f>
        <v>2420</v>
      </c>
      <c r="K395" s="154">
        <f>VLOOKUP("CAPEXFinanced amountNADefault", Econ.inputsTable!$E:$I,2,FALSE)</f>
        <v>1</v>
      </c>
      <c r="L395" s="364">
        <f>H395*K395</f>
        <v>5.0999999999999997E-2</v>
      </c>
      <c r="M395" s="351">
        <f>L395/(1-(1+L395)^-D395)</f>
        <v>9.6994593888520206E-2</v>
      </c>
      <c r="N395" s="153">
        <f>((C395-J395)*M395)+(J395*L395)</f>
        <v>1062.3276688408755</v>
      </c>
      <c r="O395" s="157">
        <f>G395*N395</f>
        <v>1062.3276688408755</v>
      </c>
    </row>
    <row r="396" spans="1:15" ht="14.4" x14ac:dyDescent="0.3">
      <c r="A396" t="s">
        <v>7192</v>
      </c>
      <c r="B396" s="99" t="s">
        <v>7193</v>
      </c>
      <c r="C396" s="153">
        <f>VLOOKUP(_xlfn.CONCAT("Motor, ", E385, " hpDefault"), Econ.Tables!C:E, 2, FALSE)*E384</f>
        <v>1470</v>
      </c>
      <c r="D396">
        <f>VLOOKUP("CAPEXLifetimeMotorDefault",Econ.inputsTable!$E:$H,2,FALSE)</f>
        <v>20</v>
      </c>
      <c r="E396" t="s">
        <v>2852</v>
      </c>
      <c r="F396" t="s">
        <v>2852</v>
      </c>
      <c r="G396" s="154">
        <v>1</v>
      </c>
      <c r="H396" s="503">
        <f>UDV.econ_capital.interest_rate</f>
        <v>5.0999999999999997E-2</v>
      </c>
      <c r="I396" s="154">
        <f>VLOOKUP("CAPEXSalvageEquipmentDefault",Econ.inputsTable!$E:$I,2,FALSE)</f>
        <v>0.2</v>
      </c>
      <c r="J396" s="153">
        <f>$C396*I396</f>
        <v>294</v>
      </c>
      <c r="K396" s="154">
        <f>VLOOKUP("CAPEXFinanced amountNADefault", Econ.inputsTable!$E:$I,2,FALSE)</f>
        <v>1</v>
      </c>
      <c r="L396" s="364">
        <f>H396*K396</f>
        <v>5.0999999999999997E-2</v>
      </c>
      <c r="M396" s="351">
        <f>L396/(1-(1+L396)^-D396)</f>
        <v>8.0924368970045152E-2</v>
      </c>
      <c r="N396" s="153">
        <f>((C396-J396)*M396)+(J396*L396)</f>
        <v>110.1610579087731</v>
      </c>
      <c r="O396" s="157">
        <f>G396*N396</f>
        <v>110.1610579087731</v>
      </c>
    </row>
    <row r="397" spans="1:15" ht="14.4" x14ac:dyDescent="0.3">
      <c r="B397" s="99"/>
      <c r="C397" s="153"/>
      <c r="D397"/>
      <c r="E397"/>
      <c r="F397"/>
      <c r="G397"/>
      <c r="H397"/>
      <c r="K397"/>
      <c r="L397" s="154"/>
      <c r="M397" s="155"/>
      <c r="N397" s="154"/>
      <c r="O397" s="501"/>
    </row>
    <row r="398" spans="1:15" ht="14.4" x14ac:dyDescent="0.3">
      <c r="B398" s="99"/>
      <c r="C398" s="82" t="s">
        <v>7009</v>
      </c>
      <c r="D398" s="82" t="s">
        <v>6963</v>
      </c>
      <c r="E398"/>
      <c r="F398"/>
      <c r="G398"/>
      <c r="H398"/>
      <c r="K398"/>
      <c r="L398"/>
      <c r="O398" s="146"/>
    </row>
    <row r="399" spans="1:15" ht="14.4" x14ac:dyDescent="0.3">
      <c r="A399" t="s">
        <v>5219</v>
      </c>
      <c r="B399" s="99" t="s">
        <v>6964</v>
      </c>
      <c r="C399" s="153">
        <f>SUM(C394:C396)</f>
        <v>21588.79321185458</v>
      </c>
      <c r="D399" s="153">
        <f>SUMPRODUCT(C394:C396,G394:G396)</f>
        <v>21588.79321185458</v>
      </c>
      <c r="E399"/>
      <c r="F399"/>
      <c r="G399"/>
      <c r="H399"/>
      <c r="K399"/>
      <c r="L399"/>
      <c r="O399" s="146"/>
    </row>
    <row r="400" spans="1:15" ht="14.4" x14ac:dyDescent="0.3">
      <c r="A400" t="s">
        <v>5219</v>
      </c>
      <c r="B400" s="149" t="s">
        <v>6965</v>
      </c>
      <c r="C400" s="159">
        <f>SUM(N394:N396)</f>
        <v>1821.4045073202617</v>
      </c>
      <c r="D400" s="159">
        <f>SUMPRODUCT(N394:N396,G394:G396)</f>
        <v>1821.4045073202617</v>
      </c>
      <c r="E400" s="150"/>
      <c r="F400" s="150"/>
      <c r="G400" s="150"/>
      <c r="H400" s="150"/>
      <c r="I400" s="150"/>
      <c r="J400" s="150"/>
      <c r="K400" s="150"/>
      <c r="L400" s="150"/>
      <c r="M400" s="150"/>
      <c r="N400" s="150"/>
      <c r="O400" s="151"/>
    </row>
    <row r="401" spans="1:15" ht="14.4" x14ac:dyDescent="0.3">
      <c r="B401" s="262"/>
      <c r="C401" s="142"/>
      <c r="D401" s="142"/>
      <c r="E401" s="142"/>
      <c r="F401" s="142"/>
      <c r="G401" s="142"/>
      <c r="H401" s="142"/>
      <c r="I401" s="142"/>
      <c r="J401" s="142"/>
      <c r="K401" s="142"/>
      <c r="L401" s="142"/>
      <c r="M401" s="142"/>
      <c r="N401" s="142"/>
      <c r="O401" s="141"/>
    </row>
    <row r="402" spans="1:15" ht="28.8" x14ac:dyDescent="0.3">
      <c r="B402" s="160" t="s">
        <v>6966</v>
      </c>
      <c r="C402" s="152" t="s">
        <v>6967</v>
      </c>
      <c r="D402" s="152" t="s">
        <v>6968</v>
      </c>
      <c r="E402" s="152" t="s">
        <v>6969</v>
      </c>
      <c r="F402" s="152" t="s">
        <v>6970</v>
      </c>
      <c r="G402" s="152" t="s">
        <v>6971</v>
      </c>
      <c r="H402" s="152" t="s">
        <v>6972</v>
      </c>
      <c r="I402" s="152" t="s">
        <v>6973</v>
      </c>
      <c r="J402" s="152" t="s">
        <v>6974</v>
      </c>
      <c r="K402" s="152" t="s">
        <v>6975</v>
      </c>
      <c r="L402" s="152" t="s">
        <v>6976</v>
      </c>
      <c r="M402" s="152" t="s">
        <v>6977</v>
      </c>
      <c r="N402" s="152" t="s">
        <v>6978</v>
      </c>
      <c r="O402" s="161" t="s">
        <v>6979</v>
      </c>
    </row>
    <row r="403" spans="1:15" ht="14.4" x14ac:dyDescent="0.3">
      <c r="B403" s="99" t="s">
        <v>5219</v>
      </c>
      <c r="C403" s="155">
        <f>VLOOKUP("OPEXInsuranceEverythingDefault",Econ.inputsTable!$E$1:$J$89,2,FALSE)</f>
        <v>5.0000000000000001E-3</v>
      </c>
      <c r="D403" s="155">
        <f>VLOOKUP("OPEXRepair and maintenanceBuildings and constructionDefault",Econ.inputsTable!$E:$I,2,FALSE)</f>
        <v>0.01</v>
      </c>
      <c r="E403"/>
      <c r="F403"/>
      <c r="G403" s="504"/>
      <c r="H403"/>
      <c r="K403"/>
      <c r="L403"/>
      <c r="O403" s="157">
        <f>(SUM(C403:D403)*C394*G394)+SUM(G403,I403,J403,L403,N403)</f>
        <v>120.28189817781866</v>
      </c>
    </row>
    <row r="404" spans="1:15" ht="14.4" x14ac:dyDescent="0.3">
      <c r="B404" s="99" t="s">
        <v>1228</v>
      </c>
      <c r="C404" s="155">
        <f>VLOOKUP("OPEXInsuranceEverythingDefault",Econ.inputsTable!$E$1:$J$89,2,FALSE)</f>
        <v>5.0000000000000001E-3</v>
      </c>
      <c r="D404" s="155">
        <f>VLOOKUP("OPEXRepair and maintenanceAgi-pump, electricDefault",Econ.inputsTable!$E:$I,2,FALSE)</f>
        <v>0.11</v>
      </c>
      <c r="E404"/>
      <c r="F404"/>
      <c r="G404" s="504"/>
      <c r="H404"/>
      <c r="K404"/>
      <c r="L404"/>
      <c r="O404" s="157">
        <f>(SUM(C404:D404)*C395*G395)+SUM(G404,I404,J404,L404,N404)</f>
        <v>1391.5</v>
      </c>
    </row>
    <row r="405" spans="1:15" ht="14.4" x14ac:dyDescent="0.3">
      <c r="B405" s="99" t="s">
        <v>7190</v>
      </c>
      <c r="C405" s="155">
        <f>VLOOKUP("OPEXInsuranceEverythingDefault",Econ.inputsTable!$E$1:$J$89,2,FALSE)</f>
        <v>5.0000000000000001E-3</v>
      </c>
      <c r="D405" s="155">
        <f>VLOOKUP("OPEXRepair and maintenanceEquipmentDefault",Econ.inputsTable!$E:$I,2,FALSE)</f>
        <v>0.03</v>
      </c>
      <c r="E405"/>
      <c r="F405" s="166">
        <f>E386</f>
        <v>138.71116608588275</v>
      </c>
      <c r="G405" s="158">
        <f>F405*E390</f>
        <v>9.5144300671075079</v>
      </c>
      <c r="H405"/>
      <c r="K405"/>
      <c r="L405"/>
      <c r="O405" s="157">
        <f>(SUM(C405:D405)*C396*G396)+SUM(G405,I405,J405,L405,N405)</f>
        <v>60.9644300671075</v>
      </c>
    </row>
    <row r="406" spans="1:15" ht="14.4" x14ac:dyDescent="0.3">
      <c r="A406" t="s">
        <v>5219</v>
      </c>
      <c r="B406" s="162" t="s">
        <v>5203</v>
      </c>
      <c r="C406" s="505"/>
      <c r="D406" s="505"/>
      <c r="E406" s="367">
        <f t="shared" ref="E406:O406" si="7">SUM(E403:E405)</f>
        <v>0</v>
      </c>
      <c r="F406" s="526">
        <f t="shared" si="7"/>
        <v>138.71116608588275</v>
      </c>
      <c r="G406" s="367">
        <f t="shared" si="7"/>
        <v>9.5144300671075079</v>
      </c>
      <c r="H406" s="526">
        <f t="shared" si="7"/>
        <v>0</v>
      </c>
      <c r="I406" s="367">
        <f t="shared" si="7"/>
        <v>0</v>
      </c>
      <c r="J406" s="367">
        <f t="shared" si="7"/>
        <v>0</v>
      </c>
      <c r="K406" s="526">
        <f t="shared" si="7"/>
        <v>0</v>
      </c>
      <c r="L406" s="367">
        <f t="shared" si="7"/>
        <v>0</v>
      </c>
      <c r="M406" s="526">
        <f t="shared" si="7"/>
        <v>0</v>
      </c>
      <c r="N406" s="367">
        <f t="shared" si="7"/>
        <v>0</v>
      </c>
      <c r="O406" s="169">
        <f t="shared" si="7"/>
        <v>1572.7463282449262</v>
      </c>
    </row>
    <row r="407" spans="1:15" ht="14.4" x14ac:dyDescent="0.3">
      <c r="B407" s="99"/>
      <c r="D407"/>
      <c r="E407"/>
      <c r="F407"/>
      <c r="G407"/>
      <c r="H407"/>
      <c r="K407"/>
      <c r="L407"/>
      <c r="O407" s="146"/>
    </row>
    <row r="408" spans="1:15" ht="14.4" x14ac:dyDescent="0.3">
      <c r="A408" t="s">
        <v>5219</v>
      </c>
      <c r="B408" s="149" t="s">
        <v>6980</v>
      </c>
      <c r="C408" s="159">
        <f>SUM(O403:O405)</f>
        <v>1572.7463282449262</v>
      </c>
      <c r="D408" s="150"/>
      <c r="E408" s="150"/>
      <c r="F408" s="150"/>
      <c r="G408" s="150"/>
      <c r="H408" s="150"/>
      <c r="I408" s="150"/>
      <c r="J408" s="150"/>
      <c r="K408" s="150"/>
      <c r="L408" s="150"/>
      <c r="M408" s="150"/>
      <c r="N408" s="150"/>
      <c r="O408" s="151"/>
    </row>
    <row r="409" spans="1:15" ht="15" thickBot="1" x14ac:dyDescent="0.35">
      <c r="A409" s="137"/>
      <c r="B409" s="137"/>
      <c r="C409" s="137"/>
      <c r="D409" s="137"/>
      <c r="E409" s="137"/>
      <c r="F409" s="137"/>
      <c r="G409" s="137"/>
      <c r="H409" s="137"/>
      <c r="I409" s="137"/>
      <c r="J409" s="137"/>
      <c r="K409" s="137"/>
      <c r="L409" s="137"/>
      <c r="M409" s="137"/>
      <c r="N409" s="137"/>
      <c r="O409" s="137"/>
    </row>
    <row r="410" spans="1:15" ht="14.4" x14ac:dyDescent="0.3">
      <c r="D410"/>
      <c r="E410"/>
      <c r="F410"/>
      <c r="G410"/>
      <c r="H410"/>
      <c r="K410"/>
      <c r="L410"/>
    </row>
    <row r="411" spans="1:15" ht="18" x14ac:dyDescent="0.35">
      <c r="B411" s="138" t="s">
        <v>7194</v>
      </c>
      <c r="D411"/>
      <c r="E411"/>
      <c r="F411"/>
      <c r="G411"/>
      <c r="H411" s="355"/>
      <c r="K411"/>
      <c r="L411"/>
    </row>
    <row r="412" spans="1:15" ht="14.4" x14ac:dyDescent="0.3">
      <c r="D412"/>
      <c r="E412"/>
      <c r="F412"/>
      <c r="G412"/>
      <c r="H412"/>
      <c r="K412"/>
      <c r="L412"/>
    </row>
    <row r="413" spans="1:15" ht="14.4" x14ac:dyDescent="0.3">
      <c r="B413" s="139" t="s">
        <v>6942</v>
      </c>
      <c r="C413" s="140"/>
      <c r="D413" s="140"/>
      <c r="E413" s="139"/>
      <c r="F413" s="141"/>
      <c r="G413"/>
      <c r="H413" s="139" t="s">
        <v>7033</v>
      </c>
      <c r="I413" s="142"/>
      <c r="J413" s="141"/>
      <c r="K413"/>
      <c r="L413"/>
    </row>
    <row r="414" spans="1:15" ht="14.4" x14ac:dyDescent="0.3">
      <c r="B414" s="143" t="s">
        <v>2663</v>
      </c>
      <c r="C414" s="144" t="s">
        <v>565</v>
      </c>
      <c r="D414" s="144" t="s">
        <v>6943</v>
      </c>
      <c r="E414" s="143" t="s">
        <v>565</v>
      </c>
      <c r="F414" s="145" t="s">
        <v>6944</v>
      </c>
      <c r="G414"/>
      <c r="H414" s="99" t="s">
        <v>7195</v>
      </c>
      <c r="J414" s="146"/>
      <c r="K414"/>
      <c r="L414"/>
    </row>
    <row r="415" spans="1:15" ht="14.4" x14ac:dyDescent="0.3">
      <c r="B415" s="99" t="s">
        <v>5859</v>
      </c>
      <c r="C415">
        <f>UDV.animal.total</f>
        <v>500</v>
      </c>
      <c r="D415" t="s">
        <v>2442</v>
      </c>
      <c r="E415" s="99">
        <f>C415</f>
        <v>500</v>
      </c>
      <c r="F415" s="146" t="s">
        <v>2442</v>
      </c>
      <c r="G415"/>
      <c r="H415" s="99" t="s">
        <v>7196</v>
      </c>
      <c r="J415" s="146"/>
      <c r="K415"/>
      <c r="L415"/>
    </row>
    <row r="416" spans="1:15" ht="14.4" x14ac:dyDescent="0.3">
      <c r="B416" s="99" t="s">
        <v>6239</v>
      </c>
      <c r="C416" s="147">
        <f>VLOOKUP(B416,$R:$U,3,FALSE)</f>
        <v>2.8937344524219841</v>
      </c>
      <c r="D416" t="s">
        <v>2521</v>
      </c>
      <c r="E416" s="164">
        <f>C416*365</f>
        <v>1056.2130751340242</v>
      </c>
      <c r="F416" s="146" t="s">
        <v>7197</v>
      </c>
      <c r="G416"/>
      <c r="H416" s="99" t="s">
        <v>7198</v>
      </c>
      <c r="J416" s="146"/>
      <c r="K416"/>
      <c r="L416"/>
    </row>
    <row r="417" spans="2:12" ht="14.4" x14ac:dyDescent="0.3">
      <c r="B417" s="99" t="s">
        <v>6240</v>
      </c>
      <c r="C417" s="147">
        <f>VLOOKUP(B417,$R:$U,3,FALSE)</f>
        <v>1</v>
      </c>
      <c r="D417" s="146" t="s">
        <v>2442</v>
      </c>
      <c r="E417" s="147">
        <f>C417</f>
        <v>1</v>
      </c>
      <c r="F417" s="146" t="s">
        <v>2442</v>
      </c>
      <c r="G417"/>
      <c r="H417" s="99" t="s">
        <v>7199</v>
      </c>
      <c r="J417" s="146"/>
      <c r="K417"/>
      <c r="L417"/>
    </row>
    <row r="418" spans="2:12" ht="14.4" x14ac:dyDescent="0.3">
      <c r="B418" s="99" t="s">
        <v>6241</v>
      </c>
      <c r="C418" s="147">
        <f>VLOOKUP(B418,$R:$U,3,FALSE)</f>
        <v>72.343361310549597</v>
      </c>
      <c r="D418" t="s">
        <v>6218</v>
      </c>
      <c r="E418" s="164">
        <f>C418</f>
        <v>72.343361310549597</v>
      </c>
      <c r="F418" s="146" t="s">
        <v>6218</v>
      </c>
      <c r="G418"/>
      <c r="H418" s="149" t="s">
        <v>7201</v>
      </c>
      <c r="I418" s="150"/>
      <c r="J418" s="151"/>
      <c r="K418"/>
      <c r="L418"/>
    </row>
    <row r="419" spans="2:12" ht="14.4" x14ac:dyDescent="0.3">
      <c r="B419" s="99" t="s">
        <v>6242</v>
      </c>
      <c r="C419" s="147"/>
      <c r="D419" s="146" t="s">
        <v>7200</v>
      </c>
      <c r="E419" s="316"/>
      <c r="F419" s="146" t="s">
        <v>6243</v>
      </c>
      <c r="G419" s="34"/>
      <c r="K419"/>
      <c r="L419"/>
    </row>
    <row r="420" spans="2:12" ht="14.4" x14ac:dyDescent="0.3">
      <c r="B420" s="99" t="s">
        <v>6242</v>
      </c>
      <c r="C420" s="147"/>
      <c r="D420" s="146" t="s">
        <v>7200</v>
      </c>
      <c r="E420" s="316"/>
      <c r="F420" s="146" t="s">
        <v>7202</v>
      </c>
      <c r="G420" s="34"/>
      <c r="H420"/>
      <c r="K420"/>
      <c r="L420"/>
    </row>
    <row r="421" spans="2:12" ht="14.4" x14ac:dyDescent="0.3">
      <c r="B421" s="99" t="s">
        <v>7203</v>
      </c>
      <c r="C421" s="153"/>
      <c r="D421" t="s">
        <v>7204</v>
      </c>
      <c r="E421" s="99">
        <f>UDV.econ_methane.fate</f>
        <v>0</v>
      </c>
      <c r="F421" s="146" t="s">
        <v>7205</v>
      </c>
      <c r="G421" s="34"/>
      <c r="H421" s="139" t="s">
        <v>7206</v>
      </c>
      <c r="I421" s="142"/>
      <c r="J421" s="142"/>
      <c r="K421" s="141"/>
      <c r="L421"/>
    </row>
    <row r="422" spans="2:12" ht="14.4" x14ac:dyDescent="0.3">
      <c r="B422" s="99" t="s">
        <v>1302</v>
      </c>
      <c r="C422" s="153"/>
      <c r="D422" t="s">
        <v>7207</v>
      </c>
      <c r="E422" s="178">
        <f>UDV.econ_elec.connected</f>
        <v>0</v>
      </c>
      <c r="F422" s="146" t="s">
        <v>7208</v>
      </c>
      <c r="G422" s="34"/>
      <c r="H422" s="99">
        <v>0.71699999999999997</v>
      </c>
      <c r="I422" t="s">
        <v>7209</v>
      </c>
      <c r="J422">
        <v>1</v>
      </c>
      <c r="K422" s="146" t="s">
        <v>676</v>
      </c>
      <c r="L422"/>
    </row>
    <row r="423" spans="2:12" ht="14.4" x14ac:dyDescent="0.3">
      <c r="B423" s="99" t="s">
        <v>7210</v>
      </c>
      <c r="C423" s="153"/>
      <c r="D423" t="s">
        <v>7207</v>
      </c>
      <c r="E423" s="178">
        <f>UDV.econ_cng.connected</f>
        <v>0</v>
      </c>
      <c r="F423" s="146" t="s">
        <v>7208</v>
      </c>
      <c r="G423" s="34"/>
      <c r="H423" s="99">
        <v>1</v>
      </c>
      <c r="I423" t="s">
        <v>2478</v>
      </c>
      <c r="J423">
        <v>35.314700000000002</v>
      </c>
      <c r="K423" s="146" t="s">
        <v>2479</v>
      </c>
      <c r="L423"/>
    </row>
    <row r="424" spans="2:12" ht="14.4" x14ac:dyDescent="0.3">
      <c r="B424" s="99" t="s">
        <v>7211</v>
      </c>
      <c r="C424" s="147"/>
      <c r="D424" s="146" t="s">
        <v>7212</v>
      </c>
      <c r="E424">
        <f>C424*365</f>
        <v>0</v>
      </c>
      <c r="F424" s="146" t="s">
        <v>7135</v>
      </c>
      <c r="G424" s="34"/>
      <c r="H424" s="149">
        <v>1</v>
      </c>
      <c r="I424" s="150" t="s">
        <v>2557</v>
      </c>
      <c r="J424" s="150">
        <v>1000</v>
      </c>
      <c r="K424" s="151" t="s">
        <v>2479</v>
      </c>
      <c r="L424"/>
    </row>
    <row r="425" spans="2:12" ht="14.4" x14ac:dyDescent="0.3">
      <c r="B425" s="99" t="s">
        <v>7183</v>
      </c>
      <c r="C425" s="148">
        <f>VLOOKUP(B425,R35:U352,3,FALSE)</f>
        <v>0</v>
      </c>
      <c r="D425" s="146" t="s">
        <v>7213</v>
      </c>
      <c r="E425" s="148"/>
      <c r="F425" s="146" t="s">
        <v>7213</v>
      </c>
      <c r="G425"/>
      <c r="H425"/>
      <c r="K425"/>
      <c r="L425"/>
    </row>
    <row r="426" spans="2:12" ht="14.4" x14ac:dyDescent="0.3">
      <c r="B426" s="99" t="s">
        <v>7184</v>
      </c>
      <c r="C426" s="148">
        <f>VLOOKUP(B426,R35:U352,3,FALSE)</f>
        <v>0</v>
      </c>
      <c r="D426" s="146" t="s">
        <v>7213</v>
      </c>
      <c r="E426" s="148"/>
      <c r="F426" s="146" t="s">
        <v>7213</v>
      </c>
      <c r="G426"/>
      <c r="H426"/>
      <c r="K426"/>
      <c r="L426"/>
    </row>
    <row r="427" spans="2:12" ht="14.4" x14ac:dyDescent="0.3">
      <c r="B427" s="99"/>
      <c r="D427" s="146"/>
      <c r="E427" s="148"/>
      <c r="F427" s="146"/>
      <c r="G427" s="34"/>
      <c r="H427"/>
      <c r="K427"/>
      <c r="L427"/>
    </row>
    <row r="428" spans="2:12" ht="14.4" x14ac:dyDescent="0.3">
      <c r="B428" s="92" t="s">
        <v>6996</v>
      </c>
      <c r="C428" s="78"/>
      <c r="D428"/>
      <c r="E428" s="99"/>
      <c r="F428" s="146"/>
      <c r="G428" s="34"/>
      <c r="H428" s="341" t="s">
        <v>7214</v>
      </c>
      <c r="I428" s="527"/>
      <c r="J428" s="527"/>
      <c r="K428" s="391"/>
      <c r="L428"/>
    </row>
    <row r="429" spans="2:12" ht="14.4" x14ac:dyDescent="0.3">
      <c r="B429" s="143" t="s">
        <v>2663</v>
      </c>
      <c r="C429" s="144"/>
      <c r="D429" s="144"/>
      <c r="E429" s="143" t="s">
        <v>565</v>
      </c>
      <c r="F429" s="145" t="s">
        <v>6944</v>
      </c>
      <c r="G429" s="34"/>
      <c r="H429" s="341" t="s">
        <v>7242</v>
      </c>
      <c r="I429" s="527"/>
      <c r="J429" s="527"/>
      <c r="K429" s="391"/>
      <c r="L429"/>
    </row>
    <row r="430" spans="2:12" ht="14.4" x14ac:dyDescent="0.3">
      <c r="B430" s="99" t="s">
        <v>6998</v>
      </c>
      <c r="D430"/>
      <c r="E430" s="348">
        <f>UDV.labor.non_specialized_cost</f>
        <v>23.66</v>
      </c>
      <c r="F430" s="146" t="s">
        <v>3659</v>
      </c>
      <c r="G430" s="34"/>
      <c r="H430"/>
      <c r="K430"/>
      <c r="L430"/>
    </row>
    <row r="431" spans="2:12" ht="14.4" x14ac:dyDescent="0.3">
      <c r="B431" s="99" t="s">
        <v>7077</v>
      </c>
      <c r="D431" s="146"/>
      <c r="E431" s="348">
        <f>UDV.labor.specialized_cost</f>
        <v>48.82</v>
      </c>
      <c r="F431" s="146" t="s">
        <v>3659</v>
      </c>
      <c r="G431"/>
      <c r="H431"/>
      <c r="K431"/>
      <c r="L431"/>
    </row>
    <row r="432" spans="2:12" ht="14.4" x14ac:dyDescent="0.3">
      <c r="B432" s="99" t="s">
        <v>7076</v>
      </c>
      <c r="D432" s="146"/>
      <c r="E432" s="358">
        <f>UDV.electricity.avg_cost</f>
        <v>6.8591666666666662E-2</v>
      </c>
      <c r="F432" s="146" t="s">
        <v>2306</v>
      </c>
      <c r="G432"/>
      <c r="H432"/>
      <c r="K432"/>
      <c r="L432"/>
    </row>
    <row r="433" spans="1:16" ht="14.4" x14ac:dyDescent="0.3">
      <c r="B433" s="149" t="s">
        <v>7215</v>
      </c>
      <c r="C433" s="150"/>
      <c r="D433" s="151"/>
      <c r="E433" s="497">
        <f>UDV.fuel.naturalgas_avg_cost</f>
        <v>5.544999999999999</v>
      </c>
      <c r="F433" s="151" t="s">
        <v>2311</v>
      </c>
      <c r="G433" s="34"/>
      <c r="H433"/>
      <c r="K433"/>
      <c r="L433"/>
    </row>
    <row r="434" spans="1:16" ht="14.4" x14ac:dyDescent="0.3">
      <c r="C434" s="153"/>
      <c r="D434"/>
      <c r="E434"/>
      <c r="F434"/>
      <c r="G434"/>
      <c r="H434"/>
      <c r="K434"/>
      <c r="L434"/>
    </row>
    <row r="435" spans="1:16" ht="28.8" x14ac:dyDescent="0.3">
      <c r="B435" s="361" t="s">
        <v>6946</v>
      </c>
      <c r="C435" s="362" t="s">
        <v>6947</v>
      </c>
      <c r="D435" s="362" t="s">
        <v>6948</v>
      </c>
      <c r="E435" s="362" t="s">
        <v>6949</v>
      </c>
      <c r="F435" s="362" t="s">
        <v>6950</v>
      </c>
      <c r="G435" s="362" t="s">
        <v>6951</v>
      </c>
      <c r="H435" s="362" t="s">
        <v>6952</v>
      </c>
      <c r="I435" s="362" t="s">
        <v>6953</v>
      </c>
      <c r="J435" s="362" t="s">
        <v>6954</v>
      </c>
      <c r="K435" s="362" t="s">
        <v>6955</v>
      </c>
      <c r="L435" s="362" t="s">
        <v>6956</v>
      </c>
      <c r="M435" s="140" t="s">
        <v>6957</v>
      </c>
      <c r="N435" s="140" t="s">
        <v>6958</v>
      </c>
      <c r="O435" s="362" t="s">
        <v>6959</v>
      </c>
    </row>
    <row r="436" spans="1:16" ht="14.4" x14ac:dyDescent="0.3">
      <c r="A436" t="s">
        <v>7216</v>
      </c>
      <c r="B436" s="99" t="s">
        <v>3086</v>
      </c>
      <c r="C436" s="158">
        <f>((VLOOKUP("Anaerobic digester systema",Econ.Equations!$C:$E,2,FALSE)*E418^VLOOKUP("Anaerobic digester systemb",Econ.Equations!$C:$E,2,FALSE))*E418)*E417</f>
        <v>1437714.8712763968</v>
      </c>
      <c r="D436">
        <f>VLOOKUP("CAPEXLifetimeEquipmentDefault",Econ.inputsTable!$E:$G,2,FALSE)</f>
        <v>10</v>
      </c>
      <c r="E436" t="s">
        <v>2852</v>
      </c>
      <c r="F436" t="s">
        <v>2852</v>
      </c>
      <c r="G436" s="154">
        <f>VLOOKUP("CAPEXAnnual usage on activityItems that are used only on the given activityDefault",Econ.inputsTable!$E:$I,2,FALSE)</f>
        <v>1</v>
      </c>
      <c r="H436" s="503">
        <f>UDV.econ_capital.interest_rate</f>
        <v>5.0999999999999997E-2</v>
      </c>
      <c r="I436" s="154">
        <f>VLOOKUP("CAPEXSalvageEquipmentDefault",Econ.inputsTable!$E:$G,2,FALSE)</f>
        <v>0.2</v>
      </c>
      <c r="J436" s="153">
        <f>C436*I436</f>
        <v>287542.97425527935</v>
      </c>
      <c r="K436" s="154">
        <f>VLOOKUP("CAPEXFinanced amountNADefault", Econ.inputsTable!$E:$I,2,FALSE)</f>
        <v>1</v>
      </c>
      <c r="L436" s="364">
        <f>H436*K436</f>
        <v>5.0999999999999997E-2</v>
      </c>
      <c r="M436" s="351">
        <f>L436/(1-(1+L436)^-D436)</f>
        <v>0.13013423257204779</v>
      </c>
      <c r="N436" s="153">
        <f>((C436-J436)*M436)+(J436*L436)</f>
        <v>164341.42883179875</v>
      </c>
      <c r="O436" s="153">
        <f>G436*N436</f>
        <v>164341.42883179875</v>
      </c>
    </row>
    <row r="437" spans="1:16" ht="14.4" x14ac:dyDescent="0.3">
      <c r="A437" t="s">
        <v>7216</v>
      </c>
      <c r="B437" s="99" t="s">
        <v>2681</v>
      </c>
      <c r="C437" s="158">
        <f>IF(E421=1,((VLOOKUP("Combined heat and powera",Econ.Equations!$C:$E,2,FALSE)*E418^VLOOKUP("Combined heat and powerb",Econ.Equations!$C:$E,2,FALSE))*E418),0)</f>
        <v>0</v>
      </c>
      <c r="D437">
        <f>VLOOKUP("CAPEXLifetimeEquipmentDefault",Econ.inputsTable!$E:$G,2,FALSE)</f>
        <v>10</v>
      </c>
      <c r="E437" t="s">
        <v>2852</v>
      </c>
      <c r="F437" t="s">
        <v>2852</v>
      </c>
      <c r="G437" s="154">
        <f>VLOOKUP("CAPEXAnnual usage on activityItems that are used only on the given activityDefault",Econ.inputsTable!$E:$I,2,FALSE)</f>
        <v>1</v>
      </c>
      <c r="H437" s="503">
        <f>UDV.econ_capital.interest_rate</f>
        <v>5.0999999999999997E-2</v>
      </c>
      <c r="I437" s="154">
        <f>VLOOKUP("CAPEXSalvageEquipmentDefault",Econ.inputsTable!$E:$G,2,FALSE)</f>
        <v>0.2</v>
      </c>
      <c r="J437" s="153">
        <f>C437*I437</f>
        <v>0</v>
      </c>
      <c r="K437" s="154">
        <f>VLOOKUP("CAPEXFinanced amountNADefault", Econ.inputsTable!$E:$I,2,FALSE)</f>
        <v>1</v>
      </c>
      <c r="L437" s="364">
        <f>H437*K437</f>
        <v>5.0999999999999997E-2</v>
      </c>
      <c r="M437" s="351">
        <f>L437/(1-(1+L437)^-D437)</f>
        <v>0.13013423257204779</v>
      </c>
      <c r="N437" s="153">
        <f>((C437-J437)*M437)+(J437*L437)</f>
        <v>0</v>
      </c>
      <c r="O437" s="153">
        <f>G437*N437</f>
        <v>0</v>
      </c>
      <c r="P437" s="146"/>
    </row>
    <row r="438" spans="1:16" ht="14.4" x14ac:dyDescent="0.3">
      <c r="A438" t="s">
        <v>7216</v>
      </c>
      <c r="B438" s="99" t="s">
        <v>7217</v>
      </c>
      <c r="C438" s="153">
        <f>IF(E422=1,(VLOOKUP("CHP utility connectionDefault",Econ.Tables!$C:$E,2,FALSE)),0)</f>
        <v>0</v>
      </c>
      <c r="D438">
        <f>VLOOKUP("CAPEXLifetimeEquipmentDefault",Econ.inputsTable!$E:$G,2,FALSE)</f>
        <v>10</v>
      </c>
      <c r="E438" t="s">
        <v>2852</v>
      </c>
      <c r="F438" t="s">
        <v>2852</v>
      </c>
      <c r="G438" s="154">
        <f>VLOOKUP("CAPEXAnnual usage on activityItems that are used only on the given activityDefault",Econ.inputsTable!$E:$I,2,FALSE)</f>
        <v>1</v>
      </c>
      <c r="H438" s="503">
        <f>UDV.econ_capital.interest_rate</f>
        <v>5.0999999999999997E-2</v>
      </c>
      <c r="I438" s="154">
        <f>VLOOKUP("CAPEXSalvageEquipmentDefault",Econ.inputsTable!$E:$G,2,FALSE)</f>
        <v>0.2</v>
      </c>
      <c r="J438" s="153">
        <f>C438*I438</f>
        <v>0</v>
      </c>
      <c r="K438" s="154">
        <f>VLOOKUP("CAPEXFinanced amountNADefault", Econ.inputsTable!$E:$I,2,FALSE)</f>
        <v>1</v>
      </c>
      <c r="L438" s="364">
        <f>H438*K438</f>
        <v>5.0999999999999997E-2</v>
      </c>
      <c r="M438" s="351">
        <f>L438/(1-(1+L438)^-D438)</f>
        <v>0.13013423257204779</v>
      </c>
      <c r="N438" s="153">
        <f>((C438-J438)*M438)+(J438*L438)</f>
        <v>0</v>
      </c>
      <c r="O438" s="153">
        <f>G438*N438</f>
        <v>0</v>
      </c>
      <c r="P438" s="146"/>
    </row>
    <row r="439" spans="1:16" ht="14.4" x14ac:dyDescent="0.3">
      <c r="A439" t="s">
        <v>7216</v>
      </c>
      <c r="B439" s="99" t="s">
        <v>2690</v>
      </c>
      <c r="C439" s="153">
        <f>IF(E421=2,(VLOOKUP("Compressed natural gasa",Econ.Equations!$C:$E,2,FALSE)*E419^VLOOKUP("Compressed natural gasb",Econ.Equations!$C:$E,2,FALSE)*E419),0)</f>
        <v>0</v>
      </c>
      <c r="D439">
        <f>VLOOKUP("CAPEXLifetimeEquipmentDefault",Econ.inputsTable!$E:$G,2,FALSE)</f>
        <v>10</v>
      </c>
      <c r="E439" t="s">
        <v>2852</v>
      </c>
      <c r="F439" t="s">
        <v>2852</v>
      </c>
      <c r="G439" s="154">
        <f>VLOOKUP("CAPEXAnnual usage on activityItems that are used only on the given activityDefault",Econ.inputsTable!$E:$I,2,FALSE)</f>
        <v>1</v>
      </c>
      <c r="H439" s="503">
        <f>UDV.econ_capital.interest_rate</f>
        <v>5.0999999999999997E-2</v>
      </c>
      <c r="I439" s="154">
        <f>VLOOKUP("CAPEXSalvageEquipmentDefault",Econ.inputsTable!$E:$G,2,FALSE)</f>
        <v>0.2</v>
      </c>
      <c r="J439" s="153">
        <f>C439*I439</f>
        <v>0</v>
      </c>
      <c r="K439" s="154">
        <f>VLOOKUP("CAPEXFinanced amountNADefault", Econ.inputsTable!$E:$I,2,FALSE)</f>
        <v>1</v>
      </c>
      <c r="L439" s="364">
        <f>H439*K439</f>
        <v>5.0999999999999997E-2</v>
      </c>
      <c r="M439" s="351">
        <f>L439/(1-(1+L439)^-D439)</f>
        <v>0.13013423257204779</v>
      </c>
      <c r="N439" s="153">
        <f>((C439-J439)*M439)+(J439*L439)</f>
        <v>0</v>
      </c>
      <c r="O439" s="153">
        <f>G439*N439</f>
        <v>0</v>
      </c>
      <c r="P439" s="146"/>
    </row>
    <row r="440" spans="1:16" ht="14.4" x14ac:dyDescent="0.3">
      <c r="A440" t="s">
        <v>7216</v>
      </c>
      <c r="B440" s="99" t="s">
        <v>2697</v>
      </c>
      <c r="C440" s="153">
        <f>IF(E423=1,(VLOOKUP("Compressed natural gas utility connectiona",Econ.Equations!$C:$E,2,FALSE)*E419^VLOOKUP("Compressed natural gas utility connectionb",Econ.Equations!$C:$E,2,FALSE)*E419),0)</f>
        <v>0</v>
      </c>
      <c r="D440">
        <f>VLOOKUP("CAPEXLifetimeEquipmentDefault",Econ.inputsTable!$E:$G,2,FALSE)</f>
        <v>10</v>
      </c>
      <c r="E440" t="s">
        <v>2852</v>
      </c>
      <c r="F440" t="s">
        <v>2852</v>
      </c>
      <c r="G440" s="154">
        <f>VLOOKUP("CAPEXAnnual usage on activityItems that are used only on the given activityDefault",Econ.inputsTable!$E:$I,2,FALSE)</f>
        <v>1</v>
      </c>
      <c r="H440" s="503">
        <f>UDV.econ_capital.interest_rate</f>
        <v>5.0999999999999997E-2</v>
      </c>
      <c r="I440" s="154">
        <f>VLOOKUP("CAPEXSalvageBuildings and constructionDefault", Econ.inputsTable!$E:$I,2,FALSE)</f>
        <v>0</v>
      </c>
      <c r="J440" s="153">
        <f>C440*I440</f>
        <v>0</v>
      </c>
      <c r="K440" s="154">
        <f>VLOOKUP("CAPEXFinanced amountNADefault", Econ.inputsTable!$E:$I,2,FALSE)</f>
        <v>1</v>
      </c>
      <c r="L440" s="364">
        <f>H440*K440</f>
        <v>5.0999999999999997E-2</v>
      </c>
      <c r="M440" s="351">
        <f>L440/(1-(1+L440)^-D440)</f>
        <v>0.13013423257204779</v>
      </c>
      <c r="N440" s="153">
        <f>((C440-J440)*M440)+(J440*L440)</f>
        <v>0</v>
      </c>
      <c r="O440" s="153">
        <f>G440*N440</f>
        <v>0</v>
      </c>
      <c r="P440" s="146"/>
    </row>
    <row r="441" spans="1:16" ht="14.4" x14ac:dyDescent="0.3">
      <c r="B441" s="99"/>
      <c r="D441"/>
      <c r="E441"/>
      <c r="F441"/>
      <c r="G441"/>
      <c r="H441"/>
      <c r="K441"/>
      <c r="L441"/>
      <c r="P441" s="146"/>
    </row>
    <row r="442" spans="1:16" ht="14.4" x14ac:dyDescent="0.3">
      <c r="B442" s="99"/>
      <c r="C442" s="82" t="s">
        <v>6962</v>
      </c>
      <c r="D442" s="82" t="s">
        <v>6963</v>
      </c>
      <c r="E442"/>
      <c r="F442"/>
      <c r="G442"/>
      <c r="H442"/>
      <c r="K442"/>
      <c r="L442"/>
      <c r="P442" s="146"/>
    </row>
    <row r="443" spans="1:16" ht="14.4" x14ac:dyDescent="0.3">
      <c r="A443" t="s">
        <v>5220</v>
      </c>
      <c r="B443" s="99" t="s">
        <v>6964</v>
      </c>
      <c r="C443" s="153">
        <f>SUM(C436:C440)</f>
        <v>1437714.8712763968</v>
      </c>
      <c r="D443" s="158">
        <f>SUMPRODUCT(C436:C440,G436:G440)</f>
        <v>1437714.8712763968</v>
      </c>
      <c r="E443"/>
      <c r="F443"/>
      <c r="G443"/>
      <c r="H443"/>
      <c r="K443"/>
      <c r="L443"/>
      <c r="P443" s="146"/>
    </row>
    <row r="444" spans="1:16" ht="14.4" x14ac:dyDescent="0.3">
      <c r="A444" t="s">
        <v>5220</v>
      </c>
      <c r="B444" s="99" t="s">
        <v>6965</v>
      </c>
      <c r="C444" s="159">
        <f>SUM(N436:N440)</f>
        <v>164341.42883179875</v>
      </c>
      <c r="D444" s="159">
        <f>SUMPRODUCT(N436:N440,G436:G440)</f>
        <v>164341.42883179875</v>
      </c>
      <c r="E444" s="150"/>
      <c r="F444" s="150"/>
      <c r="G444" s="150"/>
      <c r="H444" s="150"/>
      <c r="I444" s="150"/>
      <c r="J444" s="150"/>
      <c r="K444" s="150"/>
      <c r="L444" s="150"/>
      <c r="M444" s="150"/>
      <c r="N444" s="150"/>
      <c r="O444" s="150"/>
      <c r="P444" s="151"/>
    </row>
    <row r="445" spans="1:16" ht="14.4" x14ac:dyDescent="0.3">
      <c r="C445" s="142"/>
      <c r="D445" s="142"/>
      <c r="E445" s="142"/>
      <c r="F445" s="142"/>
      <c r="G445" s="142"/>
      <c r="H445" s="142"/>
      <c r="I445" s="142"/>
      <c r="J445" s="142"/>
      <c r="K445" s="142"/>
      <c r="L445" s="142"/>
      <c r="M445" s="142"/>
      <c r="N445" s="142"/>
      <c r="O445" s="142"/>
      <c r="P445" s="141"/>
    </row>
    <row r="446" spans="1:16" ht="43.2" x14ac:dyDescent="0.3">
      <c r="B446" s="498" t="s">
        <v>6966</v>
      </c>
      <c r="C446" s="362" t="s">
        <v>6967</v>
      </c>
      <c r="D446" s="362" t="s">
        <v>6968</v>
      </c>
      <c r="E446" s="362" t="s">
        <v>6969</v>
      </c>
      <c r="F446" s="362" t="s">
        <v>6970</v>
      </c>
      <c r="G446" s="362" t="s">
        <v>7218</v>
      </c>
      <c r="H446" s="362" t="s">
        <v>6972</v>
      </c>
      <c r="I446" s="362" t="s">
        <v>6973</v>
      </c>
      <c r="J446" s="362" t="s">
        <v>6974</v>
      </c>
      <c r="K446" s="362" t="s">
        <v>6975</v>
      </c>
      <c r="L446" s="362" t="s">
        <v>6976</v>
      </c>
      <c r="M446" s="362" t="s">
        <v>6977</v>
      </c>
      <c r="N446" s="362" t="s">
        <v>6978</v>
      </c>
      <c r="O446" s="362" t="s">
        <v>6979</v>
      </c>
      <c r="P446" s="363" t="s">
        <v>7219</v>
      </c>
    </row>
    <row r="447" spans="1:16" ht="14.4" x14ac:dyDescent="0.3">
      <c r="B447" s="99" t="s">
        <v>3086</v>
      </c>
      <c r="C447" s="236">
        <f>VLOOKUP("OPEXInsuranceEverythingDefault",Econ.inputsTable!$E$1:$J$209,2,FALSE)</f>
        <v>5.0000000000000001E-3</v>
      </c>
      <c r="D447" s="236">
        <f>VLOOKUP("OPEXRepair and maintenanceAnaerobic digesterDefault",Econ.inputsTable!$E:$H,2,FALSE)</f>
        <v>0.05</v>
      </c>
      <c r="E447"/>
      <c r="F447"/>
      <c r="G447"/>
      <c r="H447"/>
      <c r="K447" s="166">
        <f>VLOOKUP("AD system operational laborm",Econ.Equations!$C:$E,2,FALSE)*E416+VLOOKUP("AD system operational laborb",Econ.Equations!$C:$E,2,FALSE)</f>
        <v>19.273970460107218</v>
      </c>
      <c r="L447" s="233">
        <f>K447*E430</f>
        <v>456.0221410861368</v>
      </c>
      <c r="M447" s="153"/>
      <c r="O447" s="373">
        <f>(SUM(C447:D447,P447)*C436*G436)+SUM(E447,G447,I447,J447,L447,N447)</f>
        <v>79530.340061287963</v>
      </c>
      <c r="P447" s="146"/>
    </row>
    <row r="448" spans="1:16" ht="14.4" x14ac:dyDescent="0.3">
      <c r="B448" s="99" t="s">
        <v>2681</v>
      </c>
      <c r="C448" s="236">
        <f>VLOOKUP("OPEXInsuranceEverythingDefault",Econ.inputsTable!$E$1:$J$209,2,FALSE)</f>
        <v>5.0000000000000001E-3</v>
      </c>
      <c r="D448" s="236">
        <f>VLOOKUP("OPEXRepair and maintenanceElectricity generation equipmentDefault",Econ.inputsTable!$E:$H,2,FALSE)</f>
        <v>0.06</v>
      </c>
      <c r="E448"/>
      <c r="F448"/>
      <c r="G448" s="233">
        <f>IF(E421="CHP",((VLOOKUP("CHP energy inputsa",Econ.Equations!$C:$E,2,FALSE)*E416^VLOOKUP("CHP energy inputsb",Econ.Equations!$C:$E,2,FALSE))*E416),0)</f>
        <v>0</v>
      </c>
      <c r="H448"/>
      <c r="K448"/>
      <c r="L448"/>
      <c r="M448" s="166">
        <f>IF(E421="CHP",(VLOOKUP("CHP operational laborm",Econ.Equations!$C:$E,2,FALSE)*E416+VLOOKUP("CHP operational laborb",Econ.Equations!$C:$E,2,FALSE)),0)</f>
        <v>0</v>
      </c>
      <c r="N448" s="233">
        <f>M448*E431</f>
        <v>0</v>
      </c>
      <c r="O448" s="373">
        <f>(SUM(C448:D448,P448)*C437*G437)+SUM(E448,G448,I448,J448,L448,N448)</f>
        <v>0</v>
      </c>
      <c r="P448" s="528">
        <f>VLOOKUP("OPEXSystem operationsElectricity generation equipmentDefault",Econ.inputsTable!$E:$H,2,FALSE)</f>
        <v>0.03</v>
      </c>
    </row>
    <row r="449" spans="1:16" ht="14.4" x14ac:dyDescent="0.3">
      <c r="B449" s="99" t="s">
        <v>7217</v>
      </c>
      <c r="C449" s="236">
        <f>VLOOKUP("OPEXInsuranceEverythingDefault",Econ.inputsTable!$E$1:$J$209,2,FALSE)</f>
        <v>5.0000000000000001E-3</v>
      </c>
      <c r="D449" s="236"/>
      <c r="E449"/>
      <c r="F449"/>
      <c r="G449" s="153"/>
      <c r="H449"/>
      <c r="K449"/>
      <c r="L449"/>
      <c r="M449" s="153"/>
      <c r="O449" s="373">
        <f>((SUM(C449:D449,P449)*C438*G438)+SUM(E449,G449,I449,J449,L449,N449))</f>
        <v>0</v>
      </c>
      <c r="P449" s="146"/>
    </row>
    <row r="450" spans="1:16" ht="14.4" x14ac:dyDescent="0.3">
      <c r="B450" s="99" t="s">
        <v>2690</v>
      </c>
      <c r="C450" s="236">
        <f>VLOOKUP("OPEXInsuranceEverythingDefault",Econ.inputsTable!$E$1:$J$209,2,FALSE)</f>
        <v>5.0000000000000001E-3</v>
      </c>
      <c r="D450" s="236">
        <f>VLOOKUP("OPEXRepair and maintenanceCNG equipmentDefault",Econ.inputsTable!$E:$H,2,FALSE)</f>
        <v>1.2999999999999999E-2</v>
      </c>
      <c r="E450"/>
      <c r="F450"/>
      <c r="G450" s="153">
        <f>IF(E421="CNG",(VLOOKUP("CNG energy inputsDefault",Econ.Tables!$C:$E,2,FALSE)*E416),0)</f>
        <v>0</v>
      </c>
      <c r="H450"/>
      <c r="K450"/>
      <c r="L450"/>
      <c r="M450" s="166">
        <f>IF(E421="CNG",(VLOOKUP("CNG operational laborm",Econ.Equations!$C:$E,2,FALSE)*E416+VLOOKUP("CNG operational laborb",Econ.Equations!$C:$E,2,FALSE)),0)</f>
        <v>0</v>
      </c>
      <c r="N450" s="233">
        <f>M450*E431</f>
        <v>0</v>
      </c>
      <c r="O450" s="373">
        <f>(SUM(C450:D450,P450)*C439*G439)+SUM(E450,G450,I450,J450,L450,N450)</f>
        <v>0</v>
      </c>
      <c r="P450" s="146"/>
    </row>
    <row r="451" spans="1:16" ht="14.4" x14ac:dyDescent="0.3">
      <c r="B451" s="99" t="s">
        <v>2697</v>
      </c>
      <c r="C451" s="236">
        <f>VLOOKUP("OPEXInsuranceEverythingDefault",Econ.inputsTable!$E$1:$J$209,2,FALSE)</f>
        <v>5.0000000000000001E-3</v>
      </c>
      <c r="D451" s="236"/>
      <c r="E451"/>
      <c r="F451"/>
      <c r="G451" s="153"/>
      <c r="H451"/>
      <c r="K451"/>
      <c r="L451"/>
      <c r="M451" s="153"/>
      <c r="O451" s="373">
        <f>(SUM(C451:D451,P451)*C440*G440)+SUM(E451,G451,I451,J451,L451,N451)</f>
        <v>0</v>
      </c>
      <c r="P451" s="146"/>
    </row>
    <row r="452" spans="1:16" ht="14.4" x14ac:dyDescent="0.3">
      <c r="A452" t="s">
        <v>5220</v>
      </c>
      <c r="B452" s="162" t="s">
        <v>5203</v>
      </c>
      <c r="C452" s="163"/>
      <c r="D452" s="366"/>
      <c r="E452" s="163"/>
      <c r="F452" s="163"/>
      <c r="G452" s="163"/>
      <c r="H452" s="163"/>
      <c r="I452" s="163"/>
      <c r="J452" s="163"/>
      <c r="K452" s="163"/>
      <c r="L452" s="529"/>
      <c r="M452" s="163"/>
      <c r="N452" s="163"/>
      <c r="O452" s="163"/>
      <c r="P452" s="530"/>
    </row>
    <row r="453" spans="1:16" ht="13.5" customHeight="1" x14ac:dyDescent="0.3">
      <c r="B453" s="99"/>
      <c r="P453" s="146"/>
    </row>
    <row r="454" spans="1:16" ht="14.4" x14ac:dyDescent="0.3">
      <c r="A454" t="s">
        <v>5220</v>
      </c>
      <c r="B454" s="99" t="s">
        <v>6980</v>
      </c>
      <c r="C454" s="159">
        <f>SUM(O447:O451)</f>
        <v>79530.340061287963</v>
      </c>
      <c r="D454" s="150"/>
      <c r="E454" s="288"/>
      <c r="F454" s="2130"/>
      <c r="G454" s="2114"/>
      <c r="H454" s="2115"/>
      <c r="I454" s="150"/>
      <c r="J454" s="150"/>
      <c r="K454" s="2114"/>
      <c r="L454" s="2114"/>
      <c r="M454" s="150"/>
      <c r="N454" s="150"/>
      <c r="O454" s="150"/>
      <c r="P454" s="151"/>
    </row>
    <row r="455" spans="1:16" ht="14.4" x14ac:dyDescent="0.3">
      <c r="D455"/>
    </row>
    <row r="456" spans="1:16" ht="14.4" x14ac:dyDescent="0.3">
      <c r="B456" s="139" t="s">
        <v>7220</v>
      </c>
      <c r="C456" s="142"/>
      <c r="D456" s="142"/>
      <c r="E456" s="267"/>
      <c r="F456" s="268"/>
      <c r="G456" s="269"/>
      <c r="H456" s="270"/>
      <c r="I456" s="142"/>
      <c r="J456" s="142"/>
      <c r="K456" s="269"/>
      <c r="L456" s="269"/>
      <c r="M456" s="142"/>
      <c r="N456" s="142"/>
      <c r="O456" s="142"/>
      <c r="P456" s="141"/>
    </row>
    <row r="457" spans="1:16" ht="14.4" x14ac:dyDescent="0.3">
      <c r="A457" t="s">
        <v>5220</v>
      </c>
      <c r="B457" s="99" t="s">
        <v>7221</v>
      </c>
      <c r="C457" s="166"/>
      <c r="D457" t="s">
        <v>4888</v>
      </c>
      <c r="P457" s="146"/>
    </row>
    <row r="458" spans="1:16" ht="14.4" x14ac:dyDescent="0.3">
      <c r="A458" t="s">
        <v>5220</v>
      </c>
      <c r="B458" s="99" t="s">
        <v>7222</v>
      </c>
      <c r="C458" s="166"/>
      <c r="D458" t="s">
        <v>7223</v>
      </c>
      <c r="P458" s="146"/>
    </row>
    <row r="459" spans="1:16" ht="14.4" x14ac:dyDescent="0.3">
      <c r="B459" s="99"/>
      <c r="D459"/>
      <c r="P459" s="146"/>
    </row>
    <row r="460" spans="1:16" ht="14.4" x14ac:dyDescent="0.3">
      <c r="B460" s="531" t="s">
        <v>7104</v>
      </c>
      <c r="C460" t="s">
        <v>5745</v>
      </c>
      <c r="D460"/>
      <c r="P460" s="146"/>
    </row>
    <row r="461" spans="1:16" ht="14.4" x14ac:dyDescent="0.3">
      <c r="A461" t="s">
        <v>5220</v>
      </c>
      <c r="B461" s="99" t="s">
        <v>7224</v>
      </c>
      <c r="C461" s="532"/>
      <c r="D461" s="533"/>
      <c r="P461" s="146"/>
    </row>
    <row r="462" spans="1:16" ht="14.4" x14ac:dyDescent="0.3">
      <c r="A462" t="s">
        <v>5220</v>
      </c>
      <c r="B462" s="99" t="s">
        <v>7225</v>
      </c>
      <c r="C462" s="532"/>
      <c r="D462"/>
      <c r="P462" s="146"/>
    </row>
    <row r="463" spans="1:16" ht="14.4" x14ac:dyDescent="0.3">
      <c r="B463" s="99"/>
      <c r="C463" s="532"/>
      <c r="D463"/>
      <c r="P463" s="146"/>
    </row>
    <row r="464" spans="1:16" ht="14.4" x14ac:dyDescent="0.3">
      <c r="A464" t="s">
        <v>5220</v>
      </c>
      <c r="B464" s="99" t="s">
        <v>7107</v>
      </c>
      <c r="C464" s="532"/>
      <c r="D464"/>
      <c r="P464" s="146"/>
    </row>
    <row r="465" spans="1:16" ht="14.4" x14ac:dyDescent="0.3">
      <c r="B465" s="99"/>
      <c r="C465" s="532"/>
      <c r="D465"/>
      <c r="P465" s="146"/>
    </row>
    <row r="466" spans="1:16" ht="14.4" x14ac:dyDescent="0.3">
      <c r="B466" s="247" t="s">
        <v>7226</v>
      </c>
      <c r="C466" s="532"/>
      <c r="D466"/>
      <c r="P466" s="146"/>
    </row>
    <row r="467" spans="1:16" ht="14.4" x14ac:dyDescent="0.3">
      <c r="A467" t="s">
        <v>5220</v>
      </c>
      <c r="B467" s="99" t="s">
        <v>7227</v>
      </c>
      <c r="C467" s="532"/>
      <c r="D467"/>
      <c r="P467" s="146"/>
    </row>
    <row r="468" spans="1:16" ht="14.4" x14ac:dyDescent="0.3">
      <c r="A468" t="s">
        <v>5220</v>
      </c>
      <c r="B468" s="99" t="s">
        <v>7228</v>
      </c>
      <c r="C468" s="532"/>
      <c r="D468"/>
      <c r="P468" s="146"/>
    </row>
    <row r="469" spans="1:16" ht="14.4" x14ac:dyDescent="0.3">
      <c r="A469" t="s">
        <v>5220</v>
      </c>
      <c r="B469" s="99" t="s">
        <v>1313</v>
      </c>
      <c r="C469" s="532"/>
      <c r="D469"/>
      <c r="E469"/>
      <c r="F469"/>
      <c r="G469"/>
      <c r="H469"/>
      <c r="K469"/>
      <c r="L469"/>
      <c r="P469" s="146"/>
    </row>
    <row r="470" spans="1:16" ht="14.4" x14ac:dyDescent="0.3">
      <c r="A470" t="s">
        <v>5220</v>
      </c>
      <c r="B470" s="99" t="s">
        <v>7229</v>
      </c>
      <c r="C470" s="532">
        <f>UDV.econ_energy.carbon_credits*C425</f>
        <v>0</v>
      </c>
      <c r="D470"/>
      <c r="E470"/>
      <c r="F470"/>
      <c r="G470"/>
      <c r="H470"/>
      <c r="K470"/>
      <c r="L470"/>
      <c r="P470" s="146"/>
    </row>
    <row r="471" spans="1:16" ht="14.4" x14ac:dyDescent="0.3">
      <c r="A471" t="s">
        <v>5220</v>
      </c>
      <c r="B471" s="99" t="s">
        <v>7231</v>
      </c>
      <c r="C471" s="532">
        <f>UDV.econ_energy.carbon_credits*C426</f>
        <v>0</v>
      </c>
      <c r="D471"/>
      <c r="E471"/>
      <c r="F471"/>
      <c r="G471"/>
      <c r="H471"/>
      <c r="K471"/>
      <c r="L471"/>
      <c r="P471" s="146"/>
    </row>
    <row r="472" spans="1:16" ht="14.4" x14ac:dyDescent="0.3">
      <c r="B472" s="99"/>
      <c r="C472" s="532"/>
      <c r="D472"/>
      <c r="E472"/>
      <c r="F472"/>
      <c r="G472"/>
      <c r="H472"/>
      <c r="K472"/>
      <c r="L472"/>
      <c r="P472" s="146"/>
    </row>
    <row r="473" spans="1:16" ht="14.4" x14ac:dyDescent="0.3">
      <c r="A473" t="s">
        <v>5220</v>
      </c>
      <c r="B473" s="99" t="s">
        <v>7232</v>
      </c>
      <c r="C473" s="532">
        <f>SUM(C467:C470)</f>
        <v>0</v>
      </c>
      <c r="D473"/>
      <c r="E473"/>
      <c r="F473"/>
      <c r="G473"/>
      <c r="H473"/>
      <c r="K473"/>
      <c r="L473"/>
      <c r="P473" s="146"/>
    </row>
    <row r="474" spans="1:16" ht="14.4" x14ac:dyDescent="0.3">
      <c r="A474" t="s">
        <v>5220</v>
      </c>
      <c r="B474" s="149" t="s">
        <v>7234</v>
      </c>
      <c r="C474" s="534">
        <f>SUM(C467:C469,C471)</f>
        <v>0</v>
      </c>
      <c r="D474" s="150"/>
      <c r="E474" s="150"/>
      <c r="F474" s="150"/>
      <c r="G474" s="150"/>
      <c r="H474" s="150"/>
      <c r="I474" s="150"/>
      <c r="J474" s="150"/>
      <c r="K474" s="150"/>
      <c r="L474" s="150"/>
      <c r="M474" s="150"/>
      <c r="N474" s="150"/>
      <c r="O474" s="150"/>
      <c r="P474" s="151"/>
    </row>
    <row r="475" spans="1:16" ht="15" thickBot="1" x14ac:dyDescent="0.35">
      <c r="A475" s="137"/>
      <c r="B475" s="137"/>
      <c r="C475" s="137"/>
      <c r="D475" s="137"/>
      <c r="E475" s="137"/>
      <c r="F475" s="137"/>
      <c r="G475" s="137"/>
      <c r="H475" s="137"/>
      <c r="I475" s="137"/>
      <c r="J475" s="137"/>
      <c r="K475" s="137"/>
      <c r="L475" s="137"/>
      <c r="M475" s="137"/>
      <c r="N475" s="137"/>
      <c r="O475" s="137"/>
    </row>
    <row r="476" spans="1:16" ht="14.4" x14ac:dyDescent="0.3">
      <c r="D476"/>
      <c r="E476"/>
      <c r="F476"/>
      <c r="G476"/>
      <c r="H476"/>
      <c r="K476"/>
      <c r="L476"/>
    </row>
    <row r="477" spans="1:16" ht="18" x14ac:dyDescent="0.35">
      <c r="B477" s="138" t="s">
        <v>5210</v>
      </c>
      <c r="C477" s="34"/>
      <c r="D477"/>
      <c r="E477"/>
      <c r="F477"/>
      <c r="G477"/>
      <c r="H477" s="355"/>
      <c r="K477"/>
      <c r="L477"/>
    </row>
    <row r="478" spans="1:16" ht="14.4" x14ac:dyDescent="0.3">
      <c r="D478"/>
      <c r="E478"/>
      <c r="F478"/>
      <c r="G478"/>
      <c r="H478"/>
      <c r="K478"/>
      <c r="L478"/>
    </row>
    <row r="479" spans="1:16" ht="14.4" x14ac:dyDescent="0.3">
      <c r="B479" s="139" t="s">
        <v>6942</v>
      </c>
      <c r="C479" s="140"/>
      <c r="D479" s="140"/>
      <c r="E479" s="139"/>
      <c r="F479" s="141"/>
      <c r="G479"/>
      <c r="H479"/>
      <c r="K479"/>
      <c r="L479"/>
    </row>
    <row r="480" spans="1:16" ht="14.4" x14ac:dyDescent="0.3">
      <c r="B480" s="143" t="s">
        <v>2663</v>
      </c>
      <c r="C480" s="144" t="s">
        <v>565</v>
      </c>
      <c r="D480" s="144" t="s">
        <v>6943</v>
      </c>
      <c r="E480" s="143" t="s">
        <v>565</v>
      </c>
      <c r="F480" s="145" t="s">
        <v>6944</v>
      </c>
      <c r="G480"/>
      <c r="H480"/>
      <c r="K480"/>
      <c r="L480"/>
    </row>
    <row r="481" spans="1:18" ht="14.4" x14ac:dyDescent="0.3">
      <c r="B481" s="99" t="s">
        <v>5437</v>
      </c>
      <c r="C481" s="147">
        <f>VLOOKUP(B481,$R:$U,3,FALSE)</f>
        <v>5536.05004954981</v>
      </c>
      <c r="D481" s="146" t="s">
        <v>2478</v>
      </c>
      <c r="E481" s="278">
        <f>CONVERT(C481,"m^3","ft^3")</f>
        <v>195503.7624533319</v>
      </c>
      <c r="F481" s="146" t="s">
        <v>2479</v>
      </c>
      <c r="G481"/>
      <c r="H481"/>
      <c r="K481"/>
      <c r="L481"/>
    </row>
    <row r="482" spans="1:18" ht="14.4" x14ac:dyDescent="0.3">
      <c r="B482" s="149" t="s">
        <v>6343</v>
      </c>
      <c r="C482" s="295">
        <f>VLOOKUP(B482,$R:$U,3,FALSE)</f>
        <v>2664.5817743943217</v>
      </c>
      <c r="D482" s="151" t="s">
        <v>2268</v>
      </c>
      <c r="E482" s="359">
        <f>CONVERT(C482,"m^2","ft^2")</f>
        <v>28681.319517577915</v>
      </c>
      <c r="F482" s="151" t="s">
        <v>2267</v>
      </c>
      <c r="G482"/>
      <c r="H482"/>
      <c r="K482"/>
      <c r="L482"/>
    </row>
    <row r="483" spans="1:18" ht="14.4" x14ac:dyDescent="0.3">
      <c r="D483"/>
      <c r="E483"/>
      <c r="F483"/>
      <c r="G483"/>
      <c r="H483"/>
      <c r="K483"/>
      <c r="L483"/>
    </row>
    <row r="484" spans="1:18" s="369" customFormat="1" ht="28.8" x14ac:dyDescent="0.3">
      <c r="B484" s="370" t="s">
        <v>6946</v>
      </c>
      <c r="C484" s="362" t="s">
        <v>6947</v>
      </c>
      <c r="D484" s="371" t="s">
        <v>6948</v>
      </c>
      <c r="E484" s="362" t="s">
        <v>6949</v>
      </c>
      <c r="F484" s="362" t="s">
        <v>6950</v>
      </c>
      <c r="G484" s="362" t="s">
        <v>6951</v>
      </c>
      <c r="H484" s="362" t="s">
        <v>6952</v>
      </c>
      <c r="I484" s="371" t="s">
        <v>6953</v>
      </c>
      <c r="J484" s="371" t="s">
        <v>6954</v>
      </c>
      <c r="K484" s="362" t="s">
        <v>6955</v>
      </c>
      <c r="L484" s="362" t="s">
        <v>6956</v>
      </c>
      <c r="M484" s="362" t="s">
        <v>6957</v>
      </c>
      <c r="N484" s="362" t="s">
        <v>6958</v>
      </c>
      <c r="O484" s="363" t="s">
        <v>6959</v>
      </c>
    </row>
    <row r="485" spans="1:18" ht="14.4" x14ac:dyDescent="0.3">
      <c r="A485" t="s">
        <v>7093</v>
      </c>
      <c r="B485" s="99" t="s">
        <v>7094</v>
      </c>
      <c r="C485" s="153">
        <f>VLOOKUP("Lagoon constructiona",Econ.Equations!C:E,2,FALSE)*E481^VLOOKUP("Lagoon constructionb",Econ.Equations!$C:$E,2,FALSE)*E481</f>
        <v>57434.110558130211</v>
      </c>
      <c r="D485">
        <f>VLOOKUP("CAPEXLifetimeBuildings and constructionDefault",Econ.inputsTable!$E:$I,2,FALSE)</f>
        <v>20</v>
      </c>
      <c r="E485" t="s">
        <v>2852</v>
      </c>
      <c r="F485" t="s">
        <v>2852</v>
      </c>
      <c r="G485" s="257">
        <f>VLOOKUP("CAPEXAnnual usage on activityItems that are used only on the given activityDefault",Econ.inputsTable!$E:$I,2,FALSE)</f>
        <v>1</v>
      </c>
      <c r="H485" s="503">
        <f>UDV.econ_capital.interest_rate</f>
        <v>5.0999999999999997E-2</v>
      </c>
      <c r="I485" s="155">
        <f>VLOOKUP("CAPEXSalvageBuildings and constructionDefault",Econ.inputsTable!$E:$J,2,FALSE)</f>
        <v>0</v>
      </c>
      <c r="J485" s="156">
        <f>C485*I485</f>
        <v>0</v>
      </c>
      <c r="K485" s="257">
        <f>VLOOKUP("CAPEXFinanced amountNADefault",Econ.inputsTable!$E:$G,2,FALSE)</f>
        <v>1</v>
      </c>
      <c r="L485" s="364">
        <f>H485*K485</f>
        <v>5.0999999999999997E-2</v>
      </c>
      <c r="M485" s="351">
        <f>L485/(1-(1+L485)^-D485)</f>
        <v>8.0924368970045152E-2</v>
      </c>
      <c r="N485" s="153">
        <f>((C485-J485)*M485)+(J485*L485)</f>
        <v>4647.8191542724953</v>
      </c>
      <c r="O485" s="372">
        <f>N485*G485</f>
        <v>4647.8191542724953</v>
      </c>
    </row>
    <row r="486" spans="1:18" ht="14.4" x14ac:dyDescent="0.3">
      <c r="A486" t="s">
        <v>7093</v>
      </c>
      <c r="B486" s="99" t="s">
        <v>7095</v>
      </c>
      <c r="C486" s="373">
        <f>UDV.econ_liner.lagoon_geomembrane*E482</f>
        <v>71703.298793944792</v>
      </c>
      <c r="D486">
        <f>VLOOKUP("CAPEXLifetimeBuildings and constructionDefault",Econ.inputsTable!$E:$I,2,FALSE)</f>
        <v>20</v>
      </c>
      <c r="E486" t="s">
        <v>2852</v>
      </c>
      <c r="F486" t="s">
        <v>2852</v>
      </c>
      <c r="G486" s="257">
        <f>VLOOKUP("CAPEXAnnual usage on activityItems that are used only on the given activityDefault",Econ.inputsTable!E:G,2,FALSE)</f>
        <v>1</v>
      </c>
      <c r="H486" s="503">
        <f>UDV.econ_capital.interest_rate</f>
        <v>5.0999999999999997E-2</v>
      </c>
      <c r="I486" s="155">
        <f>VLOOKUP("CAPEXSalvageBuildings and constructionDefault",Econ.inputsTable!$E:$J,2,FALSE)</f>
        <v>0</v>
      </c>
      <c r="J486" s="156">
        <f>C486*I486</f>
        <v>0</v>
      </c>
      <c r="K486" s="257">
        <f>VLOOKUP("CAPEXFinanced amountNADefault",Econ.inputsTable!$E:$G,2,FALSE)</f>
        <v>1</v>
      </c>
      <c r="L486" s="364">
        <f>H486*K486</f>
        <v>5.0999999999999997E-2</v>
      </c>
      <c r="M486" s="351">
        <f>L486/(1-(1+L486)^-D486)</f>
        <v>8.0924368970045152E-2</v>
      </c>
      <c r="N486" s="153">
        <f>((C486-J486)*M486)+(J486*L486)</f>
        <v>5802.5442079705817</v>
      </c>
      <c r="O486" s="372">
        <f>N486*G486</f>
        <v>5802.5442079705817</v>
      </c>
    </row>
    <row r="487" spans="1:18" ht="14.4" x14ac:dyDescent="0.3">
      <c r="B487" s="99"/>
      <c r="D487"/>
      <c r="E487"/>
      <c r="F487"/>
      <c r="G487"/>
      <c r="H487"/>
      <c r="K487"/>
      <c r="L487"/>
      <c r="O487" s="146"/>
    </row>
    <row r="488" spans="1:18" ht="14.4" x14ac:dyDescent="0.3">
      <c r="B488" s="99"/>
      <c r="C488" s="82" t="s">
        <v>6962</v>
      </c>
      <c r="D488" s="82" t="s">
        <v>6963</v>
      </c>
      <c r="E488"/>
      <c r="F488"/>
      <c r="G488"/>
      <c r="H488"/>
      <c r="K488"/>
      <c r="L488"/>
      <c r="O488" s="146"/>
    </row>
    <row r="489" spans="1:18" ht="14.4" x14ac:dyDescent="0.3">
      <c r="A489" t="s">
        <v>5210</v>
      </c>
      <c r="B489" s="99" t="s">
        <v>6964</v>
      </c>
      <c r="C489" s="153">
        <f>SUM(C485:C486)</f>
        <v>129137.409352075</v>
      </c>
      <c r="D489" s="233">
        <f>SUMPRODUCT(C485:C486,G485:G486)</f>
        <v>129137.409352075</v>
      </c>
      <c r="E489"/>
      <c r="F489"/>
      <c r="G489"/>
      <c r="H489"/>
      <c r="K489"/>
      <c r="L489"/>
      <c r="O489" s="146"/>
    </row>
    <row r="490" spans="1:18" ht="14.4" x14ac:dyDescent="0.3">
      <c r="A490" t="s">
        <v>5210</v>
      </c>
      <c r="B490" s="149" t="s">
        <v>6965</v>
      </c>
      <c r="C490" s="159">
        <f>SUM(N485:N486)</f>
        <v>10450.363362243077</v>
      </c>
      <c r="D490" s="159">
        <f>SUMPRODUCT(N485:N486,G485:G486)</f>
        <v>10450.363362243077</v>
      </c>
      <c r="E490" s="150"/>
      <c r="F490" s="150"/>
      <c r="G490" s="150"/>
      <c r="H490" s="150"/>
      <c r="I490" s="150"/>
      <c r="J490" s="150"/>
      <c r="K490" s="150"/>
      <c r="L490" s="150"/>
      <c r="M490" s="150"/>
      <c r="N490" s="150"/>
      <c r="O490" s="151"/>
    </row>
    <row r="491" spans="1:18" ht="14.4" x14ac:dyDescent="0.3">
      <c r="B491" s="262"/>
      <c r="C491" s="142"/>
      <c r="D491" s="142"/>
      <c r="E491" s="142"/>
      <c r="F491" s="142"/>
      <c r="G491" s="142"/>
      <c r="H491" s="142"/>
      <c r="I491" s="142"/>
      <c r="J491" s="142"/>
      <c r="K491" s="142"/>
      <c r="L491" s="142"/>
      <c r="M491" s="142"/>
      <c r="N491" s="142"/>
      <c r="O491" s="141"/>
    </row>
    <row r="492" spans="1:18" ht="28.8" x14ac:dyDescent="0.3">
      <c r="B492" s="160" t="s">
        <v>6966</v>
      </c>
      <c r="C492" s="152" t="s">
        <v>6967</v>
      </c>
      <c r="D492" s="152" t="s">
        <v>6968</v>
      </c>
      <c r="E492" s="152" t="s">
        <v>6969</v>
      </c>
      <c r="F492" s="152" t="s">
        <v>6970</v>
      </c>
      <c r="G492" s="152" t="s">
        <v>6971</v>
      </c>
      <c r="H492" s="152" t="s">
        <v>6972</v>
      </c>
      <c r="I492" s="152" t="s">
        <v>6973</v>
      </c>
      <c r="J492" s="152" t="s">
        <v>6974</v>
      </c>
      <c r="K492" s="152" t="s">
        <v>6975</v>
      </c>
      <c r="L492" s="152" t="s">
        <v>6976</v>
      </c>
      <c r="M492" s="152" t="s">
        <v>6977</v>
      </c>
      <c r="N492" s="152" t="s">
        <v>6978</v>
      </c>
      <c r="O492" s="161" t="s">
        <v>6979</v>
      </c>
    </row>
    <row r="493" spans="1:18" ht="14.4" x14ac:dyDescent="0.3">
      <c r="B493" s="99" t="s">
        <v>5210</v>
      </c>
      <c r="C493" s="236">
        <f>VLOOKUP("OPEXInsuranceEverythingDefault",Econ.inputsTable!$E$1:$J$213,2,FALSE)</f>
        <v>5.0000000000000001E-3</v>
      </c>
      <c r="D493" s="236">
        <f>VLOOKUP("OPEXRepair and maintenanceBuildings and constructionDefault",Econ.inputsTable!$E$1:$J$503,2,FALSE)</f>
        <v>0.01</v>
      </c>
      <c r="E493"/>
      <c r="F493"/>
      <c r="G493"/>
      <c r="H493"/>
      <c r="K493"/>
      <c r="L493"/>
      <c r="O493" s="157">
        <f>(SUM(C493:D493)*SUMPRODUCT(C485:C486,G485:G486))+SUM(E493,G493,I493,J493,L493,N493)</f>
        <v>1937.0611402811251</v>
      </c>
    </row>
    <row r="494" spans="1:18" ht="14.4" x14ac:dyDescent="0.3">
      <c r="A494" t="s">
        <v>5210</v>
      </c>
      <c r="B494" s="162" t="s">
        <v>5203</v>
      </c>
      <c r="C494" s="241"/>
      <c r="D494" s="241"/>
      <c r="E494" s="242">
        <f>SUM(E493)</f>
        <v>0</v>
      </c>
      <c r="F494" s="374">
        <f t="shared" ref="F494:M494" si="8">SUM(F493)</f>
        <v>0</v>
      </c>
      <c r="G494" s="242">
        <f t="shared" si="8"/>
        <v>0</v>
      </c>
      <c r="H494" s="374">
        <f t="shared" si="8"/>
        <v>0</v>
      </c>
      <c r="I494" s="242">
        <f t="shared" si="8"/>
        <v>0</v>
      </c>
      <c r="J494" s="242">
        <f t="shared" si="8"/>
        <v>0</v>
      </c>
      <c r="K494" s="374">
        <f t="shared" si="8"/>
        <v>0</v>
      </c>
      <c r="L494" s="242">
        <f t="shared" si="8"/>
        <v>0</v>
      </c>
      <c r="M494" s="374">
        <f t="shared" si="8"/>
        <v>0</v>
      </c>
      <c r="N494" s="242">
        <f>SUM(N493)</f>
        <v>0</v>
      </c>
      <c r="O494" s="169">
        <f>SUM(O493)</f>
        <v>1937.0611402811251</v>
      </c>
    </row>
    <row r="495" spans="1:18" ht="14.4" x14ac:dyDescent="0.3">
      <c r="B495" s="99"/>
      <c r="C495" s="236"/>
      <c r="D495" s="236"/>
      <c r="E495" s="236"/>
      <c r="F495" s="233"/>
      <c r="G495" s="257"/>
      <c r="H495" s="156"/>
      <c r="I495" s="153"/>
      <c r="K495"/>
      <c r="L495"/>
      <c r="O495" s="146"/>
      <c r="R495"/>
    </row>
    <row r="496" spans="1:18" ht="14.4" x14ac:dyDescent="0.3">
      <c r="A496" t="s">
        <v>5210</v>
      </c>
      <c r="B496" s="149" t="s">
        <v>6980</v>
      </c>
      <c r="C496" s="159">
        <f>SUM(O493)</f>
        <v>1937.0611402811251</v>
      </c>
      <c r="D496" s="150"/>
      <c r="E496" s="150"/>
      <c r="F496" s="150"/>
      <c r="G496" s="150"/>
      <c r="H496" s="150"/>
      <c r="I496" s="150"/>
      <c r="J496" s="150"/>
      <c r="K496" s="150"/>
      <c r="L496" s="150"/>
      <c r="M496" s="150"/>
      <c r="N496" s="150"/>
      <c r="O496" s="151"/>
      <c r="R496"/>
    </row>
    <row r="497" spans="1:25" ht="15" thickBot="1" x14ac:dyDescent="0.35">
      <c r="A497" s="137"/>
      <c r="B497" s="137"/>
      <c r="C497" s="137"/>
      <c r="D497" s="137"/>
      <c r="E497" s="137"/>
      <c r="F497" s="137"/>
      <c r="G497" s="137"/>
      <c r="H497" s="137"/>
      <c r="I497" s="137"/>
      <c r="J497" s="137"/>
      <c r="K497" s="137"/>
      <c r="L497" s="137"/>
      <c r="M497" s="137"/>
      <c r="N497" s="137"/>
      <c r="O497" s="137"/>
      <c r="P497" s="137"/>
      <c r="Q497" s="137"/>
      <c r="R497"/>
    </row>
    <row r="498" spans="1:25" ht="14.4" x14ac:dyDescent="0.3">
      <c r="D498"/>
      <c r="E498"/>
      <c r="F498"/>
      <c r="G498"/>
      <c r="H498"/>
      <c r="K498"/>
      <c r="L498"/>
      <c r="R498"/>
    </row>
    <row r="499" spans="1:25" ht="14.4" x14ac:dyDescent="0.3">
      <c r="B499" s="82" t="s">
        <v>7235</v>
      </c>
      <c r="C499" s="170" t="s">
        <v>7236</v>
      </c>
      <c r="D499"/>
      <c r="E499"/>
      <c r="F499"/>
      <c r="G499"/>
      <c r="H499"/>
      <c r="K499"/>
      <c r="L499"/>
      <c r="R499"/>
      <c r="W499"/>
      <c r="Y499"/>
    </row>
    <row r="500" spans="1:25" ht="15.6" x14ac:dyDescent="0.3">
      <c r="B500" s="138"/>
      <c r="D500"/>
      <c r="E500"/>
      <c r="F500"/>
      <c r="G500"/>
      <c r="H500"/>
      <c r="K500"/>
      <c r="L500"/>
      <c r="R500"/>
      <c r="W500"/>
      <c r="Y500"/>
    </row>
    <row r="501" spans="1:25" ht="14.4" x14ac:dyDescent="0.3">
      <c r="B501" s="139" t="s">
        <v>6983</v>
      </c>
      <c r="C501" s="140" t="s">
        <v>565</v>
      </c>
      <c r="D501" s="140" t="s">
        <v>38</v>
      </c>
      <c r="E501" s="142"/>
      <c r="F501" s="141"/>
      <c r="G501"/>
      <c r="H501"/>
      <c r="K501"/>
      <c r="L501"/>
      <c r="R501"/>
      <c r="W501"/>
      <c r="Y501"/>
    </row>
    <row r="502" spans="1:25" ht="14.4" x14ac:dyDescent="0.3">
      <c r="B502" s="99" t="s">
        <v>6984</v>
      </c>
      <c r="C502">
        <f>UDV.crops.acres_available</f>
        <v>100</v>
      </c>
      <c r="D502" t="s">
        <v>5385</v>
      </c>
      <c r="E502" s="34"/>
      <c r="F502" s="146"/>
      <c r="G502"/>
      <c r="H502"/>
      <c r="K502"/>
      <c r="L502"/>
      <c r="R502"/>
      <c r="W502"/>
      <c r="Y502"/>
    </row>
    <row r="503" spans="1:25" ht="14.4" x14ac:dyDescent="0.3">
      <c r="B503" s="99" t="s">
        <v>7109</v>
      </c>
      <c r="C503" s="166">
        <f>UDV.econ_manure.liquid_sell_pct*VLOOKUP("Excess volume, lagoon liquid manure",$R$1:$T$332, 3, FALSE)</f>
        <v>0</v>
      </c>
      <c r="D503" t="s">
        <v>5246</v>
      </c>
      <c r="E503"/>
      <c r="F503" s="146"/>
      <c r="G503"/>
      <c r="H503"/>
      <c r="K503"/>
      <c r="L503"/>
      <c r="R503"/>
      <c r="W503"/>
      <c r="Y503"/>
    </row>
    <row r="504" spans="1:25" ht="14.4" x14ac:dyDescent="0.3">
      <c r="B504" s="99" t="s">
        <v>7110</v>
      </c>
      <c r="C504" s="166">
        <f>UDV.econ_manure.liquid_give_pct*VLOOKUP("Excess volume, lagoon liquid manure",$R$1:$T$332, 3, FALSE)</f>
        <v>0</v>
      </c>
      <c r="D504" t="s">
        <v>5246</v>
      </c>
      <c r="E504"/>
      <c r="F504" s="146"/>
      <c r="G504"/>
      <c r="H504"/>
      <c r="K504"/>
      <c r="L504"/>
      <c r="R504"/>
      <c r="W504"/>
      <c r="Y504"/>
    </row>
    <row r="505" spans="1:25" ht="14.4" x14ac:dyDescent="0.3">
      <c r="B505" s="99" t="s">
        <v>7111</v>
      </c>
      <c r="C505" s="166">
        <f>UDV.econ_manure.liquid_export_pct*VLOOKUP("Excess volume, lagoon liquid manure",$R$1:$T$332, 3, FALSE)</f>
        <v>0</v>
      </c>
      <c r="D505" t="s">
        <v>5246</v>
      </c>
      <c r="E505"/>
      <c r="F505" s="146"/>
      <c r="G505"/>
      <c r="H505"/>
      <c r="K505"/>
      <c r="L505"/>
      <c r="R505"/>
      <c r="W505"/>
      <c r="Y505"/>
    </row>
    <row r="506" spans="1:25" ht="14.4" x14ac:dyDescent="0.3">
      <c r="B506" s="99" t="s">
        <v>7112</v>
      </c>
      <c r="C506" s="166">
        <f>UDV.econ_manure.sludge_sell_pct*VLOOKUP("Excess volume, lagoon sludge manure",$R$1:$T$332, 3, FALSE)</f>
        <v>0</v>
      </c>
      <c r="D506" t="s">
        <v>5246</v>
      </c>
      <c r="E506"/>
      <c r="F506" s="146"/>
      <c r="G506"/>
      <c r="H506"/>
      <c r="K506"/>
      <c r="L506"/>
      <c r="R506"/>
      <c r="W506"/>
      <c r="Y506"/>
    </row>
    <row r="507" spans="1:25" ht="14.4" x14ac:dyDescent="0.3">
      <c r="B507" s="99" t="s">
        <v>7113</v>
      </c>
      <c r="C507" s="166">
        <f>UDV.econ_manure.sludge_give_pct*VLOOKUP("Excess volume, lagoon sludge manure",$R$1:$T$332, 3, FALSE)</f>
        <v>52.998658144977185</v>
      </c>
      <c r="D507" t="s">
        <v>5246</v>
      </c>
      <c r="E507"/>
      <c r="F507" s="146"/>
      <c r="G507"/>
      <c r="H507"/>
      <c r="K507"/>
      <c r="L507"/>
      <c r="R507"/>
      <c r="W507"/>
      <c r="Y507"/>
    </row>
    <row r="508" spans="1:25" ht="14.4" x14ac:dyDescent="0.3">
      <c r="B508" s="99" t="s">
        <v>7114</v>
      </c>
      <c r="C508" s="166">
        <f>UDV.econ_manure.sludge_export_pct*VLOOKUP("Excess volume, lagoon sludge manure",$R$1:$T$332, 3, FALSE)</f>
        <v>0</v>
      </c>
      <c r="D508" t="s">
        <v>5246</v>
      </c>
      <c r="E508"/>
      <c r="F508" s="146"/>
      <c r="G508"/>
      <c r="H508"/>
      <c r="K508"/>
      <c r="L508"/>
      <c r="R508"/>
      <c r="W508"/>
      <c r="Y508"/>
    </row>
    <row r="509" spans="1:25" ht="14.4" x14ac:dyDescent="0.3">
      <c r="B509" s="99"/>
      <c r="D509"/>
      <c r="E509"/>
      <c r="F509" s="151"/>
      <c r="G509"/>
      <c r="H509"/>
      <c r="K509"/>
      <c r="L509"/>
      <c r="R509"/>
      <c r="W509"/>
      <c r="Y509"/>
    </row>
    <row r="510" spans="1:25" ht="14.4" x14ac:dyDescent="0.3">
      <c r="B510" s="92" t="s">
        <v>6942</v>
      </c>
      <c r="D510"/>
      <c r="E510" s="139" t="s">
        <v>6988</v>
      </c>
      <c r="F510" s="141"/>
      <c r="G510"/>
      <c r="H510"/>
      <c r="K510"/>
      <c r="L510"/>
      <c r="R510"/>
      <c r="W510"/>
      <c r="Y510"/>
    </row>
    <row r="511" spans="1:25" ht="14.4" x14ac:dyDescent="0.3">
      <c r="B511" s="175" t="s">
        <v>2908</v>
      </c>
      <c r="D511"/>
      <c r="E511" s="99"/>
      <c r="F511" s="146"/>
      <c r="G511"/>
      <c r="H511"/>
      <c r="K511"/>
      <c r="L511"/>
      <c r="R511"/>
      <c r="W511"/>
      <c r="Y511"/>
    </row>
    <row r="512" spans="1:25" ht="14.4" x14ac:dyDescent="0.3">
      <c r="B512" s="143" t="s">
        <v>2663</v>
      </c>
      <c r="C512" s="144" t="s">
        <v>565</v>
      </c>
      <c r="D512" s="144" t="s">
        <v>6943</v>
      </c>
      <c r="E512" s="143" t="s">
        <v>565</v>
      </c>
      <c r="F512" s="145" t="s">
        <v>6944</v>
      </c>
      <c r="G512"/>
      <c r="H512"/>
      <c r="K512"/>
      <c r="L512"/>
      <c r="R512"/>
      <c r="W512"/>
      <c r="Y512"/>
    </row>
    <row r="513" spans="2:25" ht="14.4" x14ac:dyDescent="0.3">
      <c r="B513" s="99" t="s">
        <v>5676</v>
      </c>
      <c r="C513" s="147">
        <f>VLOOKUP(B513,$R:$U,3,FALSE)</f>
        <v>160</v>
      </c>
      <c r="D513" t="s">
        <v>5689</v>
      </c>
      <c r="E513" s="99">
        <f>C513</f>
        <v>160</v>
      </c>
      <c r="F513" s="146" t="s">
        <v>5689</v>
      </c>
      <c r="G513"/>
      <c r="H513"/>
      <c r="K513"/>
      <c r="L513"/>
      <c r="R513"/>
      <c r="W513"/>
      <c r="Y513"/>
    </row>
    <row r="514" spans="2:25" ht="14.4" x14ac:dyDescent="0.3">
      <c r="B514" s="99" t="s">
        <v>6989</v>
      </c>
      <c r="C514" s="147"/>
      <c r="D514" t="s">
        <v>2442</v>
      </c>
      <c r="E514" s="99">
        <f>E515</f>
        <v>1</v>
      </c>
      <c r="F514" s="146" t="s">
        <v>2442</v>
      </c>
      <c r="G514"/>
      <c r="H514"/>
      <c r="K514"/>
      <c r="L514"/>
      <c r="R514"/>
      <c r="W514"/>
      <c r="Y514"/>
    </row>
    <row r="515" spans="2:25" ht="14.4" x14ac:dyDescent="0.3">
      <c r="B515" s="222" t="s">
        <v>5735</v>
      </c>
      <c r="C515" s="147">
        <f>VLOOKUP(B515,$R:$U,3,FALSE)</f>
        <v>1</v>
      </c>
      <c r="D515" t="s">
        <v>2442</v>
      </c>
      <c r="E515" s="178">
        <f>C515</f>
        <v>1</v>
      </c>
      <c r="F515" s="146" t="s">
        <v>2442</v>
      </c>
      <c r="G515"/>
      <c r="H515"/>
      <c r="K515"/>
      <c r="L515"/>
      <c r="R515"/>
      <c r="W515"/>
      <c r="Y515"/>
    </row>
    <row r="516" spans="2:25" ht="14.4" x14ac:dyDescent="0.3">
      <c r="B516" s="99" t="s">
        <v>5663</v>
      </c>
      <c r="C516" s="147">
        <f>VLOOKUP(B516,$R:$U,3,FALSE)</f>
        <v>180</v>
      </c>
      <c r="D516" t="s">
        <v>5689</v>
      </c>
      <c r="E516" s="99">
        <f>C516</f>
        <v>180</v>
      </c>
      <c r="F516" s="146" t="s">
        <v>5689</v>
      </c>
      <c r="G516"/>
      <c r="H516"/>
      <c r="K516"/>
      <c r="L516"/>
      <c r="R516"/>
      <c r="W516"/>
      <c r="Y516"/>
    </row>
    <row r="517" spans="2:25" ht="14.4" x14ac:dyDescent="0.3">
      <c r="B517" s="99" t="s">
        <v>6990</v>
      </c>
      <c r="C517" s="297"/>
      <c r="D517" t="s">
        <v>2442</v>
      </c>
      <c r="E517" s="99">
        <f>E518</f>
        <v>1</v>
      </c>
      <c r="F517" s="146" t="s">
        <v>2442</v>
      </c>
      <c r="G517"/>
      <c r="H517"/>
      <c r="K517"/>
      <c r="L517"/>
      <c r="R517"/>
      <c r="W517"/>
      <c r="Y517"/>
    </row>
    <row r="518" spans="2:25" ht="14.4" x14ac:dyDescent="0.3">
      <c r="B518" s="222" t="s">
        <v>5736</v>
      </c>
      <c r="C518" s="147">
        <f>VLOOKUP(B518,$R:$U,3,FALSE)</f>
        <v>1</v>
      </c>
      <c r="D518" t="s">
        <v>2442</v>
      </c>
      <c r="E518" s="178">
        <f>C518</f>
        <v>1</v>
      </c>
      <c r="F518" s="146" t="s">
        <v>2442</v>
      </c>
      <c r="G518"/>
      <c r="H518"/>
      <c r="K518"/>
      <c r="L518"/>
      <c r="R518"/>
      <c r="W518"/>
      <c r="Y518"/>
    </row>
    <row r="519" spans="2:25" ht="14.4" x14ac:dyDescent="0.3">
      <c r="B519" s="99" t="s">
        <v>5638</v>
      </c>
      <c r="C519" s="147">
        <f>VLOOKUP(B519,$R:$U,3,FALSE)</f>
        <v>250</v>
      </c>
      <c r="D519" t="s">
        <v>5689</v>
      </c>
      <c r="E519" s="99">
        <f>C519</f>
        <v>250</v>
      </c>
      <c r="F519" s="146" t="s">
        <v>5689</v>
      </c>
      <c r="G519"/>
      <c r="H519"/>
      <c r="K519"/>
      <c r="L519"/>
      <c r="R519"/>
      <c r="W519"/>
      <c r="Y519"/>
    </row>
    <row r="520" spans="2:25" ht="14.4" x14ac:dyDescent="0.3">
      <c r="B520" s="99" t="s">
        <v>5637</v>
      </c>
      <c r="C520" s="147">
        <f>VLOOKUP(B520,$R:$U,3,FALSE)</f>
        <v>6000</v>
      </c>
      <c r="D520" t="s">
        <v>2480</v>
      </c>
      <c r="E520" s="99">
        <f>C520</f>
        <v>6000</v>
      </c>
      <c r="F520" s="146" t="s">
        <v>2480</v>
      </c>
      <c r="G520"/>
      <c r="H520"/>
      <c r="K520"/>
      <c r="L520"/>
      <c r="R520"/>
      <c r="W520"/>
      <c r="Y520"/>
    </row>
    <row r="521" spans="2:25" ht="14.4" x14ac:dyDescent="0.3">
      <c r="B521" s="99" t="s">
        <v>6991</v>
      </c>
      <c r="C521" s="147"/>
      <c r="D521" s="146" t="s">
        <v>2442</v>
      </c>
      <c r="E521">
        <f>E522</f>
        <v>1</v>
      </c>
      <c r="F521" s="146" t="s">
        <v>2442</v>
      </c>
      <c r="G521"/>
      <c r="H521"/>
      <c r="K521"/>
      <c r="L521"/>
      <c r="R521"/>
      <c r="W521"/>
      <c r="Y521"/>
    </row>
    <row r="522" spans="2:25" ht="14.4" x14ac:dyDescent="0.3">
      <c r="B522" s="222" t="s">
        <v>5734</v>
      </c>
      <c r="C522" s="147">
        <f>VLOOKUP(B522,$R:$U,3,FALSE)</f>
        <v>1</v>
      </c>
      <c r="D522" t="s">
        <v>2442</v>
      </c>
      <c r="E522" s="178">
        <f>C522</f>
        <v>1</v>
      </c>
      <c r="F522" s="146" t="s">
        <v>2442</v>
      </c>
      <c r="G522"/>
      <c r="H522"/>
      <c r="K522"/>
      <c r="L522"/>
      <c r="R522"/>
      <c r="W522"/>
      <c r="Y522"/>
    </row>
    <row r="523" spans="2:25" ht="14.4" x14ac:dyDescent="0.3">
      <c r="B523" s="99" t="s">
        <v>5732</v>
      </c>
      <c r="C523" s="147" t="str">
        <f>VLOOKUP(B523,$R:$U,3,FALSE)</f>
        <v>Injection</v>
      </c>
      <c r="D523" t="s">
        <v>6992</v>
      </c>
      <c r="E523" s="99" t="str">
        <f>C523</f>
        <v>Injection</v>
      </c>
      <c r="F523" s="146" t="s">
        <v>6992</v>
      </c>
      <c r="G523"/>
      <c r="H523"/>
      <c r="K523"/>
      <c r="L523"/>
      <c r="R523"/>
      <c r="W523"/>
      <c r="Y523"/>
    </row>
    <row r="524" spans="2:25" ht="14.4" x14ac:dyDescent="0.3">
      <c r="B524" s="99"/>
      <c r="C524" s="147"/>
      <c r="D524"/>
      <c r="E524" s="99"/>
      <c r="F524" s="146"/>
      <c r="G524"/>
      <c r="H524"/>
      <c r="K524"/>
      <c r="L524"/>
      <c r="R524"/>
      <c r="W524"/>
      <c r="Y524"/>
    </row>
    <row r="525" spans="2:25" ht="14.4" x14ac:dyDescent="0.3">
      <c r="B525" s="175" t="s">
        <v>7115</v>
      </c>
      <c r="C525" s="147"/>
      <c r="D525"/>
      <c r="E525" s="99"/>
      <c r="F525" s="146"/>
      <c r="G525"/>
      <c r="H525"/>
      <c r="K525"/>
      <c r="L525"/>
      <c r="R525"/>
      <c r="W525"/>
      <c r="Y525"/>
    </row>
    <row r="526" spans="2:25" ht="14.4" x14ac:dyDescent="0.3">
      <c r="B526" s="143" t="s">
        <v>2663</v>
      </c>
      <c r="C526" s="147"/>
      <c r="D526"/>
      <c r="E526" s="99"/>
      <c r="F526" s="146"/>
      <c r="G526"/>
      <c r="H526"/>
      <c r="K526"/>
      <c r="L526"/>
      <c r="R526"/>
      <c r="W526"/>
      <c r="Y526"/>
    </row>
    <row r="527" spans="2:25" ht="14.4" x14ac:dyDescent="0.3">
      <c r="B527" s="99" t="s">
        <v>6407</v>
      </c>
      <c r="C527" s="147">
        <f>VLOOKUP(B527,$R:$U,3,FALSE)</f>
        <v>27.126631979132384</v>
      </c>
      <c r="D527" t="s">
        <v>5385</v>
      </c>
      <c r="E527" s="178">
        <f>C527</f>
        <v>27.126631979132384</v>
      </c>
      <c r="F527" s="146" t="s">
        <v>5385</v>
      </c>
      <c r="G527"/>
      <c r="H527"/>
      <c r="K527"/>
      <c r="L527"/>
      <c r="R527"/>
      <c r="W527"/>
      <c r="Y527"/>
    </row>
    <row r="528" spans="2:25" ht="14.4" x14ac:dyDescent="0.3">
      <c r="B528" s="99" t="s">
        <v>6409</v>
      </c>
      <c r="C528" s="147">
        <f>VLOOKUP(B528,$R:$U,3,FALSE)</f>
        <v>934.64729834049092</v>
      </c>
      <c r="D528" t="s">
        <v>5323</v>
      </c>
      <c r="E528" s="178">
        <f>C528</f>
        <v>934.64729834049092</v>
      </c>
      <c r="F528" s="146" t="s">
        <v>5323</v>
      </c>
      <c r="G528"/>
      <c r="H528"/>
      <c r="K528"/>
      <c r="L528"/>
      <c r="R528"/>
      <c r="W528"/>
      <c r="Y528"/>
    </row>
    <row r="529" spans="1:25" ht="14.4" x14ac:dyDescent="0.3">
      <c r="B529" s="99" t="s">
        <v>6390</v>
      </c>
      <c r="C529" s="205">
        <f>VLOOKUP(B529,$R:$U, 3, FALSE)</f>
        <v>8.1379895937397162</v>
      </c>
      <c r="D529" t="s">
        <v>2472</v>
      </c>
      <c r="E529" s="178">
        <f>C529</f>
        <v>8.1379895937397162</v>
      </c>
      <c r="F529" s="146" t="s">
        <v>2710</v>
      </c>
      <c r="G529"/>
      <c r="H529"/>
      <c r="K529"/>
      <c r="L529"/>
      <c r="R529"/>
      <c r="W529"/>
      <c r="Y529"/>
    </row>
    <row r="530" spans="1:25" ht="14.4" x14ac:dyDescent="0.3">
      <c r="B530" s="99"/>
      <c r="D530"/>
      <c r="E530" s="99"/>
      <c r="F530" s="146"/>
      <c r="G530"/>
      <c r="H530"/>
      <c r="K530"/>
      <c r="L530"/>
      <c r="R530"/>
      <c r="W530"/>
      <c r="Y530"/>
    </row>
    <row r="531" spans="1:25" ht="14.4" x14ac:dyDescent="0.3">
      <c r="B531" s="175" t="s">
        <v>7237</v>
      </c>
      <c r="D531"/>
      <c r="E531" s="99"/>
      <c r="F531" s="146"/>
      <c r="G531"/>
      <c r="H531"/>
      <c r="K531"/>
      <c r="L531"/>
      <c r="R531"/>
      <c r="W531"/>
      <c r="Y531"/>
    </row>
    <row r="532" spans="1:25" ht="14.4" x14ac:dyDescent="0.3">
      <c r="B532" s="143" t="s">
        <v>2663</v>
      </c>
      <c r="C532" s="144" t="s">
        <v>565</v>
      </c>
      <c r="D532" s="144" t="s">
        <v>6943</v>
      </c>
      <c r="E532" s="143" t="s">
        <v>565</v>
      </c>
      <c r="F532" s="145" t="s">
        <v>6944</v>
      </c>
      <c r="G532" s="1222" t="s">
        <v>6392</v>
      </c>
      <c r="H532" s="1215" t="s">
        <v>6993</v>
      </c>
      <c r="I532" s="142"/>
      <c r="J532" s="141"/>
      <c r="K532"/>
      <c r="L532"/>
      <c r="R532"/>
      <c r="W532"/>
      <c r="Y532"/>
    </row>
    <row r="533" spans="1:25" ht="14.4" x14ac:dyDescent="0.3">
      <c r="B533" s="99" t="s">
        <v>6401</v>
      </c>
      <c r="C533" s="147">
        <f t="shared" ref="C533:C543" si="9">VLOOKUP(B533,$R:$U,3,FALSE)</f>
        <v>182.5</v>
      </c>
      <c r="D533" t="s">
        <v>5121</v>
      </c>
      <c r="E533" s="201">
        <f>UC.year_to_day/C533</f>
        <v>2</v>
      </c>
      <c r="F533" s="146" t="s">
        <v>6994</v>
      </c>
      <c r="G533" s="42" t="s">
        <v>7117</v>
      </c>
      <c r="H533" s="92" t="s">
        <v>4838</v>
      </c>
      <c r="I533" s="1216" t="s">
        <v>2710</v>
      </c>
      <c r="J533" s="285">
        <f>(SUM(E534:E535)*UDV.OPEX_labor.tractor_stationary)+(E536*UDV.OPEX_labor.tractor_active)+E529</f>
        <v>13.080125454798685</v>
      </c>
      <c r="K533"/>
      <c r="L533"/>
      <c r="R533"/>
      <c r="W533"/>
      <c r="Y533"/>
    </row>
    <row r="534" spans="1:25" ht="14.4" x14ac:dyDescent="0.3">
      <c r="B534" s="99" t="s">
        <v>5679</v>
      </c>
      <c r="C534" s="147">
        <f t="shared" si="9"/>
        <v>2.4948528484205106</v>
      </c>
      <c r="D534" t="s">
        <v>6085</v>
      </c>
      <c r="E534" s="178">
        <f>C534*E533</f>
        <v>4.9897056968410212</v>
      </c>
      <c r="F534" s="146" t="s">
        <v>2710</v>
      </c>
      <c r="G534" s="42" t="s">
        <v>7118</v>
      </c>
      <c r="H534" s="1217" t="s">
        <v>5444</v>
      </c>
      <c r="I534" s="1216" t="s">
        <v>6085</v>
      </c>
      <c r="J534" s="285">
        <f>(SUM(E548:E549)*UDV.OPEX_labor.tractor_stationary)+(E550*UDV.OPEX_labor.tractor_active)</f>
        <v>51.939964729663217</v>
      </c>
      <c r="K534"/>
      <c r="L534"/>
      <c r="R534"/>
      <c r="W534"/>
      <c r="Y534"/>
    </row>
    <row r="535" spans="1:25" ht="14.4" x14ac:dyDescent="0.3">
      <c r="B535" s="99" t="s">
        <v>5667</v>
      </c>
      <c r="C535" s="147">
        <f t="shared" si="9"/>
        <v>0.261121390773836</v>
      </c>
      <c r="D535" t="s">
        <v>6085</v>
      </c>
      <c r="E535" s="178">
        <f>C535*E533</f>
        <v>0.52224278154767201</v>
      </c>
      <c r="F535" s="146" t="s">
        <v>2710</v>
      </c>
      <c r="G535" s="42" t="s">
        <v>7119</v>
      </c>
      <c r="H535" s="1218" t="s">
        <v>5445</v>
      </c>
      <c r="I535" s="1216" t="s">
        <v>6995</v>
      </c>
      <c r="J535" s="285">
        <f>SUM(J533:J534)</f>
        <v>65.020090184461907</v>
      </c>
      <c r="K535"/>
      <c r="L535"/>
      <c r="R535"/>
      <c r="W535"/>
      <c r="Y535"/>
    </row>
    <row r="536" spans="1:25" ht="14.4" x14ac:dyDescent="0.3">
      <c r="B536" s="99" t="s">
        <v>5654</v>
      </c>
      <c r="C536" s="147">
        <f t="shared" si="9"/>
        <v>1.9958822787364086</v>
      </c>
      <c r="D536" t="s">
        <v>6085</v>
      </c>
      <c r="E536" s="178">
        <f>C536*E533</f>
        <v>3.9917645574728171</v>
      </c>
      <c r="F536" s="146" t="s">
        <v>2710</v>
      </c>
      <c r="G536" s="42" t="s">
        <v>7120</v>
      </c>
      <c r="H536" s="1219" t="s">
        <v>5446</v>
      </c>
      <c r="I536" s="1220" t="s">
        <v>5447</v>
      </c>
      <c r="J536" s="1221">
        <f>J533+(J534/UDV.anaer_lagoon.sludge_time)</f>
        <v>18.274121927765005</v>
      </c>
      <c r="K536"/>
      <c r="L536"/>
      <c r="R536"/>
      <c r="W536"/>
      <c r="Y536"/>
    </row>
    <row r="537" spans="1:25" ht="14.4" x14ac:dyDescent="0.3">
      <c r="B537" s="99" t="s">
        <v>5682</v>
      </c>
      <c r="C537" s="147">
        <f t="shared" si="9"/>
        <v>17.563764052880391</v>
      </c>
      <c r="D537" t="s">
        <v>2489</v>
      </c>
      <c r="E537" s="178">
        <f>C537*E533</f>
        <v>35.127528105760781</v>
      </c>
      <c r="F537" s="146" t="s">
        <v>5324</v>
      </c>
      <c r="G537"/>
      <c r="H537"/>
      <c r="K537"/>
      <c r="L537"/>
      <c r="R537"/>
      <c r="W537"/>
      <c r="Y537"/>
    </row>
    <row r="538" spans="1:25" ht="14.4" x14ac:dyDescent="0.3">
      <c r="B538" s="99" t="s">
        <v>5672</v>
      </c>
      <c r="C538" s="147">
        <f t="shared" si="9"/>
        <v>2.0680814149287809</v>
      </c>
      <c r="D538" t="s">
        <v>2489</v>
      </c>
      <c r="E538" s="178">
        <f>C538*E533</f>
        <v>4.1361628298575619</v>
      </c>
      <c r="F538" s="146" t="s">
        <v>5324</v>
      </c>
      <c r="G538"/>
      <c r="H538"/>
      <c r="K538"/>
      <c r="L538"/>
      <c r="R538"/>
      <c r="W538"/>
      <c r="Y538"/>
    </row>
    <row r="539" spans="1:25" ht="14.4" x14ac:dyDescent="0.3">
      <c r="B539" s="99" t="s">
        <v>5660</v>
      </c>
      <c r="C539" s="147">
        <f t="shared" si="9"/>
        <v>21.954705066100495</v>
      </c>
      <c r="D539" t="s">
        <v>2489</v>
      </c>
      <c r="E539" s="178">
        <f>C539*E533</f>
        <v>43.909410132200989</v>
      </c>
      <c r="F539" s="146" t="s">
        <v>5324</v>
      </c>
      <c r="G539"/>
      <c r="H539"/>
      <c r="K539"/>
      <c r="L539"/>
      <c r="R539"/>
      <c r="W539"/>
      <c r="Y539"/>
    </row>
    <row r="540" spans="1:25" ht="14.4" x14ac:dyDescent="0.3">
      <c r="B540" s="99" t="s">
        <v>6403</v>
      </c>
      <c r="C540" s="147">
        <f t="shared" si="9"/>
        <v>1186.1423892357984</v>
      </c>
      <c r="D540" t="s">
        <v>5910</v>
      </c>
      <c r="E540" s="164">
        <f>CONVERT(C540,"m^3","gal")*E533</f>
        <v>626691.33870683727</v>
      </c>
      <c r="F540" s="146" t="s">
        <v>5324</v>
      </c>
      <c r="G540"/>
      <c r="H540"/>
      <c r="K540"/>
      <c r="L540"/>
      <c r="R540"/>
      <c r="W540"/>
      <c r="Y540"/>
    </row>
    <row r="541" spans="1:25" ht="14.4" x14ac:dyDescent="0.3">
      <c r="A541" t="str">
        <f>_xlfn.CONCAT("Liquids",B541)</f>
        <v>LiquidsN removed, lagoon</v>
      </c>
      <c r="B541" s="99" t="s">
        <v>6404</v>
      </c>
      <c r="C541" s="78">
        <f t="shared" si="9"/>
        <v>1.1829415520586768</v>
      </c>
      <c r="D541" t="s">
        <v>2413</v>
      </c>
      <c r="E541" s="201">
        <f>C541*UC.g_to_lb/UC.L_to_gal*1000</f>
        <v>9.872125783153292</v>
      </c>
      <c r="F541" s="146" t="s">
        <v>2414</v>
      </c>
      <c r="G541"/>
      <c r="H541"/>
      <c r="K541"/>
      <c r="L541"/>
      <c r="R541"/>
      <c r="W541"/>
      <c r="Y541"/>
    </row>
    <row r="542" spans="1:25" ht="14.4" x14ac:dyDescent="0.3">
      <c r="A542" t="str">
        <f t="shared" ref="A542:A543" si="10">_xlfn.CONCAT("Liquids",B542)</f>
        <v>LiquidsP2O5 removed, lagoon</v>
      </c>
      <c r="B542" s="99" t="s">
        <v>6405</v>
      </c>
      <c r="C542" s="78">
        <f t="shared" si="9"/>
        <v>0.77008255040821727</v>
      </c>
      <c r="D542" t="s">
        <v>2413</v>
      </c>
      <c r="E542" s="201">
        <f>C542*UC.g_to_lb/UC.L_to_gal*1000</f>
        <v>6.426650401967037</v>
      </c>
      <c r="F542" s="146" t="s">
        <v>2414</v>
      </c>
      <c r="G542"/>
      <c r="H542"/>
      <c r="K542"/>
      <c r="L542"/>
      <c r="R542"/>
      <c r="W542"/>
      <c r="Y542"/>
    </row>
    <row r="543" spans="1:25" ht="14.4" x14ac:dyDescent="0.3">
      <c r="A543" t="str">
        <f t="shared" si="10"/>
        <v>LiquidsK2O removed, lagoon</v>
      </c>
      <c r="B543" s="99" t="s">
        <v>6406</v>
      </c>
      <c r="C543" s="78">
        <f t="shared" si="9"/>
        <v>1.1701311485412944</v>
      </c>
      <c r="D543" t="s">
        <v>2413</v>
      </c>
      <c r="E543" s="201">
        <f>C543*UC.g_to_lb/UC.L_to_gal*1000</f>
        <v>9.7652177836528438</v>
      </c>
      <c r="F543" s="146" t="s">
        <v>2414</v>
      </c>
      <c r="G543"/>
      <c r="H543"/>
      <c r="K543"/>
      <c r="L543"/>
      <c r="R543"/>
      <c r="W543"/>
      <c r="Y543"/>
    </row>
    <row r="544" spans="1:25" ht="14.4" x14ac:dyDescent="0.3">
      <c r="B544" s="99"/>
      <c r="D544"/>
      <c r="E544" s="99"/>
      <c r="F544" s="146"/>
      <c r="G544"/>
      <c r="H544"/>
      <c r="K544"/>
      <c r="L544"/>
      <c r="R544"/>
      <c r="W544"/>
      <c r="Y544"/>
    </row>
    <row r="545" spans="1:25" ht="14.4" x14ac:dyDescent="0.3">
      <c r="B545" s="175" t="s">
        <v>7238</v>
      </c>
      <c r="D545"/>
      <c r="E545" s="99"/>
      <c r="F545" s="146"/>
      <c r="G545"/>
      <c r="H545"/>
      <c r="K545"/>
      <c r="L545"/>
      <c r="R545"/>
      <c r="W545"/>
      <c r="Y545"/>
    </row>
    <row r="546" spans="1:25" ht="14.4" x14ac:dyDescent="0.3">
      <c r="B546" s="143" t="s">
        <v>2663</v>
      </c>
      <c r="C546" s="144" t="s">
        <v>565</v>
      </c>
      <c r="D546" s="144" t="s">
        <v>6943</v>
      </c>
      <c r="E546" s="143" t="s">
        <v>565</v>
      </c>
      <c r="F546" s="145" t="s">
        <v>6944</v>
      </c>
      <c r="G546"/>
      <c r="H546"/>
      <c r="K546"/>
      <c r="L546"/>
      <c r="R546"/>
      <c r="W546"/>
      <c r="Y546"/>
    </row>
    <row r="547" spans="1:25" ht="14.4" x14ac:dyDescent="0.3">
      <c r="B547" s="99" t="s">
        <v>6416</v>
      </c>
      <c r="C547" s="382">
        <f t="shared" ref="C547:C557" si="11">VLOOKUP(B547,$X:$AA,3,FALSE)</f>
        <v>10</v>
      </c>
      <c r="D547" t="s">
        <v>2669</v>
      </c>
      <c r="E547" s="99">
        <f t="shared" ref="E547:E553" si="12">C547</f>
        <v>10</v>
      </c>
      <c r="F547" s="146" t="s">
        <v>2669</v>
      </c>
      <c r="G547"/>
      <c r="H547"/>
      <c r="K547"/>
      <c r="L547"/>
      <c r="R547"/>
      <c r="W547"/>
      <c r="Y547"/>
    </row>
    <row r="548" spans="1:25" ht="14.4" x14ac:dyDescent="0.3">
      <c r="B548" s="99" t="s">
        <v>5679</v>
      </c>
      <c r="C548" s="382">
        <f t="shared" si="11"/>
        <v>52.439905577543158</v>
      </c>
      <c r="D548" t="s">
        <v>6085</v>
      </c>
      <c r="E548" s="178">
        <f t="shared" si="12"/>
        <v>52.439905577543158</v>
      </c>
      <c r="F548" s="146" t="s">
        <v>6085</v>
      </c>
      <c r="G548"/>
      <c r="H548"/>
      <c r="K548"/>
      <c r="L548"/>
      <c r="R548"/>
      <c r="W548"/>
      <c r="Y548"/>
    </row>
    <row r="549" spans="1:25" ht="14.4" x14ac:dyDescent="0.3">
      <c r="B549" s="99" t="s">
        <v>5667</v>
      </c>
      <c r="C549" s="382">
        <f t="shared" si="11"/>
        <v>5.4885726367091552</v>
      </c>
      <c r="D549" t="s">
        <v>6085</v>
      </c>
      <c r="E549" s="178">
        <f t="shared" si="12"/>
        <v>5.4885726367091552</v>
      </c>
      <c r="F549" s="146" t="s">
        <v>6085</v>
      </c>
      <c r="G549"/>
      <c r="H549"/>
      <c r="K549"/>
      <c r="L549"/>
      <c r="R549"/>
      <c r="W549"/>
      <c r="Y549"/>
    </row>
    <row r="550" spans="1:25" ht="14.4" x14ac:dyDescent="0.3">
      <c r="B550" s="99" t="s">
        <v>5654</v>
      </c>
      <c r="C550" s="382">
        <f t="shared" si="11"/>
        <v>41.951924462034526</v>
      </c>
      <c r="D550" t="s">
        <v>6085</v>
      </c>
      <c r="E550" s="178">
        <f t="shared" si="12"/>
        <v>41.951924462034526</v>
      </c>
      <c r="F550" s="146" t="s">
        <v>6085</v>
      </c>
      <c r="G550"/>
      <c r="H550"/>
      <c r="K550"/>
      <c r="L550"/>
      <c r="R550"/>
      <c r="W550"/>
      <c r="Y550"/>
    </row>
    <row r="551" spans="1:25" ht="14.4" x14ac:dyDescent="0.3">
      <c r="B551" s="99" t="s">
        <v>5682</v>
      </c>
      <c r="C551" s="382">
        <f t="shared" si="11"/>
        <v>369.17693526590381</v>
      </c>
      <c r="D551" t="s">
        <v>2489</v>
      </c>
      <c r="E551" s="178">
        <f t="shared" si="12"/>
        <v>369.17693526590381</v>
      </c>
      <c r="F551" s="146" t="s">
        <v>2489</v>
      </c>
      <c r="G551"/>
      <c r="H551"/>
      <c r="K551"/>
      <c r="L551"/>
      <c r="R551"/>
      <c r="W551"/>
      <c r="Y551"/>
    </row>
    <row r="552" spans="1:25" ht="14.4" x14ac:dyDescent="0.3">
      <c r="B552" s="99" t="s">
        <v>5672</v>
      </c>
      <c r="C552" s="382">
        <f t="shared" si="11"/>
        <v>43.46949528273651</v>
      </c>
      <c r="D552" t="s">
        <v>2489</v>
      </c>
      <c r="E552" s="178">
        <f t="shared" si="12"/>
        <v>43.46949528273651</v>
      </c>
      <c r="F552" s="146" t="s">
        <v>2489</v>
      </c>
      <c r="G552"/>
      <c r="H552"/>
      <c r="K552"/>
      <c r="L552"/>
      <c r="R552"/>
      <c r="W552"/>
      <c r="Y552"/>
    </row>
    <row r="553" spans="1:25" ht="14.4" x14ac:dyDescent="0.3">
      <c r="B553" s="99" t="s">
        <v>5660</v>
      </c>
      <c r="C553" s="382">
        <f t="shared" si="11"/>
        <v>461.47116908237979</v>
      </c>
      <c r="D553" t="s">
        <v>2489</v>
      </c>
      <c r="E553" s="178">
        <f t="shared" si="12"/>
        <v>461.47116908237979</v>
      </c>
      <c r="F553" s="146" t="s">
        <v>2489</v>
      </c>
      <c r="G553"/>
      <c r="H553"/>
      <c r="K553"/>
      <c r="L553"/>
      <c r="R553"/>
      <c r="W553"/>
      <c r="Y553"/>
    </row>
    <row r="554" spans="1:25" ht="14.4" x14ac:dyDescent="0.3">
      <c r="B554" s="99" t="s">
        <v>6418</v>
      </c>
      <c r="C554" s="382">
        <f t="shared" si="11"/>
        <v>2693.8026530909328</v>
      </c>
      <c r="D554" t="s">
        <v>5910</v>
      </c>
      <c r="E554" s="164">
        <f>CONVERT(C554,"m^3","gal")</f>
        <v>711627.37551485701</v>
      </c>
      <c r="F554" s="146" t="s">
        <v>2489</v>
      </c>
      <c r="G554"/>
      <c r="H554"/>
      <c r="K554"/>
      <c r="L554"/>
      <c r="R554"/>
      <c r="W554"/>
      <c r="Y554"/>
    </row>
    <row r="555" spans="1:25" ht="14.4" x14ac:dyDescent="0.3">
      <c r="A555" t="str">
        <f>_xlfn.CONCAT("Sludge",B555)</f>
        <v>SludgeN removed, lagoon</v>
      </c>
      <c r="B555" s="99" t="s">
        <v>6404</v>
      </c>
      <c r="C555" s="382">
        <f t="shared" si="11"/>
        <v>2.6043799408898596</v>
      </c>
      <c r="D555" t="s">
        <v>2413</v>
      </c>
      <c r="E555" s="201">
        <f>C555*UC.g_to_lb/UC.L_to_gal*1000</f>
        <v>21.73460414746739</v>
      </c>
      <c r="F555" s="146" t="s">
        <v>2414</v>
      </c>
      <c r="G555"/>
      <c r="H555"/>
      <c r="K555"/>
      <c r="L555"/>
      <c r="R555"/>
      <c r="W555"/>
      <c r="Y555"/>
    </row>
    <row r="556" spans="1:25" ht="14.4" x14ac:dyDescent="0.3">
      <c r="A556" t="str">
        <f t="shared" ref="A556:A557" si="13">_xlfn.CONCAT("Sludge",B556)</f>
        <v>SludgeP2O5 removed, lagoon</v>
      </c>
      <c r="B556" s="99" t="s">
        <v>6405</v>
      </c>
      <c r="C556" s="382">
        <f t="shared" si="11"/>
        <v>5.5486604996284568</v>
      </c>
      <c r="D556" t="s">
        <v>2413</v>
      </c>
      <c r="E556" s="201">
        <f>C556*UC.g_to_lb/UC.L_to_gal*1000</f>
        <v>46.305816449694916</v>
      </c>
      <c r="F556" s="146" t="s">
        <v>2414</v>
      </c>
      <c r="G556"/>
      <c r="H556"/>
      <c r="K556"/>
      <c r="L556"/>
      <c r="R556"/>
      <c r="W556"/>
      <c r="Y556"/>
    </row>
    <row r="557" spans="1:25" ht="14.4" x14ac:dyDescent="0.3">
      <c r="A557" t="str">
        <f t="shared" si="13"/>
        <v>SludgeK2O removed, lagoon</v>
      </c>
      <c r="B557" s="99" t="s">
        <v>6406</v>
      </c>
      <c r="C557" s="382">
        <f t="shared" si="11"/>
        <v>5.5486875988667448</v>
      </c>
      <c r="D557" t="s">
        <v>2413</v>
      </c>
      <c r="E557" s="201">
        <f>C557*UC.g_to_lb/UC.L_to_gal*1000</f>
        <v>46.306042603800783</v>
      </c>
      <c r="F557" s="146" t="s">
        <v>2414</v>
      </c>
      <c r="G557"/>
      <c r="H557"/>
      <c r="K557"/>
      <c r="L557"/>
      <c r="R557"/>
      <c r="W557"/>
      <c r="Y557"/>
    </row>
    <row r="558" spans="1:25" ht="14.4" x14ac:dyDescent="0.3">
      <c r="B558" s="99"/>
      <c r="D558"/>
      <c r="E558" s="99"/>
      <c r="F558" s="146"/>
      <c r="G558"/>
      <c r="H558"/>
      <c r="K558"/>
      <c r="L558"/>
      <c r="R558"/>
      <c r="W558"/>
      <c r="Y558"/>
    </row>
    <row r="559" spans="1:25" ht="14.4" x14ac:dyDescent="0.3">
      <c r="B559" s="92" t="s">
        <v>6996</v>
      </c>
      <c r="D559"/>
      <c r="E559" s="99"/>
      <c r="F559" s="146"/>
      <c r="G559"/>
      <c r="H559"/>
      <c r="K559"/>
      <c r="L559"/>
      <c r="R559"/>
      <c r="W559"/>
      <c r="Y559"/>
    </row>
    <row r="560" spans="1:25" ht="14.4" x14ac:dyDescent="0.3">
      <c r="B560" s="143" t="s">
        <v>2663</v>
      </c>
      <c r="C560" s="144" t="s">
        <v>565</v>
      </c>
      <c r="D560" s="144" t="s">
        <v>6943</v>
      </c>
      <c r="E560" s="143" t="s">
        <v>565</v>
      </c>
      <c r="F560" s="145" t="s">
        <v>6944</v>
      </c>
      <c r="G560"/>
      <c r="H560"/>
      <c r="K560"/>
      <c r="L560"/>
      <c r="R560"/>
      <c r="W560"/>
      <c r="Y560"/>
    </row>
    <row r="561" spans="1:25" ht="14.4" x14ac:dyDescent="0.3">
      <c r="B561" s="99" t="s">
        <v>7076</v>
      </c>
      <c r="D561"/>
      <c r="E561" s="357">
        <f>UDV.electricity.avg_cost</f>
        <v>6.8591666666666662E-2</v>
      </c>
      <c r="F561" s="146" t="s">
        <v>2306</v>
      </c>
      <c r="G561"/>
      <c r="H561"/>
      <c r="K561"/>
      <c r="L561"/>
      <c r="R561"/>
      <c r="W561"/>
      <c r="Y561"/>
    </row>
    <row r="562" spans="1:25" ht="14.4" x14ac:dyDescent="0.3">
      <c r="B562" s="99" t="s">
        <v>6997</v>
      </c>
      <c r="D562" s="146"/>
      <c r="E562" s="346">
        <f>UDV.fuel.diesel_avg_cost</f>
        <v>3.6964905660377356</v>
      </c>
      <c r="F562" s="146" t="s">
        <v>2315</v>
      </c>
      <c r="G562"/>
      <c r="H562"/>
      <c r="K562"/>
      <c r="L562"/>
      <c r="R562"/>
      <c r="W562"/>
      <c r="Y562"/>
    </row>
    <row r="563" spans="1:25" ht="14.4" x14ac:dyDescent="0.3">
      <c r="B563" s="149" t="s">
        <v>6998</v>
      </c>
      <c r="C563" s="150"/>
      <c r="D563" s="151"/>
      <c r="E563" s="347">
        <f>UDV.labor.non_specialized_cost</f>
        <v>23.66</v>
      </c>
      <c r="F563" s="151" t="s">
        <v>3659</v>
      </c>
      <c r="G563"/>
      <c r="H563"/>
      <c r="K563"/>
      <c r="L563"/>
      <c r="R563"/>
      <c r="W563"/>
      <c r="Y563"/>
    </row>
    <row r="564" spans="1:25" ht="14.4" x14ac:dyDescent="0.3">
      <c r="D564"/>
      <c r="E564"/>
      <c r="F564"/>
      <c r="G564"/>
      <c r="H564"/>
      <c r="K564"/>
      <c r="L564"/>
      <c r="R564"/>
      <c r="W564"/>
      <c r="Y564"/>
    </row>
    <row r="565" spans="1:25" ht="14.4" x14ac:dyDescent="0.3">
      <c r="B565" s="206" t="s">
        <v>7121</v>
      </c>
      <c r="C565" s="140"/>
      <c r="D565" s="3057"/>
      <c r="E565" s="3057"/>
      <c r="F565" s="3057"/>
      <c r="G565" s="207"/>
      <c r="H565" s="207"/>
      <c r="I565" s="207"/>
      <c r="J565" s="142"/>
      <c r="K565" s="142"/>
      <c r="L565" s="142"/>
      <c r="M565" s="142"/>
      <c r="N565" s="142"/>
      <c r="O565" s="208"/>
      <c r="R565"/>
      <c r="W565"/>
      <c r="Y565"/>
    </row>
    <row r="566" spans="1:25" ht="29.1" customHeight="1" x14ac:dyDescent="0.3">
      <c r="B566" s="210" t="s">
        <v>6946</v>
      </c>
      <c r="C566" s="152" t="s">
        <v>6947</v>
      </c>
      <c r="D566" s="152" t="s">
        <v>6948</v>
      </c>
      <c r="E566" s="152" t="s">
        <v>6999</v>
      </c>
      <c r="F566" s="152" t="s">
        <v>7000</v>
      </c>
      <c r="G566" s="152" t="s">
        <v>6951</v>
      </c>
      <c r="H566" s="152" t="s">
        <v>6952</v>
      </c>
      <c r="I566" s="152" t="s">
        <v>7001</v>
      </c>
      <c r="J566" s="152" t="s">
        <v>6954</v>
      </c>
      <c r="K566" s="152" t="s">
        <v>6955</v>
      </c>
      <c r="L566" s="152" t="s">
        <v>6956</v>
      </c>
      <c r="M566" s="82" t="s">
        <v>6957</v>
      </c>
      <c r="N566" s="152" t="s">
        <v>7002</v>
      </c>
      <c r="O566" s="161" t="s">
        <v>6959</v>
      </c>
      <c r="R566"/>
      <c r="W566"/>
      <c r="Y566"/>
    </row>
    <row r="567" spans="1:25" ht="14.4" x14ac:dyDescent="0.3">
      <c r="A567" t="s">
        <v>7122</v>
      </c>
      <c r="B567" s="99" t="s">
        <v>2808</v>
      </c>
      <c r="C567" s="153">
        <f>IF(E527=0,0,(VLOOKUP("Irrigation systema",Econ.Equations!$C:$E,2,FALSE)*E527^VLOOKUP("Irrigation systemb",Econ.Equations!$C:$E,2,FALSE))*E527)</f>
        <v>54853.229160816532</v>
      </c>
      <c r="D567" s="42">
        <f>VLOOKUP("CAPEXLifetimeBuildings and constructionDefault",Econ.inputsTable!$E:$G,2,FALSE)</f>
        <v>20</v>
      </c>
      <c r="E567" s="42" t="s">
        <v>2852</v>
      </c>
      <c r="F567" s="42" t="s">
        <v>2852</v>
      </c>
      <c r="G567" s="539">
        <f>VLOOKUP("CAPEXAnnual usage on activityItems that are used only on the given activityDefault",Econ.inputsTable!$E:$J,2,FALSE)</f>
        <v>1</v>
      </c>
      <c r="H567" s="216">
        <f t="shared" ref="H567" si="14">UDV.econ_capital.interest_rate</f>
        <v>5.0999999999999997E-2</v>
      </c>
      <c r="I567" s="2091">
        <f>VLOOKUP("CAPEXSalvageBuildings and constructionDefault",Econ.inputsTable!$E:$K,2,FALSE)</f>
        <v>0</v>
      </c>
      <c r="J567" s="153">
        <f>C567*I567</f>
        <v>0</v>
      </c>
      <c r="K567" s="154">
        <f>VLOOKUP("CAPEXFinanced amountNADefault",Econ.inputsTable!$E:$J,2,FALSE)</f>
        <v>1</v>
      </c>
      <c r="L567" s="2092">
        <f>H567*K567</f>
        <v>5.0999999999999997E-2</v>
      </c>
      <c r="M567" s="351">
        <f>L567/(1-(1+L567)^-D567)</f>
        <v>8.0924368970045152E-2</v>
      </c>
      <c r="N567" s="153">
        <f>((C567-J567)*M567)+(J567*L567)</f>
        <v>4438.962955808357</v>
      </c>
      <c r="O567" s="372">
        <f>N567*G567</f>
        <v>4438.962955808357</v>
      </c>
      <c r="R567"/>
      <c r="W567"/>
      <c r="Y567"/>
    </row>
    <row r="568" spans="1:25" ht="14.4" x14ac:dyDescent="0.3">
      <c r="A568" t="s">
        <v>7003</v>
      </c>
      <c r="B568" s="99" t="s">
        <v>7004</v>
      </c>
      <c r="C568" s="153">
        <f>VLOOKUP(_xlfn.CONCAT("Tractor",E513," hp"), Econ.Tables!$C:$E,2, FALSE)*E515</f>
        <v>283300</v>
      </c>
      <c r="D568" s="79">
        <f>VLOOKUP("CAPEXLifetimeTractor, 4 wheel drive and crawlerDefault",Econ.inputsTable!$E:$H,2,FALSE)/E568</f>
        <v>16</v>
      </c>
      <c r="E568" s="213">
        <f>IF(F568&gt;UDV.tractor.min_usage_yearly,F568,UDV.tractor.min_usage_yearly)</f>
        <v>1000</v>
      </c>
      <c r="F568" s="214">
        <f>IF(E515=0,0,(E534+(E548/E547))/E515)</f>
        <v>10.233696254595337</v>
      </c>
      <c r="G568" s="215">
        <f>F568/E568</f>
        <v>1.0233696254595337E-2</v>
      </c>
      <c r="H568" s="216">
        <f t="shared" ref="H568:H575" si="15">UDV.econ_capital.interest_rate</f>
        <v>5.0999999999999997E-2</v>
      </c>
      <c r="I568" s="503">
        <f>VLOOKUP("CAPEXSalvageEquipmentDefault",Econ.inputsTable!$E:$H,2,FALSE)</f>
        <v>0.2</v>
      </c>
      <c r="J568" s="153">
        <f t="shared" ref="J568:J575" si="16">C568*I568</f>
        <v>56660</v>
      </c>
      <c r="K568" s="217">
        <f>VLOOKUP("CAPEXFinanced amountNADefault",Econ.inputsTable!$E:$H,2,FALSE)</f>
        <v>1</v>
      </c>
      <c r="L568" s="218">
        <f t="shared" ref="L568:L575" si="17">H568*K568</f>
        <v>5.0999999999999997E-2</v>
      </c>
      <c r="M568">
        <f t="shared" ref="M568:M575" si="18">L568/(1-(1+L568)^-D568)</f>
        <v>9.2927821836826949E-2</v>
      </c>
      <c r="N568" s="153">
        <f t="shared" ref="N568:N575" si="19">((C568-J568)*M568)+(J568*L568)</f>
        <v>23950.821541098459</v>
      </c>
      <c r="O568" s="157">
        <f t="shared" ref="O568:O575" si="20">N568*G568</f>
        <v>245.10543269962062</v>
      </c>
      <c r="R568" s="156"/>
      <c r="S568" s="156"/>
      <c r="T568" s="156"/>
      <c r="U568" s="156"/>
      <c r="V568" s="156"/>
      <c r="W568" s="156"/>
      <c r="X568" s="156"/>
      <c r="Y568"/>
    </row>
    <row r="569" spans="1:25" ht="14.4" x14ac:dyDescent="0.3">
      <c r="A569" t="s">
        <v>7003</v>
      </c>
      <c r="B569" s="99" t="s">
        <v>1226</v>
      </c>
      <c r="C569" s="153">
        <f>VLOOKUP("Agitator, ptoDefault",Econ.Tables!$C:$E,2,FALSE)*E514</f>
        <v>43500</v>
      </c>
      <c r="D569" s="42">
        <f>VLOOKUP("CAPEXLifetimeAgitator, ptoDefault",Econ.inputsTable!$E:$H,2,FALSE)</f>
        <v>15</v>
      </c>
      <c r="E569"/>
      <c r="F569" s="214">
        <f>F568</f>
        <v>10.233696254595337</v>
      </c>
      <c r="G569" s="220">
        <f>VLOOKUP("CAPEXAnnual usage on activityItems that are used only on the given activityDefault",Econ.inputsTable!$E:$H,2,FALSE)</f>
        <v>1</v>
      </c>
      <c r="H569" s="216">
        <f t="shared" si="15"/>
        <v>5.0999999999999997E-2</v>
      </c>
      <c r="I569" s="503">
        <f>VLOOKUP("CAPEXSalvageEquipmentDefault",Econ.inputsTable!$E:$H,2,FALSE)</f>
        <v>0.2</v>
      </c>
      <c r="J569" s="153">
        <f t="shared" si="16"/>
        <v>8700</v>
      </c>
      <c r="K569" s="217">
        <f>VLOOKUP("CAPEXFinanced amountNADefault",Econ.inputsTable!$E:$H,2,FALSE)</f>
        <v>1</v>
      </c>
      <c r="L569" s="218">
        <f t="shared" si="17"/>
        <v>5.0999999999999997E-2</v>
      </c>
      <c r="M569">
        <f t="shared" si="18"/>
        <v>9.6994593888520206E-2</v>
      </c>
      <c r="N569" s="153">
        <f t="shared" si="19"/>
        <v>3819.1118673205028</v>
      </c>
      <c r="O569" s="157">
        <f t="shared" si="20"/>
        <v>3819.1118673205028</v>
      </c>
      <c r="R569" s="156"/>
      <c r="S569" s="156"/>
      <c r="T569" s="156"/>
      <c r="U569" s="156"/>
      <c r="V569" s="156"/>
      <c r="W569" s="156"/>
      <c r="X569" s="156"/>
      <c r="Y569"/>
    </row>
    <row r="570" spans="1:25" ht="14.4" x14ac:dyDescent="0.3">
      <c r="A570" t="s">
        <v>7003</v>
      </c>
      <c r="B570" s="99" t="s">
        <v>7005</v>
      </c>
      <c r="C570" s="153">
        <f>VLOOKUP(_xlfn.CONCAT("Tractor",E516," hp"), Econ.Tables!$C:$E,2, FALSE)*E518</f>
        <v>313600</v>
      </c>
      <c r="D570" s="79">
        <f>VLOOKUP("CAPEXLifetimeTractor, 4 wheel drive and crawlerDefault",Econ.inputsTable!$E:$H,2,FALSE)/E570</f>
        <v>16</v>
      </c>
      <c r="E570" s="213">
        <f>IF(F570&gt;UDV.tractor.min_usage_yearly,F570,UDV.tractor.min_usage_yearly)</f>
        <v>1000</v>
      </c>
      <c r="F570" s="214">
        <f>IF(E518=0,0,(E535+(E549/E547))/E518)</f>
        <v>1.0711000452185875</v>
      </c>
      <c r="G570" s="215">
        <f t="shared" ref="G570:G572" si="21">F570/E570</f>
        <v>1.0711000452185875E-3</v>
      </c>
      <c r="H570" s="216">
        <f t="shared" si="15"/>
        <v>5.0999999999999997E-2</v>
      </c>
      <c r="I570" s="503">
        <f>VLOOKUP("CAPEXSalvageEquipmentDefault",Econ.inputsTable!$E:$H,2,FALSE)</f>
        <v>0.2</v>
      </c>
      <c r="J570" s="153">
        <f t="shared" si="16"/>
        <v>62720</v>
      </c>
      <c r="K570" s="217">
        <f>VLOOKUP("CAPEXFinanced amountNADefault",Econ.inputsTable!$E:$H,2,FALSE)</f>
        <v>1</v>
      </c>
      <c r="L570" s="218">
        <f t="shared" si="17"/>
        <v>5.0999999999999997E-2</v>
      </c>
      <c r="M570">
        <f t="shared" si="18"/>
        <v>9.2927821836826949E-2</v>
      </c>
      <c r="N570" s="153">
        <f t="shared" si="19"/>
        <v>26512.451942423148</v>
      </c>
      <c r="O570" s="157">
        <f t="shared" si="20"/>
        <v>28.39748847438506</v>
      </c>
      <c r="R570" s="156"/>
      <c r="S570" s="156"/>
      <c r="T570" s="156"/>
      <c r="U570" s="156"/>
      <c r="V570" s="156"/>
      <c r="W570" s="156"/>
      <c r="X570" s="156"/>
      <c r="Y570"/>
    </row>
    <row r="571" spans="1:25" s="42" customFormat="1" ht="14.4" x14ac:dyDescent="0.3">
      <c r="A571" t="s">
        <v>7003</v>
      </c>
      <c r="B571" s="222" t="s">
        <v>3021</v>
      </c>
      <c r="C571" s="223">
        <f>VLOOKUP("Pump, tractor ptoDefault",Econ.Tables!$C:$E,2,FALSE)*E517</f>
        <v>26500</v>
      </c>
      <c r="D571" s="42">
        <f>VLOOKUP("CAPEXLifetimePump, tractor ptoDefault",Econ.inputsTable!$E:$H,2,FALSE)</f>
        <v>15</v>
      </c>
      <c r="F571" s="214">
        <f>F570</f>
        <v>1.0711000452185875</v>
      </c>
      <c r="G571" s="220">
        <f>VLOOKUP("CAPEXAnnual usage on activityItems that are used only on the given activityDefault",Econ.inputsTable!$E:$H,2,FALSE)</f>
        <v>1</v>
      </c>
      <c r="H571" s="216">
        <f t="shared" si="15"/>
        <v>5.0999999999999997E-2</v>
      </c>
      <c r="I571" s="503">
        <f>VLOOKUP("CAPEXSalvageEquipmentDefault",Econ.inputsTable!$E:$H,2,FALSE)</f>
        <v>0.2</v>
      </c>
      <c r="J571" s="153">
        <f t="shared" si="16"/>
        <v>5300</v>
      </c>
      <c r="K571" s="217">
        <f>VLOOKUP("CAPEXFinanced amountNADefault",Econ.inputsTable!$E:$H,2,FALSE)</f>
        <v>1</v>
      </c>
      <c r="L571" s="218">
        <f t="shared" si="17"/>
        <v>5.0999999999999997E-2</v>
      </c>
      <c r="M571">
        <f t="shared" si="18"/>
        <v>9.6994593888520206E-2</v>
      </c>
      <c r="N571" s="153">
        <f t="shared" si="19"/>
        <v>2326.5853904366286</v>
      </c>
      <c r="O571" s="157">
        <f t="shared" si="20"/>
        <v>2326.5853904366286</v>
      </c>
      <c r="P571"/>
      <c r="Q571"/>
      <c r="R571" s="156"/>
      <c r="S571" s="156"/>
      <c r="T571" s="156"/>
      <c r="U571" s="156"/>
      <c r="V571" s="156"/>
      <c r="W571" s="156"/>
      <c r="X571" s="156"/>
      <c r="Y571"/>
    </row>
    <row r="572" spans="1:25" ht="14.4" x14ac:dyDescent="0.3">
      <c r="A572" t="s">
        <v>7003</v>
      </c>
      <c r="B572" s="99" t="s">
        <v>7006</v>
      </c>
      <c r="C572" s="153">
        <f>VLOOKUP(_xlfn.CONCAT("Tractor",E519," hp"), Econ.Tables!$C:$E,2, FALSE)*E522</f>
        <v>404700</v>
      </c>
      <c r="D572" s="79">
        <f>VLOOKUP("CAPEXLifetimeTractor, 4 wheel drive and crawlerDefault",Econ.inputsTable!$E:$H,2,FALSE)/E572</f>
        <v>16</v>
      </c>
      <c r="E572" s="213">
        <f>IF(F572&gt;UDV.tractor.min_usage_yearly,F572,UDV.tractor.min_usage_yearly)</f>
        <v>1000</v>
      </c>
      <c r="F572" s="214">
        <f>IF(E522=0,0,(E536+(E550/E547))/E522)</f>
        <v>8.1869570036762696</v>
      </c>
      <c r="G572" s="215">
        <f t="shared" si="21"/>
        <v>8.1869570036762693E-3</v>
      </c>
      <c r="H572" s="216">
        <f t="shared" si="15"/>
        <v>5.0999999999999997E-2</v>
      </c>
      <c r="I572" s="503">
        <f>VLOOKUP("CAPEXSalvageEquipmentDefault",Econ.inputsTable!$E:$H,2,FALSE)</f>
        <v>0.2</v>
      </c>
      <c r="J572" s="153">
        <f t="shared" si="16"/>
        <v>80940</v>
      </c>
      <c r="K572" s="217">
        <f>VLOOKUP("CAPEXFinanced amountNADefault",Econ.inputsTable!$E:$H,2,FALSE)</f>
        <v>1</v>
      </c>
      <c r="L572" s="218">
        <f t="shared" si="17"/>
        <v>5.0999999999999997E-2</v>
      </c>
      <c r="M572">
        <f t="shared" si="18"/>
        <v>9.2927821836826949E-2</v>
      </c>
      <c r="N572" s="153">
        <f t="shared" si="19"/>
        <v>34214.251597891096</v>
      </c>
      <c r="O572" s="157">
        <f t="shared" si="20"/>
        <v>280.11060674489647</v>
      </c>
      <c r="R572" s="156"/>
      <c r="S572" s="156"/>
      <c r="T572" s="156"/>
      <c r="U572" s="156"/>
      <c r="V572" s="156"/>
      <c r="W572" s="156"/>
      <c r="X572" s="156"/>
      <c r="Y572"/>
    </row>
    <row r="573" spans="1:25" ht="14.4" x14ac:dyDescent="0.3">
      <c r="A573" t="s">
        <v>7003</v>
      </c>
      <c r="B573" s="99" t="s">
        <v>6392</v>
      </c>
      <c r="C573" s="153">
        <f>UDV.econ_tanker.cost*E521</f>
        <v>136600</v>
      </c>
      <c r="D573" s="42">
        <f>VLOOKUP("CAPEXLifetimeEquipmentDefault",Econ.inputsTable!$E:$H,2,FALSE)</f>
        <v>10</v>
      </c>
      <c r="E573"/>
      <c r="F573" s="214">
        <f>F572</f>
        <v>8.1869570036762696</v>
      </c>
      <c r="G573" s="220">
        <f>VLOOKUP("CAPEXAnnual usage on activityItems that are used only on the given activityDefault",Econ.inputsTable!$E:$H,2,FALSE)</f>
        <v>1</v>
      </c>
      <c r="H573" s="216">
        <f t="shared" si="15"/>
        <v>5.0999999999999997E-2</v>
      </c>
      <c r="I573" s="503">
        <f>VLOOKUP("CAPEXSalvageEquipmentDefault",Econ.inputsTable!$E:$H,2,FALSE)</f>
        <v>0.2</v>
      </c>
      <c r="J573" s="153">
        <f t="shared" si="16"/>
        <v>27320</v>
      </c>
      <c r="K573" s="217">
        <f>VLOOKUP("CAPEXFinanced amountNADefault",Econ.inputsTable!$E:$H,2,FALSE)</f>
        <v>1</v>
      </c>
      <c r="L573" s="218">
        <f t="shared" si="17"/>
        <v>5.0999999999999997E-2</v>
      </c>
      <c r="M573">
        <f t="shared" si="18"/>
        <v>0.13013423257204779</v>
      </c>
      <c r="N573" s="153">
        <f t="shared" si="19"/>
        <v>15614.388935473382</v>
      </c>
      <c r="O573" s="157">
        <f t="shared" si="20"/>
        <v>15614.388935473382</v>
      </c>
    </row>
    <row r="574" spans="1:25" ht="14.4" x14ac:dyDescent="0.3">
      <c r="A574" t="s">
        <v>7003</v>
      </c>
      <c r="B574" s="99" t="s">
        <v>7007</v>
      </c>
      <c r="C574" s="229">
        <f>(IF(E523="Broadcast",VLOOKUP("BoomDefault", Econ.Tables!$C:$E,2,FALSE),0))*E521</f>
        <v>0</v>
      </c>
      <c r="D574" s="42">
        <f>VLOOKUP("CAPEXLifetimeEquipmentDefault",Econ.inputsTable!$E:$H,2,FALSE)</f>
        <v>10</v>
      </c>
      <c r="E574" s="152"/>
      <c r="F574" s="231">
        <f>IF(C523="Broadcast",F572,0)</f>
        <v>0</v>
      </c>
      <c r="G574" s="220">
        <f>VLOOKUP("CAPEXAnnual usage on activityItems that are used only on the given activityDefault",Econ.inputsTable!$E:$H,2,FALSE)</f>
        <v>1</v>
      </c>
      <c r="H574" s="216">
        <f t="shared" si="15"/>
        <v>5.0999999999999997E-2</v>
      </c>
      <c r="I574" s="216">
        <f>VLOOKUP("CAPEXSalvageEquipmentDefault",Econ.inputsTable!$E:$H,2,FALSE)</f>
        <v>0.2</v>
      </c>
      <c r="J574" s="153">
        <f t="shared" si="16"/>
        <v>0</v>
      </c>
      <c r="K574" s="217">
        <f>VLOOKUP("CAPEXFinanced amountNADefault",Econ.inputsTable!$E:$H,2,FALSE)</f>
        <v>1</v>
      </c>
      <c r="L574" s="218">
        <f t="shared" si="17"/>
        <v>5.0999999999999997E-2</v>
      </c>
      <c r="M574">
        <f t="shared" si="18"/>
        <v>0.13013423257204779</v>
      </c>
      <c r="N574" s="153">
        <f t="shared" si="19"/>
        <v>0</v>
      </c>
      <c r="O574" s="157">
        <f t="shared" si="20"/>
        <v>0</v>
      </c>
    </row>
    <row r="575" spans="1:25" ht="14.4" x14ac:dyDescent="0.3">
      <c r="A575" t="s">
        <v>7003</v>
      </c>
      <c r="B575" s="99" t="s">
        <v>7008</v>
      </c>
      <c r="C575" s="229">
        <f>(IF(E523="Injection",VLOOKUP("InjectionDefault",Econ.Tables!$C:$E,2,FALSE),0))*E521</f>
        <v>80900</v>
      </c>
      <c r="D575" s="42">
        <f>VLOOKUP("CAPEXLifetimeEquipmentDefault",Econ.inputsTable!$E:$H,2,FALSE)</f>
        <v>10</v>
      </c>
      <c r="E575" s="152"/>
      <c r="F575" s="231">
        <f>IF(C523="Injection",F573,0)</f>
        <v>8.1869570036762696</v>
      </c>
      <c r="G575" s="220">
        <f>VLOOKUP("CAPEXAnnual usage on activityItems that are used only on the given activityDefault",Econ.inputsTable!$E:$H,2,FALSE)</f>
        <v>1</v>
      </c>
      <c r="H575" s="216">
        <f t="shared" si="15"/>
        <v>5.0999999999999997E-2</v>
      </c>
      <c r="I575" s="216">
        <f>VLOOKUP("CAPEXSalvageEquipmentDefault",Econ.inputsTable!$E:$H,2,FALSE)</f>
        <v>0.2</v>
      </c>
      <c r="J575" s="153">
        <f t="shared" si="16"/>
        <v>16180</v>
      </c>
      <c r="K575" s="217">
        <f>VLOOKUP("CAPEXFinanced amountNADefault",Econ.inputsTable!$E:$H,2,FALSE)</f>
        <v>1</v>
      </c>
      <c r="L575" s="218">
        <f t="shared" si="17"/>
        <v>5.0999999999999997E-2</v>
      </c>
      <c r="M575">
        <f t="shared" si="18"/>
        <v>0.13013423257204779</v>
      </c>
      <c r="N575" s="153">
        <f t="shared" si="19"/>
        <v>9247.4675320629322</v>
      </c>
      <c r="O575" s="157">
        <f t="shared" si="20"/>
        <v>9247.4675320629322</v>
      </c>
    </row>
    <row r="576" spans="1:25" ht="14.4" x14ac:dyDescent="0.3">
      <c r="B576" s="99"/>
      <c r="C576" s="229"/>
      <c r="D576" s="42"/>
      <c r="E576" s="42"/>
      <c r="F576" s="42"/>
      <c r="H576" s="42"/>
      <c r="I576" s="152"/>
      <c r="J576" s="231"/>
      <c r="K576" s="220"/>
      <c r="L576" s="216"/>
      <c r="M576" s="216"/>
      <c r="N576" s="216"/>
      <c r="O576" s="232"/>
    </row>
    <row r="577" spans="1:25" ht="14.4" x14ac:dyDescent="0.3">
      <c r="B577" s="99"/>
      <c r="C577" s="82" t="s">
        <v>7009</v>
      </c>
      <c r="D577" s="82" t="s">
        <v>6963</v>
      </c>
      <c r="E577"/>
      <c r="F577"/>
      <c r="G577"/>
      <c r="H577"/>
      <c r="K577"/>
      <c r="L577"/>
      <c r="N577" s="153">
        <f>SUM(N568:N575)</f>
        <v>115685.07880670615</v>
      </c>
      <c r="O577" s="157">
        <f>SUM(O568:O575)</f>
        <v>31561.167253212348</v>
      </c>
    </row>
    <row r="578" spans="1:25" ht="14.4" x14ac:dyDescent="0.3">
      <c r="A578" t="s">
        <v>5202</v>
      </c>
      <c r="B578" s="99" t="s">
        <v>6964</v>
      </c>
      <c r="C578" s="153">
        <f>SUM(C567:C575)</f>
        <v>1343953.2291608164</v>
      </c>
      <c r="D578" s="233">
        <f>SUMPRODUCT(C567:C575,G567:G575)</f>
        <v>348901.59378331172</v>
      </c>
      <c r="E578"/>
      <c r="F578"/>
      <c r="G578"/>
      <c r="H578"/>
      <c r="K578"/>
      <c r="L578"/>
      <c r="O578" s="146"/>
    </row>
    <row r="579" spans="1:25" ht="14.4" x14ac:dyDescent="0.3">
      <c r="A579" t="s">
        <v>5202</v>
      </c>
      <c r="B579" s="149" t="s">
        <v>6965</v>
      </c>
      <c r="C579" s="159">
        <f>SUM(N567:N575)</f>
        <v>120124.04176251452</v>
      </c>
      <c r="D579" s="234">
        <f>SUMPRODUCT(N567:N575,G567:G575)</f>
        <v>36000.130209020703</v>
      </c>
      <c r="E579" s="159"/>
      <c r="F579" s="150"/>
      <c r="G579" s="150"/>
      <c r="H579" s="150"/>
      <c r="I579" s="150"/>
      <c r="J579" s="150"/>
      <c r="K579" s="150"/>
      <c r="L579" s="150"/>
      <c r="M579" s="150"/>
      <c r="N579" s="150"/>
      <c r="O579" s="151"/>
    </row>
    <row r="580" spans="1:25" ht="14.4" x14ac:dyDescent="0.3">
      <c r="B580" s="262"/>
      <c r="C580" s="142"/>
      <c r="D580" s="142"/>
      <c r="E580" s="142"/>
      <c r="F580" s="142"/>
      <c r="G580" s="142"/>
      <c r="H580" s="142"/>
      <c r="I580" s="142"/>
      <c r="J580" s="142"/>
      <c r="K580" s="142"/>
      <c r="L580" s="142"/>
      <c r="M580" s="142"/>
      <c r="N580" s="142"/>
      <c r="O580" s="141"/>
    </row>
    <row r="581" spans="1:25" ht="28.8" x14ac:dyDescent="0.3">
      <c r="B581" s="160" t="s">
        <v>6966</v>
      </c>
      <c r="C581" s="152" t="s">
        <v>6967</v>
      </c>
      <c r="D581" s="152" t="s">
        <v>6968</v>
      </c>
      <c r="E581" s="152" t="s">
        <v>6969</v>
      </c>
      <c r="F581" s="152" t="s">
        <v>6970</v>
      </c>
      <c r="G581" s="152" t="s">
        <v>6971</v>
      </c>
      <c r="H581" s="152" t="s">
        <v>6972</v>
      </c>
      <c r="I581" s="152" t="s">
        <v>6973</v>
      </c>
      <c r="J581" s="152" t="s">
        <v>6974</v>
      </c>
      <c r="K581" s="152" t="s">
        <v>6975</v>
      </c>
      <c r="L581" s="152" t="s">
        <v>6976</v>
      </c>
      <c r="M581" s="152" t="s">
        <v>6977</v>
      </c>
      <c r="N581" s="152" t="s">
        <v>6978</v>
      </c>
      <c r="O581" s="161" t="s">
        <v>6979</v>
      </c>
    </row>
    <row r="582" spans="1:25" ht="14.4" x14ac:dyDescent="0.3">
      <c r="B582" s="99" t="s">
        <v>2808</v>
      </c>
      <c r="C582" s="155">
        <f>VLOOKUP("OPEXInsuranceEverythingDefault",Econ.inputsTable!$E:$K,2,FALSE)</f>
        <v>5.0000000000000001E-3</v>
      </c>
      <c r="D582" s="154">
        <f>VLOOKUP("OPEXRepair and maintenanceEquipmentDefault",Econ.inputsTable!$E:$K,2,FALSE)</f>
        <v>0.03</v>
      </c>
      <c r="E582"/>
      <c r="F582" s="504">
        <f>E528</f>
        <v>934.64729834049092</v>
      </c>
      <c r="G582" s="504">
        <f>F582*E561</f>
        <v>64.109015938671504</v>
      </c>
      <c r="H582"/>
      <c r="I582" s="504"/>
      <c r="J582" s="504"/>
      <c r="K582" s="147">
        <f>E529</f>
        <v>8.1379895937397162</v>
      </c>
      <c r="L582" s="156">
        <f>K582*E563</f>
        <v>192.54483378788169</v>
      </c>
      <c r="O582" s="167">
        <f t="shared" ref="O582" si="22">(SUM(C582:D582)*C567*G567)+SUM(E582,G582,I582,J582,L582,N582)</f>
        <v>2176.5168703551317</v>
      </c>
      <c r="R582"/>
      <c r="W582"/>
      <c r="Y582"/>
    </row>
    <row r="583" spans="1:25" ht="14.4" x14ac:dyDescent="0.3">
      <c r="B583" s="235" t="s">
        <v>7004</v>
      </c>
      <c r="C583" s="236">
        <f>VLOOKUP("OPEXInsuranceEverythingDefault",Econ.inputsTable!$E:$H,2,FALSE)</f>
        <v>5.0000000000000001E-3</v>
      </c>
      <c r="D583" s="237">
        <f>VLOOKUP("OPEXRepair and maintenanceEquipmentDefault",Econ.inputsTable!$E:$H,2,FALSE)</f>
        <v>0.03</v>
      </c>
      <c r="E583"/>
      <c r="F583"/>
      <c r="G583"/>
      <c r="H583" s="147">
        <f>E537+(E551/E547)</f>
        <v>72.045221632351172</v>
      </c>
      <c r="I583" s="233">
        <f>H583*E562</f>
        <v>266.31448209208389</v>
      </c>
      <c r="J583" s="229">
        <f>I583*VLOOKUP("OPEXLubeLubeDefault",Econ.inputsTable!$E:$H,2,FALSE)</f>
        <v>26.63144820920839</v>
      </c>
      <c r="K583" s="205">
        <f>(E534+(E548/E547))*VLOOKUP("OPEXLaborTractorDefault",Econ.inputsTable!$E:$H,2,FALSE)</f>
        <v>11.257065880054872</v>
      </c>
      <c r="L583" s="318">
        <f>K583*E563</f>
        <v>266.34217872209831</v>
      </c>
      <c r="O583" s="240">
        <f t="shared" ref="O583:O590" si="23">(SUM(C583:D583)*C568*G568)+SUM(E583,G583,I583,J583,L583,N583)</f>
        <v>660.76032423583058</v>
      </c>
    </row>
    <row r="584" spans="1:25" ht="14.4" x14ac:dyDescent="0.3">
      <c r="B584" s="99" t="s">
        <v>1226</v>
      </c>
      <c r="C584" s="236">
        <f>VLOOKUP("OPEXInsuranceEverythingDefault",Econ.inputsTable!$E:$H,2,FALSE)</f>
        <v>5.0000000000000001E-3</v>
      </c>
      <c r="D584" s="237">
        <f>VLOOKUP("OPEXRepair and maintenanceEquipmentDefault",Econ.inputsTable!$E:$H,2,FALSE)</f>
        <v>0.03</v>
      </c>
      <c r="E584"/>
      <c r="F584"/>
      <c r="G584"/>
      <c r="H584" s="147"/>
      <c r="I584" s="233"/>
      <c r="J584" s="233"/>
      <c r="K584"/>
      <c r="L584" s="153"/>
      <c r="O584" s="240">
        <f t="shared" si="23"/>
        <v>1522.4999999999998</v>
      </c>
    </row>
    <row r="585" spans="1:25" ht="14.4" x14ac:dyDescent="0.3">
      <c r="B585" s="99" t="s">
        <v>7005</v>
      </c>
      <c r="C585" s="236">
        <f>VLOOKUP("OPEXInsuranceEverythingDefault",Econ.inputsTable!$E:$H,2,FALSE)</f>
        <v>5.0000000000000001E-3</v>
      </c>
      <c r="D585" s="237">
        <f>VLOOKUP("OPEXRepair and maintenanceEquipmentDefault",Econ.inputsTable!$E:$H,2,FALSE)</f>
        <v>0.03</v>
      </c>
      <c r="E585"/>
      <c r="F585"/>
      <c r="G585"/>
      <c r="H585" s="147">
        <f>E538+(E552/E547)</f>
        <v>8.483112358131212</v>
      </c>
      <c r="I585" s="233">
        <f>H585*E562</f>
        <v>31.357744802470155</v>
      </c>
      <c r="J585" s="229">
        <f>I585*VLOOKUP("OPEXLubeLubeDefault",Econ.inputsTable!$E:$H,2,FALSE)</f>
        <v>3.1357744802470155</v>
      </c>
      <c r="K585" s="205">
        <f>(E535+(E549/E547))*VLOOKUP("OPEXLaborTractorDefault",Econ.inputsTable!$E:$H,2,FALSE)</f>
        <v>1.1782100497404464</v>
      </c>
      <c r="L585" s="318">
        <f>K585*E563</f>
        <v>27.876449776858962</v>
      </c>
      <c r="O585" s="240">
        <f t="shared" si="23"/>
        <v>74.126363155895348</v>
      </c>
    </row>
    <row r="586" spans="1:25" ht="14.4" x14ac:dyDescent="0.3">
      <c r="B586" s="222" t="s">
        <v>3021</v>
      </c>
      <c r="C586" s="236">
        <f>VLOOKUP("OPEXInsuranceEverythingDefault",Econ.inputsTable!$E:$H,2,FALSE)</f>
        <v>5.0000000000000001E-3</v>
      </c>
      <c r="D586" s="237">
        <f>VLOOKUP("OPEXRepair and maintenancePump, tractor ptoDefault",Econ.inputsTable!$E:$H,2,FALSE)</f>
        <v>0.05</v>
      </c>
      <c r="E586"/>
      <c r="F586"/>
      <c r="G586"/>
      <c r="H586"/>
      <c r="I586" s="233"/>
      <c r="J586" s="233"/>
      <c r="K586"/>
      <c r="L586" s="153"/>
      <c r="O586" s="240">
        <f t="shared" si="23"/>
        <v>1457.5</v>
      </c>
    </row>
    <row r="587" spans="1:25" ht="14.4" x14ac:dyDescent="0.3">
      <c r="B587" s="99" t="s">
        <v>7006</v>
      </c>
      <c r="C587" s="236">
        <f>VLOOKUP("OPEXInsuranceEverythingDefault",Econ.inputsTable!$E:$H,2,FALSE)</f>
        <v>5.0000000000000001E-3</v>
      </c>
      <c r="D587" s="237">
        <f>VLOOKUP("OPEXRepair and maintenanceEquipmentDefault",Econ.inputsTable!$E:$H,2,FALSE)</f>
        <v>0.03</v>
      </c>
      <c r="E587"/>
      <c r="F587"/>
      <c r="G587"/>
      <c r="H587" s="147">
        <f>E539+(E553/E547)</f>
        <v>90.056527040438965</v>
      </c>
      <c r="I587" s="233">
        <f>H587*E562</f>
        <v>332.89310261510485</v>
      </c>
      <c r="J587" s="229">
        <f>I587*VLOOKUP("OPEXLubeLubeDefault",Econ.inputsTable!$E:$H,2,FALSE)</f>
        <v>33.289310261510487</v>
      </c>
      <c r="K587" s="205">
        <f>(E536+(E550/E547))*VLOOKUP("OPEXLaborTractorDefault",Econ.inputsTable!$E:$H,2,FALSE)</f>
        <v>9.0056527040438965</v>
      </c>
      <c r="L587" s="318">
        <f>K587*E563</f>
        <v>213.07374297767859</v>
      </c>
      <c r="O587" s="240">
        <f t="shared" si="23"/>
        <v>695.22030833286635</v>
      </c>
    </row>
    <row r="588" spans="1:25" ht="14.4" x14ac:dyDescent="0.3">
      <c r="B588" s="99" t="s">
        <v>6392</v>
      </c>
      <c r="C588" s="236">
        <f>VLOOKUP("OPEXInsuranceEverythingDefault",Econ.inputsTable!$E:$H,2,FALSE)</f>
        <v>5.0000000000000001E-3</v>
      </c>
      <c r="D588" s="237">
        <f>VLOOKUP("OPEXRepair and maintenanceEquipmentDefault",Econ.inputsTable!$E:$H,2,FALSE)</f>
        <v>0.03</v>
      </c>
      <c r="E588"/>
      <c r="F588"/>
      <c r="G588"/>
      <c r="H588"/>
      <c r="I588" s="233"/>
      <c r="J588" s="233"/>
      <c r="K588"/>
      <c r="L588" s="153"/>
      <c r="O588" s="240">
        <f t="shared" si="23"/>
        <v>4780.9999999999991</v>
      </c>
    </row>
    <row r="589" spans="1:25" ht="14.4" x14ac:dyDescent="0.3">
      <c r="B589" s="99" t="s">
        <v>7007</v>
      </c>
      <c r="C589" s="236">
        <f>VLOOKUP("OPEXInsuranceEverythingDefault",Econ.inputsTable!$E:$H,2,FALSE)</f>
        <v>5.0000000000000001E-3</v>
      </c>
      <c r="D589" s="237">
        <f>VLOOKUP("OPEXRepair and maintenanceEquipmentDefault",Econ.inputsTable!$E:$H,2,FALSE)</f>
        <v>0.03</v>
      </c>
      <c r="E589"/>
      <c r="F589"/>
      <c r="G589"/>
      <c r="H589"/>
      <c r="I589" s="233"/>
      <c r="J589" s="233"/>
      <c r="K589"/>
      <c r="L589" s="153"/>
      <c r="O589" s="240">
        <f t="shared" si="23"/>
        <v>0</v>
      </c>
    </row>
    <row r="590" spans="1:25" ht="14.4" x14ac:dyDescent="0.3">
      <c r="B590" s="99" t="s">
        <v>7008</v>
      </c>
      <c r="C590" s="236">
        <f>VLOOKUP("OPEXInsuranceEverythingDefault",Econ.inputsTable!$E:$H,2,FALSE)</f>
        <v>5.0000000000000001E-3</v>
      </c>
      <c r="D590" s="237">
        <f>VLOOKUP("OPEXRepair and maintenanceEquipmentDefault",Econ.inputsTable!$E:$H,2,FALSE)</f>
        <v>0.03</v>
      </c>
      <c r="E590"/>
      <c r="F590"/>
      <c r="G590"/>
      <c r="H590"/>
      <c r="I590" s="233"/>
      <c r="J590" s="233"/>
      <c r="K590"/>
      <c r="L590" s="153"/>
      <c r="O590" s="240">
        <f t="shared" si="23"/>
        <v>2831.4999999999995</v>
      </c>
    </row>
    <row r="591" spans="1:25" ht="14.4" x14ac:dyDescent="0.3">
      <c r="A591" t="s">
        <v>5202</v>
      </c>
      <c r="B591" s="162" t="s">
        <v>5203</v>
      </c>
      <c r="C591" s="241"/>
      <c r="D591" s="241"/>
      <c r="E591" s="242">
        <f t="shared" ref="E591:O591" si="24">SUM(E582:E590)</f>
        <v>0</v>
      </c>
      <c r="F591" s="2125">
        <f t="shared" si="24"/>
        <v>934.64729834049092</v>
      </c>
      <c r="G591" s="242">
        <f t="shared" si="24"/>
        <v>64.109015938671504</v>
      </c>
      <c r="H591" s="286">
        <f t="shared" si="24"/>
        <v>170.58486103092133</v>
      </c>
      <c r="I591" s="242">
        <f t="shared" si="24"/>
        <v>630.56532950965891</v>
      </c>
      <c r="J591" s="242">
        <f t="shared" si="24"/>
        <v>63.056532950965888</v>
      </c>
      <c r="K591" s="243">
        <f t="shared" si="24"/>
        <v>29.578918227578932</v>
      </c>
      <c r="L591" s="242">
        <f t="shared" si="24"/>
        <v>699.83720526451748</v>
      </c>
      <c r="M591" s="374">
        <f t="shared" si="24"/>
        <v>0</v>
      </c>
      <c r="N591" s="242">
        <f t="shared" si="24"/>
        <v>0</v>
      </c>
      <c r="O591" s="169">
        <f t="shared" si="24"/>
        <v>14199.123866079721</v>
      </c>
    </row>
    <row r="592" spans="1:25" ht="14.4" x14ac:dyDescent="0.3">
      <c r="B592" s="99"/>
      <c r="D592"/>
      <c r="E592"/>
      <c r="F592"/>
      <c r="G592"/>
      <c r="H592"/>
      <c r="K592"/>
      <c r="L592"/>
      <c r="O592" s="146"/>
    </row>
    <row r="593" spans="1:18" ht="14.4" x14ac:dyDescent="0.3">
      <c r="A593" t="s">
        <v>5202</v>
      </c>
      <c r="B593" s="149" t="s">
        <v>6980</v>
      </c>
      <c r="C593" s="159">
        <f>O591</f>
        <v>14199.123866079721</v>
      </c>
      <c r="D593" s="150"/>
      <c r="E593" s="150"/>
      <c r="F593" s="150"/>
      <c r="G593" s="150"/>
      <c r="H593" s="150"/>
      <c r="I593" s="150"/>
      <c r="J593" s="150"/>
      <c r="K593" s="150"/>
      <c r="L593" s="150"/>
      <c r="M593" s="150"/>
      <c r="N593" s="150"/>
      <c r="O593" s="151"/>
    </row>
    <row r="594" spans="1:18" ht="14.4" x14ac:dyDescent="0.3">
      <c r="C594" s="153"/>
      <c r="D594"/>
      <c r="E594"/>
      <c r="F594"/>
      <c r="G594"/>
      <c r="H594"/>
      <c r="K594"/>
      <c r="L594"/>
    </row>
    <row r="595" spans="1:18" ht="14.4" x14ac:dyDescent="0.3">
      <c r="B595" s="384" t="s">
        <v>7123</v>
      </c>
      <c r="C595" s="2997" t="s">
        <v>6402</v>
      </c>
      <c r="D595" s="2999"/>
      <c r="E595" s="3059" t="s">
        <v>6417</v>
      </c>
      <c r="F595" s="3058"/>
      <c r="G595"/>
      <c r="H595"/>
      <c r="K595"/>
      <c r="L595"/>
    </row>
    <row r="596" spans="1:18" ht="14.4" x14ac:dyDescent="0.3">
      <c r="B596" s="385" t="s">
        <v>7012</v>
      </c>
      <c r="C596" s="139" t="s">
        <v>7124</v>
      </c>
      <c r="D596" s="245" t="s">
        <v>7125</v>
      </c>
      <c r="E596" s="139" t="s">
        <v>7124</v>
      </c>
      <c r="F596" s="245" t="s">
        <v>7125</v>
      </c>
      <c r="G596"/>
      <c r="H596"/>
      <c r="K596"/>
      <c r="L596"/>
    </row>
    <row r="597" spans="1:18" ht="14.4" x14ac:dyDescent="0.3">
      <c r="A597" t="s">
        <v>5202</v>
      </c>
      <c r="B597" s="386" t="s">
        <v>7013</v>
      </c>
      <c r="C597" s="387">
        <f xml:space="preserve"> VLOOKUP("Fertilizer value for on-farm use, liquids",$R$1:$T$332,3, FALSE)</f>
        <v>5222.6567480257117</v>
      </c>
      <c r="D597" s="388">
        <f>VLOOKUP("Fertilizer value for on-farm use, liquids",$R$1:$T$332,3, FALSE)</f>
        <v>5222.6567480257117</v>
      </c>
      <c r="E597" s="387"/>
      <c r="F597" s="389">
        <f>VLOOKUP("Fertilizer value for on-farm use, sludge",$R$1:$T$332,3, FALSE)</f>
        <v>12065.004660363613</v>
      </c>
      <c r="G597"/>
      <c r="H597"/>
      <c r="K597"/>
      <c r="L597"/>
    </row>
    <row r="598" spans="1:18" ht="14.4" x14ac:dyDescent="0.3">
      <c r="A598" t="s">
        <v>5202</v>
      </c>
      <c r="B598" s="386" t="s">
        <v>7126</v>
      </c>
      <c r="C598" s="390">
        <f>C597</f>
        <v>5222.6567480257117</v>
      </c>
      <c r="D598" s="391"/>
      <c r="E598" s="390">
        <f>(F597/UDV.anaer_lagoon.sludge_time)</f>
        <v>1206.5004660363613</v>
      </c>
      <c r="F598" s="391"/>
      <c r="G598"/>
      <c r="H598"/>
      <c r="K598"/>
      <c r="L598"/>
    </row>
    <row r="599" spans="1:18" ht="14.4" x14ac:dyDescent="0.3">
      <c r="A599" t="s">
        <v>5202</v>
      </c>
      <c r="B599" s="386" t="s">
        <v>7014</v>
      </c>
      <c r="C599" s="393">
        <f>SUM(C598,E598)</f>
        <v>6429.1572140620729</v>
      </c>
      <c r="D599" s="146"/>
      <c r="E599" s="99"/>
      <c r="F599" s="146"/>
      <c r="G599"/>
      <c r="H599"/>
      <c r="K599"/>
      <c r="L599"/>
    </row>
    <row r="600" spans="1:18" ht="14.4" x14ac:dyDescent="0.3">
      <c r="B600" s="386"/>
      <c r="D600" s="146"/>
      <c r="E600" s="99"/>
      <c r="F600" s="146"/>
      <c r="G600"/>
      <c r="H600"/>
      <c r="K600"/>
      <c r="L600"/>
    </row>
    <row r="601" spans="1:18" ht="14.4" x14ac:dyDescent="0.3">
      <c r="B601" s="394" t="s">
        <v>7015</v>
      </c>
      <c r="C601" s="139" t="s">
        <v>7124</v>
      </c>
      <c r="D601" s="245" t="s">
        <v>7125</v>
      </c>
      <c r="E601" s="139" t="s">
        <v>7124</v>
      </c>
      <c r="F601" s="245" t="s">
        <v>7125</v>
      </c>
      <c r="G601"/>
      <c r="H601"/>
      <c r="K601"/>
      <c r="L601"/>
    </row>
    <row r="602" spans="1:18" ht="14.4" x14ac:dyDescent="0.3">
      <c r="A602" t="s">
        <v>5202</v>
      </c>
      <c r="B602" s="386" t="s">
        <v>7016</v>
      </c>
      <c r="C602" s="387">
        <f>UDV.econ_manure.liquid_sell_price*C503</f>
        <v>0</v>
      </c>
      <c r="D602" s="389">
        <f>UDV.econ_manure.liquid_sell_price*C503</f>
        <v>0</v>
      </c>
      <c r="E602" s="387"/>
      <c r="F602" s="389">
        <f>UDV.econ_manure.sludge_sell_price*C506</f>
        <v>0</v>
      </c>
      <c r="G602"/>
      <c r="H602"/>
      <c r="K602"/>
      <c r="L602"/>
    </row>
    <row r="603" spans="1:18" ht="14.4" x14ac:dyDescent="0.3">
      <c r="A603" t="s">
        <v>5202</v>
      </c>
      <c r="B603" s="386" t="s">
        <v>7127</v>
      </c>
      <c r="C603" s="390">
        <f>C602</f>
        <v>0</v>
      </c>
      <c r="D603" s="391"/>
      <c r="E603" s="390">
        <f>(F602/UDV.anaer_lagoon.sludge_time)</f>
        <v>0</v>
      </c>
      <c r="F603" s="391"/>
      <c r="G603"/>
      <c r="H603"/>
      <c r="K603"/>
      <c r="L603"/>
    </row>
    <row r="604" spans="1:18" ht="14.4" x14ac:dyDescent="0.3">
      <c r="A604" t="s">
        <v>5202</v>
      </c>
      <c r="B604" s="386" t="s">
        <v>7017</v>
      </c>
      <c r="C604" s="393">
        <f>SUM(C603,E603)</f>
        <v>0</v>
      </c>
      <c r="D604" s="146"/>
      <c r="E604" s="99"/>
      <c r="F604" s="146"/>
      <c r="G604"/>
      <c r="H604"/>
      <c r="K604"/>
      <c r="L604"/>
    </row>
    <row r="605" spans="1:18" ht="13.5" customHeight="1" x14ac:dyDescent="0.3">
      <c r="C605" s="166"/>
      <c r="D605" s="146"/>
      <c r="E605" s="395"/>
      <c r="F605" s="396"/>
    </row>
    <row r="606" spans="1:18" ht="14.4" x14ac:dyDescent="0.3">
      <c r="B606" s="397" t="s">
        <v>7018</v>
      </c>
      <c r="C606" s="139" t="s">
        <v>7124</v>
      </c>
      <c r="D606" s="245" t="s">
        <v>7125</v>
      </c>
      <c r="E606" s="139" t="s">
        <v>7124</v>
      </c>
      <c r="F606" s="245" t="s">
        <v>7125</v>
      </c>
      <c r="G606"/>
      <c r="H606"/>
      <c r="K606"/>
      <c r="L606"/>
      <c r="R606"/>
    </row>
    <row r="607" spans="1:18" ht="14.4" x14ac:dyDescent="0.3">
      <c r="A607" t="s">
        <v>5202</v>
      </c>
      <c r="B607" s="386" t="s">
        <v>7019</v>
      </c>
      <c r="C607" s="387">
        <f>UDV.econ_manure.liquid_sell_price*C504</f>
        <v>0</v>
      </c>
      <c r="D607" s="389">
        <f>UDV.econ_manure.liquid_sell_price*C504</f>
        <v>0</v>
      </c>
      <c r="E607" s="387">
        <v>0</v>
      </c>
      <c r="F607" s="389">
        <f>UDV.econ_manure.sludge_sell_price*C507</f>
        <v>2119.9463257990874</v>
      </c>
      <c r="G607"/>
      <c r="H607"/>
      <c r="K607"/>
      <c r="L607"/>
      <c r="R607"/>
    </row>
    <row r="608" spans="1:18" ht="14.4" x14ac:dyDescent="0.3">
      <c r="A608" t="s">
        <v>5202</v>
      </c>
      <c r="B608" s="386" t="s">
        <v>7128</v>
      </c>
      <c r="C608" s="390">
        <f>C607</f>
        <v>0</v>
      </c>
      <c r="D608" s="391"/>
      <c r="E608" s="390">
        <f>(F607/UDV.anaer_lagoon.sludge_time)</f>
        <v>211.99463257990874</v>
      </c>
      <c r="F608" s="391"/>
      <c r="G608"/>
      <c r="H608"/>
      <c r="K608"/>
      <c r="L608"/>
      <c r="R608"/>
    </row>
    <row r="609" spans="1:25" ht="14.4" x14ac:dyDescent="0.3">
      <c r="A609" t="s">
        <v>5202</v>
      </c>
      <c r="B609" s="386" t="s">
        <v>7020</v>
      </c>
      <c r="C609" s="393">
        <f>SUM(C608,E608)</f>
        <v>211.99463257990874</v>
      </c>
      <c r="D609" s="146"/>
      <c r="E609" s="99"/>
      <c r="F609" s="146"/>
      <c r="G609"/>
      <c r="H609"/>
      <c r="K609"/>
      <c r="L609"/>
      <c r="R609"/>
    </row>
    <row r="610" spans="1:25" ht="14.4" x14ac:dyDescent="0.3">
      <c r="B610" s="386"/>
      <c r="D610" s="146"/>
      <c r="E610" s="99"/>
      <c r="F610" s="146"/>
      <c r="G610"/>
      <c r="H610"/>
      <c r="K610"/>
      <c r="L610"/>
      <c r="R610"/>
    </row>
    <row r="611" spans="1:25" ht="14.4" x14ac:dyDescent="0.3">
      <c r="B611" s="398" t="s">
        <v>7021</v>
      </c>
      <c r="C611" s="139" t="s">
        <v>7124</v>
      </c>
      <c r="D611" s="245" t="s">
        <v>7125</v>
      </c>
      <c r="E611" s="139" t="s">
        <v>7124</v>
      </c>
      <c r="F611" s="245" t="s">
        <v>7125</v>
      </c>
      <c r="G611"/>
      <c r="H611"/>
      <c r="K611"/>
      <c r="L611"/>
      <c r="R611"/>
    </row>
    <row r="612" spans="1:25" ht="14.4" x14ac:dyDescent="0.3">
      <c r="A612" t="s">
        <v>5202</v>
      </c>
      <c r="B612" s="386" t="s">
        <v>7022</v>
      </c>
      <c r="C612" s="387">
        <f>UDV.econ_manure.liquid_export_cost*C505</f>
        <v>0</v>
      </c>
      <c r="D612" s="389">
        <f>UDV.econ_manure.liquid_export_cost*C505</f>
        <v>0</v>
      </c>
      <c r="E612" s="387">
        <v>0</v>
      </c>
      <c r="F612" s="389">
        <f>UDV.econ_manure.sludge_export_cost*C508</f>
        <v>0</v>
      </c>
      <c r="G612"/>
      <c r="H612"/>
      <c r="K612"/>
      <c r="L612"/>
      <c r="R612"/>
    </row>
    <row r="613" spans="1:25" ht="14.4" x14ac:dyDescent="0.3">
      <c r="A613" t="s">
        <v>5202</v>
      </c>
      <c r="B613" s="386" t="s">
        <v>7129</v>
      </c>
      <c r="C613" s="390">
        <f>C612</f>
        <v>0</v>
      </c>
      <c r="D613" s="391"/>
      <c r="E613" s="390">
        <f>(F612/UDV.anaer_lagoon.sludge_time)</f>
        <v>0</v>
      </c>
      <c r="F613" s="391"/>
      <c r="G613"/>
      <c r="H613"/>
      <c r="K613"/>
      <c r="L613"/>
      <c r="R613"/>
    </row>
    <row r="614" spans="1:25" ht="14.4" x14ac:dyDescent="0.3">
      <c r="A614" t="s">
        <v>5202</v>
      </c>
      <c r="B614" s="386" t="s">
        <v>7023</v>
      </c>
      <c r="C614" s="393">
        <f>SUM(C613,E613)</f>
        <v>0</v>
      </c>
      <c r="D614" s="146"/>
      <c r="E614" s="99"/>
      <c r="F614" s="146"/>
      <c r="G614"/>
      <c r="H614"/>
      <c r="K614"/>
      <c r="L614"/>
      <c r="R614"/>
    </row>
    <row r="615" spans="1:25" ht="14.4" x14ac:dyDescent="0.3">
      <c r="B615" s="386"/>
      <c r="D615" s="146"/>
      <c r="E615" s="99"/>
      <c r="F615" s="146"/>
      <c r="G615"/>
      <c r="H615"/>
      <c r="K615"/>
      <c r="L615"/>
      <c r="R615"/>
    </row>
    <row r="616" spans="1:25" ht="14.4" x14ac:dyDescent="0.3">
      <c r="B616" s="303" t="s">
        <v>7138</v>
      </c>
      <c r="C616" s="173" t="s">
        <v>7025</v>
      </c>
      <c r="D616" s="173"/>
      <c r="E616" s="99"/>
      <c r="F616" s="146"/>
      <c r="G616"/>
      <c r="H616"/>
      <c r="K616"/>
      <c r="L616"/>
      <c r="R616"/>
    </row>
    <row r="617" spans="1:25" ht="14.4" x14ac:dyDescent="0.3">
      <c r="B617" s="70" t="s">
        <v>7139</v>
      </c>
      <c r="C617" s="265"/>
      <c r="D617" s="151"/>
      <c r="E617" s="149"/>
      <c r="F617" s="151"/>
      <c r="G617"/>
      <c r="H617"/>
      <c r="K617"/>
      <c r="L617"/>
      <c r="R617"/>
    </row>
    <row r="618" spans="1:25" ht="15" thickBot="1" x14ac:dyDescent="0.35">
      <c r="A618" s="137"/>
      <c r="B618" s="137"/>
      <c r="C618" s="137"/>
      <c r="D618" s="137"/>
      <c r="E618" s="137"/>
      <c r="F618" s="137"/>
      <c r="G618" s="137"/>
      <c r="H618" s="137"/>
      <c r="I618" s="137"/>
      <c r="J618" s="137"/>
      <c r="K618" s="137"/>
      <c r="L618" s="137"/>
      <c r="M618" s="137"/>
      <c r="N618" s="137"/>
      <c r="O618" s="137"/>
      <c r="P618" s="137"/>
      <c r="Q618" s="137"/>
      <c r="R618"/>
    </row>
    <row r="619" spans="1:25" ht="14.4" x14ac:dyDescent="0.3">
      <c r="E619"/>
      <c r="F619"/>
      <c r="G619"/>
      <c r="H619"/>
      <c r="K619"/>
      <c r="L619"/>
      <c r="R619"/>
    </row>
    <row r="620" spans="1:25" ht="14.4" x14ac:dyDescent="0.3">
      <c r="B620" s="92" t="s">
        <v>7243</v>
      </c>
      <c r="C620" s="170" t="s">
        <v>7236</v>
      </c>
      <c r="D620"/>
      <c r="E620"/>
      <c r="F620"/>
      <c r="G620"/>
      <c r="H620"/>
      <c r="K620"/>
      <c r="L620"/>
      <c r="R620"/>
      <c r="W620"/>
      <c r="Y620"/>
    </row>
    <row r="621" spans="1:25" ht="14.4" x14ac:dyDescent="0.3">
      <c r="D621"/>
      <c r="E621"/>
      <c r="F621"/>
      <c r="G621"/>
      <c r="H621"/>
      <c r="K621"/>
      <c r="L621"/>
      <c r="R621"/>
      <c r="W621"/>
      <c r="Y621"/>
    </row>
    <row r="622" spans="1:25" ht="14.4" x14ac:dyDescent="0.3">
      <c r="B622" s="139" t="s">
        <v>6983</v>
      </c>
      <c r="C622" s="140" t="s">
        <v>565</v>
      </c>
      <c r="D622" s="140" t="s">
        <v>38</v>
      </c>
      <c r="E622" s="142"/>
      <c r="F622" s="141"/>
      <c r="G622"/>
      <c r="H622"/>
      <c r="K622"/>
      <c r="L622"/>
      <c r="R622"/>
      <c r="W622"/>
      <c r="Y622"/>
    </row>
    <row r="623" spans="1:25" ht="14.4" x14ac:dyDescent="0.3">
      <c r="B623" s="99" t="s">
        <v>7028</v>
      </c>
      <c r="C623">
        <f>UDV.crops.acres_available</f>
        <v>100</v>
      </c>
      <c r="D623" t="s">
        <v>7029</v>
      </c>
      <c r="E623" s="34"/>
      <c r="F623" s="146"/>
      <c r="G623"/>
      <c r="H623"/>
      <c r="K623"/>
      <c r="L623"/>
      <c r="R623"/>
      <c r="W623"/>
      <c r="Y623"/>
    </row>
    <row r="624" spans="1:25" ht="14.4" x14ac:dyDescent="0.3">
      <c r="B624" s="99" t="s">
        <v>7109</v>
      </c>
      <c r="C624" s="166">
        <f>UDV.econ_manure.liquid_sell_pct*VLOOKUP("Excess volume, lagoon liquid manure",$R$1:$T$332, 3, FALSE)</f>
        <v>0</v>
      </c>
      <c r="D624" t="s">
        <v>5246</v>
      </c>
      <c r="E624"/>
      <c r="F624" s="146"/>
      <c r="G624"/>
      <c r="H624"/>
      <c r="K624"/>
      <c r="L624"/>
      <c r="R624"/>
      <c r="W624"/>
      <c r="Y624"/>
    </row>
    <row r="625" spans="2:25" ht="14.4" x14ac:dyDescent="0.3">
      <c r="B625" s="99" t="s">
        <v>7110</v>
      </c>
      <c r="C625" s="166">
        <f>UDV.econ_manure.liquid_give_pct*VLOOKUP("Excess volume, lagoon liquid manure",$R$1:$T$332, 3, FALSE)</f>
        <v>0</v>
      </c>
      <c r="D625" t="s">
        <v>5246</v>
      </c>
      <c r="E625"/>
      <c r="F625" s="146"/>
      <c r="G625"/>
      <c r="H625"/>
      <c r="K625"/>
      <c r="L625"/>
      <c r="R625"/>
      <c r="W625"/>
      <c r="Y625"/>
    </row>
    <row r="626" spans="2:25" ht="14.4" x14ac:dyDescent="0.3">
      <c r="B626" s="99" t="s">
        <v>7111</v>
      </c>
      <c r="C626" s="166">
        <f>UDV.econ_manure.liquid_export_pct*VLOOKUP("Excess volume, lagoon liquid manure",$R$1:$T$332, 3, FALSE)</f>
        <v>0</v>
      </c>
      <c r="D626" t="s">
        <v>5246</v>
      </c>
      <c r="E626"/>
      <c r="F626" s="146"/>
      <c r="G626"/>
      <c r="H626"/>
      <c r="K626"/>
      <c r="L626"/>
      <c r="R626"/>
      <c r="W626"/>
      <c r="Y626"/>
    </row>
    <row r="627" spans="2:25" ht="14.4" x14ac:dyDescent="0.3">
      <c r="B627" s="99" t="s">
        <v>7112</v>
      </c>
      <c r="C627" s="166">
        <f>UDV.econ_manure.sludge_sell_pct*VLOOKUP("Excess volume, lagoon sludge manure",$R$1:$T$332, 3, FALSE)</f>
        <v>0</v>
      </c>
      <c r="D627" t="s">
        <v>5249</v>
      </c>
      <c r="E627"/>
      <c r="F627" s="146"/>
      <c r="G627"/>
      <c r="H627"/>
      <c r="K627"/>
      <c r="L627"/>
      <c r="R627"/>
      <c r="W627"/>
      <c r="Y627"/>
    </row>
    <row r="628" spans="2:25" ht="14.4" x14ac:dyDescent="0.3">
      <c r="B628" s="99" t="s">
        <v>7113</v>
      </c>
      <c r="C628" s="166">
        <f>UDV.econ_manure.sludge_give_pct*VLOOKUP("Excess volume, lagoon sludge manure",$R$1:$T$332, 3, FALSE)</f>
        <v>52.998658144977185</v>
      </c>
      <c r="D628" t="s">
        <v>5249</v>
      </c>
      <c r="E628"/>
      <c r="F628" s="146"/>
      <c r="G628"/>
      <c r="H628"/>
      <c r="K628"/>
      <c r="L628"/>
      <c r="R628"/>
      <c r="W628"/>
      <c r="Y628"/>
    </row>
    <row r="629" spans="2:25" ht="14.4" x14ac:dyDescent="0.3">
      <c r="B629" s="99" t="s">
        <v>7114</v>
      </c>
      <c r="C629" s="166">
        <f>UDV.econ_manure.sludge_export_pct*VLOOKUP("Excess volume, lagoon sludge manure",$R$1:$T$332, 3, FALSE)</f>
        <v>0</v>
      </c>
      <c r="D629" t="s">
        <v>5249</v>
      </c>
      <c r="E629"/>
      <c r="F629" s="146"/>
      <c r="G629"/>
      <c r="H629"/>
      <c r="K629"/>
      <c r="L629"/>
      <c r="R629"/>
      <c r="W629"/>
      <c r="Y629"/>
    </row>
    <row r="630" spans="2:25" ht="14.4" x14ac:dyDescent="0.3">
      <c r="B630" s="99"/>
      <c r="D630"/>
      <c r="E630"/>
      <c r="F630" s="151"/>
      <c r="G630"/>
      <c r="H630"/>
      <c r="K630"/>
      <c r="L630"/>
      <c r="R630"/>
      <c r="W630"/>
      <c r="Y630"/>
    </row>
    <row r="631" spans="2:25" ht="14.4" x14ac:dyDescent="0.3">
      <c r="B631" s="92" t="s">
        <v>6942</v>
      </c>
      <c r="C631" s="82"/>
      <c r="D631" s="82"/>
      <c r="E631" s="139" t="s">
        <v>6988</v>
      </c>
      <c r="F631" s="141"/>
      <c r="G631"/>
      <c r="H631"/>
      <c r="K631"/>
      <c r="L631"/>
      <c r="R631"/>
      <c r="W631"/>
      <c r="Y631"/>
    </row>
    <row r="632" spans="2:25" ht="14.4" x14ac:dyDescent="0.3">
      <c r="B632" s="175" t="s">
        <v>2908</v>
      </c>
      <c r="C632" s="82"/>
      <c r="D632" s="82"/>
      <c r="E632" s="92"/>
      <c r="F632" s="146"/>
      <c r="G632"/>
      <c r="H632"/>
      <c r="K632"/>
      <c r="L632"/>
      <c r="R632"/>
      <c r="W632"/>
      <c r="Y632"/>
    </row>
    <row r="633" spans="2:25" ht="14.4" x14ac:dyDescent="0.3">
      <c r="B633" s="143" t="s">
        <v>2663</v>
      </c>
      <c r="C633" s="144" t="s">
        <v>565</v>
      </c>
      <c r="D633" s="144" t="s">
        <v>6943</v>
      </c>
      <c r="E633" s="143" t="s">
        <v>565</v>
      </c>
      <c r="F633" s="145" t="s">
        <v>6944</v>
      </c>
      <c r="G633"/>
      <c r="H633"/>
      <c r="K633"/>
      <c r="L633"/>
      <c r="R633"/>
      <c r="W633"/>
      <c r="Y633"/>
    </row>
    <row r="634" spans="2:25" ht="14.4" x14ac:dyDescent="0.3">
      <c r="B634" s="99" t="s">
        <v>5708</v>
      </c>
      <c r="C634" s="147">
        <f t="shared" ref="C634:C642" si="25">VLOOKUP(B634,$R:$U,3,FALSE)</f>
        <v>3000</v>
      </c>
      <c r="D634" t="s">
        <v>2514</v>
      </c>
      <c r="E634" s="99">
        <f t="shared" ref="E634:E642" si="26">C634</f>
        <v>3000</v>
      </c>
      <c r="F634" s="146" t="s">
        <v>2514</v>
      </c>
      <c r="G634"/>
      <c r="H634"/>
      <c r="K634"/>
      <c r="L634"/>
      <c r="R634"/>
      <c r="W634"/>
      <c r="Y634"/>
    </row>
    <row r="635" spans="2:25" ht="14.4" x14ac:dyDescent="0.3">
      <c r="B635" s="99" t="s">
        <v>5709</v>
      </c>
      <c r="C635" s="147">
        <f t="shared" si="25"/>
        <v>1</v>
      </c>
      <c r="D635" t="s">
        <v>2442</v>
      </c>
      <c r="E635" s="99">
        <f t="shared" si="26"/>
        <v>1</v>
      </c>
      <c r="F635" s="146" t="s">
        <v>2442</v>
      </c>
      <c r="G635"/>
      <c r="H635"/>
      <c r="K635"/>
      <c r="L635"/>
      <c r="R635"/>
      <c r="W635"/>
      <c r="Y635"/>
    </row>
    <row r="636" spans="2:25" ht="14.4" x14ac:dyDescent="0.3">
      <c r="B636" s="99" t="s">
        <v>5710</v>
      </c>
      <c r="C636" s="147">
        <f t="shared" si="25"/>
        <v>1</v>
      </c>
      <c r="D636" t="s">
        <v>2442</v>
      </c>
      <c r="E636" s="99">
        <f t="shared" si="26"/>
        <v>1</v>
      </c>
      <c r="F636" s="146" t="s">
        <v>2442</v>
      </c>
      <c r="G636"/>
      <c r="H636"/>
      <c r="K636"/>
      <c r="L636"/>
      <c r="R636"/>
      <c r="W636"/>
      <c r="Y636"/>
    </row>
    <row r="637" spans="2:25" ht="14.4" x14ac:dyDescent="0.3">
      <c r="B637" s="99" t="s">
        <v>5688</v>
      </c>
      <c r="C637" s="147">
        <f t="shared" si="25"/>
        <v>580</v>
      </c>
      <c r="D637" t="s">
        <v>5689</v>
      </c>
      <c r="E637" s="99">
        <f t="shared" si="26"/>
        <v>580</v>
      </c>
      <c r="F637" s="146" t="s">
        <v>5689</v>
      </c>
      <c r="G637"/>
      <c r="H637"/>
      <c r="K637"/>
      <c r="L637"/>
      <c r="R637"/>
      <c r="W637"/>
      <c r="Y637"/>
    </row>
    <row r="638" spans="2:25" ht="14.4" x14ac:dyDescent="0.3">
      <c r="B638" s="99" t="s">
        <v>5701</v>
      </c>
      <c r="C638" s="147">
        <f t="shared" si="25"/>
        <v>340</v>
      </c>
      <c r="D638" s="146" t="s">
        <v>971</v>
      </c>
      <c r="E638">
        <f t="shared" si="26"/>
        <v>340</v>
      </c>
      <c r="F638" s="146" t="s">
        <v>971</v>
      </c>
      <c r="G638"/>
      <c r="H638"/>
      <c r="K638"/>
      <c r="L638"/>
      <c r="R638"/>
      <c r="W638"/>
      <c r="Y638"/>
    </row>
    <row r="639" spans="2:25" ht="14.4" x14ac:dyDescent="0.3">
      <c r="B639" s="99" t="s">
        <v>5738</v>
      </c>
      <c r="C639" s="147">
        <f t="shared" si="25"/>
        <v>1</v>
      </c>
      <c r="D639" s="146" t="s">
        <v>2442</v>
      </c>
      <c r="E639">
        <f t="shared" si="26"/>
        <v>1</v>
      </c>
      <c r="F639" s="146" t="s">
        <v>2442</v>
      </c>
      <c r="G639"/>
      <c r="H639"/>
      <c r="K639"/>
      <c r="L639"/>
      <c r="R639"/>
      <c r="W639"/>
      <c r="Y639"/>
    </row>
    <row r="640" spans="2:25" ht="14.4" x14ac:dyDescent="0.3">
      <c r="B640" s="99" t="s">
        <v>5702</v>
      </c>
      <c r="C640" s="147">
        <f t="shared" si="25"/>
        <v>1</v>
      </c>
      <c r="D640" s="146" t="s">
        <v>2442</v>
      </c>
      <c r="E640">
        <f t="shared" si="26"/>
        <v>1</v>
      </c>
      <c r="F640" s="146" t="s">
        <v>2442</v>
      </c>
      <c r="G640"/>
      <c r="H640"/>
      <c r="K640"/>
      <c r="L640"/>
      <c r="R640"/>
      <c r="W640"/>
      <c r="Y640"/>
    </row>
    <row r="641" spans="2:25" ht="14.4" x14ac:dyDescent="0.3">
      <c r="B641" s="99" t="s">
        <v>5739</v>
      </c>
      <c r="C641" s="147">
        <f t="shared" si="25"/>
        <v>2</v>
      </c>
      <c r="D641" t="s">
        <v>2971</v>
      </c>
      <c r="E641" s="201">
        <f t="shared" si="26"/>
        <v>2</v>
      </c>
      <c r="F641" s="146" t="s">
        <v>2971</v>
      </c>
      <c r="G641"/>
      <c r="H641"/>
      <c r="K641"/>
      <c r="L641"/>
      <c r="R641"/>
      <c r="W641"/>
      <c r="Y641"/>
    </row>
    <row r="642" spans="2:25" ht="14.4" x14ac:dyDescent="0.3">
      <c r="B642" s="99" t="s">
        <v>5732</v>
      </c>
      <c r="C642" s="147" t="str">
        <f t="shared" si="25"/>
        <v>Injection</v>
      </c>
      <c r="D642" t="s">
        <v>7042</v>
      </c>
      <c r="E642" s="165" t="str">
        <f t="shared" si="26"/>
        <v>Injection</v>
      </c>
      <c r="F642" s="146" t="s">
        <v>7042</v>
      </c>
      <c r="G642"/>
      <c r="H642"/>
      <c r="K642"/>
      <c r="L642"/>
      <c r="R642"/>
      <c r="W642"/>
      <c r="Y642"/>
    </row>
    <row r="643" spans="2:25" ht="14.4" x14ac:dyDescent="0.3">
      <c r="B643" s="99"/>
      <c r="C643" s="82"/>
      <c r="D643" s="82"/>
      <c r="E643" s="92"/>
      <c r="F643" s="146"/>
      <c r="G643"/>
      <c r="H643"/>
      <c r="K643"/>
      <c r="L643"/>
      <c r="R643"/>
      <c r="W643"/>
      <c r="Y643"/>
    </row>
    <row r="644" spans="2:25" ht="14.4" x14ac:dyDescent="0.3">
      <c r="B644" s="175" t="s">
        <v>7115</v>
      </c>
      <c r="C644" s="147"/>
      <c r="D644"/>
      <c r="E644" s="99"/>
      <c r="F644" s="146"/>
      <c r="G644"/>
      <c r="H644"/>
      <c r="K644"/>
      <c r="L644"/>
      <c r="R644"/>
      <c r="W644"/>
      <c r="Y644"/>
    </row>
    <row r="645" spans="2:25" ht="14.4" x14ac:dyDescent="0.3">
      <c r="B645" s="143" t="s">
        <v>2663</v>
      </c>
      <c r="C645" s="147"/>
      <c r="D645"/>
      <c r="E645" s="99"/>
      <c r="F645" s="146"/>
      <c r="G645"/>
      <c r="H645"/>
      <c r="K645"/>
      <c r="L645"/>
      <c r="R645"/>
      <c r="W645"/>
      <c r="Y645"/>
    </row>
    <row r="646" spans="2:25" ht="14.4" x14ac:dyDescent="0.3">
      <c r="B646" s="99" t="s">
        <v>6407</v>
      </c>
      <c r="C646" s="147">
        <f>VLOOKUP(B646,$R:$U,3,FALSE)</f>
        <v>27.126631979132384</v>
      </c>
      <c r="D646" t="s">
        <v>5385</v>
      </c>
      <c r="E646" s="178">
        <f>C646</f>
        <v>27.126631979132384</v>
      </c>
      <c r="F646" s="146" t="s">
        <v>5385</v>
      </c>
      <c r="G646"/>
      <c r="H646"/>
      <c r="K646"/>
      <c r="L646"/>
      <c r="R646"/>
      <c r="W646"/>
      <c r="Y646"/>
    </row>
    <row r="647" spans="2:25" ht="14.4" x14ac:dyDescent="0.3">
      <c r="B647" s="99" t="s">
        <v>6409</v>
      </c>
      <c r="C647" s="147">
        <f>VLOOKUP(B647,$R:$U,3,FALSE)</f>
        <v>934.64729834049092</v>
      </c>
      <c r="D647" t="s">
        <v>5323</v>
      </c>
      <c r="E647" s="178">
        <f>C647</f>
        <v>934.64729834049092</v>
      </c>
      <c r="F647" s="146" t="s">
        <v>5323</v>
      </c>
      <c r="G647"/>
      <c r="H647"/>
      <c r="K647"/>
      <c r="L647"/>
      <c r="R647"/>
      <c r="W647"/>
      <c r="Y647"/>
    </row>
    <row r="648" spans="2:25" ht="14.4" x14ac:dyDescent="0.3">
      <c r="B648" s="99" t="s">
        <v>6390</v>
      </c>
      <c r="C648" s="205">
        <f>VLOOKUP(B648,$R:$U, 3, FALSE)</f>
        <v>8.1379895937397162</v>
      </c>
      <c r="D648" t="s">
        <v>2472</v>
      </c>
      <c r="E648" s="178">
        <f>C648</f>
        <v>8.1379895937397162</v>
      </c>
      <c r="F648" s="146" t="s">
        <v>2710</v>
      </c>
      <c r="G648"/>
      <c r="H648"/>
      <c r="K648"/>
      <c r="L648"/>
      <c r="R648"/>
      <c r="W648"/>
      <c r="Y648"/>
    </row>
    <row r="649" spans="2:25" ht="14.4" x14ac:dyDescent="0.3">
      <c r="B649" s="99"/>
      <c r="C649" s="82"/>
      <c r="D649" s="82"/>
      <c r="E649" s="92"/>
      <c r="F649" s="146"/>
      <c r="G649"/>
      <c r="H649"/>
      <c r="K649"/>
      <c r="L649"/>
      <c r="R649"/>
      <c r="W649"/>
      <c r="Y649"/>
    </row>
    <row r="650" spans="2:25" ht="14.4" x14ac:dyDescent="0.3">
      <c r="B650" s="175" t="s">
        <v>7237</v>
      </c>
      <c r="D650"/>
      <c r="E650" s="99"/>
      <c r="F650" s="146"/>
      <c r="G650"/>
      <c r="H650"/>
      <c r="K650"/>
      <c r="L650"/>
      <c r="R650"/>
      <c r="W650"/>
      <c r="Y650"/>
    </row>
    <row r="651" spans="2:25" ht="14.4" x14ac:dyDescent="0.3">
      <c r="B651" s="143" t="s">
        <v>2663</v>
      </c>
      <c r="C651" s="144" t="s">
        <v>565</v>
      </c>
      <c r="D651" s="144" t="s">
        <v>6943</v>
      </c>
      <c r="E651" s="143" t="s">
        <v>565</v>
      </c>
      <c r="F651" s="145" t="s">
        <v>6944</v>
      </c>
      <c r="G651" s="1222" t="s">
        <v>3007</v>
      </c>
      <c r="H651" s="1215" t="s">
        <v>6993</v>
      </c>
      <c r="I651" s="142"/>
      <c r="J651" s="141"/>
      <c r="K651"/>
      <c r="L651"/>
      <c r="R651"/>
      <c r="W651"/>
      <c r="Y651"/>
    </row>
    <row r="652" spans="2:25" ht="14.4" x14ac:dyDescent="0.3">
      <c r="B652" s="99" t="s">
        <v>6401</v>
      </c>
      <c r="C652" s="147">
        <f>VLOOKUP(B652,$R:$U,3,FALSE)</f>
        <v>182.5</v>
      </c>
      <c r="D652" t="s">
        <v>5121</v>
      </c>
      <c r="E652" s="201">
        <f>UC.year_to_day/C652</f>
        <v>2</v>
      </c>
      <c r="F652" s="146" t="s">
        <v>7043</v>
      </c>
      <c r="G652" s="42" t="s">
        <v>7131</v>
      </c>
      <c r="H652" s="92" t="s">
        <v>4838</v>
      </c>
      <c r="I652" s="1216" t="s">
        <v>2710</v>
      </c>
      <c r="J652" s="285">
        <f>(SUM(E654:E656)*UDV.OPEX_labor.tractor_stationary)+(SUM(E657:E659)*UDV.OPEX_labor.tractor_active)+E648</f>
        <v>9.0275431316425845</v>
      </c>
      <c r="K652"/>
      <c r="L652"/>
      <c r="R652"/>
      <c r="W652"/>
      <c r="Y652"/>
    </row>
    <row r="653" spans="2:25" ht="14.4" x14ac:dyDescent="0.3">
      <c r="B653" s="99" t="s">
        <v>5713</v>
      </c>
      <c r="C653" s="147">
        <f>VLOOKUP(B653,$R:$U,3,FALSE)</f>
        <v>0.17408092718255735</v>
      </c>
      <c r="D653" s="146" t="s">
        <v>6085</v>
      </c>
      <c r="E653" s="147">
        <f>C653*E652</f>
        <v>0.34816185436511471</v>
      </c>
      <c r="F653" s="146" t="s">
        <v>2710</v>
      </c>
      <c r="G653" s="42" t="s">
        <v>7132</v>
      </c>
      <c r="H653" s="1217" t="s">
        <v>5444</v>
      </c>
      <c r="I653" s="1216" t="s">
        <v>6085</v>
      </c>
      <c r="J653" s="285">
        <f>(SUM(E675:E677)*UDV.OPEX_labor.tractor_stationary)+(SUM(E678:E680)*UDV.OPEX_labor.tractor_active)</f>
        <v>14.700301559805752</v>
      </c>
      <c r="K653"/>
      <c r="L653"/>
      <c r="R653"/>
      <c r="W653"/>
      <c r="Y653"/>
    </row>
    <row r="654" spans="2:25" ht="14.4" x14ac:dyDescent="0.3">
      <c r="B654" s="99" t="s">
        <v>6543</v>
      </c>
      <c r="C654" s="204">
        <f>C653</f>
        <v>0.17408092718255735</v>
      </c>
      <c r="D654" s="141" t="s">
        <v>6085</v>
      </c>
      <c r="E654" s="178">
        <f>C654*E652</f>
        <v>0.34816185436511471</v>
      </c>
      <c r="F654" s="146" t="s">
        <v>2710</v>
      </c>
      <c r="G654" s="42" t="s">
        <v>7133</v>
      </c>
      <c r="H654" s="1218" t="s">
        <v>5445</v>
      </c>
      <c r="I654" s="1216" t="s">
        <v>6995</v>
      </c>
      <c r="J654" s="285">
        <f>SUM(J652:J653)</f>
        <v>23.727844691448336</v>
      </c>
      <c r="K654"/>
      <c r="L654"/>
      <c r="R654"/>
      <c r="W654"/>
      <c r="Y654"/>
    </row>
    <row r="655" spans="2:25" ht="14.4" x14ac:dyDescent="0.3">
      <c r="B655" s="99" t="s">
        <v>6544</v>
      </c>
      <c r="C655" s="205">
        <f>C653</f>
        <v>0.17408092718255735</v>
      </c>
      <c r="D655" s="146" t="s">
        <v>6085</v>
      </c>
      <c r="E655" s="178">
        <f>C655*E652</f>
        <v>0.34816185436511471</v>
      </c>
      <c r="F655" s="146" t="s">
        <v>2710</v>
      </c>
      <c r="G655" s="42" t="s">
        <v>7134</v>
      </c>
      <c r="H655" s="1219" t="s">
        <v>5446</v>
      </c>
      <c r="I655" s="1220" t="s">
        <v>5447</v>
      </c>
      <c r="J655" s="1221">
        <f>J652+(J653/UDV.anaer_lagoon.sludge_time)</f>
        <v>10.49757328762316</v>
      </c>
      <c r="K655"/>
      <c r="L655"/>
      <c r="R655"/>
      <c r="W655"/>
      <c r="Y655"/>
    </row>
    <row r="656" spans="2:25" ht="14.4" x14ac:dyDescent="0.3">
      <c r="B656" s="99" t="s">
        <v>6545</v>
      </c>
      <c r="C656" s="205">
        <f>C653</f>
        <v>0.17408092718255735</v>
      </c>
      <c r="D656" s="146" t="s">
        <v>6085</v>
      </c>
      <c r="E656" s="178">
        <f>C656*E652</f>
        <v>0.34816185436511471</v>
      </c>
      <c r="F656" s="146" t="s">
        <v>2710</v>
      </c>
      <c r="G656"/>
      <c r="H656"/>
      <c r="K656"/>
      <c r="L656"/>
      <c r="R656"/>
      <c r="W656"/>
      <c r="Y656"/>
    </row>
    <row r="657" spans="2:25" ht="14.4" x14ac:dyDescent="0.3">
      <c r="B657" s="99" t="s">
        <v>6546</v>
      </c>
      <c r="C657" s="205">
        <f>C653*UDV.dhl.application_maneuver_factor</f>
        <v>0.20019306625994093</v>
      </c>
      <c r="D657" s="146" t="s">
        <v>6085</v>
      </c>
      <c r="E657" s="178">
        <f>C657*E652</f>
        <v>0.40038613251988187</v>
      </c>
      <c r="F657" s="146" t="s">
        <v>2710</v>
      </c>
      <c r="G657"/>
      <c r="H657"/>
      <c r="K657"/>
      <c r="L657"/>
      <c r="R657"/>
      <c r="W657"/>
      <c r="Y657"/>
    </row>
    <row r="658" spans="2:25" ht="14.4" x14ac:dyDescent="0.3">
      <c r="B658" s="99" t="s">
        <v>6547</v>
      </c>
      <c r="C658" s="205">
        <f>C653*UDV.dhl.hose_mover_utilization</f>
        <v>0.130560695386918</v>
      </c>
      <c r="D658" s="146" t="s">
        <v>6085</v>
      </c>
      <c r="E658" s="178">
        <f>C658*E652</f>
        <v>0.261121390773836</v>
      </c>
      <c r="F658" s="146" t="s">
        <v>2710</v>
      </c>
      <c r="G658"/>
      <c r="H658"/>
      <c r="K658"/>
      <c r="L658"/>
      <c r="R658"/>
      <c r="W658"/>
      <c r="Y658"/>
    </row>
    <row r="659" spans="2:25" ht="14.4" x14ac:dyDescent="0.3">
      <c r="B659" s="99" t="s">
        <v>6548</v>
      </c>
      <c r="C659" s="209">
        <f>C653*UDV.dhl.pickup_utilization</f>
        <v>2.6112139077383602E-2</v>
      </c>
      <c r="D659" s="151" t="s">
        <v>6085</v>
      </c>
      <c r="E659" s="178">
        <f>C659*E652</f>
        <v>5.2224278154767205E-2</v>
      </c>
      <c r="F659" s="146" t="s">
        <v>2710</v>
      </c>
      <c r="G659"/>
      <c r="H659"/>
      <c r="K659"/>
      <c r="L659"/>
      <c r="R659"/>
      <c r="W659"/>
      <c r="Y659"/>
    </row>
    <row r="660" spans="2:25" ht="14.4" x14ac:dyDescent="0.3">
      <c r="B660" s="99" t="s">
        <v>5714</v>
      </c>
      <c r="C660" s="147">
        <f t="shared" ref="C660:C669" si="27">VLOOKUP(B660,$R:$U,3,FALSE)</f>
        <v>3.1334566892860325</v>
      </c>
      <c r="D660" t="s">
        <v>2489</v>
      </c>
      <c r="E660" s="178">
        <f>C660*E652</f>
        <v>6.266913378572065</v>
      </c>
      <c r="F660" s="146" t="s">
        <v>7135</v>
      </c>
      <c r="G660"/>
      <c r="H660"/>
      <c r="K660"/>
      <c r="L660"/>
      <c r="R660"/>
      <c r="W660"/>
      <c r="Y660"/>
    </row>
    <row r="661" spans="2:25" ht="14.4" x14ac:dyDescent="0.3">
      <c r="B661" s="99" t="s">
        <v>5715</v>
      </c>
      <c r="C661" s="147">
        <f t="shared" si="27"/>
        <v>1.3056069538691801</v>
      </c>
      <c r="D661" t="s">
        <v>2489</v>
      </c>
      <c r="E661" s="178">
        <f>C661*E652</f>
        <v>2.6112139077383603</v>
      </c>
      <c r="F661" s="146" t="s">
        <v>7135</v>
      </c>
      <c r="G661"/>
      <c r="H661"/>
      <c r="K661"/>
      <c r="L661"/>
      <c r="R661"/>
      <c r="W661"/>
      <c r="Y661"/>
    </row>
    <row r="662" spans="2:25" ht="14.4" x14ac:dyDescent="0.3">
      <c r="B662" s="99" t="s">
        <v>5716</v>
      </c>
      <c r="C662" s="147">
        <f t="shared" si="27"/>
        <v>1.044485563095344</v>
      </c>
      <c r="D662" t="s">
        <v>2489</v>
      </c>
      <c r="E662" s="178">
        <f>C662*E652</f>
        <v>2.088971126190688</v>
      </c>
      <c r="F662" s="146" t="s">
        <v>7135</v>
      </c>
      <c r="G662"/>
      <c r="H662"/>
      <c r="K662"/>
      <c r="L662"/>
      <c r="R662"/>
      <c r="W662"/>
      <c r="Y662"/>
    </row>
    <row r="663" spans="2:25" ht="14.4" x14ac:dyDescent="0.3">
      <c r="B663" s="99" t="s">
        <v>5740</v>
      </c>
      <c r="C663" s="147">
        <f t="shared" si="27"/>
        <v>25.52</v>
      </c>
      <c r="D663" t="s">
        <v>6549</v>
      </c>
      <c r="E663" s="178">
        <f t="shared" ref="E663:E664" si="28">C663*E657</f>
        <v>10.217854101907385</v>
      </c>
      <c r="F663" s="146" t="s">
        <v>7135</v>
      </c>
      <c r="G663"/>
      <c r="H663"/>
      <c r="K663"/>
      <c r="L663"/>
      <c r="R663"/>
      <c r="W663"/>
      <c r="Y663"/>
    </row>
    <row r="664" spans="2:25" ht="14.4" x14ac:dyDescent="0.3">
      <c r="B664" s="99" t="s">
        <v>5741</v>
      </c>
      <c r="C664" s="147">
        <f t="shared" si="27"/>
        <v>14.959999999999999</v>
      </c>
      <c r="D664" t="s">
        <v>6549</v>
      </c>
      <c r="E664" s="178">
        <f t="shared" si="28"/>
        <v>3.9063760059765862</v>
      </c>
      <c r="F664" s="146" t="s">
        <v>7135</v>
      </c>
      <c r="G664"/>
      <c r="H664"/>
      <c r="K664"/>
      <c r="L664"/>
      <c r="R664"/>
      <c r="W664"/>
      <c r="Y664"/>
    </row>
    <row r="665" spans="2:25" ht="14.4" x14ac:dyDescent="0.3">
      <c r="B665" s="99" t="s">
        <v>5717</v>
      </c>
      <c r="C665" s="147">
        <f t="shared" si="27"/>
        <v>0.15667283446430161</v>
      </c>
      <c r="D665" t="s">
        <v>2489</v>
      </c>
      <c r="E665" s="178">
        <f>C665*E652</f>
        <v>0.31334566892860322</v>
      </c>
      <c r="F665" s="146" t="s">
        <v>7135</v>
      </c>
      <c r="G665"/>
      <c r="H665"/>
      <c r="K665"/>
      <c r="L665"/>
      <c r="R665"/>
      <c r="W665"/>
      <c r="Y665"/>
    </row>
    <row r="666" spans="2:25" ht="14.4" x14ac:dyDescent="0.3">
      <c r="B666" s="99" t="s">
        <v>6403</v>
      </c>
      <c r="C666" s="147">
        <f t="shared" si="27"/>
        <v>1186.1423892357984</v>
      </c>
      <c r="D666" t="s">
        <v>5910</v>
      </c>
      <c r="E666" s="164">
        <f>CONVERT(C666,"m^3","gal")*E652</f>
        <v>626691.33870683727</v>
      </c>
      <c r="F666" s="146" t="s">
        <v>5324</v>
      </c>
      <c r="G666"/>
      <c r="H666"/>
      <c r="K666"/>
      <c r="L666"/>
      <c r="R666"/>
      <c r="W666"/>
      <c r="Y666"/>
    </row>
    <row r="667" spans="2:25" ht="14.4" x14ac:dyDescent="0.3">
      <c r="B667" s="99" t="s">
        <v>6404</v>
      </c>
      <c r="C667" s="78">
        <f t="shared" si="27"/>
        <v>1.1829415520586768</v>
      </c>
      <c r="D667" s="146" t="s">
        <v>2413</v>
      </c>
      <c r="E667" s="201">
        <f>C667*UC.g_to_lb/UC.L_to_gal*1000</f>
        <v>9.872125783153292</v>
      </c>
      <c r="F667" s="146" t="s">
        <v>2414</v>
      </c>
      <c r="G667"/>
      <c r="H667"/>
      <c r="K667"/>
      <c r="L667"/>
      <c r="R667"/>
      <c r="W667"/>
      <c r="Y667"/>
    </row>
    <row r="668" spans="2:25" ht="14.4" x14ac:dyDescent="0.3">
      <c r="B668" s="99" t="s">
        <v>6405</v>
      </c>
      <c r="C668" s="78">
        <f t="shared" si="27"/>
        <v>0.77008255040821727</v>
      </c>
      <c r="D668" s="146" t="s">
        <v>2413</v>
      </c>
      <c r="E668" s="201">
        <f>C668*UC.g_to_lb/UC.L_to_gal*1000</f>
        <v>6.426650401967037</v>
      </c>
      <c r="F668" s="146" t="s">
        <v>2414</v>
      </c>
      <c r="G668"/>
      <c r="H668"/>
      <c r="K668"/>
      <c r="L668"/>
      <c r="R668"/>
      <c r="W668"/>
      <c r="Y668"/>
    </row>
    <row r="669" spans="2:25" ht="14.4" x14ac:dyDescent="0.3">
      <c r="B669" s="99" t="s">
        <v>6406</v>
      </c>
      <c r="C669" s="78">
        <f t="shared" si="27"/>
        <v>1.1701311485412944</v>
      </c>
      <c r="D669" s="146" t="s">
        <v>2413</v>
      </c>
      <c r="E669" s="201">
        <f>C669*UC.g_to_lb/UC.L_to_gal*1000</f>
        <v>9.7652177836528438</v>
      </c>
      <c r="F669" s="146" t="s">
        <v>2414</v>
      </c>
      <c r="G669"/>
      <c r="H669"/>
      <c r="K669"/>
      <c r="L669"/>
      <c r="R669"/>
      <c r="W669"/>
      <c r="Y669"/>
    </row>
    <row r="670" spans="2:25" ht="14.4" x14ac:dyDescent="0.3">
      <c r="B670" s="99"/>
      <c r="D670"/>
      <c r="E670" s="99"/>
      <c r="F670" s="146"/>
      <c r="G670"/>
      <c r="H670"/>
      <c r="K670"/>
      <c r="L670"/>
      <c r="R670"/>
      <c r="W670"/>
      <c r="Y670"/>
    </row>
    <row r="671" spans="2:25" ht="14.4" x14ac:dyDescent="0.3">
      <c r="B671" s="175" t="s">
        <v>7244</v>
      </c>
      <c r="D671"/>
      <c r="E671" s="99"/>
      <c r="F671" s="146"/>
      <c r="G671"/>
      <c r="H671"/>
      <c r="K671"/>
      <c r="L671"/>
      <c r="R671"/>
      <c r="W671"/>
      <c r="Y671"/>
    </row>
    <row r="672" spans="2:25" ht="14.4" x14ac:dyDescent="0.3">
      <c r="B672" s="143" t="s">
        <v>2663</v>
      </c>
      <c r="C672" s="144" t="s">
        <v>565</v>
      </c>
      <c r="D672" s="144" t="s">
        <v>6943</v>
      </c>
      <c r="E672" s="143" t="s">
        <v>565</v>
      </c>
      <c r="F672" s="145" t="s">
        <v>6944</v>
      </c>
      <c r="G672"/>
      <c r="H672"/>
      <c r="K672"/>
      <c r="L672"/>
      <c r="R672"/>
      <c r="W672"/>
      <c r="Y672"/>
    </row>
    <row r="673" spans="2:25" ht="14.4" x14ac:dyDescent="0.3">
      <c r="B673" s="99" t="s">
        <v>6416</v>
      </c>
      <c r="C673" s="382">
        <f>VLOOKUP(B673,$X:$AA,3,FALSE)</f>
        <v>10</v>
      </c>
      <c r="D673" t="s">
        <v>2669</v>
      </c>
      <c r="E673" s="99">
        <f>C673</f>
        <v>10</v>
      </c>
      <c r="F673" s="146" t="s">
        <v>2669</v>
      </c>
      <c r="G673"/>
      <c r="H673"/>
      <c r="K673"/>
      <c r="L673"/>
      <c r="R673"/>
      <c r="W673"/>
      <c r="Y673"/>
    </row>
    <row r="674" spans="2:25" ht="14.4" x14ac:dyDescent="0.3">
      <c r="B674" s="99" t="s">
        <v>5713</v>
      </c>
      <c r="C674" s="382">
        <f>VLOOKUP(B674,$X:$AA,3,FALSE)</f>
        <v>5.7535426848554803</v>
      </c>
      <c r="D674" s="146" t="s">
        <v>6085</v>
      </c>
      <c r="E674" s="311">
        <f>C674</f>
        <v>5.7535426848554803</v>
      </c>
      <c r="F674" s="146" t="s">
        <v>6085</v>
      </c>
      <c r="G674"/>
      <c r="H674"/>
      <c r="K674"/>
      <c r="L674"/>
      <c r="R674"/>
      <c r="W674"/>
      <c r="Y674"/>
    </row>
    <row r="675" spans="2:25" ht="14.4" x14ac:dyDescent="0.3">
      <c r="B675" s="99" t="s">
        <v>6543</v>
      </c>
      <c r="C675" s="400">
        <f>C674</f>
        <v>5.7535426848554803</v>
      </c>
      <c r="D675" s="141" t="s">
        <v>6085</v>
      </c>
      <c r="E675" s="401">
        <f>E674</f>
        <v>5.7535426848554803</v>
      </c>
      <c r="F675" s="146" t="s">
        <v>6085</v>
      </c>
      <c r="G675"/>
      <c r="H675"/>
      <c r="K675"/>
      <c r="L675"/>
      <c r="R675"/>
      <c r="W675"/>
      <c r="Y675"/>
    </row>
    <row r="676" spans="2:25" ht="14.4" x14ac:dyDescent="0.3">
      <c r="B676" s="99" t="s">
        <v>6544</v>
      </c>
      <c r="C676" s="78">
        <f>C674</f>
        <v>5.7535426848554803</v>
      </c>
      <c r="D676" t="s">
        <v>6085</v>
      </c>
      <c r="E676" s="401">
        <f>E674</f>
        <v>5.7535426848554803</v>
      </c>
      <c r="F676" s="146" t="s">
        <v>6085</v>
      </c>
      <c r="G676"/>
      <c r="H676"/>
      <c r="K676"/>
      <c r="L676"/>
      <c r="R676"/>
      <c r="W676"/>
      <c r="Y676"/>
    </row>
    <row r="677" spans="2:25" ht="14.4" x14ac:dyDescent="0.3">
      <c r="B677" s="99" t="s">
        <v>6545</v>
      </c>
      <c r="C677" s="78">
        <f>C674</f>
        <v>5.7535426848554803</v>
      </c>
      <c r="D677" t="s">
        <v>6085</v>
      </c>
      <c r="E677" s="401">
        <f>E674</f>
        <v>5.7535426848554803</v>
      </c>
      <c r="F677" s="146" t="s">
        <v>6085</v>
      </c>
      <c r="G677"/>
      <c r="H677" s="139" t="s">
        <v>7033</v>
      </c>
      <c r="I677" s="142"/>
      <c r="J677" s="142"/>
      <c r="K677" s="141"/>
      <c r="L677"/>
      <c r="R677"/>
      <c r="W677"/>
      <c r="Y677"/>
    </row>
    <row r="678" spans="2:25" ht="14.4" x14ac:dyDescent="0.3">
      <c r="B678" s="99" t="s">
        <v>7136</v>
      </c>
      <c r="C678" s="78">
        <f>C674*UDV.dhl.application_maneuver_factor</f>
        <v>6.6165740875838015</v>
      </c>
      <c r="D678" t="s">
        <v>6085</v>
      </c>
      <c r="E678" s="401">
        <f>E674*VLOOKUP("NAPercent time for useApplicator tractor for drag hose land applicationDefault",Econ.inputsTable!$E:$G,2,FALSE)</f>
        <v>6.6165740875838015</v>
      </c>
      <c r="F678" s="146" t="s">
        <v>6085</v>
      </c>
      <c r="G678"/>
      <c r="H678" s="99" t="s">
        <v>7034</v>
      </c>
      <c r="K678" s="146"/>
      <c r="L678"/>
      <c r="R678"/>
      <c r="W678"/>
      <c r="Y678"/>
    </row>
    <row r="679" spans="2:25" ht="14.4" x14ac:dyDescent="0.3">
      <c r="B679" s="99" t="s">
        <v>7137</v>
      </c>
      <c r="C679" s="78">
        <f>C674*UDV.dhl.hose_mover_utilization</f>
        <v>4.3151570136416098</v>
      </c>
      <c r="D679" t="s">
        <v>6085</v>
      </c>
      <c r="E679" s="401">
        <f>E674*VLOOKUP("NAPercent time for useHose mover tractor for drag hose land applicationDefault",Econ.inputsTable!$E:$G,2,FALSE)</f>
        <v>4.3151570136416098</v>
      </c>
      <c r="F679" s="146" t="s">
        <v>6085</v>
      </c>
      <c r="G679"/>
      <c r="H679" s="99" t="s">
        <v>7035</v>
      </c>
      <c r="K679" s="146"/>
      <c r="L679"/>
      <c r="R679"/>
      <c r="W679"/>
      <c r="Y679"/>
    </row>
    <row r="680" spans="2:25" ht="14.4" x14ac:dyDescent="0.3">
      <c r="B680" s="99" t="s">
        <v>6548</v>
      </c>
      <c r="C680" s="312">
        <f>C674*UDV.dhl.pickup_utilization</f>
        <v>0.86303140272832202</v>
      </c>
      <c r="D680" s="151" t="s">
        <v>6085</v>
      </c>
      <c r="E680" s="311">
        <f>E674*VLOOKUP("NAPercent time for usePickup truck for drag hose land applicationDefault",Econ.inputsTable!$E:$G,2,FALSE)</f>
        <v>0.86303140272832202</v>
      </c>
      <c r="F680" s="146" t="s">
        <v>6085</v>
      </c>
      <c r="G680"/>
      <c r="H680" s="235" t="s">
        <v>7047</v>
      </c>
      <c r="K680" s="146"/>
      <c r="L680"/>
      <c r="R680"/>
      <c r="W680"/>
      <c r="Y680"/>
    </row>
    <row r="681" spans="2:25" ht="14.4" x14ac:dyDescent="0.3">
      <c r="B681" s="99" t="s">
        <v>5714</v>
      </c>
      <c r="C681" s="382">
        <f t="shared" ref="C681:C690" si="29">VLOOKUP(B681,$X:$AA,3,FALSE)</f>
        <v>103.56376832739865</v>
      </c>
      <c r="D681" t="s">
        <v>2489</v>
      </c>
      <c r="E681" s="178">
        <f>C681</f>
        <v>103.56376832739865</v>
      </c>
      <c r="F681" s="146" t="s">
        <v>6087</v>
      </c>
      <c r="G681" s="147"/>
      <c r="H681" s="235" t="s">
        <v>7037</v>
      </c>
      <c r="K681" s="146"/>
      <c r="L681"/>
      <c r="R681"/>
      <c r="W681"/>
      <c r="Y681"/>
    </row>
    <row r="682" spans="2:25" ht="14.4" x14ac:dyDescent="0.3">
      <c r="B682" s="99" t="s">
        <v>5715</v>
      </c>
      <c r="C682" s="382">
        <f t="shared" si="29"/>
        <v>43.151570136416105</v>
      </c>
      <c r="D682" t="s">
        <v>2489</v>
      </c>
      <c r="E682" s="178">
        <f>C682</f>
        <v>43.151570136416105</v>
      </c>
      <c r="F682" s="146" t="s">
        <v>6087</v>
      </c>
      <c r="G682"/>
      <c r="H682" s="235" t="s">
        <v>7038</v>
      </c>
      <c r="K682" s="146"/>
      <c r="L682"/>
      <c r="R682"/>
      <c r="W682"/>
      <c r="Y682"/>
    </row>
    <row r="683" spans="2:25" ht="14.4" x14ac:dyDescent="0.3">
      <c r="B683" s="99" t="s">
        <v>5716</v>
      </c>
      <c r="C683" s="382">
        <f t="shared" si="29"/>
        <v>34.521256109132878</v>
      </c>
      <c r="D683" t="s">
        <v>2489</v>
      </c>
      <c r="E683" s="178">
        <f>C683</f>
        <v>34.521256109132878</v>
      </c>
      <c r="F683" s="146" t="s">
        <v>6087</v>
      </c>
      <c r="G683"/>
      <c r="H683" s="235" t="s">
        <v>7007</v>
      </c>
      <c r="K683" s="146"/>
      <c r="L683"/>
      <c r="R683"/>
      <c r="W683"/>
      <c r="Y683"/>
    </row>
    <row r="684" spans="2:25" ht="14.4" x14ac:dyDescent="0.3">
      <c r="B684" s="99" t="s">
        <v>5740</v>
      </c>
      <c r="C684" s="382">
        <f t="shared" si="29"/>
        <v>25.52</v>
      </c>
      <c r="D684" t="s">
        <v>6549</v>
      </c>
      <c r="E684" s="178">
        <f>C684*E678</f>
        <v>168.85497071513862</v>
      </c>
      <c r="F684" s="146" t="s">
        <v>6087</v>
      </c>
      <c r="G684"/>
      <c r="H684" s="235" t="s">
        <v>7008</v>
      </c>
      <c r="K684" s="146"/>
      <c r="L684"/>
      <c r="R684"/>
      <c r="W684"/>
      <c r="Y684"/>
    </row>
    <row r="685" spans="2:25" ht="14.4" x14ac:dyDescent="0.3">
      <c r="B685" s="99" t="s">
        <v>5741</v>
      </c>
      <c r="C685" s="382">
        <f t="shared" si="29"/>
        <v>14.959999999999999</v>
      </c>
      <c r="D685" t="s">
        <v>6549</v>
      </c>
      <c r="E685" s="178">
        <f>C685*E679</f>
        <v>64.554748924078481</v>
      </c>
      <c r="F685" s="146" t="s">
        <v>6087</v>
      </c>
      <c r="G685"/>
      <c r="H685" s="235" t="s">
        <v>7039</v>
      </c>
      <c r="K685" s="146"/>
      <c r="L685"/>
      <c r="R685"/>
      <c r="W685"/>
      <c r="Y685"/>
    </row>
    <row r="686" spans="2:25" ht="14.4" x14ac:dyDescent="0.3">
      <c r="B686" s="99" t="s">
        <v>5717</v>
      </c>
      <c r="C686" s="382">
        <f t="shared" si="29"/>
        <v>5.1781884163699319</v>
      </c>
      <c r="D686" t="s">
        <v>2489</v>
      </c>
      <c r="E686" s="178">
        <f>C686</f>
        <v>5.1781884163699319</v>
      </c>
      <c r="F686" s="146" t="s">
        <v>6087</v>
      </c>
      <c r="G686"/>
      <c r="H686" s="235" t="s">
        <v>1325</v>
      </c>
      <c r="K686" s="146"/>
      <c r="L686"/>
      <c r="R686"/>
      <c r="W686"/>
      <c r="Y686"/>
    </row>
    <row r="687" spans="2:25" ht="14.4" x14ac:dyDescent="0.3">
      <c r="B687" s="99" t="s">
        <v>6418</v>
      </c>
      <c r="C687" s="382">
        <f t="shared" si="29"/>
        <v>2693.8026530909328</v>
      </c>
      <c r="D687" t="s">
        <v>5910</v>
      </c>
      <c r="E687" s="164">
        <f>CONVERT(C687,"m^3","gal")</f>
        <v>711627.37551485701</v>
      </c>
      <c r="F687" s="146" t="s">
        <v>2489</v>
      </c>
      <c r="G687"/>
      <c r="H687" s="235" t="s">
        <v>7040</v>
      </c>
      <c r="K687" s="146"/>
      <c r="L687"/>
      <c r="R687"/>
      <c r="W687"/>
      <c r="Y687"/>
    </row>
    <row r="688" spans="2:25" ht="14.4" x14ac:dyDescent="0.3">
      <c r="B688" s="99" t="s">
        <v>6404</v>
      </c>
      <c r="C688" s="499">
        <f t="shared" si="29"/>
        <v>2.6043799408898596</v>
      </c>
      <c r="D688" s="146" t="s">
        <v>2413</v>
      </c>
      <c r="E688" s="201">
        <f>C688*UC.g_to_lb/UC.L_to_gal*1000</f>
        <v>21.73460414746739</v>
      </c>
      <c r="F688" s="146" t="s">
        <v>2414</v>
      </c>
      <c r="G688"/>
      <c r="H688" s="235" t="s">
        <v>7041</v>
      </c>
      <c r="K688" s="146"/>
      <c r="L688"/>
      <c r="R688"/>
      <c r="W688"/>
      <c r="Y688"/>
    </row>
    <row r="689" spans="1:25" ht="14.4" x14ac:dyDescent="0.3">
      <c r="B689" s="99" t="s">
        <v>6405</v>
      </c>
      <c r="C689" s="499">
        <f t="shared" si="29"/>
        <v>5.5486604996284568</v>
      </c>
      <c r="D689" s="146" t="s">
        <v>2413</v>
      </c>
      <c r="E689" s="201">
        <f>C689*UC.g_to_lb/UC.L_to_gal*1000</f>
        <v>46.305816449694916</v>
      </c>
      <c r="F689" s="146" t="s">
        <v>2414</v>
      </c>
      <c r="G689"/>
      <c r="H689" s="253" t="s">
        <v>349</v>
      </c>
      <c r="I689" s="150"/>
      <c r="J689" s="150"/>
      <c r="K689" s="151"/>
      <c r="L689"/>
      <c r="R689"/>
      <c r="W689"/>
      <c r="Y689"/>
    </row>
    <row r="690" spans="1:25" ht="14.4" x14ac:dyDescent="0.3">
      <c r="B690" s="99" t="s">
        <v>6406</v>
      </c>
      <c r="C690" s="499">
        <f t="shared" si="29"/>
        <v>5.5486875988667448</v>
      </c>
      <c r="D690" t="s">
        <v>2413</v>
      </c>
      <c r="E690" s="201">
        <f>C690*UC.g_to_lb/UC.L_to_gal*1000</f>
        <v>46.306042603800783</v>
      </c>
      <c r="F690" s="146" t="s">
        <v>2414</v>
      </c>
      <c r="G690"/>
      <c r="H690"/>
      <c r="K690"/>
      <c r="L690"/>
      <c r="R690"/>
      <c r="W690"/>
      <c r="Y690"/>
    </row>
    <row r="691" spans="1:25" ht="13.5" customHeight="1" x14ac:dyDescent="0.3">
      <c r="B691" s="99"/>
      <c r="E691" s="2101"/>
      <c r="F691" s="2089"/>
    </row>
    <row r="692" spans="1:25" ht="14.4" x14ac:dyDescent="0.3">
      <c r="B692" s="92" t="s">
        <v>6996</v>
      </c>
      <c r="D692"/>
      <c r="E692" s="99"/>
      <c r="F692" s="146"/>
      <c r="G692"/>
      <c r="H692"/>
      <c r="K692"/>
      <c r="L692"/>
    </row>
    <row r="693" spans="1:25" ht="14.4" x14ac:dyDescent="0.3">
      <c r="B693" s="143" t="s">
        <v>2663</v>
      </c>
      <c r="C693" s="144" t="s">
        <v>565</v>
      </c>
      <c r="D693" s="144" t="s">
        <v>6943</v>
      </c>
      <c r="E693" s="143" t="s">
        <v>565</v>
      </c>
      <c r="F693" s="145" t="s">
        <v>6944</v>
      </c>
      <c r="G693"/>
      <c r="H693"/>
      <c r="K693"/>
      <c r="L693"/>
    </row>
    <row r="694" spans="1:25" ht="14.4" x14ac:dyDescent="0.3">
      <c r="B694" s="99" t="s">
        <v>7076</v>
      </c>
      <c r="D694"/>
      <c r="E694" s="357">
        <f>UDV.electricity.avg_cost</f>
        <v>6.8591666666666662E-2</v>
      </c>
      <c r="F694" s="146" t="s">
        <v>2306</v>
      </c>
      <c r="G694"/>
      <c r="H694"/>
      <c r="K694"/>
      <c r="L694"/>
      <c r="R694"/>
      <c r="W694"/>
      <c r="Y694"/>
    </row>
    <row r="695" spans="1:25" ht="14.4" x14ac:dyDescent="0.3">
      <c r="B695" s="99" t="s">
        <v>6997</v>
      </c>
      <c r="D695"/>
      <c r="E695" s="348">
        <f>UDV.fuel.diesel_avg_cost</f>
        <v>3.6964905660377356</v>
      </c>
      <c r="F695" s="146" t="s">
        <v>2315</v>
      </c>
      <c r="G695"/>
      <c r="H695"/>
      <c r="K695"/>
      <c r="L695"/>
    </row>
    <row r="696" spans="1:25" ht="14.4" x14ac:dyDescent="0.3">
      <c r="B696" s="99" t="s">
        <v>7044</v>
      </c>
      <c r="C696">
        <f>UDV.land_application.max_distance</f>
        <v>2</v>
      </c>
      <c r="D696" t="s">
        <v>2971</v>
      </c>
      <c r="E696" s="178">
        <f>IF(E635=0,0,CONVERT(C696,"mi","ft"))</f>
        <v>10560</v>
      </c>
      <c r="F696" s="146" t="s">
        <v>2340</v>
      </c>
      <c r="G696" s="254"/>
      <c r="H696"/>
      <c r="K696"/>
      <c r="L696"/>
    </row>
    <row r="697" spans="1:25" ht="14.4" x14ac:dyDescent="0.3">
      <c r="B697" s="99" t="s">
        <v>5712</v>
      </c>
      <c r="C697" s="382">
        <f>VLOOKUP(B697,$X:$AA,3,FALSE)</f>
        <v>1</v>
      </c>
      <c r="D697"/>
      <c r="E697" s="201">
        <f>C697</f>
        <v>1</v>
      </c>
      <c r="F697" s="146" t="s">
        <v>2442</v>
      </c>
      <c r="G697"/>
      <c r="H697"/>
      <c r="K697"/>
      <c r="L697"/>
    </row>
    <row r="698" spans="1:25" ht="14.4" x14ac:dyDescent="0.3">
      <c r="B698" s="149" t="s">
        <v>6998</v>
      </c>
      <c r="C698" s="150"/>
      <c r="D698" s="151"/>
      <c r="E698" s="349">
        <f>UDV.labor.non_specialized_cost</f>
        <v>23.66</v>
      </c>
      <c r="F698" s="151" t="s">
        <v>3659</v>
      </c>
      <c r="G698"/>
      <c r="H698"/>
      <c r="K698"/>
      <c r="L698"/>
    </row>
    <row r="699" spans="1:25" ht="14.4" x14ac:dyDescent="0.3">
      <c r="C699" s="82"/>
      <c r="D699"/>
      <c r="E699" s="82"/>
      <c r="F699" s="82"/>
      <c r="G699"/>
      <c r="H699" s="82"/>
      <c r="I699" s="82"/>
      <c r="K699"/>
      <c r="L699"/>
      <c r="O699" s="82"/>
    </row>
    <row r="700" spans="1:25" ht="14.4" x14ac:dyDescent="0.3">
      <c r="B700" s="206" t="s">
        <v>7108</v>
      </c>
      <c r="C700" s="142"/>
      <c r="D700" s="142"/>
      <c r="E700" s="142"/>
      <c r="F700" s="142"/>
      <c r="G700" s="142"/>
      <c r="H700" s="142"/>
      <c r="I700" s="142"/>
      <c r="J700" s="142"/>
      <c r="K700" s="142"/>
      <c r="L700" s="142"/>
      <c r="M700" s="142"/>
      <c r="N700" s="142"/>
      <c r="O700" s="141"/>
    </row>
    <row r="701" spans="1:25" ht="43.2" x14ac:dyDescent="0.3">
      <c r="B701" s="210" t="s">
        <v>6946</v>
      </c>
      <c r="C701" s="152" t="s">
        <v>6947</v>
      </c>
      <c r="D701" s="152" t="s">
        <v>6948</v>
      </c>
      <c r="E701" s="152" t="s">
        <v>6999</v>
      </c>
      <c r="F701" s="152" t="s">
        <v>7045</v>
      </c>
      <c r="G701" s="152" t="s">
        <v>6951</v>
      </c>
      <c r="H701" s="152" t="s">
        <v>6952</v>
      </c>
      <c r="I701" s="152" t="s">
        <v>6953</v>
      </c>
      <c r="J701" s="152" t="s">
        <v>6954</v>
      </c>
      <c r="K701" s="152" t="s">
        <v>6955</v>
      </c>
      <c r="L701" s="152" t="s">
        <v>6956</v>
      </c>
      <c r="M701" s="152" t="s">
        <v>6957</v>
      </c>
      <c r="N701" s="152" t="s">
        <v>7002</v>
      </c>
      <c r="O701" s="161" t="s">
        <v>6959</v>
      </c>
    </row>
    <row r="702" spans="1:25" ht="14.4" x14ac:dyDescent="0.3">
      <c r="A702" t="s">
        <v>7122</v>
      </c>
      <c r="B702" s="99" t="s">
        <v>2808</v>
      </c>
      <c r="C702" s="153">
        <f>IF(E646=0,0,(VLOOKUP("Irrigation systema",Econ.Equations!$C:$E,2,FALSE)*E646^VLOOKUP("Irrigation systemb",Econ.Equations!$C:$E,2,FALSE))*E646)</f>
        <v>54853.229160816532</v>
      </c>
      <c r="D702" s="42">
        <f>VLOOKUP("CAPEXLifetimeBuildings and constructionDefault",Econ.inputsTable!$E:$G,2,FALSE)</f>
        <v>20</v>
      </c>
      <c r="E702" s="42" t="s">
        <v>2852</v>
      </c>
      <c r="F702" s="42" t="s">
        <v>2852</v>
      </c>
      <c r="G702" s="539">
        <f>VLOOKUP("CAPEXAnnual usage on activityItems that are used only on the given activityDefault",Econ.inputsTable!$E:$J,2,FALSE)</f>
        <v>1</v>
      </c>
      <c r="H702" s="503">
        <f t="shared" ref="H702" si="30">UDV.econ_capital.interest_rate</f>
        <v>5.0999999999999997E-2</v>
      </c>
      <c r="I702" s="2091">
        <f>VLOOKUP("CAPEXSalvageBuildings and constructionDefault",Econ.inputsTable!$E:$K,2,FALSE)</f>
        <v>0</v>
      </c>
      <c r="J702" s="153">
        <f>C702*I702</f>
        <v>0</v>
      </c>
      <c r="K702" s="154">
        <f>VLOOKUP("CAPEXFinanced amountNADefault",Econ.inputsTable!$E:$J,2,FALSE)</f>
        <v>1</v>
      </c>
      <c r="L702" s="2092">
        <f>H702*K702</f>
        <v>5.0999999999999997E-2</v>
      </c>
      <c r="M702" s="351">
        <f>L702/(1-(1+L702)^-D702)</f>
        <v>8.0924368970045152E-2</v>
      </c>
      <c r="N702" s="153">
        <f>((C702-J702)*M702)+(J702*L702)</f>
        <v>4438.962955808357</v>
      </c>
      <c r="O702" s="372">
        <f>N702*G702</f>
        <v>4438.962955808357</v>
      </c>
      <c r="R702"/>
      <c r="W702"/>
      <c r="Y702"/>
    </row>
    <row r="703" spans="1:25" ht="14.4" x14ac:dyDescent="0.3">
      <c r="A703" t="s">
        <v>7046</v>
      </c>
      <c r="B703" s="99" t="s">
        <v>7034</v>
      </c>
      <c r="C703" s="153">
        <f>VLOOKUP("Diesel powered lead pumpDefault", Econ.Tables!$C:$E,2,FALSE)*E635</f>
        <v>293400</v>
      </c>
      <c r="D703" s="42">
        <f>VLOOKUP("CAPEXLifetimeDiesel-powered pump set package (at lagoon)Default",Econ.inputsTable!$E:$G,2,FALSE)</f>
        <v>17</v>
      </c>
      <c r="E703"/>
      <c r="F703" s="147">
        <f>IF(E635=0,0,(E654+(E675/E673))/E635)</f>
        <v>0.92351612285066276</v>
      </c>
      <c r="G703" s="255">
        <f>VLOOKUP("CAPEXAnnual usage on activityItems that are used only on the given activityDefault",Econ.inputsTable!$E:$G,2,FALSE)</f>
        <v>1</v>
      </c>
      <c r="H703" s="503">
        <f t="shared" ref="H703:H714" si="31">UDV.econ_capital.interest_rate</f>
        <v>5.0999999999999997E-2</v>
      </c>
      <c r="I703" s="236">
        <f>VLOOKUP("CAPEXSalvageEquipmentDefault", Econ.inputsTable!$E:$G,2,FALSE)</f>
        <v>0.2</v>
      </c>
      <c r="J703" s="153">
        <f t="shared" ref="J703:J714" si="32">$C703*I703</f>
        <v>58680</v>
      </c>
      <c r="K703" s="257">
        <f>VLOOKUP("CAPEXFinanced amountNADefault", Econ.inputsTable!$E:$G,2,FALSE)</f>
        <v>1</v>
      </c>
      <c r="L703" s="236">
        <f t="shared" ref="L703:L714" si="33">H703*K703</f>
        <v>5.0999999999999997E-2</v>
      </c>
      <c r="M703">
        <f t="shared" ref="M703:M714" si="34">L703/(1-(1+L703)^-D703)</f>
        <v>8.9362846108502439E-2</v>
      </c>
      <c r="N703" s="153">
        <f t="shared" ref="N703:N714" si="35">((C703-J703)*M703)+(J703*L703)</f>
        <v>23967.927238587694</v>
      </c>
      <c r="O703" s="157">
        <f t="shared" ref="O703:O714" si="36">N703*G703</f>
        <v>23967.927238587694</v>
      </c>
    </row>
    <row r="704" spans="1:25" ht="14.4" x14ac:dyDescent="0.3">
      <c r="A704" t="s">
        <v>7046</v>
      </c>
      <c r="B704" s="99" t="s">
        <v>7035</v>
      </c>
      <c r="C704" s="153">
        <f>VLOOKUP("Diesel powered booster pumpDefault",Econ.Tables!$C:$E,2,FALSE)*E697</f>
        <v>197300</v>
      </c>
      <c r="D704" s="42">
        <f>VLOOKUP("CAPEXLifetimeDiesel-powered pump set package (at lagoon)Default",Econ.inputsTable!$E:$G,2,FALSE)</f>
        <v>17</v>
      </c>
      <c r="E704"/>
      <c r="F704" s="147">
        <f>IF(E697=0,0,(E655+(E676/E673))/E697)</f>
        <v>0.92351612285066276</v>
      </c>
      <c r="G704" s="255">
        <f>VLOOKUP("CAPEXAnnual usage on activityItems that are used only on the given activityDefault",Econ.inputsTable!$E:$G,2,FALSE)</f>
        <v>1</v>
      </c>
      <c r="H704" s="503">
        <f t="shared" si="31"/>
        <v>5.0999999999999997E-2</v>
      </c>
      <c r="I704" s="236">
        <f>VLOOKUP("CAPEXSalvageEquipmentDefault", Econ.inputsTable!$E:$G,2,FALSE)</f>
        <v>0.2</v>
      </c>
      <c r="J704" s="153">
        <f t="shared" si="32"/>
        <v>39460</v>
      </c>
      <c r="K704" s="257">
        <f>VLOOKUP("CAPEXFinanced amountNADefault", Econ.inputsTable!$E:$G,2,FALSE)</f>
        <v>1</v>
      </c>
      <c r="L704" s="236">
        <f t="shared" si="33"/>
        <v>5.0999999999999997E-2</v>
      </c>
      <c r="M704">
        <f t="shared" si="34"/>
        <v>8.9362846108502439E-2</v>
      </c>
      <c r="N704" s="153">
        <f t="shared" si="35"/>
        <v>16117.491629766024</v>
      </c>
      <c r="O704" s="157">
        <f t="shared" si="36"/>
        <v>16117.491629766024</v>
      </c>
    </row>
    <row r="705" spans="1:15" ht="14.4" x14ac:dyDescent="0.3">
      <c r="A705" t="s">
        <v>7046</v>
      </c>
      <c r="B705" s="99" t="s">
        <v>7047</v>
      </c>
      <c r="C705" s="153">
        <f>VLOOKUP("Diesel powered agitation trailerDefault",Econ.Tables!$C:$E,2,FALSE)*E636</f>
        <v>131500</v>
      </c>
      <c r="D705" s="42">
        <f>VLOOKUP("CAPEXLifetimeEquipmentDefault",Econ.inputsTable!$E:$G,2,FALSE)</f>
        <v>10</v>
      </c>
      <c r="E705"/>
      <c r="F705" s="147">
        <f>IF(E636=0,0,(E656+(E677/E673))/E636)</f>
        <v>0.92351612285066276</v>
      </c>
      <c r="G705" s="255">
        <f>VLOOKUP("CAPEXAnnual usage on activityItems that are used only on the given activityDefault",Econ.inputsTable!$E:$G,2,FALSE)</f>
        <v>1</v>
      </c>
      <c r="H705" s="503">
        <f t="shared" si="31"/>
        <v>5.0999999999999997E-2</v>
      </c>
      <c r="I705" s="155">
        <f>VLOOKUP("CAPEXSalvageEquipmentDefault", Econ.inputsTable!$E:$G,2,FALSE)</f>
        <v>0.2</v>
      </c>
      <c r="J705" s="153">
        <f t="shared" si="32"/>
        <v>26300</v>
      </c>
      <c r="K705" s="257">
        <f>VLOOKUP("CAPEXFinanced amountNADefault", Econ.inputsTable!$E:$G,2,FALSE)</f>
        <v>1</v>
      </c>
      <c r="L705" s="236">
        <f t="shared" si="33"/>
        <v>5.0999999999999997E-2</v>
      </c>
      <c r="M705">
        <f t="shared" si="34"/>
        <v>0.13013423257204779</v>
      </c>
      <c r="N705" s="153">
        <f t="shared" si="35"/>
        <v>15031.421266579426</v>
      </c>
      <c r="O705" s="157">
        <f t="shared" si="36"/>
        <v>15031.421266579426</v>
      </c>
    </row>
    <row r="706" spans="1:15" ht="14.4" x14ac:dyDescent="0.3">
      <c r="A706" t="s">
        <v>7046</v>
      </c>
      <c r="B706" s="99" t="s">
        <v>7037</v>
      </c>
      <c r="C706" s="153">
        <f>VLOOKUP(_xlfn.CONCAT("Tractor",E637," hp"), Econ.Tables!$C:$E,2, FALSE)*E639</f>
        <v>637400</v>
      </c>
      <c r="D706" s="79">
        <f>VLOOKUP("CAPEXLifetimeTractor, 4 wheel drive and crawlerDefault",Econ.inputsTable!$E:$H,2,FALSE)/E706</f>
        <v>16</v>
      </c>
      <c r="E706" s="213">
        <f>IF(F706&gt;UDV.tractor.min_usage_yearly,F706,UDV.tractor.min_usage_yearly)</f>
        <v>1000</v>
      </c>
      <c r="F706" s="147">
        <f>IF(E639=0,0,(E657+(E678/E673))/E639)</f>
        <v>1.0620435412782621</v>
      </c>
      <c r="G706" s="236">
        <f>F706/E706</f>
        <v>1.0620435412782622E-3</v>
      </c>
      <c r="H706" s="503">
        <f t="shared" si="31"/>
        <v>5.0999999999999997E-2</v>
      </c>
      <c r="I706" s="236">
        <f>VLOOKUP("CAPEXSalvageEquipmentDefault", Econ.inputsTable!$E:$G,2,FALSE)</f>
        <v>0.2</v>
      </c>
      <c r="J706" s="153">
        <f t="shared" si="32"/>
        <v>127480</v>
      </c>
      <c r="K706" s="257">
        <f>VLOOKUP("CAPEXFinanced amountNADefault", Econ.inputsTable!$E:$G,2,FALSE)</f>
        <v>1</v>
      </c>
      <c r="L706" s="236">
        <f t="shared" si="33"/>
        <v>5.0999999999999997E-2</v>
      </c>
      <c r="M706">
        <f t="shared" si="34"/>
        <v>9.2927821836826949E-2</v>
      </c>
      <c r="N706" s="153">
        <f t="shared" si="35"/>
        <v>53887.2349110348</v>
      </c>
      <c r="O706" s="157">
        <f t="shared" si="36"/>
        <v>57.230589794608996</v>
      </c>
    </row>
    <row r="707" spans="1:15" ht="14.4" x14ac:dyDescent="0.3">
      <c r="A707" t="s">
        <v>7046</v>
      </c>
      <c r="B707" s="99" t="s">
        <v>7048</v>
      </c>
      <c r="C707" s="229">
        <f>VLOOKUP("Hose reel, hydraulic,no specific sizeDefault",Econ.Tables!$C:$E,2,FALSE)*E639</f>
        <v>44500</v>
      </c>
      <c r="D707" s="42">
        <f>VLOOKUP("CAPEXLifetimeEquipmentDefault",Econ.inputsTable!$E:$G,2,FALSE)</f>
        <v>10</v>
      </c>
      <c r="E707" s="152"/>
      <c r="F707" s="259">
        <f>F706</f>
        <v>1.0620435412782621</v>
      </c>
      <c r="G707" s="255">
        <f>VLOOKUP("CAPEXAnnual usage on activityItems that are used only on the given activityDefault",Econ.inputsTable!$E:$G,2,FALSE)</f>
        <v>1</v>
      </c>
      <c r="H707" s="503">
        <f t="shared" si="31"/>
        <v>5.0999999999999997E-2</v>
      </c>
      <c r="I707" s="236">
        <f>VLOOKUP("CAPEXSalvageEquipmentDefault", Econ.inputsTable!$E:$G,2,FALSE)</f>
        <v>0.2</v>
      </c>
      <c r="J707" s="153">
        <f t="shared" si="32"/>
        <v>8900</v>
      </c>
      <c r="K707" s="257">
        <f>VLOOKUP("CAPEXFinanced amountNADefault", Econ.inputsTable!$E:$G,2,FALSE)</f>
        <v>1</v>
      </c>
      <c r="L707" s="236">
        <f t="shared" si="33"/>
        <v>5.0999999999999997E-2</v>
      </c>
      <c r="M707">
        <f t="shared" si="34"/>
        <v>0.13013423257204779</v>
      </c>
      <c r="N707" s="153">
        <f t="shared" si="35"/>
        <v>5086.6786795649004</v>
      </c>
      <c r="O707" s="157">
        <f t="shared" si="36"/>
        <v>5086.6786795649004</v>
      </c>
    </row>
    <row r="708" spans="1:15" ht="14.4" x14ac:dyDescent="0.3">
      <c r="A708" t="s">
        <v>7046</v>
      </c>
      <c r="B708" s="99" t="s">
        <v>7007</v>
      </c>
      <c r="C708" s="229">
        <f>IF(E642="Broadcast",VLOOKUP("BoomDefault", Econ.Tables!$C:$E,2,FALSE),0)*E639</f>
        <v>0</v>
      </c>
      <c r="D708" s="42">
        <f>VLOOKUP("CAPEXLifetimeEquipmentDefault",Econ.inputsTable!$E:$G,2,FALSE)</f>
        <v>10</v>
      </c>
      <c r="E708" s="152"/>
      <c r="F708" s="259">
        <f>IF(E642="Broadcast",F706,0)*VLOOKUP("NAPercent time for useApplication toolbar usage per unit tractor pulling it usageDefault", Econ.inputsTable!$E:$G,2,FALSE)</f>
        <v>0</v>
      </c>
      <c r="G708" s="255">
        <f>VLOOKUP("CAPEXAnnual usage on activityItems that are used only on the given activityDefault",Econ.inputsTable!$E:$G,2,FALSE)</f>
        <v>1</v>
      </c>
      <c r="H708" s="503">
        <f t="shared" si="31"/>
        <v>5.0999999999999997E-2</v>
      </c>
      <c r="I708" s="236">
        <f>VLOOKUP("CAPEXSalvageEquipmentDefault", Econ.inputsTable!$E:$G,2,FALSE)</f>
        <v>0.2</v>
      </c>
      <c r="J708" s="153">
        <f t="shared" si="32"/>
        <v>0</v>
      </c>
      <c r="K708" s="257">
        <f>VLOOKUP("CAPEXFinanced amountNADefault", Econ.inputsTable!$E:$G,2,FALSE)</f>
        <v>1</v>
      </c>
      <c r="L708" s="236">
        <f t="shared" si="33"/>
        <v>5.0999999999999997E-2</v>
      </c>
      <c r="M708">
        <f t="shared" si="34"/>
        <v>0.13013423257204779</v>
      </c>
      <c r="N708" s="153">
        <f t="shared" si="35"/>
        <v>0</v>
      </c>
      <c r="O708" s="157">
        <f t="shared" si="36"/>
        <v>0</v>
      </c>
    </row>
    <row r="709" spans="1:15" ht="14.4" x14ac:dyDescent="0.3">
      <c r="A709" t="s">
        <v>7046</v>
      </c>
      <c r="B709" s="99" t="s">
        <v>7008</v>
      </c>
      <c r="C709" s="229">
        <f>IF(E642="Injection",VLOOKUP("InjectionDefault",Econ.Tables!$C:$E,2,FALSE),0)*E639</f>
        <v>80900</v>
      </c>
      <c r="D709" s="42">
        <f>VLOOKUP("CAPEXLifetimeEquipmentDefault",Econ.inputsTable!$E:$G,2,FALSE)</f>
        <v>10</v>
      </c>
      <c r="E709" s="152"/>
      <c r="F709" s="259">
        <f>IF(E642="Injection",F706,0)*VLOOKUP("NAPercent time for useApplication toolbar usage per unit tractor pulling it usageDefault", Econ.inputsTable!$E:$G,2,FALSE)</f>
        <v>0.42481741651130484</v>
      </c>
      <c r="G709" s="255">
        <f>VLOOKUP("CAPEXAnnual usage on activityItems that are used only on the given activityDefault",Econ.inputsTable!$E:$G,2,FALSE)</f>
        <v>1</v>
      </c>
      <c r="H709" s="503">
        <f t="shared" si="31"/>
        <v>5.0999999999999997E-2</v>
      </c>
      <c r="I709" s="236">
        <f>VLOOKUP("CAPEXSalvageEquipmentDefault", Econ.inputsTable!$E:$G,2,FALSE)</f>
        <v>0.2</v>
      </c>
      <c r="J709" s="153">
        <f t="shared" si="32"/>
        <v>16180</v>
      </c>
      <c r="K709" s="257">
        <f>VLOOKUP("CAPEXFinanced amountNADefault", Econ.inputsTable!$E:$G,2,FALSE)</f>
        <v>1</v>
      </c>
      <c r="L709" s="236">
        <f t="shared" si="33"/>
        <v>5.0999999999999997E-2</v>
      </c>
      <c r="M709">
        <f t="shared" si="34"/>
        <v>0.13013423257204779</v>
      </c>
      <c r="N709" s="153">
        <f t="shared" si="35"/>
        <v>9247.4675320629322</v>
      </c>
      <c r="O709" s="157">
        <f t="shared" si="36"/>
        <v>9247.4675320629322</v>
      </c>
    </row>
    <row r="710" spans="1:15" ht="14.4" x14ac:dyDescent="0.3">
      <c r="A710" t="s">
        <v>7046</v>
      </c>
      <c r="B710" s="99" t="s">
        <v>7039</v>
      </c>
      <c r="C710" s="153">
        <f>VLOOKUP(_xlfn.CONCAT("Tractor",E638," hp"), Econ.Tables!$C:$E,2, FALSE)*E640</f>
        <v>490700</v>
      </c>
      <c r="D710" s="79">
        <f>VLOOKUP("CAPEXLifetimeTractor, 4 wheel drive and crawlerDefault",Econ.inputsTable!$E:$H,2,FALSE)/E710</f>
        <v>16</v>
      </c>
      <c r="E710" s="213">
        <f>IF(F710&gt;UDV.tractor.min_usage_yearly,F710,UDV.tractor.min_usage_yearly)</f>
        <v>1000</v>
      </c>
      <c r="F710" s="147">
        <f>IF(E640=0,0,(E658+(E679/E673))/E640)</f>
        <v>0.69263709213799696</v>
      </c>
      <c r="G710" s="236">
        <f t="shared" ref="G710" si="37">F710/E710</f>
        <v>6.9263709213799696E-4</v>
      </c>
      <c r="H710" s="503">
        <f t="shared" si="31"/>
        <v>5.0999999999999997E-2</v>
      </c>
      <c r="I710" s="236">
        <f>VLOOKUP("CAPEXSalvageEquipmentDefault", Econ.inputsTable!$E:$G,2,FALSE)</f>
        <v>0.2</v>
      </c>
      <c r="J710" s="153">
        <f t="shared" si="32"/>
        <v>98140</v>
      </c>
      <c r="K710" s="257">
        <f>VLOOKUP("CAPEXFinanced amountNADefault", Econ.inputsTable!$E:$G,2,FALSE)</f>
        <v>1</v>
      </c>
      <c r="L710" s="236">
        <f t="shared" si="33"/>
        <v>5.0999999999999997E-2</v>
      </c>
      <c r="M710">
        <f t="shared" si="34"/>
        <v>9.2927821836826949E-2</v>
      </c>
      <c r="N710" s="153">
        <f t="shared" si="35"/>
        <v>41484.885740264785</v>
      </c>
      <c r="O710" s="157">
        <f t="shared" si="36"/>
        <v>28.733970626814056</v>
      </c>
    </row>
    <row r="711" spans="1:15" ht="14.4" x14ac:dyDescent="0.3">
      <c r="A711" t="s">
        <v>7046</v>
      </c>
      <c r="B711" s="99" t="s">
        <v>1325</v>
      </c>
      <c r="C711" s="229">
        <f>VLOOKUP("Hose pulleyDefault",Econ.Tables!$C:$E,2,FALSE)*E640</f>
        <v>13200</v>
      </c>
      <c r="D711" s="42">
        <f>VLOOKUP("CAPEXLifetimeEquipmentDefault",Econ.inputsTable!$E:$G,2,FALSE)</f>
        <v>10</v>
      </c>
      <c r="E711" s="152"/>
      <c r="F711" s="259">
        <f>F710</f>
        <v>0.69263709213799696</v>
      </c>
      <c r="G711" s="255">
        <f>VLOOKUP("CAPEXAnnual usage on activityItems that are used only on the given activityDefault",Econ.inputsTable!$E:$G,2,FALSE)</f>
        <v>1</v>
      </c>
      <c r="H711" s="503">
        <f t="shared" si="31"/>
        <v>5.0999999999999997E-2</v>
      </c>
      <c r="I711" s="236">
        <f>VLOOKUP("CAPEXSalvageEquipmentDefault", Econ.inputsTable!$E:$G,2,FALSE)</f>
        <v>0.2</v>
      </c>
      <c r="J711" s="153">
        <f t="shared" si="32"/>
        <v>2640</v>
      </c>
      <c r="K711" s="257">
        <f>VLOOKUP("CAPEXFinanced amountNADefault", Econ.inputsTable!$E:$G,2,FALSE)</f>
        <v>1</v>
      </c>
      <c r="L711" s="236">
        <f t="shared" si="33"/>
        <v>5.0999999999999997E-2</v>
      </c>
      <c r="M711">
        <f t="shared" si="34"/>
        <v>0.13013423257204779</v>
      </c>
      <c r="N711" s="153">
        <f t="shared" si="35"/>
        <v>1508.8574959608245</v>
      </c>
      <c r="O711" s="157">
        <f t="shared" si="36"/>
        <v>1508.8574959608245</v>
      </c>
    </row>
    <row r="712" spans="1:15" ht="14.4" x14ac:dyDescent="0.3">
      <c r="A712" t="s">
        <v>7046</v>
      </c>
      <c r="B712" s="235" t="s">
        <v>3007</v>
      </c>
      <c r="C712" s="260">
        <f>VLOOKUP("Flexible drag hose, 6in 660 ftDefault",Econ.Tables!$C:$E,2,FALSE)*E639</f>
        <v>15200</v>
      </c>
      <c r="D712" s="42">
        <f>VLOOKUP("CAPEXLifetimeDrag hoseDefault",Econ.inputsTable!$E:$G,2,FALSE)</f>
        <v>2.5</v>
      </c>
      <c r="E712" s="152"/>
      <c r="F712" s="259">
        <f>F706</f>
        <v>1.0620435412782621</v>
      </c>
      <c r="G712" s="255">
        <f>VLOOKUP("CAPEXAnnual usage on activityItems that are used only on the given activityDefault",Econ.inputsTable!$E:$G,2,FALSE)</f>
        <v>1</v>
      </c>
      <c r="H712" s="503">
        <f t="shared" si="31"/>
        <v>5.0999999999999997E-2</v>
      </c>
      <c r="I712" s="155">
        <f>VLOOKUP("CAPEXSalvageBuildings and constructionDefault", Econ.inputsTable!$E:$G,2,FALSE)</f>
        <v>0</v>
      </c>
      <c r="J712" s="153">
        <f t="shared" si="32"/>
        <v>0</v>
      </c>
      <c r="K712" s="257">
        <f>VLOOKUP("CAPEXFinanced amountNADefault", Econ.inputsTable!$E:$G,2,FALSE)</f>
        <v>1</v>
      </c>
      <c r="L712" s="236">
        <f t="shared" si="33"/>
        <v>5.0999999999999997E-2</v>
      </c>
      <c r="M712">
        <f t="shared" si="34"/>
        <v>0.43614381549069553</v>
      </c>
      <c r="N712" s="153">
        <f t="shared" si="35"/>
        <v>6629.3859954585723</v>
      </c>
      <c r="O712" s="157">
        <f t="shared" si="36"/>
        <v>6629.3859954585723</v>
      </c>
    </row>
    <row r="713" spans="1:15" ht="14.4" x14ac:dyDescent="0.3">
      <c r="A713" t="s">
        <v>7046</v>
      </c>
      <c r="B713" s="235" t="s">
        <v>3465</v>
      </c>
      <c r="C713" s="260">
        <f>VLOOKUP("Manure piping to fieldDefault",Econ.Tables!$C:$E,2,FALSE)*E696</f>
        <v>95040</v>
      </c>
      <c r="D713" s="42">
        <f>VLOOKUP("CAPEXLifetimeBuildings and constructionDefault",Econ.inputsTable!$E:$G,2,FALSE)</f>
        <v>20</v>
      </c>
      <c r="E713" s="152"/>
      <c r="F713" s="259">
        <f>F706</f>
        <v>1.0620435412782621</v>
      </c>
      <c r="G713" s="255">
        <f>VLOOKUP("CAPEXAnnual usage on activityItems that are used only on the given activityDefault",Econ.inputsTable!$E:$G,2,FALSE)</f>
        <v>1</v>
      </c>
      <c r="H713" s="503">
        <f t="shared" si="31"/>
        <v>5.0999999999999997E-2</v>
      </c>
      <c r="I713" s="155">
        <f>VLOOKUP("CAPEXSalvageBuildings and constructionDefault", Econ.inputsTable!$E:$G,2,FALSE)</f>
        <v>0</v>
      </c>
      <c r="J713" s="153">
        <f t="shared" si="32"/>
        <v>0</v>
      </c>
      <c r="K713" s="257">
        <f>VLOOKUP("CAPEXFinanced amountNADefault", Econ.inputsTable!$E:$G,2,FALSE)</f>
        <v>1</v>
      </c>
      <c r="L713" s="236">
        <f t="shared" si="33"/>
        <v>5.0999999999999997E-2</v>
      </c>
      <c r="M713">
        <f t="shared" si="34"/>
        <v>8.0924368970045152E-2</v>
      </c>
      <c r="N713" s="153">
        <f t="shared" si="35"/>
        <v>7691.0520269130911</v>
      </c>
      <c r="O713" s="157">
        <f t="shared" si="36"/>
        <v>7691.0520269130911</v>
      </c>
    </row>
    <row r="714" spans="1:15" ht="14.4" x14ac:dyDescent="0.3">
      <c r="A714" t="s">
        <v>7046</v>
      </c>
      <c r="B714" s="235" t="s">
        <v>349</v>
      </c>
      <c r="C714" s="153">
        <f>IF(E680&gt;0,VLOOKUP("Pick up truckDefault",Econ.Tables!$C:$E,2,FALSE),0)</f>
        <v>58700</v>
      </c>
      <c r="D714" s="42">
        <f>VLOOKUP("CAPEXLifetimeTruck, pickupDefault",Econ.inputsTable!$E:$G,2,FALSE)</f>
        <v>8</v>
      </c>
      <c r="E714" s="42">
        <f>VLOOKUP("CAPEXAnnual usage on farmTruck, pickupDefault",Econ.inputsTable!$E:$G,2,FALSE)</f>
        <v>250</v>
      </c>
      <c r="F714" s="259">
        <f>(E659+(E680/E673))</f>
        <v>0.13852741842759941</v>
      </c>
      <c r="G714" s="258">
        <f>F714/E714</f>
        <v>5.5410967371039769E-4</v>
      </c>
      <c r="H714" s="503">
        <f t="shared" si="31"/>
        <v>5.0999999999999997E-2</v>
      </c>
      <c r="I714" s="155">
        <f>VLOOKUP("CAPEXSalvageEquipmentDefault", Econ.inputsTable!$E:$G,2,FALSE)</f>
        <v>0.2</v>
      </c>
      <c r="J714" s="153">
        <f t="shared" si="32"/>
        <v>11740</v>
      </c>
      <c r="K714" s="257">
        <f>VLOOKUP("CAPEXFinanced amountNADefault", Econ.inputsTable!$E:$G,2,FALSE)</f>
        <v>1</v>
      </c>
      <c r="L714" s="236">
        <f t="shared" si="33"/>
        <v>5.0999999999999997E-2</v>
      </c>
      <c r="M714">
        <f t="shared" si="34"/>
        <v>0.1553478599468672</v>
      </c>
      <c r="N714" s="153">
        <f t="shared" si="35"/>
        <v>7893.8755031048831</v>
      </c>
      <c r="O714" s="157">
        <f t="shared" si="36"/>
        <v>4.3740727793359486</v>
      </c>
    </row>
    <row r="715" spans="1:15" ht="14.4" x14ac:dyDescent="0.3">
      <c r="B715" s="99"/>
      <c r="C715" s="152"/>
      <c r="D715" s="82"/>
      <c r="E715" s="82"/>
      <c r="F715" s="82"/>
      <c r="G715" s="82"/>
      <c r="H715" s="82"/>
      <c r="I715" s="82"/>
      <c r="J715" s="152"/>
      <c r="K715" s="152"/>
      <c r="L715" s="152"/>
      <c r="M715" s="152"/>
      <c r="N715" s="82"/>
      <c r="O715" s="173"/>
    </row>
    <row r="716" spans="1:15" ht="14.4" x14ac:dyDescent="0.3">
      <c r="B716" s="99"/>
      <c r="C716" s="82" t="s">
        <v>7009</v>
      </c>
      <c r="D716" s="82" t="s">
        <v>6963</v>
      </c>
      <c r="E716"/>
      <c r="F716"/>
      <c r="G716"/>
      <c r="H716"/>
      <c r="K716"/>
      <c r="L716"/>
      <c r="O716" s="146"/>
    </row>
    <row r="717" spans="1:15" ht="14.4" x14ac:dyDescent="0.3">
      <c r="A717" t="s">
        <v>5205</v>
      </c>
      <c r="B717" s="99" t="s">
        <v>6964</v>
      </c>
      <c r="C717" s="153">
        <f>SUM(C702:C714)</f>
        <v>2112693.2291608164</v>
      </c>
      <c r="D717" s="318">
        <f>SUMPRODUCT(C702:C714,G702:G714)</f>
        <v>926942.5789729862</v>
      </c>
      <c r="E717"/>
      <c r="F717"/>
      <c r="G717"/>
      <c r="H717"/>
      <c r="K717"/>
      <c r="L717"/>
      <c r="O717" s="146"/>
    </row>
    <row r="718" spans="1:15" ht="14.4" x14ac:dyDescent="0.3">
      <c r="A718" t="s">
        <v>5205</v>
      </c>
      <c r="B718" s="149" t="s">
        <v>6965</v>
      </c>
      <c r="C718" s="159">
        <f>SUM(N702:N714)</f>
        <v>192985.24097510631</v>
      </c>
      <c r="D718" s="319">
        <f>SUMPRODUCT(N702:N714,G702:G714)</f>
        <v>89809.583453902582</v>
      </c>
      <c r="E718" s="150"/>
      <c r="F718" s="150"/>
      <c r="G718" s="261"/>
      <c r="H718" s="150"/>
      <c r="I718" s="150"/>
      <c r="J718" s="150"/>
      <c r="K718" s="150"/>
      <c r="L718" s="150"/>
      <c r="M718" s="150"/>
      <c r="N718" s="150"/>
      <c r="O718" s="151"/>
    </row>
    <row r="719" spans="1:15" ht="14.4" x14ac:dyDescent="0.3">
      <c r="B719" s="262"/>
      <c r="C719" s="142"/>
      <c r="D719" s="142"/>
      <c r="E719" s="142"/>
      <c r="F719" s="142"/>
      <c r="G719" s="142"/>
      <c r="H719" s="142"/>
      <c r="I719" s="142"/>
      <c r="J719" s="142"/>
      <c r="K719" s="142"/>
      <c r="L719" s="142"/>
      <c r="M719" s="142"/>
      <c r="N719" s="142"/>
      <c r="O719" s="141"/>
    </row>
    <row r="720" spans="1:15" ht="28.8" x14ac:dyDescent="0.3">
      <c r="B720" s="160" t="s">
        <v>6966</v>
      </c>
      <c r="C720" s="152" t="s">
        <v>6967</v>
      </c>
      <c r="D720" s="152" t="s">
        <v>6968</v>
      </c>
      <c r="E720" s="152" t="s">
        <v>6969</v>
      </c>
      <c r="F720" s="152" t="s">
        <v>6970</v>
      </c>
      <c r="G720" s="152" t="s">
        <v>6971</v>
      </c>
      <c r="H720" s="152" t="s">
        <v>6972</v>
      </c>
      <c r="I720" s="152" t="s">
        <v>6973</v>
      </c>
      <c r="J720" s="152" t="s">
        <v>6974</v>
      </c>
      <c r="K720" s="152" t="s">
        <v>6975</v>
      </c>
      <c r="L720" s="152" t="s">
        <v>6976</v>
      </c>
      <c r="M720" s="152" t="s">
        <v>6977</v>
      </c>
      <c r="N720" s="152" t="s">
        <v>6978</v>
      </c>
      <c r="O720" s="161" t="s">
        <v>6979</v>
      </c>
    </row>
    <row r="721" spans="1:25" ht="14.4" x14ac:dyDescent="0.3">
      <c r="B721" s="99" t="s">
        <v>2808</v>
      </c>
      <c r="C721" s="236">
        <f>VLOOKUP("OPEXInsuranceEverythingDefault",Econ.inputsTable!$E:$K,2,FALSE)</f>
        <v>5.0000000000000001E-3</v>
      </c>
      <c r="D721" s="257">
        <f>VLOOKUP("OPEXRepair and maintenanceEquipmentDefault",Econ.inputsTable!$E:$K,2,FALSE)</f>
        <v>0.03</v>
      </c>
      <c r="E721"/>
      <c r="F721" s="2129">
        <f>E647</f>
        <v>934.64729834049092</v>
      </c>
      <c r="G721" s="365">
        <f>F721*E694</f>
        <v>64.109015938671504</v>
      </c>
      <c r="H721"/>
      <c r="I721" s="365"/>
      <c r="J721" s="365"/>
      <c r="K721" s="147">
        <f>E648</f>
        <v>8.1379895937397162</v>
      </c>
      <c r="L721" s="156">
        <f>K721*E698</f>
        <v>192.54483378788169</v>
      </c>
      <c r="O721" s="167">
        <f t="shared" ref="O721" si="38">(SUM(C721:D721)*C702*G702)+SUM(E721,G721,I721,J721,L721,N721)</f>
        <v>2176.5168703551317</v>
      </c>
      <c r="R721"/>
      <c r="W721"/>
      <c r="Y721"/>
    </row>
    <row r="722" spans="1:25" ht="14.4" x14ac:dyDescent="0.3">
      <c r="B722" s="99" t="s">
        <v>3003</v>
      </c>
      <c r="C722" s="263">
        <f>VLOOKUP("OPEXInsuranceEverythingDefault", Econ.inputsTable!$E:$G,2,FALSE)</f>
        <v>5.0000000000000001E-3</v>
      </c>
      <c r="D722" s="237">
        <f>VLOOKUP("OPEXRepair and maintenanceEquipmentDefault",Econ.inputsTable!$E:$G,2,FALSE)</f>
        <v>0.03</v>
      </c>
      <c r="E722"/>
      <c r="F722"/>
      <c r="G722"/>
      <c r="H722" s="147">
        <f>(E660+(E681/E673))*E635</f>
        <v>16.623290211311932</v>
      </c>
      <c r="I722" s="259">
        <f>H722*E695</f>
        <v>61.447835442621994</v>
      </c>
      <c r="J722" s="259">
        <f>I722*VLOOKUP("OPEXLubeLubeDefault",Econ.inputsTable!$E:$G,2,FALSE)</f>
        <v>6.1447835442622001</v>
      </c>
      <c r="K722"/>
      <c r="L722" s="233"/>
      <c r="O722" s="264">
        <f t="shared" ref="O722:O733" si="39">(SUM(C722:D722)*C703*G703)+SUM(E722,G722,I722,J722,L722,N722)</f>
        <v>10336.592618986882</v>
      </c>
    </row>
    <row r="723" spans="1:25" ht="14.4" x14ac:dyDescent="0.3">
      <c r="B723" s="99" t="s">
        <v>3005</v>
      </c>
      <c r="C723" s="263">
        <f>VLOOKUP("OPEXInsuranceEverythingDefault", Econ.inputsTable!$E:$G,2,FALSE)</f>
        <v>5.0000000000000001E-3</v>
      </c>
      <c r="D723" s="237">
        <f>VLOOKUP("OPEXRepair and maintenanceEquipmentDefault",Econ.inputsTable!$E:$G,2,FALSE)</f>
        <v>0.03</v>
      </c>
      <c r="E723"/>
      <c r="F723"/>
      <c r="G723"/>
      <c r="H723" s="147">
        <f>(E661+(E682/E673))*E697</f>
        <v>6.9263709213799709</v>
      </c>
      <c r="I723" s="259">
        <f>H723*E695</f>
        <v>25.60326476775916</v>
      </c>
      <c r="J723" s="259">
        <f>I723*VLOOKUP("OPEXLubeLubeDefault",Econ.inputsTable!$E:$G,2,FALSE)</f>
        <v>2.5603264767759164</v>
      </c>
      <c r="K723"/>
      <c r="L723" s="233"/>
      <c r="O723" s="264">
        <f t="shared" si="39"/>
        <v>6933.6635912445345</v>
      </c>
    </row>
    <row r="724" spans="1:25" ht="14.4" x14ac:dyDescent="0.3">
      <c r="B724" s="99" t="s">
        <v>7047</v>
      </c>
      <c r="C724" s="263">
        <f>VLOOKUP("OPEXInsuranceEverythingDefault", Econ.inputsTable!$E:$G,2,FALSE)</f>
        <v>5.0000000000000001E-3</v>
      </c>
      <c r="D724" s="237">
        <f>VLOOKUP("OPEXRepair and maintenanceEquipmentDefault",Econ.inputsTable!$E:$G,2,FALSE)</f>
        <v>0.03</v>
      </c>
      <c r="E724"/>
      <c r="F724"/>
      <c r="G724"/>
      <c r="H724" s="147">
        <f>(E662+(E683/E673))*E636</f>
        <v>5.5410967371039757</v>
      </c>
      <c r="I724" s="259">
        <f>H724*E695</f>
        <v>20.482611814207324</v>
      </c>
      <c r="J724" s="259">
        <f>I724*VLOOKUP("OPEXLubeLubeDefault",Econ.inputsTable!$E:$G,2,FALSE)</f>
        <v>2.0482611814207323</v>
      </c>
      <c r="K724"/>
      <c r="L724" s="233"/>
      <c r="O724" s="264">
        <f t="shared" si="39"/>
        <v>4625.0308729956269</v>
      </c>
    </row>
    <row r="725" spans="1:25" ht="14.4" x14ac:dyDescent="0.3">
      <c r="B725" s="99" t="s">
        <v>7037</v>
      </c>
      <c r="C725" s="263">
        <f>VLOOKUP("OPEXInsuranceEverythingDefault", Econ.inputsTable!$E:$G,2,FALSE)</f>
        <v>5.0000000000000001E-3</v>
      </c>
      <c r="D725" s="237">
        <f>VLOOKUP("OPEXRepair and maintenanceEquipmentDefault",Econ.inputsTable!$E:$G,2,FALSE)</f>
        <v>0.03</v>
      </c>
      <c r="E725"/>
      <c r="F725"/>
      <c r="G725"/>
      <c r="H725" s="147">
        <f>(E663+(E684/E673))</f>
        <v>27.103351173421245</v>
      </c>
      <c r="I725" s="259">
        <f>H725*E695</f>
        <v>100.18728192055943</v>
      </c>
      <c r="J725" s="259">
        <f>I725*VLOOKUP("OPEXLubeLubeDefault",Econ.inputsTable!$E:$G,2,FALSE)</f>
        <v>10.018728192055944</v>
      </c>
      <c r="K725" s="147">
        <f>(E657*VLOOKUP("OPEXLaborTractorDefault",Econ.inputsTable!$E:$G,2,FALSE))+(E678/E673*VLOOKUP("OPEXLaborTractorDefault",Econ.inputsTable!$E:$G,2,FALSE))</f>
        <v>1.1682478954060884</v>
      </c>
      <c r="L725" s="233">
        <f>K725*E698</f>
        <v>27.64074520530805</v>
      </c>
      <c r="O725" s="264">
        <f t="shared" si="39"/>
        <v>161.53988468030016</v>
      </c>
    </row>
    <row r="726" spans="1:25" ht="14.4" x14ac:dyDescent="0.3">
      <c r="B726" s="99" t="s">
        <v>7048</v>
      </c>
      <c r="C726" s="263">
        <f>VLOOKUP("OPEXInsuranceEverythingDefault", Econ.inputsTable!$E:$G,2,FALSE)</f>
        <v>5.0000000000000001E-3</v>
      </c>
      <c r="D726" s="237">
        <f>VLOOKUP("OPEXRepair and maintenanceEquipmentDefault",Econ.inputsTable!$E:$G,2,FALSE)</f>
        <v>0.03</v>
      </c>
      <c r="E726"/>
      <c r="F726"/>
      <c r="G726"/>
      <c r="H726" s="147"/>
      <c r="I726" s="369"/>
      <c r="J726" s="369"/>
      <c r="K726" s="205"/>
      <c r="L726" s="233"/>
      <c r="O726" s="264">
        <f t="shared" si="39"/>
        <v>1557.4999999999998</v>
      </c>
    </row>
    <row r="727" spans="1:25" ht="14.4" x14ac:dyDescent="0.3">
      <c r="B727" s="99" t="s">
        <v>7007</v>
      </c>
      <c r="C727" s="263">
        <f>VLOOKUP("OPEXInsuranceEverythingDefault", Econ.inputsTable!$E:$G,2,FALSE)</f>
        <v>5.0000000000000001E-3</v>
      </c>
      <c r="D727" s="237">
        <f>VLOOKUP("OPEXRepair and maintenanceEquipmentDefault",Econ.inputsTable!$E:$G,2,FALSE)</f>
        <v>0.03</v>
      </c>
      <c r="E727"/>
      <c r="F727"/>
      <c r="G727"/>
      <c r="H727" s="147"/>
      <c r="I727" s="369"/>
      <c r="J727" s="369"/>
      <c r="K727" s="205"/>
      <c r="L727" s="233"/>
      <c r="O727" s="264">
        <f t="shared" si="39"/>
        <v>0</v>
      </c>
    </row>
    <row r="728" spans="1:25" ht="14.4" x14ac:dyDescent="0.3">
      <c r="B728" s="99" t="s">
        <v>7008</v>
      </c>
      <c r="C728" s="263">
        <f>VLOOKUP("OPEXInsuranceEverythingDefault", Econ.inputsTable!$E:$G,2,FALSE)</f>
        <v>5.0000000000000001E-3</v>
      </c>
      <c r="D728" s="237">
        <f>VLOOKUP("OPEXRepair and maintenanceEquipmentDefault",Econ.inputsTable!$E:$G,2,FALSE)</f>
        <v>0.03</v>
      </c>
      <c r="E728"/>
      <c r="F728"/>
      <c r="G728"/>
      <c r="H728" s="147"/>
      <c r="I728" s="369"/>
      <c r="J728" s="369"/>
      <c r="K728" s="205"/>
      <c r="L728" s="233"/>
      <c r="O728" s="264">
        <f t="shared" si="39"/>
        <v>2831.4999999999995</v>
      </c>
    </row>
    <row r="729" spans="1:25" ht="14.4" x14ac:dyDescent="0.3">
      <c r="B729" s="99" t="s">
        <v>7039</v>
      </c>
      <c r="C729" s="263">
        <f>VLOOKUP("OPEXInsuranceEverythingDefault", Econ.inputsTable!$E:$G,2,FALSE)</f>
        <v>5.0000000000000001E-3</v>
      </c>
      <c r="D729" s="237">
        <f>VLOOKUP("OPEXRepair and maintenanceEquipmentDefault",Econ.inputsTable!$E:$G,2,FALSE)</f>
        <v>0.03</v>
      </c>
      <c r="E729"/>
      <c r="F729"/>
      <c r="G729"/>
      <c r="H729" s="147">
        <f>(E664+(E685/E673))</f>
        <v>10.361850898384434</v>
      </c>
      <c r="I729" s="259">
        <f>H729*E695</f>
        <v>38.302484092567695</v>
      </c>
      <c r="J729" s="259">
        <f>I729*VLOOKUP("OPEXLubeLubeDefault",Econ.inputsTable!$E:$G,2,FALSE)</f>
        <v>3.8302484092567699</v>
      </c>
      <c r="K729" s="205">
        <f>(E658*VLOOKUP("OPEXLaborTractorDefault",Econ.inputsTable!$E:$G,2,FALSE))+(E679/E673*VLOOKUP("OPEXLaborTractorDefault",Econ.inputsTable!$E:$G,2,FALSE))</f>
        <v>0.76190080135179672</v>
      </c>
      <c r="L729" s="233">
        <f>K729*E698</f>
        <v>18.026572959983511</v>
      </c>
      <c r="O729" s="264">
        <f t="shared" si="39"/>
        <v>72.055001200732008</v>
      </c>
    </row>
    <row r="730" spans="1:25" ht="14.4" x14ac:dyDescent="0.3">
      <c r="B730" s="99" t="s">
        <v>1325</v>
      </c>
      <c r="C730" s="263">
        <f>VLOOKUP("OPEXInsuranceEverythingDefault", Econ.inputsTable!$E:$G,2,FALSE)</f>
        <v>5.0000000000000001E-3</v>
      </c>
      <c r="D730" s="237">
        <f>VLOOKUP("OPEXRepair and maintenanceEquipmentDefault",Econ.inputsTable!$E:$G,2,FALSE)</f>
        <v>0.03</v>
      </c>
      <c r="E730"/>
      <c r="F730"/>
      <c r="G730"/>
      <c r="H730" s="147"/>
      <c r="I730" s="259"/>
      <c r="J730" s="259"/>
      <c r="K730" s="205"/>
      <c r="L730" s="233"/>
      <c r="O730" s="264">
        <f t="shared" si="39"/>
        <v>461.99999999999994</v>
      </c>
    </row>
    <row r="731" spans="1:25" ht="14.4" x14ac:dyDescent="0.3">
      <c r="B731" s="99" t="s">
        <v>3007</v>
      </c>
      <c r="C731" s="263">
        <f>VLOOKUP("OPEXInsuranceEverythingDefault", Econ.inputsTable!$E:$G,2,FALSE)</f>
        <v>5.0000000000000001E-3</v>
      </c>
      <c r="D731" s="237">
        <f>VLOOKUP("OPEXRepair and maintenanceEquipmentDefault",Econ.inputsTable!$E:$G,2,FALSE)</f>
        <v>0.03</v>
      </c>
      <c r="E731"/>
      <c r="F731"/>
      <c r="G731"/>
      <c r="H731" s="147"/>
      <c r="I731" s="259"/>
      <c r="J731" s="259"/>
      <c r="K731" s="205"/>
      <c r="L731" s="233"/>
      <c r="O731" s="264">
        <f t="shared" si="39"/>
        <v>532</v>
      </c>
    </row>
    <row r="732" spans="1:25" ht="14.4" x14ac:dyDescent="0.3">
      <c r="B732" s="235" t="s">
        <v>3465</v>
      </c>
      <c r="C732" s="263">
        <f>VLOOKUP("OPEXInsuranceEverythingDefault", Econ.inputsTable!$E:$G,2,FALSE)</f>
        <v>5.0000000000000001E-3</v>
      </c>
      <c r="D732" s="237">
        <f>VLOOKUP("OPEXRepair and maintenanceBuildings and constructionDefault",Econ.inputsTable!$E:$G,2,FALSE)</f>
        <v>0.01</v>
      </c>
      <c r="E732"/>
      <c r="F732"/>
      <c r="G732"/>
      <c r="H732" s="147"/>
      <c r="I732" s="259"/>
      <c r="J732" s="259"/>
      <c r="K732" s="205"/>
      <c r="L732" s="233"/>
      <c r="O732" s="264">
        <f t="shared" si="39"/>
        <v>1425.6</v>
      </c>
    </row>
    <row r="733" spans="1:25" ht="14.4" x14ac:dyDescent="0.3">
      <c r="B733" s="99" t="s">
        <v>349</v>
      </c>
      <c r="C733" s="263">
        <f>VLOOKUP("OPEXInsuranceEverythingDefault", Econ.inputsTable!$E:$G,2,FALSE)</f>
        <v>5.0000000000000001E-3</v>
      </c>
      <c r="D733" s="237">
        <f>VLOOKUP("OPEXRepair and maintenanceEquipmentDefault",Econ.inputsTable!$E:$G,2,FALSE)</f>
        <v>0.03</v>
      </c>
      <c r="E733"/>
      <c r="F733"/>
      <c r="G733"/>
      <c r="H733" s="147">
        <f>(E665+(E686/E673))</f>
        <v>0.83116451056559648</v>
      </c>
      <c r="I733" s="259">
        <f>H733*E695</f>
        <v>3.0723917721310992</v>
      </c>
      <c r="J733" s="259">
        <f>I733*VLOOKUP("OPEXLubeLubeDefault",Econ.inputsTable!$E:$G,2,FALSE)</f>
        <v>0.30723917721310995</v>
      </c>
      <c r="K733" s="205">
        <f>(E659*VLOOKUP("OPEXLaborTractorDefault",Econ.inputsTable!$E:$G,2,FALSE))+(E680/E673*VLOOKUP("OPEXLaborTractorDefault",Econ.inputsTable!$E:$G,2,FALSE))</f>
        <v>0.15238016027035936</v>
      </c>
      <c r="L733" s="233">
        <f>K733*E698</f>
        <v>3.6053145919967027</v>
      </c>
      <c r="O733" s="264">
        <f t="shared" si="39"/>
        <v>8.1233638659789236</v>
      </c>
    </row>
    <row r="734" spans="1:25" ht="14.4" x14ac:dyDescent="0.3">
      <c r="A734" t="s">
        <v>5205</v>
      </c>
      <c r="B734" s="162" t="s">
        <v>5203</v>
      </c>
      <c r="C734" s="241"/>
      <c r="D734" s="241"/>
      <c r="E734" s="242">
        <f t="shared" ref="E734:O734" si="40">SUM(E721:E733)</f>
        <v>0</v>
      </c>
      <c r="F734" s="286">
        <f t="shared" si="40"/>
        <v>934.64729834049092</v>
      </c>
      <c r="G734" s="242">
        <f t="shared" si="40"/>
        <v>64.109015938671504</v>
      </c>
      <c r="H734" s="286">
        <f t="shared" si="40"/>
        <v>67.387124452167157</v>
      </c>
      <c r="I734" s="242">
        <f t="shared" si="40"/>
        <v>249.09586980984673</v>
      </c>
      <c r="J734" s="242">
        <f t="shared" si="40"/>
        <v>24.909586980984674</v>
      </c>
      <c r="K734" s="402">
        <f t="shared" si="40"/>
        <v>10.22051845076796</v>
      </c>
      <c r="L734" s="242">
        <f t="shared" si="40"/>
        <v>241.81746654516996</v>
      </c>
      <c r="M734" s="374">
        <f t="shared" si="40"/>
        <v>0</v>
      </c>
      <c r="N734" s="242">
        <f t="shared" si="40"/>
        <v>0</v>
      </c>
      <c r="O734" s="169">
        <f t="shared" si="40"/>
        <v>31122.122203329189</v>
      </c>
    </row>
    <row r="735" spans="1:25" ht="14.4" x14ac:dyDescent="0.3">
      <c r="B735" s="99"/>
      <c r="D735"/>
      <c r="E735"/>
      <c r="F735"/>
      <c r="G735"/>
      <c r="H735"/>
      <c r="K735"/>
      <c r="L735"/>
      <c r="O735" s="146"/>
    </row>
    <row r="736" spans="1:25" ht="14.4" x14ac:dyDescent="0.3">
      <c r="A736" t="s">
        <v>5205</v>
      </c>
      <c r="B736" s="149" t="s">
        <v>6980</v>
      </c>
      <c r="C736" s="159">
        <f>O734</f>
        <v>31122.122203329189</v>
      </c>
      <c r="D736" s="150" t="s">
        <v>5181</v>
      </c>
      <c r="E736" s="150"/>
      <c r="F736" s="150"/>
      <c r="G736" s="150"/>
      <c r="H736" s="150"/>
      <c r="I736" s="150"/>
      <c r="J736" s="150"/>
      <c r="K736" s="150"/>
      <c r="L736" s="150"/>
      <c r="M736" s="150"/>
      <c r="N736" s="150"/>
      <c r="O736" s="151"/>
    </row>
    <row r="737" spans="1:12" ht="14.4" x14ac:dyDescent="0.3">
      <c r="D737"/>
      <c r="E737"/>
      <c r="F737"/>
      <c r="G737"/>
      <c r="H737"/>
      <c r="K737"/>
      <c r="L737"/>
    </row>
    <row r="738" spans="1:12" ht="14.4" x14ac:dyDescent="0.3">
      <c r="B738" s="384" t="s">
        <v>7123</v>
      </c>
      <c r="C738" s="3057" t="s">
        <v>6402</v>
      </c>
      <c r="D738" s="3058"/>
      <c r="E738" s="3059" t="s">
        <v>6417</v>
      </c>
      <c r="F738" s="3058"/>
      <c r="G738"/>
      <c r="H738"/>
      <c r="K738"/>
      <c r="L738"/>
    </row>
    <row r="739" spans="1:12" ht="14.4" x14ac:dyDescent="0.3">
      <c r="B739" s="385" t="s">
        <v>7012</v>
      </c>
      <c r="C739" s="139" t="s">
        <v>7124</v>
      </c>
      <c r="D739" s="245" t="s">
        <v>7125</v>
      </c>
      <c r="E739" s="139" t="s">
        <v>7124</v>
      </c>
      <c r="F739" s="245" t="s">
        <v>7125</v>
      </c>
      <c r="G739"/>
      <c r="H739"/>
      <c r="K739"/>
      <c r="L739"/>
    </row>
    <row r="740" spans="1:12" ht="14.4" x14ac:dyDescent="0.3">
      <c r="A740" t="s">
        <v>5205</v>
      </c>
      <c r="B740" s="386" t="s">
        <v>7013</v>
      </c>
      <c r="C740" s="387">
        <f xml:space="preserve"> VLOOKUP("Fertilizer value for on-farm use, liquids",$R$1:$T$332,3, FALSE)</f>
        <v>5222.6567480257117</v>
      </c>
      <c r="D740" s="388">
        <f>VLOOKUP("Fertilizer value for on-farm use, liquids",$R$1:$T$332,3, FALSE)</f>
        <v>5222.6567480257117</v>
      </c>
      <c r="E740" s="387">
        <v>0</v>
      </c>
      <c r="F740" s="389">
        <f>VLOOKUP("Fertilizer value for on-farm use, sludge",$R$1:$T$332,3, FALSE)</f>
        <v>12065.004660363613</v>
      </c>
      <c r="G740"/>
      <c r="H740"/>
      <c r="K740"/>
      <c r="L740"/>
    </row>
    <row r="741" spans="1:12" ht="14.4" x14ac:dyDescent="0.3">
      <c r="A741" t="s">
        <v>5205</v>
      </c>
      <c r="B741" s="386" t="s">
        <v>7126</v>
      </c>
      <c r="C741" s="390">
        <f>C740</f>
        <v>5222.6567480257117</v>
      </c>
      <c r="D741" s="391"/>
      <c r="E741" s="390">
        <f>(F740/UDV.anaer_lagoon.sludge_time)</f>
        <v>1206.5004660363613</v>
      </c>
      <c r="F741" s="391"/>
      <c r="G741"/>
      <c r="H741"/>
      <c r="K741"/>
      <c r="L741"/>
    </row>
    <row r="742" spans="1:12" ht="14.4" x14ac:dyDescent="0.3">
      <c r="A742" t="s">
        <v>5205</v>
      </c>
      <c r="B742" s="386" t="s">
        <v>7014</v>
      </c>
      <c r="C742" s="393">
        <f>SUM(C741,E741)</f>
        <v>6429.1572140620729</v>
      </c>
      <c r="D742" s="146"/>
      <c r="E742" s="99"/>
      <c r="F742" s="146"/>
      <c r="G742"/>
      <c r="H742"/>
      <c r="K742"/>
      <c r="L742"/>
    </row>
    <row r="743" spans="1:12" ht="13.5" customHeight="1" x14ac:dyDescent="0.3">
      <c r="D743" s="146"/>
      <c r="E743" s="99"/>
      <c r="F743" s="146"/>
    </row>
    <row r="744" spans="1:12" ht="14.4" x14ac:dyDescent="0.3">
      <c r="B744" s="394" t="s">
        <v>7015</v>
      </c>
      <c r="C744" s="139" t="s">
        <v>7124</v>
      </c>
      <c r="D744" s="245" t="s">
        <v>7125</v>
      </c>
      <c r="E744" s="139" t="s">
        <v>7124</v>
      </c>
      <c r="F744" s="245" t="s">
        <v>7125</v>
      </c>
    </row>
    <row r="745" spans="1:12" ht="14.4" x14ac:dyDescent="0.3">
      <c r="A745" t="s">
        <v>5205</v>
      </c>
      <c r="B745" s="386" t="s">
        <v>7016</v>
      </c>
      <c r="C745" s="387">
        <f>UDV.econ_manure.liquid_sell_price*C624</f>
        <v>0</v>
      </c>
      <c r="D745" s="389">
        <f>UDV.econ_manure.liquid_sell_price*C624</f>
        <v>0</v>
      </c>
      <c r="E745" s="387">
        <v>0</v>
      </c>
      <c r="F745" s="389">
        <f>UDV.econ_manure.sludge_sell_price*C627</f>
        <v>0</v>
      </c>
    </row>
    <row r="746" spans="1:12" ht="14.4" x14ac:dyDescent="0.3">
      <c r="A746" t="s">
        <v>5205</v>
      </c>
      <c r="B746" s="386" t="s">
        <v>7127</v>
      </c>
      <c r="C746" s="390">
        <f>C745</f>
        <v>0</v>
      </c>
      <c r="D746" s="391"/>
      <c r="E746" s="390">
        <f>(F745/UDV.anaer_lagoon.sludge_time)</f>
        <v>0</v>
      </c>
      <c r="F746" s="391"/>
    </row>
    <row r="747" spans="1:12" ht="14.4" x14ac:dyDescent="0.3">
      <c r="A747" t="s">
        <v>5205</v>
      </c>
      <c r="B747" s="386" t="s">
        <v>7017</v>
      </c>
      <c r="C747" s="393">
        <f>SUM(C746,E746)</f>
        <v>0</v>
      </c>
      <c r="D747" s="146"/>
      <c r="E747" s="99"/>
      <c r="F747" s="146"/>
    </row>
    <row r="748" spans="1:12" ht="14.4" x14ac:dyDescent="0.3">
      <c r="B748" s="386"/>
      <c r="C748" s="166"/>
      <c r="D748" s="146"/>
      <c r="E748" s="395"/>
      <c r="F748" s="396"/>
    </row>
    <row r="749" spans="1:12" ht="14.4" x14ac:dyDescent="0.3">
      <c r="B749" s="397" t="s">
        <v>7018</v>
      </c>
      <c r="C749" s="139" t="s">
        <v>7124</v>
      </c>
      <c r="D749" s="245" t="s">
        <v>7125</v>
      </c>
      <c r="E749" s="139" t="s">
        <v>7124</v>
      </c>
      <c r="F749" s="245" t="s">
        <v>7125</v>
      </c>
    </row>
    <row r="750" spans="1:12" ht="14.4" x14ac:dyDescent="0.3">
      <c r="A750" t="s">
        <v>5205</v>
      </c>
      <c r="B750" s="386" t="s">
        <v>7019</v>
      </c>
      <c r="C750" s="387">
        <f>UDV.econ_manure.liquid_sell_price*C625</f>
        <v>0</v>
      </c>
      <c r="D750" s="389">
        <f>UDV.econ_manure.liquid_sell_price*C625</f>
        <v>0</v>
      </c>
      <c r="E750" s="387"/>
      <c r="F750" s="389">
        <f>UDV.econ_manure.sludge_sell_price*C628</f>
        <v>2119.9463257990874</v>
      </c>
    </row>
    <row r="751" spans="1:12" ht="14.4" x14ac:dyDescent="0.3">
      <c r="A751" t="s">
        <v>5205</v>
      </c>
      <c r="B751" s="386" t="s">
        <v>7128</v>
      </c>
      <c r="C751" s="390">
        <f>C750</f>
        <v>0</v>
      </c>
      <c r="D751" s="391"/>
      <c r="E751" s="390">
        <f>(F750/UDV.anaer_lagoon.sludge_time)</f>
        <v>211.99463257990874</v>
      </c>
      <c r="F751" s="391"/>
    </row>
    <row r="752" spans="1:12" ht="14.4" x14ac:dyDescent="0.3">
      <c r="A752" t="s">
        <v>5205</v>
      </c>
      <c r="B752" s="386" t="s">
        <v>7020</v>
      </c>
      <c r="C752" s="393">
        <f>SUM(C751,E751)</f>
        <v>211.99463257990874</v>
      </c>
      <c r="D752" s="146"/>
      <c r="E752" s="99"/>
      <c r="F752" s="146"/>
    </row>
    <row r="753" spans="1:23" ht="14.4" x14ac:dyDescent="0.3">
      <c r="B753" s="386"/>
      <c r="D753" s="146"/>
      <c r="E753" s="99"/>
      <c r="F753" s="146"/>
    </row>
    <row r="754" spans="1:23" ht="14.4" x14ac:dyDescent="0.3">
      <c r="B754" s="398" t="s">
        <v>7021</v>
      </c>
      <c r="C754" s="139" t="s">
        <v>7124</v>
      </c>
      <c r="D754" s="245" t="s">
        <v>7125</v>
      </c>
      <c r="E754" s="139" t="s">
        <v>7124</v>
      </c>
      <c r="F754" s="245" t="s">
        <v>7125</v>
      </c>
    </row>
    <row r="755" spans="1:23" ht="14.4" x14ac:dyDescent="0.3">
      <c r="A755" t="s">
        <v>5205</v>
      </c>
      <c r="B755" s="386" t="s">
        <v>7022</v>
      </c>
      <c r="C755" s="387">
        <f>UDV.econ_manure.liquid_export_cost*C626</f>
        <v>0</v>
      </c>
      <c r="D755" s="389">
        <f>UDV.econ_manure.liquid_export_cost*C626</f>
        <v>0</v>
      </c>
      <c r="E755" s="387"/>
      <c r="F755" s="389">
        <f>UDV.econ_manure.sludge_export_cost*C629</f>
        <v>0</v>
      </c>
    </row>
    <row r="756" spans="1:23" ht="14.4" x14ac:dyDescent="0.3">
      <c r="A756" t="s">
        <v>5205</v>
      </c>
      <c r="B756" s="386" t="s">
        <v>7129</v>
      </c>
      <c r="C756" s="390">
        <f>C755</f>
        <v>0</v>
      </c>
      <c r="D756" s="391"/>
      <c r="E756" s="390">
        <f>(F755/UDV.anaer_lagoon.sludge_time)</f>
        <v>0</v>
      </c>
      <c r="F756" s="391"/>
    </row>
    <row r="757" spans="1:23" ht="14.4" x14ac:dyDescent="0.3">
      <c r="A757" t="s">
        <v>5205</v>
      </c>
      <c r="B757" s="386" t="s">
        <v>7023</v>
      </c>
      <c r="C757" s="393">
        <f>SUM(C756,E756)</f>
        <v>0</v>
      </c>
      <c r="D757" s="146"/>
      <c r="E757" s="99"/>
      <c r="F757" s="146"/>
    </row>
    <row r="758" spans="1:23" ht="13.5" customHeight="1" x14ac:dyDescent="0.3">
      <c r="D758" s="146"/>
      <c r="E758" s="99"/>
      <c r="F758" s="146"/>
    </row>
    <row r="759" spans="1:23" ht="14.4" x14ac:dyDescent="0.3">
      <c r="B759" s="303" t="s">
        <v>7138</v>
      </c>
      <c r="C759" s="82" t="s">
        <v>5181</v>
      </c>
      <c r="D759" s="173"/>
      <c r="E759" s="99"/>
      <c r="F759" s="146"/>
    </row>
    <row r="760" spans="1:23" ht="14.4" x14ac:dyDescent="0.3">
      <c r="B760" s="70" t="s">
        <v>7139</v>
      </c>
      <c r="C760" s="265"/>
      <c r="D760" s="151"/>
      <c r="E760" s="149"/>
      <c r="F760" s="151"/>
    </row>
    <row r="761" spans="1:23" ht="15" thickBot="1" x14ac:dyDescent="0.35">
      <c r="A761" s="137"/>
      <c r="B761" s="137"/>
      <c r="C761" s="137"/>
      <c r="D761" s="2093"/>
      <c r="E761" s="2093"/>
      <c r="F761" s="2094"/>
      <c r="G761" s="2095"/>
      <c r="H761" s="2096"/>
      <c r="I761" s="137"/>
      <c r="J761" s="137"/>
      <c r="K761" s="2095"/>
      <c r="L761" s="2095"/>
      <c r="M761" s="137"/>
      <c r="N761" s="137"/>
      <c r="O761" s="137"/>
      <c r="P761" s="137"/>
      <c r="Q761" s="137"/>
      <c r="R761" s="2097"/>
    </row>
    <row r="762" spans="1:23" ht="14.4" x14ac:dyDescent="0.3"/>
    <row r="763" spans="1:23" ht="14.4" x14ac:dyDescent="0.3">
      <c r="B763" s="139" t="s">
        <v>7050</v>
      </c>
      <c r="C763" s="142"/>
      <c r="D763" s="142"/>
      <c r="E763" s="267"/>
      <c r="F763" s="268"/>
      <c r="G763" s="269"/>
      <c r="H763" s="270"/>
      <c r="I763" s="142"/>
      <c r="J763" s="142"/>
      <c r="K763" s="269"/>
      <c r="L763" s="269"/>
      <c r="M763" s="142"/>
      <c r="N763" s="142"/>
      <c r="O763" s="142"/>
      <c r="P763" s="142"/>
      <c r="Q763" s="142"/>
      <c r="R763" s="271"/>
      <c r="S763" s="142"/>
      <c r="T763" s="142"/>
      <c r="U763" s="142"/>
      <c r="V763" s="142"/>
      <c r="W763" s="272"/>
    </row>
    <row r="764" spans="1:23" ht="14.4" x14ac:dyDescent="0.3">
      <c r="B764" s="92" t="s">
        <v>7051</v>
      </c>
      <c r="D764"/>
      <c r="W764" s="113"/>
    </row>
    <row r="765" spans="1:23" ht="14.4" x14ac:dyDescent="0.3">
      <c r="B765" s="99"/>
      <c r="W765" s="113"/>
    </row>
    <row r="766" spans="1:23" ht="14.4" x14ac:dyDescent="0.3">
      <c r="B766" s="92" t="s">
        <v>7052</v>
      </c>
      <c r="C766" s="82" t="s">
        <v>565</v>
      </c>
      <c r="D766" s="82" t="s">
        <v>38</v>
      </c>
      <c r="W766" s="113"/>
    </row>
    <row r="767" spans="1:23" ht="14.4" x14ac:dyDescent="0.3">
      <c r="A767" s="292"/>
      <c r="B767" s="99" t="s">
        <v>5859</v>
      </c>
      <c r="C767">
        <f>UDV.animal.total</f>
        <v>500</v>
      </c>
      <c r="D767" t="s">
        <v>2442</v>
      </c>
      <c r="W767" s="113"/>
    </row>
    <row r="768" spans="1:23" ht="14.4" x14ac:dyDescent="0.3">
      <c r="A768" s="292"/>
      <c r="B768" s="174" t="s">
        <v>5386</v>
      </c>
      <c r="C768">
        <f>UDV.crops.acres_available</f>
        <v>100</v>
      </c>
      <c r="D768" t="s">
        <v>7029</v>
      </c>
      <c r="W768" s="113"/>
    </row>
    <row r="769" spans="1:23" ht="14.4" x14ac:dyDescent="0.3">
      <c r="B769" s="99" t="s">
        <v>5114</v>
      </c>
      <c r="C769" t="str">
        <f>UDV.u.state</f>
        <v>Iowa</v>
      </c>
      <c r="D769" t="s">
        <v>2852</v>
      </c>
      <c r="W769" s="113"/>
    </row>
    <row r="770" spans="1:23" ht="13.5" customHeight="1" x14ac:dyDescent="0.3">
      <c r="A770" t="s">
        <v>4912</v>
      </c>
      <c r="B770" s="99"/>
      <c r="C770" s="166"/>
      <c r="D770"/>
      <c r="W770" s="113"/>
    </row>
    <row r="771" spans="1:23" ht="14.4" x14ac:dyDescent="0.3">
      <c r="B771" s="99"/>
      <c r="W771" s="113"/>
    </row>
    <row r="772" spans="1:23" ht="14.4" x14ac:dyDescent="0.3">
      <c r="A772" t="s">
        <v>4912</v>
      </c>
      <c r="B772" s="92" t="s">
        <v>7053</v>
      </c>
      <c r="C772" s="82" t="s">
        <v>5181</v>
      </c>
      <c r="D772" s="82" t="s">
        <v>7140</v>
      </c>
      <c r="W772" s="113"/>
    </row>
    <row r="773" spans="1:23" ht="14.4" x14ac:dyDescent="0.3">
      <c r="A773" t="s">
        <v>4912</v>
      </c>
      <c r="B773" s="275" t="s">
        <v>2585</v>
      </c>
      <c r="C773" s="276">
        <f>F793</f>
        <v>219956.42318695231</v>
      </c>
      <c r="D773" s="153">
        <f>C773/C767</f>
        <v>439.91284637390459</v>
      </c>
      <c r="W773" s="113"/>
    </row>
    <row r="774" spans="1:23" ht="14.4" x14ac:dyDescent="0.3">
      <c r="A774" t="s">
        <v>4912</v>
      </c>
      <c r="B774" s="275" t="s">
        <v>2588</v>
      </c>
      <c r="C774" s="276">
        <f>G793+L793</f>
        <v>100820.83239357067</v>
      </c>
      <c r="D774" s="153">
        <f>C774/C767</f>
        <v>201.64166478714134</v>
      </c>
      <c r="W774" s="113"/>
    </row>
    <row r="775" spans="1:23" ht="14.4" x14ac:dyDescent="0.3">
      <c r="A775" t="s">
        <v>4912</v>
      </c>
      <c r="B775" s="275" t="s">
        <v>441</v>
      </c>
      <c r="C775" s="276">
        <f>I793</f>
        <v>0</v>
      </c>
      <c r="D775" s="153">
        <f>C775/C767</f>
        <v>0</v>
      </c>
      <c r="F775"/>
      <c r="G775"/>
      <c r="H775"/>
      <c r="I775" s="42"/>
      <c r="J775" s="3"/>
      <c r="K775"/>
      <c r="R775"/>
      <c r="T775" s="20"/>
      <c r="W775" s="113"/>
    </row>
    <row r="776" spans="1:23" ht="14.4" x14ac:dyDescent="0.3">
      <c r="A776" t="s">
        <v>4912</v>
      </c>
      <c r="B776" s="275" t="s">
        <v>440</v>
      </c>
      <c r="C776" s="276">
        <f>J793</f>
        <v>6429.1572140620729</v>
      </c>
      <c r="D776" s="153">
        <f>C776/C767</f>
        <v>12.858314428124146</v>
      </c>
      <c r="F776"/>
      <c r="G776"/>
      <c r="H776"/>
      <c r="I776" s="42"/>
      <c r="J776" s="3"/>
      <c r="K776"/>
      <c r="R776"/>
      <c r="T776" s="20"/>
      <c r="W776" s="113"/>
    </row>
    <row r="777" spans="1:23" ht="14.4" x14ac:dyDescent="0.3">
      <c r="A777" t="s">
        <v>4912</v>
      </c>
      <c r="B777" s="275" t="s">
        <v>442</v>
      </c>
      <c r="C777" s="276">
        <f>K793</f>
        <v>0</v>
      </c>
      <c r="D777" s="153">
        <f>C777/C767</f>
        <v>0</v>
      </c>
      <c r="F777"/>
      <c r="G777"/>
      <c r="H777"/>
      <c r="I777" s="42"/>
      <c r="J777" s="3"/>
      <c r="K777"/>
      <c r="P777" s="277"/>
      <c r="R777"/>
      <c r="T777" s="20"/>
      <c r="W777" s="113"/>
    </row>
    <row r="778" spans="1:23" ht="14.4" x14ac:dyDescent="0.3">
      <c r="A778" t="s">
        <v>4912</v>
      </c>
      <c r="B778" s="2270" t="s">
        <v>439</v>
      </c>
      <c r="C778" s="2271">
        <f>M793</f>
        <v>-320777.25558052299</v>
      </c>
      <c r="D778" s="159">
        <f>C778/C767</f>
        <v>-641.55451116104598</v>
      </c>
      <c r="E778" s="288"/>
      <c r="F778"/>
      <c r="G778"/>
      <c r="H778"/>
      <c r="I778" s="42"/>
      <c r="J778" s="3"/>
      <c r="K778"/>
      <c r="R778"/>
      <c r="T778" s="20"/>
      <c r="W778" s="113"/>
    </row>
    <row r="779" spans="1:23" ht="14.4" x14ac:dyDescent="0.3">
      <c r="A779" t="s">
        <v>4912</v>
      </c>
      <c r="B779" s="99" t="s">
        <v>7055</v>
      </c>
      <c r="C779" s="276">
        <f>L793</f>
        <v>0</v>
      </c>
      <c r="D779" s="153">
        <f>C779/C767</f>
        <v>0</v>
      </c>
      <c r="E779" s="279" t="s">
        <v>7056</v>
      </c>
      <c r="F779"/>
      <c r="G779"/>
      <c r="H779"/>
      <c r="I779" s="42"/>
      <c r="J779" s="3"/>
      <c r="K779"/>
      <c r="R779"/>
      <c r="T779" s="20"/>
      <c r="W779" s="113"/>
    </row>
    <row r="780" spans="1:23" ht="14.4" x14ac:dyDescent="0.3">
      <c r="A780" t="s">
        <v>4912</v>
      </c>
      <c r="B780" s="99" t="s">
        <v>7057</v>
      </c>
      <c r="C780" s="153">
        <f>C773+C774</f>
        <v>320777.25558052299</v>
      </c>
      <c r="D780" s="153">
        <f>C780/C767</f>
        <v>641.55451116104598</v>
      </c>
      <c r="F780"/>
      <c r="G780"/>
      <c r="H780"/>
      <c r="I780" s="42"/>
      <c r="J780" s="3"/>
      <c r="K780"/>
      <c r="R780"/>
      <c r="T780" s="20"/>
      <c r="W780" s="113"/>
    </row>
    <row r="781" spans="1:23" ht="13.5" customHeight="1" x14ac:dyDescent="0.3">
      <c r="A781" t="s">
        <v>4912</v>
      </c>
      <c r="B781" s="853" t="s">
        <v>5392</v>
      </c>
      <c r="C781" s="142"/>
      <c r="D781" s="854">
        <f>E793</f>
        <v>2929689.7136339424</v>
      </c>
      <c r="E781" s="271" t="s">
        <v>2284</v>
      </c>
      <c r="F781"/>
      <c r="G781"/>
      <c r="H781"/>
      <c r="I781" s="42"/>
      <c r="J781" s="3"/>
      <c r="K781"/>
      <c r="R781"/>
      <c r="T781" s="20"/>
      <c r="W781" s="113"/>
    </row>
    <row r="782" spans="1:23" ht="13.5" customHeight="1" x14ac:dyDescent="0.3">
      <c r="A782" t="s">
        <v>4912</v>
      </c>
      <c r="B782" s="852" t="s">
        <v>5393</v>
      </c>
      <c r="D782" s="274">
        <f>E793/C767</f>
        <v>5859.3794272678851</v>
      </c>
      <c r="E782" s="20" t="s">
        <v>7058</v>
      </c>
      <c r="F782"/>
      <c r="G782"/>
      <c r="H782"/>
      <c r="I782" s="42"/>
      <c r="J782" s="3"/>
      <c r="K782"/>
      <c r="R782"/>
      <c r="T782" s="20"/>
      <c r="W782" s="113"/>
    </row>
    <row r="783" spans="1:23" ht="14.4" x14ac:dyDescent="0.3">
      <c r="B783" s="174"/>
      <c r="D783"/>
      <c r="F783"/>
      <c r="G783"/>
      <c r="H783" s="42"/>
      <c r="I783" s="3"/>
      <c r="L783"/>
      <c r="N783" s="273" t="s">
        <v>7059</v>
      </c>
      <c r="O783" s="90"/>
      <c r="P783" s="90"/>
      <c r="Q783" s="90"/>
      <c r="R783" s="90"/>
      <c r="S783" s="279"/>
      <c r="T783" s="90"/>
      <c r="U783" s="90"/>
      <c r="V783" s="42"/>
      <c r="W783" s="146"/>
    </row>
    <row r="784" spans="1:23" ht="14.4" x14ac:dyDescent="0.3">
      <c r="B784" s="92" t="s">
        <v>7060</v>
      </c>
      <c r="D784"/>
      <c r="F784"/>
      <c r="G784"/>
      <c r="H784"/>
      <c r="K784"/>
      <c r="L784"/>
      <c r="M784" s="113"/>
      <c r="N784" s="90" t="s">
        <v>5323</v>
      </c>
      <c r="O784" s="90" t="s">
        <v>5181</v>
      </c>
      <c r="P784" s="90" t="s">
        <v>5324</v>
      </c>
      <c r="Q784" s="90" t="s">
        <v>5181</v>
      </c>
      <c r="R784" s="90" t="s">
        <v>2710</v>
      </c>
      <c r="S784" s="90" t="s">
        <v>5181</v>
      </c>
      <c r="T784" s="90" t="s">
        <v>2710</v>
      </c>
      <c r="U784" s="90" t="s">
        <v>5181</v>
      </c>
      <c r="V784" s="90" t="s">
        <v>2710</v>
      </c>
      <c r="W784" s="280" t="s">
        <v>5181</v>
      </c>
    </row>
    <row r="785" spans="1:23" ht="28.8" x14ac:dyDescent="0.3">
      <c r="B785" s="92" t="s">
        <v>5187</v>
      </c>
      <c r="C785" s="82" t="s">
        <v>7061</v>
      </c>
      <c r="D785" s="82" t="s">
        <v>7062</v>
      </c>
      <c r="E785" s="277" t="s">
        <v>7063</v>
      </c>
      <c r="F785" s="152" t="s">
        <v>7064</v>
      </c>
      <c r="G785" s="277" t="s">
        <v>2588</v>
      </c>
      <c r="H785" s="152" t="s">
        <v>5188</v>
      </c>
      <c r="I785" s="82" t="s">
        <v>5189</v>
      </c>
      <c r="J785" s="82" t="s">
        <v>5190</v>
      </c>
      <c r="K785" s="82" t="s">
        <v>442</v>
      </c>
      <c r="L785" s="82" t="s">
        <v>5191</v>
      </c>
      <c r="M785" s="173" t="s">
        <v>439</v>
      </c>
      <c r="N785" s="281" t="s">
        <v>5192</v>
      </c>
      <c r="O785" s="281" t="s">
        <v>5193</v>
      </c>
      <c r="P785" s="281" t="s">
        <v>5194</v>
      </c>
      <c r="Q785" s="281" t="s">
        <v>5195</v>
      </c>
      <c r="R785" s="281" t="s">
        <v>5196</v>
      </c>
      <c r="S785" s="281" t="s">
        <v>5197</v>
      </c>
      <c r="T785" s="281" t="s">
        <v>5198</v>
      </c>
      <c r="U785" s="281" t="s">
        <v>5199</v>
      </c>
      <c r="V785" s="281" t="s">
        <v>5200</v>
      </c>
      <c r="W785" s="282" t="s">
        <v>5201</v>
      </c>
    </row>
    <row r="786" spans="1:23" ht="14.4" x14ac:dyDescent="0.3">
      <c r="A786" t="s">
        <v>7066</v>
      </c>
      <c r="B786" s="99" t="s">
        <v>6945</v>
      </c>
      <c r="C786" s="158">
        <f>SUMIFS($C$300:$C$766,$A$300:$A$766,_xlfn.CONCAT(B786,"_construction"))</f>
        <v>7858.4422870541339</v>
      </c>
      <c r="D786" s="158">
        <f>SUMIFS($C$300:$C$766,$A$300:$A$766,_xlfn.CONCAT(B786,"_equipment"))</f>
        <v>0</v>
      </c>
      <c r="E786" s="274">
        <f>SUM(C786:D786)</f>
        <v>7858.4422870541339</v>
      </c>
      <c r="F786" s="158">
        <f>SUMIFS($D$300:$D$766,$A$300:$A$766,$B786,$B$300:$B$766,"Total capital recovery value")</f>
        <v>635.93948316737419</v>
      </c>
      <c r="G786" s="158">
        <f>SUMIFS($C$300:$C$766,$A$300:$A$766,$B786,$B$300:$B$766,"Annual operational costs")</f>
        <v>117.876634305812</v>
      </c>
      <c r="H786" s="153">
        <f>SUM(F786:G786)</f>
        <v>753.81611747318618</v>
      </c>
      <c r="I786" s="158">
        <f>SUMIFS($C$300:$C$766,$A$300:$A$766,$B786,$B$300:$B$766,"Annual cost savings")</f>
        <v>0</v>
      </c>
      <c r="J786" s="158">
        <f>SUMIFS($C$300:$C$766,$A$300:$A$766,$B786,$B$300:$B$766,"Annual fertilizer value for on-farm use")</f>
        <v>0</v>
      </c>
      <c r="K786" s="158">
        <f>SUMIFS($C$300:$C$766,$A$300:$A$766,$B786,$B$300:$B$766,"Annual revenues")</f>
        <v>0</v>
      </c>
      <c r="L786" s="158">
        <f>SUMIFS($C$300:$C$766,$A$300:$A$766,$B786,$B$300:$B$766,"Annual cost to export excess")</f>
        <v>0</v>
      </c>
      <c r="M786" s="283">
        <f>K786-F786-G786</f>
        <v>-753.81611747318618</v>
      </c>
      <c r="N786">
        <f>SUMIFS($F$300:$F$766,$A$300:$A$766,$B786,$B$300:$B$766,"Totals")</f>
        <v>0</v>
      </c>
      <c r="O786">
        <f>SUMIFS($G$300:$G$766,$A$300:$A$766,$B786,$B$300:$B$766,"Totals")</f>
        <v>0</v>
      </c>
      <c r="P786" s="147">
        <f>SUMIFS($H$300:$H$766,$A$300:$A$766,$B786,$B$300:$B$766,"Totals")</f>
        <v>0</v>
      </c>
      <c r="Q786" s="147">
        <f>SUMIFS($I$300:$I$766,$A$300:$A$766,$B786,$B$300:$B$766,"Totals")</f>
        <v>0</v>
      </c>
      <c r="R786" s="2315">
        <f>SUMIFS($K$300:$K$766,$A$300:$A$766,$B786,$B$300:$B$766,"Totals")</f>
        <v>0</v>
      </c>
      <c r="S786" s="2315">
        <f>SUMIFS($L$300:$L$766,$A$300:$A$766,$B786,$B$300:$B$766,"Totals")</f>
        <v>0</v>
      </c>
      <c r="T786" s="2315">
        <f>SUMIFS($M$300:$M$766,$A$300:$A$766,$B786,$B$300:$B$766,"Totals")</f>
        <v>0</v>
      </c>
      <c r="U786" s="2315">
        <f>SUMIFS($N$300:$N$766,$A$300:$A$766,$B786,$B$300:$B$766,"Totals")</f>
        <v>0</v>
      </c>
      <c r="V786" s="147">
        <f>R786+T786</f>
        <v>0</v>
      </c>
      <c r="W786" s="285">
        <f>S786+U786</f>
        <v>0</v>
      </c>
    </row>
    <row r="787" spans="1:23" ht="13.5" customHeight="1" x14ac:dyDescent="0.3">
      <c r="A787" t="str">
        <f>_xlfn.CONCAT("TL",B787)</f>
        <v>TLBarn and parlor</v>
      </c>
      <c r="B787" s="99" t="s">
        <v>5209</v>
      </c>
      <c r="C787" s="233">
        <f t="shared" ref="C787:C792" si="41">SUMIFS($C:$C,$A:$A,_xlfn.CONCAT(B787,"_construction"))</f>
        <v>0</v>
      </c>
      <c r="D787" s="233">
        <f t="shared" ref="D787:D792" si="42">SUMIFS($C:$C,$A:$A,_xlfn.CONCAT(B787,"_equipment"))</f>
        <v>0</v>
      </c>
      <c r="E787" s="274">
        <f>SUM(C787:D787)</f>
        <v>0</v>
      </c>
      <c r="F787" s="233">
        <f t="shared" ref="F787:F792" si="43">SUMIFS($D:$D,$A:$A,$B787,$B:$B,"Total capital recovery value")</f>
        <v>0</v>
      </c>
      <c r="G787" s="233">
        <f t="shared" ref="G787:G792" si="44">SUMIFS($C:$C,$A:$A,$B787,$B:$B,"Annual operational costs")</f>
        <v>217.84991231530387</v>
      </c>
      <c r="H787" s="153">
        <f>SUM(F787:G787)</f>
        <v>217.84991231530387</v>
      </c>
      <c r="I787" s="233">
        <f t="shared" ref="I787:I792" si="45">SUMIFS($C:$C,$A:$A,$B787,$B:$B,"Annual cost savings")</f>
        <v>0</v>
      </c>
      <c r="J787" s="233">
        <f t="shared" ref="J787:J792" si="46">SUMIFS($C:$C,$A:$A,$B787,$B:$B,"Annual fertilizer value for on-farm use")</f>
        <v>0</v>
      </c>
      <c r="K787" s="233">
        <f>SUMIFS($C:$C,$A:$A,$B787,$B:$B,"Annual revenues")</f>
        <v>0</v>
      </c>
      <c r="L787" s="233">
        <f t="shared" ref="L787:L792" si="47">SUMIFS($C:$C,$A:$A,$B787,$B:$B,"Annual cost to export excess")</f>
        <v>0</v>
      </c>
      <c r="M787" s="283">
        <f>K787-F787-G787</f>
        <v>-217.84991231530387</v>
      </c>
      <c r="N787">
        <f t="shared" ref="N787:N792" si="48">SUMIFS($F:$F,$A:$A,$B787,$B:$B,"Totals")</f>
        <v>0</v>
      </c>
      <c r="O787">
        <f t="shared" ref="O787:O792" si="49">SUMIFS($G:$G,$A:$A,$B787,$B:$B,"Totals")</f>
        <v>0</v>
      </c>
      <c r="P787" s="147">
        <f t="shared" ref="P787:P792" si="50">SUMIFS($H:$H,$A:$A,$B787,$B:$B,"Totals")</f>
        <v>0</v>
      </c>
      <c r="Q787" s="147">
        <f t="shared" ref="Q787:Q792" si="51">SUMIFS($I:$I,$A:$A,$B787,$B:$B,"Totals")</f>
        <v>0</v>
      </c>
      <c r="R787" s="284">
        <f t="shared" ref="R787:R792" si="52">SUMIFS($K:$K,$A:$A,$B787,$B:$B,"Totals")</f>
        <v>0</v>
      </c>
      <c r="S787" s="284">
        <f t="shared" ref="S787:S792" si="53">SUMIFS($L:$L,$A:$A,$B787,$B:$B,"Totals")</f>
        <v>0</v>
      </c>
      <c r="T787" s="284">
        <f t="shared" ref="T787:T792" si="54">SUMIFS($M:$M,$A:$A,$B787,$B:$B,"Totals")</f>
        <v>0</v>
      </c>
      <c r="U787" s="284">
        <f t="shared" ref="U787:U792" si="55">SUMIFS($N:$N,$A:$A,$B787,$B:$B,"Totals")</f>
        <v>0</v>
      </c>
      <c r="V787" s="147">
        <f t="shared" ref="V787:W792" si="56">R787+T787</f>
        <v>0</v>
      </c>
      <c r="W787" s="285">
        <f t="shared" si="56"/>
        <v>0</v>
      </c>
    </row>
    <row r="788" spans="1:23" ht="13.5" customHeight="1" x14ac:dyDescent="0.3">
      <c r="A788" t="str">
        <f t="shared" ref="A788:A793" si="57">_xlfn.CONCAT("TL",B788)</f>
        <v>TLScrape auto</v>
      </c>
      <c r="B788" s="99" t="s">
        <v>5223</v>
      </c>
      <c r="C788" s="233">
        <f t="shared" si="41"/>
        <v>12426.746062992126</v>
      </c>
      <c r="D788" s="233">
        <f t="shared" si="42"/>
        <v>31863.451443569553</v>
      </c>
      <c r="E788" s="274">
        <f>SUM(C788:D788)</f>
        <v>44290.197506561679</v>
      </c>
      <c r="F788" s="233">
        <f t="shared" si="43"/>
        <v>6707.1567934021641</v>
      </c>
      <c r="G788" s="233">
        <f t="shared" si="44"/>
        <v>3245.8344510558195</v>
      </c>
      <c r="H788" s="153">
        <f>SUM(F788:G788)</f>
        <v>9952.9912444579841</v>
      </c>
      <c r="I788" s="233">
        <f t="shared" si="45"/>
        <v>0</v>
      </c>
      <c r="J788" s="233">
        <f t="shared" si="46"/>
        <v>0</v>
      </c>
      <c r="K788" s="233">
        <f>SUMIFS($C:$C,$A:$A,$B788,$B:$B,"Annual revenues")</f>
        <v>0</v>
      </c>
      <c r="L788" s="233">
        <f t="shared" si="47"/>
        <v>0</v>
      </c>
      <c r="M788" s="283">
        <f t="shared" ref="M788:M792" si="58">K788-F788-G788</f>
        <v>-9952.9912444579841</v>
      </c>
      <c r="N788" s="278">
        <f t="shared" si="48"/>
        <v>4471.5360061785714</v>
      </c>
      <c r="O788" s="147">
        <f t="shared" si="49"/>
        <v>306.7101072237985</v>
      </c>
      <c r="P788" s="147">
        <f t="shared" si="50"/>
        <v>0</v>
      </c>
      <c r="Q788" s="147">
        <f t="shared" si="51"/>
        <v>0</v>
      </c>
      <c r="R788" s="284">
        <f t="shared" si="52"/>
        <v>0</v>
      </c>
      <c r="S788" s="284">
        <f t="shared" si="53"/>
        <v>0</v>
      </c>
      <c r="T788" s="284">
        <f t="shared" si="54"/>
        <v>0</v>
      </c>
      <c r="U788" s="284">
        <f t="shared" si="55"/>
        <v>0</v>
      </c>
      <c r="V788" s="147">
        <f>R788+T788</f>
        <v>0</v>
      </c>
      <c r="W788" s="285">
        <f>S788+U788</f>
        <v>0</v>
      </c>
    </row>
    <row r="789" spans="1:23" ht="13.5" customHeight="1" x14ac:dyDescent="0.3">
      <c r="A789" t="str">
        <f t="shared" si="57"/>
        <v>TLReception pit</v>
      </c>
      <c r="B789" s="99" t="s">
        <v>5219</v>
      </c>
      <c r="C789" s="233">
        <f t="shared" si="41"/>
        <v>8018.7932118545777</v>
      </c>
      <c r="D789" s="233">
        <f t="shared" si="42"/>
        <v>13570</v>
      </c>
      <c r="E789" s="274">
        <f>SUM(C789:D789)</f>
        <v>21588.79321185458</v>
      </c>
      <c r="F789" s="233">
        <f t="shared" si="43"/>
        <v>1821.4045073202617</v>
      </c>
      <c r="G789" s="233">
        <f t="shared" si="44"/>
        <v>1572.7463282449262</v>
      </c>
      <c r="H789" s="153">
        <f>SUM(F789:G789)</f>
        <v>3394.1508355651877</v>
      </c>
      <c r="I789" s="233">
        <f t="shared" si="45"/>
        <v>0</v>
      </c>
      <c r="J789" s="233">
        <f t="shared" si="46"/>
        <v>0</v>
      </c>
      <c r="K789" s="233">
        <f>SUMIFS($C:$C,$A:$A,$B789,$B:$B,"Annual revenues")</f>
        <v>0</v>
      </c>
      <c r="L789" s="233">
        <f t="shared" si="47"/>
        <v>0</v>
      </c>
      <c r="M789" s="283">
        <f t="shared" si="58"/>
        <v>-3394.1508355651877</v>
      </c>
      <c r="N789">
        <f t="shared" si="48"/>
        <v>138.71116608588275</v>
      </c>
      <c r="O789">
        <f t="shared" si="49"/>
        <v>9.5144300671075079</v>
      </c>
      <c r="P789" s="147">
        <f t="shared" si="50"/>
        <v>0</v>
      </c>
      <c r="Q789" s="147">
        <f t="shared" si="51"/>
        <v>0</v>
      </c>
      <c r="R789" s="284">
        <f t="shared" si="52"/>
        <v>0</v>
      </c>
      <c r="S789" s="284">
        <f t="shared" si="53"/>
        <v>0</v>
      </c>
      <c r="T789" s="284">
        <f t="shared" si="54"/>
        <v>0</v>
      </c>
      <c r="U789" s="284">
        <f t="shared" si="55"/>
        <v>0</v>
      </c>
      <c r="V789" s="147">
        <f t="shared" si="56"/>
        <v>0</v>
      </c>
      <c r="W789" s="285">
        <f t="shared" si="56"/>
        <v>0</v>
      </c>
    </row>
    <row r="790" spans="1:23" ht="13.5" customHeight="1" x14ac:dyDescent="0.3">
      <c r="A790" t="str">
        <f t="shared" si="57"/>
        <v>TLAnaerobic digestion</v>
      </c>
      <c r="B790" s="99" t="s">
        <v>5220</v>
      </c>
      <c r="C790" s="233">
        <f t="shared" si="41"/>
        <v>1437714.8712763968</v>
      </c>
      <c r="D790" s="233">
        <f t="shared" si="42"/>
        <v>0</v>
      </c>
      <c r="E790" s="274">
        <f>SUM(C790:D790)</f>
        <v>1437714.8712763968</v>
      </c>
      <c r="F790" s="233">
        <f t="shared" si="43"/>
        <v>164341.42883179875</v>
      </c>
      <c r="G790" s="233">
        <f t="shared" si="44"/>
        <v>79530.340061287963</v>
      </c>
      <c r="H790" s="153">
        <f>SUM(F790:G790)</f>
        <v>243871.7688930867</v>
      </c>
      <c r="I790" s="233">
        <f t="shared" si="45"/>
        <v>0</v>
      </c>
      <c r="J790" s="233">
        <f t="shared" si="46"/>
        <v>0</v>
      </c>
      <c r="K790" s="233">
        <f>SUMIFS($C:$C,$A:$A,$B790,$B:$B,"Annual revenues for tanker")</f>
        <v>0</v>
      </c>
      <c r="L790" s="233">
        <f t="shared" si="47"/>
        <v>0</v>
      </c>
      <c r="M790" s="283">
        <f t="shared" si="58"/>
        <v>-243871.7688930867</v>
      </c>
      <c r="N790">
        <f t="shared" si="48"/>
        <v>0</v>
      </c>
      <c r="O790">
        <f t="shared" si="49"/>
        <v>0</v>
      </c>
      <c r="P790" s="147">
        <f t="shared" si="50"/>
        <v>0</v>
      </c>
      <c r="Q790" s="147">
        <f t="shared" si="51"/>
        <v>0</v>
      </c>
      <c r="R790" s="284">
        <f t="shared" si="52"/>
        <v>0</v>
      </c>
      <c r="S790" s="284">
        <f t="shared" si="53"/>
        <v>0</v>
      </c>
      <c r="T790" s="284">
        <f t="shared" si="54"/>
        <v>0</v>
      </c>
      <c r="U790" s="284">
        <f t="shared" si="55"/>
        <v>0</v>
      </c>
      <c r="V790" s="147">
        <f t="shared" si="56"/>
        <v>0</v>
      </c>
      <c r="W790" s="285">
        <f t="shared" si="56"/>
        <v>0</v>
      </c>
    </row>
    <row r="791" spans="1:23" ht="13.5" customHeight="1" x14ac:dyDescent="0.3">
      <c r="A791" t="str">
        <f t="shared" si="57"/>
        <v>TLLagoon</v>
      </c>
      <c r="B791" s="99" t="s">
        <v>5210</v>
      </c>
      <c r="C791" s="233">
        <f t="shared" si="41"/>
        <v>129137.409352075</v>
      </c>
      <c r="D791" s="233">
        <f t="shared" si="42"/>
        <v>0</v>
      </c>
      <c r="E791" s="274">
        <f t="shared" ref="E791:E792" si="59">SUM(C791:D791)</f>
        <v>129137.409352075</v>
      </c>
      <c r="F791" s="233">
        <f t="shared" si="43"/>
        <v>10450.363362243077</v>
      </c>
      <c r="G791" s="233">
        <f t="shared" si="44"/>
        <v>1937.0611402811251</v>
      </c>
      <c r="H791" s="153">
        <f t="shared" ref="H791:H792" si="60">SUM(F791:G791)</f>
        <v>12387.424502524202</v>
      </c>
      <c r="I791" s="233">
        <f t="shared" si="45"/>
        <v>0</v>
      </c>
      <c r="J791" s="233">
        <f t="shared" si="46"/>
        <v>0</v>
      </c>
      <c r="K791" s="233">
        <f>SUMIFS($C:$C,$A:$A,$B791,$B:$B,"Annual revenues")</f>
        <v>0</v>
      </c>
      <c r="L791" s="233">
        <f t="shared" si="47"/>
        <v>0</v>
      </c>
      <c r="M791" s="283">
        <f t="shared" si="58"/>
        <v>-12387.424502524202</v>
      </c>
      <c r="N791">
        <f t="shared" si="48"/>
        <v>0</v>
      </c>
      <c r="O791">
        <f t="shared" si="49"/>
        <v>0</v>
      </c>
      <c r="P791" s="147">
        <f t="shared" si="50"/>
        <v>0</v>
      </c>
      <c r="Q791" s="147">
        <f t="shared" si="51"/>
        <v>0</v>
      </c>
      <c r="R791" s="284">
        <f t="shared" si="52"/>
        <v>0</v>
      </c>
      <c r="S791" s="284">
        <f t="shared" si="53"/>
        <v>0</v>
      </c>
      <c r="T791" s="284">
        <f t="shared" si="54"/>
        <v>0</v>
      </c>
      <c r="U791" s="284">
        <f t="shared" si="55"/>
        <v>0</v>
      </c>
      <c r="V791" s="147">
        <f t="shared" si="56"/>
        <v>0</v>
      </c>
      <c r="W791" s="285">
        <f t="shared" si="56"/>
        <v>0</v>
      </c>
    </row>
    <row r="792" spans="1:23" ht="13.5" customHeight="1" x14ac:dyDescent="0.3">
      <c r="A792" t="str">
        <f t="shared" si="57"/>
        <v>TLEnd use tanker</v>
      </c>
      <c r="B792" s="99" t="s">
        <v>5202</v>
      </c>
      <c r="C792" s="233">
        <f t="shared" si="41"/>
        <v>0</v>
      </c>
      <c r="D792" s="233">
        <f t="shared" si="42"/>
        <v>1289100</v>
      </c>
      <c r="E792" s="274">
        <f t="shared" si="59"/>
        <v>1289100</v>
      </c>
      <c r="F792" s="233">
        <f t="shared" si="43"/>
        <v>36000.130209020703</v>
      </c>
      <c r="G792" s="233">
        <f t="shared" si="44"/>
        <v>14199.123866079721</v>
      </c>
      <c r="H792" s="153">
        <f t="shared" si="60"/>
        <v>50199.254075100427</v>
      </c>
      <c r="I792" s="233">
        <f t="shared" si="45"/>
        <v>0</v>
      </c>
      <c r="J792" s="233">
        <f t="shared" si="46"/>
        <v>6429.1572140620729</v>
      </c>
      <c r="K792" s="233">
        <f>SUMIFS($C:$C,$A:$A,$B792,$B:$B,"Annual revenues")</f>
        <v>0</v>
      </c>
      <c r="L792" s="233">
        <f t="shared" si="47"/>
        <v>0</v>
      </c>
      <c r="M792" s="283">
        <f t="shared" si="58"/>
        <v>-50199.254075100427</v>
      </c>
      <c r="N792">
        <f t="shared" si="48"/>
        <v>934.64729834049092</v>
      </c>
      <c r="O792">
        <f t="shared" si="49"/>
        <v>64.109015938671504</v>
      </c>
      <c r="P792" s="147">
        <f t="shared" si="50"/>
        <v>170.58486103092133</v>
      </c>
      <c r="Q792" s="147">
        <f t="shared" si="51"/>
        <v>630.56532950965891</v>
      </c>
      <c r="R792" s="284">
        <f t="shared" si="52"/>
        <v>29.578918227578932</v>
      </c>
      <c r="S792" s="284">
        <f t="shared" si="53"/>
        <v>699.83720526451748</v>
      </c>
      <c r="T792" s="284">
        <f t="shared" si="54"/>
        <v>0</v>
      </c>
      <c r="U792" s="284">
        <f t="shared" si="55"/>
        <v>0</v>
      </c>
      <c r="V792" s="147">
        <f t="shared" si="56"/>
        <v>29.578918227578932</v>
      </c>
      <c r="W792" s="285">
        <f t="shared" si="56"/>
        <v>699.83720526451748</v>
      </c>
    </row>
    <row r="793" spans="1:23" ht="13.5" customHeight="1" x14ac:dyDescent="0.3">
      <c r="A793" t="str">
        <f t="shared" si="57"/>
        <v>TLTotals</v>
      </c>
      <c r="B793" s="162" t="s">
        <v>5203</v>
      </c>
      <c r="C793" s="242">
        <f>SUM(C786:C792)</f>
        <v>1595156.2621903727</v>
      </c>
      <c r="D793" s="242">
        <f t="shared" ref="D793:M793" si="61">SUM(D786:D792)</f>
        <v>1334533.4514435695</v>
      </c>
      <c r="E793" s="242">
        <f t="shared" si="61"/>
        <v>2929689.7136339424</v>
      </c>
      <c r="F793" s="242">
        <f t="shared" si="61"/>
        <v>219956.42318695231</v>
      </c>
      <c r="G793" s="242">
        <f t="shared" si="61"/>
        <v>100820.83239357067</v>
      </c>
      <c r="H793" s="242">
        <f t="shared" si="61"/>
        <v>320777.25558052299</v>
      </c>
      <c r="I793" s="242">
        <f t="shared" si="61"/>
        <v>0</v>
      </c>
      <c r="J793" s="242">
        <f t="shared" si="61"/>
        <v>6429.1572140620729</v>
      </c>
      <c r="K793" s="242">
        <f t="shared" si="61"/>
        <v>0</v>
      </c>
      <c r="L793" s="242">
        <f t="shared" si="61"/>
        <v>0</v>
      </c>
      <c r="M793" s="242">
        <f t="shared" si="61"/>
        <v>-320777.25558052299</v>
      </c>
      <c r="N793" s="286">
        <f>SUM(N786:N792)</f>
        <v>5544.8944706049451</v>
      </c>
      <c r="O793" s="286">
        <f t="shared" ref="O793:W793" si="62">SUM(O786:O792)</f>
        <v>380.33355322957755</v>
      </c>
      <c r="P793" s="286">
        <f t="shared" si="62"/>
        <v>170.58486103092133</v>
      </c>
      <c r="Q793" s="286">
        <f t="shared" si="62"/>
        <v>630.56532950965891</v>
      </c>
      <c r="R793" s="286">
        <f t="shared" si="62"/>
        <v>29.578918227578932</v>
      </c>
      <c r="S793" s="286">
        <f t="shared" si="62"/>
        <v>699.83720526451748</v>
      </c>
      <c r="T793" s="286">
        <f t="shared" si="62"/>
        <v>0</v>
      </c>
      <c r="U793" s="286">
        <f t="shared" si="62"/>
        <v>0</v>
      </c>
      <c r="V793" s="286">
        <f t="shared" si="62"/>
        <v>29.578918227578932</v>
      </c>
      <c r="W793" s="286">
        <f t="shared" si="62"/>
        <v>699.83720526451748</v>
      </c>
    </row>
    <row r="794" spans="1:23" ht="14.4" x14ac:dyDescent="0.3">
      <c r="A794" s="82"/>
      <c r="B794" s="287" t="s">
        <v>7069</v>
      </c>
      <c r="C794" s="150"/>
      <c r="D794" s="150"/>
      <c r="E794" s="288"/>
      <c r="F794" s="150"/>
      <c r="G794" s="150"/>
      <c r="H794" s="150"/>
      <c r="I794" s="150"/>
      <c r="J794" s="150"/>
      <c r="K794" s="150"/>
      <c r="L794" s="150"/>
      <c r="M794" s="289"/>
      <c r="N794" s="150"/>
      <c r="O794" s="150"/>
      <c r="P794" s="150"/>
      <c r="Q794" s="150"/>
      <c r="R794" s="290"/>
      <c r="S794" s="291"/>
      <c r="T794" s="150"/>
      <c r="U794" s="150"/>
      <c r="V794" s="150"/>
      <c r="W794" s="151"/>
    </row>
    <row r="795" spans="1:23" ht="14.4" x14ac:dyDescent="0.3">
      <c r="D795"/>
      <c r="E795" s="288"/>
      <c r="F795"/>
      <c r="G795"/>
      <c r="H795"/>
      <c r="K795"/>
      <c r="L795"/>
      <c r="R795"/>
      <c r="W795"/>
    </row>
    <row r="796" spans="1:23" ht="14.4" x14ac:dyDescent="0.3">
      <c r="B796" s="139" t="s">
        <v>7050</v>
      </c>
      <c r="C796" s="142"/>
      <c r="D796" s="142"/>
      <c r="E796" s="267"/>
      <c r="F796" s="267"/>
      <c r="G796" s="267"/>
      <c r="H796" s="268"/>
      <c r="I796" s="269"/>
      <c r="J796" s="270"/>
      <c r="K796" s="142"/>
      <c r="L796" s="269"/>
      <c r="M796" s="142"/>
      <c r="N796" s="142"/>
      <c r="O796" s="142"/>
      <c r="P796" s="142"/>
      <c r="Q796" s="142"/>
      <c r="R796" s="142"/>
      <c r="S796" s="142"/>
      <c r="T796" s="271"/>
      <c r="U796" s="142"/>
      <c r="V796" s="142"/>
      <c r="W796" s="272"/>
    </row>
    <row r="797" spans="1:23" ht="14.4" x14ac:dyDescent="0.3">
      <c r="B797" s="92" t="s">
        <v>7070</v>
      </c>
      <c r="D797"/>
      <c r="F797" s="66"/>
      <c r="G797" s="66"/>
      <c r="H797" s="19"/>
      <c r="I797" s="42"/>
      <c r="J797" s="3"/>
      <c r="K797"/>
      <c r="R797"/>
      <c r="T797" s="20"/>
      <c r="W797" s="113"/>
    </row>
    <row r="798" spans="1:23" ht="13.5" customHeight="1" x14ac:dyDescent="0.3">
      <c r="B798" s="99"/>
      <c r="W798" s="113"/>
    </row>
    <row r="799" spans="1:23" ht="14.4" x14ac:dyDescent="0.3">
      <c r="B799" s="92" t="s">
        <v>7052</v>
      </c>
      <c r="C799" s="82" t="s">
        <v>565</v>
      </c>
      <c r="D799" s="82" t="s">
        <v>38</v>
      </c>
      <c r="W799" s="113"/>
    </row>
    <row r="800" spans="1:23" ht="14.4" x14ac:dyDescent="0.3">
      <c r="B800" s="99" t="s">
        <v>5859</v>
      </c>
      <c r="C800">
        <f>UDV.animal.total</f>
        <v>500</v>
      </c>
      <c r="D800" t="s">
        <v>2442</v>
      </c>
      <c r="W800" s="113"/>
    </row>
    <row r="801" spans="1:23" ht="14.4" x14ac:dyDescent="0.3">
      <c r="A801" s="292"/>
      <c r="B801" s="174" t="s">
        <v>5386</v>
      </c>
      <c r="C801">
        <f>UDV.crops.acres_available</f>
        <v>100</v>
      </c>
      <c r="D801" t="s">
        <v>7029</v>
      </c>
      <c r="W801" s="113"/>
    </row>
    <row r="802" spans="1:23" ht="14.4" x14ac:dyDescent="0.3">
      <c r="B802" s="99" t="s">
        <v>5114</v>
      </c>
      <c r="C802" t="str">
        <f>UDV.u.state</f>
        <v>Iowa</v>
      </c>
      <c r="D802" t="s">
        <v>2852</v>
      </c>
      <c r="W802" s="113"/>
    </row>
    <row r="803" spans="1:23" ht="13.5" customHeight="1" x14ac:dyDescent="0.3">
      <c r="A803" t="s">
        <v>4917</v>
      </c>
      <c r="B803" s="99" t="s">
        <v>7240</v>
      </c>
      <c r="C803" s="166">
        <f>VLOOKUP("Emissions reductions for drag hose", $R$1:$U$299,3,FALSE)*UDV.econ_energy.carbon_credits</f>
        <v>0</v>
      </c>
      <c r="D803" t="s">
        <v>5181</v>
      </c>
      <c r="W803" s="113"/>
    </row>
    <row r="804" spans="1:23" ht="14.4" x14ac:dyDescent="0.3">
      <c r="B804" s="99"/>
      <c r="W804" s="113"/>
    </row>
    <row r="805" spans="1:23" ht="14.4" x14ac:dyDescent="0.3">
      <c r="A805" t="s">
        <v>4917</v>
      </c>
      <c r="B805" s="92" t="s">
        <v>7053</v>
      </c>
      <c r="C805" s="82" t="s">
        <v>5181</v>
      </c>
      <c r="D805" s="82" t="s">
        <v>7140</v>
      </c>
      <c r="W805" s="113"/>
    </row>
    <row r="806" spans="1:23" ht="14.4" x14ac:dyDescent="0.3">
      <c r="A806" t="s">
        <v>4917</v>
      </c>
      <c r="B806" s="275" t="s">
        <v>2585</v>
      </c>
      <c r="C806" s="276">
        <f>F826</f>
        <v>273765.87643183419</v>
      </c>
      <c r="D806" s="153">
        <f>C806/C800</f>
        <v>547.53175286366832</v>
      </c>
      <c r="W806" s="113"/>
    </row>
    <row r="807" spans="1:23" ht="14.4" x14ac:dyDescent="0.3">
      <c r="A807" t="s">
        <v>4917</v>
      </c>
      <c r="B807" s="275" t="s">
        <v>2588</v>
      </c>
      <c r="C807" s="276">
        <f>G826+L826</f>
        <v>117743.83073082013</v>
      </c>
      <c r="D807" s="153">
        <f>C807/C800</f>
        <v>235.48766146164027</v>
      </c>
      <c r="W807" s="113"/>
    </row>
    <row r="808" spans="1:23" ht="14.4" x14ac:dyDescent="0.3">
      <c r="A808" t="s">
        <v>4917</v>
      </c>
      <c r="B808" s="275" t="s">
        <v>441</v>
      </c>
      <c r="C808" s="276">
        <f>I826</f>
        <v>0</v>
      </c>
      <c r="D808" s="153">
        <f>C808/C800</f>
        <v>0</v>
      </c>
      <c r="W808" s="113"/>
    </row>
    <row r="809" spans="1:23" ht="14.4" x14ac:dyDescent="0.3">
      <c r="A809" t="s">
        <v>4917</v>
      </c>
      <c r="B809" s="275" t="s">
        <v>440</v>
      </c>
      <c r="C809" s="276">
        <f>J826</f>
        <v>6429.1572140620729</v>
      </c>
      <c r="D809" s="153">
        <f>C809/C800</f>
        <v>12.858314428124146</v>
      </c>
      <c r="W809" s="113"/>
    </row>
    <row r="810" spans="1:23" ht="14.4" x14ac:dyDescent="0.3">
      <c r="A810" t="s">
        <v>4917</v>
      </c>
      <c r="B810" s="275" t="s">
        <v>442</v>
      </c>
      <c r="C810" s="276">
        <f>K826</f>
        <v>0</v>
      </c>
      <c r="D810" s="153">
        <f>C810/C800</f>
        <v>0</v>
      </c>
      <c r="W810" s="113"/>
    </row>
    <row r="811" spans="1:23" ht="14.4" x14ac:dyDescent="0.3">
      <c r="A811" t="s">
        <v>4917</v>
      </c>
      <c r="B811" s="2270" t="s">
        <v>439</v>
      </c>
      <c r="C811" s="2271">
        <f>M826</f>
        <v>-391509.70716265438</v>
      </c>
      <c r="D811" s="159">
        <f>C811/C800</f>
        <v>-783.01941432530873</v>
      </c>
      <c r="E811" s="288"/>
      <c r="W811" s="113"/>
    </row>
    <row r="812" spans="1:23" ht="14.4" x14ac:dyDescent="0.3">
      <c r="A812" t="s">
        <v>4917</v>
      </c>
      <c r="B812" s="99" t="s">
        <v>7055</v>
      </c>
      <c r="C812" s="276">
        <f>L826</f>
        <v>0</v>
      </c>
      <c r="D812" s="153">
        <f>C812/C800</f>
        <v>0</v>
      </c>
      <c r="E812" s="279" t="s">
        <v>7056</v>
      </c>
      <c r="W812" s="113"/>
    </row>
    <row r="813" spans="1:23" ht="14.4" x14ac:dyDescent="0.3">
      <c r="A813" t="s">
        <v>4917</v>
      </c>
      <c r="B813" s="99" t="s">
        <v>7057</v>
      </c>
      <c r="C813" s="153">
        <f>C806+C807</f>
        <v>391509.70716265432</v>
      </c>
      <c r="D813" s="153">
        <f>C813/C800</f>
        <v>783.01941432530862</v>
      </c>
      <c r="W813" s="113"/>
    </row>
    <row r="814" spans="1:23" ht="13.5" customHeight="1" x14ac:dyDescent="0.3">
      <c r="A814" t="s">
        <v>4917</v>
      </c>
      <c r="B814" s="853" t="s">
        <v>5392</v>
      </c>
      <c r="C814" s="142"/>
      <c r="D814" s="854">
        <f>E826</f>
        <v>3698429.7136339424</v>
      </c>
      <c r="E814" s="271" t="s">
        <v>2284</v>
      </c>
      <c r="F814"/>
      <c r="G814" s="66"/>
      <c r="H814"/>
      <c r="I814" s="42"/>
      <c r="J814" s="3"/>
      <c r="K814"/>
      <c r="R814"/>
      <c r="T814" s="20"/>
      <c r="W814" s="113"/>
    </row>
    <row r="815" spans="1:23" ht="13.5" customHeight="1" x14ac:dyDescent="0.3">
      <c r="A815" t="s">
        <v>4917</v>
      </c>
      <c r="B815" s="852" t="s">
        <v>5393</v>
      </c>
      <c r="D815" s="274">
        <f>E826/C800</f>
        <v>7396.8594272678847</v>
      </c>
      <c r="E815" s="20" t="s">
        <v>7058</v>
      </c>
      <c r="F815"/>
      <c r="G815" s="66"/>
      <c r="H815"/>
      <c r="I815" s="42"/>
      <c r="J815" s="3"/>
      <c r="K815"/>
      <c r="R815"/>
      <c r="T815" s="20"/>
      <c r="W815" s="113"/>
    </row>
    <row r="816" spans="1:23" ht="14.4" x14ac:dyDescent="0.3">
      <c r="B816" s="99"/>
      <c r="D816"/>
      <c r="F816"/>
      <c r="G816"/>
      <c r="H816" s="42"/>
      <c r="I816" s="3"/>
      <c r="L816"/>
      <c r="N816" s="273" t="s">
        <v>7059</v>
      </c>
      <c r="O816" s="90"/>
      <c r="P816" s="90"/>
      <c r="Q816" s="90"/>
      <c r="R816" s="90"/>
      <c r="S816" s="279"/>
      <c r="T816" s="90"/>
      <c r="U816" s="90"/>
      <c r="V816" s="42"/>
      <c r="W816" s="146"/>
    </row>
    <row r="817" spans="1:25" ht="14.4" x14ac:dyDescent="0.3">
      <c r="B817" s="92" t="s">
        <v>7060</v>
      </c>
      <c r="D817"/>
      <c r="F817"/>
      <c r="G817"/>
      <c r="H817"/>
      <c r="K817"/>
      <c r="L817"/>
      <c r="M817" s="113"/>
      <c r="N817" s="90" t="s">
        <v>5323</v>
      </c>
      <c r="O817" s="90" t="s">
        <v>5181</v>
      </c>
      <c r="P817" s="90" t="s">
        <v>5324</v>
      </c>
      <c r="Q817" s="90" t="s">
        <v>5181</v>
      </c>
      <c r="R817" s="90" t="s">
        <v>2710</v>
      </c>
      <c r="S817" s="90" t="s">
        <v>5181</v>
      </c>
      <c r="T817" s="90" t="s">
        <v>2710</v>
      </c>
      <c r="U817" s="90" t="s">
        <v>5181</v>
      </c>
      <c r="V817" s="90" t="s">
        <v>2710</v>
      </c>
      <c r="W817" s="280" t="s">
        <v>5181</v>
      </c>
    </row>
    <row r="818" spans="1:25" ht="28.8" x14ac:dyDescent="0.3">
      <c r="B818" s="92" t="s">
        <v>5187</v>
      </c>
      <c r="C818" s="82" t="s">
        <v>7061</v>
      </c>
      <c r="D818" s="82" t="s">
        <v>7062</v>
      </c>
      <c r="E818" s="277" t="s">
        <v>7063</v>
      </c>
      <c r="F818" s="82" t="s">
        <v>7064</v>
      </c>
      <c r="G818" s="277" t="s">
        <v>2588</v>
      </c>
      <c r="H818" s="82" t="s">
        <v>5188</v>
      </c>
      <c r="I818" s="82" t="s">
        <v>5189</v>
      </c>
      <c r="J818" s="82" t="s">
        <v>5190</v>
      </c>
      <c r="K818" s="82" t="s">
        <v>442</v>
      </c>
      <c r="L818" s="82" t="s">
        <v>5191</v>
      </c>
      <c r="M818" s="173" t="s">
        <v>439</v>
      </c>
      <c r="N818" s="281" t="s">
        <v>5192</v>
      </c>
      <c r="O818" s="281" t="s">
        <v>5193</v>
      </c>
      <c r="P818" s="281" t="s">
        <v>5194</v>
      </c>
      <c r="Q818" s="281" t="s">
        <v>5195</v>
      </c>
      <c r="R818" s="281" t="s">
        <v>5196</v>
      </c>
      <c r="S818" s="281" t="s">
        <v>5197</v>
      </c>
      <c r="T818" s="281" t="s">
        <v>5198</v>
      </c>
      <c r="U818" s="281" t="s">
        <v>5199</v>
      </c>
      <c r="V818" s="281" t="s">
        <v>5200</v>
      </c>
      <c r="W818" s="282" t="s">
        <v>5201</v>
      </c>
    </row>
    <row r="819" spans="1:25" ht="14.4" x14ac:dyDescent="0.3">
      <c r="A819" t="s">
        <v>7071</v>
      </c>
      <c r="B819" s="99" t="s">
        <v>6945</v>
      </c>
      <c r="C819" s="158">
        <f>SUMIFS($C$300:$C$765,$A$300:$A$765,_xlfn.CONCAT(B819,"_construction"))</f>
        <v>7858.4422870541339</v>
      </c>
      <c r="D819" s="158">
        <f>SUMIFS($C$300:$C$765,$A$300:$A$765,_xlfn.CONCAT(B819,"_equipment"))</f>
        <v>0</v>
      </c>
      <c r="E819" s="274">
        <f>SUM(C819:D819)</f>
        <v>7858.4422870541339</v>
      </c>
      <c r="F819" s="158">
        <f>SUMIFS($D$300:$D$765,$A$300:$A$765,$B819,$B$300:$B$765,"Total capital recovery value")</f>
        <v>635.93948316737419</v>
      </c>
      <c r="G819" s="158">
        <f>SUMIFS($C$300:$C$765,$A$300:$A$765,$B819,$B$300:$B$765,"Annual operational costs")</f>
        <v>117.876634305812</v>
      </c>
      <c r="H819" s="153">
        <f>SUM(F819:G819)</f>
        <v>753.81611747318618</v>
      </c>
      <c r="I819" s="158">
        <f>SUMIFS($C$300:$C$765,$A$300:$A$765,$B819,$B$300:$B$765,"Annual cost savings")</f>
        <v>0</v>
      </c>
      <c r="J819" s="158">
        <f>SUMIFS($C$300:$C$765,$A$300:$A$765,$B819,$B$300:$B$765,"Annual fertilizer value for on-farm use")</f>
        <v>0</v>
      </c>
      <c r="K819" s="158">
        <f>SUMIFS($C$300:$C$765,$A$300:$A$765,$B819,$B$300:$B$765,"Annual revenues")</f>
        <v>0</v>
      </c>
      <c r="L819" s="158">
        <f>SUMIFS($C$300:$C$765,$A$300:$A$765,$B819,$B$300:$B$765,"Annual cost to export excess")</f>
        <v>0</v>
      </c>
      <c r="M819" s="283">
        <f>K819-F819-G819</f>
        <v>-753.81611747318618</v>
      </c>
      <c r="N819">
        <f>SUMIFS($F$300:$F$765,$A$300:$A$765,$B819,$B$300:$B$765,"Totals")</f>
        <v>0</v>
      </c>
      <c r="O819">
        <f>SUMIFS($G$300:$G$765,$A$300:$A$765,$B819,$B$300:$B$765,"Totals")</f>
        <v>0</v>
      </c>
      <c r="P819" s="147">
        <f>SUMIFS($H$300:$H$765,$A$300:$A$765,$B819,$B$300:$B$765,"Totals")</f>
        <v>0</v>
      </c>
      <c r="Q819" s="147">
        <f>SUMIFS($I$300:$I$765,$A$300:$A$765,$B819,$B$300:$B$765,"Totals")</f>
        <v>0</v>
      </c>
      <c r="R819" s="2315">
        <f>SUMIFS($K$300:$K$765,$A$300:$A$765,$B819,$B$300:$B$765,"Totals")</f>
        <v>0</v>
      </c>
      <c r="S819" s="2315">
        <f>SUMIFS($L$300:$L$765,$A$300:$A$765,$B819,$B$300:$B$765,"Totals")</f>
        <v>0</v>
      </c>
      <c r="T819" s="2315">
        <f>SUMIFS($M$300:$M$765,$A$300:$A$765,$B819,$B$300:$B$765,"Totals")</f>
        <v>0</v>
      </c>
      <c r="U819" s="2315">
        <f>SUMIFS($N$300:$N$765,$A$300:$A$765,$B819,$B$300:$B$765,"Totals")</f>
        <v>0</v>
      </c>
      <c r="V819" s="147">
        <f>R819+T819</f>
        <v>0</v>
      </c>
      <c r="W819" s="285">
        <f>S819+U819</f>
        <v>0</v>
      </c>
    </row>
    <row r="820" spans="1:25" ht="13.5" customHeight="1" x14ac:dyDescent="0.3">
      <c r="A820" t="str">
        <f>_xlfn.CONCAT("DHL",B820)</f>
        <v>DHLBarn and parlor</v>
      </c>
      <c r="B820" s="99" t="s">
        <v>5209</v>
      </c>
      <c r="C820" s="233">
        <f t="shared" ref="C820:C825" si="63">SUMIFS($C:$C,$A:$A,_xlfn.CONCAT(B820,"_construction"))</f>
        <v>0</v>
      </c>
      <c r="D820" s="233">
        <f t="shared" ref="D820:D825" si="64">SUMIFS($C:$C,$A:$A,_xlfn.CONCAT(B820,"_equipment"))</f>
        <v>0</v>
      </c>
      <c r="E820" s="274">
        <f>SUM(C820:D820)</f>
        <v>0</v>
      </c>
      <c r="F820" s="233">
        <f t="shared" ref="F820:F825" si="65">SUMIFS($D:$D,$A:$A,$B820,$B:$B,"Total capital recovery value")</f>
        <v>0</v>
      </c>
      <c r="G820" s="233">
        <f t="shared" ref="G820:G825" si="66">SUMIFS($C:$C,$A:$A,$B820,$B:$B,"Annual operational costs")</f>
        <v>217.84991231530387</v>
      </c>
      <c r="H820" s="153">
        <f>SUM(F820:G820)</f>
        <v>217.84991231530387</v>
      </c>
      <c r="I820" s="233">
        <f t="shared" ref="I820:I825" si="67">SUMIFS($C:$C,$A:$A,$B820,$B:$B,"Annual cost savings")</f>
        <v>0</v>
      </c>
      <c r="J820" s="233">
        <f t="shared" ref="J820:J825" si="68">SUMIFS($C:$C,$A:$A,$B820,$B:$B,"Annual fertilizer value for on-farm use")</f>
        <v>0</v>
      </c>
      <c r="K820" s="233">
        <f>SUMIFS($C:$C,$A:$A,$B820,$B:$B,"Annual revenues")</f>
        <v>0</v>
      </c>
      <c r="L820" s="233">
        <f t="shared" ref="L820:L825" si="69">SUMIFS($C:$C,$A:$A,$B820,$B:$B,"Annual cost to export excess")</f>
        <v>0</v>
      </c>
      <c r="M820" s="283">
        <f>K820-F820-G820</f>
        <v>-217.84991231530387</v>
      </c>
      <c r="N820">
        <f t="shared" ref="N820:N825" si="70">SUMIFS($F:$F,$A:$A,$B820,$B:$B,"Totals")</f>
        <v>0</v>
      </c>
      <c r="O820">
        <f t="shared" ref="O820:O825" si="71">SUMIFS($G:$G,$A:$A,$B820,$B:$B,"Totals")</f>
        <v>0</v>
      </c>
      <c r="P820" s="147">
        <f t="shared" ref="P820:P825" si="72">SUMIFS($H:$H,$A:$A,$B820,$B:$B,"Totals")</f>
        <v>0</v>
      </c>
      <c r="Q820" s="147">
        <f t="shared" ref="Q820:Q825" si="73">SUMIFS($I:$I,$A:$A,$B820,$B:$B,"Totals")</f>
        <v>0</v>
      </c>
      <c r="R820" s="284">
        <f t="shared" ref="R820:R825" si="74">SUMIFS($K:$K,$A:$A,$B820,$B:$B,"Totals")</f>
        <v>0</v>
      </c>
      <c r="S820" s="284">
        <f t="shared" ref="S820:S825" si="75">SUMIFS($L:$L,$A:$A,$B820,$B:$B,"Totals")</f>
        <v>0</v>
      </c>
      <c r="T820" s="284">
        <f t="shared" ref="T820:T825" si="76">SUMIFS($M:$M,$A:$A,$B820,$B:$B,"Totals")</f>
        <v>0</v>
      </c>
      <c r="U820" s="284">
        <f t="shared" ref="U820:U825" si="77">SUMIFS($N:$N,$A:$A,$B820,$B:$B,"Totals")</f>
        <v>0</v>
      </c>
      <c r="V820" s="147">
        <f t="shared" ref="V820:W825" si="78">R820+T820</f>
        <v>0</v>
      </c>
      <c r="W820" s="285">
        <f t="shared" si="78"/>
        <v>0</v>
      </c>
    </row>
    <row r="821" spans="1:25" ht="13.5" customHeight="1" x14ac:dyDescent="0.3">
      <c r="A821" t="str">
        <f t="shared" ref="A821:A826" si="79">_xlfn.CONCAT("DHL",B821)</f>
        <v>DHLScrape auto</v>
      </c>
      <c r="B821" s="99" t="s">
        <v>5223</v>
      </c>
      <c r="C821" s="233">
        <f t="shared" si="63"/>
        <v>12426.746062992126</v>
      </c>
      <c r="D821" s="233">
        <f t="shared" si="64"/>
        <v>31863.451443569553</v>
      </c>
      <c r="E821" s="274">
        <f>SUM(C821:D821)</f>
        <v>44290.197506561679</v>
      </c>
      <c r="F821" s="233">
        <f t="shared" si="65"/>
        <v>6707.1567934021641</v>
      </c>
      <c r="G821" s="233">
        <f t="shared" si="66"/>
        <v>3245.8344510558195</v>
      </c>
      <c r="H821" s="153">
        <f>SUM(F821:G821)</f>
        <v>9952.9912444579841</v>
      </c>
      <c r="I821" s="233">
        <f t="shared" si="67"/>
        <v>0</v>
      </c>
      <c r="J821" s="233">
        <f t="shared" si="68"/>
        <v>0</v>
      </c>
      <c r="K821" s="233">
        <f>SUMIFS($C:$C,$A:$A,$B821,$B:$B,"Annual revenues")</f>
        <v>0</v>
      </c>
      <c r="L821" s="233">
        <f t="shared" si="69"/>
        <v>0</v>
      </c>
      <c r="M821" s="283">
        <f t="shared" ref="M821:M825" si="80">K821-F821-G821</f>
        <v>-9952.9912444579841</v>
      </c>
      <c r="N821" s="278">
        <f t="shared" si="70"/>
        <v>4471.5360061785714</v>
      </c>
      <c r="O821" s="147">
        <f t="shared" si="71"/>
        <v>306.7101072237985</v>
      </c>
      <c r="P821" s="147">
        <f t="shared" si="72"/>
        <v>0</v>
      </c>
      <c r="Q821" s="147">
        <f t="shared" si="73"/>
        <v>0</v>
      </c>
      <c r="R821" s="284">
        <f t="shared" si="74"/>
        <v>0</v>
      </c>
      <c r="S821" s="284">
        <f t="shared" si="75"/>
        <v>0</v>
      </c>
      <c r="T821" s="284">
        <f t="shared" si="76"/>
        <v>0</v>
      </c>
      <c r="U821" s="284">
        <f t="shared" si="77"/>
        <v>0</v>
      </c>
      <c r="V821" s="147">
        <f>R821+T821</f>
        <v>0</v>
      </c>
      <c r="W821" s="285">
        <f>S821+U821</f>
        <v>0</v>
      </c>
    </row>
    <row r="822" spans="1:25" ht="13.5" customHeight="1" x14ac:dyDescent="0.3">
      <c r="A822" t="str">
        <f t="shared" si="79"/>
        <v>DHLReception pit</v>
      </c>
      <c r="B822" s="99" t="s">
        <v>5219</v>
      </c>
      <c r="C822" s="233">
        <f t="shared" si="63"/>
        <v>8018.7932118545777</v>
      </c>
      <c r="D822" s="233">
        <f t="shared" si="64"/>
        <v>13570</v>
      </c>
      <c r="E822" s="274">
        <f>SUM(C822:D822)</f>
        <v>21588.79321185458</v>
      </c>
      <c r="F822" s="233">
        <f t="shared" si="65"/>
        <v>1821.4045073202617</v>
      </c>
      <c r="G822" s="233">
        <f t="shared" si="66"/>
        <v>1572.7463282449262</v>
      </c>
      <c r="H822" s="153">
        <f>SUM(F822:G822)</f>
        <v>3394.1508355651877</v>
      </c>
      <c r="I822" s="233">
        <f t="shared" si="67"/>
        <v>0</v>
      </c>
      <c r="J822" s="233">
        <f t="shared" si="68"/>
        <v>0</v>
      </c>
      <c r="K822" s="233">
        <f>SUMIFS($C:$C,$A:$A,$B822,$B:$B,"Annual revenues")</f>
        <v>0</v>
      </c>
      <c r="L822" s="233">
        <f t="shared" si="69"/>
        <v>0</v>
      </c>
      <c r="M822" s="283">
        <f t="shared" si="80"/>
        <v>-3394.1508355651877</v>
      </c>
      <c r="N822">
        <f t="shared" si="70"/>
        <v>138.71116608588275</v>
      </c>
      <c r="O822">
        <f t="shared" si="71"/>
        <v>9.5144300671075079</v>
      </c>
      <c r="P822" s="147">
        <f t="shared" si="72"/>
        <v>0</v>
      </c>
      <c r="Q822" s="147">
        <f t="shared" si="73"/>
        <v>0</v>
      </c>
      <c r="R822" s="284">
        <f t="shared" si="74"/>
        <v>0</v>
      </c>
      <c r="S822" s="284">
        <f t="shared" si="75"/>
        <v>0</v>
      </c>
      <c r="T822" s="284">
        <f t="shared" si="76"/>
        <v>0</v>
      </c>
      <c r="U822" s="284">
        <f t="shared" si="77"/>
        <v>0</v>
      </c>
      <c r="V822" s="147">
        <f t="shared" si="78"/>
        <v>0</v>
      </c>
      <c r="W822" s="285">
        <f t="shared" si="78"/>
        <v>0</v>
      </c>
    </row>
    <row r="823" spans="1:25" ht="13.5" customHeight="1" x14ac:dyDescent="0.3">
      <c r="A823" t="str">
        <f t="shared" si="79"/>
        <v>DHLAnaerobic digestion</v>
      </c>
      <c r="B823" s="99" t="s">
        <v>5220</v>
      </c>
      <c r="C823" s="233">
        <f t="shared" si="63"/>
        <v>1437714.8712763968</v>
      </c>
      <c r="D823" s="233">
        <f t="shared" si="64"/>
        <v>0</v>
      </c>
      <c r="E823" s="274">
        <f>SUM(C823:D823)</f>
        <v>1437714.8712763968</v>
      </c>
      <c r="F823" s="233">
        <f t="shared" si="65"/>
        <v>164341.42883179875</v>
      </c>
      <c r="G823" s="233">
        <f t="shared" si="66"/>
        <v>79530.340061287963</v>
      </c>
      <c r="H823" s="153">
        <f>SUM(F823:G823)</f>
        <v>243871.7688930867</v>
      </c>
      <c r="I823" s="233">
        <f t="shared" si="67"/>
        <v>0</v>
      </c>
      <c r="J823" s="233">
        <f t="shared" si="68"/>
        <v>0</v>
      </c>
      <c r="K823" s="233">
        <f>SUMIFS($C:$C,$A:$A,$B823,$B:$B,"Annual revenues for drag hose")</f>
        <v>0</v>
      </c>
      <c r="L823" s="233">
        <f t="shared" si="69"/>
        <v>0</v>
      </c>
      <c r="M823" s="283">
        <f t="shared" si="80"/>
        <v>-243871.7688930867</v>
      </c>
      <c r="N823">
        <f t="shared" si="70"/>
        <v>0</v>
      </c>
      <c r="O823">
        <f t="shared" si="71"/>
        <v>0</v>
      </c>
      <c r="P823" s="147">
        <f t="shared" si="72"/>
        <v>0</v>
      </c>
      <c r="Q823" s="147">
        <f t="shared" si="73"/>
        <v>0</v>
      </c>
      <c r="R823" s="284">
        <f t="shared" si="74"/>
        <v>0</v>
      </c>
      <c r="S823" s="284">
        <f t="shared" si="75"/>
        <v>0</v>
      </c>
      <c r="T823" s="284">
        <f t="shared" si="76"/>
        <v>0</v>
      </c>
      <c r="U823" s="284">
        <f t="shared" si="77"/>
        <v>0</v>
      </c>
      <c r="V823" s="147">
        <f t="shared" si="78"/>
        <v>0</v>
      </c>
      <c r="W823" s="285">
        <f t="shared" si="78"/>
        <v>0</v>
      </c>
    </row>
    <row r="824" spans="1:25" ht="13.5" customHeight="1" x14ac:dyDescent="0.3">
      <c r="A824" t="str">
        <f t="shared" si="79"/>
        <v>DHLLagoon</v>
      </c>
      <c r="B824" s="99" t="s">
        <v>5210</v>
      </c>
      <c r="C824" s="233">
        <f t="shared" si="63"/>
        <v>129137.409352075</v>
      </c>
      <c r="D824" s="233">
        <f t="shared" si="64"/>
        <v>0</v>
      </c>
      <c r="E824" s="274">
        <f t="shared" ref="E824:E825" si="81">SUM(C824:D824)</f>
        <v>129137.409352075</v>
      </c>
      <c r="F824" s="233">
        <f t="shared" si="65"/>
        <v>10450.363362243077</v>
      </c>
      <c r="G824" s="233">
        <f t="shared" si="66"/>
        <v>1937.0611402811251</v>
      </c>
      <c r="H824" s="153">
        <f t="shared" ref="H824:H825" si="82">SUM(F824:G824)</f>
        <v>12387.424502524202</v>
      </c>
      <c r="I824" s="233">
        <f t="shared" si="67"/>
        <v>0</v>
      </c>
      <c r="J824" s="233">
        <f t="shared" si="68"/>
        <v>0</v>
      </c>
      <c r="K824" s="233">
        <f>SUMIFS($C:$C,$A:$A,$B824,$B:$B,"Annual revenues")</f>
        <v>0</v>
      </c>
      <c r="L824" s="233">
        <f t="shared" si="69"/>
        <v>0</v>
      </c>
      <c r="M824" s="283">
        <f t="shared" si="80"/>
        <v>-12387.424502524202</v>
      </c>
      <c r="N824">
        <f t="shared" si="70"/>
        <v>0</v>
      </c>
      <c r="O824">
        <f t="shared" si="71"/>
        <v>0</v>
      </c>
      <c r="P824" s="147">
        <f t="shared" si="72"/>
        <v>0</v>
      </c>
      <c r="Q824" s="147">
        <f t="shared" si="73"/>
        <v>0</v>
      </c>
      <c r="R824" s="284">
        <f t="shared" si="74"/>
        <v>0</v>
      </c>
      <c r="S824" s="284">
        <f t="shared" si="75"/>
        <v>0</v>
      </c>
      <c r="T824" s="284">
        <f t="shared" si="76"/>
        <v>0</v>
      </c>
      <c r="U824" s="284">
        <f t="shared" si="77"/>
        <v>0</v>
      </c>
      <c r="V824" s="147">
        <f t="shared" si="78"/>
        <v>0</v>
      </c>
      <c r="W824" s="285">
        <f t="shared" si="78"/>
        <v>0</v>
      </c>
    </row>
    <row r="825" spans="1:25" ht="13.5" customHeight="1" x14ac:dyDescent="0.3">
      <c r="A825" t="str">
        <f t="shared" si="79"/>
        <v>DHLEnd use drag hose</v>
      </c>
      <c r="B825" s="99" t="s">
        <v>5205</v>
      </c>
      <c r="C825" s="233">
        <f t="shared" si="63"/>
        <v>0</v>
      </c>
      <c r="D825" s="233">
        <f t="shared" si="64"/>
        <v>2057840</v>
      </c>
      <c r="E825" s="274">
        <f t="shared" si="81"/>
        <v>2057840</v>
      </c>
      <c r="F825" s="233">
        <f t="shared" si="65"/>
        <v>89809.583453902582</v>
      </c>
      <c r="G825" s="233">
        <f t="shared" si="66"/>
        <v>31122.122203329189</v>
      </c>
      <c r="H825" s="153">
        <f t="shared" si="82"/>
        <v>120931.70565723177</v>
      </c>
      <c r="I825" s="233">
        <f t="shared" si="67"/>
        <v>0</v>
      </c>
      <c r="J825" s="233">
        <f t="shared" si="68"/>
        <v>6429.1572140620729</v>
      </c>
      <c r="K825" s="233">
        <f>SUMIFS($C:$C,$A:$A,$B825,$B:$B,"Annual revenues")</f>
        <v>0</v>
      </c>
      <c r="L825" s="233">
        <f t="shared" si="69"/>
        <v>0</v>
      </c>
      <c r="M825" s="283">
        <f t="shared" si="80"/>
        <v>-120931.70565723177</v>
      </c>
      <c r="N825">
        <f t="shared" si="70"/>
        <v>934.64729834049092</v>
      </c>
      <c r="O825">
        <f t="shared" si="71"/>
        <v>64.109015938671504</v>
      </c>
      <c r="P825" s="147">
        <f t="shared" si="72"/>
        <v>67.387124452167157</v>
      </c>
      <c r="Q825" s="147">
        <f t="shared" si="73"/>
        <v>249.09586980984673</v>
      </c>
      <c r="R825" s="284">
        <f t="shared" si="74"/>
        <v>10.22051845076796</v>
      </c>
      <c r="S825" s="284">
        <f t="shared" si="75"/>
        <v>241.81746654516996</v>
      </c>
      <c r="T825" s="284">
        <f t="shared" si="76"/>
        <v>0</v>
      </c>
      <c r="U825" s="284">
        <f t="shared" si="77"/>
        <v>0</v>
      </c>
      <c r="V825" s="147">
        <f t="shared" si="78"/>
        <v>10.22051845076796</v>
      </c>
      <c r="W825" s="285">
        <f t="shared" si="78"/>
        <v>241.81746654516996</v>
      </c>
    </row>
    <row r="826" spans="1:25" ht="13.5" customHeight="1" x14ac:dyDescent="0.3">
      <c r="A826" t="str">
        <f t="shared" si="79"/>
        <v>DHLTotals</v>
      </c>
      <c r="B826" s="162" t="s">
        <v>5203</v>
      </c>
      <c r="C826" s="242">
        <f>SUM(C819:C825)</f>
        <v>1595156.2621903727</v>
      </c>
      <c r="D826" s="242">
        <f t="shared" ref="D826:M826" si="83">SUM(D819:D825)</f>
        <v>2103273.4514435697</v>
      </c>
      <c r="E826" s="242">
        <f t="shared" si="83"/>
        <v>3698429.7136339424</v>
      </c>
      <c r="F826" s="242">
        <f t="shared" si="83"/>
        <v>273765.87643183419</v>
      </c>
      <c r="G826" s="242">
        <f t="shared" si="83"/>
        <v>117743.83073082013</v>
      </c>
      <c r="H826" s="242">
        <f t="shared" si="83"/>
        <v>391509.70716265438</v>
      </c>
      <c r="I826" s="242">
        <f t="shared" si="83"/>
        <v>0</v>
      </c>
      <c r="J826" s="242">
        <f t="shared" si="83"/>
        <v>6429.1572140620729</v>
      </c>
      <c r="K826" s="242">
        <f t="shared" si="83"/>
        <v>0</v>
      </c>
      <c r="L826" s="242">
        <f t="shared" si="83"/>
        <v>0</v>
      </c>
      <c r="M826" s="242">
        <f t="shared" si="83"/>
        <v>-391509.70716265438</v>
      </c>
      <c r="N826" s="286">
        <f>SUM(N819:N825)</f>
        <v>5544.8944706049451</v>
      </c>
      <c r="O826" s="286">
        <f t="shared" ref="O826:W826" si="84">SUM(O819:O825)</f>
        <v>380.33355322957755</v>
      </c>
      <c r="P826" s="286">
        <f t="shared" si="84"/>
        <v>67.387124452167157</v>
      </c>
      <c r="Q826" s="286">
        <f t="shared" si="84"/>
        <v>249.09586980984673</v>
      </c>
      <c r="R826" s="286">
        <f t="shared" si="84"/>
        <v>10.22051845076796</v>
      </c>
      <c r="S826" s="286">
        <f t="shared" si="84"/>
        <v>241.81746654516996</v>
      </c>
      <c r="T826" s="286">
        <f t="shared" si="84"/>
        <v>0</v>
      </c>
      <c r="U826" s="286">
        <f t="shared" si="84"/>
        <v>0</v>
      </c>
      <c r="V826" s="286">
        <f t="shared" si="84"/>
        <v>10.22051845076796</v>
      </c>
      <c r="W826" s="286">
        <f t="shared" si="84"/>
        <v>241.81746654516996</v>
      </c>
    </row>
    <row r="827" spans="1:25" ht="14.4" x14ac:dyDescent="0.3">
      <c r="A827" s="82"/>
      <c r="B827" s="287" t="s">
        <v>7069</v>
      </c>
      <c r="C827" s="150"/>
      <c r="D827" s="150"/>
      <c r="E827" s="288"/>
      <c r="F827" s="150"/>
      <c r="G827" s="150"/>
      <c r="H827" s="150"/>
      <c r="I827" s="150"/>
      <c r="J827" s="150"/>
      <c r="K827" s="150"/>
      <c r="L827" s="150"/>
      <c r="M827" s="289"/>
      <c r="N827" s="150"/>
      <c r="O827" s="150"/>
      <c r="P827" s="150"/>
      <c r="Q827" s="150"/>
      <c r="R827" s="290"/>
      <c r="S827" s="291"/>
      <c r="T827" s="150"/>
      <c r="U827" s="150"/>
      <c r="V827" s="150"/>
      <c r="W827" s="151"/>
    </row>
    <row r="828" spans="1:25" ht="15" thickBot="1" x14ac:dyDescent="0.35">
      <c r="A828" s="137"/>
      <c r="B828" s="137"/>
      <c r="C828" s="137"/>
      <c r="D828" s="137"/>
      <c r="E828" s="137"/>
      <c r="F828" s="137"/>
      <c r="G828" s="137"/>
      <c r="H828" s="137"/>
      <c r="I828" s="137"/>
      <c r="J828" s="137"/>
      <c r="K828" s="137"/>
      <c r="L828" s="137"/>
      <c r="M828" s="137"/>
      <c r="N828" s="137"/>
      <c r="O828" s="137"/>
      <c r="P828" s="137"/>
      <c r="Q828" s="137"/>
      <c r="R828"/>
      <c r="W828"/>
    </row>
    <row r="829" spans="1:25" ht="14.4" x14ac:dyDescent="0.3">
      <c r="D829"/>
      <c r="E829"/>
      <c r="F829"/>
      <c r="G829"/>
      <c r="H829"/>
      <c r="K829"/>
      <c r="L829"/>
      <c r="R829"/>
      <c r="W829"/>
      <c r="Y829"/>
    </row>
    <row r="830" spans="1:25" ht="14.4" x14ac:dyDescent="0.3">
      <c r="D830"/>
      <c r="E830"/>
      <c r="F830"/>
      <c r="G830"/>
      <c r="H830"/>
      <c r="K830"/>
      <c r="L830"/>
      <c r="R830"/>
      <c r="W830"/>
      <c r="Y830"/>
    </row>
    <row r="831" spans="1:25" ht="14.4" x14ac:dyDescent="0.3">
      <c r="D831"/>
      <c r="E831"/>
      <c r="F831"/>
      <c r="G831"/>
      <c r="H831"/>
      <c r="K831"/>
      <c r="L831"/>
      <c r="R831"/>
      <c r="W831"/>
      <c r="Y831"/>
    </row>
    <row r="832" spans="1:25" ht="14.4" x14ac:dyDescent="0.3">
      <c r="D832"/>
      <c r="E832"/>
      <c r="F832"/>
      <c r="G832"/>
      <c r="H832"/>
      <c r="K832"/>
      <c r="L832"/>
      <c r="R832"/>
      <c r="W832"/>
      <c r="Y832"/>
    </row>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3.5" customHeight="1"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3.5" customHeight="1" x14ac:dyDescent="0.3"/>
    <row r="951" customFormat="1" ht="13.5" customHeight="1" x14ac:dyDescent="0.3"/>
    <row r="952" customFormat="1" ht="13.5" customHeight="1" x14ac:dyDescent="0.3"/>
    <row r="953" customFormat="1" ht="13.5" customHeight="1" x14ac:dyDescent="0.3"/>
    <row r="954" customFormat="1" ht="13.5" customHeight="1" x14ac:dyDescent="0.3"/>
    <row r="955" customFormat="1" ht="13.5" customHeight="1" x14ac:dyDescent="0.3"/>
    <row r="956" customFormat="1" ht="13.5" customHeight="1" x14ac:dyDescent="0.3"/>
    <row r="957" customFormat="1" ht="13.5" customHeight="1" x14ac:dyDescent="0.3"/>
    <row r="958" customFormat="1" ht="13.5" customHeight="1" x14ac:dyDescent="0.3"/>
    <row r="959" customFormat="1" ht="13.5" customHeight="1" x14ac:dyDescent="0.3"/>
    <row r="960" customFormat="1" ht="13.5" customHeight="1" x14ac:dyDescent="0.3"/>
    <row r="961" customFormat="1" ht="13.5" customHeight="1" x14ac:dyDescent="0.3"/>
    <row r="962" customFormat="1" ht="13.5" customHeight="1" x14ac:dyDescent="0.3"/>
    <row r="963" customFormat="1" ht="13.5" customHeight="1" x14ac:dyDescent="0.3"/>
  </sheetData>
  <mergeCells count="5">
    <mergeCell ref="C595:D595"/>
    <mergeCell ref="E595:F595"/>
    <mergeCell ref="C738:D738"/>
    <mergeCell ref="E738:F738"/>
    <mergeCell ref="D565:F565"/>
  </mergeCells>
  <pageMargins left="0.7" right="0.7" top="0.75" bottom="0.75" header="0.3" footer="0.3"/>
  <pageSetup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F7C89-E377-4BD6-B787-34DD0FA7E5DA}">
  <sheetPr codeName="Sheet32">
    <tabColor rgb="FF92D050"/>
  </sheetPr>
  <dimension ref="A1:AA837"/>
  <sheetViews>
    <sheetView topLeftCell="A668" workbookViewId="0"/>
  </sheetViews>
  <sheetFormatPr defaultRowHeight="14.4" x14ac:dyDescent="0.3"/>
  <cols>
    <col min="1" max="1" width="21.44140625" customWidth="1"/>
    <col min="2" max="2" width="33.44140625" customWidth="1"/>
    <col min="3" max="3" width="16.5546875" customWidth="1"/>
    <col min="4" max="4" width="19.5546875" customWidth="1"/>
    <col min="5" max="5" width="17.44140625" customWidth="1"/>
    <col min="6" max="6" width="23.88671875" customWidth="1"/>
    <col min="7" max="7" width="18.109375" customWidth="1"/>
    <col min="8" max="8" width="15.5546875" bestFit="1" customWidth="1"/>
    <col min="9" max="9" width="14.44140625" customWidth="1"/>
    <col min="10" max="10" width="18" customWidth="1"/>
    <col min="11" max="11" width="18.44140625" customWidth="1"/>
    <col min="12" max="12" width="18.88671875" customWidth="1"/>
    <col min="13" max="13" width="20.33203125" customWidth="1"/>
    <col min="14" max="14" width="18.44140625" customWidth="1"/>
    <col min="15" max="15" width="10.5546875" customWidth="1"/>
    <col min="17" max="17" width="28" customWidth="1"/>
    <col min="18" max="18" width="44.44140625" customWidth="1"/>
    <col min="19" max="19" width="12.44140625" customWidth="1"/>
    <col min="20" max="20" width="15" customWidth="1"/>
    <col min="21" max="21" width="24.5546875" customWidth="1"/>
    <col min="22" max="22" width="11.109375" customWidth="1"/>
    <col min="23" max="23" width="28.88671875" customWidth="1"/>
    <col min="24" max="24" width="38.5546875" customWidth="1"/>
    <col min="25" max="25" width="23.44140625" customWidth="1"/>
    <col min="26" max="26" width="22" customWidth="1"/>
    <col min="27" max="27" width="16.88671875" bestFit="1" customWidth="1"/>
    <col min="28" max="28" width="12.5546875" customWidth="1"/>
  </cols>
  <sheetData>
    <row r="1" spans="1:27" x14ac:dyDescent="0.3">
      <c r="A1" s="90" t="str">
        <f>Sc.Table!J26</f>
        <v>The farm uses a pull-plug method for barn cleaning. The scrape manure is collected in a reception pit and pumped to an Anaerobic Digestor (CSTR)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B1" s="90"/>
      <c r="C1" s="90"/>
      <c r="D1" s="90"/>
      <c r="E1" s="90"/>
      <c r="F1" s="90"/>
      <c r="G1" s="90"/>
      <c r="H1" s="90"/>
      <c r="I1" s="277"/>
      <c r="J1" s="277"/>
      <c r="K1" s="90"/>
      <c r="L1" s="66"/>
      <c r="M1" s="90"/>
      <c r="N1" s="213"/>
      <c r="O1" s="90"/>
      <c r="P1" s="90"/>
      <c r="Q1" s="90"/>
      <c r="R1" s="90"/>
      <c r="S1" s="90"/>
      <c r="T1" s="90"/>
      <c r="U1" s="66"/>
      <c r="V1" s="90"/>
      <c r="W1" s="90"/>
      <c r="X1" s="90"/>
      <c r="Y1" s="90"/>
      <c r="Z1" s="90"/>
      <c r="AA1" s="90"/>
    </row>
    <row r="2" spans="1:27" x14ac:dyDescent="0.3">
      <c r="A2" s="1611"/>
      <c r="B2" s="1660" t="s">
        <v>6921</v>
      </c>
      <c r="C2" s="2001"/>
      <c r="D2" s="2000"/>
      <c r="E2" s="1611"/>
      <c r="F2" s="1611"/>
      <c r="G2" s="1611"/>
      <c r="H2" s="1611"/>
      <c r="I2" s="1611"/>
      <c r="J2" s="1918"/>
      <c r="K2" s="1918"/>
      <c r="L2" s="1918"/>
      <c r="M2" s="1611"/>
      <c r="N2" s="1918"/>
      <c r="O2" s="1918"/>
      <c r="P2" s="1611"/>
      <c r="Q2" s="1928" t="s">
        <v>6923</v>
      </c>
      <c r="R2" s="2005"/>
      <c r="S2" s="2006"/>
      <c r="T2" s="2036"/>
      <c r="U2" s="2006"/>
      <c r="V2" s="90"/>
      <c r="W2" s="1928" t="s">
        <v>7141</v>
      </c>
      <c r="X2" s="2005"/>
      <c r="Y2" s="2006"/>
      <c r="Z2" s="2036"/>
      <c r="AA2" s="2006"/>
    </row>
    <row r="3" spans="1:27" x14ac:dyDescent="0.3">
      <c r="A3" s="1611"/>
      <c r="B3" s="1668" t="s">
        <v>6922</v>
      </c>
      <c r="C3" s="1670"/>
      <c r="D3" s="1670"/>
      <c r="E3" s="1611"/>
      <c r="F3" s="1611"/>
      <c r="G3" s="1611"/>
      <c r="H3" s="1611"/>
      <c r="I3" s="1918"/>
      <c r="J3" s="1632"/>
      <c r="K3" s="1632"/>
      <c r="L3" s="1632"/>
      <c r="M3" s="1632"/>
      <c r="N3" s="1632"/>
      <c r="O3" s="1632"/>
      <c r="P3" s="1632"/>
      <c r="Q3" s="91" t="s">
        <v>1901</v>
      </c>
      <c r="R3" s="1546" t="s">
        <v>6925</v>
      </c>
      <c r="S3" s="91"/>
      <c r="T3" s="1376">
        <f>C5*UDV.animal.total*UC.day_to_year</f>
        <v>0.5855973846883441</v>
      </c>
      <c r="U3" s="510" t="s">
        <v>2521</v>
      </c>
      <c r="V3" s="90"/>
      <c r="W3" s="52" t="s">
        <v>7142</v>
      </c>
      <c r="X3" s="91" t="str">
        <f>PT.anaer_lagoon!B305</f>
        <v>Interval between sludge removal</v>
      </c>
      <c r="Y3" s="91"/>
      <c r="Z3" s="1379">
        <f>PT.anaer_lagoon!AA305</f>
        <v>10</v>
      </c>
      <c r="AA3" s="1465" t="str">
        <f>PT.anaer_lagoon!F305</f>
        <v>year</v>
      </c>
    </row>
    <row r="4" spans="1:27" x14ac:dyDescent="0.3">
      <c r="A4" s="1611"/>
      <c r="B4" s="1577" t="s">
        <v>6924</v>
      </c>
      <c r="C4" s="1879">
        <f>UDV.animal.manure*UC.year_to_day/UDV.animal.total/UDV.density.manure</f>
        <v>2.0526696680080483</v>
      </c>
      <c r="D4" s="1806" t="s">
        <v>5838</v>
      </c>
      <c r="E4" s="1611"/>
      <c r="F4" s="1611"/>
      <c r="G4" s="1939"/>
      <c r="H4" s="1611"/>
      <c r="I4" s="1918"/>
      <c r="J4" s="1632"/>
      <c r="K4" s="1632"/>
      <c r="L4" s="1632"/>
      <c r="M4" s="1632"/>
      <c r="N4" s="1632"/>
      <c r="O4" s="1632"/>
      <c r="P4" s="1632"/>
      <c r="Q4" s="2033" t="s">
        <v>7245</v>
      </c>
      <c r="R4" s="1439" t="str">
        <f>PT.shallow_plug!B71</f>
        <v>Pit recharge frequency</v>
      </c>
      <c r="S4" s="91"/>
      <c r="T4" s="1439">
        <f>PT.shallow_plug!G71</f>
        <v>52.142857142857146</v>
      </c>
      <c r="U4" s="510" t="str">
        <f>PT.shallow_plug!C71</f>
        <v>events/year</v>
      </c>
      <c r="V4" s="90"/>
      <c r="W4" s="52"/>
      <c r="X4" s="91" t="str">
        <f>PT.anaer_lagoon!B306</f>
        <v>Manure sludge removed, lagoon</v>
      </c>
      <c r="Y4" s="91"/>
      <c r="Z4" s="1379">
        <f>PT.anaer_lagoon!AA306</f>
        <v>2693.8026530909328</v>
      </c>
      <c r="AA4" s="1465" t="str">
        <f>PT.anaer_lagoon!F306</f>
        <v>m3/event</v>
      </c>
    </row>
    <row r="5" spans="1:27" x14ac:dyDescent="0.3">
      <c r="A5" s="1611"/>
      <c r="B5" s="1577" t="s">
        <v>415</v>
      </c>
      <c r="C5" s="1811">
        <f>SUM(C38:C41)</f>
        <v>0.42748609082249117</v>
      </c>
      <c r="D5" s="1806" t="s">
        <v>5838</v>
      </c>
      <c r="E5" s="1918"/>
      <c r="F5" s="1918"/>
      <c r="G5" s="1918"/>
      <c r="H5" s="1918"/>
      <c r="I5" s="1918"/>
      <c r="J5" s="1632"/>
      <c r="K5" s="1632"/>
      <c r="L5" s="1632"/>
      <c r="M5" s="1632"/>
      <c r="N5" s="1632"/>
      <c r="O5" s="1632"/>
      <c r="P5" s="1632"/>
      <c r="Q5" s="654"/>
      <c r="R5" s="1439" t="str">
        <f>PT.shallow_plug!B72</f>
        <v>Total recycled water needed</v>
      </c>
      <c r="S5" s="91"/>
      <c r="T5" s="1439">
        <f>PT.shallow_plug!G72</f>
        <v>16.2</v>
      </c>
      <c r="U5" s="510" t="str">
        <f>PT.shallow_plug!C72</f>
        <v>m3/event</v>
      </c>
      <c r="V5" s="90"/>
      <c r="W5" s="52"/>
      <c r="X5" s="91" t="str">
        <f>PT.anaer_lagoon!B307</f>
        <v>Lagoon surface area</v>
      </c>
      <c r="Y5" s="91"/>
      <c r="Z5" s="1379">
        <f>PT.anaer_lagoon!AA307</f>
        <v>2664.5817743943217</v>
      </c>
      <c r="AA5" s="1465" t="str">
        <f>PT.anaer_lagoon!F307</f>
        <v>m3</v>
      </c>
    </row>
    <row r="6" spans="1:27" x14ac:dyDescent="0.3">
      <c r="A6" s="1611"/>
      <c r="B6" s="1577" t="s">
        <v>409</v>
      </c>
      <c r="C6" s="1811">
        <f>SUM(C34:C36)</f>
        <v>2.5526791721952309</v>
      </c>
      <c r="D6" s="1806" t="s">
        <v>5769</v>
      </c>
      <c r="E6" s="1918"/>
      <c r="F6" s="1918"/>
      <c r="G6" s="1918"/>
      <c r="H6" s="1918"/>
      <c r="I6" s="1611"/>
      <c r="J6" s="1611"/>
      <c r="K6" s="1611"/>
      <c r="L6" s="1611"/>
      <c r="M6" s="2032"/>
      <c r="N6" s="1611"/>
      <c r="O6" s="1611"/>
      <c r="P6" s="1611"/>
      <c r="Q6" s="654"/>
      <c r="R6" s="1439" t="str">
        <f>PT.shallow_plug!B73</f>
        <v>Number of pumps needed from pond/lagoon</v>
      </c>
      <c r="S6" s="91"/>
      <c r="T6" s="1439">
        <f>PT.shallow_plug!G73</f>
        <v>1</v>
      </c>
      <c r="U6" s="510" t="str">
        <f>PT.shallow_plug!C73</f>
        <v>quantity</v>
      </c>
      <c r="V6" s="90"/>
      <c r="W6" s="52"/>
      <c r="X6" s="91" t="str">
        <f>PT.anaer_lagoon!B308</f>
        <v>Lagoon constructed size</v>
      </c>
      <c r="Y6" s="91"/>
      <c r="Z6" s="1379">
        <f>PT.anaer_lagoon!AA308</f>
        <v>5536.05004954981</v>
      </c>
      <c r="AA6" s="1465" t="str">
        <f>PT.anaer_lagoon!F308</f>
        <v>m2</v>
      </c>
    </row>
    <row r="7" spans="1:27" ht="15" customHeight="1" x14ac:dyDescent="0.3">
      <c r="A7" s="1611"/>
      <c r="B7" s="1577" t="s">
        <v>6926</v>
      </c>
      <c r="C7" s="1390" t="s">
        <v>6927</v>
      </c>
      <c r="D7" s="1806"/>
      <c r="E7" s="1918"/>
      <c r="F7" s="1918"/>
      <c r="G7" s="2017"/>
      <c r="H7" s="1918"/>
      <c r="I7" s="1611"/>
      <c r="J7" s="1611"/>
      <c r="K7" s="1611"/>
      <c r="L7" s="1611"/>
      <c r="M7" s="1611"/>
      <c r="N7" s="1611"/>
      <c r="O7" s="1611"/>
      <c r="P7" s="1611"/>
      <c r="Q7" s="2034"/>
      <c r="R7" s="1439" t="str">
        <f>PT.shallow_plug!B74</f>
        <v>Size of motor(s) needed for pump(s)</v>
      </c>
      <c r="S7" s="91"/>
      <c r="T7" s="1439">
        <f>PT.shallow_plug!G74</f>
        <v>4.9783549783549788</v>
      </c>
      <c r="U7" s="510" t="str">
        <f>PT.shallow_plug!C74</f>
        <v>hp</v>
      </c>
      <c r="V7" s="90"/>
      <c r="W7" s="52"/>
      <c r="X7" s="91" t="str">
        <f>PT.anaer_lagoon!B309</f>
        <v>N removed, lagoon</v>
      </c>
      <c r="Y7" s="91"/>
      <c r="Z7" s="1379">
        <f>PT.anaer_lagoon!AA309</f>
        <v>2.4414765858241436</v>
      </c>
      <c r="AA7" s="1465" t="str">
        <f>PT.anaer_lagoon!F309</f>
        <v>g/L</v>
      </c>
    </row>
    <row r="8" spans="1:27" ht="15" customHeight="1" x14ac:dyDescent="0.3">
      <c r="A8" s="1611"/>
      <c r="B8" s="1577" t="s">
        <v>6928</v>
      </c>
      <c r="C8" s="1395">
        <f>SUM(C43:C50)/UDV.animal.total</f>
        <v>294.2399577070621</v>
      </c>
      <c r="D8" s="1353" t="s">
        <v>2270</v>
      </c>
      <c r="E8" s="1611"/>
      <c r="F8" s="1611"/>
      <c r="G8" s="1611"/>
      <c r="H8" s="1611"/>
      <c r="I8" s="1611"/>
      <c r="J8" s="1611"/>
      <c r="K8" s="1611"/>
      <c r="L8" s="1611"/>
      <c r="M8" s="1611"/>
      <c r="N8" s="1611"/>
      <c r="O8" s="1611"/>
      <c r="P8" s="1611"/>
      <c r="Q8" s="654"/>
      <c r="R8" s="1439" t="str">
        <f>PT.shallow_plug!B75</f>
        <v>Operational time for pump/motor</v>
      </c>
      <c r="S8" s="91"/>
      <c r="T8" s="1439">
        <f>PT.shallow_plug!G75</f>
        <v>6.7929956228571425E-2</v>
      </c>
      <c r="U8" s="510" t="str">
        <f>PT.shallow_plug!C75</f>
        <v>hr/day</v>
      </c>
      <c r="V8" s="90"/>
      <c r="W8" s="52"/>
      <c r="X8" s="91" t="str">
        <f>PT.anaer_lagoon!B310</f>
        <v>P2O5 removed, lagoon</v>
      </c>
      <c r="Y8" s="91"/>
      <c r="Z8" s="1379">
        <f>PT.anaer_lagoon!AA310</f>
        <v>5.5486604996284568</v>
      </c>
      <c r="AA8" s="1465" t="str">
        <f>PT.anaer_lagoon!F310</f>
        <v>g/L</v>
      </c>
    </row>
    <row r="9" spans="1:27" ht="15" customHeight="1" x14ac:dyDescent="0.3">
      <c r="A9" s="1611"/>
      <c r="B9" s="1810" t="s">
        <v>6929</v>
      </c>
      <c r="C9" s="1807"/>
      <c r="D9" s="1806"/>
      <c r="E9" s="1611"/>
      <c r="F9" s="1611"/>
      <c r="G9" s="1850"/>
      <c r="H9" s="1611"/>
      <c r="I9" s="1611"/>
      <c r="J9" s="1611"/>
      <c r="K9" s="1611"/>
      <c r="L9" s="1611"/>
      <c r="M9" s="1611"/>
      <c r="N9" s="1611"/>
      <c r="O9" s="1611"/>
      <c r="P9" s="1611"/>
      <c r="Q9" s="654"/>
      <c r="R9" s="1439" t="str">
        <f>PT.shallow_plug!B76</f>
        <v>Energy needed for motor(s) for pump(s)</v>
      </c>
      <c r="S9" s="91"/>
      <c r="T9" s="1439">
        <f>PT.shallow_plug!G76</f>
        <v>0.25218036129032084</v>
      </c>
      <c r="U9" s="510" t="str">
        <f>PT.shallow_plug!C76</f>
        <v>kWh/day</v>
      </c>
      <c r="V9" s="90"/>
      <c r="W9" s="91"/>
      <c r="X9" s="91" t="str">
        <f>PT.anaer_lagoon!B311</f>
        <v>K2O removed, lagoon</v>
      </c>
      <c r="Y9" s="91"/>
      <c r="Z9" s="1379">
        <f>PT.anaer_lagoon!AA311</f>
        <v>5.5486875988667448</v>
      </c>
      <c r="AA9" s="1465" t="str">
        <f>PT.anaer_lagoon!F311</f>
        <v>g/L</v>
      </c>
    </row>
    <row r="10" spans="1:27" x14ac:dyDescent="0.3">
      <c r="A10" s="1611"/>
      <c r="B10" s="1577" t="s">
        <v>6163</v>
      </c>
      <c r="C10" s="1811">
        <f>C59</f>
        <v>5.2614848834819785</v>
      </c>
      <c r="D10" s="1806" t="s">
        <v>2385</v>
      </c>
      <c r="E10" s="1611"/>
      <c r="F10" s="1611"/>
      <c r="G10" s="1850"/>
      <c r="H10" s="1611"/>
      <c r="I10" s="1611"/>
      <c r="J10" s="1918"/>
      <c r="K10" s="1918"/>
      <c r="L10" s="1918"/>
      <c r="M10" s="1918"/>
      <c r="N10" s="1611"/>
      <c r="O10" s="1611"/>
      <c r="P10" s="1611"/>
      <c r="Q10" s="654"/>
      <c r="R10" s="1439" t="str">
        <f>PT.shallow_plug!B77</f>
        <v>Total distance from pump to splitters</v>
      </c>
      <c r="S10" s="91"/>
      <c r="T10" s="1439">
        <f>PT.shallow_plug!G77</f>
        <v>600</v>
      </c>
      <c r="U10" s="510" t="str">
        <f>PT.shallow_plug!C77</f>
        <v>ft</v>
      </c>
      <c r="V10" s="90"/>
      <c r="W10" s="91"/>
      <c r="X10" s="91" t="str">
        <f>PT.anaer_lagoon!B312</f>
        <v>Tanker, size</v>
      </c>
      <c r="Y10" s="91"/>
      <c r="Z10" s="1379">
        <f>PT.anaer_lagoon!AA312</f>
        <v>6000</v>
      </c>
      <c r="AA10" s="1465" t="str">
        <f>PT.anaer_lagoon!F312</f>
        <v>gal</v>
      </c>
    </row>
    <row r="11" spans="1:27" x14ac:dyDescent="0.3">
      <c r="A11" s="1611"/>
      <c r="B11" s="1577" t="s">
        <v>6164</v>
      </c>
      <c r="C11" s="1811">
        <f t="shared" ref="C11:C12" si="0">C60</f>
        <v>3.6537102250000002</v>
      </c>
      <c r="D11" s="1806" t="s">
        <v>2385</v>
      </c>
      <c r="E11" s="1611"/>
      <c r="F11" s="1611"/>
      <c r="G11" s="1850"/>
      <c r="H11" s="1611"/>
      <c r="I11" s="1611"/>
      <c r="J11" s="1918"/>
      <c r="K11" s="1918"/>
      <c r="L11" s="1918"/>
      <c r="M11" s="1918"/>
      <c r="N11" s="1611"/>
      <c r="O11" s="1611"/>
      <c r="P11" s="1611"/>
      <c r="Q11" s="91"/>
      <c r="R11" s="1439" t="str">
        <f>PT.shallow_plug!B78</f>
        <v>Total distance from splitters to barns</v>
      </c>
      <c r="S11" s="91"/>
      <c r="T11" s="1439">
        <f>PT.shallow_plug!G78</f>
        <v>200</v>
      </c>
      <c r="U11" s="510" t="str">
        <f>PT.shallow_plug!C78</f>
        <v>ft</v>
      </c>
      <c r="V11" s="90"/>
      <c r="W11" s="91"/>
      <c r="X11" s="91" t="str">
        <f>PT.anaer_lagoon!B313</f>
        <v>Tractor for tanker, size</v>
      </c>
      <c r="Y11" s="91"/>
      <c r="Z11" s="1379">
        <f>PT.anaer_lagoon!AA313</f>
        <v>250</v>
      </c>
      <c r="AA11" s="1465" t="str">
        <f>PT.anaer_lagoon!F313</f>
        <v>PTO hp</v>
      </c>
    </row>
    <row r="12" spans="1:27" ht="20.25" customHeight="1" x14ac:dyDescent="0.3">
      <c r="A12" s="1611"/>
      <c r="B12" s="1577" t="s">
        <v>6165</v>
      </c>
      <c r="C12" s="1811">
        <f t="shared" si="0"/>
        <v>5.5517686249999993</v>
      </c>
      <c r="D12" s="1806" t="s">
        <v>2385</v>
      </c>
      <c r="E12" s="1611"/>
      <c r="F12" s="1611"/>
      <c r="G12" s="1850"/>
      <c r="H12" s="1611"/>
      <c r="I12" s="1939"/>
      <c r="J12" s="1862"/>
      <c r="K12" s="1857"/>
      <c r="L12" s="1857"/>
      <c r="M12" s="1857"/>
      <c r="N12" s="1857"/>
      <c r="O12" s="1918"/>
      <c r="P12" s="1611"/>
      <c r="Q12" s="91" t="s">
        <v>5219</v>
      </c>
      <c r="R12" s="1439" t="str">
        <f>PT.reception_pit!B26</f>
        <v>Reception pit constructed size</v>
      </c>
      <c r="S12" s="91"/>
      <c r="T12" s="1439">
        <f>PT.reception_pit!I26</f>
        <v>5208.020166707699</v>
      </c>
      <c r="U12" s="1465" t="str">
        <f>PT.reception_pit!C26</f>
        <v>L</v>
      </c>
      <c r="V12" s="90"/>
      <c r="W12" s="91"/>
      <c r="X12" s="91" t="str">
        <f>PT.anaer_lagoon!B314</f>
        <v>Application by broadcast or injection?</v>
      </c>
      <c r="Y12" s="91"/>
      <c r="Z12" s="1379" t="str">
        <f>PT.anaer_lagoon!AA314</f>
        <v>Injection</v>
      </c>
      <c r="AA12" s="1465" t="str">
        <f>PT.anaer_lagoon!F314</f>
        <v>type</v>
      </c>
    </row>
    <row r="13" spans="1:27" x14ac:dyDescent="0.3">
      <c r="A13" s="1611"/>
      <c r="B13" s="1810" t="s">
        <v>6930</v>
      </c>
      <c r="C13" s="1811"/>
      <c r="D13" s="1806"/>
      <c r="E13" s="1611"/>
      <c r="F13" s="1611"/>
      <c r="G13" s="1850"/>
      <c r="H13" s="1611"/>
      <c r="I13" s="1939"/>
      <c r="J13" s="1857"/>
      <c r="K13" s="2019"/>
      <c r="L13" s="1862"/>
      <c r="M13" s="1611"/>
      <c r="N13" s="1611"/>
      <c r="O13" s="1611"/>
      <c r="P13" s="1611"/>
      <c r="Q13" s="91"/>
      <c r="R13" s="1439" t="str">
        <f>PT.reception_pit!B27</f>
        <v>Size of motor(s) for agi-pump(s)</v>
      </c>
      <c r="S13" s="91"/>
      <c r="T13" s="1439">
        <f>PT.reception_pit!I27</f>
        <v>15</v>
      </c>
      <c r="U13" s="1465" t="str">
        <f>PT.reception_pit!C27</f>
        <v>hp</v>
      </c>
      <c r="V13" s="90"/>
      <c r="W13" s="91"/>
      <c r="X13" s="91" t="str">
        <f>PT.anaer_lagoon!B315</f>
        <v>Operation time for tractor with tanker</v>
      </c>
      <c r="Y13" s="91"/>
      <c r="Z13" s="1379">
        <f>PT.anaer_lagoon!AA315</f>
        <v>45.327719728331026</v>
      </c>
      <c r="AA13" s="1465" t="str">
        <f>PT.anaer_lagoon!F315</f>
        <v>hrs/event</v>
      </c>
    </row>
    <row r="14" spans="1:27" ht="20.25" customHeight="1" x14ac:dyDescent="0.3">
      <c r="A14" s="1611"/>
      <c r="B14" s="1577" t="s">
        <v>6163</v>
      </c>
      <c r="C14" s="1811">
        <f>C63</f>
        <v>1.3153712208704942</v>
      </c>
      <c r="D14" s="1806" t="s">
        <v>2385</v>
      </c>
      <c r="E14" s="1611"/>
      <c r="F14" s="1611"/>
      <c r="G14" s="1850"/>
      <c r="H14" s="1611"/>
      <c r="I14" s="1939"/>
      <c r="J14" s="1857"/>
      <c r="K14" s="1857"/>
      <c r="L14" s="2021"/>
      <c r="M14" s="1857"/>
      <c r="N14" s="1866"/>
      <c r="O14" s="1611"/>
      <c r="P14" s="1611"/>
      <c r="Q14" s="91"/>
      <c r="R14" s="1439" t="str">
        <f>PT.reception_pit!B28</f>
        <v>Number of agi-pumps needed</v>
      </c>
      <c r="S14" s="91"/>
      <c r="T14" s="1439">
        <f>PT.reception_pit!I28</f>
        <v>1</v>
      </c>
      <c r="U14" s="1465" t="str">
        <f>PT.reception_pit!C28</f>
        <v>pumps</v>
      </c>
      <c r="V14" s="90"/>
      <c r="W14" s="91"/>
      <c r="X14" s="91" t="str">
        <f>PT.anaer_lagoon!B316</f>
        <v>Fuel needed for tractor with tank and applicator</v>
      </c>
      <c r="Y14" s="91"/>
      <c r="Z14" s="1379">
        <f>PT.anaer_lagoon!AA316</f>
        <v>498.60491701164131</v>
      </c>
      <c r="AA14" s="1465" t="str">
        <f>PT.anaer_lagoon!F316</f>
        <v>gal/event</v>
      </c>
    </row>
    <row r="15" spans="1:27" x14ac:dyDescent="0.3">
      <c r="A15" s="1939"/>
      <c r="B15" s="1577" t="s">
        <v>6164</v>
      </c>
      <c r="C15" s="1811">
        <f t="shared" ref="C15:C16" si="1">C64</f>
        <v>2.9893992749999998</v>
      </c>
      <c r="D15" s="1806" t="s">
        <v>2385</v>
      </c>
      <c r="E15" s="1611"/>
      <c r="F15" s="1611"/>
      <c r="G15" s="1850"/>
      <c r="H15" s="1611"/>
      <c r="I15" s="1939"/>
      <c r="J15" s="1862"/>
      <c r="K15" s="1862"/>
      <c r="L15" s="2019"/>
      <c r="M15" s="2022"/>
      <c r="N15" s="1939"/>
      <c r="O15" s="1611"/>
      <c r="P15" s="1611"/>
      <c r="Q15" s="91"/>
      <c r="R15" s="1439" t="str">
        <f>PT.reception_pit!B29</f>
        <v>Energy needed for motor for agi-pump</v>
      </c>
      <c r="S15" s="91"/>
      <c r="T15" s="1439">
        <f>PT.reception_pit!I29</f>
        <v>0.6839628928387872</v>
      </c>
      <c r="U15" s="1465" t="str">
        <f>PT.reception_pit!C29</f>
        <v>kWh/day</v>
      </c>
      <c r="V15" s="90"/>
      <c r="W15" s="91"/>
      <c r="X15" s="91" t="str">
        <f>PT.anaer_lagoon!B317</f>
        <v>Number of tractors with tanker needed</v>
      </c>
      <c r="Y15" s="91"/>
      <c r="Z15" s="1379">
        <f>PT.anaer_lagoon!AA317</f>
        <v>1</v>
      </c>
      <c r="AA15" s="1465" t="str">
        <f>PT.anaer_lagoon!F317</f>
        <v>quantity</v>
      </c>
    </row>
    <row r="16" spans="1:27" x14ac:dyDescent="0.3">
      <c r="A16" s="1939"/>
      <c r="B16" s="1577" t="s">
        <v>6165</v>
      </c>
      <c r="C16" s="1811">
        <f t="shared" si="1"/>
        <v>2.9894138749999994</v>
      </c>
      <c r="D16" s="1806" t="s">
        <v>2385</v>
      </c>
      <c r="E16" s="1611"/>
      <c r="F16" s="1611"/>
      <c r="G16" s="1611"/>
      <c r="H16" s="1611"/>
      <c r="I16" s="1939"/>
      <c r="J16" s="1862"/>
      <c r="K16" s="1862"/>
      <c r="L16" s="2022"/>
      <c r="M16" s="2022"/>
      <c r="N16" s="1939"/>
      <c r="O16" s="1611"/>
      <c r="P16" s="1611"/>
      <c r="Q16" s="91" t="s">
        <v>3086</v>
      </c>
      <c r="R16" s="1439" t="str">
        <f>PT.anaer_digest!B81</f>
        <v>Manure inflow volume</v>
      </c>
      <c r="S16" s="91"/>
      <c r="T16" s="1439">
        <f>PT.anaer_digest!I81</f>
        <v>5.2080201667076986</v>
      </c>
      <c r="U16" s="1465" t="str">
        <f>PT.anaer_digest!C81</f>
        <v>m3/day</v>
      </c>
      <c r="V16" s="90"/>
      <c r="W16" s="91"/>
      <c r="X16" s="91" t="str">
        <f>PT.anaer_lagoon!B318</f>
        <v>Tractor for agitator, size</v>
      </c>
      <c r="Y16" s="91"/>
      <c r="Z16" s="1379">
        <f>PT.anaer_lagoon!AA318</f>
        <v>160</v>
      </c>
      <c r="AA16" s="1465" t="str">
        <f>PT.anaer_lagoon!F318</f>
        <v>PTO hp</v>
      </c>
    </row>
    <row r="17" spans="1:27" x14ac:dyDescent="0.3">
      <c r="A17" s="1939"/>
      <c r="B17" s="1808" t="s">
        <v>5271</v>
      </c>
      <c r="C17" s="1809"/>
      <c r="D17" s="1806"/>
      <c r="E17" s="1611"/>
      <c r="F17" s="1611"/>
      <c r="G17" s="1850"/>
      <c r="H17" s="1611"/>
      <c r="I17" s="1939"/>
      <c r="J17" s="1857"/>
      <c r="K17" s="1862"/>
      <c r="L17" s="2022"/>
      <c r="M17" s="2022"/>
      <c r="N17" s="1939"/>
      <c r="O17" s="1611"/>
      <c r="P17" s="1611"/>
      <c r="Q17" s="91"/>
      <c r="R17" s="1439" t="str">
        <f>PT.anaer_digest!B82</f>
        <v>Number of digesters</v>
      </c>
      <c r="S17" s="91"/>
      <c r="T17" s="1439">
        <f>PT.anaer_digest!I82</f>
        <v>1</v>
      </c>
      <c r="U17" s="1465" t="str">
        <f>PT.anaer_digest!C82</f>
        <v>quantity</v>
      </c>
      <c r="V17" s="90"/>
      <c r="W17" s="91"/>
      <c r="X17" s="91" t="str">
        <f>PT.anaer_lagoon!B319</f>
        <v>Number of tractors for agitating needed</v>
      </c>
      <c r="Y17" s="91"/>
      <c r="Z17" s="1379">
        <f>PT.anaer_lagoon!AA319</f>
        <v>1</v>
      </c>
      <c r="AA17" s="1465" t="str">
        <f>PT.anaer_lagoon!F319</f>
        <v>quantity</v>
      </c>
    </row>
    <row r="18" spans="1:27" ht="15.6" x14ac:dyDescent="0.3">
      <c r="A18" s="1611"/>
      <c r="B18" s="1577" t="s">
        <v>6782</v>
      </c>
      <c r="C18" s="1812">
        <f>C78+C83+C87</f>
        <v>18.065428638023633</v>
      </c>
      <c r="D18" s="1806" t="s">
        <v>2385</v>
      </c>
      <c r="E18" s="1611"/>
      <c r="F18" s="1611"/>
      <c r="G18" s="1632"/>
      <c r="H18" s="1611"/>
      <c r="I18" s="1611"/>
      <c r="J18" s="1857"/>
      <c r="K18" s="1862"/>
      <c r="L18" s="2019"/>
      <c r="M18" s="2022"/>
      <c r="N18" s="1939"/>
      <c r="O18" s="1611"/>
      <c r="P18" s="1611"/>
      <c r="Q18" s="91"/>
      <c r="R18" s="1439" t="str">
        <f>PT.anaer_digest!B83</f>
        <v>Digester constructed size</v>
      </c>
      <c r="S18" s="91"/>
      <c r="T18" s="1439">
        <f>PT.anaer_digest!I83</f>
        <v>130.20050416769246</v>
      </c>
      <c r="U18" s="1465" t="str">
        <f>PT.anaer_digest!C83</f>
        <v>m3/digester</v>
      </c>
      <c r="V18" s="90"/>
      <c r="W18" s="91"/>
      <c r="X18" s="91" t="str">
        <f>PT.anaer_lagoon!B320</f>
        <v>Operation time for tractor agitating</v>
      </c>
      <c r="Y18" s="91"/>
      <c r="Z18" s="1379">
        <f>PT.anaer_lagoon!AA320</f>
        <v>56.659649660413777</v>
      </c>
      <c r="AA18" s="1465" t="str">
        <f>PT.anaer_lagoon!F320</f>
        <v>hr/year</v>
      </c>
    </row>
    <row r="19" spans="1:27" ht="15.6" x14ac:dyDescent="0.3">
      <c r="A19" s="1611"/>
      <c r="B19" s="1577" t="s">
        <v>6783</v>
      </c>
      <c r="C19" s="1812">
        <f>C80+C85+C89</f>
        <v>7.3061545779052023E-2</v>
      </c>
      <c r="D19" s="1806" t="s">
        <v>2385</v>
      </c>
      <c r="E19" s="1611"/>
      <c r="F19" s="1611"/>
      <c r="G19" s="1611"/>
      <c r="H19" s="1611"/>
      <c r="I19" s="1611"/>
      <c r="J19" s="1857"/>
      <c r="K19" s="1862"/>
      <c r="L19" s="2019"/>
      <c r="M19" s="2022"/>
      <c r="N19" s="1939"/>
      <c r="O19" s="1611"/>
      <c r="P19" s="1611"/>
      <c r="Q19" s="91"/>
      <c r="R19" s="1439" t="str">
        <f>PT.anaer_digest!B84</f>
        <v>Carbon/methane produced by volume</v>
      </c>
      <c r="S19" s="91"/>
      <c r="T19" s="1439">
        <f>PT.anaer_digest!I84</f>
        <v>9962.3303487499979</v>
      </c>
      <c r="U19" s="1465" t="str">
        <f>PT.anaer_digest!C84</f>
        <v>m3/year</v>
      </c>
      <c r="V19" s="90"/>
      <c r="W19" s="2034"/>
      <c r="X19" s="91" t="str">
        <f>PT.anaer_lagoon!B321</f>
        <v>Fuel needed for tractor for agitating</v>
      </c>
      <c r="Y19" s="91"/>
      <c r="Z19" s="1379">
        <f>PT.anaer_lagoon!AA321</f>
        <v>398.88393360931292</v>
      </c>
      <c r="AA19" s="1465" t="str">
        <f>PT.anaer_lagoon!F321</f>
        <v>gal/event</v>
      </c>
    </row>
    <row r="20" spans="1:27" ht="20.25" customHeight="1" x14ac:dyDescent="0.3">
      <c r="A20" s="1611"/>
      <c r="B20" s="1577" t="s">
        <v>6784</v>
      </c>
      <c r="C20" s="1812">
        <f>C81+C86+C90</f>
        <v>0.27254590866665374</v>
      </c>
      <c r="D20" s="1806" t="s">
        <v>2385</v>
      </c>
      <c r="E20" s="1866"/>
      <c r="F20" s="1866"/>
      <c r="G20" s="1866"/>
      <c r="H20" s="1866"/>
      <c r="I20" s="1611"/>
      <c r="J20" s="1857"/>
      <c r="K20" s="1862"/>
      <c r="L20" s="1862"/>
      <c r="M20" s="2022"/>
      <c r="N20" s="1939"/>
      <c r="O20" s="1611"/>
      <c r="P20" s="1611"/>
      <c r="Q20" s="91"/>
      <c r="R20" s="1439" t="e">
        <f>PT.anaer_digest!#REF!</f>
        <v>#REF!</v>
      </c>
      <c r="S20" s="91"/>
      <c r="T20" s="1439" t="e">
        <f>PT.anaer_digest!#REF!</f>
        <v>#REF!</v>
      </c>
      <c r="U20" s="1465" t="e">
        <f>PT.anaer_digest!#REF!</f>
        <v>#REF!</v>
      </c>
      <c r="V20" s="90"/>
      <c r="W20" s="91"/>
      <c r="X20" s="91" t="str">
        <f>PT.anaer_lagoon!B322</f>
        <v>Number of tractors for pumping needed</v>
      </c>
      <c r="Y20" s="91"/>
      <c r="Z20" s="1379">
        <f>PT.anaer_lagoon!AA322</f>
        <v>1</v>
      </c>
      <c r="AA20" s="1465" t="str">
        <f>PT.anaer_lagoon!F322</f>
        <v>quantity</v>
      </c>
    </row>
    <row r="21" spans="1:27" ht="15.6" x14ac:dyDescent="0.3">
      <c r="A21" s="1611"/>
      <c r="B21" s="1577" t="s">
        <v>6785</v>
      </c>
      <c r="C21" s="1812">
        <f>C79+C84+C88</f>
        <v>12.388675642586852</v>
      </c>
      <c r="D21" s="1806" t="s">
        <v>2385</v>
      </c>
      <c r="E21" s="1866"/>
      <c r="F21" s="1866"/>
      <c r="G21" s="1866"/>
      <c r="H21" s="1866"/>
      <c r="I21" s="1611"/>
      <c r="J21" s="1862"/>
      <c r="K21" s="1862"/>
      <c r="L21" s="1862"/>
      <c r="M21" s="2022"/>
      <c r="N21" s="1939"/>
      <c r="O21" s="1611"/>
      <c r="P21" s="1611"/>
      <c r="Q21" s="91" t="s">
        <v>7241</v>
      </c>
      <c r="R21" s="91" t="str">
        <f>PT.anaer_lagoon!B260</f>
        <v>Interval between liquids removal</v>
      </c>
      <c r="S21" s="91"/>
      <c r="T21" s="1439">
        <f>PT.anaer_lagoon!AA260</f>
        <v>182.5</v>
      </c>
      <c r="U21" s="1465" t="str">
        <f>PT.anaer_lagoon!F260</f>
        <v>days</v>
      </c>
      <c r="V21" s="90"/>
      <c r="W21" s="91"/>
      <c r="X21" s="91" t="str">
        <f>PT.anaer_lagoon!B323</f>
        <v>Tractor for pumping, size</v>
      </c>
      <c r="Y21" s="91"/>
      <c r="Z21" s="1379">
        <f>PT.anaer_lagoon!AA323</f>
        <v>180</v>
      </c>
      <c r="AA21" s="1465" t="str">
        <f>PT.anaer_lagoon!F323</f>
        <v>PTO hp</v>
      </c>
    </row>
    <row r="22" spans="1:27" x14ac:dyDescent="0.3">
      <c r="A22" s="1611"/>
      <c r="B22" s="1577" t="s">
        <v>7466</v>
      </c>
      <c r="C22" s="1500">
        <f>C82</f>
        <v>36.27284479979874</v>
      </c>
      <c r="D22" s="1806" t="s">
        <v>2385</v>
      </c>
      <c r="E22" s="1611"/>
      <c r="F22" s="1918"/>
      <c r="G22" s="1611"/>
      <c r="H22" s="1611"/>
      <c r="I22" s="1611"/>
      <c r="J22" s="1862"/>
      <c r="K22" s="1862"/>
      <c r="L22" s="1862"/>
      <c r="M22" s="2022"/>
      <c r="N22" s="1939"/>
      <c r="O22" s="1611"/>
      <c r="P22" s="1611"/>
      <c r="Q22" s="91"/>
      <c r="R22" s="91" t="str">
        <f>PT.anaer_lagoon!B261</f>
        <v>Manure liquids removed, lagoon</v>
      </c>
      <c r="S22" s="91"/>
      <c r="T22" s="1439">
        <f>PT.anaer_lagoon!AA261</f>
        <v>1186.1423892357984</v>
      </c>
      <c r="U22" s="1465" t="str">
        <f>PT.anaer_lagoon!F261</f>
        <v>m3/event</v>
      </c>
      <c r="V22" s="90"/>
      <c r="W22" s="91"/>
      <c r="X22" s="91" t="str">
        <f>PT.anaer_lagoon!B324</f>
        <v>Operation time for tractor pumping</v>
      </c>
      <c r="Y22" s="91"/>
      <c r="Z22" s="1379">
        <f>PT.anaer_lagoon!AA324</f>
        <v>5.9302281212506323</v>
      </c>
      <c r="AA22" s="1465" t="str">
        <f>PT.anaer_lagoon!F324</f>
        <v>hr/event</v>
      </c>
    </row>
    <row r="23" spans="1:27" x14ac:dyDescent="0.3">
      <c r="A23" s="1939"/>
      <c r="B23" s="90"/>
      <c r="C23" s="1848"/>
      <c r="D23" s="66"/>
      <c r="E23" s="1611"/>
      <c r="F23" s="1918"/>
      <c r="G23" s="1632"/>
      <c r="H23" s="1611"/>
      <c r="I23" s="1939"/>
      <c r="J23" s="1857"/>
      <c r="K23" s="1862"/>
      <c r="L23" s="1862"/>
      <c r="M23" s="2022"/>
      <c r="N23" s="1939"/>
      <c r="O23" s="1611"/>
      <c r="P23" s="1960"/>
      <c r="Q23" s="91"/>
      <c r="R23" s="91" t="str">
        <f>PT.anaer_lagoon!B262</f>
        <v>Lagoon surface area</v>
      </c>
      <c r="S23" s="91"/>
      <c r="T23" s="1439">
        <f>PT.anaer_lagoon!AA262</f>
        <v>2664.5817743943217</v>
      </c>
      <c r="U23" s="1465" t="str">
        <f>PT.anaer_lagoon!F262</f>
        <v>m2</v>
      </c>
      <c r="V23" s="90"/>
      <c r="W23" s="91"/>
      <c r="X23" s="91" t="str">
        <f>PT.anaer_lagoon!B325</f>
        <v>Fuel needed for tractor for pumping</v>
      </c>
      <c r="Y23" s="91"/>
      <c r="Z23" s="1379">
        <f>PT.anaer_lagoon!AA325</f>
        <v>46.967406720305007</v>
      </c>
      <c r="AA23" s="1465" t="str">
        <f>PT.anaer_lagoon!F325</f>
        <v>gal/event</v>
      </c>
    </row>
    <row r="24" spans="1:27" ht="25.5" customHeight="1" x14ac:dyDescent="0.3">
      <c r="A24" s="1939"/>
      <c r="B24" s="1668" t="s">
        <v>6931</v>
      </c>
      <c r="C24" s="1680"/>
      <c r="D24" s="1815"/>
      <c r="E24" s="1611"/>
      <c r="F24" s="1918"/>
      <c r="G24" s="1850"/>
      <c r="H24" s="1611"/>
      <c r="I24" s="1611"/>
      <c r="J24" s="1857"/>
      <c r="K24" s="1862"/>
      <c r="L24" s="2022"/>
      <c r="M24" s="2022"/>
      <c r="N24" s="1939"/>
      <c r="O24" s="1611"/>
      <c r="P24" s="1960"/>
      <c r="Q24" s="91"/>
      <c r="R24" s="91" t="str">
        <f>PT.anaer_lagoon!B263</f>
        <v>Lagoon constructed size</v>
      </c>
      <c r="S24" s="91"/>
      <c r="T24" s="1439">
        <f>PT.anaer_lagoon!AA263</f>
        <v>5536.05004954981</v>
      </c>
      <c r="U24" s="1465" t="str">
        <f>PT.anaer_lagoon!F263</f>
        <v>m3</v>
      </c>
      <c r="V24" s="90"/>
      <c r="W24" s="91"/>
      <c r="X24" s="91" t="str">
        <f>PT.anaer_lagoon!B326</f>
        <v>Size of tractor for pulling hose reel and applicator toolbar</v>
      </c>
      <c r="Y24" s="91"/>
      <c r="Z24" s="1379">
        <f>PT.anaer_lagoon!AA326</f>
        <v>580</v>
      </c>
      <c r="AA24" s="1465" t="str">
        <f>PT.anaer_lagoon!F326</f>
        <v>PTO hp</v>
      </c>
    </row>
    <row r="25" spans="1:27" x14ac:dyDescent="0.3">
      <c r="A25" s="1939"/>
      <c r="B25" s="510" t="s">
        <v>6932</v>
      </c>
      <c r="C25" s="1378">
        <v>0.21</v>
      </c>
      <c r="D25" s="510" t="s">
        <v>1694</v>
      </c>
      <c r="E25" s="1960"/>
      <c r="F25" s="1918"/>
      <c r="G25" s="1632"/>
      <c r="H25" s="1611"/>
      <c r="I25" s="1850"/>
      <c r="J25" s="1862"/>
      <c r="K25" s="1862"/>
      <c r="L25" s="2022"/>
      <c r="M25" s="2022"/>
      <c r="N25" s="1939"/>
      <c r="O25" s="1611"/>
      <c r="P25" s="1960"/>
      <c r="Q25" s="91"/>
      <c r="R25" s="91" t="str">
        <f>PT.anaer_lagoon!B264</f>
        <v>N removed, lagoon</v>
      </c>
      <c r="S25" s="91"/>
      <c r="T25" s="1439">
        <f>PT.anaer_lagoon!AA264</f>
        <v>1.1089488351545678</v>
      </c>
      <c r="U25" s="1465" t="str">
        <f>PT.anaer_lagoon!F264</f>
        <v>g/L</v>
      </c>
      <c r="V25" s="90"/>
      <c r="W25" s="91"/>
      <c r="X25" s="91" t="str">
        <f>PT.anaer_lagoon!B327</f>
        <v>Number of tractors for pulling hose reel and applicator</v>
      </c>
      <c r="Y25" s="91"/>
      <c r="Z25" s="1379">
        <f>PT.anaer_lagoon!AA327</f>
        <v>1</v>
      </c>
      <c r="AA25" s="1465" t="str">
        <f>PT.anaer_lagoon!F327</f>
        <v>quantity</v>
      </c>
    </row>
    <row r="26" spans="1:27" x14ac:dyDescent="0.3">
      <c r="A26" s="1611"/>
      <c r="B26" s="1813" t="s">
        <v>6933</v>
      </c>
      <c r="C26" s="1414">
        <v>2.1428571399999998</v>
      </c>
      <c r="D26" s="510" t="s">
        <v>6934</v>
      </c>
      <c r="E26" s="1918"/>
      <c r="F26" s="1632"/>
      <c r="G26" s="1632"/>
      <c r="H26" s="1611"/>
      <c r="I26" s="1850"/>
      <c r="J26" s="1862"/>
      <c r="K26" s="1862"/>
      <c r="L26" s="2022"/>
      <c r="M26" s="2022"/>
      <c r="N26" s="1939"/>
      <c r="O26" s="1611"/>
      <c r="P26" s="1611"/>
      <c r="Q26" s="91"/>
      <c r="R26" s="91" t="str">
        <f>PT.anaer_lagoon!B265</f>
        <v>P2O5 removed, lagoon</v>
      </c>
      <c r="S26" s="91"/>
      <c r="T26" s="1439">
        <f>PT.anaer_lagoon!AA265</f>
        <v>0.77008255040821727</v>
      </c>
      <c r="U26" s="1465" t="str">
        <f>PT.anaer_lagoon!F265</f>
        <v>g/L</v>
      </c>
      <c r="V26" s="90"/>
      <c r="W26" s="91"/>
      <c r="X26" s="91" t="str">
        <f>PT.anaer_lagoon!B328</f>
        <v>Size of tractor for support with hose pulley</v>
      </c>
      <c r="Y26" s="91"/>
      <c r="Z26" s="1379">
        <f>PT.anaer_lagoon!AA328</f>
        <v>340</v>
      </c>
      <c r="AA26" s="1465" t="str">
        <f>PT.anaer_lagoon!F328</f>
        <v>PTO hp</v>
      </c>
    </row>
    <row r="27" spans="1:27" x14ac:dyDescent="0.3">
      <c r="A27" s="1611"/>
      <c r="B27" s="91" t="s">
        <v>6935</v>
      </c>
      <c r="C27" s="1403">
        <f>(C19+C20)*(28/44)</f>
        <v>0.2199320164654491</v>
      </c>
      <c r="D27" s="510" t="s">
        <v>2358</v>
      </c>
      <c r="E27" s="1611"/>
      <c r="F27" s="1611"/>
      <c r="G27" s="1611"/>
      <c r="H27" s="1611"/>
      <c r="I27" s="1850"/>
      <c r="J27" s="1862"/>
      <c r="K27" s="1862"/>
      <c r="L27" s="2022"/>
      <c r="M27" s="2022"/>
      <c r="N27" s="1939"/>
      <c r="O27" s="1611"/>
      <c r="P27" s="1611"/>
      <c r="Q27" s="91"/>
      <c r="R27" s="91" t="str">
        <f>PT.anaer_lagoon!B266</f>
        <v>K2O removed, lagoon</v>
      </c>
      <c r="S27" s="91"/>
      <c r="T27" s="1439">
        <f>PT.anaer_lagoon!AA266</f>
        <v>1.1701311485412944</v>
      </c>
      <c r="U27" s="1465" t="str">
        <f>PT.anaer_lagoon!F266</f>
        <v>g/L</v>
      </c>
      <c r="V27" s="90"/>
      <c r="W27" s="91"/>
      <c r="X27" s="91" t="str">
        <f>PT.anaer_lagoon!B329</f>
        <v>Distance from storage to field</v>
      </c>
      <c r="Y27" s="91"/>
      <c r="Z27" s="1379">
        <f>PT.anaer_lagoon!AA329</f>
        <v>2</v>
      </c>
      <c r="AA27" s="1465" t="str">
        <f>PT.anaer_lagoon!F329</f>
        <v>miles</v>
      </c>
    </row>
    <row r="28" spans="1:27" x14ac:dyDescent="0.3">
      <c r="A28" s="1611"/>
      <c r="B28" s="91" t="s">
        <v>6936</v>
      </c>
      <c r="C28" s="1380">
        <f>C21*(14/17)</f>
        <v>10.20243876448329</v>
      </c>
      <c r="D28" s="510" t="s">
        <v>2358</v>
      </c>
      <c r="E28" s="1866"/>
      <c r="F28" s="1866"/>
      <c r="G28" s="1866"/>
      <c r="H28" s="1866"/>
      <c r="I28" s="1611"/>
      <c r="J28" s="1857"/>
      <c r="K28" s="1862"/>
      <c r="L28" s="2022"/>
      <c r="M28" s="2022"/>
      <c r="N28" s="1939"/>
      <c r="O28" s="1611"/>
      <c r="P28" s="1611"/>
      <c r="Q28" s="91"/>
      <c r="R28" s="91" t="str">
        <f>PT.anaer_lagoon!B267</f>
        <v>Field area applied by lagoon liquids</v>
      </c>
      <c r="S28" s="91"/>
      <c r="T28" s="1439">
        <f>PT.anaer_lagoon!AA267</f>
        <v>25.42986750492755</v>
      </c>
      <c r="U28" s="1465" t="str">
        <f>PT.anaer_lagoon!F267</f>
        <v>ac/y</v>
      </c>
      <c r="V28" s="90"/>
      <c r="W28" s="91"/>
      <c r="X28" s="91" t="str">
        <f>PT.anaer_lagoon!B330</f>
        <v>Application by broadcast or injection?</v>
      </c>
      <c r="Y28" s="91"/>
      <c r="Z28" s="1379" t="str">
        <f>PT.anaer_lagoon!AA330</f>
        <v>Injection</v>
      </c>
      <c r="AA28" s="1465" t="str">
        <f>PT.anaer_lagoon!F330</f>
        <v>type</v>
      </c>
    </row>
    <row r="29" spans="1:27" x14ac:dyDescent="0.3">
      <c r="A29" s="1611"/>
      <c r="B29" s="91" t="s">
        <v>6937</v>
      </c>
      <c r="C29" s="1404">
        <f>C25*C27*(44/28)/C26</f>
        <v>3.3869530580838539E-2</v>
      </c>
      <c r="D29" s="510" t="s">
        <v>2358</v>
      </c>
      <c r="E29" s="1866"/>
      <c r="F29" s="1866"/>
      <c r="G29" s="1866"/>
      <c r="H29" s="1866"/>
      <c r="I29" s="1850"/>
      <c r="J29" s="1862"/>
      <c r="K29" s="1862"/>
      <c r="L29" s="2022"/>
      <c r="M29" s="2022"/>
      <c r="N29" s="1939"/>
      <c r="O29" s="1611"/>
      <c r="P29" s="1611"/>
      <c r="Q29" s="91"/>
      <c r="R29" s="91" t="str">
        <f>PT.anaer_lagoon!B268</f>
        <v>Energy needed to pump lagoon liquids</v>
      </c>
      <c r="S29" s="91"/>
      <c r="T29" s="1439">
        <f>PT.anaer_lagoon!AA268</f>
        <v>934.64729834049092</v>
      </c>
      <c r="U29" s="1465" t="str">
        <f>PT.anaer_lagoon!F268</f>
        <v>kWh/y</v>
      </c>
      <c r="V29" s="90"/>
      <c r="W29" s="91"/>
      <c r="X29" s="91" t="str">
        <f>PT.anaer_lagoon!B331</f>
        <v>Fuel needed for tractor for pulling hose reel and applicator</v>
      </c>
      <c r="Y29" s="91"/>
      <c r="Z29" s="1379">
        <f>PT.anaer_lagoon!AA331</f>
        <v>25.52</v>
      </c>
      <c r="AA29" s="1465" t="str">
        <f>PT.anaer_lagoon!F331</f>
        <v>gal/hr</v>
      </c>
    </row>
    <row r="30" spans="1:27" x14ac:dyDescent="0.3">
      <c r="A30" s="1611"/>
      <c r="B30" s="2024"/>
      <c r="C30" s="1390"/>
      <c r="D30" s="1352"/>
      <c r="E30" s="1960"/>
      <c r="F30" s="1918"/>
      <c r="G30" s="1632"/>
      <c r="H30" s="1611"/>
      <c r="I30" s="1850"/>
      <c r="J30" s="1862"/>
      <c r="K30" s="1862"/>
      <c r="L30" s="2022"/>
      <c r="M30" s="2022"/>
      <c r="N30" s="1939"/>
      <c r="O30" s="1611"/>
      <c r="P30" s="1611"/>
      <c r="Q30" s="91"/>
      <c r="R30" s="91" t="str">
        <f>PT.anaer_lagoon!B269</f>
        <v>Total labor time required for irrigation</v>
      </c>
      <c r="S30" s="91"/>
      <c r="T30" s="1439">
        <f>PT.anaer_lagoon!AA269</f>
        <v>7.6289602514782651</v>
      </c>
      <c r="U30" s="1465" t="str">
        <f>PT.anaer_lagoon!F269</f>
        <v>hr/year</v>
      </c>
      <c r="V30" s="90"/>
      <c r="W30" s="91"/>
      <c r="X30" s="91" t="str">
        <f>PT.anaer_lagoon!B332</f>
        <v>Fuel needed for support tractor with hose pulley</v>
      </c>
      <c r="Y30" s="91"/>
      <c r="Z30" s="1379">
        <f>PT.anaer_lagoon!AA332</f>
        <v>14.959999999999999</v>
      </c>
      <c r="AA30" s="1465" t="str">
        <f>PT.anaer_lagoon!F332</f>
        <v>gal/hr</v>
      </c>
    </row>
    <row r="31" spans="1:27" x14ac:dyDescent="0.3">
      <c r="A31" s="1611"/>
      <c r="B31" s="1352"/>
      <c r="C31" s="1390"/>
      <c r="D31" s="1352"/>
      <c r="E31" s="1611"/>
      <c r="F31" s="1611"/>
      <c r="G31" s="1611"/>
      <c r="H31" s="1611"/>
      <c r="I31" s="1850"/>
      <c r="J31" s="1862"/>
      <c r="K31" s="1862"/>
      <c r="L31" s="2022"/>
      <c r="M31" s="2022"/>
      <c r="N31" s="1939"/>
      <c r="O31" s="1611"/>
      <c r="P31" s="1611"/>
      <c r="Q31" s="91"/>
      <c r="R31" s="91" t="str">
        <f>PT.anaer_lagoon!B270</f>
        <v>Tanker, size</v>
      </c>
      <c r="S31" s="91"/>
      <c r="T31" s="1439">
        <f>PT.anaer_lagoon!AA270</f>
        <v>6000</v>
      </c>
      <c r="U31" s="1465" t="str">
        <f>PT.anaer_lagoon!F270</f>
        <v>gal</v>
      </c>
      <c r="V31" s="90"/>
      <c r="W31" s="91"/>
      <c r="X31" s="91" t="str">
        <f>PT.anaer_lagoon!B333</f>
        <v>Diesel powered pump(s), size</v>
      </c>
      <c r="Y31" s="91"/>
      <c r="Z31" s="1379">
        <f>PT.anaer_lagoon!AA333</f>
        <v>3000</v>
      </c>
      <c r="AA31" s="1465" t="str">
        <f>PT.anaer_lagoon!F333</f>
        <v>gal/min</v>
      </c>
    </row>
    <row r="32" spans="1:27" x14ac:dyDescent="0.3">
      <c r="A32" s="1611"/>
      <c r="B32" s="91"/>
      <c r="C32" s="1384"/>
      <c r="D32" s="52"/>
      <c r="E32" s="1611"/>
      <c r="F32" s="1611"/>
      <c r="G32" s="1632"/>
      <c r="H32" s="1611"/>
      <c r="I32" s="1611"/>
      <c r="J32" s="1857"/>
      <c r="K32" s="1862"/>
      <c r="L32" s="1862"/>
      <c r="M32" s="2022"/>
      <c r="N32" s="1939"/>
      <c r="O32" s="1611"/>
      <c r="P32" s="1611"/>
      <c r="Q32" s="91"/>
      <c r="R32" s="91" t="str">
        <f>PT.anaer_lagoon!B271</f>
        <v>Tractor for tanker, size</v>
      </c>
      <c r="S32" s="91"/>
      <c r="T32" s="1439">
        <f>PT.anaer_lagoon!AA271</f>
        <v>250</v>
      </c>
      <c r="U32" s="1465" t="str">
        <f>PT.anaer_lagoon!F271</f>
        <v>PTO hp</v>
      </c>
      <c r="V32" s="2035"/>
      <c r="W32" s="91"/>
      <c r="X32" s="91" t="str">
        <f>PT.anaer_lagoon!B334</f>
        <v>Number of diesel powered lead pumps needed</v>
      </c>
      <c r="Y32" s="91"/>
      <c r="Z32" s="1379">
        <f>PT.anaer_lagoon!AA334</f>
        <v>1</v>
      </c>
      <c r="AA32" s="1465" t="str">
        <f>PT.anaer_lagoon!F334</f>
        <v>quantity</v>
      </c>
    </row>
    <row r="33" spans="2:27" x14ac:dyDescent="0.3">
      <c r="B33" s="1668" t="str">
        <f>PT.shallow_flush!B103</f>
        <v>Electricity</v>
      </c>
      <c r="C33" s="1680"/>
      <c r="D33" s="1815"/>
      <c r="E33" s="1611"/>
      <c r="F33" s="1611"/>
      <c r="G33" s="1611"/>
      <c r="H33" s="1611"/>
      <c r="I33" s="1611"/>
      <c r="J33" s="1857"/>
      <c r="K33" s="1862"/>
      <c r="L33" s="2022"/>
      <c r="M33" s="2022"/>
      <c r="N33" s="1939"/>
      <c r="O33" s="1611"/>
      <c r="P33" s="1611"/>
      <c r="Q33" s="91"/>
      <c r="R33" s="91" t="str">
        <f>PT.anaer_lagoon!B272</f>
        <v>Application by broadcast or injection?</v>
      </c>
      <c r="S33" s="91"/>
      <c r="T33" s="1439" t="str">
        <f>PT.anaer_lagoon!AA272</f>
        <v>Injection</v>
      </c>
      <c r="U33" s="1465" t="str">
        <f>PT.anaer_lagoon!F272</f>
        <v>type</v>
      </c>
      <c r="V33" s="90"/>
      <c r="W33" s="91"/>
      <c r="X33" s="91" t="str">
        <f>PT.anaer_lagoon!B335</f>
        <v>Number of diesel powered agitation trailers needed</v>
      </c>
      <c r="Y33" s="91"/>
      <c r="Z33" s="1379">
        <f>PT.anaer_lagoon!AA335</f>
        <v>1</v>
      </c>
      <c r="AA33" s="1465" t="str">
        <f>PT.anaer_lagoon!F335</f>
        <v>quantity</v>
      </c>
    </row>
    <row r="34" spans="2:27" x14ac:dyDescent="0.3">
      <c r="B34" s="91" t="str">
        <f>PT.reception_pit!B36</f>
        <v>Electricity used by reception pit pumps</v>
      </c>
      <c r="C34" s="1878">
        <f>PT.reception_pit!I36</f>
        <v>0.49929291177231466</v>
      </c>
      <c r="D34" s="91" t="str">
        <f>PT.reception_pit!C36</f>
        <v>kWh/head/year</v>
      </c>
      <c r="E34" s="1611"/>
      <c r="F34" s="1611"/>
      <c r="G34" s="1611"/>
      <c r="H34" s="1611"/>
      <c r="I34" s="1611"/>
      <c r="J34" s="1857"/>
      <c r="K34" s="1862"/>
      <c r="L34" s="2022"/>
      <c r="M34" s="2022"/>
      <c r="N34" s="1939"/>
      <c r="O34" s="1611"/>
      <c r="P34" s="1611"/>
      <c r="Q34" s="91"/>
      <c r="R34" s="91" t="str">
        <f>PT.anaer_lagoon!B273</f>
        <v>Operation time for tractor with tanker</v>
      </c>
      <c r="S34" s="91"/>
      <c r="T34" s="1439">
        <f>PT.anaer_lagoon!AA273</f>
        <v>1.9958822787364086</v>
      </c>
      <c r="U34" s="1465" t="str">
        <f>PT.anaer_lagoon!F273</f>
        <v>hrs/event</v>
      </c>
      <c r="V34" s="90"/>
      <c r="W34" s="91"/>
      <c r="X34" s="91" t="str">
        <f>PT.anaer_lagoon!B336</f>
        <v>Number of booster pumps needed</v>
      </c>
      <c r="Y34" s="91"/>
      <c r="Z34" s="1379">
        <f>PT.anaer_lagoon!AA336</f>
        <v>1</v>
      </c>
      <c r="AA34" s="1465" t="str">
        <f>PT.anaer_lagoon!F336</f>
        <v>quantity</v>
      </c>
    </row>
    <row r="35" spans="2:27" x14ac:dyDescent="0.3">
      <c r="B35" s="1353" t="str">
        <f>PT.shallow_plug!B85</f>
        <v>Electricity used by recharge system</v>
      </c>
      <c r="C35" s="1878">
        <f>PT.shallow_plug!G85</f>
        <v>0.18409166374193422</v>
      </c>
      <c r="D35" s="1353" t="str">
        <f>PT.shallow_plug!C85</f>
        <v>kWh/head/year</v>
      </c>
      <c r="E35" s="1866"/>
      <c r="F35" s="1866"/>
      <c r="G35" s="1866"/>
      <c r="H35" s="1866"/>
      <c r="I35" s="1611"/>
      <c r="J35" s="1857"/>
      <c r="K35" s="1862"/>
      <c r="L35" s="2022"/>
      <c r="M35" s="2022"/>
      <c r="N35" s="1939"/>
      <c r="O35" s="1611"/>
      <c r="P35" s="1611"/>
      <c r="Q35" s="91"/>
      <c r="R35" s="91" t="str">
        <f>PT.anaer_lagoon!B274</f>
        <v>Fuel needed for tractor with tank and applicator</v>
      </c>
      <c r="S35" s="91"/>
      <c r="T35" s="1439">
        <f>PT.anaer_lagoon!AA274</f>
        <v>21.954705066100495</v>
      </c>
      <c r="U35" s="1465" t="str">
        <f>PT.anaer_lagoon!F274</f>
        <v>gal/event</v>
      </c>
      <c r="V35" s="90"/>
      <c r="W35" s="91"/>
      <c r="X35" s="91" t="str">
        <f>PT.anaer_lagoon!B337</f>
        <v>Operation time for pumping</v>
      </c>
      <c r="Y35" s="91"/>
      <c r="Z35" s="1379">
        <f>PT.anaer_lagoon!AA337</f>
        <v>5.8709258400381259</v>
      </c>
      <c r="AA35" s="1465" t="str">
        <f>PT.anaer_lagoon!F337</f>
        <v>hr</v>
      </c>
    </row>
    <row r="36" spans="2:27" x14ac:dyDescent="0.3">
      <c r="B36" s="91" t="str">
        <f>PT.anaer_lagoon!B348</f>
        <v>Electricity for irrigation pump</v>
      </c>
      <c r="C36" s="1878">
        <f>PT.anaer_lagoon!AA348</f>
        <v>1.8692945966809817</v>
      </c>
      <c r="D36" s="91" t="str">
        <f>PT.anaer_lagoon!F348</f>
        <v>kWh/head/year</v>
      </c>
      <c r="E36" s="1866"/>
      <c r="F36" s="1866"/>
      <c r="G36" s="1866"/>
      <c r="H36" s="1866"/>
      <c r="I36" s="1611"/>
      <c r="J36" s="1857"/>
      <c r="K36" s="1862"/>
      <c r="L36" s="2022"/>
      <c r="M36" s="2022"/>
      <c r="N36" s="1939"/>
      <c r="O36" s="1611"/>
      <c r="P36" s="1611"/>
      <c r="Q36" s="91"/>
      <c r="R36" s="91" t="str">
        <f>PT.anaer_lagoon!B275</f>
        <v>Number of tractors with tanker needed</v>
      </c>
      <c r="S36" s="91"/>
      <c r="T36" s="1439">
        <f>PT.anaer_lagoon!AA275</f>
        <v>1</v>
      </c>
      <c r="U36" s="1465" t="str">
        <f>PT.anaer_lagoon!F275</f>
        <v>quantity</v>
      </c>
      <c r="V36" s="90"/>
      <c r="W36" s="91"/>
      <c r="X36" s="91" t="str">
        <f>PT.anaer_lagoon!B338</f>
        <v>Fuel needed for diesel powered lead pump</v>
      </c>
      <c r="Y36" s="91"/>
      <c r="Z36" s="1379">
        <f>PT.anaer_lagoon!AA338</f>
        <v>105.67666512068627</v>
      </c>
      <c r="AA36" s="1465" t="str">
        <f>PT.anaer_lagoon!F338</f>
        <v>gal/event</v>
      </c>
    </row>
    <row r="37" spans="2:27" x14ac:dyDescent="0.3">
      <c r="B37" s="1668" t="str">
        <f>PT.shallow_flush!B107</f>
        <v>Fresh water</v>
      </c>
      <c r="C37" s="1680"/>
      <c r="D37" s="1815"/>
      <c r="E37" s="1918"/>
      <c r="F37" s="1611"/>
      <c r="G37" s="1632"/>
      <c r="H37" s="1611"/>
      <c r="I37" s="1611"/>
      <c r="J37" s="1857"/>
      <c r="K37" s="1862"/>
      <c r="L37" s="2022"/>
      <c r="M37" s="2022"/>
      <c r="N37" s="1939"/>
      <c r="O37" s="1611"/>
      <c r="P37" s="1611"/>
      <c r="Q37" s="91"/>
      <c r="R37" s="91" t="str">
        <f>PT.anaer_lagoon!B276</f>
        <v>Tractor for agitator, size</v>
      </c>
      <c r="S37" s="91"/>
      <c r="T37" s="1439">
        <f>PT.anaer_lagoon!AA276</f>
        <v>160</v>
      </c>
      <c r="U37" s="1465" t="str">
        <f>PT.anaer_lagoon!F276</f>
        <v>PTO hp</v>
      </c>
      <c r="V37" s="90"/>
      <c r="W37" s="91"/>
      <c r="X37" s="91" t="str">
        <f>PT.anaer_lagoon!B339</f>
        <v>Fuel needed for diesel powered booster pump</v>
      </c>
      <c r="Y37" s="91"/>
      <c r="Z37" s="1379">
        <f>PT.anaer_lagoon!AA339</f>
        <v>44.031943800285944</v>
      </c>
      <c r="AA37" s="1465" t="str">
        <f>PT.anaer_lagoon!F339</f>
        <v>gal/event</v>
      </c>
    </row>
    <row r="38" spans="2:27" x14ac:dyDescent="0.3">
      <c r="B38" s="1353"/>
      <c r="C38" s="1390"/>
      <c r="D38" s="1353"/>
      <c r="E38" s="1960"/>
      <c r="F38" s="1918"/>
      <c r="G38" s="1632"/>
      <c r="H38" s="1611"/>
      <c r="I38" s="1611"/>
      <c r="J38" s="1857"/>
      <c r="K38" s="1862"/>
      <c r="L38" s="1862"/>
      <c r="M38" s="2022"/>
      <c r="N38" s="1939"/>
      <c r="O38" s="1611"/>
      <c r="P38" s="1611"/>
      <c r="Q38" s="91"/>
      <c r="R38" s="91" t="str">
        <f>PT.anaer_lagoon!B277</f>
        <v>Number of tractors for agitating needed</v>
      </c>
      <c r="S38" s="91"/>
      <c r="T38" s="1439">
        <f>PT.anaer_lagoon!AA277</f>
        <v>1</v>
      </c>
      <c r="U38" s="1465" t="str">
        <f>PT.anaer_lagoon!F277</f>
        <v>quantity</v>
      </c>
      <c r="V38" s="90"/>
      <c r="W38" s="91"/>
      <c r="X38" s="91" t="str">
        <f>PT.anaer_lagoon!B340</f>
        <v>Fuel needed for diesel powered agitation trailer</v>
      </c>
      <c r="Y38" s="91"/>
      <c r="Z38" s="1379">
        <f>PT.anaer_lagoon!AA340</f>
        <v>35.225555040228755</v>
      </c>
      <c r="AA38" s="1465" t="str">
        <f>PT.anaer_lagoon!F340</f>
        <v>gal/event</v>
      </c>
    </row>
    <row r="39" spans="2:27" x14ac:dyDescent="0.3">
      <c r="B39" s="1353" t="str">
        <f>PT.shallow_plug!B89</f>
        <v>Fresh water used to fill pull plug pit</v>
      </c>
      <c r="C39" s="1390">
        <f>PT.shallow_plug!G89</f>
        <v>0</v>
      </c>
      <c r="D39" s="1353" t="str">
        <f>PT.shallow_plug!C89</f>
        <v>m3/head/year</v>
      </c>
      <c r="E39" s="1939"/>
      <c r="F39" s="1918"/>
      <c r="G39" s="1939"/>
      <c r="H39" s="1611"/>
      <c r="I39" s="1611"/>
      <c r="J39" s="1862"/>
      <c r="K39" s="1862"/>
      <c r="L39" s="1862"/>
      <c r="M39" s="2022"/>
      <c r="N39" s="1632"/>
      <c r="O39" s="1611"/>
      <c r="P39" s="1611"/>
      <c r="Q39" s="91"/>
      <c r="R39" s="91" t="str">
        <f>PT.anaer_lagoon!B278</f>
        <v>Operation time for tractor agitating</v>
      </c>
      <c r="S39" s="91"/>
      <c r="T39" s="1439">
        <f>PT.anaer_lagoon!AA278</f>
        <v>2.4948528484205106</v>
      </c>
      <c r="U39" s="1465" t="str">
        <f>PT.anaer_lagoon!F278</f>
        <v>hr/year</v>
      </c>
      <c r="V39" s="90"/>
      <c r="W39" s="91"/>
      <c r="X39" s="91" t="str">
        <f>PT.anaer_lagoon!B341</f>
        <v>Fuel needed for pickup truck</v>
      </c>
      <c r="Y39" s="91"/>
      <c r="Z39" s="1379">
        <f>PT.anaer_lagoon!AA341</f>
        <v>5.2838332560343124</v>
      </c>
      <c r="AA39" s="1465" t="str">
        <f>PT.anaer_lagoon!F341</f>
        <v>gal/event</v>
      </c>
    </row>
    <row r="40" spans="2:27" x14ac:dyDescent="0.3">
      <c r="B40" s="91" t="str">
        <f>PT.anaer_lagoon!B359</f>
        <v>Fresh water used to supplement flow into storage structure</v>
      </c>
      <c r="C40" s="1878">
        <f>PT.anaer_lagoon!AA359</f>
        <v>0</v>
      </c>
      <c r="D40" s="91" t="str">
        <f>PT.anaer_lagoon!F359</f>
        <v>m3/head/year</v>
      </c>
      <c r="E40" s="1611"/>
      <c r="F40" s="1918"/>
      <c r="G40" s="1632"/>
      <c r="H40" s="1611"/>
      <c r="I40" s="1611"/>
      <c r="J40" s="1611"/>
      <c r="K40" s="1611"/>
      <c r="L40" s="1918"/>
      <c r="M40" s="2017"/>
      <c r="N40" s="2017"/>
      <c r="O40" s="2017"/>
      <c r="P40" s="1611"/>
      <c r="Q40" s="91"/>
      <c r="R40" s="91" t="str">
        <f>PT.anaer_lagoon!B279</f>
        <v>Fuel needed for tractor for agitating</v>
      </c>
      <c r="S40" s="91"/>
      <c r="T40" s="1439">
        <f>PT.anaer_lagoon!AA279</f>
        <v>17.563764052880391</v>
      </c>
      <c r="U40" s="1465" t="str">
        <f>PT.anaer_lagoon!F279</f>
        <v>gal/event</v>
      </c>
      <c r="V40" s="90"/>
      <c r="W40" s="90"/>
      <c r="X40" s="91" t="str">
        <f>PT.anaer_lagoon!B342</f>
        <v>Number of tractors for support with hose pulley</v>
      </c>
      <c r="Y40" s="91"/>
      <c r="Z40" s="1379">
        <f>PT.anaer_lagoon!AA342</f>
        <v>1</v>
      </c>
      <c r="AA40" s="1465" t="str">
        <f>PT.anaer_lagoon!F342</f>
        <v>quantity</v>
      </c>
    </row>
    <row r="41" spans="2:27" x14ac:dyDescent="0.3">
      <c r="B41" s="91" t="str">
        <f>PT.anaer_lagoon!B360</f>
        <v>Fresh water used to supplement application liquid volume</v>
      </c>
      <c r="C41" s="1878">
        <f>PT.anaer_lagoon!AA360</f>
        <v>0.42748609082249117</v>
      </c>
      <c r="D41" s="91" t="str">
        <f>PT.anaer_lagoon!F360</f>
        <v>m3/head/year</v>
      </c>
      <c r="E41" s="1939"/>
      <c r="F41" s="1918"/>
      <c r="G41" s="1939"/>
      <c r="H41" s="1611"/>
      <c r="I41" s="1611"/>
      <c r="J41" s="1611"/>
      <c r="K41" s="1611"/>
      <c r="L41" s="1611"/>
      <c r="M41" s="1611"/>
      <c r="N41" s="1918"/>
      <c r="O41" s="1611"/>
      <c r="P41" s="1611"/>
      <c r="Q41" s="91"/>
      <c r="R41" s="91" t="str">
        <f>PT.anaer_lagoon!B280</f>
        <v>Number of tractors for pumping needed</v>
      </c>
      <c r="S41" s="91"/>
      <c r="T41" s="1439">
        <f>PT.anaer_lagoon!AA280</f>
        <v>1</v>
      </c>
      <c r="U41" s="1465" t="str">
        <f>PT.anaer_lagoon!F280</f>
        <v>quantity</v>
      </c>
      <c r="V41" s="90"/>
      <c r="W41" s="90"/>
      <c r="X41" s="90"/>
      <c r="Y41" s="90"/>
      <c r="Z41" s="90"/>
      <c r="AA41" s="90"/>
    </row>
    <row r="42" spans="2:27" x14ac:dyDescent="0.3">
      <c r="B42" s="1668" t="str">
        <f>PT.anaer_lagoon!B349</f>
        <v>Land footprint</v>
      </c>
      <c r="C42" s="1680"/>
      <c r="D42" s="1815"/>
      <c r="E42" s="1939"/>
      <c r="F42" s="1918"/>
      <c r="G42" s="1939"/>
      <c r="H42" s="1611"/>
      <c r="I42" s="1611"/>
      <c r="J42" s="1611"/>
      <c r="K42" s="1611"/>
      <c r="L42" s="1611"/>
      <c r="M42" s="1611"/>
      <c r="N42" s="1611"/>
      <c r="O42" s="1611"/>
      <c r="P42" s="1611"/>
      <c r="Q42" s="494"/>
      <c r="R42" s="91" t="str">
        <f>PT.anaer_lagoon!B281</f>
        <v>Tractor for pumping, size</v>
      </c>
      <c r="S42" s="91"/>
      <c r="T42" s="1439">
        <f>PT.anaer_lagoon!AA281</f>
        <v>180</v>
      </c>
      <c r="U42" s="1465" t="str">
        <f>PT.anaer_lagoon!F281</f>
        <v>PTO hp</v>
      </c>
      <c r="V42" s="90"/>
      <c r="W42" s="90"/>
      <c r="X42" s="90"/>
      <c r="Y42" s="90"/>
      <c r="Z42" s="90"/>
      <c r="AA42" s="90"/>
    </row>
    <row r="43" spans="2:27" x14ac:dyDescent="0.3">
      <c r="B43" s="1353" t="str">
        <f>PT.shallow_plug!B87</f>
        <v>Shallow pit</v>
      </c>
      <c r="C43" s="1394">
        <f>PT.shallow_plug!G87</f>
        <v>40.061693590059214</v>
      </c>
      <c r="D43" s="1353" t="str">
        <f>PT.shallow_plug!C87</f>
        <v>m2</v>
      </c>
      <c r="E43" s="1939"/>
      <c r="F43" s="1918"/>
      <c r="G43" s="1939"/>
      <c r="H43" s="1611"/>
      <c r="I43" s="1611"/>
      <c r="J43" s="1611"/>
      <c r="K43" s="1611"/>
      <c r="L43" s="1611"/>
      <c r="M43" s="1611"/>
      <c r="N43" s="1611"/>
      <c r="O43" s="1611"/>
      <c r="P43" s="1611"/>
      <c r="Q43" s="494"/>
      <c r="R43" s="91" t="str">
        <f>PT.anaer_lagoon!B282</f>
        <v>Operation time for tractor pumping</v>
      </c>
      <c r="S43" s="91"/>
      <c r="T43" s="1439">
        <f>PT.anaer_lagoon!AA282</f>
        <v>0.261121390773836</v>
      </c>
      <c r="U43" s="1465" t="str">
        <f>PT.anaer_lagoon!F282</f>
        <v>hr/event</v>
      </c>
      <c r="V43" s="90"/>
      <c r="W43" s="90"/>
      <c r="X43" s="90"/>
      <c r="Y43" s="90"/>
      <c r="Z43" s="90"/>
      <c r="AA43" s="90"/>
    </row>
    <row r="44" spans="2:27" x14ac:dyDescent="0.3">
      <c r="B44" s="91" t="str">
        <f>PT.reception_pit!B38</f>
        <v>Land used by reception pit</v>
      </c>
      <c r="C44" s="1394">
        <f>PT.reception_pit!I38</f>
        <v>1.4241236441639862</v>
      </c>
      <c r="D44" s="91" t="str">
        <f>PT.reception_pit!C38</f>
        <v>m2</v>
      </c>
      <c r="E44" s="1939"/>
      <c r="F44" s="1918"/>
      <c r="G44" s="1939"/>
      <c r="H44" s="1611"/>
      <c r="I44" s="1611"/>
      <c r="J44" s="1918"/>
      <c r="K44" s="1918"/>
      <c r="L44" s="1918"/>
      <c r="M44" s="1611"/>
      <c r="N44" s="1611"/>
      <c r="O44" s="1611"/>
      <c r="P44" s="1611"/>
      <c r="Q44" s="494"/>
      <c r="R44" s="91" t="str">
        <f>PT.anaer_lagoon!B283</f>
        <v>Fuel needed for tractor for pumping</v>
      </c>
      <c r="S44" s="91"/>
      <c r="T44" s="1439">
        <f>PT.anaer_lagoon!AA283</f>
        <v>2.0680814149287809</v>
      </c>
      <c r="U44" s="1465" t="str">
        <f>PT.anaer_lagoon!F283</f>
        <v>gal/event</v>
      </c>
      <c r="V44" s="90"/>
      <c r="W44" s="90"/>
      <c r="X44" s="90"/>
      <c r="Y44" s="90"/>
      <c r="Z44" s="90"/>
      <c r="AA44" s="90"/>
    </row>
    <row r="45" spans="2:27" x14ac:dyDescent="0.3">
      <c r="B45" s="91" t="str">
        <f>PT.anaer_digest!B92</f>
        <v>Land used for anaerobic digesters</v>
      </c>
      <c r="C45" s="1394">
        <f>PT.anaer_digest!I92</f>
        <v>23.701276550755775</v>
      </c>
      <c r="D45" s="91" t="str">
        <f>PT.anaer_digest!C92</f>
        <v>m2</v>
      </c>
      <c r="E45" s="1611"/>
      <c r="F45" s="1918"/>
      <c r="G45" s="1939"/>
      <c r="H45" s="1611"/>
      <c r="I45" s="1611"/>
      <c r="J45" s="2026"/>
      <c r="K45" s="2026"/>
      <c r="L45" s="2026"/>
      <c r="M45" s="1611"/>
      <c r="N45" s="1918"/>
      <c r="O45" s="1611"/>
      <c r="P45" s="1611"/>
      <c r="Q45" s="494"/>
      <c r="R45" s="91" t="str">
        <f>PT.anaer_lagoon!B284</f>
        <v>Size of tractor for pulling hose reel and applicator</v>
      </c>
      <c r="S45" s="91"/>
      <c r="T45" s="1439">
        <f>PT.anaer_lagoon!AA284</f>
        <v>580</v>
      </c>
      <c r="U45" s="1465" t="str">
        <f>PT.anaer_lagoon!F284</f>
        <v>PTO hp</v>
      </c>
      <c r="V45" s="90"/>
      <c r="W45" s="277"/>
      <c r="X45" s="90"/>
      <c r="Y45" s="90"/>
      <c r="Z45" s="90"/>
      <c r="AA45" s="90"/>
    </row>
    <row r="46" spans="2:27" ht="19.5" customHeight="1" x14ac:dyDescent="0.3">
      <c r="B46" s="91" t="str">
        <f>PT.anaer_lagoon!B350</f>
        <v>Land for lagoon surface area</v>
      </c>
      <c r="C46" s="1394">
        <f>PT.anaer_lagoon!AA350</f>
        <v>2664.5817743943217</v>
      </c>
      <c r="D46" s="91" t="str">
        <f>PT.anaer_lagoon!F350</f>
        <v>m2</v>
      </c>
      <c r="E46" s="1611"/>
      <c r="F46" s="1918"/>
      <c r="G46" s="1939"/>
      <c r="H46" s="1611"/>
      <c r="I46" s="1611"/>
      <c r="J46" s="1611"/>
      <c r="K46" s="2027"/>
      <c r="L46" s="1611"/>
      <c r="M46" s="1611"/>
      <c r="N46" s="1632"/>
      <c r="O46" s="1611"/>
      <c r="P46" s="1611"/>
      <c r="Q46" s="91"/>
      <c r="R46" s="91" t="str">
        <f>PT.anaer_lagoon!B285</f>
        <v>Number of tractors for pulling hose reel and applicator</v>
      </c>
      <c r="S46" s="91"/>
      <c r="T46" s="1439">
        <f>PT.anaer_lagoon!AA285</f>
        <v>1</v>
      </c>
      <c r="U46" s="1465" t="str">
        <f>PT.anaer_lagoon!F285</f>
        <v>quantity</v>
      </c>
      <c r="V46" s="90"/>
      <c r="W46" s="277"/>
      <c r="X46" s="90"/>
      <c r="Y46" s="90"/>
      <c r="Z46" s="90"/>
      <c r="AA46" s="90"/>
    </row>
    <row r="47" spans="2:27" x14ac:dyDescent="0.3">
      <c r="B47" s="91" t="str">
        <f>PT.anaer_lagoon!B351</f>
        <v>Land for liquid application</v>
      </c>
      <c r="C47" s="1394">
        <f>PT.anaer_lagoon!AA351</f>
        <v>115591.67189189456</v>
      </c>
      <c r="D47" s="91" t="str">
        <f>PT.anaer_lagoon!F351</f>
        <v>m2</v>
      </c>
      <c r="E47" s="1611"/>
      <c r="F47" s="1918"/>
      <c r="G47" s="1939"/>
      <c r="H47" s="1611"/>
      <c r="I47" s="1611"/>
      <c r="J47" s="1872"/>
      <c r="K47" s="2027"/>
      <c r="L47" s="1611"/>
      <c r="M47" s="1611"/>
      <c r="N47" s="1632"/>
      <c r="O47" s="1611"/>
      <c r="P47" s="1611"/>
      <c r="Q47" s="91"/>
      <c r="R47" s="91" t="str">
        <f>PT.anaer_lagoon!B286</f>
        <v>Number of tractors for support with hose pulley</v>
      </c>
      <c r="S47" s="91"/>
      <c r="T47" s="1439">
        <f>PT.anaer_lagoon!AA286</f>
        <v>1</v>
      </c>
      <c r="U47" s="1465" t="str">
        <f>PT.anaer_lagoon!F286</f>
        <v>quantity</v>
      </c>
      <c r="V47" s="90"/>
      <c r="W47" s="277"/>
      <c r="X47" s="90"/>
      <c r="Y47" s="90"/>
      <c r="Z47" s="90"/>
      <c r="AA47" s="90"/>
    </row>
    <row r="48" spans="2:27" x14ac:dyDescent="0.3">
      <c r="B48" s="91" t="str">
        <f>PT.anaer_lagoon!B352</f>
        <v>Land for sludge application</v>
      </c>
      <c r="C48" s="1394">
        <f>PT.anaer_lagoon!AA352</f>
        <v>28798.538093457191</v>
      </c>
      <c r="D48" s="91" t="str">
        <f>PT.anaer_lagoon!F352</f>
        <v>m2</v>
      </c>
      <c r="E48" s="1611"/>
      <c r="F48" s="1918"/>
      <c r="G48" s="1632"/>
      <c r="H48" s="1611"/>
      <c r="I48" s="1611"/>
      <c r="J48" s="1872"/>
      <c r="K48" s="2027"/>
      <c r="L48" s="1611"/>
      <c r="M48" s="1611"/>
      <c r="N48" s="1632"/>
      <c r="O48" s="1611"/>
      <c r="P48" s="1611"/>
      <c r="Q48" s="91"/>
      <c r="R48" s="91" t="str">
        <f>PT.anaer_lagoon!B287</f>
        <v>Size of tractor for support with hose pulley</v>
      </c>
      <c r="S48" s="91"/>
      <c r="T48" s="1439">
        <f>PT.anaer_lagoon!AA287</f>
        <v>340</v>
      </c>
      <c r="U48" s="1465" t="str">
        <f>PT.anaer_lagoon!F287</f>
        <v>PTO hp</v>
      </c>
      <c r="V48" s="90"/>
      <c r="W48" s="277"/>
      <c r="X48" s="90"/>
      <c r="Y48" s="90"/>
      <c r="Z48" s="90"/>
      <c r="AA48" s="90"/>
    </row>
    <row r="49" spans="2:21" x14ac:dyDescent="0.3">
      <c r="B49" s="1465"/>
      <c r="C49" s="1379"/>
      <c r="D49" s="1465"/>
      <c r="E49" s="1611"/>
      <c r="F49" s="1918"/>
      <c r="G49" s="1632"/>
      <c r="H49" s="1611"/>
      <c r="I49" s="1611"/>
      <c r="J49" s="1872"/>
      <c r="K49" s="2027"/>
      <c r="L49" s="1611"/>
      <c r="M49" s="1611"/>
      <c r="N49" s="1632"/>
      <c r="O49" s="1611"/>
      <c r="P49" s="1611"/>
      <c r="Q49" s="91"/>
      <c r="R49" s="91" t="str">
        <f>PT.anaer_lagoon!B288</f>
        <v>Distance from storage to field</v>
      </c>
      <c r="S49" s="91"/>
      <c r="T49" s="1439">
        <f>PT.anaer_lagoon!AA288</f>
        <v>2</v>
      </c>
      <c r="U49" s="1465" t="str">
        <f>PT.anaer_lagoon!F288</f>
        <v>miles</v>
      </c>
    </row>
    <row r="50" spans="2:21" x14ac:dyDescent="0.3">
      <c r="B50" s="1465"/>
      <c r="C50" s="1379"/>
      <c r="D50" s="1465"/>
      <c r="E50" s="1611"/>
      <c r="F50" s="1918"/>
      <c r="G50" s="1632"/>
      <c r="H50" s="1611"/>
      <c r="I50" s="1611"/>
      <c r="J50" s="1611"/>
      <c r="K50" s="1611"/>
      <c r="L50" s="1611"/>
      <c r="M50" s="1611"/>
      <c r="N50" s="1866"/>
      <c r="O50" s="1918"/>
      <c r="P50" s="1611"/>
      <c r="Q50" s="91"/>
      <c r="R50" s="91" t="str">
        <f>PT.anaer_lagoon!B289</f>
        <v>Fuel needed for tractor for pulling hose reel and applicator</v>
      </c>
      <c r="S50" s="91"/>
      <c r="T50" s="1439">
        <f>PT.anaer_lagoon!AA289</f>
        <v>25.52</v>
      </c>
      <c r="U50" s="1465" t="str">
        <f>PT.anaer_lagoon!F289</f>
        <v>gal/hr</v>
      </c>
    </row>
    <row r="51" spans="2:21" x14ac:dyDescent="0.3">
      <c r="B51" s="1668" t="str">
        <f>PT.anaer_lagoon!B353</f>
        <v>Fuel</v>
      </c>
      <c r="C51" s="1680"/>
      <c r="D51" s="1815"/>
      <c r="E51" s="1611"/>
      <c r="F51" s="1918"/>
      <c r="G51" s="1850"/>
      <c r="H51" s="1611"/>
      <c r="I51" s="1611"/>
      <c r="J51" s="1611"/>
      <c r="K51" s="1611"/>
      <c r="L51" s="1611"/>
      <c r="M51" s="1611"/>
      <c r="N51" s="1611"/>
      <c r="O51" s="1611"/>
      <c r="P51" s="1611"/>
      <c r="Q51" s="91"/>
      <c r="R51" s="91" t="str">
        <f>PT.anaer_lagoon!B290</f>
        <v>Fuel needed for support tractor with hose pulley</v>
      </c>
      <c r="S51" s="91"/>
      <c r="T51" s="1439">
        <f>PT.anaer_lagoon!AA290</f>
        <v>14.959999999999999</v>
      </c>
      <c r="U51" s="1465" t="str">
        <f>PT.anaer_lagoon!F290</f>
        <v>gal/hr</v>
      </c>
    </row>
    <row r="52" spans="2:21" x14ac:dyDescent="0.3">
      <c r="B52" s="91" t="str">
        <f>PT.anaer_lagoon!B354</f>
        <v>Diesel fuel used for tanker land application of liquids</v>
      </c>
      <c r="C52" s="1878">
        <f>PT.anaer_lagoon!AA354</f>
        <v>0.16634620213563867</v>
      </c>
      <c r="D52" s="91" t="str">
        <f>PT.anaer_lagoon!F354</f>
        <v>gal/head/year</v>
      </c>
      <c r="E52" s="1611"/>
      <c r="F52" s="1918"/>
      <c r="G52" s="1850"/>
      <c r="H52" s="1611"/>
      <c r="I52" s="1611"/>
      <c r="J52" s="1611"/>
      <c r="K52" s="1611"/>
      <c r="L52" s="1611"/>
      <c r="M52" s="1611"/>
      <c r="N52" s="1611"/>
      <c r="O52" s="1611"/>
      <c r="P52" s="1611"/>
      <c r="Q52" s="91"/>
      <c r="R52" s="91" t="str">
        <f>PT.anaer_lagoon!B291</f>
        <v>Diesel powered pump(s), size</v>
      </c>
      <c r="S52" s="91"/>
      <c r="T52" s="1439">
        <f>PT.anaer_lagoon!AA291</f>
        <v>3000</v>
      </c>
      <c r="U52" s="1465" t="str">
        <f>PT.anaer_lagoon!F291</f>
        <v>gal/min</v>
      </c>
    </row>
    <row r="53" spans="2:21" x14ac:dyDescent="0.3">
      <c r="B53" s="91" t="str">
        <f>PT.anaer_lagoon!B355</f>
        <v>Diesel fuel used for tanker land application of sludge</v>
      </c>
      <c r="C53" s="1878">
        <f>PT.anaer_lagoon!AA355</f>
        <v>0.18889125146825186</v>
      </c>
      <c r="D53" s="91" t="str">
        <f>PT.anaer_lagoon!F355</f>
        <v>gal/head/year</v>
      </c>
      <c r="E53" s="1611"/>
      <c r="F53" s="1918"/>
      <c r="G53" s="1939"/>
      <c r="H53" s="1611"/>
      <c r="I53" s="1611"/>
      <c r="J53" s="1611"/>
      <c r="K53" s="1611"/>
      <c r="L53" s="1611"/>
      <c r="M53" s="1611"/>
      <c r="N53" s="1611"/>
      <c r="O53" s="1611"/>
      <c r="P53" s="1611"/>
      <c r="Q53" s="91"/>
      <c r="R53" s="91" t="str">
        <f>PT.anaer_lagoon!B292</f>
        <v>Number of diesel powered lead pumps needed</v>
      </c>
      <c r="S53" s="91"/>
      <c r="T53" s="1439">
        <f>PT.anaer_lagoon!AA292</f>
        <v>1</v>
      </c>
      <c r="U53" s="1465" t="str">
        <f>PT.anaer_lagoon!F292</f>
        <v>quantity</v>
      </c>
    </row>
    <row r="54" spans="2:21" x14ac:dyDescent="0.3">
      <c r="B54" s="91" t="str">
        <f>PT.anaer_lagoon!B356</f>
        <v>Diesel fuel used for drag hose land application of liquids</v>
      </c>
      <c r="C54" s="1878">
        <f>PT.anaer_lagoon!AA356</f>
        <v>5.4976149451669058E-2</v>
      </c>
      <c r="D54" s="91" t="str">
        <f>PT.anaer_lagoon!F356</f>
        <v>gal/head/year</v>
      </c>
      <c r="E54" s="1611"/>
      <c r="F54" s="1918"/>
      <c r="G54" s="1939"/>
      <c r="H54" s="1611"/>
      <c r="I54" s="1611"/>
      <c r="J54" s="1611"/>
      <c r="K54" s="1611"/>
      <c r="L54" s="1611"/>
      <c r="M54" s="1611"/>
      <c r="N54" s="1611"/>
      <c r="O54" s="2017"/>
      <c r="P54" s="1611"/>
      <c r="Q54" s="91"/>
      <c r="R54" s="91" t="str">
        <f>PT.anaer_lagoon!B293</f>
        <v>Number of diesel powered agitation trailers needed</v>
      </c>
      <c r="S54" s="91"/>
      <c r="T54" s="1439">
        <f>PT.anaer_lagoon!AA293</f>
        <v>1</v>
      </c>
      <c r="U54" s="1465" t="str">
        <f>PT.anaer_lagoon!F293</f>
        <v>quantity</v>
      </c>
    </row>
    <row r="55" spans="2:21" x14ac:dyDescent="0.3">
      <c r="B55" s="91" t="str">
        <f>PT.anaer_lagoon!B357</f>
        <v>Diesel fuel used for drag hose land application of sludge</v>
      </c>
      <c r="C55" s="1878">
        <f>PT.anaer_lagoon!AA357</f>
        <v>9.2704267384538006E-2</v>
      </c>
      <c r="D55" s="91" t="str">
        <f>PT.anaer_lagoon!F357</f>
        <v>gal/head/year</v>
      </c>
      <c r="E55" s="1611"/>
      <c r="F55" s="1918"/>
      <c r="G55" s="1939"/>
      <c r="H55" s="1611"/>
      <c r="I55" s="1611"/>
      <c r="J55" s="1611"/>
      <c r="K55" s="1611"/>
      <c r="L55" s="1611"/>
      <c r="M55" s="1611"/>
      <c r="N55" s="1611"/>
      <c r="O55" s="1939"/>
      <c r="P55" s="1611"/>
      <c r="Q55" s="91"/>
      <c r="R55" s="91" t="str">
        <f>PT.anaer_lagoon!B294</f>
        <v>Number of booster pumps needed</v>
      </c>
      <c r="S55" s="91"/>
      <c r="T55" s="1439">
        <f>PT.anaer_lagoon!AA294</f>
        <v>1</v>
      </c>
      <c r="U55" s="1465" t="str">
        <f>PT.anaer_lagoon!F294</f>
        <v>quantity</v>
      </c>
    </row>
    <row r="56" spans="2:21" x14ac:dyDescent="0.3">
      <c r="B56" s="1465" t="s">
        <v>7144</v>
      </c>
      <c r="C56" s="1380">
        <f>C52+C53</f>
        <v>0.35523745360389053</v>
      </c>
      <c r="D56" s="1465" t="s">
        <v>2497</v>
      </c>
      <c r="E56" s="1611"/>
      <c r="F56" s="1918"/>
      <c r="G56" s="1939"/>
      <c r="H56" s="1611"/>
      <c r="I56" s="1611"/>
      <c r="J56" s="1611"/>
      <c r="K56" s="1611"/>
      <c r="L56" s="1611"/>
      <c r="M56" s="1611"/>
      <c r="N56" s="1611"/>
      <c r="O56" s="1939"/>
      <c r="P56" s="1611"/>
      <c r="Q56" s="91"/>
      <c r="R56" s="91" t="str">
        <f>PT.anaer_lagoon!B295</f>
        <v>Operation time for pumping</v>
      </c>
      <c r="S56" s="91"/>
      <c r="T56" s="1439">
        <f>PT.anaer_lagoon!AA295</f>
        <v>0.17408092718255735</v>
      </c>
      <c r="U56" s="1465" t="str">
        <f>PT.anaer_lagoon!F295</f>
        <v>hr</v>
      </c>
    </row>
    <row r="57" spans="2:21" ht="16.5" customHeight="1" x14ac:dyDescent="0.3">
      <c r="B57" s="91" t="s">
        <v>7145</v>
      </c>
      <c r="C57" s="1380">
        <f>C54+C55</f>
        <v>0.14768041683620706</v>
      </c>
      <c r="D57" s="1465" t="s">
        <v>2497</v>
      </c>
      <c r="E57" s="1611"/>
      <c r="F57" s="1611"/>
      <c r="G57" s="1611"/>
      <c r="H57" s="1611"/>
      <c r="I57" s="1611"/>
      <c r="J57" s="1872"/>
      <c r="K57" s="2027"/>
      <c r="L57" s="1611"/>
      <c r="M57" s="1611"/>
      <c r="N57" s="1611"/>
      <c r="O57" s="2017"/>
      <c r="P57" s="1611"/>
      <c r="Q57" s="91"/>
      <c r="R57" s="91" t="str">
        <f>PT.anaer_lagoon!B296</f>
        <v>Fuel needed for diesel powered lead pump</v>
      </c>
      <c r="S57" s="91"/>
      <c r="T57" s="1439">
        <f>PT.anaer_lagoon!AA296</f>
        <v>3.1334566892860325</v>
      </c>
      <c r="U57" s="1465" t="str">
        <f>PT.anaer_lagoon!F296</f>
        <v>gal/event</v>
      </c>
    </row>
    <row r="58" spans="2:21" ht="20.25" customHeight="1" x14ac:dyDescent="0.3">
      <c r="B58" s="1668" t="str">
        <f>PT.anaer_lagoon!B361</f>
        <v>Slurry nutrient contents</v>
      </c>
      <c r="C58" s="1680"/>
      <c r="D58" s="1815"/>
      <c r="E58" s="1866"/>
      <c r="F58" s="1866"/>
      <c r="G58" s="1866"/>
      <c r="H58" s="1866"/>
      <c r="I58" s="1611"/>
      <c r="J58" s="1872"/>
      <c r="K58" s="2027"/>
      <c r="L58" s="1611"/>
      <c r="M58" s="1611"/>
      <c r="N58" s="1611"/>
      <c r="O58" s="1611"/>
      <c r="P58" s="1611"/>
      <c r="Q58" s="91"/>
      <c r="R58" s="91" t="str">
        <f>PT.anaer_lagoon!B297</f>
        <v>Fuel needed for diesel powered booster pump</v>
      </c>
      <c r="S58" s="91"/>
      <c r="T58" s="1439">
        <f>PT.anaer_lagoon!AA297</f>
        <v>1.3056069538691801</v>
      </c>
      <c r="U58" s="1465" t="str">
        <f>PT.anaer_lagoon!F297</f>
        <v>gal/event</v>
      </c>
    </row>
    <row r="59" spans="2:21" ht="23.25" customHeight="1" x14ac:dyDescent="0.3">
      <c r="B59" s="91" t="str">
        <f>PT.anaer_lagoon!B362</f>
        <v>Total N accumulated in liquids</v>
      </c>
      <c r="C59" s="1878">
        <f>PT.anaer_lagoon!AA362</f>
        <v>5.2614848834819785</v>
      </c>
      <c r="D59" s="91" t="str">
        <f>PT.anaer_lagoon!F362</f>
        <v>kg/head/year</v>
      </c>
      <c r="E59" s="1611"/>
      <c r="F59" s="1611"/>
      <c r="G59" s="1939"/>
      <c r="H59" s="1611"/>
      <c r="I59" s="1611"/>
      <c r="J59" s="1872"/>
      <c r="K59" s="2027"/>
      <c r="L59" s="1611"/>
      <c r="M59" s="1611"/>
      <c r="N59" s="1611"/>
      <c r="O59" s="1611"/>
      <c r="P59" s="1611"/>
      <c r="Q59" s="91"/>
      <c r="R59" s="91" t="str">
        <f>PT.anaer_lagoon!B298</f>
        <v>Fuel needed for diesel powered agitation trailer</v>
      </c>
      <c r="S59" s="91"/>
      <c r="T59" s="1439">
        <f>PT.anaer_lagoon!AA298</f>
        <v>1.044485563095344</v>
      </c>
      <c r="U59" s="1465" t="str">
        <f>PT.anaer_lagoon!F298</f>
        <v>gal/event</v>
      </c>
    </row>
    <row r="60" spans="2:21" x14ac:dyDescent="0.3">
      <c r="B60" s="91" t="str">
        <f>PT.anaer_lagoon!B363</f>
        <v>Total P2O5 accumulated in liquids</v>
      </c>
      <c r="C60" s="1878">
        <f>PT.anaer_lagoon!AA363</f>
        <v>3.6537102250000002</v>
      </c>
      <c r="D60" s="91" t="str">
        <f>PT.anaer_lagoon!F363</f>
        <v>kg/head/year</v>
      </c>
      <c r="E60" s="1611"/>
      <c r="F60" s="1611"/>
      <c r="G60" s="1611"/>
      <c r="H60" s="1611"/>
      <c r="I60" s="1611"/>
      <c r="J60" s="1611"/>
      <c r="K60" s="1611"/>
      <c r="L60" s="1611"/>
      <c r="M60" s="1611"/>
      <c r="N60" s="1611"/>
      <c r="O60" s="1611"/>
      <c r="P60" s="1611"/>
      <c r="Q60" s="91"/>
      <c r="R60" s="91" t="str">
        <f>PT.anaer_lagoon!B299</f>
        <v>Fuel needed for pickup truck</v>
      </c>
      <c r="S60" s="91"/>
      <c r="T60" s="1439">
        <f>PT.anaer_lagoon!AA299</f>
        <v>0.15667283446430161</v>
      </c>
      <c r="U60" s="1465" t="str">
        <f>PT.anaer_lagoon!F299</f>
        <v>gal/event</v>
      </c>
    </row>
    <row r="61" spans="2:21" x14ac:dyDescent="0.3">
      <c r="B61" s="91" t="str">
        <f>PT.anaer_lagoon!B364</f>
        <v>Total K2O accumulated in liquids</v>
      </c>
      <c r="C61" s="1878">
        <f>PT.anaer_lagoon!AA364</f>
        <v>5.5517686249999993</v>
      </c>
      <c r="D61" s="91" t="str">
        <f>PT.anaer_lagoon!F364</f>
        <v>kg/head/year</v>
      </c>
      <c r="E61" s="1611"/>
      <c r="F61" s="1611"/>
      <c r="G61" s="1611"/>
      <c r="H61" s="1611"/>
      <c r="I61" s="1611"/>
      <c r="J61" s="1918"/>
      <c r="K61" s="1611"/>
      <c r="L61" s="1611"/>
      <c r="M61" s="1611"/>
      <c r="N61" s="1611"/>
      <c r="O61" s="1611"/>
      <c r="P61" s="1611"/>
      <c r="Q61" s="91"/>
      <c r="R61" s="91" t="str">
        <f>PT.anaer_lagoon!B300</f>
        <v>Excess volume, lagoon liquid manure</v>
      </c>
      <c r="S61" s="91"/>
      <c r="T61" s="1439">
        <f>PT.anaer_lagoon!AA300</f>
        <v>0</v>
      </c>
      <c r="U61" s="1465" t="str">
        <f>PT.anaer_lagoon!F300</f>
        <v>1000 gal/year</v>
      </c>
    </row>
    <row r="62" spans="2:21" x14ac:dyDescent="0.3">
      <c r="B62" s="1668" t="str">
        <f>PT.anaer_lagoon!B365</f>
        <v>Sludge nutrient contents</v>
      </c>
      <c r="C62" s="1680"/>
      <c r="D62" s="1815"/>
      <c r="E62" s="1611"/>
      <c r="F62" s="1611"/>
      <c r="G62" s="1632"/>
      <c r="H62" s="1611"/>
      <c r="I62" s="1611"/>
      <c r="J62" s="1611"/>
      <c r="K62" s="1611"/>
      <c r="L62" s="1851"/>
      <c r="M62" s="1611"/>
      <c r="N62" s="1611"/>
      <c r="O62" s="1611"/>
      <c r="P62" s="1611"/>
      <c r="Q62" s="91"/>
      <c r="R62" s="91" t="str">
        <f>PT.anaer_lagoon!B301</f>
        <v>Excess volume, lagoon sludge manure</v>
      </c>
      <c r="S62" s="91"/>
      <c r="T62" s="1439">
        <f>PT.anaer_lagoon!AA301</f>
        <v>0</v>
      </c>
      <c r="U62" s="1465" t="str">
        <f>PT.anaer_lagoon!F301</f>
        <v>1000 gal/event</v>
      </c>
    </row>
    <row r="63" spans="2:21" x14ac:dyDescent="0.3">
      <c r="B63" s="91" t="str">
        <f>PT.anaer_lagoon!B366</f>
        <v>Total N accumulated in sludge</v>
      </c>
      <c r="C63" s="1878">
        <f>PT.anaer_lagoon!AA366</f>
        <v>1.3153712208704942</v>
      </c>
      <c r="D63" s="91" t="str">
        <f>PT.anaer_lagoon!F366</f>
        <v>kg/head/year</v>
      </c>
      <c r="E63" s="1939"/>
      <c r="F63" s="1611"/>
      <c r="G63" s="1939"/>
      <c r="H63" s="1611"/>
      <c r="I63" s="1611"/>
      <c r="J63" s="1611"/>
      <c r="K63" s="1611"/>
      <c r="L63" s="1851"/>
      <c r="M63" s="1611"/>
      <c r="N63" s="1611"/>
      <c r="O63" s="1611"/>
      <c r="P63" s="1611"/>
      <c r="Q63" s="91"/>
      <c r="R63" s="91" t="str">
        <f>PT.anaer_lagoon!B302</f>
        <v>Fertilizer value for on-farm use, liquids</v>
      </c>
      <c r="S63" s="91"/>
      <c r="T63" s="1439">
        <f>PT.anaer_lagoon!AA302</f>
        <v>4909.6319819428227</v>
      </c>
      <c r="U63" s="1465" t="str">
        <f>PT.anaer_lagoon!F302</f>
        <v>$/year</v>
      </c>
    </row>
    <row r="64" spans="2:21" x14ac:dyDescent="0.3">
      <c r="B64" s="91" t="str">
        <f>PT.anaer_lagoon!B367</f>
        <v>Total P2O5 accumulated in sludge</v>
      </c>
      <c r="C64" s="1878">
        <f>PT.anaer_lagoon!AA367</f>
        <v>2.9893992749999998</v>
      </c>
      <c r="D64" s="91" t="str">
        <f>PT.anaer_lagoon!F367</f>
        <v>kg/head/year</v>
      </c>
      <c r="E64" s="1939"/>
      <c r="F64" s="1611"/>
      <c r="G64" s="1939"/>
      <c r="H64" s="1611"/>
      <c r="I64" s="1611"/>
      <c r="J64" s="1611"/>
      <c r="K64" s="1611"/>
      <c r="L64" s="1851"/>
      <c r="M64" s="1960"/>
      <c r="N64" s="1611"/>
      <c r="O64" s="1611"/>
      <c r="P64" s="1611"/>
      <c r="Q64" s="91"/>
      <c r="R64" s="91" t="str">
        <f>PT.anaer_lagoon!B303</f>
        <v>Fertilizer value for on-farm use, sludge</v>
      </c>
      <c r="S64" s="91"/>
      <c r="T64" s="1439">
        <f>PT.anaer_lagoon!AA303</f>
        <v>12256.975793280892</v>
      </c>
      <c r="U64" s="1465" t="str">
        <f>PT.anaer_lagoon!F303</f>
        <v>$/event</v>
      </c>
    </row>
    <row r="65" spans="2:21" x14ac:dyDescent="0.3">
      <c r="B65" s="91" t="str">
        <f>PT.anaer_lagoon!B368</f>
        <v>Total K2O accumulated in sludge</v>
      </c>
      <c r="C65" s="1878">
        <f>PT.anaer_lagoon!AA368</f>
        <v>2.9894138749999994</v>
      </c>
      <c r="D65" s="91" t="str">
        <f>PT.anaer_lagoon!F368</f>
        <v>kg/head/year</v>
      </c>
    </row>
    <row r="66" spans="2:21" x14ac:dyDescent="0.3">
      <c r="B66" s="1668" t="str">
        <f>PT.anaer_lagoon!B369</f>
        <v>Excess slurry nutrient application</v>
      </c>
      <c r="C66" s="1680"/>
      <c r="D66" s="1815"/>
      <c r="Q66" s="118" t="s">
        <v>7175</v>
      </c>
      <c r="R66" s="1293"/>
      <c r="S66" s="1293"/>
      <c r="T66" s="1293"/>
      <c r="U66" s="1293"/>
    </row>
    <row r="67" spans="2:21" x14ac:dyDescent="0.3">
      <c r="B67" s="91" t="str">
        <f>PT.anaer_lagoon!B370</f>
        <v>Excess N from liquids</v>
      </c>
      <c r="C67" s="1878">
        <f>PT.anaer_lagoon!AA370</f>
        <v>0</v>
      </c>
      <c r="D67" s="91" t="str">
        <f>PT.anaer_lagoon!F370</f>
        <v>kg/head/year</v>
      </c>
      <c r="Q67" s="49"/>
      <c r="R67" s="18" t="s">
        <v>7176</v>
      </c>
      <c r="S67" s="49"/>
      <c r="T67" s="2126">
        <f>VLOOKUP("Sc 8a",'LCIA Summary output'!P:T,5,FALSE)</f>
        <v>0.61375810152268584</v>
      </c>
      <c r="U67" s="18" t="s">
        <v>7177</v>
      </c>
    </row>
    <row r="68" spans="2:21" x14ac:dyDescent="0.3">
      <c r="B68" s="91" t="str">
        <f>PT.anaer_lagoon!B371</f>
        <v>Excess P2O5 from liquids</v>
      </c>
      <c r="C68" s="1878">
        <f>PT.anaer_lagoon!AA371</f>
        <v>2.0458530909476651</v>
      </c>
      <c r="D68" s="91" t="str">
        <f>PT.anaer_lagoon!F371</f>
        <v>kg/head/year</v>
      </c>
      <c r="Q68" s="49"/>
      <c r="R68" s="18" t="s">
        <v>7178</v>
      </c>
      <c r="S68" s="49"/>
      <c r="T68" s="2126">
        <f>VLOOKUP("Sc 8b",'LCIA Summary output'!P:T,5,FALSE)</f>
        <v>0.61164517088839077</v>
      </c>
      <c r="U68" s="18" t="s">
        <v>7177</v>
      </c>
    </row>
    <row r="69" spans="2:21" x14ac:dyDescent="0.3">
      <c r="B69" s="91" t="str">
        <f>PT.anaer_lagoon!B372</f>
        <v>Excess K2O from liquids</v>
      </c>
      <c r="C69" s="1878">
        <f>PT.anaer_lagoon!AA372</f>
        <v>3.2196696047917435</v>
      </c>
      <c r="D69" s="91" t="str">
        <f>PT.anaer_lagoon!F372</f>
        <v>kg/head/year</v>
      </c>
      <c r="Q69" s="49"/>
      <c r="R69" s="18" t="s">
        <v>7179</v>
      </c>
      <c r="S69" s="49"/>
      <c r="T69" s="2127">
        <f>T67*UDV.animal.total</f>
        <v>306.87905076134291</v>
      </c>
      <c r="U69" s="49" t="s">
        <v>7180</v>
      </c>
    </row>
    <row r="70" spans="2:21" x14ac:dyDescent="0.3">
      <c r="B70" s="1668" t="str">
        <f>PT.anaer_lagoon!B373</f>
        <v>Excess sludge nutrient application</v>
      </c>
      <c r="C70" s="1680"/>
      <c r="D70" s="1815"/>
      <c r="Q70" s="49"/>
      <c r="R70" s="18" t="s">
        <v>7181</v>
      </c>
      <c r="S70" s="49"/>
      <c r="T70" s="2127">
        <f>T68*UDV.animal.total</f>
        <v>305.8225854441954</v>
      </c>
      <c r="U70" s="49" t="s">
        <v>7180</v>
      </c>
    </row>
    <row r="71" spans="2:21" x14ac:dyDescent="0.3">
      <c r="B71" s="91" t="str">
        <f>PT.anaer_lagoon!B374</f>
        <v>Excess N from sludge</v>
      </c>
      <c r="C71" s="1878">
        <f>PT.anaer_lagoon!AA374</f>
        <v>0</v>
      </c>
      <c r="D71" s="91" t="str">
        <f>PT.anaer_lagoon!F374</f>
        <v>kg/head/year</v>
      </c>
      <c r="U71" s="42"/>
    </row>
    <row r="72" spans="2:21" x14ac:dyDescent="0.3">
      <c r="B72" s="91" t="str">
        <f>PT.anaer_lagoon!B375</f>
        <v>Excess P2O5 from sludge</v>
      </c>
      <c r="C72" s="1878">
        <f>PT.anaer_lagoon!AA375</f>
        <v>2.4848617127174339</v>
      </c>
      <c r="D72" s="91" t="str">
        <f>PT.anaer_lagoon!F375</f>
        <v>kg/head/year</v>
      </c>
      <c r="Q72" s="76" t="s">
        <v>7182</v>
      </c>
      <c r="R72" s="18" t="s">
        <v>7183</v>
      </c>
      <c r="S72" s="49"/>
      <c r="T72" s="2128">
        <f>MAX(0, INDEX(EconIntermediate!$C$25:$BV$25, MATCH(UDV.u.farm_baseline, EconIntermediate!$C$3:$BV$3,0))-T69)</f>
        <v>0</v>
      </c>
      <c r="U72" s="49" t="s">
        <v>7180</v>
      </c>
    </row>
    <row r="73" spans="2:21" x14ac:dyDescent="0.3">
      <c r="B73" s="91" t="str">
        <f>PT.anaer_lagoon!B376</f>
        <v>Excess K2O from sludge</v>
      </c>
      <c r="C73" s="1878">
        <f>PT.anaer_lagoon!AA376</f>
        <v>2.4083941543696969</v>
      </c>
      <c r="D73" s="91" t="str">
        <f>PT.anaer_lagoon!F376</f>
        <v>kg/head/year</v>
      </c>
      <c r="Q73" s="49"/>
      <c r="R73" s="18" t="s">
        <v>7184</v>
      </c>
      <c r="S73" s="49"/>
      <c r="T73" s="2128">
        <f>MAX(0, INDEX(EconIntermediate!$C$25:$BV$25, MATCH(UDV.u.farm_baseline, EconIntermediate!$C$3:$BV$3,0))-T70)</f>
        <v>0</v>
      </c>
      <c r="U73" s="49" t="s">
        <v>7180</v>
      </c>
    </row>
    <row r="74" spans="2:21" x14ac:dyDescent="0.3">
      <c r="B74" s="1611"/>
      <c r="C74" s="2252"/>
      <c r="D74" s="1942"/>
    </row>
    <row r="75" spans="2:21" x14ac:dyDescent="0.3">
      <c r="B75" s="90"/>
      <c r="C75" s="1848"/>
      <c r="D75" s="90"/>
      <c r="Q75" s="49" t="s">
        <v>5925</v>
      </c>
      <c r="R75" s="18" t="s">
        <v>5724</v>
      </c>
      <c r="S75" s="49"/>
      <c r="T75" s="1360">
        <f>PT.shallow_plug!G19</f>
        <v>72.912282333907768</v>
      </c>
      <c r="U75" s="49" t="s">
        <v>2479</v>
      </c>
    </row>
    <row r="76" spans="2:21" x14ac:dyDescent="0.3">
      <c r="B76" s="90"/>
      <c r="C76" s="1848"/>
      <c r="D76" s="90"/>
    </row>
    <row r="77" spans="2:21" x14ac:dyDescent="0.3">
      <c r="B77" s="1668" t="str">
        <f>PT.anaer_digest!B93</f>
        <v>Emissions from digesters</v>
      </c>
      <c r="C77" s="1680"/>
      <c r="D77" s="1815"/>
    </row>
    <row r="78" spans="2:21" x14ac:dyDescent="0.3">
      <c r="B78" s="91" t="str">
        <f>PT.anaer_digest!B94</f>
        <v>CH4 from anaerobic digesters</v>
      </c>
      <c r="C78" s="2253">
        <f>PT.anaer_digest!I94</f>
        <v>0.72284023144655962</v>
      </c>
      <c r="D78" s="91" t="str">
        <f>PT.anaer_digest!C94</f>
        <v>kg/head/year</v>
      </c>
    </row>
    <row r="79" spans="2:21" x14ac:dyDescent="0.3">
      <c r="B79" s="91" t="str">
        <f>PT.anaer_digest!B95</f>
        <v>NH3 from anaerobic digester</v>
      </c>
      <c r="C79" s="2253">
        <f>PT.anaer_digest!I95</f>
        <v>1.0667374132343792</v>
      </c>
      <c r="D79" s="91" t="str">
        <f>PT.anaer_digest!C95</f>
        <v>kg/head/year</v>
      </c>
    </row>
    <row r="80" spans="2:21" x14ac:dyDescent="0.3">
      <c r="B80" s="91" t="str">
        <f>PT.anaer_digest!B96</f>
        <v>Direct N2O from anaerobic digester</v>
      </c>
      <c r="C80" s="2253">
        <f>PT.anaer_digest!I96</f>
        <v>1.3410169369252026E-2</v>
      </c>
      <c r="D80" s="91" t="str">
        <f>PT.anaer_digest!C96</f>
        <v>kg/head/year</v>
      </c>
    </row>
    <row r="81" spans="2:4" x14ac:dyDescent="0.3">
      <c r="B81" s="91" t="str">
        <f>PT.anaer_digest!B97</f>
        <v>Indirect N2O from anaerobic digester</v>
      </c>
      <c r="C81" s="2253">
        <f>PT.anaer_digest!I97</f>
        <v>2.3467796396191048E-2</v>
      </c>
      <c r="D81" s="91" t="str">
        <f>PT.anaer_digest!C97</f>
        <v>kg/head/year</v>
      </c>
    </row>
    <row r="82" spans="2:4" x14ac:dyDescent="0.3">
      <c r="B82" s="91" t="str">
        <f>PT.anaer_digest!B98</f>
        <v>CO2 from anaerobic digesters</v>
      </c>
      <c r="C82" s="2253">
        <f>PT.anaer_digest!I98</f>
        <v>36.27284479979874</v>
      </c>
      <c r="D82" s="91" t="str">
        <f>PT.anaer_digest!C98</f>
        <v>kg/head/year</v>
      </c>
    </row>
    <row r="83" spans="2:4" x14ac:dyDescent="0.3">
      <c r="B83" s="49" t="str">
        <f>PT.shallow_plug!B91</f>
        <v>CH4 from shallow plug</v>
      </c>
      <c r="C83" s="1399">
        <f>PT.shallow_plug!G91</f>
        <v>1.9630090140970797</v>
      </c>
      <c r="D83" s="49" t="str">
        <f>PT.shallow_plug!C91</f>
        <v>kg/head/year</v>
      </c>
    </row>
    <row r="84" spans="2:4" x14ac:dyDescent="0.3">
      <c r="B84" s="49" t="str">
        <f>PT.shallow_plug!B92</f>
        <v>NH3 from shallow plug</v>
      </c>
      <c r="C84" s="1399">
        <f>PT.shallow_plug!G92</f>
        <v>4.7450821249999997</v>
      </c>
      <c r="D84" s="49" t="str">
        <f>PT.shallow_plug!C92</f>
        <v>kg/head/year</v>
      </c>
    </row>
    <row r="85" spans="2:4" x14ac:dyDescent="0.3">
      <c r="B85" s="49" t="str">
        <f>PT.shallow_plug!B93</f>
        <v>Direct N2O from shallow plug</v>
      </c>
      <c r="C85" s="1399">
        <f>PT.shallow_plug!G93</f>
        <v>5.9651376409799999E-2</v>
      </c>
      <c r="D85" s="49" t="str">
        <f>PT.shallow_plug!C93</f>
        <v>kg/head/year</v>
      </c>
    </row>
    <row r="86" spans="2:4" x14ac:dyDescent="0.3">
      <c r="B86" s="49" t="str">
        <f>PT.shallow_plug!B94</f>
        <v>Indirect N2O from shallow plug</v>
      </c>
      <c r="C86" s="1399">
        <f>PT.shallow_plug!G94</f>
        <v>0.10438990871715</v>
      </c>
      <c r="D86" s="49" t="str">
        <f>PT.shallow_plug!C94</f>
        <v>kg/head/year</v>
      </c>
    </row>
    <row r="87" spans="2:4" x14ac:dyDescent="0.3">
      <c r="B87" s="49" t="str">
        <f>PT.anaer_lagoon!B378</f>
        <v>CH4 from lagoon</v>
      </c>
      <c r="C87" s="1209">
        <f>PT.anaer_lagoon!AA378</f>
        <v>15.379579392479993</v>
      </c>
      <c r="D87" s="49" t="str">
        <f>PT.anaer_lagoon!F378</f>
        <v>kg/head/year</v>
      </c>
    </row>
    <row r="88" spans="2:4" x14ac:dyDescent="0.3">
      <c r="B88" s="49" t="str">
        <f>PT.anaer_lagoon!B379</f>
        <v>NH3 from lagoon</v>
      </c>
      <c r="C88" s="1209">
        <f>PT.anaer_lagoon!AA379</f>
        <v>6.5768561043524736</v>
      </c>
      <c r="D88" s="49" t="str">
        <f>PT.anaer_lagoon!F379</f>
        <v>kg/head/year</v>
      </c>
    </row>
    <row r="89" spans="2:4" x14ac:dyDescent="0.3">
      <c r="B89" s="49" t="str">
        <f>PT.anaer_lagoon!B380</f>
        <v>N2O direct from lagoon</v>
      </c>
      <c r="C89" s="1209">
        <f>PT.anaer_lagoon!AA380</f>
        <v>0</v>
      </c>
      <c r="D89" s="49" t="str">
        <f>PT.anaer_lagoon!F380</f>
        <v>kg/head/year</v>
      </c>
    </row>
    <row r="90" spans="2:4" x14ac:dyDescent="0.3">
      <c r="B90" s="49" t="str">
        <f>PT.anaer_lagoon!B381</f>
        <v>N2O indirect from lagoon</v>
      </c>
      <c r="C90" s="1209">
        <f>PT.anaer_lagoon!AA381</f>
        <v>0.14468820355331269</v>
      </c>
      <c r="D90" s="49" t="str">
        <f>PT.anaer_lagoon!F381</f>
        <v>kg/head/year</v>
      </c>
    </row>
    <row r="298" spans="1:23" ht="15" thickBot="1" x14ac:dyDescent="0.35">
      <c r="A298" s="137"/>
      <c r="B298" s="137"/>
      <c r="C298" s="137"/>
      <c r="D298" s="137"/>
      <c r="E298" s="137"/>
      <c r="F298" s="137"/>
      <c r="G298" s="137"/>
      <c r="H298" s="137"/>
      <c r="I298" s="137"/>
      <c r="J298" s="137"/>
      <c r="K298" s="137"/>
      <c r="L298" s="137"/>
      <c r="M298" s="137"/>
      <c r="N298" s="137"/>
      <c r="O298" s="137"/>
      <c r="P298" s="137"/>
      <c r="Q298" s="137"/>
      <c r="U298" s="42"/>
      <c r="W298" s="36"/>
    </row>
    <row r="299" spans="1:23" x14ac:dyDescent="0.3">
      <c r="U299" s="42"/>
      <c r="W299" s="36"/>
    </row>
    <row r="300" spans="1:23" x14ac:dyDescent="0.3">
      <c r="B300" s="82" t="s">
        <v>6938</v>
      </c>
    </row>
    <row r="301" spans="1:23" x14ac:dyDescent="0.3">
      <c r="B301" t="s">
        <v>5209</v>
      </c>
    </row>
    <row r="302" spans="1:23" x14ac:dyDescent="0.3">
      <c r="B302" t="s">
        <v>5219</v>
      </c>
    </row>
    <row r="303" spans="1:23" x14ac:dyDescent="0.3">
      <c r="B303" t="s">
        <v>3086</v>
      </c>
    </row>
    <row r="304" spans="1:23" x14ac:dyDescent="0.3">
      <c r="B304" t="s">
        <v>5210</v>
      </c>
    </row>
    <row r="305" spans="1:25" x14ac:dyDescent="0.3">
      <c r="B305" t="s">
        <v>7246</v>
      </c>
      <c r="D305" s="66"/>
      <c r="E305" s="66"/>
      <c r="F305" s="19"/>
    </row>
    <row r="306" spans="1:25" x14ac:dyDescent="0.3">
      <c r="B306" t="s">
        <v>7074</v>
      </c>
      <c r="C306" t="s">
        <v>5205</v>
      </c>
      <c r="D306" s="66"/>
      <c r="E306" s="66"/>
      <c r="F306" s="19"/>
    </row>
    <row r="307" spans="1:25" ht="15" thickBot="1" x14ac:dyDescent="0.35">
      <c r="A307" s="137"/>
      <c r="B307" s="137"/>
      <c r="C307" s="137"/>
      <c r="D307" s="137"/>
      <c r="E307" s="137"/>
      <c r="F307" s="137"/>
      <c r="G307" s="137"/>
      <c r="H307" s="137"/>
      <c r="I307" s="137"/>
      <c r="J307" s="137"/>
      <c r="K307" s="137"/>
      <c r="L307" s="137"/>
      <c r="M307" s="137"/>
      <c r="N307" s="137"/>
      <c r="O307" s="137"/>
      <c r="P307" s="137"/>
      <c r="Q307" s="137"/>
      <c r="U307" s="42"/>
      <c r="W307" s="36"/>
    </row>
    <row r="308" spans="1:25" x14ac:dyDescent="0.3">
      <c r="R308" s="20"/>
      <c r="W308" s="42"/>
      <c r="Y308" s="36"/>
    </row>
    <row r="309" spans="1:25" ht="18" x14ac:dyDescent="0.35">
      <c r="B309" s="138" t="s">
        <v>6941</v>
      </c>
      <c r="C309" s="34"/>
      <c r="H309" s="355"/>
      <c r="R309" s="20"/>
      <c r="W309" s="42"/>
      <c r="Y309" s="36"/>
    </row>
    <row r="310" spans="1:25" x14ac:dyDescent="0.3">
      <c r="R310" s="20"/>
      <c r="W310" s="42"/>
      <c r="Y310" s="36"/>
    </row>
    <row r="311" spans="1:25" x14ac:dyDescent="0.3">
      <c r="B311" s="139" t="s">
        <v>6942</v>
      </c>
      <c r="C311" s="140"/>
      <c r="D311" s="140"/>
      <c r="E311" s="139"/>
      <c r="F311" s="141"/>
      <c r="R311" s="20"/>
      <c r="W311" s="42"/>
      <c r="Y311" s="36"/>
    </row>
    <row r="312" spans="1:25" x14ac:dyDescent="0.3">
      <c r="B312" s="143" t="s">
        <v>2663</v>
      </c>
      <c r="C312" s="144" t="s">
        <v>565</v>
      </c>
      <c r="D312" s="144" t="s">
        <v>6943</v>
      </c>
      <c r="E312" s="143" t="s">
        <v>565</v>
      </c>
      <c r="F312" s="145" t="s">
        <v>6944</v>
      </c>
      <c r="R312" s="20"/>
      <c r="W312" s="42"/>
      <c r="Y312" s="36"/>
    </row>
    <row r="313" spans="1:25" x14ac:dyDescent="0.3">
      <c r="A313" t="s">
        <v>6945</v>
      </c>
      <c r="B313" s="149" t="s">
        <v>5724</v>
      </c>
      <c r="C313" s="295">
        <f>VLOOKUP(B313,R5:U304,3,FALSE)</f>
        <v>72.912282333907768</v>
      </c>
      <c r="D313" s="151" t="s">
        <v>2478</v>
      </c>
      <c r="E313" s="359">
        <f>CONVERT(C313,"m^3","ft^3")</f>
        <v>2574.872950525033</v>
      </c>
      <c r="F313" s="151" t="s">
        <v>2479</v>
      </c>
      <c r="R313" s="20"/>
      <c r="W313" s="42"/>
      <c r="Y313" s="36"/>
    </row>
    <row r="314" spans="1:25" x14ac:dyDescent="0.3">
      <c r="R314" s="20"/>
      <c r="W314" s="42"/>
      <c r="Y314" s="36"/>
    </row>
    <row r="315" spans="1:25" s="369" customFormat="1" ht="57.6"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x14ac:dyDescent="0.3">
      <c r="A316" t="s">
        <v>6960</v>
      </c>
      <c r="B316" s="99" t="s">
        <v>6961</v>
      </c>
      <c r="C316" s="153">
        <f>VLOOKUP("Deep and shallow pit constructiona",Econ.Equations!C:E,2,FALSE)*E313^VLOOKUP("Deep and shallow pit constructionb",Econ.Equations!$C:$E,2,FALSE)*E313</f>
        <v>17700.891908535374</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1432.4335079052032</v>
      </c>
      <c r="O316" s="372">
        <f>N316*G316</f>
        <v>1432.4335079052032</v>
      </c>
      <c r="R316" s="20"/>
      <c r="W316" s="42"/>
      <c r="Y316" s="36"/>
    </row>
    <row r="317" spans="1:25" x14ac:dyDescent="0.3">
      <c r="B317" s="99"/>
      <c r="O317" s="146"/>
      <c r="R317" s="20"/>
      <c r="W317" s="42"/>
      <c r="Y317" s="36"/>
    </row>
    <row r="318" spans="1:25" x14ac:dyDescent="0.3">
      <c r="B318" s="99"/>
      <c r="C318" s="82" t="s">
        <v>6962</v>
      </c>
      <c r="D318" s="82" t="s">
        <v>6963</v>
      </c>
      <c r="O318" s="146"/>
      <c r="R318" s="20"/>
      <c r="W318" s="42"/>
      <c r="Y318" s="36"/>
    </row>
    <row r="319" spans="1:25" x14ac:dyDescent="0.3">
      <c r="A319" t="s">
        <v>6945</v>
      </c>
      <c r="B319" s="99" t="s">
        <v>6964</v>
      </c>
      <c r="C319" s="153">
        <f>SUM(C316:C316)</f>
        <v>17700.891908535374</v>
      </c>
      <c r="D319" s="158">
        <f>SUMPRODUCT(C316:C316,G316:G316)</f>
        <v>17700.891908535374</v>
      </c>
      <c r="O319" s="146"/>
      <c r="R319" s="20"/>
      <c r="W319" s="42"/>
      <c r="Y319" s="36"/>
    </row>
    <row r="320" spans="1:25" x14ac:dyDescent="0.3">
      <c r="A320" t="s">
        <v>6945</v>
      </c>
      <c r="B320" s="149" t="s">
        <v>6965</v>
      </c>
      <c r="C320" s="159">
        <f>SUM(N316:N316)</f>
        <v>1432.4335079052032</v>
      </c>
      <c r="D320" s="159">
        <f>SUMPRODUCT(N316:N316,G316:G316)</f>
        <v>1432.4335079052032</v>
      </c>
      <c r="E320" s="150"/>
      <c r="F320" s="150"/>
      <c r="G320" s="150"/>
      <c r="H320" s="150"/>
      <c r="I320" s="150"/>
      <c r="J320" s="150"/>
      <c r="K320" s="150"/>
      <c r="L320" s="150"/>
      <c r="M320" s="150"/>
      <c r="N320" s="150"/>
      <c r="O320" s="151"/>
      <c r="R320" s="20"/>
      <c r="W320" s="42"/>
      <c r="Y320" s="36"/>
    </row>
    <row r="321" spans="1:25" x14ac:dyDescent="0.3">
      <c r="B321" s="262"/>
      <c r="C321" s="142"/>
      <c r="D321" s="142"/>
      <c r="E321" s="142"/>
      <c r="F321" s="142"/>
      <c r="G321" s="142"/>
      <c r="H321" s="142"/>
      <c r="I321" s="142"/>
      <c r="J321" s="142"/>
      <c r="K321" s="142"/>
      <c r="L321" s="142"/>
      <c r="M321" s="142"/>
      <c r="N321" s="142"/>
      <c r="O321" s="141"/>
      <c r="R321" s="20"/>
      <c r="W321" s="42"/>
      <c r="Y321" s="36"/>
    </row>
    <row r="322" spans="1:25" ht="28.8"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c r="R322" s="20"/>
      <c r="W322" s="42"/>
      <c r="Y322" s="36"/>
    </row>
    <row r="323" spans="1:25" x14ac:dyDescent="0.3">
      <c r="B323" s="99" t="s">
        <v>6945</v>
      </c>
      <c r="C323" s="155">
        <f>VLOOKUP("OPEXInsuranceEverythingDefault",Econ.inputsTable!$E$1:$J$213,2,FALSE)</f>
        <v>5.0000000000000001E-3</v>
      </c>
      <c r="D323" s="155">
        <f>VLOOKUP("OPEXRepair and maintenanceBuildings and constructionDefault",Econ.inputsTable!$E$1:$J$503,2,FALSE)</f>
        <v>0.01</v>
      </c>
      <c r="O323" s="157">
        <f>(SUM(C323:D323)*SUMPRODUCT(C316:C316,G316:G316))+SUM(E323,G323,I323,J323,L323,N323)</f>
        <v>265.51337862803058</v>
      </c>
      <c r="R323" s="20"/>
      <c r="W323" s="42"/>
      <c r="Y323" s="36"/>
    </row>
    <row r="324" spans="1:25"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265.51337862803058</v>
      </c>
      <c r="R324" s="20"/>
      <c r="W324" s="42"/>
      <c r="Y324" s="36"/>
    </row>
    <row r="325" spans="1:25" x14ac:dyDescent="0.3">
      <c r="B325" s="99"/>
      <c r="C325" s="155"/>
      <c r="D325" s="155"/>
      <c r="E325" s="155"/>
      <c r="F325" s="158"/>
      <c r="G325" s="154"/>
      <c r="H325" s="156"/>
      <c r="I325" s="153"/>
      <c r="O325" s="146"/>
      <c r="R325" s="20"/>
      <c r="W325" s="42"/>
      <c r="Y325" s="36"/>
    </row>
    <row r="326" spans="1:25" x14ac:dyDescent="0.3">
      <c r="A326" t="s">
        <v>6945</v>
      </c>
      <c r="B326" s="149" t="s">
        <v>6980</v>
      </c>
      <c r="C326" s="159">
        <f>O324</f>
        <v>265.51337862803058</v>
      </c>
      <c r="D326" s="150"/>
      <c r="E326" s="150"/>
      <c r="F326" s="150"/>
      <c r="G326" s="150"/>
      <c r="H326" s="150"/>
      <c r="I326" s="150"/>
      <c r="J326" s="150"/>
      <c r="K326" s="150"/>
      <c r="L326" s="150"/>
      <c r="M326" s="150"/>
      <c r="N326" s="150"/>
      <c r="O326" s="151"/>
      <c r="R326" s="20"/>
      <c r="W326" s="42"/>
      <c r="Y326" s="36"/>
    </row>
    <row r="327" spans="1:25" ht="15" thickBot="1" x14ac:dyDescent="0.35">
      <c r="A327" s="137"/>
      <c r="B327" s="137"/>
      <c r="C327" s="137"/>
      <c r="D327" s="137"/>
      <c r="E327" s="137"/>
      <c r="F327" s="137"/>
      <c r="G327" s="137"/>
      <c r="H327" s="137"/>
      <c r="I327" s="137"/>
      <c r="J327" s="137"/>
      <c r="K327" s="137"/>
      <c r="L327" s="137"/>
      <c r="M327" s="137"/>
      <c r="N327" s="137"/>
      <c r="O327" s="137"/>
      <c r="R327" s="20"/>
      <c r="W327" s="42"/>
      <c r="Y327" s="36"/>
    </row>
    <row r="328" spans="1:25" x14ac:dyDescent="0.3">
      <c r="U328" s="42"/>
      <c r="W328" s="36"/>
    </row>
    <row r="329" spans="1:25" ht="15.6" x14ac:dyDescent="0.3">
      <c r="A329" s="82" t="s">
        <v>7088</v>
      </c>
      <c r="B329" s="138" t="s">
        <v>7089</v>
      </c>
    </row>
    <row r="331" spans="1:25" x14ac:dyDescent="0.3">
      <c r="B331" s="139" t="s">
        <v>6942</v>
      </c>
      <c r="C331" s="140"/>
      <c r="D331" s="140"/>
      <c r="E331" s="139" t="s">
        <v>6988</v>
      </c>
      <c r="F331" s="141"/>
    </row>
    <row r="332" spans="1:25" x14ac:dyDescent="0.3">
      <c r="B332" s="143" t="s">
        <v>2663</v>
      </c>
      <c r="C332" s="144" t="s">
        <v>565</v>
      </c>
      <c r="D332" s="144" t="s">
        <v>6943</v>
      </c>
      <c r="E332" s="143" t="s">
        <v>565</v>
      </c>
      <c r="F332" s="145" t="s">
        <v>6944</v>
      </c>
    </row>
    <row r="333" spans="1:25" x14ac:dyDescent="0.3">
      <c r="B333" s="99" t="s">
        <v>6925</v>
      </c>
      <c r="C333" s="205">
        <f>VLOOKUP(B333,$R:$U,3,FALSE)</f>
        <v>0.5855973846883441</v>
      </c>
      <c r="D333" t="s">
        <v>7090</v>
      </c>
      <c r="E333" s="164">
        <f>CONVERT(C333,"m^3","gal")*365</f>
        <v>56464.938983569657</v>
      </c>
      <c r="F333" s="146" t="s">
        <v>5324</v>
      </c>
    </row>
    <row r="334" spans="1:25" x14ac:dyDescent="0.3">
      <c r="B334" s="99" t="s">
        <v>5829</v>
      </c>
      <c r="C334" s="147">
        <f>VLOOKUP(B334,$R:$U,3,FALSE)</f>
        <v>16.2</v>
      </c>
      <c r="D334" t="s">
        <v>7090</v>
      </c>
      <c r="E334" s="164">
        <f>CONVERT(C334,"m^3","gal")*365</f>
        <v>1562049.3455937314</v>
      </c>
      <c r="F334" s="146" t="s">
        <v>5324</v>
      </c>
    </row>
    <row r="335" spans="1:25" x14ac:dyDescent="0.3">
      <c r="B335" s="99"/>
      <c r="D335" s="146"/>
      <c r="F335" s="146"/>
    </row>
    <row r="336" spans="1:25" x14ac:dyDescent="0.3">
      <c r="B336" s="92" t="s">
        <v>6996</v>
      </c>
      <c r="E336" s="143" t="s">
        <v>565</v>
      </c>
      <c r="F336" s="145" t="s">
        <v>6944</v>
      </c>
    </row>
    <row r="337" spans="1:23" x14ac:dyDescent="0.3">
      <c r="B337" s="149" t="s">
        <v>7091</v>
      </c>
      <c r="C337" s="150"/>
      <c r="D337" s="150"/>
      <c r="E337" s="497">
        <f>UDV.water.avg_cost/1000</f>
        <v>3.858144828221536E-3</v>
      </c>
      <c r="F337" s="151" t="s">
        <v>2315</v>
      </c>
    </row>
    <row r="339" spans="1:23" x14ac:dyDescent="0.3">
      <c r="B339" s="498" t="s">
        <v>6966</v>
      </c>
      <c r="C339" s="362" t="s">
        <v>6979</v>
      </c>
      <c r="D339" s="362"/>
      <c r="E339" s="362"/>
      <c r="F339" s="363"/>
    </row>
    <row r="340" spans="1:23" x14ac:dyDescent="0.3">
      <c r="B340" s="99" t="s">
        <v>7092</v>
      </c>
      <c r="C340" s="153">
        <f>E333*E337</f>
        <v>217.84991231530387</v>
      </c>
      <c r="D340" s="155"/>
      <c r="E340" s="155"/>
      <c r="F340" s="146"/>
    </row>
    <row r="341" spans="1:23" x14ac:dyDescent="0.3">
      <c r="B341" s="99"/>
      <c r="F341" s="146"/>
    </row>
    <row r="342" spans="1:23" x14ac:dyDescent="0.3">
      <c r="A342" t="s">
        <v>5209</v>
      </c>
      <c r="B342" s="149" t="s">
        <v>6980</v>
      </c>
      <c r="C342" s="159">
        <f>SUM(C340:C340)</f>
        <v>217.84991231530387</v>
      </c>
      <c r="D342" s="150"/>
      <c r="E342" s="150"/>
      <c r="F342" s="151"/>
    </row>
    <row r="343" spans="1:23" ht="15" thickBot="1" x14ac:dyDescent="0.35">
      <c r="A343" s="137"/>
      <c r="B343" s="137"/>
      <c r="C343" s="137"/>
      <c r="D343" s="137"/>
      <c r="E343" s="137"/>
      <c r="F343" s="137"/>
      <c r="G343" s="137"/>
      <c r="H343" s="137"/>
      <c r="I343" s="137"/>
      <c r="J343" s="137"/>
      <c r="K343" s="137"/>
      <c r="L343" s="137"/>
      <c r="M343" s="137"/>
      <c r="N343" s="137"/>
      <c r="O343" s="137"/>
      <c r="P343" s="137"/>
      <c r="Q343" s="137"/>
      <c r="U343" s="42"/>
      <c r="W343" s="36"/>
    </row>
    <row r="344" spans="1:23" x14ac:dyDescent="0.3">
      <c r="U344" s="42"/>
      <c r="W344" s="36"/>
    </row>
    <row r="345" spans="1:23" ht="18" x14ac:dyDescent="0.35">
      <c r="B345" s="138" t="s">
        <v>7187</v>
      </c>
      <c r="H345" s="355"/>
    </row>
    <row r="347" spans="1:23" x14ac:dyDescent="0.3">
      <c r="B347" s="139" t="s">
        <v>6942</v>
      </c>
      <c r="C347" s="140"/>
      <c r="D347" s="140"/>
      <c r="E347" s="139" t="s">
        <v>6988</v>
      </c>
      <c r="F347" s="141"/>
    </row>
    <row r="348" spans="1:23" x14ac:dyDescent="0.3">
      <c r="B348" s="143" t="s">
        <v>2663</v>
      </c>
      <c r="C348" s="144" t="s">
        <v>565</v>
      </c>
      <c r="D348" s="144" t="s">
        <v>6943</v>
      </c>
      <c r="E348" s="143" t="s">
        <v>565</v>
      </c>
      <c r="F348" s="145" t="s">
        <v>6944</v>
      </c>
      <c r="H348" s="139" t="s">
        <v>7189</v>
      </c>
    </row>
    <row r="349" spans="1:23" x14ac:dyDescent="0.3">
      <c r="B349" s="99" t="s">
        <v>5951</v>
      </c>
      <c r="C349" s="147">
        <f>VLOOKUP(B349,$R:$U,3,FALSE)</f>
        <v>5208.020166707699</v>
      </c>
      <c r="D349" t="s">
        <v>2481</v>
      </c>
      <c r="E349" s="164">
        <f>CONVERT(C349,"l","gal")</f>
        <v>1375.8133761617992</v>
      </c>
      <c r="F349" s="146" t="s">
        <v>2480</v>
      </c>
      <c r="H349" s="99" t="s">
        <v>2787</v>
      </c>
    </row>
    <row r="350" spans="1:23" x14ac:dyDescent="0.3">
      <c r="B350" s="99" t="s">
        <v>5953</v>
      </c>
      <c r="C350" s="147">
        <f>VLOOKUP(B350,$R:$U,3,FALSE)</f>
        <v>1</v>
      </c>
      <c r="D350" t="s">
        <v>2442</v>
      </c>
      <c r="E350" s="523">
        <f>C350</f>
        <v>1</v>
      </c>
      <c r="F350" s="146" t="s">
        <v>2442</v>
      </c>
      <c r="H350" s="99" t="s">
        <v>1228</v>
      </c>
    </row>
    <row r="351" spans="1:23" x14ac:dyDescent="0.3">
      <c r="B351" s="99" t="s">
        <v>5952</v>
      </c>
      <c r="C351" s="147">
        <f>VLOOKUP(B351,$R:$U,3,FALSE)</f>
        <v>15</v>
      </c>
      <c r="D351" t="s">
        <v>971</v>
      </c>
      <c r="E351" s="524">
        <f>ROUNDUP(C351,0.1)</f>
        <v>15</v>
      </c>
      <c r="F351" s="146" t="s">
        <v>971</v>
      </c>
      <c r="H351" s="149" t="s">
        <v>7190</v>
      </c>
    </row>
    <row r="352" spans="1:23" x14ac:dyDescent="0.3">
      <c r="B352" s="99" t="s">
        <v>5954</v>
      </c>
      <c r="C352" s="147">
        <f>VLOOKUP(B352,$R:$U,3,FALSE)</f>
        <v>0.6839628928387872</v>
      </c>
      <c r="D352" t="s">
        <v>6704</v>
      </c>
      <c r="E352" s="164">
        <f>C352*365</f>
        <v>249.64645588615733</v>
      </c>
      <c r="F352" s="146" t="s">
        <v>5323</v>
      </c>
    </row>
    <row r="353" spans="1:15" x14ac:dyDescent="0.3">
      <c r="B353" s="99"/>
      <c r="E353" s="99"/>
      <c r="F353" s="146"/>
    </row>
    <row r="354" spans="1:15" x14ac:dyDescent="0.3">
      <c r="B354" s="92" t="s">
        <v>6942</v>
      </c>
      <c r="C354" s="82"/>
      <c r="D354" s="82"/>
      <c r="E354" s="92"/>
      <c r="F354" s="146"/>
    </row>
    <row r="355" spans="1:15" x14ac:dyDescent="0.3">
      <c r="B355" s="143" t="s">
        <v>2663</v>
      </c>
      <c r="C355" s="144" t="s">
        <v>565</v>
      </c>
      <c r="D355" s="144" t="s">
        <v>6943</v>
      </c>
      <c r="E355" s="143" t="s">
        <v>565</v>
      </c>
      <c r="F355" s="145" t="s">
        <v>6944</v>
      </c>
    </row>
    <row r="356" spans="1:15" x14ac:dyDescent="0.3">
      <c r="B356" s="99" t="s">
        <v>7076</v>
      </c>
      <c r="D356" s="146"/>
      <c r="E356" s="525">
        <f>UDV.electricity.avg_cost</f>
        <v>6.8591666666666662E-2</v>
      </c>
      <c r="F356" s="146" t="s">
        <v>2306</v>
      </c>
    </row>
    <row r="357" spans="1:15" x14ac:dyDescent="0.3">
      <c r="B357" s="149" t="s">
        <v>6998</v>
      </c>
      <c r="C357" s="150"/>
      <c r="D357" s="151"/>
      <c r="E357" s="497">
        <f>UDV.labor.non_specialized_cost</f>
        <v>23.66</v>
      </c>
      <c r="F357" s="151" t="s">
        <v>3659</v>
      </c>
    </row>
    <row r="359" spans="1:15" ht="57.6" x14ac:dyDescent="0.3">
      <c r="B359" s="361" t="s">
        <v>6946</v>
      </c>
      <c r="C359" s="362" t="s">
        <v>6947</v>
      </c>
      <c r="D359" s="371" t="s">
        <v>6948</v>
      </c>
      <c r="E359" s="362" t="s">
        <v>6949</v>
      </c>
      <c r="F359" s="362" t="s">
        <v>6950</v>
      </c>
      <c r="G359" s="362" t="s">
        <v>6951</v>
      </c>
      <c r="H359" s="362" t="s">
        <v>6952</v>
      </c>
      <c r="I359" s="371" t="s">
        <v>6953</v>
      </c>
      <c r="J359" s="371" t="s">
        <v>6954</v>
      </c>
      <c r="K359" s="362" t="s">
        <v>6955</v>
      </c>
      <c r="L359" s="362" t="s">
        <v>6956</v>
      </c>
      <c r="M359" s="362" t="s">
        <v>6957</v>
      </c>
      <c r="N359" s="362" t="s">
        <v>6958</v>
      </c>
      <c r="O359" s="363" t="s">
        <v>6959</v>
      </c>
    </row>
    <row r="360" spans="1:15" x14ac:dyDescent="0.3">
      <c r="A360" t="s">
        <v>7191</v>
      </c>
      <c r="B360" s="99" t="s">
        <v>2787</v>
      </c>
      <c r="C360" s="153">
        <f>VLOOKUP("Reception pit constructiona",Econ.Equations!$C:$E,2,FALSE)*E349^VLOOKUP("Reception pit constructionb",Econ.Equations!$C:$E,2,FALSE)*E349</f>
        <v>11278.228484656651</v>
      </c>
      <c r="D360">
        <f>VLOOKUP("CAPEXLifetimeBuildings and constructionDefault",Econ.inputsTable!$E:$H,2,FALSE)</f>
        <v>20</v>
      </c>
      <c r="E360" t="s">
        <v>2852</v>
      </c>
      <c r="F360" t="s">
        <v>2852</v>
      </c>
      <c r="G360" s="154">
        <v>1</v>
      </c>
      <c r="H360" s="503">
        <f>UDV.econ_capital.interest_rate</f>
        <v>5.0999999999999997E-2</v>
      </c>
      <c r="I360" s="154">
        <f>VLOOKUP("CAPEXSalvageBuildings and constructionDefault",Econ.inputsTable!$E:$J,2,FALSE)</f>
        <v>0</v>
      </c>
      <c r="J360" s="153">
        <f>$C360*I360</f>
        <v>0</v>
      </c>
      <c r="K360" s="154">
        <f>VLOOKUP("CAPEXFinanced amountNADefault", Econ.inputsTable!$E:$I,2,FALSE)</f>
        <v>1</v>
      </c>
      <c r="L360" s="364">
        <f>H360*K360</f>
        <v>5.0999999999999997E-2</v>
      </c>
      <c r="M360" s="351">
        <f>L360/(1-(1+L360)^-D360)</f>
        <v>8.0924368970045152E-2</v>
      </c>
      <c r="N360" s="153">
        <f>((C360-J360)*M360)+(J360*L360)</f>
        <v>912.68352322082808</v>
      </c>
      <c r="O360" s="157">
        <f>G360*N360</f>
        <v>912.68352322082808</v>
      </c>
    </row>
    <row r="361" spans="1:15" x14ac:dyDescent="0.3">
      <c r="A361" t="s">
        <v>7192</v>
      </c>
      <c r="B361" s="99" t="s">
        <v>1228</v>
      </c>
      <c r="C361" s="153">
        <f>UDV.econ_agi.electric_pump*E350</f>
        <v>12100</v>
      </c>
      <c r="D361">
        <f>VLOOKUP("CAPEXLifetimeAgi-pump, electricDefault",Econ.inputsTable!$E:$H,2,FALSE)</f>
        <v>15</v>
      </c>
      <c r="E361" t="s">
        <v>2852</v>
      </c>
      <c r="F361" t="s">
        <v>2852</v>
      </c>
      <c r="G361" s="154">
        <v>1</v>
      </c>
      <c r="H361" s="503">
        <f>UDV.econ_capital.interest_rate</f>
        <v>5.0999999999999997E-2</v>
      </c>
      <c r="I361" s="154">
        <f>VLOOKUP("CAPEXSalvageEquipmentDefault",Econ.inputsTable!$E:$J,2,FALSE)</f>
        <v>0.2</v>
      </c>
      <c r="J361" s="153">
        <f>$C361*I361</f>
        <v>2420</v>
      </c>
      <c r="K361" s="154">
        <f>VLOOKUP("CAPEXFinanced amountNADefault", Econ.inputsTable!$E:$I,2,FALSE)</f>
        <v>1</v>
      </c>
      <c r="L361" s="364">
        <f>H361*K361</f>
        <v>5.0999999999999997E-2</v>
      </c>
      <c r="M361" s="351">
        <f>L361/(1-(1+L361)^-D361)</f>
        <v>9.6994593888520206E-2</v>
      </c>
      <c r="N361" s="153">
        <f>((C361-J361)*M361)+(J361*L361)</f>
        <v>1062.3276688408755</v>
      </c>
      <c r="O361" s="157">
        <f>G361*N361</f>
        <v>1062.3276688408755</v>
      </c>
    </row>
    <row r="362" spans="1:15" x14ac:dyDescent="0.3">
      <c r="A362" t="s">
        <v>7192</v>
      </c>
      <c r="B362" s="99" t="s">
        <v>7193</v>
      </c>
      <c r="C362" s="153">
        <f>VLOOKUP(_xlfn.CONCAT("Motor, ", E351, " hpDefault"), Econ.Tables!C:E, 2, FALSE)*E350</f>
        <v>1470</v>
      </c>
      <c r="D362">
        <f>VLOOKUP("CAPEXLifetimeMotorDefault",Econ.inputsTable!$E:$H,2,FALSE)</f>
        <v>20</v>
      </c>
      <c r="E362" t="s">
        <v>2852</v>
      </c>
      <c r="F362" t="s">
        <v>2852</v>
      </c>
      <c r="G362" s="154">
        <v>1</v>
      </c>
      <c r="H362" s="503">
        <f>UDV.econ_capital.interest_rate</f>
        <v>5.0999999999999997E-2</v>
      </c>
      <c r="I362" s="154">
        <f>VLOOKUP("CAPEXSalvageEquipmentDefault",Econ.inputsTable!$E:$I,2,FALSE)</f>
        <v>0.2</v>
      </c>
      <c r="J362" s="153">
        <f>$C362*I362</f>
        <v>294</v>
      </c>
      <c r="K362" s="154">
        <f>VLOOKUP("CAPEXFinanced amountNADefault", Econ.inputsTable!$E:$I,2,FALSE)</f>
        <v>1</v>
      </c>
      <c r="L362" s="364">
        <f>H362*K362</f>
        <v>5.0999999999999997E-2</v>
      </c>
      <c r="M362" s="351">
        <f>L362/(1-(1+L362)^-D362)</f>
        <v>8.0924368970045152E-2</v>
      </c>
      <c r="N362" s="153">
        <f>((C362-J362)*M362)+(J362*L362)</f>
        <v>110.1610579087731</v>
      </c>
      <c r="O362" s="157">
        <f>G362*N362</f>
        <v>110.1610579087731</v>
      </c>
    </row>
    <row r="363" spans="1:15" x14ac:dyDescent="0.3">
      <c r="B363" s="99"/>
      <c r="C363" s="153"/>
      <c r="L363" s="154"/>
      <c r="M363" s="155"/>
      <c r="N363" s="154"/>
      <c r="O363" s="501"/>
    </row>
    <row r="364" spans="1:15" x14ac:dyDescent="0.3">
      <c r="B364" s="99"/>
      <c r="C364" s="82" t="s">
        <v>7009</v>
      </c>
      <c r="D364" s="82" t="s">
        <v>6963</v>
      </c>
      <c r="O364" s="146"/>
    </row>
    <row r="365" spans="1:15" x14ac:dyDescent="0.3">
      <c r="A365" t="s">
        <v>5219</v>
      </c>
      <c r="B365" s="99" t="s">
        <v>6964</v>
      </c>
      <c r="C365" s="153">
        <f>SUM(C360:C362)</f>
        <v>24848.228484656651</v>
      </c>
      <c r="D365" s="153">
        <f>SUMPRODUCT(C360:C362,G360:G362)</f>
        <v>24848.228484656651</v>
      </c>
      <c r="O365" s="146"/>
    </row>
    <row r="366" spans="1:15" x14ac:dyDescent="0.3">
      <c r="A366" t="s">
        <v>5219</v>
      </c>
      <c r="B366" s="149" t="s">
        <v>6965</v>
      </c>
      <c r="C366" s="159">
        <f>SUM(N360:N362)</f>
        <v>2085.172249970477</v>
      </c>
      <c r="D366" s="159">
        <f>SUMPRODUCT(N360:N362,G360:G362)</f>
        <v>2085.172249970477</v>
      </c>
      <c r="E366" s="150"/>
      <c r="F366" s="150"/>
      <c r="G366" s="150"/>
      <c r="H366" s="150"/>
      <c r="I366" s="150"/>
      <c r="J366" s="150"/>
      <c r="K366" s="150"/>
      <c r="L366" s="150"/>
      <c r="M366" s="150"/>
      <c r="N366" s="150"/>
      <c r="O366" s="151"/>
    </row>
    <row r="367" spans="1:15" x14ac:dyDescent="0.3">
      <c r="B367" s="262"/>
      <c r="C367" s="142"/>
      <c r="D367" s="142"/>
      <c r="E367" s="142"/>
      <c r="F367" s="142"/>
      <c r="G367" s="142"/>
      <c r="H367" s="142"/>
      <c r="I367" s="142"/>
      <c r="J367" s="142"/>
      <c r="K367" s="142"/>
      <c r="L367" s="142"/>
      <c r="M367" s="142"/>
      <c r="N367" s="142"/>
      <c r="O367" s="141"/>
    </row>
    <row r="368" spans="1:15" ht="28.8" x14ac:dyDescent="0.3">
      <c r="B368" s="160" t="s">
        <v>6966</v>
      </c>
      <c r="C368" s="152" t="s">
        <v>6967</v>
      </c>
      <c r="D368" s="152" t="s">
        <v>6968</v>
      </c>
      <c r="E368" s="152" t="s">
        <v>6969</v>
      </c>
      <c r="F368" s="152" t="s">
        <v>6970</v>
      </c>
      <c r="G368" s="152" t="s">
        <v>6971</v>
      </c>
      <c r="H368" s="152" t="s">
        <v>6972</v>
      </c>
      <c r="I368" s="152" t="s">
        <v>6973</v>
      </c>
      <c r="J368" s="152" t="s">
        <v>6974</v>
      </c>
      <c r="K368" s="152" t="s">
        <v>6975</v>
      </c>
      <c r="L368" s="152" t="s">
        <v>6976</v>
      </c>
      <c r="M368" s="152" t="s">
        <v>6977</v>
      </c>
      <c r="N368" s="152" t="s">
        <v>6978</v>
      </c>
      <c r="O368" s="161" t="s">
        <v>6979</v>
      </c>
    </row>
    <row r="369" spans="1:15" x14ac:dyDescent="0.3">
      <c r="B369" s="99" t="s">
        <v>5219</v>
      </c>
      <c r="C369" s="155">
        <f>VLOOKUP("OPEXInsuranceEverythingDefault",Econ.inputsTable!$E$1:$J$89,2,FALSE)</f>
        <v>5.0000000000000001E-3</v>
      </c>
      <c r="D369" s="155">
        <f>VLOOKUP("OPEXRepair and maintenanceBuildings and constructionDefault",Econ.inputsTable!$E:$I,2,FALSE)</f>
        <v>0.01</v>
      </c>
      <c r="G369" s="504"/>
      <c r="O369" s="157">
        <f>(SUM(C369:D369)*C360*G360)+SUM(G369,I369,J369,L369,N369)</f>
        <v>169.17342726984975</v>
      </c>
    </row>
    <row r="370" spans="1:15" x14ac:dyDescent="0.3">
      <c r="B370" s="99" t="s">
        <v>1228</v>
      </c>
      <c r="C370" s="155">
        <f>VLOOKUP("OPEXInsuranceEverythingDefault",Econ.inputsTable!$E$1:$J$89,2,FALSE)</f>
        <v>5.0000000000000001E-3</v>
      </c>
      <c r="D370" s="155">
        <f>VLOOKUP("OPEXRepair and maintenanceAgi-pump, electricDefault",Econ.inputsTable!$E:$I,2,FALSE)</f>
        <v>0.11</v>
      </c>
      <c r="G370" s="504"/>
      <c r="O370" s="157">
        <f>(SUM(C370:D370)*C361*G361)+SUM(G370,I370,J370,L370,N370)</f>
        <v>1391.5</v>
      </c>
    </row>
    <row r="371" spans="1:15" x14ac:dyDescent="0.3">
      <c r="B371" s="99" t="s">
        <v>7190</v>
      </c>
      <c r="C371" s="155">
        <f>VLOOKUP("OPEXInsuranceEverythingDefault",Econ.inputsTable!$E$1:$J$89,2,FALSE)</f>
        <v>5.0000000000000001E-3</v>
      </c>
      <c r="D371" s="155">
        <f>VLOOKUP("OPEXRepair and maintenanceEquipmentDefault",Econ.inputsTable!$E:$I,2,FALSE)</f>
        <v>0.03</v>
      </c>
      <c r="F371" s="166">
        <f>E352</f>
        <v>249.64645588615733</v>
      </c>
      <c r="G371" s="158">
        <f>F371*E356</f>
        <v>17.123666486658006</v>
      </c>
      <c r="O371" s="157">
        <f>(SUM(C371:D371)*C362*G362)+SUM(G371,I371,J371,L371,N371)</f>
        <v>68.573666486657999</v>
      </c>
    </row>
    <row r="372" spans="1:15" x14ac:dyDescent="0.3">
      <c r="A372" t="s">
        <v>5219</v>
      </c>
      <c r="B372" s="162" t="s">
        <v>5203</v>
      </c>
      <c r="C372" s="505"/>
      <c r="D372" s="505"/>
      <c r="E372" s="367">
        <f t="shared" ref="E372:O372" si="3">SUM(E369:E371)</f>
        <v>0</v>
      </c>
      <c r="F372" s="526">
        <f t="shared" si="3"/>
        <v>249.64645588615733</v>
      </c>
      <c r="G372" s="367">
        <f t="shared" si="3"/>
        <v>17.123666486658006</v>
      </c>
      <c r="H372" s="526">
        <f t="shared" si="3"/>
        <v>0</v>
      </c>
      <c r="I372" s="367">
        <f t="shared" si="3"/>
        <v>0</v>
      </c>
      <c r="J372" s="367">
        <f t="shared" si="3"/>
        <v>0</v>
      </c>
      <c r="K372" s="526">
        <f t="shared" si="3"/>
        <v>0</v>
      </c>
      <c r="L372" s="367">
        <f t="shared" si="3"/>
        <v>0</v>
      </c>
      <c r="M372" s="526">
        <f t="shared" si="3"/>
        <v>0</v>
      </c>
      <c r="N372" s="367">
        <f t="shared" si="3"/>
        <v>0</v>
      </c>
      <c r="O372" s="169">
        <f t="shared" si="3"/>
        <v>1629.2470937565076</v>
      </c>
    </row>
    <row r="373" spans="1:15" x14ac:dyDescent="0.3">
      <c r="B373" s="99"/>
      <c r="O373" s="146"/>
    </row>
    <row r="374" spans="1:15" x14ac:dyDescent="0.3">
      <c r="A374" t="s">
        <v>5219</v>
      </c>
      <c r="B374" s="149" t="s">
        <v>6980</v>
      </c>
      <c r="C374" s="159">
        <f>SUM(O369:O371)</f>
        <v>1629.2470937565076</v>
      </c>
      <c r="D374" s="150"/>
      <c r="E374" s="150"/>
      <c r="F374" s="150"/>
      <c r="G374" s="150"/>
      <c r="H374" s="150"/>
      <c r="I374" s="150"/>
      <c r="J374" s="150"/>
      <c r="K374" s="150"/>
      <c r="L374" s="150"/>
      <c r="M374" s="150"/>
      <c r="N374" s="150"/>
      <c r="O374" s="151"/>
    </row>
    <row r="375" spans="1:15" ht="15" thickBot="1" x14ac:dyDescent="0.35">
      <c r="A375" s="137"/>
      <c r="B375" s="137"/>
      <c r="C375" s="137"/>
      <c r="D375" s="137"/>
      <c r="E375" s="137"/>
      <c r="F375" s="137"/>
      <c r="G375" s="137"/>
      <c r="H375" s="137"/>
      <c r="I375" s="137"/>
      <c r="J375" s="137"/>
      <c r="K375" s="137"/>
      <c r="L375" s="137"/>
      <c r="M375" s="137"/>
      <c r="N375" s="137"/>
      <c r="O375" s="137"/>
    </row>
    <row r="377" spans="1:15" ht="18" x14ac:dyDescent="0.35">
      <c r="B377" s="138" t="s">
        <v>7194</v>
      </c>
      <c r="H377" s="355"/>
    </row>
    <row r="379" spans="1:15" x14ac:dyDescent="0.3">
      <c r="B379" s="139" t="s">
        <v>6942</v>
      </c>
      <c r="C379" s="140"/>
      <c r="D379" s="140"/>
      <c r="E379" s="139"/>
      <c r="F379" s="141"/>
      <c r="H379" s="139" t="s">
        <v>7033</v>
      </c>
      <c r="I379" s="142"/>
      <c r="J379" s="141"/>
    </row>
    <row r="380" spans="1:15" x14ac:dyDescent="0.3">
      <c r="B380" s="143" t="s">
        <v>2663</v>
      </c>
      <c r="C380" s="144" t="s">
        <v>565</v>
      </c>
      <c r="D380" s="144" t="s">
        <v>6943</v>
      </c>
      <c r="E380" s="143" t="s">
        <v>565</v>
      </c>
      <c r="F380" s="145" t="s">
        <v>6944</v>
      </c>
      <c r="H380" s="99" t="s">
        <v>7195</v>
      </c>
      <c r="J380" s="146"/>
    </row>
    <row r="381" spans="1:15" x14ac:dyDescent="0.3">
      <c r="B381" s="99" t="s">
        <v>5859</v>
      </c>
      <c r="C381">
        <f>UDV.animal.total</f>
        <v>500</v>
      </c>
      <c r="D381" t="s">
        <v>2442</v>
      </c>
      <c r="E381" s="99">
        <f>C381</f>
        <v>500</v>
      </c>
      <c r="F381" s="146" t="s">
        <v>2442</v>
      </c>
      <c r="H381" s="99" t="s">
        <v>7196</v>
      </c>
      <c r="J381" s="146"/>
    </row>
    <row r="382" spans="1:15" x14ac:dyDescent="0.3">
      <c r="B382" s="99" t="s">
        <v>6239</v>
      </c>
      <c r="C382" s="147">
        <f>VLOOKUP(B382,$R:$U,3,FALSE)</f>
        <v>5.2080201667076986</v>
      </c>
      <c r="D382" t="s">
        <v>2521</v>
      </c>
      <c r="E382" s="164">
        <f>C382*365</f>
        <v>1900.9273608483099</v>
      </c>
      <c r="F382" s="146" t="s">
        <v>7197</v>
      </c>
      <c r="H382" s="99" t="s">
        <v>7198</v>
      </c>
      <c r="J382" s="146"/>
    </row>
    <row r="383" spans="1:15" x14ac:dyDescent="0.3">
      <c r="A383" s="34"/>
      <c r="B383" s="99" t="s">
        <v>6240</v>
      </c>
      <c r="C383" s="147">
        <f>VLOOKUP(B383,$R:$U,3,FALSE)</f>
        <v>1</v>
      </c>
      <c r="D383" s="146" t="s">
        <v>2442</v>
      </c>
      <c r="E383" s="147">
        <f>C383</f>
        <v>1</v>
      </c>
      <c r="F383" s="146" t="s">
        <v>2442</v>
      </c>
      <c r="H383" s="99" t="s">
        <v>7199</v>
      </c>
      <c r="J383" s="146"/>
    </row>
    <row r="384" spans="1:15" x14ac:dyDescent="0.3">
      <c r="B384" s="99" t="s">
        <v>6241</v>
      </c>
      <c r="C384" s="147">
        <f>VLOOKUP(B384,$R:$U,3,FALSE)</f>
        <v>130.20050416769246</v>
      </c>
      <c r="D384" t="s">
        <v>6218</v>
      </c>
      <c r="E384" s="164">
        <f>C384</f>
        <v>130.20050416769246</v>
      </c>
      <c r="F384" s="146" t="s">
        <v>6218</v>
      </c>
      <c r="H384" s="149" t="s">
        <v>7201</v>
      </c>
      <c r="I384" s="150"/>
      <c r="J384" s="151"/>
    </row>
    <row r="385" spans="2:11" x14ac:dyDescent="0.3">
      <c r="B385" s="99" t="s">
        <v>6242</v>
      </c>
      <c r="C385" s="147"/>
      <c r="D385" s="146" t="s">
        <v>7200</v>
      </c>
      <c r="E385" s="316"/>
      <c r="F385" s="146" t="s">
        <v>6243</v>
      </c>
      <c r="G385" s="34"/>
    </row>
    <row r="386" spans="2:11" x14ac:dyDescent="0.3">
      <c r="B386" s="99" t="s">
        <v>6242</v>
      </c>
      <c r="C386" s="147"/>
      <c r="D386" s="146" t="s">
        <v>7200</v>
      </c>
      <c r="E386" s="316"/>
      <c r="F386" s="146" t="s">
        <v>7202</v>
      </c>
      <c r="G386" s="34"/>
    </row>
    <row r="387" spans="2:11" x14ac:dyDescent="0.3">
      <c r="B387" s="99" t="s">
        <v>7203</v>
      </c>
      <c r="C387" s="153"/>
      <c r="D387" t="s">
        <v>7204</v>
      </c>
      <c r="E387" s="99">
        <f>UDV.econ_methane.fate</f>
        <v>0</v>
      </c>
      <c r="F387" s="146" t="s">
        <v>7205</v>
      </c>
      <c r="G387" s="34"/>
      <c r="H387" s="139" t="s">
        <v>7206</v>
      </c>
      <c r="I387" s="142"/>
      <c r="J387" s="142"/>
      <c r="K387" s="141"/>
    </row>
    <row r="388" spans="2:11" x14ac:dyDescent="0.3">
      <c r="B388" s="99" t="s">
        <v>1302</v>
      </c>
      <c r="C388" s="153"/>
      <c r="D388" t="s">
        <v>7207</v>
      </c>
      <c r="E388" s="178">
        <f>UDV.econ_elec.connected</f>
        <v>0</v>
      </c>
      <c r="F388" s="146" t="s">
        <v>7208</v>
      </c>
      <c r="G388" s="34"/>
      <c r="H388" s="99">
        <v>0.71699999999999997</v>
      </c>
      <c r="I388" t="s">
        <v>7209</v>
      </c>
      <c r="J388">
        <v>1</v>
      </c>
      <c r="K388" s="146" t="s">
        <v>676</v>
      </c>
    </row>
    <row r="389" spans="2:11" x14ac:dyDescent="0.3">
      <c r="B389" s="99" t="s">
        <v>7210</v>
      </c>
      <c r="C389" s="153"/>
      <c r="D389" t="s">
        <v>7207</v>
      </c>
      <c r="E389" s="178">
        <f>UDV.econ_cng.connected</f>
        <v>0</v>
      </c>
      <c r="F389" s="146" t="s">
        <v>7208</v>
      </c>
      <c r="G389" s="34"/>
      <c r="H389" s="99">
        <v>1</v>
      </c>
      <c r="I389" t="s">
        <v>2478</v>
      </c>
      <c r="J389">
        <v>35.314700000000002</v>
      </c>
      <c r="K389" s="146" t="s">
        <v>2479</v>
      </c>
    </row>
    <row r="390" spans="2:11" x14ac:dyDescent="0.3">
      <c r="B390" s="99" t="s">
        <v>7211</v>
      </c>
      <c r="C390" s="147"/>
      <c r="D390" s="146" t="s">
        <v>7212</v>
      </c>
      <c r="E390">
        <f>C390*365</f>
        <v>0</v>
      </c>
      <c r="F390" s="146" t="s">
        <v>7135</v>
      </c>
      <c r="G390" s="34"/>
      <c r="H390" s="149">
        <v>1</v>
      </c>
      <c r="I390" s="150" t="s">
        <v>2557</v>
      </c>
      <c r="J390" s="150">
        <v>1000</v>
      </c>
      <c r="K390" s="151" t="s">
        <v>2479</v>
      </c>
    </row>
    <row r="391" spans="2:11" x14ac:dyDescent="0.3">
      <c r="B391" s="99" t="s">
        <v>7183</v>
      </c>
      <c r="C391" s="148">
        <f>VLOOKUP(B391,R1:U299,3,FALSE)</f>
        <v>0</v>
      </c>
      <c r="D391" s="146" t="s">
        <v>7213</v>
      </c>
      <c r="E391" s="148"/>
      <c r="F391" s="146" t="s">
        <v>7213</v>
      </c>
    </row>
    <row r="392" spans="2:11" x14ac:dyDescent="0.3">
      <c r="B392" s="99" t="s">
        <v>7184</v>
      </c>
      <c r="C392" s="148">
        <f>VLOOKUP(B392,R1:U299,3,FALSE)</f>
        <v>0</v>
      </c>
      <c r="D392" s="146" t="s">
        <v>7213</v>
      </c>
      <c r="E392" s="148"/>
      <c r="F392" s="146" t="s">
        <v>7213</v>
      </c>
    </row>
    <row r="393" spans="2:11" x14ac:dyDescent="0.3">
      <c r="B393" s="99"/>
      <c r="D393" s="146"/>
      <c r="E393" s="148"/>
      <c r="F393" s="146"/>
      <c r="G393" s="34"/>
    </row>
    <row r="394" spans="2:11" x14ac:dyDescent="0.3">
      <c r="B394" s="92" t="s">
        <v>6996</v>
      </c>
      <c r="C394" s="78"/>
      <c r="E394" s="99"/>
      <c r="F394" s="146"/>
      <c r="G394" s="34"/>
      <c r="H394" s="341" t="s">
        <v>7214</v>
      </c>
      <c r="I394" s="527"/>
      <c r="J394" s="527"/>
      <c r="K394" s="391"/>
    </row>
    <row r="395" spans="2:11" x14ac:dyDescent="0.3">
      <c r="B395" s="143" t="s">
        <v>2663</v>
      </c>
      <c r="C395" s="144"/>
      <c r="D395" s="144"/>
      <c r="E395" s="143" t="s">
        <v>565</v>
      </c>
      <c r="F395" s="145" t="s">
        <v>6944</v>
      </c>
      <c r="G395" s="34"/>
    </row>
    <row r="396" spans="2:11" x14ac:dyDescent="0.3">
      <c r="B396" s="99" t="s">
        <v>6998</v>
      </c>
      <c r="E396" s="348">
        <f>UDV.labor.non_specialized_cost</f>
        <v>23.66</v>
      </c>
      <c r="F396" s="146" t="s">
        <v>3659</v>
      </c>
      <c r="G396" s="34"/>
    </row>
    <row r="397" spans="2:11" x14ac:dyDescent="0.3">
      <c r="B397" s="99" t="s">
        <v>7077</v>
      </c>
      <c r="D397" s="146"/>
      <c r="E397" s="348">
        <f>UDV.labor.specialized_cost</f>
        <v>48.82</v>
      </c>
      <c r="F397" s="146" t="s">
        <v>3659</v>
      </c>
    </row>
    <row r="398" spans="2:11" x14ac:dyDescent="0.3">
      <c r="B398" s="99" t="s">
        <v>7076</v>
      </c>
      <c r="D398" s="146"/>
      <c r="E398" s="358">
        <f>UDV.electricity.avg_cost</f>
        <v>6.8591666666666662E-2</v>
      </c>
      <c r="F398" s="146" t="s">
        <v>2306</v>
      </c>
    </row>
    <row r="399" spans="2:11" x14ac:dyDescent="0.3">
      <c r="B399" s="149" t="s">
        <v>7215</v>
      </c>
      <c r="C399" s="150"/>
      <c r="D399" s="151"/>
      <c r="E399" s="497">
        <f>UDV.fuel.naturalgas_avg_cost</f>
        <v>5.544999999999999</v>
      </c>
      <c r="F399" s="151" t="s">
        <v>2311</v>
      </c>
      <c r="G399" s="34"/>
    </row>
    <row r="400" spans="2:11" x14ac:dyDescent="0.3">
      <c r="C400" s="153"/>
    </row>
    <row r="401" spans="1:16" ht="57.6" x14ac:dyDescent="0.3">
      <c r="B401" s="361" t="s">
        <v>6946</v>
      </c>
      <c r="C401" s="362" t="s">
        <v>6947</v>
      </c>
      <c r="D401" s="362" t="s">
        <v>6948</v>
      </c>
      <c r="E401" s="362" t="s">
        <v>6949</v>
      </c>
      <c r="F401" s="362" t="s">
        <v>6950</v>
      </c>
      <c r="G401" s="362" t="s">
        <v>6951</v>
      </c>
      <c r="H401" s="362" t="s">
        <v>6952</v>
      </c>
      <c r="I401" s="362" t="s">
        <v>6953</v>
      </c>
      <c r="J401" s="362" t="s">
        <v>6954</v>
      </c>
      <c r="K401" s="362" t="s">
        <v>6955</v>
      </c>
      <c r="L401" s="362" t="s">
        <v>6956</v>
      </c>
      <c r="M401" s="140" t="s">
        <v>6957</v>
      </c>
      <c r="N401" s="140" t="s">
        <v>6958</v>
      </c>
      <c r="O401" s="362" t="s">
        <v>6959</v>
      </c>
    </row>
    <row r="402" spans="1:16" x14ac:dyDescent="0.3">
      <c r="A402" t="s">
        <v>7216</v>
      </c>
      <c r="B402" s="99" t="s">
        <v>3086</v>
      </c>
      <c r="C402" s="158">
        <f>((VLOOKUP("Anaerobic digester systema",Econ.Equations!$C:$E,2,FALSE)*E384^VLOOKUP("Anaerobic digester systemb",Econ.Equations!$C:$E,2,FALSE))*E384)*E383</f>
        <v>1641554.8511827372</v>
      </c>
      <c r="D402">
        <f>VLOOKUP("CAPEXLifetimeEquipmentDefault",Econ.inputsTable!$E:$G,2,FALSE)</f>
        <v>10</v>
      </c>
      <c r="E402" t="s">
        <v>2852</v>
      </c>
      <c r="F402" t="s">
        <v>2852</v>
      </c>
      <c r="G402" s="154">
        <f>VLOOKUP("CAPEXAnnual usage on activityItems that are used only on the given activityDefault",Econ.inputsTable!$E:$I,2,FALSE)</f>
        <v>1</v>
      </c>
      <c r="H402" s="503">
        <f>UDV.econ_capital.interest_rate</f>
        <v>5.0999999999999997E-2</v>
      </c>
      <c r="I402" s="154">
        <f>VLOOKUP("CAPEXSalvageEquipmentDefault",Econ.inputsTable!$E:$G,2,FALSE)</f>
        <v>0.2</v>
      </c>
      <c r="J402" s="153">
        <f>C402*I402</f>
        <v>328310.97023654747</v>
      </c>
      <c r="K402" s="154">
        <f>VLOOKUP("CAPEXFinanced amountNADefault", Econ.inputsTable!$E:$I,2,FALSE)</f>
        <v>1</v>
      </c>
      <c r="L402" s="364">
        <f>H402*K402</f>
        <v>5.0999999999999997E-2</v>
      </c>
      <c r="M402" s="351">
        <f>L402/(1-(1+L402)^-D402)</f>
        <v>0.13013423257204779</v>
      </c>
      <c r="N402" s="153">
        <f>((C402-J402)*M402)+(J402*L402)</f>
        <v>187641.84410893399</v>
      </c>
      <c r="O402" s="153">
        <f>G402*N402</f>
        <v>187641.84410893399</v>
      </c>
    </row>
    <row r="403" spans="1:16" x14ac:dyDescent="0.3">
      <c r="A403" t="s">
        <v>7216</v>
      </c>
      <c r="B403" s="99" t="s">
        <v>2681</v>
      </c>
      <c r="C403" s="158">
        <f>IF(E387=1,((VLOOKUP("Combined heat and powera",Econ.Equations!$C:$E,2,FALSE)*E384^VLOOKUP("Combined heat and powerb",Econ.Equations!$C:$E,2,FALSE))*E384),0)</f>
        <v>0</v>
      </c>
      <c r="D403">
        <f>VLOOKUP("CAPEXLifetimeEquipmentDefault",Econ.inputsTable!$E:$G,2,FALSE)</f>
        <v>10</v>
      </c>
      <c r="E403" t="s">
        <v>2852</v>
      </c>
      <c r="F403" t="s">
        <v>2852</v>
      </c>
      <c r="G403" s="154">
        <f>VLOOKUP("CAPEXAnnual usage on activityItems that are used only on the given activityDefault",Econ.inputsTable!$E:$I,2,FALSE)</f>
        <v>1</v>
      </c>
      <c r="H403" s="503">
        <f>UDV.econ_capital.interest_rate</f>
        <v>5.0999999999999997E-2</v>
      </c>
      <c r="I403" s="154">
        <f>VLOOKUP("CAPEXSalvageEquipmentDefault",Econ.inputsTable!$E:$G,2,FALSE)</f>
        <v>0.2</v>
      </c>
      <c r="J403" s="153">
        <f>C403*I403</f>
        <v>0</v>
      </c>
      <c r="K403" s="154">
        <f>VLOOKUP("CAPEXFinanced amountNADefault", Econ.inputsTable!$E:$I,2,FALSE)</f>
        <v>1</v>
      </c>
      <c r="L403" s="364">
        <f>H403*K403</f>
        <v>5.0999999999999997E-2</v>
      </c>
      <c r="M403" s="351">
        <f>L403/(1-(1+L403)^-D403)</f>
        <v>0.13013423257204779</v>
      </c>
      <c r="N403" s="153">
        <f>((C403-J403)*M403)+(J403*L403)</f>
        <v>0</v>
      </c>
      <c r="O403" s="153">
        <f>G403*N403</f>
        <v>0</v>
      </c>
    </row>
    <row r="404" spans="1:16" x14ac:dyDescent="0.3">
      <c r="A404" t="s">
        <v>7216</v>
      </c>
      <c r="B404" s="99" t="s">
        <v>7217</v>
      </c>
      <c r="C404" s="153">
        <f>IF(E388=1,(VLOOKUP("CHP utility connectionDefault",Econ.Tables!$C:$E,2,FALSE)),0)</f>
        <v>0</v>
      </c>
      <c r="D404">
        <f>VLOOKUP("CAPEXLifetimeEquipmentDefault",Econ.inputsTable!$E:$G,2,FALSE)</f>
        <v>10</v>
      </c>
      <c r="E404" t="s">
        <v>2852</v>
      </c>
      <c r="F404" t="s">
        <v>2852</v>
      </c>
      <c r="G404" s="154">
        <f>VLOOKUP("CAPEXAnnual usage on activityItems that are used only on the given activityDefault",Econ.inputsTable!$E:$I,2,FALSE)</f>
        <v>1</v>
      </c>
      <c r="H404" s="503">
        <f>UDV.econ_capital.interest_rate</f>
        <v>5.0999999999999997E-2</v>
      </c>
      <c r="I404" s="154">
        <f>VLOOKUP("CAPEXSalvageEquipmentDefault",Econ.inputsTable!$E:$G,2,FALSE)</f>
        <v>0.2</v>
      </c>
      <c r="J404" s="153">
        <f>C404*I404</f>
        <v>0</v>
      </c>
      <c r="K404" s="154">
        <f>VLOOKUP("CAPEXFinanced amountNADefault", Econ.inputsTable!$E:$I,2,FALSE)</f>
        <v>1</v>
      </c>
      <c r="L404" s="364">
        <f>H404*K404</f>
        <v>5.0999999999999997E-2</v>
      </c>
      <c r="M404" s="351">
        <f>L404/(1-(1+L404)^-D404)</f>
        <v>0.13013423257204779</v>
      </c>
      <c r="N404" s="153">
        <f>((C404-J404)*M404)+(J404*L404)</f>
        <v>0</v>
      </c>
      <c r="O404" s="153">
        <f>G404*N404</f>
        <v>0</v>
      </c>
    </row>
    <row r="405" spans="1:16" x14ac:dyDescent="0.3">
      <c r="A405" t="s">
        <v>7216</v>
      </c>
      <c r="B405" s="99" t="s">
        <v>2690</v>
      </c>
      <c r="C405" s="153">
        <f>IF(E387=2,(VLOOKUP("Compressed natural gasa",Econ.Equations!$C:$E,2,FALSE)*E385^VLOOKUP("Compressed natural gasb",Econ.Equations!$C:$E,2,FALSE)*E385),0)</f>
        <v>0</v>
      </c>
      <c r="D405">
        <f>VLOOKUP("CAPEXLifetimeEquipmentDefault",Econ.inputsTable!$E:$G,2,FALSE)</f>
        <v>10</v>
      </c>
      <c r="E405" t="s">
        <v>2852</v>
      </c>
      <c r="F405" t="s">
        <v>2852</v>
      </c>
      <c r="G405" s="154">
        <f>VLOOKUP("CAPEXAnnual usage on activityItems that are used only on the given activityDefault",Econ.inputsTable!$E:$I,2,FALSE)</f>
        <v>1</v>
      </c>
      <c r="H405" s="503">
        <f>UDV.econ_capital.interest_rate</f>
        <v>5.0999999999999997E-2</v>
      </c>
      <c r="I405" s="154">
        <f>VLOOKUP("CAPEXSalvageEquipmentDefault",Econ.inputsTable!$E:$G,2,FALSE)</f>
        <v>0.2</v>
      </c>
      <c r="J405" s="153">
        <f>C405*I405</f>
        <v>0</v>
      </c>
      <c r="K405" s="154">
        <f>VLOOKUP("CAPEXFinanced amountNADefault", Econ.inputsTable!$E:$I,2,FALSE)</f>
        <v>1</v>
      </c>
      <c r="L405" s="364">
        <f>H405*K405</f>
        <v>5.0999999999999997E-2</v>
      </c>
      <c r="M405" s="351">
        <f>L405/(1-(1+L405)^-D405)</f>
        <v>0.13013423257204779</v>
      </c>
      <c r="N405" s="153">
        <f>((C405-J405)*M405)+(J405*L405)</f>
        <v>0</v>
      </c>
      <c r="O405" s="153">
        <f>G405*N405</f>
        <v>0</v>
      </c>
      <c r="P405" s="146"/>
    </row>
    <row r="406" spans="1:16" x14ac:dyDescent="0.3">
      <c r="A406" t="s">
        <v>7216</v>
      </c>
      <c r="B406" s="99" t="s">
        <v>2697</v>
      </c>
      <c r="C406" s="153">
        <f>IF(E389=1,(VLOOKUP("Compressed natural gas utility connectiona",Econ.Equations!$C:$E,2,FALSE)*E385^VLOOKUP("Compressed natural gas utility connectionb",Econ.Equations!$C:$E,2,FALSE)*E385),0)</f>
        <v>0</v>
      </c>
      <c r="D406">
        <f>VLOOKUP("CAPEXLifetimeEquipmentDefault",Econ.inputsTable!$E:$G,2,FALSE)</f>
        <v>10</v>
      </c>
      <c r="E406" t="s">
        <v>2852</v>
      </c>
      <c r="F406" t="s">
        <v>2852</v>
      </c>
      <c r="G406" s="154">
        <f>VLOOKUP("CAPEXAnnual usage on activityItems that are used only on the given activityDefault",Econ.inputsTable!$E:$I,2,FALSE)</f>
        <v>1</v>
      </c>
      <c r="H406" s="503">
        <f>UDV.econ_capital.interest_rate</f>
        <v>5.0999999999999997E-2</v>
      </c>
      <c r="I406" s="154">
        <f>VLOOKUP("CAPEXSalvageBuildings and constructionDefault", Econ.inputsTable!$E:$I,2,FALSE)</f>
        <v>0</v>
      </c>
      <c r="J406" s="153">
        <f>C406*I406</f>
        <v>0</v>
      </c>
      <c r="K406" s="154">
        <f>VLOOKUP("CAPEXFinanced amountNADefault", Econ.inputsTable!$E:$I,2,FALSE)</f>
        <v>1</v>
      </c>
      <c r="L406" s="364">
        <f>H406*K406</f>
        <v>5.0999999999999997E-2</v>
      </c>
      <c r="M406" s="351">
        <f>L406/(1-(1+L406)^-D406)</f>
        <v>0.13013423257204779</v>
      </c>
      <c r="N406" s="153">
        <f>((C406-J406)*M406)+(J406*L406)</f>
        <v>0</v>
      </c>
      <c r="O406" s="153">
        <f>G406*N406</f>
        <v>0</v>
      </c>
      <c r="P406" s="146"/>
    </row>
    <row r="407" spans="1:16" x14ac:dyDescent="0.3">
      <c r="B407" s="99"/>
      <c r="P407" s="146"/>
    </row>
    <row r="408" spans="1:16" x14ac:dyDescent="0.3">
      <c r="B408" s="99"/>
      <c r="C408" s="82" t="s">
        <v>6962</v>
      </c>
      <c r="D408" s="82" t="s">
        <v>6963</v>
      </c>
      <c r="P408" s="146"/>
    </row>
    <row r="409" spans="1:16" x14ac:dyDescent="0.3">
      <c r="A409" t="s">
        <v>5220</v>
      </c>
      <c r="B409" s="99" t="s">
        <v>6964</v>
      </c>
      <c r="C409" s="153">
        <f>SUM(C402:C406)</f>
        <v>1641554.8511827372</v>
      </c>
      <c r="D409" s="158">
        <f>SUMPRODUCT(C402:C406,G402:G406)</f>
        <v>1641554.8511827372</v>
      </c>
      <c r="P409" s="146"/>
    </row>
    <row r="410" spans="1:16" x14ac:dyDescent="0.3">
      <c r="A410" t="s">
        <v>5220</v>
      </c>
      <c r="B410" s="149" t="s">
        <v>6965</v>
      </c>
      <c r="C410" s="159">
        <f>SUM(N402:N406)</f>
        <v>187641.84410893399</v>
      </c>
      <c r="D410" s="159">
        <f>SUMPRODUCT(N402:N406,G402:G406)</f>
        <v>187641.84410893399</v>
      </c>
      <c r="E410" s="150"/>
      <c r="F410" s="150"/>
      <c r="G410" s="150"/>
      <c r="H410" s="150"/>
      <c r="I410" s="150"/>
      <c r="J410" s="150"/>
      <c r="K410" s="150"/>
      <c r="L410" s="150"/>
      <c r="M410" s="150"/>
      <c r="N410" s="150"/>
      <c r="O410" s="150"/>
      <c r="P410" s="151"/>
    </row>
    <row r="411" spans="1:16" x14ac:dyDescent="0.3">
      <c r="B411" s="262"/>
      <c r="C411" s="142"/>
      <c r="D411" s="142"/>
      <c r="E411" s="142"/>
      <c r="F411" s="142"/>
      <c r="G411" s="142"/>
      <c r="H411" s="142"/>
      <c r="I411" s="142"/>
      <c r="J411" s="142"/>
      <c r="K411" s="142"/>
      <c r="L411" s="142"/>
      <c r="M411" s="142"/>
      <c r="N411" s="142"/>
      <c r="O411" s="142"/>
      <c r="P411" s="141"/>
    </row>
    <row r="412" spans="1:16" ht="72" x14ac:dyDescent="0.3">
      <c r="B412" s="160" t="s">
        <v>6966</v>
      </c>
      <c r="C412" s="152" t="s">
        <v>6967</v>
      </c>
      <c r="D412" s="152" t="s">
        <v>6968</v>
      </c>
      <c r="E412" s="152" t="s">
        <v>6969</v>
      </c>
      <c r="F412" s="152" t="s">
        <v>6970</v>
      </c>
      <c r="G412" s="152" t="s">
        <v>7218</v>
      </c>
      <c r="H412" s="152" t="s">
        <v>6972</v>
      </c>
      <c r="I412" s="152" t="s">
        <v>6973</v>
      </c>
      <c r="J412" s="152" t="s">
        <v>6974</v>
      </c>
      <c r="K412" s="152" t="s">
        <v>6975</v>
      </c>
      <c r="L412" s="152" t="s">
        <v>6976</v>
      </c>
      <c r="M412" s="152" t="s">
        <v>6977</v>
      </c>
      <c r="N412" s="152" t="s">
        <v>6978</v>
      </c>
      <c r="O412" s="152" t="s">
        <v>6979</v>
      </c>
      <c r="P412" s="161" t="s">
        <v>7219</v>
      </c>
    </row>
    <row r="413" spans="1:16" x14ac:dyDescent="0.3">
      <c r="B413" s="99" t="s">
        <v>3086</v>
      </c>
      <c r="C413" s="155">
        <f>VLOOKUP("OPEXInsuranceEverythingDefault",Econ.inputsTable!$E$1:$J$209,2,FALSE)</f>
        <v>5.0000000000000001E-3</v>
      </c>
      <c r="D413" s="155">
        <f>VLOOKUP("OPEXRepair and maintenanceAnaerobic digesterDefault",Econ.inputsTable!$E:$H,2,FALSE)</f>
        <v>0.05</v>
      </c>
      <c r="K413" s="166">
        <f>VLOOKUP("AD system operational laborm",Econ.Equations!$C:$E,2,FALSE)*E382+VLOOKUP("AD system operational laborb",Econ.Equations!$C:$E,2,FALSE)</f>
        <v>19.949741888678645</v>
      </c>
      <c r="L413" s="158">
        <f>K413*E396</f>
        <v>472.01089308613672</v>
      </c>
      <c r="M413" s="153"/>
      <c r="O413" s="373">
        <f>(SUM(C413:D413,P413)*C402*G402)+SUM(E413,G413,I413,J413,L413,N413)</f>
        <v>90757.52770813668</v>
      </c>
      <c r="P413" s="146"/>
    </row>
    <row r="414" spans="1:16" x14ac:dyDescent="0.3">
      <c r="B414" s="99" t="s">
        <v>2681</v>
      </c>
      <c r="C414" s="155">
        <f>VLOOKUP("OPEXInsuranceEverythingDefault",Econ.inputsTable!$E$1:$J$209,2,FALSE)</f>
        <v>5.0000000000000001E-3</v>
      </c>
      <c r="D414" s="155">
        <f>VLOOKUP("OPEXRepair and maintenanceElectricity generation equipmentDefault",Econ.inputsTable!$E:$H,2,FALSE)</f>
        <v>0.06</v>
      </c>
      <c r="G414" s="158">
        <f>IF(E387="CHP",((VLOOKUP("CHP energy inputsa",Econ.Equations!$C:$E,2,FALSE)*E382^VLOOKUP("CHP energy inputsb",Econ.Equations!$C:$E,2,FALSE))*E382),0)</f>
        <v>0</v>
      </c>
      <c r="M414" s="166">
        <f>IF(E387="CHP",(VLOOKUP("CHP operational laborm",Econ.Equations!$C:$E,2,FALSE)*E382+VLOOKUP("CHP operational laborb",Econ.Equations!$C:$E,2,FALSE)),0)</f>
        <v>0</v>
      </c>
      <c r="N414" s="158">
        <f>M414*E397</f>
        <v>0</v>
      </c>
      <c r="O414" s="373">
        <f>(SUM(C414:D414,P414)*C403*G403)+SUM(E414,G414,I414,J414,L414,N414)</f>
        <v>0</v>
      </c>
      <c r="P414" s="528">
        <f>VLOOKUP("OPEXSystem operationsElectricity generation equipmentDefault",Econ.inputsTable!$E:$H,2,FALSE)</f>
        <v>0.03</v>
      </c>
    </row>
    <row r="415" spans="1:16" x14ac:dyDescent="0.3">
      <c r="B415" s="99" t="s">
        <v>7217</v>
      </c>
      <c r="C415" s="155">
        <f>VLOOKUP("OPEXInsuranceEverythingDefault",Econ.inputsTable!$E$1:$J$209,2,FALSE)</f>
        <v>5.0000000000000001E-3</v>
      </c>
      <c r="D415" s="155"/>
      <c r="G415" s="153"/>
      <c r="M415" s="153"/>
      <c r="O415" s="373">
        <f>((SUM(C415:D415,P415)*C404*G404)+SUM(E415,G415,I415,J415,L415,N415))</f>
        <v>0</v>
      </c>
      <c r="P415" s="146"/>
    </row>
    <row r="416" spans="1:16" x14ac:dyDescent="0.3">
      <c r="B416" s="99" t="s">
        <v>2690</v>
      </c>
      <c r="C416" s="155">
        <f>VLOOKUP("OPEXInsuranceEverythingDefault",Econ.inputsTable!$E$1:$J$209,2,FALSE)</f>
        <v>5.0000000000000001E-3</v>
      </c>
      <c r="D416" s="155">
        <f>VLOOKUP("OPEXRepair and maintenanceCNG equipmentDefault",Econ.inputsTable!$E:$H,2,FALSE)</f>
        <v>1.2999999999999999E-2</v>
      </c>
      <c r="G416" s="153">
        <f>IF(E387="CNG",(VLOOKUP("CNG energy inputsDefault",Econ.Tables!$C:$E,2,FALSE)*E382),0)</f>
        <v>0</v>
      </c>
      <c r="M416" s="166">
        <f>IF(E387="CNG",(VLOOKUP("CNG operational laborm",Econ.Equations!$C:$E,2,FALSE)*E382+VLOOKUP("CNG operational laborb",Econ.Equations!$C:$E,2,FALSE)),0)</f>
        <v>0</v>
      </c>
      <c r="N416" s="158">
        <f>M416*E397</f>
        <v>0</v>
      </c>
      <c r="O416" s="373">
        <f>(SUM(C416:D416,P416)*C405*G405)+SUM(E416,G416,I416,J416,L416,N416)</f>
        <v>0</v>
      </c>
      <c r="P416" s="146"/>
    </row>
    <row r="417" spans="1:16" x14ac:dyDescent="0.3">
      <c r="B417" s="99" t="s">
        <v>2697</v>
      </c>
      <c r="C417" s="155">
        <f>VLOOKUP("OPEXInsuranceEverythingDefault",Econ.inputsTable!$E$1:$J$209,2,FALSE)</f>
        <v>5.0000000000000001E-3</v>
      </c>
      <c r="D417" s="155"/>
      <c r="G417" s="153"/>
      <c r="M417" s="153"/>
      <c r="O417" s="373">
        <f>(SUM(C417:D417,P417)*C406*G406)+SUM(E417,G417,I417,J417,L417,N417)</f>
        <v>0</v>
      </c>
      <c r="P417" s="146"/>
    </row>
    <row r="418" spans="1:16" x14ac:dyDescent="0.3">
      <c r="A418" t="s">
        <v>5220</v>
      </c>
      <c r="B418" s="162" t="s">
        <v>5203</v>
      </c>
      <c r="C418" s="163"/>
      <c r="D418" s="505"/>
      <c r="E418" s="163"/>
      <c r="F418" s="163"/>
      <c r="G418" s="163"/>
      <c r="H418" s="163"/>
      <c r="I418" s="163"/>
      <c r="J418" s="163"/>
      <c r="K418" s="163"/>
      <c r="L418" s="529"/>
      <c r="M418" s="163"/>
      <c r="N418" s="163"/>
      <c r="O418" s="163"/>
      <c r="P418" s="530"/>
    </row>
    <row r="419" spans="1:16" x14ac:dyDescent="0.3">
      <c r="B419" s="99"/>
      <c r="D419" s="155"/>
      <c r="E419" s="155"/>
      <c r="F419" s="158"/>
      <c r="G419" s="154"/>
      <c r="H419" s="156"/>
      <c r="I419" s="153"/>
      <c r="P419" s="146"/>
    </row>
    <row r="420" spans="1:16" x14ac:dyDescent="0.3">
      <c r="A420" t="s">
        <v>5220</v>
      </c>
      <c r="B420" s="149" t="s">
        <v>6980</v>
      </c>
      <c r="C420" s="159">
        <f>SUM(O413:O417)</f>
        <v>90757.52770813668</v>
      </c>
      <c r="D420" s="150"/>
      <c r="E420" s="150"/>
      <c r="F420" s="150"/>
      <c r="G420" s="150"/>
      <c r="H420" s="150"/>
      <c r="I420" s="150"/>
      <c r="J420" s="150"/>
      <c r="K420" s="150"/>
      <c r="L420" s="150"/>
      <c r="M420" s="150"/>
      <c r="N420" s="150"/>
      <c r="O420" s="150"/>
      <c r="P420" s="151"/>
    </row>
    <row r="422" spans="1:16" x14ac:dyDescent="0.3">
      <c r="B422" s="92" t="s">
        <v>7220</v>
      </c>
    </row>
    <row r="423" spans="1:16" x14ac:dyDescent="0.3">
      <c r="A423" t="s">
        <v>5220</v>
      </c>
      <c r="B423" s="99" t="s">
        <v>7221</v>
      </c>
      <c r="C423" s="166"/>
      <c r="D423" t="s">
        <v>4888</v>
      </c>
    </row>
    <row r="424" spans="1:16" x14ac:dyDescent="0.3">
      <c r="A424" t="s">
        <v>5220</v>
      </c>
      <c r="B424" s="99" t="s">
        <v>7222</v>
      </c>
      <c r="C424" s="166"/>
      <c r="D424" t="s">
        <v>7223</v>
      </c>
    </row>
    <row r="425" spans="1:16" x14ac:dyDescent="0.3">
      <c r="B425" s="99"/>
    </row>
    <row r="426" spans="1:16" x14ac:dyDescent="0.3">
      <c r="B426" s="531" t="s">
        <v>7104</v>
      </c>
      <c r="C426" t="s">
        <v>5745</v>
      </c>
    </row>
    <row r="427" spans="1:16" x14ac:dyDescent="0.3">
      <c r="A427" t="s">
        <v>5220</v>
      </c>
      <c r="B427" s="99" t="s">
        <v>7224</v>
      </c>
      <c r="C427" s="532"/>
      <c r="D427" s="533"/>
    </row>
    <row r="428" spans="1:16" x14ac:dyDescent="0.3">
      <c r="A428" t="s">
        <v>5220</v>
      </c>
      <c r="B428" s="99" t="s">
        <v>7225</v>
      </c>
      <c r="C428" s="532"/>
    </row>
    <row r="429" spans="1:16" x14ac:dyDescent="0.3">
      <c r="B429" s="99"/>
      <c r="C429" s="532"/>
    </row>
    <row r="430" spans="1:16" x14ac:dyDescent="0.3">
      <c r="A430" t="s">
        <v>5220</v>
      </c>
      <c r="B430" s="99" t="s">
        <v>7107</v>
      </c>
      <c r="C430" s="532"/>
    </row>
    <row r="431" spans="1:16" x14ac:dyDescent="0.3">
      <c r="B431" s="99"/>
      <c r="C431" s="532"/>
    </row>
    <row r="432" spans="1:16" x14ac:dyDescent="0.3">
      <c r="B432" s="247" t="s">
        <v>7226</v>
      </c>
      <c r="C432" s="532"/>
    </row>
    <row r="433" spans="1:15" x14ac:dyDescent="0.3">
      <c r="A433" t="s">
        <v>5220</v>
      </c>
      <c r="B433" s="99" t="s">
        <v>7227</v>
      </c>
      <c r="C433" s="532"/>
    </row>
    <row r="434" spans="1:15" x14ac:dyDescent="0.3">
      <c r="A434" t="s">
        <v>5220</v>
      </c>
      <c r="B434" s="99" t="s">
        <v>7228</v>
      </c>
      <c r="C434" s="532"/>
    </row>
    <row r="435" spans="1:15" x14ac:dyDescent="0.3">
      <c r="A435" s="90" t="s">
        <v>5220</v>
      </c>
      <c r="B435" s="235" t="s">
        <v>1313</v>
      </c>
      <c r="C435" s="722"/>
    </row>
    <row r="436" spans="1:15" x14ac:dyDescent="0.3">
      <c r="A436" t="s">
        <v>5220</v>
      </c>
      <c r="B436" s="99" t="s">
        <v>7229</v>
      </c>
      <c r="C436" s="532">
        <f>UDV.econ_energy.carbon_credits*C391</f>
        <v>0</v>
      </c>
    </row>
    <row r="437" spans="1:15" x14ac:dyDescent="0.3">
      <c r="A437" t="s">
        <v>5220</v>
      </c>
      <c r="B437" s="99" t="s">
        <v>7231</v>
      </c>
      <c r="C437" s="532">
        <f>UDV.econ_energy.carbon_credits*C392</f>
        <v>0</v>
      </c>
    </row>
    <row r="438" spans="1:15" x14ac:dyDescent="0.3">
      <c r="B438" s="99"/>
      <c r="C438" s="532"/>
    </row>
    <row r="439" spans="1:15" x14ac:dyDescent="0.3">
      <c r="A439" t="s">
        <v>5220</v>
      </c>
      <c r="B439" s="99" t="s">
        <v>7232</v>
      </c>
      <c r="C439" s="532">
        <f>SUM(C433:C436)</f>
        <v>0</v>
      </c>
    </row>
    <row r="440" spans="1:15" x14ac:dyDescent="0.3">
      <c r="A440" t="s">
        <v>5220</v>
      </c>
      <c r="B440" s="149" t="s">
        <v>7234</v>
      </c>
      <c r="C440" s="534">
        <f>SUM(C433:C435,C437)</f>
        <v>0</v>
      </c>
      <c r="D440" s="150"/>
      <c r="E440" s="150"/>
      <c r="F440" s="150"/>
      <c r="G440" s="150"/>
      <c r="H440" s="150"/>
      <c r="I440" s="150"/>
      <c r="J440" s="150"/>
      <c r="K440" s="150"/>
      <c r="L440" s="150"/>
      <c r="M440" s="150"/>
      <c r="N440" s="150"/>
      <c r="O440" s="150"/>
    </row>
    <row r="441" spans="1:15" ht="15" thickBot="1" x14ac:dyDescent="0.35">
      <c r="A441" s="137"/>
      <c r="B441" s="137"/>
      <c r="C441" s="137"/>
      <c r="D441" s="137"/>
      <c r="E441" s="137"/>
      <c r="F441" s="137"/>
      <c r="G441" s="137"/>
      <c r="H441" s="137"/>
      <c r="I441" s="137"/>
      <c r="J441" s="137"/>
      <c r="K441" s="137"/>
      <c r="L441" s="137"/>
      <c r="M441" s="137"/>
      <c r="N441" s="137"/>
      <c r="O441" s="137"/>
    </row>
    <row r="443" spans="1:15" ht="18" x14ac:dyDescent="0.35">
      <c r="B443" s="138" t="s">
        <v>5210</v>
      </c>
      <c r="C443" s="34"/>
      <c r="H443" s="355"/>
    </row>
    <row r="445" spans="1:15" x14ac:dyDescent="0.3">
      <c r="B445" s="139" t="s">
        <v>6942</v>
      </c>
      <c r="C445" s="140"/>
      <c r="D445" s="140"/>
      <c r="E445" s="139"/>
      <c r="F445" s="141"/>
    </row>
    <row r="446" spans="1:15" x14ac:dyDescent="0.3">
      <c r="B446" s="143" t="s">
        <v>2663</v>
      </c>
      <c r="C446" s="144" t="s">
        <v>565</v>
      </c>
      <c r="D446" s="144" t="s">
        <v>6943</v>
      </c>
      <c r="E446" s="143" t="s">
        <v>565</v>
      </c>
      <c r="F446" s="145" t="s">
        <v>6944</v>
      </c>
    </row>
    <row r="447" spans="1:15" x14ac:dyDescent="0.3">
      <c r="B447" s="99" t="s">
        <v>5437</v>
      </c>
      <c r="C447" s="147">
        <f>VLOOKUP(B447,$R:$U,3,FALSE)</f>
        <v>5536.05004954981</v>
      </c>
      <c r="D447" s="146" t="s">
        <v>2478</v>
      </c>
      <c r="E447" s="148">
        <f>CONVERT(C447,"m^3","ft^3")</f>
        <v>195503.7624533319</v>
      </c>
      <c r="F447" s="146" t="s">
        <v>2479</v>
      </c>
    </row>
    <row r="448" spans="1:15" x14ac:dyDescent="0.3">
      <c r="B448" s="149" t="s">
        <v>6343</v>
      </c>
      <c r="C448" s="295">
        <f>VLOOKUP(B448,$R:$U,3,FALSE)</f>
        <v>2664.5817743943217</v>
      </c>
      <c r="D448" s="151" t="s">
        <v>2268</v>
      </c>
      <c r="E448" s="359">
        <f>CONVERT(C448,"m^2","ft^2")</f>
        <v>28681.319517577915</v>
      </c>
      <c r="F448" s="151" t="s">
        <v>2267</v>
      </c>
    </row>
    <row r="450" spans="1:15" s="369" customFormat="1" ht="57.6" x14ac:dyDescent="0.3">
      <c r="B450" s="370" t="s">
        <v>6946</v>
      </c>
      <c r="C450" s="362" t="s">
        <v>6947</v>
      </c>
      <c r="D450" s="371" t="s">
        <v>6948</v>
      </c>
      <c r="E450" s="362" t="s">
        <v>6949</v>
      </c>
      <c r="F450" s="362" t="s">
        <v>6950</v>
      </c>
      <c r="G450" s="362" t="s">
        <v>6951</v>
      </c>
      <c r="H450" s="362" t="s">
        <v>6952</v>
      </c>
      <c r="I450" s="371" t="s">
        <v>6953</v>
      </c>
      <c r="J450" s="371" t="s">
        <v>6954</v>
      </c>
      <c r="K450" s="362" t="s">
        <v>6955</v>
      </c>
      <c r="L450" s="362" t="s">
        <v>6956</v>
      </c>
      <c r="M450" s="362" t="s">
        <v>6957</v>
      </c>
      <c r="N450" s="362" t="s">
        <v>6958</v>
      </c>
      <c r="O450" s="363" t="s">
        <v>6959</v>
      </c>
    </row>
    <row r="451" spans="1:15" x14ac:dyDescent="0.3">
      <c r="A451" t="s">
        <v>7093</v>
      </c>
      <c r="B451" s="99" t="s">
        <v>7094</v>
      </c>
      <c r="C451" s="153">
        <f>VLOOKUP("Lagoon constructiona",Econ.Equations!C:E,2,FALSE)*E447^VLOOKUP("Lagoon constructionb",Econ.Equations!$C:$E,2,FALSE)*E447</f>
        <v>57434.110558130211</v>
      </c>
      <c r="D451">
        <f>VLOOKUP("CAPEXLifetimeBuildings and constructionDefault",Econ.inputsTable!$E:$I,2,FALSE)</f>
        <v>20</v>
      </c>
      <c r="E451" t="s">
        <v>2852</v>
      </c>
      <c r="F451" t="s">
        <v>2852</v>
      </c>
      <c r="G451" s="154">
        <f>VLOOKUP("CAPEXAnnual usage on activityItems that are used only on the given activityDefault",Econ.inputsTable!$E:$I,2,FALSE)</f>
        <v>1</v>
      </c>
      <c r="H451" s="503">
        <f>UDV.econ_capital.interest_rate</f>
        <v>5.0999999999999997E-2</v>
      </c>
      <c r="I451" s="155">
        <f>VLOOKUP("CAPEXSalvageBuildings and constructionDefault",Econ.inputsTable!$E:$J,2,FALSE)</f>
        <v>0</v>
      </c>
      <c r="J451" s="156">
        <f>C451*I451</f>
        <v>0</v>
      </c>
      <c r="K451" s="154">
        <f>VLOOKUP("CAPEXFinanced amountNADefault",Econ.inputsTable!$E:$G,2,FALSE)</f>
        <v>1</v>
      </c>
      <c r="L451" s="364">
        <f>H451*K451</f>
        <v>5.0999999999999997E-2</v>
      </c>
      <c r="M451" s="351">
        <f>L451/(1-(1+L451)^-D451)</f>
        <v>8.0924368970045152E-2</v>
      </c>
      <c r="N451" s="153">
        <f>((C451-J451)*M451)+(J451*L451)</f>
        <v>4647.8191542724953</v>
      </c>
      <c r="O451" s="372">
        <f>N451*G451</f>
        <v>4647.8191542724953</v>
      </c>
    </row>
    <row r="452" spans="1:15" x14ac:dyDescent="0.3">
      <c r="A452" t="s">
        <v>7093</v>
      </c>
      <c r="B452" s="99" t="s">
        <v>7095</v>
      </c>
      <c r="C452" s="373">
        <f>UDV.econ_liner.lagoon_geomembrane*E448</f>
        <v>71703.298793944792</v>
      </c>
      <c r="D452">
        <f>VLOOKUP("CAPEXLifetimeBuildings and constructionDefault",Econ.inputsTable!$E:$I,2,FALSE)</f>
        <v>20</v>
      </c>
      <c r="E452" t="s">
        <v>2852</v>
      </c>
      <c r="F452" t="s">
        <v>2852</v>
      </c>
      <c r="G452" s="154">
        <f>VLOOKUP("CAPEXAnnual usage on activityItems that are used only on the given activityDefault",Econ.inputsTable!E:G,2,FALSE)</f>
        <v>1</v>
      </c>
      <c r="H452" s="503">
        <f>UDV.econ_capital.interest_rate</f>
        <v>5.0999999999999997E-2</v>
      </c>
      <c r="I452" s="155">
        <f>VLOOKUP("CAPEXSalvageBuildings and constructionDefault",Econ.inputsTable!$E:$J,2,FALSE)</f>
        <v>0</v>
      </c>
      <c r="J452" s="156">
        <f>C452*I452</f>
        <v>0</v>
      </c>
      <c r="K452" s="154">
        <f>VLOOKUP("CAPEXFinanced amountNADefault",Econ.inputsTable!$E:$G,2,FALSE)</f>
        <v>1</v>
      </c>
      <c r="L452" s="364">
        <f>H452*K452</f>
        <v>5.0999999999999997E-2</v>
      </c>
      <c r="M452" s="351">
        <f>L452/(1-(1+L452)^-D452)</f>
        <v>8.0924368970045152E-2</v>
      </c>
      <c r="N452" s="153">
        <f>((C452-J452)*M452)+(J452*L452)</f>
        <v>5802.5442079705817</v>
      </c>
      <c r="O452" s="372">
        <f>N452*G452</f>
        <v>5802.5442079705817</v>
      </c>
    </row>
    <row r="454" spans="1:15" x14ac:dyDescent="0.3">
      <c r="B454" s="99"/>
      <c r="C454" s="82" t="s">
        <v>6962</v>
      </c>
      <c r="D454" s="82" t="s">
        <v>6963</v>
      </c>
      <c r="O454" s="146"/>
    </row>
    <row r="455" spans="1:15" x14ac:dyDescent="0.3">
      <c r="A455" t="s">
        <v>5210</v>
      </c>
      <c r="B455" s="99" t="s">
        <v>6964</v>
      </c>
      <c r="C455" s="153">
        <f>SUM(C451:C452)</f>
        <v>129137.409352075</v>
      </c>
      <c r="D455" s="158">
        <f>SUMPRODUCT(C451:C452,G451:G452)</f>
        <v>129137.409352075</v>
      </c>
      <c r="O455" s="146"/>
    </row>
    <row r="456" spans="1:15" x14ac:dyDescent="0.3">
      <c r="A456" t="s">
        <v>5210</v>
      </c>
      <c r="B456" s="149" t="s">
        <v>6965</v>
      </c>
      <c r="C456" s="159">
        <f>SUM(N451:N452)</f>
        <v>10450.363362243077</v>
      </c>
      <c r="D456" s="159">
        <f>SUMPRODUCT(N451:N452,G451:G452)</f>
        <v>10450.363362243077</v>
      </c>
      <c r="E456" s="150"/>
      <c r="F456" s="150"/>
      <c r="G456" s="150"/>
      <c r="H456" s="150"/>
      <c r="I456" s="150"/>
      <c r="J456" s="150"/>
      <c r="K456" s="150"/>
      <c r="L456" s="150"/>
      <c r="M456" s="150"/>
      <c r="N456" s="150"/>
      <c r="O456" s="151"/>
    </row>
    <row r="457" spans="1:15" x14ac:dyDescent="0.3">
      <c r="B457" s="262"/>
      <c r="C457" s="142"/>
      <c r="D457" s="142"/>
      <c r="E457" s="142"/>
      <c r="F457" s="142"/>
      <c r="G457" s="142"/>
      <c r="H457" s="142"/>
      <c r="I457" s="142"/>
      <c r="J457" s="142"/>
      <c r="K457" s="142"/>
      <c r="L457" s="142"/>
      <c r="M457" s="142"/>
      <c r="N457" s="142"/>
      <c r="O457" s="141"/>
    </row>
    <row r="458" spans="1:15" ht="28.8" x14ac:dyDescent="0.3">
      <c r="B458" s="160" t="s">
        <v>6966</v>
      </c>
      <c r="C458" s="152" t="s">
        <v>6967</v>
      </c>
      <c r="D458" s="152" t="s">
        <v>6968</v>
      </c>
      <c r="E458" s="152" t="s">
        <v>6969</v>
      </c>
      <c r="F458" s="152" t="s">
        <v>6970</v>
      </c>
      <c r="G458" s="152" t="s">
        <v>6971</v>
      </c>
      <c r="H458" s="152" t="s">
        <v>6972</v>
      </c>
      <c r="I458" s="152" t="s">
        <v>6973</v>
      </c>
      <c r="J458" s="152" t="s">
        <v>6974</v>
      </c>
      <c r="K458" s="152" t="s">
        <v>6975</v>
      </c>
      <c r="L458" s="152" t="s">
        <v>6976</v>
      </c>
      <c r="M458" s="152" t="s">
        <v>6977</v>
      </c>
      <c r="N458" s="152" t="s">
        <v>6978</v>
      </c>
      <c r="O458" s="161" t="s">
        <v>6979</v>
      </c>
    </row>
    <row r="459" spans="1:15" x14ac:dyDescent="0.3">
      <c r="B459" s="99" t="s">
        <v>5210</v>
      </c>
      <c r="C459" s="155">
        <f>VLOOKUP("OPEXInsuranceEverythingDefault",Econ.inputsTable!$E$1:$J$213,2,FALSE)</f>
        <v>5.0000000000000001E-3</v>
      </c>
      <c r="D459" s="155">
        <f>VLOOKUP("OPEXRepair and maintenanceBuildings and constructionDefault",Econ.inputsTable!$E$1:$J$503,2,FALSE)</f>
        <v>0.01</v>
      </c>
      <c r="O459" s="157">
        <f>(SUM(C459:D459)*SUMPRODUCT(C451:C452,G451:G452))+SUM(E459,G459,I459,J459,L459,N459)</f>
        <v>1937.0611402811251</v>
      </c>
    </row>
    <row r="460" spans="1:15" x14ac:dyDescent="0.3">
      <c r="A460" t="s">
        <v>5210</v>
      </c>
      <c r="B460" s="162" t="s">
        <v>5203</v>
      </c>
      <c r="C460" s="241"/>
      <c r="D460" s="241"/>
      <c r="E460" s="367">
        <f t="shared" ref="E460:O460" si="4">SUM(E459)</f>
        <v>0</v>
      </c>
      <c r="F460" s="537">
        <f t="shared" si="4"/>
        <v>0</v>
      </c>
      <c r="G460" s="367">
        <f t="shared" si="4"/>
        <v>0</v>
      </c>
      <c r="H460" s="537">
        <f t="shared" si="4"/>
        <v>0</v>
      </c>
      <c r="I460" s="367">
        <f t="shared" si="4"/>
        <v>0</v>
      </c>
      <c r="J460" s="367">
        <f t="shared" si="4"/>
        <v>0</v>
      </c>
      <c r="K460" s="537">
        <f t="shared" si="4"/>
        <v>0</v>
      </c>
      <c r="L460" s="367">
        <f t="shared" si="4"/>
        <v>0</v>
      </c>
      <c r="M460" s="537">
        <f t="shared" si="4"/>
        <v>0</v>
      </c>
      <c r="N460" s="367">
        <f t="shared" si="4"/>
        <v>0</v>
      </c>
      <c r="O460" s="169">
        <f t="shared" si="4"/>
        <v>1937.0611402811251</v>
      </c>
    </row>
    <row r="461" spans="1:15" x14ac:dyDescent="0.3">
      <c r="B461" s="99"/>
      <c r="C461" s="155"/>
      <c r="D461" s="155"/>
      <c r="E461" s="155"/>
      <c r="F461" s="158"/>
      <c r="G461" s="154"/>
      <c r="H461" s="156"/>
      <c r="I461" s="153"/>
      <c r="O461" s="146"/>
    </row>
    <row r="462" spans="1:15" x14ac:dyDescent="0.3">
      <c r="A462" t="s">
        <v>5210</v>
      </c>
      <c r="B462" s="149" t="s">
        <v>6980</v>
      </c>
      <c r="C462" s="159">
        <f>SUM(O459)</f>
        <v>1937.0611402811251</v>
      </c>
      <c r="D462" s="150"/>
      <c r="E462" s="150"/>
      <c r="F462" s="150"/>
      <c r="G462" s="150"/>
      <c r="H462" s="150"/>
      <c r="I462" s="150"/>
      <c r="J462" s="150"/>
      <c r="K462" s="150"/>
      <c r="L462" s="150"/>
      <c r="M462" s="150"/>
      <c r="N462" s="150"/>
      <c r="O462" s="151"/>
    </row>
    <row r="463" spans="1:15" ht="15" thickBot="1" x14ac:dyDescent="0.35">
      <c r="A463" s="137"/>
      <c r="B463" s="137"/>
      <c r="C463" s="137"/>
      <c r="D463" s="137"/>
      <c r="E463" s="137"/>
      <c r="F463" s="137"/>
      <c r="G463" s="137"/>
      <c r="H463" s="137"/>
      <c r="I463" s="137"/>
      <c r="J463" s="137"/>
      <c r="K463" s="137"/>
      <c r="L463" s="137"/>
      <c r="M463" s="137"/>
      <c r="N463" s="137"/>
      <c r="O463" s="137"/>
    </row>
    <row r="465" spans="2:11" ht="18" x14ac:dyDescent="0.35">
      <c r="B465" s="138" t="s">
        <v>7170</v>
      </c>
      <c r="H465" s="355"/>
    </row>
    <row r="467" spans="2:11" x14ac:dyDescent="0.3">
      <c r="B467" s="139" t="s">
        <v>6942</v>
      </c>
      <c r="C467" s="140"/>
      <c r="D467" s="140"/>
      <c r="E467" s="139" t="s">
        <v>6988</v>
      </c>
      <c r="F467" s="141"/>
      <c r="H467" s="139" t="s">
        <v>7033</v>
      </c>
      <c r="I467" s="142"/>
      <c r="J467" s="142"/>
      <c r="K467" s="141"/>
    </row>
    <row r="468" spans="2:11" x14ac:dyDescent="0.3">
      <c r="B468" s="143" t="s">
        <v>2663</v>
      </c>
      <c r="C468" s="144" t="s">
        <v>565</v>
      </c>
      <c r="D468" s="144" t="s">
        <v>6943</v>
      </c>
      <c r="E468" s="143" t="s">
        <v>565</v>
      </c>
      <c r="F468" s="145" t="s">
        <v>6944</v>
      </c>
      <c r="H468" s="99" t="s">
        <v>7096</v>
      </c>
      <c r="K468" s="146"/>
    </row>
    <row r="469" spans="2:11" x14ac:dyDescent="0.3">
      <c r="B469" s="99" t="s">
        <v>5510</v>
      </c>
      <c r="C469" s="205">
        <f t="shared" ref="C469:C474" si="5">VLOOKUP(B469,$R:$U,3,FALSE)</f>
        <v>52.142857142857146</v>
      </c>
      <c r="D469" t="s">
        <v>7043</v>
      </c>
      <c r="E469" s="99">
        <f>C469</f>
        <v>52.142857142857146</v>
      </c>
      <c r="F469" s="146" t="s">
        <v>7043</v>
      </c>
      <c r="H469" s="99" t="s">
        <v>1477</v>
      </c>
      <c r="K469" s="146"/>
    </row>
    <row r="470" spans="2:11" x14ac:dyDescent="0.3">
      <c r="B470" s="99" t="s">
        <v>5829</v>
      </c>
      <c r="C470" s="205">
        <f t="shared" si="5"/>
        <v>16.2</v>
      </c>
      <c r="D470" t="s">
        <v>5910</v>
      </c>
      <c r="E470" s="164">
        <f>CONVERT(C470,"m^3","gal")*E469</f>
        <v>223149.90651339022</v>
      </c>
      <c r="F470" s="146" t="s">
        <v>5324</v>
      </c>
      <c r="H470" s="149" t="s">
        <v>7099</v>
      </c>
      <c r="I470" s="150"/>
      <c r="J470" s="150"/>
      <c r="K470" s="151"/>
    </row>
    <row r="471" spans="2:11" x14ac:dyDescent="0.3">
      <c r="B471" s="99" t="s">
        <v>5802</v>
      </c>
      <c r="C471" s="205">
        <f t="shared" si="5"/>
        <v>1</v>
      </c>
      <c r="D471" t="s">
        <v>2442</v>
      </c>
      <c r="E471" s="165">
        <f>C471</f>
        <v>1</v>
      </c>
      <c r="F471" s="146" t="s">
        <v>2442</v>
      </c>
    </row>
    <row r="472" spans="2:11" x14ac:dyDescent="0.3">
      <c r="B472" s="99" t="s">
        <v>5797</v>
      </c>
      <c r="C472" s="205">
        <f t="shared" si="5"/>
        <v>4.9783549783549788</v>
      </c>
      <c r="D472" t="s">
        <v>971</v>
      </c>
      <c r="E472" s="178">
        <f>ROUNDUP(C472,0.1)</f>
        <v>5</v>
      </c>
      <c r="F472" s="146" t="s">
        <v>971</v>
      </c>
    </row>
    <row r="473" spans="2:11" x14ac:dyDescent="0.3">
      <c r="B473" s="99" t="s">
        <v>5804</v>
      </c>
      <c r="C473" s="205">
        <f t="shared" si="5"/>
        <v>6.7929956228571425E-2</v>
      </c>
      <c r="D473" t="s">
        <v>7075</v>
      </c>
      <c r="E473" s="164">
        <f>C473*365</f>
        <v>24.794434023428572</v>
      </c>
      <c r="F473" s="146" t="s">
        <v>2710</v>
      </c>
    </row>
    <row r="474" spans="2:11" x14ac:dyDescent="0.3">
      <c r="B474" s="99" t="s">
        <v>5808</v>
      </c>
      <c r="C474" s="205">
        <f t="shared" si="5"/>
        <v>0.25218036129032084</v>
      </c>
      <c r="D474" t="s">
        <v>6704</v>
      </c>
      <c r="E474" s="164">
        <f>C474*365</f>
        <v>92.045831870967106</v>
      </c>
      <c r="F474" s="146" t="s">
        <v>5323</v>
      </c>
    </row>
    <row r="475" spans="2:11" x14ac:dyDescent="0.3">
      <c r="B475" s="99"/>
      <c r="E475" s="99"/>
      <c r="F475" s="146"/>
    </row>
    <row r="476" spans="2:11" x14ac:dyDescent="0.3">
      <c r="B476" s="92" t="s">
        <v>6996</v>
      </c>
      <c r="E476" s="99"/>
      <c r="F476" s="146"/>
    </row>
    <row r="477" spans="2:11" x14ac:dyDescent="0.3">
      <c r="B477" s="143" t="s">
        <v>2663</v>
      </c>
      <c r="E477" s="143" t="s">
        <v>565</v>
      </c>
      <c r="F477" s="145" t="s">
        <v>6944</v>
      </c>
    </row>
    <row r="478" spans="2:11" x14ac:dyDescent="0.3">
      <c r="B478" s="99" t="s">
        <v>7076</v>
      </c>
      <c r="E478" s="357">
        <f>UDV.electricity.avg_cost</f>
        <v>6.8591666666666662E-2</v>
      </c>
      <c r="F478" s="146" t="s">
        <v>2306</v>
      </c>
    </row>
    <row r="479" spans="2:11" x14ac:dyDescent="0.3">
      <c r="B479" s="99" t="s">
        <v>7100</v>
      </c>
      <c r="E479" s="358">
        <f>UDV.water.avg_cost/1000</f>
        <v>3.858144828221536E-3</v>
      </c>
      <c r="F479" s="146" t="s">
        <v>2315</v>
      </c>
    </row>
    <row r="480" spans="2:11" x14ac:dyDescent="0.3">
      <c r="B480" s="99" t="s">
        <v>5819</v>
      </c>
      <c r="C480" s="205">
        <f>VLOOKUP(B480,$R:$U,3,FALSE)</f>
        <v>600</v>
      </c>
      <c r="D480" t="s">
        <v>2340</v>
      </c>
      <c r="E480" s="2101"/>
      <c r="F480" s="2089"/>
    </row>
    <row r="481" spans="1:15" x14ac:dyDescent="0.3">
      <c r="B481" s="99" t="s">
        <v>5820</v>
      </c>
      <c r="C481" s="205">
        <f>VLOOKUP(B481,$R:$U,3,FALSE)</f>
        <v>200</v>
      </c>
      <c r="D481" t="s">
        <v>2340</v>
      </c>
      <c r="E481" s="164"/>
      <c r="F481" s="146"/>
    </row>
    <row r="482" spans="1:15" x14ac:dyDescent="0.3">
      <c r="B482" s="149" t="s">
        <v>7101</v>
      </c>
      <c r="C482" s="209"/>
      <c r="D482" s="150"/>
      <c r="E482" s="360">
        <f>SUM(C480:C481)</f>
        <v>800</v>
      </c>
      <c r="F482" s="151" t="s">
        <v>2340</v>
      </c>
    </row>
    <row r="483" spans="1:15" x14ac:dyDescent="0.3">
      <c r="B483" s="90"/>
      <c r="C483" s="82"/>
      <c r="H483" s="152"/>
      <c r="I483" s="152"/>
      <c r="O483" s="152"/>
    </row>
    <row r="484" spans="1:15" ht="57.6" x14ac:dyDescent="0.3">
      <c r="B484" s="361" t="s">
        <v>6946</v>
      </c>
      <c r="C484" s="362" t="s">
        <v>6947</v>
      </c>
      <c r="D484" s="362" t="s">
        <v>6948</v>
      </c>
      <c r="E484" s="362" t="s">
        <v>6949</v>
      </c>
      <c r="F484" s="362" t="s">
        <v>6950</v>
      </c>
      <c r="G484" s="362" t="s">
        <v>6951</v>
      </c>
      <c r="H484" s="362" t="s">
        <v>6952</v>
      </c>
      <c r="I484" s="362" t="s">
        <v>6953</v>
      </c>
      <c r="J484" s="362" t="s">
        <v>6954</v>
      </c>
      <c r="K484" s="362" t="s">
        <v>6955</v>
      </c>
      <c r="L484" s="362" t="s">
        <v>6956</v>
      </c>
      <c r="M484" s="140" t="s">
        <v>6957</v>
      </c>
      <c r="N484" s="140" t="s">
        <v>6958</v>
      </c>
      <c r="O484" s="363" t="s">
        <v>6959</v>
      </c>
    </row>
    <row r="485" spans="1:15" x14ac:dyDescent="0.3">
      <c r="B485" s="99" t="s">
        <v>7102</v>
      </c>
      <c r="C485" s="153">
        <f>VLOOKUP("Underground 12 in pipe for flushDefault",Econ.Tables!$C:$E,2,FALSE)*E482</f>
        <v>25600</v>
      </c>
      <c r="D485">
        <f>VLOOKUP("CAPEXLifetimeBuildings and constructionDefault",Econ.inputsTable!$E:$H,2,FALSE)</f>
        <v>20</v>
      </c>
      <c r="E485" t="s">
        <v>2852</v>
      </c>
      <c r="F485" t="s">
        <v>2852</v>
      </c>
      <c r="G485" s="154">
        <f>VLOOKUP("CAPEXAnnual usage on activityItems that are used only on the given activityDefault",Econ.inputsTable!$E:$I,2,FALSE)</f>
        <v>1</v>
      </c>
      <c r="H485" s="503">
        <f>UDV.econ_capital.interest_rate</f>
        <v>5.0999999999999997E-2</v>
      </c>
      <c r="I485" s="154">
        <f>VLOOKUP("CAPEXSalvageBuildings and constructionDefault",Econ.inputsTable!$E:$H,2,FALSE)</f>
        <v>0</v>
      </c>
      <c r="J485" s="153">
        <f>C485*I485</f>
        <v>0</v>
      </c>
      <c r="K485" s="154">
        <f>VLOOKUP("CAPEXFinanced amountNADefault",Econ.inputsTable!$E:$I,2,FALSE)</f>
        <v>1</v>
      </c>
      <c r="L485" s="364">
        <f>H485*K485</f>
        <v>5.0999999999999997E-2</v>
      </c>
      <c r="M485" s="351">
        <f>L485/(1-(1+L485)^-D485)</f>
        <v>8.0924368970045152E-2</v>
      </c>
      <c r="N485" s="153">
        <f>((C485-J485)*M485)+(J485*L485)</f>
        <v>2071.6638456331557</v>
      </c>
      <c r="O485" s="157">
        <f>G485*N485</f>
        <v>2071.6638456331557</v>
      </c>
    </row>
    <row r="486" spans="1:15" x14ac:dyDescent="0.3">
      <c r="B486" s="99" t="s">
        <v>7103</v>
      </c>
      <c r="C486" s="153">
        <f>VLOOKUP("Pump, non-pto flushDefault",Econ.Tables!$C:$E,2,FALSE)*E471</f>
        <v>10800</v>
      </c>
      <c r="D486">
        <f>VLOOKUP("CAPEXLifetimePump, non-ptoDefault",Econ.inputsTable!$E:$I,2,FALSE)</f>
        <v>17</v>
      </c>
      <c r="E486" t="s">
        <v>2852</v>
      </c>
      <c r="F486" s="166">
        <f>E473*E471</f>
        <v>24.794434023428572</v>
      </c>
      <c r="G486" s="154">
        <f>VLOOKUP("CAPEXAnnual usage on activityItems that are used only on the given activityDefault",Econ.inputsTable!$E:$I,2,FALSE)</f>
        <v>1</v>
      </c>
      <c r="H486" s="503">
        <f>UDV.econ_capital.interest_rate</f>
        <v>5.0999999999999997E-2</v>
      </c>
      <c r="I486" s="154">
        <f>VLOOKUP("CAPEXSalvageEquipmentDefault",Econ.inputsTable!$E:$I,2,FALSE)</f>
        <v>0.2</v>
      </c>
      <c r="J486" s="153">
        <f>C486*I486</f>
        <v>2160</v>
      </c>
      <c r="K486" s="154">
        <f>VLOOKUP("CAPEXFinanced amountNADefault",Econ.inputsTable!$E:$I,2,FALSE)</f>
        <v>1</v>
      </c>
      <c r="L486" s="364">
        <f>H486*K486</f>
        <v>5.0999999999999997E-2</v>
      </c>
      <c r="M486" s="351">
        <f>L486/(1-(1+L486)^-D486)</f>
        <v>8.9362846108502439E-2</v>
      </c>
      <c r="N486" s="153">
        <f>((C486-J486)*M486)+(J486*L486)</f>
        <v>882.25499037746101</v>
      </c>
      <c r="O486" s="157">
        <f>G486*N486</f>
        <v>882.25499037746101</v>
      </c>
    </row>
    <row r="487" spans="1:15" x14ac:dyDescent="0.3">
      <c r="B487" s="99" t="s">
        <v>7099</v>
      </c>
      <c r="C487" s="153">
        <f>VLOOKUP(_xlfn.CONCAT("Motor, ", E472, " hpDefault"), Econ.Tables!C:E, 2, FALSE)*E471</f>
        <v>850</v>
      </c>
      <c r="D487">
        <f>VLOOKUP("CAPEXLifetimeMotorDefault",Econ.inputsTable!$E:$I,2,FALSE)</f>
        <v>20</v>
      </c>
      <c r="E487" t="s">
        <v>2852</v>
      </c>
      <c r="F487" s="166">
        <f>E473*E471</f>
        <v>24.794434023428572</v>
      </c>
      <c r="G487" s="154">
        <f>VLOOKUP("CAPEXAnnual usage on activityItems that are used only on the given activityDefault",Econ.inputsTable!$E:$I,2,FALSE)</f>
        <v>1</v>
      </c>
      <c r="H487" s="503">
        <f>UDV.econ_capital.interest_rate</f>
        <v>5.0999999999999997E-2</v>
      </c>
      <c r="I487" s="154">
        <f>VLOOKUP("CAPEXSalvageEquipmentDefault",Econ.inputsTable!$E:$I,2,FALSE)</f>
        <v>0.2</v>
      </c>
      <c r="J487" s="153">
        <f>C487*I487</f>
        <v>170</v>
      </c>
      <c r="K487" s="154">
        <f>VLOOKUP("CAPEXFinanced amountNADefault",Econ.inputsTable!$E:$I,2,FALSE)</f>
        <v>1</v>
      </c>
      <c r="L487" s="364">
        <f>H487*K487</f>
        <v>5.0999999999999997E-2</v>
      </c>
      <c r="M487" s="351">
        <f>L487/(1-(1+L487)^-D487)</f>
        <v>8.0924368970045152E-2</v>
      </c>
      <c r="N487" s="153">
        <f>((C487-J487)*M487)+(J487*L487)</f>
        <v>63.698570899630703</v>
      </c>
      <c r="O487" s="157">
        <f>G487*N487</f>
        <v>63.698570899630703</v>
      </c>
    </row>
    <row r="488" spans="1:15" x14ac:dyDescent="0.3">
      <c r="B488" s="99"/>
      <c r="C488" s="153"/>
      <c r="F488" s="166"/>
      <c r="G488" s="154"/>
      <c r="H488" s="503"/>
      <c r="I488" s="154"/>
      <c r="J488" s="153"/>
      <c r="K488" s="153"/>
      <c r="L488" s="154"/>
      <c r="M488" s="364"/>
      <c r="N488" s="351"/>
      <c r="O488" s="157"/>
    </row>
    <row r="489" spans="1:15" x14ac:dyDescent="0.3">
      <c r="B489" s="99"/>
      <c r="C489" s="82" t="s">
        <v>7009</v>
      </c>
      <c r="D489" s="82" t="s">
        <v>6963</v>
      </c>
      <c r="O489" s="146"/>
    </row>
    <row r="490" spans="1:15" x14ac:dyDescent="0.3">
      <c r="A490" t="s">
        <v>5216</v>
      </c>
      <c r="B490" s="99" t="s">
        <v>6964</v>
      </c>
      <c r="C490" s="153">
        <f>SUM(C485:C487)</f>
        <v>37250</v>
      </c>
      <c r="D490" s="153">
        <f>SUMPRODUCT(C485:C487,G485:G487)</f>
        <v>37250</v>
      </c>
      <c r="O490" s="146"/>
    </row>
    <row r="491" spans="1:15" x14ac:dyDescent="0.3">
      <c r="A491" t="s">
        <v>5216</v>
      </c>
      <c r="B491" s="149" t="s">
        <v>6965</v>
      </c>
      <c r="C491" s="159">
        <f>SUM(N485:N487)</f>
        <v>3017.6174069102476</v>
      </c>
      <c r="D491" s="159">
        <f>SUMPRODUCT(N485:N487,G485:G487)</f>
        <v>3017.6174069102476</v>
      </c>
      <c r="E491" s="150"/>
      <c r="F491" s="150"/>
      <c r="G491" s="150"/>
      <c r="H491" s="150"/>
      <c r="I491" s="150"/>
      <c r="J491" s="150"/>
      <c r="K491" s="150"/>
      <c r="L491" s="150"/>
      <c r="M491" s="150"/>
      <c r="N491" s="150"/>
      <c r="O491" s="151"/>
    </row>
    <row r="492" spans="1:15" x14ac:dyDescent="0.3">
      <c r="B492" s="99"/>
      <c r="C492" s="153"/>
      <c r="D492" s="153"/>
      <c r="O492" s="146"/>
    </row>
    <row r="493" spans="1:15" ht="28.8" x14ac:dyDescent="0.3">
      <c r="B493" s="160" t="s">
        <v>6966</v>
      </c>
      <c r="C493" s="152" t="s">
        <v>6967</v>
      </c>
      <c r="D493" s="152" t="s">
        <v>6968</v>
      </c>
      <c r="E493" s="152" t="s">
        <v>6969</v>
      </c>
      <c r="F493" s="152" t="s">
        <v>6970</v>
      </c>
      <c r="G493" s="152" t="s">
        <v>6971</v>
      </c>
      <c r="H493" s="152" t="s">
        <v>6972</v>
      </c>
      <c r="I493" s="152" t="s">
        <v>6973</v>
      </c>
      <c r="J493" s="152" t="s">
        <v>6974</v>
      </c>
      <c r="K493" s="152" t="s">
        <v>6975</v>
      </c>
      <c r="L493" s="152" t="s">
        <v>6976</v>
      </c>
      <c r="M493" s="152" t="s">
        <v>6977</v>
      </c>
      <c r="N493" s="152" t="s">
        <v>6978</v>
      </c>
      <c r="O493" s="161" t="s">
        <v>6979</v>
      </c>
    </row>
    <row r="494" spans="1:15" x14ac:dyDescent="0.3">
      <c r="B494" s="99" t="s">
        <v>7102</v>
      </c>
      <c r="C494" s="155">
        <f>VLOOKUP("OPEXInsuranceEverythingDefault",Econ.inputsTable!$E:$I,2,FALSE)</f>
        <v>5.0000000000000001E-3</v>
      </c>
      <c r="D494" s="155">
        <f>VLOOKUP("OPEXRepair and maintenanceBuildings and constructionDefault",Econ.inputsTable!$E:$I,2,FALSE)</f>
        <v>0.01</v>
      </c>
      <c r="F494" s="504"/>
      <c r="G494" s="504"/>
      <c r="I494" s="504"/>
      <c r="J494" s="504"/>
      <c r="O494" s="167">
        <f>(SUM(C494:D494)*C485*G485)+SUM(E494,G494,I494,J494,L494,N494)</f>
        <v>384</v>
      </c>
    </row>
    <row r="495" spans="1:15" x14ac:dyDescent="0.3">
      <c r="B495" s="99" t="s">
        <v>7103</v>
      </c>
      <c r="C495" s="155">
        <f>VLOOKUP("OPEXInsuranceEverythingDefault",Econ.inputsTable!$E:$I,2,FALSE)</f>
        <v>5.0000000000000001E-3</v>
      </c>
      <c r="D495" s="155">
        <f>VLOOKUP("OPEXRepair and maintenancePump, non-ptoDefault",Econ.inputsTable!$E:$I,2,FALSE)</f>
        <v>0.05</v>
      </c>
      <c r="F495" s="504"/>
      <c r="G495" s="504"/>
      <c r="I495" s="504"/>
      <c r="J495" s="504"/>
      <c r="O495" s="167">
        <f>(SUM(C495:D495)*C486*G486)+SUM(E495,G495,I495,J495,L495,N495)</f>
        <v>594</v>
      </c>
    </row>
    <row r="496" spans="1:15" x14ac:dyDescent="0.3">
      <c r="B496" s="99" t="s">
        <v>7099</v>
      </c>
      <c r="C496" s="155">
        <f>VLOOKUP("OPEXInsuranceEverythingDefault",Econ.inputsTable!$E:$I,2,FALSE)</f>
        <v>5.0000000000000001E-3</v>
      </c>
      <c r="D496" s="155">
        <f>VLOOKUP("OPEXRepair and maintenanceEquipmentDefault",Econ.inputsTable!$E:$I,2,FALSE)</f>
        <v>0.03</v>
      </c>
      <c r="F496" s="166">
        <f>E474</f>
        <v>92.045831870967106</v>
      </c>
      <c r="G496" s="158">
        <f>F496*E478</f>
        <v>6.3135770177494184</v>
      </c>
      <c r="I496" s="504"/>
      <c r="J496" s="504"/>
      <c r="O496" s="167">
        <f>(SUM(C496:D496)*C487*G487)+SUM(E496,G496,I496,J496,L496,N496)</f>
        <v>36.063577017749417</v>
      </c>
    </row>
    <row r="497" spans="1:17" x14ac:dyDescent="0.3">
      <c r="A497" t="s">
        <v>5216</v>
      </c>
      <c r="B497" s="162" t="s">
        <v>5203</v>
      </c>
      <c r="C497" s="505"/>
      <c r="D497" s="505"/>
      <c r="E497" s="367">
        <f t="shared" ref="E497:O497" si="6">SUM(E494:E496)</f>
        <v>0</v>
      </c>
      <c r="F497" s="168">
        <f t="shared" si="6"/>
        <v>92.045831870967106</v>
      </c>
      <c r="G497" s="367">
        <f t="shared" si="6"/>
        <v>6.3135770177494184</v>
      </c>
      <c r="H497" s="163">
        <f t="shared" si="6"/>
        <v>0</v>
      </c>
      <c r="I497" s="367">
        <f t="shared" si="6"/>
        <v>0</v>
      </c>
      <c r="J497" s="367">
        <f t="shared" si="6"/>
        <v>0</v>
      </c>
      <c r="K497" s="163">
        <f t="shared" si="6"/>
        <v>0</v>
      </c>
      <c r="L497" s="367">
        <f t="shared" si="6"/>
        <v>0</v>
      </c>
      <c r="M497" s="163">
        <f t="shared" si="6"/>
        <v>0</v>
      </c>
      <c r="N497" s="367">
        <f t="shared" si="6"/>
        <v>0</v>
      </c>
      <c r="O497" s="169">
        <f t="shared" si="6"/>
        <v>1014.0635770177494</v>
      </c>
    </row>
    <row r="498" spans="1:17" x14ac:dyDescent="0.3">
      <c r="B498" s="99"/>
      <c r="O498" s="146"/>
    </row>
    <row r="499" spans="1:17" x14ac:dyDescent="0.3">
      <c r="A499" t="s">
        <v>5216</v>
      </c>
      <c r="B499" s="149" t="s">
        <v>6980</v>
      </c>
      <c r="C499" s="159">
        <f>SUM(O494:O496)</f>
        <v>1014.0635770177494</v>
      </c>
      <c r="D499" s="150"/>
      <c r="E499" s="150"/>
      <c r="F499" s="150"/>
      <c r="G499" s="150"/>
      <c r="H499" s="150"/>
      <c r="I499" s="150"/>
      <c r="J499" s="150"/>
      <c r="K499" s="150"/>
      <c r="L499" s="150"/>
      <c r="M499" s="150"/>
      <c r="N499" s="150"/>
      <c r="O499" s="151"/>
    </row>
    <row r="500" spans="1:17" x14ac:dyDescent="0.3">
      <c r="B500" s="99"/>
      <c r="C500" s="153"/>
      <c r="O500" s="146"/>
    </row>
    <row r="501" spans="1:17" x14ac:dyDescent="0.3">
      <c r="B501" s="368" t="s">
        <v>7104</v>
      </c>
      <c r="C501" s="82" t="s">
        <v>7105</v>
      </c>
      <c r="O501" s="146"/>
    </row>
    <row r="502" spans="1:17" x14ac:dyDescent="0.3">
      <c r="B502" s="99" t="s">
        <v>7106</v>
      </c>
      <c r="C502" s="153">
        <f>E470*E479</f>
        <v>860.94465773275579</v>
      </c>
      <c r="O502" s="146"/>
    </row>
    <row r="504" spans="1:17" x14ac:dyDescent="0.3">
      <c r="A504" t="s">
        <v>5216</v>
      </c>
      <c r="B504" s="149" t="s">
        <v>7107</v>
      </c>
      <c r="C504" s="159">
        <f>SUM(C502)</f>
        <v>860.94465773275579</v>
      </c>
      <c r="D504" s="150"/>
      <c r="E504" s="150"/>
      <c r="F504" s="150"/>
      <c r="G504" s="150"/>
      <c r="H504" s="150"/>
      <c r="I504" s="150"/>
      <c r="J504" s="150"/>
      <c r="K504" s="150"/>
      <c r="L504" s="150"/>
      <c r="M504" s="150"/>
      <c r="N504" s="150"/>
      <c r="O504" s="151"/>
    </row>
    <row r="505" spans="1:17" ht="15" thickBot="1" x14ac:dyDescent="0.35">
      <c r="A505" s="137"/>
      <c r="B505" s="137"/>
      <c r="C505" s="137"/>
      <c r="D505" s="137"/>
      <c r="E505" s="137"/>
      <c r="F505" s="137"/>
      <c r="G505" s="137"/>
      <c r="H505" s="137"/>
      <c r="I505" s="137"/>
      <c r="J505" s="137"/>
      <c r="K505" s="137"/>
      <c r="L505" s="137"/>
      <c r="M505" s="137"/>
      <c r="N505" s="137"/>
      <c r="O505" s="137"/>
      <c r="P505" s="137"/>
      <c r="Q505" s="137"/>
    </row>
    <row r="507" spans="1:17" x14ac:dyDescent="0.3">
      <c r="B507" s="82" t="s">
        <v>7235</v>
      </c>
      <c r="C507" s="170" t="s">
        <v>7236</v>
      </c>
    </row>
    <row r="508" spans="1:17" ht="15.6" x14ac:dyDescent="0.3">
      <c r="B508" s="138"/>
    </row>
    <row r="509" spans="1:17" x14ac:dyDescent="0.3">
      <c r="B509" s="139" t="s">
        <v>6983</v>
      </c>
      <c r="C509" s="140" t="s">
        <v>565</v>
      </c>
      <c r="D509" s="140" t="s">
        <v>38</v>
      </c>
      <c r="E509" s="142"/>
      <c r="F509" s="141"/>
    </row>
    <row r="510" spans="1:17" x14ac:dyDescent="0.3">
      <c r="B510" s="99" t="s">
        <v>6984</v>
      </c>
      <c r="C510">
        <f>UDV.crops.acres_available</f>
        <v>100</v>
      </c>
      <c r="D510" t="s">
        <v>5385</v>
      </c>
      <c r="E510" s="34"/>
      <c r="F510" s="146"/>
    </row>
    <row r="511" spans="1:17" x14ac:dyDescent="0.3">
      <c r="B511" s="99" t="s">
        <v>7109</v>
      </c>
      <c r="C511" s="166">
        <f>UDV.econ_manure.liquid_sell_pct*VLOOKUP("Excess volume, lagoon liquid manure",$R$1:$T$332, 3, FALSE)</f>
        <v>0</v>
      </c>
      <c r="D511" t="s">
        <v>5246</v>
      </c>
      <c r="F511" s="146"/>
    </row>
    <row r="512" spans="1:17" x14ac:dyDescent="0.3">
      <c r="B512" s="99" t="s">
        <v>7110</v>
      </c>
      <c r="C512" s="166">
        <f>UDV.econ_manure.liquid_give_pct*VLOOKUP("Excess volume, lagoon liquid manure",$R$1:$T$332, 3, FALSE)</f>
        <v>0</v>
      </c>
      <c r="D512" t="s">
        <v>5246</v>
      </c>
      <c r="F512" s="146"/>
    </row>
    <row r="513" spans="2:6" x14ac:dyDescent="0.3">
      <c r="B513" s="99" t="s">
        <v>7111</v>
      </c>
      <c r="C513" s="166">
        <f>UDV.econ_manure.liquid_export_pct*VLOOKUP("Excess volume, lagoon liquid manure",$R$1:$T$332, 3, FALSE)</f>
        <v>0</v>
      </c>
      <c r="D513" t="s">
        <v>5246</v>
      </c>
      <c r="F513" s="146"/>
    </row>
    <row r="514" spans="2:6" x14ac:dyDescent="0.3">
      <c r="B514" s="99" t="s">
        <v>7112</v>
      </c>
      <c r="C514" s="166">
        <f>UDV.econ_manure.sludge_sell_pct*VLOOKUP("Excess volume, lagoon sludge manure",$R$1:$T$332, 3, FALSE)</f>
        <v>0</v>
      </c>
      <c r="D514" t="s">
        <v>5246</v>
      </c>
      <c r="F514" s="146"/>
    </row>
    <row r="515" spans="2:6" x14ac:dyDescent="0.3">
      <c r="B515" s="99" t="s">
        <v>7113</v>
      </c>
      <c r="C515" s="166">
        <f>UDV.econ_manure.sludge_give_pct*VLOOKUP("Excess volume, lagoon sludge manure",$R$1:$T$332, 3, FALSE)</f>
        <v>0</v>
      </c>
      <c r="D515" t="s">
        <v>5246</v>
      </c>
      <c r="F515" s="146"/>
    </row>
    <row r="516" spans="2:6" x14ac:dyDescent="0.3">
      <c r="B516" s="99" t="s">
        <v>7114</v>
      </c>
      <c r="C516" s="166">
        <f>UDV.econ_manure.sludge_export_pct*VLOOKUP("Excess volume, lagoon sludge manure",$R$1:$T$332, 3, FALSE)</f>
        <v>0</v>
      </c>
      <c r="D516" t="s">
        <v>5246</v>
      </c>
      <c r="F516" s="146"/>
    </row>
    <row r="517" spans="2:6" x14ac:dyDescent="0.3">
      <c r="B517" s="99"/>
      <c r="F517" s="151"/>
    </row>
    <row r="518" spans="2:6" x14ac:dyDescent="0.3">
      <c r="B518" s="92" t="s">
        <v>6942</v>
      </c>
      <c r="E518" s="139" t="s">
        <v>6988</v>
      </c>
      <c r="F518" s="141"/>
    </row>
    <row r="519" spans="2:6" x14ac:dyDescent="0.3">
      <c r="B519" s="175" t="s">
        <v>2908</v>
      </c>
      <c r="E519" s="99"/>
      <c r="F519" s="146"/>
    </row>
    <row r="520" spans="2:6" x14ac:dyDescent="0.3">
      <c r="B520" s="143" t="s">
        <v>2663</v>
      </c>
      <c r="C520" s="144" t="s">
        <v>565</v>
      </c>
      <c r="D520" s="144" t="s">
        <v>6943</v>
      </c>
      <c r="E520" s="143" t="s">
        <v>565</v>
      </c>
      <c r="F520" s="145" t="s">
        <v>6944</v>
      </c>
    </row>
    <row r="521" spans="2:6" x14ac:dyDescent="0.3">
      <c r="B521" s="99" t="s">
        <v>5676</v>
      </c>
      <c r="C521" s="147">
        <f>VLOOKUP(B521,$R:$U,3,FALSE)</f>
        <v>160</v>
      </c>
      <c r="D521" t="s">
        <v>5689</v>
      </c>
      <c r="E521" s="99">
        <f>C521</f>
        <v>160</v>
      </c>
      <c r="F521" s="146" t="s">
        <v>5689</v>
      </c>
    </row>
    <row r="522" spans="2:6" x14ac:dyDescent="0.3">
      <c r="B522" s="99" t="s">
        <v>6989</v>
      </c>
      <c r="C522" s="147"/>
      <c r="D522" t="s">
        <v>2442</v>
      </c>
      <c r="E522" s="99">
        <f>E523</f>
        <v>1</v>
      </c>
      <c r="F522" s="146" t="s">
        <v>2442</v>
      </c>
    </row>
    <row r="523" spans="2:6" x14ac:dyDescent="0.3">
      <c r="B523" s="222" t="s">
        <v>5735</v>
      </c>
      <c r="C523" s="147">
        <f>VLOOKUP(B523,$R:$U,3,FALSE)</f>
        <v>1</v>
      </c>
      <c r="D523" t="s">
        <v>2442</v>
      </c>
      <c r="E523" s="178">
        <f>C523</f>
        <v>1</v>
      </c>
      <c r="F523" s="146" t="s">
        <v>2442</v>
      </c>
    </row>
    <row r="524" spans="2:6" x14ac:dyDescent="0.3">
      <c r="B524" s="99" t="s">
        <v>5663</v>
      </c>
      <c r="C524" s="147">
        <f>VLOOKUP(B524,$R:$U,3,FALSE)</f>
        <v>180</v>
      </c>
      <c r="D524" t="s">
        <v>5689</v>
      </c>
      <c r="E524" s="99">
        <f>C524</f>
        <v>180</v>
      </c>
      <c r="F524" s="146" t="s">
        <v>5689</v>
      </c>
    </row>
    <row r="525" spans="2:6" x14ac:dyDescent="0.3">
      <c r="B525" s="99" t="s">
        <v>6990</v>
      </c>
      <c r="C525" s="297"/>
      <c r="D525" t="s">
        <v>2442</v>
      </c>
      <c r="E525" s="99">
        <f>E526</f>
        <v>1</v>
      </c>
      <c r="F525" s="146" t="s">
        <v>2442</v>
      </c>
    </row>
    <row r="526" spans="2:6" x14ac:dyDescent="0.3">
      <c r="B526" s="222" t="s">
        <v>5736</v>
      </c>
      <c r="C526" s="147">
        <f>VLOOKUP(B526,$R:$U,3,FALSE)</f>
        <v>1</v>
      </c>
      <c r="D526" t="s">
        <v>2442</v>
      </c>
      <c r="E526" s="178">
        <f>C526</f>
        <v>1</v>
      </c>
      <c r="F526" s="146" t="s">
        <v>2442</v>
      </c>
    </row>
    <row r="527" spans="2:6" x14ac:dyDescent="0.3">
      <c r="B527" s="99" t="s">
        <v>5638</v>
      </c>
      <c r="C527" s="147">
        <f>VLOOKUP(B527,$R:$U,3,FALSE)</f>
        <v>250</v>
      </c>
      <c r="D527" t="s">
        <v>5689</v>
      </c>
      <c r="E527" s="99">
        <f>C527</f>
        <v>250</v>
      </c>
      <c r="F527" s="146" t="s">
        <v>5689</v>
      </c>
    </row>
    <row r="528" spans="2:6" x14ac:dyDescent="0.3">
      <c r="B528" s="99" t="s">
        <v>5637</v>
      </c>
      <c r="C528" s="147">
        <f>VLOOKUP(B528,$R:$U,3,FALSE)</f>
        <v>6000</v>
      </c>
      <c r="D528" t="s">
        <v>2480</v>
      </c>
      <c r="E528" s="99">
        <f>C528</f>
        <v>6000</v>
      </c>
      <c r="F528" s="146" t="s">
        <v>2480</v>
      </c>
    </row>
    <row r="529" spans="2:10" x14ac:dyDescent="0.3">
      <c r="B529" s="99" t="s">
        <v>6991</v>
      </c>
      <c r="C529" s="147"/>
      <c r="D529" s="146" t="s">
        <v>2442</v>
      </c>
      <c r="E529">
        <f>E530</f>
        <v>1</v>
      </c>
      <c r="F529" s="146" t="s">
        <v>2442</v>
      </c>
    </row>
    <row r="530" spans="2:10" x14ac:dyDescent="0.3">
      <c r="B530" s="222" t="s">
        <v>5734</v>
      </c>
      <c r="C530" s="147">
        <f>VLOOKUP(B530,$R:$U,3,FALSE)</f>
        <v>1</v>
      </c>
      <c r="D530" t="s">
        <v>2442</v>
      </c>
      <c r="E530" s="178">
        <f>C530</f>
        <v>1</v>
      </c>
      <c r="F530" s="146" t="s">
        <v>2442</v>
      </c>
    </row>
    <row r="531" spans="2:10" x14ac:dyDescent="0.3">
      <c r="B531" s="99" t="s">
        <v>5732</v>
      </c>
      <c r="C531" s="147" t="str">
        <f>VLOOKUP(B531,$R:$U,3,FALSE)</f>
        <v>Injection</v>
      </c>
      <c r="D531" t="s">
        <v>6992</v>
      </c>
      <c r="E531" s="99" t="str">
        <f>C531</f>
        <v>Injection</v>
      </c>
      <c r="F531" s="146" t="s">
        <v>6992</v>
      </c>
    </row>
    <row r="532" spans="2:10" x14ac:dyDescent="0.3">
      <c r="B532" s="99"/>
      <c r="C532" s="147"/>
      <c r="E532" s="99"/>
      <c r="F532" s="146"/>
    </row>
    <row r="533" spans="2:10" x14ac:dyDescent="0.3">
      <c r="B533" s="175" t="s">
        <v>7115</v>
      </c>
      <c r="C533" s="147"/>
      <c r="E533" s="99"/>
      <c r="F533" s="146"/>
    </row>
    <row r="534" spans="2:10" x14ac:dyDescent="0.3">
      <c r="B534" s="143" t="s">
        <v>2663</v>
      </c>
      <c r="C534" s="147"/>
      <c r="E534" s="99"/>
      <c r="F534" s="146"/>
    </row>
    <row r="535" spans="2:10" x14ac:dyDescent="0.3">
      <c r="B535" s="99" t="s">
        <v>6407</v>
      </c>
      <c r="C535" s="147">
        <f>VLOOKUP(B535,$R:$U,3,FALSE)</f>
        <v>25.42986750492755</v>
      </c>
      <c r="D535" t="s">
        <v>5385</v>
      </c>
      <c r="E535" s="178">
        <f>C535</f>
        <v>25.42986750492755</v>
      </c>
      <c r="F535" s="146" t="s">
        <v>5385</v>
      </c>
    </row>
    <row r="536" spans="2:10" x14ac:dyDescent="0.3">
      <c r="B536" s="99" t="s">
        <v>6409</v>
      </c>
      <c r="C536" s="147">
        <f>VLOOKUP(B536,$R:$U,3,FALSE)</f>
        <v>934.64729834049092</v>
      </c>
      <c r="D536" t="s">
        <v>5323</v>
      </c>
      <c r="E536" s="178">
        <f>C536</f>
        <v>934.64729834049092</v>
      </c>
      <c r="F536" s="146" t="s">
        <v>5323</v>
      </c>
    </row>
    <row r="537" spans="2:10" x14ac:dyDescent="0.3">
      <c r="B537" s="99" t="s">
        <v>6390</v>
      </c>
      <c r="C537" s="205">
        <f>VLOOKUP(B537,$R:$U, 3, FALSE)</f>
        <v>7.6289602514782651</v>
      </c>
      <c r="D537" t="s">
        <v>2472</v>
      </c>
      <c r="E537" s="178">
        <f>C537</f>
        <v>7.6289602514782651</v>
      </c>
      <c r="F537" s="146" t="s">
        <v>2710</v>
      </c>
    </row>
    <row r="538" spans="2:10" x14ac:dyDescent="0.3">
      <c r="B538" s="99"/>
      <c r="E538" s="99"/>
      <c r="F538" s="146"/>
    </row>
    <row r="539" spans="2:10" x14ac:dyDescent="0.3">
      <c r="B539" s="175" t="s">
        <v>7237</v>
      </c>
      <c r="E539" s="99"/>
      <c r="F539" s="146"/>
    </row>
    <row r="540" spans="2:10" x14ac:dyDescent="0.3">
      <c r="B540" s="143" t="s">
        <v>2663</v>
      </c>
      <c r="C540" s="144" t="s">
        <v>565</v>
      </c>
      <c r="D540" s="144" t="s">
        <v>6943</v>
      </c>
      <c r="E540" s="143" t="s">
        <v>565</v>
      </c>
      <c r="F540" s="145" t="s">
        <v>6944</v>
      </c>
      <c r="G540" s="1222" t="s">
        <v>6392</v>
      </c>
      <c r="H540" s="1215" t="s">
        <v>6993</v>
      </c>
      <c r="I540" s="142"/>
      <c r="J540" s="141"/>
    </row>
    <row r="541" spans="2:10" x14ac:dyDescent="0.3">
      <c r="B541" s="99" t="s">
        <v>6401</v>
      </c>
      <c r="C541" s="147">
        <f t="shared" ref="C541:C551" si="7">VLOOKUP(B541,$R:$U,3,FALSE)</f>
        <v>182.5</v>
      </c>
      <c r="D541" t="s">
        <v>5121</v>
      </c>
      <c r="E541" s="201">
        <f>UC.year_to_day/C541</f>
        <v>2</v>
      </c>
      <c r="F541" s="146" t="s">
        <v>6994</v>
      </c>
      <c r="G541" s="42" t="s">
        <v>7117</v>
      </c>
      <c r="H541" s="92" t="s">
        <v>4838</v>
      </c>
      <c r="I541" s="1216" t="s">
        <v>2710</v>
      </c>
      <c r="J541" s="285">
        <f>(SUM(E542:E543)*UDV.OPEX_labor.tractor_stationary)+(E544*UDV.OPEX_labor.tractor_active)+E537</f>
        <v>12.571096112537234</v>
      </c>
    </row>
    <row r="542" spans="2:10" x14ac:dyDescent="0.3">
      <c r="B542" s="99" t="s">
        <v>5679</v>
      </c>
      <c r="C542" s="147">
        <f t="shared" si="7"/>
        <v>2.4948528484205106</v>
      </c>
      <c r="D542" t="s">
        <v>6085</v>
      </c>
      <c r="E542" s="178">
        <f>C542*E541</f>
        <v>4.9897056968410212</v>
      </c>
      <c r="F542" s="146" t="s">
        <v>2710</v>
      </c>
      <c r="G542" s="42" t="s">
        <v>7118</v>
      </c>
      <c r="H542" s="1217" t="s">
        <v>5444</v>
      </c>
      <c r="I542" s="1216" t="s">
        <v>6085</v>
      </c>
      <c r="J542" s="285">
        <f>(SUM(E556:E557)*UDV.OPEX_labor.tractor_stationary)+(E558*UDV.OPEX_labor.tractor_active)</f>
        <v>56.119479479330572</v>
      </c>
    </row>
    <row r="543" spans="2:10" x14ac:dyDescent="0.3">
      <c r="B543" s="99" t="s">
        <v>5667</v>
      </c>
      <c r="C543" s="147">
        <f t="shared" si="7"/>
        <v>0.261121390773836</v>
      </c>
      <c r="D543" t="s">
        <v>6085</v>
      </c>
      <c r="E543" s="178">
        <f>C543*E541</f>
        <v>0.52224278154767201</v>
      </c>
      <c r="F543" s="146" t="s">
        <v>2710</v>
      </c>
      <c r="G543" s="42" t="s">
        <v>7119</v>
      </c>
      <c r="H543" s="1218" t="s">
        <v>5445</v>
      </c>
      <c r="I543" s="1216" t="s">
        <v>6995</v>
      </c>
      <c r="J543" s="285">
        <f>SUM(J541:J542)</f>
        <v>68.690575591867798</v>
      </c>
    </row>
    <row r="544" spans="2:10" x14ac:dyDescent="0.3">
      <c r="B544" s="99" t="s">
        <v>5654</v>
      </c>
      <c r="C544" s="147">
        <f t="shared" si="7"/>
        <v>1.9958822787364086</v>
      </c>
      <c r="D544" t="s">
        <v>6085</v>
      </c>
      <c r="E544" s="178">
        <f>C544*E541</f>
        <v>3.9917645574728171</v>
      </c>
      <c r="F544" s="146" t="s">
        <v>2710</v>
      </c>
      <c r="G544" s="42" t="s">
        <v>7120</v>
      </c>
      <c r="H544" s="1219" t="s">
        <v>5446</v>
      </c>
      <c r="I544" s="1220" t="s">
        <v>5447</v>
      </c>
      <c r="J544" s="1221">
        <f>J541+(J542/UDV.anaer_lagoon.sludge_time)</f>
        <v>18.183044060470291</v>
      </c>
    </row>
    <row r="545" spans="1:6" x14ac:dyDescent="0.3">
      <c r="B545" s="99" t="s">
        <v>5682</v>
      </c>
      <c r="C545" s="147">
        <f t="shared" si="7"/>
        <v>17.563764052880391</v>
      </c>
      <c r="D545" t="s">
        <v>2489</v>
      </c>
      <c r="E545" s="178">
        <f>C545*E541</f>
        <v>35.127528105760781</v>
      </c>
      <c r="F545" s="146" t="s">
        <v>5324</v>
      </c>
    </row>
    <row r="546" spans="1:6" x14ac:dyDescent="0.3">
      <c r="B546" s="99" t="s">
        <v>5672</v>
      </c>
      <c r="C546" s="147">
        <f t="shared" si="7"/>
        <v>2.0680814149287809</v>
      </c>
      <c r="D546" t="s">
        <v>2489</v>
      </c>
      <c r="E546" s="178">
        <f>C546*E541</f>
        <v>4.1361628298575619</v>
      </c>
      <c r="F546" s="146" t="s">
        <v>5324</v>
      </c>
    </row>
    <row r="547" spans="1:6" x14ac:dyDescent="0.3">
      <c r="B547" s="99" t="s">
        <v>5660</v>
      </c>
      <c r="C547" s="147">
        <f t="shared" si="7"/>
        <v>21.954705066100495</v>
      </c>
      <c r="D547" t="s">
        <v>2489</v>
      </c>
      <c r="E547" s="178">
        <f>C547*E541</f>
        <v>43.909410132200989</v>
      </c>
      <c r="F547" s="146" t="s">
        <v>5324</v>
      </c>
    </row>
    <row r="548" spans="1:6" x14ac:dyDescent="0.3">
      <c r="B548" s="99" t="s">
        <v>6403</v>
      </c>
      <c r="C548" s="147">
        <f t="shared" si="7"/>
        <v>1186.1423892357984</v>
      </c>
      <c r="D548" t="s">
        <v>5910</v>
      </c>
      <c r="E548" s="164">
        <f>CONVERT(C548,"m^3","gal")*E541</f>
        <v>626691.33870683727</v>
      </c>
      <c r="F548" s="146" t="s">
        <v>5324</v>
      </c>
    </row>
    <row r="549" spans="1:6" x14ac:dyDescent="0.3">
      <c r="A549" t="str">
        <f>_xlfn.CONCAT("Liquids",B549)</f>
        <v>LiquidsN removed, lagoon</v>
      </c>
      <c r="B549" s="99" t="s">
        <v>6404</v>
      </c>
      <c r="C549" s="78">
        <f t="shared" si="7"/>
        <v>1.1089488351545678</v>
      </c>
      <c r="D549" t="s">
        <v>2413</v>
      </c>
      <c r="E549" s="201">
        <f>C549*UC.g_to_lb/UC.L_to_gal*1000</f>
        <v>9.2546266285725878</v>
      </c>
      <c r="F549" s="146" t="s">
        <v>2414</v>
      </c>
    </row>
    <row r="550" spans="1:6" x14ac:dyDescent="0.3">
      <c r="A550" t="str">
        <f>_xlfn.CONCAT("Liquids",B550)</f>
        <v>LiquidsP2O5 removed, lagoon</v>
      </c>
      <c r="B550" s="99" t="s">
        <v>6405</v>
      </c>
      <c r="C550" s="78">
        <f t="shared" si="7"/>
        <v>0.77008255040821727</v>
      </c>
      <c r="D550" t="s">
        <v>2413</v>
      </c>
      <c r="E550" s="201">
        <f>C550*UC.g_to_lb/UC.L_to_gal*1000</f>
        <v>6.426650401967037</v>
      </c>
      <c r="F550" s="146" t="s">
        <v>2414</v>
      </c>
    </row>
    <row r="551" spans="1:6" x14ac:dyDescent="0.3">
      <c r="A551" t="str">
        <f>_xlfn.CONCAT("Liquids",B551)</f>
        <v>LiquidsK2O removed, lagoon</v>
      </c>
      <c r="B551" s="99" t="s">
        <v>6406</v>
      </c>
      <c r="C551" s="78">
        <f t="shared" si="7"/>
        <v>1.1701311485412944</v>
      </c>
      <c r="D551" t="s">
        <v>2413</v>
      </c>
      <c r="E551" s="201">
        <f>C551*UC.g_to_lb/UC.L_to_gal*1000</f>
        <v>9.7652177836528438</v>
      </c>
      <c r="F551" s="146" t="s">
        <v>2414</v>
      </c>
    </row>
    <row r="552" spans="1:6" x14ac:dyDescent="0.3">
      <c r="B552" s="99"/>
      <c r="E552" s="99"/>
      <c r="F552" s="146"/>
    </row>
    <row r="553" spans="1:6" x14ac:dyDescent="0.3">
      <c r="B553" s="175" t="s">
        <v>7244</v>
      </c>
      <c r="E553" s="99"/>
      <c r="F553" s="146"/>
    </row>
    <row r="554" spans="1:6" x14ac:dyDescent="0.3">
      <c r="B554" s="143" t="s">
        <v>2663</v>
      </c>
      <c r="C554" s="144" t="s">
        <v>565</v>
      </c>
      <c r="D554" s="144" t="s">
        <v>6943</v>
      </c>
      <c r="E554" s="143" t="s">
        <v>565</v>
      </c>
      <c r="F554" s="145" t="s">
        <v>6944</v>
      </c>
    </row>
    <row r="555" spans="1:6" x14ac:dyDescent="0.3">
      <c r="B555" s="99" t="s">
        <v>6416</v>
      </c>
      <c r="C555" s="382">
        <f t="shared" ref="C555:C565" si="8">VLOOKUP(B555,$X:$AA,3,FALSE)</f>
        <v>10</v>
      </c>
      <c r="D555" t="s">
        <v>2669</v>
      </c>
      <c r="E555" s="99">
        <f t="shared" ref="E555:E561" si="9">C555</f>
        <v>10</v>
      </c>
      <c r="F555" s="146" t="s">
        <v>2669</v>
      </c>
    </row>
    <row r="556" spans="1:6" x14ac:dyDescent="0.3">
      <c r="B556" s="99" t="s">
        <v>5679</v>
      </c>
      <c r="C556" s="382">
        <f t="shared" si="8"/>
        <v>56.659649660413777</v>
      </c>
      <c r="D556" t="s">
        <v>6085</v>
      </c>
      <c r="E556" s="178">
        <f t="shared" si="9"/>
        <v>56.659649660413777</v>
      </c>
      <c r="F556" s="146" t="s">
        <v>6085</v>
      </c>
    </row>
    <row r="557" spans="1:6" x14ac:dyDescent="0.3">
      <c r="B557" s="99" t="s">
        <v>5667</v>
      </c>
      <c r="C557" s="382">
        <f t="shared" si="8"/>
        <v>5.9302281212506323</v>
      </c>
      <c r="D557" t="s">
        <v>6085</v>
      </c>
      <c r="E557" s="178">
        <f t="shared" si="9"/>
        <v>5.9302281212506323</v>
      </c>
      <c r="F557" s="146" t="s">
        <v>6085</v>
      </c>
    </row>
    <row r="558" spans="1:6" x14ac:dyDescent="0.3">
      <c r="B558" s="99" t="s">
        <v>5654</v>
      </c>
      <c r="C558" s="382">
        <f t="shared" si="8"/>
        <v>45.327719728331026</v>
      </c>
      <c r="D558" t="s">
        <v>6085</v>
      </c>
      <c r="E558" s="178">
        <f t="shared" si="9"/>
        <v>45.327719728331026</v>
      </c>
      <c r="F558" s="146" t="s">
        <v>6085</v>
      </c>
    </row>
    <row r="559" spans="1:6" x14ac:dyDescent="0.3">
      <c r="B559" s="99" t="s">
        <v>5682</v>
      </c>
      <c r="C559" s="382">
        <f t="shared" si="8"/>
        <v>398.88393360931292</v>
      </c>
      <c r="D559" t="s">
        <v>2489</v>
      </c>
      <c r="E559" s="178">
        <f t="shared" si="9"/>
        <v>398.88393360931292</v>
      </c>
      <c r="F559" s="146" t="s">
        <v>2489</v>
      </c>
    </row>
    <row r="560" spans="1:6" x14ac:dyDescent="0.3">
      <c r="B560" s="99" t="s">
        <v>5672</v>
      </c>
      <c r="C560" s="382">
        <f t="shared" si="8"/>
        <v>46.967406720305007</v>
      </c>
      <c r="D560" t="s">
        <v>2489</v>
      </c>
      <c r="E560" s="178">
        <f t="shared" si="9"/>
        <v>46.967406720305007</v>
      </c>
      <c r="F560" s="146" t="s">
        <v>2489</v>
      </c>
    </row>
    <row r="561" spans="1:15" x14ac:dyDescent="0.3">
      <c r="B561" s="99" t="s">
        <v>5660</v>
      </c>
      <c r="C561" s="382">
        <f t="shared" si="8"/>
        <v>498.60491701164131</v>
      </c>
      <c r="D561" t="s">
        <v>2489</v>
      </c>
      <c r="E561" s="178">
        <f t="shared" si="9"/>
        <v>498.60491701164131</v>
      </c>
      <c r="F561" s="146" t="s">
        <v>2489</v>
      </c>
    </row>
    <row r="562" spans="1:15" x14ac:dyDescent="0.3">
      <c r="B562" s="99" t="s">
        <v>6418</v>
      </c>
      <c r="C562" s="382">
        <f t="shared" si="8"/>
        <v>2693.8026530909328</v>
      </c>
      <c r="D562" t="s">
        <v>5910</v>
      </c>
      <c r="E562" s="164">
        <f>CONVERT(C562,"m^3","gal")</f>
        <v>711627.37551485701</v>
      </c>
      <c r="F562" s="146" t="s">
        <v>2489</v>
      </c>
    </row>
    <row r="563" spans="1:15" x14ac:dyDescent="0.3">
      <c r="A563" t="str">
        <f>_xlfn.CONCAT("Sludge",B563)</f>
        <v>SludgeN removed, lagoon</v>
      </c>
      <c r="B563" s="99" t="s">
        <v>6404</v>
      </c>
      <c r="C563" s="382">
        <f t="shared" si="8"/>
        <v>2.4414765858241436</v>
      </c>
      <c r="D563" t="s">
        <v>2413</v>
      </c>
      <c r="E563" s="201">
        <f>C563*UC.g_to_lb/UC.L_to_gal*1000</f>
        <v>20.375109750717463</v>
      </c>
      <c r="F563" s="146" t="s">
        <v>2414</v>
      </c>
    </row>
    <row r="564" spans="1:15" x14ac:dyDescent="0.3">
      <c r="A564" t="str">
        <f>_xlfn.CONCAT("Sludge",B564)</f>
        <v>SludgeP2O5 removed, lagoon</v>
      </c>
      <c r="B564" s="99" t="s">
        <v>6405</v>
      </c>
      <c r="C564" s="382">
        <f t="shared" si="8"/>
        <v>5.5486604996284568</v>
      </c>
      <c r="D564" t="s">
        <v>2413</v>
      </c>
      <c r="E564" s="201">
        <f>C564*UC.g_to_lb/UC.L_to_gal*1000</f>
        <v>46.305816449694916</v>
      </c>
      <c r="F564" s="146" t="s">
        <v>2414</v>
      </c>
    </row>
    <row r="565" spans="1:15" x14ac:dyDescent="0.3">
      <c r="A565" t="str">
        <f>_xlfn.CONCAT("Sludge",B565)</f>
        <v>SludgeK2O removed, lagoon</v>
      </c>
      <c r="B565" s="99" t="s">
        <v>6406</v>
      </c>
      <c r="C565" s="382">
        <f t="shared" si="8"/>
        <v>5.5486875988667448</v>
      </c>
      <c r="D565" t="s">
        <v>2413</v>
      </c>
      <c r="E565" s="201">
        <f>C565*UC.g_to_lb/UC.L_to_gal*1000</f>
        <v>46.306042603800783</v>
      </c>
      <c r="F565" s="146" t="s">
        <v>2414</v>
      </c>
    </row>
    <row r="566" spans="1:15" x14ac:dyDescent="0.3">
      <c r="B566" s="99"/>
      <c r="E566" s="99"/>
      <c r="F566" s="146"/>
    </row>
    <row r="567" spans="1:15" x14ac:dyDescent="0.3">
      <c r="B567" s="92" t="s">
        <v>6996</v>
      </c>
      <c r="E567" s="99"/>
      <c r="F567" s="146"/>
    </row>
    <row r="568" spans="1:15" x14ac:dyDescent="0.3">
      <c r="B568" s="143" t="s">
        <v>2663</v>
      </c>
      <c r="C568" s="144" t="s">
        <v>565</v>
      </c>
      <c r="D568" s="144" t="s">
        <v>6943</v>
      </c>
      <c r="E568" s="143" t="s">
        <v>565</v>
      </c>
      <c r="F568" s="145" t="s">
        <v>6944</v>
      </c>
    </row>
    <row r="569" spans="1:15" x14ac:dyDescent="0.3">
      <c r="B569" s="99" t="s">
        <v>7076</v>
      </c>
      <c r="E569" s="357">
        <f>UDV.electricity.avg_cost</f>
        <v>6.8591666666666662E-2</v>
      </c>
      <c r="F569" s="146" t="s">
        <v>2306</v>
      </c>
    </row>
    <row r="570" spans="1:15" x14ac:dyDescent="0.3">
      <c r="B570" s="99" t="s">
        <v>6997</v>
      </c>
      <c r="D570" s="146"/>
      <c r="E570" s="346">
        <f>UDV.fuel.diesel_avg_cost</f>
        <v>3.6964905660377356</v>
      </c>
      <c r="F570" s="146" t="s">
        <v>2315</v>
      </c>
    </row>
    <row r="571" spans="1:15" x14ac:dyDescent="0.3">
      <c r="B571" s="149" t="s">
        <v>6998</v>
      </c>
      <c r="C571" s="150"/>
      <c r="D571" s="151"/>
      <c r="E571" s="347">
        <f>UDV.labor.non_specialized_cost</f>
        <v>23.66</v>
      </c>
      <c r="F571" s="151" t="s">
        <v>3659</v>
      </c>
    </row>
    <row r="573" spans="1:15" x14ac:dyDescent="0.3">
      <c r="B573" s="206" t="s">
        <v>7121</v>
      </c>
      <c r="C573" s="140"/>
      <c r="D573" s="207"/>
      <c r="E573" s="207"/>
      <c r="F573" s="207"/>
      <c r="G573" s="207"/>
      <c r="H573" s="207"/>
      <c r="I573" s="207"/>
      <c r="J573" s="142"/>
      <c r="K573" s="142"/>
      <c r="L573" s="142"/>
      <c r="M573" s="142"/>
      <c r="N573" s="142"/>
      <c r="O573" s="208"/>
    </row>
    <row r="574" spans="1:15" ht="57.6" x14ac:dyDescent="0.3">
      <c r="B574" s="210" t="s">
        <v>6946</v>
      </c>
      <c r="C574" s="152" t="s">
        <v>6947</v>
      </c>
      <c r="D574" s="152" t="s">
        <v>6948</v>
      </c>
      <c r="E574" s="152" t="s">
        <v>6999</v>
      </c>
      <c r="F574" s="152" t="s">
        <v>7000</v>
      </c>
      <c r="G574" s="152" t="s">
        <v>6951</v>
      </c>
      <c r="H574" s="152" t="s">
        <v>6952</v>
      </c>
      <c r="I574" s="152" t="s">
        <v>7001</v>
      </c>
      <c r="J574" s="152" t="s">
        <v>6954</v>
      </c>
      <c r="K574" s="152" t="s">
        <v>6955</v>
      </c>
      <c r="L574" s="152" t="s">
        <v>6956</v>
      </c>
      <c r="M574" s="82" t="s">
        <v>6957</v>
      </c>
      <c r="N574" s="152" t="s">
        <v>7002</v>
      </c>
      <c r="O574" s="161" t="s">
        <v>6959</v>
      </c>
    </row>
    <row r="575" spans="1:15" x14ac:dyDescent="0.3">
      <c r="A575" t="s">
        <v>7122</v>
      </c>
      <c r="B575" s="99" t="s">
        <v>2808</v>
      </c>
      <c r="C575" s="153">
        <f>IF(E535=0,0,(VLOOKUP("Irrigation systema",Econ.Equations!$C:$E,2,FALSE)*E535^VLOOKUP("Irrigation systemb",Econ.Equations!$C:$E,2,FALSE))*E535)</f>
        <v>52445.256457610485</v>
      </c>
      <c r="D575" s="42">
        <f>VLOOKUP("CAPEXLifetimeBuildings and constructionDefault",Econ.inputsTable!$E:$G,2,FALSE)</f>
        <v>20</v>
      </c>
      <c r="E575" s="42" t="s">
        <v>2852</v>
      </c>
      <c r="F575" s="42" t="s">
        <v>2852</v>
      </c>
      <c r="G575" s="539">
        <f>VLOOKUP("CAPEXAnnual usage on activityItems that are used only on the given activityDefault",Econ.inputsTable!$E:$J,2,FALSE)</f>
        <v>1</v>
      </c>
      <c r="H575" s="216">
        <f t="shared" ref="H575" si="10">UDV.econ_capital.interest_rate</f>
        <v>5.0999999999999997E-2</v>
      </c>
      <c r="I575" s="2091">
        <f>VLOOKUP("CAPEXSalvageBuildings and constructionDefault",Econ.inputsTable!$E:$K,2,FALSE)</f>
        <v>0</v>
      </c>
      <c r="J575" s="153">
        <f>C575*I575</f>
        <v>0</v>
      </c>
      <c r="K575" s="154">
        <f>VLOOKUP("CAPEXFinanced amountNADefault",Econ.inputsTable!$E:$J,2,FALSE)</f>
        <v>1</v>
      </c>
      <c r="L575" s="2092">
        <f>H575*K575</f>
        <v>5.0999999999999997E-2</v>
      </c>
      <c r="M575" s="351">
        <f>L575/(1-(1+L575)^-D575)</f>
        <v>8.0924368970045152E-2</v>
      </c>
      <c r="N575" s="153">
        <f>((C575-J575)*M575)+(J575*L575)</f>
        <v>4244.0992843043141</v>
      </c>
      <c r="O575" s="372">
        <f>N575*G575</f>
        <v>4244.0992843043141</v>
      </c>
    </row>
    <row r="576" spans="1:15" x14ac:dyDescent="0.3">
      <c r="A576" t="s">
        <v>7003</v>
      </c>
      <c r="B576" s="99" t="s">
        <v>7004</v>
      </c>
      <c r="C576" s="153">
        <f>VLOOKUP(_xlfn.CONCAT("Tractor",E521," hp"), Econ.Tables!$C:$E,2, FALSE)*E523</f>
        <v>283300</v>
      </c>
      <c r="D576" s="79">
        <f>VLOOKUP("CAPEXLifetimeTractor, 4 wheel drive and crawlerDefault",Econ.inputsTable!$E:$H,2,FALSE)/E576</f>
        <v>16</v>
      </c>
      <c r="E576" s="213">
        <f>IF(F576&gt;UDV.tractor.min_usage_yearly,F576,UDV.tractor.min_usage_yearly)</f>
        <v>1000</v>
      </c>
      <c r="F576" s="214">
        <f>IF(E523=0,0,(E542+(E556/E555))/E523)</f>
        <v>10.655670662882399</v>
      </c>
      <c r="G576" s="538">
        <f>F576/E576</f>
        <v>1.0655670662882399E-2</v>
      </c>
      <c r="H576" s="503">
        <f t="shared" ref="H576:H583" si="11">UDV.econ_capital.interest_rate</f>
        <v>5.0999999999999997E-2</v>
      </c>
      <c r="I576" s="503">
        <f>VLOOKUP("CAPEXSalvageEquipmentDefault",Econ.inputsTable!$E:$H,2,FALSE)</f>
        <v>0.2</v>
      </c>
      <c r="J576" s="153">
        <f t="shared" ref="J576:J583" si="12">C576*I576</f>
        <v>56660</v>
      </c>
      <c r="K576" s="154">
        <f>VLOOKUP("CAPEXFinanced amountNADefault",Econ.inputsTable!$E:$H,2,FALSE)</f>
        <v>1</v>
      </c>
      <c r="L576" s="155">
        <f t="shared" ref="L576:L583" si="13">H576*K576</f>
        <v>5.0999999999999997E-2</v>
      </c>
      <c r="M576">
        <f t="shared" ref="M576:M583" si="14">L576/(1-(1+L576)^-D576)</f>
        <v>9.2927821836826949E-2</v>
      </c>
      <c r="N576" s="153">
        <f t="shared" ref="N576:N583" si="15">((C576-J576)*M576)+(J576*L576)</f>
        <v>23950.821541098459</v>
      </c>
      <c r="O576" s="157">
        <f t="shared" ref="O576:O583" si="16">N576*G576</f>
        <v>255.21206644741466</v>
      </c>
    </row>
    <row r="577" spans="1:15" x14ac:dyDescent="0.3">
      <c r="A577" t="s">
        <v>7003</v>
      </c>
      <c r="B577" s="99" t="s">
        <v>1226</v>
      </c>
      <c r="C577" s="153">
        <f>VLOOKUP("Agitator, ptoDefault",Econ.Tables!$C:$E,2,FALSE)*E522</f>
        <v>43500</v>
      </c>
      <c r="D577" s="42">
        <f>VLOOKUP("CAPEXLifetimeAgitator, ptoDefault",Econ.inputsTable!$E:$H,2,FALSE)</f>
        <v>15</v>
      </c>
      <c r="F577" s="214">
        <f>F576</f>
        <v>10.655670662882399</v>
      </c>
      <c r="G577" s="539">
        <f>VLOOKUP("CAPEXAnnual usage on activityItems that are used only on the given activityDefault",Econ.inputsTable!$E:$H,2,FALSE)</f>
        <v>1</v>
      </c>
      <c r="H577" s="503">
        <f t="shared" si="11"/>
        <v>5.0999999999999997E-2</v>
      </c>
      <c r="I577" s="503">
        <f>VLOOKUP("CAPEXSalvageEquipmentDefault",Econ.inputsTable!$E:$H,2,FALSE)</f>
        <v>0.2</v>
      </c>
      <c r="J577" s="153">
        <f t="shared" si="12"/>
        <v>8700</v>
      </c>
      <c r="K577" s="154">
        <f>VLOOKUP("CAPEXFinanced amountNADefault",Econ.inputsTable!$E:$H,2,FALSE)</f>
        <v>1</v>
      </c>
      <c r="L577" s="155">
        <f t="shared" si="13"/>
        <v>5.0999999999999997E-2</v>
      </c>
      <c r="M577">
        <f t="shared" si="14"/>
        <v>9.6994593888520206E-2</v>
      </c>
      <c r="N577" s="153">
        <f t="shared" si="15"/>
        <v>3819.1118673205028</v>
      </c>
      <c r="O577" s="157">
        <f t="shared" si="16"/>
        <v>3819.1118673205028</v>
      </c>
    </row>
    <row r="578" spans="1:15" x14ac:dyDescent="0.3">
      <c r="A578" t="s">
        <v>7003</v>
      </c>
      <c r="B578" s="99" t="s">
        <v>7005</v>
      </c>
      <c r="C578" s="153">
        <f>VLOOKUP(_xlfn.CONCAT("Tractor",E524," hp"), Econ.Tables!$C:$E,2, FALSE)*E526</f>
        <v>313600</v>
      </c>
      <c r="D578" s="79">
        <f>VLOOKUP("CAPEXLifetimeTractor, 4 wheel drive and crawlerDefault",Econ.inputsTable!$E:$H,2,FALSE)/E578</f>
        <v>16</v>
      </c>
      <c r="E578" s="213">
        <f>IF(F578&gt;UDV.tractor.min_usage_yearly,F578,UDV.tractor.min_usage_yearly)</f>
        <v>1000</v>
      </c>
      <c r="F578" s="214">
        <f>IF(E526=0,0,(E543+(E557/E555))/E526)</f>
        <v>1.1152655936727354</v>
      </c>
      <c r="G578" s="538">
        <f>F578/E578</f>
        <v>1.1152655936727354E-3</v>
      </c>
      <c r="H578" s="503">
        <f t="shared" si="11"/>
        <v>5.0999999999999997E-2</v>
      </c>
      <c r="I578" s="503">
        <f>VLOOKUP("CAPEXSalvageEquipmentDefault",Econ.inputsTable!$E:$H,2,FALSE)</f>
        <v>0.2</v>
      </c>
      <c r="J578" s="153">
        <f t="shared" si="12"/>
        <v>62720</v>
      </c>
      <c r="K578" s="154">
        <f>VLOOKUP("CAPEXFinanced amountNADefault",Econ.inputsTable!$E:$H,2,FALSE)</f>
        <v>1</v>
      </c>
      <c r="L578" s="155">
        <f t="shared" si="13"/>
        <v>5.0999999999999997E-2</v>
      </c>
      <c r="M578">
        <f t="shared" si="14"/>
        <v>9.2927821836826949E-2</v>
      </c>
      <c r="N578" s="153">
        <f t="shared" si="15"/>
        <v>26512.451942423148</v>
      </c>
      <c r="O578" s="157">
        <f t="shared" si="16"/>
        <v>29.568425455286416</v>
      </c>
    </row>
    <row r="579" spans="1:15" s="42" customFormat="1" x14ac:dyDescent="0.3">
      <c r="A579" t="s">
        <v>7003</v>
      </c>
      <c r="B579" s="222" t="s">
        <v>3021</v>
      </c>
      <c r="C579" s="223">
        <f>VLOOKUP("Pump, tractor ptoDefault",Econ.Tables!$C:$E,2,FALSE)*E525</f>
        <v>26500</v>
      </c>
      <c r="D579" s="42">
        <f>VLOOKUP("CAPEXLifetimePump, tractor ptoDefault",Econ.inputsTable!$E:$H,2,FALSE)</f>
        <v>15</v>
      </c>
      <c r="F579" s="214">
        <f>F578</f>
        <v>1.1152655936727354</v>
      </c>
      <c r="G579" s="539">
        <f>VLOOKUP("CAPEXAnnual usage on activityItems that are used only on the given activityDefault",Econ.inputsTable!$E:$H,2,FALSE)</f>
        <v>1</v>
      </c>
      <c r="H579" s="503">
        <f t="shared" si="11"/>
        <v>5.0999999999999997E-2</v>
      </c>
      <c r="I579" s="503">
        <f>VLOOKUP("CAPEXSalvageEquipmentDefault",Econ.inputsTable!$E:$H,2,FALSE)</f>
        <v>0.2</v>
      </c>
      <c r="J579" s="153">
        <f t="shared" si="12"/>
        <v>5300</v>
      </c>
      <c r="K579" s="154">
        <f>VLOOKUP("CAPEXFinanced amountNADefault",Econ.inputsTable!$E:$H,2,FALSE)</f>
        <v>1</v>
      </c>
      <c r="L579" s="155">
        <f t="shared" si="13"/>
        <v>5.0999999999999997E-2</v>
      </c>
      <c r="M579">
        <f t="shared" si="14"/>
        <v>9.6994593888520206E-2</v>
      </c>
      <c r="N579" s="153">
        <f t="shared" si="15"/>
        <v>2326.5853904366286</v>
      </c>
      <c r="O579" s="157">
        <f t="shared" si="16"/>
        <v>2326.5853904366286</v>
      </c>
    </row>
    <row r="580" spans="1:15" x14ac:dyDescent="0.3">
      <c r="A580" t="s">
        <v>7003</v>
      </c>
      <c r="B580" s="99" t="s">
        <v>7006</v>
      </c>
      <c r="C580" s="153">
        <f>VLOOKUP(_xlfn.CONCAT("Tractor",E527," hp"), Econ.Tables!$C:$E,2, FALSE)*E530</f>
        <v>404700</v>
      </c>
      <c r="D580" s="79">
        <f>VLOOKUP("CAPEXLifetimeTractor, 4 wheel drive and crawlerDefault",Econ.inputsTable!$E:$H,2,FALSE)/E580</f>
        <v>16</v>
      </c>
      <c r="E580" s="213">
        <f>IF(F580&gt;UDV.tractor.min_usage_yearly,F580,UDV.tractor.min_usage_yearly)</f>
        <v>1000</v>
      </c>
      <c r="F580" s="214">
        <f>IF(E530=0,0,(E544+(E558/E555))/E530)</f>
        <v>8.5245365303059195</v>
      </c>
      <c r="G580" s="538">
        <f>F580/E580</f>
        <v>8.5245365303059199E-3</v>
      </c>
      <c r="H580" s="503">
        <f t="shared" si="11"/>
        <v>5.0999999999999997E-2</v>
      </c>
      <c r="I580" s="503">
        <f>VLOOKUP("CAPEXSalvageEquipmentDefault",Econ.inputsTable!$E:$H,2,FALSE)</f>
        <v>0.2</v>
      </c>
      <c r="J580" s="153">
        <f t="shared" si="12"/>
        <v>80940</v>
      </c>
      <c r="K580" s="154">
        <f>VLOOKUP("CAPEXFinanced amountNADefault",Econ.inputsTable!$E:$H,2,FALSE)</f>
        <v>1</v>
      </c>
      <c r="L580" s="155">
        <f t="shared" si="13"/>
        <v>5.0999999999999997E-2</v>
      </c>
      <c r="M580">
        <f t="shared" si="14"/>
        <v>9.2927821836826949E-2</v>
      </c>
      <c r="N580" s="153">
        <f t="shared" si="15"/>
        <v>34214.251597891096</v>
      </c>
      <c r="O580" s="157">
        <f t="shared" si="16"/>
        <v>291.66063760330036</v>
      </c>
    </row>
    <row r="581" spans="1:15" x14ac:dyDescent="0.3">
      <c r="A581" t="s">
        <v>7003</v>
      </c>
      <c r="B581" s="99" t="s">
        <v>6392</v>
      </c>
      <c r="C581" s="153">
        <f>UDV.econ_tanker.cost*E529</f>
        <v>136600</v>
      </c>
      <c r="D581" s="42">
        <f>VLOOKUP("CAPEXLifetimeEquipmentDefault",Econ.inputsTable!$E:$H,2,FALSE)</f>
        <v>10</v>
      </c>
      <c r="F581" s="214">
        <f>F580</f>
        <v>8.5245365303059195</v>
      </c>
      <c r="G581" s="539">
        <f>VLOOKUP("CAPEXAnnual usage on activityItems that are used only on the given activityDefault",Econ.inputsTable!$E:$H,2,FALSE)</f>
        <v>1</v>
      </c>
      <c r="H581" s="503">
        <f t="shared" si="11"/>
        <v>5.0999999999999997E-2</v>
      </c>
      <c r="I581" s="503">
        <f>VLOOKUP("CAPEXSalvageEquipmentDefault",Econ.inputsTable!$E:$H,2,FALSE)</f>
        <v>0.2</v>
      </c>
      <c r="J581" s="153">
        <f t="shared" si="12"/>
        <v>27320</v>
      </c>
      <c r="K581" s="154">
        <f>VLOOKUP("CAPEXFinanced amountNADefault",Econ.inputsTable!$E:$H,2,FALSE)</f>
        <v>1</v>
      </c>
      <c r="L581" s="155">
        <f t="shared" si="13"/>
        <v>5.0999999999999997E-2</v>
      </c>
      <c r="M581">
        <f t="shared" si="14"/>
        <v>0.13013423257204779</v>
      </c>
      <c r="N581" s="153">
        <f t="shared" si="15"/>
        <v>15614.388935473382</v>
      </c>
      <c r="O581" s="157">
        <f t="shared" si="16"/>
        <v>15614.388935473382</v>
      </c>
    </row>
    <row r="582" spans="1:15" x14ac:dyDescent="0.3">
      <c r="A582" t="s">
        <v>7003</v>
      </c>
      <c r="B582" s="99" t="s">
        <v>7007</v>
      </c>
      <c r="C582" s="238">
        <f>(IF(E531="Broadcast",VLOOKUP("BoomDefault", Econ.Tables!$C:$E,2,FALSE),0))*E529</f>
        <v>0</v>
      </c>
      <c r="D582" s="42">
        <f>VLOOKUP("CAPEXLifetimeEquipmentDefault",Econ.inputsTable!$E:$H,2,FALSE)</f>
        <v>10</v>
      </c>
      <c r="E582" s="152"/>
      <c r="F582" s="231">
        <f>IF(C531="Broadcast",F580,0)</f>
        <v>0</v>
      </c>
      <c r="G582" s="539">
        <f>VLOOKUP("CAPEXAnnual usage on activityItems that are used only on the given activityDefault",Econ.inputsTable!$E:$H,2,FALSE)</f>
        <v>1</v>
      </c>
      <c r="H582" s="503">
        <f t="shared" si="11"/>
        <v>5.0999999999999997E-2</v>
      </c>
      <c r="I582" s="503">
        <f>VLOOKUP("CAPEXSalvageEquipmentDefault",Econ.inputsTable!$E:$H,2,FALSE)</f>
        <v>0.2</v>
      </c>
      <c r="J582" s="153">
        <f t="shared" si="12"/>
        <v>0</v>
      </c>
      <c r="K582" s="154">
        <f>VLOOKUP("CAPEXFinanced amountNADefault",Econ.inputsTable!$E:$H,2,FALSE)</f>
        <v>1</v>
      </c>
      <c r="L582" s="155">
        <f t="shared" si="13"/>
        <v>5.0999999999999997E-2</v>
      </c>
      <c r="M582">
        <f t="shared" si="14"/>
        <v>0.13013423257204779</v>
      </c>
      <c r="N582" s="153">
        <f t="shared" si="15"/>
        <v>0</v>
      </c>
      <c r="O582" s="157">
        <f t="shared" si="16"/>
        <v>0</v>
      </c>
    </row>
    <row r="583" spans="1:15" x14ac:dyDescent="0.3">
      <c r="A583" t="s">
        <v>7003</v>
      </c>
      <c r="B583" s="99" t="s">
        <v>7008</v>
      </c>
      <c r="C583" s="238">
        <f>(IF(E531="Injection",VLOOKUP("InjectionDefault",Econ.Tables!$C:$E,2,FALSE),0))*E529</f>
        <v>80900</v>
      </c>
      <c r="D583" s="42">
        <f>VLOOKUP("CAPEXLifetimeEquipmentDefault",Econ.inputsTable!$E:$H,2,FALSE)</f>
        <v>10</v>
      </c>
      <c r="E583" s="152"/>
      <c r="F583" s="231">
        <f>IF(C531="Injection",F581,0)</f>
        <v>8.5245365303059195</v>
      </c>
      <c r="G583" s="539">
        <f>VLOOKUP("CAPEXAnnual usage on activityItems that are used only on the given activityDefault",Econ.inputsTable!$E:$H,2,FALSE)</f>
        <v>1</v>
      </c>
      <c r="H583" s="503">
        <f t="shared" si="11"/>
        <v>5.0999999999999997E-2</v>
      </c>
      <c r="I583" s="503">
        <f>VLOOKUP("CAPEXSalvageEquipmentDefault",Econ.inputsTable!$E:$H,2,FALSE)</f>
        <v>0.2</v>
      </c>
      <c r="J583" s="153">
        <f t="shared" si="12"/>
        <v>16180</v>
      </c>
      <c r="K583" s="154">
        <f>VLOOKUP("CAPEXFinanced amountNADefault",Econ.inputsTable!$E:$H,2,FALSE)</f>
        <v>1</v>
      </c>
      <c r="L583" s="155">
        <f t="shared" si="13"/>
        <v>5.0999999999999997E-2</v>
      </c>
      <c r="M583">
        <f t="shared" si="14"/>
        <v>0.13013423257204779</v>
      </c>
      <c r="N583" s="153">
        <f t="shared" si="15"/>
        <v>9247.4675320629322</v>
      </c>
      <c r="O583" s="157">
        <f t="shared" si="16"/>
        <v>9247.4675320629322</v>
      </c>
    </row>
    <row r="584" spans="1:15" x14ac:dyDescent="0.3">
      <c r="B584" s="99"/>
      <c r="C584" s="238"/>
      <c r="D584" s="42"/>
      <c r="E584" s="42"/>
      <c r="F584" s="42"/>
      <c r="G584" s="42"/>
      <c r="H584" s="42"/>
      <c r="I584" s="152"/>
      <c r="J584" s="231"/>
      <c r="K584" s="539"/>
      <c r="L584" s="503"/>
      <c r="M584" s="503"/>
      <c r="N584" s="503"/>
      <c r="O584" s="540"/>
    </row>
    <row r="585" spans="1:15" x14ac:dyDescent="0.3">
      <c r="B585" s="99"/>
      <c r="C585" s="82" t="s">
        <v>7009</v>
      </c>
      <c r="D585" s="82" t="s">
        <v>6963</v>
      </c>
      <c r="N585" s="153">
        <f>SUM(N576:N583)</f>
        <v>115685.07880670615</v>
      </c>
      <c r="O585" s="157">
        <f>SUM(O576:O583)</f>
        <v>31583.994854799446</v>
      </c>
    </row>
    <row r="586" spans="1:15" x14ac:dyDescent="0.3">
      <c r="A586" t="s">
        <v>5202</v>
      </c>
      <c r="B586" s="99" t="s">
        <v>6964</v>
      </c>
      <c r="C586" s="153">
        <f>SUM(C575:C583)</f>
        <v>1341545.2564576105</v>
      </c>
      <c r="D586" s="233">
        <f>SUMPRODUCT(C575:C583,G575:G583)</f>
        <v>346763.63518039568</v>
      </c>
      <c r="O586" s="146"/>
    </row>
    <row r="587" spans="1:15" x14ac:dyDescent="0.3">
      <c r="A587" t="s">
        <v>5202</v>
      </c>
      <c r="B587" s="149" t="s">
        <v>6965</v>
      </c>
      <c r="C587" s="159">
        <f>SUM(N575:N583)</f>
        <v>119929.17809101047</v>
      </c>
      <c r="D587" s="234">
        <f>SUMPRODUCT(N575:N583,G575:G583)</f>
        <v>35828.094139103763</v>
      </c>
      <c r="E587" s="159"/>
      <c r="F587" s="150"/>
      <c r="G587" s="150"/>
      <c r="H587" s="150"/>
      <c r="I587" s="150"/>
      <c r="J587" s="150"/>
      <c r="K587" s="150"/>
      <c r="L587" s="150"/>
      <c r="M587" s="150"/>
      <c r="N587" s="150"/>
      <c r="O587" s="151"/>
    </row>
    <row r="588" spans="1:15" x14ac:dyDescent="0.3">
      <c r="B588" s="262"/>
      <c r="C588" s="142"/>
      <c r="D588" s="142"/>
      <c r="E588" s="142"/>
      <c r="F588" s="142"/>
      <c r="G588" s="142"/>
      <c r="H588" s="142"/>
      <c r="I588" s="142"/>
      <c r="J588" s="142"/>
      <c r="K588" s="142"/>
      <c r="L588" s="142"/>
      <c r="M588" s="142"/>
      <c r="N588" s="142"/>
      <c r="O588" s="141"/>
    </row>
    <row r="589" spans="1:15" ht="28.8" x14ac:dyDescent="0.3">
      <c r="B589" s="160" t="s">
        <v>6966</v>
      </c>
      <c r="C589" s="152" t="s">
        <v>6967</v>
      </c>
      <c r="D589" s="152" t="s">
        <v>6968</v>
      </c>
      <c r="E589" s="152" t="s">
        <v>6969</v>
      </c>
      <c r="F589" s="152" t="s">
        <v>6970</v>
      </c>
      <c r="G589" s="152" t="s">
        <v>6971</v>
      </c>
      <c r="H589" s="152" t="s">
        <v>6972</v>
      </c>
      <c r="I589" s="152" t="s">
        <v>6973</v>
      </c>
      <c r="J589" s="152" t="s">
        <v>6974</v>
      </c>
      <c r="K589" s="152" t="s">
        <v>6975</v>
      </c>
      <c r="L589" s="152" t="s">
        <v>6976</v>
      </c>
      <c r="M589" s="152" t="s">
        <v>6977</v>
      </c>
      <c r="N589" s="152" t="s">
        <v>6978</v>
      </c>
      <c r="O589" s="161" t="s">
        <v>6979</v>
      </c>
    </row>
    <row r="590" spans="1:15" x14ac:dyDescent="0.3">
      <c r="B590" s="99" t="s">
        <v>2808</v>
      </c>
      <c r="C590" s="155">
        <f>VLOOKUP("OPEXInsuranceEverythingDefault",Econ.inputsTable!$E:$K,2,FALSE)</f>
        <v>5.0000000000000001E-3</v>
      </c>
      <c r="D590" s="154">
        <f>VLOOKUP("OPEXRepair and maintenanceEquipmentDefault",Econ.inputsTable!$E:$K,2,FALSE)</f>
        <v>0.03</v>
      </c>
      <c r="F590" s="504">
        <f>E536</f>
        <v>934.64729834049092</v>
      </c>
      <c r="G590" s="504">
        <f>F590*E569</f>
        <v>64.109015938671504</v>
      </c>
      <c r="I590" s="504"/>
      <c r="J590" s="504"/>
      <c r="K590" s="147">
        <f>E537</f>
        <v>7.6289602514782651</v>
      </c>
      <c r="L590" s="156">
        <f>K590*E571</f>
        <v>180.50119954997575</v>
      </c>
      <c r="O590" s="167">
        <f t="shared" ref="O590" si="17">(SUM(C590:D590)*C575*G575)+SUM(E590,G590,I590,J590,L590,N590)</f>
        <v>2080.1941915050138</v>
      </c>
    </row>
    <row r="591" spans="1:15" x14ac:dyDescent="0.3">
      <c r="B591" s="235" t="s">
        <v>7004</v>
      </c>
      <c r="C591" s="155">
        <f>VLOOKUP("OPEXInsuranceEverythingDefault",Econ.inputsTable!$E:$H,2,FALSE)</f>
        <v>5.0000000000000001E-3</v>
      </c>
      <c r="D591" s="237">
        <f>VLOOKUP("OPEXRepair and maintenanceEquipmentDefault",Econ.inputsTable!$E:$H,2,FALSE)</f>
        <v>0.03</v>
      </c>
      <c r="H591" s="147">
        <f>E545+(E559/E555)</f>
        <v>75.015921466692078</v>
      </c>
      <c r="I591" s="158">
        <f>H591*E570</f>
        <v>277.29564600425493</v>
      </c>
      <c r="J591" s="238">
        <f>I591*VLOOKUP("OPEXLubeLubeDefault",Econ.inputsTable!$E:$H,2,FALSE)</f>
        <v>27.729564600425494</v>
      </c>
      <c r="K591" s="205">
        <f>(E542+(E556/E555))*VLOOKUP("OPEXLaborTractorDefault",Econ.inputsTable!$E:$H,2,FALSE)</f>
        <v>11.721237729170639</v>
      </c>
      <c r="L591" s="158">
        <f>K591*E571</f>
        <v>277.32448467217733</v>
      </c>
      <c r="O591" s="264">
        <f t="shared" ref="O591:O598" si="18">(SUM(C591:D591)*C576*G576)+SUM(E591,G591,I591,J591,L591,N591)</f>
        <v>688.0059977346682</v>
      </c>
    </row>
    <row r="592" spans="1:15" x14ac:dyDescent="0.3">
      <c r="B592" s="99" t="s">
        <v>1226</v>
      </c>
      <c r="C592" s="155">
        <f>VLOOKUP("OPEXInsuranceEverythingDefault",Econ.inputsTable!$E:$H,2,FALSE)</f>
        <v>5.0000000000000001E-3</v>
      </c>
      <c r="D592" s="237">
        <f>VLOOKUP("OPEXRepair and maintenanceEquipmentDefault",Econ.inputsTable!$E:$H,2,FALSE)</f>
        <v>0.03</v>
      </c>
      <c r="H592" s="147"/>
      <c r="I592" s="158"/>
      <c r="J592" s="158"/>
      <c r="L592" s="153"/>
      <c r="O592" s="264">
        <f t="shared" si="18"/>
        <v>1522.4999999999998</v>
      </c>
    </row>
    <row r="593" spans="1:15" x14ac:dyDescent="0.3">
      <c r="B593" s="99" t="s">
        <v>7005</v>
      </c>
      <c r="C593" s="155">
        <f>VLOOKUP("OPEXInsuranceEverythingDefault",Econ.inputsTable!$E:$H,2,FALSE)</f>
        <v>5.0000000000000001E-3</v>
      </c>
      <c r="D593" s="237">
        <f>VLOOKUP("OPEXRepair and maintenanceEquipmentDefault",Econ.inputsTable!$E:$H,2,FALSE)</f>
        <v>0.03</v>
      </c>
      <c r="H593" s="147">
        <f>E546+(E560/E555)</f>
        <v>8.8329035018880617</v>
      </c>
      <c r="I593" s="158">
        <f>H593*E570</f>
        <v>32.650744465450899</v>
      </c>
      <c r="J593" s="238">
        <f>I593*VLOOKUP("OPEXLubeLubeDefault",Econ.inputsTable!$E:$H,2,FALSE)</f>
        <v>3.26507444654509</v>
      </c>
      <c r="K593" s="205">
        <f>(E543+(E557/E555))*VLOOKUP("OPEXLaborTractorDefault",Econ.inputsTable!$E:$H,2,FALSE)</f>
        <v>1.226792153040009</v>
      </c>
      <c r="L593" s="158">
        <f>K593*E571</f>
        <v>29.025902340926613</v>
      </c>
      <c r="O593" s="264">
        <f t="shared" si="18"/>
        <v>77.182876409074552</v>
      </c>
    </row>
    <row r="594" spans="1:15" x14ac:dyDescent="0.3">
      <c r="B594" s="222" t="s">
        <v>3021</v>
      </c>
      <c r="C594" s="155">
        <f>VLOOKUP("OPEXInsuranceEverythingDefault",Econ.inputsTable!$E:$H,2,FALSE)</f>
        <v>5.0000000000000001E-3</v>
      </c>
      <c r="D594" s="237">
        <f>VLOOKUP("OPEXRepair and maintenancePump, tractor ptoDefault",Econ.inputsTable!$E:$H,2,FALSE)</f>
        <v>0.05</v>
      </c>
      <c r="I594" s="158"/>
      <c r="J594" s="158"/>
      <c r="L594" s="153"/>
      <c r="O594" s="264">
        <f t="shared" si="18"/>
        <v>1457.5</v>
      </c>
    </row>
    <row r="595" spans="1:15" x14ac:dyDescent="0.3">
      <c r="B595" s="99" t="s">
        <v>7006</v>
      </c>
      <c r="C595" s="155">
        <f>VLOOKUP("OPEXInsuranceEverythingDefault",Econ.inputsTable!$E:$H,2,FALSE)</f>
        <v>5.0000000000000001E-3</v>
      </c>
      <c r="D595" s="237">
        <f>VLOOKUP("OPEXRepair and maintenanceEquipmentDefault",Econ.inputsTable!$E:$H,2,FALSE)</f>
        <v>0.03</v>
      </c>
      <c r="H595" s="147">
        <f>E547+(E561/E555)</f>
        <v>93.769901833365111</v>
      </c>
      <c r="I595" s="158">
        <f>H595*E570</f>
        <v>346.61955750531871</v>
      </c>
      <c r="J595" s="238">
        <f>I595*VLOOKUP("OPEXLubeLubeDefault",Econ.inputsTable!$E:$H,2,FALSE)</f>
        <v>34.661955750531874</v>
      </c>
      <c r="K595" s="205">
        <f>(E544+(E558/E555))*VLOOKUP("OPEXLaborTractorDefault",Econ.inputsTable!$E:$H,2,FALSE)</f>
        <v>9.3769901833365115</v>
      </c>
      <c r="L595" s="158">
        <f>K595*E571</f>
        <v>221.85958773774186</v>
      </c>
      <c r="O595" s="264">
        <f t="shared" si="18"/>
        <v>723.88689867711059</v>
      </c>
    </row>
    <row r="596" spans="1:15" x14ac:dyDescent="0.3">
      <c r="B596" s="99" t="s">
        <v>6392</v>
      </c>
      <c r="C596" s="155">
        <f>VLOOKUP("OPEXInsuranceEverythingDefault",Econ.inputsTable!$E:$H,2,FALSE)</f>
        <v>5.0000000000000001E-3</v>
      </c>
      <c r="D596" s="237">
        <f>VLOOKUP("OPEXRepair and maintenanceEquipmentDefault",Econ.inputsTable!$E:$H,2,FALSE)</f>
        <v>0.03</v>
      </c>
      <c r="I596" s="158"/>
      <c r="J596" s="158"/>
      <c r="L596" s="153"/>
      <c r="O596" s="264">
        <f t="shared" si="18"/>
        <v>4780.9999999999991</v>
      </c>
    </row>
    <row r="597" spans="1:15" x14ac:dyDescent="0.3">
      <c r="B597" s="99" t="s">
        <v>7007</v>
      </c>
      <c r="C597" s="155">
        <f>VLOOKUP("OPEXInsuranceEverythingDefault",Econ.inputsTable!$E:$H,2,FALSE)</f>
        <v>5.0000000000000001E-3</v>
      </c>
      <c r="D597" s="237">
        <f>VLOOKUP("OPEXRepair and maintenanceEquipmentDefault",Econ.inputsTable!$E:$H,2,FALSE)</f>
        <v>0.03</v>
      </c>
      <c r="I597" s="158"/>
      <c r="J597" s="158"/>
      <c r="L597" s="153"/>
      <c r="O597" s="264">
        <f t="shared" si="18"/>
        <v>0</v>
      </c>
    </row>
    <row r="598" spans="1:15" x14ac:dyDescent="0.3">
      <c r="B598" s="99" t="s">
        <v>7008</v>
      </c>
      <c r="C598" s="155">
        <f>VLOOKUP("OPEXInsuranceEverythingDefault",Econ.inputsTable!$E:$H,2,FALSE)</f>
        <v>5.0000000000000001E-3</v>
      </c>
      <c r="D598" s="237">
        <f>VLOOKUP("OPEXRepair and maintenanceEquipmentDefault",Econ.inputsTable!$E:$H,2,FALSE)</f>
        <v>0.03</v>
      </c>
      <c r="I598" s="158"/>
      <c r="J598" s="158"/>
      <c r="L598" s="153"/>
      <c r="O598" s="264">
        <f t="shared" si="18"/>
        <v>2831.4999999999995</v>
      </c>
    </row>
    <row r="599" spans="1:15" x14ac:dyDescent="0.3">
      <c r="A599" t="s">
        <v>5202</v>
      </c>
      <c r="B599" s="162" t="s">
        <v>5203</v>
      </c>
      <c r="C599" s="241"/>
      <c r="D599" s="241"/>
      <c r="E599" s="242">
        <f t="shared" ref="E599:O599" si="19">SUM(E590:E598)</f>
        <v>0</v>
      </c>
      <c r="F599" s="2125">
        <f t="shared" si="19"/>
        <v>934.64729834049092</v>
      </c>
      <c r="G599" s="242">
        <f t="shared" si="19"/>
        <v>64.109015938671504</v>
      </c>
      <c r="H599" s="286">
        <f t="shared" si="19"/>
        <v>177.61872680194526</v>
      </c>
      <c r="I599" s="242">
        <f t="shared" si="19"/>
        <v>656.56594797502453</v>
      </c>
      <c r="J599" s="242">
        <f t="shared" si="19"/>
        <v>65.656594797502464</v>
      </c>
      <c r="K599" s="243">
        <f t="shared" si="19"/>
        <v>29.953980317025426</v>
      </c>
      <c r="L599" s="242">
        <f t="shared" si="19"/>
        <v>708.71117430082154</v>
      </c>
      <c r="M599" s="374">
        <f t="shared" si="19"/>
        <v>0</v>
      </c>
      <c r="N599" s="242">
        <f t="shared" si="19"/>
        <v>0</v>
      </c>
      <c r="O599" s="169">
        <f t="shared" si="19"/>
        <v>14161.769964325866</v>
      </c>
    </row>
    <row r="600" spans="1:15" x14ac:dyDescent="0.3">
      <c r="B600" s="99"/>
      <c r="O600" s="146"/>
    </row>
    <row r="601" spans="1:15" x14ac:dyDescent="0.3">
      <c r="A601" t="s">
        <v>5202</v>
      </c>
      <c r="B601" s="149" t="s">
        <v>6980</v>
      </c>
      <c r="C601" s="159">
        <f>O599</f>
        <v>14161.769964325866</v>
      </c>
      <c r="D601" s="150"/>
      <c r="E601" s="150"/>
      <c r="F601" s="150"/>
      <c r="G601" s="150"/>
      <c r="H601" s="150"/>
      <c r="I601" s="150"/>
      <c r="J601" s="150"/>
      <c r="K601" s="150"/>
      <c r="L601" s="150"/>
      <c r="M601" s="150"/>
      <c r="N601" s="150"/>
      <c r="O601" s="151"/>
    </row>
    <row r="602" spans="1:15" x14ac:dyDescent="0.3">
      <c r="C602" s="153"/>
    </row>
    <row r="603" spans="1:15" x14ac:dyDescent="0.3">
      <c r="B603" s="384" t="s">
        <v>7123</v>
      </c>
      <c r="C603" s="2997" t="s">
        <v>6402</v>
      </c>
      <c r="D603" s="2999"/>
      <c r="E603" s="3059" t="s">
        <v>6417</v>
      </c>
      <c r="F603" s="3058"/>
    </row>
    <row r="604" spans="1:15" x14ac:dyDescent="0.3">
      <c r="B604" s="385" t="s">
        <v>7012</v>
      </c>
      <c r="C604" s="139" t="s">
        <v>7124</v>
      </c>
      <c r="D604" s="245" t="s">
        <v>7125</v>
      </c>
      <c r="E604" s="139" t="s">
        <v>7124</v>
      </c>
      <c r="F604" s="245" t="s">
        <v>7125</v>
      </c>
    </row>
    <row r="605" spans="1:15" x14ac:dyDescent="0.3">
      <c r="A605" t="s">
        <v>5202</v>
      </c>
      <c r="B605" s="386" t="s">
        <v>7013</v>
      </c>
      <c r="C605" s="387">
        <f xml:space="preserve"> VLOOKUP("Fertilizer value for on-farm use, liquids",$R$1:$T$332,3, FALSE)</f>
        <v>4909.6319819428227</v>
      </c>
      <c r="D605" s="388">
        <f>VLOOKUP("Fertilizer value for on-farm use, liquids",$R$1:$T$332,3, FALSE)</f>
        <v>4909.6319819428227</v>
      </c>
      <c r="E605" s="387"/>
      <c r="F605" s="389">
        <f>VLOOKUP("Fertilizer value for on-farm use, sludge",$R$1:$T$332,3, FALSE)</f>
        <v>12256.975793280892</v>
      </c>
    </row>
    <row r="606" spans="1:15" x14ac:dyDescent="0.3">
      <c r="A606" t="s">
        <v>5202</v>
      </c>
      <c r="B606" s="386" t="s">
        <v>7126</v>
      </c>
      <c r="C606" s="390">
        <f>C605</f>
        <v>4909.6319819428227</v>
      </c>
      <c r="D606" s="391"/>
      <c r="E606" s="390">
        <f>(F605/UDV.anaer_lagoon.sludge_time)</f>
        <v>1225.6975793280892</v>
      </c>
      <c r="F606" s="391"/>
    </row>
    <row r="607" spans="1:15" x14ac:dyDescent="0.3">
      <c r="A607" t="s">
        <v>5202</v>
      </c>
      <c r="B607" s="386" t="s">
        <v>7014</v>
      </c>
      <c r="C607" s="393">
        <f>SUM(C606,E606)</f>
        <v>6135.3295612709117</v>
      </c>
      <c r="D607" s="146"/>
      <c r="E607" s="99"/>
      <c r="F607" s="146"/>
    </row>
    <row r="608" spans="1:15" x14ac:dyDescent="0.3">
      <c r="D608" s="146"/>
      <c r="E608" s="99"/>
      <c r="F608" s="146"/>
    </row>
    <row r="609" spans="1:6" x14ac:dyDescent="0.3">
      <c r="B609" s="394" t="s">
        <v>7015</v>
      </c>
      <c r="C609" s="139" t="s">
        <v>7124</v>
      </c>
      <c r="D609" s="245" t="s">
        <v>7125</v>
      </c>
      <c r="E609" s="139" t="s">
        <v>7124</v>
      </c>
      <c r="F609" s="245" t="s">
        <v>7125</v>
      </c>
    </row>
    <row r="610" spans="1:6" x14ac:dyDescent="0.3">
      <c r="A610" t="s">
        <v>5202</v>
      </c>
      <c r="B610" s="386" t="s">
        <v>7016</v>
      </c>
      <c r="C610" s="387">
        <f>UDV.econ_manure.liquid_sell_price*C511</f>
        <v>0</v>
      </c>
      <c r="D610" s="389">
        <f>UDV.econ_manure.liquid_sell_price*C511</f>
        <v>0</v>
      </c>
      <c r="E610" s="387"/>
      <c r="F610" s="389">
        <f>UDV.econ_manure.sludge_sell_price*C514</f>
        <v>0</v>
      </c>
    </row>
    <row r="611" spans="1:6" x14ac:dyDescent="0.3">
      <c r="A611" t="s">
        <v>5202</v>
      </c>
      <c r="B611" s="386" t="s">
        <v>7127</v>
      </c>
      <c r="C611" s="390">
        <f>C610</f>
        <v>0</v>
      </c>
      <c r="D611" s="391"/>
      <c r="E611" s="390">
        <f>(F610/UDV.anaer_lagoon.sludge_time)</f>
        <v>0</v>
      </c>
      <c r="F611" s="391"/>
    </row>
    <row r="612" spans="1:6" x14ac:dyDescent="0.3">
      <c r="A612" t="s">
        <v>5202</v>
      </c>
      <c r="B612" s="386" t="s">
        <v>7017</v>
      </c>
      <c r="C612" s="393">
        <f>SUM(C611,E611)</f>
        <v>0</v>
      </c>
      <c r="D612" s="146"/>
      <c r="E612" s="99"/>
      <c r="F612" s="146"/>
    </row>
    <row r="613" spans="1:6" x14ac:dyDescent="0.3">
      <c r="B613" s="386"/>
      <c r="C613" s="166"/>
      <c r="D613" s="146"/>
      <c r="E613" s="395"/>
      <c r="F613" s="396"/>
    </row>
    <row r="614" spans="1:6" x14ac:dyDescent="0.3">
      <c r="B614" s="397" t="s">
        <v>7018</v>
      </c>
      <c r="C614" s="139" t="s">
        <v>7124</v>
      </c>
      <c r="D614" s="245" t="s">
        <v>7125</v>
      </c>
      <c r="E614" s="139" t="s">
        <v>7124</v>
      </c>
      <c r="F614" s="245" t="s">
        <v>7125</v>
      </c>
    </row>
    <row r="615" spans="1:6" x14ac:dyDescent="0.3">
      <c r="A615" t="s">
        <v>5202</v>
      </c>
      <c r="B615" s="386" t="s">
        <v>7019</v>
      </c>
      <c r="C615" s="387">
        <f>UDV.econ_manure.liquid_sell_price*C512</f>
        <v>0</v>
      </c>
      <c r="D615" s="389">
        <f>UDV.econ_manure.liquid_sell_price*C512</f>
        <v>0</v>
      </c>
      <c r="E615" s="387">
        <v>0</v>
      </c>
      <c r="F615" s="389">
        <f>UDV.econ_manure.sludge_sell_price*C515</f>
        <v>0</v>
      </c>
    </row>
    <row r="616" spans="1:6" x14ac:dyDescent="0.3">
      <c r="A616" t="s">
        <v>5202</v>
      </c>
      <c r="B616" s="386" t="s">
        <v>7128</v>
      </c>
      <c r="C616" s="390">
        <f>C615</f>
        <v>0</v>
      </c>
      <c r="D616" s="391"/>
      <c r="E616" s="390">
        <f>(F615/UDV.anaer_lagoon.sludge_time)</f>
        <v>0</v>
      </c>
      <c r="F616" s="391"/>
    </row>
    <row r="617" spans="1:6" x14ac:dyDescent="0.3">
      <c r="A617" t="s">
        <v>5202</v>
      </c>
      <c r="B617" s="386" t="s">
        <v>7020</v>
      </c>
      <c r="C617" s="393">
        <f>SUM(C616,E616)</f>
        <v>0</v>
      </c>
      <c r="D617" s="146"/>
      <c r="E617" s="99"/>
      <c r="F617" s="146"/>
    </row>
    <row r="618" spans="1:6" x14ac:dyDescent="0.3">
      <c r="B618" s="386"/>
      <c r="D618" s="146"/>
      <c r="E618" s="99"/>
      <c r="F618" s="146"/>
    </row>
    <row r="619" spans="1:6" x14ac:dyDescent="0.3">
      <c r="B619" s="398" t="s">
        <v>7021</v>
      </c>
      <c r="C619" s="139" t="s">
        <v>7124</v>
      </c>
      <c r="D619" s="245" t="s">
        <v>7125</v>
      </c>
      <c r="E619" s="139" t="s">
        <v>7124</v>
      </c>
      <c r="F619" s="245" t="s">
        <v>7125</v>
      </c>
    </row>
    <row r="620" spans="1:6" x14ac:dyDescent="0.3">
      <c r="A620" t="s">
        <v>5202</v>
      </c>
      <c r="B620" s="386" t="s">
        <v>7022</v>
      </c>
      <c r="C620" s="387">
        <f>UDV.econ_manure.liquid_export_cost*C513</f>
        <v>0</v>
      </c>
      <c r="D620" s="389">
        <f>UDV.econ_manure.liquid_export_cost*C513</f>
        <v>0</v>
      </c>
      <c r="E620" s="387">
        <v>0</v>
      </c>
      <c r="F620" s="389">
        <f>UDV.econ_manure.sludge_export_cost*C516</f>
        <v>0</v>
      </c>
    </row>
    <row r="621" spans="1:6" x14ac:dyDescent="0.3">
      <c r="A621" t="s">
        <v>5202</v>
      </c>
      <c r="B621" s="386" t="s">
        <v>7129</v>
      </c>
      <c r="C621" s="390">
        <f>C620</f>
        <v>0</v>
      </c>
      <c r="D621" s="391"/>
      <c r="E621" s="390">
        <f>(F620/UDV.anaer_lagoon.sludge_time)</f>
        <v>0</v>
      </c>
      <c r="F621" s="391"/>
    </row>
    <row r="622" spans="1:6" x14ac:dyDescent="0.3">
      <c r="A622" t="s">
        <v>5202</v>
      </c>
      <c r="B622" s="386" t="s">
        <v>7023</v>
      </c>
      <c r="C622" s="393">
        <f>SUM(C621,E621)</f>
        <v>0</v>
      </c>
      <c r="D622" s="146"/>
      <c r="E622" s="99"/>
      <c r="F622" s="146"/>
    </row>
    <row r="623" spans="1:6" x14ac:dyDescent="0.3">
      <c r="D623" s="146"/>
      <c r="E623" s="99"/>
      <c r="F623" s="146"/>
    </row>
    <row r="624" spans="1:6" x14ac:dyDescent="0.3">
      <c r="B624" s="303" t="s">
        <v>7138</v>
      </c>
      <c r="C624" s="173" t="s">
        <v>7025</v>
      </c>
      <c r="D624" s="173"/>
      <c r="E624" s="99"/>
      <c r="F624" s="146"/>
    </row>
    <row r="625" spans="1:17" x14ac:dyDescent="0.3">
      <c r="B625" s="70" t="s">
        <v>7139</v>
      </c>
      <c r="C625" s="265"/>
      <c r="D625" s="151"/>
      <c r="E625" s="149"/>
      <c r="F625" s="151"/>
    </row>
    <row r="626" spans="1:17" ht="15" thickBot="1" x14ac:dyDescent="0.35">
      <c r="A626" s="137"/>
      <c r="B626" s="137"/>
      <c r="C626" s="137"/>
      <c r="D626" s="137"/>
      <c r="E626" s="137"/>
      <c r="F626" s="137"/>
      <c r="G626" s="137"/>
      <c r="H626" s="137"/>
      <c r="I626" s="137"/>
      <c r="J626" s="137"/>
      <c r="K626" s="137"/>
      <c r="L626" s="137"/>
      <c r="M626" s="137"/>
      <c r="N626" s="137"/>
      <c r="O626" s="137"/>
      <c r="P626" s="137"/>
      <c r="Q626" s="137"/>
    </row>
    <row r="628" spans="1:17" x14ac:dyDescent="0.3">
      <c r="B628" s="82" t="s">
        <v>7130</v>
      </c>
      <c r="C628" s="170" t="s">
        <v>7236</v>
      </c>
    </row>
    <row r="630" spans="1:17" x14ac:dyDescent="0.3">
      <c r="B630" s="139" t="s">
        <v>6983</v>
      </c>
      <c r="C630" s="140" t="s">
        <v>565</v>
      </c>
      <c r="D630" s="140" t="s">
        <v>38</v>
      </c>
      <c r="E630" s="142"/>
      <c r="F630" s="141"/>
    </row>
    <row r="631" spans="1:17" x14ac:dyDescent="0.3">
      <c r="B631" s="99" t="s">
        <v>7028</v>
      </c>
      <c r="C631">
        <f>UDV.crops.acres_available</f>
        <v>100</v>
      </c>
      <c r="D631" t="s">
        <v>7029</v>
      </c>
      <c r="E631" s="34"/>
      <c r="F631" s="146"/>
    </row>
    <row r="632" spans="1:17" x14ac:dyDescent="0.3">
      <c r="B632" s="99" t="s">
        <v>7109</v>
      </c>
      <c r="C632" s="166">
        <f>UDV.econ_manure.liquid_sell_pct*VLOOKUP("Excess volume, lagoon liquid manure",$R$1:$T$332, 3, FALSE)</f>
        <v>0</v>
      </c>
      <c r="D632" t="s">
        <v>5246</v>
      </c>
      <c r="F632" s="146"/>
    </row>
    <row r="633" spans="1:17" x14ac:dyDescent="0.3">
      <c r="B633" s="99" t="s">
        <v>7110</v>
      </c>
      <c r="C633" s="166">
        <f>UDV.econ_manure.liquid_give_pct*VLOOKUP("Excess volume, lagoon liquid manure",$R$1:$T$332, 3, FALSE)</f>
        <v>0</v>
      </c>
      <c r="D633" t="s">
        <v>5246</v>
      </c>
      <c r="F633" s="146"/>
    </row>
    <row r="634" spans="1:17" x14ac:dyDescent="0.3">
      <c r="B634" s="99" t="s">
        <v>7111</v>
      </c>
      <c r="C634" s="166">
        <f>UDV.econ_manure.liquid_export_pct*VLOOKUP("Excess volume, lagoon liquid manure",$R$1:$T$332, 3, FALSE)</f>
        <v>0</v>
      </c>
      <c r="D634" t="s">
        <v>5246</v>
      </c>
      <c r="F634" s="146"/>
    </row>
    <row r="635" spans="1:17" x14ac:dyDescent="0.3">
      <c r="B635" s="99" t="s">
        <v>7112</v>
      </c>
      <c r="C635" s="166">
        <f>UDV.econ_manure.sludge_sell_pct*VLOOKUP("Excess volume, lagoon sludge manure",$R$1:$T$332, 3, FALSE)</f>
        <v>0</v>
      </c>
      <c r="D635" t="s">
        <v>5249</v>
      </c>
      <c r="F635" s="146"/>
    </row>
    <row r="636" spans="1:17" x14ac:dyDescent="0.3">
      <c r="B636" s="99" t="s">
        <v>7113</v>
      </c>
      <c r="C636" s="166">
        <f>UDV.econ_manure.sludge_give_pct*VLOOKUP("Excess volume, lagoon sludge manure",$R$1:$T$332, 3, FALSE)</f>
        <v>0</v>
      </c>
      <c r="D636" t="s">
        <v>5249</v>
      </c>
      <c r="F636" s="146"/>
    </row>
    <row r="637" spans="1:17" x14ac:dyDescent="0.3">
      <c r="B637" s="99" t="s">
        <v>7114</v>
      </c>
      <c r="C637" s="166">
        <f>UDV.econ_manure.sludge_export_pct*VLOOKUP("Excess volume, lagoon sludge manure",$R$1:$T$332, 3, FALSE)</f>
        <v>0</v>
      </c>
      <c r="D637" t="s">
        <v>5249</v>
      </c>
      <c r="F637" s="146"/>
    </row>
    <row r="638" spans="1:17" x14ac:dyDescent="0.3">
      <c r="B638" s="99"/>
      <c r="F638" s="151"/>
    </row>
    <row r="639" spans="1:17" x14ac:dyDescent="0.3">
      <c r="B639" s="92" t="s">
        <v>6942</v>
      </c>
      <c r="C639" s="82"/>
      <c r="D639" s="82"/>
      <c r="E639" s="139" t="s">
        <v>6988</v>
      </c>
      <c r="F639" s="141"/>
    </row>
    <row r="640" spans="1:17" x14ac:dyDescent="0.3">
      <c r="B640" s="175" t="s">
        <v>2908</v>
      </c>
      <c r="C640" s="82"/>
      <c r="D640" s="82"/>
      <c r="E640" s="92"/>
      <c r="F640" s="146"/>
    </row>
    <row r="641" spans="2:6" x14ac:dyDescent="0.3">
      <c r="B641" s="143" t="s">
        <v>2663</v>
      </c>
      <c r="C641" s="144" t="s">
        <v>565</v>
      </c>
      <c r="D641" s="144" t="s">
        <v>6943</v>
      </c>
      <c r="E641" s="143" t="s">
        <v>565</v>
      </c>
      <c r="F641" s="145" t="s">
        <v>6944</v>
      </c>
    </row>
    <row r="642" spans="2:6" x14ac:dyDescent="0.3">
      <c r="B642" s="99" t="s">
        <v>5708</v>
      </c>
      <c r="C642" s="147">
        <f t="shared" ref="C642:C650" si="20">VLOOKUP(B642,$R:$U,3,FALSE)</f>
        <v>3000</v>
      </c>
      <c r="D642" t="s">
        <v>2514</v>
      </c>
      <c r="E642" s="99">
        <f t="shared" ref="E642:E650" si="21">C642</f>
        <v>3000</v>
      </c>
      <c r="F642" s="146" t="s">
        <v>2514</v>
      </c>
    </row>
    <row r="643" spans="2:6" x14ac:dyDescent="0.3">
      <c r="B643" s="99" t="s">
        <v>5709</v>
      </c>
      <c r="C643" s="147">
        <f t="shared" si="20"/>
        <v>1</v>
      </c>
      <c r="D643" t="s">
        <v>2442</v>
      </c>
      <c r="E643" s="99">
        <f t="shared" si="21"/>
        <v>1</v>
      </c>
      <c r="F643" s="146" t="s">
        <v>2442</v>
      </c>
    </row>
    <row r="644" spans="2:6" x14ac:dyDescent="0.3">
      <c r="B644" s="99" t="s">
        <v>5710</v>
      </c>
      <c r="C644" s="147">
        <f t="shared" si="20"/>
        <v>1</v>
      </c>
      <c r="D644" t="s">
        <v>2442</v>
      </c>
      <c r="E644" s="99">
        <f t="shared" si="21"/>
        <v>1</v>
      </c>
      <c r="F644" s="146" t="s">
        <v>2442</v>
      </c>
    </row>
    <row r="645" spans="2:6" x14ac:dyDescent="0.3">
      <c r="B645" s="99" t="s">
        <v>5688</v>
      </c>
      <c r="C645" s="147">
        <f t="shared" si="20"/>
        <v>580</v>
      </c>
      <c r="D645" t="s">
        <v>5689</v>
      </c>
      <c r="E645" s="99">
        <f t="shared" si="21"/>
        <v>580</v>
      </c>
      <c r="F645" s="146" t="s">
        <v>5689</v>
      </c>
    </row>
    <row r="646" spans="2:6" x14ac:dyDescent="0.3">
      <c r="B646" s="99" t="s">
        <v>5701</v>
      </c>
      <c r="C646" s="147">
        <f t="shared" si="20"/>
        <v>340</v>
      </c>
      <c r="D646" s="146" t="s">
        <v>971</v>
      </c>
      <c r="E646">
        <f t="shared" si="21"/>
        <v>340</v>
      </c>
      <c r="F646" s="146" t="s">
        <v>971</v>
      </c>
    </row>
    <row r="647" spans="2:6" x14ac:dyDescent="0.3">
      <c r="B647" s="99" t="s">
        <v>5738</v>
      </c>
      <c r="C647" s="147">
        <f t="shared" si="20"/>
        <v>1</v>
      </c>
      <c r="D647" s="146" t="s">
        <v>2442</v>
      </c>
      <c r="E647">
        <f t="shared" si="21"/>
        <v>1</v>
      </c>
      <c r="F647" s="146" t="s">
        <v>2442</v>
      </c>
    </row>
    <row r="648" spans="2:6" x14ac:dyDescent="0.3">
      <c r="B648" s="99" t="s">
        <v>5702</v>
      </c>
      <c r="C648" s="147">
        <f t="shared" si="20"/>
        <v>1</v>
      </c>
      <c r="D648" s="146" t="s">
        <v>2442</v>
      </c>
      <c r="E648">
        <f t="shared" si="21"/>
        <v>1</v>
      </c>
      <c r="F648" s="146" t="s">
        <v>2442</v>
      </c>
    </row>
    <row r="649" spans="2:6" x14ac:dyDescent="0.3">
      <c r="B649" s="99" t="s">
        <v>5739</v>
      </c>
      <c r="C649" s="147">
        <f t="shared" si="20"/>
        <v>2</v>
      </c>
      <c r="D649" t="s">
        <v>2971</v>
      </c>
      <c r="E649" s="201">
        <f t="shared" si="21"/>
        <v>2</v>
      </c>
      <c r="F649" s="146" t="s">
        <v>2971</v>
      </c>
    </row>
    <row r="650" spans="2:6" x14ac:dyDescent="0.3">
      <c r="B650" s="99" t="s">
        <v>5732</v>
      </c>
      <c r="C650" s="147" t="str">
        <f t="shared" si="20"/>
        <v>Injection</v>
      </c>
      <c r="D650" t="s">
        <v>7042</v>
      </c>
      <c r="E650" s="165" t="str">
        <f t="shared" si="21"/>
        <v>Injection</v>
      </c>
      <c r="F650" s="146" t="s">
        <v>7042</v>
      </c>
    </row>
    <row r="651" spans="2:6" x14ac:dyDescent="0.3">
      <c r="B651" s="99"/>
      <c r="C651" s="82"/>
      <c r="D651" s="82"/>
      <c r="E651" s="92"/>
      <c r="F651" s="146"/>
    </row>
    <row r="652" spans="2:6" x14ac:dyDescent="0.3">
      <c r="B652" s="175" t="s">
        <v>7115</v>
      </c>
      <c r="C652" s="147"/>
      <c r="E652" s="99"/>
      <c r="F652" s="146"/>
    </row>
    <row r="653" spans="2:6" x14ac:dyDescent="0.3">
      <c r="B653" s="143" t="s">
        <v>2663</v>
      </c>
      <c r="C653" s="147"/>
      <c r="E653" s="99"/>
      <c r="F653" s="146"/>
    </row>
    <row r="654" spans="2:6" x14ac:dyDescent="0.3">
      <c r="B654" s="99" t="s">
        <v>6407</v>
      </c>
      <c r="C654" s="147">
        <f>VLOOKUP(B654,$R:$U,3,FALSE)</f>
        <v>25.42986750492755</v>
      </c>
      <c r="D654" t="s">
        <v>5385</v>
      </c>
      <c r="E654" s="178">
        <f>C654</f>
        <v>25.42986750492755</v>
      </c>
      <c r="F654" s="146" t="s">
        <v>5385</v>
      </c>
    </row>
    <row r="655" spans="2:6" x14ac:dyDescent="0.3">
      <c r="B655" s="99" t="s">
        <v>6409</v>
      </c>
      <c r="C655" s="147">
        <f>VLOOKUP(B655,$R:$U,3,FALSE)</f>
        <v>934.64729834049092</v>
      </c>
      <c r="D655" t="s">
        <v>5323</v>
      </c>
      <c r="E655" s="178">
        <f>C655</f>
        <v>934.64729834049092</v>
      </c>
      <c r="F655" s="146" t="s">
        <v>5323</v>
      </c>
    </row>
    <row r="656" spans="2:6" x14ac:dyDescent="0.3">
      <c r="B656" s="99" t="s">
        <v>6390</v>
      </c>
      <c r="C656" s="205">
        <f>VLOOKUP(B656,$R:$U, 3, FALSE)</f>
        <v>7.6289602514782651</v>
      </c>
      <c r="D656" t="s">
        <v>2472</v>
      </c>
      <c r="E656" s="178">
        <f>C656</f>
        <v>7.6289602514782651</v>
      </c>
      <c r="F656" s="146" t="s">
        <v>2710</v>
      </c>
    </row>
    <row r="657" spans="2:10" x14ac:dyDescent="0.3">
      <c r="B657" s="99"/>
      <c r="C657" s="82"/>
      <c r="D657" s="82"/>
      <c r="E657" s="92"/>
      <c r="F657" s="146"/>
    </row>
    <row r="658" spans="2:10" x14ac:dyDescent="0.3">
      <c r="B658" s="175" t="s">
        <v>7237</v>
      </c>
      <c r="E658" s="99"/>
      <c r="F658" s="146"/>
    </row>
    <row r="659" spans="2:10" x14ac:dyDescent="0.3">
      <c r="B659" s="143" t="s">
        <v>2663</v>
      </c>
      <c r="C659" s="144" t="s">
        <v>565</v>
      </c>
      <c r="D659" s="144" t="s">
        <v>6943</v>
      </c>
      <c r="E659" s="143" t="s">
        <v>565</v>
      </c>
      <c r="F659" s="145" t="s">
        <v>6944</v>
      </c>
      <c r="G659" s="1222" t="s">
        <v>3007</v>
      </c>
      <c r="H659" s="1215" t="s">
        <v>6993</v>
      </c>
      <c r="I659" s="142"/>
      <c r="J659" s="141"/>
    </row>
    <row r="660" spans="2:10" x14ac:dyDescent="0.3">
      <c r="B660" s="99" t="s">
        <v>6401</v>
      </c>
      <c r="C660" s="147">
        <f>VLOOKUP(B660,$R:$U,3,FALSE)</f>
        <v>182.5</v>
      </c>
      <c r="D660" t="s">
        <v>5121</v>
      </c>
      <c r="E660" s="201">
        <f>UC.year_to_day/C660</f>
        <v>2</v>
      </c>
      <c r="F660" s="146" t="s">
        <v>7043</v>
      </c>
      <c r="G660" s="42" t="s">
        <v>7131</v>
      </c>
      <c r="H660" s="92" t="s">
        <v>4838</v>
      </c>
      <c r="I660" s="1216" t="s">
        <v>2710</v>
      </c>
      <c r="J660" s="285">
        <f>(SUM(E662:E664)*UDV.OPEX_labor.tractor_stationary)+(SUM(E665:E667)*UDV.OPEX_labor.tractor_active)+E656</f>
        <v>8.5185137893811333</v>
      </c>
    </row>
    <row r="661" spans="2:10" x14ac:dyDescent="0.3">
      <c r="B661" s="99" t="s">
        <v>5713</v>
      </c>
      <c r="C661" s="147">
        <f>VLOOKUP(B661,$R:$U,3,FALSE)</f>
        <v>0.17408092718255735</v>
      </c>
      <c r="D661" s="146" t="s">
        <v>6085</v>
      </c>
      <c r="E661" s="147">
        <f>C661*E660</f>
        <v>0.34816185436511471</v>
      </c>
      <c r="F661" s="146" t="s">
        <v>2710</v>
      </c>
      <c r="G661" s="42" t="s">
        <v>7132</v>
      </c>
      <c r="H661" s="1217" t="s">
        <v>5444</v>
      </c>
      <c r="I661" s="1216" t="s">
        <v>6085</v>
      </c>
      <c r="J661" s="285">
        <f>(SUM(E683:E685)*UDV.OPEX_labor.tractor_stationary)+(SUM(E686:E688)*UDV.OPEX_labor.tractor_active)</f>
        <v>15.000215521297413</v>
      </c>
    </row>
    <row r="662" spans="2:10" x14ac:dyDescent="0.3">
      <c r="B662" s="99" t="s">
        <v>6543</v>
      </c>
      <c r="C662" s="204">
        <f>C661</f>
        <v>0.17408092718255735</v>
      </c>
      <c r="D662" s="141" t="s">
        <v>6085</v>
      </c>
      <c r="E662" s="178">
        <f>C662*E660</f>
        <v>0.34816185436511471</v>
      </c>
      <c r="F662" s="146" t="s">
        <v>2710</v>
      </c>
      <c r="G662" s="42" t="s">
        <v>7133</v>
      </c>
      <c r="H662" s="1218" t="s">
        <v>5445</v>
      </c>
      <c r="I662" s="1216" t="s">
        <v>6995</v>
      </c>
      <c r="J662" s="285">
        <f>SUM(J660:J661)</f>
        <v>23.518729310678545</v>
      </c>
    </row>
    <row r="663" spans="2:10" x14ac:dyDescent="0.3">
      <c r="B663" s="99" t="s">
        <v>6544</v>
      </c>
      <c r="C663" s="205">
        <f>C661</f>
        <v>0.17408092718255735</v>
      </c>
      <c r="D663" s="146" t="s">
        <v>6085</v>
      </c>
      <c r="E663" s="178">
        <f>C663*E660</f>
        <v>0.34816185436511471</v>
      </c>
      <c r="F663" s="146" t="s">
        <v>2710</v>
      </c>
      <c r="G663" s="42" t="s">
        <v>7134</v>
      </c>
      <c r="H663" s="1219" t="s">
        <v>5446</v>
      </c>
      <c r="I663" s="1220" t="s">
        <v>5447</v>
      </c>
      <c r="J663" s="1221">
        <f>J660+(J661/UDV.anaer_lagoon.sludge_time)</f>
        <v>10.018535341510875</v>
      </c>
    </row>
    <row r="664" spans="2:10" x14ac:dyDescent="0.3">
      <c r="B664" s="99" t="s">
        <v>6545</v>
      </c>
      <c r="C664" s="205">
        <f>C661</f>
        <v>0.17408092718255735</v>
      </c>
      <c r="D664" s="146" t="s">
        <v>6085</v>
      </c>
      <c r="E664" s="178">
        <f>C664*E660</f>
        <v>0.34816185436511471</v>
      </c>
      <c r="F664" s="146" t="s">
        <v>2710</v>
      </c>
    </row>
    <row r="665" spans="2:10" x14ac:dyDescent="0.3">
      <c r="B665" s="99" t="s">
        <v>6546</v>
      </c>
      <c r="C665" s="205">
        <f>C661*UDV.dhl.application_maneuver_factor</f>
        <v>0.20019306625994093</v>
      </c>
      <c r="D665" s="146" t="s">
        <v>6085</v>
      </c>
      <c r="E665" s="178">
        <f>C665*E660</f>
        <v>0.40038613251988187</v>
      </c>
      <c r="F665" s="146" t="s">
        <v>2710</v>
      </c>
    </row>
    <row r="666" spans="2:10" x14ac:dyDescent="0.3">
      <c r="B666" s="99" t="s">
        <v>6547</v>
      </c>
      <c r="C666" s="205">
        <f>C661*UDV.dhl.hose_mover_utilization</f>
        <v>0.130560695386918</v>
      </c>
      <c r="D666" s="146" t="s">
        <v>6085</v>
      </c>
      <c r="E666" s="178">
        <f>C666*E660</f>
        <v>0.261121390773836</v>
      </c>
      <c r="F666" s="146" t="s">
        <v>2710</v>
      </c>
    </row>
    <row r="667" spans="2:10" x14ac:dyDescent="0.3">
      <c r="B667" s="99" t="s">
        <v>6548</v>
      </c>
      <c r="C667" s="209">
        <f>C661*UDV.dhl.pickup_utilization</f>
        <v>2.6112139077383602E-2</v>
      </c>
      <c r="D667" s="151" t="s">
        <v>6085</v>
      </c>
      <c r="E667" s="178">
        <f>C667*E660</f>
        <v>5.2224278154767205E-2</v>
      </c>
      <c r="F667" s="146" t="s">
        <v>2710</v>
      </c>
    </row>
    <row r="668" spans="2:10" x14ac:dyDescent="0.3">
      <c r="B668" s="99" t="s">
        <v>5714</v>
      </c>
      <c r="C668" s="147">
        <f t="shared" ref="C668:C677" si="22">VLOOKUP(B668,$R:$U,3,FALSE)</f>
        <v>3.1334566892860325</v>
      </c>
      <c r="D668" t="s">
        <v>2489</v>
      </c>
      <c r="E668" s="178">
        <f>C668*E660</f>
        <v>6.266913378572065</v>
      </c>
      <c r="F668" s="146" t="s">
        <v>7135</v>
      </c>
    </row>
    <row r="669" spans="2:10" x14ac:dyDescent="0.3">
      <c r="B669" s="99" t="s">
        <v>5715</v>
      </c>
      <c r="C669" s="147">
        <f t="shared" si="22"/>
        <v>1.3056069538691801</v>
      </c>
      <c r="D669" t="s">
        <v>2489</v>
      </c>
      <c r="E669" s="178">
        <f>C669*E660</f>
        <v>2.6112139077383603</v>
      </c>
      <c r="F669" s="146" t="s">
        <v>7135</v>
      </c>
    </row>
    <row r="670" spans="2:10" x14ac:dyDescent="0.3">
      <c r="B670" s="99" t="s">
        <v>5716</v>
      </c>
      <c r="C670" s="147">
        <f t="shared" si="22"/>
        <v>1.044485563095344</v>
      </c>
      <c r="D670" t="s">
        <v>2489</v>
      </c>
      <c r="E670" s="178">
        <f>C670*E660</f>
        <v>2.088971126190688</v>
      </c>
      <c r="F670" s="146" t="s">
        <v>7135</v>
      </c>
    </row>
    <row r="671" spans="2:10" x14ac:dyDescent="0.3">
      <c r="B671" s="99" t="s">
        <v>5740</v>
      </c>
      <c r="C671" s="147">
        <f t="shared" si="22"/>
        <v>25.52</v>
      </c>
      <c r="D671" t="s">
        <v>6549</v>
      </c>
      <c r="E671" s="178">
        <f t="shared" ref="E671:E672" si="23">C671*E665</f>
        <v>10.217854101907385</v>
      </c>
      <c r="F671" s="146" t="s">
        <v>7135</v>
      </c>
    </row>
    <row r="672" spans="2:10" x14ac:dyDescent="0.3">
      <c r="B672" s="99" t="s">
        <v>5741</v>
      </c>
      <c r="C672" s="147">
        <f t="shared" si="22"/>
        <v>14.959999999999999</v>
      </c>
      <c r="D672" t="s">
        <v>6549</v>
      </c>
      <c r="E672" s="178">
        <f t="shared" si="23"/>
        <v>3.9063760059765862</v>
      </c>
      <c r="F672" s="146" t="s">
        <v>7135</v>
      </c>
    </row>
    <row r="673" spans="2:11" x14ac:dyDescent="0.3">
      <c r="B673" s="99" t="s">
        <v>5717</v>
      </c>
      <c r="C673" s="147">
        <f t="shared" si="22"/>
        <v>0.15667283446430161</v>
      </c>
      <c r="D673" t="s">
        <v>2489</v>
      </c>
      <c r="E673" s="178">
        <f>C673*E660</f>
        <v>0.31334566892860322</v>
      </c>
      <c r="F673" s="146" t="s">
        <v>7135</v>
      </c>
    </row>
    <row r="674" spans="2:11" x14ac:dyDescent="0.3">
      <c r="B674" s="99" t="s">
        <v>6403</v>
      </c>
      <c r="C674" s="147">
        <f t="shared" si="22"/>
        <v>1186.1423892357984</v>
      </c>
      <c r="D674" t="s">
        <v>5910</v>
      </c>
      <c r="E674" s="164">
        <f>CONVERT(C674,"m^3","gal")*E660</f>
        <v>626691.33870683727</v>
      </c>
      <c r="F674" s="146" t="s">
        <v>5324</v>
      </c>
    </row>
    <row r="675" spans="2:11" x14ac:dyDescent="0.3">
      <c r="B675" s="99" t="s">
        <v>6404</v>
      </c>
      <c r="C675" s="78">
        <f t="shared" si="22"/>
        <v>1.1089488351545678</v>
      </c>
      <c r="D675" s="146" t="s">
        <v>2413</v>
      </c>
      <c r="E675" s="201">
        <f>C675*UC.g_to_lb/UC.L_to_gal*1000</f>
        <v>9.2546266285725878</v>
      </c>
      <c r="F675" s="146" t="s">
        <v>2414</v>
      </c>
    </row>
    <row r="676" spans="2:11" x14ac:dyDescent="0.3">
      <c r="B676" s="99" t="s">
        <v>6405</v>
      </c>
      <c r="C676" s="78">
        <f t="shared" si="22"/>
        <v>0.77008255040821727</v>
      </c>
      <c r="D676" s="146" t="s">
        <v>2413</v>
      </c>
      <c r="E676" s="201">
        <f>C676*UC.g_to_lb/UC.L_to_gal*1000</f>
        <v>6.426650401967037</v>
      </c>
      <c r="F676" s="146" t="s">
        <v>2414</v>
      </c>
    </row>
    <row r="677" spans="2:11" x14ac:dyDescent="0.3">
      <c r="B677" s="99" t="s">
        <v>6406</v>
      </c>
      <c r="C677" s="78">
        <f t="shared" si="22"/>
        <v>1.1701311485412944</v>
      </c>
      <c r="D677" s="146" t="s">
        <v>2413</v>
      </c>
      <c r="E677" s="201">
        <f>C677*UC.g_to_lb/UC.L_to_gal*1000</f>
        <v>9.7652177836528438</v>
      </c>
      <c r="F677" s="146" t="s">
        <v>2414</v>
      </c>
    </row>
    <row r="678" spans="2:11" x14ac:dyDescent="0.3">
      <c r="B678" s="99"/>
      <c r="E678" s="99"/>
      <c r="F678" s="146"/>
    </row>
    <row r="679" spans="2:11" x14ac:dyDescent="0.3">
      <c r="B679" s="175" t="s">
        <v>7238</v>
      </c>
      <c r="E679" s="99"/>
      <c r="F679" s="146"/>
    </row>
    <row r="680" spans="2:11" x14ac:dyDescent="0.3">
      <c r="B680" s="143" t="s">
        <v>2663</v>
      </c>
      <c r="C680" s="144" t="s">
        <v>565</v>
      </c>
      <c r="D680" s="144" t="s">
        <v>6943</v>
      </c>
      <c r="E680" s="143" t="s">
        <v>565</v>
      </c>
      <c r="F680" s="145" t="s">
        <v>6944</v>
      </c>
    </row>
    <row r="681" spans="2:11" x14ac:dyDescent="0.3">
      <c r="B681" s="99" t="s">
        <v>6416</v>
      </c>
      <c r="C681" s="382">
        <f>VLOOKUP(B681,$X:$AA,3,FALSE)</f>
        <v>10</v>
      </c>
      <c r="D681" t="s">
        <v>2669</v>
      </c>
      <c r="E681" s="99">
        <f>C681</f>
        <v>10</v>
      </c>
      <c r="F681" s="146" t="s">
        <v>2669</v>
      </c>
    </row>
    <row r="682" spans="2:11" x14ac:dyDescent="0.3">
      <c r="B682" s="99" t="s">
        <v>5713</v>
      </c>
      <c r="C682" s="382">
        <f>VLOOKUP(B682,$X:$AA,3,FALSE)</f>
        <v>5.8709258400381259</v>
      </c>
      <c r="D682" s="146" t="s">
        <v>6085</v>
      </c>
      <c r="E682" s="311">
        <f>C682</f>
        <v>5.8709258400381259</v>
      </c>
      <c r="F682" s="146" t="s">
        <v>6085</v>
      </c>
    </row>
    <row r="683" spans="2:11" x14ac:dyDescent="0.3">
      <c r="B683" s="99" t="s">
        <v>6543</v>
      </c>
      <c r="C683" s="400">
        <f>C682</f>
        <v>5.8709258400381259</v>
      </c>
      <c r="D683" s="141" t="s">
        <v>6085</v>
      </c>
      <c r="E683" s="401">
        <f>E682</f>
        <v>5.8709258400381259</v>
      </c>
      <c r="F683" s="146" t="s">
        <v>6085</v>
      </c>
    </row>
    <row r="684" spans="2:11" x14ac:dyDescent="0.3">
      <c r="B684" s="99" t="s">
        <v>6544</v>
      </c>
      <c r="C684" s="78">
        <f>C682</f>
        <v>5.8709258400381259</v>
      </c>
      <c r="D684" t="s">
        <v>6085</v>
      </c>
      <c r="E684" s="401">
        <f>E682</f>
        <v>5.8709258400381259</v>
      </c>
      <c r="F684" s="146" t="s">
        <v>6085</v>
      </c>
    </row>
    <row r="685" spans="2:11" x14ac:dyDescent="0.3">
      <c r="B685" s="99" t="s">
        <v>6545</v>
      </c>
      <c r="C685" s="78">
        <f>C682</f>
        <v>5.8709258400381259</v>
      </c>
      <c r="D685" t="s">
        <v>6085</v>
      </c>
      <c r="E685" s="401">
        <f>E682</f>
        <v>5.8709258400381259</v>
      </c>
      <c r="F685" s="146" t="s">
        <v>6085</v>
      </c>
      <c r="H685" s="139" t="s">
        <v>7033</v>
      </c>
      <c r="I685" s="142"/>
      <c r="J685" s="142"/>
      <c r="K685" s="141"/>
    </row>
    <row r="686" spans="2:11" x14ac:dyDescent="0.3">
      <c r="B686" s="99" t="s">
        <v>7136</v>
      </c>
      <c r="C686" s="78">
        <f>C682*UDV.dhl.application_maneuver_factor</f>
        <v>6.7515647160438439</v>
      </c>
      <c r="D686" t="s">
        <v>6085</v>
      </c>
      <c r="E686" s="401">
        <f>E682*VLOOKUP("NAPercent time for useApplicator tractor for drag hose land applicationDefault",Econ.inputsTable!$E:$G,2,FALSE)</f>
        <v>6.7515647160438439</v>
      </c>
      <c r="F686" s="146" t="s">
        <v>6085</v>
      </c>
      <c r="H686" s="99" t="s">
        <v>7034</v>
      </c>
      <c r="K686" s="146"/>
    </row>
    <row r="687" spans="2:11" x14ac:dyDescent="0.3">
      <c r="B687" s="99" t="s">
        <v>7137</v>
      </c>
      <c r="C687" s="78">
        <f>C682*UDV.dhl.hose_mover_utilization</f>
        <v>4.4031943800285944</v>
      </c>
      <c r="D687" t="s">
        <v>6085</v>
      </c>
      <c r="E687" s="401">
        <f>E682*VLOOKUP("NAPercent time for useHose mover tractor for drag hose land applicationDefault",Econ.inputsTable!$E:$G,2,FALSE)</f>
        <v>4.4031943800285944</v>
      </c>
      <c r="F687" s="146" t="s">
        <v>6085</v>
      </c>
      <c r="H687" s="99" t="s">
        <v>7035</v>
      </c>
      <c r="K687" s="146"/>
    </row>
    <row r="688" spans="2:11" x14ac:dyDescent="0.3">
      <c r="B688" s="99" t="s">
        <v>6548</v>
      </c>
      <c r="C688" s="312">
        <f>C682*UDV.dhl.pickup_utilization</f>
        <v>0.88063887600571888</v>
      </c>
      <c r="D688" s="151" t="s">
        <v>6085</v>
      </c>
      <c r="E688" s="311">
        <f>E682*VLOOKUP("NAPercent time for usePickup truck for drag hose land applicationDefault",Econ.inputsTable!$E:$G,2,FALSE)</f>
        <v>0.88063887600571888</v>
      </c>
      <c r="F688" s="146" t="s">
        <v>6085</v>
      </c>
      <c r="H688" s="235" t="s">
        <v>7047</v>
      </c>
      <c r="K688" s="146"/>
    </row>
    <row r="689" spans="2:11" x14ac:dyDescent="0.3">
      <c r="B689" s="99" t="s">
        <v>5714</v>
      </c>
      <c r="C689" s="382">
        <f t="shared" ref="C689:C698" si="24">VLOOKUP(B689,$X:$AA,3,FALSE)</f>
        <v>105.67666512068627</v>
      </c>
      <c r="D689" t="s">
        <v>2489</v>
      </c>
      <c r="E689" s="178">
        <f>C689</f>
        <v>105.67666512068627</v>
      </c>
      <c r="F689" s="146" t="s">
        <v>6087</v>
      </c>
      <c r="G689" s="147"/>
      <c r="H689" s="235" t="s">
        <v>7037</v>
      </c>
      <c r="K689" s="146"/>
    </row>
    <row r="690" spans="2:11" x14ac:dyDescent="0.3">
      <c r="B690" s="99" t="s">
        <v>5715</v>
      </c>
      <c r="C690" s="382">
        <f t="shared" si="24"/>
        <v>44.031943800285944</v>
      </c>
      <c r="D690" t="s">
        <v>2489</v>
      </c>
      <c r="E690" s="178">
        <f>C690</f>
        <v>44.031943800285944</v>
      </c>
      <c r="F690" s="146" t="s">
        <v>6087</v>
      </c>
      <c r="H690" s="235" t="s">
        <v>7038</v>
      </c>
      <c r="K690" s="146"/>
    </row>
    <row r="691" spans="2:11" x14ac:dyDescent="0.3">
      <c r="B691" s="99" t="s">
        <v>5716</v>
      </c>
      <c r="C691" s="382">
        <f t="shared" si="24"/>
        <v>35.225555040228755</v>
      </c>
      <c r="D691" t="s">
        <v>2489</v>
      </c>
      <c r="E691" s="178">
        <f>C691</f>
        <v>35.225555040228755</v>
      </c>
      <c r="F691" s="146" t="s">
        <v>6087</v>
      </c>
      <c r="H691" s="235" t="s">
        <v>7007</v>
      </c>
      <c r="K691" s="146"/>
    </row>
    <row r="692" spans="2:11" x14ac:dyDescent="0.3">
      <c r="B692" s="99" t="s">
        <v>5740</v>
      </c>
      <c r="C692" s="382">
        <f t="shared" si="24"/>
        <v>25.52</v>
      </c>
      <c r="D692" t="s">
        <v>6549</v>
      </c>
      <c r="E692" s="178">
        <f>C692*E686</f>
        <v>172.29993155343888</v>
      </c>
      <c r="F692" s="146" t="s">
        <v>6087</v>
      </c>
      <c r="H692" s="235" t="s">
        <v>7008</v>
      </c>
      <c r="K692" s="146"/>
    </row>
    <row r="693" spans="2:11" x14ac:dyDescent="0.3">
      <c r="B693" s="99" t="s">
        <v>5741</v>
      </c>
      <c r="C693" s="382">
        <f t="shared" si="24"/>
        <v>14.959999999999999</v>
      </c>
      <c r="D693" t="s">
        <v>6549</v>
      </c>
      <c r="E693" s="178">
        <f>C693*E687</f>
        <v>65.871787925227764</v>
      </c>
      <c r="F693" s="146" t="s">
        <v>6087</v>
      </c>
      <c r="H693" s="235" t="s">
        <v>7039</v>
      </c>
      <c r="K693" s="146"/>
    </row>
    <row r="694" spans="2:11" x14ac:dyDescent="0.3">
      <c r="B694" s="99" t="s">
        <v>5717</v>
      </c>
      <c r="C694" s="382">
        <f t="shared" si="24"/>
        <v>5.2838332560343124</v>
      </c>
      <c r="D694" t="s">
        <v>2489</v>
      </c>
      <c r="E694" s="178">
        <f>C694</f>
        <v>5.2838332560343124</v>
      </c>
      <c r="F694" s="146" t="s">
        <v>6087</v>
      </c>
      <c r="H694" s="235" t="s">
        <v>1325</v>
      </c>
      <c r="K694" s="146"/>
    </row>
    <row r="695" spans="2:11" x14ac:dyDescent="0.3">
      <c r="B695" s="99" t="s">
        <v>6418</v>
      </c>
      <c r="C695" s="382">
        <f t="shared" si="24"/>
        <v>2693.8026530909328</v>
      </c>
      <c r="D695" t="s">
        <v>5910</v>
      </c>
      <c r="E695" s="164">
        <f>CONVERT(C695,"m^3","gal")</f>
        <v>711627.37551485701</v>
      </c>
      <c r="F695" s="146" t="s">
        <v>2489</v>
      </c>
      <c r="H695" s="235" t="s">
        <v>7040</v>
      </c>
      <c r="K695" s="146"/>
    </row>
    <row r="696" spans="2:11" x14ac:dyDescent="0.3">
      <c r="B696" s="99" t="s">
        <v>6404</v>
      </c>
      <c r="C696" s="499">
        <f t="shared" si="24"/>
        <v>2.4414765858241436</v>
      </c>
      <c r="D696" s="146" t="s">
        <v>2413</v>
      </c>
      <c r="E696" s="201">
        <f>C696*UC.g_to_lb/UC.L_to_gal*1000</f>
        <v>20.375109750717463</v>
      </c>
      <c r="F696" s="146" t="s">
        <v>2414</v>
      </c>
      <c r="H696" s="235" t="s">
        <v>7041</v>
      </c>
      <c r="K696" s="146"/>
    </row>
    <row r="697" spans="2:11" x14ac:dyDescent="0.3">
      <c r="B697" s="99" t="s">
        <v>6405</v>
      </c>
      <c r="C697" s="499">
        <f t="shared" si="24"/>
        <v>5.5486604996284568</v>
      </c>
      <c r="D697" s="146" t="s">
        <v>2413</v>
      </c>
      <c r="E697" s="201">
        <f>C697*UC.g_to_lb/UC.L_to_gal*1000</f>
        <v>46.305816449694916</v>
      </c>
      <c r="F697" s="146" t="s">
        <v>2414</v>
      </c>
      <c r="H697" s="253" t="s">
        <v>349</v>
      </c>
      <c r="I697" s="150"/>
      <c r="J697" s="150"/>
      <c r="K697" s="151"/>
    </row>
    <row r="698" spans="2:11" x14ac:dyDescent="0.3">
      <c r="B698" s="99" t="s">
        <v>6406</v>
      </c>
      <c r="C698" s="499">
        <f t="shared" si="24"/>
        <v>5.5486875988667448</v>
      </c>
      <c r="D698" s="146" t="s">
        <v>2413</v>
      </c>
      <c r="E698" s="201">
        <f>C698*UC.g_to_lb/UC.L_to_gal*1000</f>
        <v>46.306042603800783</v>
      </c>
      <c r="F698" s="146" t="s">
        <v>2414</v>
      </c>
    </row>
    <row r="699" spans="2:11" x14ac:dyDescent="0.3">
      <c r="B699" s="99"/>
      <c r="E699" s="99"/>
      <c r="F699" s="146"/>
    </row>
    <row r="700" spans="2:11" x14ac:dyDescent="0.3">
      <c r="B700" s="92" t="s">
        <v>6996</v>
      </c>
      <c r="E700" s="99"/>
      <c r="F700" s="146"/>
    </row>
    <row r="701" spans="2:11" x14ac:dyDescent="0.3">
      <c r="B701" s="143" t="s">
        <v>2663</v>
      </c>
      <c r="C701" s="144" t="s">
        <v>565</v>
      </c>
      <c r="D701" s="144" t="s">
        <v>6943</v>
      </c>
      <c r="E701" s="143" t="s">
        <v>565</v>
      </c>
      <c r="F701" s="145" t="s">
        <v>6944</v>
      </c>
    </row>
    <row r="702" spans="2:11" x14ac:dyDescent="0.3">
      <c r="B702" s="99" t="s">
        <v>7076</v>
      </c>
      <c r="E702" s="357">
        <f>UDV.electricity.avg_cost</f>
        <v>6.8591666666666662E-2</v>
      </c>
      <c r="F702" s="146" t="s">
        <v>2306</v>
      </c>
    </row>
    <row r="703" spans="2:11" x14ac:dyDescent="0.3">
      <c r="B703" s="99" t="s">
        <v>6997</v>
      </c>
      <c r="E703" s="348">
        <f>UDV.fuel.diesel_avg_cost</f>
        <v>3.6964905660377356</v>
      </c>
      <c r="F703" s="146" t="s">
        <v>2315</v>
      </c>
    </row>
    <row r="704" spans="2:11" x14ac:dyDescent="0.3">
      <c r="B704" s="99" t="s">
        <v>7044</v>
      </c>
      <c r="C704">
        <f>UDV.land_application.max_distance</f>
        <v>2</v>
      </c>
      <c r="D704" t="s">
        <v>2971</v>
      </c>
      <c r="E704" s="178">
        <f>IF(E643=0,0,CONVERT(C704,"mi","ft"))</f>
        <v>10560</v>
      </c>
      <c r="F704" s="146" t="s">
        <v>2340</v>
      </c>
      <c r="G704" s="254"/>
    </row>
    <row r="705" spans="1:15" x14ac:dyDescent="0.3">
      <c r="B705" s="99" t="s">
        <v>5712</v>
      </c>
      <c r="C705" s="382">
        <f>VLOOKUP(B705,$X:$AA,3,FALSE)</f>
        <v>1</v>
      </c>
      <c r="E705" s="201">
        <f>C705</f>
        <v>1</v>
      </c>
      <c r="F705" s="146" t="s">
        <v>2442</v>
      </c>
    </row>
    <row r="706" spans="1:15" x14ac:dyDescent="0.3">
      <c r="B706" s="149" t="s">
        <v>6998</v>
      </c>
      <c r="C706" s="150"/>
      <c r="D706" s="151"/>
      <c r="E706" s="349">
        <f>UDV.labor.non_specialized_cost</f>
        <v>23.66</v>
      </c>
      <c r="F706" s="151" t="s">
        <v>3659</v>
      </c>
    </row>
    <row r="707" spans="1:15" x14ac:dyDescent="0.3">
      <c r="C707" s="82"/>
      <c r="E707" s="82"/>
      <c r="F707" s="82"/>
      <c r="H707" s="82"/>
      <c r="I707" s="82"/>
      <c r="O707" s="82"/>
    </row>
    <row r="708" spans="1:15" x14ac:dyDescent="0.3">
      <c r="B708" s="206" t="s">
        <v>7108</v>
      </c>
      <c r="C708" s="142"/>
      <c r="D708" s="142"/>
      <c r="E708" s="142"/>
      <c r="F708" s="142"/>
      <c r="G708" s="142"/>
      <c r="H708" s="142"/>
      <c r="I708" s="142"/>
      <c r="J708" s="142"/>
      <c r="K708" s="142"/>
      <c r="L708" s="142"/>
      <c r="M708" s="142"/>
      <c r="N708" s="142"/>
      <c r="O708" s="141"/>
    </row>
    <row r="709" spans="1:15" ht="57.6" x14ac:dyDescent="0.3">
      <c r="B709" s="210" t="s">
        <v>6946</v>
      </c>
      <c r="C709" s="152" t="s">
        <v>6947</v>
      </c>
      <c r="D709" s="152" t="s">
        <v>6948</v>
      </c>
      <c r="E709" s="152" t="s">
        <v>6999</v>
      </c>
      <c r="F709" s="152" t="s">
        <v>7045</v>
      </c>
      <c r="G709" s="152" t="s">
        <v>6951</v>
      </c>
      <c r="H709" s="152" t="s">
        <v>6952</v>
      </c>
      <c r="I709" s="152" t="s">
        <v>6953</v>
      </c>
      <c r="J709" s="152" t="s">
        <v>6954</v>
      </c>
      <c r="K709" s="152" t="s">
        <v>6955</v>
      </c>
      <c r="L709" s="152" t="s">
        <v>6956</v>
      </c>
      <c r="M709" s="152" t="s">
        <v>6957</v>
      </c>
      <c r="N709" s="152" t="s">
        <v>7002</v>
      </c>
      <c r="O709" s="161" t="s">
        <v>6959</v>
      </c>
    </row>
    <row r="710" spans="1:15" x14ac:dyDescent="0.3">
      <c r="A710" t="s">
        <v>7122</v>
      </c>
      <c r="B710" s="99" t="s">
        <v>2808</v>
      </c>
      <c r="C710" s="153">
        <f>IF(E654=0,0,(VLOOKUP("Irrigation systema",Econ.Equations!$C:$E,2,FALSE)*E654^VLOOKUP("Irrigation systemb",Econ.Equations!$C:$E,2,FALSE))*E654)</f>
        <v>52445.256457610485</v>
      </c>
      <c r="D710" s="42">
        <f>VLOOKUP("CAPEXLifetimeBuildings and constructionDefault",Econ.inputsTable!$E:$G,2,FALSE)</f>
        <v>20</v>
      </c>
      <c r="E710" s="42" t="s">
        <v>2852</v>
      </c>
      <c r="F710" s="42" t="s">
        <v>2852</v>
      </c>
      <c r="G710" s="539">
        <f>VLOOKUP("CAPEXAnnual usage on activityItems that are used only on the given activityDefault",Econ.inputsTable!$E:$J,2,FALSE)</f>
        <v>1</v>
      </c>
      <c r="H710" s="503">
        <f t="shared" ref="H710" si="25">UDV.econ_capital.interest_rate</f>
        <v>5.0999999999999997E-2</v>
      </c>
      <c r="I710" s="2091">
        <f>VLOOKUP("CAPEXSalvageBuildings and constructionDefault",Econ.inputsTable!$E:$K,2,FALSE)</f>
        <v>0</v>
      </c>
      <c r="J710" s="153">
        <f>C710*I710</f>
        <v>0</v>
      </c>
      <c r="K710" s="154">
        <f>VLOOKUP("CAPEXFinanced amountNADefault",Econ.inputsTable!$E:$J,2,FALSE)</f>
        <v>1</v>
      </c>
      <c r="L710" s="2092">
        <f>H710*K710</f>
        <v>5.0999999999999997E-2</v>
      </c>
      <c r="M710" s="351">
        <f>L710/(1-(1+L710)^-D710)</f>
        <v>8.0924368970045152E-2</v>
      </c>
      <c r="N710" s="153">
        <f>((C710-J710)*M710)+(J710*L710)</f>
        <v>4244.0992843043141</v>
      </c>
      <c r="O710" s="372">
        <f>N710*G710</f>
        <v>4244.0992843043141</v>
      </c>
    </row>
    <row r="711" spans="1:15" x14ac:dyDescent="0.3">
      <c r="A711" t="s">
        <v>7046</v>
      </c>
      <c r="B711" s="99" t="s">
        <v>7034</v>
      </c>
      <c r="C711" s="153">
        <f>VLOOKUP("Diesel powered lead pumpDefault", Econ.Tables!$C:$E,2,FALSE)*E643</f>
        <v>293400</v>
      </c>
      <c r="D711" s="42">
        <f>VLOOKUP("CAPEXLifetimeDiesel-powered pump set package (at lagoon)Default",Econ.inputsTable!$E:$G,2,FALSE)</f>
        <v>17</v>
      </c>
      <c r="F711" s="147">
        <f>IF(E643=0,0,(E662+(E683/E681))/E643)</f>
        <v>0.9352544383689273</v>
      </c>
      <c r="G711" s="539">
        <f>VLOOKUP("CAPEXAnnual usage on activityItems that are used only on the given activityDefault",Econ.inputsTable!$E:$G,2,FALSE)</f>
        <v>1</v>
      </c>
      <c r="H711" s="503">
        <f t="shared" ref="H711:H722" si="26">UDV.econ_capital.interest_rate</f>
        <v>5.0999999999999997E-2</v>
      </c>
      <c r="I711" s="155">
        <f>VLOOKUP("CAPEXSalvageEquipmentDefault", Econ.inputsTable!$E:$G,2,FALSE)</f>
        <v>0.2</v>
      </c>
      <c r="J711" s="153">
        <f t="shared" ref="J711:J722" si="27">$C711*I711</f>
        <v>58680</v>
      </c>
      <c r="K711" s="154">
        <f>VLOOKUP("CAPEXFinanced amountNADefault", Econ.inputsTable!$E:$G,2,FALSE)</f>
        <v>1</v>
      </c>
      <c r="L711" s="155">
        <f t="shared" ref="L711:L722" si="28">H711*K711</f>
        <v>5.0999999999999997E-2</v>
      </c>
      <c r="M711">
        <f t="shared" ref="M711:M722" si="29">L711/(1-(1+L711)^-D711)</f>
        <v>8.9362846108502439E-2</v>
      </c>
      <c r="N711" s="153">
        <f t="shared" ref="N711:N722" si="30">((C711-J711)*M711)+(J711*L711)</f>
        <v>23967.927238587694</v>
      </c>
      <c r="O711" s="157">
        <f t="shared" ref="O711:O722" si="31">N711*G711</f>
        <v>23967.927238587694</v>
      </c>
    </row>
    <row r="712" spans="1:15" x14ac:dyDescent="0.3">
      <c r="A712" t="s">
        <v>7046</v>
      </c>
      <c r="B712" s="99" t="s">
        <v>7035</v>
      </c>
      <c r="C712" s="153">
        <f>VLOOKUP("Diesel powered booster pumpDefault",Econ.Tables!$C:$E,2,FALSE)*E705</f>
        <v>197300</v>
      </c>
      <c r="D712" s="42">
        <f>VLOOKUP("CAPEXLifetimeDiesel-powered pump set package (at lagoon)Default",Econ.inputsTable!$E:$G,2,FALSE)</f>
        <v>17</v>
      </c>
      <c r="F712" s="147">
        <f>IF(E705=0,0,(E663+(E684/E681))/E705)</f>
        <v>0.9352544383689273</v>
      </c>
      <c r="G712" s="539">
        <f>VLOOKUP("CAPEXAnnual usage on activityItems that are used only on the given activityDefault",Econ.inputsTable!$E:$G,2,FALSE)</f>
        <v>1</v>
      </c>
      <c r="H712" s="503">
        <f t="shared" si="26"/>
        <v>5.0999999999999997E-2</v>
      </c>
      <c r="I712" s="155">
        <f>VLOOKUP("CAPEXSalvageEquipmentDefault", Econ.inputsTable!$E:$G,2,FALSE)</f>
        <v>0.2</v>
      </c>
      <c r="J712" s="153">
        <f t="shared" si="27"/>
        <v>39460</v>
      </c>
      <c r="K712" s="154">
        <f>VLOOKUP("CAPEXFinanced amountNADefault", Econ.inputsTable!$E:$G,2,FALSE)</f>
        <v>1</v>
      </c>
      <c r="L712" s="155">
        <f t="shared" si="28"/>
        <v>5.0999999999999997E-2</v>
      </c>
      <c r="M712">
        <f t="shared" si="29"/>
        <v>8.9362846108502439E-2</v>
      </c>
      <c r="N712" s="153">
        <f t="shared" si="30"/>
        <v>16117.491629766024</v>
      </c>
      <c r="O712" s="157">
        <f t="shared" si="31"/>
        <v>16117.491629766024</v>
      </c>
    </row>
    <row r="713" spans="1:15" x14ac:dyDescent="0.3">
      <c r="A713" t="s">
        <v>7046</v>
      </c>
      <c r="B713" s="99" t="s">
        <v>7047</v>
      </c>
      <c r="C713" s="153">
        <f>VLOOKUP("Diesel powered agitation trailerDefault",Econ.Tables!$C:$E,2,FALSE)*E644</f>
        <v>131500</v>
      </c>
      <c r="D713" s="42">
        <f>VLOOKUP("CAPEXLifetimeEquipmentDefault",Econ.inputsTable!$E:$G,2,FALSE)</f>
        <v>10</v>
      </c>
      <c r="F713" s="147">
        <f>IF(E644=0,0,(E664+(E685/E681))/E644)</f>
        <v>0.9352544383689273</v>
      </c>
      <c r="G713" s="539">
        <f>VLOOKUP("CAPEXAnnual usage on activityItems that are used only on the given activityDefault",Econ.inputsTable!$E:$G,2,FALSE)</f>
        <v>1</v>
      </c>
      <c r="H713" s="503">
        <f t="shared" si="26"/>
        <v>5.0999999999999997E-2</v>
      </c>
      <c r="I713" s="155">
        <f>VLOOKUP("CAPEXSalvageEquipmentDefault", Econ.inputsTable!$E:$G,2,FALSE)</f>
        <v>0.2</v>
      </c>
      <c r="J713" s="153">
        <f t="shared" si="27"/>
        <v>26300</v>
      </c>
      <c r="K713" s="154">
        <f>VLOOKUP("CAPEXFinanced amountNADefault", Econ.inputsTable!$E:$G,2,FALSE)</f>
        <v>1</v>
      </c>
      <c r="L713" s="155">
        <f t="shared" si="28"/>
        <v>5.0999999999999997E-2</v>
      </c>
      <c r="M713">
        <f t="shared" si="29"/>
        <v>0.13013423257204779</v>
      </c>
      <c r="N713" s="153">
        <f t="shared" si="30"/>
        <v>15031.421266579426</v>
      </c>
      <c r="O713" s="157">
        <f t="shared" si="31"/>
        <v>15031.421266579426</v>
      </c>
    </row>
    <row r="714" spans="1:15" x14ac:dyDescent="0.3">
      <c r="A714" t="s">
        <v>7046</v>
      </c>
      <c r="B714" s="99" t="s">
        <v>7037</v>
      </c>
      <c r="C714" s="153">
        <f>VLOOKUP(_xlfn.CONCAT("Tractor",E645," hp"), Econ.Tables!$C:$E,2, FALSE)*E647</f>
        <v>637400</v>
      </c>
      <c r="D714" s="79">
        <f>VLOOKUP("CAPEXLifetimeTractor, 4 wheel drive and crawlerDefault",Econ.inputsTable!$E:$H,2,FALSE)/E714</f>
        <v>16</v>
      </c>
      <c r="E714" s="213">
        <f>IF(F714&gt;UDV.tractor.min_usage_yearly,F714,UDV.tractor.min_usage_yearly)</f>
        <v>1000</v>
      </c>
      <c r="F714" s="147">
        <f>IF(E647=0,0,(E665+(E686/E681))/E647)</f>
        <v>1.0755426041242662</v>
      </c>
      <c r="G714" s="155">
        <f>F714/E714</f>
        <v>1.0755426041242661E-3</v>
      </c>
      <c r="H714" s="503">
        <f t="shared" si="26"/>
        <v>5.0999999999999997E-2</v>
      </c>
      <c r="I714" s="155">
        <f>VLOOKUP("CAPEXSalvageEquipmentDefault", Econ.inputsTable!$E:$G,2,FALSE)</f>
        <v>0.2</v>
      </c>
      <c r="J714" s="153">
        <f t="shared" si="27"/>
        <v>127480</v>
      </c>
      <c r="K714" s="154">
        <f>VLOOKUP("CAPEXFinanced amountNADefault", Econ.inputsTable!$E:$G,2,FALSE)</f>
        <v>1</v>
      </c>
      <c r="L714" s="155">
        <f t="shared" si="28"/>
        <v>5.0999999999999997E-2</v>
      </c>
      <c r="M714">
        <f t="shared" si="29"/>
        <v>9.2927821836826949E-2</v>
      </c>
      <c r="N714" s="153">
        <f t="shared" si="30"/>
        <v>53887.2349110348</v>
      </c>
      <c r="O714" s="157">
        <f t="shared" si="31"/>
        <v>57.958016965270431</v>
      </c>
    </row>
    <row r="715" spans="1:15" x14ac:dyDescent="0.3">
      <c r="A715" t="s">
        <v>7046</v>
      </c>
      <c r="B715" s="99" t="s">
        <v>7048</v>
      </c>
      <c r="C715" s="238">
        <f>VLOOKUP("Hose reel, hydraulic,no specific sizeDefault",Econ.Tables!$C:$E,2,FALSE)*E647</f>
        <v>44500</v>
      </c>
      <c r="D715" s="42">
        <f>VLOOKUP("CAPEXLifetimeEquipmentDefault",Econ.inputsTable!$E:$G,2,FALSE)</f>
        <v>10</v>
      </c>
      <c r="E715" s="152"/>
      <c r="F715" s="259">
        <f>F714</f>
        <v>1.0755426041242662</v>
      </c>
      <c r="G715" s="539">
        <f>VLOOKUP("CAPEXAnnual usage on activityItems that are used only on the given activityDefault",Econ.inputsTable!$E:$G,2,FALSE)</f>
        <v>1</v>
      </c>
      <c r="H715" s="503">
        <f t="shared" si="26"/>
        <v>5.0999999999999997E-2</v>
      </c>
      <c r="I715" s="155">
        <f>VLOOKUP("CAPEXSalvageEquipmentDefault", Econ.inputsTable!$E:$G,2,FALSE)</f>
        <v>0.2</v>
      </c>
      <c r="J715" s="153">
        <f t="shared" si="27"/>
        <v>8900</v>
      </c>
      <c r="K715" s="154">
        <f>VLOOKUP("CAPEXFinanced amountNADefault", Econ.inputsTable!$E:$G,2,FALSE)</f>
        <v>1</v>
      </c>
      <c r="L715" s="155">
        <f t="shared" si="28"/>
        <v>5.0999999999999997E-2</v>
      </c>
      <c r="M715">
        <f t="shared" si="29"/>
        <v>0.13013423257204779</v>
      </c>
      <c r="N715" s="153">
        <f t="shared" si="30"/>
        <v>5086.6786795649004</v>
      </c>
      <c r="O715" s="157">
        <f t="shared" si="31"/>
        <v>5086.6786795649004</v>
      </c>
    </row>
    <row r="716" spans="1:15" x14ac:dyDescent="0.3">
      <c r="A716" t="s">
        <v>7046</v>
      </c>
      <c r="B716" s="99" t="s">
        <v>7007</v>
      </c>
      <c r="C716" s="238">
        <f>IF(E650="Broadcast",VLOOKUP("BoomDefault", Econ.Tables!$C:$E,2,FALSE),0)*E647</f>
        <v>0</v>
      </c>
      <c r="D716" s="42">
        <f>VLOOKUP("CAPEXLifetimeEquipmentDefault",Econ.inputsTable!$E:$G,2,FALSE)</f>
        <v>10</v>
      </c>
      <c r="E716" s="152"/>
      <c r="F716" s="259">
        <f>IF(E650="Broadcast",F714,0)*VLOOKUP("NAPercent time for useApplication toolbar usage per unit tractor pulling it usageDefault", Econ.inputsTable!$E:$G,2,FALSE)</f>
        <v>0</v>
      </c>
      <c r="G716" s="539">
        <f>VLOOKUP("CAPEXAnnual usage on activityItems that are used only on the given activityDefault",Econ.inputsTable!$E:$G,2,FALSE)</f>
        <v>1</v>
      </c>
      <c r="H716" s="503">
        <f t="shared" si="26"/>
        <v>5.0999999999999997E-2</v>
      </c>
      <c r="I716" s="155">
        <f>VLOOKUP("CAPEXSalvageEquipmentDefault", Econ.inputsTable!$E:$G,2,FALSE)</f>
        <v>0.2</v>
      </c>
      <c r="J716" s="153">
        <f t="shared" si="27"/>
        <v>0</v>
      </c>
      <c r="K716" s="154">
        <f>VLOOKUP("CAPEXFinanced amountNADefault", Econ.inputsTable!$E:$G,2,FALSE)</f>
        <v>1</v>
      </c>
      <c r="L716" s="155">
        <f t="shared" si="28"/>
        <v>5.0999999999999997E-2</v>
      </c>
      <c r="M716">
        <f t="shared" si="29"/>
        <v>0.13013423257204779</v>
      </c>
      <c r="N716" s="153">
        <f t="shared" si="30"/>
        <v>0</v>
      </c>
      <c r="O716" s="157">
        <f t="shared" si="31"/>
        <v>0</v>
      </c>
    </row>
    <row r="717" spans="1:15" x14ac:dyDescent="0.3">
      <c r="A717" t="s">
        <v>7046</v>
      </c>
      <c r="B717" s="99" t="s">
        <v>7008</v>
      </c>
      <c r="C717" s="238">
        <f>IF(E650="Injection",VLOOKUP("InjectionDefault",Econ.Tables!$C:$E,2,FALSE),0)*E647</f>
        <v>80900</v>
      </c>
      <c r="D717" s="42">
        <f>VLOOKUP("CAPEXLifetimeEquipmentDefault",Econ.inputsTable!$E:$G,2,FALSE)</f>
        <v>10</v>
      </c>
      <c r="E717" s="152"/>
      <c r="F717" s="259">
        <f>IF(E650="Injection",F714,0)*VLOOKUP("NAPercent time for useApplication toolbar usage per unit tractor pulling it usageDefault", Econ.inputsTable!$E:$G,2,FALSE)</f>
        <v>0.43021704164970648</v>
      </c>
      <c r="G717" s="539">
        <f>VLOOKUP("CAPEXAnnual usage on activityItems that are used only on the given activityDefault",Econ.inputsTable!$E:$G,2,FALSE)</f>
        <v>1</v>
      </c>
      <c r="H717" s="503">
        <f t="shared" si="26"/>
        <v>5.0999999999999997E-2</v>
      </c>
      <c r="I717" s="155">
        <f>VLOOKUP("CAPEXSalvageEquipmentDefault", Econ.inputsTable!$E:$G,2,FALSE)</f>
        <v>0.2</v>
      </c>
      <c r="J717" s="153">
        <f t="shared" si="27"/>
        <v>16180</v>
      </c>
      <c r="K717" s="154">
        <f>VLOOKUP("CAPEXFinanced amountNADefault", Econ.inputsTable!$E:$G,2,FALSE)</f>
        <v>1</v>
      </c>
      <c r="L717" s="155">
        <f t="shared" si="28"/>
        <v>5.0999999999999997E-2</v>
      </c>
      <c r="M717">
        <f t="shared" si="29"/>
        <v>0.13013423257204779</v>
      </c>
      <c r="N717" s="153">
        <f t="shared" si="30"/>
        <v>9247.4675320629322</v>
      </c>
      <c r="O717" s="157">
        <f t="shared" si="31"/>
        <v>9247.4675320629322</v>
      </c>
    </row>
    <row r="718" spans="1:15" x14ac:dyDescent="0.3">
      <c r="A718" t="s">
        <v>7046</v>
      </c>
      <c r="B718" s="99" t="s">
        <v>7039</v>
      </c>
      <c r="C718" s="153">
        <f>VLOOKUP(_xlfn.CONCAT("Tractor",E646," hp"), Econ.Tables!$C:$E,2, FALSE)*E648</f>
        <v>490700</v>
      </c>
      <c r="D718" s="79">
        <f>VLOOKUP("CAPEXLifetimeTractor, 4 wheel drive and crawlerDefault",Econ.inputsTable!$E:$H,2,FALSE)/E718</f>
        <v>16</v>
      </c>
      <c r="E718" s="213">
        <f>IF(F718&gt;UDV.tractor.min_usage_yearly,F718,UDV.tractor.min_usage_yearly)</f>
        <v>1000</v>
      </c>
      <c r="F718" s="147">
        <f>IF(E648=0,0,(E666+(E687/E681))/E648)</f>
        <v>0.70144082877669545</v>
      </c>
      <c r="G718" s="155">
        <f>F718/E718</f>
        <v>7.014408287766955E-4</v>
      </c>
      <c r="H718" s="503">
        <f t="shared" si="26"/>
        <v>5.0999999999999997E-2</v>
      </c>
      <c r="I718" s="155">
        <f>VLOOKUP("CAPEXSalvageEquipmentDefault", Econ.inputsTable!$E:$G,2,FALSE)</f>
        <v>0.2</v>
      </c>
      <c r="J718" s="153">
        <f t="shared" si="27"/>
        <v>98140</v>
      </c>
      <c r="K718" s="154">
        <f>VLOOKUP("CAPEXFinanced amountNADefault", Econ.inputsTable!$E:$G,2,FALSE)</f>
        <v>1</v>
      </c>
      <c r="L718" s="155">
        <f t="shared" si="28"/>
        <v>5.0999999999999997E-2</v>
      </c>
      <c r="M718">
        <f t="shared" si="29"/>
        <v>9.2927821836826949E-2</v>
      </c>
      <c r="N718" s="153">
        <f t="shared" si="30"/>
        <v>41484.885740264785</v>
      </c>
      <c r="O718" s="157">
        <f t="shared" si="31"/>
        <v>29.099192635357849</v>
      </c>
    </row>
    <row r="719" spans="1:15" x14ac:dyDescent="0.3">
      <c r="A719" t="s">
        <v>7046</v>
      </c>
      <c r="B719" s="99" t="s">
        <v>1325</v>
      </c>
      <c r="C719" s="238">
        <f>VLOOKUP("Hose pulleyDefault",Econ.Tables!$C:$E,2,FALSE)*E648</f>
        <v>13200</v>
      </c>
      <c r="D719" s="42">
        <f>VLOOKUP("CAPEXLifetimeEquipmentDefault",Econ.inputsTable!$E:$G,2,FALSE)</f>
        <v>10</v>
      </c>
      <c r="E719" s="152"/>
      <c r="F719" s="259">
        <f>F718</f>
        <v>0.70144082877669545</v>
      </c>
      <c r="G719" s="539">
        <f>VLOOKUP("CAPEXAnnual usage on activityItems that are used only on the given activityDefault",Econ.inputsTable!$E:$G,2,FALSE)</f>
        <v>1</v>
      </c>
      <c r="H719" s="503">
        <f t="shared" si="26"/>
        <v>5.0999999999999997E-2</v>
      </c>
      <c r="I719" s="155">
        <f>VLOOKUP("CAPEXSalvageEquipmentDefault", Econ.inputsTable!$E:$G,2,FALSE)</f>
        <v>0.2</v>
      </c>
      <c r="J719" s="153">
        <f t="shared" si="27"/>
        <v>2640</v>
      </c>
      <c r="K719" s="154">
        <f>VLOOKUP("CAPEXFinanced amountNADefault", Econ.inputsTable!$E:$G,2,FALSE)</f>
        <v>1</v>
      </c>
      <c r="L719" s="155">
        <f t="shared" si="28"/>
        <v>5.0999999999999997E-2</v>
      </c>
      <c r="M719">
        <f t="shared" si="29"/>
        <v>0.13013423257204779</v>
      </c>
      <c r="N719" s="153">
        <f t="shared" si="30"/>
        <v>1508.8574959608245</v>
      </c>
      <c r="O719" s="157">
        <f t="shared" si="31"/>
        <v>1508.8574959608245</v>
      </c>
    </row>
    <row r="720" spans="1:15" x14ac:dyDescent="0.3">
      <c r="A720" t="s">
        <v>7046</v>
      </c>
      <c r="B720" s="235" t="s">
        <v>3007</v>
      </c>
      <c r="C720" s="543">
        <f>VLOOKUP("Flexible drag hose, 6in 660 ftDefault",Econ.Tables!$C:$E,2,FALSE)*E647</f>
        <v>15200</v>
      </c>
      <c r="D720" s="42">
        <f>VLOOKUP("CAPEXLifetimeDrag hoseDefault",Econ.inputsTable!$E:$G,2,FALSE)</f>
        <v>2.5</v>
      </c>
      <c r="E720" s="152"/>
      <c r="F720" s="259">
        <f>F714</f>
        <v>1.0755426041242662</v>
      </c>
      <c r="G720" s="539">
        <f>VLOOKUP("CAPEXAnnual usage on activityItems that are used only on the given activityDefault",Econ.inputsTable!$E:$G,2,FALSE)</f>
        <v>1</v>
      </c>
      <c r="H720" s="503">
        <f t="shared" si="26"/>
        <v>5.0999999999999997E-2</v>
      </c>
      <c r="I720" s="155">
        <f>VLOOKUP("CAPEXSalvageBuildings and constructionDefault", Econ.inputsTable!$E:$G,2,FALSE)</f>
        <v>0</v>
      </c>
      <c r="J720" s="153">
        <f t="shared" si="27"/>
        <v>0</v>
      </c>
      <c r="K720" s="154">
        <f>VLOOKUP("CAPEXFinanced amountNADefault", Econ.inputsTable!$E:$G,2,FALSE)</f>
        <v>1</v>
      </c>
      <c r="L720" s="155">
        <f t="shared" si="28"/>
        <v>5.0999999999999997E-2</v>
      </c>
      <c r="M720">
        <f t="shared" si="29"/>
        <v>0.43614381549069553</v>
      </c>
      <c r="N720" s="153">
        <f t="shared" si="30"/>
        <v>6629.3859954585723</v>
      </c>
      <c r="O720" s="157">
        <f t="shared" si="31"/>
        <v>6629.3859954585723</v>
      </c>
    </row>
    <row r="721" spans="1:15" x14ac:dyDescent="0.3">
      <c r="A721" t="s">
        <v>7046</v>
      </c>
      <c r="B721" s="235" t="s">
        <v>3465</v>
      </c>
      <c r="C721" s="543">
        <f>VLOOKUP("Manure piping to fieldDefault",Econ.Tables!$C:$E,2,FALSE)*E704</f>
        <v>95040</v>
      </c>
      <c r="D721" s="42">
        <f>VLOOKUP("CAPEXLifetimeBuildings and constructionDefault",Econ.inputsTable!$E:$G,2,FALSE)</f>
        <v>20</v>
      </c>
      <c r="E721" s="152"/>
      <c r="F721" s="259">
        <f>F714</f>
        <v>1.0755426041242662</v>
      </c>
      <c r="G721" s="539">
        <f>VLOOKUP("CAPEXAnnual usage on activityItems that are used only on the given activityDefault",Econ.inputsTable!$E:$G,2,FALSE)</f>
        <v>1</v>
      </c>
      <c r="H721" s="503">
        <f t="shared" si="26"/>
        <v>5.0999999999999997E-2</v>
      </c>
      <c r="I721" s="155">
        <f>VLOOKUP("CAPEXSalvageBuildings and constructionDefault", Econ.inputsTable!$E:$G,2,FALSE)</f>
        <v>0</v>
      </c>
      <c r="J721" s="153">
        <f t="shared" si="27"/>
        <v>0</v>
      </c>
      <c r="K721" s="154">
        <f>VLOOKUP("CAPEXFinanced amountNADefault", Econ.inputsTable!$E:$G,2,FALSE)</f>
        <v>1</v>
      </c>
      <c r="L721" s="155">
        <f t="shared" si="28"/>
        <v>5.0999999999999997E-2</v>
      </c>
      <c r="M721">
        <f t="shared" si="29"/>
        <v>8.0924368970045152E-2</v>
      </c>
      <c r="N721" s="153">
        <f t="shared" si="30"/>
        <v>7691.0520269130911</v>
      </c>
      <c r="O721" s="157">
        <f t="shared" si="31"/>
        <v>7691.0520269130911</v>
      </c>
    </row>
    <row r="722" spans="1:15" x14ac:dyDescent="0.3">
      <c r="A722" t="s">
        <v>7046</v>
      </c>
      <c r="B722" s="235" t="s">
        <v>349</v>
      </c>
      <c r="C722" s="153">
        <f>IF(E688&gt;0,VLOOKUP("Pick up truckDefault",Econ.Tables!$C:$E,2,FALSE),0)</f>
        <v>58700</v>
      </c>
      <c r="D722" s="42">
        <f>VLOOKUP("CAPEXLifetimeTruck, pickupDefault",Econ.inputsTable!$E:$G,2,FALSE)</f>
        <v>8</v>
      </c>
      <c r="E722" s="42">
        <f>VLOOKUP("CAPEXAnnual usage on farmTruck, pickupDefault",Econ.inputsTable!$E:$G,2,FALSE)</f>
        <v>250</v>
      </c>
      <c r="F722" s="259">
        <f>(E667+(E688/E681))</f>
        <v>0.14028816575533909</v>
      </c>
      <c r="G722" s="538">
        <f>F722/E722</f>
        <v>5.6115266302135633E-4</v>
      </c>
      <c r="H722" s="503">
        <f t="shared" si="26"/>
        <v>5.0999999999999997E-2</v>
      </c>
      <c r="I722" s="155">
        <f>VLOOKUP("CAPEXSalvageEquipmentDefault", Econ.inputsTable!$E:$G,2,FALSE)</f>
        <v>0.2</v>
      </c>
      <c r="J722" s="153">
        <f t="shared" si="27"/>
        <v>11740</v>
      </c>
      <c r="K722" s="154">
        <f>VLOOKUP("CAPEXFinanced amountNADefault", Econ.inputsTable!$E:$G,2,FALSE)</f>
        <v>1</v>
      </c>
      <c r="L722" s="155">
        <f t="shared" si="28"/>
        <v>5.0999999999999997E-2</v>
      </c>
      <c r="M722">
        <f t="shared" si="29"/>
        <v>0.1553478599468672</v>
      </c>
      <c r="N722" s="153">
        <f t="shared" si="30"/>
        <v>7893.8755031048831</v>
      </c>
      <c r="O722" s="157">
        <f t="shared" si="31"/>
        <v>4.4296692601263539</v>
      </c>
    </row>
    <row r="723" spans="1:15" x14ac:dyDescent="0.3">
      <c r="B723" s="99"/>
      <c r="C723" s="152"/>
      <c r="D723" s="82"/>
      <c r="E723" s="82"/>
      <c r="F723" s="82"/>
      <c r="G723" s="82"/>
      <c r="H723" s="82"/>
      <c r="I723" s="82"/>
      <c r="J723" s="152"/>
      <c r="K723" s="152"/>
      <c r="L723" s="152"/>
      <c r="M723" s="152"/>
      <c r="N723" s="82"/>
      <c r="O723" s="173"/>
    </row>
    <row r="724" spans="1:15" x14ac:dyDescent="0.3">
      <c r="B724" s="99"/>
      <c r="C724" s="82" t="s">
        <v>7009</v>
      </c>
      <c r="D724" s="82" t="s">
        <v>6963</v>
      </c>
      <c r="O724" s="146"/>
    </row>
    <row r="725" spans="1:15" x14ac:dyDescent="0.3">
      <c r="A725" t="s">
        <v>5205</v>
      </c>
      <c r="B725" s="99" t="s">
        <v>6964</v>
      </c>
      <c r="C725" s="153">
        <f>SUM(C710:C722)</f>
        <v>2110285.2564576105</v>
      </c>
      <c r="D725" s="318">
        <f>SUMPRODUCT(C710:C722,G710:G722)</f>
        <v>924547.94398947945</v>
      </c>
      <c r="O725" s="146"/>
    </row>
    <row r="726" spans="1:15" x14ac:dyDescent="0.3">
      <c r="A726" t="s">
        <v>5205</v>
      </c>
      <c r="B726" s="149" t="s">
        <v>6965</v>
      </c>
      <c r="C726" s="159">
        <f>SUM(N710:N722)</f>
        <v>192790.37730360223</v>
      </c>
      <c r="D726" s="319">
        <f>SUMPRODUCT(N710:N722,G710:G722)</f>
        <v>89615.868028058525</v>
      </c>
      <c r="E726" s="150"/>
      <c r="F726" s="150"/>
      <c r="G726" s="261"/>
      <c r="H726" s="150"/>
      <c r="I726" s="150"/>
      <c r="J726" s="150"/>
      <c r="K726" s="150"/>
      <c r="L726" s="150"/>
      <c r="M726" s="150"/>
      <c r="N726" s="150"/>
      <c r="O726" s="151"/>
    </row>
    <row r="728" spans="1:15" ht="28.8" x14ac:dyDescent="0.3">
      <c r="B728" s="160" t="s">
        <v>6966</v>
      </c>
      <c r="C728" s="152" t="s">
        <v>6967</v>
      </c>
      <c r="D728" s="152" t="s">
        <v>6968</v>
      </c>
      <c r="E728" s="152" t="s">
        <v>6969</v>
      </c>
      <c r="F728" s="152" t="s">
        <v>6970</v>
      </c>
      <c r="G728" s="152" t="s">
        <v>6971</v>
      </c>
      <c r="H728" s="152" t="s">
        <v>6972</v>
      </c>
      <c r="I728" s="152" t="s">
        <v>6973</v>
      </c>
      <c r="J728" s="152" t="s">
        <v>6974</v>
      </c>
      <c r="K728" s="152" t="s">
        <v>6975</v>
      </c>
      <c r="L728" s="152" t="s">
        <v>6976</v>
      </c>
      <c r="M728" s="152" t="s">
        <v>6977</v>
      </c>
      <c r="N728" s="152" t="s">
        <v>6978</v>
      </c>
      <c r="O728" s="161" t="s">
        <v>6979</v>
      </c>
    </row>
    <row r="729" spans="1:15" x14ac:dyDescent="0.3">
      <c r="B729" s="99" t="s">
        <v>2808</v>
      </c>
      <c r="C729" s="236">
        <f>VLOOKUP("OPEXInsuranceEverythingDefault",Econ.inputsTable!$E:$K,2,FALSE)</f>
        <v>5.0000000000000001E-3</v>
      </c>
      <c r="D729" s="257">
        <f>VLOOKUP("OPEXRepair and maintenanceEquipmentDefault",Econ.inputsTable!$E:$K,2,FALSE)</f>
        <v>0.03</v>
      </c>
      <c r="F729" s="2129">
        <f>E655</f>
        <v>934.64729834049092</v>
      </c>
      <c r="G729" s="365">
        <f>F729*E702</f>
        <v>64.109015938671504</v>
      </c>
      <c r="I729" s="365"/>
      <c r="J729" s="365"/>
      <c r="K729" s="147">
        <f>E656</f>
        <v>7.6289602514782651</v>
      </c>
      <c r="L729" s="156">
        <f>K729*E706</f>
        <v>180.50119954997575</v>
      </c>
      <c r="O729" s="167">
        <f t="shared" ref="O729" si="32">(SUM(C729:D729)*C710*G710)+SUM(E729,G729,I729,J729,L729,N729)</f>
        <v>2080.1941915050138</v>
      </c>
    </row>
    <row r="730" spans="1:15" x14ac:dyDescent="0.3">
      <c r="B730" s="99" t="s">
        <v>3003</v>
      </c>
      <c r="C730" s="263">
        <f>VLOOKUP("OPEXInsuranceEverythingDefault", Econ.inputsTable!$E:$G,2,FALSE)</f>
        <v>5.0000000000000001E-3</v>
      </c>
      <c r="D730" s="237">
        <f>VLOOKUP("OPEXRepair and maintenanceEquipmentDefault",Econ.inputsTable!$E:$G,2,FALSE)</f>
        <v>0.03</v>
      </c>
      <c r="H730" s="147">
        <f>(E668+(E689/E681))*E643</f>
        <v>16.83457989064069</v>
      </c>
      <c r="I730" s="259">
        <f>H730*E703</f>
        <v>62.228865748961887</v>
      </c>
      <c r="J730" s="259">
        <f>I730*VLOOKUP("OPEXLubeLubeDefault",Econ.inputsTable!$E:$G,2,FALSE)</f>
        <v>6.2228865748961892</v>
      </c>
      <c r="L730" s="158"/>
      <c r="O730" s="264">
        <f t="shared" ref="O730:O741" si="33">(SUM(C730:D730)*C711*G711)+SUM(E730,G730,I730,J730,L730,N730)</f>
        <v>10337.451752323856</v>
      </c>
    </row>
    <row r="731" spans="1:15" x14ac:dyDescent="0.3">
      <c r="B731" s="99" t="s">
        <v>3005</v>
      </c>
      <c r="C731" s="263">
        <f>VLOOKUP("OPEXInsuranceEverythingDefault", Econ.inputsTable!$E:$G,2,FALSE)</f>
        <v>5.0000000000000001E-3</v>
      </c>
      <c r="D731" s="237">
        <f>VLOOKUP("OPEXRepair and maintenanceEquipmentDefault",Econ.inputsTable!$E:$G,2,FALSE)</f>
        <v>0.03</v>
      </c>
      <c r="H731" s="147">
        <f>(E669+(E690/E681))*E705</f>
        <v>7.0144082877669547</v>
      </c>
      <c r="I731" s="259">
        <f>H731*E703</f>
        <v>25.928694062067454</v>
      </c>
      <c r="J731" s="259">
        <f>I731*VLOOKUP("OPEXLubeLubeDefault",Econ.inputsTable!$E:$G,2,FALSE)</f>
        <v>2.5928694062067454</v>
      </c>
      <c r="L731" s="158"/>
      <c r="O731" s="264">
        <f t="shared" si="33"/>
        <v>6934.0215634682736</v>
      </c>
    </row>
    <row r="732" spans="1:15" x14ac:dyDescent="0.3">
      <c r="B732" s="99" t="s">
        <v>7047</v>
      </c>
      <c r="C732" s="263">
        <f>VLOOKUP("OPEXInsuranceEverythingDefault", Econ.inputsTable!$E:$G,2,FALSE)</f>
        <v>5.0000000000000001E-3</v>
      </c>
      <c r="D732" s="237">
        <f>VLOOKUP("OPEXRepair and maintenanceEquipmentDefault",Econ.inputsTable!$E:$G,2,FALSE)</f>
        <v>0.03</v>
      </c>
      <c r="H732" s="147">
        <f>(E670+(E691/E681))*E644</f>
        <v>5.6115266302135636</v>
      </c>
      <c r="I732" s="259">
        <f>H732*E703</f>
        <v>20.742955249653964</v>
      </c>
      <c r="J732" s="259">
        <f>I732*VLOOKUP("OPEXLubeLubeDefault",Econ.inputsTable!$E:$G,2,FALSE)</f>
        <v>2.0742955249653963</v>
      </c>
      <c r="L732" s="158"/>
      <c r="O732" s="264">
        <f t="shared" si="33"/>
        <v>4625.3172507746185</v>
      </c>
    </row>
    <row r="733" spans="1:15" x14ac:dyDescent="0.3">
      <c r="B733" s="99" t="s">
        <v>7037</v>
      </c>
      <c r="C733" s="263">
        <f>VLOOKUP("OPEXInsuranceEverythingDefault", Econ.inputsTable!$E:$G,2,FALSE)</f>
        <v>5.0000000000000001E-3</v>
      </c>
      <c r="D733" s="237">
        <f>VLOOKUP("OPEXRepair and maintenanceEquipmentDefault",Econ.inputsTable!$E:$G,2,FALSE)</f>
        <v>0.03</v>
      </c>
      <c r="H733" s="147">
        <f>(E671+(E692/E681))</f>
        <v>27.447847257251272</v>
      </c>
      <c r="I733" s="259">
        <f>H733*E703</f>
        <v>101.46070844447407</v>
      </c>
      <c r="J733" s="259">
        <f>I733*VLOOKUP("OPEXLubeLubeDefault",Econ.inputsTable!$E:$G,2,FALSE)</f>
        <v>10.146070844447408</v>
      </c>
      <c r="K733" s="147">
        <f>(E665*VLOOKUP("OPEXLaborTractorDefault",Econ.inputsTable!$E:$G,2,FALSE))+(E686/E681*VLOOKUP("OPEXLaborTractorDefault",Econ.inputsTable!$E:$G,2,FALSE))</f>
        <v>1.1830968645366928</v>
      </c>
      <c r="L733" s="158">
        <f>K733*E706</f>
        <v>27.992071814938154</v>
      </c>
      <c r="O733" s="264">
        <f t="shared" si="33"/>
        <v>163.59313105926788</v>
      </c>
    </row>
    <row r="734" spans="1:15" x14ac:dyDescent="0.3">
      <c r="B734" s="99" t="s">
        <v>7048</v>
      </c>
      <c r="C734" s="263">
        <f>VLOOKUP("OPEXInsuranceEverythingDefault", Econ.inputsTable!$E:$G,2,FALSE)</f>
        <v>5.0000000000000001E-3</v>
      </c>
      <c r="D734" s="237">
        <f>VLOOKUP("OPEXRepair and maintenanceEquipmentDefault",Econ.inputsTable!$E:$G,2,FALSE)</f>
        <v>0.03</v>
      </c>
      <c r="H734" s="147"/>
      <c r="I734" s="369"/>
      <c r="J734" s="369"/>
      <c r="K734" s="205"/>
      <c r="L734" s="158"/>
      <c r="O734" s="264">
        <f t="shared" si="33"/>
        <v>1557.4999999999998</v>
      </c>
    </row>
    <row r="735" spans="1:15" x14ac:dyDescent="0.3">
      <c r="B735" s="99" t="s">
        <v>7007</v>
      </c>
      <c r="C735" s="263">
        <f>VLOOKUP("OPEXInsuranceEverythingDefault", Econ.inputsTable!$E:$G,2,FALSE)</f>
        <v>5.0000000000000001E-3</v>
      </c>
      <c r="D735" s="237">
        <f>VLOOKUP("OPEXRepair and maintenanceEquipmentDefault",Econ.inputsTable!$E:$G,2,FALSE)</f>
        <v>0.03</v>
      </c>
      <c r="H735" s="147"/>
      <c r="I735" s="369"/>
      <c r="J735" s="369"/>
      <c r="K735" s="205"/>
      <c r="L735" s="158"/>
      <c r="O735" s="264">
        <f t="shared" si="33"/>
        <v>0</v>
      </c>
    </row>
    <row r="736" spans="1:15" x14ac:dyDescent="0.3">
      <c r="B736" s="99" t="s">
        <v>7008</v>
      </c>
      <c r="C736" s="263">
        <f>VLOOKUP("OPEXInsuranceEverythingDefault", Econ.inputsTable!$E:$G,2,FALSE)</f>
        <v>5.0000000000000001E-3</v>
      </c>
      <c r="D736" s="237">
        <f>VLOOKUP("OPEXRepair and maintenanceEquipmentDefault",Econ.inputsTable!$E:$G,2,FALSE)</f>
        <v>0.03</v>
      </c>
      <c r="H736" s="147"/>
      <c r="I736" s="369"/>
      <c r="J736" s="369"/>
      <c r="K736" s="205"/>
      <c r="L736" s="158"/>
      <c r="O736" s="264">
        <f t="shared" si="33"/>
        <v>2831.4999999999995</v>
      </c>
    </row>
    <row r="737" spans="1:15" x14ac:dyDescent="0.3">
      <c r="B737" s="99" t="s">
        <v>7039</v>
      </c>
      <c r="C737" s="263">
        <f>VLOOKUP("OPEXInsuranceEverythingDefault", Econ.inputsTable!$E:$G,2,FALSE)</f>
        <v>5.0000000000000001E-3</v>
      </c>
      <c r="D737" s="237">
        <f>VLOOKUP("OPEXRepair and maintenanceEquipmentDefault",Econ.inputsTable!$E:$G,2,FALSE)</f>
        <v>0.03</v>
      </c>
      <c r="H737" s="147">
        <f>(E672+(E693/E681))</f>
        <v>10.493554798499362</v>
      </c>
      <c r="I737" s="259">
        <f>H737*E703</f>
        <v>38.789326316852907</v>
      </c>
      <c r="J737" s="259">
        <f>I737*VLOOKUP("OPEXLubeLubeDefault",Econ.inputsTable!$E:$G,2,FALSE)</f>
        <v>3.878932631685291</v>
      </c>
      <c r="K737" s="205">
        <f>(E666*VLOOKUP("OPEXLaborTractorDefault",Econ.inputsTable!$E:$G,2,FALSE))+(E687/E681*VLOOKUP("OPEXLaborTractorDefault",Econ.inputsTable!$E:$G,2,FALSE))</f>
        <v>0.77158491165436505</v>
      </c>
      <c r="L737" s="158">
        <f>K737*E706</f>
        <v>18.255699009742276</v>
      </c>
      <c r="O737" s="264">
        <f t="shared" si="33"/>
        <v>72.97085347210583</v>
      </c>
    </row>
    <row r="738" spans="1:15" x14ac:dyDescent="0.3">
      <c r="B738" s="99" t="s">
        <v>1325</v>
      </c>
      <c r="C738" s="263">
        <f>VLOOKUP("OPEXInsuranceEverythingDefault", Econ.inputsTable!$E:$G,2,FALSE)</f>
        <v>5.0000000000000001E-3</v>
      </c>
      <c r="D738" s="237">
        <f>VLOOKUP("OPEXRepair and maintenanceEquipmentDefault",Econ.inputsTable!$E:$G,2,FALSE)</f>
        <v>0.03</v>
      </c>
      <c r="H738" s="147"/>
      <c r="I738" s="259"/>
      <c r="J738" s="259"/>
      <c r="K738" s="205"/>
      <c r="L738" s="158"/>
      <c r="O738" s="264">
        <f t="shared" si="33"/>
        <v>461.99999999999994</v>
      </c>
    </row>
    <row r="739" spans="1:15" x14ac:dyDescent="0.3">
      <c r="B739" s="99" t="s">
        <v>3007</v>
      </c>
      <c r="C739" s="263">
        <f>VLOOKUP("OPEXInsuranceEverythingDefault", Econ.inputsTable!$E:$G,2,FALSE)</f>
        <v>5.0000000000000001E-3</v>
      </c>
      <c r="D739" s="237">
        <f>VLOOKUP("OPEXRepair and maintenanceEquipmentDefault",Econ.inputsTable!$E:$G,2,FALSE)</f>
        <v>0.03</v>
      </c>
      <c r="H739" s="147"/>
      <c r="I739" s="259"/>
      <c r="J739" s="259"/>
      <c r="K739" s="205"/>
      <c r="L739" s="158"/>
      <c r="O739" s="264">
        <f t="shared" si="33"/>
        <v>532</v>
      </c>
    </row>
    <row r="740" spans="1:15" x14ac:dyDescent="0.3">
      <c r="B740" s="235" t="s">
        <v>3465</v>
      </c>
      <c r="C740" s="263">
        <f>VLOOKUP("OPEXInsuranceEverythingDefault", Econ.inputsTable!$E:$G,2,FALSE)</f>
        <v>5.0000000000000001E-3</v>
      </c>
      <c r="D740" s="237">
        <f>VLOOKUP("OPEXRepair and maintenanceBuildings and constructionDefault",Econ.inputsTable!$E:$G,2,FALSE)</f>
        <v>0.01</v>
      </c>
      <c r="H740" s="147"/>
      <c r="I740" s="259"/>
      <c r="J740" s="259"/>
      <c r="K740" s="205"/>
      <c r="L740" s="158"/>
      <c r="O740" s="264">
        <f t="shared" si="33"/>
        <v>1425.6</v>
      </c>
    </row>
    <row r="741" spans="1:15" x14ac:dyDescent="0.3">
      <c r="B741" s="99" t="s">
        <v>349</v>
      </c>
      <c r="C741" s="263">
        <f>VLOOKUP("OPEXInsuranceEverythingDefault", Econ.inputsTable!$E:$G,2,FALSE)</f>
        <v>5.0000000000000001E-3</v>
      </c>
      <c r="D741" s="237">
        <f>VLOOKUP("OPEXRepair and maintenanceEquipmentDefault",Econ.inputsTable!$E:$G,2,FALSE)</f>
        <v>0.03</v>
      </c>
      <c r="H741" s="147">
        <f>(E673+(E694/E681))</f>
        <v>0.84172899453203454</v>
      </c>
      <c r="I741" s="259">
        <f>H741*E703</f>
        <v>3.1114432874480946</v>
      </c>
      <c r="J741" s="259">
        <f>I741*VLOOKUP("OPEXLubeLubeDefault",Econ.inputsTable!$E:$G,2,FALSE)</f>
        <v>0.31114432874480946</v>
      </c>
      <c r="K741" s="205">
        <f>(E667*VLOOKUP("OPEXLaborTractorDefault",Econ.inputsTable!$E:$G,2,FALSE))+(E688/E681*VLOOKUP("OPEXLaborTractorDefault",Econ.inputsTable!$E:$G,2,FALSE))</f>
        <v>0.15431698233087301</v>
      </c>
      <c r="L741" s="158">
        <f>K741*E706</f>
        <v>3.6511398019484553</v>
      </c>
      <c r="O741" s="264">
        <f t="shared" si="33"/>
        <v>8.2266155643187364</v>
      </c>
    </row>
    <row r="742" spans="1:15" x14ac:dyDescent="0.3">
      <c r="A742" t="s">
        <v>5205</v>
      </c>
      <c r="B742" s="162" t="s">
        <v>5203</v>
      </c>
      <c r="C742" s="241"/>
      <c r="D742" s="241"/>
      <c r="E742" s="242">
        <f t="shared" ref="E742:O742" si="34">SUM(E729:E741)</f>
        <v>0</v>
      </c>
      <c r="F742" s="286">
        <f t="shared" si="34"/>
        <v>934.64729834049092</v>
      </c>
      <c r="G742" s="242">
        <f t="shared" si="34"/>
        <v>64.109015938671504</v>
      </c>
      <c r="H742" s="286">
        <f t="shared" si="34"/>
        <v>68.243645858903875</v>
      </c>
      <c r="I742" s="242">
        <f t="shared" si="34"/>
        <v>252.26199310945836</v>
      </c>
      <c r="J742" s="242">
        <f t="shared" si="34"/>
        <v>25.226199310945841</v>
      </c>
      <c r="K742" s="402">
        <f t="shared" si="34"/>
        <v>9.7379590100001963</v>
      </c>
      <c r="L742" s="242">
        <f t="shared" si="34"/>
        <v>230.40011017660464</v>
      </c>
      <c r="M742" s="374">
        <f t="shared" si="34"/>
        <v>0</v>
      </c>
      <c r="N742" s="242">
        <f t="shared" si="34"/>
        <v>0</v>
      </c>
      <c r="O742" s="169">
        <f t="shared" si="34"/>
        <v>31030.375358167454</v>
      </c>
    </row>
    <row r="743" spans="1:15" x14ac:dyDescent="0.3">
      <c r="B743" s="99"/>
      <c r="O743" s="146"/>
    </row>
    <row r="744" spans="1:15" x14ac:dyDescent="0.3">
      <c r="A744" t="s">
        <v>5205</v>
      </c>
      <c r="B744" s="149" t="s">
        <v>6980</v>
      </c>
      <c r="C744" s="159">
        <f>O742</f>
        <v>31030.375358167454</v>
      </c>
      <c r="D744" s="150" t="s">
        <v>5181</v>
      </c>
      <c r="E744" s="150"/>
      <c r="F744" s="150"/>
      <c r="G744" s="150"/>
      <c r="H744" s="150"/>
      <c r="I744" s="150"/>
      <c r="J744" s="150"/>
      <c r="K744" s="150"/>
      <c r="L744" s="150"/>
      <c r="M744" s="150"/>
      <c r="N744" s="150"/>
      <c r="O744" s="151"/>
    </row>
    <row r="746" spans="1:15" x14ac:dyDescent="0.3">
      <c r="B746" s="384" t="s">
        <v>7123</v>
      </c>
      <c r="C746" s="3057" t="s">
        <v>6402</v>
      </c>
      <c r="D746" s="3058"/>
      <c r="E746" s="3059" t="s">
        <v>6417</v>
      </c>
      <c r="F746" s="3058"/>
    </row>
    <row r="747" spans="1:15" x14ac:dyDescent="0.3">
      <c r="B747" s="385" t="s">
        <v>7012</v>
      </c>
      <c r="C747" s="139" t="s">
        <v>7124</v>
      </c>
      <c r="D747" s="245" t="s">
        <v>7125</v>
      </c>
      <c r="E747" s="139" t="s">
        <v>7124</v>
      </c>
      <c r="F747" s="245" t="s">
        <v>7125</v>
      </c>
    </row>
    <row r="748" spans="1:15" x14ac:dyDescent="0.3">
      <c r="A748" t="s">
        <v>5205</v>
      </c>
      <c r="B748" s="386" t="s">
        <v>7013</v>
      </c>
      <c r="C748" s="387">
        <f xml:space="preserve"> VLOOKUP("Fertilizer value for on-farm use, liquids",$R$1:$T$332,3, FALSE)</f>
        <v>4909.6319819428227</v>
      </c>
      <c r="D748" s="388">
        <f>VLOOKUP("Fertilizer value for on-farm use, liquids",$R$1:$T$332,3, FALSE)</f>
        <v>4909.6319819428227</v>
      </c>
      <c r="E748" s="387">
        <v>0</v>
      </c>
      <c r="F748" s="389">
        <f>VLOOKUP("Fertilizer value for on-farm use, sludge",$R$1:$T$332,3, FALSE)</f>
        <v>12256.975793280892</v>
      </c>
    </row>
    <row r="749" spans="1:15" x14ac:dyDescent="0.3">
      <c r="A749" t="s">
        <v>5205</v>
      </c>
      <c r="B749" s="386" t="s">
        <v>7126</v>
      </c>
      <c r="C749" s="390">
        <f>C748</f>
        <v>4909.6319819428227</v>
      </c>
      <c r="D749" s="391"/>
      <c r="E749" s="390">
        <f>(F748/UDV.anaer_lagoon.sludge_time)</f>
        <v>1225.6975793280892</v>
      </c>
      <c r="F749" s="391"/>
    </row>
    <row r="750" spans="1:15" x14ac:dyDescent="0.3">
      <c r="A750" t="s">
        <v>5205</v>
      </c>
      <c r="B750" s="386" t="s">
        <v>7014</v>
      </c>
      <c r="C750" s="393">
        <f>SUM(C749,E749)</f>
        <v>6135.3295612709117</v>
      </c>
      <c r="D750" s="146"/>
      <c r="E750" s="99"/>
      <c r="F750" s="146"/>
    </row>
    <row r="751" spans="1:15" x14ac:dyDescent="0.3">
      <c r="B751" s="386"/>
      <c r="D751" s="146"/>
      <c r="E751" s="99"/>
      <c r="F751" s="146"/>
    </row>
    <row r="752" spans="1:15" x14ac:dyDescent="0.3">
      <c r="B752" s="394" t="s">
        <v>7015</v>
      </c>
      <c r="C752" s="139" t="s">
        <v>7124</v>
      </c>
      <c r="D752" s="245" t="s">
        <v>7125</v>
      </c>
      <c r="E752" s="139" t="s">
        <v>7124</v>
      </c>
      <c r="F752" s="245" t="s">
        <v>7125</v>
      </c>
    </row>
    <row r="753" spans="1:6" x14ac:dyDescent="0.3">
      <c r="A753" t="s">
        <v>5205</v>
      </c>
      <c r="B753" s="386" t="s">
        <v>7016</v>
      </c>
      <c r="C753" s="387">
        <f>UDV.econ_manure.liquid_sell_price*C632</f>
        <v>0</v>
      </c>
      <c r="D753" s="389">
        <f>UDV.econ_manure.liquid_sell_price*C632</f>
        <v>0</v>
      </c>
      <c r="E753" s="387">
        <v>0</v>
      </c>
      <c r="F753" s="389">
        <f>UDV.econ_manure.sludge_sell_price*C635</f>
        <v>0</v>
      </c>
    </row>
    <row r="754" spans="1:6" x14ac:dyDescent="0.3">
      <c r="A754" t="s">
        <v>5205</v>
      </c>
      <c r="B754" s="386" t="s">
        <v>7127</v>
      </c>
      <c r="C754" s="390">
        <f>C753</f>
        <v>0</v>
      </c>
      <c r="D754" s="391"/>
      <c r="E754" s="390">
        <f>(F753/UDV.anaer_lagoon.sludge_time)</f>
        <v>0</v>
      </c>
      <c r="F754" s="391"/>
    </row>
    <row r="755" spans="1:6" x14ac:dyDescent="0.3">
      <c r="A755" t="s">
        <v>5205</v>
      </c>
      <c r="B755" s="386" t="s">
        <v>7017</v>
      </c>
      <c r="C755" s="393">
        <f>SUM(C754,E754)</f>
        <v>0</v>
      </c>
      <c r="D755" s="146"/>
      <c r="E755" s="99"/>
      <c r="F755" s="146"/>
    </row>
    <row r="756" spans="1:6" x14ac:dyDescent="0.3">
      <c r="B756" s="386"/>
      <c r="C756" s="166"/>
      <c r="D756" s="146"/>
      <c r="E756" s="395"/>
      <c r="F756" s="396"/>
    </row>
    <row r="757" spans="1:6" x14ac:dyDescent="0.3">
      <c r="B757" s="397" t="s">
        <v>7018</v>
      </c>
      <c r="C757" s="139" t="s">
        <v>7124</v>
      </c>
      <c r="D757" s="245" t="s">
        <v>7125</v>
      </c>
      <c r="E757" s="139" t="s">
        <v>7124</v>
      </c>
      <c r="F757" s="245" t="s">
        <v>7125</v>
      </c>
    </row>
    <row r="758" spans="1:6" x14ac:dyDescent="0.3">
      <c r="A758" t="s">
        <v>5205</v>
      </c>
      <c r="B758" s="386" t="s">
        <v>7019</v>
      </c>
      <c r="C758" s="387">
        <f>UDV.econ_manure.liquid_sell_price*C633</f>
        <v>0</v>
      </c>
      <c r="D758" s="389">
        <f>UDV.econ_manure.liquid_sell_price*C633</f>
        <v>0</v>
      </c>
      <c r="E758" s="387"/>
      <c r="F758" s="389">
        <f>UDV.econ_manure.sludge_sell_price*C636</f>
        <v>0</v>
      </c>
    </row>
    <row r="759" spans="1:6" x14ac:dyDescent="0.3">
      <c r="A759" t="s">
        <v>5205</v>
      </c>
      <c r="B759" s="386" t="s">
        <v>7128</v>
      </c>
      <c r="C759" s="390">
        <f>C758</f>
        <v>0</v>
      </c>
      <c r="D759" s="391"/>
      <c r="E759" s="390">
        <f>(F758/UDV.anaer_lagoon.sludge_time)</f>
        <v>0</v>
      </c>
      <c r="F759" s="391"/>
    </row>
    <row r="760" spans="1:6" x14ac:dyDescent="0.3">
      <c r="A760" t="s">
        <v>5205</v>
      </c>
      <c r="B760" s="386" t="s">
        <v>7020</v>
      </c>
      <c r="C760" s="393">
        <f>SUM(C759,E759)</f>
        <v>0</v>
      </c>
      <c r="D760" s="146"/>
      <c r="E760" s="99"/>
      <c r="F760" s="146"/>
    </row>
    <row r="761" spans="1:6" x14ac:dyDescent="0.3">
      <c r="D761" s="146"/>
      <c r="E761" s="99"/>
      <c r="F761" s="146"/>
    </row>
    <row r="762" spans="1:6" x14ac:dyDescent="0.3">
      <c r="B762" s="398" t="s">
        <v>7021</v>
      </c>
      <c r="C762" s="139" t="s">
        <v>7124</v>
      </c>
      <c r="D762" s="245" t="s">
        <v>7125</v>
      </c>
      <c r="E762" s="139" t="s">
        <v>7124</v>
      </c>
      <c r="F762" s="245" t="s">
        <v>7125</v>
      </c>
    </row>
    <row r="763" spans="1:6" x14ac:dyDescent="0.3">
      <c r="A763" t="s">
        <v>5205</v>
      </c>
      <c r="B763" s="386" t="s">
        <v>7022</v>
      </c>
      <c r="C763" s="387">
        <f>UDV.econ_manure.liquid_export_cost*C634</f>
        <v>0</v>
      </c>
      <c r="D763" s="389">
        <f>UDV.econ_manure.liquid_export_cost*C634</f>
        <v>0</v>
      </c>
      <c r="E763" s="387"/>
      <c r="F763" s="389">
        <f>UDV.econ_manure.sludge_export_cost*C637</f>
        <v>0</v>
      </c>
    </row>
    <row r="764" spans="1:6" x14ac:dyDescent="0.3">
      <c r="A764" t="s">
        <v>5205</v>
      </c>
      <c r="B764" s="386" t="s">
        <v>7129</v>
      </c>
      <c r="C764" s="390">
        <f>C763</f>
        <v>0</v>
      </c>
      <c r="D764" s="391"/>
      <c r="E764" s="390">
        <f>(F763/UDV.anaer_lagoon.sludge_time)</f>
        <v>0</v>
      </c>
      <c r="F764" s="391"/>
    </row>
    <row r="765" spans="1:6" x14ac:dyDescent="0.3">
      <c r="A765" t="s">
        <v>5205</v>
      </c>
      <c r="B765" s="386" t="s">
        <v>7023</v>
      </c>
      <c r="C765" s="393">
        <f>SUM(C764,E764)</f>
        <v>0</v>
      </c>
      <c r="D765" s="146"/>
      <c r="E765" s="99"/>
      <c r="F765" s="146"/>
    </row>
    <row r="766" spans="1:6" x14ac:dyDescent="0.3">
      <c r="B766" s="386"/>
      <c r="D766" s="146"/>
      <c r="E766" s="99"/>
      <c r="F766" s="146"/>
    </row>
    <row r="767" spans="1:6" x14ac:dyDescent="0.3">
      <c r="B767" s="303" t="s">
        <v>7138</v>
      </c>
      <c r="C767" s="82" t="s">
        <v>5181</v>
      </c>
      <c r="D767" s="173"/>
      <c r="E767" s="99"/>
      <c r="F767" s="146"/>
    </row>
    <row r="768" spans="1:6" x14ac:dyDescent="0.3">
      <c r="B768" s="70" t="s">
        <v>7139</v>
      </c>
      <c r="C768" s="265"/>
      <c r="D768" s="151"/>
      <c r="E768" s="149"/>
      <c r="F768" s="151"/>
    </row>
    <row r="769" spans="1:23" ht="15" thickBot="1" x14ac:dyDescent="0.35">
      <c r="A769" s="137"/>
      <c r="B769" s="137"/>
      <c r="C769" s="137"/>
      <c r="D769" s="137"/>
      <c r="E769" s="137"/>
      <c r="F769" s="137"/>
      <c r="G769" s="137"/>
      <c r="H769" s="137"/>
      <c r="I769" s="137"/>
      <c r="J769" s="137"/>
      <c r="K769" s="137"/>
      <c r="L769" s="137"/>
      <c r="M769" s="137"/>
      <c r="N769" s="137"/>
      <c r="O769" s="137"/>
      <c r="P769" s="137"/>
      <c r="Q769" s="137"/>
      <c r="U769" s="42"/>
      <c r="W769" s="36"/>
    </row>
    <row r="770" spans="1:23" x14ac:dyDescent="0.3">
      <c r="U770" s="42"/>
      <c r="W770" s="36"/>
    </row>
    <row r="771" spans="1:23" x14ac:dyDescent="0.3">
      <c r="B771" s="139" t="s">
        <v>7050</v>
      </c>
      <c r="C771" s="142"/>
      <c r="D771" s="142"/>
      <c r="E771" s="267"/>
      <c r="F771" s="267"/>
      <c r="G771" s="142"/>
      <c r="H771" s="142"/>
      <c r="I771" s="142"/>
      <c r="J771" s="142"/>
      <c r="K771" s="142"/>
      <c r="L771" s="142"/>
      <c r="M771" s="142"/>
      <c r="N771" s="142"/>
      <c r="O771" s="142"/>
      <c r="P771" s="142"/>
      <c r="Q771" s="142"/>
      <c r="R771" s="142"/>
      <c r="S771" s="142"/>
      <c r="T771" s="142"/>
      <c r="U771" s="142"/>
      <c r="V771" s="142"/>
      <c r="W771" s="141"/>
    </row>
    <row r="772" spans="1:23" x14ac:dyDescent="0.3">
      <c r="B772" s="92" t="s">
        <v>7051</v>
      </c>
      <c r="E772" s="66"/>
      <c r="F772" s="66"/>
      <c r="W772" s="146"/>
    </row>
    <row r="773" spans="1:23" x14ac:dyDescent="0.3">
      <c r="B773" s="99"/>
      <c r="D773" s="66"/>
      <c r="E773" s="66"/>
      <c r="F773" s="66"/>
      <c r="W773" s="146"/>
    </row>
    <row r="774" spans="1:23" x14ac:dyDescent="0.3">
      <c r="B774" s="92" t="s">
        <v>7052</v>
      </c>
      <c r="C774" s="82" t="s">
        <v>565</v>
      </c>
      <c r="D774" s="82" t="s">
        <v>38</v>
      </c>
      <c r="E774" s="66"/>
      <c r="W774" s="146"/>
    </row>
    <row r="775" spans="1:23" x14ac:dyDescent="0.3">
      <c r="B775" s="99" t="s">
        <v>5859</v>
      </c>
      <c r="C775">
        <f>UDV.animal.total</f>
        <v>500</v>
      </c>
      <c r="D775" t="s">
        <v>2442</v>
      </c>
      <c r="E775" s="66"/>
      <c r="W775" s="146"/>
    </row>
    <row r="776" spans="1:23" x14ac:dyDescent="0.3">
      <c r="B776" s="174" t="s">
        <v>5386</v>
      </c>
      <c r="C776">
        <f>UDV.crops.acres_available</f>
        <v>100</v>
      </c>
      <c r="D776" t="s">
        <v>7029</v>
      </c>
      <c r="E776" s="66"/>
      <c r="W776" s="146"/>
    </row>
    <row r="777" spans="1:23" x14ac:dyDescent="0.3">
      <c r="B777" s="99" t="s">
        <v>5114</v>
      </c>
      <c r="C777" t="str">
        <f>UDV.u.state</f>
        <v>Iowa</v>
      </c>
      <c r="D777" t="s">
        <v>2852</v>
      </c>
      <c r="E777" s="66"/>
      <c r="H777" s="19"/>
      <c r="I777" s="42"/>
      <c r="J777" s="3"/>
      <c r="L777" s="42"/>
      <c r="T777" s="20"/>
      <c r="W777" s="113"/>
    </row>
    <row r="778" spans="1:23" ht="13.5" customHeight="1" x14ac:dyDescent="0.3">
      <c r="A778" t="s">
        <v>4912</v>
      </c>
      <c r="B778" s="99" t="s">
        <v>7240</v>
      </c>
      <c r="C778" s="166">
        <f>VLOOKUP("Emissions reductions for tanker", $R$1:$U$299,3,FALSE)*UDV.econ_energy.carbon_credits</f>
        <v>0</v>
      </c>
      <c r="D778" t="s">
        <v>5181</v>
      </c>
      <c r="E778" s="66"/>
      <c r="H778" s="19"/>
      <c r="I778" s="42"/>
      <c r="J778" s="3"/>
      <c r="L778" s="42"/>
      <c r="T778" s="20"/>
      <c r="W778" s="113"/>
    </row>
    <row r="779" spans="1:23" x14ac:dyDescent="0.3">
      <c r="B779" s="99"/>
      <c r="D779" s="66"/>
      <c r="E779" s="66"/>
      <c r="F779" s="66"/>
      <c r="H779" s="19"/>
      <c r="I779" s="42"/>
      <c r="J779" s="3"/>
      <c r="L779" s="42"/>
      <c r="T779" s="20"/>
      <c r="W779" s="113"/>
    </row>
    <row r="780" spans="1:23" x14ac:dyDescent="0.3">
      <c r="A780" t="s">
        <v>4912</v>
      </c>
      <c r="B780" s="92" t="s">
        <v>7053</v>
      </c>
      <c r="C780" s="82" t="s">
        <v>5181</v>
      </c>
      <c r="D780" s="82" t="s">
        <v>7140</v>
      </c>
      <c r="E780" s="66"/>
      <c r="J780" s="3"/>
      <c r="L780" s="42"/>
      <c r="T780" s="20"/>
      <c r="W780" s="113"/>
    </row>
    <row r="781" spans="1:23" x14ac:dyDescent="0.3">
      <c r="A781" t="s">
        <v>4912</v>
      </c>
      <c r="B781" s="275" t="s">
        <v>2585</v>
      </c>
      <c r="C781" s="276">
        <f>F801</f>
        <v>240455.52477506676</v>
      </c>
      <c r="D781" s="153">
        <f>C781/C775</f>
        <v>480.9110495501335</v>
      </c>
      <c r="E781" s="66"/>
      <c r="J781" s="3"/>
      <c r="L781" s="42"/>
      <c r="T781" s="20"/>
      <c r="W781" s="113"/>
    </row>
    <row r="782" spans="1:23" x14ac:dyDescent="0.3">
      <c r="A782" t="s">
        <v>4912</v>
      </c>
      <c r="B782" s="275" t="s">
        <v>2588</v>
      </c>
      <c r="C782" s="276">
        <f>G801+L801</f>
        <v>109983.03277446126</v>
      </c>
      <c r="D782" s="153">
        <f>C782/C775</f>
        <v>219.96606554892253</v>
      </c>
      <c r="E782" s="66"/>
      <c r="J782" s="3"/>
      <c r="L782" s="42"/>
      <c r="T782" s="20"/>
      <c r="W782" s="113"/>
    </row>
    <row r="783" spans="1:23" x14ac:dyDescent="0.3">
      <c r="A783" t="s">
        <v>4912</v>
      </c>
      <c r="B783" s="275" t="s">
        <v>441</v>
      </c>
      <c r="C783" s="276">
        <f>I801</f>
        <v>860.94465773275579</v>
      </c>
      <c r="D783" s="153">
        <f>C783/C775</f>
        <v>1.7218893154655115</v>
      </c>
      <c r="E783" s="66"/>
      <c r="J783" s="3"/>
      <c r="L783" s="42"/>
      <c r="T783" s="20"/>
      <c r="W783" s="113"/>
    </row>
    <row r="784" spans="1:23" x14ac:dyDescent="0.3">
      <c r="A784" t="s">
        <v>4912</v>
      </c>
      <c r="B784" s="275" t="s">
        <v>440</v>
      </c>
      <c r="C784" s="276">
        <f>J801</f>
        <v>6135.3295612709117</v>
      </c>
      <c r="D784" s="153">
        <f>C784/C775</f>
        <v>12.270659122541824</v>
      </c>
      <c r="E784" s="66"/>
      <c r="J784" s="3"/>
      <c r="L784" s="42"/>
      <c r="T784" s="20"/>
      <c r="W784" s="113"/>
    </row>
    <row r="785" spans="1:25" x14ac:dyDescent="0.3">
      <c r="A785" t="s">
        <v>4912</v>
      </c>
      <c r="B785" s="275" t="s">
        <v>442</v>
      </c>
      <c r="C785" s="276">
        <f>K801</f>
        <v>0</v>
      </c>
      <c r="D785" s="153">
        <f>C785/C775</f>
        <v>0</v>
      </c>
      <c r="E785" s="66"/>
      <c r="J785" s="3"/>
      <c r="L785" s="42"/>
      <c r="P785" s="277"/>
      <c r="T785" s="20"/>
      <c r="W785" s="113"/>
    </row>
    <row r="786" spans="1:25" x14ac:dyDescent="0.3">
      <c r="A786" t="s">
        <v>4912</v>
      </c>
      <c r="B786" s="2270" t="s">
        <v>439</v>
      </c>
      <c r="C786" s="2271">
        <f>M801</f>
        <v>-350438.55754952796</v>
      </c>
      <c r="D786" s="159">
        <f>C786/C775</f>
        <v>-700.87711509905591</v>
      </c>
      <c r="E786" s="288"/>
      <c r="J786" s="3"/>
      <c r="L786" s="42"/>
      <c r="T786" s="20"/>
      <c r="W786" s="113"/>
    </row>
    <row r="787" spans="1:25" x14ac:dyDescent="0.3">
      <c r="A787" t="s">
        <v>4912</v>
      </c>
      <c r="B787" s="99" t="s">
        <v>7055</v>
      </c>
      <c r="C787" s="276">
        <f>L801</f>
        <v>0</v>
      </c>
      <c r="D787" s="153">
        <f>C787/C775</f>
        <v>0</v>
      </c>
      <c r="E787" s="279" t="s">
        <v>7056</v>
      </c>
      <c r="J787" s="3"/>
      <c r="L787" s="42"/>
      <c r="T787" s="20"/>
      <c r="W787" s="113"/>
    </row>
    <row r="788" spans="1:25" x14ac:dyDescent="0.3">
      <c r="A788" t="s">
        <v>4912</v>
      </c>
      <c r="B788" s="99" t="s">
        <v>7057</v>
      </c>
      <c r="C788" s="153">
        <f>C781+C782</f>
        <v>350438.55754952802</v>
      </c>
      <c r="D788" s="153">
        <f>C788/C775</f>
        <v>700.87711509905603</v>
      </c>
      <c r="E788" s="66"/>
      <c r="J788" s="3"/>
      <c r="L788" s="42"/>
      <c r="T788" s="20"/>
      <c r="W788" s="113"/>
    </row>
    <row r="789" spans="1:25" ht="13.5" customHeight="1" x14ac:dyDescent="0.3">
      <c r="A789" t="s">
        <v>4912</v>
      </c>
      <c r="B789" s="853" t="s">
        <v>5392</v>
      </c>
      <c r="C789" s="142"/>
      <c r="D789" s="854">
        <f>E801</f>
        <v>3102341.3809280042</v>
      </c>
      <c r="E789" s="271" t="s">
        <v>2284</v>
      </c>
      <c r="J789" s="3"/>
      <c r="L789" s="42"/>
      <c r="T789" s="20"/>
      <c r="W789" s="113"/>
    </row>
    <row r="790" spans="1:25" ht="13.5" customHeight="1" x14ac:dyDescent="0.3">
      <c r="A790" t="s">
        <v>4912</v>
      </c>
      <c r="B790" s="852" t="s">
        <v>5393</v>
      </c>
      <c r="D790" s="274">
        <f>E801/C775</f>
        <v>6204.6827618560083</v>
      </c>
      <c r="E790" s="20" t="s">
        <v>7058</v>
      </c>
      <c r="J790" s="3"/>
      <c r="L790" s="42"/>
      <c r="T790" s="20"/>
      <c r="W790" s="113"/>
    </row>
    <row r="791" spans="1:25" x14ac:dyDescent="0.3">
      <c r="B791" s="174"/>
      <c r="E791" s="66"/>
      <c r="H791" s="42"/>
      <c r="I791" s="3"/>
      <c r="K791" s="42"/>
      <c r="N791" s="273" t="s">
        <v>7059</v>
      </c>
      <c r="O791" s="90"/>
      <c r="P791" s="90"/>
      <c r="Q791" s="90"/>
      <c r="R791" s="90"/>
      <c r="S791" s="279"/>
      <c r="T791" s="90"/>
      <c r="U791" s="90"/>
      <c r="V791" s="42"/>
      <c r="W791" s="146"/>
    </row>
    <row r="792" spans="1:25" x14ac:dyDescent="0.3">
      <c r="B792" s="92" t="s">
        <v>7060</v>
      </c>
      <c r="E792" s="66"/>
      <c r="M792" s="113"/>
      <c r="N792" s="90" t="s">
        <v>5323</v>
      </c>
      <c r="O792" s="90" t="s">
        <v>5181</v>
      </c>
      <c r="P792" s="90" t="s">
        <v>5324</v>
      </c>
      <c r="Q792" s="90" t="s">
        <v>5181</v>
      </c>
      <c r="R792" s="90" t="s">
        <v>2710</v>
      </c>
      <c r="S792" s="90" t="s">
        <v>5181</v>
      </c>
      <c r="T792" s="90" t="s">
        <v>2710</v>
      </c>
      <c r="U792" s="90" t="s">
        <v>5181</v>
      </c>
      <c r="V792" s="90" t="s">
        <v>2710</v>
      </c>
      <c r="W792" s="280" t="s">
        <v>5181</v>
      </c>
    </row>
    <row r="793" spans="1:25" ht="28.8" x14ac:dyDescent="0.3">
      <c r="B793" s="92" t="s">
        <v>5187</v>
      </c>
      <c r="C793" s="82" t="s">
        <v>7061</v>
      </c>
      <c r="D793" s="82" t="s">
        <v>7062</v>
      </c>
      <c r="E793" s="277" t="s">
        <v>7063</v>
      </c>
      <c r="F793" s="152" t="s">
        <v>7064</v>
      </c>
      <c r="G793" s="277" t="s">
        <v>2588</v>
      </c>
      <c r="H793" s="152" t="s">
        <v>5188</v>
      </c>
      <c r="I793" s="82" t="s">
        <v>5189</v>
      </c>
      <c r="J793" s="82" t="s">
        <v>5190</v>
      </c>
      <c r="K793" s="82" t="s">
        <v>442</v>
      </c>
      <c r="L793" s="82" t="s">
        <v>5191</v>
      </c>
      <c r="M793" s="173" t="s">
        <v>439</v>
      </c>
      <c r="N793" s="281" t="s">
        <v>5192</v>
      </c>
      <c r="O793" s="281" t="s">
        <v>5193</v>
      </c>
      <c r="P793" s="281" t="s">
        <v>5194</v>
      </c>
      <c r="Q793" s="281" t="s">
        <v>5195</v>
      </c>
      <c r="R793" s="281" t="s">
        <v>5196</v>
      </c>
      <c r="S793" s="281" t="s">
        <v>5197</v>
      </c>
      <c r="T793" s="281" t="s">
        <v>5198</v>
      </c>
      <c r="U793" s="281" t="s">
        <v>5199</v>
      </c>
      <c r="V793" s="281" t="s">
        <v>5200</v>
      </c>
      <c r="W793" s="282" t="s">
        <v>5201</v>
      </c>
    </row>
    <row r="794" spans="1:25" x14ac:dyDescent="0.3">
      <c r="A794" t="s">
        <v>7066</v>
      </c>
      <c r="B794" s="99" t="s">
        <v>6945</v>
      </c>
      <c r="C794" s="158">
        <f>SUMIFS($C$300:$C$766,$A$300:$A$766,_xlfn.CONCAT(B794,"_construction"))</f>
        <v>17700.891908535374</v>
      </c>
      <c r="D794" s="158">
        <f>SUMIFS($C$300:$C$766,$A$300:$A$766,_xlfn.CONCAT(B794,"_equipment"))</f>
        <v>0</v>
      </c>
      <c r="E794" s="274">
        <f>SUM(C794:D794)</f>
        <v>17700.891908535374</v>
      </c>
      <c r="F794" s="158">
        <f>SUMIFS($D$300:$D$766,$A$300:$A$766,$B794,$B$300:$B$766,"Total capital recovery value")</f>
        <v>1432.4335079052032</v>
      </c>
      <c r="G794" s="158">
        <f>SUMIFS($C$300:$C$766,$A$300:$A$766,$B794,$B$300:$B$766,"Annual operational costs")</f>
        <v>265.51337862803058</v>
      </c>
      <c r="H794" s="153">
        <f>SUM(F794:G794)</f>
        <v>1697.9468865332337</v>
      </c>
      <c r="I794" s="158">
        <f>SUMIFS($C$300:$C$766,$A$300:$A$766,$B794,$B$300:$B$766,"Annual cost savings")</f>
        <v>0</v>
      </c>
      <c r="J794" s="158">
        <f>SUMIFS($C$300:$C$766,$A$300:$A$766,$B794,$B$300:$B$766,"Annual fertilizer value for on-farm use")</f>
        <v>0</v>
      </c>
      <c r="K794" s="158">
        <f>SUMIFS($C$300:$C$766,$A$300:$A$766,$B794,$B$300:$B$766,"Annual revenues")</f>
        <v>0</v>
      </c>
      <c r="L794" s="158">
        <f>SUMIFS($C$300:$C$766,$A$300:$A$766,$B794,$B$300:$B$766,"Annual cost to export excess")</f>
        <v>0</v>
      </c>
      <c r="M794" s="283">
        <f>K794-F794-G794</f>
        <v>-1697.9468865332337</v>
      </c>
      <c r="N794">
        <f>SUMIFS($F$300:$F$766,$A$300:$A$766,$B794,$B$300:$B$766,"Totals")</f>
        <v>0</v>
      </c>
      <c r="O794">
        <f>SUMIFS($G$300:$G$766,$A$300:$A$766,$B794,$B$300:$B$766,"Totals")</f>
        <v>0</v>
      </c>
      <c r="P794" s="147">
        <f>SUMIFS($H$300:$H$766,$A$300:$A$766,$B794,$B$300:$B$766,"Totals")</f>
        <v>0</v>
      </c>
      <c r="Q794" s="147">
        <f>SUMIFS($I$300:$I$766,$A$300:$A$766,$B794,$B$300:$B$766,"Totals")</f>
        <v>0</v>
      </c>
      <c r="R794" s="2315">
        <f>SUMIFS($K$300:$K$766,$A$300:$A$766,$B794,$B$300:$B$766,"Totals")</f>
        <v>0</v>
      </c>
      <c r="S794" s="2315">
        <f>SUMIFS($L$300:$L$766,$A$300:$A$766,$B794,$B$300:$B$766,"Totals")</f>
        <v>0</v>
      </c>
      <c r="T794" s="2315">
        <f>SUMIFS($M$300:$M$766,$A$300:$A$766,$B794,$B$300:$B$766,"Totals")</f>
        <v>0</v>
      </c>
      <c r="U794" s="2315">
        <f>SUMIFS($N$300:$N$766,$A$300:$A$766,$B794,$B$300:$B$766,"Totals")</f>
        <v>0</v>
      </c>
      <c r="V794" s="147">
        <f>R794+T794</f>
        <v>0</v>
      </c>
      <c r="W794" s="285">
        <f>S794+U794</f>
        <v>0</v>
      </c>
      <c r="Y794" s="36"/>
    </row>
    <row r="795" spans="1:25" x14ac:dyDescent="0.3">
      <c r="A795" t="str">
        <f t="shared" ref="A795:A801" si="35">_xlfn.CONCAT("TL",B795)</f>
        <v>TLBarn and parlor</v>
      </c>
      <c r="B795" s="99" t="s">
        <v>5209</v>
      </c>
      <c r="C795" s="233">
        <f t="shared" ref="C795:C800" si="36">SUMIFS($C:$C,$A:$A,_xlfn.CONCAT(B795,"_construction"))</f>
        <v>0</v>
      </c>
      <c r="D795" s="233">
        <f t="shared" ref="D795:D800" si="37">SUMIFS($C:$C,$A:$A,_xlfn.CONCAT(B795,"_equipment"))</f>
        <v>0</v>
      </c>
      <c r="E795" s="274">
        <f t="shared" ref="E795:E800" si="38">SUM(C795:D795)</f>
        <v>0</v>
      </c>
      <c r="F795" s="233">
        <f t="shared" ref="F795:F800" si="39">SUMIFS($D:$D,$A:$A,$B795,$B:$B,"Total capital recovery value")</f>
        <v>0</v>
      </c>
      <c r="G795" s="233">
        <f t="shared" ref="G795:G800" si="40">SUMIFS($C:$C,$A:$A,$B795,$B:$B,"Annual operational costs")</f>
        <v>217.84991231530387</v>
      </c>
      <c r="H795" s="153">
        <f t="shared" ref="H795:H800" si="41">SUM(F795:G795)</f>
        <v>217.84991231530387</v>
      </c>
      <c r="I795" s="233">
        <f t="shared" ref="I795:I800" si="42">SUMIFS($C:$C,$A:$A,$B795,$B:$B,"Annual cost savings")</f>
        <v>0</v>
      </c>
      <c r="J795" s="233">
        <f t="shared" ref="J795:J800" si="43">SUMIFS($C:$C,$A:$A,$B795,$B:$B,"Annual fertilizer value for on-farm use")</f>
        <v>0</v>
      </c>
      <c r="K795" s="233">
        <f>SUMIFS($C:$C,$A:$A,$B795,$B:$B,"Annual revenues")</f>
        <v>0</v>
      </c>
      <c r="L795" s="233">
        <f t="shared" ref="L795:L800" si="44">SUMIFS($C:$C,$A:$A,$B795,$B:$B,"Annual cost to export excess")</f>
        <v>0</v>
      </c>
      <c r="M795" s="283">
        <f>K795-F795-G795</f>
        <v>-217.84991231530387</v>
      </c>
      <c r="N795">
        <f t="shared" ref="N795:N800" si="45">SUMIFS($F:$F,$A:$A,$B795,$B:$B,"Totals")</f>
        <v>0</v>
      </c>
      <c r="O795">
        <f t="shared" ref="O795:O800" si="46">SUMIFS($G:$G,$A:$A,$B795,$B:$B,"Totals")</f>
        <v>0</v>
      </c>
      <c r="P795" s="147">
        <f t="shared" ref="P795:P800" si="47">SUMIFS($H:$H,$A:$A,$B795,$B:$B,"Totals")</f>
        <v>0</v>
      </c>
      <c r="Q795" s="147">
        <f t="shared" ref="Q795:Q800" si="48">SUMIFS($I:$I,$A:$A,$B795,$B:$B,"Totals")</f>
        <v>0</v>
      </c>
      <c r="R795" s="284">
        <f t="shared" ref="R795:R800" si="49">SUMIFS($K:$K,$A:$A,$B795,$B:$B,"Totals")</f>
        <v>0</v>
      </c>
      <c r="S795" s="284">
        <f t="shared" ref="S795:S800" si="50">SUMIFS($L:$L,$A:$A,$B795,$B:$B,"Totals")</f>
        <v>0</v>
      </c>
      <c r="T795" s="284">
        <f t="shared" ref="T795:T800" si="51">SUMIFS($M:$M,$A:$A,$B795,$B:$B,"Totals")</f>
        <v>0</v>
      </c>
      <c r="U795" s="284">
        <f t="shared" ref="U795:U800" si="52">SUMIFS($N:$N,$A:$A,$B795,$B:$B,"Totals")</f>
        <v>0</v>
      </c>
      <c r="V795" s="147">
        <f t="shared" ref="V795:W800" si="53">R795+T795</f>
        <v>0</v>
      </c>
      <c r="W795" s="285">
        <f t="shared" si="53"/>
        <v>0</v>
      </c>
    </row>
    <row r="796" spans="1:25" x14ac:dyDescent="0.3">
      <c r="A796" t="str">
        <f t="shared" si="35"/>
        <v>TLReception pit</v>
      </c>
      <c r="B796" s="99" t="s">
        <v>5219</v>
      </c>
      <c r="C796" s="233">
        <f t="shared" si="36"/>
        <v>11278.228484656651</v>
      </c>
      <c r="D796" s="233">
        <f t="shared" si="37"/>
        <v>13570</v>
      </c>
      <c r="E796" s="274">
        <f t="shared" si="38"/>
        <v>24848.228484656651</v>
      </c>
      <c r="F796" s="233">
        <f t="shared" si="39"/>
        <v>2085.172249970477</v>
      </c>
      <c r="G796" s="233">
        <f t="shared" si="40"/>
        <v>1629.2470937565076</v>
      </c>
      <c r="H796" s="153">
        <f t="shared" si="41"/>
        <v>3714.4193437269846</v>
      </c>
      <c r="I796" s="233">
        <f t="shared" si="42"/>
        <v>0</v>
      </c>
      <c r="J796" s="233">
        <f t="shared" si="43"/>
        <v>0</v>
      </c>
      <c r="K796" s="233">
        <f>SUMIFS($C:$C,$A:$A,$B796,$B:$B,"Annual revenues")</f>
        <v>0</v>
      </c>
      <c r="L796" s="233">
        <f t="shared" si="44"/>
        <v>0</v>
      </c>
      <c r="M796" s="283">
        <f t="shared" ref="M796:M800" si="54">K796-F796-G796</f>
        <v>-3714.4193437269846</v>
      </c>
      <c r="N796">
        <f t="shared" si="45"/>
        <v>249.64645588615733</v>
      </c>
      <c r="O796">
        <f t="shared" si="46"/>
        <v>17.123666486658006</v>
      </c>
      <c r="P796" s="147">
        <f t="shared" si="47"/>
        <v>0</v>
      </c>
      <c r="Q796" s="147">
        <f t="shared" si="48"/>
        <v>0</v>
      </c>
      <c r="R796" s="284">
        <f t="shared" si="49"/>
        <v>0</v>
      </c>
      <c r="S796" s="284">
        <f t="shared" si="50"/>
        <v>0</v>
      </c>
      <c r="T796" s="284">
        <f t="shared" si="51"/>
        <v>0</v>
      </c>
      <c r="U796" s="284">
        <f t="shared" si="52"/>
        <v>0</v>
      </c>
      <c r="V796" s="147">
        <f t="shared" si="53"/>
        <v>0</v>
      </c>
      <c r="W796" s="285">
        <f t="shared" si="53"/>
        <v>0</v>
      </c>
    </row>
    <row r="797" spans="1:25" x14ac:dyDescent="0.3">
      <c r="A797" t="str">
        <f t="shared" si="35"/>
        <v>TLAnaerobic digestion</v>
      </c>
      <c r="B797" s="99" t="s">
        <v>5220</v>
      </c>
      <c r="C797" s="233">
        <f t="shared" si="36"/>
        <v>1641554.8511827372</v>
      </c>
      <c r="D797" s="233">
        <f t="shared" si="37"/>
        <v>0</v>
      </c>
      <c r="E797" s="274">
        <f t="shared" si="38"/>
        <v>1641554.8511827372</v>
      </c>
      <c r="F797" s="233">
        <f t="shared" si="39"/>
        <v>187641.84410893399</v>
      </c>
      <c r="G797" s="233">
        <f t="shared" si="40"/>
        <v>90757.52770813668</v>
      </c>
      <c r="H797" s="153">
        <f t="shared" si="41"/>
        <v>278399.37181707064</v>
      </c>
      <c r="I797" s="233">
        <f t="shared" si="42"/>
        <v>0</v>
      </c>
      <c r="J797" s="233">
        <f t="shared" si="43"/>
        <v>0</v>
      </c>
      <c r="K797" s="784">
        <f>SUMIFS($C:$C,$A:$A,$B797,$B:$B,"Annual revenues for tanker")</f>
        <v>0</v>
      </c>
      <c r="L797" s="233">
        <f t="shared" si="44"/>
        <v>0</v>
      </c>
      <c r="M797" s="283">
        <f t="shared" si="54"/>
        <v>-278399.37181707064</v>
      </c>
      <c r="N797">
        <f t="shared" si="45"/>
        <v>0</v>
      </c>
      <c r="O797">
        <f t="shared" si="46"/>
        <v>0</v>
      </c>
      <c r="P797" s="147">
        <f t="shared" si="47"/>
        <v>0</v>
      </c>
      <c r="Q797" s="147">
        <f t="shared" si="48"/>
        <v>0</v>
      </c>
      <c r="R797" s="284">
        <f t="shared" si="49"/>
        <v>0</v>
      </c>
      <c r="S797" s="284">
        <f t="shared" si="50"/>
        <v>0</v>
      </c>
      <c r="T797" s="284">
        <f t="shared" si="51"/>
        <v>0</v>
      </c>
      <c r="U797" s="284">
        <f t="shared" si="52"/>
        <v>0</v>
      </c>
      <c r="V797" s="147">
        <f t="shared" si="53"/>
        <v>0</v>
      </c>
      <c r="W797" s="285">
        <f t="shared" si="53"/>
        <v>0</v>
      </c>
    </row>
    <row r="798" spans="1:25" x14ac:dyDescent="0.3">
      <c r="A798" t="str">
        <f t="shared" si="35"/>
        <v>TLLagoon</v>
      </c>
      <c r="B798" s="99" t="s">
        <v>5210</v>
      </c>
      <c r="C798" s="233">
        <f t="shared" si="36"/>
        <v>129137.409352075</v>
      </c>
      <c r="D798" s="233">
        <f t="shared" si="37"/>
        <v>0</v>
      </c>
      <c r="E798" s="274">
        <f t="shared" si="38"/>
        <v>129137.409352075</v>
      </c>
      <c r="F798" s="233">
        <f t="shared" si="39"/>
        <v>10450.363362243077</v>
      </c>
      <c r="G798" s="233">
        <f t="shared" si="40"/>
        <v>1937.0611402811251</v>
      </c>
      <c r="H798" s="153">
        <f t="shared" si="41"/>
        <v>12387.424502524202</v>
      </c>
      <c r="I798" s="233">
        <f t="shared" si="42"/>
        <v>0</v>
      </c>
      <c r="J798" s="233">
        <f t="shared" si="43"/>
        <v>0</v>
      </c>
      <c r="K798" s="233">
        <f>SUMIFS($C:$C,$A:$A,$B798,$B:$B,"Annual revenues")</f>
        <v>0</v>
      </c>
      <c r="L798" s="233">
        <f t="shared" si="44"/>
        <v>0</v>
      </c>
      <c r="M798" s="283">
        <f t="shared" si="54"/>
        <v>-12387.424502524202</v>
      </c>
      <c r="N798">
        <f t="shared" si="45"/>
        <v>0</v>
      </c>
      <c r="O798">
        <f t="shared" si="46"/>
        <v>0</v>
      </c>
      <c r="P798" s="147">
        <f t="shared" si="47"/>
        <v>0</v>
      </c>
      <c r="Q798" s="147">
        <f t="shared" si="48"/>
        <v>0</v>
      </c>
      <c r="R798" s="284">
        <f t="shared" si="49"/>
        <v>0</v>
      </c>
      <c r="S798" s="284">
        <f t="shared" si="50"/>
        <v>0</v>
      </c>
      <c r="T798" s="284">
        <f t="shared" si="51"/>
        <v>0</v>
      </c>
      <c r="U798" s="284">
        <f t="shared" si="52"/>
        <v>0</v>
      </c>
      <c r="V798" s="147">
        <f t="shared" si="53"/>
        <v>0</v>
      </c>
      <c r="W798" s="285">
        <f t="shared" si="53"/>
        <v>0</v>
      </c>
    </row>
    <row r="799" spans="1:25" x14ac:dyDescent="0.3">
      <c r="A799" t="str">
        <f t="shared" si="35"/>
        <v>TLPit recharge</v>
      </c>
      <c r="B799" s="99" t="s">
        <v>5216</v>
      </c>
      <c r="C799" s="233">
        <f t="shared" si="36"/>
        <v>0</v>
      </c>
      <c r="D799" s="233">
        <f t="shared" si="37"/>
        <v>0</v>
      </c>
      <c r="E799" s="274">
        <f t="shared" si="38"/>
        <v>0</v>
      </c>
      <c r="F799" s="233">
        <f t="shared" si="39"/>
        <v>3017.6174069102476</v>
      </c>
      <c r="G799" s="233">
        <f t="shared" si="40"/>
        <v>1014.0635770177494</v>
      </c>
      <c r="H799" s="153">
        <f t="shared" si="41"/>
        <v>4031.6809839279967</v>
      </c>
      <c r="I799" s="233">
        <f t="shared" si="42"/>
        <v>860.94465773275579</v>
      </c>
      <c r="J799" s="233">
        <f t="shared" si="43"/>
        <v>0</v>
      </c>
      <c r="K799" s="233">
        <f>SUMIFS($C:$C,$A:$A,$B799,$B:$B,"Annual revenues")</f>
        <v>0</v>
      </c>
      <c r="L799" s="233">
        <f t="shared" si="44"/>
        <v>0</v>
      </c>
      <c r="M799" s="283">
        <f t="shared" si="54"/>
        <v>-4031.6809839279967</v>
      </c>
      <c r="N799" s="278">
        <f t="shared" si="45"/>
        <v>92.045831870967106</v>
      </c>
      <c r="O799" s="147">
        <f t="shared" si="46"/>
        <v>6.3135770177494184</v>
      </c>
      <c r="P799" s="147">
        <f t="shared" si="47"/>
        <v>0</v>
      </c>
      <c r="Q799" s="147">
        <f t="shared" si="48"/>
        <v>0</v>
      </c>
      <c r="R799" s="284">
        <f t="shared" si="49"/>
        <v>0</v>
      </c>
      <c r="S799" s="284">
        <f t="shared" si="50"/>
        <v>0</v>
      </c>
      <c r="T799" s="284">
        <f t="shared" si="51"/>
        <v>0</v>
      </c>
      <c r="U799" s="284">
        <f t="shared" si="52"/>
        <v>0</v>
      </c>
      <c r="V799" s="147">
        <f t="shared" si="53"/>
        <v>0</v>
      </c>
      <c r="W799" s="285">
        <f t="shared" si="53"/>
        <v>0</v>
      </c>
    </row>
    <row r="800" spans="1:25" x14ac:dyDescent="0.3">
      <c r="A800" t="str">
        <f t="shared" si="35"/>
        <v>TLEnd use tanker</v>
      </c>
      <c r="B800" s="99" t="s">
        <v>5202</v>
      </c>
      <c r="C800" s="233">
        <f t="shared" si="36"/>
        <v>0</v>
      </c>
      <c r="D800" s="233">
        <f t="shared" si="37"/>
        <v>1289100</v>
      </c>
      <c r="E800" s="274">
        <f t="shared" si="38"/>
        <v>1289100</v>
      </c>
      <c r="F800" s="233">
        <f t="shared" si="39"/>
        <v>35828.094139103763</v>
      </c>
      <c r="G800" s="233">
        <f t="shared" si="40"/>
        <v>14161.769964325866</v>
      </c>
      <c r="H800" s="153">
        <f t="shared" si="41"/>
        <v>49989.864103429631</v>
      </c>
      <c r="I800" s="233">
        <f t="shared" si="42"/>
        <v>0</v>
      </c>
      <c r="J800" s="233">
        <f t="shared" si="43"/>
        <v>6135.3295612709117</v>
      </c>
      <c r="K800" s="233">
        <f>SUMIFS($C:$C,$A:$A,$B800,$B:$B,"Annual revenues")</f>
        <v>0</v>
      </c>
      <c r="L800" s="233">
        <f t="shared" si="44"/>
        <v>0</v>
      </c>
      <c r="M800" s="283">
        <f t="shared" si="54"/>
        <v>-49989.864103429631</v>
      </c>
      <c r="N800">
        <f t="shared" si="45"/>
        <v>934.64729834049092</v>
      </c>
      <c r="O800">
        <f t="shared" si="46"/>
        <v>64.109015938671504</v>
      </c>
      <c r="P800" s="147">
        <f t="shared" si="47"/>
        <v>177.61872680194526</v>
      </c>
      <c r="Q800" s="147">
        <f t="shared" si="48"/>
        <v>656.56594797502453</v>
      </c>
      <c r="R800" s="284">
        <f t="shared" si="49"/>
        <v>29.953980317025426</v>
      </c>
      <c r="S800" s="284">
        <f t="shared" si="50"/>
        <v>708.71117430082154</v>
      </c>
      <c r="T800" s="284">
        <f t="shared" si="51"/>
        <v>0</v>
      </c>
      <c r="U800" s="284">
        <f t="shared" si="52"/>
        <v>0</v>
      </c>
      <c r="V800" s="147">
        <f t="shared" si="53"/>
        <v>29.953980317025426</v>
      </c>
      <c r="W800" s="285">
        <f t="shared" si="53"/>
        <v>708.71117430082154</v>
      </c>
    </row>
    <row r="801" spans="1:23" x14ac:dyDescent="0.3">
      <c r="A801" t="str">
        <f t="shared" si="35"/>
        <v>TLTotals</v>
      </c>
      <c r="B801" s="162" t="s">
        <v>5203</v>
      </c>
      <c r="C801" s="242">
        <f>SUM(C794:C800)</f>
        <v>1799671.3809280042</v>
      </c>
      <c r="D801" s="242">
        <f t="shared" ref="D801:M801" si="55">SUM(D794:D800)</f>
        <v>1302670</v>
      </c>
      <c r="E801" s="242">
        <f t="shared" si="55"/>
        <v>3102341.3809280042</v>
      </c>
      <c r="F801" s="242">
        <f t="shared" si="55"/>
        <v>240455.52477506676</v>
      </c>
      <c r="G801" s="242">
        <f t="shared" si="55"/>
        <v>109983.03277446126</v>
      </c>
      <c r="H801" s="242">
        <f t="shared" si="55"/>
        <v>350438.55754952796</v>
      </c>
      <c r="I801" s="242">
        <f t="shared" si="55"/>
        <v>860.94465773275579</v>
      </c>
      <c r="J801" s="242">
        <f t="shared" si="55"/>
        <v>6135.3295612709117</v>
      </c>
      <c r="K801" s="242">
        <f t="shared" si="55"/>
        <v>0</v>
      </c>
      <c r="L801" s="242">
        <f t="shared" si="55"/>
        <v>0</v>
      </c>
      <c r="M801" s="242">
        <f t="shared" si="55"/>
        <v>-350438.55754952796</v>
      </c>
      <c r="N801" s="286">
        <f>SUM(N794:N800)</f>
        <v>1276.3395860976152</v>
      </c>
      <c r="O801" s="286">
        <f t="shared" ref="O801:W801" si="56">SUM(O794:O800)</f>
        <v>87.546259443078924</v>
      </c>
      <c r="P801" s="286">
        <f t="shared" si="56"/>
        <v>177.61872680194526</v>
      </c>
      <c r="Q801" s="286">
        <f t="shared" si="56"/>
        <v>656.56594797502453</v>
      </c>
      <c r="R801" s="286">
        <f t="shared" si="56"/>
        <v>29.953980317025426</v>
      </c>
      <c r="S801" s="286">
        <f t="shared" si="56"/>
        <v>708.71117430082154</v>
      </c>
      <c r="T801" s="286">
        <f t="shared" si="56"/>
        <v>0</v>
      </c>
      <c r="U801" s="286">
        <f t="shared" si="56"/>
        <v>0</v>
      </c>
      <c r="V801" s="286">
        <f t="shared" si="56"/>
        <v>29.953980317025426</v>
      </c>
      <c r="W801" s="286">
        <f t="shared" si="56"/>
        <v>708.71117430082154</v>
      </c>
    </row>
    <row r="802" spans="1:23" x14ac:dyDescent="0.3">
      <c r="A802" s="82"/>
      <c r="B802" s="287" t="s">
        <v>7069</v>
      </c>
      <c r="C802" s="150"/>
      <c r="D802" s="150"/>
      <c r="E802" s="288"/>
      <c r="F802" s="150"/>
      <c r="G802" s="150"/>
      <c r="H802" s="150"/>
      <c r="I802" s="150"/>
      <c r="J802" s="150"/>
      <c r="K802" s="150"/>
      <c r="L802" s="150"/>
      <c r="M802" s="289"/>
      <c r="N802" s="150"/>
      <c r="O802" s="150"/>
      <c r="P802" s="150"/>
      <c r="Q802" s="150"/>
      <c r="R802" s="290"/>
      <c r="S802" s="291"/>
      <c r="T802" s="150"/>
      <c r="U802" s="150"/>
      <c r="V802" s="150"/>
      <c r="W802" s="151"/>
    </row>
    <row r="803" spans="1:23" x14ac:dyDescent="0.3">
      <c r="E803" s="288"/>
    </row>
    <row r="804" spans="1:23" x14ac:dyDescent="0.3">
      <c r="B804" s="139" t="s">
        <v>7050</v>
      </c>
      <c r="C804" s="142"/>
      <c r="D804" s="142"/>
      <c r="E804" s="267"/>
      <c r="F804" s="267"/>
      <c r="G804" s="267"/>
      <c r="H804" s="268"/>
      <c r="I804" s="269"/>
      <c r="J804" s="270"/>
      <c r="K804" s="142"/>
      <c r="L804" s="269"/>
      <c r="M804" s="142"/>
      <c r="N804" s="142"/>
      <c r="O804" s="142"/>
      <c r="P804" s="142"/>
      <c r="Q804" s="142"/>
      <c r="R804" s="142"/>
      <c r="S804" s="142"/>
      <c r="T804" s="271"/>
      <c r="U804" s="142"/>
      <c r="V804" s="142"/>
      <c r="W804" s="272"/>
    </row>
    <row r="805" spans="1:23" x14ac:dyDescent="0.3">
      <c r="B805" s="92" t="s">
        <v>7070</v>
      </c>
      <c r="E805" s="66"/>
      <c r="F805" s="66"/>
      <c r="G805" s="66"/>
      <c r="H805" s="19"/>
      <c r="I805" s="42"/>
      <c r="J805" s="3"/>
      <c r="L805" s="42"/>
      <c r="T805" s="20"/>
      <c r="W805" s="113"/>
    </row>
    <row r="806" spans="1:23" x14ac:dyDescent="0.3">
      <c r="B806" s="99"/>
      <c r="D806" s="66"/>
      <c r="E806" s="66"/>
      <c r="F806" s="66"/>
      <c r="G806" s="19"/>
      <c r="H806" s="19"/>
      <c r="I806" s="42"/>
      <c r="J806" s="3"/>
      <c r="L806" s="42"/>
      <c r="T806" s="20"/>
      <c r="W806" s="113"/>
    </row>
    <row r="807" spans="1:23" x14ac:dyDescent="0.3">
      <c r="B807" s="92" t="s">
        <v>7052</v>
      </c>
      <c r="C807" s="82" t="s">
        <v>565</v>
      </c>
      <c r="D807" s="82" t="s">
        <v>38</v>
      </c>
      <c r="E807" s="66"/>
      <c r="H807" s="19"/>
      <c r="I807" s="42"/>
      <c r="J807" s="3"/>
      <c r="L807" s="42"/>
      <c r="T807" s="20"/>
      <c r="W807" s="113"/>
    </row>
    <row r="808" spans="1:23" x14ac:dyDescent="0.3">
      <c r="B808" s="99" t="s">
        <v>5859</v>
      </c>
      <c r="C808">
        <f>UDV.animal.total</f>
        <v>500</v>
      </c>
      <c r="D808" t="s">
        <v>2442</v>
      </c>
      <c r="E808" s="66"/>
      <c r="H808" s="19"/>
      <c r="I808" s="42"/>
      <c r="J808" s="3"/>
      <c r="L808" s="42"/>
      <c r="T808" s="20"/>
      <c r="W808" s="113"/>
    </row>
    <row r="809" spans="1:23" x14ac:dyDescent="0.3">
      <c r="B809" s="174" t="s">
        <v>5386</v>
      </c>
      <c r="C809">
        <f>UDV.crops.acres_available</f>
        <v>100</v>
      </c>
      <c r="D809" t="s">
        <v>7029</v>
      </c>
      <c r="E809" s="66"/>
      <c r="H809" s="19"/>
      <c r="I809" s="42"/>
      <c r="J809" s="3"/>
      <c r="L809" s="42"/>
      <c r="T809" s="20"/>
      <c r="W809" s="113"/>
    </row>
    <row r="810" spans="1:23" x14ac:dyDescent="0.3">
      <c r="B810" s="99" t="s">
        <v>5114</v>
      </c>
      <c r="C810" t="str">
        <f>UDV.u.state</f>
        <v>Iowa</v>
      </c>
      <c r="D810" t="s">
        <v>2852</v>
      </c>
      <c r="E810" s="66"/>
      <c r="H810" s="19"/>
      <c r="I810" s="42"/>
      <c r="J810" s="3"/>
      <c r="L810" s="42"/>
      <c r="T810" s="20"/>
      <c r="W810" s="113"/>
    </row>
    <row r="811" spans="1:23" ht="13.5" customHeight="1" x14ac:dyDescent="0.3">
      <c r="A811" t="s">
        <v>4917</v>
      </c>
      <c r="B811" s="99" t="s">
        <v>7240</v>
      </c>
      <c r="C811" s="166">
        <f>VLOOKUP("Emissions reductions for drag hose", $R$1:$U$299,3,FALSE)*UDV.econ_energy.carbon_credits</f>
        <v>0</v>
      </c>
      <c r="D811" t="s">
        <v>5181</v>
      </c>
      <c r="E811" s="66"/>
      <c r="H811" s="19"/>
      <c r="I811" s="42"/>
      <c r="J811" s="3"/>
      <c r="L811" s="42"/>
      <c r="T811" s="20"/>
      <c r="W811" s="113"/>
    </row>
    <row r="812" spans="1:23" x14ac:dyDescent="0.3">
      <c r="B812" s="99"/>
      <c r="D812" s="66"/>
      <c r="E812" s="66"/>
      <c r="F812" s="66"/>
      <c r="H812" s="19"/>
      <c r="I812" s="42"/>
      <c r="J812" s="3"/>
      <c r="L812" s="42"/>
      <c r="T812" s="20"/>
      <c r="W812" s="113"/>
    </row>
    <row r="813" spans="1:23" x14ac:dyDescent="0.3">
      <c r="A813" t="s">
        <v>4917</v>
      </c>
      <c r="B813" s="92" t="s">
        <v>7053</v>
      </c>
      <c r="C813" s="82" t="s">
        <v>5181</v>
      </c>
      <c r="D813" s="82" t="s">
        <v>7140</v>
      </c>
      <c r="E813" s="66"/>
      <c r="I813" s="42"/>
      <c r="J813" s="3"/>
      <c r="L813" s="42"/>
      <c r="T813" s="20"/>
      <c r="W813" s="113"/>
    </row>
    <row r="814" spans="1:23" x14ac:dyDescent="0.3">
      <c r="A814" t="s">
        <v>4917</v>
      </c>
      <c r="B814" s="275" t="s">
        <v>2585</v>
      </c>
      <c r="C814" s="276">
        <f>F834</f>
        <v>294243.29866402154</v>
      </c>
      <c r="D814" s="153">
        <f>C814/C808</f>
        <v>588.4865973280431</v>
      </c>
      <c r="E814" s="66"/>
      <c r="T814" s="20"/>
      <c r="W814" s="113"/>
    </row>
    <row r="815" spans="1:23" x14ac:dyDescent="0.3">
      <c r="A815" t="s">
        <v>4917</v>
      </c>
      <c r="B815" s="275" t="s">
        <v>2588</v>
      </c>
      <c r="C815" s="276">
        <f>G834+L834</f>
        <v>126851.63816830284</v>
      </c>
      <c r="D815" s="153">
        <f>C815/C808</f>
        <v>253.70327633660568</v>
      </c>
      <c r="E815" s="66"/>
      <c r="I815" s="42"/>
      <c r="J815" s="3"/>
      <c r="L815" s="42"/>
      <c r="T815" s="20"/>
      <c r="W815" s="113"/>
    </row>
    <row r="816" spans="1:23" x14ac:dyDescent="0.3">
      <c r="A816" t="s">
        <v>4917</v>
      </c>
      <c r="B816" s="99" t="s">
        <v>7055</v>
      </c>
      <c r="C816" s="276">
        <f>L834</f>
        <v>0</v>
      </c>
      <c r="D816" s="153">
        <f>C816/C808</f>
        <v>0</v>
      </c>
      <c r="E816" s="279" t="s">
        <v>7056</v>
      </c>
      <c r="F816" s="66"/>
      <c r="G816" s="66"/>
      <c r="I816" s="42"/>
      <c r="J816" s="3"/>
      <c r="L816" s="42"/>
      <c r="T816" s="20"/>
      <c r="W816" s="113"/>
    </row>
    <row r="817" spans="1:25" x14ac:dyDescent="0.3">
      <c r="A817" t="s">
        <v>4917</v>
      </c>
      <c r="B817" s="99" t="s">
        <v>7057</v>
      </c>
      <c r="C817" s="153">
        <f>C814+C815</f>
        <v>421094.93683232437</v>
      </c>
      <c r="D817" s="153">
        <f>C817/C808</f>
        <v>842.18987366464876</v>
      </c>
      <c r="E817" s="66"/>
      <c r="F817" s="66"/>
      <c r="G817" s="66"/>
      <c r="I817" s="42"/>
      <c r="J817" s="3"/>
      <c r="L817" s="42"/>
      <c r="T817" s="20"/>
      <c r="W817" s="113"/>
    </row>
    <row r="818" spans="1:25" x14ac:dyDescent="0.3">
      <c r="A818" t="s">
        <v>4917</v>
      </c>
      <c r="B818" s="275" t="s">
        <v>441</v>
      </c>
      <c r="C818" s="276">
        <f>I834</f>
        <v>860.94465773275579</v>
      </c>
      <c r="D818" s="153">
        <f>C818/C808</f>
        <v>1.7218893154655115</v>
      </c>
      <c r="E818" s="66"/>
      <c r="F818" s="66"/>
      <c r="G818" s="66"/>
      <c r="I818" s="42"/>
      <c r="J818" s="3"/>
      <c r="L818" s="42"/>
      <c r="T818" s="20"/>
      <c r="W818" s="113"/>
    </row>
    <row r="819" spans="1:25" x14ac:dyDescent="0.3">
      <c r="A819" t="s">
        <v>4917</v>
      </c>
      <c r="B819" s="275" t="s">
        <v>440</v>
      </c>
      <c r="C819" s="276">
        <f>J834</f>
        <v>6135.3295612709117</v>
      </c>
      <c r="D819" s="153">
        <f>C819/C808</f>
        <v>12.270659122541824</v>
      </c>
      <c r="E819" s="66"/>
      <c r="F819" s="66"/>
      <c r="G819" s="66"/>
      <c r="I819" s="42"/>
      <c r="J819" s="3"/>
      <c r="L819" s="42"/>
      <c r="T819" s="20"/>
      <c r="W819" s="113"/>
    </row>
    <row r="820" spans="1:25" x14ac:dyDescent="0.3">
      <c r="A820" t="s">
        <v>4917</v>
      </c>
      <c r="B820" s="275" t="s">
        <v>442</v>
      </c>
      <c r="C820" s="276">
        <f>K834</f>
        <v>0</v>
      </c>
      <c r="D820" s="153">
        <f>C820/C808</f>
        <v>0</v>
      </c>
      <c r="E820" s="66"/>
      <c r="F820" s="66"/>
      <c r="G820" s="66"/>
      <c r="I820" s="42"/>
      <c r="J820" s="3"/>
      <c r="L820" s="42"/>
      <c r="P820" s="277"/>
      <c r="T820" s="20"/>
      <c r="W820" s="113"/>
    </row>
    <row r="821" spans="1:25" x14ac:dyDescent="0.3">
      <c r="A821" t="s">
        <v>4917</v>
      </c>
      <c r="B821" s="275" t="s">
        <v>439</v>
      </c>
      <c r="C821" s="276">
        <f>M834</f>
        <v>-421094.93683232437</v>
      </c>
      <c r="D821" s="153">
        <f>C821/C808</f>
        <v>-842.18987366464876</v>
      </c>
      <c r="E821" s="66"/>
      <c r="F821" s="66"/>
      <c r="G821" s="66"/>
      <c r="I821" s="42"/>
      <c r="J821" s="3"/>
      <c r="L821" s="42"/>
      <c r="T821" s="20"/>
      <c r="W821" s="113"/>
    </row>
    <row r="822" spans="1:25" ht="13.5" customHeight="1" x14ac:dyDescent="0.3">
      <c r="A822" t="s">
        <v>4917</v>
      </c>
      <c r="B822" s="853" t="s">
        <v>5392</v>
      </c>
      <c r="C822" s="142"/>
      <c r="D822" s="854">
        <f>E834</f>
        <v>3871081.3809280042</v>
      </c>
      <c r="E822" s="271" t="s">
        <v>2284</v>
      </c>
      <c r="G822" s="66"/>
      <c r="I822" s="42"/>
      <c r="J822" s="3"/>
      <c r="L822" s="42"/>
      <c r="T822" s="20"/>
      <c r="W822" s="113"/>
    </row>
    <row r="823" spans="1:25" ht="13.5" customHeight="1" x14ac:dyDescent="0.3">
      <c r="A823" t="s">
        <v>4917</v>
      </c>
      <c r="B823" s="852" t="s">
        <v>5393</v>
      </c>
      <c r="D823" s="274">
        <f>E834/C808</f>
        <v>7742.1627618560087</v>
      </c>
      <c r="E823" s="20" t="s">
        <v>7058</v>
      </c>
      <c r="G823" s="66"/>
      <c r="I823" s="42"/>
      <c r="J823" s="3"/>
      <c r="L823" s="42"/>
      <c r="T823" s="20"/>
      <c r="W823" s="113"/>
    </row>
    <row r="824" spans="1:25" x14ac:dyDescent="0.3">
      <c r="B824" s="99"/>
      <c r="E824" s="66"/>
      <c r="H824" s="42"/>
      <c r="I824" s="3"/>
      <c r="K824" s="42"/>
      <c r="N824" s="273" t="s">
        <v>7059</v>
      </c>
      <c r="O824" s="90"/>
      <c r="P824" s="90"/>
      <c r="Q824" s="90"/>
      <c r="R824" s="90"/>
      <c r="S824" s="279"/>
      <c r="T824" s="90"/>
      <c r="U824" s="90"/>
      <c r="V824" s="42"/>
      <c r="W824" s="146"/>
    </row>
    <row r="825" spans="1:25" x14ac:dyDescent="0.3">
      <c r="B825" s="92" t="s">
        <v>7060</v>
      </c>
      <c r="E825" s="66"/>
      <c r="M825" s="113"/>
      <c r="N825" s="90" t="s">
        <v>5323</v>
      </c>
      <c r="O825" s="90" t="s">
        <v>5181</v>
      </c>
      <c r="P825" s="90" t="s">
        <v>5324</v>
      </c>
      <c r="Q825" s="90" t="s">
        <v>5181</v>
      </c>
      <c r="R825" s="90" t="s">
        <v>2710</v>
      </c>
      <c r="S825" s="90" t="s">
        <v>5181</v>
      </c>
      <c r="T825" s="90" t="s">
        <v>2710</v>
      </c>
      <c r="U825" s="90" t="s">
        <v>5181</v>
      </c>
      <c r="V825" s="90" t="s">
        <v>2710</v>
      </c>
      <c r="W825" s="280" t="s">
        <v>5181</v>
      </c>
    </row>
    <row r="826" spans="1:25" ht="28.8" x14ac:dyDescent="0.3">
      <c r="B826" s="92" t="s">
        <v>5187</v>
      </c>
      <c r="C826" s="82" t="s">
        <v>7061</v>
      </c>
      <c r="D826" s="82" t="s">
        <v>7062</v>
      </c>
      <c r="E826" s="277" t="s">
        <v>7063</v>
      </c>
      <c r="F826" s="82" t="s">
        <v>7064</v>
      </c>
      <c r="G826" s="277" t="s">
        <v>2588</v>
      </c>
      <c r="H826" s="82" t="s">
        <v>5188</v>
      </c>
      <c r="I826" s="82" t="s">
        <v>5189</v>
      </c>
      <c r="J826" s="82" t="s">
        <v>5190</v>
      </c>
      <c r="K826" s="82" t="s">
        <v>442</v>
      </c>
      <c r="L826" s="82" t="s">
        <v>5191</v>
      </c>
      <c r="M826" s="173" t="s">
        <v>439</v>
      </c>
      <c r="N826" s="281" t="s">
        <v>5192</v>
      </c>
      <c r="O826" s="281" t="s">
        <v>5193</v>
      </c>
      <c r="P826" s="281" t="s">
        <v>5194</v>
      </c>
      <c r="Q826" s="281" t="s">
        <v>5195</v>
      </c>
      <c r="R826" s="281" t="s">
        <v>5196</v>
      </c>
      <c r="S826" s="281" t="s">
        <v>5197</v>
      </c>
      <c r="T826" s="281" t="s">
        <v>5198</v>
      </c>
      <c r="U826" s="281" t="s">
        <v>5199</v>
      </c>
      <c r="V826" s="281" t="s">
        <v>5200</v>
      </c>
      <c r="W826" s="282" t="s">
        <v>5201</v>
      </c>
    </row>
    <row r="827" spans="1:25" x14ac:dyDescent="0.3">
      <c r="A827" t="s">
        <v>7071</v>
      </c>
      <c r="B827" s="99" t="s">
        <v>6945</v>
      </c>
      <c r="C827" s="158">
        <f>SUMIFS($C$300:$C$765,$A$300:$A$765,_xlfn.CONCAT(B827,"_construction"))</f>
        <v>17700.891908535374</v>
      </c>
      <c r="D827" s="158">
        <f>SUMIFS($C$300:$C$765,$A$300:$A$765,_xlfn.CONCAT(B827,"_equipment"))</f>
        <v>0</v>
      </c>
      <c r="E827" s="274">
        <f>SUM(C827:D827)</f>
        <v>17700.891908535374</v>
      </c>
      <c r="F827" s="158">
        <f>SUMIFS($D$300:$D$765,$A$300:$A$765,$B827,$B$300:$B$765,"Total capital recovery value")</f>
        <v>1432.4335079052032</v>
      </c>
      <c r="G827" s="158">
        <f>SUMIFS($C$300:$C$765,$A$300:$A$765,$B827,$B$300:$B$765,"Annual operational costs")</f>
        <v>265.51337862803058</v>
      </c>
      <c r="H827" s="153">
        <f>SUM(F827:G827)</f>
        <v>1697.9468865332337</v>
      </c>
      <c r="I827" s="158">
        <f>SUMIFS($C$300:$C$765,$A$300:$A$765,$B827,$B$300:$B$765,"Annual cost savings")</f>
        <v>0</v>
      </c>
      <c r="J827" s="158">
        <f>SUMIFS($C$300:$C$765,$A$300:$A$765,$B827,$B$300:$B$765,"Annual fertilizer value for on-farm use")</f>
        <v>0</v>
      </c>
      <c r="K827" s="158">
        <f>SUMIFS($C$300:$C$765,$A$300:$A$765,$B827,$B$300:$B$765,"Annual revenues")</f>
        <v>0</v>
      </c>
      <c r="L827" s="158">
        <f>SUMIFS($C$300:$C$765,$A$300:$A$765,$B827,$B$300:$B$765,"Annual cost to export excess")</f>
        <v>0</v>
      </c>
      <c r="M827" s="283">
        <f>K827-F827-G827</f>
        <v>-1697.9468865332337</v>
      </c>
      <c r="N827">
        <f>SUMIFS($F$300:$F$765,$A$300:$A$765,$B827,$B$300:$B$765,"Totals")</f>
        <v>0</v>
      </c>
      <c r="O827">
        <f>SUMIFS($G$300:$G$765,$A$300:$A$765,$B827,$B$300:$B$765,"Totals")</f>
        <v>0</v>
      </c>
      <c r="P827" s="147">
        <f>SUMIFS($H$300:$H$765,$A$300:$A$765,$B827,$B$300:$B$765,"Totals")</f>
        <v>0</v>
      </c>
      <c r="Q827" s="147">
        <f>SUMIFS($I$300:$I$765,$A$300:$A$765,$B827,$B$300:$B$765,"Totals")</f>
        <v>0</v>
      </c>
      <c r="R827" s="2315">
        <f>SUMIFS($K$300:$K$765,$A$300:$A$765,$B827,$B$300:$B$765,"Totals")</f>
        <v>0</v>
      </c>
      <c r="S827" s="2315">
        <f>SUMIFS($L$300:$L$765,$A$300:$A$765,$B827,$B$300:$B$765,"Totals")</f>
        <v>0</v>
      </c>
      <c r="T827" s="2315">
        <f>SUMIFS($M$300:$M$765,$A$300:$A$765,$B827,$B$300:$B$765,"Totals")</f>
        <v>0</v>
      </c>
      <c r="U827" s="2315">
        <f>SUMIFS($N$300:$N$765,$A$300:$A$765,$B827,$B$300:$B$765,"Totals")</f>
        <v>0</v>
      </c>
      <c r="V827" s="147">
        <f>R827+T827</f>
        <v>0</v>
      </c>
      <c r="W827" s="285">
        <f>S827+U827</f>
        <v>0</v>
      </c>
      <c r="Y827" s="36"/>
    </row>
    <row r="828" spans="1:25" x14ac:dyDescent="0.3">
      <c r="A828" t="str">
        <f t="shared" ref="A828:A834" si="57">_xlfn.CONCAT("DHL",B828)</f>
        <v>DHLBarn and parlor</v>
      </c>
      <c r="B828" s="99" t="s">
        <v>5209</v>
      </c>
      <c r="C828" s="233">
        <f t="shared" ref="C828:C833" si="58">SUMIFS($C:$C,$A:$A,_xlfn.CONCAT(B828,"_construction"))</f>
        <v>0</v>
      </c>
      <c r="D828" s="233">
        <f t="shared" ref="D828:D833" si="59">SUMIFS($C:$C,$A:$A,_xlfn.CONCAT(B828,"_equipment"))</f>
        <v>0</v>
      </c>
      <c r="E828" s="274">
        <f t="shared" ref="E828:E833" si="60">SUM(C828:D828)</f>
        <v>0</v>
      </c>
      <c r="F828" s="233">
        <f t="shared" ref="F828:F833" si="61">SUMIFS($D:$D,$A:$A,$B828,$B:$B,"Total capital recovery value")</f>
        <v>0</v>
      </c>
      <c r="G828" s="233">
        <f t="shared" ref="G828:G833" si="62">SUMIFS($C:$C,$A:$A,$B828,$B:$B,"Annual operational costs")</f>
        <v>217.84991231530387</v>
      </c>
      <c r="H828" s="153">
        <f t="shared" ref="H828:H833" si="63">SUM(F828:G828)</f>
        <v>217.84991231530387</v>
      </c>
      <c r="I828" s="233">
        <f t="shared" ref="I828:I833" si="64">SUMIFS($C:$C,$A:$A,$B828,$B:$B,"Annual cost savings")</f>
        <v>0</v>
      </c>
      <c r="J828" s="233">
        <f t="shared" ref="J828:J833" si="65">SUMIFS($C:$C,$A:$A,$B828,$B:$B,"Annual fertilizer value for on-farm use")</f>
        <v>0</v>
      </c>
      <c r="K828" s="233">
        <f>SUMIFS($C:$C,$A:$A,$B828,$B:$B,"Annual revenues")</f>
        <v>0</v>
      </c>
      <c r="L828" s="233">
        <f t="shared" ref="L828:L833" si="66">SUMIFS($C:$C,$A:$A,$B828,$B:$B,"Annual cost to export excess")</f>
        <v>0</v>
      </c>
      <c r="M828" s="283">
        <f>K828-F828-G828</f>
        <v>-217.84991231530387</v>
      </c>
      <c r="N828">
        <f t="shared" ref="N828:N833" si="67">SUMIFS($F:$F,$A:$A,$B828,$B:$B,"Totals")</f>
        <v>0</v>
      </c>
      <c r="O828">
        <f t="shared" ref="O828:O833" si="68">SUMIFS($G:$G,$A:$A,$B828,$B:$B,"Totals")</f>
        <v>0</v>
      </c>
      <c r="P828" s="147">
        <f t="shared" ref="P828:P833" si="69">SUMIFS($H:$H,$A:$A,$B828,$B:$B,"Totals")</f>
        <v>0</v>
      </c>
      <c r="Q828" s="147">
        <f t="shared" ref="Q828:Q833" si="70">SUMIFS($I:$I,$A:$A,$B828,$B:$B,"Totals")</f>
        <v>0</v>
      </c>
      <c r="R828" s="284">
        <f t="shared" ref="R828:R833" si="71">SUMIFS($K:$K,$A:$A,$B828,$B:$B,"Totals")</f>
        <v>0</v>
      </c>
      <c r="S828" s="284">
        <f t="shared" ref="S828:S833" si="72">SUMIFS($L:$L,$A:$A,$B828,$B:$B,"Totals")</f>
        <v>0</v>
      </c>
      <c r="T828" s="284">
        <f t="shared" ref="T828:T833" si="73">SUMIFS($M:$M,$A:$A,$B828,$B:$B,"Totals")</f>
        <v>0</v>
      </c>
      <c r="U828" s="284">
        <f t="shared" ref="U828:U833" si="74">SUMIFS($N:$N,$A:$A,$B828,$B:$B,"Totals")</f>
        <v>0</v>
      </c>
      <c r="V828" s="147">
        <f t="shared" ref="V828:W833" si="75">R828+T828</f>
        <v>0</v>
      </c>
      <c r="W828" s="285">
        <f t="shared" si="75"/>
        <v>0</v>
      </c>
    </row>
    <row r="829" spans="1:25" x14ac:dyDescent="0.3">
      <c r="A829" t="str">
        <f t="shared" si="57"/>
        <v>DHLReception pit</v>
      </c>
      <c r="B829" s="99" t="s">
        <v>5219</v>
      </c>
      <c r="C829" s="233">
        <f t="shared" si="58"/>
        <v>11278.228484656651</v>
      </c>
      <c r="D829" s="233">
        <f t="shared" si="59"/>
        <v>13570</v>
      </c>
      <c r="E829" s="274">
        <f t="shared" si="60"/>
        <v>24848.228484656651</v>
      </c>
      <c r="F829" s="233">
        <f t="shared" si="61"/>
        <v>2085.172249970477</v>
      </c>
      <c r="G829" s="233">
        <f t="shared" si="62"/>
        <v>1629.2470937565076</v>
      </c>
      <c r="H829" s="153">
        <f t="shared" si="63"/>
        <v>3714.4193437269846</v>
      </c>
      <c r="I829" s="233">
        <f t="shared" si="64"/>
        <v>0</v>
      </c>
      <c r="J829" s="233">
        <f t="shared" si="65"/>
        <v>0</v>
      </c>
      <c r="K829" s="233">
        <f>SUMIFS($C:$C,$A:$A,$B829,$B:$B,"Annual revenues")</f>
        <v>0</v>
      </c>
      <c r="L829" s="233">
        <f t="shared" si="66"/>
        <v>0</v>
      </c>
      <c r="M829" s="283">
        <f t="shared" ref="M829:M833" si="76">K829-F829-G829</f>
        <v>-3714.4193437269846</v>
      </c>
      <c r="N829">
        <f t="shared" si="67"/>
        <v>249.64645588615733</v>
      </c>
      <c r="O829">
        <f t="shared" si="68"/>
        <v>17.123666486658006</v>
      </c>
      <c r="P829" s="147">
        <f t="shared" si="69"/>
        <v>0</v>
      </c>
      <c r="Q829" s="147">
        <f t="shared" si="70"/>
        <v>0</v>
      </c>
      <c r="R829" s="284">
        <f t="shared" si="71"/>
        <v>0</v>
      </c>
      <c r="S829" s="284">
        <f t="shared" si="72"/>
        <v>0</v>
      </c>
      <c r="T829" s="284">
        <f t="shared" si="73"/>
        <v>0</v>
      </c>
      <c r="U829" s="284">
        <f t="shared" si="74"/>
        <v>0</v>
      </c>
      <c r="V829" s="147">
        <f t="shared" si="75"/>
        <v>0</v>
      </c>
      <c r="W829" s="285">
        <f t="shared" si="75"/>
        <v>0</v>
      </c>
    </row>
    <row r="830" spans="1:25" x14ac:dyDescent="0.3">
      <c r="A830" t="str">
        <f t="shared" si="57"/>
        <v>DHLAnaerobic digestion</v>
      </c>
      <c r="B830" s="99" t="s">
        <v>5220</v>
      </c>
      <c r="C830" s="233">
        <f t="shared" si="58"/>
        <v>1641554.8511827372</v>
      </c>
      <c r="D830" s="233">
        <f t="shared" si="59"/>
        <v>0</v>
      </c>
      <c r="E830" s="274">
        <f t="shared" si="60"/>
        <v>1641554.8511827372</v>
      </c>
      <c r="F830" s="233">
        <f t="shared" si="61"/>
        <v>187641.84410893399</v>
      </c>
      <c r="G830" s="233">
        <f t="shared" si="62"/>
        <v>90757.52770813668</v>
      </c>
      <c r="H830" s="153">
        <f t="shared" si="63"/>
        <v>278399.37181707064</v>
      </c>
      <c r="I830" s="233">
        <f t="shared" si="64"/>
        <v>0</v>
      </c>
      <c r="J830" s="233">
        <f t="shared" si="65"/>
        <v>0</v>
      </c>
      <c r="K830" s="784">
        <f>SUMIFS($C:$C,$A:$A,$B830,$B:$B,"Annual revenues for drag hose")</f>
        <v>0</v>
      </c>
      <c r="L830" s="233">
        <f t="shared" si="66"/>
        <v>0</v>
      </c>
      <c r="M830" s="283">
        <f t="shared" si="76"/>
        <v>-278399.37181707064</v>
      </c>
      <c r="N830">
        <f t="shared" si="67"/>
        <v>0</v>
      </c>
      <c r="O830">
        <f t="shared" si="68"/>
        <v>0</v>
      </c>
      <c r="P830" s="147">
        <f t="shared" si="69"/>
        <v>0</v>
      </c>
      <c r="Q830" s="147">
        <f t="shared" si="70"/>
        <v>0</v>
      </c>
      <c r="R830" s="284">
        <f t="shared" si="71"/>
        <v>0</v>
      </c>
      <c r="S830" s="284">
        <f t="shared" si="72"/>
        <v>0</v>
      </c>
      <c r="T830" s="284">
        <f t="shared" si="73"/>
        <v>0</v>
      </c>
      <c r="U830" s="284">
        <f t="shared" si="74"/>
        <v>0</v>
      </c>
      <c r="V830" s="147">
        <f t="shared" si="75"/>
        <v>0</v>
      </c>
      <c r="W830" s="285">
        <f t="shared" si="75"/>
        <v>0</v>
      </c>
    </row>
    <row r="831" spans="1:25" x14ac:dyDescent="0.3">
      <c r="A831" t="str">
        <f t="shared" si="57"/>
        <v>DHLLagoon</v>
      </c>
      <c r="B831" s="99" t="s">
        <v>5210</v>
      </c>
      <c r="C831" s="233">
        <f t="shared" si="58"/>
        <v>129137.409352075</v>
      </c>
      <c r="D831" s="233">
        <f t="shared" si="59"/>
        <v>0</v>
      </c>
      <c r="E831" s="274">
        <f t="shared" si="60"/>
        <v>129137.409352075</v>
      </c>
      <c r="F831" s="233">
        <f t="shared" si="61"/>
        <v>10450.363362243077</v>
      </c>
      <c r="G831" s="233">
        <f t="shared" si="62"/>
        <v>1937.0611402811251</v>
      </c>
      <c r="H831" s="153">
        <f t="shared" si="63"/>
        <v>12387.424502524202</v>
      </c>
      <c r="I831" s="233">
        <f t="shared" si="64"/>
        <v>0</v>
      </c>
      <c r="J831" s="233">
        <f t="shared" si="65"/>
        <v>0</v>
      </c>
      <c r="K831" s="233">
        <f>SUMIFS($C:$C,$A:$A,$B831,$B:$B,"Annual revenues")</f>
        <v>0</v>
      </c>
      <c r="L831" s="233">
        <f t="shared" si="66"/>
        <v>0</v>
      </c>
      <c r="M831" s="283">
        <f t="shared" si="76"/>
        <v>-12387.424502524202</v>
      </c>
      <c r="N831">
        <f t="shared" si="67"/>
        <v>0</v>
      </c>
      <c r="O831">
        <f t="shared" si="68"/>
        <v>0</v>
      </c>
      <c r="P831" s="147">
        <f t="shared" si="69"/>
        <v>0</v>
      </c>
      <c r="Q831" s="147">
        <f t="shared" si="70"/>
        <v>0</v>
      </c>
      <c r="R831" s="284">
        <f t="shared" si="71"/>
        <v>0</v>
      </c>
      <c r="S831" s="284">
        <f t="shared" si="72"/>
        <v>0</v>
      </c>
      <c r="T831" s="284">
        <f t="shared" si="73"/>
        <v>0</v>
      </c>
      <c r="U831" s="284">
        <f t="shared" si="74"/>
        <v>0</v>
      </c>
      <c r="V831" s="147">
        <f t="shared" si="75"/>
        <v>0</v>
      </c>
      <c r="W831" s="285">
        <f t="shared" si="75"/>
        <v>0</v>
      </c>
    </row>
    <row r="832" spans="1:25" x14ac:dyDescent="0.3">
      <c r="A832" t="str">
        <f t="shared" si="57"/>
        <v>DHLPit recharge</v>
      </c>
      <c r="B832" s="99" t="s">
        <v>5216</v>
      </c>
      <c r="C832" s="233">
        <f t="shared" si="58"/>
        <v>0</v>
      </c>
      <c r="D832" s="233">
        <f t="shared" si="59"/>
        <v>0</v>
      </c>
      <c r="E832" s="274">
        <f t="shared" si="60"/>
        <v>0</v>
      </c>
      <c r="F832" s="233">
        <f t="shared" si="61"/>
        <v>3017.6174069102476</v>
      </c>
      <c r="G832" s="233">
        <f t="shared" si="62"/>
        <v>1014.0635770177494</v>
      </c>
      <c r="H832" s="153">
        <f t="shared" si="63"/>
        <v>4031.6809839279967</v>
      </c>
      <c r="I832" s="233">
        <f t="shared" si="64"/>
        <v>860.94465773275579</v>
      </c>
      <c r="J832" s="233">
        <f t="shared" si="65"/>
        <v>0</v>
      </c>
      <c r="K832" s="233">
        <f>SUMIFS($C:$C,$A:$A,$B832,$B:$B,"Annual revenues")</f>
        <v>0</v>
      </c>
      <c r="L832" s="233">
        <f t="shared" si="66"/>
        <v>0</v>
      </c>
      <c r="M832" s="283">
        <f t="shared" si="76"/>
        <v>-4031.6809839279967</v>
      </c>
      <c r="N832" s="278">
        <f t="shared" si="67"/>
        <v>92.045831870967106</v>
      </c>
      <c r="O832" s="147">
        <f t="shared" si="68"/>
        <v>6.3135770177494184</v>
      </c>
      <c r="P832" s="147">
        <f t="shared" si="69"/>
        <v>0</v>
      </c>
      <c r="Q832" s="147">
        <f t="shared" si="70"/>
        <v>0</v>
      </c>
      <c r="R832" s="284">
        <f t="shared" si="71"/>
        <v>0</v>
      </c>
      <c r="S832" s="284">
        <f t="shared" si="72"/>
        <v>0</v>
      </c>
      <c r="T832" s="284">
        <f t="shared" si="73"/>
        <v>0</v>
      </c>
      <c r="U832" s="284">
        <f t="shared" si="74"/>
        <v>0</v>
      </c>
      <c r="V832" s="147">
        <f t="shared" si="75"/>
        <v>0</v>
      </c>
      <c r="W832" s="285">
        <f t="shared" si="75"/>
        <v>0</v>
      </c>
    </row>
    <row r="833" spans="1:23" x14ac:dyDescent="0.3">
      <c r="A833" t="str">
        <f t="shared" si="57"/>
        <v>DHLEnd use drag hose</v>
      </c>
      <c r="B833" s="99" t="s">
        <v>5205</v>
      </c>
      <c r="C833" s="233">
        <f t="shared" si="58"/>
        <v>0</v>
      </c>
      <c r="D833" s="233">
        <f t="shared" si="59"/>
        <v>2057840</v>
      </c>
      <c r="E833" s="274">
        <f t="shared" si="60"/>
        <v>2057840</v>
      </c>
      <c r="F833" s="233">
        <f t="shared" si="61"/>
        <v>89615.868028058525</v>
      </c>
      <c r="G833" s="233">
        <f t="shared" si="62"/>
        <v>31030.375358167454</v>
      </c>
      <c r="H833" s="153">
        <f t="shared" si="63"/>
        <v>120646.24338622598</v>
      </c>
      <c r="I833" s="233">
        <f t="shared" si="64"/>
        <v>0</v>
      </c>
      <c r="J833" s="233">
        <f t="shared" si="65"/>
        <v>6135.3295612709117</v>
      </c>
      <c r="K833" s="233">
        <f>SUMIFS($C:$C,$A:$A,$B833,$B:$B,"Annual revenues")</f>
        <v>0</v>
      </c>
      <c r="L833" s="233">
        <f t="shared" si="66"/>
        <v>0</v>
      </c>
      <c r="M833" s="283">
        <f t="shared" si="76"/>
        <v>-120646.24338622598</v>
      </c>
      <c r="N833">
        <f t="shared" si="67"/>
        <v>934.64729834049092</v>
      </c>
      <c r="O833">
        <f t="shared" si="68"/>
        <v>64.109015938671504</v>
      </c>
      <c r="P833" s="147">
        <f t="shared" si="69"/>
        <v>68.243645858903875</v>
      </c>
      <c r="Q833" s="147">
        <f t="shared" si="70"/>
        <v>252.26199310945836</v>
      </c>
      <c r="R833" s="284">
        <f t="shared" si="71"/>
        <v>9.7379590100001963</v>
      </c>
      <c r="S833" s="284">
        <f t="shared" si="72"/>
        <v>230.40011017660464</v>
      </c>
      <c r="T833" s="284">
        <f t="shared" si="73"/>
        <v>0</v>
      </c>
      <c r="U833" s="284">
        <f t="shared" si="74"/>
        <v>0</v>
      </c>
      <c r="V833" s="147">
        <f t="shared" si="75"/>
        <v>9.7379590100001963</v>
      </c>
      <c r="W833" s="285">
        <f t="shared" si="75"/>
        <v>230.40011017660464</v>
      </c>
    </row>
    <row r="834" spans="1:23" x14ac:dyDescent="0.3">
      <c r="A834" t="str">
        <f t="shared" si="57"/>
        <v>DHLTotals</v>
      </c>
      <c r="B834" s="162" t="s">
        <v>5203</v>
      </c>
      <c r="C834" s="242">
        <f>SUM(C827:C833)</f>
        <v>1799671.3809280042</v>
      </c>
      <c r="D834" s="242">
        <f t="shared" ref="D834:M834" si="77">SUM(D827:D833)</f>
        <v>2071410</v>
      </c>
      <c r="E834" s="242">
        <f t="shared" si="77"/>
        <v>3871081.3809280042</v>
      </c>
      <c r="F834" s="242">
        <f t="shared" si="77"/>
        <v>294243.29866402154</v>
      </c>
      <c r="G834" s="242">
        <f t="shared" si="77"/>
        <v>126851.63816830284</v>
      </c>
      <c r="H834" s="242">
        <f t="shared" si="77"/>
        <v>421094.93683232437</v>
      </c>
      <c r="I834" s="242">
        <f t="shared" si="77"/>
        <v>860.94465773275579</v>
      </c>
      <c r="J834" s="242">
        <f t="shared" si="77"/>
        <v>6135.3295612709117</v>
      </c>
      <c r="K834" s="242">
        <f t="shared" si="77"/>
        <v>0</v>
      </c>
      <c r="L834" s="242">
        <f t="shared" si="77"/>
        <v>0</v>
      </c>
      <c r="M834" s="242">
        <f t="shared" si="77"/>
        <v>-421094.93683232437</v>
      </c>
      <c r="N834" s="286">
        <f>SUM(N827:N833)</f>
        <v>1276.3395860976152</v>
      </c>
      <c r="O834" s="286">
        <f t="shared" ref="O834:W834" si="78">SUM(O827:O833)</f>
        <v>87.546259443078924</v>
      </c>
      <c r="P834" s="286">
        <f t="shared" si="78"/>
        <v>68.243645858903875</v>
      </c>
      <c r="Q834" s="286">
        <f t="shared" si="78"/>
        <v>252.26199310945836</v>
      </c>
      <c r="R834" s="286">
        <f t="shared" si="78"/>
        <v>9.7379590100001963</v>
      </c>
      <c r="S834" s="286">
        <f t="shared" si="78"/>
        <v>230.40011017660464</v>
      </c>
      <c r="T834" s="286">
        <f t="shared" si="78"/>
        <v>0</v>
      </c>
      <c r="U834" s="286">
        <f t="shared" si="78"/>
        <v>0</v>
      </c>
      <c r="V834" s="286">
        <f t="shared" si="78"/>
        <v>9.7379590100001963</v>
      </c>
      <c r="W834" s="286">
        <f t="shared" si="78"/>
        <v>230.40011017660464</v>
      </c>
    </row>
    <row r="835" spans="1:23" x14ac:dyDescent="0.3">
      <c r="A835" s="82"/>
      <c r="B835" s="287" t="s">
        <v>7069</v>
      </c>
      <c r="C835" s="150"/>
      <c r="D835" s="150"/>
      <c r="E835" s="288"/>
      <c r="F835" s="150"/>
      <c r="G835" s="150"/>
      <c r="H835" s="150"/>
      <c r="I835" s="150"/>
      <c r="J835" s="150"/>
      <c r="K835" s="150"/>
      <c r="L835" s="150"/>
      <c r="M835" s="289"/>
      <c r="N835" s="150"/>
      <c r="O835" s="150"/>
      <c r="P835" s="150"/>
      <c r="Q835" s="150"/>
      <c r="R835" s="290"/>
      <c r="S835" s="291"/>
      <c r="T835" s="150"/>
      <c r="U835" s="150"/>
      <c r="V835" s="150"/>
      <c r="W835" s="151"/>
    </row>
    <row r="836" spans="1:23" ht="15" thickBot="1" x14ac:dyDescent="0.35">
      <c r="A836" s="137"/>
      <c r="B836" s="137"/>
      <c r="C836" s="137"/>
      <c r="D836" s="137"/>
      <c r="E836" s="137"/>
      <c r="F836" s="137"/>
      <c r="G836" s="137"/>
      <c r="H836" s="137"/>
      <c r="I836" s="137"/>
      <c r="J836" s="137"/>
      <c r="K836" s="137"/>
      <c r="L836" s="137"/>
      <c r="M836" s="137"/>
      <c r="N836" s="137"/>
      <c r="O836" s="137"/>
      <c r="P836" s="137"/>
      <c r="Q836" s="137"/>
    </row>
    <row r="837" spans="1:23" x14ac:dyDescent="0.3">
      <c r="K837" s="42"/>
    </row>
  </sheetData>
  <mergeCells count="4">
    <mergeCell ref="C746:D746"/>
    <mergeCell ref="E746:F746"/>
    <mergeCell ref="C603:D603"/>
    <mergeCell ref="E603:F603"/>
  </mergeCells>
  <pageMargins left="0.7" right="0.7" top="0.75" bottom="0.75" header="0.3" footer="0.3"/>
  <pageSetup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B1B38-322E-45B2-8AC9-535696BA3F17}">
  <sheetPr codeName="Sheet33">
    <tabColor rgb="FF92D050"/>
  </sheetPr>
  <dimension ref="A1:AA932"/>
  <sheetViews>
    <sheetView topLeftCell="A673" workbookViewId="0"/>
  </sheetViews>
  <sheetFormatPr defaultColWidth="14.5546875" defaultRowHeight="15.75" customHeight="1" x14ac:dyDescent="0.3"/>
  <cols>
    <col min="1" max="1" width="23.5546875" customWidth="1"/>
    <col min="2" max="2" width="38.33203125" customWidth="1"/>
    <col min="6" max="6" width="27.88671875" customWidth="1"/>
    <col min="7" max="7" width="16.109375" customWidth="1"/>
    <col min="8" max="8" width="21" customWidth="1"/>
    <col min="10" max="10" width="11.6640625" customWidth="1"/>
    <col min="11" max="11" width="20.44140625" customWidth="1"/>
    <col min="12" max="12" width="22.5546875" customWidth="1"/>
    <col min="13" max="13" width="18" bestFit="1" customWidth="1"/>
    <col min="17" max="17" width="26.109375" customWidth="1"/>
    <col min="18" max="18" width="33.5546875" customWidth="1"/>
    <col min="19" max="19" width="9.5546875" customWidth="1"/>
    <col min="21" max="21" width="21" customWidth="1"/>
    <col min="22" max="22" width="6" customWidth="1"/>
    <col min="23" max="23" width="26.33203125" customWidth="1"/>
    <col min="24" max="24" width="29" customWidth="1"/>
    <col min="25" max="25" width="12" customWidth="1"/>
    <col min="26" max="26" width="10.6640625" customWidth="1"/>
    <col min="27" max="27" width="17.5546875" customWidth="1"/>
  </cols>
  <sheetData>
    <row r="1" spans="1:27" ht="15.75" customHeight="1" x14ac:dyDescent="0.3">
      <c r="A1" s="20" t="str">
        <f>Sc.Table!J28</f>
        <v>The farm uses a flush water system for barn cleaning. The flushed manure is collected in a reception pit and pumped to a covered digestion basin where it is digested for the entirety of the HRT. Digestate then flows to a lagoon and is stored for a period of time before it is emptied.Liquids are land applied via irrigation while the accumulated sludge is removed after a longer storage period and land applied via agitation and tractor-pulled tanker.</v>
      </c>
      <c r="I1" s="36"/>
      <c r="J1" s="36"/>
      <c r="L1" s="42"/>
      <c r="N1" s="79"/>
      <c r="P1" s="2"/>
    </row>
    <row r="2" spans="1:27" ht="15.75" customHeight="1" x14ac:dyDescent="0.3">
      <c r="A2" s="93"/>
      <c r="B2" s="1660" t="s">
        <v>6921</v>
      </c>
      <c r="C2" s="1804"/>
      <c r="D2" s="1661"/>
      <c r="E2" s="93"/>
      <c r="F2" s="93"/>
      <c r="G2" s="93"/>
      <c r="H2" s="93"/>
      <c r="I2" s="93"/>
      <c r="J2" s="93"/>
      <c r="K2" s="93"/>
      <c r="L2" s="93"/>
      <c r="M2" s="93"/>
      <c r="N2" s="93"/>
      <c r="O2" s="93"/>
      <c r="P2" s="93"/>
      <c r="Q2" s="1928" t="s">
        <v>6923</v>
      </c>
      <c r="R2" s="1923"/>
      <c r="S2" s="1929"/>
      <c r="T2" s="1930"/>
      <c r="U2" s="1931"/>
      <c r="W2" s="1928" t="s">
        <v>7141</v>
      </c>
      <c r="X2" s="1923"/>
      <c r="Y2" s="1929"/>
      <c r="Z2" s="1930"/>
      <c r="AA2" s="1931"/>
    </row>
    <row r="3" spans="1:27" ht="15.75" customHeight="1" x14ac:dyDescent="0.3">
      <c r="A3" s="93"/>
      <c r="B3" s="1668" t="s">
        <v>6922</v>
      </c>
      <c r="C3" s="1670"/>
      <c r="D3" s="1670"/>
      <c r="E3" s="93"/>
      <c r="F3" s="93"/>
      <c r="G3" s="93"/>
      <c r="H3" s="93"/>
      <c r="I3" s="93"/>
      <c r="J3" s="93"/>
      <c r="K3" s="93"/>
      <c r="L3" s="93"/>
      <c r="M3" s="93"/>
      <c r="N3" s="93"/>
      <c r="O3" s="93"/>
      <c r="P3" s="93"/>
      <c r="Q3" s="49" t="s">
        <v>1901</v>
      </c>
      <c r="R3" s="602" t="s">
        <v>6925</v>
      </c>
      <c r="S3" s="49"/>
      <c r="T3" s="61">
        <f>C5*UDV.animal.total*UC.day_to_year</f>
        <v>0.64457135077403904</v>
      </c>
      <c r="U3" s="18" t="s">
        <v>2521</v>
      </c>
      <c r="W3" s="9" t="s">
        <v>7142</v>
      </c>
      <c r="X3" s="602" t="str">
        <f>PT.anaer_lagoon!B305</f>
        <v>Interval between sludge removal</v>
      </c>
      <c r="Y3" s="602"/>
      <c r="Z3" s="1987">
        <f>PT.anaer_lagoon!AE305</f>
        <v>10</v>
      </c>
      <c r="AA3" s="1987" t="str">
        <f>PT.anaer_lagoon!AF305</f>
        <v>year</v>
      </c>
    </row>
    <row r="4" spans="1:27" ht="15.75" customHeight="1" x14ac:dyDescent="0.3">
      <c r="A4" s="93"/>
      <c r="B4" s="1577" t="s">
        <v>6924</v>
      </c>
      <c r="C4" s="1879">
        <f>UDV.animal.manure*UC.year_to_day/UDV.animal.total/UDV.density.manure</f>
        <v>2.0526696680080483</v>
      </c>
      <c r="D4" s="1806" t="s">
        <v>5838</v>
      </c>
      <c r="E4" s="93"/>
      <c r="F4" s="93"/>
      <c r="G4" s="93"/>
      <c r="H4" s="93"/>
      <c r="I4" s="93"/>
      <c r="J4" s="93"/>
      <c r="K4" s="93"/>
      <c r="L4" s="93"/>
      <c r="M4" s="93"/>
      <c r="N4" s="93"/>
      <c r="O4" s="93"/>
      <c r="P4" s="93"/>
      <c r="Q4" s="602" t="s">
        <v>4618</v>
      </c>
      <c r="R4" s="602" t="str">
        <f>PT.shallow_flush!B82</f>
        <v>Total recycled water needed</v>
      </c>
      <c r="S4" s="602"/>
      <c r="T4" s="1987">
        <f>PT.shallow_flush!G82</f>
        <v>28.39</v>
      </c>
      <c r="U4" s="1987" t="str">
        <f>PT.shallow_flush!D82</f>
        <v>m3/day</v>
      </c>
      <c r="W4" s="49"/>
      <c r="X4" s="602" t="str">
        <f>PT.anaer_lagoon!B306</f>
        <v>Manure sludge removed, lagoon</v>
      </c>
      <c r="Y4" s="602"/>
      <c r="Z4" s="1987">
        <f>PT.anaer_lagoon!AE306</f>
        <v>2327.4442324211072</v>
      </c>
      <c r="AA4" s="1987" t="str">
        <f>PT.anaer_lagoon!AF306</f>
        <v>m3/event</v>
      </c>
    </row>
    <row r="5" spans="1:27" ht="15.75" customHeight="1" x14ac:dyDescent="0.3">
      <c r="A5" s="93"/>
      <c r="B5" s="1577" t="s">
        <v>415</v>
      </c>
      <c r="C5" s="1811">
        <f>SUM(C38:C41)</f>
        <v>0.47053708606504846</v>
      </c>
      <c r="D5" s="1806" t="s">
        <v>5838</v>
      </c>
      <c r="E5" s="93"/>
      <c r="F5" s="93"/>
      <c r="G5" s="93"/>
      <c r="H5" s="93"/>
      <c r="I5" s="93"/>
      <c r="J5" s="93"/>
      <c r="K5" s="93"/>
      <c r="L5" s="93"/>
      <c r="M5" s="93"/>
      <c r="N5" s="93"/>
      <c r="O5" s="93"/>
      <c r="P5" s="93"/>
      <c r="Q5" s="602"/>
      <c r="R5" s="602" t="str">
        <f>PT.shallow_flush!B83</f>
        <v>Number of flushes</v>
      </c>
      <c r="S5" s="602"/>
      <c r="T5" s="1987">
        <f>PT.shallow_flush!G83</f>
        <v>3</v>
      </c>
      <c r="U5" s="1987" t="str">
        <f>PT.shallow_flush!D83</f>
        <v>flush/day</v>
      </c>
      <c r="W5" s="49"/>
      <c r="X5" s="602" t="str">
        <f>PT.anaer_lagoon!B307</f>
        <v>Lagoon surface area</v>
      </c>
      <c r="Y5" s="602"/>
      <c r="Z5" s="1987">
        <f>PT.anaer_lagoon!AE307</f>
        <v>2520.2986018694792</v>
      </c>
      <c r="AA5" s="1987" t="str">
        <f>PT.anaer_lagoon!AF307</f>
        <v>m3</v>
      </c>
    </row>
    <row r="6" spans="1:27" ht="15.75" customHeight="1" x14ac:dyDescent="0.3">
      <c r="A6" s="93"/>
      <c r="B6" s="1577" t="s">
        <v>409</v>
      </c>
      <c r="C6" s="1811">
        <f>SUM(C34:C36)</f>
        <v>7.1199205470333897</v>
      </c>
      <c r="D6" s="1806" t="s">
        <v>5769</v>
      </c>
      <c r="E6" s="93"/>
      <c r="F6" s="93"/>
      <c r="G6" s="93"/>
      <c r="H6" s="93"/>
      <c r="I6" s="93"/>
      <c r="J6" s="93"/>
      <c r="K6" s="93"/>
      <c r="L6" s="93"/>
      <c r="M6" s="93"/>
      <c r="N6" s="93"/>
      <c r="O6" s="93"/>
      <c r="P6" s="93"/>
      <c r="Q6" s="602"/>
      <c r="R6" s="602" t="str">
        <f>PT.shallow_flush!B84</f>
        <v>Volume of recycled water per flush</v>
      </c>
      <c r="S6" s="602"/>
      <c r="T6" s="1987">
        <f>PT.shallow_flush!G84</f>
        <v>9.4633333333333329</v>
      </c>
      <c r="U6" s="1987" t="str">
        <f>PT.shallow_flush!D84</f>
        <v>m3/flush</v>
      </c>
      <c r="W6" s="49"/>
      <c r="X6" s="602" t="str">
        <f>PT.anaer_lagoon!B308</f>
        <v>Lagoon constructed size</v>
      </c>
      <c r="Y6" s="602"/>
      <c r="Z6" s="1987">
        <f>PT.anaer_lagoon!AE308</f>
        <v>5103.5144459118055</v>
      </c>
      <c r="AA6" s="1987" t="str">
        <f>PT.anaer_lagoon!AF308</f>
        <v>m2</v>
      </c>
    </row>
    <row r="7" spans="1:27" ht="15.75" customHeight="1" x14ac:dyDescent="0.3">
      <c r="A7" s="93"/>
      <c r="B7" s="1577" t="s">
        <v>6926</v>
      </c>
      <c r="C7" s="1353" t="s">
        <v>6927</v>
      </c>
      <c r="D7" s="1806"/>
      <c r="E7" s="93"/>
      <c r="F7" s="93"/>
      <c r="G7" s="93"/>
      <c r="H7" s="93"/>
      <c r="I7" s="93"/>
      <c r="J7" s="93"/>
      <c r="K7" s="93"/>
      <c r="L7" s="93"/>
      <c r="M7" s="93"/>
      <c r="N7" s="93"/>
      <c r="O7" s="93"/>
      <c r="P7" s="93"/>
      <c r="Q7" s="602"/>
      <c r="R7" s="602" t="str">
        <f>PT.shallow_flush!B85</f>
        <v>Total flush water volume</v>
      </c>
      <c r="S7" s="602"/>
      <c r="T7" s="1987">
        <f>PT.shallow_flush!G85</f>
        <v>28.39</v>
      </c>
      <c r="U7" s="1987" t="str">
        <f>PT.shallow_flush!D85</f>
        <v>m3/day</v>
      </c>
      <c r="W7" s="49"/>
      <c r="X7" s="602" t="str">
        <f>PT.anaer_lagoon!B309</f>
        <v>N removed, lagoon</v>
      </c>
      <c r="Y7" s="602"/>
      <c r="Z7" s="1987">
        <f>PT.anaer_lagoon!AE309</f>
        <v>2.5619543788785166</v>
      </c>
      <c r="AA7" s="1987" t="str">
        <f>PT.anaer_lagoon!AF309</f>
        <v>g/L</v>
      </c>
    </row>
    <row r="8" spans="1:27" ht="15.75" customHeight="1" x14ac:dyDescent="0.3">
      <c r="A8" s="93"/>
      <c r="B8" s="1577" t="s">
        <v>6928</v>
      </c>
      <c r="C8" s="1360">
        <f>SUM(C43:C49)/UDV.animal.total</f>
        <v>535.85114165998573</v>
      </c>
      <c r="D8" s="1353" t="s">
        <v>2270</v>
      </c>
      <c r="E8" s="93"/>
      <c r="F8" s="93"/>
      <c r="G8" s="93"/>
      <c r="H8" s="93"/>
      <c r="I8" s="93"/>
      <c r="J8" s="93"/>
      <c r="K8" s="93"/>
      <c r="L8" s="93"/>
      <c r="M8" s="93"/>
      <c r="N8" s="93"/>
      <c r="O8" s="93"/>
      <c r="P8" s="93"/>
      <c r="Q8" s="602"/>
      <c r="R8" s="602" t="str">
        <f>PT.shallow_flush!B86</f>
        <v>Recycled water volume</v>
      </c>
      <c r="S8" s="602"/>
      <c r="T8" s="1987">
        <f>PT.shallow_flush!G86</f>
        <v>28.39</v>
      </c>
      <c r="U8" s="1987" t="str">
        <f>PT.shallow_flush!D86</f>
        <v>m3/day</v>
      </c>
      <c r="W8" s="49"/>
      <c r="X8" s="602" t="str">
        <f>PT.anaer_lagoon!B310</f>
        <v>P2O5 removed, lagoon</v>
      </c>
      <c r="Y8" s="602"/>
      <c r="Z8" s="1987">
        <f>PT.anaer_lagoon!AE310</f>
        <v>6.4220642397311023</v>
      </c>
      <c r="AA8" s="1987" t="str">
        <f>PT.anaer_lagoon!AF310</f>
        <v>g/L</v>
      </c>
    </row>
    <row r="9" spans="1:27" ht="15.75" customHeight="1" x14ac:dyDescent="0.3">
      <c r="A9" s="93"/>
      <c r="B9" s="1810" t="s">
        <v>6929</v>
      </c>
      <c r="C9" s="1807"/>
      <c r="D9" s="1806"/>
      <c r="E9" s="93"/>
      <c r="F9" s="93"/>
      <c r="G9" s="93"/>
      <c r="H9" s="93"/>
      <c r="I9" s="93"/>
      <c r="J9" s="93"/>
      <c r="K9" s="93"/>
      <c r="L9" s="93"/>
      <c r="M9" s="93"/>
      <c r="N9" s="93"/>
      <c r="O9" s="93"/>
      <c r="P9" s="93"/>
      <c r="Q9" s="602"/>
      <c r="R9" s="602" t="str">
        <f>PT.shallow_flush!B87</f>
        <v>Volume of water per flush</v>
      </c>
      <c r="S9" s="602"/>
      <c r="T9" s="1987">
        <f>PT.shallow_flush!G87</f>
        <v>9.4633333333333329</v>
      </c>
      <c r="U9" s="1987" t="str">
        <f>PT.shallow_flush!D87</f>
        <v>m3/flush</v>
      </c>
      <c r="W9" s="49"/>
      <c r="X9" s="602" t="str">
        <f>PT.anaer_lagoon!B311</f>
        <v>K2O removed, lagoon</v>
      </c>
      <c r="Y9" s="602"/>
      <c r="Z9" s="1987">
        <f>PT.anaer_lagoon!AE311</f>
        <v>6.4220956046072102</v>
      </c>
      <c r="AA9" s="1987" t="str">
        <f>PT.anaer_lagoon!AF311</f>
        <v>g/L</v>
      </c>
    </row>
    <row r="10" spans="1:27" ht="15.75" customHeight="1" x14ac:dyDescent="0.3">
      <c r="A10" s="93"/>
      <c r="B10" s="1577" t="s">
        <v>6163</v>
      </c>
      <c r="C10" s="1811">
        <f>C59</f>
        <v>4.770244754277444</v>
      </c>
      <c r="D10" s="1806" t="s">
        <v>2385</v>
      </c>
      <c r="E10" s="93"/>
      <c r="F10" s="93"/>
      <c r="G10" s="93"/>
      <c r="H10" s="93"/>
      <c r="I10" s="93"/>
      <c r="J10" s="93"/>
      <c r="K10" s="93"/>
      <c r="L10" s="93"/>
      <c r="M10" s="93"/>
      <c r="N10" s="93"/>
      <c r="O10" s="93"/>
      <c r="P10" s="93"/>
      <c r="Q10" s="602"/>
      <c r="R10" s="602" t="str">
        <f>PT.shallow_flush!B88</f>
        <v>Size of motor(s) needed for pump(s)</v>
      </c>
      <c r="S10" s="602"/>
      <c r="T10" s="1987">
        <f>PT.shallow_flush!G88</f>
        <v>4.9783549783549788</v>
      </c>
      <c r="U10" s="1987" t="str">
        <f>PT.shallow_flush!D88</f>
        <v>hp/pump</v>
      </c>
      <c r="W10" s="49"/>
      <c r="X10" s="602" t="str">
        <f>PT.anaer_lagoon!B312</f>
        <v>Tanker, size</v>
      </c>
      <c r="Y10" s="602"/>
      <c r="Z10" s="1987">
        <f>PT.anaer_lagoon!AE312</f>
        <v>6000</v>
      </c>
      <c r="AA10" s="1987" t="str">
        <f>PT.anaer_lagoon!AF312</f>
        <v>gal</v>
      </c>
    </row>
    <row r="11" spans="1:27" ht="15.75" customHeight="1" x14ac:dyDescent="0.3">
      <c r="A11" s="93"/>
      <c r="B11" s="1577" t="s">
        <v>6164</v>
      </c>
      <c r="C11" s="1811">
        <f t="shared" ref="C11:C12" si="0">C60</f>
        <v>3.6537102250000002</v>
      </c>
      <c r="D11" s="1806" t="s">
        <v>2385</v>
      </c>
      <c r="E11" s="93"/>
      <c r="F11" s="93"/>
      <c r="G11" s="93"/>
      <c r="H11" s="93"/>
      <c r="I11" s="93"/>
      <c r="J11" s="93"/>
      <c r="K11" s="93"/>
      <c r="L11" s="93"/>
      <c r="M11" s="93"/>
      <c r="N11" s="93"/>
      <c r="O11" s="93"/>
      <c r="P11" s="93"/>
      <c r="Q11" s="602"/>
      <c r="R11" s="602" t="str">
        <f>PT.shallow_flush!B89</f>
        <v>Number of pumps needed from pond/lagoon</v>
      </c>
      <c r="S11" s="602"/>
      <c r="T11" s="1987">
        <f>PT.shallow_flush!G89</f>
        <v>1</v>
      </c>
      <c r="U11" s="1987" t="str">
        <f>PT.shallow_flush!D89</f>
        <v>pumps</v>
      </c>
      <c r="W11" s="49"/>
      <c r="X11" s="602" t="str">
        <f>PT.anaer_lagoon!B313</f>
        <v>Tractor for tanker, size</v>
      </c>
      <c r="Y11" s="602"/>
      <c r="Z11" s="1987">
        <f>PT.anaer_lagoon!AE313</f>
        <v>250</v>
      </c>
      <c r="AA11" s="1987" t="str">
        <f>PT.anaer_lagoon!AF313</f>
        <v>PTO hp</v>
      </c>
    </row>
    <row r="12" spans="1:27" ht="15.75" customHeight="1" x14ac:dyDescent="0.3">
      <c r="A12" s="93"/>
      <c r="B12" s="1577" t="s">
        <v>6165</v>
      </c>
      <c r="C12" s="1811">
        <f t="shared" si="0"/>
        <v>5.5517686249999993</v>
      </c>
      <c r="D12" s="1806" t="s">
        <v>2385</v>
      </c>
      <c r="E12" s="93"/>
      <c r="F12" s="93"/>
      <c r="G12" s="93"/>
      <c r="H12" s="93"/>
      <c r="I12" s="93"/>
      <c r="J12" s="93"/>
      <c r="K12" s="93"/>
      <c r="L12" s="93"/>
      <c r="M12" s="93"/>
      <c r="N12" s="93"/>
      <c r="O12" s="93"/>
      <c r="P12" s="93"/>
      <c r="Q12" s="602"/>
      <c r="R12" s="602" t="str">
        <f>PT.shallow_flush!B90</f>
        <v>Operational time for pump/motor</v>
      </c>
      <c r="S12" s="602"/>
      <c r="T12" s="1987">
        <f>PT.shallow_flush!G90</f>
        <v>0.83331606180888895</v>
      </c>
      <c r="U12" s="1987" t="str">
        <f>PT.shallow_flush!D90</f>
        <v>hr/day/pump</v>
      </c>
      <c r="W12" s="49"/>
      <c r="X12" s="602" t="str">
        <f>PT.anaer_lagoon!B314</f>
        <v>Application by broadcast or injection?</v>
      </c>
      <c r="Y12" s="602"/>
      <c r="Z12" s="1987" t="str">
        <f>PT.anaer_lagoon!AE314</f>
        <v>Injection</v>
      </c>
      <c r="AA12" s="1987" t="str">
        <f>PT.anaer_lagoon!AF314</f>
        <v>type</v>
      </c>
    </row>
    <row r="13" spans="1:27" ht="15.75" customHeight="1" x14ac:dyDescent="0.3">
      <c r="A13" s="93"/>
      <c r="B13" s="1810" t="s">
        <v>6930</v>
      </c>
      <c r="C13" s="1811"/>
      <c r="D13" s="1806"/>
      <c r="E13" s="93"/>
      <c r="F13" s="93"/>
      <c r="G13" s="93"/>
      <c r="H13" s="93"/>
      <c r="I13" s="93"/>
      <c r="J13" s="93"/>
      <c r="K13" s="93"/>
      <c r="L13" s="93"/>
      <c r="M13" s="93"/>
      <c r="N13" s="93"/>
      <c r="O13" s="93"/>
      <c r="P13" s="93"/>
      <c r="Q13" s="602"/>
      <c r="R13" s="602" t="str">
        <f>PT.shallow_flush!B91</f>
        <v>Energy needed for motor(s) for pump(s)</v>
      </c>
      <c r="S13" s="602"/>
      <c r="T13" s="1987">
        <f>PT.shallow_flush!G91</f>
        <v>3.0935680987176215</v>
      </c>
      <c r="U13" s="1987" t="str">
        <f>PT.shallow_flush!D91</f>
        <v>kWh/day</v>
      </c>
      <c r="W13" s="49"/>
      <c r="X13" s="602" t="str">
        <f>PT.anaer_lagoon!B315</f>
        <v>Operation time for tractor with tanker</v>
      </c>
      <c r="Y13" s="602"/>
      <c r="Z13" s="1987">
        <f>PT.anaer_lagoon!AE315</f>
        <v>39.163128646210922</v>
      </c>
      <c r="AA13" s="1987" t="str">
        <f>PT.anaer_lagoon!AF315</f>
        <v>hrs/event</v>
      </c>
    </row>
    <row r="14" spans="1:27" ht="15.75" customHeight="1" x14ac:dyDescent="0.3">
      <c r="A14" s="93"/>
      <c r="B14" s="1577" t="s">
        <v>6163</v>
      </c>
      <c r="C14" s="1811">
        <f>C63</f>
        <v>1.1925611885693608</v>
      </c>
      <c r="D14" s="1806" t="s">
        <v>2385</v>
      </c>
      <c r="E14" s="93"/>
      <c r="F14" s="93"/>
      <c r="G14" s="93"/>
      <c r="H14" s="93"/>
      <c r="I14" s="93"/>
      <c r="J14" s="93"/>
      <c r="K14" s="93"/>
      <c r="L14" s="93"/>
      <c r="M14" s="93"/>
      <c r="N14" s="93"/>
      <c r="O14" s="93"/>
      <c r="P14" s="93"/>
      <c r="Q14" s="602"/>
      <c r="R14" s="602" t="str">
        <f>PT.shallow_flush!B92</f>
        <v>Total distance from pump to splitters</v>
      </c>
      <c r="S14" s="602"/>
      <c r="T14" s="1987">
        <f>PT.shallow_flush!G92</f>
        <v>600</v>
      </c>
      <c r="U14" s="1987" t="str">
        <f>PT.shallow_flush!D92</f>
        <v>ft</v>
      </c>
      <c r="W14" s="49"/>
      <c r="X14" s="602" t="str">
        <f>PT.anaer_lagoon!B316</f>
        <v>Fuel needed for tractor with tank and applicator</v>
      </c>
      <c r="Y14" s="602"/>
      <c r="Z14" s="1987">
        <f>PT.anaer_lagoon!AE316</f>
        <v>430.79441510832015</v>
      </c>
      <c r="AA14" s="1987" t="str">
        <f>PT.anaer_lagoon!AF316</f>
        <v>gal/event</v>
      </c>
    </row>
    <row r="15" spans="1:27" ht="15.75" customHeight="1" x14ac:dyDescent="0.3">
      <c r="A15" s="93"/>
      <c r="B15" s="1577" t="s">
        <v>6164</v>
      </c>
      <c r="C15" s="1811">
        <f t="shared" ref="C15:C16" si="1">C64</f>
        <v>2.9893992749999998</v>
      </c>
      <c r="D15" s="1806" t="s">
        <v>2385</v>
      </c>
      <c r="E15" s="93"/>
      <c r="F15" s="93"/>
      <c r="G15" s="93"/>
      <c r="H15" s="93"/>
      <c r="I15" s="93"/>
      <c r="J15" s="93"/>
      <c r="K15" s="93"/>
      <c r="L15" s="93"/>
      <c r="M15" s="93"/>
      <c r="N15" s="93"/>
      <c r="O15" s="93"/>
      <c r="P15" s="93"/>
      <c r="Q15" s="602"/>
      <c r="R15" s="602" t="str">
        <f>PT.shallow_flush!B93</f>
        <v>Total distance from splitters to barns</v>
      </c>
      <c r="S15" s="602"/>
      <c r="T15" s="1987">
        <f>PT.shallow_flush!G93</f>
        <v>200</v>
      </c>
      <c r="U15" s="1987" t="str">
        <f>PT.shallow_flush!D93</f>
        <v>ft</v>
      </c>
      <c r="W15" s="49"/>
      <c r="X15" s="602" t="str">
        <f>PT.anaer_lagoon!B317</f>
        <v>Number of tractors with tanker needed</v>
      </c>
      <c r="Y15" s="602"/>
      <c r="Z15" s="1987">
        <f>PT.anaer_lagoon!AE317</f>
        <v>1</v>
      </c>
      <c r="AA15" s="1987" t="str">
        <f>PT.anaer_lagoon!AF317</f>
        <v>quantity</v>
      </c>
    </row>
    <row r="16" spans="1:27" ht="15.75" customHeight="1" x14ac:dyDescent="0.3">
      <c r="A16" s="93"/>
      <c r="B16" s="1577" t="s">
        <v>6165</v>
      </c>
      <c r="C16" s="1811">
        <f t="shared" si="1"/>
        <v>2.9894138749999994</v>
      </c>
      <c r="D16" s="1806" t="s">
        <v>2385</v>
      </c>
      <c r="E16" s="93"/>
      <c r="F16" s="93"/>
      <c r="G16" s="93"/>
      <c r="H16" s="93"/>
      <c r="I16" s="93"/>
      <c r="J16" s="93"/>
      <c r="K16" s="93"/>
      <c r="L16" s="93"/>
      <c r="M16" s="93"/>
      <c r="N16" s="93"/>
      <c r="O16" s="93"/>
      <c r="P16" s="93"/>
      <c r="Q16" s="602"/>
      <c r="R16" s="602" t="str">
        <f>PT.shallow_flush!B94</f>
        <v>Transfer channel total length</v>
      </c>
      <c r="S16" s="602"/>
      <c r="T16" s="1987">
        <f>PT.shallow_flush!G94</f>
        <v>53.3</v>
      </c>
      <c r="U16" s="1987" t="str">
        <f>PT.shallow_flush!D94</f>
        <v>m</v>
      </c>
      <c r="W16" s="49"/>
      <c r="X16" s="602" t="str">
        <f>PT.anaer_lagoon!B318</f>
        <v>Tractor for agitator, size</v>
      </c>
      <c r="Y16" s="602"/>
      <c r="Z16" s="1987">
        <f>PT.anaer_lagoon!AE318</f>
        <v>160</v>
      </c>
      <c r="AA16" s="1987" t="str">
        <f>PT.anaer_lagoon!AF318</f>
        <v>PTO hp</v>
      </c>
    </row>
    <row r="17" spans="1:27" ht="15.75" customHeight="1" x14ac:dyDescent="0.3">
      <c r="A17" s="93"/>
      <c r="B17" s="1808" t="s">
        <v>5271</v>
      </c>
      <c r="C17" s="1809"/>
      <c r="D17" s="1806"/>
      <c r="E17" s="93"/>
      <c r="F17" s="93"/>
      <c r="G17" s="93"/>
      <c r="H17" s="93"/>
      <c r="I17" s="93"/>
      <c r="J17" s="93"/>
      <c r="K17" s="93"/>
      <c r="L17" s="93"/>
      <c r="M17" s="93"/>
      <c r="N17" s="93"/>
      <c r="O17" s="93"/>
      <c r="P17" s="93"/>
      <c r="Q17" s="602" t="s">
        <v>5219</v>
      </c>
      <c r="R17" s="602" t="str">
        <f>PT.reception_pit!B26</f>
        <v>Reception pit constructed size</v>
      </c>
      <c r="S17" s="602"/>
      <c r="T17" s="1987">
        <f>PT.reception_pit!J26</f>
        <v>31283.734452421984</v>
      </c>
      <c r="U17" s="1987" t="str">
        <f>PT.reception_pit!C26</f>
        <v>L</v>
      </c>
      <c r="W17" s="49"/>
      <c r="X17" s="602" t="str">
        <f>PT.anaer_lagoon!B319</f>
        <v>Number of tractors for agitating needed</v>
      </c>
      <c r="Y17" s="602"/>
      <c r="Z17" s="1987">
        <f>PT.anaer_lagoon!AE319</f>
        <v>1</v>
      </c>
      <c r="AA17" s="1987" t="str">
        <f>PT.anaer_lagoon!AF319</f>
        <v>quantity</v>
      </c>
    </row>
    <row r="18" spans="1:27" ht="15.75" customHeight="1" x14ac:dyDescent="0.3">
      <c r="A18" s="93"/>
      <c r="B18" s="1577" t="s">
        <v>6782</v>
      </c>
      <c r="C18" s="1812">
        <f>C78+C83+C87</f>
        <v>18.953850547736096</v>
      </c>
      <c r="D18" s="1806" t="s">
        <v>2385</v>
      </c>
      <c r="E18" s="93"/>
      <c r="F18" s="93"/>
      <c r="G18" s="93"/>
      <c r="H18" s="93"/>
      <c r="I18" s="93"/>
      <c r="J18" s="93"/>
      <c r="K18" s="93"/>
      <c r="L18" s="93"/>
      <c r="M18" s="93"/>
      <c r="N18" s="93"/>
      <c r="O18" s="93"/>
      <c r="P18" s="93"/>
      <c r="Q18" s="602"/>
      <c r="R18" s="602" t="str">
        <f>PT.reception_pit!B27</f>
        <v>Size of motor(s) for agi-pump(s)</v>
      </c>
      <c r="S18" s="602"/>
      <c r="T18" s="1987">
        <f>PT.reception_pit!J27</f>
        <v>15</v>
      </c>
      <c r="U18" s="1987" t="str">
        <f>PT.reception_pit!C27</f>
        <v>hp</v>
      </c>
      <c r="W18" s="49"/>
      <c r="X18" s="602" t="str">
        <f>PT.anaer_lagoon!B320</f>
        <v>Operation time for tractor agitating</v>
      </c>
      <c r="Y18" s="602"/>
      <c r="Z18" s="1987">
        <f>PT.anaer_lagoon!AE320</f>
        <v>48.953910807763656</v>
      </c>
      <c r="AA18" s="1987" t="str">
        <f>PT.anaer_lagoon!AF320</f>
        <v>hr/year</v>
      </c>
    </row>
    <row r="19" spans="1:27" ht="15.75" customHeight="1" x14ac:dyDescent="0.3">
      <c r="A19" s="93"/>
      <c r="B19" s="1577" t="s">
        <v>6783</v>
      </c>
      <c r="C19" s="1812">
        <f>C80+C85+C89</f>
        <v>0.16394636576900853</v>
      </c>
      <c r="D19" s="1806" t="s">
        <v>2385</v>
      </c>
      <c r="E19" s="93"/>
      <c r="F19" s="93"/>
      <c r="G19" s="93"/>
      <c r="H19" s="93"/>
      <c r="I19" s="93"/>
      <c r="J19" s="93"/>
      <c r="K19" s="93"/>
      <c r="L19" s="93"/>
      <c r="M19" s="93"/>
      <c r="N19" s="93"/>
      <c r="O19" s="93"/>
      <c r="P19" s="93"/>
      <c r="Q19" s="602"/>
      <c r="R19" s="602" t="str">
        <f>PT.reception_pit!B28</f>
        <v>Number of agi-pumps needed</v>
      </c>
      <c r="S19" s="602"/>
      <c r="T19" s="1987">
        <f>PT.reception_pit!J28</f>
        <v>1</v>
      </c>
      <c r="U19" s="1987" t="str">
        <f>PT.reception_pit!C28</f>
        <v>pumps</v>
      </c>
      <c r="W19" s="49"/>
      <c r="X19" s="602" t="str">
        <f>PT.anaer_lagoon!B321</f>
        <v>Fuel needed for tractor for agitating</v>
      </c>
      <c r="Y19" s="602"/>
      <c r="Z19" s="1987">
        <f>PT.anaer_lagoon!AE321</f>
        <v>344.6355320866561</v>
      </c>
      <c r="AA19" s="1987" t="str">
        <f>PT.anaer_lagoon!AF321</f>
        <v>gal/event</v>
      </c>
    </row>
    <row r="20" spans="1:27" ht="15.75" customHeight="1" x14ac:dyDescent="0.3">
      <c r="A20" s="93"/>
      <c r="B20" s="1577" t="s">
        <v>6784</v>
      </c>
      <c r="C20" s="1812">
        <f>C81+C86+C90</f>
        <v>0.28564983310141095</v>
      </c>
      <c r="D20" s="1806" t="s">
        <v>2385</v>
      </c>
      <c r="E20" s="93"/>
      <c r="F20" s="93"/>
      <c r="G20" s="93"/>
      <c r="H20" s="93"/>
      <c r="I20" s="93"/>
      <c r="J20" s="93"/>
      <c r="K20" s="93"/>
      <c r="L20" s="93"/>
      <c r="M20" s="93"/>
      <c r="N20" s="93"/>
      <c r="O20" s="93"/>
      <c r="P20" s="93"/>
      <c r="Q20" s="602"/>
      <c r="R20" s="602" t="str">
        <f>PT.reception_pit!B29</f>
        <v>Energy needed for motor for agi-pump</v>
      </c>
      <c r="S20" s="602"/>
      <c r="T20" s="1987">
        <f>PT.reception_pit!J29</f>
        <v>4.1084544279722408</v>
      </c>
      <c r="U20" s="1987" t="str">
        <f>PT.reception_pit!C29</f>
        <v>kWh/day</v>
      </c>
      <c r="W20" s="49"/>
      <c r="X20" s="602" t="str">
        <f>PT.anaer_lagoon!B322</f>
        <v>Number of tractors for pumping needed</v>
      </c>
      <c r="Y20" s="602"/>
      <c r="Z20" s="1987">
        <f>PT.anaer_lagoon!AE322</f>
        <v>1</v>
      </c>
      <c r="AA20" s="1987" t="str">
        <f>PT.anaer_lagoon!AF322</f>
        <v>quantity</v>
      </c>
    </row>
    <row r="21" spans="1:27" ht="15.75" customHeight="1" x14ac:dyDescent="0.3">
      <c r="A21" s="93"/>
      <c r="B21" s="1577" t="s">
        <v>6785</v>
      </c>
      <c r="C21" s="1812">
        <f>C79+C84+C88</f>
        <v>12.984319401325976</v>
      </c>
      <c r="D21" s="1806" t="s">
        <v>2385</v>
      </c>
      <c r="E21" s="93"/>
      <c r="F21" s="93"/>
      <c r="G21" s="93"/>
      <c r="H21" s="93"/>
      <c r="I21" s="93"/>
      <c r="J21" s="93"/>
      <c r="K21" s="93"/>
      <c r="L21" s="93"/>
      <c r="M21" s="93"/>
      <c r="N21" s="93"/>
      <c r="O21" s="93"/>
      <c r="P21" s="93"/>
      <c r="Q21" s="602" t="s">
        <v>7247</v>
      </c>
      <c r="R21" s="602" t="str">
        <f>PT.cover_digest!B88</f>
        <v>Covered lagoon surface area</v>
      </c>
      <c r="S21" s="602"/>
      <c r="T21" s="1987">
        <f>PT.cover_digest!G88</f>
        <v>1661.3902142063973</v>
      </c>
      <c r="U21" s="1987" t="str">
        <f>PT.cover_digest!C88</f>
        <v>m2</v>
      </c>
      <c r="W21" s="49"/>
      <c r="X21" s="602" t="str">
        <f>PT.anaer_lagoon!B323</f>
        <v>Tractor for pumping, size</v>
      </c>
      <c r="Y21" s="602"/>
      <c r="Z21" s="1987">
        <f>PT.anaer_lagoon!AE323</f>
        <v>180</v>
      </c>
      <c r="AA21" s="1987" t="str">
        <f>PT.anaer_lagoon!AF323</f>
        <v>PTO hp</v>
      </c>
    </row>
    <row r="22" spans="1:27" ht="15.75" customHeight="1" x14ac:dyDescent="0.3">
      <c r="A22" s="93"/>
      <c r="B22" s="1577" t="s">
        <v>7466</v>
      </c>
      <c r="C22" s="1500">
        <f>C82</f>
        <v>37.007112913154977</v>
      </c>
      <c r="D22" s="1806" t="s">
        <v>2385</v>
      </c>
      <c r="E22" s="93"/>
      <c r="F22" s="93"/>
      <c r="G22" s="93"/>
      <c r="H22" s="93"/>
      <c r="I22" s="93"/>
      <c r="J22" s="93"/>
      <c r="K22" s="93"/>
      <c r="L22" s="93"/>
      <c r="M22" s="93"/>
      <c r="N22" s="93"/>
      <c r="O22" s="93"/>
      <c r="P22" s="93"/>
      <c r="Q22" s="602"/>
      <c r="R22" s="602" t="str">
        <f>PT.cover_digest!B89</f>
        <v>Covered lagoon constructed size</v>
      </c>
      <c r="S22" s="602"/>
      <c r="T22" s="1987">
        <f>PT.cover_digest!G89</f>
        <v>2700.4909100593827</v>
      </c>
      <c r="U22" s="1987" t="str">
        <f>PT.cover_digest!C89</f>
        <v>m3</v>
      </c>
      <c r="W22" s="49"/>
      <c r="X22" s="602" t="str">
        <f>PT.anaer_lagoon!B324</f>
        <v>Operation time for tractor pumping</v>
      </c>
      <c r="Y22" s="602"/>
      <c r="Z22" s="1987">
        <f>PT.anaer_lagoon!AE324</f>
        <v>5.1237143232854079</v>
      </c>
      <c r="AA22" s="1987" t="str">
        <f>PT.anaer_lagoon!AF324</f>
        <v>hr/event</v>
      </c>
    </row>
    <row r="23" spans="1:27" ht="15.75" customHeight="1" x14ac:dyDescent="0.3">
      <c r="A23" s="93"/>
      <c r="D23" s="66"/>
      <c r="E23" s="93"/>
      <c r="F23" s="93"/>
      <c r="G23" s="93"/>
      <c r="H23" s="93"/>
      <c r="I23" s="93"/>
      <c r="J23" s="93"/>
      <c r="K23" s="93"/>
      <c r="L23" s="93"/>
      <c r="M23" s="93"/>
      <c r="N23" s="93"/>
      <c r="O23" s="93"/>
      <c r="P23" s="93"/>
      <c r="Q23" s="602"/>
      <c r="R23" s="602" t="str">
        <f>PT.cover_digest!B90</f>
        <v>Carbon/methane produced by volume</v>
      </c>
      <c r="S23" s="602"/>
      <c r="T23" s="1987">
        <f>PT.cover_digest!G90</f>
        <v>10163.996954999997</v>
      </c>
      <c r="U23" s="1987" t="str">
        <f>PT.cover_digest!C90</f>
        <v>m3/year</v>
      </c>
      <c r="W23" s="49"/>
      <c r="X23" s="602" t="str">
        <f>PT.anaer_lagoon!B325</f>
        <v>Fuel needed for tractor for pumping</v>
      </c>
      <c r="Y23" s="602"/>
      <c r="Z23" s="1987">
        <f>PT.anaer_lagoon!AE325</f>
        <v>40.579817440420427</v>
      </c>
      <c r="AA23" s="1987" t="str">
        <f>PT.anaer_lagoon!AF325</f>
        <v>gal/event</v>
      </c>
    </row>
    <row r="24" spans="1:27" ht="15.75" customHeight="1" x14ac:dyDescent="0.3">
      <c r="A24" s="93"/>
      <c r="B24" s="1668" t="s">
        <v>6931</v>
      </c>
      <c r="C24" s="1680"/>
      <c r="D24" s="1815"/>
      <c r="E24" s="93"/>
      <c r="F24" s="93"/>
      <c r="G24" s="93"/>
      <c r="H24" s="93"/>
      <c r="I24" s="93"/>
      <c r="J24" s="93"/>
      <c r="K24" s="93"/>
      <c r="L24" s="93"/>
      <c r="M24" s="93"/>
      <c r="N24" s="93"/>
      <c r="O24" s="93"/>
      <c r="P24" s="93"/>
      <c r="Q24" s="602"/>
      <c r="R24" s="602" t="e">
        <f>PT.cover_digest!#REF!</f>
        <v>#REF!</v>
      </c>
      <c r="S24" s="602"/>
      <c r="T24" s="1987" t="e">
        <f>PT.cover_digest!#REF!</f>
        <v>#REF!</v>
      </c>
      <c r="U24" s="1987" t="e">
        <f>PT.cover_digest!#REF!</f>
        <v>#REF!</v>
      </c>
      <c r="W24" s="49"/>
      <c r="X24" s="602" t="str">
        <f>PT.anaer_lagoon!B326</f>
        <v>Size of tractor for pulling hose reel and applicator toolbar</v>
      </c>
      <c r="Y24" s="602"/>
      <c r="Z24" s="1987">
        <f>PT.anaer_lagoon!AE326</f>
        <v>580</v>
      </c>
      <c r="AA24" s="1987" t="str">
        <f>PT.anaer_lagoon!AF326</f>
        <v>PTO hp</v>
      </c>
    </row>
    <row r="25" spans="1:27" ht="15.75" customHeight="1" x14ac:dyDescent="0.3">
      <c r="A25" s="93"/>
      <c r="B25" s="510" t="s">
        <v>6932</v>
      </c>
      <c r="C25" s="1378">
        <v>0.21</v>
      </c>
      <c r="D25" s="510" t="s">
        <v>1694</v>
      </c>
      <c r="E25" s="93"/>
      <c r="F25" s="93"/>
      <c r="G25" s="93"/>
      <c r="H25" s="93"/>
      <c r="I25" s="93"/>
      <c r="J25" s="93"/>
      <c r="K25" s="93"/>
      <c r="L25" s="93"/>
      <c r="M25" s="93"/>
      <c r="N25" s="93"/>
      <c r="O25" s="93"/>
      <c r="P25" s="93"/>
      <c r="Q25" s="602" t="s">
        <v>5210</v>
      </c>
      <c r="R25" s="602" t="str">
        <f>PT.anaer_lagoon!B260</f>
        <v>Interval between liquids removal</v>
      </c>
      <c r="S25" s="602"/>
      <c r="T25" s="1987">
        <f>PT.anaer_lagoon!AE260</f>
        <v>182.5</v>
      </c>
      <c r="U25" s="1987" t="str">
        <f>PT.anaer_lagoon!AF260</f>
        <v>days</v>
      </c>
      <c r="W25" s="49"/>
      <c r="X25" s="602" t="str">
        <f>PT.anaer_lagoon!B327</f>
        <v>Number of tractors for pulling hose reel and applicator</v>
      </c>
      <c r="Y25" s="602"/>
      <c r="Z25" s="1987">
        <f>PT.anaer_lagoon!AE327</f>
        <v>1</v>
      </c>
      <c r="AA25" s="1987" t="str">
        <f>PT.anaer_lagoon!AF327</f>
        <v>quantity</v>
      </c>
    </row>
    <row r="26" spans="1:27" ht="15.75" customHeight="1" x14ac:dyDescent="0.3">
      <c r="A26" s="93"/>
      <c r="B26" s="1813" t="s">
        <v>6933</v>
      </c>
      <c r="C26" s="1414">
        <v>2.1428571399999998</v>
      </c>
      <c r="D26" s="510" t="s">
        <v>6934</v>
      </c>
      <c r="E26" s="93"/>
      <c r="F26" s="93"/>
      <c r="G26" s="93"/>
      <c r="H26" s="93"/>
      <c r="I26" s="93"/>
      <c r="J26" s="93"/>
      <c r="K26" s="93"/>
      <c r="L26" s="93"/>
      <c r="M26" s="93"/>
      <c r="N26" s="93"/>
      <c r="O26" s="93"/>
      <c r="P26" s="93"/>
      <c r="Q26" s="602"/>
      <c r="R26" s="602" t="str">
        <f>PT.anaer_lagoon!B261</f>
        <v>Manure liquids removed, lagoon</v>
      </c>
      <c r="S26" s="602"/>
      <c r="T26" s="1987">
        <f>PT.anaer_lagoon!AE261</f>
        <v>1181.7954759720228</v>
      </c>
      <c r="U26" s="1987" t="str">
        <f>PT.anaer_lagoon!AF261</f>
        <v>m3/event</v>
      </c>
      <c r="W26" s="49"/>
      <c r="X26" s="602" t="str">
        <f>PT.anaer_lagoon!B328</f>
        <v>Size of tractor for support with hose pulley</v>
      </c>
      <c r="Y26" s="602"/>
      <c r="Z26" s="1987">
        <f>PT.anaer_lagoon!AE328</f>
        <v>340</v>
      </c>
      <c r="AA26" s="1987" t="str">
        <f>PT.anaer_lagoon!AF328</f>
        <v>PTO hp</v>
      </c>
    </row>
    <row r="27" spans="1:27" ht="15.75" customHeight="1" x14ac:dyDescent="0.3">
      <c r="A27" s="93"/>
      <c r="B27" s="91" t="s">
        <v>6935</v>
      </c>
      <c r="C27" s="1403">
        <f>(C19+C20)*(28/44)</f>
        <v>0.28610667200844875</v>
      </c>
      <c r="D27" s="510" t="s">
        <v>2358</v>
      </c>
      <c r="E27" s="93"/>
      <c r="F27" s="93"/>
      <c r="G27" s="93"/>
      <c r="H27" s="93"/>
      <c r="I27" s="93"/>
      <c r="J27" s="93"/>
      <c r="K27" s="93"/>
      <c r="L27" s="93"/>
      <c r="M27" s="93"/>
      <c r="N27" s="93"/>
      <c r="O27" s="93"/>
      <c r="P27" s="93"/>
      <c r="Q27" s="602"/>
      <c r="R27" s="602" t="str">
        <f>PT.anaer_lagoon!B262</f>
        <v>Lagoon surface area</v>
      </c>
      <c r="S27" s="602"/>
      <c r="T27" s="1987">
        <f>PT.anaer_lagoon!AE262</f>
        <v>2520.2986018694792</v>
      </c>
      <c r="U27" s="1987" t="str">
        <f>PT.anaer_lagoon!AF262</f>
        <v>m2</v>
      </c>
      <c r="W27" s="49"/>
      <c r="X27" s="602" t="str">
        <f>PT.anaer_lagoon!B329</f>
        <v>Distance from storage to field</v>
      </c>
      <c r="Y27" s="602"/>
      <c r="Z27" s="1987">
        <f>PT.anaer_lagoon!AE329</f>
        <v>2</v>
      </c>
      <c r="AA27" s="1987" t="str">
        <f>PT.anaer_lagoon!AF329</f>
        <v>miles</v>
      </c>
    </row>
    <row r="28" spans="1:27" ht="15.75" customHeight="1" x14ac:dyDescent="0.3">
      <c r="A28" s="93"/>
      <c r="B28" s="91" t="s">
        <v>6936</v>
      </c>
      <c r="C28" s="1380">
        <f>C21*(14/17)</f>
        <v>10.692968918739039</v>
      </c>
      <c r="D28" s="510" t="s">
        <v>2358</v>
      </c>
      <c r="E28" s="93"/>
      <c r="F28" s="93"/>
      <c r="G28" s="93"/>
      <c r="H28" s="93"/>
      <c r="I28" s="93"/>
      <c r="J28" s="93"/>
      <c r="K28" s="93"/>
      <c r="L28" s="93"/>
      <c r="M28" s="93"/>
      <c r="N28" s="93"/>
      <c r="O28" s="93"/>
      <c r="P28" s="93"/>
      <c r="Q28" s="602"/>
      <c r="R28" s="602" t="str">
        <f>PT.anaer_lagoon!B263</f>
        <v>Lagoon constructed size</v>
      </c>
      <c r="S28" s="602"/>
      <c r="T28" s="1987">
        <f>PT.anaer_lagoon!AE263</f>
        <v>5103.5144459118055</v>
      </c>
      <c r="U28" s="1987" t="str">
        <f>PT.anaer_lagoon!AF263</f>
        <v>m3</v>
      </c>
      <c r="W28" s="49"/>
      <c r="X28" s="602" t="str">
        <f>PT.anaer_lagoon!B330</f>
        <v>Application by broadcast or injection?</v>
      </c>
      <c r="Y28" s="602"/>
      <c r="Z28" s="1987" t="str">
        <f>PT.anaer_lagoon!AE330</f>
        <v>Injection</v>
      </c>
      <c r="AA28" s="1987" t="str">
        <f>PT.anaer_lagoon!AF330</f>
        <v>type</v>
      </c>
    </row>
    <row r="29" spans="1:27" ht="15.75" customHeight="1" x14ac:dyDescent="0.3">
      <c r="A29" s="93"/>
      <c r="B29" s="91" t="s">
        <v>6937</v>
      </c>
      <c r="C29" s="1404">
        <f>C25*C27*(44/28)/C26</f>
        <v>4.4060427548048349E-2</v>
      </c>
      <c r="D29" s="510" t="s">
        <v>2358</v>
      </c>
      <c r="E29" s="93"/>
      <c r="F29" s="93"/>
      <c r="G29" s="93"/>
      <c r="H29" s="93"/>
      <c r="I29" s="93"/>
      <c r="J29" s="93"/>
      <c r="K29" s="93"/>
      <c r="L29" s="93"/>
      <c r="M29" s="93"/>
      <c r="N29" s="93"/>
      <c r="O29" s="93"/>
      <c r="P29" s="93"/>
      <c r="Q29" s="602"/>
      <c r="R29" s="602" t="str">
        <f>PT.anaer_lagoon!B264</f>
        <v>N removed, lagoon</v>
      </c>
      <c r="S29" s="602"/>
      <c r="T29" s="1987">
        <f>PT.anaer_lagoon!AE264</f>
        <v>1.0091096241407453</v>
      </c>
      <c r="U29" s="1987" t="str">
        <f>PT.anaer_lagoon!AF264</f>
        <v>g/L</v>
      </c>
      <c r="W29" s="49"/>
      <c r="X29" s="602" t="str">
        <f>PT.anaer_lagoon!B331</f>
        <v>Fuel needed for tractor for pulling hose reel and applicator</v>
      </c>
      <c r="Y29" s="602"/>
      <c r="Z29" s="1987">
        <f>PT.anaer_lagoon!AE331</f>
        <v>25.52</v>
      </c>
      <c r="AA29" s="1987">
        <f>PT.anaer_lagoon!AF331</f>
        <v>0</v>
      </c>
    </row>
    <row r="30" spans="1:27" ht="15.75" customHeight="1" x14ac:dyDescent="0.3">
      <c r="A30" s="93"/>
      <c r="B30" s="1347"/>
      <c r="C30" s="559"/>
      <c r="D30" s="1352"/>
      <c r="E30" s="93"/>
      <c r="F30" s="93"/>
      <c r="G30" s="93"/>
      <c r="H30" s="93"/>
      <c r="I30" s="93"/>
      <c r="J30" s="93"/>
      <c r="K30" s="93"/>
      <c r="L30" s="93"/>
      <c r="M30" s="93"/>
      <c r="N30" s="93"/>
      <c r="O30" s="93"/>
      <c r="P30" s="93"/>
      <c r="Q30" s="602"/>
      <c r="R30" s="602" t="str">
        <f>PT.anaer_lagoon!B265</f>
        <v>P2O5 removed, lagoon</v>
      </c>
      <c r="S30" s="602"/>
      <c r="T30" s="1987">
        <f>PT.anaer_lagoon!AE265</f>
        <v>0.77291508964248568</v>
      </c>
      <c r="U30" s="1987" t="str">
        <f>PT.anaer_lagoon!AF265</f>
        <v>g/L</v>
      </c>
      <c r="W30" s="49"/>
      <c r="X30" s="602" t="str">
        <f>PT.anaer_lagoon!B332</f>
        <v>Fuel needed for support tractor with hose pulley</v>
      </c>
      <c r="Y30" s="602"/>
      <c r="Z30" s="1987">
        <f>PT.anaer_lagoon!AE332</f>
        <v>14.959999999999999</v>
      </c>
      <c r="AA30" s="1987" t="str">
        <f>PT.anaer_lagoon!AF332</f>
        <v>gal/hr</v>
      </c>
    </row>
    <row r="31" spans="1:27" ht="15.75" customHeight="1" x14ac:dyDescent="0.3">
      <c r="A31" s="93"/>
      <c r="B31" s="559"/>
      <c r="C31" s="559"/>
      <c r="D31" s="1352"/>
      <c r="E31" s="93"/>
      <c r="F31" s="93"/>
      <c r="G31" s="93"/>
      <c r="H31" s="93"/>
      <c r="I31" s="93"/>
      <c r="J31" s="93"/>
      <c r="K31" s="93"/>
      <c r="L31" s="93"/>
      <c r="M31" s="93"/>
      <c r="N31" s="93"/>
      <c r="O31" s="93"/>
      <c r="P31" s="93"/>
      <c r="Q31" s="602"/>
      <c r="R31" s="602" t="str">
        <f>PT.anaer_lagoon!B266</f>
        <v>K2O removed, lagoon</v>
      </c>
      <c r="S31" s="602"/>
      <c r="T31" s="1987">
        <f>PT.anaer_lagoon!AE266</f>
        <v>1.1744351577487824</v>
      </c>
      <c r="U31" s="1987" t="str">
        <f>PT.anaer_lagoon!AF266</f>
        <v>g/L</v>
      </c>
      <c r="W31" s="49"/>
      <c r="X31" s="602" t="str">
        <f>PT.anaer_lagoon!B333</f>
        <v>Diesel powered pump(s), size</v>
      </c>
      <c r="Y31" s="602"/>
      <c r="Z31" s="1987">
        <f>PT.anaer_lagoon!AE333</f>
        <v>3000</v>
      </c>
      <c r="AA31" s="1987" t="str">
        <f>PT.anaer_lagoon!AF333</f>
        <v>gal/min</v>
      </c>
    </row>
    <row r="32" spans="1:27" ht="15.75" customHeight="1" x14ac:dyDescent="0.3">
      <c r="A32" s="93"/>
      <c r="B32" s="49"/>
      <c r="C32" s="49"/>
      <c r="D32" s="52"/>
      <c r="E32" s="93"/>
      <c r="F32" s="93"/>
      <c r="G32" s="93"/>
      <c r="H32" s="93"/>
      <c r="I32" s="93"/>
      <c r="J32" s="93"/>
      <c r="K32" s="93"/>
      <c r="L32" s="93"/>
      <c r="M32" s="93"/>
      <c r="N32" s="93"/>
      <c r="O32" s="93"/>
      <c r="P32" s="93"/>
      <c r="Q32" s="602"/>
      <c r="R32" s="602" t="str">
        <f>PT.anaer_lagoon!B267</f>
        <v>Field area applied by lagoon liquids</v>
      </c>
      <c r="S32" s="602"/>
      <c r="T32" s="1987">
        <f>PT.anaer_lagoon!AE267</f>
        <v>23.05560022574312</v>
      </c>
      <c r="U32" s="1987" t="str">
        <f>PT.anaer_lagoon!AF267</f>
        <v>ac/y</v>
      </c>
      <c r="W32" s="49"/>
      <c r="X32" s="602" t="str">
        <f>PT.anaer_lagoon!B334</f>
        <v>Number of diesel powered lead pumps needed</v>
      </c>
      <c r="Y32" s="602"/>
      <c r="Z32" s="1987">
        <f>PT.anaer_lagoon!AE334</f>
        <v>1</v>
      </c>
      <c r="AA32" s="1987" t="str">
        <f>PT.anaer_lagoon!AF334</f>
        <v>quantity</v>
      </c>
    </row>
    <row r="33" spans="2:27" ht="15.75" customHeight="1" x14ac:dyDescent="0.3">
      <c r="B33" s="1668" t="str">
        <f>PT.shallow_flush!B103</f>
        <v>Electricity</v>
      </c>
      <c r="C33" s="1680"/>
      <c r="D33" s="1815"/>
      <c r="E33" s="93"/>
      <c r="F33" s="93"/>
      <c r="G33" s="93"/>
      <c r="H33" s="93"/>
      <c r="I33" s="93"/>
      <c r="J33" s="93"/>
      <c r="K33" s="93"/>
      <c r="L33" s="93"/>
      <c r="M33" s="93"/>
      <c r="N33" s="93"/>
      <c r="O33" s="93"/>
      <c r="P33" s="93"/>
      <c r="Q33" s="602"/>
      <c r="R33" s="602" t="str">
        <f>PT.anaer_lagoon!B268</f>
        <v>Energy needed to pump lagoon liquids</v>
      </c>
      <c r="S33" s="602"/>
      <c r="T33" s="1987">
        <f>PT.anaer_lagoon!AE268</f>
        <v>931.22205127489565</v>
      </c>
      <c r="U33" s="1987" t="str">
        <f>PT.anaer_lagoon!AF268</f>
        <v>kWh/y</v>
      </c>
      <c r="W33" s="67"/>
      <c r="X33" s="602" t="str">
        <f>PT.anaer_lagoon!B335</f>
        <v>Number of diesel powered agitation trailers needed</v>
      </c>
      <c r="Y33" s="602"/>
      <c r="Z33" s="1987">
        <f>PT.anaer_lagoon!AE335</f>
        <v>1</v>
      </c>
      <c r="AA33" s="1987" t="str">
        <f>PT.anaer_lagoon!AF335</f>
        <v>quantity</v>
      </c>
    </row>
    <row r="34" spans="2:27" ht="15.75" customHeight="1" x14ac:dyDescent="0.3">
      <c r="B34" s="602" t="str">
        <f>PT.shallow_flush!B104</f>
        <v>Electricity for pumping to shallow pit</v>
      </c>
      <c r="C34" s="1989">
        <f>PT.shallow_flush!G104</f>
        <v>2.2583047120638637</v>
      </c>
      <c r="D34" s="602" t="str">
        <f>PT.shallow_flush!C104</f>
        <v>kWh/head/year</v>
      </c>
      <c r="E34" s="93"/>
      <c r="F34" s="93"/>
      <c r="G34" s="93"/>
      <c r="H34" s="93"/>
      <c r="I34" s="93"/>
      <c r="J34" s="93"/>
      <c r="K34" s="93"/>
      <c r="L34" s="93"/>
      <c r="M34" s="93"/>
      <c r="N34" s="93"/>
      <c r="O34" s="93"/>
      <c r="P34" s="93"/>
      <c r="Q34" s="602"/>
      <c r="R34" s="602" t="str">
        <f>PT.anaer_lagoon!B269</f>
        <v>Total labor time required for irrigation</v>
      </c>
      <c r="S34" s="602"/>
      <c r="T34" s="1987">
        <f>PT.anaer_lagoon!AE269</f>
        <v>6.9166800677229361</v>
      </c>
      <c r="U34" s="1987" t="str">
        <f>PT.anaer_lagoon!AF269</f>
        <v>hr/year</v>
      </c>
      <c r="V34" s="1986"/>
      <c r="W34" s="1988"/>
      <c r="X34" s="602" t="str">
        <f>PT.anaer_lagoon!B336</f>
        <v>Number of booster pumps needed</v>
      </c>
      <c r="Y34" s="602"/>
      <c r="Z34" s="1987">
        <f>PT.anaer_lagoon!AE336</f>
        <v>1</v>
      </c>
      <c r="AA34" s="1987" t="str">
        <f>PT.anaer_lagoon!AF336</f>
        <v>quantity</v>
      </c>
    </row>
    <row r="35" spans="2:27" ht="15.75" customHeight="1" x14ac:dyDescent="0.3">
      <c r="B35" s="602" t="str">
        <f>PT.reception_pit!B36</f>
        <v>Electricity used by reception pit pumps</v>
      </c>
      <c r="C35" s="1987">
        <f>PT.reception_pit!J36</f>
        <v>2.9991717324197356</v>
      </c>
      <c r="D35" s="602" t="str">
        <f>PT.reception_pit!C36</f>
        <v>kWh/head/year</v>
      </c>
      <c r="E35" s="93"/>
      <c r="F35" s="93"/>
      <c r="G35" s="93"/>
      <c r="H35" s="93"/>
      <c r="I35" s="93"/>
      <c r="J35" s="93"/>
      <c r="K35" s="93"/>
      <c r="L35" s="93"/>
      <c r="M35" s="93"/>
      <c r="N35" s="93"/>
      <c r="O35" s="93"/>
      <c r="P35" s="93"/>
      <c r="Q35" s="602"/>
      <c r="R35" s="602" t="str">
        <f>PT.anaer_lagoon!B270</f>
        <v>Tanker, size</v>
      </c>
      <c r="S35" s="602"/>
      <c r="T35" s="1987">
        <f>PT.anaer_lagoon!AE270</f>
        <v>6000</v>
      </c>
      <c r="U35" s="1987" t="str">
        <f>PT.anaer_lagoon!AF270</f>
        <v>gal</v>
      </c>
      <c r="V35" s="1986"/>
      <c r="W35" s="1988"/>
      <c r="X35" s="602" t="str">
        <f>PT.anaer_lagoon!B337</f>
        <v>Operation time for pumping</v>
      </c>
      <c r="Y35" s="602"/>
      <c r="Z35" s="1987">
        <f>PT.anaer_lagoon!AE337</f>
        <v>5.2835750517327966</v>
      </c>
      <c r="AA35" s="1987" t="str">
        <f>PT.anaer_lagoon!AF337</f>
        <v>hr</v>
      </c>
    </row>
    <row r="36" spans="2:27" ht="15.75" customHeight="1" x14ac:dyDescent="0.3">
      <c r="B36" s="602" t="str">
        <f>PT.anaer_lagoon!B348</f>
        <v>Electricity for irrigation pump</v>
      </c>
      <c r="C36" s="1987">
        <f>PT.anaer_lagoon!AE348</f>
        <v>1.8624441025497913</v>
      </c>
      <c r="D36" s="602" t="str">
        <f>PT.anaer_lagoon!F348</f>
        <v>kWh/head/year</v>
      </c>
      <c r="E36" s="93"/>
      <c r="F36" s="93"/>
      <c r="G36" s="93"/>
      <c r="H36" s="93"/>
      <c r="I36" s="93"/>
      <c r="J36" s="93"/>
      <c r="K36" s="93"/>
      <c r="L36" s="93"/>
      <c r="M36" s="93"/>
      <c r="N36" s="93"/>
      <c r="O36" s="93"/>
      <c r="P36" s="93"/>
      <c r="Q36" s="602"/>
      <c r="R36" s="602" t="str">
        <f>PT.anaer_lagoon!B271</f>
        <v>Tractor for tanker, size</v>
      </c>
      <c r="S36" s="602"/>
      <c r="T36" s="1987">
        <f>PT.anaer_lagoon!AE271</f>
        <v>250</v>
      </c>
      <c r="U36" s="1987" t="str">
        <f>PT.anaer_lagoon!AF271</f>
        <v>PTO hp</v>
      </c>
      <c r="V36" s="1986"/>
      <c r="W36" s="1988"/>
      <c r="X36" s="602" t="str">
        <f>PT.anaer_lagoon!B338</f>
        <v>Fuel needed for diesel powered lead pump</v>
      </c>
      <c r="Y36" s="602"/>
      <c r="Z36" s="1987">
        <f>PT.anaer_lagoon!AE338</f>
        <v>95.104350931190339</v>
      </c>
      <c r="AA36" s="1987" t="str">
        <f>PT.anaer_lagoon!AF338</f>
        <v>gal/event</v>
      </c>
    </row>
    <row r="37" spans="2:27" ht="15.75" customHeight="1" x14ac:dyDescent="0.3">
      <c r="B37" s="1668" t="str">
        <f>PT.shallow_flush!B107</f>
        <v>Fresh water</v>
      </c>
      <c r="C37" s="1680"/>
      <c r="D37" s="1815"/>
      <c r="E37" s="93"/>
      <c r="F37" s="93"/>
      <c r="G37" s="93"/>
      <c r="H37" s="93"/>
      <c r="I37" s="93"/>
      <c r="J37" s="93"/>
      <c r="K37" s="93"/>
      <c r="L37" s="93"/>
      <c r="M37" s="93"/>
      <c r="N37" s="93"/>
      <c r="O37" s="93"/>
      <c r="P37" s="93"/>
      <c r="Q37" s="602"/>
      <c r="R37" s="602" t="str">
        <f>PT.anaer_lagoon!B272</f>
        <v>Application by broadcast or injection?</v>
      </c>
      <c r="S37" s="602"/>
      <c r="T37" s="1987" t="str">
        <f>PT.anaer_lagoon!AE272</f>
        <v>Injection</v>
      </c>
      <c r="U37" s="1987" t="str">
        <f>PT.anaer_lagoon!AF272</f>
        <v>type</v>
      </c>
      <c r="V37" s="1986"/>
      <c r="W37" s="1988"/>
      <c r="X37" s="602" t="str">
        <f>PT.anaer_lagoon!B339</f>
        <v>Fuel needed for diesel powered booster pump</v>
      </c>
      <c r="Y37" s="602"/>
      <c r="Z37" s="1987">
        <f>PT.anaer_lagoon!AE339</f>
        <v>39.626812887995975</v>
      </c>
      <c r="AA37" s="1987" t="str">
        <f>PT.anaer_lagoon!AF339</f>
        <v>gal/event</v>
      </c>
    </row>
    <row r="38" spans="2:27" ht="15.75" customHeight="1" x14ac:dyDescent="0.3">
      <c r="B38" s="1925"/>
      <c r="C38" s="1926"/>
      <c r="D38" s="1925"/>
      <c r="E38" s="93"/>
      <c r="F38" s="93"/>
      <c r="G38" s="93"/>
      <c r="H38" s="93"/>
      <c r="I38" s="93"/>
      <c r="J38" s="93"/>
      <c r="K38" s="93"/>
      <c r="L38" s="93"/>
      <c r="M38" s="93"/>
      <c r="N38" s="93"/>
      <c r="O38" s="93"/>
      <c r="P38" s="93"/>
      <c r="Q38" s="602"/>
      <c r="R38" s="602" t="str">
        <f>PT.anaer_lagoon!B273</f>
        <v>Operation time for tractor with tanker</v>
      </c>
      <c r="S38" s="602"/>
      <c r="T38" s="1987">
        <f>PT.anaer_lagoon!AE273</f>
        <v>1.9885678726169513</v>
      </c>
      <c r="U38" s="1987" t="str">
        <f>PT.anaer_lagoon!AF273</f>
        <v>hrs/event</v>
      </c>
      <c r="V38" s="1986"/>
      <c r="W38" s="1988"/>
      <c r="X38" s="602" t="str">
        <f>PT.anaer_lagoon!B340</f>
        <v>Fuel needed for diesel powered agitation trailer</v>
      </c>
      <c r="Y38" s="602"/>
      <c r="Z38" s="1987">
        <f>PT.anaer_lagoon!AE340</f>
        <v>31.70145031039678</v>
      </c>
      <c r="AA38" s="1987" t="str">
        <f>PT.anaer_lagoon!AF340</f>
        <v>gal/event</v>
      </c>
    </row>
    <row r="39" spans="2:27" ht="15.75" customHeight="1" x14ac:dyDescent="0.3">
      <c r="B39" s="602" t="str">
        <f>PT.shallow_flush!B108</f>
        <v>Fresh water used for pumping to shallow pit</v>
      </c>
      <c r="C39" s="1989">
        <f>PT.shallow_flush!G108</f>
        <v>0</v>
      </c>
      <c r="D39" s="602" t="str">
        <f>PT.shallow_flush!C108</f>
        <v>m3/head/year</v>
      </c>
      <c r="E39" s="93"/>
      <c r="F39" s="93"/>
      <c r="G39" s="93"/>
      <c r="H39" s="93"/>
      <c r="I39" s="93"/>
      <c r="J39" s="93"/>
      <c r="K39" s="93"/>
      <c r="L39" s="93"/>
      <c r="M39" s="93"/>
      <c r="N39" s="93"/>
      <c r="O39" s="93"/>
      <c r="P39" s="93"/>
      <c r="Q39" s="602"/>
      <c r="R39" s="602" t="str">
        <f>PT.anaer_lagoon!B274</f>
        <v>Fuel needed for tractor with tank and applicator</v>
      </c>
      <c r="S39" s="602"/>
      <c r="T39" s="1987">
        <f>PT.anaer_lagoon!AE274</f>
        <v>21.874246598786463</v>
      </c>
      <c r="U39" s="1987" t="str">
        <f>PT.anaer_lagoon!AF274</f>
        <v>gal/event</v>
      </c>
      <c r="V39" s="1986"/>
      <c r="W39" s="1988"/>
      <c r="X39" s="602" t="str">
        <f>PT.anaer_lagoon!B341</f>
        <v>Fuel needed for pickup truck</v>
      </c>
      <c r="Y39" s="602"/>
      <c r="Z39" s="1987">
        <f>PT.anaer_lagoon!AE341</f>
        <v>4.7552175465595168</v>
      </c>
      <c r="AA39" s="1987" t="str">
        <f>PT.anaer_lagoon!AF341</f>
        <v>gal/event</v>
      </c>
    </row>
    <row r="40" spans="2:27" ht="15.75" customHeight="1" x14ac:dyDescent="0.3">
      <c r="B40" s="602" t="str">
        <f>PT.anaer_lagoon!B359</f>
        <v>Fresh water used to supplement flow into storage structure</v>
      </c>
      <c r="C40" s="1987">
        <f>PT.anaer_lagoon!AE359</f>
        <v>0</v>
      </c>
      <c r="D40" s="602" t="str">
        <f>PT.anaer_lagoon!F359</f>
        <v>m3/head/year</v>
      </c>
      <c r="E40" s="93"/>
      <c r="F40" s="93"/>
      <c r="G40" s="93"/>
      <c r="H40" s="93"/>
      <c r="I40" s="93"/>
      <c r="J40" s="93"/>
      <c r="K40" s="93"/>
      <c r="L40" s="93"/>
      <c r="M40" s="93"/>
      <c r="N40" s="93"/>
      <c r="O40" s="93"/>
      <c r="P40" s="93"/>
      <c r="Q40" s="602"/>
      <c r="R40" s="602" t="str">
        <f>PT.anaer_lagoon!B275</f>
        <v>Number of tractors with tanker needed</v>
      </c>
      <c r="S40" s="602"/>
      <c r="T40" s="1987">
        <f>PT.anaer_lagoon!AE275</f>
        <v>1</v>
      </c>
      <c r="U40" s="1987" t="str">
        <f>PT.anaer_lagoon!AF275</f>
        <v>quantity</v>
      </c>
      <c r="V40" s="1986"/>
      <c r="W40" s="1986"/>
      <c r="X40" s="602" t="str">
        <f>PT.anaer_lagoon!B342</f>
        <v>Number of tractors for support with hose pulley</v>
      </c>
      <c r="Y40" s="602"/>
      <c r="Z40" s="1987">
        <f>PT.anaer_lagoon!AE342</f>
        <v>1</v>
      </c>
      <c r="AA40" s="1987" t="str">
        <f>PT.anaer_lagoon!AF342</f>
        <v>quantity</v>
      </c>
    </row>
    <row r="41" spans="2:27" ht="15.75" customHeight="1" x14ac:dyDescent="0.3">
      <c r="B41" s="602" t="str">
        <f>PT.anaer_lagoon!B360</f>
        <v>Fresh water used to supplement application liquid volume</v>
      </c>
      <c r="C41" s="1987">
        <f>PT.anaer_lagoon!AE360</f>
        <v>0.47053708606504846</v>
      </c>
      <c r="D41" s="602" t="str">
        <f>PT.anaer_lagoon!F360</f>
        <v>m3/head/year</v>
      </c>
      <c r="E41" s="93"/>
      <c r="F41" s="93"/>
      <c r="G41" s="93"/>
      <c r="H41" s="93"/>
      <c r="I41" s="93"/>
      <c r="J41" s="93"/>
      <c r="K41" s="93"/>
      <c r="L41" s="93"/>
      <c r="M41" s="93"/>
      <c r="N41" s="93"/>
      <c r="O41" s="93"/>
      <c r="P41" s="93"/>
      <c r="Q41" s="602"/>
      <c r="R41" s="602" t="str">
        <f>PT.anaer_lagoon!B276</f>
        <v>Tractor for agitator, size</v>
      </c>
      <c r="S41" s="602"/>
      <c r="T41" s="1987">
        <f>PT.anaer_lagoon!AE276</f>
        <v>160</v>
      </c>
      <c r="U41" s="1987" t="str">
        <f>PT.anaer_lagoon!AF276</f>
        <v>PTO hp</v>
      </c>
      <c r="V41" s="1986"/>
      <c r="W41" s="1986"/>
      <c r="X41" s="1986"/>
      <c r="Y41" s="1986"/>
      <c r="Z41" s="1986"/>
      <c r="AA41" s="1986"/>
    </row>
    <row r="42" spans="2:27" ht="15.75" customHeight="1" x14ac:dyDescent="0.3">
      <c r="B42" s="1668" t="str">
        <f>PT.anaer_lagoon!B349</f>
        <v>Land footprint</v>
      </c>
      <c r="C42" s="1680"/>
      <c r="D42" s="1815"/>
      <c r="E42" s="93"/>
      <c r="F42" s="93"/>
      <c r="G42" s="93"/>
      <c r="H42" s="93"/>
      <c r="I42" s="93"/>
      <c r="J42" s="93"/>
      <c r="K42" s="93"/>
      <c r="L42" s="93"/>
      <c r="M42" s="93"/>
      <c r="N42" s="93"/>
      <c r="O42" s="93"/>
      <c r="P42" s="93"/>
      <c r="Q42" s="602"/>
      <c r="R42" s="602" t="str">
        <f>PT.anaer_lagoon!B277</f>
        <v>Number of tractors for agitating needed</v>
      </c>
      <c r="S42" s="602"/>
      <c r="T42" s="1987">
        <f>PT.anaer_lagoon!AE277</f>
        <v>1</v>
      </c>
      <c r="U42" s="1987" t="str">
        <f>PT.anaer_lagoon!AF277</f>
        <v>quantity</v>
      </c>
      <c r="V42" s="1986"/>
      <c r="W42" s="1986"/>
      <c r="X42" s="1986"/>
      <c r="Y42" s="1986"/>
      <c r="Z42" s="1986"/>
      <c r="AA42" s="1986"/>
    </row>
    <row r="43" spans="2:27" ht="15.75" customHeight="1" x14ac:dyDescent="0.3">
      <c r="B43" s="602" t="str">
        <f>PT.shallow_flush!B106</f>
        <v>Shallow pit land footprint</v>
      </c>
      <c r="C43" s="2272">
        <f>PT.shallow_flush!G106</f>
        <v>26.728648992831804</v>
      </c>
      <c r="D43" s="602" t="str">
        <f>PT.shallow_flush!C106</f>
        <v>m2</v>
      </c>
      <c r="E43" s="93"/>
      <c r="F43" s="93"/>
      <c r="G43" s="93"/>
      <c r="H43" s="93"/>
      <c r="I43" s="93"/>
      <c r="J43" s="93"/>
      <c r="K43" s="93"/>
      <c r="L43" s="93"/>
      <c r="M43" s="93"/>
      <c r="N43" s="93"/>
      <c r="O43" s="93"/>
      <c r="P43" s="93"/>
      <c r="Q43" s="602"/>
      <c r="R43" s="602" t="str">
        <f>PT.anaer_lagoon!B278</f>
        <v>Operation time for tractor agitating</v>
      </c>
      <c r="S43" s="602"/>
      <c r="T43" s="1987">
        <f>PT.anaer_lagoon!AE278</f>
        <v>2.4857098407711891</v>
      </c>
      <c r="U43" s="1987" t="str">
        <f>PT.anaer_lagoon!AF278</f>
        <v>hr/year</v>
      </c>
      <c r="V43" s="1986"/>
      <c r="W43" s="1986"/>
      <c r="X43" s="1986"/>
      <c r="Y43" s="1986"/>
      <c r="Z43" s="1986"/>
      <c r="AA43" s="1986"/>
    </row>
    <row r="44" spans="2:27" ht="27.75" customHeight="1" x14ac:dyDescent="0.3">
      <c r="B44" s="602" t="str">
        <f>PT.reception_pit!B38</f>
        <v>Land used by reception pit</v>
      </c>
      <c r="C44" s="2272">
        <f>PT.reception_pit!J38</f>
        <v>8.5544802987208044</v>
      </c>
      <c r="D44" s="602" t="str">
        <f>PT.reception_pit!C38</f>
        <v>m2</v>
      </c>
      <c r="E44" s="93"/>
      <c r="F44" s="93"/>
      <c r="G44" s="93"/>
      <c r="H44" s="93"/>
      <c r="I44" s="93"/>
      <c r="J44" s="93"/>
      <c r="K44" s="93"/>
      <c r="L44" s="93"/>
      <c r="M44" s="93"/>
      <c r="N44" s="93"/>
      <c r="O44" s="93"/>
      <c r="P44" s="93"/>
      <c r="Q44" s="602"/>
      <c r="R44" s="602" t="str">
        <f>PT.anaer_lagoon!B279</f>
        <v>Fuel needed for tractor for agitating</v>
      </c>
      <c r="S44" s="602"/>
      <c r="T44" s="1987">
        <f>PT.anaer_lagoon!AE279</f>
        <v>17.499397279029168</v>
      </c>
      <c r="U44" s="1987" t="str">
        <f>PT.anaer_lagoon!AF279</f>
        <v>gal/event</v>
      </c>
      <c r="V44" s="1986"/>
      <c r="W44" s="1986"/>
      <c r="X44" s="1986"/>
      <c r="Y44" s="1986"/>
      <c r="Z44" s="1986"/>
      <c r="AA44" s="1986"/>
    </row>
    <row r="45" spans="2:27" ht="15.75" customHeight="1" x14ac:dyDescent="0.3">
      <c r="B45" s="602" t="str">
        <f>PT.cover_digest!B98</f>
        <v>Covered digestion basin</v>
      </c>
      <c r="C45" s="2272">
        <f>PT.cover_digest!G98</f>
        <v>1661.3902142063973</v>
      </c>
      <c r="D45" s="602" t="str">
        <f>PT.cover_digest!C98</f>
        <v>m2</v>
      </c>
      <c r="E45" s="93"/>
      <c r="F45" s="93"/>
      <c r="G45" s="93"/>
      <c r="H45" s="93"/>
      <c r="I45" s="93"/>
      <c r="J45" s="93"/>
      <c r="K45" s="93"/>
      <c r="L45" s="93"/>
      <c r="M45" s="93"/>
      <c r="N45" s="93"/>
      <c r="O45" s="93"/>
      <c r="P45" s="93"/>
      <c r="Q45" s="602"/>
      <c r="R45" s="602" t="str">
        <f>PT.anaer_lagoon!B280</f>
        <v>Number of tractors for pumping needed</v>
      </c>
      <c r="S45" s="602"/>
      <c r="T45" s="1987">
        <f>PT.anaer_lagoon!AE280</f>
        <v>1</v>
      </c>
      <c r="U45" s="1987" t="str">
        <f>PT.anaer_lagoon!AF280</f>
        <v>quantity</v>
      </c>
      <c r="V45" s="1986"/>
      <c r="W45" s="1986"/>
      <c r="X45" s="1986"/>
      <c r="Y45" s="1986"/>
      <c r="Z45" s="1986"/>
      <c r="AA45" s="1986"/>
    </row>
    <row r="46" spans="2:27" ht="18.75" customHeight="1" x14ac:dyDescent="0.3">
      <c r="B46" s="602" t="str">
        <f>PT.anaer_lagoon!B350</f>
        <v>Land for lagoon surface area</v>
      </c>
      <c r="C46" s="2272">
        <f>PT.anaer_lagoon!AE350</f>
        <v>2520.2986018694792</v>
      </c>
      <c r="D46" s="602" t="str">
        <f>PT.anaer_lagoon!F350</f>
        <v>m2</v>
      </c>
      <c r="E46" s="93"/>
      <c r="F46" s="93"/>
      <c r="G46" s="93"/>
      <c r="H46" s="93"/>
      <c r="I46" s="93"/>
      <c r="J46" s="93"/>
      <c r="K46" s="93"/>
      <c r="L46" s="93"/>
      <c r="M46" s="93"/>
      <c r="N46" s="93"/>
      <c r="O46" s="93"/>
      <c r="P46" s="93"/>
      <c r="Q46" s="602"/>
      <c r="R46" s="602" t="str">
        <f>PT.anaer_lagoon!B281</f>
        <v>Tractor for pumping, size</v>
      </c>
      <c r="S46" s="602"/>
      <c r="T46" s="1987">
        <f>PT.anaer_lagoon!AE281</f>
        <v>180</v>
      </c>
      <c r="U46" s="1987" t="str">
        <f>PT.anaer_lagoon!AF281</f>
        <v>PTO hp</v>
      </c>
      <c r="V46" s="1986"/>
      <c r="W46" s="1986"/>
      <c r="X46" s="1986"/>
      <c r="Y46" s="1986"/>
      <c r="Z46" s="1986"/>
      <c r="AA46" s="1986"/>
    </row>
    <row r="47" spans="2:27" ht="15.75" customHeight="1" x14ac:dyDescent="0.3">
      <c r="B47" s="602" t="str">
        <f>PT.anaer_lagoon!B351</f>
        <v>Land for liquid application</v>
      </c>
      <c r="C47" s="2272">
        <f>PT.anaer_lagoon!AE351</f>
        <v>105936.88172272885</v>
      </c>
      <c r="D47" s="602" t="str">
        <f>PT.anaer_lagoon!F351</f>
        <v>m2</v>
      </c>
      <c r="E47" s="93"/>
      <c r="F47" s="93"/>
      <c r="G47" s="93"/>
      <c r="H47" s="93"/>
      <c r="I47" s="93"/>
      <c r="J47" s="93"/>
      <c r="K47" s="93"/>
      <c r="L47" s="93"/>
      <c r="M47" s="93"/>
      <c r="N47" s="93"/>
      <c r="O47" s="93"/>
      <c r="P47" s="93"/>
      <c r="Q47" s="602"/>
      <c r="R47" s="602" t="str">
        <f>PT.anaer_lagoon!B282</f>
        <v>Operation time for tractor pumping</v>
      </c>
      <c r="S47" s="602"/>
      <c r="T47" s="1987">
        <f>PT.anaer_lagoon!AE282</f>
        <v>0.26016444660987137</v>
      </c>
      <c r="U47" s="1987" t="str">
        <f>PT.anaer_lagoon!AF282</f>
        <v>hr/event</v>
      </c>
      <c r="V47" s="1986"/>
      <c r="W47" s="1986"/>
      <c r="X47" s="1986"/>
      <c r="Y47" s="1986"/>
      <c r="Z47" s="1986"/>
      <c r="AA47" s="1986"/>
    </row>
    <row r="48" spans="2:27" ht="15.75" customHeight="1" x14ac:dyDescent="0.3">
      <c r="B48" s="602" t="str">
        <f>PT.anaer_lagoon!B352</f>
        <v>Land for sludge application</v>
      </c>
      <c r="C48" s="2272">
        <f>PT.anaer_lagoon!AE352</f>
        <v>25917.417719583878</v>
      </c>
      <c r="D48" s="602" t="str">
        <f>PT.anaer_lagoon!F352</f>
        <v>m2</v>
      </c>
      <c r="E48" s="93"/>
      <c r="F48" s="93"/>
      <c r="G48" s="93"/>
      <c r="H48" s="93"/>
      <c r="I48" s="93"/>
      <c r="J48" s="93"/>
      <c r="K48" s="93"/>
      <c r="L48" s="93"/>
      <c r="M48" s="93"/>
      <c r="N48" s="93"/>
      <c r="O48" s="93"/>
      <c r="P48" s="93"/>
      <c r="Q48" s="602"/>
      <c r="R48" s="602" t="str">
        <f>PT.anaer_lagoon!B283</f>
        <v>Fuel needed for tractor for pumping</v>
      </c>
      <c r="S48" s="602"/>
      <c r="T48" s="1987">
        <f>PT.anaer_lagoon!AE283</f>
        <v>2.0605024171501811</v>
      </c>
      <c r="U48" s="1987" t="str">
        <f>PT.anaer_lagoon!AF283</f>
        <v>gal/event</v>
      </c>
      <c r="V48" s="1986"/>
      <c r="W48" s="1986"/>
      <c r="X48" s="1986"/>
      <c r="Y48" s="1986"/>
      <c r="Z48" s="1986"/>
      <c r="AA48" s="1986"/>
    </row>
    <row r="49" spans="2:21" ht="15.75" customHeight="1" x14ac:dyDescent="0.3">
      <c r="B49" s="714"/>
      <c r="C49" s="2274">
        <f>SUM(C47:C48)</f>
        <v>131854.29944231274</v>
      </c>
      <c r="D49" s="714"/>
      <c r="E49" s="93"/>
      <c r="F49" s="93"/>
      <c r="G49" s="93"/>
      <c r="H49" s="93"/>
      <c r="I49" s="93"/>
      <c r="J49" s="93"/>
      <c r="K49" s="93"/>
      <c r="L49" s="93"/>
      <c r="M49" s="93"/>
      <c r="N49" s="93"/>
      <c r="O49" s="93"/>
      <c r="P49" s="93"/>
      <c r="Q49" s="602"/>
      <c r="R49" s="602" t="str">
        <f>PT.anaer_lagoon!B284</f>
        <v>Size of tractor for pulling hose reel and applicator</v>
      </c>
      <c r="S49" s="602"/>
      <c r="T49" s="1987">
        <f>PT.anaer_lagoon!AE284</f>
        <v>580</v>
      </c>
      <c r="U49" s="1987" t="str">
        <f>PT.anaer_lagoon!AF284</f>
        <v>PTO hp</v>
      </c>
    </row>
    <row r="50" spans="2:21" ht="15.75" customHeight="1" x14ac:dyDescent="0.3">
      <c r="E50" s="93"/>
      <c r="F50" s="93"/>
      <c r="G50" s="93"/>
      <c r="H50" s="93"/>
      <c r="I50" s="93"/>
      <c r="J50" s="93"/>
      <c r="K50" s="93"/>
      <c r="L50" s="93"/>
      <c r="M50" s="93"/>
      <c r="N50" s="93"/>
      <c r="O50" s="93"/>
      <c r="P50" s="93"/>
      <c r="Q50" s="602"/>
      <c r="R50" s="602" t="str">
        <f>PT.anaer_lagoon!B285</f>
        <v>Number of tractors for pulling hose reel and applicator</v>
      </c>
      <c r="S50" s="602"/>
      <c r="T50" s="1987">
        <f>PT.anaer_lagoon!AE285</f>
        <v>1</v>
      </c>
      <c r="U50" s="1987" t="str">
        <f>PT.anaer_lagoon!AF285</f>
        <v>quantity</v>
      </c>
    </row>
    <row r="51" spans="2:21" ht="15.75" customHeight="1" x14ac:dyDescent="0.3">
      <c r="B51" s="1668" t="str">
        <f>PT.anaer_lagoon!B353</f>
        <v>Fuel</v>
      </c>
      <c r="C51" s="1680"/>
      <c r="D51" s="1815"/>
      <c r="E51" s="93"/>
      <c r="F51" s="93"/>
      <c r="G51" s="93"/>
      <c r="H51" s="93"/>
      <c r="I51" s="93"/>
      <c r="J51" s="93"/>
      <c r="K51" s="93"/>
      <c r="L51" s="93"/>
      <c r="M51" s="93"/>
      <c r="N51" s="93"/>
      <c r="O51" s="93"/>
      <c r="P51" s="93"/>
      <c r="Q51" s="602"/>
      <c r="R51" s="602" t="str">
        <f>PT.anaer_lagoon!B286</f>
        <v>Number of tractors for support with hose pulley</v>
      </c>
      <c r="S51" s="602"/>
      <c r="T51" s="1987">
        <f>PT.anaer_lagoon!AE286</f>
        <v>1</v>
      </c>
      <c r="U51" s="1987" t="str">
        <f>PT.anaer_lagoon!AF286</f>
        <v>quantity</v>
      </c>
    </row>
    <row r="52" spans="2:21" ht="15.75" customHeight="1" x14ac:dyDescent="0.3">
      <c r="B52" s="602" t="str">
        <f>PT.anaer_lagoon!B354</f>
        <v>Diesel fuel used for tanker land application of liquids</v>
      </c>
      <c r="C52" s="2065">
        <f>PT.anaer_lagoon!AE354</f>
        <v>0.16573658517986326</v>
      </c>
      <c r="D52" s="602" t="str">
        <f>PT.anaer_lagoon!F354</f>
        <v>gal/head/year</v>
      </c>
      <c r="E52" s="93"/>
      <c r="F52" s="93"/>
      <c r="G52" s="93"/>
      <c r="H52" s="93"/>
      <c r="I52" s="93"/>
      <c r="J52" s="93"/>
      <c r="K52" s="93"/>
      <c r="L52" s="93"/>
      <c r="M52" s="93"/>
      <c r="N52" s="93"/>
      <c r="O52" s="93"/>
      <c r="P52" s="93"/>
      <c r="Q52" s="602"/>
      <c r="R52" s="602" t="str">
        <f>PT.anaer_lagoon!B287</f>
        <v>Size of tractor for support with hose pulley</v>
      </c>
      <c r="S52" s="602"/>
      <c r="T52" s="1987">
        <f>PT.anaer_lagoon!AE287</f>
        <v>340</v>
      </c>
      <c r="U52" s="1987" t="str">
        <f>PT.anaer_lagoon!AF287</f>
        <v>PTO hp</v>
      </c>
    </row>
    <row r="53" spans="2:21" ht="15.75" customHeight="1" x14ac:dyDescent="0.3">
      <c r="B53" s="602" t="str">
        <f>PT.anaer_lagoon!B355</f>
        <v>Diesel fuel used for tanker land application of sludge</v>
      </c>
      <c r="C53" s="2065">
        <f>PT.anaer_lagoon!AE355</f>
        <v>0.16320195292707934</v>
      </c>
      <c r="D53" s="602" t="str">
        <f>PT.anaer_lagoon!F355</f>
        <v>gal/head/year</v>
      </c>
      <c r="E53" s="93"/>
      <c r="F53" s="93"/>
      <c r="G53" s="93"/>
      <c r="H53" s="93"/>
      <c r="I53" s="93"/>
      <c r="J53" s="93"/>
      <c r="K53" s="93"/>
      <c r="L53" s="93"/>
      <c r="M53" s="93"/>
      <c r="N53" s="93"/>
      <c r="O53" s="93"/>
      <c r="P53" s="93"/>
      <c r="Q53" s="602"/>
      <c r="R53" s="602" t="str">
        <f>PT.anaer_lagoon!B288</f>
        <v>Distance from storage to field</v>
      </c>
      <c r="S53" s="602"/>
      <c r="T53" s="1987">
        <f>PT.anaer_lagoon!AE288</f>
        <v>2</v>
      </c>
      <c r="U53" s="1987" t="str">
        <f>PT.anaer_lagoon!AF288</f>
        <v>miles</v>
      </c>
    </row>
    <row r="54" spans="2:21" ht="15.75" customHeight="1" x14ac:dyDescent="0.3">
      <c r="B54" s="602" t="str">
        <f>PT.anaer_lagoon!B356</f>
        <v>Diesel fuel used for drag hose land application of liquids</v>
      </c>
      <c r="C54" s="2065">
        <f>PT.anaer_lagoon!AE356</f>
        <v>5.4774675703313506E-2</v>
      </c>
      <c r="D54" s="602" t="str">
        <f>PT.anaer_lagoon!F356</f>
        <v>gal/head/year</v>
      </c>
      <c r="E54" s="93"/>
      <c r="F54" s="93"/>
      <c r="G54" s="93"/>
      <c r="H54" s="93"/>
      <c r="I54" s="93"/>
      <c r="J54" s="93"/>
      <c r="K54" s="93"/>
      <c r="L54" s="93"/>
      <c r="M54" s="93"/>
      <c r="N54" s="93"/>
      <c r="O54" s="93"/>
      <c r="P54" s="93"/>
      <c r="Q54" s="602"/>
      <c r="R54" s="602" t="str">
        <f>PT.anaer_lagoon!B289</f>
        <v>Fuel needed for tractor for pulling hose reel and applicator</v>
      </c>
      <c r="S54" s="602"/>
      <c r="T54" s="1987">
        <f>PT.anaer_lagoon!AE289</f>
        <v>25.52</v>
      </c>
      <c r="U54" s="1987" t="str">
        <f>PT.anaer_lagoon!AF289</f>
        <v>gal/hr</v>
      </c>
    </row>
    <row r="55" spans="2:21" ht="15.75" customHeight="1" x14ac:dyDescent="0.3">
      <c r="B55" s="602" t="str">
        <f>PT.anaer_lagoon!B357</f>
        <v>Diesel fuel used for drag hose land application of sludge</v>
      </c>
      <c r="C55" s="2065">
        <f>PT.anaer_lagoon!AE357</f>
        <v>8.3429763496881554E-2</v>
      </c>
      <c r="D55" s="602" t="str">
        <f>PT.anaer_lagoon!F357</f>
        <v>gal/head/year</v>
      </c>
      <c r="E55" s="93"/>
      <c r="F55" s="93"/>
      <c r="G55" s="93"/>
      <c r="H55" s="93"/>
      <c r="I55" s="93"/>
      <c r="J55" s="93"/>
      <c r="K55" s="93"/>
      <c r="L55" s="93"/>
      <c r="M55" s="93"/>
      <c r="N55" s="93"/>
      <c r="O55" s="93"/>
      <c r="P55" s="93"/>
      <c r="Q55" s="602"/>
      <c r="R55" s="602" t="str">
        <f>PT.anaer_lagoon!B290</f>
        <v>Fuel needed for support tractor with hose pulley</v>
      </c>
      <c r="S55" s="602"/>
      <c r="T55" s="1987">
        <f>PT.anaer_lagoon!AE290</f>
        <v>14.959999999999999</v>
      </c>
      <c r="U55" s="1987" t="str">
        <f>PT.anaer_lagoon!AF290</f>
        <v>gal/hr</v>
      </c>
    </row>
    <row r="56" spans="2:21" ht="15.75" customHeight="1" x14ac:dyDescent="0.3">
      <c r="B56" s="714" t="s">
        <v>7144</v>
      </c>
      <c r="C56" s="1360">
        <f>C52+C53</f>
        <v>0.32893853810694262</v>
      </c>
      <c r="D56" s="714" t="s">
        <v>2497</v>
      </c>
      <c r="E56" s="93"/>
      <c r="F56" s="93"/>
      <c r="G56" s="93"/>
      <c r="H56" s="93"/>
      <c r="I56" s="93"/>
      <c r="J56" s="93"/>
      <c r="K56" s="93"/>
      <c r="L56" s="93"/>
      <c r="M56" s="93"/>
      <c r="N56" s="93"/>
      <c r="O56" s="93"/>
      <c r="P56" s="93"/>
      <c r="Q56" s="602"/>
      <c r="R56" s="602" t="str">
        <f>PT.anaer_lagoon!B291</f>
        <v>Diesel powered pump(s), size</v>
      </c>
      <c r="S56" s="602"/>
      <c r="T56" s="1987">
        <f>PT.anaer_lagoon!AE291</f>
        <v>3000</v>
      </c>
      <c r="U56" s="1987" t="str">
        <f>PT.anaer_lagoon!AF291</f>
        <v>gal/min</v>
      </c>
    </row>
    <row r="57" spans="2:21" ht="15.75" customHeight="1" x14ac:dyDescent="0.3">
      <c r="B57" s="49" t="s">
        <v>7145</v>
      </c>
      <c r="C57" s="1360">
        <f>C54+C55</f>
        <v>0.13820443920019507</v>
      </c>
      <c r="D57" s="714" t="s">
        <v>2497</v>
      </c>
      <c r="E57" s="93"/>
      <c r="F57" s="93"/>
      <c r="G57" s="93"/>
      <c r="H57" s="93"/>
      <c r="I57" s="93"/>
      <c r="J57" s="93"/>
      <c r="K57" s="93"/>
      <c r="L57" s="93"/>
      <c r="M57" s="93"/>
      <c r="N57" s="93"/>
      <c r="O57" s="93"/>
      <c r="P57" s="93"/>
      <c r="Q57" s="602"/>
      <c r="R57" s="602" t="str">
        <f>PT.anaer_lagoon!B292</f>
        <v>Number of diesel powered lead pumps needed</v>
      </c>
      <c r="S57" s="602"/>
      <c r="T57" s="1987">
        <f>PT.anaer_lagoon!AE292</f>
        <v>1</v>
      </c>
      <c r="U57" s="1987" t="str">
        <f>PT.anaer_lagoon!AF292</f>
        <v>quantity</v>
      </c>
    </row>
    <row r="58" spans="2:21" ht="15.75" customHeight="1" x14ac:dyDescent="0.3">
      <c r="B58" s="1668" t="str">
        <f>PT.anaer_lagoon!B361</f>
        <v>Slurry nutrient contents</v>
      </c>
      <c r="C58" s="1680"/>
      <c r="D58" s="1815"/>
      <c r="E58" s="93"/>
      <c r="F58" s="93"/>
      <c r="G58" s="93"/>
      <c r="H58" s="93"/>
      <c r="I58" s="93"/>
      <c r="J58" s="93"/>
      <c r="K58" s="93"/>
      <c r="L58" s="93"/>
      <c r="M58" s="93"/>
      <c r="N58" s="93"/>
      <c r="O58" s="93"/>
      <c r="P58" s="93"/>
      <c r="Q58" s="602"/>
      <c r="R58" s="602" t="str">
        <f>PT.anaer_lagoon!B293</f>
        <v>Number of diesel powered agitation trailers needed</v>
      </c>
      <c r="S58" s="602"/>
      <c r="T58" s="1987">
        <f>PT.anaer_lagoon!AE293</f>
        <v>1</v>
      </c>
      <c r="U58" s="1987" t="str">
        <f>PT.anaer_lagoon!AF293</f>
        <v>quantity</v>
      </c>
    </row>
    <row r="59" spans="2:21" ht="15.75" customHeight="1" x14ac:dyDescent="0.3">
      <c r="B59" s="49" t="str">
        <f>PT.anaer_lagoon!B362</f>
        <v>Total N accumulated in liquids</v>
      </c>
      <c r="C59" s="1877">
        <f>PT.anaer_lagoon!AE362</f>
        <v>4.770244754277444</v>
      </c>
      <c r="D59" s="49" t="str">
        <f>PT.anaer_lagoon!F362</f>
        <v>kg/head/year</v>
      </c>
      <c r="E59" s="93"/>
      <c r="F59" s="93"/>
      <c r="G59" s="93"/>
      <c r="H59" s="93"/>
      <c r="I59" s="93"/>
      <c r="J59" s="93"/>
      <c r="K59" s="93"/>
      <c r="L59" s="93"/>
      <c r="M59" s="93"/>
      <c r="N59" s="93"/>
      <c r="O59" s="93"/>
      <c r="P59" s="93"/>
      <c r="Q59" s="602"/>
      <c r="R59" s="602" t="str">
        <f>PT.anaer_lagoon!B294</f>
        <v>Number of booster pumps needed</v>
      </c>
      <c r="S59" s="602"/>
      <c r="T59" s="1987">
        <f>PT.anaer_lagoon!AE294</f>
        <v>1</v>
      </c>
      <c r="U59" s="1987" t="str">
        <f>PT.anaer_lagoon!AF294</f>
        <v>quantity</v>
      </c>
    </row>
    <row r="60" spans="2:21" ht="15.75" customHeight="1" x14ac:dyDescent="0.3">
      <c r="B60" s="49" t="str">
        <f>PT.anaer_lagoon!B363</f>
        <v>Total P2O5 accumulated in liquids</v>
      </c>
      <c r="C60" s="1877">
        <f>PT.anaer_lagoon!AE363</f>
        <v>3.6537102250000002</v>
      </c>
      <c r="D60" s="49" t="str">
        <f>PT.anaer_lagoon!F363</f>
        <v>kg/head/year</v>
      </c>
      <c r="E60" s="93"/>
      <c r="F60" s="93"/>
      <c r="G60" s="93"/>
      <c r="H60" s="93"/>
      <c r="I60" s="93"/>
      <c r="J60" s="93"/>
      <c r="K60" s="93"/>
      <c r="L60" s="93"/>
      <c r="M60" s="93"/>
      <c r="N60" s="93"/>
      <c r="O60" s="93"/>
      <c r="P60" s="93"/>
      <c r="Q60" s="602"/>
      <c r="R60" s="602" t="str">
        <f>PT.anaer_lagoon!B295</f>
        <v>Operation time for pumping</v>
      </c>
      <c r="S60" s="602"/>
      <c r="T60" s="1987">
        <f>PT.anaer_lagoon!AE295</f>
        <v>0.17344296440658091</v>
      </c>
      <c r="U60" s="1987" t="str">
        <f>PT.anaer_lagoon!AF295</f>
        <v>hr</v>
      </c>
    </row>
    <row r="61" spans="2:21" ht="15.75" customHeight="1" x14ac:dyDescent="0.3">
      <c r="B61" s="49" t="str">
        <f>PT.anaer_lagoon!B364</f>
        <v>Total K2O accumulated in liquids</v>
      </c>
      <c r="C61" s="1877">
        <f>PT.anaer_lagoon!AE364</f>
        <v>5.5517686249999993</v>
      </c>
      <c r="D61" s="49" t="str">
        <f>PT.anaer_lagoon!F364</f>
        <v>kg/head/year</v>
      </c>
      <c r="E61" s="93"/>
      <c r="F61" s="93"/>
      <c r="G61" s="93"/>
      <c r="H61" s="93"/>
      <c r="I61" s="93"/>
      <c r="J61" s="93"/>
      <c r="K61" s="93"/>
      <c r="L61" s="93"/>
      <c r="M61" s="93"/>
      <c r="N61" s="93"/>
      <c r="O61" s="93"/>
      <c r="P61" s="93"/>
      <c r="Q61" s="602"/>
      <c r="R61" s="602" t="str">
        <f>PT.anaer_lagoon!B296</f>
        <v>Fuel needed for diesel powered lead pump</v>
      </c>
      <c r="S61" s="602"/>
      <c r="T61" s="1987">
        <f>PT.anaer_lagoon!AE296</f>
        <v>3.1219733593184564</v>
      </c>
      <c r="U61" s="1987" t="str">
        <f>PT.anaer_lagoon!AF296</f>
        <v>gal/event</v>
      </c>
    </row>
    <row r="62" spans="2:21" ht="15.75" customHeight="1" x14ac:dyDescent="0.3">
      <c r="B62" s="1668" t="str">
        <f>PT.anaer_lagoon!B365</f>
        <v>Sludge nutrient contents</v>
      </c>
      <c r="C62" s="1680"/>
      <c r="D62" s="1815"/>
      <c r="E62" s="93"/>
      <c r="F62" s="93"/>
      <c r="G62" s="93"/>
      <c r="H62" s="93"/>
      <c r="I62" s="93"/>
      <c r="J62" s="93"/>
      <c r="K62" s="93"/>
      <c r="L62" s="93"/>
      <c r="M62" s="93"/>
      <c r="N62" s="93"/>
      <c r="O62" s="93"/>
      <c r="P62" s="93"/>
      <c r="Q62" s="602"/>
      <c r="R62" s="602" t="str">
        <f>PT.anaer_lagoon!B297</f>
        <v>Fuel needed for diesel powered booster pump</v>
      </c>
      <c r="S62" s="602"/>
      <c r="T62" s="1987">
        <f>PT.anaer_lagoon!AE297</f>
        <v>1.3008222330493568</v>
      </c>
      <c r="U62" s="1987" t="str">
        <f>PT.anaer_lagoon!AF297</f>
        <v>gal/event</v>
      </c>
    </row>
    <row r="63" spans="2:21" ht="15.75" customHeight="1" x14ac:dyDescent="0.3">
      <c r="B63" s="49" t="str">
        <f>PT.anaer_lagoon!B366</f>
        <v>Total N accumulated in sludge</v>
      </c>
      <c r="C63" s="1877">
        <f>PT.anaer_lagoon!AE366</f>
        <v>1.1925611885693608</v>
      </c>
      <c r="D63" s="49" t="str">
        <f>PT.anaer_lagoon!F366</f>
        <v>kg/head/year</v>
      </c>
      <c r="E63" s="93"/>
      <c r="F63" s="93"/>
      <c r="G63" s="93"/>
      <c r="H63" s="93"/>
      <c r="I63" s="93"/>
      <c r="J63" s="93"/>
      <c r="K63" s="93"/>
      <c r="L63" s="93"/>
      <c r="M63" s="93"/>
      <c r="N63" s="93"/>
      <c r="O63" s="93"/>
      <c r="P63" s="93"/>
      <c r="Q63" s="602"/>
      <c r="R63" s="602" t="str">
        <f>PT.anaer_lagoon!B298</f>
        <v>Fuel needed for diesel powered agitation trailer</v>
      </c>
      <c r="S63" s="602"/>
      <c r="T63" s="1987">
        <f>PT.anaer_lagoon!AE298</f>
        <v>1.0406577864394855</v>
      </c>
      <c r="U63" s="1987" t="str">
        <f>PT.anaer_lagoon!AF298</f>
        <v>gal/event</v>
      </c>
    </row>
    <row r="64" spans="2:21" ht="15.75" customHeight="1" x14ac:dyDescent="0.3">
      <c r="B64" s="49" t="str">
        <f>PT.anaer_lagoon!B367</f>
        <v>Total P2O5 accumulated in sludge</v>
      </c>
      <c r="C64" s="1877">
        <f>PT.anaer_lagoon!AE367</f>
        <v>2.9893992749999998</v>
      </c>
      <c r="D64" s="49" t="str">
        <f>PT.anaer_lagoon!F367</f>
        <v>kg/head/year</v>
      </c>
      <c r="E64" s="93"/>
      <c r="F64" s="93"/>
      <c r="G64" s="93"/>
      <c r="H64" s="93"/>
      <c r="I64" s="93"/>
      <c r="J64" s="93"/>
      <c r="K64" s="93"/>
      <c r="L64" s="93"/>
      <c r="M64" s="93"/>
      <c r="N64" s="93"/>
      <c r="O64" s="93"/>
      <c r="P64" s="93"/>
      <c r="Q64" s="602"/>
      <c r="R64" s="602" t="str">
        <f>PT.anaer_lagoon!B299</f>
        <v>Fuel needed for pickup truck</v>
      </c>
      <c r="S64" s="602"/>
      <c r="T64" s="1987">
        <f>PT.anaer_lagoon!AE299</f>
        <v>0.15609866796592281</v>
      </c>
      <c r="U64" s="1987" t="str">
        <f>PT.anaer_lagoon!AF299</f>
        <v>gal/event</v>
      </c>
    </row>
    <row r="65" spans="2:21" ht="15.75" customHeight="1" x14ac:dyDescent="0.3">
      <c r="B65" s="49" t="str">
        <f>PT.anaer_lagoon!B368</f>
        <v>Total K2O accumulated in sludge</v>
      </c>
      <c r="C65" s="1877">
        <f>PT.anaer_lagoon!AE368</f>
        <v>2.9894138749999994</v>
      </c>
      <c r="D65" s="49" t="str">
        <f>PT.anaer_lagoon!F368</f>
        <v>kg/head/year</v>
      </c>
      <c r="E65" s="93"/>
      <c r="F65" s="93"/>
      <c r="G65" s="93"/>
      <c r="H65" s="93"/>
      <c r="I65" s="93"/>
      <c r="J65" s="93"/>
      <c r="K65" s="93"/>
      <c r="L65" s="93"/>
      <c r="M65" s="93"/>
      <c r="N65" s="93"/>
      <c r="O65" s="93"/>
      <c r="P65" s="93"/>
      <c r="Q65" s="602"/>
      <c r="R65" s="602" t="str">
        <f>PT.anaer_lagoon!B300</f>
        <v>Excess volume, lagoon liquid manure</v>
      </c>
      <c r="S65" s="602"/>
      <c r="T65" s="1987">
        <f>PT.anaer_lagoon!AE300</f>
        <v>0</v>
      </c>
      <c r="U65" s="1987" t="str">
        <f>PT.anaer_lagoon!AF300</f>
        <v>1000 gal/year</v>
      </c>
    </row>
    <row r="66" spans="2:21" ht="15.75" customHeight="1" x14ac:dyDescent="0.3">
      <c r="B66" s="1668" t="str">
        <f>PT.anaer_lagoon!B369</f>
        <v>Excess slurry nutrient application</v>
      </c>
      <c r="C66" s="1680"/>
      <c r="D66" s="1815"/>
      <c r="E66" s="93"/>
      <c r="F66" s="93"/>
      <c r="G66" s="93"/>
      <c r="H66" s="93"/>
      <c r="I66" s="93"/>
      <c r="J66" s="93"/>
      <c r="K66" s="93"/>
      <c r="L66" s="93"/>
      <c r="M66" s="93"/>
      <c r="N66" s="93"/>
      <c r="O66" s="93"/>
      <c r="P66" s="93"/>
      <c r="Q66" s="602"/>
      <c r="R66" s="602" t="str">
        <f>PT.anaer_lagoon!B301</f>
        <v>Excess volume, lagoon sludge manure</v>
      </c>
      <c r="S66" s="602"/>
      <c r="T66" s="1987">
        <f>PT.anaer_lagoon!AE301</f>
        <v>0</v>
      </c>
      <c r="U66" s="1987" t="str">
        <f>PT.anaer_lagoon!AF301</f>
        <v>1000 gal/event</v>
      </c>
    </row>
    <row r="67" spans="2:21" ht="15.75" customHeight="1" x14ac:dyDescent="0.3">
      <c r="B67" s="49" t="str">
        <f>PT.anaer_lagoon!B370</f>
        <v>Excess N from liquids</v>
      </c>
      <c r="C67" s="1877">
        <f>PT.anaer_lagoon!AE370</f>
        <v>0</v>
      </c>
      <c r="D67" s="49" t="str">
        <f>PT.anaer_lagoon!F370</f>
        <v>kg/head/year</v>
      </c>
      <c r="E67" s="93"/>
      <c r="F67" s="93"/>
      <c r="G67" s="93"/>
      <c r="H67" s="93"/>
      <c r="I67" s="93"/>
      <c r="J67" s="93"/>
      <c r="K67" s="93"/>
      <c r="L67" s="93"/>
      <c r="M67" s="93"/>
      <c r="N67" s="93"/>
      <c r="O67" s="93"/>
      <c r="P67" s="93"/>
      <c r="Q67" s="602"/>
      <c r="R67" s="602" t="str">
        <f>PT.anaer_lagoon!B302</f>
        <v>Fertilizer value for on-farm use, liquids</v>
      </c>
      <c r="S67" s="602"/>
      <c r="T67" s="1987">
        <f>PT.anaer_lagoon!AE302</f>
        <v>4470.8194261223734</v>
      </c>
      <c r="U67" s="1987" t="str">
        <f>PT.anaer_lagoon!AF302</f>
        <v>$/year</v>
      </c>
    </row>
    <row r="68" spans="2:21" ht="15.75" customHeight="1" x14ac:dyDescent="0.3">
      <c r="B68" s="49" t="str">
        <f>PT.anaer_lagoon!B371</f>
        <v>Excess P2O5 from liquids</v>
      </c>
      <c r="C68" s="1877">
        <f>PT.anaer_lagoon!AE371</f>
        <v>2.1648905010812505</v>
      </c>
      <c r="D68" s="49" t="str">
        <f>PT.anaer_lagoon!F371</f>
        <v>kg/head/year</v>
      </c>
      <c r="E68" s="93"/>
      <c r="F68" s="93"/>
      <c r="G68" s="93"/>
      <c r="H68" s="93"/>
      <c r="I68" s="93"/>
      <c r="J68" s="93"/>
      <c r="K68" s="93"/>
      <c r="L68" s="93"/>
      <c r="M68" s="93"/>
      <c r="N68" s="93"/>
      <c r="O68" s="93"/>
      <c r="P68" s="93"/>
      <c r="Q68" s="602"/>
      <c r="R68" s="602" t="str">
        <f>PT.anaer_lagoon!B303</f>
        <v>Fertilizer value for on-farm use, sludge</v>
      </c>
      <c r="S68" s="602"/>
      <c r="T68" s="1987">
        <f>PT.anaer_lagoon!AE303</f>
        <v>11079.496775148771</v>
      </c>
      <c r="U68" s="1987" t="str">
        <f>PT.anaer_lagoon!AF303</f>
        <v>$/event</v>
      </c>
    </row>
    <row r="69" spans="2:21" ht="15.75" customHeight="1" x14ac:dyDescent="0.3">
      <c r="B69" s="49" t="str">
        <f>PT.anaer_lagoon!B372</f>
        <v>Excess K2O from liquids</v>
      </c>
      <c r="C69" s="1877">
        <f>PT.anaer_lagoon!AE372</f>
        <v>3.4144580941012492</v>
      </c>
      <c r="D69" s="49" t="str">
        <f>PT.anaer_lagoon!F372</f>
        <v>kg/head/year</v>
      </c>
      <c r="E69" s="93"/>
      <c r="F69" s="93"/>
      <c r="G69" s="93"/>
      <c r="H69" s="93"/>
      <c r="I69" s="93"/>
      <c r="J69" s="93"/>
      <c r="K69" s="93"/>
      <c r="L69" s="93"/>
      <c r="M69" s="93"/>
      <c r="N69" s="93"/>
      <c r="O69" s="93"/>
      <c r="P69" s="93"/>
      <c r="Q69" s="602"/>
      <c r="R69" s="602"/>
      <c r="S69" s="602"/>
      <c r="T69" s="1987"/>
      <c r="U69" s="1987"/>
    </row>
    <row r="70" spans="2:21" ht="15.75" customHeight="1" x14ac:dyDescent="0.3">
      <c r="B70" s="1668" t="str">
        <f>PT.anaer_lagoon!B373</f>
        <v>Excess sludge nutrient application</v>
      </c>
      <c r="C70" s="1680"/>
      <c r="D70" s="1815"/>
      <c r="E70" s="93"/>
      <c r="F70" s="93"/>
      <c r="G70" s="93"/>
      <c r="H70" s="93"/>
      <c r="I70" s="93"/>
      <c r="J70" s="93"/>
      <c r="K70" s="93"/>
      <c r="L70" s="93"/>
      <c r="M70" s="93"/>
      <c r="N70" s="93"/>
      <c r="O70" s="93"/>
      <c r="P70" s="93"/>
      <c r="Q70" s="93"/>
    </row>
    <row r="71" spans="2:21" ht="15.75" customHeight="1" x14ac:dyDescent="0.3">
      <c r="B71" s="49" t="str">
        <f>PT.anaer_lagoon!B374</f>
        <v>Excess N from sludge</v>
      </c>
      <c r="C71" s="1877">
        <f>PT.anaer_lagoon!AE374</f>
        <v>0</v>
      </c>
      <c r="D71" s="49" t="str">
        <f>PT.anaer_lagoon!F374</f>
        <v>kg/head/year</v>
      </c>
      <c r="E71" s="93"/>
      <c r="F71" s="93"/>
      <c r="G71" s="93"/>
      <c r="H71" s="93"/>
      <c r="I71" s="93"/>
      <c r="J71" s="93"/>
      <c r="K71" s="93"/>
      <c r="L71" s="93"/>
      <c r="M71" s="93"/>
      <c r="N71" s="93"/>
      <c r="O71" s="93"/>
      <c r="P71" s="93"/>
      <c r="Q71" s="118" t="s">
        <v>7175</v>
      </c>
      <c r="R71" s="1293"/>
      <c r="S71" s="1293"/>
      <c r="T71" s="1293"/>
      <c r="U71" s="1293"/>
    </row>
    <row r="72" spans="2:21" ht="15.75" customHeight="1" x14ac:dyDescent="0.3">
      <c r="B72" s="49" t="str">
        <f>PT.anaer_lagoon!B375</f>
        <v>Excess P2O5 from sludge</v>
      </c>
      <c r="C72" s="1877">
        <f>PT.anaer_lagoon!AE375</f>
        <v>2.5203840908923936</v>
      </c>
      <c r="D72" s="49" t="str">
        <f>PT.anaer_lagoon!F375</f>
        <v>kg/head/year</v>
      </c>
      <c r="E72" s="93"/>
      <c r="F72" s="93"/>
      <c r="G72" s="93"/>
      <c r="H72" s="93"/>
      <c r="I72" s="93"/>
      <c r="J72" s="93"/>
      <c r="K72" s="93"/>
      <c r="L72" s="93"/>
      <c r="M72" s="93"/>
      <c r="N72" s="93"/>
      <c r="O72" s="93"/>
      <c r="P72" s="93"/>
      <c r="Q72" s="49"/>
      <c r="R72" s="18" t="s">
        <v>7176</v>
      </c>
      <c r="S72" s="49"/>
      <c r="T72" s="2126">
        <f>VLOOKUP("Sc 9a",'LCIA Summary output'!P:T,5,FALSE)</f>
        <v>0.66065717907263055</v>
      </c>
      <c r="U72" s="18" t="s">
        <v>7177</v>
      </c>
    </row>
    <row r="73" spans="2:21" ht="15.75" customHeight="1" x14ac:dyDescent="0.3">
      <c r="B73" s="49" t="str">
        <f>PT.anaer_lagoon!B376</f>
        <v>Excess K2O from sludge</v>
      </c>
      <c r="C73" s="1877">
        <f>PT.anaer_lagoon!AE376</f>
        <v>2.4665216822923597</v>
      </c>
      <c r="D73" s="49" t="str">
        <f>PT.anaer_lagoon!F376</f>
        <v>kg/head/year</v>
      </c>
      <c r="E73" s="93"/>
      <c r="F73" s="93"/>
      <c r="G73" s="93"/>
      <c r="H73" s="93"/>
      <c r="I73" s="93"/>
      <c r="J73" s="93"/>
      <c r="K73" s="93"/>
      <c r="L73" s="93"/>
      <c r="M73" s="93"/>
      <c r="N73" s="93"/>
      <c r="O73" s="93"/>
      <c r="P73" s="93"/>
      <c r="Q73" s="49"/>
      <c r="R73" s="18" t="s">
        <v>7178</v>
      </c>
      <c r="S73" s="49"/>
      <c r="T73" s="2126">
        <f>VLOOKUP("Sc 9b",'LCIA Summary output'!P:T,5,FALSE)</f>
        <v>0.65871550594575989</v>
      </c>
      <c r="U73" s="18" t="s">
        <v>7177</v>
      </c>
    </row>
    <row r="74" spans="2:21" ht="15.75" customHeight="1" x14ac:dyDescent="0.3">
      <c r="B74" s="1945"/>
      <c r="C74" s="1945"/>
      <c r="D74" s="1942"/>
      <c r="E74" s="93"/>
      <c r="F74" s="93"/>
      <c r="G74" s="93"/>
      <c r="H74" s="93"/>
      <c r="I74" s="93"/>
      <c r="J74" s="93"/>
      <c r="K74" s="93"/>
      <c r="L74" s="93"/>
      <c r="M74" s="93"/>
      <c r="N74" s="93"/>
      <c r="O74" s="93"/>
      <c r="P74" s="93"/>
      <c r="Q74" s="49"/>
      <c r="R74" s="18" t="s">
        <v>7179</v>
      </c>
      <c r="S74" s="49"/>
      <c r="T74" s="2127">
        <f>T72*UDV.animal.total</f>
        <v>330.32858953631529</v>
      </c>
      <c r="U74" s="49" t="s">
        <v>7180</v>
      </c>
    </row>
    <row r="75" spans="2:21" ht="15.75" customHeight="1" x14ac:dyDescent="0.3">
      <c r="E75" s="93"/>
      <c r="F75" s="93"/>
      <c r="G75" s="93"/>
      <c r="H75" s="93"/>
      <c r="I75" s="93"/>
      <c r="J75" s="93"/>
      <c r="K75" s="93"/>
      <c r="L75" s="93"/>
      <c r="M75" s="93"/>
      <c r="N75" s="93"/>
      <c r="O75" s="93"/>
      <c r="P75" s="93"/>
      <c r="Q75" s="49"/>
      <c r="R75" s="18" t="s">
        <v>7181</v>
      </c>
      <c r="S75" s="49"/>
      <c r="T75" s="2127">
        <f>T73*UDV.animal.total</f>
        <v>329.35775297287995</v>
      </c>
      <c r="U75" s="49" t="s">
        <v>7180</v>
      </c>
    </row>
    <row r="76" spans="2:21" ht="15.75" customHeight="1" x14ac:dyDescent="0.3">
      <c r="E76" s="93"/>
      <c r="F76" s="93"/>
      <c r="G76" s="93"/>
      <c r="H76" s="93"/>
      <c r="I76" s="93"/>
      <c r="J76" s="93"/>
      <c r="K76" s="93"/>
      <c r="L76" s="93"/>
      <c r="M76" s="93"/>
      <c r="N76" s="93"/>
      <c r="O76" s="93"/>
      <c r="P76" s="93"/>
      <c r="U76" s="42"/>
    </row>
    <row r="77" spans="2:21" ht="15.75" customHeight="1" x14ac:dyDescent="0.3">
      <c r="B77" s="1668" t="str">
        <f>PT.cover_digest!B99</f>
        <v>Emissions from ponds/lagoons/basins/digesters</v>
      </c>
      <c r="C77" s="1680"/>
      <c r="D77" s="1815"/>
      <c r="E77" s="93"/>
      <c r="F77" s="93"/>
      <c r="G77" s="93"/>
      <c r="H77" s="93"/>
      <c r="I77" s="93"/>
      <c r="J77" s="93"/>
      <c r="K77" s="93"/>
      <c r="L77" s="93"/>
      <c r="M77" s="93"/>
      <c r="N77" s="93"/>
      <c r="O77" s="93"/>
      <c r="P77" s="93"/>
      <c r="Q77" s="76" t="s">
        <v>7182</v>
      </c>
      <c r="R77" s="18" t="s">
        <v>7183</v>
      </c>
      <c r="S77" s="49"/>
      <c r="T77" s="2128">
        <f>MAX(0, INDEX(EconIntermediate!$C$25:$BV$25, MATCH(UDV.u.farm_baseline, EconIntermediate!$C$3:$BV$3,0))-T74)</f>
        <v>0</v>
      </c>
      <c r="U77" s="49" t="s">
        <v>7180</v>
      </c>
    </row>
    <row r="78" spans="2:21" ht="15.75" customHeight="1" x14ac:dyDescent="0.3">
      <c r="B78" s="49" t="str">
        <f>PT.cover_digest!B100</f>
        <v>CH4 from covered digester</v>
      </c>
      <c r="C78" s="1877">
        <f>PT.cover_digest!G100</f>
        <v>5.1265264641599977</v>
      </c>
      <c r="D78" s="49" t="str">
        <f>PT.cover_digest!C100</f>
        <v>kg/head/year</v>
      </c>
      <c r="E78" s="93"/>
      <c r="F78" s="93"/>
      <c r="G78" s="93"/>
      <c r="H78" s="93"/>
      <c r="I78" s="93"/>
      <c r="J78" s="93"/>
      <c r="K78" s="93"/>
      <c r="L78" s="93"/>
      <c r="M78" s="93"/>
      <c r="N78" s="93"/>
      <c r="O78" s="93"/>
      <c r="P78" s="93"/>
      <c r="Q78" s="49"/>
      <c r="R78" s="18" t="s">
        <v>7184</v>
      </c>
      <c r="S78" s="49"/>
      <c r="T78" s="2128">
        <f>MAX(0, INDEX(EconIntermediate!$C$25:$BV$25, MATCH(UDV.u.farm_baseline, EconIntermediate!$C$3:$BV$3,0))-T75)</f>
        <v>0</v>
      </c>
      <c r="U78" s="49" t="s">
        <v>7180</v>
      </c>
    </row>
    <row r="79" spans="2:21" ht="15.75" customHeight="1" x14ac:dyDescent="0.3">
      <c r="B79" s="49" t="str">
        <f>PT.cover_digest!B101</f>
        <v>NH3 from covered digester</v>
      </c>
      <c r="C79" s="1877">
        <f>PT.cover_digest!G101</f>
        <v>1.327414908479172</v>
      </c>
      <c r="D79" s="49" t="str">
        <f>PT.cover_digest!C101</f>
        <v>kg/head/year</v>
      </c>
    </row>
    <row r="80" spans="2:21" ht="15.75" customHeight="1" x14ac:dyDescent="0.3">
      <c r="B80" s="49" t="str">
        <f>PT.cover_digest!B102</f>
        <v>Direct N2O from covered digester</v>
      </c>
      <c r="C80" s="1877">
        <f>PT.cover_digest!G102</f>
        <v>0.10429498935920854</v>
      </c>
      <c r="D80" s="49" t="str">
        <f>PT.cover_digest!C102</f>
        <v>kg/head/year</v>
      </c>
      <c r="Q80" s="49" t="s">
        <v>5925</v>
      </c>
      <c r="R80" s="18" t="s">
        <v>5724</v>
      </c>
      <c r="S80" s="49"/>
      <c r="T80" s="1360">
        <f>PT.shallow_flush!G16</f>
        <v>48.646141166953889</v>
      </c>
      <c r="U80" s="49" t="s">
        <v>2479</v>
      </c>
    </row>
    <row r="81" spans="2:4" ht="15.75" customHeight="1" x14ac:dyDescent="0.3">
      <c r="B81" s="49" t="str">
        <f>PT.cover_digest!B103</f>
        <v>Indirect N2O from covered digester</v>
      </c>
      <c r="C81" s="1877">
        <f>PT.cover_digest!G103</f>
        <v>2.920259702057839E-2</v>
      </c>
      <c r="D81" s="49" t="str">
        <f>PT.cover_digest!C103</f>
        <v>kg/head/year</v>
      </c>
    </row>
    <row r="82" spans="2:4" ht="15.75" customHeight="1" x14ac:dyDescent="0.3">
      <c r="B82" s="49" t="str">
        <f>PT.cover_digest!B104</f>
        <v>CO2 from covered digester</v>
      </c>
      <c r="C82" s="1877">
        <f>PT.cover_digest!G104</f>
        <v>37.007112913154977</v>
      </c>
      <c r="D82" s="49" t="str">
        <f>PT.cover_digest!C104</f>
        <v>kg/head/year</v>
      </c>
    </row>
    <row r="83" spans="2:4" ht="15.75" customHeight="1" x14ac:dyDescent="0.3">
      <c r="B83" s="49" t="str">
        <f>PT.shallow_flush!B110</f>
        <v>CH4 from shallow flush</v>
      </c>
      <c r="C83" s="1209">
        <f>PT.shallow_flush!G110</f>
        <v>1.5236605695921037</v>
      </c>
      <c r="D83" s="49" t="str">
        <f>PT.shallow_flush!C110</f>
        <v>kg/head/year</v>
      </c>
    </row>
    <row r="84" spans="2:4" ht="15.75" customHeight="1" x14ac:dyDescent="0.3">
      <c r="B84" s="49" t="str">
        <f>PT.shallow_flush!B111</f>
        <v>NH3 from shallow flush</v>
      </c>
      <c r="C84" s="1209">
        <f>PT.shallow_flush!G111</f>
        <v>5.6940985499999996</v>
      </c>
      <c r="D84" s="49" t="str">
        <f>PT.shallow_flush!C111</f>
        <v>kg/head/year</v>
      </c>
    </row>
    <row r="85" spans="2:4" ht="15.75" customHeight="1" x14ac:dyDescent="0.3">
      <c r="B85" s="49" t="str">
        <f>PT.shallow_flush!B112</f>
        <v>Direct N2O from shallow flush</v>
      </c>
      <c r="C85" s="1209">
        <f>PT.shallow_flush!G112</f>
        <v>5.9651376409799999E-2</v>
      </c>
      <c r="D85" s="49" t="str">
        <f>PT.shallow_flush!C112</f>
        <v>kg/head/year</v>
      </c>
    </row>
    <row r="86" spans="2:4" ht="15.75" customHeight="1" x14ac:dyDescent="0.3">
      <c r="B86" s="49" t="str">
        <f>PT.shallow_flush!B113</f>
        <v>Indirect N2O from shallow flush</v>
      </c>
      <c r="C86" s="1209">
        <f>PT.shallow_flush!G113</f>
        <v>0.12526789046057998</v>
      </c>
      <c r="D86" s="49" t="str">
        <f>PT.shallow_flush!C113</f>
        <v>kg/head/year</v>
      </c>
    </row>
    <row r="87" spans="2:4" ht="15.75" customHeight="1" x14ac:dyDescent="0.3">
      <c r="B87" s="49" t="str">
        <f>PT.anaer_lagoon!B378</f>
        <v>CH4 from lagoon</v>
      </c>
      <c r="C87" s="1209">
        <f>PT.anaer_lagoon!AE378</f>
        <v>12.303663513983993</v>
      </c>
      <c r="D87" s="49" t="str">
        <f>PT.anaer_lagoon!F378</f>
        <v>kg/head/year</v>
      </c>
    </row>
    <row r="88" spans="2:4" ht="15.75" customHeight="1" x14ac:dyDescent="0.3">
      <c r="B88" s="49" t="str">
        <f>PT.anaer_lagoon!B379</f>
        <v>NH3 from lagoon</v>
      </c>
      <c r="C88" s="1209">
        <f>PT.anaer_lagoon!AE379</f>
        <v>5.9628059428468054</v>
      </c>
      <c r="D88" s="49" t="str">
        <f>PT.anaer_lagoon!F379</f>
        <v>kg/head/year</v>
      </c>
    </row>
    <row r="89" spans="2:4" ht="15.75" customHeight="1" x14ac:dyDescent="0.3">
      <c r="B89" s="49" t="str">
        <f>PT.anaer_lagoon!B380</f>
        <v>N2O direct from lagoon</v>
      </c>
      <c r="C89" s="1209">
        <f>PT.anaer_lagoon!AE380</f>
        <v>0</v>
      </c>
      <c r="D89" s="49" t="str">
        <f>PT.anaer_lagoon!F380</f>
        <v>kg/head/year</v>
      </c>
    </row>
    <row r="90" spans="2:4" ht="15.75" customHeight="1" x14ac:dyDescent="0.3">
      <c r="B90" s="49" t="str">
        <f>PT.anaer_lagoon!B381</f>
        <v>N2O indirect from lagoon</v>
      </c>
      <c r="C90" s="1209">
        <f>PT.anaer_lagoon!AE381</f>
        <v>0.13117934562025257</v>
      </c>
      <c r="D90" s="49" t="str">
        <f>PT.anaer_lagoon!F381</f>
        <v>kg/head/year</v>
      </c>
    </row>
    <row r="298" spans="1:23" ht="15" thickBot="1" x14ac:dyDescent="0.35">
      <c r="A298" s="137"/>
      <c r="B298" s="137"/>
      <c r="C298" s="137"/>
      <c r="D298" s="137"/>
      <c r="E298" s="137"/>
      <c r="F298" s="137"/>
      <c r="G298" s="137"/>
      <c r="H298" s="137"/>
      <c r="I298" s="137"/>
      <c r="J298" s="137"/>
      <c r="K298" s="137"/>
      <c r="L298" s="137"/>
      <c r="M298" s="137"/>
      <c r="N298" s="137"/>
      <c r="O298" s="137"/>
      <c r="P298" s="137"/>
      <c r="Q298" s="137"/>
      <c r="U298" s="42"/>
      <c r="W298" s="36"/>
    </row>
    <row r="299" spans="1:23" ht="14.4" x14ac:dyDescent="0.3">
      <c r="U299" s="42"/>
      <c r="W299" s="36"/>
    </row>
    <row r="300" spans="1:23" ht="15.75" customHeight="1" x14ac:dyDescent="0.3">
      <c r="B300" s="82" t="s">
        <v>6938</v>
      </c>
    </row>
    <row r="301" spans="1:23" ht="15.75" customHeight="1" x14ac:dyDescent="0.3">
      <c r="B301" t="s">
        <v>5209</v>
      </c>
    </row>
    <row r="302" spans="1:23" ht="15.75" customHeight="1" x14ac:dyDescent="0.3">
      <c r="B302" t="s">
        <v>5219</v>
      </c>
    </row>
    <row r="303" spans="1:23" ht="15.75" customHeight="1" x14ac:dyDescent="0.3">
      <c r="B303" t="s">
        <v>4683</v>
      </c>
    </row>
    <row r="304" spans="1:23" ht="15.75" customHeight="1" x14ac:dyDescent="0.3">
      <c r="B304" t="s">
        <v>5210</v>
      </c>
    </row>
    <row r="305" spans="1:25" ht="15.75" customHeight="1" x14ac:dyDescent="0.3">
      <c r="B305" t="s">
        <v>7087</v>
      </c>
      <c r="D305" s="66"/>
      <c r="E305" s="66"/>
      <c r="F305" s="19"/>
    </row>
    <row r="306" spans="1:25" ht="15.75" customHeight="1" x14ac:dyDescent="0.3">
      <c r="B306" t="s">
        <v>7248</v>
      </c>
      <c r="C306" t="s">
        <v>7249</v>
      </c>
      <c r="D306" s="66"/>
      <c r="E306" s="66"/>
      <c r="F306" s="19"/>
    </row>
    <row r="307" spans="1:25" ht="15" thickBot="1" x14ac:dyDescent="0.35">
      <c r="A307" s="137"/>
      <c r="B307" s="137"/>
      <c r="C307" s="137"/>
      <c r="D307" s="137"/>
      <c r="E307" s="137"/>
      <c r="F307" s="137"/>
      <c r="G307" s="137"/>
      <c r="H307" s="137"/>
      <c r="I307" s="137"/>
      <c r="J307" s="137"/>
      <c r="K307" s="137"/>
      <c r="L307" s="137"/>
      <c r="M307" s="137"/>
      <c r="N307" s="137"/>
      <c r="O307" s="137"/>
      <c r="P307" s="137"/>
      <c r="Q307" s="137"/>
      <c r="U307" s="42"/>
      <c r="W307" s="36"/>
    </row>
    <row r="308" spans="1:25" ht="14.4" x14ac:dyDescent="0.3">
      <c r="R308" s="20"/>
      <c r="W308" s="42"/>
      <c r="Y308" s="36"/>
    </row>
    <row r="309" spans="1:25" ht="18" x14ac:dyDescent="0.35">
      <c r="B309" s="138" t="s">
        <v>6941</v>
      </c>
      <c r="C309" s="34"/>
      <c r="H309" s="355"/>
      <c r="R309" s="20"/>
      <c r="W309" s="42"/>
      <c r="Y309" s="36"/>
    </row>
    <row r="310" spans="1:25" ht="14.4" x14ac:dyDescent="0.3">
      <c r="R310" s="20"/>
      <c r="W310" s="42"/>
      <c r="Y310" s="36"/>
    </row>
    <row r="311" spans="1:25" ht="14.4" x14ac:dyDescent="0.3">
      <c r="B311" s="139" t="s">
        <v>6942</v>
      </c>
      <c r="C311" s="140"/>
      <c r="D311" s="140"/>
      <c r="E311" s="139"/>
      <c r="F311" s="141"/>
      <c r="R311" s="20"/>
      <c r="W311" s="42"/>
      <c r="Y311" s="36"/>
    </row>
    <row r="312" spans="1:25" ht="14.4" x14ac:dyDescent="0.3">
      <c r="B312" s="143" t="s">
        <v>2663</v>
      </c>
      <c r="C312" s="144" t="s">
        <v>565</v>
      </c>
      <c r="D312" s="144" t="s">
        <v>6943</v>
      </c>
      <c r="E312" s="143" t="s">
        <v>565</v>
      </c>
      <c r="F312" s="145" t="s">
        <v>6944</v>
      </c>
      <c r="R312" s="20"/>
      <c r="W312" s="42"/>
      <c r="Y312" s="36"/>
    </row>
    <row r="313" spans="1:25" ht="14.4" x14ac:dyDescent="0.3">
      <c r="A313" t="s">
        <v>6945</v>
      </c>
      <c r="B313" s="149" t="s">
        <v>5724</v>
      </c>
      <c r="C313" s="295">
        <f>VLOOKUP(B313,R5:U304,3,FALSE)</f>
        <v>48.646141166953889</v>
      </c>
      <c r="D313" s="151" t="s">
        <v>2478</v>
      </c>
      <c r="E313" s="359">
        <f>CONVERT(C313,"m^3","ft^3")</f>
        <v>1717.9222625974626</v>
      </c>
      <c r="F313" s="151" t="s">
        <v>2479</v>
      </c>
      <c r="R313" s="20"/>
      <c r="W313" s="42"/>
      <c r="Y313" s="36"/>
    </row>
    <row r="314" spans="1:25" ht="14.4" x14ac:dyDescent="0.3">
      <c r="R314" s="20"/>
      <c r="W314" s="42"/>
      <c r="Y314" s="36"/>
    </row>
    <row r="315" spans="1:25" s="369" customFormat="1" ht="43.2"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ht="14.4" x14ac:dyDescent="0.3">
      <c r="A316" t="s">
        <v>6960</v>
      </c>
      <c r="B316" s="99" t="s">
        <v>6961</v>
      </c>
      <c r="C316" s="153">
        <f>VLOOKUP("Deep and shallow pit constructiona",Econ.Equations!C:E,2,FALSE)*E313^VLOOKUP("Deep and shallow pit constructionb",Econ.Equations!$C:$E,2,FALSE)*E313</f>
        <v>13695.194157051748</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1108.2749450816623</v>
      </c>
      <c r="O316" s="372">
        <f>N316*G316</f>
        <v>1108.2749450816623</v>
      </c>
      <c r="R316" s="20"/>
      <c r="W316" s="42"/>
      <c r="Y316" s="36"/>
    </row>
    <row r="317" spans="1:25" ht="14.4" x14ac:dyDescent="0.3">
      <c r="B317" s="99"/>
      <c r="O317" s="146"/>
      <c r="R317" s="20"/>
      <c r="W317" s="42"/>
      <c r="Y317" s="36"/>
    </row>
    <row r="318" spans="1:25" ht="14.4" x14ac:dyDescent="0.3">
      <c r="B318" s="99"/>
      <c r="C318" s="82" t="s">
        <v>6962</v>
      </c>
      <c r="D318" s="82" t="s">
        <v>6963</v>
      </c>
      <c r="O318" s="146"/>
      <c r="R318" s="20"/>
      <c r="W318" s="42"/>
      <c r="Y318" s="36"/>
    </row>
    <row r="319" spans="1:25" ht="14.4" x14ac:dyDescent="0.3">
      <c r="A319" t="s">
        <v>6945</v>
      </c>
      <c r="B319" s="99" t="s">
        <v>6964</v>
      </c>
      <c r="C319" s="153">
        <f>SUM(C316:C316)</f>
        <v>13695.194157051748</v>
      </c>
      <c r="D319" s="158">
        <f>SUMPRODUCT(C316:C316,G316:G316)</f>
        <v>13695.194157051748</v>
      </c>
      <c r="O319" s="146"/>
      <c r="R319" s="20"/>
      <c r="W319" s="42"/>
      <c r="Y319" s="36"/>
    </row>
    <row r="320" spans="1:25" ht="14.4" x14ac:dyDescent="0.3">
      <c r="A320" t="s">
        <v>6945</v>
      </c>
      <c r="B320" s="149" t="s">
        <v>6965</v>
      </c>
      <c r="C320" s="159">
        <f>SUM(N316:N316)</f>
        <v>1108.2749450816623</v>
      </c>
      <c r="D320" s="159">
        <f>SUMPRODUCT(N316:N316,G316:G316)</f>
        <v>1108.2749450816623</v>
      </c>
      <c r="E320" s="150"/>
      <c r="F320" s="150"/>
      <c r="G320" s="150"/>
      <c r="H320" s="150"/>
      <c r="I320" s="150"/>
      <c r="J320" s="150"/>
      <c r="K320" s="150"/>
      <c r="L320" s="150"/>
      <c r="M320" s="150"/>
      <c r="N320" s="150"/>
      <c r="O320" s="151"/>
      <c r="R320" s="20"/>
      <c r="W320" s="42"/>
      <c r="Y320" s="36"/>
    </row>
    <row r="321" spans="1:25" ht="14.4" x14ac:dyDescent="0.3">
      <c r="B321" s="262"/>
      <c r="C321" s="142"/>
      <c r="D321" s="142"/>
      <c r="E321" s="142"/>
      <c r="F321" s="142"/>
      <c r="G321" s="142"/>
      <c r="H321" s="142"/>
      <c r="I321" s="142"/>
      <c r="J321" s="142"/>
      <c r="K321" s="142"/>
      <c r="L321" s="142"/>
      <c r="M321" s="142"/>
      <c r="N321" s="142"/>
      <c r="O321" s="141"/>
      <c r="R321" s="20"/>
      <c r="W321" s="42"/>
      <c r="Y321" s="36"/>
    </row>
    <row r="322" spans="1:25" ht="43.2"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c r="R322" s="20"/>
      <c r="W322" s="42"/>
      <c r="Y322" s="36"/>
    </row>
    <row r="323" spans="1:25" ht="14.4" x14ac:dyDescent="0.3">
      <c r="B323" s="99" t="s">
        <v>6945</v>
      </c>
      <c r="C323" s="155">
        <f>VLOOKUP("OPEXInsuranceEverythingDefault",Econ.inputsTable!$E$1:$J$213,2,FALSE)</f>
        <v>5.0000000000000001E-3</v>
      </c>
      <c r="D323" s="155">
        <f>VLOOKUP("OPEXRepair and maintenanceBuildings and constructionDefault",Econ.inputsTable!$E$1:$J$503,2,FALSE)</f>
        <v>0.01</v>
      </c>
      <c r="O323" s="157">
        <f>(SUM(C323:D323)*SUMPRODUCT(C316:C316,G316:G316))+SUM(E323,G323,I323,J323,L323,N323)</f>
        <v>205.42791235577621</v>
      </c>
      <c r="R323" s="20"/>
      <c r="W323" s="42"/>
      <c r="Y323" s="36"/>
    </row>
    <row r="324" spans="1:25" ht="14.4"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205.42791235577621</v>
      </c>
      <c r="R324" s="20"/>
      <c r="W324" s="42"/>
      <c r="Y324" s="36"/>
    </row>
    <row r="325" spans="1:25" ht="14.4" x14ac:dyDescent="0.3">
      <c r="B325" s="99"/>
      <c r="C325" s="155"/>
      <c r="D325" s="155"/>
      <c r="E325" s="155"/>
      <c r="F325" s="158"/>
      <c r="G325" s="154"/>
      <c r="H325" s="156"/>
      <c r="I325" s="153"/>
      <c r="O325" s="146"/>
      <c r="R325" s="20"/>
      <c r="W325" s="42"/>
      <c r="Y325" s="36"/>
    </row>
    <row r="326" spans="1:25" ht="14.4" x14ac:dyDescent="0.3">
      <c r="A326" t="s">
        <v>6945</v>
      </c>
      <c r="B326" s="149" t="s">
        <v>6980</v>
      </c>
      <c r="C326" s="159">
        <f>O324</f>
        <v>205.42791235577621</v>
      </c>
      <c r="D326" s="150"/>
      <c r="E326" s="150"/>
      <c r="F326" s="150"/>
      <c r="G326" s="150"/>
      <c r="H326" s="150"/>
      <c r="I326" s="150"/>
      <c r="J326" s="150"/>
      <c r="K326" s="150"/>
      <c r="L326" s="150"/>
      <c r="M326" s="150"/>
      <c r="N326" s="150"/>
      <c r="O326" s="151"/>
      <c r="R326" s="20"/>
      <c r="W326" s="42"/>
      <c r="Y326" s="36"/>
    </row>
    <row r="327" spans="1:25" ht="15" thickBot="1" x14ac:dyDescent="0.35">
      <c r="A327" s="137"/>
      <c r="B327" s="137"/>
      <c r="C327" s="137"/>
      <c r="D327" s="137"/>
      <c r="E327" s="137"/>
      <c r="F327" s="137"/>
      <c r="G327" s="137"/>
      <c r="H327" s="137"/>
      <c r="I327" s="137"/>
      <c r="J327" s="137"/>
      <c r="K327" s="137"/>
      <c r="L327" s="137"/>
      <c r="M327" s="137"/>
      <c r="N327" s="137"/>
      <c r="O327" s="137"/>
      <c r="R327" s="20"/>
      <c r="W327" s="42"/>
      <c r="Y327" s="36"/>
    </row>
    <row r="328" spans="1:25" ht="14.4" x14ac:dyDescent="0.3">
      <c r="U328" s="42"/>
      <c r="W328" s="36"/>
    </row>
    <row r="329" spans="1:25" ht="15.75" customHeight="1" x14ac:dyDescent="0.3">
      <c r="A329" s="82" t="s">
        <v>7088</v>
      </c>
      <c r="B329" s="138" t="s">
        <v>7089</v>
      </c>
    </row>
    <row r="330" spans="1:25" ht="14.4" x14ac:dyDescent="0.3"/>
    <row r="331" spans="1:25" ht="15.75" customHeight="1" x14ac:dyDescent="0.3">
      <c r="B331" s="139" t="s">
        <v>6942</v>
      </c>
      <c r="C331" s="140"/>
      <c r="D331" s="140"/>
      <c r="E331" s="139" t="s">
        <v>6988</v>
      </c>
      <c r="F331" s="141"/>
    </row>
    <row r="332" spans="1:25" ht="15.75" customHeight="1" x14ac:dyDescent="0.3">
      <c r="B332" s="143" t="s">
        <v>2663</v>
      </c>
      <c r="C332" s="144" t="s">
        <v>565</v>
      </c>
      <c r="D332" s="144" t="s">
        <v>6943</v>
      </c>
      <c r="E332" s="143" t="s">
        <v>565</v>
      </c>
      <c r="F332" s="145" t="s">
        <v>6944</v>
      </c>
    </row>
    <row r="333" spans="1:25" ht="14.4" x14ac:dyDescent="0.3">
      <c r="B333" s="99" t="s">
        <v>6925</v>
      </c>
      <c r="C333" s="205">
        <f>VLOOKUP(B333,$R:$U,3,FALSE)</f>
        <v>0.64457135077403904</v>
      </c>
      <c r="D333" t="s">
        <v>7090</v>
      </c>
      <c r="E333" s="164">
        <f>CONVERT(C333,"m^3","gal")*365</f>
        <v>62151.37386821329</v>
      </c>
      <c r="F333" s="146" t="s">
        <v>5324</v>
      </c>
    </row>
    <row r="334" spans="1:25" ht="14.4" x14ac:dyDescent="0.3">
      <c r="B334" s="99" t="s">
        <v>5829</v>
      </c>
      <c r="C334" s="147">
        <f>VLOOKUP(B334,$R:$U,3,FALSE)</f>
        <v>28.39</v>
      </c>
      <c r="D334" t="s">
        <v>7090</v>
      </c>
      <c r="E334" s="164">
        <f>CONVERT(C334,"m^3","gal")*365</f>
        <v>2737443.2667534593</v>
      </c>
      <c r="F334" s="146" t="s">
        <v>5324</v>
      </c>
    </row>
    <row r="335" spans="1:25" ht="14.4" x14ac:dyDescent="0.3">
      <c r="B335" s="99"/>
      <c r="D335" s="146"/>
      <c r="F335" s="146"/>
    </row>
    <row r="336" spans="1:25" ht="15.75" customHeight="1" x14ac:dyDescent="0.3">
      <c r="B336" s="92" t="s">
        <v>6996</v>
      </c>
      <c r="E336" s="143" t="s">
        <v>565</v>
      </c>
      <c r="F336" s="145" t="s">
        <v>6944</v>
      </c>
    </row>
    <row r="337" spans="1:8" ht="14.4" x14ac:dyDescent="0.3">
      <c r="B337" s="149" t="s">
        <v>7091</v>
      </c>
      <c r="C337" s="150"/>
      <c r="D337" s="150"/>
      <c r="E337" s="497">
        <f>UDV.water.avg_cost/1000</f>
        <v>3.858144828221536E-3</v>
      </c>
      <c r="F337" s="151" t="s">
        <v>2315</v>
      </c>
    </row>
    <row r="338" spans="1:8" ht="14.4" x14ac:dyDescent="0.3"/>
    <row r="339" spans="1:8" ht="15.75" customHeight="1" x14ac:dyDescent="0.3">
      <c r="B339" s="498" t="s">
        <v>6966</v>
      </c>
      <c r="C339" s="362" t="s">
        <v>6979</v>
      </c>
      <c r="D339" s="362"/>
      <c r="E339" s="362"/>
      <c r="F339" s="363"/>
    </row>
    <row r="340" spans="1:8" ht="14.4" x14ac:dyDescent="0.3">
      <c r="B340" s="99" t="s">
        <v>7092</v>
      </c>
      <c r="C340" s="153">
        <f>E333*E337</f>
        <v>239.78900165651024</v>
      </c>
      <c r="D340" s="155"/>
      <c r="E340" s="155"/>
      <c r="F340" s="146"/>
    </row>
    <row r="341" spans="1:8" ht="14.4" x14ac:dyDescent="0.3">
      <c r="B341" s="99"/>
      <c r="F341" s="146"/>
    </row>
    <row r="342" spans="1:8" ht="14.4" x14ac:dyDescent="0.3">
      <c r="A342" t="s">
        <v>5209</v>
      </c>
      <c r="B342" s="149" t="s">
        <v>6980</v>
      </c>
      <c r="C342" s="159">
        <f>SUM(C340:C340)</f>
        <v>239.78900165651024</v>
      </c>
      <c r="D342" s="150"/>
      <c r="E342" s="150"/>
      <c r="F342" s="151"/>
    </row>
    <row r="343" spans="1:8" ht="15" thickBot="1" x14ac:dyDescent="0.35">
      <c r="A343" s="137"/>
      <c r="B343" s="137"/>
      <c r="C343" s="137"/>
      <c r="D343" s="137"/>
      <c r="E343" s="137"/>
      <c r="F343" s="137"/>
      <c r="G343" s="137"/>
      <c r="H343" s="137"/>
    </row>
    <row r="344" spans="1:8" ht="14.4" x14ac:dyDescent="0.3"/>
    <row r="345" spans="1:8" ht="18" x14ac:dyDescent="0.35">
      <c r="B345" s="138" t="s">
        <v>7187</v>
      </c>
      <c r="H345" s="355"/>
    </row>
    <row r="346" spans="1:8" ht="14.4" x14ac:dyDescent="0.3"/>
    <row r="347" spans="1:8" ht="14.4" x14ac:dyDescent="0.3">
      <c r="B347" s="139" t="s">
        <v>6942</v>
      </c>
      <c r="C347" s="140"/>
      <c r="D347" s="140"/>
      <c r="E347" s="139" t="s">
        <v>6988</v>
      </c>
      <c r="F347" s="141"/>
    </row>
    <row r="348" spans="1:8" ht="14.4" x14ac:dyDescent="0.3">
      <c r="B348" s="143" t="s">
        <v>2663</v>
      </c>
      <c r="C348" s="144" t="s">
        <v>565</v>
      </c>
      <c r="D348" s="144" t="s">
        <v>6943</v>
      </c>
      <c r="E348" s="143" t="s">
        <v>565</v>
      </c>
      <c r="F348" s="145" t="s">
        <v>6944</v>
      </c>
      <c r="H348" s="139" t="s">
        <v>7189</v>
      </c>
    </row>
    <row r="349" spans="1:8" ht="14.4" x14ac:dyDescent="0.3">
      <c r="B349" s="99" t="s">
        <v>5951</v>
      </c>
      <c r="C349" s="147">
        <f>VLOOKUP(B349,$R:$U,3,FALSE)</f>
        <v>31283.734452421984</v>
      </c>
      <c r="D349" t="s">
        <v>2481</v>
      </c>
      <c r="E349" s="164">
        <f>CONVERT(C349,"l","gal")</f>
        <v>8264.2883357236315</v>
      </c>
      <c r="F349" s="146" t="s">
        <v>2480</v>
      </c>
      <c r="H349" s="99" t="s">
        <v>2787</v>
      </c>
    </row>
    <row r="350" spans="1:8" ht="14.4" x14ac:dyDescent="0.3">
      <c r="B350" s="99" t="s">
        <v>5953</v>
      </c>
      <c r="C350" s="147">
        <f>VLOOKUP(B350,$R:$U,3,FALSE)</f>
        <v>1</v>
      </c>
      <c r="D350" t="s">
        <v>2442</v>
      </c>
      <c r="E350" s="523">
        <f>C350</f>
        <v>1</v>
      </c>
      <c r="F350" s="146" t="s">
        <v>2442</v>
      </c>
      <c r="H350" s="99" t="s">
        <v>1228</v>
      </c>
    </row>
    <row r="351" spans="1:8" ht="14.4" x14ac:dyDescent="0.3">
      <c r="B351" s="99" t="s">
        <v>5952</v>
      </c>
      <c r="C351" s="147">
        <f>VLOOKUP(B351,$R:$U,3,FALSE)</f>
        <v>15</v>
      </c>
      <c r="D351" t="s">
        <v>971</v>
      </c>
      <c r="E351" s="524">
        <f>ROUNDUP(C351,0.1)</f>
        <v>15</v>
      </c>
      <c r="F351" s="146" t="s">
        <v>971</v>
      </c>
      <c r="H351" s="149" t="s">
        <v>7190</v>
      </c>
    </row>
    <row r="352" spans="1:8" ht="14.4" x14ac:dyDescent="0.3">
      <c r="B352" s="99" t="s">
        <v>5954</v>
      </c>
      <c r="C352" s="147">
        <f>VLOOKUP(B352,$R:$U,3,FALSE)</f>
        <v>4.1084544279722408</v>
      </c>
      <c r="D352" t="s">
        <v>6704</v>
      </c>
      <c r="E352" s="164">
        <f>C352*365</f>
        <v>1499.5858662098678</v>
      </c>
      <c r="F352" s="146" t="s">
        <v>5323</v>
      </c>
    </row>
    <row r="353" spans="1:15" ht="14.4" x14ac:dyDescent="0.3">
      <c r="B353" s="99"/>
      <c r="E353" s="99"/>
      <c r="F353" s="146"/>
    </row>
    <row r="354" spans="1:15" ht="14.4" x14ac:dyDescent="0.3">
      <c r="B354" s="92" t="s">
        <v>6942</v>
      </c>
      <c r="C354" s="82"/>
      <c r="D354" s="82"/>
      <c r="E354" s="92"/>
      <c r="F354" s="146"/>
    </row>
    <row r="355" spans="1:15" ht="14.4" x14ac:dyDescent="0.3">
      <c r="B355" s="143" t="s">
        <v>2663</v>
      </c>
      <c r="C355" s="144" t="s">
        <v>565</v>
      </c>
      <c r="D355" s="144" t="s">
        <v>6943</v>
      </c>
      <c r="E355" s="143" t="s">
        <v>565</v>
      </c>
      <c r="F355" s="145" t="s">
        <v>6944</v>
      </c>
    </row>
    <row r="356" spans="1:15" ht="14.4" x14ac:dyDescent="0.3">
      <c r="B356" s="99" t="s">
        <v>7076</v>
      </c>
      <c r="D356" s="146"/>
      <c r="E356" s="525">
        <f>UDV.electricity.avg_cost</f>
        <v>6.8591666666666662E-2</v>
      </c>
      <c r="F356" s="146" t="s">
        <v>2306</v>
      </c>
    </row>
    <row r="357" spans="1:15" ht="14.4" x14ac:dyDescent="0.3">
      <c r="B357" s="149" t="s">
        <v>6998</v>
      </c>
      <c r="C357" s="150"/>
      <c r="D357" s="151"/>
      <c r="E357" s="497">
        <f>UDV.labor.non_specialized_cost</f>
        <v>23.66</v>
      </c>
      <c r="F357" s="151" t="s">
        <v>3659</v>
      </c>
    </row>
    <row r="358" spans="1:15" ht="14.4" x14ac:dyDescent="0.3"/>
    <row r="359" spans="1:15" ht="43.2" x14ac:dyDescent="0.3">
      <c r="B359" s="361" t="s">
        <v>6946</v>
      </c>
      <c r="C359" s="362" t="s">
        <v>6947</v>
      </c>
      <c r="D359" s="371" t="s">
        <v>6948</v>
      </c>
      <c r="E359" s="362" t="s">
        <v>6949</v>
      </c>
      <c r="F359" s="362" t="s">
        <v>6950</v>
      </c>
      <c r="G359" s="362" t="s">
        <v>6951</v>
      </c>
      <c r="H359" s="362" t="s">
        <v>6952</v>
      </c>
      <c r="I359" s="371" t="s">
        <v>6953</v>
      </c>
      <c r="J359" s="371" t="s">
        <v>6954</v>
      </c>
      <c r="K359" s="362" t="s">
        <v>6955</v>
      </c>
      <c r="L359" s="362" t="s">
        <v>6956</v>
      </c>
      <c r="M359" s="362" t="s">
        <v>6957</v>
      </c>
      <c r="N359" s="362" t="s">
        <v>6958</v>
      </c>
      <c r="O359" s="363" t="s">
        <v>6959</v>
      </c>
    </row>
    <row r="360" spans="1:15" ht="14.4" x14ac:dyDescent="0.3">
      <c r="A360" t="s">
        <v>7191</v>
      </c>
      <c r="B360" s="99" t="s">
        <v>2787</v>
      </c>
      <c r="C360" s="153">
        <f>VLOOKUP("Reception pit constructiona",Econ.Equations!$C:$E,2,FALSE)*E349^VLOOKUP("Reception pit constructionb",Econ.Equations!$C:$E,2,FALSE)*E349</f>
        <v>31928.926399622596</v>
      </c>
      <c r="D360">
        <f>VLOOKUP("CAPEXLifetimeBuildings and constructionDefault",Econ.inputsTable!$E:$H,2,FALSE)</f>
        <v>20</v>
      </c>
      <c r="E360" t="s">
        <v>2852</v>
      </c>
      <c r="F360" t="s">
        <v>2852</v>
      </c>
      <c r="G360" s="154">
        <v>1</v>
      </c>
      <c r="H360" s="503">
        <f>UDV.econ_capital.interest_rate</f>
        <v>5.0999999999999997E-2</v>
      </c>
      <c r="I360" s="154">
        <f>VLOOKUP("CAPEXSalvageBuildings and constructionDefault",Econ.inputsTable!$E:$J,2,FALSE)</f>
        <v>0</v>
      </c>
      <c r="J360" s="153">
        <f>$C360*I360</f>
        <v>0</v>
      </c>
      <c r="K360" s="154">
        <f>VLOOKUP("CAPEXFinanced amountNADefault", Econ.inputsTable!$E:$I,2,FALSE)</f>
        <v>1</v>
      </c>
      <c r="L360" s="364">
        <f>H360*K360</f>
        <v>5.0999999999999997E-2</v>
      </c>
      <c r="M360" s="351">
        <f>L360/(1-(1+L360)^-D360)</f>
        <v>8.0924368970045152E-2</v>
      </c>
      <c r="N360" s="153">
        <f>((C360-J360)*M360)+(J360*L360)</f>
        <v>2583.8282207804741</v>
      </c>
      <c r="O360" s="157">
        <f>G360*N360</f>
        <v>2583.8282207804741</v>
      </c>
    </row>
    <row r="361" spans="1:15" ht="14.4" x14ac:dyDescent="0.3">
      <c r="A361" t="s">
        <v>7192</v>
      </c>
      <c r="B361" s="99" t="s">
        <v>1228</v>
      </c>
      <c r="C361" s="153">
        <f>UDV.econ_agi.electric_pump*E350</f>
        <v>12100</v>
      </c>
      <c r="D361">
        <f>VLOOKUP("CAPEXLifetimeAgi-pump, electricDefault",Econ.inputsTable!$E:$H,2,FALSE)</f>
        <v>15</v>
      </c>
      <c r="E361" t="s">
        <v>2852</v>
      </c>
      <c r="F361" t="s">
        <v>2852</v>
      </c>
      <c r="G361" s="154">
        <v>1</v>
      </c>
      <c r="H361" s="503">
        <f>UDV.econ_capital.interest_rate</f>
        <v>5.0999999999999997E-2</v>
      </c>
      <c r="I361" s="154">
        <f>VLOOKUP("CAPEXSalvageEquipmentDefault",Econ.inputsTable!$E:$J,2,FALSE)</f>
        <v>0.2</v>
      </c>
      <c r="J361" s="153">
        <f>$C361*I361</f>
        <v>2420</v>
      </c>
      <c r="K361" s="154">
        <f>VLOOKUP("CAPEXFinanced amountNADefault", Econ.inputsTable!$E:$I,2,FALSE)</f>
        <v>1</v>
      </c>
      <c r="L361" s="364">
        <f>H361*K361</f>
        <v>5.0999999999999997E-2</v>
      </c>
      <c r="M361" s="351">
        <f>L361/(1-(1+L361)^-D361)</f>
        <v>9.6994593888520206E-2</v>
      </c>
      <c r="N361" s="153">
        <f>((C361-J361)*M361)+(J361*L361)</f>
        <v>1062.3276688408755</v>
      </c>
      <c r="O361" s="157">
        <f>G361*N361</f>
        <v>1062.3276688408755</v>
      </c>
    </row>
    <row r="362" spans="1:15" ht="14.4" x14ac:dyDescent="0.3">
      <c r="A362" t="s">
        <v>7192</v>
      </c>
      <c r="B362" s="99" t="s">
        <v>7193</v>
      </c>
      <c r="C362" s="153">
        <f>VLOOKUP(_xlfn.CONCAT("Motor, ", E351, " hpDefault"), Econ.Tables!C:E, 2, FALSE)*E350</f>
        <v>1470</v>
      </c>
      <c r="D362">
        <f>VLOOKUP("CAPEXLifetimeMotorDefault",Econ.inputsTable!$E:$H,2,FALSE)</f>
        <v>20</v>
      </c>
      <c r="E362" t="s">
        <v>2852</v>
      </c>
      <c r="F362" t="s">
        <v>2852</v>
      </c>
      <c r="G362" s="154">
        <v>1</v>
      </c>
      <c r="H362" s="503">
        <f>UDV.econ_capital.interest_rate</f>
        <v>5.0999999999999997E-2</v>
      </c>
      <c r="I362" s="154">
        <f>VLOOKUP("CAPEXSalvageEquipmentDefault",Econ.inputsTable!$E:$I,2,FALSE)</f>
        <v>0.2</v>
      </c>
      <c r="J362" s="153">
        <f>$C362*I362</f>
        <v>294</v>
      </c>
      <c r="K362" s="154">
        <f>VLOOKUP("CAPEXFinanced amountNADefault", Econ.inputsTable!$E:$I,2,FALSE)</f>
        <v>1</v>
      </c>
      <c r="L362" s="364">
        <f>H362*K362</f>
        <v>5.0999999999999997E-2</v>
      </c>
      <c r="M362" s="351">
        <f>L362/(1-(1+L362)^-D362)</f>
        <v>8.0924368970045152E-2</v>
      </c>
      <c r="N362" s="153">
        <f>((C362-J362)*M362)+(J362*L362)</f>
        <v>110.1610579087731</v>
      </c>
      <c r="O362" s="157">
        <f>G362*N362</f>
        <v>110.1610579087731</v>
      </c>
    </row>
    <row r="363" spans="1:15" ht="14.4" x14ac:dyDescent="0.3">
      <c r="B363" s="99"/>
      <c r="C363" s="153"/>
      <c r="L363" s="154"/>
      <c r="M363" s="155"/>
      <c r="N363" s="154"/>
      <c r="O363" s="501"/>
    </row>
    <row r="364" spans="1:15" ht="14.4" x14ac:dyDescent="0.3">
      <c r="B364" s="99"/>
      <c r="C364" s="82" t="s">
        <v>7009</v>
      </c>
      <c r="D364" s="82" t="s">
        <v>6963</v>
      </c>
      <c r="O364" s="146"/>
    </row>
    <row r="365" spans="1:15" ht="14.4" x14ac:dyDescent="0.3">
      <c r="A365" t="s">
        <v>5219</v>
      </c>
      <c r="B365" s="99" t="s">
        <v>6964</v>
      </c>
      <c r="C365" s="153">
        <f>SUM(C360:C362)</f>
        <v>45498.926399622593</v>
      </c>
      <c r="D365" s="153">
        <f>SUMPRODUCT(C360:C362,G360:G362)</f>
        <v>45498.926399622593</v>
      </c>
      <c r="O365" s="146"/>
    </row>
    <row r="366" spans="1:15" ht="14.4" x14ac:dyDescent="0.3">
      <c r="A366" t="s">
        <v>5219</v>
      </c>
      <c r="B366" s="149" t="s">
        <v>6965</v>
      </c>
      <c r="C366" s="159">
        <f>SUM(N360:N362)</f>
        <v>3756.3169475301229</v>
      </c>
      <c r="D366" s="159">
        <f>SUMPRODUCT(N360:N362,G360:G362)</f>
        <v>3756.3169475301229</v>
      </c>
      <c r="E366" s="150"/>
      <c r="F366" s="150"/>
      <c r="G366" s="150"/>
      <c r="H366" s="150"/>
      <c r="I366" s="150"/>
      <c r="J366" s="150"/>
      <c r="K366" s="150"/>
      <c r="L366" s="150"/>
      <c r="M366" s="150"/>
      <c r="N366" s="150"/>
      <c r="O366" s="151"/>
    </row>
    <row r="367" spans="1:15" ht="14.4" x14ac:dyDescent="0.3">
      <c r="B367" s="262"/>
      <c r="C367" s="142"/>
      <c r="D367" s="142"/>
      <c r="E367" s="142"/>
      <c r="F367" s="142"/>
      <c r="G367" s="142"/>
      <c r="H367" s="142"/>
      <c r="I367" s="142"/>
      <c r="J367" s="142"/>
      <c r="K367" s="142"/>
      <c r="L367" s="142"/>
      <c r="M367" s="142"/>
      <c r="N367" s="142"/>
      <c r="O367" s="141"/>
    </row>
    <row r="368" spans="1:15" ht="43.2" x14ac:dyDescent="0.3">
      <c r="B368" s="160" t="s">
        <v>6966</v>
      </c>
      <c r="C368" s="152" t="s">
        <v>6967</v>
      </c>
      <c r="D368" s="152" t="s">
        <v>6968</v>
      </c>
      <c r="E368" s="152" t="s">
        <v>6969</v>
      </c>
      <c r="F368" s="152" t="s">
        <v>6970</v>
      </c>
      <c r="G368" s="152" t="s">
        <v>6971</v>
      </c>
      <c r="H368" s="152" t="s">
        <v>6972</v>
      </c>
      <c r="I368" s="152" t="s">
        <v>6973</v>
      </c>
      <c r="J368" s="152" t="s">
        <v>6974</v>
      </c>
      <c r="K368" s="152" t="s">
        <v>6975</v>
      </c>
      <c r="L368" s="152" t="s">
        <v>6976</v>
      </c>
      <c r="M368" s="152" t="s">
        <v>6977</v>
      </c>
      <c r="N368" s="152" t="s">
        <v>6978</v>
      </c>
      <c r="O368" s="161" t="s">
        <v>6979</v>
      </c>
    </row>
    <row r="369" spans="1:15" ht="14.4" x14ac:dyDescent="0.3">
      <c r="B369" s="99" t="s">
        <v>5219</v>
      </c>
      <c r="C369" s="155">
        <f>VLOOKUP("OPEXInsuranceEverythingDefault",Econ.inputsTable!$E$1:$J$89,2,FALSE)</f>
        <v>5.0000000000000001E-3</v>
      </c>
      <c r="D369" s="155">
        <f>VLOOKUP("OPEXRepair and maintenanceBuildings and constructionDefault",Econ.inputsTable!$E:$I,2,FALSE)</f>
        <v>0.01</v>
      </c>
      <c r="G369" s="504"/>
      <c r="O369" s="157">
        <f>(SUM(C369:D369)*C360*G360)+SUM(G369,I369,J369,L369,N369)</f>
        <v>478.93389599433891</v>
      </c>
    </row>
    <row r="370" spans="1:15" ht="14.4" x14ac:dyDescent="0.3">
      <c r="B370" s="99" t="s">
        <v>1228</v>
      </c>
      <c r="C370" s="155">
        <f>VLOOKUP("OPEXInsuranceEverythingDefault",Econ.inputsTable!$E$1:$J$89,2,FALSE)</f>
        <v>5.0000000000000001E-3</v>
      </c>
      <c r="D370" s="155">
        <f>VLOOKUP("OPEXRepair and maintenanceAgi-pump, electricDefault",Econ.inputsTable!$E:$I,2,FALSE)</f>
        <v>0.11</v>
      </c>
      <c r="G370" s="504"/>
      <c r="O370" s="157">
        <f>(SUM(C370:D370)*C361*G361)+SUM(G370,I370,J370,L370,N370)</f>
        <v>1391.5</v>
      </c>
    </row>
    <row r="371" spans="1:15" ht="14.4" x14ac:dyDescent="0.3">
      <c r="B371" s="99" t="s">
        <v>7190</v>
      </c>
      <c r="C371" s="155">
        <f>VLOOKUP("OPEXInsuranceEverythingDefault",Econ.inputsTable!$E$1:$J$89,2,FALSE)</f>
        <v>5.0000000000000001E-3</v>
      </c>
      <c r="D371" s="155">
        <f>VLOOKUP("OPEXRepair and maintenanceEquipmentDefault",Econ.inputsTable!$E:$I,2,FALSE)</f>
        <v>0.03</v>
      </c>
      <c r="F371" s="166">
        <f>E352</f>
        <v>1499.5858662098678</v>
      </c>
      <c r="G371" s="158">
        <f>F371*E356</f>
        <v>102.85909387311185</v>
      </c>
      <c r="O371" s="157">
        <f>(SUM(C371:D371)*C362*G362)+SUM(G371,I371,J371,L371,N371)</f>
        <v>154.30909387311183</v>
      </c>
    </row>
    <row r="372" spans="1:15" ht="14.4" x14ac:dyDescent="0.3">
      <c r="A372" t="s">
        <v>5219</v>
      </c>
      <c r="B372" s="162" t="s">
        <v>5203</v>
      </c>
      <c r="C372" s="505"/>
      <c r="D372" s="505"/>
      <c r="E372" s="367">
        <f t="shared" ref="E372:O372" si="3">SUM(E369:E371)</f>
        <v>0</v>
      </c>
      <c r="F372" s="526">
        <f t="shared" si="3"/>
        <v>1499.5858662098678</v>
      </c>
      <c r="G372" s="367">
        <f t="shared" si="3"/>
        <v>102.85909387311185</v>
      </c>
      <c r="H372" s="526">
        <f t="shared" si="3"/>
        <v>0</v>
      </c>
      <c r="I372" s="367">
        <f t="shared" si="3"/>
        <v>0</v>
      </c>
      <c r="J372" s="367">
        <f t="shared" si="3"/>
        <v>0</v>
      </c>
      <c r="K372" s="526">
        <f t="shared" si="3"/>
        <v>0</v>
      </c>
      <c r="L372" s="367">
        <f t="shared" si="3"/>
        <v>0</v>
      </c>
      <c r="M372" s="526">
        <f t="shared" si="3"/>
        <v>0</v>
      </c>
      <c r="N372" s="367">
        <f t="shared" si="3"/>
        <v>0</v>
      </c>
      <c r="O372" s="169">
        <f t="shared" si="3"/>
        <v>2024.7429898674507</v>
      </c>
    </row>
    <row r="373" spans="1:15" ht="14.4" x14ac:dyDescent="0.3">
      <c r="B373" s="99"/>
      <c r="O373" s="146"/>
    </row>
    <row r="374" spans="1:15" ht="14.4" x14ac:dyDescent="0.3">
      <c r="A374" t="s">
        <v>5219</v>
      </c>
      <c r="B374" s="149" t="s">
        <v>6980</v>
      </c>
      <c r="C374" s="159">
        <f>SUM(O369:O371)</f>
        <v>2024.7429898674507</v>
      </c>
      <c r="D374" s="150"/>
      <c r="E374" s="150"/>
      <c r="F374" s="150"/>
      <c r="G374" s="150"/>
      <c r="H374" s="150"/>
      <c r="I374" s="150"/>
      <c r="J374" s="150"/>
      <c r="K374" s="150"/>
      <c r="L374" s="150"/>
      <c r="M374" s="150"/>
      <c r="N374" s="150"/>
      <c r="O374" s="151"/>
    </row>
    <row r="375" spans="1:15" ht="15" thickBot="1" x14ac:dyDescent="0.35">
      <c r="A375" s="137"/>
      <c r="B375" s="137"/>
      <c r="C375" s="137"/>
      <c r="D375" s="137"/>
      <c r="E375" s="137"/>
      <c r="F375" s="137"/>
      <c r="G375" s="137"/>
      <c r="H375" s="137"/>
      <c r="I375" s="137"/>
      <c r="J375" s="137"/>
      <c r="K375" s="137"/>
      <c r="L375" s="137"/>
      <c r="M375" s="137"/>
      <c r="N375" s="137"/>
      <c r="O375" s="137"/>
    </row>
    <row r="376" spans="1:15" ht="14.4" x14ac:dyDescent="0.3"/>
    <row r="377" spans="1:15" ht="18" x14ac:dyDescent="0.35">
      <c r="B377" s="138" t="s">
        <v>4683</v>
      </c>
      <c r="C377" s="90"/>
      <c r="H377" s="355"/>
    </row>
    <row r="378" spans="1:15" ht="14.4" x14ac:dyDescent="0.3"/>
    <row r="379" spans="1:15" ht="14.4" x14ac:dyDescent="0.3">
      <c r="B379" s="139" t="s">
        <v>6942</v>
      </c>
      <c r="C379" s="140"/>
      <c r="D379" s="140"/>
      <c r="E379" s="139"/>
      <c r="F379" s="141"/>
      <c r="H379" s="139" t="s">
        <v>7033</v>
      </c>
      <c r="I379" s="142"/>
      <c r="J379" s="142"/>
      <c r="K379" s="141"/>
    </row>
    <row r="380" spans="1:15" ht="14.4" x14ac:dyDescent="0.3">
      <c r="B380" s="143" t="s">
        <v>2663</v>
      </c>
      <c r="C380" s="144" t="s">
        <v>565</v>
      </c>
      <c r="D380" s="144" t="s">
        <v>6943</v>
      </c>
      <c r="E380" s="143" t="s">
        <v>565</v>
      </c>
      <c r="F380" s="145" t="s">
        <v>6944</v>
      </c>
      <c r="H380" s="99" t="s">
        <v>2771</v>
      </c>
      <c r="K380" s="146"/>
    </row>
    <row r="381" spans="1:15" ht="14.4" x14ac:dyDescent="0.3">
      <c r="B381" s="99" t="s">
        <v>5859</v>
      </c>
      <c r="C381">
        <f>UDV.animal.total</f>
        <v>500</v>
      </c>
      <c r="D381" t="s">
        <v>2442</v>
      </c>
      <c r="E381" s="99">
        <f>C381</f>
        <v>500</v>
      </c>
      <c r="F381" s="146" t="s">
        <v>2442</v>
      </c>
      <c r="H381" s="99" t="s">
        <v>7095</v>
      </c>
      <c r="K381" s="146"/>
    </row>
    <row r="382" spans="1:15" ht="14.4" x14ac:dyDescent="0.3">
      <c r="B382" s="99" t="s">
        <v>5439</v>
      </c>
      <c r="C382" s="148">
        <f>VLOOKUP(B382,$R:$U,3,FALSE)</f>
        <v>2700.4909100593827</v>
      </c>
      <c r="D382" t="s">
        <v>2478</v>
      </c>
      <c r="E382" s="164">
        <f>CONVERT(C382,"m^3","ft^3")</f>
        <v>95366.936473156515</v>
      </c>
      <c r="F382" s="146" t="s">
        <v>2479</v>
      </c>
      <c r="H382" s="99" t="s">
        <v>7250</v>
      </c>
      <c r="K382" s="146"/>
    </row>
    <row r="383" spans="1:15" ht="14.4" x14ac:dyDescent="0.3">
      <c r="B383" s="99" t="s">
        <v>6343</v>
      </c>
      <c r="C383" s="148">
        <f>VLOOKUP(B383,$R:$U,3,FALSE)</f>
        <v>2520.2986018694792</v>
      </c>
      <c r="D383" s="146" t="s">
        <v>2268</v>
      </c>
      <c r="E383" s="148">
        <f>CONVERT(C383,"m^2","ft^2")</f>
        <v>27128.268373881834</v>
      </c>
      <c r="F383" s="146" t="s">
        <v>2267</v>
      </c>
      <c r="G383" s="34"/>
      <c r="H383" s="99" t="s">
        <v>7196</v>
      </c>
      <c r="K383" s="146"/>
    </row>
    <row r="384" spans="1:15" ht="14.4" x14ac:dyDescent="0.3">
      <c r="B384" s="99" t="s">
        <v>7251</v>
      </c>
      <c r="C384" s="148"/>
      <c r="D384" s="146" t="s">
        <v>7200</v>
      </c>
      <c r="E384" s="316"/>
      <c r="F384" s="146" t="s">
        <v>6243</v>
      </c>
      <c r="G384" s="34"/>
      <c r="H384" s="99" t="s">
        <v>7198</v>
      </c>
      <c r="K384" s="146"/>
    </row>
    <row r="385" spans="2:11" ht="14.4" x14ac:dyDescent="0.3">
      <c r="B385" s="99" t="s">
        <v>7251</v>
      </c>
      <c r="D385" s="146" t="s">
        <v>7200</v>
      </c>
      <c r="E385" s="316"/>
      <c r="F385" s="146" t="s">
        <v>7202</v>
      </c>
      <c r="G385" s="34"/>
      <c r="H385" s="99" t="s">
        <v>7199</v>
      </c>
      <c r="K385" s="146"/>
    </row>
    <row r="386" spans="2:11" ht="14.4" x14ac:dyDescent="0.3">
      <c r="B386" s="99" t="s">
        <v>7203</v>
      </c>
      <c r="C386" s="153"/>
      <c r="D386" t="s">
        <v>7204</v>
      </c>
      <c r="E386" s="99">
        <f>UDV.econ_methane.fate</f>
        <v>0</v>
      </c>
      <c r="F386" s="146" t="s">
        <v>7252</v>
      </c>
      <c r="G386" s="34"/>
      <c r="H386" s="149" t="s">
        <v>7201</v>
      </c>
      <c r="I386" s="150"/>
      <c r="J386" s="150"/>
      <c r="K386" s="151"/>
    </row>
    <row r="387" spans="2:11" ht="14.4" x14ac:dyDescent="0.3">
      <c r="B387" s="99" t="s">
        <v>1302</v>
      </c>
      <c r="C387" s="153"/>
      <c r="D387" t="s">
        <v>7207</v>
      </c>
      <c r="E387" s="178">
        <f>UDV.econ_elec.connected</f>
        <v>0</v>
      </c>
      <c r="F387" s="146" t="s">
        <v>4750</v>
      </c>
    </row>
    <row r="388" spans="2:11" ht="14.4" x14ac:dyDescent="0.3">
      <c r="B388" s="99" t="s">
        <v>7210</v>
      </c>
      <c r="C388" s="153"/>
      <c r="D388" t="s">
        <v>7207</v>
      </c>
      <c r="E388" s="178">
        <f>UDV.econ_cng.connected</f>
        <v>0</v>
      </c>
      <c r="F388" s="146" t="s">
        <v>4750</v>
      </c>
      <c r="G388" s="34"/>
      <c r="H388" s="139" t="s">
        <v>7206</v>
      </c>
      <c r="I388" s="142"/>
      <c r="J388" s="142"/>
      <c r="K388" s="141"/>
    </row>
    <row r="389" spans="2:11" ht="14.4" x14ac:dyDescent="0.3">
      <c r="B389" s="99" t="s">
        <v>7211</v>
      </c>
      <c r="D389" s="146" t="s">
        <v>7212</v>
      </c>
      <c r="F389" s="146" t="s">
        <v>7135</v>
      </c>
      <c r="G389" s="34"/>
      <c r="H389" s="99">
        <v>0.71699999999999997</v>
      </c>
      <c r="I389" t="s">
        <v>7209</v>
      </c>
      <c r="J389">
        <v>1</v>
      </c>
      <c r="K389" s="146" t="s">
        <v>676</v>
      </c>
    </row>
    <row r="390" spans="2:11" ht="14.4" x14ac:dyDescent="0.3">
      <c r="B390" s="99" t="s">
        <v>7183</v>
      </c>
      <c r="C390" s="148">
        <f>VLOOKUP(B390,R1:U299,3,FALSE)</f>
        <v>0</v>
      </c>
      <c r="D390" s="146" t="s">
        <v>7213</v>
      </c>
      <c r="E390" s="166">
        <f>C390</f>
        <v>0</v>
      </c>
      <c r="F390" s="146" t="s">
        <v>7213</v>
      </c>
      <c r="G390" s="34"/>
      <c r="H390" s="99">
        <v>1</v>
      </c>
      <c r="I390" t="s">
        <v>2478</v>
      </c>
      <c r="J390">
        <v>35.314700000000002</v>
      </c>
      <c r="K390" s="146" t="s">
        <v>2479</v>
      </c>
    </row>
    <row r="391" spans="2:11" ht="14.4" x14ac:dyDescent="0.3">
      <c r="B391" s="99" t="s">
        <v>7184</v>
      </c>
      <c r="C391" s="148">
        <f>VLOOKUP(B391,R1:U299,3,FALSE)</f>
        <v>0</v>
      </c>
      <c r="D391" s="146" t="s">
        <v>7213</v>
      </c>
      <c r="E391" s="166">
        <f>C391</f>
        <v>0</v>
      </c>
      <c r="F391" s="146" t="s">
        <v>7213</v>
      </c>
      <c r="G391" s="34"/>
      <c r="H391" s="149">
        <v>1</v>
      </c>
      <c r="I391" s="150" t="s">
        <v>2557</v>
      </c>
      <c r="J391" s="150">
        <v>1000</v>
      </c>
      <c r="K391" s="151" t="s">
        <v>2479</v>
      </c>
    </row>
    <row r="392" spans="2:11" ht="14.4" x14ac:dyDescent="0.3">
      <c r="B392" s="99"/>
      <c r="D392" s="146"/>
      <c r="E392" s="148"/>
      <c r="F392" s="146"/>
      <c r="G392" s="34"/>
    </row>
    <row r="393" spans="2:11" ht="14.4" x14ac:dyDescent="0.3">
      <c r="B393" s="92" t="s">
        <v>6996</v>
      </c>
      <c r="C393" s="78"/>
      <c r="E393" s="99"/>
      <c r="F393" s="146"/>
      <c r="G393" s="34"/>
    </row>
    <row r="394" spans="2:11" ht="14.4" x14ac:dyDescent="0.3">
      <c r="B394" s="143" t="s">
        <v>2663</v>
      </c>
      <c r="C394" s="144"/>
      <c r="D394" s="144"/>
      <c r="E394" s="143" t="s">
        <v>565</v>
      </c>
      <c r="F394" s="145" t="s">
        <v>6944</v>
      </c>
      <c r="G394" s="34"/>
    </row>
    <row r="395" spans="2:11" ht="14.4" x14ac:dyDescent="0.3">
      <c r="B395" s="99" t="s">
        <v>6998</v>
      </c>
      <c r="D395" s="146"/>
      <c r="E395">
        <v>15</v>
      </c>
      <c r="F395" s="146" t="s">
        <v>3659</v>
      </c>
    </row>
    <row r="396" spans="2:11" ht="14.4" x14ac:dyDescent="0.3">
      <c r="B396" s="99" t="s">
        <v>7077</v>
      </c>
      <c r="D396" s="146"/>
      <c r="E396">
        <v>30</v>
      </c>
      <c r="F396" s="146" t="s">
        <v>3659</v>
      </c>
    </row>
    <row r="397" spans="2:11" ht="14.4" x14ac:dyDescent="0.3">
      <c r="B397" s="99" t="s">
        <v>7076</v>
      </c>
      <c r="D397" s="146"/>
      <c r="E397" s="549">
        <v>5.9400000000000001E-2</v>
      </c>
      <c r="F397" s="146" t="s">
        <v>2306</v>
      </c>
      <c r="G397" s="34"/>
    </row>
    <row r="398" spans="2:11" ht="14.4" x14ac:dyDescent="0.3">
      <c r="B398" s="149" t="s">
        <v>7215</v>
      </c>
      <c r="C398" s="150"/>
      <c r="D398" s="151"/>
      <c r="E398" s="323">
        <v>6.55</v>
      </c>
      <c r="F398" s="151" t="s">
        <v>2311</v>
      </c>
      <c r="G398" s="34"/>
    </row>
    <row r="399" spans="2:11" ht="14.4" x14ac:dyDescent="0.3">
      <c r="G399" s="34"/>
    </row>
    <row r="400" spans="2:11" ht="14.4" x14ac:dyDescent="0.3">
      <c r="C400" s="153"/>
    </row>
    <row r="401" spans="1:17" ht="43.2" x14ac:dyDescent="0.3">
      <c r="B401" s="361" t="s">
        <v>6946</v>
      </c>
      <c r="C401" s="362" t="s">
        <v>6947</v>
      </c>
      <c r="D401" s="362" t="s">
        <v>6948</v>
      </c>
      <c r="E401" s="362" t="s">
        <v>6949</v>
      </c>
      <c r="F401" s="362" t="s">
        <v>6950</v>
      </c>
      <c r="G401" s="362" t="s">
        <v>6951</v>
      </c>
      <c r="H401" s="362" t="s">
        <v>6952</v>
      </c>
      <c r="I401" s="362" t="s">
        <v>6953</v>
      </c>
      <c r="J401" s="362" t="s">
        <v>6954</v>
      </c>
      <c r="K401" s="362" t="s">
        <v>6955</v>
      </c>
      <c r="L401" s="362" t="s">
        <v>6956</v>
      </c>
      <c r="M401" s="362" t="s">
        <v>6957</v>
      </c>
      <c r="N401" s="362" t="s">
        <v>6958</v>
      </c>
    </row>
    <row r="402" spans="1:17" ht="14.4" x14ac:dyDescent="0.3">
      <c r="A402" t="s">
        <v>7253</v>
      </c>
      <c r="B402" s="99" t="s">
        <v>2771</v>
      </c>
      <c r="C402" s="153">
        <f>(VLOOKUP("Lagoon constructiona",Econ.Equations!$C:$E,2,FALSE)*E382^VLOOKUP("Lagoon constructionb",Econ.Equations!$C:$E,2,FALSE))*E382</f>
        <v>31078.833113272121</v>
      </c>
      <c r="D402">
        <f>VLOOKUP("CAPEXLifetimeBuildings and constructionDefault",Econ.inputsTable!$E:$G,2,FALSE)</f>
        <v>20</v>
      </c>
      <c r="E402" t="s">
        <v>2852</v>
      </c>
      <c r="F402" t="s">
        <v>2852</v>
      </c>
      <c r="G402" s="154">
        <f>VLOOKUP("CAPEXAnnual usage on activityItems that are used only on the given activityDefault",Econ.inputsTable!$E:$G,2,FALSE)</f>
        <v>1</v>
      </c>
      <c r="H402" s="503">
        <f t="shared" ref="H402:H408" si="4">UDV.econ_capital.interest_rate</f>
        <v>5.0999999999999997E-2</v>
      </c>
      <c r="I402" s="155">
        <f>VLOOKUP("CAPEXSalvageBuildings and constructionDefault",Econ.inputsTable!$E:$G,2,FALSE)</f>
        <v>0</v>
      </c>
      <c r="J402" s="156">
        <f>$C$22*I402</f>
        <v>0</v>
      </c>
      <c r="K402" s="154">
        <f>VLOOKUP("CAPEXFinanced amountNADefault", Econ.inputsTable!$E:$I,2,FALSE)</f>
        <v>1</v>
      </c>
      <c r="L402" s="364">
        <f>H402*K402</f>
        <v>5.0999999999999997E-2</v>
      </c>
      <c r="M402" s="351">
        <f>L402/(1-(1+L402)^-D402)</f>
        <v>8.0924368970045152E-2</v>
      </c>
      <c r="N402" s="153">
        <f t="shared" ref="N402:N408" si="5">((C402-J402)*M402)+(J402*L402)</f>
        <v>2515.0349580168904</v>
      </c>
    </row>
    <row r="403" spans="1:17" ht="14.4" x14ac:dyDescent="0.3">
      <c r="A403" t="s">
        <v>7253</v>
      </c>
      <c r="B403" s="99" t="s">
        <v>7254</v>
      </c>
      <c r="C403" s="373">
        <f>VLOOKUP("Lagoon liner geomembraneDefault",Econ.Tables!$C:$E,2,FALSE)*E383</f>
        <v>67820.670934704583</v>
      </c>
      <c r="D403">
        <f>VLOOKUP("CAPEXLifetimeBuildings and constructionDefault",Econ.inputsTable!$E:$G,2,FALSE)</f>
        <v>20</v>
      </c>
      <c r="E403" t="s">
        <v>2852</v>
      </c>
      <c r="F403" t="s">
        <v>2852</v>
      </c>
      <c r="G403" s="154">
        <f>VLOOKUP("CAPEXAnnual usage on activityItems that are used only on the given activityDefault",Econ.inputsTable!$E:$G,2,FALSE)</f>
        <v>1</v>
      </c>
      <c r="H403" s="503">
        <f t="shared" si="4"/>
        <v>5.0999999999999997E-2</v>
      </c>
      <c r="I403" s="155">
        <f>VLOOKUP("CAPEXSalvageBuildings and constructionDefault",Econ.inputsTable!$E:$G,2,FALSE)</f>
        <v>0</v>
      </c>
      <c r="J403" s="156">
        <f>$C$23*I403</f>
        <v>0</v>
      </c>
      <c r="K403" s="154">
        <f>VLOOKUP("CAPEXFinanced amountNADefault", Econ.inputsTable!$E:$I,2,FALSE)</f>
        <v>1</v>
      </c>
      <c r="L403" s="364">
        <f>H403*K403</f>
        <v>5.0999999999999997E-2</v>
      </c>
      <c r="M403" s="351">
        <f>L403/(1-(1+L403)^-D403)</f>
        <v>8.0924368970045152E-2</v>
      </c>
      <c r="N403" s="153">
        <f t="shared" si="5"/>
        <v>5488.3449985160505</v>
      </c>
    </row>
    <row r="404" spans="1:17" ht="14.4" x14ac:dyDescent="0.3">
      <c r="A404" t="s">
        <v>7253</v>
      </c>
      <c r="B404" s="99" t="s">
        <v>7255</v>
      </c>
      <c r="C404" s="153">
        <f>(VLOOKUP("Cover for lagoona",Econ.Equations!$C:$E,2,FALSE)*E383^VLOOKUP("Cover for lagoonb",Econ.Equations!$C:$E,2,FALSE))*E383</f>
        <v>257274.23569122158</v>
      </c>
      <c r="D404">
        <f>VLOOKUP("CAPEXLifetimeBuildings and constructionDefault",Econ.inputsTable!$E:$G,2,FALSE)</f>
        <v>20</v>
      </c>
      <c r="E404" t="s">
        <v>2852</v>
      </c>
      <c r="F404" t="s">
        <v>2852</v>
      </c>
      <c r="G404" s="154">
        <f>VLOOKUP("CAPEXAnnual usage on activityItems that are used only on the given activityDefault",Econ.inputsTable!$E:$G,2,FALSE)</f>
        <v>1</v>
      </c>
      <c r="H404" s="503">
        <f t="shared" si="4"/>
        <v>5.0999999999999997E-2</v>
      </c>
      <c r="I404" s="155">
        <f>VLOOKUP("CAPEXSalvageBuildings and constructionDefault",Econ.inputsTable!$E:$G,2,FALSE)</f>
        <v>0</v>
      </c>
      <c r="J404" s="156">
        <f>$C$23*I404</f>
        <v>0</v>
      </c>
      <c r="K404" s="154">
        <f>VLOOKUP("CAPEXFinanced amountNADefault", Econ.inputsTable!$E:$I,2,FALSE)</f>
        <v>1</v>
      </c>
      <c r="L404" s="364">
        <f>H404*K404</f>
        <v>5.0999999999999997E-2</v>
      </c>
      <c r="M404" s="351">
        <f>L404/(1-(1+L404)^-D404)</f>
        <v>8.0924368970045152E-2</v>
      </c>
      <c r="N404" s="153">
        <f t="shared" si="5"/>
        <v>20819.755175562776</v>
      </c>
      <c r="Q404" s="146"/>
    </row>
    <row r="405" spans="1:17" ht="14.4" x14ac:dyDescent="0.3">
      <c r="A405" t="s">
        <v>7256</v>
      </c>
      <c r="B405" s="99" t="s">
        <v>7257</v>
      </c>
      <c r="C405" s="153">
        <f>IF(E386=1,VLOOKUP("Combined heat and powera",Econ.Equations!$C:$E,2,FALSE)*E385^VLOOKUP("Combined heat and powerb",Econ.Equations!$C:$E,2,FALSE)*E385,0)</f>
        <v>0</v>
      </c>
      <c r="D405">
        <f>VLOOKUP("CAPEXLifetimeBuildings and constructionDefault",Econ.inputsTable!$E:$G,2,FALSE)</f>
        <v>20</v>
      </c>
      <c r="E405" t="s">
        <v>2852</v>
      </c>
      <c r="F405" t="s">
        <v>2852</v>
      </c>
      <c r="G405" s="154">
        <f>VLOOKUP("CAPEXAnnual usage on activityItems that are used only on the given activityDefault",Econ.inputsTable!$E:$G,2,FALSE)</f>
        <v>1</v>
      </c>
      <c r="H405" s="503">
        <f t="shared" si="4"/>
        <v>5.0999999999999997E-2</v>
      </c>
      <c r="I405" s="155">
        <f>VLOOKUP("CAPEXSalvageBuildings and constructionDefault",Econ.inputsTable!$E:$G,2,FALSE)</f>
        <v>0</v>
      </c>
      <c r="J405" s="156">
        <f>$C405*I405</f>
        <v>0</v>
      </c>
      <c r="K405" s="154">
        <f>VLOOKUP("CAPEXFinanced amountNADefault", Econ.inputsTable!$E:$I,2,FALSE)</f>
        <v>1</v>
      </c>
      <c r="L405" s="364">
        <f>H405*K405</f>
        <v>5.0999999999999997E-2</v>
      </c>
      <c r="M405" s="351">
        <f>L405/(1-(1+L405)^-D405)</f>
        <v>8.0924368970045152E-2</v>
      </c>
      <c r="N405" s="153">
        <f t="shared" si="5"/>
        <v>0</v>
      </c>
      <c r="Q405" s="146"/>
    </row>
    <row r="406" spans="1:17" ht="14.4" x14ac:dyDescent="0.3">
      <c r="A406" t="s">
        <v>7256</v>
      </c>
      <c r="B406" s="99" t="s">
        <v>7258</v>
      </c>
      <c r="C406" s="153">
        <f>IF(E387=1,(VLOOKUP("CHP utility connectionDefault",Econ.Tables!$C:$E,2,FALSE)),0)</f>
        <v>0</v>
      </c>
      <c r="D406">
        <f>VLOOKUP("CAPEXLifetimeEquipmentDefault",Econ.inputsTable!$E:$G,2,FALSE)</f>
        <v>10</v>
      </c>
      <c r="E406" t="s">
        <v>2852</v>
      </c>
      <c r="F406" t="s">
        <v>2852</v>
      </c>
      <c r="G406" s="154">
        <f>VLOOKUP("CAPEXAnnual usage on activityItems that are used only on the given activityDefault",Econ.inputsTable!$E:$G,2,FALSE)</f>
        <v>1</v>
      </c>
      <c r="H406" s="503">
        <f t="shared" si="4"/>
        <v>5.0999999999999997E-2</v>
      </c>
      <c r="I406" s="154">
        <f>VLOOKUP("CAPEXSalvageEquipmentDefault",Econ.inputsTable!$E:$G,2,FALSE)</f>
        <v>0.2</v>
      </c>
      <c r="J406" s="153">
        <f>C406*I406</f>
        <v>0</v>
      </c>
      <c r="K406" s="154">
        <f>VLOOKUP("CAPEXFinanced amountNADefault", Econ.inputsTable!$E:$I,2,FALSE)</f>
        <v>1</v>
      </c>
      <c r="L406" s="364">
        <f>H406*K406</f>
        <v>5.0999999999999997E-2</v>
      </c>
      <c r="M406" s="351">
        <f>L406/(1-(1+L406)^-D406)</f>
        <v>0.13013423257204779</v>
      </c>
      <c r="N406" s="153">
        <f t="shared" si="5"/>
        <v>0</v>
      </c>
      <c r="Q406" s="146"/>
    </row>
    <row r="407" spans="1:17" ht="14.4" x14ac:dyDescent="0.3">
      <c r="A407" t="s">
        <v>7253</v>
      </c>
      <c r="B407" s="99" t="s">
        <v>2690</v>
      </c>
      <c r="C407" s="158">
        <f>IF(E386=2,(VLOOKUP("Compressed natural gasa",Econ.Equations!$C:$E,2,FALSE)*E385^VLOOKUP("Compressed natural gasb",Econ.Equations!$C:$E,2,FALSE)*E385),0)</f>
        <v>0</v>
      </c>
      <c r="D407">
        <f>VLOOKUP("CAPEXLifetimeEquipmentDefault",Econ.inputsTable!$E:$G,2,FALSE)</f>
        <v>10</v>
      </c>
      <c r="E407" t="s">
        <v>2852</v>
      </c>
      <c r="F407" t="s">
        <v>2852</v>
      </c>
      <c r="G407" s="257">
        <f>VLOOKUP("CAPEXAnnual usage on activityItems that are used only on the given activityDefault",Econ.inputsTable!$E:$I,2,FALSE)</f>
        <v>1</v>
      </c>
      <c r="H407" s="503">
        <f t="shared" si="4"/>
        <v>5.0999999999999997E-2</v>
      </c>
      <c r="I407" s="257">
        <f>VLOOKUP("CAPEXSalvageEquipmentDefault",Econ.inputsTable!$E:$G,2,FALSE)</f>
        <v>0.2</v>
      </c>
      <c r="J407" s="153">
        <f>C407*I407</f>
        <v>0</v>
      </c>
      <c r="K407" s="257">
        <f>VLOOKUP("CAPEXFinanced amountNADefault", Econ.inputsTable!$E:$I,2,FALSE)</f>
        <v>1</v>
      </c>
      <c r="L407" s="364">
        <f t="shared" ref="L407:L408" si="6">H407*K407</f>
        <v>5.0999999999999997E-2</v>
      </c>
      <c r="M407" s="351">
        <f t="shared" ref="M407:M408" si="7">L407/(1-(1+L407)^-D407)</f>
        <v>0.13013423257204779</v>
      </c>
      <c r="N407" s="153">
        <f t="shared" si="5"/>
        <v>0</v>
      </c>
      <c r="Q407" s="146"/>
    </row>
    <row r="408" spans="1:17" ht="14.4" x14ac:dyDescent="0.3">
      <c r="A408" t="s">
        <v>7253</v>
      </c>
      <c r="B408" s="99" t="s">
        <v>2697</v>
      </c>
      <c r="C408" s="158">
        <f>IF(E388=1,(VLOOKUP("Compressed natural gas utility connectiona",Econ.Equations!$C:$E,2,FALSE)*E385^VLOOKUP("Compressed natural gas utility connectionb",Econ.Equations!$C:$E,2,FALSE)*E385),0)</f>
        <v>0</v>
      </c>
      <c r="D408">
        <f>VLOOKUP("CAPEXLifetimeEquipmentDefault",Econ.inputsTable!$E:$G,2,FALSE)</f>
        <v>10</v>
      </c>
      <c r="E408" t="s">
        <v>2852</v>
      </c>
      <c r="F408" t="s">
        <v>2852</v>
      </c>
      <c r="G408" s="257">
        <f>VLOOKUP("CAPEXAnnual usage on activityItems that are used only on the given activityDefault",Econ.inputsTable!$E:$I,2,FALSE)</f>
        <v>1</v>
      </c>
      <c r="H408" s="503">
        <f t="shared" si="4"/>
        <v>5.0999999999999997E-2</v>
      </c>
      <c r="I408" s="257">
        <f>VLOOKUP("CAPEXSalvageBuildings and constructionDefault", Econ.inputsTable!$E:$I,2,FALSE)</f>
        <v>0</v>
      </c>
      <c r="J408" s="153">
        <f>C408*I408</f>
        <v>0</v>
      </c>
      <c r="K408" s="257">
        <f>VLOOKUP("CAPEXFinanced amountNADefault", Econ.inputsTable!$E:$I,2,FALSE)</f>
        <v>1</v>
      </c>
      <c r="L408" s="364">
        <f t="shared" si="6"/>
        <v>5.0999999999999997E-2</v>
      </c>
      <c r="M408" s="351">
        <f t="shared" si="7"/>
        <v>0.13013423257204779</v>
      </c>
      <c r="N408" s="153">
        <f t="shared" si="5"/>
        <v>0</v>
      </c>
      <c r="Q408" s="146"/>
    </row>
    <row r="409" spans="1:17" ht="14.4" x14ac:dyDescent="0.3">
      <c r="B409" s="99"/>
      <c r="Q409" s="146"/>
    </row>
    <row r="410" spans="1:17" ht="14.4" x14ac:dyDescent="0.3">
      <c r="B410" s="99"/>
      <c r="C410" s="82" t="s">
        <v>6962</v>
      </c>
      <c r="D410" s="82" t="s">
        <v>6963</v>
      </c>
      <c r="Q410" s="146"/>
    </row>
    <row r="411" spans="1:17" ht="14.4" x14ac:dyDescent="0.3">
      <c r="A411" t="s">
        <v>4683</v>
      </c>
      <c r="B411" s="99" t="s">
        <v>6964</v>
      </c>
      <c r="C411" s="153">
        <f>SUM(C402:C408)</f>
        <v>356173.7397391983</v>
      </c>
      <c r="D411" s="158">
        <f>SUMPRODUCT(C402:C408,G402:G408)</f>
        <v>356173.7397391983</v>
      </c>
      <c r="Q411" s="146"/>
    </row>
    <row r="412" spans="1:17" ht="14.4" x14ac:dyDescent="0.3">
      <c r="A412" t="s">
        <v>4683</v>
      </c>
      <c r="B412" s="149" t="s">
        <v>6965</v>
      </c>
      <c r="C412" s="159">
        <f>SUM(N402:N408)</f>
        <v>28823.135132095718</v>
      </c>
      <c r="D412" s="159">
        <f>SUMPRODUCT(N402:N408,G402:G408)</f>
        <v>28823.135132095718</v>
      </c>
      <c r="E412" s="150"/>
      <c r="F412" s="150"/>
      <c r="G412" s="150"/>
      <c r="H412" s="150"/>
      <c r="I412" s="150"/>
      <c r="J412" s="150"/>
      <c r="K412" s="150"/>
      <c r="L412" s="150"/>
      <c r="M412" s="150"/>
      <c r="N412" s="150"/>
      <c r="O412" s="150"/>
      <c r="P412" s="150"/>
      <c r="Q412" s="151"/>
    </row>
    <row r="413" spans="1:17" ht="14.4" x14ac:dyDescent="0.3">
      <c r="B413" s="99"/>
      <c r="Q413" s="146"/>
    </row>
    <row r="414" spans="1:17" ht="43.2" x14ac:dyDescent="0.3">
      <c r="B414" s="160" t="s">
        <v>6966</v>
      </c>
      <c r="C414" s="152" t="s">
        <v>6967</v>
      </c>
      <c r="D414" s="152" t="s">
        <v>6968</v>
      </c>
      <c r="E414" s="152" t="s">
        <v>6969</v>
      </c>
      <c r="F414" s="152" t="s">
        <v>6970</v>
      </c>
      <c r="G414" s="152" t="s">
        <v>6971</v>
      </c>
      <c r="H414" s="152" t="s">
        <v>6972</v>
      </c>
      <c r="I414" s="152" t="s">
        <v>6973</v>
      </c>
      <c r="J414" s="152" t="s">
        <v>6974</v>
      </c>
      <c r="K414" s="152" t="s">
        <v>6975</v>
      </c>
      <c r="L414" s="152" t="s">
        <v>6976</v>
      </c>
      <c r="M414" s="152" t="s">
        <v>6977</v>
      </c>
      <c r="N414" s="152" t="s">
        <v>6978</v>
      </c>
      <c r="O414" s="152" t="s">
        <v>6979</v>
      </c>
      <c r="P414" s="152" t="s">
        <v>7219</v>
      </c>
      <c r="Q414" s="161" t="s">
        <v>7259</v>
      </c>
    </row>
    <row r="415" spans="1:17" ht="14.4" x14ac:dyDescent="0.3">
      <c r="B415" s="99" t="s">
        <v>4683</v>
      </c>
      <c r="C415" s="155">
        <f>VLOOKUP("OPEXInsuranceEverythingDefault",Econ.inputsTable!$E:$G,2,FALSE)</f>
        <v>5.0000000000000001E-3</v>
      </c>
      <c r="D415" s="155">
        <f>VLOOKUP("OPEXRepair and maintenanceBuildings and constructionDefault",Econ.inputsTable!$E:$G,2,FALSE)</f>
        <v>0.01</v>
      </c>
      <c r="N415" s="153"/>
      <c r="O415" s="153">
        <f>(SUM(C415:D415)*SUMPRODUCT(C402:C404,G402:G404)+SUM(E415,G415,I415,J415,L415,N415))</f>
        <v>5342.606096087974</v>
      </c>
      <c r="Q415" s="146"/>
    </row>
    <row r="416" spans="1:17" ht="14.4" x14ac:dyDescent="0.3">
      <c r="B416" s="99" t="s">
        <v>2681</v>
      </c>
      <c r="C416" s="155">
        <f>VLOOKUP("OPEXInsuranceEverythingDefault",Econ.inputsTable!$E:$G,2,FALSE)</f>
        <v>5.0000000000000001E-3</v>
      </c>
      <c r="D416" s="155">
        <f>VLOOKUP("OPEXRepair and maintenanceElectricity generation equipmentDefault",Econ.inputsTable!$E:$H,2,FALSE)</f>
        <v>0.06</v>
      </c>
      <c r="M416" s="166">
        <f>IF(E386="CHP",VLOOKUP("CHP operational laborm",Econ.Equations!$C:$E,2,FALSE)*E383+VLOOKUP("CHP operational laborb",Econ.Equations!$C:$E,2,FALSE),0)</f>
        <v>0</v>
      </c>
      <c r="N416" s="158">
        <f>M416*E396</f>
        <v>0</v>
      </c>
      <c r="O416" s="153">
        <f>(SUM(C416:D416)*(C405*G405)+SUM(E416,G416,I416,J416,L416,N416))+(P416*C405)+Q416</f>
        <v>0</v>
      </c>
      <c r="P416" s="155">
        <f>IF(E386="CHP",VLOOKUP("OPEXSystem operationsElectricity generation equipmentDefault",Econ.inputsTable!$E:$H,2,FALSE),0)</f>
        <v>0</v>
      </c>
      <c r="Q416" s="167">
        <f>IF(E386="CHP",(VLOOKUP("CHP energy inputsa",Econ.Equations!$C:$E,2,FALSE)*#REF!^VLOOKUP("CHP energy inputsb",Econ.Equations!$C:$E,2,FALSE)*E4816),0)</f>
        <v>0</v>
      </c>
    </row>
    <row r="417" spans="1:17" ht="14.4" x14ac:dyDescent="0.3">
      <c r="B417" s="99" t="s">
        <v>7217</v>
      </c>
      <c r="C417" s="155">
        <f>VLOOKUP("OPEXInsuranceEverythingDefault",Econ.inputsTable!$E:$G,2,FALSE)</f>
        <v>5.0000000000000001E-3</v>
      </c>
      <c r="D417" s="155"/>
      <c r="F417" s="153"/>
      <c r="M417" s="153"/>
      <c r="O417" s="153">
        <f>(SUM(C417:D417)*SUMPRODUCT(C406,G406)+SUM(E417,G417,I417,J417,L417,N417))</f>
        <v>0</v>
      </c>
      <c r="Q417" s="146"/>
    </row>
    <row r="418" spans="1:17" ht="14.4" x14ac:dyDescent="0.3">
      <c r="B418" s="99" t="s">
        <v>2690</v>
      </c>
      <c r="C418" s="236">
        <f>VLOOKUP("OPEXInsuranceEverythingDefault",Econ.inputsTable!$E:$G,2,FALSE)</f>
        <v>5.0000000000000001E-3</v>
      </c>
      <c r="D418" s="236">
        <f>VLOOKUP("OPEXRepair and maintenanceCNG equipmentDefault",Econ.inputsTable!$E:$H,2,FALSE)</f>
        <v>1.2999999999999999E-2</v>
      </c>
      <c r="G418" s="153">
        <f>IF(E388="CNG",(VLOOKUP("CNG energy inputsDefault",Econ.Tables!$C:$E,2,FALSE)*E384),0)</f>
        <v>0</v>
      </c>
      <c r="M418" s="166">
        <f>IF(E388="CNG",(VLOOKUP("CNG operational laborm",Econ.Equations!$C:$E,2,FALSE)*E384+VLOOKUP("CNG operational laborb",Econ.Equations!$C:$E,2,FALSE)),0)</f>
        <v>0</v>
      </c>
      <c r="N418" s="233">
        <f>M418*E398</f>
        <v>0</v>
      </c>
      <c r="O418" s="153">
        <f t="shared" ref="O418:O419" si="8">(SUM(C418:D418)*(C407*G407)+SUM(E418,G418,I418,J418,L418,N418))</f>
        <v>0</v>
      </c>
      <c r="Q418" s="146"/>
    </row>
    <row r="419" spans="1:17" ht="14.4" x14ac:dyDescent="0.3">
      <c r="B419" s="99" t="s">
        <v>2697</v>
      </c>
      <c r="C419" s="236">
        <f>VLOOKUP("OPEXInsuranceEverythingDefault",Econ.inputsTable!$E:$G,2,FALSE)</f>
        <v>5.0000000000000001E-3</v>
      </c>
      <c r="D419" s="236"/>
      <c r="G419" s="153"/>
      <c r="M419" s="153"/>
      <c r="O419" s="153">
        <f t="shared" si="8"/>
        <v>0</v>
      </c>
      <c r="Q419" s="146"/>
    </row>
    <row r="420" spans="1:17" ht="14.4" x14ac:dyDescent="0.3">
      <c r="A420" t="s">
        <v>4683</v>
      </c>
      <c r="B420" s="162" t="s">
        <v>5203</v>
      </c>
      <c r="C420" s="163"/>
      <c r="D420" s="505"/>
      <c r="E420" s="529">
        <f t="shared" ref="E420:Q420" si="9">SUM(E415:E417)</f>
        <v>0</v>
      </c>
      <c r="F420" s="163">
        <f t="shared" si="9"/>
        <v>0</v>
      </c>
      <c r="G420" s="529">
        <f t="shared" si="9"/>
        <v>0</v>
      </c>
      <c r="H420" s="163">
        <f t="shared" si="9"/>
        <v>0</v>
      </c>
      <c r="I420" s="529">
        <f t="shared" si="9"/>
        <v>0</v>
      </c>
      <c r="J420" s="529">
        <f t="shared" si="9"/>
        <v>0</v>
      </c>
      <c r="K420" s="163">
        <f t="shared" si="9"/>
        <v>0</v>
      </c>
      <c r="L420" s="529">
        <f t="shared" si="9"/>
        <v>0</v>
      </c>
      <c r="M420" s="168">
        <f t="shared" si="9"/>
        <v>0</v>
      </c>
      <c r="N420" s="529">
        <f t="shared" si="9"/>
        <v>0</v>
      </c>
      <c r="O420" s="529">
        <f t="shared" si="9"/>
        <v>5342.606096087974</v>
      </c>
      <c r="P420" s="550">
        <f t="shared" si="9"/>
        <v>0</v>
      </c>
      <c r="Q420" s="530">
        <f t="shared" si="9"/>
        <v>0</v>
      </c>
    </row>
    <row r="421" spans="1:17" ht="14.4" x14ac:dyDescent="0.3">
      <c r="B421" s="99"/>
      <c r="D421" s="155"/>
      <c r="E421" s="155"/>
      <c r="F421" s="158"/>
      <c r="G421" s="154"/>
      <c r="H421" s="156"/>
      <c r="I421" s="153"/>
      <c r="Q421" s="146"/>
    </row>
    <row r="422" spans="1:17" ht="14.4" x14ac:dyDescent="0.3">
      <c r="A422" t="s">
        <v>4683</v>
      </c>
      <c r="B422" s="149" t="s">
        <v>6980</v>
      </c>
      <c r="C422" s="159">
        <f>SUM(O415:O419)</f>
        <v>5342.606096087974</v>
      </c>
      <c r="D422" s="150"/>
      <c r="E422" s="150"/>
      <c r="F422" s="150"/>
      <c r="G422" s="150"/>
      <c r="H422" s="150"/>
      <c r="I422" s="150"/>
      <c r="J422" s="150"/>
      <c r="K422" s="150"/>
      <c r="L422" s="150"/>
      <c r="M422" s="150"/>
      <c r="N422" s="150"/>
      <c r="O422" s="150"/>
      <c r="P422" s="150"/>
      <c r="Q422" s="151"/>
    </row>
    <row r="423" spans="1:17" ht="14.4" x14ac:dyDescent="0.3">
      <c r="B423" s="262"/>
      <c r="C423" s="142"/>
      <c r="D423" s="142"/>
      <c r="E423" s="142"/>
      <c r="F423" s="142"/>
      <c r="G423" s="142"/>
      <c r="H423" s="142"/>
      <c r="I423" s="142"/>
      <c r="J423" s="142"/>
      <c r="K423" s="142"/>
      <c r="L423" s="142"/>
      <c r="M423" s="142"/>
      <c r="N423" s="142"/>
      <c r="O423" s="142"/>
      <c r="P423" s="142"/>
      <c r="Q423" s="141"/>
    </row>
    <row r="424" spans="1:17" ht="14.4" x14ac:dyDescent="0.3">
      <c r="B424" s="92" t="s">
        <v>7220</v>
      </c>
      <c r="C424" s="82" t="s">
        <v>4888</v>
      </c>
      <c r="Q424" s="146"/>
    </row>
    <row r="425" spans="1:17" ht="14.4" x14ac:dyDescent="0.3">
      <c r="A425" t="s">
        <v>4683</v>
      </c>
      <c r="B425" s="99" t="s">
        <v>7221</v>
      </c>
      <c r="C425" s="166"/>
      <c r="E425" s="34"/>
      <c r="Q425" s="146"/>
    </row>
    <row r="426" spans="1:17" ht="14.4" x14ac:dyDescent="0.3">
      <c r="A426" t="s">
        <v>4683</v>
      </c>
      <c r="B426" s="99" t="s">
        <v>7222</v>
      </c>
      <c r="C426" s="166"/>
      <c r="D426" t="s">
        <v>7223</v>
      </c>
      <c r="E426" s="34"/>
      <c r="P426" s="146"/>
    </row>
    <row r="427" spans="1:17" ht="14.4" x14ac:dyDescent="0.3">
      <c r="B427" s="99"/>
      <c r="Q427" s="146"/>
    </row>
    <row r="428" spans="1:17" ht="14.4" x14ac:dyDescent="0.3">
      <c r="B428" s="531" t="s">
        <v>7104</v>
      </c>
      <c r="C428" s="82" t="s">
        <v>5745</v>
      </c>
      <c r="Q428" s="146"/>
    </row>
    <row r="429" spans="1:17" ht="14.4" x14ac:dyDescent="0.3">
      <c r="A429" t="s">
        <v>4683</v>
      </c>
      <c r="B429" s="99" t="s">
        <v>7224</v>
      </c>
      <c r="C429" s="532"/>
      <c r="Q429" s="146"/>
    </row>
    <row r="430" spans="1:17" ht="14.4" x14ac:dyDescent="0.3">
      <c r="A430" t="s">
        <v>4683</v>
      </c>
      <c r="B430" s="99" t="s">
        <v>7225</v>
      </c>
      <c r="C430" s="532"/>
      <c r="P430" s="146"/>
    </row>
    <row r="431" spans="1:17" ht="14.4" x14ac:dyDescent="0.3">
      <c r="B431" s="99"/>
      <c r="C431" s="532"/>
      <c r="Q431" s="146"/>
    </row>
    <row r="432" spans="1:17" ht="14.4" x14ac:dyDescent="0.3">
      <c r="A432" t="s">
        <v>4683</v>
      </c>
      <c r="B432" s="99" t="s">
        <v>7107</v>
      </c>
      <c r="C432" s="532"/>
      <c r="Q432" s="146"/>
    </row>
    <row r="433" spans="1:17" ht="14.4" x14ac:dyDescent="0.3">
      <c r="B433" s="99"/>
      <c r="C433" s="532"/>
      <c r="Q433" s="146"/>
    </row>
    <row r="434" spans="1:17" ht="14.4" x14ac:dyDescent="0.3">
      <c r="B434" s="247" t="s">
        <v>7226</v>
      </c>
      <c r="C434" s="82"/>
      <c r="Q434" s="146"/>
    </row>
    <row r="435" spans="1:17" ht="14.4" x14ac:dyDescent="0.3">
      <c r="A435" t="s">
        <v>4683</v>
      </c>
      <c r="B435" s="99" t="s">
        <v>7227</v>
      </c>
      <c r="C435" s="532"/>
      <c r="Q435" s="146"/>
    </row>
    <row r="436" spans="1:17" ht="14.4" x14ac:dyDescent="0.3">
      <c r="A436" t="s">
        <v>4683</v>
      </c>
      <c r="B436" s="99" t="s">
        <v>7228</v>
      </c>
      <c r="C436" s="532"/>
    </row>
    <row r="437" spans="1:17" ht="14.4" x14ac:dyDescent="0.3">
      <c r="A437" t="s">
        <v>4683</v>
      </c>
      <c r="B437" s="99" t="s">
        <v>1313</v>
      </c>
      <c r="C437" s="532"/>
    </row>
    <row r="438" spans="1:17" ht="14.4" x14ac:dyDescent="0.3">
      <c r="A438" t="s">
        <v>4683</v>
      </c>
      <c r="B438" s="99" t="s">
        <v>7229</v>
      </c>
      <c r="C438" s="532">
        <f>UDV.econ_energy.carbon_credits*C390</f>
        <v>0</v>
      </c>
    </row>
    <row r="439" spans="1:17" ht="14.4" x14ac:dyDescent="0.3">
      <c r="A439" t="s">
        <v>4683</v>
      </c>
      <c r="B439" s="99" t="s">
        <v>7231</v>
      </c>
      <c r="C439" s="532">
        <f>UDV.econ_energy.carbon_credits*C391</f>
        <v>0</v>
      </c>
    </row>
    <row r="440" spans="1:17" ht="14.4" x14ac:dyDescent="0.3">
      <c r="B440" s="99"/>
      <c r="C440" s="532"/>
    </row>
    <row r="441" spans="1:17" ht="14.4" x14ac:dyDescent="0.3">
      <c r="A441" t="s">
        <v>4683</v>
      </c>
      <c r="B441" s="99" t="s">
        <v>7232</v>
      </c>
      <c r="C441" s="532">
        <f>SUM(C435:C438)</f>
        <v>0</v>
      </c>
    </row>
    <row r="442" spans="1:17" ht="14.4" x14ac:dyDescent="0.3">
      <c r="A442" t="s">
        <v>4683</v>
      </c>
      <c r="B442" s="149" t="s">
        <v>7234</v>
      </c>
      <c r="C442" s="534">
        <f>SUM(C435:C437,C439)</f>
        <v>0</v>
      </c>
      <c r="D442" s="150"/>
      <c r="E442" s="150"/>
      <c r="F442" s="150"/>
    </row>
    <row r="443" spans="1:17" ht="15" thickBot="1" x14ac:dyDescent="0.35">
      <c r="A443" s="137"/>
      <c r="B443" s="137"/>
      <c r="C443" s="137"/>
      <c r="D443" s="137"/>
      <c r="E443" s="137"/>
      <c r="F443" s="137"/>
      <c r="G443" s="137"/>
      <c r="H443" s="137"/>
      <c r="I443" s="137"/>
      <c r="J443" s="137"/>
      <c r="K443" s="137"/>
      <c r="L443" s="137"/>
      <c r="M443" s="137"/>
      <c r="N443" s="137"/>
      <c r="O443" s="137"/>
    </row>
    <row r="444" spans="1:17" ht="14.4" x14ac:dyDescent="0.3"/>
    <row r="445" spans="1:17" ht="15.6" x14ac:dyDescent="0.3">
      <c r="B445" s="138" t="s">
        <v>5210</v>
      </c>
      <c r="C445" s="34"/>
    </row>
    <row r="446" spans="1:17" ht="14.4" x14ac:dyDescent="0.3"/>
    <row r="447" spans="1:17" ht="14.4" x14ac:dyDescent="0.3">
      <c r="B447" s="139" t="s">
        <v>6942</v>
      </c>
      <c r="C447" s="140"/>
      <c r="D447" s="140"/>
      <c r="E447" s="139"/>
      <c r="F447" s="141"/>
    </row>
    <row r="448" spans="1:17" ht="14.4" x14ac:dyDescent="0.3">
      <c r="B448" s="143" t="s">
        <v>2663</v>
      </c>
      <c r="C448" s="144" t="s">
        <v>565</v>
      </c>
      <c r="D448" s="144" t="s">
        <v>6943</v>
      </c>
      <c r="E448" s="143" t="s">
        <v>565</v>
      </c>
      <c r="F448" s="145" t="s">
        <v>6944</v>
      </c>
    </row>
    <row r="449" spans="1:15" ht="14.4" x14ac:dyDescent="0.3">
      <c r="B449" s="99" t="s">
        <v>5437</v>
      </c>
      <c r="C449" s="147">
        <f>VLOOKUP(B449,$R:$U,3,FALSE)</f>
        <v>5103.5144459118055</v>
      </c>
      <c r="D449" s="146" t="s">
        <v>2478</v>
      </c>
      <c r="E449" s="148">
        <f>CONVERT(C449,"m^3","ft^3")</f>
        <v>180228.91176567791</v>
      </c>
      <c r="F449" s="146" t="s">
        <v>2479</v>
      </c>
    </row>
    <row r="450" spans="1:15" ht="14.4" x14ac:dyDescent="0.3">
      <c r="B450" s="149" t="s">
        <v>6343</v>
      </c>
      <c r="C450" s="295">
        <f>VLOOKUP(B450,$R:$U,3,FALSE)</f>
        <v>2520.2986018694792</v>
      </c>
      <c r="D450" s="151" t="s">
        <v>2268</v>
      </c>
      <c r="E450" s="359">
        <f>CONVERT(C450,"m^2","ft^2")</f>
        <v>27128.268373881834</v>
      </c>
      <c r="F450" s="151" t="s">
        <v>2267</v>
      </c>
    </row>
    <row r="452" spans="1:15" s="369" customFormat="1" ht="43.2" x14ac:dyDescent="0.3">
      <c r="B452" s="370" t="s">
        <v>6946</v>
      </c>
      <c r="C452" s="362" t="s">
        <v>6947</v>
      </c>
      <c r="D452" s="371" t="s">
        <v>6948</v>
      </c>
      <c r="E452" s="362" t="s">
        <v>6949</v>
      </c>
      <c r="F452" s="362" t="s">
        <v>6950</v>
      </c>
      <c r="G452" s="362" t="s">
        <v>6951</v>
      </c>
      <c r="H452" s="362" t="s">
        <v>6952</v>
      </c>
      <c r="I452" s="371" t="s">
        <v>6953</v>
      </c>
      <c r="J452" s="371" t="s">
        <v>6954</v>
      </c>
      <c r="K452" s="362" t="s">
        <v>6955</v>
      </c>
      <c r="L452" s="362" t="s">
        <v>6956</v>
      </c>
      <c r="M452" s="362" t="s">
        <v>6957</v>
      </c>
      <c r="N452" s="362" t="s">
        <v>6958</v>
      </c>
      <c r="O452" s="363" t="s">
        <v>6959</v>
      </c>
    </row>
    <row r="453" spans="1:15" ht="14.4" x14ac:dyDescent="0.3">
      <c r="A453" t="s">
        <v>7093</v>
      </c>
      <c r="B453" s="99" t="s">
        <v>7094</v>
      </c>
      <c r="C453" s="153">
        <f>VLOOKUP("Lagoon constructiona",Econ.Equations!C:E,2,FALSE)*E449^VLOOKUP("Lagoon constructionb",Econ.Equations!$C:$E,2,FALSE)*E449</f>
        <v>53572.865855653443</v>
      </c>
      <c r="D453">
        <f>VLOOKUP("CAPEXLifetimeBuildings and constructionDefault",Econ.inputsTable!$E:$I,2,FALSE)</f>
        <v>20</v>
      </c>
      <c r="E453" t="s">
        <v>2852</v>
      </c>
      <c r="F453" t="s">
        <v>2852</v>
      </c>
      <c r="G453" s="154">
        <f>VLOOKUP("CAPEXAnnual usage on activityItems that are used only on the given activityDefault",Econ.inputsTable!$E:$I,2,FALSE)</f>
        <v>1</v>
      </c>
      <c r="H453" s="503">
        <f>UDV.econ_capital.interest_rate</f>
        <v>5.0999999999999997E-2</v>
      </c>
      <c r="I453" s="155">
        <f>VLOOKUP("CAPEXSalvageBuildings and constructionDefault",Econ.inputsTable!$E:$J,2,FALSE)</f>
        <v>0</v>
      </c>
      <c r="J453" s="156">
        <f>C453*I453</f>
        <v>0</v>
      </c>
      <c r="K453" s="154">
        <f>VLOOKUP("CAPEXFinanced amountNADefault",Econ.inputsTable!$E:$G,2,FALSE)</f>
        <v>1</v>
      </c>
      <c r="L453" s="364">
        <f>H453*K453</f>
        <v>5.0999999999999997E-2</v>
      </c>
      <c r="M453" s="351">
        <f>L453/(1-(1+L453)^-D453)</f>
        <v>8.0924368970045152E-2</v>
      </c>
      <c r="N453" s="153">
        <f>((C453-J453)*M453)+(J453*L453)</f>
        <v>4335.3503632856327</v>
      </c>
      <c r="O453" s="372">
        <f>N453*G453</f>
        <v>4335.3503632856327</v>
      </c>
    </row>
    <row r="454" spans="1:15" ht="14.4" x14ac:dyDescent="0.3">
      <c r="A454" t="s">
        <v>7093</v>
      </c>
      <c r="B454" s="99" t="s">
        <v>7095</v>
      </c>
      <c r="C454" s="373">
        <f>UDV.econ_liner.lagoon_geomembrane*E450</f>
        <v>67820.670934704583</v>
      </c>
      <c r="D454">
        <f>VLOOKUP("CAPEXLifetimeBuildings and constructionDefault",Econ.inputsTable!$E:$I,2,FALSE)</f>
        <v>20</v>
      </c>
      <c r="E454" t="s">
        <v>2852</v>
      </c>
      <c r="F454" t="s">
        <v>2852</v>
      </c>
      <c r="G454" s="154">
        <f>VLOOKUP("CAPEXAnnual usage on activityItems that are used only on the given activityDefault",Econ.inputsTable!E:G,2,FALSE)</f>
        <v>1</v>
      </c>
      <c r="H454" s="503">
        <f>UDV.econ_capital.interest_rate</f>
        <v>5.0999999999999997E-2</v>
      </c>
      <c r="I454" s="155">
        <f>VLOOKUP("CAPEXSalvageBuildings and constructionDefault",Econ.inputsTable!$E:$J,2,FALSE)</f>
        <v>0</v>
      </c>
      <c r="J454" s="156">
        <f>C454*I454</f>
        <v>0</v>
      </c>
      <c r="K454" s="154">
        <f>VLOOKUP("CAPEXFinanced amountNADefault",Econ.inputsTable!$E:$G,2,FALSE)</f>
        <v>1</v>
      </c>
      <c r="L454" s="364">
        <f>H454*K454</f>
        <v>5.0999999999999997E-2</v>
      </c>
      <c r="M454" s="351">
        <f>L454/(1-(1+L454)^-D454)</f>
        <v>8.0924368970045152E-2</v>
      </c>
      <c r="N454" s="153">
        <f>((C454-J454)*M454)+(J454*L454)</f>
        <v>5488.3449985160505</v>
      </c>
      <c r="O454" s="372">
        <f>N454*G454</f>
        <v>5488.3449985160505</v>
      </c>
    </row>
    <row r="455" spans="1:15" ht="14.4" x14ac:dyDescent="0.3">
      <c r="B455" s="99"/>
      <c r="O455" s="146"/>
    </row>
    <row r="456" spans="1:15" ht="14.4" x14ac:dyDescent="0.3">
      <c r="B456" s="99"/>
      <c r="C456" s="82" t="s">
        <v>6962</v>
      </c>
      <c r="D456" s="82" t="s">
        <v>6963</v>
      </c>
      <c r="O456" s="146"/>
    </row>
    <row r="457" spans="1:15" ht="14.4" x14ac:dyDescent="0.3">
      <c r="A457" t="s">
        <v>5210</v>
      </c>
      <c r="B457" s="99" t="s">
        <v>6964</v>
      </c>
      <c r="C457" s="153">
        <f>SUM(C453:C454)</f>
        <v>121393.53679035802</v>
      </c>
      <c r="D457" s="158">
        <f>SUMPRODUCT(C453:C454,G453:G454)</f>
        <v>121393.53679035802</v>
      </c>
      <c r="O457" s="146"/>
    </row>
    <row r="458" spans="1:15" ht="14.4" x14ac:dyDescent="0.3">
      <c r="A458" t="s">
        <v>5210</v>
      </c>
      <c r="B458" s="149" t="s">
        <v>6965</v>
      </c>
      <c r="C458" s="159">
        <f>SUM(N453:N454)</f>
        <v>9823.6953618016832</v>
      </c>
      <c r="D458" s="159">
        <f>SUMPRODUCT(N453:N454,G453:G454)</f>
        <v>9823.6953618016832</v>
      </c>
      <c r="E458" s="150"/>
      <c r="F458" s="150"/>
      <c r="G458" s="150"/>
      <c r="H458" s="150"/>
      <c r="I458" s="150"/>
      <c r="J458" s="150"/>
      <c r="K458" s="150"/>
      <c r="L458" s="150"/>
      <c r="M458" s="150"/>
      <c r="N458" s="150"/>
      <c r="O458" s="151"/>
    </row>
    <row r="459" spans="1:15" ht="14.4" x14ac:dyDescent="0.3">
      <c r="B459" s="262"/>
      <c r="C459" s="142"/>
      <c r="D459" s="142"/>
      <c r="E459" s="142"/>
      <c r="F459" s="142"/>
      <c r="G459" s="142"/>
      <c r="H459" s="142"/>
      <c r="I459" s="142"/>
      <c r="J459" s="142"/>
      <c r="K459" s="142"/>
      <c r="L459" s="142"/>
      <c r="M459" s="142"/>
      <c r="N459" s="142"/>
      <c r="O459" s="141"/>
    </row>
    <row r="460" spans="1:15" ht="43.2" x14ac:dyDescent="0.3">
      <c r="B460" s="160" t="s">
        <v>6966</v>
      </c>
      <c r="C460" s="152" t="s">
        <v>6967</v>
      </c>
      <c r="D460" s="152" t="s">
        <v>6968</v>
      </c>
      <c r="E460" s="152" t="s">
        <v>6969</v>
      </c>
      <c r="F460" s="152" t="s">
        <v>6970</v>
      </c>
      <c r="G460" s="152" t="s">
        <v>6971</v>
      </c>
      <c r="H460" s="152" t="s">
        <v>6972</v>
      </c>
      <c r="I460" s="152" t="s">
        <v>6973</v>
      </c>
      <c r="J460" s="152" t="s">
        <v>6974</v>
      </c>
      <c r="K460" s="152" t="s">
        <v>6975</v>
      </c>
      <c r="L460" s="152" t="s">
        <v>6976</v>
      </c>
      <c r="M460" s="152" t="s">
        <v>6977</v>
      </c>
      <c r="N460" s="152" t="s">
        <v>6978</v>
      </c>
      <c r="O460" s="161" t="s">
        <v>6979</v>
      </c>
    </row>
    <row r="461" spans="1:15" ht="14.4" x14ac:dyDescent="0.3">
      <c r="B461" s="99" t="s">
        <v>5210</v>
      </c>
      <c r="C461" s="155">
        <f>VLOOKUP("OPEXInsuranceEverythingDefault",Econ.inputsTable!$E$1:$J$213,2,FALSE)</f>
        <v>5.0000000000000001E-3</v>
      </c>
      <c r="D461" s="155">
        <f>VLOOKUP("OPEXRepair and maintenanceBuildings and constructionDefault",Econ.inputsTable!$E$1:$J$503,2,FALSE)</f>
        <v>0.01</v>
      </c>
      <c r="O461" s="157">
        <f>(SUM(C461:D461)*SUMPRODUCT(C453:C454,G453:G454))+SUM(E461,G461,I461,J461,L461,N461)</f>
        <v>1820.9030518553702</v>
      </c>
    </row>
    <row r="462" spans="1:15" ht="14.4" x14ac:dyDescent="0.3">
      <c r="A462" t="s">
        <v>5210</v>
      </c>
      <c r="B462" s="162" t="s">
        <v>5203</v>
      </c>
      <c r="C462" s="241"/>
      <c r="D462" s="241"/>
      <c r="E462" s="367">
        <f t="shared" ref="E462:O462" si="10">SUM(E461)</f>
        <v>0</v>
      </c>
      <c r="F462" s="537">
        <f t="shared" si="10"/>
        <v>0</v>
      </c>
      <c r="G462" s="367">
        <f t="shared" si="10"/>
        <v>0</v>
      </c>
      <c r="H462" s="537">
        <f t="shared" si="10"/>
        <v>0</v>
      </c>
      <c r="I462" s="367">
        <f t="shared" si="10"/>
        <v>0</v>
      </c>
      <c r="J462" s="367">
        <f t="shared" si="10"/>
        <v>0</v>
      </c>
      <c r="K462" s="537">
        <f t="shared" si="10"/>
        <v>0</v>
      </c>
      <c r="L462" s="367">
        <f t="shared" si="10"/>
        <v>0</v>
      </c>
      <c r="M462" s="537">
        <f t="shared" si="10"/>
        <v>0</v>
      </c>
      <c r="N462" s="367">
        <f t="shared" si="10"/>
        <v>0</v>
      </c>
      <c r="O462" s="169">
        <f t="shared" si="10"/>
        <v>1820.9030518553702</v>
      </c>
    </row>
    <row r="463" spans="1:15" ht="14.4" x14ac:dyDescent="0.3">
      <c r="B463" s="99"/>
      <c r="C463" s="155"/>
      <c r="D463" s="155"/>
      <c r="E463" s="155"/>
      <c r="F463" s="158"/>
      <c r="G463" s="154"/>
      <c r="H463" s="156"/>
      <c r="I463" s="153"/>
      <c r="O463" s="146"/>
    </row>
    <row r="464" spans="1:15" ht="14.4" x14ac:dyDescent="0.3">
      <c r="A464" t="s">
        <v>5210</v>
      </c>
      <c r="B464" s="149" t="s">
        <v>6980</v>
      </c>
      <c r="C464" s="159">
        <f>SUM(O461)</f>
        <v>1820.9030518553702</v>
      </c>
      <c r="D464" s="150"/>
      <c r="E464" s="150"/>
      <c r="F464" s="150"/>
      <c r="G464" s="150"/>
      <c r="H464" s="150"/>
      <c r="I464" s="150"/>
      <c r="J464" s="150"/>
      <c r="K464" s="150"/>
      <c r="L464" s="150"/>
      <c r="M464" s="150"/>
      <c r="N464" s="150"/>
      <c r="O464" s="151"/>
    </row>
    <row r="465" spans="1:15" ht="15" thickBot="1" x14ac:dyDescent="0.35">
      <c r="A465" s="137"/>
      <c r="B465" s="137"/>
      <c r="C465" s="137"/>
      <c r="D465" s="137"/>
      <c r="E465" s="137"/>
      <c r="F465" s="137"/>
      <c r="G465" s="137"/>
      <c r="H465" s="137"/>
      <c r="I465" s="137"/>
      <c r="J465" s="137"/>
      <c r="K465" s="137"/>
      <c r="L465" s="137"/>
      <c r="M465" s="137"/>
      <c r="N465" s="137"/>
      <c r="O465" s="137"/>
    </row>
    <row r="466" spans="1:15" ht="14.4" x14ac:dyDescent="0.3"/>
    <row r="467" spans="1:15" ht="15.75" customHeight="1" x14ac:dyDescent="0.35">
      <c r="B467" s="138" t="s">
        <v>2760</v>
      </c>
      <c r="H467" s="355"/>
    </row>
    <row r="469" spans="1:15" ht="15.75" customHeight="1" x14ac:dyDescent="0.3">
      <c r="B469" s="139" t="s">
        <v>6942</v>
      </c>
      <c r="C469" s="140"/>
      <c r="D469" s="140"/>
      <c r="E469" s="139" t="s">
        <v>6988</v>
      </c>
      <c r="F469" s="141"/>
      <c r="H469" s="139" t="s">
        <v>7033</v>
      </c>
    </row>
    <row r="470" spans="1:15" ht="15.75" customHeight="1" x14ac:dyDescent="0.3">
      <c r="B470" s="143" t="s">
        <v>2663</v>
      </c>
      <c r="C470" s="144" t="s">
        <v>565</v>
      </c>
      <c r="D470" s="144" t="s">
        <v>6943</v>
      </c>
      <c r="E470" s="143" t="s">
        <v>565</v>
      </c>
      <c r="F470" s="145" t="s">
        <v>6944</v>
      </c>
      <c r="H470" s="99" t="s">
        <v>7096</v>
      </c>
    </row>
    <row r="471" spans="1:15" ht="14.4" x14ac:dyDescent="0.3">
      <c r="B471" s="99" t="s">
        <v>5831</v>
      </c>
      <c r="C471" s="205">
        <f t="shared" ref="C471:C476" si="11">VLOOKUP(B471,$R:$U,3,FALSE)</f>
        <v>3</v>
      </c>
      <c r="D471" t="s">
        <v>7097</v>
      </c>
      <c r="E471" s="99">
        <f>C471</f>
        <v>3</v>
      </c>
      <c r="F471" s="146" t="s">
        <v>7097</v>
      </c>
      <c r="H471" s="99" t="s">
        <v>1477</v>
      </c>
    </row>
    <row r="472" spans="1:15" ht="14.4" x14ac:dyDescent="0.3">
      <c r="B472" s="99" t="s">
        <v>5832</v>
      </c>
      <c r="C472" s="205">
        <f t="shared" si="11"/>
        <v>9.4633333333333329</v>
      </c>
      <c r="D472" t="s">
        <v>5792</v>
      </c>
      <c r="E472" s="164">
        <f>CONVERT(C472,"m^3","gal")</f>
        <v>2499.9481888159444</v>
      </c>
      <c r="F472" s="146" t="s">
        <v>7098</v>
      </c>
      <c r="H472" s="149" t="s">
        <v>7099</v>
      </c>
    </row>
    <row r="473" spans="1:15" ht="14.4" x14ac:dyDescent="0.3">
      <c r="B473" s="99" t="s">
        <v>5802</v>
      </c>
      <c r="C473" s="205">
        <f t="shared" si="11"/>
        <v>1</v>
      </c>
      <c r="D473" t="s">
        <v>2442</v>
      </c>
      <c r="E473" s="165">
        <f>C473</f>
        <v>1</v>
      </c>
      <c r="F473" s="146" t="s">
        <v>2442</v>
      </c>
    </row>
    <row r="474" spans="1:15" ht="14.4" x14ac:dyDescent="0.3">
      <c r="B474" s="99" t="s">
        <v>5797</v>
      </c>
      <c r="C474" s="205">
        <f t="shared" si="11"/>
        <v>4.9783549783549788</v>
      </c>
      <c r="D474" t="s">
        <v>971</v>
      </c>
      <c r="E474" s="178">
        <f>ROUNDUP(C474,0.1)</f>
        <v>5</v>
      </c>
      <c r="F474" s="146" t="s">
        <v>971</v>
      </c>
    </row>
    <row r="475" spans="1:15" ht="14.4" x14ac:dyDescent="0.3">
      <c r="B475" s="99" t="s">
        <v>5804</v>
      </c>
      <c r="C475" s="205">
        <f t="shared" si="11"/>
        <v>0.83331606180888895</v>
      </c>
      <c r="D475" t="s">
        <v>7075</v>
      </c>
      <c r="E475" s="164">
        <f>C475*365</f>
        <v>304.16036256024449</v>
      </c>
      <c r="F475" s="146" t="s">
        <v>2710</v>
      </c>
    </row>
    <row r="476" spans="1:15" ht="14.4" x14ac:dyDescent="0.3">
      <c r="B476" s="99" t="s">
        <v>5808</v>
      </c>
      <c r="C476" s="205">
        <f t="shared" si="11"/>
        <v>3.0935680987176215</v>
      </c>
      <c r="D476" t="s">
        <v>6704</v>
      </c>
      <c r="E476" s="164">
        <f>C476*365</f>
        <v>1129.152356031932</v>
      </c>
      <c r="F476" s="146" t="s">
        <v>5323</v>
      </c>
    </row>
    <row r="477" spans="1:15" ht="14.4" x14ac:dyDescent="0.3">
      <c r="B477" s="99"/>
      <c r="E477" s="99"/>
      <c r="F477" s="146"/>
    </row>
    <row r="478" spans="1:15" ht="15.75" customHeight="1" x14ac:dyDescent="0.3">
      <c r="B478" s="92" t="s">
        <v>6996</v>
      </c>
      <c r="E478" s="99"/>
      <c r="F478" s="146"/>
    </row>
    <row r="479" spans="1:15" ht="15.75" customHeight="1" x14ac:dyDescent="0.3">
      <c r="B479" s="143" t="s">
        <v>2663</v>
      </c>
      <c r="E479" s="143" t="s">
        <v>565</v>
      </c>
      <c r="F479" s="145" t="s">
        <v>6944</v>
      </c>
    </row>
    <row r="480" spans="1:15" ht="14.4" x14ac:dyDescent="0.3">
      <c r="B480" s="99" t="s">
        <v>7076</v>
      </c>
      <c r="E480" s="357">
        <f>UDV.electricity.avg_cost</f>
        <v>6.8591666666666662E-2</v>
      </c>
      <c r="F480" s="146" t="s">
        <v>2306</v>
      </c>
    </row>
    <row r="481" spans="1:15" ht="14.4" x14ac:dyDescent="0.3">
      <c r="B481" s="99" t="s">
        <v>7100</v>
      </c>
      <c r="E481" s="358">
        <f>UDV.water.avg_cost/1000</f>
        <v>3.858144828221536E-3</v>
      </c>
      <c r="F481" s="146" t="s">
        <v>2315</v>
      </c>
    </row>
    <row r="482" spans="1:15" ht="14.4" x14ac:dyDescent="0.3">
      <c r="B482" s="99" t="s">
        <v>5960</v>
      </c>
      <c r="C482" s="148"/>
      <c r="E482" s="164">
        <f>E471*E472*365</f>
        <v>2737443.2667534589</v>
      </c>
      <c r="F482" s="146" t="s">
        <v>5324</v>
      </c>
    </row>
    <row r="483" spans="1:15" ht="14.4" x14ac:dyDescent="0.3">
      <c r="B483" s="99" t="s">
        <v>5819</v>
      </c>
      <c r="C483" s="205">
        <f>VLOOKUP(B483,$R:$U,3,FALSE)</f>
        <v>600</v>
      </c>
      <c r="D483" t="s">
        <v>2340</v>
      </c>
      <c r="E483" s="2101"/>
      <c r="F483" s="2089"/>
    </row>
    <row r="484" spans="1:15" ht="14.4" x14ac:dyDescent="0.3">
      <c r="B484" s="99" t="s">
        <v>5820</v>
      </c>
      <c r="C484" s="205">
        <f>VLOOKUP(B484,$R:$U,3,FALSE)</f>
        <v>200</v>
      </c>
      <c r="D484" t="s">
        <v>2340</v>
      </c>
      <c r="E484" s="164"/>
      <c r="F484" s="146"/>
    </row>
    <row r="485" spans="1:15" ht="14.4" x14ac:dyDescent="0.3">
      <c r="B485" s="149" t="s">
        <v>7101</v>
      </c>
      <c r="C485" s="209"/>
      <c r="D485" s="150"/>
      <c r="E485" s="360">
        <f>SUM(C483:C484)</f>
        <v>800</v>
      </c>
      <c r="F485" s="151" t="s">
        <v>2340</v>
      </c>
    </row>
    <row r="487" spans="1:15" ht="15.75" customHeight="1" x14ac:dyDescent="0.3">
      <c r="B487" s="361" t="s">
        <v>6946</v>
      </c>
      <c r="C487" s="362" t="s">
        <v>6947</v>
      </c>
      <c r="D487" s="362" t="s">
        <v>6948</v>
      </c>
      <c r="E487" s="362" t="s">
        <v>6949</v>
      </c>
      <c r="F487" s="362" t="s">
        <v>6950</v>
      </c>
      <c r="G487" s="362" t="s">
        <v>6951</v>
      </c>
      <c r="H487" s="362" t="s">
        <v>6952</v>
      </c>
      <c r="I487" s="362" t="s">
        <v>6953</v>
      </c>
      <c r="J487" s="362" t="s">
        <v>6954</v>
      </c>
      <c r="K487" s="362" t="s">
        <v>6955</v>
      </c>
      <c r="L487" s="362" t="s">
        <v>6956</v>
      </c>
      <c r="M487" s="140" t="s">
        <v>6957</v>
      </c>
      <c r="N487" s="140" t="s">
        <v>6958</v>
      </c>
      <c r="O487" s="363" t="s">
        <v>6959</v>
      </c>
    </row>
    <row r="488" spans="1:15" ht="14.4" x14ac:dyDescent="0.3">
      <c r="B488" s="99" t="s">
        <v>7102</v>
      </c>
      <c r="C488" s="153">
        <f>VLOOKUP("Underground 12 in pipe for flushDefault",Econ.Tables!$C:$E,2,FALSE)*E485</f>
        <v>25600</v>
      </c>
      <c r="D488">
        <f>VLOOKUP("CAPEXLifetimeBuildings and constructionDefault",Econ.inputsTable!$E:$H,2,FALSE)</f>
        <v>20</v>
      </c>
      <c r="E488" t="s">
        <v>2852</v>
      </c>
      <c r="F488" t="s">
        <v>2852</v>
      </c>
      <c r="G488" s="154">
        <f>VLOOKUP("CAPEXAnnual usage on activityItems that are used only on the given activityDefault",Econ.inputsTable!$E:$I,2,FALSE)</f>
        <v>1</v>
      </c>
      <c r="H488" s="503">
        <f>UDV.econ_capital.interest_rate</f>
        <v>5.0999999999999997E-2</v>
      </c>
      <c r="I488" s="154">
        <f>VLOOKUP("CAPEXSalvageBuildings and constructionDefault",Econ.inputsTable!$E:$H,2,FALSE)</f>
        <v>0</v>
      </c>
      <c r="J488" s="153">
        <f>C488*I488</f>
        <v>0</v>
      </c>
      <c r="K488" s="154">
        <f>VLOOKUP("CAPEXFinanced amountNADefault",Econ.inputsTable!$E:$I,2,FALSE)</f>
        <v>1</v>
      </c>
      <c r="L488" s="364">
        <f>H488*K488</f>
        <v>5.0999999999999997E-2</v>
      </c>
      <c r="M488" s="351">
        <f>L488/(1-(1+L488)^-D488)</f>
        <v>8.0924368970045152E-2</v>
      </c>
      <c r="N488" s="153">
        <f>((C488-J488)*M488)+(J488*L488)</f>
        <v>2071.6638456331557</v>
      </c>
      <c r="O488" s="157">
        <f>G488*N488</f>
        <v>2071.6638456331557</v>
      </c>
    </row>
    <row r="489" spans="1:15" ht="14.4" x14ac:dyDescent="0.3">
      <c r="B489" s="99" t="s">
        <v>7103</v>
      </c>
      <c r="C489" s="153">
        <f>VLOOKUP("Pump, non-pto flushDefault",Econ.Tables!$C:$E,2,FALSE)*E473</f>
        <v>10800</v>
      </c>
      <c r="D489">
        <f>VLOOKUP("CAPEXLifetimePump, non-ptoDefault",Econ.inputsTable!$E:$I,2,FALSE)</f>
        <v>17</v>
      </c>
      <c r="E489" t="s">
        <v>2852</v>
      </c>
      <c r="F489" s="166">
        <f>E475*E473</f>
        <v>304.16036256024449</v>
      </c>
      <c r="G489" s="154">
        <f>VLOOKUP("CAPEXAnnual usage on activityItems that are used only on the given activityDefault",Econ.inputsTable!$E:$I,2,FALSE)</f>
        <v>1</v>
      </c>
      <c r="H489" s="503">
        <f>UDV.econ_capital.interest_rate</f>
        <v>5.0999999999999997E-2</v>
      </c>
      <c r="I489" s="154">
        <f>VLOOKUP("CAPEXSalvageEquipmentDefault",Econ.inputsTable!$E:$I,2,FALSE)</f>
        <v>0.2</v>
      </c>
      <c r="J489" s="153">
        <f>C489*I489</f>
        <v>2160</v>
      </c>
      <c r="K489" s="154">
        <f>VLOOKUP("CAPEXFinanced amountNADefault",Econ.inputsTable!$E:$I,2,FALSE)</f>
        <v>1</v>
      </c>
      <c r="L489" s="364">
        <f>H489*K489</f>
        <v>5.0999999999999997E-2</v>
      </c>
      <c r="M489" s="351">
        <f>L489/(1-(1+L489)^-D489)</f>
        <v>8.9362846108502439E-2</v>
      </c>
      <c r="N489" s="153">
        <f>((C489-J489)*M489)+(J489*L489)</f>
        <v>882.25499037746101</v>
      </c>
      <c r="O489" s="157">
        <f>G489*N489</f>
        <v>882.25499037746101</v>
      </c>
    </row>
    <row r="490" spans="1:15" ht="14.4" x14ac:dyDescent="0.3">
      <c r="B490" s="99" t="s">
        <v>7099</v>
      </c>
      <c r="C490" s="153">
        <f>VLOOKUP(_xlfn.CONCAT("Motor, ", E474, " hpDefault"), Econ.Tables!C:E, 2, FALSE)*E473</f>
        <v>850</v>
      </c>
      <c r="D490">
        <f>VLOOKUP("CAPEXLifetimeMotorDefault",Econ.inputsTable!$E:$I,2,FALSE)</f>
        <v>20</v>
      </c>
      <c r="E490" t="s">
        <v>2852</v>
      </c>
      <c r="F490" s="166">
        <f>E475*E473</f>
        <v>304.16036256024449</v>
      </c>
      <c r="G490" s="154">
        <f>VLOOKUP("CAPEXAnnual usage on activityItems that are used only on the given activityDefault",Econ.inputsTable!$E:$I,2,FALSE)</f>
        <v>1</v>
      </c>
      <c r="H490" s="503">
        <f>UDV.econ_capital.interest_rate</f>
        <v>5.0999999999999997E-2</v>
      </c>
      <c r="I490" s="154">
        <f>VLOOKUP("CAPEXSalvageEquipmentDefault",Econ.inputsTable!$E:$I,2,FALSE)</f>
        <v>0.2</v>
      </c>
      <c r="J490" s="153">
        <f>C490*I490</f>
        <v>170</v>
      </c>
      <c r="K490" s="154">
        <f>VLOOKUP("CAPEXFinanced amountNADefault",Econ.inputsTable!$E:$I,2,FALSE)</f>
        <v>1</v>
      </c>
      <c r="L490" s="364">
        <f>H490*K490</f>
        <v>5.0999999999999997E-2</v>
      </c>
      <c r="M490" s="351">
        <f>L490/(1-(1+L490)^-D490)</f>
        <v>8.0924368970045152E-2</v>
      </c>
      <c r="N490" s="153">
        <f>((C490-J490)*M490)+(J490*L490)</f>
        <v>63.698570899630703</v>
      </c>
      <c r="O490" s="157">
        <f>G490*N490</f>
        <v>63.698570899630703</v>
      </c>
    </row>
    <row r="491" spans="1:15" ht="14.4" x14ac:dyDescent="0.3">
      <c r="B491" s="99"/>
      <c r="C491" s="153"/>
      <c r="F491" s="166"/>
      <c r="G491" s="154"/>
      <c r="H491" s="503"/>
      <c r="I491" s="154"/>
      <c r="J491" s="153"/>
      <c r="K491" s="153"/>
      <c r="L491" s="154"/>
      <c r="M491" s="364"/>
      <c r="N491" s="351"/>
      <c r="O491" s="157"/>
    </row>
    <row r="492" spans="1:15" ht="15.75" customHeight="1" x14ac:dyDescent="0.3">
      <c r="B492" s="99"/>
      <c r="C492" s="82" t="s">
        <v>7009</v>
      </c>
      <c r="D492" s="82" t="s">
        <v>6963</v>
      </c>
      <c r="O492" s="146"/>
    </row>
    <row r="493" spans="1:15" ht="14.4" x14ac:dyDescent="0.3">
      <c r="A493" t="s">
        <v>5211</v>
      </c>
      <c r="B493" s="99" t="s">
        <v>6964</v>
      </c>
      <c r="C493" s="153">
        <f>SUM(C488:C490)</f>
        <v>37250</v>
      </c>
      <c r="D493" s="153">
        <f>SUMPRODUCT(C488:C490,G488:G490)</f>
        <v>37250</v>
      </c>
      <c r="O493" s="146"/>
    </row>
    <row r="494" spans="1:15" ht="14.4" x14ac:dyDescent="0.3">
      <c r="A494" t="s">
        <v>5211</v>
      </c>
      <c r="B494" s="149" t="s">
        <v>6965</v>
      </c>
      <c r="C494" s="159">
        <f>SUM(N488:N490)</f>
        <v>3017.6174069102476</v>
      </c>
      <c r="D494" s="159">
        <f>SUMPRODUCT(N488:N490,G488:G490)</f>
        <v>3017.6174069102476</v>
      </c>
      <c r="E494" s="150"/>
      <c r="F494" s="150"/>
      <c r="G494" s="150"/>
      <c r="H494" s="150"/>
      <c r="I494" s="150"/>
      <c r="J494" s="150"/>
      <c r="K494" s="150"/>
      <c r="L494" s="150"/>
      <c r="M494" s="150"/>
      <c r="N494" s="150"/>
      <c r="O494" s="151"/>
    </row>
    <row r="495" spans="1:15" ht="14.4" x14ac:dyDescent="0.3">
      <c r="B495" s="99"/>
      <c r="C495" s="153"/>
      <c r="D495" s="153"/>
      <c r="O495" s="146"/>
    </row>
    <row r="496" spans="1:15" ht="15.75" customHeight="1" x14ac:dyDescent="0.3">
      <c r="B496" s="160" t="s">
        <v>6966</v>
      </c>
      <c r="C496" s="152" t="s">
        <v>6967</v>
      </c>
      <c r="D496" s="152" t="s">
        <v>6968</v>
      </c>
      <c r="E496" s="152" t="s">
        <v>6969</v>
      </c>
      <c r="F496" s="152" t="s">
        <v>6970</v>
      </c>
      <c r="G496" s="152" t="s">
        <v>6971</v>
      </c>
      <c r="H496" s="152" t="s">
        <v>6972</v>
      </c>
      <c r="I496" s="152" t="s">
        <v>6973</v>
      </c>
      <c r="J496" s="152" t="s">
        <v>6974</v>
      </c>
      <c r="K496" s="152" t="s">
        <v>6975</v>
      </c>
      <c r="L496" s="152" t="s">
        <v>6976</v>
      </c>
      <c r="M496" s="152" t="s">
        <v>6977</v>
      </c>
      <c r="N496" s="152" t="s">
        <v>6978</v>
      </c>
      <c r="O496" s="161" t="s">
        <v>6979</v>
      </c>
    </row>
    <row r="497" spans="1:17" ht="14.4" x14ac:dyDescent="0.3">
      <c r="B497" s="99" t="s">
        <v>7102</v>
      </c>
      <c r="C497" s="155">
        <f>VLOOKUP("OPEXInsuranceEverythingDefault",Econ.inputsTable!$E:$I,2,FALSE)</f>
        <v>5.0000000000000001E-3</v>
      </c>
      <c r="D497" s="155">
        <f>VLOOKUP("OPEXRepair and maintenanceBuildings and constructionDefault",Econ.inputsTable!$E:$I,2,FALSE)</f>
        <v>0.01</v>
      </c>
      <c r="F497" s="504"/>
      <c r="G497" s="504"/>
      <c r="I497" s="504"/>
      <c r="J497" s="504"/>
      <c r="O497" s="167">
        <f>(SUM(C497:D497)*C488*G488)+SUM(E497,G497,I497,J497,L497,N497)</f>
        <v>384</v>
      </c>
    </row>
    <row r="498" spans="1:17" ht="14.4" x14ac:dyDescent="0.3">
      <c r="B498" s="99" t="s">
        <v>7103</v>
      </c>
      <c r="C498" s="155">
        <f>VLOOKUP("OPEXInsuranceEverythingDefault",Econ.inputsTable!$E:$I,2,FALSE)</f>
        <v>5.0000000000000001E-3</v>
      </c>
      <c r="D498" s="155">
        <f>VLOOKUP("OPEXRepair and maintenancePump, non-ptoDefault",Econ.inputsTable!$E:$I,2,FALSE)</f>
        <v>0.05</v>
      </c>
      <c r="F498" s="504"/>
      <c r="G498" s="504"/>
      <c r="I498" s="504"/>
      <c r="J498" s="504"/>
      <c r="O498" s="167">
        <f>(SUM(C498:D498)*C489*G489)+SUM(E498,G498,I498,J498,L498,N498)</f>
        <v>594</v>
      </c>
    </row>
    <row r="499" spans="1:17" ht="14.4" x14ac:dyDescent="0.3">
      <c r="B499" s="99" t="s">
        <v>7099</v>
      </c>
      <c r="C499" s="155">
        <f>VLOOKUP("OPEXInsuranceEverythingDefault",Econ.inputsTable!$E:$I,2,FALSE)</f>
        <v>5.0000000000000001E-3</v>
      </c>
      <c r="D499" s="155">
        <f>VLOOKUP("OPEXRepair and maintenanceEquipmentDefault",Econ.inputsTable!$E:$I,2,FALSE)</f>
        <v>0.03</v>
      </c>
      <c r="F499" s="166">
        <f>E476</f>
        <v>1129.152356031932</v>
      </c>
      <c r="G499" s="158">
        <f>F499*E480</f>
        <v>77.450442020823601</v>
      </c>
      <c r="I499" s="504"/>
      <c r="J499" s="504"/>
      <c r="O499" s="167">
        <f>(SUM(C499:D499)*C490*G490)+SUM(E499,G499,I499,J499,L499,N499)</f>
        <v>107.2004420208236</v>
      </c>
    </row>
    <row r="500" spans="1:17" ht="14.4" x14ac:dyDescent="0.3">
      <c r="A500" t="s">
        <v>5211</v>
      </c>
      <c r="B500" s="162" t="s">
        <v>5203</v>
      </c>
      <c r="C500" s="505"/>
      <c r="D500" s="505"/>
      <c r="E500" s="367">
        <f t="shared" ref="E500:O500" si="12">SUM(E497:E499)</f>
        <v>0</v>
      </c>
      <c r="F500" s="168">
        <f t="shared" si="12"/>
        <v>1129.152356031932</v>
      </c>
      <c r="G500" s="367">
        <f t="shared" si="12"/>
        <v>77.450442020823601</v>
      </c>
      <c r="H500" s="163">
        <f t="shared" si="12"/>
        <v>0</v>
      </c>
      <c r="I500" s="367">
        <f t="shared" si="12"/>
        <v>0</v>
      </c>
      <c r="J500" s="367">
        <f t="shared" si="12"/>
        <v>0</v>
      </c>
      <c r="K500" s="163">
        <f t="shared" si="12"/>
        <v>0</v>
      </c>
      <c r="L500" s="367">
        <f t="shared" si="12"/>
        <v>0</v>
      </c>
      <c r="M500" s="163">
        <f t="shared" si="12"/>
        <v>0</v>
      </c>
      <c r="N500" s="367">
        <f t="shared" si="12"/>
        <v>0</v>
      </c>
      <c r="O500" s="169">
        <f t="shared" si="12"/>
        <v>1085.2004420208236</v>
      </c>
    </row>
    <row r="502" spans="1:17" ht="14.4" x14ac:dyDescent="0.3">
      <c r="A502" t="s">
        <v>5211</v>
      </c>
      <c r="B502" s="149" t="s">
        <v>6980</v>
      </c>
      <c r="C502" s="159">
        <f>SUM(O497:O499)</f>
        <v>1085.2004420208236</v>
      </c>
      <c r="D502" s="150"/>
      <c r="E502" s="150"/>
      <c r="F502" s="150"/>
      <c r="G502" s="150"/>
      <c r="H502" s="150"/>
      <c r="I502" s="150"/>
      <c r="J502" s="150"/>
      <c r="K502" s="150"/>
      <c r="L502" s="150"/>
      <c r="M502" s="150"/>
      <c r="N502" s="150"/>
      <c r="O502" s="151"/>
    </row>
    <row r="503" spans="1:17" ht="14.4" x14ac:dyDescent="0.3">
      <c r="B503" s="99"/>
      <c r="C503" s="153"/>
      <c r="O503" s="146"/>
    </row>
    <row r="504" spans="1:17" ht="15.75" customHeight="1" x14ac:dyDescent="0.3">
      <c r="B504" s="368" t="s">
        <v>7104</v>
      </c>
      <c r="C504" s="82" t="s">
        <v>7105</v>
      </c>
      <c r="O504" s="146"/>
    </row>
    <row r="505" spans="1:17" ht="14.4" x14ac:dyDescent="0.3">
      <c r="B505" s="99" t="s">
        <v>7106</v>
      </c>
      <c r="C505" s="153">
        <f>E482*E481</f>
        <v>10561.452582174725</v>
      </c>
      <c r="O505" s="146"/>
    </row>
    <row r="506" spans="1:17" ht="14.4" x14ac:dyDescent="0.3">
      <c r="B506" s="99"/>
      <c r="O506" s="146"/>
    </row>
    <row r="507" spans="1:17" ht="14.4" x14ac:dyDescent="0.3">
      <c r="A507" t="s">
        <v>5211</v>
      </c>
      <c r="B507" s="149" t="s">
        <v>7107</v>
      </c>
      <c r="C507" s="159">
        <f>SUM(C505)</f>
        <v>10561.452582174725</v>
      </c>
      <c r="D507" s="150"/>
      <c r="E507" s="150"/>
      <c r="F507" s="150"/>
      <c r="G507" s="150"/>
      <c r="H507" s="150"/>
      <c r="I507" s="150"/>
      <c r="J507" s="150"/>
      <c r="K507" s="150"/>
      <c r="L507" s="150"/>
      <c r="M507" s="150"/>
      <c r="N507" s="150"/>
      <c r="O507" s="151"/>
    </row>
    <row r="508" spans="1:17" ht="15" thickBot="1" x14ac:dyDescent="0.35">
      <c r="A508" s="137"/>
      <c r="B508" s="137"/>
      <c r="C508" s="137"/>
      <c r="D508" s="137"/>
      <c r="E508" s="137"/>
      <c r="F508" s="137"/>
      <c r="G508" s="137"/>
      <c r="H508" s="137"/>
      <c r="I508" s="137"/>
      <c r="J508" s="137"/>
      <c r="K508" s="137"/>
      <c r="L508" s="137"/>
      <c r="M508" s="137"/>
      <c r="N508" s="137"/>
      <c r="O508" s="137"/>
      <c r="P508" s="137"/>
      <c r="Q508" s="137"/>
    </row>
    <row r="509" spans="1:17" ht="14.4" x14ac:dyDescent="0.3"/>
    <row r="510" spans="1:17" ht="15.75" customHeight="1" x14ac:dyDescent="0.3">
      <c r="B510" s="82" t="s">
        <v>7235</v>
      </c>
      <c r="C510" s="170" t="s">
        <v>7260</v>
      </c>
    </row>
    <row r="511" spans="1:17" ht="15.75" customHeight="1" x14ac:dyDescent="0.3">
      <c r="B511" s="138"/>
    </row>
    <row r="512" spans="1:17" ht="15.75" customHeight="1" x14ac:dyDescent="0.3">
      <c r="B512" s="139" t="s">
        <v>6983</v>
      </c>
      <c r="C512" s="140" t="s">
        <v>565</v>
      </c>
      <c r="D512" s="140" t="s">
        <v>38</v>
      </c>
      <c r="E512" s="142"/>
      <c r="F512" s="141"/>
    </row>
    <row r="513" spans="2:6" ht="15.75" customHeight="1" x14ac:dyDescent="0.3">
      <c r="B513" s="99" t="s">
        <v>6984</v>
      </c>
      <c r="C513">
        <f>UDV.crops.acres_available</f>
        <v>100</v>
      </c>
      <c r="D513" t="s">
        <v>5385</v>
      </c>
      <c r="E513" s="34"/>
      <c r="F513" s="146"/>
    </row>
    <row r="514" spans="2:6" ht="15.75" customHeight="1" x14ac:dyDescent="0.3">
      <c r="B514" s="99" t="s">
        <v>7109</v>
      </c>
      <c r="C514" s="166">
        <f>UDV.econ_manure.liquid_sell_pct*VLOOKUP("Excess volume, lagoon liquid manure",$R$1:$T$332, 3, FALSE)</f>
        <v>0</v>
      </c>
      <c r="D514" t="s">
        <v>5246</v>
      </c>
      <c r="F514" s="146"/>
    </row>
    <row r="515" spans="2:6" ht="15.75" customHeight="1" x14ac:dyDescent="0.3">
      <c r="B515" s="99" t="s">
        <v>7110</v>
      </c>
      <c r="C515" s="166">
        <f>UDV.econ_manure.liquid_give_pct*VLOOKUP("Excess volume, lagoon liquid manure",$R$1:$T$332, 3, FALSE)</f>
        <v>0</v>
      </c>
      <c r="D515" t="s">
        <v>5246</v>
      </c>
      <c r="F515" s="146"/>
    </row>
    <row r="516" spans="2:6" ht="15.75" customHeight="1" x14ac:dyDescent="0.3">
      <c r="B516" s="99" t="s">
        <v>7111</v>
      </c>
      <c r="C516" s="166">
        <f>UDV.econ_manure.liquid_export_pct*VLOOKUP("Excess volume, lagoon liquid manure",$R$1:$T$332, 3, FALSE)</f>
        <v>0</v>
      </c>
      <c r="D516" t="s">
        <v>5246</v>
      </c>
      <c r="F516" s="146"/>
    </row>
    <row r="517" spans="2:6" ht="15.75" customHeight="1" x14ac:dyDescent="0.3">
      <c r="B517" s="99" t="s">
        <v>7112</v>
      </c>
      <c r="C517" s="166">
        <f>UDV.econ_manure.sludge_sell_pct*VLOOKUP("Excess volume, lagoon sludge manure",$R$1:$T$332, 3, FALSE)</f>
        <v>0</v>
      </c>
      <c r="D517" t="s">
        <v>5246</v>
      </c>
      <c r="F517" s="146"/>
    </row>
    <row r="518" spans="2:6" ht="15.75" customHeight="1" x14ac:dyDescent="0.3">
      <c r="B518" s="99" t="s">
        <v>7113</v>
      </c>
      <c r="C518" s="166">
        <f>UDV.econ_manure.sludge_give_pct*VLOOKUP("Excess volume, lagoon sludge manure",$R$1:$T$332, 3, FALSE)</f>
        <v>0</v>
      </c>
      <c r="D518" t="s">
        <v>5246</v>
      </c>
      <c r="F518" s="146"/>
    </row>
    <row r="519" spans="2:6" ht="15.75" customHeight="1" x14ac:dyDescent="0.3">
      <c r="B519" s="99" t="s">
        <v>7114</v>
      </c>
      <c r="C519" s="166">
        <f>UDV.econ_manure.sludge_export_pct*VLOOKUP("Excess volume, lagoon sludge manure",$R$1:$T$332, 3, FALSE)</f>
        <v>0</v>
      </c>
      <c r="D519" t="s">
        <v>5246</v>
      </c>
      <c r="F519" s="146"/>
    </row>
    <row r="520" spans="2:6" ht="14.4" x14ac:dyDescent="0.3">
      <c r="B520" s="99"/>
      <c r="F520" s="151"/>
    </row>
    <row r="521" spans="2:6" ht="15.75" customHeight="1" x14ac:dyDescent="0.3">
      <c r="B521" s="92" t="s">
        <v>6942</v>
      </c>
      <c r="E521" s="139" t="s">
        <v>6988</v>
      </c>
      <c r="F521" s="141"/>
    </row>
    <row r="522" spans="2:6" ht="15.75" customHeight="1" x14ac:dyDescent="0.3">
      <c r="B522" s="175" t="s">
        <v>2908</v>
      </c>
      <c r="E522" s="99"/>
      <c r="F522" s="146"/>
    </row>
    <row r="523" spans="2:6" ht="15.75" customHeight="1" x14ac:dyDescent="0.3">
      <c r="B523" s="143" t="s">
        <v>2663</v>
      </c>
      <c r="C523" s="144" t="s">
        <v>565</v>
      </c>
      <c r="D523" s="144" t="s">
        <v>6943</v>
      </c>
      <c r="E523" s="143" t="s">
        <v>565</v>
      </c>
      <c r="F523" s="145" t="s">
        <v>6944</v>
      </c>
    </row>
    <row r="524" spans="2:6" ht="14.4" x14ac:dyDescent="0.3">
      <c r="B524" s="99" t="s">
        <v>5676</v>
      </c>
      <c r="C524" s="147">
        <f>VLOOKUP(B524,$R:$U,3,FALSE)</f>
        <v>160</v>
      </c>
      <c r="D524" t="s">
        <v>5689</v>
      </c>
      <c r="E524" s="99">
        <f>C524</f>
        <v>160</v>
      </c>
      <c r="F524" s="146" t="s">
        <v>5689</v>
      </c>
    </row>
    <row r="525" spans="2:6" ht="14.4" x14ac:dyDescent="0.3">
      <c r="B525" s="99" t="s">
        <v>6989</v>
      </c>
      <c r="C525" s="147"/>
      <c r="D525" t="s">
        <v>2442</v>
      </c>
      <c r="E525" s="99">
        <f>E526</f>
        <v>1</v>
      </c>
      <c r="F525" s="146" t="s">
        <v>2442</v>
      </c>
    </row>
    <row r="526" spans="2:6" ht="14.4" x14ac:dyDescent="0.3">
      <c r="B526" s="222" t="s">
        <v>5735</v>
      </c>
      <c r="C526" s="147">
        <f>VLOOKUP(B526,$R:$U,3,FALSE)</f>
        <v>1</v>
      </c>
      <c r="D526" t="s">
        <v>2442</v>
      </c>
      <c r="E526" s="178">
        <f>C526</f>
        <v>1</v>
      </c>
      <c r="F526" s="146" t="s">
        <v>2442</v>
      </c>
    </row>
    <row r="527" spans="2:6" ht="15.75" customHeight="1" x14ac:dyDescent="0.3">
      <c r="B527" s="99" t="s">
        <v>5663</v>
      </c>
      <c r="C527" s="147">
        <f>VLOOKUP(B527,$R:$U,3,FALSE)</f>
        <v>180</v>
      </c>
      <c r="D527" t="s">
        <v>5689</v>
      </c>
      <c r="E527" s="99">
        <f>C527</f>
        <v>180</v>
      </c>
      <c r="F527" s="146" t="s">
        <v>5689</v>
      </c>
    </row>
    <row r="528" spans="2:6" ht="14.4" x14ac:dyDescent="0.3">
      <c r="B528" s="99" t="s">
        <v>6990</v>
      </c>
      <c r="C528" s="297"/>
      <c r="D528" t="s">
        <v>2442</v>
      </c>
      <c r="E528" s="99">
        <f>E529</f>
        <v>1</v>
      </c>
      <c r="F528" s="146" t="s">
        <v>2442</v>
      </c>
    </row>
    <row r="529" spans="2:10" ht="14.4" x14ac:dyDescent="0.3">
      <c r="B529" s="222" t="s">
        <v>5736</v>
      </c>
      <c r="C529" s="147">
        <f>VLOOKUP(B529,$R:$U,3,FALSE)</f>
        <v>1</v>
      </c>
      <c r="D529" t="s">
        <v>2442</v>
      </c>
      <c r="E529" s="178">
        <f>C529</f>
        <v>1</v>
      </c>
      <c r="F529" s="146" t="s">
        <v>2442</v>
      </c>
    </row>
    <row r="530" spans="2:10" ht="14.4" x14ac:dyDescent="0.3">
      <c r="B530" s="99" t="s">
        <v>5638</v>
      </c>
      <c r="C530" s="147">
        <f>VLOOKUP(B530,$R:$U,3,FALSE)</f>
        <v>250</v>
      </c>
      <c r="D530" t="s">
        <v>5689</v>
      </c>
      <c r="E530" s="99">
        <f>C530</f>
        <v>250</v>
      </c>
      <c r="F530" s="146" t="s">
        <v>5689</v>
      </c>
    </row>
    <row r="531" spans="2:10" ht="14.4" x14ac:dyDescent="0.3">
      <c r="B531" s="99" t="s">
        <v>5637</v>
      </c>
      <c r="C531" s="147">
        <f>VLOOKUP(B531,$R:$U,3,FALSE)</f>
        <v>6000</v>
      </c>
      <c r="D531" t="s">
        <v>2480</v>
      </c>
      <c r="E531" s="99">
        <f>C531</f>
        <v>6000</v>
      </c>
      <c r="F531" s="146" t="s">
        <v>2480</v>
      </c>
    </row>
    <row r="532" spans="2:10" ht="14.4" x14ac:dyDescent="0.3">
      <c r="B532" s="99" t="s">
        <v>6991</v>
      </c>
      <c r="C532" s="147"/>
      <c r="D532" s="146" t="s">
        <v>2442</v>
      </c>
      <c r="E532">
        <f>E533</f>
        <v>1</v>
      </c>
      <c r="F532" s="146" t="s">
        <v>2442</v>
      </c>
    </row>
    <row r="533" spans="2:10" ht="14.4" x14ac:dyDescent="0.3">
      <c r="B533" s="222" t="s">
        <v>5734</v>
      </c>
      <c r="C533" s="147">
        <f>VLOOKUP(B533,$R:$U,3,FALSE)</f>
        <v>1</v>
      </c>
      <c r="D533" t="s">
        <v>2442</v>
      </c>
      <c r="E533" s="178">
        <f>C533</f>
        <v>1</v>
      </c>
      <c r="F533" s="146" t="s">
        <v>2442</v>
      </c>
    </row>
    <row r="534" spans="2:10" ht="14.4" x14ac:dyDescent="0.3">
      <c r="B534" s="99" t="s">
        <v>5732</v>
      </c>
      <c r="C534" s="147" t="str">
        <f>VLOOKUP(B534,$R:$U,3,FALSE)</f>
        <v>Injection</v>
      </c>
      <c r="D534" t="s">
        <v>6992</v>
      </c>
      <c r="E534" s="99" t="str">
        <f>C534</f>
        <v>Injection</v>
      </c>
      <c r="F534" s="146" t="s">
        <v>6992</v>
      </c>
    </row>
    <row r="535" spans="2:10" ht="14.4" x14ac:dyDescent="0.3">
      <c r="B535" s="99"/>
      <c r="C535" s="147"/>
      <c r="E535" s="99"/>
      <c r="F535" s="146"/>
    </row>
    <row r="536" spans="2:10" ht="14.4" x14ac:dyDescent="0.3">
      <c r="B536" s="175" t="s">
        <v>7115</v>
      </c>
      <c r="C536" s="147"/>
      <c r="E536" s="99"/>
      <c r="F536" s="146"/>
    </row>
    <row r="537" spans="2:10" ht="14.4" x14ac:dyDescent="0.3">
      <c r="B537" s="143" t="s">
        <v>2663</v>
      </c>
      <c r="C537" s="147"/>
      <c r="E537" s="99"/>
      <c r="F537" s="146"/>
    </row>
    <row r="538" spans="2:10" ht="14.4" x14ac:dyDescent="0.3">
      <c r="B538" s="99" t="s">
        <v>6407</v>
      </c>
      <c r="C538" s="147">
        <f>VLOOKUP(B538,$R:$U,3,FALSE)</f>
        <v>23.05560022574312</v>
      </c>
      <c r="D538" t="s">
        <v>5385</v>
      </c>
      <c r="E538" s="178">
        <f>C538</f>
        <v>23.05560022574312</v>
      </c>
      <c r="F538" s="146" t="s">
        <v>5385</v>
      </c>
    </row>
    <row r="539" spans="2:10" ht="14.4" x14ac:dyDescent="0.3">
      <c r="B539" s="99" t="s">
        <v>6409</v>
      </c>
      <c r="C539" s="147">
        <f>VLOOKUP(B539,$R:$U,3,FALSE)</f>
        <v>931.22205127489565</v>
      </c>
      <c r="D539" t="s">
        <v>5323</v>
      </c>
      <c r="E539" s="178">
        <f>C539</f>
        <v>931.22205127489565</v>
      </c>
      <c r="F539" s="146" t="s">
        <v>5323</v>
      </c>
    </row>
    <row r="540" spans="2:10" ht="14.4" x14ac:dyDescent="0.3">
      <c r="B540" s="99" t="s">
        <v>6390</v>
      </c>
      <c r="C540" s="205">
        <f>VLOOKUP(B540,$R:$U, 3, FALSE)</f>
        <v>6.9166800677229361</v>
      </c>
      <c r="D540" t="s">
        <v>2472</v>
      </c>
      <c r="E540" s="178">
        <f>C540</f>
        <v>6.9166800677229361</v>
      </c>
      <c r="F540" s="146" t="s">
        <v>2710</v>
      </c>
    </row>
    <row r="541" spans="2:10" ht="14.4" x14ac:dyDescent="0.3">
      <c r="B541" s="99"/>
      <c r="E541" s="99"/>
      <c r="F541" s="146"/>
    </row>
    <row r="542" spans="2:10" ht="15.75" customHeight="1" x14ac:dyDescent="0.3">
      <c r="B542" s="175" t="s">
        <v>7237</v>
      </c>
      <c r="E542" s="99"/>
      <c r="F542" s="146"/>
    </row>
    <row r="543" spans="2:10" ht="15.75" customHeight="1" x14ac:dyDescent="0.3">
      <c r="B543" s="143" t="s">
        <v>2663</v>
      </c>
      <c r="C543" s="144" t="s">
        <v>565</v>
      </c>
      <c r="D543" s="144" t="s">
        <v>6943</v>
      </c>
      <c r="E543" s="143" t="s">
        <v>565</v>
      </c>
      <c r="F543" s="145" t="s">
        <v>6944</v>
      </c>
      <c r="G543" s="1222" t="s">
        <v>6392</v>
      </c>
      <c r="H543" s="1215" t="s">
        <v>6993</v>
      </c>
      <c r="I543" s="142"/>
      <c r="J543" s="141"/>
    </row>
    <row r="544" spans="2:10" ht="14.4" x14ac:dyDescent="0.3">
      <c r="B544" s="99" t="s">
        <v>6401</v>
      </c>
      <c r="C544" s="147">
        <f t="shared" ref="C544:C554" si="13">VLOOKUP(B544,$R:$U,3,FALSE)</f>
        <v>182.5</v>
      </c>
      <c r="D544" t="s">
        <v>5121</v>
      </c>
      <c r="E544" s="201">
        <f>UC.year_to_day/C544</f>
        <v>2</v>
      </c>
      <c r="F544" s="146" t="s">
        <v>6994</v>
      </c>
      <c r="G544" s="42" t="s">
        <v>7117</v>
      </c>
      <c r="H544" s="92" t="s">
        <v>4838</v>
      </c>
      <c r="I544" s="1216" t="s">
        <v>2710</v>
      </c>
      <c r="J544" s="285">
        <f>(SUM(E545:E546)*UDV.OPEX_labor.tractor_stationary)+(E547*UDV.OPEX_labor.tractor_active)+E540</f>
        <v>11.840704244956441</v>
      </c>
    </row>
    <row r="545" spans="1:10" ht="15.75" customHeight="1" x14ac:dyDescent="0.3">
      <c r="B545" s="99" t="s">
        <v>5679</v>
      </c>
      <c r="C545" s="147">
        <f t="shared" si="13"/>
        <v>2.4857098407711891</v>
      </c>
      <c r="D545" t="s">
        <v>6085</v>
      </c>
      <c r="E545" s="178">
        <f>C545*E544</f>
        <v>4.9714196815423781</v>
      </c>
      <c r="F545" s="146" t="s">
        <v>2710</v>
      </c>
      <c r="G545" s="42" t="s">
        <v>7118</v>
      </c>
      <c r="H545" s="1217" t="s">
        <v>5444</v>
      </c>
      <c r="I545" s="1216" t="s">
        <v>6085</v>
      </c>
      <c r="J545" s="285">
        <f>(SUM(E559:E560)*UDV.OPEX_labor.tractor_stationary)+(E561*UDV.OPEX_labor.tractor_active)</f>
        <v>48.487204023936926</v>
      </c>
    </row>
    <row r="546" spans="1:10" ht="15.75" customHeight="1" x14ac:dyDescent="0.3">
      <c r="B546" s="99" t="s">
        <v>5667</v>
      </c>
      <c r="C546" s="147">
        <f t="shared" si="13"/>
        <v>0.26016444660987137</v>
      </c>
      <c r="D546" t="s">
        <v>6085</v>
      </c>
      <c r="E546" s="178">
        <f>C546*E544</f>
        <v>0.52032889321974274</v>
      </c>
      <c r="F546" s="146" t="s">
        <v>2710</v>
      </c>
      <c r="G546" s="42" t="s">
        <v>7119</v>
      </c>
      <c r="H546" s="1218" t="s">
        <v>5445</v>
      </c>
      <c r="I546" s="1216" t="s">
        <v>6995</v>
      </c>
      <c r="J546" s="285">
        <f>SUM(J544:J545)</f>
        <v>60.327908268893367</v>
      </c>
    </row>
    <row r="547" spans="1:10" ht="15.75" customHeight="1" x14ac:dyDescent="0.3">
      <c r="B547" s="99" t="s">
        <v>5654</v>
      </c>
      <c r="C547" s="147">
        <f t="shared" si="13"/>
        <v>1.9885678726169513</v>
      </c>
      <c r="D547" t="s">
        <v>6085</v>
      </c>
      <c r="E547" s="178">
        <f>C547*E544</f>
        <v>3.9771357452339027</v>
      </c>
      <c r="F547" s="146" t="s">
        <v>2710</v>
      </c>
      <c r="G547" s="42" t="s">
        <v>7120</v>
      </c>
      <c r="H547" s="1219" t="s">
        <v>5446</v>
      </c>
      <c r="I547" s="1220" t="s">
        <v>5447</v>
      </c>
      <c r="J547" s="1221">
        <f>J544+(J545/UDV.anaer_lagoon.sludge_time)</f>
        <v>16.689424647350133</v>
      </c>
    </row>
    <row r="548" spans="1:10" ht="14.4" x14ac:dyDescent="0.3">
      <c r="B548" s="99" t="s">
        <v>5682</v>
      </c>
      <c r="C548" s="147">
        <f t="shared" si="13"/>
        <v>17.499397279029168</v>
      </c>
      <c r="D548" t="s">
        <v>2489</v>
      </c>
      <c r="E548" s="178">
        <f>C548*E544</f>
        <v>34.998794558058336</v>
      </c>
      <c r="F548" s="146" t="s">
        <v>5324</v>
      </c>
    </row>
    <row r="549" spans="1:10" ht="14.4" x14ac:dyDescent="0.3">
      <c r="B549" s="99" t="s">
        <v>5672</v>
      </c>
      <c r="C549" s="147">
        <f t="shared" si="13"/>
        <v>2.0605024171501811</v>
      </c>
      <c r="D549" t="s">
        <v>2489</v>
      </c>
      <c r="E549" s="178">
        <f>C549*E544</f>
        <v>4.1210048343003622</v>
      </c>
      <c r="F549" s="146" t="s">
        <v>5324</v>
      </c>
    </row>
    <row r="550" spans="1:10" ht="14.4" x14ac:dyDescent="0.3">
      <c r="B550" s="99" t="s">
        <v>5660</v>
      </c>
      <c r="C550" s="147">
        <f t="shared" si="13"/>
        <v>21.874246598786463</v>
      </c>
      <c r="D550" t="s">
        <v>2489</v>
      </c>
      <c r="E550" s="178">
        <f>C550*E544</f>
        <v>43.748493197572927</v>
      </c>
      <c r="F550" s="146" t="s">
        <v>5324</v>
      </c>
    </row>
    <row r="551" spans="1:10" ht="14.4" x14ac:dyDescent="0.3">
      <c r="B551" s="99" t="s">
        <v>6403</v>
      </c>
      <c r="C551" s="147">
        <f t="shared" si="13"/>
        <v>1181.7954759720228</v>
      </c>
      <c r="D551" t="s">
        <v>5910</v>
      </c>
      <c r="E551" s="164">
        <f>CONVERT(C551,"m^3","gal")*E544</f>
        <v>624394.67271020834</v>
      </c>
      <c r="F551" s="146" t="s">
        <v>5324</v>
      </c>
    </row>
    <row r="552" spans="1:10" ht="14.4" x14ac:dyDescent="0.3">
      <c r="A552" t="str">
        <f>_xlfn.CONCAT("Liquids",B552)</f>
        <v>LiquidsN removed, lagoon</v>
      </c>
      <c r="B552" s="99" t="s">
        <v>6404</v>
      </c>
      <c r="C552" s="78">
        <f t="shared" si="13"/>
        <v>1.0091096241407453</v>
      </c>
      <c r="D552" t="s">
        <v>2413</v>
      </c>
      <c r="E552" s="201">
        <f>C552*UC.g_to_lb/UC.L_to_gal*1000</f>
        <v>8.4214280250541371</v>
      </c>
      <c r="F552" s="146" t="s">
        <v>2414</v>
      </c>
    </row>
    <row r="553" spans="1:10" ht="14.4" x14ac:dyDescent="0.3">
      <c r="A553" t="str">
        <f t="shared" ref="A553:A554" si="14">_xlfn.CONCAT("Liquids",B553)</f>
        <v>LiquidsP2O5 removed, lagoon</v>
      </c>
      <c r="B553" s="99" t="s">
        <v>6405</v>
      </c>
      <c r="C553" s="78">
        <f t="shared" si="13"/>
        <v>0.77291508964248568</v>
      </c>
      <c r="D553" t="s">
        <v>2413</v>
      </c>
      <c r="E553" s="201">
        <f>C553*UC.g_to_lb/UC.L_to_gal*1000</f>
        <v>6.450289087714232</v>
      </c>
      <c r="F553" s="146" t="s">
        <v>2414</v>
      </c>
    </row>
    <row r="554" spans="1:10" ht="14.4" x14ac:dyDescent="0.3">
      <c r="A554" t="str">
        <f t="shared" si="14"/>
        <v>LiquidsK2O removed, lagoon</v>
      </c>
      <c r="B554" s="99" t="s">
        <v>6406</v>
      </c>
      <c r="C554" s="78">
        <f t="shared" si="13"/>
        <v>1.1744351577487824</v>
      </c>
      <c r="D554" t="s">
        <v>2413</v>
      </c>
      <c r="E554" s="201">
        <f>C554*UC.g_to_lb/UC.L_to_gal*1000</f>
        <v>9.801136481575174</v>
      </c>
      <c r="F554" s="146" t="s">
        <v>2414</v>
      </c>
    </row>
    <row r="555" spans="1:10" ht="14.4" x14ac:dyDescent="0.3">
      <c r="B555" s="99"/>
      <c r="E555" s="99"/>
      <c r="F555" s="146"/>
    </row>
    <row r="556" spans="1:10" ht="15.75" customHeight="1" x14ac:dyDescent="0.3">
      <c r="B556" s="175" t="s">
        <v>7238</v>
      </c>
      <c r="E556" s="99"/>
      <c r="F556" s="146"/>
    </row>
    <row r="557" spans="1:10" ht="15.75" customHeight="1" x14ac:dyDescent="0.3">
      <c r="B557" s="143" t="s">
        <v>2663</v>
      </c>
      <c r="C557" s="144" t="s">
        <v>565</v>
      </c>
      <c r="D557" s="144" t="s">
        <v>6943</v>
      </c>
      <c r="E557" s="143" t="s">
        <v>565</v>
      </c>
      <c r="F557" s="145" t="s">
        <v>6944</v>
      </c>
    </row>
    <row r="558" spans="1:10" ht="15.75" customHeight="1" x14ac:dyDescent="0.3">
      <c r="B558" s="99" t="s">
        <v>6416</v>
      </c>
      <c r="C558" s="382">
        <f t="shared" ref="C558:C568" si="15">VLOOKUP(B558,$X:$AA,3,FALSE)</f>
        <v>10</v>
      </c>
      <c r="D558" t="s">
        <v>2669</v>
      </c>
      <c r="E558" s="99">
        <f t="shared" ref="E558:E564" si="16">C558</f>
        <v>10</v>
      </c>
      <c r="F558" s="146" t="s">
        <v>2669</v>
      </c>
    </row>
    <row r="559" spans="1:10" ht="15.75" customHeight="1" x14ac:dyDescent="0.3">
      <c r="B559" s="99" t="s">
        <v>5679</v>
      </c>
      <c r="C559" s="382">
        <f t="shared" si="15"/>
        <v>48.953910807763656</v>
      </c>
      <c r="D559" t="s">
        <v>6085</v>
      </c>
      <c r="E559" s="178">
        <f t="shared" si="16"/>
        <v>48.953910807763656</v>
      </c>
      <c r="F559" s="146" t="s">
        <v>6085</v>
      </c>
    </row>
    <row r="560" spans="1:10" ht="15.75" customHeight="1" x14ac:dyDescent="0.3">
      <c r="B560" s="99" t="s">
        <v>5667</v>
      </c>
      <c r="C560" s="382">
        <f t="shared" si="15"/>
        <v>5.1237143232854079</v>
      </c>
      <c r="D560" t="s">
        <v>6085</v>
      </c>
      <c r="E560" s="178">
        <f t="shared" si="16"/>
        <v>5.1237143232854079</v>
      </c>
      <c r="F560" s="146" t="s">
        <v>6085</v>
      </c>
    </row>
    <row r="561" spans="1:15" ht="15.75" customHeight="1" x14ac:dyDescent="0.3">
      <c r="B561" s="99" t="s">
        <v>5654</v>
      </c>
      <c r="C561" s="382">
        <f t="shared" si="15"/>
        <v>39.163128646210922</v>
      </c>
      <c r="D561" t="s">
        <v>6085</v>
      </c>
      <c r="E561" s="178">
        <f t="shared" si="16"/>
        <v>39.163128646210922</v>
      </c>
      <c r="F561" s="146" t="s">
        <v>6085</v>
      </c>
    </row>
    <row r="562" spans="1:15" ht="15.75" customHeight="1" x14ac:dyDescent="0.3">
      <c r="B562" s="99" t="s">
        <v>5682</v>
      </c>
      <c r="C562" s="382">
        <f t="shared" si="15"/>
        <v>344.6355320866561</v>
      </c>
      <c r="D562" t="s">
        <v>2489</v>
      </c>
      <c r="E562" s="178">
        <f t="shared" si="16"/>
        <v>344.6355320866561</v>
      </c>
      <c r="F562" s="146" t="s">
        <v>2489</v>
      </c>
    </row>
    <row r="563" spans="1:15" ht="15.75" customHeight="1" x14ac:dyDescent="0.3">
      <c r="B563" s="99" t="s">
        <v>5672</v>
      </c>
      <c r="C563" s="382">
        <f t="shared" si="15"/>
        <v>40.579817440420427</v>
      </c>
      <c r="D563" t="s">
        <v>2489</v>
      </c>
      <c r="E563" s="178">
        <f t="shared" si="16"/>
        <v>40.579817440420427</v>
      </c>
      <c r="F563" s="146" t="s">
        <v>2489</v>
      </c>
    </row>
    <row r="564" spans="1:15" ht="15.75" customHeight="1" x14ac:dyDescent="0.3">
      <c r="B564" s="99" t="s">
        <v>5660</v>
      </c>
      <c r="C564" s="382">
        <f t="shared" si="15"/>
        <v>430.79441510832015</v>
      </c>
      <c r="D564" t="s">
        <v>2489</v>
      </c>
      <c r="E564" s="178">
        <f t="shared" si="16"/>
        <v>430.79441510832015</v>
      </c>
      <c r="F564" s="146" t="s">
        <v>2489</v>
      </c>
    </row>
    <row r="565" spans="1:15" ht="15.75" customHeight="1" x14ac:dyDescent="0.3">
      <c r="B565" s="99" t="s">
        <v>6418</v>
      </c>
      <c r="C565" s="382">
        <f t="shared" si="15"/>
        <v>2327.4442324211072</v>
      </c>
      <c r="D565" t="s">
        <v>5910</v>
      </c>
      <c r="E565" s="164">
        <f>CONVERT(C565,"m^3","gal")</f>
        <v>614845.71962781926</v>
      </c>
      <c r="F565" s="146" t="s">
        <v>2489</v>
      </c>
    </row>
    <row r="566" spans="1:15" ht="15.75" customHeight="1" x14ac:dyDescent="0.3">
      <c r="A566" t="str">
        <f>_xlfn.CONCAT("Sludge",B566)</f>
        <v>SludgeN removed, lagoon</v>
      </c>
      <c r="B566" s="99" t="s">
        <v>6404</v>
      </c>
      <c r="C566" s="382">
        <f t="shared" si="15"/>
        <v>2.5619543788785166</v>
      </c>
      <c r="D566" t="s">
        <v>2413</v>
      </c>
      <c r="E566" s="201">
        <f>C566*UC.g_to_lb/UC.L_to_gal*1000</f>
        <v>21.380545670217984</v>
      </c>
      <c r="F566" s="146" t="s">
        <v>2414</v>
      </c>
    </row>
    <row r="567" spans="1:15" ht="15.75" customHeight="1" x14ac:dyDescent="0.3">
      <c r="A567" t="str">
        <f t="shared" ref="A567:A568" si="17">_xlfn.CONCAT("Sludge",B567)</f>
        <v>SludgeP2O5 removed, lagoon</v>
      </c>
      <c r="B567" s="99" t="s">
        <v>6405</v>
      </c>
      <c r="C567" s="382">
        <f t="shared" si="15"/>
        <v>6.4220642397311023</v>
      </c>
      <c r="D567" t="s">
        <v>2413</v>
      </c>
      <c r="E567" s="201">
        <f>C567*UC.g_to_lb/UC.L_to_gal*1000</f>
        <v>53.59472397582276</v>
      </c>
      <c r="F567" s="146" t="s">
        <v>2414</v>
      </c>
    </row>
    <row r="568" spans="1:15" ht="15.75" customHeight="1" x14ac:dyDescent="0.3">
      <c r="A568" t="str">
        <f t="shared" si="17"/>
        <v>SludgeK2O removed, lagoon</v>
      </c>
      <c r="B568" s="99" t="s">
        <v>6406</v>
      </c>
      <c r="C568" s="382">
        <f t="shared" si="15"/>
        <v>6.4220956046072102</v>
      </c>
      <c r="D568" t="s">
        <v>2413</v>
      </c>
      <c r="E568" s="201">
        <f>C568*UC.g_to_lb/UC.L_to_gal*1000</f>
        <v>53.594985728401802</v>
      </c>
      <c r="F568" s="146" t="s">
        <v>2414</v>
      </c>
    </row>
    <row r="569" spans="1:15" ht="14.4" x14ac:dyDescent="0.3">
      <c r="B569" s="99"/>
      <c r="E569" s="99"/>
      <c r="F569" s="146"/>
    </row>
    <row r="570" spans="1:15" ht="15.75" customHeight="1" x14ac:dyDescent="0.3">
      <c r="B570" s="92" t="s">
        <v>6996</v>
      </c>
      <c r="E570" s="99"/>
      <c r="F570" s="146"/>
    </row>
    <row r="571" spans="1:15" ht="15.75" customHeight="1" x14ac:dyDescent="0.3">
      <c r="B571" s="143" t="s">
        <v>2663</v>
      </c>
      <c r="C571" s="144" t="s">
        <v>565</v>
      </c>
      <c r="D571" s="144" t="s">
        <v>6943</v>
      </c>
      <c r="E571" s="143" t="s">
        <v>565</v>
      </c>
      <c r="F571" s="145" t="s">
        <v>6944</v>
      </c>
    </row>
    <row r="572" spans="1:15" ht="14.4" x14ac:dyDescent="0.3">
      <c r="B572" s="99" t="s">
        <v>7076</v>
      </c>
      <c r="E572" s="357">
        <f>UDV.electricity.avg_cost</f>
        <v>6.8591666666666662E-2</v>
      </c>
      <c r="F572" s="146" t="s">
        <v>2306</v>
      </c>
    </row>
    <row r="573" spans="1:15" ht="14.4" x14ac:dyDescent="0.3">
      <c r="B573" s="99" t="s">
        <v>6997</v>
      </c>
      <c r="D573" s="146"/>
      <c r="E573" s="346">
        <f>UDV.fuel.diesel_avg_cost</f>
        <v>3.6964905660377356</v>
      </c>
      <c r="F573" s="146" t="s">
        <v>2315</v>
      </c>
    </row>
    <row r="574" spans="1:15" ht="14.4" x14ac:dyDescent="0.3">
      <c r="B574" s="149" t="s">
        <v>6998</v>
      </c>
      <c r="C574" s="150"/>
      <c r="D574" s="151"/>
      <c r="E574" s="347">
        <f>UDV.labor.non_specialized_cost</f>
        <v>23.66</v>
      </c>
      <c r="F574" s="151" t="s">
        <v>3659</v>
      </c>
    </row>
    <row r="575" spans="1:15" ht="14.4" x14ac:dyDescent="0.3"/>
    <row r="576" spans="1:15" ht="15.75" customHeight="1" x14ac:dyDescent="0.3">
      <c r="B576" s="206" t="s">
        <v>7121</v>
      </c>
      <c r="C576" s="140"/>
      <c r="D576" s="3057"/>
      <c r="E576" s="3057"/>
      <c r="F576" s="3057"/>
      <c r="G576" s="207"/>
      <c r="H576" s="207"/>
      <c r="I576" s="207"/>
      <c r="J576" s="142"/>
      <c r="K576" s="142"/>
      <c r="L576" s="142"/>
      <c r="M576" s="142"/>
      <c r="N576" s="142"/>
      <c r="O576" s="208"/>
    </row>
    <row r="577" spans="1:15" ht="15.75" customHeight="1" x14ac:dyDescent="0.3">
      <c r="B577" s="210" t="s">
        <v>6946</v>
      </c>
      <c r="C577" s="152" t="s">
        <v>6947</v>
      </c>
      <c r="D577" s="152" t="s">
        <v>6948</v>
      </c>
      <c r="E577" s="152" t="s">
        <v>6999</v>
      </c>
      <c r="F577" s="152" t="s">
        <v>7000</v>
      </c>
      <c r="G577" s="152" t="s">
        <v>6951</v>
      </c>
      <c r="H577" s="152" t="s">
        <v>6952</v>
      </c>
      <c r="I577" s="152" t="s">
        <v>7001</v>
      </c>
      <c r="J577" s="152" t="s">
        <v>6954</v>
      </c>
      <c r="K577" s="152" t="s">
        <v>6955</v>
      </c>
      <c r="L577" s="152" t="s">
        <v>6956</v>
      </c>
      <c r="M577" s="82" t="s">
        <v>6957</v>
      </c>
      <c r="N577" s="152" t="s">
        <v>7002</v>
      </c>
      <c r="O577" s="161" t="s">
        <v>6959</v>
      </c>
    </row>
    <row r="578" spans="1:15" ht="14.4" x14ac:dyDescent="0.3">
      <c r="A578" t="s">
        <v>7122</v>
      </c>
      <c r="B578" s="99" t="s">
        <v>2808</v>
      </c>
      <c r="C578" s="153">
        <f>IF(E538=0,0,(VLOOKUP("Irrigation systema",Econ.Equations!$C:$E,2,FALSE)*E538^VLOOKUP("Irrigation systemb",Econ.Equations!$C:$E,2,FALSE))*E538)</f>
        <v>48991.607170220159</v>
      </c>
      <c r="D578" s="42">
        <f>VLOOKUP("CAPEXLifetimeBuildings and constructionDefault",Econ.inputsTable!$E:$G,2,FALSE)</f>
        <v>20</v>
      </c>
      <c r="E578" s="42" t="s">
        <v>2852</v>
      </c>
      <c r="F578" s="42" t="s">
        <v>2852</v>
      </c>
      <c r="G578" s="539">
        <f>VLOOKUP("CAPEXAnnual usage on activityItems that are used only on the given activityDefault",Econ.inputsTable!$E:$J,2,FALSE)</f>
        <v>1</v>
      </c>
      <c r="H578" s="216">
        <f t="shared" ref="H578" si="18">UDV.econ_capital.interest_rate</f>
        <v>5.0999999999999997E-2</v>
      </c>
      <c r="I578" s="2091">
        <f>VLOOKUP("CAPEXSalvageBuildings and constructionDefault",Econ.inputsTable!$E:$K,2,FALSE)</f>
        <v>0</v>
      </c>
      <c r="J578" s="153">
        <f>C578*I578</f>
        <v>0</v>
      </c>
      <c r="K578" s="154">
        <f>VLOOKUP("CAPEXFinanced amountNADefault",Econ.inputsTable!$E:$J,2,FALSE)</f>
        <v>1</v>
      </c>
      <c r="L578" s="2092">
        <f>H578*K578</f>
        <v>5.0999999999999997E-2</v>
      </c>
      <c r="M578" s="351">
        <f>L578/(1-(1+L578)^-D578)</f>
        <v>8.0924368970045152E-2</v>
      </c>
      <c r="N578" s="153">
        <f>((C578-J578)*M578)+(J578*L578)</f>
        <v>3964.6148950784059</v>
      </c>
      <c r="O578" s="372">
        <f>N578*G578</f>
        <v>3964.6148950784059</v>
      </c>
    </row>
    <row r="579" spans="1:15" ht="15.75" customHeight="1" x14ac:dyDescent="0.3">
      <c r="A579" t="s">
        <v>7003</v>
      </c>
      <c r="B579" s="99" t="s">
        <v>7004</v>
      </c>
      <c r="C579" s="153">
        <f>VLOOKUP(_xlfn.CONCAT("Tractor",E524," hp"), Econ.Tables!$C:$E,2, FALSE)*E526</f>
        <v>283300</v>
      </c>
      <c r="D579" s="79">
        <f>VLOOKUP("CAPEXLifetimeTractor, 4 wheel drive and crawlerDefault",Econ.inputsTable!$E:$H,2,FALSE)/E579</f>
        <v>16</v>
      </c>
      <c r="E579" s="213">
        <f>IF(F579&gt;UDV.tractor.min_usage_yearly,F579,UDV.tractor.min_usage_yearly)</f>
        <v>1000</v>
      </c>
      <c r="F579" s="214">
        <f>IF(E526=0,0,(E545+(E559/E558))/E526)</f>
        <v>9.8668107623187424</v>
      </c>
      <c r="G579" s="538">
        <f>F579/E579</f>
        <v>9.866810762318743E-3</v>
      </c>
      <c r="H579" s="503">
        <f t="shared" ref="H579:H586" si="19">UDV.econ_capital.interest_rate</f>
        <v>5.0999999999999997E-2</v>
      </c>
      <c r="I579" s="503">
        <f>VLOOKUP("CAPEXSalvageEquipmentDefault",Econ.inputsTable!$E:$H,2,FALSE)</f>
        <v>0.2</v>
      </c>
      <c r="J579" s="153">
        <f t="shared" ref="J579:J586" si="20">C579*I579</f>
        <v>56660</v>
      </c>
      <c r="K579" s="154">
        <f>VLOOKUP("CAPEXFinanced amountNADefault",Econ.inputsTable!$E:$H,2,FALSE)</f>
        <v>1</v>
      </c>
      <c r="L579" s="155">
        <f t="shared" ref="L579:L586" si="21">H579*K579</f>
        <v>5.0999999999999997E-2</v>
      </c>
      <c r="M579">
        <f t="shared" ref="M579:M586" si="22">L579/(1-(1+L579)^-D579)</f>
        <v>9.2927821836826949E-2</v>
      </c>
      <c r="N579" s="153">
        <f t="shared" ref="N579:N586" si="23">((C579-J579)*M579)+(J579*L579)</f>
        <v>23950.821541098459</v>
      </c>
      <c r="O579" s="157">
        <f t="shared" ref="O579:O586" si="24">N579*G579</f>
        <v>236.31822374808587</v>
      </c>
    </row>
    <row r="580" spans="1:15" ht="14.4" x14ac:dyDescent="0.3">
      <c r="A580" t="s">
        <v>7003</v>
      </c>
      <c r="B580" s="99" t="s">
        <v>1226</v>
      </c>
      <c r="C580" s="153">
        <f>VLOOKUP("Agitator, ptoDefault",Econ.Tables!$C:$E,2,FALSE)*E525</f>
        <v>43500</v>
      </c>
      <c r="D580" s="42">
        <f>VLOOKUP("CAPEXLifetimeAgitator, ptoDefault",Econ.inputsTable!$E:$H,2,FALSE)</f>
        <v>15</v>
      </c>
      <c r="F580" s="214">
        <f>F579</f>
        <v>9.8668107623187424</v>
      </c>
      <c r="G580" s="539">
        <f>VLOOKUP("CAPEXAnnual usage on activityItems that are used only on the given activityDefault",Econ.inputsTable!$E:$H,2,FALSE)</f>
        <v>1</v>
      </c>
      <c r="H580" s="503">
        <f t="shared" si="19"/>
        <v>5.0999999999999997E-2</v>
      </c>
      <c r="I580" s="503">
        <f>VLOOKUP("CAPEXSalvageEquipmentDefault",Econ.inputsTable!$E:$H,2,FALSE)</f>
        <v>0.2</v>
      </c>
      <c r="J580" s="153">
        <f t="shared" si="20"/>
        <v>8700</v>
      </c>
      <c r="K580" s="154">
        <f>VLOOKUP("CAPEXFinanced amountNADefault",Econ.inputsTable!$E:$H,2,FALSE)</f>
        <v>1</v>
      </c>
      <c r="L580" s="155">
        <f t="shared" si="21"/>
        <v>5.0999999999999997E-2</v>
      </c>
      <c r="M580">
        <f t="shared" si="22"/>
        <v>9.6994593888520206E-2</v>
      </c>
      <c r="N580" s="153">
        <f t="shared" si="23"/>
        <v>3819.1118673205028</v>
      </c>
      <c r="O580" s="157">
        <f t="shared" si="24"/>
        <v>3819.1118673205028</v>
      </c>
    </row>
    <row r="581" spans="1:15" ht="15.75" customHeight="1" x14ac:dyDescent="0.3">
      <c r="A581" t="s">
        <v>7003</v>
      </c>
      <c r="B581" s="99" t="s">
        <v>7005</v>
      </c>
      <c r="C581" s="153">
        <f>VLOOKUP(_xlfn.CONCAT("Tractor",E527," hp"), Econ.Tables!$C:$E,2, FALSE)*E529</f>
        <v>313600</v>
      </c>
      <c r="D581" s="79">
        <f>VLOOKUP("CAPEXLifetimeTractor, 4 wheel drive and crawlerDefault",Econ.inputsTable!$E:$H,2,FALSE)/E581</f>
        <v>16</v>
      </c>
      <c r="E581" s="213">
        <f>IF(F581&gt;UDV.tractor.min_usage_yearly,F581,UDV.tractor.min_usage_yearly)</f>
        <v>1000</v>
      </c>
      <c r="F581" s="214">
        <f>IF(E529=0,0,(E546+(E560/E558))/E529)</f>
        <v>1.0327003255482836</v>
      </c>
      <c r="G581" s="538">
        <f>F581/E581</f>
        <v>1.0327003255482835E-3</v>
      </c>
      <c r="H581" s="503">
        <f t="shared" si="19"/>
        <v>5.0999999999999997E-2</v>
      </c>
      <c r="I581" s="503">
        <f>VLOOKUP("CAPEXSalvageEquipmentDefault",Econ.inputsTable!$E:$H,2,FALSE)</f>
        <v>0.2</v>
      </c>
      <c r="J581" s="153">
        <f t="shared" si="20"/>
        <v>62720</v>
      </c>
      <c r="K581" s="154">
        <f>VLOOKUP("CAPEXFinanced amountNADefault",Econ.inputsTable!$E:$H,2,FALSE)</f>
        <v>1</v>
      </c>
      <c r="L581" s="155">
        <f t="shared" si="21"/>
        <v>5.0999999999999997E-2</v>
      </c>
      <c r="M581">
        <f t="shared" si="22"/>
        <v>9.2927821836826949E-2</v>
      </c>
      <c r="N581" s="153">
        <f t="shared" si="23"/>
        <v>26512.451942423148</v>
      </c>
      <c r="O581" s="157">
        <f t="shared" si="24"/>
        <v>27.379417752023606</v>
      </c>
    </row>
    <row r="582" spans="1:15" s="42" customFormat="1" ht="14.4" x14ac:dyDescent="0.3">
      <c r="A582" t="s">
        <v>7003</v>
      </c>
      <c r="B582" s="222" t="s">
        <v>3021</v>
      </c>
      <c r="C582" s="223">
        <f>VLOOKUP("Pump, tractor ptoDefault",Econ.Tables!$C:$E,2,FALSE)*E528</f>
        <v>26500</v>
      </c>
      <c r="D582" s="42">
        <f>VLOOKUP("CAPEXLifetimePump, tractor ptoDefault",Econ.inputsTable!$E:$H,2,FALSE)</f>
        <v>15</v>
      </c>
      <c r="F582" s="214">
        <f>F581</f>
        <v>1.0327003255482836</v>
      </c>
      <c r="G582" s="539">
        <f>VLOOKUP("CAPEXAnnual usage on activityItems that are used only on the given activityDefault",Econ.inputsTable!$E:$H,2,FALSE)</f>
        <v>1</v>
      </c>
      <c r="H582" s="503">
        <f t="shared" si="19"/>
        <v>5.0999999999999997E-2</v>
      </c>
      <c r="I582" s="503">
        <f>VLOOKUP("CAPEXSalvageEquipmentDefault",Econ.inputsTable!$E:$H,2,FALSE)</f>
        <v>0.2</v>
      </c>
      <c r="J582" s="153">
        <f t="shared" si="20"/>
        <v>5300</v>
      </c>
      <c r="K582" s="154">
        <f>VLOOKUP("CAPEXFinanced amountNADefault",Econ.inputsTable!$E:$H,2,FALSE)</f>
        <v>1</v>
      </c>
      <c r="L582" s="155">
        <f t="shared" si="21"/>
        <v>5.0999999999999997E-2</v>
      </c>
      <c r="M582">
        <f t="shared" si="22"/>
        <v>9.6994593888520206E-2</v>
      </c>
      <c r="N582" s="153">
        <f t="shared" si="23"/>
        <v>2326.5853904366286</v>
      </c>
      <c r="O582" s="157">
        <f t="shared" si="24"/>
        <v>2326.5853904366286</v>
      </c>
    </row>
    <row r="583" spans="1:15" ht="15.75" customHeight="1" x14ac:dyDescent="0.3">
      <c r="A583" t="s">
        <v>7003</v>
      </c>
      <c r="B583" s="99" t="s">
        <v>7006</v>
      </c>
      <c r="C583" s="153">
        <f>VLOOKUP(_xlfn.CONCAT("Tractor",E530," hp"), Econ.Tables!$C:$E,2, FALSE)*E533</f>
        <v>404700</v>
      </c>
      <c r="D583" s="79">
        <f>VLOOKUP("CAPEXLifetimeTractor, 4 wheel drive and crawlerDefault",Econ.inputsTable!$E:$H,2,FALSE)/E583</f>
        <v>16</v>
      </c>
      <c r="E583" s="213">
        <f>IF(F583&gt;UDV.tractor.min_usage_yearly,F583,UDV.tractor.min_usage_yearly)</f>
        <v>1000</v>
      </c>
      <c r="F583" s="214">
        <f>IF(E533=0,0,(E547+(E561/E558))/E533)</f>
        <v>7.8934486098549943</v>
      </c>
      <c r="G583" s="538">
        <f>F583/E583</f>
        <v>7.8934486098549937E-3</v>
      </c>
      <c r="H583" s="503">
        <f t="shared" si="19"/>
        <v>5.0999999999999997E-2</v>
      </c>
      <c r="I583" s="503">
        <f>VLOOKUP("CAPEXSalvageEquipmentDefault",Econ.inputsTable!$E:$H,2,FALSE)</f>
        <v>0.2</v>
      </c>
      <c r="J583" s="153">
        <f t="shared" si="20"/>
        <v>80940</v>
      </c>
      <c r="K583" s="154">
        <f>VLOOKUP("CAPEXFinanced amountNADefault",Econ.inputsTable!$E:$H,2,FALSE)</f>
        <v>1</v>
      </c>
      <c r="L583" s="155">
        <f t="shared" si="21"/>
        <v>5.0999999999999997E-2</v>
      </c>
      <c r="M583">
        <f t="shared" si="22"/>
        <v>9.2927821836826949E-2</v>
      </c>
      <c r="N583" s="153">
        <f t="shared" si="23"/>
        <v>34214.251597891096</v>
      </c>
      <c r="O583" s="157">
        <f t="shared" si="24"/>
        <v>270.06843671260248</v>
      </c>
    </row>
    <row r="584" spans="1:15" ht="14.4" x14ac:dyDescent="0.3">
      <c r="A584" t="s">
        <v>7003</v>
      </c>
      <c r="B584" s="99" t="s">
        <v>6392</v>
      </c>
      <c r="C584" s="153">
        <f>UDV.econ_tanker.cost*E532</f>
        <v>136600</v>
      </c>
      <c r="D584" s="42">
        <f>VLOOKUP("CAPEXLifetimeEquipmentDefault",Econ.inputsTable!$E:$H,2,FALSE)</f>
        <v>10</v>
      </c>
      <c r="F584" s="214">
        <f>F583</f>
        <v>7.8934486098549943</v>
      </c>
      <c r="G584" s="539">
        <f>VLOOKUP("CAPEXAnnual usage on activityItems that are used only on the given activityDefault",Econ.inputsTable!$E:$H,2,FALSE)</f>
        <v>1</v>
      </c>
      <c r="H584" s="503">
        <f t="shared" si="19"/>
        <v>5.0999999999999997E-2</v>
      </c>
      <c r="I584" s="503">
        <f>VLOOKUP("CAPEXSalvageEquipmentDefault",Econ.inputsTable!$E:$H,2,FALSE)</f>
        <v>0.2</v>
      </c>
      <c r="J584" s="153">
        <f t="shared" si="20"/>
        <v>27320</v>
      </c>
      <c r="K584" s="154">
        <f>VLOOKUP("CAPEXFinanced amountNADefault",Econ.inputsTable!$E:$H,2,FALSE)</f>
        <v>1</v>
      </c>
      <c r="L584" s="155">
        <f t="shared" si="21"/>
        <v>5.0999999999999997E-2</v>
      </c>
      <c r="M584">
        <f t="shared" si="22"/>
        <v>0.13013423257204779</v>
      </c>
      <c r="N584" s="153">
        <f t="shared" si="23"/>
        <v>15614.388935473382</v>
      </c>
      <c r="O584" s="157">
        <f t="shared" si="24"/>
        <v>15614.388935473382</v>
      </c>
    </row>
    <row r="585" spans="1:15" ht="15.75" customHeight="1" x14ac:dyDescent="0.3">
      <c r="A585" t="s">
        <v>7003</v>
      </c>
      <c r="B585" s="99" t="s">
        <v>7007</v>
      </c>
      <c r="C585" s="238">
        <f>(IF(E534="Broadcast",VLOOKUP("BoomDefault", Econ.Tables!$C:$E,2,FALSE),0))*E532</f>
        <v>0</v>
      </c>
      <c r="D585" s="42">
        <f>VLOOKUP("CAPEXLifetimeEquipmentDefault",Econ.inputsTable!$E:$H,2,FALSE)</f>
        <v>10</v>
      </c>
      <c r="E585" s="152"/>
      <c r="F585" s="231">
        <f>IF(C534="Broadcast",F583,0)</f>
        <v>0</v>
      </c>
      <c r="G585" s="539">
        <f>VLOOKUP("CAPEXAnnual usage on activityItems that are used only on the given activityDefault",Econ.inputsTable!$E:$H,2,FALSE)</f>
        <v>1</v>
      </c>
      <c r="H585" s="503">
        <f t="shared" si="19"/>
        <v>5.0999999999999997E-2</v>
      </c>
      <c r="I585" s="503">
        <f>VLOOKUP("CAPEXSalvageEquipmentDefault",Econ.inputsTable!$E:$H,2,FALSE)</f>
        <v>0.2</v>
      </c>
      <c r="J585" s="153">
        <f t="shared" si="20"/>
        <v>0</v>
      </c>
      <c r="K585" s="154">
        <f>VLOOKUP("CAPEXFinanced amountNADefault",Econ.inputsTable!$E:$H,2,FALSE)</f>
        <v>1</v>
      </c>
      <c r="L585" s="155">
        <f t="shared" si="21"/>
        <v>5.0999999999999997E-2</v>
      </c>
      <c r="M585">
        <f t="shared" si="22"/>
        <v>0.13013423257204779</v>
      </c>
      <c r="N585" s="153">
        <f t="shared" si="23"/>
        <v>0</v>
      </c>
      <c r="O585" s="157">
        <f t="shared" si="24"/>
        <v>0</v>
      </c>
    </row>
    <row r="586" spans="1:15" ht="15.75" customHeight="1" x14ac:dyDescent="0.3">
      <c r="A586" t="s">
        <v>7003</v>
      </c>
      <c r="B586" s="99" t="s">
        <v>7008</v>
      </c>
      <c r="C586" s="238">
        <f>(IF(E534="Injection",VLOOKUP("InjectionDefault",Econ.Tables!$C:$E,2,FALSE),0))*E532</f>
        <v>80900</v>
      </c>
      <c r="D586" s="42">
        <f>VLOOKUP("CAPEXLifetimeEquipmentDefault",Econ.inputsTable!$E:$H,2,FALSE)</f>
        <v>10</v>
      </c>
      <c r="E586" s="152"/>
      <c r="F586" s="231">
        <f>IF(C534="Injection",F584,0)</f>
        <v>7.8934486098549943</v>
      </c>
      <c r="G586" s="539">
        <f>VLOOKUP("CAPEXAnnual usage on activityItems that are used only on the given activityDefault",Econ.inputsTable!$E:$H,2,FALSE)</f>
        <v>1</v>
      </c>
      <c r="H586" s="503">
        <f t="shared" si="19"/>
        <v>5.0999999999999997E-2</v>
      </c>
      <c r="I586" s="503">
        <f>VLOOKUP("CAPEXSalvageEquipmentDefault",Econ.inputsTable!$E:$H,2,FALSE)</f>
        <v>0.2</v>
      </c>
      <c r="J586" s="153">
        <f t="shared" si="20"/>
        <v>16180</v>
      </c>
      <c r="K586" s="154">
        <f>VLOOKUP("CAPEXFinanced amountNADefault",Econ.inputsTable!$E:$H,2,FALSE)</f>
        <v>1</v>
      </c>
      <c r="L586" s="155">
        <f t="shared" si="21"/>
        <v>5.0999999999999997E-2</v>
      </c>
      <c r="M586">
        <f t="shared" si="22"/>
        <v>0.13013423257204779</v>
      </c>
      <c r="N586" s="153">
        <f t="shared" si="23"/>
        <v>9247.4675320629322</v>
      </c>
      <c r="O586" s="157">
        <f t="shared" si="24"/>
        <v>9247.4675320629322</v>
      </c>
    </row>
    <row r="587" spans="1:15" ht="15.75" customHeight="1" x14ac:dyDescent="0.3">
      <c r="B587" s="99"/>
      <c r="C587" s="238"/>
      <c r="D587" s="42"/>
      <c r="E587" s="42"/>
      <c r="F587" s="42"/>
      <c r="G587" s="42"/>
      <c r="H587" s="42"/>
      <c r="I587" s="152"/>
      <c r="J587" s="231"/>
      <c r="K587" s="539"/>
      <c r="L587" s="503"/>
      <c r="M587" s="503"/>
      <c r="N587" s="503"/>
      <c r="O587" s="540"/>
    </row>
    <row r="588" spans="1:15" ht="15.75" customHeight="1" x14ac:dyDescent="0.3">
      <c r="B588" s="99"/>
      <c r="C588" s="82" t="s">
        <v>7009</v>
      </c>
      <c r="D588" s="82" t="s">
        <v>6963</v>
      </c>
      <c r="N588" s="153">
        <f>SUM(N579:N586)</f>
        <v>115685.07880670615</v>
      </c>
      <c r="O588" s="157">
        <f>SUM(O579:O586)</f>
        <v>31541.319803506158</v>
      </c>
    </row>
    <row r="589" spans="1:15" ht="14.4" x14ac:dyDescent="0.3">
      <c r="A589" t="s">
        <v>5202</v>
      </c>
      <c r="B589" s="99" t="s">
        <v>6964</v>
      </c>
      <c r="C589" s="153">
        <f>SUM(C578:C586)</f>
        <v>1338091.6071702202</v>
      </c>
      <c r="D589" s="233">
        <f>SUMPRODUCT(C578:C586,G578:G586)</f>
        <v>342805.20813368534</v>
      </c>
      <c r="O589" s="146"/>
    </row>
    <row r="590" spans="1:15" ht="14.4" x14ac:dyDescent="0.3">
      <c r="A590" t="s">
        <v>5202</v>
      </c>
      <c r="B590" s="149" t="s">
        <v>6965</v>
      </c>
      <c r="C590" s="159">
        <f>SUM(N578:N586)</f>
        <v>119649.69370178455</v>
      </c>
      <c r="D590" s="234">
        <f>SUMPRODUCT(N578:N586,G578:G586)</f>
        <v>35505.934698584562</v>
      </c>
      <c r="E590" s="159"/>
      <c r="F590" s="150"/>
      <c r="G590" s="150"/>
      <c r="H590" s="150"/>
      <c r="I590" s="150"/>
      <c r="J590" s="150"/>
      <c r="K590" s="150"/>
      <c r="L590" s="150"/>
      <c r="M590" s="150"/>
      <c r="N590" s="150"/>
      <c r="O590" s="151"/>
    </row>
    <row r="591" spans="1:15" ht="14.4" x14ac:dyDescent="0.3">
      <c r="B591" s="262"/>
      <c r="C591" s="142"/>
      <c r="D591" s="142"/>
      <c r="E591" s="142"/>
      <c r="F591" s="142"/>
      <c r="G591" s="142"/>
      <c r="H591" s="142"/>
      <c r="I591" s="142"/>
      <c r="J591" s="142"/>
      <c r="K591" s="142"/>
      <c r="L591" s="142"/>
      <c r="M591" s="142"/>
      <c r="N591" s="142"/>
      <c r="O591" s="141"/>
    </row>
    <row r="592" spans="1:15" ht="15.75" customHeight="1" x14ac:dyDescent="0.3">
      <c r="B592" s="160" t="s">
        <v>6966</v>
      </c>
      <c r="C592" s="152" t="s">
        <v>6967</v>
      </c>
      <c r="D592" s="152" t="s">
        <v>6968</v>
      </c>
      <c r="E592" s="152" t="s">
        <v>6969</v>
      </c>
      <c r="F592" s="152" t="s">
        <v>6970</v>
      </c>
      <c r="G592" s="152" t="s">
        <v>6971</v>
      </c>
      <c r="H592" s="152" t="s">
        <v>6972</v>
      </c>
      <c r="I592" s="152" t="s">
        <v>6973</v>
      </c>
      <c r="J592" s="152" t="s">
        <v>6974</v>
      </c>
      <c r="K592" s="152" t="s">
        <v>6975</v>
      </c>
      <c r="L592" s="152" t="s">
        <v>6976</v>
      </c>
      <c r="M592" s="152" t="s">
        <v>6977</v>
      </c>
      <c r="N592" s="152" t="s">
        <v>6978</v>
      </c>
      <c r="O592" s="161" t="s">
        <v>6979</v>
      </c>
    </row>
    <row r="593" spans="1:15" ht="14.4" x14ac:dyDescent="0.3">
      <c r="B593" s="99" t="s">
        <v>2808</v>
      </c>
      <c r="C593" s="155">
        <f>VLOOKUP("OPEXInsuranceEverythingDefault",Econ.inputsTable!$E:$K,2,FALSE)</f>
        <v>5.0000000000000001E-3</v>
      </c>
      <c r="D593" s="154">
        <f>VLOOKUP("OPEXRepair and maintenanceEquipmentDefault",Econ.inputsTable!$E:$K,2,FALSE)</f>
        <v>0.03</v>
      </c>
      <c r="F593" s="2124">
        <f>E539</f>
        <v>931.22205127489565</v>
      </c>
      <c r="G593" s="504">
        <f>F593*E572</f>
        <v>63.874072533697216</v>
      </c>
      <c r="I593" s="504"/>
      <c r="J593" s="504"/>
      <c r="K593" s="147">
        <f>E540</f>
        <v>6.9166800677229361</v>
      </c>
      <c r="L593" s="156">
        <f>K593*E574</f>
        <v>163.64865040232468</v>
      </c>
      <c r="O593" s="167">
        <f t="shared" ref="O593" si="25">(SUM(C593:D593)*C578*G578)+SUM(E593,G593,I593,J593,L593,N593)</f>
        <v>1942.2289738937272</v>
      </c>
    </row>
    <row r="594" spans="1:15" ht="15.75" customHeight="1" x14ac:dyDescent="0.3">
      <c r="B594" s="235" t="s">
        <v>7004</v>
      </c>
      <c r="C594" s="155">
        <f>VLOOKUP("OPEXInsuranceEverythingDefault",Econ.inputsTable!$E:$H,2,FALSE)</f>
        <v>5.0000000000000001E-3</v>
      </c>
      <c r="D594" s="237">
        <f>VLOOKUP("OPEXRepair and maintenanceEquipmentDefault",Econ.inputsTable!$E:$H,2,FALSE)</f>
        <v>0.03</v>
      </c>
      <c r="H594" s="147">
        <f>E548+(E562/E558)</f>
        <v>69.462347766723951</v>
      </c>
      <c r="I594" s="158">
        <f>H594*E573</f>
        <v>256.76691321452745</v>
      </c>
      <c r="J594" s="238">
        <f>I594*VLOOKUP("OPEXLubeLubeDefault",Econ.inputsTable!$E:$H,2,FALSE)</f>
        <v>25.676691321452747</v>
      </c>
      <c r="K594" s="205">
        <f>(E545+(E559/E558))*VLOOKUP("OPEXLaborTractorDefault",Econ.inputsTable!$E:$H,2,FALSE)</f>
        <v>10.853491838550617</v>
      </c>
      <c r="L594" s="158">
        <f>K594*E574</f>
        <v>256.79361690010762</v>
      </c>
      <c r="O594" s="264">
        <f t="shared" ref="O594:O601" si="26">(SUM(C594:D594)*C579*G579)+SUM(E594,G594,I594,J594,L594,N594)</f>
        <v>637.07158354985927</v>
      </c>
    </row>
    <row r="595" spans="1:15" ht="15.75" customHeight="1" x14ac:dyDescent="0.3">
      <c r="B595" s="99" t="s">
        <v>1226</v>
      </c>
      <c r="C595" s="155">
        <f>VLOOKUP("OPEXInsuranceEverythingDefault",Econ.inputsTable!$E:$H,2,FALSE)</f>
        <v>5.0000000000000001E-3</v>
      </c>
      <c r="D595" s="237">
        <f>VLOOKUP("OPEXRepair and maintenanceEquipmentDefault",Econ.inputsTable!$E:$H,2,FALSE)</f>
        <v>0.03</v>
      </c>
      <c r="H595" s="147"/>
      <c r="I595" s="158"/>
      <c r="J595" s="158"/>
      <c r="L595" s="153"/>
      <c r="O595" s="264">
        <f t="shared" si="26"/>
        <v>1522.4999999999998</v>
      </c>
    </row>
    <row r="596" spans="1:15" ht="15.75" customHeight="1" x14ac:dyDescent="0.3">
      <c r="B596" s="99" t="s">
        <v>7005</v>
      </c>
      <c r="C596" s="155">
        <f>VLOOKUP("OPEXInsuranceEverythingDefault",Econ.inputsTable!$E:$H,2,FALSE)</f>
        <v>5.0000000000000001E-3</v>
      </c>
      <c r="D596" s="237">
        <f>VLOOKUP("OPEXRepair and maintenanceEquipmentDefault",Econ.inputsTable!$E:$H,2,FALSE)</f>
        <v>0.03</v>
      </c>
      <c r="H596" s="147">
        <f>E549+(E563/E558)</f>
        <v>8.1789865783424052</v>
      </c>
      <c r="I596" s="158">
        <f>H596*E573</f>
        <v>30.23354672659196</v>
      </c>
      <c r="J596" s="238">
        <f>I596*VLOOKUP("OPEXLubeLubeDefault",Econ.inputsTable!$E:$H,2,FALSE)</f>
        <v>3.0233546726591962</v>
      </c>
      <c r="K596" s="205">
        <f>(E546+(E560/E558))*VLOOKUP("OPEXLaborTractorDefault",Econ.inputsTable!$E:$H,2,FALSE)</f>
        <v>1.135970358103112</v>
      </c>
      <c r="L596" s="158">
        <f>K596*E574</f>
        <v>26.877058672719631</v>
      </c>
      <c r="O596" s="264">
        <f t="shared" si="26"/>
        <v>71.468878845188755</v>
      </c>
    </row>
    <row r="597" spans="1:15" ht="15.75" customHeight="1" x14ac:dyDescent="0.3">
      <c r="B597" s="222" t="s">
        <v>3021</v>
      </c>
      <c r="C597" s="155">
        <f>VLOOKUP("OPEXInsuranceEverythingDefault",Econ.inputsTable!$E:$H,2,FALSE)</f>
        <v>5.0000000000000001E-3</v>
      </c>
      <c r="D597" s="237">
        <f>VLOOKUP("OPEXRepair and maintenancePump, tractor ptoDefault",Econ.inputsTable!$E:$H,2,FALSE)</f>
        <v>0.05</v>
      </c>
      <c r="I597" s="158"/>
      <c r="J597" s="158"/>
      <c r="L597" s="153"/>
      <c r="O597" s="264">
        <f t="shared" si="26"/>
        <v>1457.5</v>
      </c>
    </row>
    <row r="598" spans="1:15" ht="15.75" customHeight="1" x14ac:dyDescent="0.3">
      <c r="B598" s="99" t="s">
        <v>7006</v>
      </c>
      <c r="C598" s="155">
        <f>VLOOKUP("OPEXInsuranceEverythingDefault",Econ.inputsTable!$E:$H,2,FALSE)</f>
        <v>5.0000000000000001E-3</v>
      </c>
      <c r="D598" s="237">
        <f>VLOOKUP("OPEXRepair and maintenanceEquipmentDefault",Econ.inputsTable!$E:$H,2,FALSE)</f>
        <v>0.03</v>
      </c>
      <c r="H598" s="147">
        <f>E550+(E564/E558)</f>
        <v>86.827934708404939</v>
      </c>
      <c r="I598" s="158">
        <f>H598*E573</f>
        <v>320.95864151815931</v>
      </c>
      <c r="J598" s="238">
        <f>I598*VLOOKUP("OPEXLubeLubeDefault",Econ.inputsTable!$E:$H,2,FALSE)</f>
        <v>32.095864151815931</v>
      </c>
      <c r="K598" s="205">
        <f>(E547+(E561/E558))*VLOOKUP("OPEXLaborTractorDefault",Econ.inputsTable!$E:$H,2,FALSE)</f>
        <v>8.6827934708404939</v>
      </c>
      <c r="L598" s="158">
        <f>K598*E574</f>
        <v>205.43489352008609</v>
      </c>
      <c r="O598" s="264">
        <f t="shared" si="26"/>
        <v>670.29615202435241</v>
      </c>
    </row>
    <row r="599" spans="1:15" ht="15.75" customHeight="1" x14ac:dyDescent="0.3">
      <c r="B599" s="99" t="s">
        <v>6392</v>
      </c>
      <c r="C599" s="155">
        <f>VLOOKUP("OPEXInsuranceEverythingDefault",Econ.inputsTable!$E:$H,2,FALSE)</f>
        <v>5.0000000000000001E-3</v>
      </c>
      <c r="D599" s="237">
        <f>VLOOKUP("OPEXRepair and maintenanceEquipmentDefault",Econ.inputsTable!$E:$H,2,FALSE)</f>
        <v>0.03</v>
      </c>
      <c r="I599" s="158"/>
      <c r="J599" s="158"/>
      <c r="L599" s="153"/>
      <c r="O599" s="264">
        <f t="shared" si="26"/>
        <v>4780.9999999999991</v>
      </c>
    </row>
    <row r="600" spans="1:15" ht="15.75" customHeight="1" x14ac:dyDescent="0.3">
      <c r="B600" s="99" t="s">
        <v>7007</v>
      </c>
      <c r="C600" s="155">
        <f>VLOOKUP("OPEXInsuranceEverythingDefault",Econ.inputsTable!$E:$H,2,FALSE)</f>
        <v>5.0000000000000001E-3</v>
      </c>
      <c r="D600" s="237">
        <f>VLOOKUP("OPEXRepair and maintenanceEquipmentDefault",Econ.inputsTable!$E:$H,2,FALSE)</f>
        <v>0.03</v>
      </c>
      <c r="I600" s="158"/>
      <c r="J600" s="158"/>
      <c r="L600" s="153"/>
      <c r="O600" s="264">
        <f t="shared" si="26"/>
        <v>0</v>
      </c>
    </row>
    <row r="601" spans="1:15" ht="15.75" customHeight="1" x14ac:dyDescent="0.3">
      <c r="B601" s="99" t="s">
        <v>7008</v>
      </c>
      <c r="C601" s="155">
        <f>VLOOKUP("OPEXInsuranceEverythingDefault",Econ.inputsTable!$E:$H,2,FALSE)</f>
        <v>5.0000000000000001E-3</v>
      </c>
      <c r="D601" s="237">
        <f>VLOOKUP("OPEXRepair and maintenanceEquipmentDefault",Econ.inputsTable!$E:$H,2,FALSE)</f>
        <v>0.03</v>
      </c>
      <c r="I601" s="158"/>
      <c r="J601" s="158"/>
      <c r="L601" s="153"/>
      <c r="O601" s="264">
        <f t="shared" si="26"/>
        <v>2831.4999999999995</v>
      </c>
    </row>
    <row r="602" spans="1:15" ht="15.75" customHeight="1" x14ac:dyDescent="0.3">
      <c r="A602" t="s">
        <v>5202</v>
      </c>
      <c r="B602" s="162" t="s">
        <v>5203</v>
      </c>
      <c r="C602" s="241"/>
      <c r="D602" s="241"/>
      <c r="E602" s="242">
        <f t="shared" ref="E602:O602" si="27">SUM(E593:E601)</f>
        <v>0</v>
      </c>
      <c r="F602" s="2125">
        <f t="shared" si="27"/>
        <v>931.22205127489565</v>
      </c>
      <c r="G602" s="242">
        <f t="shared" si="27"/>
        <v>63.874072533697216</v>
      </c>
      <c r="H602" s="286">
        <f t="shared" si="27"/>
        <v>164.46926905347129</v>
      </c>
      <c r="I602" s="242">
        <f t="shared" si="27"/>
        <v>607.95910145927871</v>
      </c>
      <c r="J602" s="242">
        <f t="shared" si="27"/>
        <v>60.795910145927877</v>
      </c>
      <c r="K602" s="243">
        <f t="shared" si="27"/>
        <v>27.588935735217159</v>
      </c>
      <c r="L602" s="242">
        <f t="shared" si="27"/>
        <v>652.75421949523798</v>
      </c>
      <c r="M602" s="374">
        <f t="shared" si="27"/>
        <v>0</v>
      </c>
      <c r="N602" s="242">
        <f t="shared" si="27"/>
        <v>0</v>
      </c>
      <c r="O602" s="169">
        <f t="shared" si="27"/>
        <v>13913.565588313126</v>
      </c>
    </row>
    <row r="603" spans="1:15" ht="14.4" x14ac:dyDescent="0.3">
      <c r="B603" s="99"/>
      <c r="O603" s="146"/>
    </row>
    <row r="604" spans="1:15" ht="14.4" x14ac:dyDescent="0.3">
      <c r="A604" t="s">
        <v>5202</v>
      </c>
      <c r="B604" s="149" t="s">
        <v>6980</v>
      </c>
      <c r="C604" s="159">
        <f>O602</f>
        <v>13913.565588313126</v>
      </c>
      <c r="D604" s="150"/>
      <c r="E604" s="150"/>
      <c r="F604" s="150"/>
      <c r="G604" s="150"/>
      <c r="H604" s="150"/>
      <c r="I604" s="150"/>
      <c r="J604" s="150"/>
      <c r="K604" s="150"/>
      <c r="L604" s="150"/>
      <c r="M604" s="150"/>
      <c r="N604" s="150"/>
      <c r="O604" s="151"/>
    </row>
    <row r="605" spans="1:15" ht="14.4" x14ac:dyDescent="0.3">
      <c r="C605" s="153"/>
    </row>
    <row r="606" spans="1:15" ht="15.75" customHeight="1" x14ac:dyDescent="0.3">
      <c r="B606" s="384" t="s">
        <v>7123</v>
      </c>
      <c r="C606" s="2997" t="s">
        <v>6402</v>
      </c>
      <c r="D606" s="2999"/>
      <c r="E606" s="3059" t="s">
        <v>6417</v>
      </c>
      <c r="F606" s="3058"/>
    </row>
    <row r="607" spans="1:15" ht="15.75" customHeight="1" x14ac:dyDescent="0.3">
      <c r="B607" s="385" t="s">
        <v>7012</v>
      </c>
      <c r="C607" s="139" t="s">
        <v>7124</v>
      </c>
      <c r="D607" s="245" t="s">
        <v>7125</v>
      </c>
      <c r="E607" s="139" t="s">
        <v>7124</v>
      </c>
      <c r="F607" s="245" t="s">
        <v>7125</v>
      </c>
    </row>
    <row r="608" spans="1:15" ht="14.4" x14ac:dyDescent="0.3">
      <c r="A608" t="s">
        <v>5202</v>
      </c>
      <c r="B608" s="386" t="s">
        <v>7013</v>
      </c>
      <c r="C608" s="387">
        <f xml:space="preserve"> VLOOKUP("Fertilizer value for on-farm use, liquids",$R$1:$T$332,3, FALSE)</f>
        <v>4470.8194261223734</v>
      </c>
      <c r="D608" s="388">
        <f>VLOOKUP("Fertilizer value for on-farm use, liquids",$R$1:$T$332,3, FALSE)</f>
        <v>4470.8194261223734</v>
      </c>
      <c r="E608" s="387"/>
      <c r="F608" s="389">
        <f>VLOOKUP("Fertilizer value for on-farm use, sludge",$R$1:$T$332,3, FALSE)</f>
        <v>11079.496775148771</v>
      </c>
    </row>
    <row r="609" spans="1:6" ht="14.4" x14ac:dyDescent="0.3">
      <c r="A609" t="s">
        <v>5202</v>
      </c>
      <c r="B609" s="386" t="s">
        <v>7126</v>
      </c>
      <c r="C609" s="390">
        <f>C608</f>
        <v>4470.8194261223734</v>
      </c>
      <c r="D609" s="391"/>
      <c r="E609" s="390">
        <f>(F608/UDV.anaer_lagoon.sludge_time)</f>
        <v>1107.9496775148771</v>
      </c>
      <c r="F609" s="391"/>
    </row>
    <row r="610" spans="1:6" ht="14.4" x14ac:dyDescent="0.3">
      <c r="A610" t="s">
        <v>5202</v>
      </c>
      <c r="B610" s="386" t="s">
        <v>7014</v>
      </c>
      <c r="C610" s="393">
        <f>SUM(C609,E609)</f>
        <v>5578.7691036372507</v>
      </c>
      <c r="D610" s="146"/>
      <c r="E610" s="99"/>
      <c r="F610" s="146"/>
    </row>
    <row r="611" spans="1:6" ht="14.4" x14ac:dyDescent="0.3">
      <c r="B611" s="386"/>
      <c r="D611" s="146"/>
      <c r="E611" s="99"/>
      <c r="F611" s="146"/>
    </row>
    <row r="612" spans="1:6" ht="15.75" customHeight="1" x14ac:dyDescent="0.3">
      <c r="B612" s="394" t="s">
        <v>7015</v>
      </c>
      <c r="C612" s="139" t="s">
        <v>7124</v>
      </c>
      <c r="D612" s="245" t="s">
        <v>7125</v>
      </c>
      <c r="E612" s="139" t="s">
        <v>7124</v>
      </c>
      <c r="F612" s="245" t="s">
        <v>7125</v>
      </c>
    </row>
    <row r="613" spans="1:6" ht="14.4" x14ac:dyDescent="0.3">
      <c r="A613" t="s">
        <v>5202</v>
      </c>
      <c r="B613" s="386" t="s">
        <v>7016</v>
      </c>
      <c r="C613" s="387">
        <f>UDV.econ_manure.liquid_sell_price*C514</f>
        <v>0</v>
      </c>
      <c r="D613" s="389">
        <f>UDV.econ_manure.liquid_sell_price*C514</f>
        <v>0</v>
      </c>
      <c r="E613" s="387"/>
      <c r="F613" s="389">
        <f>UDV.econ_manure.sludge_sell_price*C517</f>
        <v>0</v>
      </c>
    </row>
    <row r="614" spans="1:6" ht="14.4" x14ac:dyDescent="0.3">
      <c r="A614" t="s">
        <v>5202</v>
      </c>
      <c r="B614" s="386" t="s">
        <v>7127</v>
      </c>
      <c r="C614" s="390">
        <f>C613</f>
        <v>0</v>
      </c>
      <c r="D614" s="391"/>
      <c r="E614" s="390">
        <f>(F613/UDV.anaer_lagoon.sludge_time)</f>
        <v>0</v>
      </c>
      <c r="F614" s="391"/>
    </row>
    <row r="615" spans="1:6" ht="14.4" x14ac:dyDescent="0.3">
      <c r="A615" t="s">
        <v>5202</v>
      </c>
      <c r="B615" s="386" t="s">
        <v>7017</v>
      </c>
      <c r="C615" s="393">
        <f>SUM(C614,E614)</f>
        <v>0</v>
      </c>
      <c r="D615" s="146"/>
      <c r="E615" s="99"/>
      <c r="F615" s="146"/>
    </row>
    <row r="616" spans="1:6" ht="14.4" x14ac:dyDescent="0.3">
      <c r="B616" s="386"/>
      <c r="C616" s="166"/>
      <c r="D616" s="146"/>
      <c r="E616" s="395"/>
      <c r="F616" s="396"/>
    </row>
    <row r="617" spans="1:6" ht="15.75" customHeight="1" x14ac:dyDescent="0.3">
      <c r="B617" s="397" t="s">
        <v>7018</v>
      </c>
      <c r="C617" s="139" t="s">
        <v>7124</v>
      </c>
      <c r="D617" s="245" t="s">
        <v>7125</v>
      </c>
      <c r="E617" s="139" t="s">
        <v>7124</v>
      </c>
      <c r="F617" s="245" t="s">
        <v>7125</v>
      </c>
    </row>
    <row r="618" spans="1:6" ht="14.4" x14ac:dyDescent="0.3">
      <c r="A618" t="s">
        <v>5202</v>
      </c>
      <c r="B618" s="386" t="s">
        <v>7019</v>
      </c>
      <c r="C618" s="387">
        <f>UDV.econ_manure.liquid_sell_price*C515</f>
        <v>0</v>
      </c>
      <c r="D618" s="389">
        <f>UDV.econ_manure.liquid_sell_price*C515</f>
        <v>0</v>
      </c>
      <c r="E618" s="387">
        <v>0</v>
      </c>
      <c r="F618" s="389">
        <f>UDV.econ_manure.sludge_sell_price*C518</f>
        <v>0</v>
      </c>
    </row>
    <row r="619" spans="1:6" ht="14.4" x14ac:dyDescent="0.3">
      <c r="A619" t="s">
        <v>5202</v>
      </c>
      <c r="B619" s="386" t="s">
        <v>7128</v>
      </c>
      <c r="C619" s="390">
        <f>C618</f>
        <v>0</v>
      </c>
      <c r="D619" s="391"/>
      <c r="E619" s="390">
        <f>(F618/UDV.anaer_lagoon.sludge_time)</f>
        <v>0</v>
      </c>
      <c r="F619" s="391"/>
    </row>
    <row r="620" spans="1:6" ht="14.4" x14ac:dyDescent="0.3">
      <c r="A620" t="s">
        <v>5202</v>
      </c>
      <c r="B620" s="386" t="s">
        <v>7020</v>
      </c>
      <c r="C620" s="393">
        <f>SUM(C619,E619)</f>
        <v>0</v>
      </c>
      <c r="D620" s="146"/>
      <c r="E620" s="99"/>
      <c r="F620" s="146"/>
    </row>
    <row r="621" spans="1:6" ht="14.4" x14ac:dyDescent="0.3">
      <c r="B621" s="386"/>
      <c r="D621" s="146"/>
      <c r="E621" s="99"/>
      <c r="F621" s="146"/>
    </row>
    <row r="622" spans="1:6" ht="15.75" customHeight="1" x14ac:dyDescent="0.3">
      <c r="B622" s="398" t="s">
        <v>7021</v>
      </c>
      <c r="C622" s="139" t="s">
        <v>7124</v>
      </c>
      <c r="D622" s="245" t="s">
        <v>7125</v>
      </c>
      <c r="E622" s="139" t="s">
        <v>7124</v>
      </c>
      <c r="F622" s="245" t="s">
        <v>7125</v>
      </c>
    </row>
    <row r="623" spans="1:6" ht="14.4" x14ac:dyDescent="0.3">
      <c r="A623" t="s">
        <v>5202</v>
      </c>
      <c r="B623" s="386" t="s">
        <v>7022</v>
      </c>
      <c r="C623" s="387">
        <f>UDV.econ_manure.liquid_export_cost*C516</f>
        <v>0</v>
      </c>
      <c r="D623" s="389">
        <f>UDV.econ_manure.liquid_export_cost*C516</f>
        <v>0</v>
      </c>
      <c r="E623" s="387">
        <v>0</v>
      </c>
      <c r="F623" s="389">
        <f>UDV.econ_manure.sludge_export_cost*C519</f>
        <v>0</v>
      </c>
    </row>
    <row r="624" spans="1:6" ht="14.4" x14ac:dyDescent="0.3">
      <c r="A624" t="s">
        <v>5202</v>
      </c>
      <c r="B624" s="386" t="s">
        <v>7129</v>
      </c>
      <c r="C624" s="390">
        <f>C623</f>
        <v>0</v>
      </c>
      <c r="D624" s="391"/>
      <c r="E624" s="390">
        <f>(F623/UDV.anaer_lagoon.sludge_time)</f>
        <v>0</v>
      </c>
      <c r="F624" s="391"/>
    </row>
    <row r="625" spans="1:17" ht="14.4" x14ac:dyDescent="0.3">
      <c r="A625" t="s">
        <v>5202</v>
      </c>
      <c r="B625" s="386" t="s">
        <v>7023</v>
      </c>
      <c r="C625" s="393">
        <f>SUM(C624,E624)</f>
        <v>0</v>
      </c>
      <c r="D625" s="146"/>
      <c r="E625" s="99"/>
      <c r="F625" s="146"/>
    </row>
    <row r="626" spans="1:17" ht="14.4" x14ac:dyDescent="0.3">
      <c r="B626" s="386"/>
      <c r="D626" s="146"/>
      <c r="E626" s="99"/>
      <c r="F626" s="146"/>
    </row>
    <row r="627" spans="1:17" ht="15.75" customHeight="1" x14ac:dyDescent="0.3">
      <c r="B627" s="303" t="s">
        <v>7138</v>
      </c>
      <c r="C627" s="173" t="s">
        <v>7025</v>
      </c>
      <c r="D627" s="173"/>
      <c r="E627" s="99"/>
      <c r="F627" s="146"/>
    </row>
    <row r="628" spans="1:17" ht="14.4" x14ac:dyDescent="0.3">
      <c r="B628" s="70" t="s">
        <v>7139</v>
      </c>
      <c r="C628" s="265"/>
      <c r="D628" s="151"/>
      <c r="E628" s="149"/>
      <c r="F628" s="151"/>
    </row>
    <row r="629" spans="1:17" ht="15" thickBot="1" x14ac:dyDescent="0.35">
      <c r="A629" s="137"/>
      <c r="B629" s="137"/>
      <c r="C629" s="137"/>
      <c r="D629" s="137"/>
      <c r="E629" s="137"/>
      <c r="F629" s="137"/>
      <c r="G629" s="137"/>
      <c r="H629" s="137"/>
      <c r="I629" s="137"/>
      <c r="J629" s="137"/>
      <c r="K629" s="137"/>
      <c r="L629" s="137"/>
      <c r="M629" s="137"/>
      <c r="N629" s="137"/>
      <c r="O629" s="137"/>
      <c r="P629" s="137"/>
      <c r="Q629" s="137"/>
    </row>
    <row r="630" spans="1:17" ht="14.4" x14ac:dyDescent="0.3"/>
    <row r="631" spans="1:17" ht="15.75" customHeight="1" x14ac:dyDescent="0.3">
      <c r="B631" s="82" t="s">
        <v>7243</v>
      </c>
      <c r="C631" s="170" t="s">
        <v>7260</v>
      </c>
    </row>
    <row r="633" spans="1:17" ht="15.75" customHeight="1" x14ac:dyDescent="0.3">
      <c r="B633" s="139" t="s">
        <v>6983</v>
      </c>
      <c r="C633" s="140" t="s">
        <v>565</v>
      </c>
      <c r="D633" s="140" t="s">
        <v>38</v>
      </c>
      <c r="E633" s="142"/>
      <c r="F633" s="141"/>
    </row>
    <row r="634" spans="1:17" ht="15.75" customHeight="1" x14ac:dyDescent="0.3">
      <c r="B634" s="99" t="s">
        <v>7028</v>
      </c>
      <c r="C634">
        <f>UDV.crops.acres_available</f>
        <v>100</v>
      </c>
      <c r="D634" t="s">
        <v>7029</v>
      </c>
      <c r="E634" s="34"/>
      <c r="F634" s="146"/>
    </row>
    <row r="635" spans="1:17" ht="15.75" customHeight="1" x14ac:dyDescent="0.3">
      <c r="B635" s="99" t="s">
        <v>7109</v>
      </c>
      <c r="C635" s="166">
        <f>UDV.econ_manure.liquid_sell_pct*VLOOKUP("Excess volume, lagoon liquid manure",$R$1:$T$332, 3, FALSE)</f>
        <v>0</v>
      </c>
      <c r="D635" t="s">
        <v>5246</v>
      </c>
      <c r="F635" s="146"/>
    </row>
    <row r="636" spans="1:17" ht="15.75" customHeight="1" x14ac:dyDescent="0.3">
      <c r="B636" s="99" t="s">
        <v>7110</v>
      </c>
      <c r="C636" s="166">
        <f>UDV.econ_manure.liquid_give_pct*VLOOKUP("Excess volume, lagoon liquid manure",$R$1:$T$332, 3, FALSE)</f>
        <v>0</v>
      </c>
      <c r="D636" t="s">
        <v>5246</v>
      </c>
      <c r="F636" s="146"/>
    </row>
    <row r="637" spans="1:17" ht="15.75" customHeight="1" x14ac:dyDescent="0.3">
      <c r="B637" s="99" t="s">
        <v>7111</v>
      </c>
      <c r="C637" s="166">
        <f>UDV.econ_manure.liquid_export_pct*VLOOKUP("Excess volume, lagoon liquid manure",$R$1:$T$332, 3, FALSE)</f>
        <v>0</v>
      </c>
      <c r="D637" t="s">
        <v>5246</v>
      </c>
      <c r="F637" s="146"/>
    </row>
    <row r="638" spans="1:17" ht="15.75" customHeight="1" x14ac:dyDescent="0.3">
      <c r="B638" s="99" t="s">
        <v>7112</v>
      </c>
      <c r="C638" s="166">
        <f>UDV.econ_manure.sludge_sell_pct*VLOOKUP("Excess volume, lagoon sludge manure",$R$1:$T$332, 3, FALSE)</f>
        <v>0</v>
      </c>
      <c r="D638" t="s">
        <v>5249</v>
      </c>
      <c r="F638" s="146"/>
    </row>
    <row r="639" spans="1:17" ht="15.75" customHeight="1" x14ac:dyDescent="0.3">
      <c r="B639" s="99" t="s">
        <v>7113</v>
      </c>
      <c r="C639" s="166">
        <f>UDV.econ_manure.sludge_give_pct*VLOOKUP("Excess volume, lagoon sludge manure",$R$1:$T$332, 3, FALSE)</f>
        <v>0</v>
      </c>
      <c r="D639" t="s">
        <v>5249</v>
      </c>
      <c r="F639" s="146"/>
    </row>
    <row r="640" spans="1:17" ht="15.75" customHeight="1" x14ac:dyDescent="0.3">
      <c r="B640" s="99" t="s">
        <v>7114</v>
      </c>
      <c r="C640" s="166">
        <f>UDV.econ_manure.sludge_export_pct*VLOOKUP("Excess volume, lagoon sludge manure",$R$1:$T$332, 3, FALSE)</f>
        <v>0</v>
      </c>
      <c r="D640" t="s">
        <v>5249</v>
      </c>
      <c r="F640" s="146"/>
    </row>
    <row r="641" spans="2:6" ht="14.4" x14ac:dyDescent="0.3">
      <c r="B641" s="99"/>
      <c r="F641" s="151"/>
    </row>
    <row r="642" spans="2:6" ht="15.75" customHeight="1" x14ac:dyDescent="0.3">
      <c r="B642" s="92" t="s">
        <v>6942</v>
      </c>
      <c r="C642" s="82"/>
      <c r="D642" s="82"/>
      <c r="E642" s="139" t="s">
        <v>6988</v>
      </c>
      <c r="F642" s="141"/>
    </row>
    <row r="643" spans="2:6" ht="15.75" customHeight="1" x14ac:dyDescent="0.3">
      <c r="B643" s="175" t="s">
        <v>2908</v>
      </c>
      <c r="C643" s="82"/>
      <c r="D643" s="82"/>
      <c r="E643" s="92"/>
      <c r="F643" s="146"/>
    </row>
    <row r="644" spans="2:6" ht="15.75" customHeight="1" x14ac:dyDescent="0.3">
      <c r="B644" s="143" t="s">
        <v>2663</v>
      </c>
      <c r="C644" s="144" t="s">
        <v>565</v>
      </c>
      <c r="D644" s="144" t="s">
        <v>6943</v>
      </c>
      <c r="E644" s="143" t="s">
        <v>565</v>
      </c>
      <c r="F644" s="145" t="s">
        <v>6944</v>
      </c>
    </row>
    <row r="645" spans="2:6" ht="14.4" x14ac:dyDescent="0.3">
      <c r="B645" s="99" t="s">
        <v>5708</v>
      </c>
      <c r="C645" s="147">
        <f t="shared" ref="C645:C653" si="28">VLOOKUP(B645,$R:$U,3,FALSE)</f>
        <v>3000</v>
      </c>
      <c r="D645" t="s">
        <v>2514</v>
      </c>
      <c r="E645" s="99">
        <f t="shared" ref="E645:E653" si="29">C645</f>
        <v>3000</v>
      </c>
      <c r="F645" s="146" t="s">
        <v>2514</v>
      </c>
    </row>
    <row r="646" spans="2:6" ht="14.4" x14ac:dyDescent="0.3">
      <c r="B646" s="99" t="s">
        <v>5709</v>
      </c>
      <c r="C646" s="147">
        <f t="shared" si="28"/>
        <v>1</v>
      </c>
      <c r="D646" t="s">
        <v>2442</v>
      </c>
      <c r="E646" s="99">
        <f t="shared" si="29"/>
        <v>1</v>
      </c>
      <c r="F646" s="146" t="s">
        <v>2442</v>
      </c>
    </row>
    <row r="647" spans="2:6" ht="14.4" x14ac:dyDescent="0.3">
      <c r="B647" s="99" t="s">
        <v>5710</v>
      </c>
      <c r="C647" s="147">
        <f t="shared" si="28"/>
        <v>1</v>
      </c>
      <c r="D647" t="s">
        <v>2442</v>
      </c>
      <c r="E647" s="99">
        <f t="shared" si="29"/>
        <v>1</v>
      </c>
      <c r="F647" s="146" t="s">
        <v>2442</v>
      </c>
    </row>
    <row r="648" spans="2:6" ht="15.75" customHeight="1" x14ac:dyDescent="0.3">
      <c r="B648" s="99" t="s">
        <v>5688</v>
      </c>
      <c r="C648" s="147">
        <f t="shared" si="28"/>
        <v>580</v>
      </c>
      <c r="D648" t="s">
        <v>5689</v>
      </c>
      <c r="E648" s="99">
        <f t="shared" si="29"/>
        <v>580</v>
      </c>
      <c r="F648" s="146" t="s">
        <v>5689</v>
      </c>
    </row>
    <row r="649" spans="2:6" ht="14.4" x14ac:dyDescent="0.3">
      <c r="B649" s="99" t="s">
        <v>5701</v>
      </c>
      <c r="C649" s="147">
        <f t="shared" si="28"/>
        <v>340</v>
      </c>
      <c r="D649" s="146" t="s">
        <v>971</v>
      </c>
      <c r="E649">
        <f t="shared" si="29"/>
        <v>340</v>
      </c>
      <c r="F649" s="146" t="s">
        <v>971</v>
      </c>
    </row>
    <row r="650" spans="2:6" ht="14.4" x14ac:dyDescent="0.3">
      <c r="B650" s="99" t="s">
        <v>5738</v>
      </c>
      <c r="C650" s="147">
        <f t="shared" si="28"/>
        <v>1</v>
      </c>
      <c r="D650" s="146" t="s">
        <v>2442</v>
      </c>
      <c r="E650">
        <f t="shared" si="29"/>
        <v>1</v>
      </c>
      <c r="F650" s="146" t="s">
        <v>2442</v>
      </c>
    </row>
    <row r="651" spans="2:6" ht="14.4" x14ac:dyDescent="0.3">
      <c r="B651" s="99" t="s">
        <v>5702</v>
      </c>
      <c r="C651" s="147">
        <f t="shared" si="28"/>
        <v>1</v>
      </c>
      <c r="D651" s="146" t="s">
        <v>2442</v>
      </c>
      <c r="E651">
        <f t="shared" si="29"/>
        <v>1</v>
      </c>
      <c r="F651" s="146" t="s">
        <v>2442</v>
      </c>
    </row>
    <row r="652" spans="2:6" ht="14.4" x14ac:dyDescent="0.3">
      <c r="B652" s="99" t="s">
        <v>5739</v>
      </c>
      <c r="C652" s="147">
        <f t="shared" si="28"/>
        <v>2</v>
      </c>
      <c r="D652" t="s">
        <v>2971</v>
      </c>
      <c r="E652" s="201">
        <f t="shared" si="29"/>
        <v>2</v>
      </c>
      <c r="F652" s="146" t="s">
        <v>2971</v>
      </c>
    </row>
    <row r="653" spans="2:6" ht="14.4" x14ac:dyDescent="0.3">
      <c r="B653" s="99" t="s">
        <v>5732</v>
      </c>
      <c r="C653" s="147" t="str">
        <f t="shared" si="28"/>
        <v>Injection</v>
      </c>
      <c r="D653" t="s">
        <v>7042</v>
      </c>
      <c r="E653" s="165" t="str">
        <f t="shared" si="29"/>
        <v>Injection</v>
      </c>
      <c r="F653" s="146" t="s">
        <v>7042</v>
      </c>
    </row>
    <row r="654" spans="2:6" ht="14.4" x14ac:dyDescent="0.3">
      <c r="B654" s="99"/>
      <c r="C654" s="82"/>
      <c r="D654" s="82"/>
      <c r="E654" s="92"/>
      <c r="F654" s="146"/>
    </row>
    <row r="655" spans="2:6" ht="14.4" x14ac:dyDescent="0.3">
      <c r="B655" s="175" t="s">
        <v>7115</v>
      </c>
      <c r="C655" s="147"/>
      <c r="E655" s="99"/>
      <c r="F655" s="146"/>
    </row>
    <row r="656" spans="2:6" ht="14.4" x14ac:dyDescent="0.3">
      <c r="B656" s="143" t="s">
        <v>2663</v>
      </c>
      <c r="C656" s="147"/>
      <c r="E656" s="99"/>
      <c r="F656" s="146"/>
    </row>
    <row r="657" spans="2:10" ht="14.4" x14ac:dyDescent="0.3">
      <c r="B657" s="99" t="s">
        <v>6407</v>
      </c>
      <c r="C657" s="147">
        <f>VLOOKUP(B657,$R:$U,3,FALSE)</f>
        <v>23.05560022574312</v>
      </c>
      <c r="D657" t="s">
        <v>5385</v>
      </c>
      <c r="E657" s="178">
        <f>C657</f>
        <v>23.05560022574312</v>
      </c>
      <c r="F657" s="146" t="s">
        <v>5385</v>
      </c>
    </row>
    <row r="658" spans="2:10" ht="14.4" x14ac:dyDescent="0.3">
      <c r="B658" s="99" t="s">
        <v>6409</v>
      </c>
      <c r="C658" s="147">
        <f>VLOOKUP(B658,$R:$U,3,FALSE)</f>
        <v>931.22205127489565</v>
      </c>
      <c r="D658" t="s">
        <v>5323</v>
      </c>
      <c r="E658" s="178">
        <f>C658</f>
        <v>931.22205127489565</v>
      </c>
      <c r="F658" s="146" t="s">
        <v>5323</v>
      </c>
    </row>
    <row r="659" spans="2:10" ht="14.4" x14ac:dyDescent="0.3">
      <c r="B659" s="99" t="s">
        <v>6390</v>
      </c>
      <c r="C659" s="205">
        <f>VLOOKUP(B659,$R:$U, 3, FALSE)</f>
        <v>6.9166800677229361</v>
      </c>
      <c r="D659" t="s">
        <v>2472</v>
      </c>
      <c r="E659" s="178">
        <f>C659</f>
        <v>6.9166800677229361</v>
      </c>
      <c r="F659" s="146" t="s">
        <v>2710</v>
      </c>
    </row>
    <row r="660" spans="2:10" ht="15.75" customHeight="1" x14ac:dyDescent="0.3">
      <c r="B660" s="99"/>
      <c r="C660" s="82"/>
      <c r="D660" s="82"/>
      <c r="E660" s="92"/>
      <c r="F660" s="146"/>
    </row>
    <row r="661" spans="2:10" ht="15.75" customHeight="1" x14ac:dyDescent="0.3">
      <c r="B661" s="175" t="s">
        <v>7237</v>
      </c>
      <c r="E661" s="99"/>
      <c r="F661" s="146"/>
    </row>
    <row r="662" spans="2:10" ht="15.75" customHeight="1" x14ac:dyDescent="0.3">
      <c r="B662" s="143" t="s">
        <v>2663</v>
      </c>
      <c r="C662" s="144" t="s">
        <v>565</v>
      </c>
      <c r="D662" s="144" t="s">
        <v>6943</v>
      </c>
      <c r="E662" s="143" t="s">
        <v>565</v>
      </c>
      <c r="F662" s="145" t="s">
        <v>6944</v>
      </c>
      <c r="G662" s="1222" t="s">
        <v>3007</v>
      </c>
      <c r="H662" s="1215" t="s">
        <v>6993</v>
      </c>
      <c r="I662" s="142"/>
      <c r="J662" s="141"/>
    </row>
    <row r="663" spans="2:10" ht="14.4" x14ac:dyDescent="0.3">
      <c r="B663" s="99" t="s">
        <v>6401</v>
      </c>
      <c r="C663" s="147">
        <f>VLOOKUP(B663,$R:$U,3,FALSE)</f>
        <v>182.5</v>
      </c>
      <c r="D663" t="s">
        <v>5121</v>
      </c>
      <c r="E663" s="201">
        <f>UC.year_to_day/C663</f>
        <v>2</v>
      </c>
      <c r="F663" s="146" t="s">
        <v>7043</v>
      </c>
      <c r="G663" s="42" t="s">
        <v>7131</v>
      </c>
      <c r="H663" s="92" t="s">
        <v>4838</v>
      </c>
      <c r="I663" s="1216" t="s">
        <v>2710</v>
      </c>
      <c r="J663" s="285">
        <f>(SUM(E665:E667)*UDV.OPEX_labor.tractor_stationary)+(SUM(E668:E670)*UDV.OPEX_labor.tractor_active)+E659</f>
        <v>7.802973615840564</v>
      </c>
    </row>
    <row r="664" spans="2:10" ht="14.4" x14ac:dyDescent="0.3">
      <c r="B664" s="99" t="s">
        <v>5713</v>
      </c>
      <c r="C664" s="147">
        <f>VLOOKUP(B664,$R:$U,3,FALSE)</f>
        <v>0.17344296440658091</v>
      </c>
      <c r="D664" s="146" t="s">
        <v>6085</v>
      </c>
      <c r="E664" s="147">
        <f>C664*E663</f>
        <v>0.34688592881316183</v>
      </c>
      <c r="F664" s="146" t="s">
        <v>2710</v>
      </c>
      <c r="G664" s="42" t="s">
        <v>7132</v>
      </c>
      <c r="H664" s="1217" t="s">
        <v>5444</v>
      </c>
      <c r="I664" s="1216" t="s">
        <v>6085</v>
      </c>
      <c r="J664" s="285">
        <f>(SUM(E686:E688)*UDV.OPEX_labor.tractor_stationary)+(SUM(E689:E691)*UDV.OPEX_labor.tractor_active)</f>
        <v>13.499534257177297</v>
      </c>
    </row>
    <row r="665" spans="2:10" ht="14.4" x14ac:dyDescent="0.3">
      <c r="B665" s="99" t="s">
        <v>6543</v>
      </c>
      <c r="C665" s="204">
        <f>C664</f>
        <v>0.17344296440658091</v>
      </c>
      <c r="D665" s="141" t="s">
        <v>6085</v>
      </c>
      <c r="E665" s="178">
        <f>C665*E663</f>
        <v>0.34688592881316183</v>
      </c>
      <c r="F665" s="146" t="s">
        <v>2710</v>
      </c>
      <c r="G665" s="42" t="s">
        <v>7133</v>
      </c>
      <c r="H665" s="1218" t="s">
        <v>5445</v>
      </c>
      <c r="I665" s="1216" t="s">
        <v>6995</v>
      </c>
      <c r="J665" s="285">
        <f>SUM(J663:J664)</f>
        <v>21.302507873017859</v>
      </c>
    </row>
    <row r="666" spans="2:10" ht="15.75" customHeight="1" x14ac:dyDescent="0.3">
      <c r="B666" s="99" t="s">
        <v>6544</v>
      </c>
      <c r="C666" s="205">
        <f>C664</f>
        <v>0.17344296440658091</v>
      </c>
      <c r="D666" s="146" t="s">
        <v>6085</v>
      </c>
      <c r="E666" s="178">
        <f>C666*E663</f>
        <v>0.34688592881316183</v>
      </c>
      <c r="F666" s="146" t="s">
        <v>2710</v>
      </c>
      <c r="G666" s="42" t="s">
        <v>7134</v>
      </c>
      <c r="H666" s="1219" t="s">
        <v>5446</v>
      </c>
      <c r="I666" s="1220" t="s">
        <v>5447</v>
      </c>
      <c r="J666" s="1221">
        <f>J663+(J664/UDV.anaer_lagoon.sludge_time)</f>
        <v>9.1529270415582928</v>
      </c>
    </row>
    <row r="667" spans="2:10" ht="15.75" customHeight="1" x14ac:dyDescent="0.3">
      <c r="B667" s="99" t="s">
        <v>6545</v>
      </c>
      <c r="C667" s="205">
        <f>C664</f>
        <v>0.17344296440658091</v>
      </c>
      <c r="D667" s="146" t="s">
        <v>6085</v>
      </c>
      <c r="E667" s="178">
        <f>C667*E663</f>
        <v>0.34688592881316183</v>
      </c>
      <c r="F667" s="146" t="s">
        <v>2710</v>
      </c>
    </row>
    <row r="668" spans="2:10" ht="15.75" customHeight="1" x14ac:dyDescent="0.3">
      <c r="B668" s="99" t="s">
        <v>6546</v>
      </c>
      <c r="C668" s="205">
        <f>C664*UDV.dhl.application_maneuver_factor</f>
        <v>0.19945940906756804</v>
      </c>
      <c r="D668" s="146" t="s">
        <v>6085</v>
      </c>
      <c r="E668" s="178">
        <f>C668*E663</f>
        <v>0.39891881813513608</v>
      </c>
      <c r="F668" s="146" t="s">
        <v>2710</v>
      </c>
    </row>
    <row r="669" spans="2:10" ht="14.4" x14ac:dyDescent="0.3">
      <c r="B669" s="99" t="s">
        <v>6547</v>
      </c>
      <c r="C669" s="205">
        <f>C664*UDV.dhl.hose_mover_utilization</f>
        <v>0.13008222330493568</v>
      </c>
      <c r="D669" s="146" t="s">
        <v>6085</v>
      </c>
      <c r="E669" s="178">
        <f>C669*E663</f>
        <v>0.26016444660987137</v>
      </c>
      <c r="F669" s="146" t="s">
        <v>2710</v>
      </c>
    </row>
    <row r="670" spans="2:10" ht="14.4" x14ac:dyDescent="0.3">
      <c r="B670" s="99" t="s">
        <v>6548</v>
      </c>
      <c r="C670" s="209">
        <f>C664*UDV.dhl.pickup_utilization</f>
        <v>2.6016444660987136E-2</v>
      </c>
      <c r="D670" s="151" t="s">
        <v>6085</v>
      </c>
      <c r="E670" s="178">
        <f>C670*E663</f>
        <v>5.2032889321974272E-2</v>
      </c>
      <c r="F670" s="146" t="s">
        <v>2710</v>
      </c>
    </row>
    <row r="671" spans="2:10" ht="14.4" x14ac:dyDescent="0.3">
      <c r="B671" s="99" t="s">
        <v>5714</v>
      </c>
      <c r="C671" s="147">
        <f t="shared" ref="C671:C680" si="30">VLOOKUP(B671,$R:$U,3,FALSE)</f>
        <v>3.1219733593184564</v>
      </c>
      <c r="D671" t="s">
        <v>2489</v>
      </c>
      <c r="E671" s="178">
        <f>C671*E663</f>
        <v>6.2439467186369129</v>
      </c>
      <c r="F671" s="146" t="s">
        <v>7135</v>
      </c>
    </row>
    <row r="672" spans="2:10" ht="14.4" x14ac:dyDescent="0.3">
      <c r="B672" s="99" t="s">
        <v>5715</v>
      </c>
      <c r="C672" s="147">
        <f t="shared" si="30"/>
        <v>1.3008222330493568</v>
      </c>
      <c r="D672" t="s">
        <v>2489</v>
      </c>
      <c r="E672" s="178">
        <f>C672*E663</f>
        <v>2.6016444660987137</v>
      </c>
      <c r="F672" s="146" t="s">
        <v>7135</v>
      </c>
    </row>
    <row r="673" spans="2:11" ht="14.4" x14ac:dyDescent="0.3">
      <c r="B673" s="99" t="s">
        <v>5716</v>
      </c>
      <c r="C673" s="147">
        <f t="shared" si="30"/>
        <v>1.0406577864394855</v>
      </c>
      <c r="D673" t="s">
        <v>2489</v>
      </c>
      <c r="E673" s="178">
        <f>C673*E663</f>
        <v>2.081315572878971</v>
      </c>
      <c r="F673" s="146" t="s">
        <v>7135</v>
      </c>
    </row>
    <row r="674" spans="2:11" ht="14.4" x14ac:dyDescent="0.3">
      <c r="B674" s="99" t="s">
        <v>5740</v>
      </c>
      <c r="C674" s="147">
        <f t="shared" si="30"/>
        <v>25.52</v>
      </c>
      <c r="D674" t="s">
        <v>6549</v>
      </c>
      <c r="E674" s="178">
        <f t="shared" ref="E674:E675" si="31">C674*E668</f>
        <v>10.180408238808672</v>
      </c>
      <c r="F674" s="146" t="s">
        <v>7135</v>
      </c>
    </row>
    <row r="675" spans="2:11" ht="14.4" x14ac:dyDescent="0.3">
      <c r="B675" s="99" t="s">
        <v>5741</v>
      </c>
      <c r="C675" s="147">
        <f t="shared" si="30"/>
        <v>14.959999999999999</v>
      </c>
      <c r="D675" t="s">
        <v>6549</v>
      </c>
      <c r="E675" s="178">
        <f t="shared" si="31"/>
        <v>3.8920601212836754</v>
      </c>
      <c r="F675" s="146" t="s">
        <v>7135</v>
      </c>
    </row>
    <row r="676" spans="2:11" ht="14.4" x14ac:dyDescent="0.3">
      <c r="B676" s="99" t="s">
        <v>5717</v>
      </c>
      <c r="C676" s="147">
        <f t="shared" si="30"/>
        <v>0.15609866796592281</v>
      </c>
      <c r="D676" t="s">
        <v>2489</v>
      </c>
      <c r="E676" s="178">
        <f>C676*E663</f>
        <v>0.31219733593184562</v>
      </c>
      <c r="F676" s="146" t="s">
        <v>7135</v>
      </c>
    </row>
    <row r="677" spans="2:11" ht="15.75" customHeight="1" x14ac:dyDescent="0.3">
      <c r="B677" s="99" t="s">
        <v>6403</v>
      </c>
      <c r="C677" s="147">
        <f t="shared" si="30"/>
        <v>1181.7954759720228</v>
      </c>
      <c r="D677" t="s">
        <v>5910</v>
      </c>
      <c r="E677" s="164">
        <f>CONVERT(C677,"m^3","gal")*E663</f>
        <v>624394.67271020834</v>
      </c>
      <c r="F677" s="146" t="s">
        <v>5324</v>
      </c>
    </row>
    <row r="678" spans="2:11" ht="15.75" customHeight="1" x14ac:dyDescent="0.3">
      <c r="B678" s="99" t="s">
        <v>6404</v>
      </c>
      <c r="C678" s="78">
        <f t="shared" si="30"/>
        <v>1.0091096241407453</v>
      </c>
      <c r="D678" s="146" t="s">
        <v>2413</v>
      </c>
      <c r="E678" s="201">
        <f>C678*UC.g_to_lb/UC.L_to_gal*1000</f>
        <v>8.4214280250541371</v>
      </c>
      <c r="F678" s="146" t="s">
        <v>2414</v>
      </c>
    </row>
    <row r="679" spans="2:11" ht="14.4" x14ac:dyDescent="0.3">
      <c r="B679" s="99" t="s">
        <v>6405</v>
      </c>
      <c r="C679" s="78">
        <f t="shared" si="30"/>
        <v>0.77291508964248568</v>
      </c>
      <c r="D679" s="146" t="s">
        <v>2413</v>
      </c>
      <c r="E679" s="201">
        <f>C679*UC.g_to_lb/UC.L_to_gal*1000</f>
        <v>6.450289087714232</v>
      </c>
      <c r="F679" s="146" t="s">
        <v>2414</v>
      </c>
    </row>
    <row r="680" spans="2:11" ht="14.4" x14ac:dyDescent="0.3">
      <c r="B680" s="99" t="s">
        <v>6406</v>
      </c>
      <c r="C680" s="78">
        <f t="shared" si="30"/>
        <v>1.1744351577487824</v>
      </c>
      <c r="D680" s="146" t="s">
        <v>2413</v>
      </c>
      <c r="E680" s="201">
        <f>C680*UC.g_to_lb/UC.L_to_gal*1000</f>
        <v>9.801136481575174</v>
      </c>
      <c r="F680" s="146" t="s">
        <v>2414</v>
      </c>
    </row>
    <row r="681" spans="2:11" ht="14.4" x14ac:dyDescent="0.3">
      <c r="B681" s="99"/>
      <c r="E681" s="99"/>
      <c r="F681" s="146"/>
    </row>
    <row r="682" spans="2:11" ht="15.75" customHeight="1" x14ac:dyDescent="0.3">
      <c r="B682" s="175" t="s">
        <v>7238</v>
      </c>
      <c r="E682" s="99"/>
      <c r="F682" s="146"/>
    </row>
    <row r="683" spans="2:11" ht="15.75" customHeight="1" x14ac:dyDescent="0.3">
      <c r="B683" s="143" t="s">
        <v>2663</v>
      </c>
      <c r="C683" s="144" t="s">
        <v>565</v>
      </c>
      <c r="D683" s="144" t="s">
        <v>6943</v>
      </c>
      <c r="E683" s="143" t="s">
        <v>565</v>
      </c>
      <c r="F683" s="145" t="s">
        <v>6944</v>
      </c>
    </row>
    <row r="684" spans="2:11" ht="15.75" customHeight="1" x14ac:dyDescent="0.3">
      <c r="B684" s="99" t="s">
        <v>6416</v>
      </c>
      <c r="C684" s="382">
        <f>VLOOKUP(B684,$X:$AA,3,FALSE)</f>
        <v>10</v>
      </c>
      <c r="D684" t="s">
        <v>2669</v>
      </c>
      <c r="E684" s="99">
        <f>C684</f>
        <v>10</v>
      </c>
      <c r="F684" s="146" t="s">
        <v>2669</v>
      </c>
    </row>
    <row r="685" spans="2:11" ht="15.75" customHeight="1" x14ac:dyDescent="0.3">
      <c r="B685" s="99" t="s">
        <v>5713</v>
      </c>
      <c r="C685" s="382">
        <f>VLOOKUP(B685,$X:$AA,3,FALSE)</f>
        <v>5.2835750517327966</v>
      </c>
      <c r="D685" s="146" t="s">
        <v>6085</v>
      </c>
      <c r="E685" s="311">
        <f>C685</f>
        <v>5.2835750517327966</v>
      </c>
      <c r="F685" s="146" t="s">
        <v>6085</v>
      </c>
    </row>
    <row r="686" spans="2:11" ht="14.4" x14ac:dyDescent="0.3">
      <c r="B686" s="99" t="s">
        <v>6543</v>
      </c>
      <c r="C686" s="400">
        <f>C685</f>
        <v>5.2835750517327966</v>
      </c>
      <c r="D686" s="141" t="s">
        <v>6085</v>
      </c>
      <c r="E686" s="401">
        <f>E685</f>
        <v>5.2835750517327966</v>
      </c>
      <c r="F686" s="146" t="s">
        <v>6085</v>
      </c>
    </row>
    <row r="687" spans="2:11" ht="14.4" x14ac:dyDescent="0.3">
      <c r="B687" s="99" t="s">
        <v>6544</v>
      </c>
      <c r="C687" s="78">
        <f>C685</f>
        <v>5.2835750517327966</v>
      </c>
      <c r="D687" t="s">
        <v>6085</v>
      </c>
      <c r="E687" s="401">
        <f>E685</f>
        <v>5.2835750517327966</v>
      </c>
      <c r="F687" s="146" t="s">
        <v>6085</v>
      </c>
    </row>
    <row r="688" spans="2:11" ht="15.75" customHeight="1" x14ac:dyDescent="0.3">
      <c r="B688" s="99" t="s">
        <v>6545</v>
      </c>
      <c r="C688" s="78">
        <f>C685</f>
        <v>5.2835750517327966</v>
      </c>
      <c r="D688" t="s">
        <v>6085</v>
      </c>
      <c r="E688" s="401">
        <f>E685</f>
        <v>5.2835750517327966</v>
      </c>
      <c r="F688" s="146" t="s">
        <v>6085</v>
      </c>
      <c r="H688" s="139" t="s">
        <v>7033</v>
      </c>
      <c r="I688" s="142"/>
      <c r="J688" s="142"/>
      <c r="K688" s="141"/>
    </row>
    <row r="689" spans="2:11" ht="14.4" x14ac:dyDescent="0.3">
      <c r="B689" s="99" t="s">
        <v>7136</v>
      </c>
      <c r="C689" s="78">
        <f>C685*UDV.dhl.application_maneuver_factor</f>
        <v>6.0761113094927159</v>
      </c>
      <c r="D689" t="s">
        <v>6085</v>
      </c>
      <c r="E689" s="401">
        <f>E685*VLOOKUP("NAPercent time for useApplicator tractor for drag hose land applicationDefault",Econ.inputsTable!$E:$G,2,FALSE)</f>
        <v>6.0761113094927159</v>
      </c>
      <c r="F689" s="146" t="s">
        <v>6085</v>
      </c>
      <c r="H689" s="99" t="s">
        <v>7034</v>
      </c>
      <c r="K689" s="146"/>
    </row>
    <row r="690" spans="2:11" ht="14.4" x14ac:dyDescent="0.3">
      <c r="B690" s="99" t="s">
        <v>7137</v>
      </c>
      <c r="C690" s="78">
        <f>C685*UDV.dhl.hose_mover_utilization</f>
        <v>3.9626812887995975</v>
      </c>
      <c r="D690" t="s">
        <v>6085</v>
      </c>
      <c r="E690" s="401">
        <f>E685*VLOOKUP("NAPercent time for useHose mover tractor for drag hose land applicationDefault",Econ.inputsTable!$E:$G,2,FALSE)</f>
        <v>3.9626812887995975</v>
      </c>
      <c r="F690" s="146" t="s">
        <v>6085</v>
      </c>
      <c r="H690" s="99" t="s">
        <v>7035</v>
      </c>
      <c r="K690" s="146"/>
    </row>
    <row r="691" spans="2:11" ht="15.75" customHeight="1" x14ac:dyDescent="0.3">
      <c r="B691" s="99" t="s">
        <v>6548</v>
      </c>
      <c r="C691" s="312">
        <f>C685*UDV.dhl.pickup_utilization</f>
        <v>0.79253625775991943</v>
      </c>
      <c r="D691" s="151" t="s">
        <v>6085</v>
      </c>
      <c r="E691" s="311">
        <f>E685*VLOOKUP("NAPercent time for usePickup truck for drag hose land applicationDefault",Econ.inputsTable!$E:$G,2,FALSE)</f>
        <v>0.79253625775991943</v>
      </c>
      <c r="F691" s="146" t="s">
        <v>6085</v>
      </c>
      <c r="H691" s="235" t="s">
        <v>7047</v>
      </c>
      <c r="K691" s="146"/>
    </row>
    <row r="692" spans="2:11" ht="15.75" customHeight="1" x14ac:dyDescent="0.3">
      <c r="B692" s="99" t="s">
        <v>5714</v>
      </c>
      <c r="C692" s="382">
        <f t="shared" ref="C692:C701" si="32">VLOOKUP(B692,$X:$AA,3,FALSE)</f>
        <v>95.104350931190339</v>
      </c>
      <c r="D692" t="s">
        <v>2489</v>
      </c>
      <c r="E692" s="178">
        <f>C692</f>
        <v>95.104350931190339</v>
      </c>
      <c r="F692" s="146" t="s">
        <v>6087</v>
      </c>
      <c r="G692" s="147"/>
      <c r="H692" s="235" t="s">
        <v>7037</v>
      </c>
      <c r="K692" s="146"/>
    </row>
    <row r="693" spans="2:11" ht="15.75" customHeight="1" x14ac:dyDescent="0.3">
      <c r="B693" s="99" t="s">
        <v>5715</v>
      </c>
      <c r="C693" s="382">
        <f t="shared" si="32"/>
        <v>39.626812887995975</v>
      </c>
      <c r="D693" t="s">
        <v>2489</v>
      </c>
      <c r="E693" s="178">
        <f>C693</f>
        <v>39.626812887995975</v>
      </c>
      <c r="F693" s="146" t="s">
        <v>6087</v>
      </c>
      <c r="H693" s="235" t="s">
        <v>7038</v>
      </c>
      <c r="K693" s="146"/>
    </row>
    <row r="694" spans="2:11" ht="15.75" customHeight="1" x14ac:dyDescent="0.3">
      <c r="B694" s="99" t="s">
        <v>5716</v>
      </c>
      <c r="C694" s="382">
        <f t="shared" si="32"/>
        <v>31.70145031039678</v>
      </c>
      <c r="D694" t="s">
        <v>2489</v>
      </c>
      <c r="E694" s="178">
        <f>C694</f>
        <v>31.70145031039678</v>
      </c>
      <c r="F694" s="146" t="s">
        <v>6087</v>
      </c>
      <c r="H694" s="235" t="s">
        <v>7007</v>
      </c>
      <c r="K694" s="146"/>
    </row>
    <row r="695" spans="2:11" ht="15.75" customHeight="1" x14ac:dyDescent="0.3">
      <c r="B695" s="99" t="s">
        <v>5740</v>
      </c>
      <c r="C695" s="382">
        <f t="shared" si="32"/>
        <v>25.52</v>
      </c>
      <c r="D695" t="s">
        <v>6549</v>
      </c>
      <c r="E695" s="178">
        <f>C695*E689</f>
        <v>155.0623606182541</v>
      </c>
      <c r="F695" s="146" t="s">
        <v>6087</v>
      </c>
      <c r="H695" s="235" t="s">
        <v>7008</v>
      </c>
      <c r="K695" s="146"/>
    </row>
    <row r="696" spans="2:11" ht="15.75" customHeight="1" x14ac:dyDescent="0.3">
      <c r="B696" s="99" t="s">
        <v>5741</v>
      </c>
      <c r="C696" s="382">
        <f t="shared" si="32"/>
        <v>14.959999999999999</v>
      </c>
      <c r="D696" t="s">
        <v>6549</v>
      </c>
      <c r="E696" s="178">
        <f>C696*E690</f>
        <v>59.281712080441977</v>
      </c>
      <c r="F696" s="146" t="s">
        <v>6087</v>
      </c>
      <c r="H696" s="235" t="s">
        <v>7039</v>
      </c>
      <c r="K696" s="146"/>
    </row>
    <row r="697" spans="2:11" ht="15.75" customHeight="1" x14ac:dyDescent="0.3">
      <c r="B697" s="99" t="s">
        <v>5717</v>
      </c>
      <c r="C697" s="382">
        <f t="shared" si="32"/>
        <v>4.7552175465595168</v>
      </c>
      <c r="D697" t="s">
        <v>2489</v>
      </c>
      <c r="E697" s="178">
        <f>C697</f>
        <v>4.7552175465595168</v>
      </c>
      <c r="F697" s="146" t="s">
        <v>6087</v>
      </c>
      <c r="H697" s="235" t="s">
        <v>1325</v>
      </c>
      <c r="K697" s="146"/>
    </row>
    <row r="698" spans="2:11" ht="15.75" customHeight="1" x14ac:dyDescent="0.3">
      <c r="B698" s="99" t="s">
        <v>6418</v>
      </c>
      <c r="C698" s="382">
        <f t="shared" si="32"/>
        <v>2327.4442324211072</v>
      </c>
      <c r="D698" t="s">
        <v>5910</v>
      </c>
      <c r="E698" s="164">
        <f>CONVERT(C698,"m^3","gal")</f>
        <v>614845.71962781926</v>
      </c>
      <c r="F698" s="146" t="s">
        <v>2489</v>
      </c>
      <c r="H698" s="235" t="s">
        <v>7040</v>
      </c>
      <c r="K698" s="146"/>
    </row>
    <row r="699" spans="2:11" ht="15.75" customHeight="1" x14ac:dyDescent="0.3">
      <c r="B699" s="99" t="s">
        <v>6404</v>
      </c>
      <c r="C699" s="499">
        <f t="shared" si="32"/>
        <v>2.5619543788785166</v>
      </c>
      <c r="D699" s="146" t="s">
        <v>2413</v>
      </c>
      <c r="E699" s="201">
        <f>C699*UC.g_to_lb/UC.L_to_gal*1000</f>
        <v>21.380545670217984</v>
      </c>
      <c r="F699" s="146" t="s">
        <v>2414</v>
      </c>
      <c r="H699" s="235" t="s">
        <v>7041</v>
      </c>
      <c r="K699" s="146"/>
    </row>
    <row r="700" spans="2:11" ht="15.75" customHeight="1" x14ac:dyDescent="0.3">
      <c r="B700" s="99" t="s">
        <v>6405</v>
      </c>
      <c r="C700" s="499">
        <f t="shared" si="32"/>
        <v>6.4220642397311023</v>
      </c>
      <c r="D700" s="146" t="s">
        <v>2413</v>
      </c>
      <c r="E700" s="201">
        <f>C700*UC.g_to_lb/UC.L_to_gal*1000</f>
        <v>53.59472397582276</v>
      </c>
      <c r="F700" s="146" t="s">
        <v>2414</v>
      </c>
      <c r="H700" s="253" t="s">
        <v>349</v>
      </c>
      <c r="I700" s="150"/>
      <c r="J700" s="150"/>
      <c r="K700" s="151"/>
    </row>
    <row r="701" spans="2:11" ht="15.75" customHeight="1" x14ac:dyDescent="0.3">
      <c r="B701" s="99" t="s">
        <v>6406</v>
      </c>
      <c r="C701" s="499">
        <f t="shared" si="32"/>
        <v>6.4220956046072102</v>
      </c>
      <c r="D701" s="146" t="s">
        <v>2413</v>
      </c>
      <c r="E701" s="201">
        <f>C701*UC.g_to_lb/UC.L_to_gal*1000</f>
        <v>53.594985728401802</v>
      </c>
      <c r="F701" s="146" t="s">
        <v>2414</v>
      </c>
    </row>
    <row r="702" spans="2:11" ht="14.4" x14ac:dyDescent="0.3">
      <c r="B702" s="99"/>
      <c r="E702" s="99"/>
      <c r="F702" s="146"/>
    </row>
    <row r="703" spans="2:11" ht="15.75" customHeight="1" x14ac:dyDescent="0.3">
      <c r="B703" s="92" t="s">
        <v>6996</v>
      </c>
      <c r="E703" s="99"/>
      <c r="F703" s="146"/>
    </row>
    <row r="704" spans="2:11" ht="15.75" customHeight="1" x14ac:dyDescent="0.3">
      <c r="B704" s="143" t="s">
        <v>2663</v>
      </c>
      <c r="C704" s="144" t="s">
        <v>565</v>
      </c>
      <c r="D704" s="144" t="s">
        <v>6943</v>
      </c>
      <c r="E704" s="143" t="s">
        <v>565</v>
      </c>
      <c r="F704" s="145" t="s">
        <v>6944</v>
      </c>
    </row>
    <row r="705" spans="1:15" ht="14.4" x14ac:dyDescent="0.3">
      <c r="B705" s="99" t="s">
        <v>7076</v>
      </c>
      <c r="E705" s="357">
        <f>UDV.electricity.avg_cost</f>
        <v>6.8591666666666662E-2</v>
      </c>
      <c r="F705" s="146" t="s">
        <v>2306</v>
      </c>
    </row>
    <row r="706" spans="1:15" ht="14.4" x14ac:dyDescent="0.3">
      <c r="B706" s="99" t="s">
        <v>6997</v>
      </c>
      <c r="E706" s="348">
        <f>UDV.fuel.diesel_avg_cost</f>
        <v>3.6964905660377356</v>
      </c>
      <c r="F706" s="146" t="s">
        <v>2315</v>
      </c>
    </row>
    <row r="707" spans="1:15" ht="15.75" customHeight="1" x14ac:dyDescent="0.3">
      <c r="B707" s="99" t="s">
        <v>7044</v>
      </c>
      <c r="C707">
        <f>UDV.land_application.max_distance</f>
        <v>2</v>
      </c>
      <c r="D707" t="s">
        <v>2971</v>
      </c>
      <c r="E707" s="178">
        <f>IF(E646=0,0,CONVERT(C707,"mi","ft"))</f>
        <v>10560</v>
      </c>
      <c r="F707" s="146" t="s">
        <v>2340</v>
      </c>
      <c r="G707" s="254"/>
    </row>
    <row r="708" spans="1:15" ht="14.4" x14ac:dyDescent="0.3">
      <c r="B708" s="99" t="s">
        <v>5712</v>
      </c>
      <c r="C708" s="382">
        <f>VLOOKUP(B708,$X:$AA,3,FALSE)</f>
        <v>1</v>
      </c>
      <c r="E708" s="201">
        <f>C708</f>
        <v>1</v>
      </c>
      <c r="F708" s="146" t="s">
        <v>2442</v>
      </c>
    </row>
    <row r="709" spans="1:15" ht="14.4" x14ac:dyDescent="0.3">
      <c r="B709" s="149" t="s">
        <v>6998</v>
      </c>
      <c r="C709" s="150"/>
      <c r="D709" s="151"/>
      <c r="E709" s="349">
        <f>UDV.labor.non_specialized_cost</f>
        <v>23.66</v>
      </c>
      <c r="F709" s="151" t="s">
        <v>3659</v>
      </c>
    </row>
    <row r="711" spans="1:15" ht="15.75" customHeight="1" x14ac:dyDescent="0.3">
      <c r="B711" s="206" t="s">
        <v>7108</v>
      </c>
      <c r="C711" s="142"/>
      <c r="D711" s="142"/>
      <c r="E711" s="142"/>
      <c r="F711" s="142"/>
      <c r="G711" s="142"/>
      <c r="H711" s="142"/>
      <c r="I711" s="142"/>
      <c r="J711" s="142"/>
      <c r="K711" s="142"/>
      <c r="L711" s="142"/>
      <c r="M711" s="142"/>
      <c r="N711" s="142"/>
      <c r="O711" s="141"/>
    </row>
    <row r="712" spans="1:15" ht="15.75" customHeight="1" x14ac:dyDescent="0.3">
      <c r="B712" s="210" t="s">
        <v>6946</v>
      </c>
      <c r="C712" s="152" t="s">
        <v>6947</v>
      </c>
      <c r="D712" s="152" t="s">
        <v>6948</v>
      </c>
      <c r="E712" s="152" t="s">
        <v>6999</v>
      </c>
      <c r="F712" s="152" t="s">
        <v>7045</v>
      </c>
      <c r="G712" s="152" t="s">
        <v>6951</v>
      </c>
      <c r="H712" s="152" t="s">
        <v>6952</v>
      </c>
      <c r="I712" s="152" t="s">
        <v>6953</v>
      </c>
      <c r="J712" s="152" t="s">
        <v>6954</v>
      </c>
      <c r="K712" s="152" t="s">
        <v>6955</v>
      </c>
      <c r="L712" s="152" t="s">
        <v>6956</v>
      </c>
      <c r="M712" s="152" t="s">
        <v>6957</v>
      </c>
      <c r="N712" s="152" t="s">
        <v>7002</v>
      </c>
      <c r="O712" s="161" t="s">
        <v>6959</v>
      </c>
    </row>
    <row r="713" spans="1:15" ht="14.4" x14ac:dyDescent="0.3">
      <c r="A713" t="s">
        <v>7122</v>
      </c>
      <c r="B713" s="99" t="s">
        <v>2808</v>
      </c>
      <c r="C713" s="153">
        <f>IF(E657=0,0,(VLOOKUP("Irrigation systema",Econ.Equations!$C:$E,2,FALSE)*E657^VLOOKUP("Irrigation systemb",Econ.Equations!$C:$E,2,FALSE))*E657)</f>
        <v>48991.607170220159</v>
      </c>
      <c r="D713" s="42">
        <f>VLOOKUP("CAPEXLifetimeBuildings and constructionDefault",Econ.inputsTable!$E:$G,2,FALSE)</f>
        <v>20</v>
      </c>
      <c r="E713" s="42" t="s">
        <v>2852</v>
      </c>
      <c r="F713" s="42" t="s">
        <v>2852</v>
      </c>
      <c r="G713" s="539">
        <f>VLOOKUP("CAPEXAnnual usage on activityItems that are used only on the given activityDefault",Econ.inputsTable!$E:$J,2,FALSE)</f>
        <v>1</v>
      </c>
      <c r="H713" s="503">
        <f t="shared" ref="H713" si="33">UDV.econ_capital.interest_rate</f>
        <v>5.0999999999999997E-2</v>
      </c>
      <c r="I713" s="2091">
        <f>VLOOKUP("CAPEXSalvageBuildings and constructionDefault",Econ.inputsTable!$E:$K,2,FALSE)</f>
        <v>0</v>
      </c>
      <c r="J713" s="153">
        <f>C713*I713</f>
        <v>0</v>
      </c>
      <c r="K713" s="154">
        <f>VLOOKUP("CAPEXFinanced amountNADefault",Econ.inputsTable!$E:$J,2,FALSE)</f>
        <v>1</v>
      </c>
      <c r="L713" s="2092">
        <f>H713*K713</f>
        <v>5.0999999999999997E-2</v>
      </c>
      <c r="M713" s="351">
        <f>L713/(1-(1+L713)^-D713)</f>
        <v>8.0924368970045152E-2</v>
      </c>
      <c r="N713" s="153">
        <f>((C713-J713)*M713)+(J713*L713)</f>
        <v>3964.6148950784059</v>
      </c>
      <c r="O713" s="372">
        <f>N713*G713</f>
        <v>3964.6148950784059</v>
      </c>
    </row>
    <row r="714" spans="1:15" ht="14.4" x14ac:dyDescent="0.3">
      <c r="A714" t="s">
        <v>7046</v>
      </c>
      <c r="B714" s="99" t="s">
        <v>7034</v>
      </c>
      <c r="C714" s="153">
        <f>VLOOKUP("Diesel powered lead pumpDefault", Econ.Tables!$C:$E,2,FALSE)*E646</f>
        <v>293400</v>
      </c>
      <c r="D714" s="42">
        <f>VLOOKUP("CAPEXLifetimeDiesel-powered pump set package (at lagoon)Default",Econ.inputsTable!$E:$G,2,FALSE)</f>
        <v>17</v>
      </c>
      <c r="F714" s="147">
        <f>IF(E646=0,0,(E665+(E686/E684))/E646)</f>
        <v>0.87524343398644144</v>
      </c>
      <c r="G714" s="539">
        <f>VLOOKUP("CAPEXAnnual usage on activityItems that are used only on the given activityDefault",Econ.inputsTable!$E:$G,2,FALSE)</f>
        <v>1</v>
      </c>
      <c r="H714" s="503">
        <f t="shared" ref="H714:H725" si="34">UDV.econ_capital.interest_rate</f>
        <v>5.0999999999999997E-2</v>
      </c>
      <c r="I714" s="155">
        <f>VLOOKUP("CAPEXSalvageEquipmentDefault", Econ.inputsTable!$E:$G,2,FALSE)</f>
        <v>0.2</v>
      </c>
      <c r="J714" s="153">
        <f t="shared" ref="J714:J725" si="35">$C714*I714</f>
        <v>58680</v>
      </c>
      <c r="K714" s="154">
        <f>VLOOKUP("CAPEXFinanced amountNADefault", Econ.inputsTable!$E:$G,2,FALSE)</f>
        <v>1</v>
      </c>
      <c r="L714" s="155">
        <f t="shared" ref="L714:L725" si="36">H714*K714</f>
        <v>5.0999999999999997E-2</v>
      </c>
      <c r="M714">
        <f t="shared" ref="M714:M725" si="37">L714/(1-(1+L714)^-D714)</f>
        <v>8.9362846108502439E-2</v>
      </c>
      <c r="N714" s="153">
        <f t="shared" ref="N714:N725" si="38">((C714-J714)*M714)+(J714*L714)</f>
        <v>23967.927238587694</v>
      </c>
      <c r="O714" s="157">
        <f t="shared" ref="O714:O725" si="39">N714*G714</f>
        <v>23967.927238587694</v>
      </c>
    </row>
    <row r="715" spans="1:15" ht="14.4" x14ac:dyDescent="0.3">
      <c r="A715" t="s">
        <v>7046</v>
      </c>
      <c r="B715" s="99" t="s">
        <v>7035</v>
      </c>
      <c r="C715" s="153">
        <f>VLOOKUP("Diesel powered booster pumpDefault",Econ.Tables!$C:$E,2,FALSE)*E708</f>
        <v>197300</v>
      </c>
      <c r="D715" s="42">
        <f>VLOOKUP("CAPEXLifetimeDiesel-powered pump set package (at lagoon)Default",Econ.inputsTable!$E:$G,2,FALSE)</f>
        <v>17</v>
      </c>
      <c r="F715" s="147">
        <f>IF(E708=0,0,(E666+(E687/E684))/E708)</f>
        <v>0.87524343398644144</v>
      </c>
      <c r="G715" s="539">
        <f>VLOOKUP("CAPEXAnnual usage on activityItems that are used only on the given activityDefault",Econ.inputsTable!$E:$G,2,FALSE)</f>
        <v>1</v>
      </c>
      <c r="H715" s="503">
        <f t="shared" si="34"/>
        <v>5.0999999999999997E-2</v>
      </c>
      <c r="I715" s="155">
        <f>VLOOKUP("CAPEXSalvageEquipmentDefault", Econ.inputsTable!$E:$G,2,FALSE)</f>
        <v>0.2</v>
      </c>
      <c r="J715" s="153">
        <f t="shared" si="35"/>
        <v>39460</v>
      </c>
      <c r="K715" s="154">
        <f>VLOOKUP("CAPEXFinanced amountNADefault", Econ.inputsTable!$E:$G,2,FALSE)</f>
        <v>1</v>
      </c>
      <c r="L715" s="155">
        <f t="shared" si="36"/>
        <v>5.0999999999999997E-2</v>
      </c>
      <c r="M715">
        <f t="shared" si="37"/>
        <v>8.9362846108502439E-2</v>
      </c>
      <c r="N715" s="153">
        <f t="shared" si="38"/>
        <v>16117.491629766024</v>
      </c>
      <c r="O715" s="157">
        <f t="shared" si="39"/>
        <v>16117.491629766024</v>
      </c>
    </row>
    <row r="716" spans="1:15" ht="14.4" x14ac:dyDescent="0.3">
      <c r="A716" t="s">
        <v>7046</v>
      </c>
      <c r="B716" s="99" t="s">
        <v>7047</v>
      </c>
      <c r="C716" s="153">
        <f>VLOOKUP("Diesel powered agitation trailerDefault",Econ.Tables!$C:$E,2,FALSE)*E647</f>
        <v>131500</v>
      </c>
      <c r="D716" s="42">
        <f>VLOOKUP("CAPEXLifetimeEquipmentDefault",Econ.inputsTable!$E:$G,2,FALSE)</f>
        <v>10</v>
      </c>
      <c r="F716" s="147">
        <f>IF(E647=0,0,(E667+(E688/E684))/E647)</f>
        <v>0.87524343398644144</v>
      </c>
      <c r="G716" s="539">
        <f>VLOOKUP("CAPEXAnnual usage on activityItems that are used only on the given activityDefault",Econ.inputsTable!$E:$G,2,FALSE)</f>
        <v>1</v>
      </c>
      <c r="H716" s="503">
        <f t="shared" si="34"/>
        <v>5.0999999999999997E-2</v>
      </c>
      <c r="I716" s="155">
        <f>VLOOKUP("CAPEXSalvageEquipmentDefault", Econ.inputsTable!$E:$G,2,FALSE)</f>
        <v>0.2</v>
      </c>
      <c r="J716" s="153">
        <f t="shared" si="35"/>
        <v>26300</v>
      </c>
      <c r="K716" s="154">
        <f>VLOOKUP("CAPEXFinanced amountNADefault", Econ.inputsTable!$E:$G,2,FALSE)</f>
        <v>1</v>
      </c>
      <c r="L716" s="155">
        <f t="shared" si="36"/>
        <v>5.0999999999999997E-2</v>
      </c>
      <c r="M716">
        <f t="shared" si="37"/>
        <v>0.13013423257204779</v>
      </c>
      <c r="N716" s="153">
        <f t="shared" si="38"/>
        <v>15031.421266579426</v>
      </c>
      <c r="O716" s="157">
        <f t="shared" si="39"/>
        <v>15031.421266579426</v>
      </c>
    </row>
    <row r="717" spans="1:15" ht="15.75" customHeight="1" x14ac:dyDescent="0.3">
      <c r="A717" t="s">
        <v>7046</v>
      </c>
      <c r="B717" s="99" t="s">
        <v>7037</v>
      </c>
      <c r="C717" s="153">
        <f>VLOOKUP(_xlfn.CONCAT("Tractor",E648," hp"), Econ.Tables!$C:$E,2, FALSE)*E650</f>
        <v>637400</v>
      </c>
      <c r="D717" s="79">
        <f>VLOOKUP("CAPEXLifetimeTractor, 4 wheel drive and crawlerDefault",Econ.inputsTable!$E:$H,2,FALSE)/E717</f>
        <v>16</v>
      </c>
      <c r="E717" s="213">
        <f>IF(F717&gt;UDV.tractor.min_usage_yearly,F717,UDV.tractor.min_usage_yearly)</f>
        <v>1000</v>
      </c>
      <c r="F717" s="147">
        <f>IF(E650=0,0,(E668+(E689/E684))/E650)</f>
        <v>1.0065299490844075</v>
      </c>
      <c r="G717" s="155">
        <f>F717/E717</f>
        <v>1.0065299490844076E-3</v>
      </c>
      <c r="H717" s="503">
        <f t="shared" si="34"/>
        <v>5.0999999999999997E-2</v>
      </c>
      <c r="I717" s="155">
        <f>VLOOKUP("CAPEXSalvageEquipmentDefault", Econ.inputsTable!$E:$G,2,FALSE)</f>
        <v>0.2</v>
      </c>
      <c r="J717" s="153">
        <f t="shared" si="35"/>
        <v>127480</v>
      </c>
      <c r="K717" s="154">
        <f>VLOOKUP("CAPEXFinanced amountNADefault", Econ.inputsTable!$E:$G,2,FALSE)</f>
        <v>1</v>
      </c>
      <c r="L717" s="155">
        <f t="shared" si="36"/>
        <v>5.0999999999999997E-2</v>
      </c>
      <c r="M717">
        <f t="shared" si="37"/>
        <v>9.2927821836826949E-2</v>
      </c>
      <c r="N717" s="153">
        <f t="shared" si="38"/>
        <v>53887.2349110348</v>
      </c>
      <c r="O717" s="157">
        <f t="shared" si="39"/>
        <v>54.239115811303371</v>
      </c>
    </row>
    <row r="718" spans="1:15" ht="15.75" customHeight="1" x14ac:dyDescent="0.3">
      <c r="A718" t="s">
        <v>7046</v>
      </c>
      <c r="B718" s="99" t="s">
        <v>7048</v>
      </c>
      <c r="C718" s="238">
        <f>VLOOKUP("Hose reel, hydraulic,no specific sizeDefault",Econ.Tables!$C:$E,2,FALSE)*E650</f>
        <v>44500</v>
      </c>
      <c r="D718" s="42">
        <f>VLOOKUP("CAPEXLifetimeEquipmentDefault",Econ.inputsTable!$E:$G,2,FALSE)</f>
        <v>10</v>
      </c>
      <c r="E718" s="152"/>
      <c r="F718" s="259">
        <f>F717</f>
        <v>1.0065299490844075</v>
      </c>
      <c r="G718" s="539">
        <f>VLOOKUP("CAPEXAnnual usage on activityItems that are used only on the given activityDefault",Econ.inputsTable!$E:$G,2,FALSE)</f>
        <v>1</v>
      </c>
      <c r="H718" s="503">
        <f t="shared" si="34"/>
        <v>5.0999999999999997E-2</v>
      </c>
      <c r="I718" s="155">
        <f>VLOOKUP("CAPEXSalvageEquipmentDefault", Econ.inputsTable!$E:$G,2,FALSE)</f>
        <v>0.2</v>
      </c>
      <c r="J718" s="153">
        <f t="shared" si="35"/>
        <v>8900</v>
      </c>
      <c r="K718" s="154">
        <f>VLOOKUP("CAPEXFinanced amountNADefault", Econ.inputsTable!$E:$G,2,FALSE)</f>
        <v>1</v>
      </c>
      <c r="L718" s="155">
        <f t="shared" si="36"/>
        <v>5.0999999999999997E-2</v>
      </c>
      <c r="M718">
        <f t="shared" si="37"/>
        <v>0.13013423257204779</v>
      </c>
      <c r="N718" s="153">
        <f t="shared" si="38"/>
        <v>5086.6786795649004</v>
      </c>
      <c r="O718" s="157">
        <f t="shared" si="39"/>
        <v>5086.6786795649004</v>
      </c>
    </row>
    <row r="719" spans="1:15" ht="15.75" customHeight="1" x14ac:dyDescent="0.3">
      <c r="A719" t="s">
        <v>7046</v>
      </c>
      <c r="B719" s="99" t="s">
        <v>7007</v>
      </c>
      <c r="C719" s="238">
        <f>IF(E653="Broadcast",VLOOKUP("BoomDefault", Econ.Tables!$C:$E,2,FALSE),0)*E650</f>
        <v>0</v>
      </c>
      <c r="D719" s="42">
        <f>VLOOKUP("CAPEXLifetimeEquipmentDefault",Econ.inputsTable!$E:$G,2,FALSE)</f>
        <v>10</v>
      </c>
      <c r="E719" s="152"/>
      <c r="F719" s="259">
        <f>IF(E653="Broadcast",F717,0)*VLOOKUP("NAPercent time for useApplication toolbar usage per unit tractor pulling it usageDefault", Econ.inputsTable!$E:$G,2,FALSE)</f>
        <v>0</v>
      </c>
      <c r="G719" s="539">
        <f>VLOOKUP("CAPEXAnnual usage on activityItems that are used only on the given activityDefault",Econ.inputsTable!$E:$G,2,FALSE)</f>
        <v>1</v>
      </c>
      <c r="H719" s="503">
        <f t="shared" si="34"/>
        <v>5.0999999999999997E-2</v>
      </c>
      <c r="I719" s="155">
        <f>VLOOKUP("CAPEXSalvageEquipmentDefault", Econ.inputsTable!$E:$G,2,FALSE)</f>
        <v>0.2</v>
      </c>
      <c r="J719" s="153">
        <f t="shared" si="35"/>
        <v>0</v>
      </c>
      <c r="K719" s="154">
        <f>VLOOKUP("CAPEXFinanced amountNADefault", Econ.inputsTable!$E:$G,2,FALSE)</f>
        <v>1</v>
      </c>
      <c r="L719" s="155">
        <f t="shared" si="36"/>
        <v>5.0999999999999997E-2</v>
      </c>
      <c r="M719">
        <f t="shared" si="37"/>
        <v>0.13013423257204779</v>
      </c>
      <c r="N719" s="153">
        <f t="shared" si="38"/>
        <v>0</v>
      </c>
      <c r="O719" s="157">
        <f t="shared" si="39"/>
        <v>0</v>
      </c>
    </row>
    <row r="720" spans="1:15" ht="15.75" customHeight="1" x14ac:dyDescent="0.3">
      <c r="A720" t="s">
        <v>7046</v>
      </c>
      <c r="B720" s="99" t="s">
        <v>7008</v>
      </c>
      <c r="C720" s="238">
        <f>IF(E653="Injection",VLOOKUP("InjectionDefault",Econ.Tables!$C:$E,2,FALSE),0)*E650</f>
        <v>80900</v>
      </c>
      <c r="D720" s="42">
        <f>VLOOKUP("CAPEXLifetimeEquipmentDefault",Econ.inputsTable!$E:$G,2,FALSE)</f>
        <v>10</v>
      </c>
      <c r="E720" s="152"/>
      <c r="F720" s="259">
        <f>IF(E653="Injection",F717,0)*VLOOKUP("NAPercent time for useApplication toolbar usage per unit tractor pulling it usageDefault", Econ.inputsTable!$E:$G,2,FALSE)</f>
        <v>0.40261197963376305</v>
      </c>
      <c r="G720" s="539">
        <f>VLOOKUP("CAPEXAnnual usage on activityItems that are used only on the given activityDefault",Econ.inputsTable!$E:$G,2,FALSE)</f>
        <v>1</v>
      </c>
      <c r="H720" s="503">
        <f t="shared" si="34"/>
        <v>5.0999999999999997E-2</v>
      </c>
      <c r="I720" s="155">
        <f>VLOOKUP("CAPEXSalvageEquipmentDefault", Econ.inputsTable!$E:$G,2,FALSE)</f>
        <v>0.2</v>
      </c>
      <c r="J720" s="153">
        <f t="shared" si="35"/>
        <v>16180</v>
      </c>
      <c r="K720" s="154">
        <f>VLOOKUP("CAPEXFinanced amountNADefault", Econ.inputsTable!$E:$G,2,FALSE)</f>
        <v>1</v>
      </c>
      <c r="L720" s="155">
        <f t="shared" si="36"/>
        <v>5.0999999999999997E-2</v>
      </c>
      <c r="M720">
        <f t="shared" si="37"/>
        <v>0.13013423257204779</v>
      </c>
      <c r="N720" s="153">
        <f t="shared" si="38"/>
        <v>9247.4675320629322</v>
      </c>
      <c r="O720" s="157">
        <f t="shared" si="39"/>
        <v>9247.4675320629322</v>
      </c>
    </row>
    <row r="721" spans="1:15" ht="15.75" customHeight="1" x14ac:dyDescent="0.3">
      <c r="A721" t="s">
        <v>7046</v>
      </c>
      <c r="B721" s="99" t="s">
        <v>7039</v>
      </c>
      <c r="C721" s="153">
        <f>VLOOKUP(_xlfn.CONCAT("Tractor",E649," hp"), Econ.Tables!$C:$E,2, FALSE)*E651</f>
        <v>490700</v>
      </c>
      <c r="D721" s="79">
        <f>VLOOKUP("CAPEXLifetimeTractor, 4 wheel drive and crawlerDefault",Econ.inputsTable!$E:$H,2,FALSE)/E721</f>
        <v>16</v>
      </c>
      <c r="E721" s="213">
        <f>IF(F721&gt;UDV.tractor.min_usage_yearly,F721,UDV.tractor.min_usage_yearly)</f>
        <v>1000</v>
      </c>
      <c r="F721" s="147">
        <f>IF(E651=0,0,(E669+(E690/E684))/E651)</f>
        <v>0.65643257548983114</v>
      </c>
      <c r="G721" s="155">
        <f>F721/E721</f>
        <v>6.5643257548983112E-4</v>
      </c>
      <c r="H721" s="503">
        <f t="shared" si="34"/>
        <v>5.0999999999999997E-2</v>
      </c>
      <c r="I721" s="155">
        <f>VLOOKUP("CAPEXSalvageEquipmentDefault", Econ.inputsTable!$E:$G,2,FALSE)</f>
        <v>0.2</v>
      </c>
      <c r="J721" s="153">
        <f t="shared" si="35"/>
        <v>98140</v>
      </c>
      <c r="K721" s="154">
        <f>VLOOKUP("CAPEXFinanced amountNADefault", Econ.inputsTable!$E:$G,2,FALSE)</f>
        <v>1</v>
      </c>
      <c r="L721" s="155">
        <f t="shared" si="36"/>
        <v>5.0999999999999997E-2</v>
      </c>
      <c r="M721">
        <f t="shared" si="37"/>
        <v>9.2927821836826949E-2</v>
      </c>
      <c r="N721" s="153">
        <f t="shared" si="38"/>
        <v>41484.885740264785</v>
      </c>
      <c r="O721" s="157">
        <f t="shared" si="39"/>
        <v>27.232030390383382</v>
      </c>
    </row>
    <row r="722" spans="1:15" ht="15.75" customHeight="1" x14ac:dyDescent="0.3">
      <c r="A722" t="s">
        <v>7046</v>
      </c>
      <c r="B722" s="99" t="s">
        <v>1325</v>
      </c>
      <c r="C722" s="238">
        <f>VLOOKUP("Hose pulleyDefault",Econ.Tables!$C:$E,2,FALSE)*E651</f>
        <v>13200</v>
      </c>
      <c r="D722" s="42">
        <f>VLOOKUP("CAPEXLifetimeEquipmentDefault",Econ.inputsTable!$E:$G,2,FALSE)</f>
        <v>10</v>
      </c>
      <c r="E722" s="152"/>
      <c r="F722" s="259">
        <f>F721</f>
        <v>0.65643257548983114</v>
      </c>
      <c r="G722" s="539">
        <f>VLOOKUP("CAPEXAnnual usage on activityItems that are used only on the given activityDefault",Econ.inputsTable!$E:$G,2,FALSE)</f>
        <v>1</v>
      </c>
      <c r="H722" s="503">
        <f t="shared" si="34"/>
        <v>5.0999999999999997E-2</v>
      </c>
      <c r="I722" s="155">
        <f>VLOOKUP("CAPEXSalvageEquipmentDefault", Econ.inputsTable!$E:$G,2,FALSE)</f>
        <v>0.2</v>
      </c>
      <c r="J722" s="153">
        <f t="shared" si="35"/>
        <v>2640</v>
      </c>
      <c r="K722" s="154">
        <f>VLOOKUP("CAPEXFinanced amountNADefault", Econ.inputsTable!$E:$G,2,FALSE)</f>
        <v>1</v>
      </c>
      <c r="L722" s="155">
        <f t="shared" si="36"/>
        <v>5.0999999999999997E-2</v>
      </c>
      <c r="M722">
        <f t="shared" si="37"/>
        <v>0.13013423257204779</v>
      </c>
      <c r="N722" s="153">
        <f t="shared" si="38"/>
        <v>1508.8574959608245</v>
      </c>
      <c r="O722" s="157">
        <f t="shared" si="39"/>
        <v>1508.8574959608245</v>
      </c>
    </row>
    <row r="723" spans="1:15" ht="15.75" customHeight="1" x14ac:dyDescent="0.3">
      <c r="A723" t="s">
        <v>7046</v>
      </c>
      <c r="B723" s="235" t="s">
        <v>3007</v>
      </c>
      <c r="C723" s="543">
        <f>VLOOKUP("Flexible drag hose, 6in 660 ftDefault",Econ.Tables!$C:$E,2,FALSE)*E650</f>
        <v>15200</v>
      </c>
      <c r="D723" s="42">
        <f>VLOOKUP("CAPEXLifetimeDrag hoseDefault",Econ.inputsTable!$E:$G,2,FALSE)</f>
        <v>2.5</v>
      </c>
      <c r="E723" s="152"/>
      <c r="F723" s="259">
        <f>F717</f>
        <v>1.0065299490844075</v>
      </c>
      <c r="G723" s="539">
        <f>VLOOKUP("CAPEXAnnual usage on activityItems that are used only on the given activityDefault",Econ.inputsTable!$E:$G,2,FALSE)</f>
        <v>1</v>
      </c>
      <c r="H723" s="503">
        <f t="shared" si="34"/>
        <v>5.0999999999999997E-2</v>
      </c>
      <c r="I723" s="155">
        <f>VLOOKUP("CAPEXSalvageBuildings and constructionDefault", Econ.inputsTable!$E:$G,2,FALSE)</f>
        <v>0</v>
      </c>
      <c r="J723" s="153">
        <f t="shared" si="35"/>
        <v>0</v>
      </c>
      <c r="K723" s="154">
        <f>VLOOKUP("CAPEXFinanced amountNADefault", Econ.inputsTable!$E:$G,2,FALSE)</f>
        <v>1</v>
      </c>
      <c r="L723" s="155">
        <f t="shared" si="36"/>
        <v>5.0999999999999997E-2</v>
      </c>
      <c r="M723">
        <f t="shared" si="37"/>
        <v>0.43614381549069553</v>
      </c>
      <c r="N723" s="153">
        <f t="shared" si="38"/>
        <v>6629.3859954585723</v>
      </c>
      <c r="O723" s="157">
        <f t="shared" si="39"/>
        <v>6629.3859954585723</v>
      </c>
    </row>
    <row r="724" spans="1:15" ht="15.75" customHeight="1" x14ac:dyDescent="0.3">
      <c r="A724" t="s">
        <v>7046</v>
      </c>
      <c r="B724" s="235" t="s">
        <v>3465</v>
      </c>
      <c r="C724" s="543">
        <f>VLOOKUP("Manure piping to fieldDefault",Econ.Tables!$C:$E,2,FALSE)*E707</f>
        <v>95040</v>
      </c>
      <c r="D724" s="42">
        <f>VLOOKUP("CAPEXLifetimeBuildings and constructionDefault",Econ.inputsTable!$E:$G,2,FALSE)</f>
        <v>20</v>
      </c>
      <c r="E724" s="152"/>
      <c r="F724" s="259">
        <f>F717</f>
        <v>1.0065299490844075</v>
      </c>
      <c r="G724" s="539">
        <f>VLOOKUP("CAPEXAnnual usage on activityItems that are used only on the given activityDefault",Econ.inputsTable!$E:$G,2,FALSE)</f>
        <v>1</v>
      </c>
      <c r="H724" s="503">
        <f t="shared" si="34"/>
        <v>5.0999999999999997E-2</v>
      </c>
      <c r="I724" s="155">
        <f>VLOOKUP("CAPEXSalvageBuildings and constructionDefault", Econ.inputsTable!$E:$G,2,FALSE)</f>
        <v>0</v>
      </c>
      <c r="J724" s="153">
        <f t="shared" si="35"/>
        <v>0</v>
      </c>
      <c r="K724" s="154">
        <f>VLOOKUP("CAPEXFinanced amountNADefault", Econ.inputsTable!$E:$G,2,FALSE)</f>
        <v>1</v>
      </c>
      <c r="L724" s="155">
        <f t="shared" si="36"/>
        <v>5.0999999999999997E-2</v>
      </c>
      <c r="M724">
        <f t="shared" si="37"/>
        <v>8.0924368970045152E-2</v>
      </c>
      <c r="N724" s="153">
        <f t="shared" si="38"/>
        <v>7691.0520269130911</v>
      </c>
      <c r="O724" s="157">
        <f t="shared" si="39"/>
        <v>7691.0520269130911</v>
      </c>
    </row>
    <row r="725" spans="1:15" ht="15.75" customHeight="1" x14ac:dyDescent="0.3">
      <c r="A725" t="s">
        <v>7046</v>
      </c>
      <c r="B725" s="235" t="s">
        <v>349</v>
      </c>
      <c r="C725" s="153">
        <f>IF(E691&gt;0,VLOOKUP("Pick up truckDefault",Econ.Tables!$C:$E,2,FALSE),0)</f>
        <v>58700</v>
      </c>
      <c r="D725" s="42">
        <f>VLOOKUP("CAPEXLifetimeTruck, pickupDefault",Econ.inputsTable!$E:$G,2,FALSE)</f>
        <v>8</v>
      </c>
      <c r="E725" s="42">
        <f>VLOOKUP("CAPEXAnnual usage on farmTruck, pickupDefault",Econ.inputsTable!$E:$G,2,FALSE)</f>
        <v>250</v>
      </c>
      <c r="F725" s="259">
        <f>(E670+(E691/E684))</f>
        <v>0.13128651509796621</v>
      </c>
      <c r="G725" s="538">
        <f>F725/E725</f>
        <v>5.2514606039186489E-4</v>
      </c>
      <c r="H725" s="503">
        <f t="shared" si="34"/>
        <v>5.0999999999999997E-2</v>
      </c>
      <c r="I725" s="155">
        <f>VLOOKUP("CAPEXSalvageEquipmentDefault", Econ.inputsTable!$E:$G,2,FALSE)</f>
        <v>0.2</v>
      </c>
      <c r="J725" s="153">
        <f t="shared" si="35"/>
        <v>11740</v>
      </c>
      <c r="K725" s="154">
        <f>VLOOKUP("CAPEXFinanced amountNADefault", Econ.inputsTable!$E:$G,2,FALSE)</f>
        <v>1</v>
      </c>
      <c r="L725" s="155">
        <f t="shared" si="36"/>
        <v>5.0999999999999997E-2</v>
      </c>
      <c r="M725">
        <f t="shared" si="37"/>
        <v>0.1553478599468672</v>
      </c>
      <c r="N725" s="153">
        <f t="shared" si="38"/>
        <v>7893.8755031048831</v>
      </c>
      <c r="O725" s="157">
        <f t="shared" si="39"/>
        <v>4.1454376216793802</v>
      </c>
    </row>
    <row r="727" spans="1:15" ht="15.75" customHeight="1" x14ac:dyDescent="0.3">
      <c r="B727" s="99"/>
      <c r="C727" s="82" t="s">
        <v>7009</v>
      </c>
      <c r="D727" s="82" t="s">
        <v>6963</v>
      </c>
      <c r="O727" s="146"/>
    </row>
    <row r="728" spans="1:15" ht="14.4" x14ac:dyDescent="0.3">
      <c r="A728" t="s">
        <v>5205</v>
      </c>
      <c r="B728" s="99" t="s">
        <v>6964</v>
      </c>
      <c r="C728" s="153">
        <f>SUM(C713:C725)</f>
        <v>2106831.6071702205</v>
      </c>
      <c r="D728" s="318">
        <f>SUMPRODUCT(C713:C725,G713:G725)</f>
        <v>921026.10689830454</v>
      </c>
      <c r="O728" s="146"/>
    </row>
    <row r="729" spans="1:15" ht="14.4" x14ac:dyDescent="0.3">
      <c r="A729" t="s">
        <v>5205</v>
      </c>
      <c r="B729" s="149" t="s">
        <v>6965</v>
      </c>
      <c r="C729" s="159">
        <f>SUM(N713:N725)</f>
        <v>192510.89291437634</v>
      </c>
      <c r="D729" s="319">
        <f>SUMPRODUCT(N713:N725,G713:G725)</f>
        <v>89330.513343795246</v>
      </c>
      <c r="E729" s="150"/>
      <c r="F729" s="150"/>
      <c r="G729" s="261"/>
      <c r="H729" s="150"/>
      <c r="I729" s="150"/>
      <c r="J729" s="150"/>
      <c r="K729" s="150"/>
      <c r="L729" s="150"/>
      <c r="M729" s="150"/>
      <c r="N729" s="150"/>
      <c r="O729" s="151"/>
    </row>
    <row r="730" spans="1:15" ht="14.4" x14ac:dyDescent="0.3">
      <c r="B730" s="262"/>
      <c r="C730" s="142"/>
      <c r="D730" s="142"/>
      <c r="E730" s="142"/>
      <c r="F730" s="142"/>
      <c r="G730" s="142"/>
      <c r="H730" s="142"/>
      <c r="I730" s="142"/>
      <c r="J730" s="142"/>
      <c r="K730" s="142"/>
      <c r="L730" s="142"/>
      <c r="M730" s="142"/>
      <c r="N730" s="142"/>
      <c r="O730" s="141"/>
    </row>
    <row r="731" spans="1:15" ht="15.75" customHeight="1" x14ac:dyDescent="0.3">
      <c r="B731" s="160" t="s">
        <v>6966</v>
      </c>
      <c r="C731" s="152" t="s">
        <v>6967</v>
      </c>
      <c r="D731" s="152" t="s">
        <v>6968</v>
      </c>
      <c r="E731" s="152" t="s">
        <v>6969</v>
      </c>
      <c r="F731" s="152" t="s">
        <v>6970</v>
      </c>
      <c r="G731" s="152" t="s">
        <v>6971</v>
      </c>
      <c r="H731" s="152" t="s">
        <v>6972</v>
      </c>
      <c r="I731" s="152" t="s">
        <v>6973</v>
      </c>
      <c r="J731" s="152" t="s">
        <v>6974</v>
      </c>
      <c r="K731" s="152" t="s">
        <v>6975</v>
      </c>
      <c r="L731" s="152" t="s">
        <v>6976</v>
      </c>
      <c r="M731" s="152" t="s">
        <v>6977</v>
      </c>
      <c r="N731" s="152" t="s">
        <v>6978</v>
      </c>
      <c r="O731" s="161" t="s">
        <v>6979</v>
      </c>
    </row>
    <row r="732" spans="1:15" ht="14.4" x14ac:dyDescent="0.3">
      <c r="B732" s="99" t="s">
        <v>2808</v>
      </c>
      <c r="C732" s="236">
        <f>VLOOKUP("OPEXInsuranceEverythingDefault",Econ.inputsTable!$E:$K,2,FALSE)</f>
        <v>5.0000000000000001E-3</v>
      </c>
      <c r="D732" s="257">
        <f>VLOOKUP("OPEXRepair and maintenanceEquipmentDefault",Econ.inputsTable!$E:$K,2,FALSE)</f>
        <v>0.03</v>
      </c>
      <c r="F732" s="2129">
        <f>E658</f>
        <v>931.22205127489565</v>
      </c>
      <c r="G732" s="365">
        <f>F732*E705</f>
        <v>63.874072533697216</v>
      </c>
      <c r="I732" s="365"/>
      <c r="J732" s="365"/>
      <c r="K732" s="147">
        <f>E659</f>
        <v>6.9166800677229361</v>
      </c>
      <c r="L732" s="156">
        <f>K732*E709</f>
        <v>163.64865040232468</v>
      </c>
      <c r="O732" s="167">
        <f t="shared" ref="O732" si="40">(SUM(C732:D732)*C713*G713)+SUM(E732,G732,I732,J732,L732,N732)</f>
        <v>1942.2289738937272</v>
      </c>
    </row>
    <row r="733" spans="1:15" ht="15.75" customHeight="1" x14ac:dyDescent="0.3">
      <c r="B733" s="99" t="s">
        <v>3003</v>
      </c>
      <c r="C733" s="263">
        <f>VLOOKUP("OPEXInsuranceEverythingDefault", Econ.inputsTable!$E:$G,2,FALSE)</f>
        <v>5.0000000000000001E-3</v>
      </c>
      <c r="D733" s="237">
        <f>VLOOKUP("OPEXRepair and maintenanceEquipmentDefault",Econ.inputsTable!$E:$G,2,FALSE)</f>
        <v>0.03</v>
      </c>
      <c r="H733" s="147">
        <f>(E671+(E692/E684))*E646</f>
        <v>15.754381811755946</v>
      </c>
      <c r="I733" s="259">
        <f>H733*E706</f>
        <v>58.235923740912348</v>
      </c>
      <c r="J733" s="259">
        <f>I733*VLOOKUP("OPEXLubeLubeDefault",Econ.inputsTable!$E:$G,2,FALSE)</f>
        <v>5.823592374091235</v>
      </c>
      <c r="L733" s="158"/>
      <c r="O733" s="264">
        <f t="shared" ref="O733:O744" si="41">(SUM(C733:D733)*C714*G714)+SUM(E733,G733,I733,J733,L733,N733)</f>
        <v>10333.059516115001</v>
      </c>
    </row>
    <row r="734" spans="1:15" ht="15.75" customHeight="1" x14ac:dyDescent="0.3">
      <c r="B734" s="99" t="s">
        <v>3005</v>
      </c>
      <c r="C734" s="263">
        <f>VLOOKUP("OPEXInsuranceEverythingDefault", Econ.inputsTable!$E:$G,2,FALSE)</f>
        <v>5.0000000000000001E-3</v>
      </c>
      <c r="D734" s="237">
        <f>VLOOKUP("OPEXRepair and maintenanceEquipmentDefault",Econ.inputsTable!$E:$G,2,FALSE)</f>
        <v>0.03</v>
      </c>
      <c r="H734" s="147">
        <f>(E672+(E693/E684))*E708</f>
        <v>6.5643257548983112</v>
      </c>
      <c r="I734" s="259">
        <f>H734*E706</f>
        <v>24.264968225380144</v>
      </c>
      <c r="J734" s="259">
        <f>I734*VLOOKUP("OPEXLubeLubeDefault",Econ.inputsTable!$E:$G,2,FALSE)</f>
        <v>2.4264968225380148</v>
      </c>
      <c r="L734" s="158"/>
      <c r="O734" s="264">
        <f t="shared" si="41"/>
        <v>6932.1914650479175</v>
      </c>
    </row>
    <row r="735" spans="1:15" ht="15.75" customHeight="1" x14ac:dyDescent="0.3">
      <c r="B735" s="99" t="s">
        <v>7047</v>
      </c>
      <c r="C735" s="263">
        <f>VLOOKUP("OPEXInsuranceEverythingDefault", Econ.inputsTable!$E:$G,2,FALSE)</f>
        <v>5.0000000000000001E-3</v>
      </c>
      <c r="D735" s="237">
        <f>VLOOKUP("OPEXRepair and maintenanceEquipmentDefault",Econ.inputsTable!$E:$G,2,FALSE)</f>
        <v>0.03</v>
      </c>
      <c r="H735" s="147">
        <f>(E673+(E694/E684))*E647</f>
        <v>5.2514606039186491</v>
      </c>
      <c r="I735" s="259">
        <f>H735*E706</f>
        <v>19.411974580304115</v>
      </c>
      <c r="J735" s="259">
        <f>I735*VLOOKUP("OPEXLubeLubeDefault",Econ.inputsTable!$E:$G,2,FALSE)</f>
        <v>1.9411974580304117</v>
      </c>
      <c r="L735" s="158"/>
      <c r="O735" s="264">
        <f t="shared" si="41"/>
        <v>4623.8531720383335</v>
      </c>
    </row>
    <row r="736" spans="1:15" ht="15.75" customHeight="1" x14ac:dyDescent="0.3">
      <c r="B736" s="99" t="s">
        <v>7037</v>
      </c>
      <c r="C736" s="263">
        <f>VLOOKUP("OPEXInsuranceEverythingDefault", Econ.inputsTable!$E:$G,2,FALSE)</f>
        <v>5.0000000000000001E-3</v>
      </c>
      <c r="D736" s="237">
        <f>VLOOKUP("OPEXRepair and maintenanceEquipmentDefault",Econ.inputsTable!$E:$G,2,FALSE)</f>
        <v>0.03</v>
      </c>
      <c r="H736" s="147">
        <f>(E674+(E695/E684))</f>
        <v>25.686644300634082</v>
      </c>
      <c r="I736" s="259">
        <f>H736*E706</f>
        <v>94.950438330460855</v>
      </c>
      <c r="J736" s="259">
        <f>I736*VLOOKUP("OPEXLubeLubeDefault",Econ.inputsTable!$E:$G,2,FALSE)</f>
        <v>9.4950438330460862</v>
      </c>
      <c r="K736" s="147">
        <f>(E668*VLOOKUP("OPEXLaborTractorDefault",Econ.inputsTable!$E:$G,2,FALSE))+(E689/E684*VLOOKUP("OPEXLaborTractorDefault",Econ.inputsTable!$E:$G,2,FALSE))</f>
        <v>1.1071829439928484</v>
      </c>
      <c r="L736" s="158">
        <f>K736*E709</f>
        <v>26.195948454870795</v>
      </c>
      <c r="O736" s="264">
        <f t="shared" si="41"/>
        <v>153.09610725250178</v>
      </c>
    </row>
    <row r="737" spans="1:15" ht="15.75" customHeight="1" x14ac:dyDescent="0.3">
      <c r="B737" s="99" t="s">
        <v>7048</v>
      </c>
      <c r="C737" s="263">
        <f>VLOOKUP("OPEXInsuranceEverythingDefault", Econ.inputsTable!$E:$G,2,FALSE)</f>
        <v>5.0000000000000001E-3</v>
      </c>
      <c r="D737" s="237">
        <f>VLOOKUP("OPEXRepair and maintenanceEquipmentDefault",Econ.inputsTable!$E:$G,2,FALSE)</f>
        <v>0.03</v>
      </c>
      <c r="H737" s="147"/>
      <c r="I737" s="369"/>
      <c r="J737" s="369"/>
      <c r="K737" s="205"/>
      <c r="L737" s="158"/>
      <c r="O737" s="264">
        <f t="shared" si="41"/>
        <v>1557.4999999999998</v>
      </c>
    </row>
    <row r="738" spans="1:15" ht="15.75" customHeight="1" x14ac:dyDescent="0.3">
      <c r="B738" s="99" t="s">
        <v>7007</v>
      </c>
      <c r="C738" s="263">
        <f>VLOOKUP("OPEXInsuranceEverythingDefault", Econ.inputsTable!$E:$G,2,FALSE)</f>
        <v>5.0000000000000001E-3</v>
      </c>
      <c r="D738" s="237">
        <f>VLOOKUP("OPEXRepair and maintenanceEquipmentDefault",Econ.inputsTable!$E:$G,2,FALSE)</f>
        <v>0.03</v>
      </c>
      <c r="H738" s="147"/>
      <c r="I738" s="369"/>
      <c r="J738" s="369"/>
      <c r="K738" s="205"/>
      <c r="L738" s="158"/>
      <c r="O738" s="264">
        <f t="shared" si="41"/>
        <v>0</v>
      </c>
    </row>
    <row r="739" spans="1:15" ht="15.75" customHeight="1" x14ac:dyDescent="0.3">
      <c r="B739" s="99" t="s">
        <v>7008</v>
      </c>
      <c r="C739" s="263">
        <f>VLOOKUP("OPEXInsuranceEverythingDefault", Econ.inputsTable!$E:$G,2,FALSE)</f>
        <v>5.0000000000000001E-3</v>
      </c>
      <c r="D739" s="237">
        <f>VLOOKUP("OPEXRepair and maintenanceEquipmentDefault",Econ.inputsTable!$E:$G,2,FALSE)</f>
        <v>0.03</v>
      </c>
      <c r="H739" s="147"/>
      <c r="I739" s="369"/>
      <c r="J739" s="369"/>
      <c r="K739" s="205"/>
      <c r="L739" s="158"/>
      <c r="O739" s="264">
        <f t="shared" si="41"/>
        <v>2831.4999999999995</v>
      </c>
    </row>
    <row r="740" spans="1:15" ht="15.75" customHeight="1" x14ac:dyDescent="0.3">
      <c r="B740" s="99" t="s">
        <v>7039</v>
      </c>
      <c r="C740" s="263">
        <f>VLOOKUP("OPEXInsuranceEverythingDefault", Econ.inputsTable!$E:$G,2,FALSE)</f>
        <v>5.0000000000000001E-3</v>
      </c>
      <c r="D740" s="237">
        <f>VLOOKUP("OPEXRepair and maintenanceEquipmentDefault",Econ.inputsTable!$E:$G,2,FALSE)</f>
        <v>0.03</v>
      </c>
      <c r="H740" s="147">
        <f>(E675+(E696/E684))</f>
        <v>9.8202313293278731</v>
      </c>
      <c r="I740" s="259">
        <f>H740*E706</f>
        <v>36.300392465168692</v>
      </c>
      <c r="J740" s="259">
        <f>I740*VLOOKUP("OPEXLubeLubeDefault",Econ.inputsTable!$E:$G,2,FALSE)</f>
        <v>3.6300392465168692</v>
      </c>
      <c r="K740" s="205">
        <f>(E669*VLOOKUP("OPEXLaborTractorDefault",Econ.inputsTable!$E:$G,2,FALSE))+(E690/E684*VLOOKUP("OPEXLaborTractorDefault",Econ.inputsTable!$E:$G,2,FALSE))</f>
        <v>0.7220758330388144</v>
      </c>
      <c r="L740" s="158">
        <f>K740*E709</f>
        <v>17.084314209698348</v>
      </c>
      <c r="O740" s="264">
        <f t="shared" si="41"/>
        <v>68.288647189134011</v>
      </c>
    </row>
    <row r="741" spans="1:15" ht="15.75" customHeight="1" x14ac:dyDescent="0.3">
      <c r="B741" s="99" t="s">
        <v>1325</v>
      </c>
      <c r="C741" s="263">
        <f>VLOOKUP("OPEXInsuranceEverythingDefault", Econ.inputsTable!$E:$G,2,FALSE)</f>
        <v>5.0000000000000001E-3</v>
      </c>
      <c r="D741" s="237">
        <f>VLOOKUP("OPEXRepair and maintenanceEquipmentDefault",Econ.inputsTable!$E:$G,2,FALSE)</f>
        <v>0.03</v>
      </c>
      <c r="H741" s="147"/>
      <c r="I741" s="259"/>
      <c r="J741" s="259"/>
      <c r="K741" s="205"/>
      <c r="L741" s="158"/>
      <c r="O741" s="264">
        <f t="shared" si="41"/>
        <v>461.99999999999994</v>
      </c>
    </row>
    <row r="742" spans="1:15" ht="15.75" customHeight="1" x14ac:dyDescent="0.3">
      <c r="B742" s="99" t="s">
        <v>3007</v>
      </c>
      <c r="C742" s="263">
        <f>VLOOKUP("OPEXInsuranceEverythingDefault", Econ.inputsTable!$E:$G,2,FALSE)</f>
        <v>5.0000000000000001E-3</v>
      </c>
      <c r="D742" s="237">
        <f>VLOOKUP("OPEXRepair and maintenanceEquipmentDefault",Econ.inputsTable!$E:$G,2,FALSE)</f>
        <v>0.03</v>
      </c>
      <c r="H742" s="147"/>
      <c r="I742" s="259"/>
      <c r="J742" s="259"/>
      <c r="K742" s="205"/>
      <c r="L742" s="158"/>
      <c r="O742" s="264">
        <f t="shared" si="41"/>
        <v>532</v>
      </c>
    </row>
    <row r="743" spans="1:15" ht="15.75" customHeight="1" x14ac:dyDescent="0.3">
      <c r="B743" s="235" t="s">
        <v>3465</v>
      </c>
      <c r="C743" s="263">
        <f>VLOOKUP("OPEXInsuranceEverythingDefault", Econ.inputsTable!$E:$G,2,FALSE)</f>
        <v>5.0000000000000001E-3</v>
      </c>
      <c r="D743" s="237">
        <f>VLOOKUP("OPEXRepair and maintenanceBuildings and constructionDefault",Econ.inputsTable!$E:$G,2,FALSE)</f>
        <v>0.01</v>
      </c>
      <c r="H743" s="147"/>
      <c r="I743" s="259"/>
      <c r="J743" s="259"/>
      <c r="K743" s="205"/>
      <c r="L743" s="158"/>
      <c r="O743" s="264">
        <f t="shared" si="41"/>
        <v>1425.6</v>
      </c>
    </row>
    <row r="744" spans="1:15" ht="15.75" customHeight="1" x14ac:dyDescent="0.3">
      <c r="B744" s="99" t="s">
        <v>349</v>
      </c>
      <c r="C744" s="263">
        <f>VLOOKUP("OPEXInsuranceEverythingDefault", Econ.inputsTable!$E:$G,2,FALSE)</f>
        <v>5.0000000000000001E-3</v>
      </c>
      <c r="D744" s="237">
        <f>VLOOKUP("OPEXRepair and maintenanceEquipmentDefault",Econ.inputsTable!$E:$G,2,FALSE)</f>
        <v>0.03</v>
      </c>
      <c r="H744" s="147">
        <f>(E676+(E697/E684))</f>
        <v>0.78771909058779732</v>
      </c>
      <c r="I744" s="259">
        <f>H744*E706</f>
        <v>2.911796187045617</v>
      </c>
      <c r="J744" s="259">
        <f>I744*VLOOKUP("OPEXLubeLubeDefault",Econ.inputsTable!$E:$G,2,FALSE)</f>
        <v>0.29117961870456172</v>
      </c>
      <c r="K744" s="205">
        <f>(E670*VLOOKUP("OPEXLaborTractorDefault",Econ.inputsTable!$E:$G,2,FALSE))+(E691/E684*VLOOKUP("OPEXLaborTractorDefault",Econ.inputsTable!$E:$G,2,FALSE))</f>
        <v>0.14441516660776285</v>
      </c>
      <c r="L744" s="158">
        <f>K744*E709</f>
        <v>3.4168628419396692</v>
      </c>
      <c r="O744" s="264">
        <f t="shared" si="41"/>
        <v>7.6987512287649347</v>
      </c>
    </row>
    <row r="745" spans="1:15" ht="15.75" customHeight="1" x14ac:dyDescent="0.3">
      <c r="A745" t="s">
        <v>5205</v>
      </c>
      <c r="B745" s="162" t="s">
        <v>5203</v>
      </c>
      <c r="C745" s="241"/>
      <c r="D745" s="241"/>
      <c r="E745" s="242">
        <f t="shared" ref="E745:O745" si="42">SUM(E732:E744)</f>
        <v>0</v>
      </c>
      <c r="F745" s="286">
        <f t="shared" si="42"/>
        <v>931.22205127489565</v>
      </c>
      <c r="G745" s="242">
        <f t="shared" si="42"/>
        <v>63.874072533697216</v>
      </c>
      <c r="H745" s="286">
        <f t="shared" si="42"/>
        <v>63.864762891122659</v>
      </c>
      <c r="I745" s="242">
        <f t="shared" si="42"/>
        <v>236.0754935292718</v>
      </c>
      <c r="J745" s="242">
        <f t="shared" si="42"/>
        <v>23.60754935292718</v>
      </c>
      <c r="K745" s="402">
        <f t="shared" si="42"/>
        <v>8.890354011362362</v>
      </c>
      <c r="L745" s="242">
        <f t="shared" si="42"/>
        <v>210.34577590883347</v>
      </c>
      <c r="M745" s="374">
        <f t="shared" si="42"/>
        <v>0</v>
      </c>
      <c r="N745" s="242">
        <f t="shared" si="42"/>
        <v>0</v>
      </c>
      <c r="O745" s="169">
        <f t="shared" si="42"/>
        <v>30869.016632765375</v>
      </c>
    </row>
    <row r="746" spans="1:15" ht="14.4" x14ac:dyDescent="0.3">
      <c r="B746" s="99"/>
      <c r="O746" s="146"/>
    </row>
    <row r="747" spans="1:15" ht="14.4" x14ac:dyDescent="0.3">
      <c r="A747" t="s">
        <v>5205</v>
      </c>
      <c r="B747" s="149" t="s">
        <v>6980</v>
      </c>
      <c r="C747" s="159">
        <f>O745</f>
        <v>30869.016632765375</v>
      </c>
      <c r="D747" s="150" t="s">
        <v>5181</v>
      </c>
      <c r="E747" s="150"/>
      <c r="F747" s="150"/>
      <c r="G747" s="150"/>
      <c r="H747" s="150"/>
      <c r="I747" s="150"/>
      <c r="J747" s="150"/>
      <c r="K747" s="150"/>
      <c r="L747" s="150"/>
      <c r="M747" s="150"/>
      <c r="N747" s="150"/>
      <c r="O747" s="151"/>
    </row>
    <row r="748" spans="1:15" ht="14.4" x14ac:dyDescent="0.3"/>
    <row r="749" spans="1:15" ht="15.75" customHeight="1" x14ac:dyDescent="0.3">
      <c r="B749" s="384" t="s">
        <v>7123</v>
      </c>
      <c r="C749" s="3057" t="s">
        <v>6402</v>
      </c>
      <c r="D749" s="3058"/>
      <c r="E749" s="3059" t="s">
        <v>6417</v>
      </c>
      <c r="F749" s="3058"/>
    </row>
    <row r="750" spans="1:15" ht="15.75" customHeight="1" x14ac:dyDescent="0.3">
      <c r="B750" s="385" t="s">
        <v>7012</v>
      </c>
      <c r="C750" s="139" t="s">
        <v>7124</v>
      </c>
      <c r="D750" s="245" t="s">
        <v>7125</v>
      </c>
      <c r="E750" s="139" t="s">
        <v>7124</v>
      </c>
      <c r="F750" s="245" t="s">
        <v>7125</v>
      </c>
    </row>
    <row r="751" spans="1:15" ht="14.4" x14ac:dyDescent="0.3">
      <c r="A751" t="s">
        <v>5205</v>
      </c>
      <c r="B751" s="386" t="s">
        <v>7013</v>
      </c>
      <c r="C751" s="387">
        <f xml:space="preserve"> VLOOKUP("Fertilizer value for on-farm use, liquids",$R$1:$T$332,3, FALSE)</f>
        <v>4470.8194261223734</v>
      </c>
      <c r="D751" s="388">
        <f>VLOOKUP("Fertilizer value for on-farm use, liquids",$R$1:$T$332,3, FALSE)</f>
        <v>4470.8194261223734</v>
      </c>
      <c r="E751" s="387">
        <v>0</v>
      </c>
      <c r="F751" s="389">
        <f>VLOOKUP("Fertilizer value for on-farm use, sludge",$R$1:$T$332,3, FALSE)</f>
        <v>11079.496775148771</v>
      </c>
    </row>
    <row r="752" spans="1:15" ht="14.4" x14ac:dyDescent="0.3">
      <c r="A752" t="s">
        <v>5205</v>
      </c>
      <c r="B752" s="386" t="s">
        <v>7126</v>
      </c>
      <c r="C752" s="390">
        <f>C751</f>
        <v>4470.8194261223734</v>
      </c>
      <c r="D752" s="391"/>
      <c r="E752" s="390">
        <f>(F751/UDV.anaer_lagoon.sludge_time)</f>
        <v>1107.9496775148771</v>
      </c>
      <c r="F752" s="391"/>
    </row>
    <row r="753" spans="1:6" ht="14.4" x14ac:dyDescent="0.3">
      <c r="A753" t="s">
        <v>5205</v>
      </c>
      <c r="B753" s="386" t="s">
        <v>7014</v>
      </c>
      <c r="C753" s="393">
        <f>SUM(C752,E752)</f>
        <v>5578.7691036372507</v>
      </c>
      <c r="D753" s="146"/>
      <c r="E753" s="99"/>
      <c r="F753" s="146"/>
    </row>
    <row r="754" spans="1:6" ht="14.4" x14ac:dyDescent="0.3">
      <c r="B754" s="386"/>
      <c r="D754" s="146"/>
      <c r="E754" s="99"/>
      <c r="F754" s="146"/>
    </row>
    <row r="755" spans="1:6" ht="15.75" customHeight="1" x14ac:dyDescent="0.3">
      <c r="B755" s="394" t="s">
        <v>7015</v>
      </c>
      <c r="C755" s="139" t="s">
        <v>7124</v>
      </c>
      <c r="D755" s="245" t="s">
        <v>7125</v>
      </c>
      <c r="E755" s="139" t="s">
        <v>7124</v>
      </c>
      <c r="F755" s="245" t="s">
        <v>7125</v>
      </c>
    </row>
    <row r="756" spans="1:6" ht="14.4" x14ac:dyDescent="0.3">
      <c r="A756" t="s">
        <v>5205</v>
      </c>
      <c r="B756" s="386" t="s">
        <v>7016</v>
      </c>
      <c r="C756" s="387">
        <f>UDV.econ_manure.liquid_sell_price*C635</f>
        <v>0</v>
      </c>
      <c r="D756" s="389">
        <f>UDV.econ_manure.liquid_sell_price*C635</f>
        <v>0</v>
      </c>
      <c r="E756" s="387">
        <v>0</v>
      </c>
      <c r="F756" s="389">
        <f>UDV.econ_manure.sludge_sell_price*C638</f>
        <v>0</v>
      </c>
    </row>
    <row r="757" spans="1:6" ht="14.4" x14ac:dyDescent="0.3">
      <c r="A757" t="s">
        <v>5205</v>
      </c>
      <c r="B757" s="386" t="s">
        <v>7127</v>
      </c>
      <c r="C757" s="390">
        <f>C756</f>
        <v>0</v>
      </c>
      <c r="D757" s="391"/>
      <c r="E757" s="390">
        <f>(F756/UDV.anaer_lagoon.sludge_time)</f>
        <v>0</v>
      </c>
      <c r="F757" s="391"/>
    </row>
    <row r="758" spans="1:6" ht="14.4" x14ac:dyDescent="0.3">
      <c r="A758" t="s">
        <v>5205</v>
      </c>
      <c r="B758" s="386" t="s">
        <v>7017</v>
      </c>
      <c r="C758" s="393">
        <f>SUM(C757,E757)</f>
        <v>0</v>
      </c>
      <c r="D758" s="146"/>
      <c r="E758" s="99"/>
      <c r="F758" s="146"/>
    </row>
    <row r="759" spans="1:6" ht="15.75" customHeight="1" x14ac:dyDescent="0.3">
      <c r="C759" s="166"/>
      <c r="D759" s="146"/>
      <c r="E759" s="395"/>
      <c r="F759" s="396"/>
    </row>
    <row r="760" spans="1:6" ht="15.75" customHeight="1" x14ac:dyDescent="0.3">
      <c r="B760" s="397" t="s">
        <v>7018</v>
      </c>
      <c r="C760" s="139" t="s">
        <v>7124</v>
      </c>
      <c r="D760" s="245" t="s">
        <v>7125</v>
      </c>
      <c r="E760" s="139" t="s">
        <v>7124</v>
      </c>
      <c r="F760" s="245" t="s">
        <v>7125</v>
      </c>
    </row>
    <row r="761" spans="1:6" ht="14.4" x14ac:dyDescent="0.3">
      <c r="A761" t="s">
        <v>5205</v>
      </c>
      <c r="B761" s="386" t="s">
        <v>7019</v>
      </c>
      <c r="C761" s="387">
        <f>UDV.econ_manure.liquid_sell_price*C636</f>
        <v>0</v>
      </c>
      <c r="D761" s="389">
        <f>UDV.econ_manure.liquid_sell_price*C636</f>
        <v>0</v>
      </c>
      <c r="E761" s="387"/>
      <c r="F761" s="389">
        <f>UDV.econ_manure.sludge_sell_price*C639</f>
        <v>0</v>
      </c>
    </row>
    <row r="762" spans="1:6" ht="14.4" x14ac:dyDescent="0.3">
      <c r="A762" t="s">
        <v>5205</v>
      </c>
      <c r="B762" s="386" t="s">
        <v>7128</v>
      </c>
      <c r="C762" s="390">
        <f>C761</f>
        <v>0</v>
      </c>
      <c r="D762" s="391"/>
      <c r="E762" s="390">
        <f>(F761/UDV.anaer_lagoon.sludge_time)</f>
        <v>0</v>
      </c>
      <c r="F762" s="391"/>
    </row>
    <row r="763" spans="1:6" ht="14.4" x14ac:dyDescent="0.3">
      <c r="A763" t="s">
        <v>5205</v>
      </c>
      <c r="B763" s="386" t="s">
        <v>7020</v>
      </c>
      <c r="C763" s="393">
        <f>SUM(C762,E762)</f>
        <v>0</v>
      </c>
      <c r="D763" s="146"/>
      <c r="E763" s="99"/>
      <c r="F763" s="146"/>
    </row>
    <row r="764" spans="1:6" ht="14.4" x14ac:dyDescent="0.3">
      <c r="B764" s="386"/>
      <c r="D764" s="146"/>
      <c r="E764" s="99"/>
      <c r="F764" s="146"/>
    </row>
    <row r="765" spans="1:6" ht="15.75" customHeight="1" x14ac:dyDescent="0.3">
      <c r="B765" s="398" t="s">
        <v>7021</v>
      </c>
      <c r="C765" s="139" t="s">
        <v>7124</v>
      </c>
      <c r="D765" s="245" t="s">
        <v>7125</v>
      </c>
      <c r="E765" s="139" t="s">
        <v>7124</v>
      </c>
      <c r="F765" s="245" t="s">
        <v>7125</v>
      </c>
    </row>
    <row r="766" spans="1:6" ht="14.4" x14ac:dyDescent="0.3">
      <c r="A766" t="s">
        <v>5205</v>
      </c>
      <c r="B766" s="386" t="s">
        <v>7022</v>
      </c>
      <c r="C766" s="387">
        <f>UDV.econ_manure.liquid_export_cost*C637</f>
        <v>0</v>
      </c>
      <c r="D766" s="389">
        <f>UDV.econ_manure.liquid_export_cost*C637</f>
        <v>0</v>
      </c>
      <c r="E766" s="387"/>
      <c r="F766" s="389">
        <f>UDV.econ_manure.sludge_export_cost*C640</f>
        <v>0</v>
      </c>
    </row>
    <row r="767" spans="1:6" ht="14.4" x14ac:dyDescent="0.3">
      <c r="A767" t="s">
        <v>5205</v>
      </c>
      <c r="B767" s="386" t="s">
        <v>7129</v>
      </c>
      <c r="C767" s="390">
        <f>C766</f>
        <v>0</v>
      </c>
      <c r="D767" s="391"/>
      <c r="E767" s="390">
        <f>(F766/UDV.anaer_lagoon.sludge_time)</f>
        <v>0</v>
      </c>
      <c r="F767" s="391"/>
    </row>
    <row r="768" spans="1:6" ht="14.4" x14ac:dyDescent="0.3">
      <c r="A768" t="s">
        <v>5205</v>
      </c>
      <c r="B768" s="386" t="s">
        <v>7023</v>
      </c>
      <c r="C768" s="393">
        <f>SUM(C767,E767)</f>
        <v>0</v>
      </c>
      <c r="D768" s="146"/>
      <c r="E768" s="99"/>
      <c r="F768" s="146"/>
    </row>
    <row r="769" spans="1:23" ht="14.4" x14ac:dyDescent="0.3">
      <c r="B769" s="386"/>
      <c r="D769" s="146"/>
      <c r="E769" s="99"/>
      <c r="F769" s="146"/>
    </row>
    <row r="770" spans="1:23" ht="15.75" customHeight="1" x14ac:dyDescent="0.3">
      <c r="B770" s="303" t="s">
        <v>7138</v>
      </c>
      <c r="C770" s="82" t="s">
        <v>5181</v>
      </c>
      <c r="D770" s="173"/>
      <c r="E770" s="99"/>
      <c r="F770" s="146"/>
    </row>
    <row r="771" spans="1:23" ht="14.4" x14ac:dyDescent="0.3">
      <c r="B771" s="70" t="s">
        <v>7139</v>
      </c>
      <c r="C771" s="265"/>
      <c r="D771" s="151"/>
      <c r="E771" s="149"/>
      <c r="F771" s="151"/>
    </row>
    <row r="772" spans="1:23" ht="15" thickBot="1" x14ac:dyDescent="0.35">
      <c r="A772" s="137"/>
      <c r="B772" s="137"/>
      <c r="C772" s="137"/>
      <c r="D772" s="137"/>
      <c r="E772" s="137"/>
      <c r="F772" s="137"/>
      <c r="G772" s="137"/>
      <c r="H772" s="137"/>
      <c r="I772" s="137"/>
      <c r="J772" s="137"/>
      <c r="K772" s="137"/>
      <c r="L772" s="137"/>
      <c r="M772" s="137"/>
      <c r="N772" s="137"/>
      <c r="O772" s="137"/>
      <c r="P772" s="137"/>
      <c r="Q772" s="137"/>
    </row>
    <row r="773" spans="1:23" ht="14.4" x14ac:dyDescent="0.3"/>
    <row r="774" spans="1:23" ht="15.75" customHeight="1" x14ac:dyDescent="0.3">
      <c r="B774" s="139" t="s">
        <v>7050</v>
      </c>
      <c r="C774" s="142"/>
      <c r="D774" s="142"/>
      <c r="E774" s="267"/>
      <c r="F774" s="267"/>
      <c r="G774" s="142"/>
      <c r="H774" s="142"/>
      <c r="I774" s="142"/>
      <c r="J774" s="142"/>
      <c r="K774" s="142"/>
      <c r="L774" s="142"/>
      <c r="M774" s="142"/>
      <c r="N774" s="142"/>
      <c r="O774" s="142"/>
      <c r="P774" s="142"/>
      <c r="Q774" s="142"/>
      <c r="R774" s="142"/>
      <c r="S774" s="142"/>
      <c r="T774" s="142"/>
      <c r="U774" s="142"/>
      <c r="V774" s="142"/>
      <c r="W774" s="141"/>
    </row>
    <row r="775" spans="1:23" ht="15.75" customHeight="1" x14ac:dyDescent="0.3">
      <c r="B775" s="92" t="s">
        <v>7051</v>
      </c>
      <c r="E775" s="66"/>
      <c r="F775" s="66"/>
      <c r="W775" s="146"/>
    </row>
    <row r="776" spans="1:23" ht="15.75" customHeight="1" x14ac:dyDescent="0.3">
      <c r="B776" s="99"/>
      <c r="W776" s="146"/>
    </row>
    <row r="777" spans="1:23" ht="15.75" customHeight="1" x14ac:dyDescent="0.3">
      <c r="B777" s="92" t="s">
        <v>7052</v>
      </c>
      <c r="C777" s="82" t="s">
        <v>565</v>
      </c>
      <c r="D777" s="82" t="s">
        <v>38</v>
      </c>
      <c r="E777" s="66"/>
      <c r="W777" s="146"/>
    </row>
    <row r="778" spans="1:23" ht="15.75" customHeight="1" x14ac:dyDescent="0.3">
      <c r="B778" s="99" t="s">
        <v>5859</v>
      </c>
      <c r="C778">
        <f>UDV.animal.total</f>
        <v>500</v>
      </c>
      <c r="D778" t="s">
        <v>2442</v>
      </c>
      <c r="E778" s="66"/>
      <c r="W778" s="146"/>
    </row>
    <row r="779" spans="1:23" ht="15.75" customHeight="1" x14ac:dyDescent="0.3">
      <c r="B779" s="174" t="s">
        <v>5386</v>
      </c>
      <c r="C779">
        <f>UDV.crops.acres_available</f>
        <v>100</v>
      </c>
      <c r="D779" t="s">
        <v>7029</v>
      </c>
      <c r="E779" s="66"/>
      <c r="W779" s="146"/>
    </row>
    <row r="780" spans="1:23" ht="15.75" customHeight="1" x14ac:dyDescent="0.3">
      <c r="B780" s="99" t="s">
        <v>5114</v>
      </c>
      <c r="C780" t="str">
        <f>UDV.u.state</f>
        <v>Iowa</v>
      </c>
      <c r="D780" t="s">
        <v>2852</v>
      </c>
      <c r="E780" s="66"/>
      <c r="W780" s="146"/>
    </row>
    <row r="781" spans="1:23" ht="15.75" customHeight="1" x14ac:dyDescent="0.3">
      <c r="A781" t="s">
        <v>4912</v>
      </c>
      <c r="B781" s="99" t="s">
        <v>7240</v>
      </c>
      <c r="C781" s="166">
        <f>VLOOKUP("Emissions reductions for tanker", $R$1:$U$299,3,FALSE)*UDV.econ_energy.carbon_credits</f>
        <v>0</v>
      </c>
      <c r="D781" t="s">
        <v>5181</v>
      </c>
      <c r="E781" s="66"/>
      <c r="W781" s="146"/>
    </row>
    <row r="782" spans="1:23" ht="15.75" customHeight="1" x14ac:dyDescent="0.3">
      <c r="B782" s="99"/>
      <c r="D782" s="66"/>
      <c r="E782" s="66"/>
      <c r="W782" s="146"/>
    </row>
    <row r="783" spans="1:23" ht="15.75" customHeight="1" x14ac:dyDescent="0.3">
      <c r="A783" t="s">
        <v>4912</v>
      </c>
      <c r="B783" s="92" t="s">
        <v>7053</v>
      </c>
      <c r="C783" s="82" t="s">
        <v>5181</v>
      </c>
      <c r="D783" s="82" t="s">
        <v>7140</v>
      </c>
      <c r="E783" s="66"/>
      <c r="W783" s="146"/>
    </row>
    <row r="784" spans="1:23" ht="15.75" customHeight="1" x14ac:dyDescent="0.3">
      <c r="A784" t="s">
        <v>4912</v>
      </c>
      <c r="B784" s="275" t="s">
        <v>2585</v>
      </c>
      <c r="C784" s="276">
        <f>F804</f>
        <v>82034.974492003996</v>
      </c>
      <c r="D784" s="153">
        <f>C784/C778</f>
        <v>164.06994898400799</v>
      </c>
      <c r="E784" s="66"/>
      <c r="W784" s="146"/>
    </row>
    <row r="785" spans="1:25" ht="15.75" customHeight="1" x14ac:dyDescent="0.3">
      <c r="A785" t="s">
        <v>4912</v>
      </c>
      <c r="B785" s="275" t="s">
        <v>2588</v>
      </c>
      <c r="C785" s="276">
        <f>G804+L804</f>
        <v>24632.235082157029</v>
      </c>
      <c r="D785" s="153">
        <f>C785/C778</f>
        <v>49.264470164314055</v>
      </c>
      <c r="E785" s="66"/>
      <c r="W785" s="146"/>
    </row>
    <row r="786" spans="1:25" ht="15.75" customHeight="1" x14ac:dyDescent="0.3">
      <c r="A786" t="s">
        <v>4912</v>
      </c>
      <c r="B786" s="275" t="s">
        <v>441</v>
      </c>
      <c r="C786" s="276">
        <f>I804</f>
        <v>10561.452582174725</v>
      </c>
      <c r="D786" s="153">
        <f>C786/C778</f>
        <v>21.122905164349451</v>
      </c>
      <c r="E786" s="66"/>
      <c r="W786" s="146"/>
    </row>
    <row r="787" spans="1:25" ht="15.75" customHeight="1" x14ac:dyDescent="0.3">
      <c r="A787" t="s">
        <v>4912</v>
      </c>
      <c r="B787" s="275" t="s">
        <v>440</v>
      </c>
      <c r="C787" s="276">
        <f>J804</f>
        <v>5578.7691036372507</v>
      </c>
      <c r="D787" s="153">
        <f>C787/C778</f>
        <v>11.157538207274502</v>
      </c>
      <c r="E787" s="66"/>
      <c r="W787" s="146"/>
    </row>
    <row r="788" spans="1:25" ht="15.75" customHeight="1" x14ac:dyDescent="0.3">
      <c r="A788" t="s">
        <v>4912</v>
      </c>
      <c r="B788" s="275" t="s">
        <v>442</v>
      </c>
      <c r="C788" s="276">
        <f>K804</f>
        <v>0</v>
      </c>
      <c r="D788" s="153">
        <f>C788/C778</f>
        <v>0</v>
      </c>
      <c r="E788" s="66"/>
      <c r="W788" s="146"/>
    </row>
    <row r="789" spans="1:25" ht="15.75" customHeight="1" x14ac:dyDescent="0.3">
      <c r="A789" t="s">
        <v>4912</v>
      </c>
      <c r="B789" s="2270" t="s">
        <v>439</v>
      </c>
      <c r="C789" s="2271">
        <f>M804</f>
        <v>-106667.20957416104</v>
      </c>
      <c r="D789" s="159">
        <f>C789/C778</f>
        <v>-213.33441914832207</v>
      </c>
      <c r="E789" s="288"/>
      <c r="W789" s="146"/>
    </row>
    <row r="790" spans="1:25" ht="15.75" customHeight="1" x14ac:dyDescent="0.3">
      <c r="A790" t="s">
        <v>4912</v>
      </c>
      <c r="B790" s="99" t="s">
        <v>7055</v>
      </c>
      <c r="C790" s="276">
        <f>L804</f>
        <v>0</v>
      </c>
      <c r="D790" s="153">
        <f>C790/C778</f>
        <v>0</v>
      </c>
      <c r="E790" s="279" t="s">
        <v>7056</v>
      </c>
      <c r="W790" s="146"/>
    </row>
    <row r="791" spans="1:25" ht="15.75" customHeight="1" x14ac:dyDescent="0.3">
      <c r="A791" t="s">
        <v>4912</v>
      </c>
      <c r="B791" s="99" t="s">
        <v>7057</v>
      </c>
      <c r="C791" s="153">
        <f>C784+C785</f>
        <v>106667.20957416102</v>
      </c>
      <c r="D791" s="153">
        <f>C791/C778</f>
        <v>213.33441914832204</v>
      </c>
      <c r="E791" s="66"/>
      <c r="W791" s="146"/>
    </row>
    <row r="792" spans="1:25" ht="13.5" customHeight="1" x14ac:dyDescent="0.3">
      <c r="A792" t="s">
        <v>4912</v>
      </c>
      <c r="B792" s="853" t="s">
        <v>5392</v>
      </c>
      <c r="C792" s="142"/>
      <c r="D792" s="854">
        <f>E804</f>
        <v>1825861.3970862306</v>
      </c>
      <c r="E792" s="271" t="s">
        <v>2284</v>
      </c>
      <c r="G792" s="66"/>
      <c r="I792" s="42"/>
      <c r="J792" s="3"/>
      <c r="L792" s="42"/>
      <c r="T792" s="20"/>
      <c r="W792" s="113"/>
    </row>
    <row r="793" spans="1:25" ht="13.5" customHeight="1" x14ac:dyDescent="0.3">
      <c r="A793" t="s">
        <v>4912</v>
      </c>
      <c r="B793" s="852" t="s">
        <v>5393</v>
      </c>
      <c r="D793" s="274">
        <f>E804/C778</f>
        <v>3651.7227941724614</v>
      </c>
      <c r="E793" s="20" t="s">
        <v>7058</v>
      </c>
      <c r="G793" s="66"/>
      <c r="I793" s="42"/>
      <c r="J793" s="3"/>
      <c r="L793" s="42"/>
      <c r="T793" s="20"/>
      <c r="W793" s="113"/>
    </row>
    <row r="794" spans="1:25" ht="15.75" customHeight="1" x14ac:dyDescent="0.3">
      <c r="B794" s="174"/>
      <c r="E794" s="66"/>
      <c r="H794" s="42"/>
      <c r="I794" s="3"/>
      <c r="K794" s="42"/>
      <c r="N794" s="273" t="s">
        <v>7059</v>
      </c>
      <c r="O794" s="90"/>
      <c r="P794" s="90"/>
      <c r="Q794" s="90"/>
      <c r="R794" s="90"/>
      <c r="S794" s="279"/>
      <c r="T794" s="90"/>
      <c r="U794" s="90"/>
      <c r="V794" s="42"/>
      <c r="W794" s="146"/>
    </row>
    <row r="795" spans="1:25" ht="15.75" customHeight="1" x14ac:dyDescent="0.3">
      <c r="B795" s="92" t="s">
        <v>7060</v>
      </c>
      <c r="E795" s="66"/>
      <c r="M795" s="113"/>
      <c r="N795" s="90" t="s">
        <v>5323</v>
      </c>
      <c r="O795" s="90" t="s">
        <v>5181</v>
      </c>
      <c r="P795" s="90" t="s">
        <v>5324</v>
      </c>
      <c r="Q795" s="90" t="s">
        <v>5181</v>
      </c>
      <c r="R795" s="90" t="s">
        <v>2710</v>
      </c>
      <c r="S795" s="90" t="s">
        <v>5181</v>
      </c>
      <c r="T795" s="90" t="s">
        <v>2710</v>
      </c>
      <c r="U795" s="90" t="s">
        <v>5181</v>
      </c>
      <c r="V795" s="90" t="s">
        <v>2710</v>
      </c>
      <c r="W795" s="280" t="s">
        <v>5181</v>
      </c>
    </row>
    <row r="796" spans="1:25" ht="15.75" customHeight="1" x14ac:dyDescent="0.3">
      <c r="B796" s="92" t="s">
        <v>5187</v>
      </c>
      <c r="C796" s="82" t="s">
        <v>7061</v>
      </c>
      <c r="D796" s="82" t="s">
        <v>7062</v>
      </c>
      <c r="E796" s="277" t="s">
        <v>7063</v>
      </c>
      <c r="F796" s="2131" t="s">
        <v>7064</v>
      </c>
      <c r="G796" s="277" t="s">
        <v>2588</v>
      </c>
      <c r="H796" s="152" t="s">
        <v>5188</v>
      </c>
      <c r="I796" s="82" t="s">
        <v>5189</v>
      </c>
      <c r="J796" s="82" t="s">
        <v>5190</v>
      </c>
      <c r="K796" s="82" t="s">
        <v>442</v>
      </c>
      <c r="L796" s="82" t="s">
        <v>5191</v>
      </c>
      <c r="M796" s="173" t="s">
        <v>439</v>
      </c>
      <c r="N796" s="281" t="s">
        <v>5192</v>
      </c>
      <c r="O796" s="281" t="s">
        <v>5193</v>
      </c>
      <c r="P796" s="281" t="s">
        <v>5194</v>
      </c>
      <c r="Q796" s="281" t="s">
        <v>5195</v>
      </c>
      <c r="R796" s="281" t="s">
        <v>5196</v>
      </c>
      <c r="S796" s="281" t="s">
        <v>5197</v>
      </c>
      <c r="T796" s="281" t="s">
        <v>5198</v>
      </c>
      <c r="U796" s="281" t="s">
        <v>5199</v>
      </c>
      <c r="V796" s="281" t="s">
        <v>5200</v>
      </c>
      <c r="W796" s="282" t="s">
        <v>5201</v>
      </c>
    </row>
    <row r="797" spans="1:25" ht="14.4" x14ac:dyDescent="0.3">
      <c r="A797" t="s">
        <v>7066</v>
      </c>
      <c r="B797" s="99" t="s">
        <v>6945</v>
      </c>
      <c r="C797" s="158">
        <f>SUMIFS($C$300:$C$766,$A$300:$A$766,_xlfn.CONCAT(B797,"_construction"))</f>
        <v>13695.194157051748</v>
      </c>
      <c r="D797" s="158">
        <f>SUMIFS($C$300:$C$766,$A$300:$A$766,_xlfn.CONCAT(B797,"_equipment"))</f>
        <v>0</v>
      </c>
      <c r="E797" s="274">
        <f>SUM(C797:D797)</f>
        <v>13695.194157051748</v>
      </c>
      <c r="F797" s="158">
        <f>SUMIFS($D$300:$D$766,$A$300:$A$766,$B797,$B$300:$B$766,"Total capital recovery value")</f>
        <v>1108.2749450816623</v>
      </c>
      <c r="G797" s="158">
        <f>SUMIFS($C$300:$C$766,$A$300:$A$766,$B797,$B$300:$B$766,"Annual operational costs")</f>
        <v>205.42791235577621</v>
      </c>
      <c r="H797" s="153">
        <f>SUM(F797:G797)</f>
        <v>1313.7028574374385</v>
      </c>
      <c r="I797" s="158">
        <f>SUMIFS($C$300:$C$766,$A$300:$A$766,$B797,$B$300:$B$766,"Annual cost savings")</f>
        <v>0</v>
      </c>
      <c r="J797" s="158">
        <f>SUMIFS($C$300:$C$766,$A$300:$A$766,$B797,$B$300:$B$766,"Annual fertilizer value for on-farm use")</f>
        <v>0</v>
      </c>
      <c r="K797" s="158">
        <f>SUMIFS($C$300:$C$766,$A$300:$A$766,$B797,$B$300:$B$766,"Annual revenues")</f>
        <v>0</v>
      </c>
      <c r="L797" s="158">
        <f>SUMIFS($C$300:$C$766,$A$300:$A$766,$B797,$B$300:$B$766,"Annual cost to export excess")</f>
        <v>0</v>
      </c>
      <c r="M797" s="283">
        <f>K797-F797-G797</f>
        <v>-1313.7028574374385</v>
      </c>
      <c r="N797">
        <f>SUMIFS($F$300:$F$766,$A$300:$A$766,$B797,$B$300:$B$766,"Totals")</f>
        <v>0</v>
      </c>
      <c r="O797">
        <f>SUMIFS($G$300:$G$766,$A$300:$A$766,$B797,$B$300:$B$766,"Totals")</f>
        <v>0</v>
      </c>
      <c r="P797" s="147">
        <f>SUMIFS($H$300:$H$766,$A$300:$A$766,$B797,$B$300:$B$766,"Totals")</f>
        <v>0</v>
      </c>
      <c r="Q797" s="147">
        <f>SUMIFS($I$300:$I$766,$A$300:$A$766,$B797,$B$300:$B$766,"Totals")</f>
        <v>0</v>
      </c>
      <c r="R797" s="2315">
        <f>SUMIFS($K$300:$K$766,$A$300:$A$766,$B797,$B$300:$B$766,"Totals")</f>
        <v>0</v>
      </c>
      <c r="S797" s="2315">
        <f>SUMIFS($L$300:$L$766,$A$300:$A$766,$B797,$B$300:$B$766,"Totals")</f>
        <v>0</v>
      </c>
      <c r="T797" s="2315">
        <f>SUMIFS($M$300:$M$766,$A$300:$A$766,$B797,$B$300:$B$766,"Totals")</f>
        <v>0</v>
      </c>
      <c r="U797" s="2315">
        <f>SUMIFS($N$300:$N$766,$A$300:$A$766,$B797,$B$300:$B$766,"Totals")</f>
        <v>0</v>
      </c>
      <c r="V797" s="147">
        <f>R797+T797</f>
        <v>0</v>
      </c>
      <c r="W797" s="285">
        <f>S797+U797</f>
        <v>0</v>
      </c>
      <c r="Y797" s="36"/>
    </row>
    <row r="798" spans="1:25" ht="15.75" customHeight="1" x14ac:dyDescent="0.3">
      <c r="A798" t="str">
        <f>_xlfn.CONCAT("TL",B798)</f>
        <v>TLBarn and parlor</v>
      </c>
      <c r="B798" s="99" t="s">
        <v>5209</v>
      </c>
      <c r="C798" s="233">
        <f t="shared" ref="C798:C803" si="43">SUMIFS($C:$C,$A:$A,_xlfn.CONCAT(B798,"_construction"))</f>
        <v>0</v>
      </c>
      <c r="D798" s="233">
        <f t="shared" ref="D798:D803" si="44">SUMIFS($C:$C,$A:$A,_xlfn.CONCAT(B798,"_equipment"))</f>
        <v>0</v>
      </c>
      <c r="E798" s="274">
        <f t="shared" ref="E798:E803" si="45">SUM(C798:D798)</f>
        <v>0</v>
      </c>
      <c r="F798" s="233">
        <f t="shared" ref="F798:F803" si="46">SUMIFS($D:$D,$A:$A,$B798,$B:$B,"Total capital recovery value")</f>
        <v>0</v>
      </c>
      <c r="G798" s="233">
        <f t="shared" ref="G798:G803" si="47">SUMIFS($C:$C,$A:$A,$B798,$B:$B,"Annual operational costs")</f>
        <v>239.78900165651024</v>
      </c>
      <c r="H798" s="153">
        <f t="shared" ref="H798:H803" si="48">SUM(F798:G798)</f>
        <v>239.78900165651024</v>
      </c>
      <c r="I798" s="233">
        <f t="shared" ref="I798:I803" si="49">SUMIFS($C:$C,$A:$A,$B798,$B:$B,"Annual cost savings")</f>
        <v>0</v>
      </c>
      <c r="J798" s="233">
        <f t="shared" ref="J798:J803" si="50">SUMIFS($C:$C,$A:$A,$B798,$B:$B,"Annual fertilizer value for on-farm use")</f>
        <v>0</v>
      </c>
      <c r="K798" s="233">
        <f>SUMIFS($C:$C,$A:$A,$B798,$B:$B,"Annual revenues")</f>
        <v>0</v>
      </c>
      <c r="L798" s="233">
        <f t="shared" ref="L798:L803" si="51">SUMIFS($C:$C,$A:$A,$B798,$B:$B,"Annual cost to export excess")</f>
        <v>0</v>
      </c>
      <c r="M798" s="283">
        <f>K798-F798-G798</f>
        <v>-239.78900165651024</v>
      </c>
      <c r="N798">
        <f t="shared" ref="N798:N803" si="52">SUMIFS($F:$F,$A:$A,$B798,$B:$B,"Totals")</f>
        <v>0</v>
      </c>
      <c r="O798">
        <f t="shared" ref="O798:O803" si="53">SUMIFS($G:$G,$A:$A,$B798,$B:$B,"Totals")</f>
        <v>0</v>
      </c>
      <c r="P798" s="147">
        <f t="shared" ref="P798:P803" si="54">SUMIFS($H:$H,$A:$A,$B798,$B:$B,"Totals")</f>
        <v>0</v>
      </c>
      <c r="Q798" s="147">
        <f t="shared" ref="Q798:Q803" si="55">SUMIFS($I:$I,$A:$A,$B798,$B:$B,"Totals")</f>
        <v>0</v>
      </c>
      <c r="R798" s="284">
        <f t="shared" ref="R798:R803" si="56">SUMIFS($K:$K,$A:$A,$B798,$B:$B,"Totals")</f>
        <v>0</v>
      </c>
      <c r="S798" s="284">
        <f t="shared" ref="S798:S803" si="57">SUMIFS($L:$L,$A:$A,$B798,$B:$B,"Totals")</f>
        <v>0</v>
      </c>
      <c r="T798" s="284">
        <f t="shared" ref="T798:T803" si="58">SUMIFS($M:$M,$A:$A,$B798,$B:$B,"Totals")</f>
        <v>0</v>
      </c>
      <c r="U798" s="284">
        <f t="shared" ref="U798:U803" si="59">SUMIFS($N:$N,$A:$A,$B798,$B:$B,"Totals")</f>
        <v>0</v>
      </c>
      <c r="V798" s="147">
        <f t="shared" ref="V798:W803" si="60">R798+T798</f>
        <v>0</v>
      </c>
      <c r="W798" s="285">
        <f t="shared" si="60"/>
        <v>0</v>
      </c>
    </row>
    <row r="799" spans="1:25" ht="15.75" customHeight="1" x14ac:dyDescent="0.3">
      <c r="A799" t="str">
        <f t="shared" ref="A799:A804" si="61">_xlfn.CONCAT("TL",B799)</f>
        <v>TLReception pit</v>
      </c>
      <c r="B799" s="99" t="s">
        <v>5219</v>
      </c>
      <c r="C799" s="233">
        <f t="shared" si="43"/>
        <v>31928.926399622596</v>
      </c>
      <c r="D799" s="233">
        <f t="shared" si="44"/>
        <v>13570</v>
      </c>
      <c r="E799" s="274">
        <f t="shared" si="45"/>
        <v>45498.926399622593</v>
      </c>
      <c r="F799" s="233">
        <f t="shared" si="46"/>
        <v>3756.3169475301229</v>
      </c>
      <c r="G799" s="233">
        <f t="shared" si="47"/>
        <v>2024.7429898674507</v>
      </c>
      <c r="H799" s="153">
        <f t="shared" si="48"/>
        <v>5781.0599373975738</v>
      </c>
      <c r="I799" s="233">
        <f t="shared" si="49"/>
        <v>0</v>
      </c>
      <c r="J799" s="233">
        <f t="shared" si="50"/>
        <v>0</v>
      </c>
      <c r="K799" s="233">
        <f>SUMIFS($C:$C,$A:$A,$B799,$B:$B,"Annual revenues")</f>
        <v>0</v>
      </c>
      <c r="L799" s="233">
        <f t="shared" si="51"/>
        <v>0</v>
      </c>
      <c r="M799" s="283">
        <f t="shared" ref="M799:M803" si="62">K799-F799-G799</f>
        <v>-5781.0599373975738</v>
      </c>
      <c r="N799">
        <f t="shared" si="52"/>
        <v>1499.5858662098678</v>
      </c>
      <c r="O799">
        <f t="shared" si="53"/>
        <v>102.85909387311185</v>
      </c>
      <c r="P799" s="147">
        <f t="shared" si="54"/>
        <v>0</v>
      </c>
      <c r="Q799" s="147">
        <f t="shared" si="55"/>
        <v>0</v>
      </c>
      <c r="R799" s="284">
        <f t="shared" si="56"/>
        <v>0</v>
      </c>
      <c r="S799" s="284">
        <f t="shared" si="57"/>
        <v>0</v>
      </c>
      <c r="T799" s="284">
        <f t="shared" si="58"/>
        <v>0</v>
      </c>
      <c r="U799" s="284">
        <f t="shared" si="59"/>
        <v>0</v>
      </c>
      <c r="V799" s="147">
        <f t="shared" ref="V799:V800" si="63">R799+T799</f>
        <v>0</v>
      </c>
      <c r="W799" s="285">
        <f t="shared" ref="W799:W800" si="64">S799+U799</f>
        <v>0</v>
      </c>
    </row>
    <row r="800" spans="1:25" ht="15.75" customHeight="1" x14ac:dyDescent="0.3">
      <c r="A800" t="str">
        <f t="shared" si="61"/>
        <v>TLCovered lagoon</v>
      </c>
      <c r="B800" s="99" t="s">
        <v>4683</v>
      </c>
      <c r="C800" s="233">
        <f t="shared" si="43"/>
        <v>356173.7397391983</v>
      </c>
      <c r="D800" s="233">
        <f t="shared" si="44"/>
        <v>0</v>
      </c>
      <c r="E800" s="274">
        <f t="shared" si="45"/>
        <v>356173.7397391983</v>
      </c>
      <c r="F800" s="233">
        <f t="shared" si="46"/>
        <v>28823.135132095718</v>
      </c>
      <c r="G800" s="233">
        <f t="shared" si="47"/>
        <v>5342.606096087974</v>
      </c>
      <c r="H800" s="153">
        <f t="shared" si="48"/>
        <v>34165.741228183695</v>
      </c>
      <c r="I800" s="233">
        <f t="shared" si="49"/>
        <v>0</v>
      </c>
      <c r="J800" s="233">
        <f t="shared" si="50"/>
        <v>0</v>
      </c>
      <c r="K800" s="784">
        <f>SUMIFS($C:$C,$A:$A,$B800,$B:$B,"Annual revenues for tanker")</f>
        <v>0</v>
      </c>
      <c r="L800" s="233">
        <f t="shared" si="51"/>
        <v>0</v>
      </c>
      <c r="M800" s="283">
        <f t="shared" si="62"/>
        <v>-34165.741228183695</v>
      </c>
      <c r="N800">
        <f t="shared" si="52"/>
        <v>0</v>
      </c>
      <c r="O800">
        <f t="shared" si="53"/>
        <v>0</v>
      </c>
      <c r="P800" s="147">
        <f t="shared" si="54"/>
        <v>0</v>
      </c>
      <c r="Q800" s="147">
        <f t="shared" si="55"/>
        <v>0</v>
      </c>
      <c r="R800" s="284">
        <f t="shared" si="56"/>
        <v>0</v>
      </c>
      <c r="S800" s="284">
        <f t="shared" si="57"/>
        <v>0</v>
      </c>
      <c r="T800" s="284">
        <f t="shared" si="58"/>
        <v>0</v>
      </c>
      <c r="U800" s="284">
        <f t="shared" si="59"/>
        <v>0</v>
      </c>
      <c r="V800" s="147">
        <f t="shared" si="63"/>
        <v>0</v>
      </c>
      <c r="W800" s="285">
        <f t="shared" si="64"/>
        <v>0</v>
      </c>
    </row>
    <row r="801" spans="1:23" ht="15.75" customHeight="1" x14ac:dyDescent="0.3">
      <c r="A801" t="str">
        <f t="shared" si="61"/>
        <v>TLLagoon</v>
      </c>
      <c r="B801" s="99" t="s">
        <v>5210</v>
      </c>
      <c r="C801" s="233">
        <f t="shared" si="43"/>
        <v>121393.53679035802</v>
      </c>
      <c r="D801" s="233">
        <f t="shared" si="44"/>
        <v>0</v>
      </c>
      <c r="E801" s="274">
        <f t="shared" si="45"/>
        <v>121393.53679035802</v>
      </c>
      <c r="F801" s="233">
        <f t="shared" si="46"/>
        <v>9823.6953618016832</v>
      </c>
      <c r="G801" s="233">
        <f t="shared" si="47"/>
        <v>1820.9030518553702</v>
      </c>
      <c r="H801" s="153">
        <f t="shared" si="48"/>
        <v>11644.598413657053</v>
      </c>
      <c r="I801" s="233">
        <f t="shared" si="49"/>
        <v>0</v>
      </c>
      <c r="J801" s="233">
        <f t="shared" si="50"/>
        <v>0</v>
      </c>
      <c r="K801" s="233">
        <f>SUMIFS($C:$C,$A:$A,$B801,$B:$B,"Annual revenues")</f>
        <v>0</v>
      </c>
      <c r="L801" s="233">
        <f t="shared" si="51"/>
        <v>0</v>
      </c>
      <c r="M801" s="283">
        <f t="shared" si="62"/>
        <v>-11644.598413657053</v>
      </c>
      <c r="N801">
        <f t="shared" si="52"/>
        <v>0</v>
      </c>
      <c r="O801">
        <f t="shared" si="53"/>
        <v>0</v>
      </c>
      <c r="P801" s="147">
        <f t="shared" si="54"/>
        <v>0</v>
      </c>
      <c r="Q801" s="147">
        <f t="shared" si="55"/>
        <v>0</v>
      </c>
      <c r="R801" s="284">
        <f t="shared" si="56"/>
        <v>0</v>
      </c>
      <c r="S801" s="284">
        <f t="shared" si="57"/>
        <v>0</v>
      </c>
      <c r="T801" s="284">
        <f t="shared" si="58"/>
        <v>0</v>
      </c>
      <c r="U801" s="284">
        <f t="shared" si="59"/>
        <v>0</v>
      </c>
      <c r="V801" s="147">
        <f t="shared" si="60"/>
        <v>0</v>
      </c>
      <c r="W801" s="285">
        <f t="shared" si="60"/>
        <v>0</v>
      </c>
    </row>
    <row r="802" spans="1:23" ht="15.75" customHeight="1" x14ac:dyDescent="0.3">
      <c r="A802" t="str">
        <f t="shared" si="61"/>
        <v>TLFlush water</v>
      </c>
      <c r="B802" s="99" t="s">
        <v>5211</v>
      </c>
      <c r="C802" s="233">
        <f t="shared" si="43"/>
        <v>0</v>
      </c>
      <c r="D802" s="233">
        <f t="shared" si="44"/>
        <v>0</v>
      </c>
      <c r="E802" s="274">
        <f t="shared" si="45"/>
        <v>0</v>
      </c>
      <c r="F802" s="233">
        <f t="shared" si="46"/>
        <v>3017.6174069102476</v>
      </c>
      <c r="G802" s="233">
        <f t="shared" si="47"/>
        <v>1085.2004420208236</v>
      </c>
      <c r="H802" s="153">
        <f t="shared" si="48"/>
        <v>4102.8178489310712</v>
      </c>
      <c r="I802" s="233">
        <f t="shared" si="49"/>
        <v>10561.452582174725</v>
      </c>
      <c r="J802" s="233">
        <f t="shared" si="50"/>
        <v>0</v>
      </c>
      <c r="K802" s="233">
        <f>SUMIFS($C:$C,$A:$A,$B802,$B:$B,"Annual revenues")</f>
        <v>0</v>
      </c>
      <c r="L802" s="233">
        <f t="shared" si="51"/>
        <v>0</v>
      </c>
      <c r="M802" s="283">
        <f t="shared" si="62"/>
        <v>-4102.8178489310712</v>
      </c>
      <c r="N802" s="278">
        <f t="shared" si="52"/>
        <v>1129.152356031932</v>
      </c>
      <c r="O802" s="147">
        <f t="shared" si="53"/>
        <v>77.450442020823601</v>
      </c>
      <c r="P802" s="147">
        <f t="shared" si="54"/>
        <v>0</v>
      </c>
      <c r="Q802" s="147">
        <f t="shared" si="55"/>
        <v>0</v>
      </c>
      <c r="R802" s="284">
        <f t="shared" si="56"/>
        <v>0</v>
      </c>
      <c r="S802" s="284">
        <f t="shared" si="57"/>
        <v>0</v>
      </c>
      <c r="T802" s="284">
        <f t="shared" si="58"/>
        <v>0</v>
      </c>
      <c r="U802" s="284">
        <f t="shared" si="59"/>
        <v>0</v>
      </c>
      <c r="V802" s="147">
        <f t="shared" si="60"/>
        <v>0</v>
      </c>
      <c r="W802" s="285">
        <f t="shared" si="60"/>
        <v>0</v>
      </c>
    </row>
    <row r="803" spans="1:23" ht="15.75" customHeight="1" x14ac:dyDescent="0.3">
      <c r="A803" t="str">
        <f t="shared" si="61"/>
        <v>TLEnd use tanker</v>
      </c>
      <c r="B803" s="99" t="s">
        <v>5202</v>
      </c>
      <c r="C803" s="233">
        <f t="shared" si="43"/>
        <v>0</v>
      </c>
      <c r="D803" s="233">
        <f t="shared" si="44"/>
        <v>1289100</v>
      </c>
      <c r="E803" s="274">
        <f t="shared" si="45"/>
        <v>1289100</v>
      </c>
      <c r="F803" s="233">
        <f t="shared" si="46"/>
        <v>35505.934698584562</v>
      </c>
      <c r="G803" s="233">
        <f t="shared" si="47"/>
        <v>13913.565588313126</v>
      </c>
      <c r="H803" s="153">
        <f t="shared" si="48"/>
        <v>49419.500286897688</v>
      </c>
      <c r="I803" s="233">
        <f t="shared" si="49"/>
        <v>0</v>
      </c>
      <c r="J803" s="233">
        <f t="shared" si="50"/>
        <v>5578.7691036372507</v>
      </c>
      <c r="K803" s="233">
        <f>SUMIFS($C:$C,$A:$A,$B803,$B:$B,"Annual revenues")</f>
        <v>0</v>
      </c>
      <c r="L803" s="233">
        <f t="shared" si="51"/>
        <v>0</v>
      </c>
      <c r="M803" s="283">
        <f t="shared" si="62"/>
        <v>-49419.500286897688</v>
      </c>
      <c r="N803">
        <f t="shared" si="52"/>
        <v>931.22205127489565</v>
      </c>
      <c r="O803">
        <f t="shared" si="53"/>
        <v>63.874072533697216</v>
      </c>
      <c r="P803" s="147">
        <f t="shared" si="54"/>
        <v>164.46926905347129</v>
      </c>
      <c r="Q803" s="147">
        <f t="shared" si="55"/>
        <v>607.95910145927871</v>
      </c>
      <c r="R803" s="284">
        <f t="shared" si="56"/>
        <v>27.588935735217159</v>
      </c>
      <c r="S803" s="284">
        <f t="shared" si="57"/>
        <v>652.75421949523798</v>
      </c>
      <c r="T803" s="284">
        <f t="shared" si="58"/>
        <v>0</v>
      </c>
      <c r="U803" s="284">
        <f t="shared" si="59"/>
        <v>0</v>
      </c>
      <c r="V803" s="147">
        <f t="shared" si="60"/>
        <v>27.588935735217159</v>
      </c>
      <c r="W803" s="285">
        <f t="shared" si="60"/>
        <v>652.75421949523798</v>
      </c>
    </row>
    <row r="804" spans="1:23" ht="15.75" customHeight="1" x14ac:dyDescent="0.3">
      <c r="A804" t="str">
        <f t="shared" si="61"/>
        <v>TLTotals</v>
      </c>
      <c r="B804" s="162" t="s">
        <v>5203</v>
      </c>
      <c r="C804" s="242">
        <f>SUM(C797:C803)</f>
        <v>523191.39708623069</v>
      </c>
      <c r="D804" s="242">
        <f t="shared" ref="D804:M804" si="65">SUM(D797:D803)</f>
        <v>1302670</v>
      </c>
      <c r="E804" s="242">
        <f t="shared" si="65"/>
        <v>1825861.3970862306</v>
      </c>
      <c r="F804" s="242">
        <f t="shared" si="65"/>
        <v>82034.974492003996</v>
      </c>
      <c r="G804" s="242">
        <f t="shared" si="65"/>
        <v>24632.235082157029</v>
      </c>
      <c r="H804" s="242">
        <f t="shared" si="65"/>
        <v>106667.20957416104</v>
      </c>
      <c r="I804" s="242">
        <f t="shared" si="65"/>
        <v>10561.452582174725</v>
      </c>
      <c r="J804" s="242">
        <f t="shared" si="65"/>
        <v>5578.7691036372507</v>
      </c>
      <c r="K804" s="242">
        <f t="shared" si="65"/>
        <v>0</v>
      </c>
      <c r="L804" s="242">
        <f t="shared" si="65"/>
        <v>0</v>
      </c>
      <c r="M804" s="242">
        <f t="shared" si="65"/>
        <v>-106667.20957416104</v>
      </c>
      <c r="N804" s="286">
        <f>SUM(N797:N803)</f>
        <v>3559.9602735166955</v>
      </c>
      <c r="O804" s="286">
        <f t="shared" ref="O804:W804" si="66">SUM(O797:O803)</f>
        <v>244.18360842763266</v>
      </c>
      <c r="P804" s="286">
        <f t="shared" si="66"/>
        <v>164.46926905347129</v>
      </c>
      <c r="Q804" s="286">
        <f t="shared" si="66"/>
        <v>607.95910145927871</v>
      </c>
      <c r="R804" s="286">
        <f t="shared" si="66"/>
        <v>27.588935735217159</v>
      </c>
      <c r="S804" s="286">
        <f t="shared" si="66"/>
        <v>652.75421949523798</v>
      </c>
      <c r="T804" s="286">
        <f t="shared" si="66"/>
        <v>0</v>
      </c>
      <c r="U804" s="286">
        <f t="shared" si="66"/>
        <v>0</v>
      </c>
      <c r="V804" s="286">
        <f t="shared" si="66"/>
        <v>27.588935735217159</v>
      </c>
      <c r="W804" s="286">
        <f t="shared" si="66"/>
        <v>652.75421949523798</v>
      </c>
    </row>
    <row r="805" spans="1:23" ht="15.75" customHeight="1" x14ac:dyDescent="0.3">
      <c r="A805" s="82"/>
      <c r="B805" s="287" t="s">
        <v>7069</v>
      </c>
      <c r="C805" s="150"/>
      <c r="D805" s="150"/>
      <c r="E805" s="288"/>
      <c r="F805" s="150"/>
      <c r="G805" s="150"/>
      <c r="H805" s="150"/>
      <c r="I805" s="150"/>
      <c r="J805" s="150"/>
      <c r="K805" s="150"/>
      <c r="L805" s="150"/>
      <c r="M805" s="289"/>
      <c r="N805" s="150"/>
      <c r="O805" s="150"/>
      <c r="P805" s="150"/>
      <c r="Q805" s="150"/>
      <c r="R805" s="290"/>
      <c r="S805" s="291"/>
      <c r="T805" s="150"/>
      <c r="U805" s="150"/>
      <c r="V805" s="150"/>
      <c r="W805" s="151"/>
    </row>
    <row r="806" spans="1:23" ht="15.75" customHeight="1" x14ac:dyDescent="0.3">
      <c r="E806" s="288"/>
    </row>
    <row r="807" spans="1:23" ht="15.75" customHeight="1" x14ac:dyDescent="0.3">
      <c r="B807" s="139" t="s">
        <v>7050</v>
      </c>
      <c r="C807" s="142"/>
      <c r="D807" s="142"/>
      <c r="E807" s="267"/>
      <c r="F807" s="267"/>
      <c r="G807" s="267"/>
      <c r="H807" s="268"/>
      <c r="I807" s="269"/>
      <c r="J807" s="270"/>
      <c r="K807" s="142"/>
      <c r="L807" s="269"/>
      <c r="M807" s="142"/>
      <c r="N807" s="142"/>
      <c r="O807" s="142"/>
      <c r="P807" s="142"/>
      <c r="Q807" s="142"/>
      <c r="R807" s="142"/>
      <c r="S807" s="142"/>
      <c r="T807" s="271"/>
      <c r="U807" s="142"/>
      <c r="V807" s="142"/>
      <c r="W807" s="272"/>
    </row>
    <row r="808" spans="1:23" ht="15.75" customHeight="1" x14ac:dyDescent="0.3">
      <c r="B808" s="92" t="s">
        <v>7070</v>
      </c>
      <c r="E808" s="66"/>
      <c r="F808" s="66"/>
      <c r="G808" s="66"/>
      <c r="H808" s="19"/>
      <c r="I808" s="42"/>
      <c r="J808" s="3"/>
      <c r="L808" s="42"/>
      <c r="T808" s="20"/>
      <c r="W808" s="113"/>
    </row>
    <row r="809" spans="1:23" ht="15.75" customHeight="1" x14ac:dyDescent="0.3">
      <c r="B809" s="99"/>
      <c r="D809" s="66"/>
      <c r="E809" s="66"/>
      <c r="F809" s="66"/>
      <c r="G809" s="19"/>
      <c r="H809" s="19"/>
      <c r="I809" s="42"/>
      <c r="J809" s="3"/>
      <c r="L809" s="42"/>
      <c r="T809" s="20"/>
      <c r="W809" s="113"/>
    </row>
    <row r="810" spans="1:23" ht="15.75" customHeight="1" x14ac:dyDescent="0.3">
      <c r="B810" s="92" t="s">
        <v>7052</v>
      </c>
      <c r="C810" s="82" t="s">
        <v>565</v>
      </c>
      <c r="D810" s="82" t="s">
        <v>38</v>
      </c>
      <c r="E810" s="66"/>
      <c r="H810" s="19"/>
      <c r="I810" s="42"/>
      <c r="J810" s="3"/>
      <c r="L810" s="42"/>
      <c r="T810" s="20"/>
      <c r="W810" s="113"/>
    </row>
    <row r="811" spans="1:23" ht="15.75" customHeight="1" x14ac:dyDescent="0.3">
      <c r="B811" s="99" t="s">
        <v>5859</v>
      </c>
      <c r="C811">
        <f>UDV.animal.total</f>
        <v>500</v>
      </c>
      <c r="D811" t="s">
        <v>2442</v>
      </c>
      <c r="E811" s="66"/>
      <c r="H811" s="19"/>
      <c r="I811" s="42"/>
      <c r="J811" s="3"/>
      <c r="L811" s="42"/>
      <c r="T811" s="20"/>
      <c r="W811" s="113"/>
    </row>
    <row r="812" spans="1:23" ht="15.75" customHeight="1" x14ac:dyDescent="0.3">
      <c r="B812" s="174" t="s">
        <v>5386</v>
      </c>
      <c r="C812">
        <f>UDV.crops.acres_available</f>
        <v>100</v>
      </c>
      <c r="D812" t="s">
        <v>7029</v>
      </c>
      <c r="E812" s="66"/>
      <c r="H812" s="19"/>
      <c r="I812" s="42"/>
      <c r="J812" s="3"/>
      <c r="L812" s="42"/>
      <c r="T812" s="20"/>
      <c r="W812" s="113"/>
    </row>
    <row r="813" spans="1:23" ht="15.75" customHeight="1" x14ac:dyDescent="0.3">
      <c r="B813" s="99" t="s">
        <v>5114</v>
      </c>
      <c r="C813" t="str">
        <f>UDV.u.state</f>
        <v>Iowa</v>
      </c>
      <c r="D813" t="s">
        <v>2852</v>
      </c>
      <c r="E813" s="66"/>
      <c r="H813" s="19"/>
      <c r="I813" s="42"/>
      <c r="J813" s="3"/>
      <c r="L813" s="42"/>
      <c r="T813" s="20"/>
      <c r="W813" s="113"/>
    </row>
    <row r="814" spans="1:23" ht="13.5" customHeight="1" x14ac:dyDescent="0.3">
      <c r="A814" t="s">
        <v>4917</v>
      </c>
      <c r="B814" s="99" t="s">
        <v>7240</v>
      </c>
      <c r="C814" s="166">
        <f>VLOOKUP("Emissions reductions for drag hose", $R$1:$U$299,3,FALSE)*UDV.econ_energy.carbon_credits</f>
        <v>0</v>
      </c>
      <c r="D814" t="s">
        <v>5181</v>
      </c>
      <c r="E814" s="66"/>
      <c r="H814" s="19"/>
      <c r="I814" s="42"/>
      <c r="J814" s="3"/>
      <c r="L814" s="42"/>
      <c r="T814" s="20"/>
      <c r="W814" s="113"/>
    </row>
    <row r="815" spans="1:23" ht="15.75" customHeight="1" x14ac:dyDescent="0.3">
      <c r="B815" s="99"/>
      <c r="W815" s="146"/>
    </row>
    <row r="816" spans="1:23" ht="15.75" customHeight="1" x14ac:dyDescent="0.3">
      <c r="A816" t="s">
        <v>4917</v>
      </c>
      <c r="B816" s="92" t="s">
        <v>7053</v>
      </c>
      <c r="C816" s="82" t="s">
        <v>5181</v>
      </c>
      <c r="D816" s="82" t="s">
        <v>7140</v>
      </c>
      <c r="E816" s="66"/>
      <c r="I816" s="42"/>
      <c r="J816" s="3"/>
      <c r="L816" s="42"/>
      <c r="T816" s="20"/>
      <c r="W816" s="113"/>
    </row>
    <row r="817" spans="1:25" ht="15.75" customHeight="1" x14ac:dyDescent="0.3">
      <c r="A817" t="s">
        <v>4917</v>
      </c>
      <c r="B817" s="275" t="s">
        <v>2585</v>
      </c>
      <c r="C817" s="276">
        <f>F837</f>
        <v>135859.55313721468</v>
      </c>
      <c r="D817" s="153">
        <f>C817/C811</f>
        <v>271.71910627442935</v>
      </c>
      <c r="E817" s="66"/>
      <c r="F817" s="66"/>
      <c r="G817" s="66"/>
      <c r="T817" s="20"/>
      <c r="W817" s="113"/>
    </row>
    <row r="818" spans="1:25" ht="15.75" customHeight="1" x14ac:dyDescent="0.3">
      <c r="A818" t="s">
        <v>4917</v>
      </c>
      <c r="B818" s="275" t="s">
        <v>2588</v>
      </c>
      <c r="C818" s="276">
        <f>G837+L837</f>
        <v>41587.686126609282</v>
      </c>
      <c r="D818" s="153">
        <f>C818/C811</f>
        <v>83.175372253218569</v>
      </c>
      <c r="E818" s="66"/>
      <c r="F818" s="66"/>
      <c r="G818" s="66"/>
      <c r="H818" s="19"/>
      <c r="I818" s="42"/>
      <c r="J818" s="3"/>
      <c r="L818" s="42"/>
      <c r="T818" s="20"/>
      <c r="W818" s="113"/>
    </row>
    <row r="819" spans="1:25" ht="15.75" customHeight="1" x14ac:dyDescent="0.3">
      <c r="A819" t="s">
        <v>4917</v>
      </c>
      <c r="B819" s="275" t="s">
        <v>441</v>
      </c>
      <c r="C819" s="276">
        <f>I837</f>
        <v>10561.452582174725</v>
      </c>
      <c r="D819" s="153">
        <f>C819/C811</f>
        <v>21.122905164349451</v>
      </c>
      <c r="E819" s="66"/>
      <c r="F819" s="66"/>
      <c r="G819" s="66"/>
      <c r="I819" s="42"/>
      <c r="J819" s="3"/>
      <c r="L819" s="42"/>
      <c r="T819" s="20"/>
      <c r="W819" s="113"/>
    </row>
    <row r="820" spans="1:25" ht="15.75" customHeight="1" x14ac:dyDescent="0.3">
      <c r="A820" t="s">
        <v>4917</v>
      </c>
      <c r="B820" s="275" t="s">
        <v>440</v>
      </c>
      <c r="C820" s="276">
        <f>J837</f>
        <v>5578.7691036372507</v>
      </c>
      <c r="D820" s="153">
        <f>C820/C811</f>
        <v>11.157538207274502</v>
      </c>
      <c r="E820" s="66"/>
      <c r="G820" s="66"/>
      <c r="I820" s="42"/>
      <c r="J820" s="3"/>
      <c r="L820" s="42"/>
      <c r="T820" s="20"/>
      <c r="W820" s="113"/>
    </row>
    <row r="821" spans="1:25" ht="15.75" customHeight="1" x14ac:dyDescent="0.3">
      <c r="A821" t="s">
        <v>4917</v>
      </c>
      <c r="B821" s="275" t="s">
        <v>442</v>
      </c>
      <c r="C821" s="276">
        <f>K837</f>
        <v>0</v>
      </c>
      <c r="D821" s="153">
        <f>C821/C811</f>
        <v>0</v>
      </c>
      <c r="E821" s="66"/>
      <c r="G821" s="66"/>
      <c r="I821" s="42"/>
      <c r="J821" s="3"/>
      <c r="L821" s="42"/>
      <c r="P821" s="277"/>
      <c r="T821" s="20"/>
      <c r="W821" s="113"/>
    </row>
    <row r="822" spans="1:25" ht="15.75" customHeight="1" x14ac:dyDescent="0.3">
      <c r="A822" t="s">
        <v>4917</v>
      </c>
      <c r="B822" s="2270" t="s">
        <v>439</v>
      </c>
      <c r="C822" s="2271">
        <f>M837</f>
        <v>-177447.23926382395</v>
      </c>
      <c r="D822" s="159">
        <f>C822/C811</f>
        <v>-354.89447852764789</v>
      </c>
      <c r="E822" s="288"/>
      <c r="G822" s="66"/>
      <c r="I822" s="42"/>
      <c r="J822" s="3"/>
      <c r="L822" s="42"/>
      <c r="T822" s="20"/>
      <c r="W822" s="113"/>
    </row>
    <row r="823" spans="1:25" ht="15.75" customHeight="1" x14ac:dyDescent="0.3">
      <c r="A823" t="s">
        <v>4917</v>
      </c>
      <c r="B823" s="99" t="s">
        <v>7055</v>
      </c>
      <c r="C823" s="276">
        <f>L837</f>
        <v>0</v>
      </c>
      <c r="D823" s="153">
        <f>C823/C811</f>
        <v>0</v>
      </c>
      <c r="E823" s="279" t="s">
        <v>7056</v>
      </c>
      <c r="F823" s="66"/>
      <c r="G823" s="66"/>
      <c r="I823" s="42"/>
      <c r="J823" s="3"/>
      <c r="L823" s="42"/>
      <c r="T823" s="20"/>
      <c r="W823" s="113"/>
    </row>
    <row r="824" spans="1:25" ht="15.75" customHeight="1" x14ac:dyDescent="0.3">
      <c r="A824" t="s">
        <v>4917</v>
      </c>
      <c r="B824" s="99" t="s">
        <v>7057</v>
      </c>
      <c r="C824" s="153">
        <f>C817+C818</f>
        <v>177447.23926382395</v>
      </c>
      <c r="D824" s="153">
        <f>C824/C811</f>
        <v>354.89447852764789</v>
      </c>
      <c r="E824" s="66"/>
      <c r="F824" s="66"/>
      <c r="G824" s="66"/>
      <c r="I824" s="42"/>
      <c r="J824" s="3"/>
      <c r="L824" s="42"/>
      <c r="T824" s="20"/>
      <c r="W824" s="113"/>
    </row>
    <row r="825" spans="1:25" ht="13.5" customHeight="1" x14ac:dyDescent="0.3">
      <c r="A825" t="s">
        <v>4917</v>
      </c>
      <c r="B825" s="853" t="s">
        <v>5392</v>
      </c>
      <c r="C825" s="142"/>
      <c r="D825" s="854">
        <f>E837</f>
        <v>2594601.3970862306</v>
      </c>
      <c r="E825" s="271" t="s">
        <v>2284</v>
      </c>
      <c r="G825" s="66"/>
      <c r="I825" s="42"/>
      <c r="J825" s="3"/>
      <c r="L825" s="42"/>
      <c r="T825" s="20"/>
      <c r="W825" s="113"/>
    </row>
    <row r="826" spans="1:25" ht="13.5" customHeight="1" x14ac:dyDescent="0.3">
      <c r="A826" t="s">
        <v>4917</v>
      </c>
      <c r="B826" s="852" t="s">
        <v>5393</v>
      </c>
      <c r="D826" s="274">
        <f>E837/C811</f>
        <v>5189.2027941724609</v>
      </c>
      <c r="E826" s="20" t="s">
        <v>7058</v>
      </c>
      <c r="G826" s="66"/>
      <c r="I826" s="42"/>
      <c r="J826" s="3"/>
      <c r="L826" s="42"/>
      <c r="T826" s="20"/>
      <c r="W826" s="113"/>
    </row>
    <row r="827" spans="1:25" ht="15.75" customHeight="1" x14ac:dyDescent="0.3">
      <c r="B827" s="99"/>
      <c r="E827" s="66"/>
      <c r="H827" s="42"/>
      <c r="I827" s="3"/>
      <c r="K827" s="42"/>
      <c r="N827" s="273" t="s">
        <v>7059</v>
      </c>
      <c r="O827" s="90"/>
      <c r="P827" s="90"/>
      <c r="Q827" s="90"/>
      <c r="R827" s="90"/>
      <c r="S827" s="279"/>
      <c r="T827" s="90"/>
      <c r="U827" s="90"/>
      <c r="V827" s="42"/>
      <c r="W827" s="146"/>
    </row>
    <row r="828" spans="1:25" ht="15.75" customHeight="1" x14ac:dyDescent="0.3">
      <c r="B828" s="92" t="s">
        <v>7060</v>
      </c>
      <c r="E828" s="66"/>
      <c r="M828" s="113"/>
      <c r="N828" s="90" t="s">
        <v>5323</v>
      </c>
      <c r="O828" s="90" t="s">
        <v>5181</v>
      </c>
      <c r="P828" s="90" t="s">
        <v>5324</v>
      </c>
      <c r="Q828" s="90" t="s">
        <v>5181</v>
      </c>
      <c r="R828" s="90" t="s">
        <v>2710</v>
      </c>
      <c r="S828" s="90" t="s">
        <v>5181</v>
      </c>
      <c r="T828" s="90" t="s">
        <v>2710</v>
      </c>
      <c r="U828" s="90" t="s">
        <v>5181</v>
      </c>
      <c r="V828" s="90" t="s">
        <v>2710</v>
      </c>
      <c r="W828" s="280" t="s">
        <v>5181</v>
      </c>
    </row>
    <row r="829" spans="1:25" ht="15.75" customHeight="1" x14ac:dyDescent="0.3">
      <c r="B829" s="92" t="s">
        <v>5187</v>
      </c>
      <c r="C829" s="82" t="s">
        <v>7061</v>
      </c>
      <c r="D829" s="82" t="s">
        <v>7062</v>
      </c>
      <c r="E829" s="277" t="s">
        <v>7063</v>
      </c>
      <c r="F829" s="82" t="s">
        <v>7064</v>
      </c>
      <c r="G829" s="277" t="s">
        <v>2588</v>
      </c>
      <c r="H829" s="82" t="s">
        <v>5188</v>
      </c>
      <c r="I829" s="82" t="s">
        <v>5189</v>
      </c>
      <c r="J829" s="82" t="s">
        <v>5190</v>
      </c>
      <c r="K829" s="82" t="s">
        <v>442</v>
      </c>
      <c r="L829" s="82" t="s">
        <v>5191</v>
      </c>
      <c r="M829" s="173" t="s">
        <v>439</v>
      </c>
      <c r="N829" s="281" t="s">
        <v>5192</v>
      </c>
      <c r="O829" s="281" t="s">
        <v>5193</v>
      </c>
      <c r="P829" s="281" t="s">
        <v>5194</v>
      </c>
      <c r="Q829" s="281" t="s">
        <v>5195</v>
      </c>
      <c r="R829" s="281" t="s">
        <v>5196</v>
      </c>
      <c r="S829" s="281" t="s">
        <v>5197</v>
      </c>
      <c r="T829" s="281" t="s">
        <v>5198</v>
      </c>
      <c r="U829" s="281" t="s">
        <v>5199</v>
      </c>
      <c r="V829" s="281" t="s">
        <v>5200</v>
      </c>
      <c r="W829" s="282" t="s">
        <v>5201</v>
      </c>
    </row>
    <row r="830" spans="1:25" ht="14.4" x14ac:dyDescent="0.3">
      <c r="A830" t="s">
        <v>7071</v>
      </c>
      <c r="B830" s="99" t="s">
        <v>6945</v>
      </c>
      <c r="C830" s="158">
        <f>SUMIFS($C$300:$C$765,$A$300:$A$765,_xlfn.CONCAT(B830,"_construction"))</f>
        <v>13695.194157051748</v>
      </c>
      <c r="D830" s="158">
        <f>SUMIFS($C$300:$C$765,$A$300:$A$765,_xlfn.CONCAT(B830,"_equipment"))</f>
        <v>0</v>
      </c>
      <c r="E830" s="274">
        <f>SUM(C830:D830)</f>
        <v>13695.194157051748</v>
      </c>
      <c r="F830" s="158">
        <f>SUMIFS($D$300:$D$765,$A$300:$A$765,$B830,$B$300:$B$765,"Total capital recovery value")</f>
        <v>1108.2749450816623</v>
      </c>
      <c r="G830" s="158">
        <f>SUMIFS($C$300:$C$765,$A$300:$A$765,$B830,$B$300:$B$765,"Annual operational costs")</f>
        <v>205.42791235577621</v>
      </c>
      <c r="H830" s="153">
        <f>SUM(F830:G830)</f>
        <v>1313.7028574374385</v>
      </c>
      <c r="I830" s="158">
        <f>SUMIFS($C$300:$C$765,$A$300:$A$765,$B830,$B$300:$B$765,"Annual cost savings")</f>
        <v>0</v>
      </c>
      <c r="J830" s="158">
        <f>SUMIFS($C$300:$C$765,$A$300:$A$765,$B830,$B$300:$B$765,"Annual fertilizer value for on-farm use")</f>
        <v>0</v>
      </c>
      <c r="K830" s="158">
        <f>SUMIFS($C$300:$C$765,$A$300:$A$765,$B830,$B$300:$B$765,"Annual revenues")</f>
        <v>0</v>
      </c>
      <c r="L830" s="158">
        <f>SUMIFS($C$300:$C$765,$A$300:$A$765,$B830,$B$300:$B$765,"Annual cost to export excess")</f>
        <v>0</v>
      </c>
      <c r="M830" s="283">
        <f>K830-F830-G830</f>
        <v>-1313.7028574374385</v>
      </c>
      <c r="N830">
        <f>SUMIFS($F$300:$F$765,$A$300:$A$765,$B830,$B$300:$B$765,"Totals")</f>
        <v>0</v>
      </c>
      <c r="O830">
        <f>SUMIFS($G$300:$G$765,$A$300:$A$765,$B830,$B$300:$B$765,"Totals")</f>
        <v>0</v>
      </c>
      <c r="P830" s="147">
        <f>SUMIFS($H$300:$H$765,$A$300:$A$765,$B830,$B$300:$B$765,"Totals")</f>
        <v>0</v>
      </c>
      <c r="Q830" s="147">
        <f>SUMIFS($I$300:$I$765,$A$300:$A$765,$B830,$B$300:$B$765,"Totals")</f>
        <v>0</v>
      </c>
      <c r="R830" s="2315">
        <f>SUMIFS($K$300:$K$765,$A$300:$A$765,$B830,$B$300:$B$765,"Totals")</f>
        <v>0</v>
      </c>
      <c r="S830" s="2315">
        <f>SUMIFS($L$300:$L$765,$A$300:$A$765,$B830,$B$300:$B$765,"Totals")</f>
        <v>0</v>
      </c>
      <c r="T830" s="2315">
        <f>SUMIFS($M$300:$M$765,$A$300:$A$765,$B830,$B$300:$B$765,"Totals")</f>
        <v>0</v>
      </c>
      <c r="U830" s="2315">
        <f>SUMIFS($N$300:$N$765,$A$300:$A$765,$B830,$B$300:$B$765,"Totals")</f>
        <v>0</v>
      </c>
      <c r="V830" s="147">
        <f>R830+T830</f>
        <v>0</v>
      </c>
      <c r="W830" s="285">
        <f>S830+U830</f>
        <v>0</v>
      </c>
      <c r="Y830" s="36"/>
    </row>
    <row r="831" spans="1:25" ht="15.75" customHeight="1" x14ac:dyDescent="0.3">
      <c r="A831" t="str">
        <f>_xlfn.CONCAT("DHL",B831)</f>
        <v>DHLBarn and parlor</v>
      </c>
      <c r="B831" s="99" t="s">
        <v>5209</v>
      </c>
      <c r="C831" s="233">
        <f t="shared" ref="C831:C836" si="67">SUMIFS($C:$C,$A:$A,_xlfn.CONCAT(B831,"_construction"))</f>
        <v>0</v>
      </c>
      <c r="D831" s="233">
        <f t="shared" ref="D831:D836" si="68">SUMIFS($C:$C,$A:$A,_xlfn.CONCAT(B831,"_equipment"))</f>
        <v>0</v>
      </c>
      <c r="E831" s="274">
        <f t="shared" ref="E831:E836" si="69">SUM(C831:D831)</f>
        <v>0</v>
      </c>
      <c r="F831" s="233">
        <f t="shared" ref="F831:F836" si="70">SUMIFS($D:$D,$A:$A,$B831,$B:$B,"Total capital recovery value")</f>
        <v>0</v>
      </c>
      <c r="G831" s="233">
        <f t="shared" ref="G831:G836" si="71">SUMIFS($C:$C,$A:$A,$B831,$B:$B,"Annual operational costs")</f>
        <v>239.78900165651024</v>
      </c>
      <c r="H831" s="153">
        <f t="shared" ref="H831:H836" si="72">SUM(F831:G831)</f>
        <v>239.78900165651024</v>
      </c>
      <c r="I831" s="233">
        <f t="shared" ref="I831:I836" si="73">SUMIFS($C:$C,$A:$A,$B831,$B:$B,"Annual cost savings")</f>
        <v>0</v>
      </c>
      <c r="J831" s="233">
        <f t="shared" ref="J831:J836" si="74">SUMIFS($C:$C,$A:$A,$B831,$B:$B,"Annual fertilizer value for on-farm use")</f>
        <v>0</v>
      </c>
      <c r="K831" s="233">
        <f>SUMIFS($C:$C,$A:$A,$B831,$B:$B,"Annual revenues")</f>
        <v>0</v>
      </c>
      <c r="L831" s="233">
        <f t="shared" ref="L831:L836" si="75">SUMIFS($C:$C,$A:$A,$B831,$B:$B,"Annual cost to export excess")</f>
        <v>0</v>
      </c>
      <c r="M831" s="283">
        <f>K831-F831-G831</f>
        <v>-239.78900165651024</v>
      </c>
      <c r="N831">
        <f t="shared" ref="N831:N836" si="76">SUMIFS($F:$F,$A:$A,$B831,$B:$B,"Totals")</f>
        <v>0</v>
      </c>
      <c r="O831">
        <f t="shared" ref="O831:O836" si="77">SUMIFS($G:$G,$A:$A,$B831,$B:$B,"Totals")</f>
        <v>0</v>
      </c>
      <c r="P831" s="147">
        <f t="shared" ref="P831:P836" si="78">SUMIFS($H:$H,$A:$A,$B831,$B:$B,"Totals")</f>
        <v>0</v>
      </c>
      <c r="Q831" s="147">
        <f t="shared" ref="Q831:Q836" si="79">SUMIFS($I:$I,$A:$A,$B831,$B:$B,"Totals")</f>
        <v>0</v>
      </c>
      <c r="R831" s="284">
        <f t="shared" ref="R831:R836" si="80">SUMIFS($K:$K,$A:$A,$B831,$B:$B,"Totals")</f>
        <v>0</v>
      </c>
      <c r="S831" s="284">
        <f t="shared" ref="S831:S836" si="81">SUMIFS($L:$L,$A:$A,$B831,$B:$B,"Totals")</f>
        <v>0</v>
      </c>
      <c r="T831" s="284">
        <f t="shared" ref="T831:T836" si="82">SUMIFS($M:$M,$A:$A,$B831,$B:$B,"Totals")</f>
        <v>0</v>
      </c>
      <c r="U831" s="284">
        <f t="shared" ref="U831:U836" si="83">SUMIFS($N:$N,$A:$A,$B831,$B:$B,"Totals")</f>
        <v>0</v>
      </c>
      <c r="V831" s="147">
        <f t="shared" ref="V831:W836" si="84">R831+T831</f>
        <v>0</v>
      </c>
      <c r="W831" s="285">
        <f t="shared" si="84"/>
        <v>0</v>
      </c>
    </row>
    <row r="832" spans="1:25" ht="15.75" customHeight="1" x14ac:dyDescent="0.3">
      <c r="A832" t="str">
        <f t="shared" ref="A832:A837" si="85">_xlfn.CONCAT("DHL",B832)</f>
        <v>DHLReception pit</v>
      </c>
      <c r="B832" s="99" t="s">
        <v>5219</v>
      </c>
      <c r="C832" s="233">
        <f t="shared" si="67"/>
        <v>31928.926399622596</v>
      </c>
      <c r="D832" s="233">
        <f t="shared" si="68"/>
        <v>13570</v>
      </c>
      <c r="E832" s="274">
        <f t="shared" si="69"/>
        <v>45498.926399622593</v>
      </c>
      <c r="F832" s="233">
        <f t="shared" si="70"/>
        <v>3756.3169475301229</v>
      </c>
      <c r="G832" s="233">
        <f t="shared" si="71"/>
        <v>2024.7429898674507</v>
      </c>
      <c r="H832" s="153">
        <f t="shared" si="72"/>
        <v>5781.0599373975738</v>
      </c>
      <c r="I832" s="233">
        <f t="shared" si="73"/>
        <v>0</v>
      </c>
      <c r="J832" s="233">
        <f t="shared" si="74"/>
        <v>0</v>
      </c>
      <c r="K832" s="233">
        <f>SUMIFS($C:$C,$A:$A,$B832,$B:$B,"Annual revenues")</f>
        <v>0</v>
      </c>
      <c r="L832" s="233">
        <f t="shared" si="75"/>
        <v>0</v>
      </c>
      <c r="M832" s="283">
        <f t="shared" ref="M832:M836" si="86">K832-F832-G832</f>
        <v>-5781.0599373975738</v>
      </c>
      <c r="N832">
        <f t="shared" si="76"/>
        <v>1499.5858662098678</v>
      </c>
      <c r="O832">
        <f t="shared" si="77"/>
        <v>102.85909387311185</v>
      </c>
      <c r="P832" s="147">
        <f t="shared" si="78"/>
        <v>0</v>
      </c>
      <c r="Q832" s="147">
        <f t="shared" si="79"/>
        <v>0</v>
      </c>
      <c r="R832" s="284">
        <f t="shared" si="80"/>
        <v>0</v>
      </c>
      <c r="S832" s="284">
        <f t="shared" si="81"/>
        <v>0</v>
      </c>
      <c r="T832" s="284">
        <f t="shared" si="82"/>
        <v>0</v>
      </c>
      <c r="U832" s="284">
        <f t="shared" si="83"/>
        <v>0</v>
      </c>
      <c r="V832" s="147">
        <f t="shared" si="84"/>
        <v>0</v>
      </c>
      <c r="W832" s="285">
        <f t="shared" si="84"/>
        <v>0</v>
      </c>
    </row>
    <row r="833" spans="1:23" ht="15.75" customHeight="1" x14ac:dyDescent="0.3">
      <c r="A833" t="str">
        <f t="shared" si="85"/>
        <v>DHLCovered lagoon</v>
      </c>
      <c r="B833" s="99" t="s">
        <v>4683</v>
      </c>
      <c r="C833" s="233">
        <f t="shared" si="67"/>
        <v>356173.7397391983</v>
      </c>
      <c r="D833" s="233">
        <f t="shared" si="68"/>
        <v>0</v>
      </c>
      <c r="E833" s="274">
        <f t="shared" si="69"/>
        <v>356173.7397391983</v>
      </c>
      <c r="F833" s="233">
        <f t="shared" si="70"/>
        <v>28823.135132095718</v>
      </c>
      <c r="G833" s="233">
        <f t="shared" si="71"/>
        <v>5342.606096087974</v>
      </c>
      <c r="H833" s="153">
        <f t="shared" si="72"/>
        <v>34165.741228183695</v>
      </c>
      <c r="I833" s="233">
        <f t="shared" si="73"/>
        <v>0</v>
      </c>
      <c r="J833" s="233">
        <f t="shared" si="74"/>
        <v>0</v>
      </c>
      <c r="K833" s="784">
        <f>SUMIFS($C:$C,$A:$A,$B833,$B:$B,"Annual revenues for drag hose")</f>
        <v>0</v>
      </c>
      <c r="L833" s="233">
        <f t="shared" si="75"/>
        <v>0</v>
      </c>
      <c r="M833" s="283">
        <f t="shared" si="86"/>
        <v>-34165.741228183695</v>
      </c>
      <c r="N833" s="278">
        <f t="shared" si="76"/>
        <v>0</v>
      </c>
      <c r="O833" s="147">
        <f t="shared" si="77"/>
        <v>0</v>
      </c>
      <c r="P833" s="147">
        <f t="shared" si="78"/>
        <v>0</v>
      </c>
      <c r="Q833" s="147">
        <f t="shared" si="79"/>
        <v>0</v>
      </c>
      <c r="R833" s="284">
        <f t="shared" si="80"/>
        <v>0</v>
      </c>
      <c r="S833" s="284">
        <f t="shared" si="81"/>
        <v>0</v>
      </c>
      <c r="T833" s="284">
        <f t="shared" si="82"/>
        <v>0</v>
      </c>
      <c r="U833" s="284">
        <f t="shared" si="83"/>
        <v>0</v>
      </c>
      <c r="V833" s="147">
        <f t="shared" si="84"/>
        <v>0</v>
      </c>
      <c r="W833" s="285">
        <f t="shared" si="84"/>
        <v>0</v>
      </c>
    </row>
    <row r="834" spans="1:23" ht="15.75" customHeight="1" x14ac:dyDescent="0.3">
      <c r="A834" t="str">
        <f t="shared" si="85"/>
        <v>DHLLagoon</v>
      </c>
      <c r="B834" s="99" t="s">
        <v>5210</v>
      </c>
      <c r="C834" s="233">
        <f t="shared" si="67"/>
        <v>121393.53679035802</v>
      </c>
      <c r="D834" s="233">
        <f t="shared" si="68"/>
        <v>0</v>
      </c>
      <c r="E834" s="274">
        <f t="shared" si="69"/>
        <v>121393.53679035802</v>
      </c>
      <c r="F834" s="233">
        <f t="shared" si="70"/>
        <v>9823.6953618016832</v>
      </c>
      <c r="G834" s="233">
        <f t="shared" si="71"/>
        <v>1820.9030518553702</v>
      </c>
      <c r="H834" s="153">
        <f t="shared" si="72"/>
        <v>11644.598413657053</v>
      </c>
      <c r="I834" s="233">
        <f t="shared" si="73"/>
        <v>0</v>
      </c>
      <c r="J834" s="233">
        <f t="shared" si="74"/>
        <v>0</v>
      </c>
      <c r="K834" s="233">
        <f>SUMIFS($C:$C,$A:$A,$B834,$B:$B,"Annual revenues")</f>
        <v>0</v>
      </c>
      <c r="L834" s="233">
        <f t="shared" si="75"/>
        <v>0</v>
      </c>
      <c r="M834" s="283">
        <f t="shared" si="86"/>
        <v>-11644.598413657053</v>
      </c>
      <c r="N834">
        <f t="shared" si="76"/>
        <v>0</v>
      </c>
      <c r="O834">
        <f t="shared" si="77"/>
        <v>0</v>
      </c>
      <c r="P834" s="147">
        <f t="shared" si="78"/>
        <v>0</v>
      </c>
      <c r="Q834" s="147">
        <f t="shared" si="79"/>
        <v>0</v>
      </c>
      <c r="R834" s="284">
        <f t="shared" si="80"/>
        <v>0</v>
      </c>
      <c r="S834" s="284">
        <f t="shared" si="81"/>
        <v>0</v>
      </c>
      <c r="T834" s="284">
        <f t="shared" si="82"/>
        <v>0</v>
      </c>
      <c r="U834" s="284">
        <f t="shared" si="83"/>
        <v>0</v>
      </c>
      <c r="V834" s="147">
        <f t="shared" ref="V834:V835" si="87">R834+T834</f>
        <v>0</v>
      </c>
      <c r="W834" s="285">
        <f t="shared" ref="W834:W835" si="88">S834+U834</f>
        <v>0</v>
      </c>
    </row>
    <row r="835" spans="1:23" ht="15.75" customHeight="1" x14ac:dyDescent="0.3">
      <c r="A835" t="str">
        <f t="shared" si="85"/>
        <v>DHLFlush water</v>
      </c>
      <c r="B835" s="99" t="s">
        <v>5211</v>
      </c>
      <c r="C835" s="233">
        <f t="shared" si="67"/>
        <v>0</v>
      </c>
      <c r="D835" s="233">
        <f t="shared" si="68"/>
        <v>0</v>
      </c>
      <c r="E835" s="274">
        <f t="shared" si="69"/>
        <v>0</v>
      </c>
      <c r="F835" s="233">
        <f t="shared" si="70"/>
        <v>3017.6174069102476</v>
      </c>
      <c r="G835" s="233">
        <f t="shared" si="71"/>
        <v>1085.2004420208236</v>
      </c>
      <c r="H835" s="153">
        <f t="shared" si="72"/>
        <v>4102.8178489310712</v>
      </c>
      <c r="I835" s="233">
        <f t="shared" si="73"/>
        <v>10561.452582174725</v>
      </c>
      <c r="J835" s="233">
        <f t="shared" si="74"/>
        <v>0</v>
      </c>
      <c r="K835" s="233">
        <f>SUMIFS($C:$C,$A:$A,$B835,$B:$B,"Annual revenues")</f>
        <v>0</v>
      </c>
      <c r="L835" s="233">
        <f t="shared" si="75"/>
        <v>0</v>
      </c>
      <c r="M835" s="283">
        <f t="shared" si="86"/>
        <v>-4102.8178489310712</v>
      </c>
      <c r="N835" s="278">
        <f t="shared" si="76"/>
        <v>1129.152356031932</v>
      </c>
      <c r="O835" s="147">
        <f t="shared" si="77"/>
        <v>77.450442020823601</v>
      </c>
      <c r="P835" s="147">
        <f t="shared" si="78"/>
        <v>0</v>
      </c>
      <c r="Q835" s="147">
        <f t="shared" si="79"/>
        <v>0</v>
      </c>
      <c r="R835" s="284">
        <f t="shared" si="80"/>
        <v>0</v>
      </c>
      <c r="S835" s="284">
        <f t="shared" si="81"/>
        <v>0</v>
      </c>
      <c r="T835" s="284">
        <f t="shared" si="82"/>
        <v>0</v>
      </c>
      <c r="U835" s="284">
        <f t="shared" si="83"/>
        <v>0</v>
      </c>
      <c r="V835" s="147">
        <f t="shared" si="87"/>
        <v>0</v>
      </c>
      <c r="W835" s="285">
        <f t="shared" si="88"/>
        <v>0</v>
      </c>
    </row>
    <row r="836" spans="1:23" ht="15.75" customHeight="1" x14ac:dyDescent="0.3">
      <c r="A836" t="str">
        <f t="shared" si="85"/>
        <v>DHLEnd use drag hose</v>
      </c>
      <c r="B836" s="99" t="s">
        <v>5205</v>
      </c>
      <c r="C836" s="233">
        <f t="shared" si="67"/>
        <v>0</v>
      </c>
      <c r="D836" s="233">
        <f t="shared" si="68"/>
        <v>2057840</v>
      </c>
      <c r="E836" s="274">
        <f t="shared" si="69"/>
        <v>2057840</v>
      </c>
      <c r="F836" s="233">
        <f t="shared" si="70"/>
        <v>89330.513343795246</v>
      </c>
      <c r="G836" s="233">
        <f t="shared" si="71"/>
        <v>30869.016632765375</v>
      </c>
      <c r="H836" s="153">
        <f t="shared" si="72"/>
        <v>120199.52997656062</v>
      </c>
      <c r="I836" s="233">
        <f t="shared" si="73"/>
        <v>0</v>
      </c>
      <c r="J836" s="233">
        <f t="shared" si="74"/>
        <v>5578.7691036372507</v>
      </c>
      <c r="K836" s="233">
        <f>SUMIFS($C:$C,$A:$A,$B836,$B:$B,"Annual revenues")</f>
        <v>0</v>
      </c>
      <c r="L836" s="233">
        <f t="shared" si="75"/>
        <v>0</v>
      </c>
      <c r="M836" s="283">
        <f t="shared" si="86"/>
        <v>-120199.52997656062</v>
      </c>
      <c r="N836">
        <f t="shared" si="76"/>
        <v>931.22205127489565</v>
      </c>
      <c r="O836">
        <f t="shared" si="77"/>
        <v>63.874072533697216</v>
      </c>
      <c r="P836" s="147">
        <f t="shared" si="78"/>
        <v>63.864762891122659</v>
      </c>
      <c r="Q836" s="147">
        <f t="shared" si="79"/>
        <v>236.0754935292718</v>
      </c>
      <c r="R836" s="284">
        <f t="shared" si="80"/>
        <v>8.890354011362362</v>
      </c>
      <c r="S836" s="284">
        <f t="shared" si="81"/>
        <v>210.34577590883347</v>
      </c>
      <c r="T836" s="284">
        <f t="shared" si="82"/>
        <v>0</v>
      </c>
      <c r="U836" s="284">
        <f t="shared" si="83"/>
        <v>0</v>
      </c>
      <c r="V836" s="147">
        <f t="shared" si="84"/>
        <v>8.890354011362362</v>
      </c>
      <c r="W836" s="285">
        <f t="shared" si="84"/>
        <v>210.34577590883347</v>
      </c>
    </row>
    <row r="837" spans="1:23" ht="15.75" customHeight="1" x14ac:dyDescent="0.3">
      <c r="A837" t="str">
        <f t="shared" si="85"/>
        <v>DHLTotals</v>
      </c>
      <c r="B837" s="162" t="s">
        <v>5203</v>
      </c>
      <c r="C837" s="242">
        <f>SUM(C830:C836)</f>
        <v>523191.39708623069</v>
      </c>
      <c r="D837" s="242">
        <f t="shared" ref="D837:M837" si="89">SUM(D830:D836)</f>
        <v>2071410</v>
      </c>
      <c r="E837" s="242">
        <f t="shared" si="89"/>
        <v>2594601.3970862306</v>
      </c>
      <c r="F837" s="242">
        <f t="shared" si="89"/>
        <v>135859.55313721468</v>
      </c>
      <c r="G837" s="242">
        <f t="shared" si="89"/>
        <v>41587.686126609282</v>
      </c>
      <c r="H837" s="242">
        <f t="shared" si="89"/>
        <v>177447.23926382395</v>
      </c>
      <c r="I837" s="242">
        <f t="shared" si="89"/>
        <v>10561.452582174725</v>
      </c>
      <c r="J837" s="242">
        <f t="shared" si="89"/>
        <v>5578.7691036372507</v>
      </c>
      <c r="K837" s="242">
        <f t="shared" si="89"/>
        <v>0</v>
      </c>
      <c r="L837" s="242">
        <f t="shared" si="89"/>
        <v>0</v>
      </c>
      <c r="M837" s="242">
        <f t="shared" si="89"/>
        <v>-177447.23926382395</v>
      </c>
      <c r="N837" s="286">
        <f>SUM(N830:N836)</f>
        <v>3559.9602735166955</v>
      </c>
      <c r="O837" s="286">
        <f t="shared" ref="O837:W837" si="90">SUM(O830:O836)</f>
        <v>244.18360842763266</v>
      </c>
      <c r="P837" s="286">
        <f t="shared" si="90"/>
        <v>63.864762891122659</v>
      </c>
      <c r="Q837" s="286">
        <f t="shared" si="90"/>
        <v>236.0754935292718</v>
      </c>
      <c r="R837" s="286">
        <f t="shared" si="90"/>
        <v>8.890354011362362</v>
      </c>
      <c r="S837" s="286">
        <f t="shared" si="90"/>
        <v>210.34577590883347</v>
      </c>
      <c r="T837" s="286">
        <f t="shared" si="90"/>
        <v>0</v>
      </c>
      <c r="U837" s="286">
        <f t="shared" si="90"/>
        <v>0</v>
      </c>
      <c r="V837" s="286">
        <f t="shared" si="90"/>
        <v>8.890354011362362</v>
      </c>
      <c r="W837" s="286">
        <f t="shared" si="90"/>
        <v>210.34577590883347</v>
      </c>
    </row>
    <row r="838" spans="1:23" ht="15.75" customHeight="1" x14ac:dyDescent="0.3">
      <c r="A838" s="82"/>
      <c r="B838" s="287" t="s">
        <v>7069</v>
      </c>
      <c r="C838" s="150"/>
      <c r="D838" s="150"/>
      <c r="E838" s="288"/>
      <c r="F838" s="150"/>
      <c r="G838" s="150"/>
      <c r="H838" s="150"/>
      <c r="I838" s="150"/>
      <c r="J838" s="150"/>
      <c r="K838" s="150"/>
      <c r="L838" s="150"/>
      <c r="M838" s="289"/>
      <c r="N838" s="150"/>
      <c r="O838" s="150"/>
      <c r="P838" s="150"/>
      <c r="Q838" s="150"/>
      <c r="R838" s="290"/>
      <c r="S838" s="291"/>
      <c r="T838" s="150"/>
      <c r="U838" s="150"/>
      <c r="V838" s="150"/>
      <c r="W838" s="151"/>
    </row>
    <row r="839" spans="1:23" ht="15" thickBot="1" x14ac:dyDescent="0.35">
      <c r="A839" s="137"/>
      <c r="B839" s="137"/>
      <c r="C839" s="137"/>
      <c r="D839" s="137"/>
      <c r="E839" s="137"/>
      <c r="F839" s="137"/>
      <c r="G839" s="137"/>
      <c r="H839" s="137"/>
      <c r="I839" s="137"/>
      <c r="J839" s="137"/>
      <c r="K839" s="137"/>
      <c r="L839" s="137"/>
      <c r="M839" s="137"/>
      <c r="N839" s="137"/>
      <c r="O839" s="137"/>
      <c r="P839" s="137"/>
      <c r="Q839" s="137"/>
    </row>
    <row r="840" spans="1:23" ht="14.4" x14ac:dyDescent="0.3">
      <c r="K840" s="42"/>
    </row>
    <row r="842" spans="1:23" ht="14.4" x14ac:dyDescent="0.3"/>
    <row r="846" spans="1:23" ht="14.4" x14ac:dyDescent="0.3"/>
    <row r="871" ht="14.4" x14ac:dyDescent="0.3"/>
    <row r="899" ht="14.4" x14ac:dyDescent="0.3"/>
    <row r="911" ht="14.4" x14ac:dyDescent="0.3"/>
    <row r="914" ht="14.4" x14ac:dyDescent="0.3"/>
    <row r="915" ht="14.4" x14ac:dyDescent="0.3"/>
    <row r="932" ht="14.4" x14ac:dyDescent="0.3"/>
  </sheetData>
  <mergeCells count="5">
    <mergeCell ref="C749:D749"/>
    <mergeCell ref="E749:F749"/>
    <mergeCell ref="D576:F576"/>
    <mergeCell ref="C606:D606"/>
    <mergeCell ref="E606:F606"/>
  </mergeCells>
  <pageMargins left="0.7" right="0.7" top="0.75" bottom="0.75" header="0.3" footer="0.3"/>
  <pageSetup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F884-07A6-4C1E-AA4D-A719BA1ADCF8}">
  <sheetPr codeName="Sheet34">
    <tabColor rgb="FF92D050"/>
  </sheetPr>
  <dimension ref="A1:AA922"/>
  <sheetViews>
    <sheetView topLeftCell="A663" workbookViewId="0"/>
  </sheetViews>
  <sheetFormatPr defaultColWidth="14.5546875" defaultRowHeight="15.75" customHeight="1" x14ac:dyDescent="0.3"/>
  <cols>
    <col min="1" max="1" width="31.5546875" customWidth="1"/>
    <col min="2" max="2" width="41.88671875" customWidth="1"/>
    <col min="4" max="4" width="25.33203125" customWidth="1"/>
    <col min="6" max="6" width="24.33203125" customWidth="1"/>
    <col min="7" max="7" width="19.88671875" customWidth="1"/>
    <col min="8" max="8" width="13.109375" customWidth="1"/>
    <col min="10" max="10" width="6.44140625" customWidth="1"/>
    <col min="11" max="11" width="20.44140625" customWidth="1"/>
    <col min="12" max="12" width="22.5546875" customWidth="1"/>
    <col min="13" max="13" width="17.44140625" customWidth="1"/>
    <col min="17" max="17" width="49.33203125" customWidth="1"/>
    <col min="18" max="18" width="37.109375" customWidth="1"/>
    <col min="21" max="21" width="21" customWidth="1"/>
    <col min="23" max="23" width="28" customWidth="1"/>
    <col min="24" max="24" width="49.6640625" customWidth="1"/>
    <col min="25" max="25" width="18.5546875" customWidth="1"/>
    <col min="26" max="26" width="18.44140625" customWidth="1"/>
    <col min="27" max="27" width="31.109375" customWidth="1"/>
  </cols>
  <sheetData>
    <row r="1" spans="1:27" ht="15.75" customHeight="1" x14ac:dyDescent="0.3">
      <c r="A1" s="20" t="str">
        <f>Sc.Table!J30</f>
        <v>The farm uses a scrape system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I1" s="36"/>
      <c r="J1" s="36"/>
      <c r="L1" s="42"/>
      <c r="N1" s="79"/>
      <c r="P1" s="2"/>
    </row>
    <row r="2" spans="1:27" ht="15.75" customHeight="1" x14ac:dyDescent="0.3">
      <c r="A2" s="1611"/>
      <c r="B2" s="1660" t="s">
        <v>6921</v>
      </c>
      <c r="C2" s="1804"/>
      <c r="D2" s="1661"/>
      <c r="E2" s="1611"/>
      <c r="F2" s="1611"/>
      <c r="G2" s="1611"/>
      <c r="H2" s="1611"/>
      <c r="I2" s="1611"/>
      <c r="J2" s="1611"/>
      <c r="K2" s="1611"/>
      <c r="L2" s="1611"/>
      <c r="M2" s="1611"/>
      <c r="N2" s="1611"/>
      <c r="O2" s="1611"/>
      <c r="P2" s="1611"/>
      <c r="Q2" s="1928" t="s">
        <v>6923</v>
      </c>
      <c r="R2" s="1923"/>
      <c r="S2" s="1929"/>
      <c r="T2" s="1930"/>
      <c r="U2" s="1931"/>
      <c r="W2" s="1928" t="s">
        <v>7141</v>
      </c>
      <c r="X2" s="1923"/>
      <c r="Y2" s="1929"/>
      <c r="Z2" s="1930"/>
      <c r="AA2" s="1931"/>
    </row>
    <row r="3" spans="1:27" ht="15.75" customHeight="1" x14ac:dyDescent="0.3">
      <c r="A3" s="1611"/>
      <c r="B3" s="1668" t="s">
        <v>6922</v>
      </c>
      <c r="C3" s="1670"/>
      <c r="D3" s="1670"/>
      <c r="E3" s="1611"/>
      <c r="F3" s="1611"/>
      <c r="G3" s="1611"/>
      <c r="H3" s="1611"/>
      <c r="I3" s="1611"/>
      <c r="J3" s="1611"/>
      <c r="K3" s="1611"/>
      <c r="L3" s="1611"/>
      <c r="M3" s="1611"/>
      <c r="N3" s="1611"/>
      <c r="O3" s="1611"/>
      <c r="P3" s="1611"/>
      <c r="Q3" s="49" t="s">
        <v>1901</v>
      </c>
      <c r="R3" s="602" t="s">
        <v>6925</v>
      </c>
      <c r="S3" s="49"/>
      <c r="T3" s="61">
        <f>C5*UDV.animal.total*UC.day_to_year</f>
        <v>0.64457135077403904</v>
      </c>
      <c r="U3" s="18" t="s">
        <v>2521</v>
      </c>
      <c r="W3" s="9" t="s">
        <v>7142</v>
      </c>
      <c r="X3" s="602" t="str">
        <f>PT.anaer_lagoon!B305</f>
        <v>Interval between sludge removal</v>
      </c>
      <c r="Y3" s="602"/>
      <c r="Z3" s="1987">
        <f>PT.anaer_lagoon!AJ305</f>
        <v>10</v>
      </c>
      <c r="AA3" s="1987" t="str">
        <f>PT.anaer_lagoon!AF305</f>
        <v>year</v>
      </c>
    </row>
    <row r="4" spans="1:27" ht="15.75" customHeight="1" x14ac:dyDescent="0.3">
      <c r="A4" s="1611"/>
      <c r="B4" s="1577" t="s">
        <v>6924</v>
      </c>
      <c r="C4" s="1879">
        <f>UDV.animal.manure*UC.year_to_day/UDV.animal.total/UDV.density.manure</f>
        <v>2.0526696680080483</v>
      </c>
      <c r="D4" s="1806" t="s">
        <v>5838</v>
      </c>
      <c r="E4" s="1611"/>
      <c r="F4" s="1611"/>
      <c r="G4" s="1611"/>
      <c r="H4" s="1611"/>
      <c r="I4" s="1611"/>
      <c r="J4" s="1611"/>
      <c r="K4" s="1611"/>
      <c r="L4" s="1611"/>
      <c r="M4" s="1611"/>
      <c r="N4" s="1611"/>
      <c r="O4" s="1611"/>
      <c r="P4" s="1611"/>
      <c r="Q4" s="602" t="s">
        <v>7143</v>
      </c>
      <c r="R4" s="602" t="str">
        <f>PT.shallow_scrape!B91</f>
        <v>Total recycled water needed</v>
      </c>
      <c r="S4" s="602"/>
      <c r="T4" s="1987">
        <f>PT.shallow_scrape!G91</f>
        <v>0</v>
      </c>
      <c r="U4" s="1987" t="str">
        <f>PT.shallow_scrape!C91</f>
        <v>m3/year</v>
      </c>
      <c r="W4" s="49"/>
      <c r="X4" s="602" t="str">
        <f>PT.anaer_lagoon!B306</f>
        <v>Manure sludge removed, lagoon</v>
      </c>
      <c r="Y4" s="602"/>
      <c r="Z4" s="1987">
        <f>PT.anaer_lagoon!AJ306</f>
        <v>2327.4442324211072</v>
      </c>
      <c r="AA4" s="1987" t="str">
        <f>PT.anaer_lagoon!AF306</f>
        <v>m3/event</v>
      </c>
    </row>
    <row r="5" spans="1:27" ht="15.75" customHeight="1" x14ac:dyDescent="0.3">
      <c r="A5" s="1611"/>
      <c r="B5" s="1577" t="s">
        <v>415</v>
      </c>
      <c r="C5" s="1811">
        <f>SUM(C38:C41)</f>
        <v>0.47053708606504846</v>
      </c>
      <c r="D5" s="1806" t="s">
        <v>5838</v>
      </c>
      <c r="E5" s="1611"/>
      <c r="F5" s="1611"/>
      <c r="G5" s="1611"/>
      <c r="H5" s="1611"/>
      <c r="I5" s="1611"/>
      <c r="J5" s="1611"/>
      <c r="K5" s="1611"/>
      <c r="L5" s="1611"/>
      <c r="M5" s="1611"/>
      <c r="N5" s="1611"/>
      <c r="O5" s="1611"/>
      <c r="P5" s="1611"/>
      <c r="Q5" s="602"/>
      <c r="R5" s="602" t="str">
        <f>PT.shallow_scrape!B92</f>
        <v>Number of flushes</v>
      </c>
      <c r="S5" s="602"/>
      <c r="T5" s="1987">
        <f>PT.shallow_scrape!G92</f>
        <v>3</v>
      </c>
      <c r="U5" s="1987" t="str">
        <f>PT.shallow_scrape!C92</f>
        <v>flush/day</v>
      </c>
      <c r="W5" s="49"/>
      <c r="X5" s="602" t="str">
        <f>PT.anaer_lagoon!B307</f>
        <v>Lagoon surface area</v>
      </c>
      <c r="Y5" s="602"/>
      <c r="Z5" s="1987">
        <f>PT.anaer_lagoon!AJ307</f>
        <v>2520.2986018694792</v>
      </c>
      <c r="AA5" s="1987" t="str">
        <f>PT.anaer_lagoon!AF307</f>
        <v>m3</v>
      </c>
    </row>
    <row r="6" spans="1:27" ht="15.75" customHeight="1" x14ac:dyDescent="0.3">
      <c r="A6" s="1611"/>
      <c r="B6" s="1577" t="s">
        <v>409</v>
      </c>
      <c r="C6" s="1811">
        <f>SUM(C31:C36)</f>
        <v>11.49898571026227</v>
      </c>
      <c r="D6" s="1806" t="s">
        <v>5769</v>
      </c>
      <c r="E6" s="1611"/>
      <c r="F6" s="1611"/>
      <c r="G6" s="1611"/>
      <c r="H6" s="1611"/>
      <c r="I6" s="1611"/>
      <c r="J6" s="1611"/>
      <c r="K6" s="1611"/>
      <c r="L6" s="1611"/>
      <c r="M6" s="1611"/>
      <c r="N6" s="1611"/>
      <c r="O6" s="1611"/>
      <c r="P6" s="1611"/>
      <c r="Q6" s="602"/>
      <c r="R6" s="602" t="str">
        <f>PT.shallow_scrape!B93</f>
        <v>Volume of recycled water per flush</v>
      </c>
      <c r="S6" s="602"/>
      <c r="T6" s="1987">
        <f>PT.shallow_scrape!G93</f>
        <v>0</v>
      </c>
      <c r="U6" s="1987" t="str">
        <f>PT.shallow_scrape!C93</f>
        <v>m3/flush</v>
      </c>
      <c r="W6" s="49"/>
      <c r="X6" s="602" t="str">
        <f>PT.anaer_lagoon!B308</f>
        <v>Lagoon constructed size</v>
      </c>
      <c r="Y6" s="602"/>
      <c r="Z6" s="1987">
        <f>PT.anaer_lagoon!AJ308</f>
        <v>5103.5144459118055</v>
      </c>
      <c r="AA6" s="1987" t="str">
        <f>PT.anaer_lagoon!AF308</f>
        <v>m2</v>
      </c>
    </row>
    <row r="7" spans="1:27" ht="15.75" customHeight="1" x14ac:dyDescent="0.3">
      <c r="A7" s="1611"/>
      <c r="B7" s="1577" t="s">
        <v>6926</v>
      </c>
      <c r="C7" s="1390" t="s">
        <v>6927</v>
      </c>
      <c r="D7" s="1806"/>
      <c r="E7" s="1611"/>
      <c r="F7" s="1611"/>
      <c r="G7" s="1611"/>
      <c r="H7" s="1611"/>
      <c r="I7" s="1611"/>
      <c r="J7" s="1611"/>
      <c r="K7" s="1611"/>
      <c r="L7" s="1611"/>
      <c r="M7" s="1611"/>
      <c r="N7" s="1611"/>
      <c r="O7" s="1611"/>
      <c r="P7" s="1611"/>
      <c r="Q7" s="602"/>
      <c r="R7" s="602" t="str">
        <f>PT.shallow_scrape!B94</f>
        <v>Total flush water volume</v>
      </c>
      <c r="S7" s="602"/>
      <c r="T7" s="1987">
        <f>PT.shallow_scrape!G94</f>
        <v>0</v>
      </c>
      <c r="U7" s="1987" t="str">
        <f>PT.shallow_scrape!C94</f>
        <v>m3/day</v>
      </c>
      <c r="W7" s="49"/>
      <c r="X7" s="602" t="str">
        <f>PT.anaer_lagoon!B309</f>
        <v>N removed, lagoon</v>
      </c>
      <c r="Y7" s="602"/>
      <c r="Z7" s="1987">
        <f>PT.anaer_lagoon!AJ309</f>
        <v>2.9282809539569881</v>
      </c>
      <c r="AA7" s="1987" t="str">
        <f>PT.anaer_lagoon!AF309</f>
        <v>g/L</v>
      </c>
    </row>
    <row r="8" spans="1:27" ht="15.75" customHeight="1" x14ac:dyDescent="0.3">
      <c r="A8" s="1611"/>
      <c r="B8" s="1577" t="s">
        <v>6928</v>
      </c>
      <c r="C8" s="1398">
        <f>SUM(C43:C49)/UDV.animal.total</f>
        <v>304.02469437773112</v>
      </c>
      <c r="D8" s="1353" t="s">
        <v>2270</v>
      </c>
      <c r="E8" s="1611"/>
      <c r="F8" s="1611"/>
      <c r="G8" s="1611"/>
      <c r="H8" s="1611"/>
      <c r="I8" s="1611"/>
      <c r="J8" s="1611"/>
      <c r="K8" s="1611"/>
      <c r="L8" s="1611"/>
      <c r="M8" s="1611"/>
      <c r="N8" s="1611"/>
      <c r="O8" s="1611"/>
      <c r="P8" s="1611"/>
      <c r="Q8" s="602"/>
      <c r="R8" s="602" t="str">
        <f>PT.shallow_scrape!B95</f>
        <v>Recycled water volume</v>
      </c>
      <c r="S8" s="602"/>
      <c r="T8" s="1987">
        <f>PT.shallow_scrape!G95</f>
        <v>0</v>
      </c>
      <c r="U8" s="1987" t="str">
        <f>PT.shallow_scrape!C95</f>
        <v>m3/day</v>
      </c>
      <c r="W8" s="49"/>
      <c r="X8" s="602" t="str">
        <f>PT.anaer_lagoon!B310</f>
        <v>P2O5 removed, lagoon</v>
      </c>
      <c r="Y8" s="602"/>
      <c r="Z8" s="1987">
        <f>PT.anaer_lagoon!AJ310</f>
        <v>6.4220642397311023</v>
      </c>
      <c r="AA8" s="1987" t="str">
        <f>PT.anaer_lagoon!AF310</f>
        <v>g/L</v>
      </c>
    </row>
    <row r="9" spans="1:27" ht="15.75" customHeight="1" x14ac:dyDescent="0.3">
      <c r="A9" s="1611"/>
      <c r="B9" s="1810" t="s">
        <v>6929</v>
      </c>
      <c r="C9" s="1807"/>
      <c r="D9" s="1806"/>
      <c r="E9" s="1611"/>
      <c r="F9" s="1611"/>
      <c r="G9" s="1611"/>
      <c r="H9" s="1611"/>
      <c r="I9" s="1611"/>
      <c r="J9" s="1611"/>
      <c r="K9" s="1611"/>
      <c r="L9" s="1611"/>
      <c r="M9" s="1611"/>
      <c r="N9" s="1611"/>
      <c r="O9" s="1611"/>
      <c r="P9" s="1611"/>
      <c r="Q9" s="602"/>
      <c r="R9" s="602" t="str">
        <f>PT.shallow_scrape!B96</f>
        <v>Volume of water per cleaning</v>
      </c>
      <c r="S9" s="602"/>
      <c r="T9" s="1987">
        <f>PT.shallow_scrape!G96</f>
        <v>0</v>
      </c>
      <c r="U9" s="1987" t="str">
        <f>PT.shallow_scrape!C96</f>
        <v>m3/flush</v>
      </c>
      <c r="W9" s="49"/>
      <c r="X9" s="602" t="str">
        <f>PT.anaer_lagoon!B311</f>
        <v>K2O removed, lagoon</v>
      </c>
      <c r="Y9" s="602"/>
      <c r="Z9" s="1987">
        <f>PT.anaer_lagoon!AJ311</f>
        <v>6.4220956046072102</v>
      </c>
      <c r="AA9" s="1987" t="str">
        <f>PT.anaer_lagoon!AF311</f>
        <v>g/L</v>
      </c>
    </row>
    <row r="10" spans="1:27" ht="15.75" customHeight="1" x14ac:dyDescent="0.3">
      <c r="A10" s="1611"/>
      <c r="B10" s="1577" t="s">
        <v>6163</v>
      </c>
      <c r="C10" s="1811">
        <f>C59</f>
        <v>5.4523284937566165</v>
      </c>
      <c r="D10" s="1806" t="s">
        <v>2385</v>
      </c>
      <c r="E10" s="1611"/>
      <c r="F10" s="1611"/>
      <c r="G10" s="1611"/>
      <c r="H10" s="1611"/>
      <c r="I10" s="1611"/>
      <c r="J10" s="1611"/>
      <c r="K10" s="1611"/>
      <c r="L10" s="1611"/>
      <c r="M10" s="1611"/>
      <c r="N10" s="1611"/>
      <c r="O10" s="1611"/>
      <c r="P10" s="1611"/>
      <c r="Q10" s="602"/>
      <c r="R10" s="602" t="str">
        <f>PT.shallow_scrape!B97</f>
        <v>Size of motor(s) needed for pump(s)</v>
      </c>
      <c r="S10" s="602"/>
      <c r="T10" s="1987">
        <f>PT.shallow_scrape!G97</f>
        <v>4.9783549783549788</v>
      </c>
      <c r="U10" s="1987" t="str">
        <f>PT.shallow_scrape!C97</f>
        <v>hp/pump</v>
      </c>
      <c r="W10" s="49"/>
      <c r="X10" s="602" t="str">
        <f>PT.anaer_lagoon!B312</f>
        <v>Tanker, size</v>
      </c>
      <c r="Y10" s="602"/>
      <c r="Z10" s="1987">
        <f>PT.anaer_lagoon!AJ312</f>
        <v>6000</v>
      </c>
      <c r="AA10" s="1987" t="str">
        <f>PT.anaer_lagoon!AF312</f>
        <v>gal</v>
      </c>
    </row>
    <row r="11" spans="1:27" ht="15.75" customHeight="1" x14ac:dyDescent="0.3">
      <c r="A11" s="1611"/>
      <c r="B11" s="1577" t="s">
        <v>6164</v>
      </c>
      <c r="C11" s="1811">
        <f t="shared" ref="C11:C12" si="0">C60</f>
        <v>3.6537102250000002</v>
      </c>
      <c r="D11" s="1806" t="s">
        <v>2385</v>
      </c>
      <c r="E11" s="1611"/>
      <c r="F11" s="1611"/>
      <c r="G11" s="1611"/>
      <c r="H11" s="1611"/>
      <c r="I11" s="1611"/>
      <c r="J11" s="1611"/>
      <c r="K11" s="1611"/>
      <c r="L11" s="1611"/>
      <c r="M11" s="1611"/>
      <c r="N11" s="1611"/>
      <c r="O11" s="1611"/>
      <c r="P11" s="1611"/>
      <c r="Q11" s="602"/>
      <c r="R11" s="602" t="str">
        <f>PT.shallow_scrape!B98</f>
        <v>Number of pumps needed from pond/lagoon</v>
      </c>
      <c r="S11" s="602"/>
      <c r="T11" s="1987">
        <f>PT.shallow_scrape!G98</f>
        <v>0</v>
      </c>
      <c r="U11" s="1987" t="str">
        <f>PT.shallow_scrape!C98</f>
        <v>pumps</v>
      </c>
      <c r="W11" s="49"/>
      <c r="X11" s="602" t="str">
        <f>PT.anaer_lagoon!B313</f>
        <v>Tractor for tanker, size</v>
      </c>
      <c r="Y11" s="602"/>
      <c r="Z11" s="1987">
        <f>PT.anaer_lagoon!AJ313</f>
        <v>250</v>
      </c>
      <c r="AA11" s="1987" t="str">
        <f>PT.anaer_lagoon!AF313</f>
        <v>PTO hp</v>
      </c>
    </row>
    <row r="12" spans="1:27" ht="15.75" customHeight="1" x14ac:dyDescent="0.3">
      <c r="A12" s="1611"/>
      <c r="B12" s="1577" t="s">
        <v>6165</v>
      </c>
      <c r="C12" s="1811">
        <f t="shared" si="0"/>
        <v>5.5517686249999993</v>
      </c>
      <c r="D12" s="1806" t="s">
        <v>2385</v>
      </c>
      <c r="E12" s="1611"/>
      <c r="F12" s="1611"/>
      <c r="G12" s="1611"/>
      <c r="H12" s="1611"/>
      <c r="I12" s="1611"/>
      <c r="J12" s="1611"/>
      <c r="K12" s="1611"/>
      <c r="L12" s="1611"/>
      <c r="M12" s="1611"/>
      <c r="N12" s="1611"/>
      <c r="O12" s="1611"/>
      <c r="P12" s="1611"/>
      <c r="Q12" s="602"/>
      <c r="R12" s="602" t="str">
        <f>PT.shallow_scrape!B99</f>
        <v>Operational time for pump/motor</v>
      </c>
      <c r="S12" s="602"/>
      <c r="T12" s="1987">
        <f>PT.shallow_scrape!G99</f>
        <v>0</v>
      </c>
      <c r="U12" s="1987" t="str">
        <f>PT.shallow_scrape!C99</f>
        <v>hr/day/pump</v>
      </c>
      <c r="W12" s="49"/>
      <c r="X12" s="602" t="str">
        <f>PT.anaer_lagoon!B314</f>
        <v>Application by broadcast or injection?</v>
      </c>
      <c r="Y12" s="602"/>
      <c r="Z12" s="1987" t="str">
        <f>PT.anaer_lagoon!AJ314</f>
        <v>Injection</v>
      </c>
      <c r="AA12" s="1987" t="str">
        <f>PT.anaer_lagoon!AF314</f>
        <v>type</v>
      </c>
    </row>
    <row r="13" spans="1:27" ht="15.75" customHeight="1" x14ac:dyDescent="0.3">
      <c r="A13" s="1611"/>
      <c r="B13" s="1810" t="s">
        <v>6930</v>
      </c>
      <c r="C13" s="1811"/>
      <c r="D13" s="1806"/>
      <c r="E13" s="1611"/>
      <c r="F13" s="1611"/>
      <c r="G13" s="1611"/>
      <c r="H13" s="1611"/>
      <c r="I13" s="1611"/>
      <c r="J13" s="1611"/>
      <c r="K13" s="1611"/>
      <c r="L13" s="1611"/>
      <c r="M13" s="1611"/>
      <c r="N13" s="1611"/>
      <c r="O13" s="1611"/>
      <c r="P13" s="1611"/>
      <c r="Q13" s="602"/>
      <c r="R13" s="602" t="str">
        <f>PT.shallow_scrape!B100</f>
        <v>Energy needed for motor(s) for pump(s)</v>
      </c>
      <c r="S13" s="602"/>
      <c r="T13" s="1987">
        <f>PT.shallow_scrape!G100</f>
        <v>0</v>
      </c>
      <c r="U13" s="1987" t="str">
        <f>PT.shallow_scrape!C100</f>
        <v>kWh/day</v>
      </c>
      <c r="W13" s="49"/>
      <c r="X13" s="602" t="str">
        <f>PT.anaer_lagoon!B315</f>
        <v>Operation time for tractor with tanker</v>
      </c>
      <c r="Y13" s="602"/>
      <c r="Z13" s="1987">
        <f>PT.anaer_lagoon!AJ315</f>
        <v>37.732010171982616</v>
      </c>
      <c r="AA13" s="1987" t="str">
        <f>PT.anaer_lagoon!AF315</f>
        <v>hrs/event</v>
      </c>
    </row>
    <row r="14" spans="1:27" ht="15.75" customHeight="1" x14ac:dyDescent="0.3">
      <c r="A14" s="1611"/>
      <c r="B14" s="1577" t="s">
        <v>6163</v>
      </c>
      <c r="C14" s="1811">
        <f>C63</f>
        <v>1.3630821234391541</v>
      </c>
      <c r="D14" s="1806" t="s">
        <v>2385</v>
      </c>
      <c r="E14" s="1611"/>
      <c r="F14" s="1611"/>
      <c r="G14" s="1611"/>
      <c r="H14" s="1611"/>
      <c r="I14" s="1611"/>
      <c r="J14" s="1611"/>
      <c r="K14" s="1611"/>
      <c r="L14" s="1611"/>
      <c r="M14" s="1611"/>
      <c r="N14" s="1611"/>
      <c r="O14" s="1611"/>
      <c r="P14" s="1611"/>
      <c r="Q14" s="602"/>
      <c r="R14" s="602" t="str">
        <f>PT.shallow_scrape!B101</f>
        <v>Distance from pump to barns</v>
      </c>
      <c r="S14" s="602"/>
      <c r="T14" s="1987">
        <f>PT.shallow_scrape!G101</f>
        <v>800</v>
      </c>
      <c r="U14" s="1987" t="str">
        <f>PT.shallow_scrape!C101</f>
        <v>ft</v>
      </c>
      <c r="W14" s="49"/>
      <c r="X14" s="602" t="str">
        <f>PT.anaer_lagoon!B316</f>
        <v>Fuel needed for tractor with tank and applicator</v>
      </c>
      <c r="Y14" s="602"/>
      <c r="Z14" s="1987">
        <f>PT.anaer_lagoon!AJ316</f>
        <v>415.05211189180875</v>
      </c>
      <c r="AA14" s="1987" t="str">
        <f>PT.anaer_lagoon!AF316</f>
        <v>gal/event</v>
      </c>
    </row>
    <row r="15" spans="1:27" ht="15.75" customHeight="1" x14ac:dyDescent="0.3">
      <c r="A15" s="1611"/>
      <c r="B15" s="1577" t="s">
        <v>6164</v>
      </c>
      <c r="C15" s="1811">
        <f t="shared" ref="C15:C16" si="1">C64</f>
        <v>2.9893992749999998</v>
      </c>
      <c r="D15" s="1806" t="s">
        <v>2385</v>
      </c>
      <c r="E15" s="1611"/>
      <c r="F15" s="1611"/>
      <c r="G15" s="1611"/>
      <c r="H15" s="1611"/>
      <c r="I15" s="1611"/>
      <c r="J15" s="1611"/>
      <c r="K15" s="1611"/>
      <c r="L15" s="1611"/>
      <c r="M15" s="1611"/>
      <c r="N15" s="1611"/>
      <c r="O15" s="1611"/>
      <c r="P15" s="1611"/>
      <c r="Q15" s="602"/>
      <c r="R15" s="602" t="str">
        <f>PT.shallow_scrape!B102</f>
        <v>Number of scrapes, auto</v>
      </c>
      <c r="S15" s="602"/>
      <c r="T15" s="1987">
        <f>PT.shallow_scrape!G102</f>
        <v>12</v>
      </c>
      <c r="U15" s="1987" t="str">
        <f>PT.shallow_scrape!C102</f>
        <v>quantity/day</v>
      </c>
      <c r="W15" s="49"/>
      <c r="X15" s="602" t="str">
        <f>PT.anaer_lagoon!B317</f>
        <v>Number of tractors with tanker needed</v>
      </c>
      <c r="Y15" s="602"/>
      <c r="Z15" s="1987">
        <f>PT.anaer_lagoon!AJ317</f>
        <v>1</v>
      </c>
      <c r="AA15" s="1987" t="str">
        <f>PT.anaer_lagoon!AF317</f>
        <v>quantity</v>
      </c>
    </row>
    <row r="16" spans="1:27" ht="15.75" customHeight="1" x14ac:dyDescent="0.3">
      <c r="A16" s="1611"/>
      <c r="B16" s="1577" t="s">
        <v>6165</v>
      </c>
      <c r="C16" s="1811">
        <f t="shared" si="1"/>
        <v>2.9894138749999994</v>
      </c>
      <c r="D16" s="1806" t="s">
        <v>2385</v>
      </c>
      <c r="E16" s="1611"/>
      <c r="F16" s="1611"/>
      <c r="G16" s="1611"/>
      <c r="H16" s="1611"/>
      <c r="I16" s="1611"/>
      <c r="J16" s="1611"/>
      <c r="K16" s="1611"/>
      <c r="L16" s="1611"/>
      <c r="M16" s="1611"/>
      <c r="N16" s="1611"/>
      <c r="O16" s="1611"/>
      <c r="P16" s="1611"/>
      <c r="Q16" s="602"/>
      <c r="R16" s="602" t="str">
        <f>PT.shallow_scrape!B103</f>
        <v>Alley length, total</v>
      </c>
      <c r="S16" s="602"/>
      <c r="T16" s="1987">
        <f>PT.shallow_scrape!G103</f>
        <v>115</v>
      </c>
      <c r="U16" s="1987" t="str">
        <f>PT.shallow_scrape!C103</f>
        <v>m</v>
      </c>
      <c r="W16" s="49"/>
      <c r="X16" s="602" t="str">
        <f>PT.anaer_lagoon!B318</f>
        <v>Tractor for agitator, size</v>
      </c>
      <c r="Y16" s="602"/>
      <c r="Z16" s="1987">
        <f>PT.anaer_lagoon!AJ318</f>
        <v>160</v>
      </c>
      <c r="AA16" s="1987" t="str">
        <f>PT.anaer_lagoon!AF318</f>
        <v>PTO hp</v>
      </c>
    </row>
    <row r="17" spans="1:27" ht="15.75" customHeight="1" x14ac:dyDescent="0.3">
      <c r="A17" s="1611"/>
      <c r="B17" s="1808" t="s">
        <v>5271</v>
      </c>
      <c r="C17" s="1809"/>
      <c r="D17" s="1806"/>
      <c r="E17" s="1611"/>
      <c r="F17" s="1611"/>
      <c r="G17" s="1611"/>
      <c r="H17" s="1611"/>
      <c r="I17" s="1611"/>
      <c r="J17" s="1611"/>
      <c r="K17" s="1611"/>
      <c r="L17" s="1611"/>
      <c r="M17" s="1611"/>
      <c r="N17" s="1611"/>
      <c r="O17" s="1611"/>
      <c r="P17" s="1611"/>
      <c r="R17" s="602" t="str">
        <f>PT.shallow_scrape!B104</f>
        <v>Auto alley system number of drive units/motors</v>
      </c>
      <c r="S17" s="602"/>
      <c r="T17" s="1987">
        <f>PT.shallow_scrape!G104</f>
        <v>2</v>
      </c>
      <c r="U17" s="1987" t="str">
        <f>PT.shallow_scrape!C104</f>
        <v>quantity</v>
      </c>
      <c r="W17" s="49"/>
      <c r="X17" s="602" t="str">
        <f>PT.anaer_lagoon!B319</f>
        <v>Number of tractors for agitating needed</v>
      </c>
      <c r="Y17" s="602"/>
      <c r="Z17" s="1987">
        <f>PT.anaer_lagoon!AJ319</f>
        <v>1</v>
      </c>
      <c r="AA17" s="1987" t="str">
        <f>PT.anaer_lagoon!AF319</f>
        <v>quantity</v>
      </c>
    </row>
    <row r="18" spans="1:27" ht="15.75" customHeight="1" x14ac:dyDescent="0.3">
      <c r="A18" s="1611"/>
      <c r="B18" s="1577" t="s">
        <v>6782</v>
      </c>
      <c r="C18" s="1812">
        <f>C78+C83+C87</f>
        <v>18.953850547736096</v>
      </c>
      <c r="D18" s="1806" t="s">
        <v>2385</v>
      </c>
      <c r="E18" s="1611"/>
      <c r="F18" s="1611"/>
      <c r="G18" s="1611"/>
      <c r="H18" s="1611"/>
      <c r="I18" s="1611"/>
      <c r="J18" s="1611"/>
      <c r="K18" s="1611"/>
      <c r="L18" s="1611"/>
      <c r="M18" s="1611"/>
      <c r="N18" s="1611"/>
      <c r="O18" s="1611"/>
      <c r="P18" s="1611"/>
      <c r="R18" s="602" t="str">
        <f>PT.shallow_scrape!B105</f>
        <v>Number of scraper blades, auto</v>
      </c>
      <c r="S18" s="602"/>
      <c r="T18" s="1987">
        <f>PT.shallow_scrape!G105</f>
        <v>2</v>
      </c>
      <c r="U18" s="1987" t="str">
        <f>PT.shallow_scrape!C105</f>
        <v>quantity</v>
      </c>
      <c r="W18" s="49"/>
      <c r="X18" s="602" t="str">
        <f>PT.anaer_lagoon!B320</f>
        <v>Operation time for tractor agitating</v>
      </c>
      <c r="Y18" s="602"/>
      <c r="Z18" s="1987">
        <f>PT.anaer_lagoon!AJ320</f>
        <v>47.165012714978275</v>
      </c>
      <c r="AA18" s="1987" t="str">
        <f>PT.anaer_lagoon!AF320</f>
        <v>hr/year</v>
      </c>
    </row>
    <row r="19" spans="1:27" ht="15.75" customHeight="1" x14ac:dyDescent="0.3">
      <c r="A19" s="1611"/>
      <c r="B19" s="1577" t="s">
        <v>6783</v>
      </c>
      <c r="C19" s="1812">
        <f>C80+C85+C89</f>
        <v>0.17885920987145856</v>
      </c>
      <c r="D19" s="1806" t="s">
        <v>2385</v>
      </c>
      <c r="E19" s="1611"/>
      <c r="F19" s="1611"/>
      <c r="G19" s="1611"/>
      <c r="H19" s="1611"/>
      <c r="I19" s="1611"/>
      <c r="J19" s="1611"/>
      <c r="K19" s="1611"/>
      <c r="L19" s="1611"/>
      <c r="M19" s="1611"/>
      <c r="N19" s="1611"/>
      <c r="O19" s="1611"/>
      <c r="P19" s="1611"/>
      <c r="R19" s="602" t="str">
        <f>PT.shallow_scrape!B106</f>
        <v>Auto alley system operation time</v>
      </c>
      <c r="S19" s="602"/>
      <c r="T19" s="1987">
        <f>PT.shallow_scrape!G106</f>
        <v>10.952380952380953</v>
      </c>
      <c r="U19" s="1987" t="str">
        <f>PT.shallow_scrape!C106</f>
        <v>hr/day</v>
      </c>
      <c r="W19" s="49"/>
      <c r="X19" s="602" t="str">
        <f>PT.anaer_lagoon!B321</f>
        <v>Fuel needed for tractor for agitating</v>
      </c>
      <c r="Y19" s="602"/>
      <c r="Z19" s="1987">
        <f>PT.anaer_lagoon!AJ321</f>
        <v>332.04168951344701</v>
      </c>
      <c r="AA19" s="1987" t="str">
        <f>PT.anaer_lagoon!AF321</f>
        <v>gal/event</v>
      </c>
    </row>
    <row r="20" spans="1:27" ht="15.75" customHeight="1" x14ac:dyDescent="0.3">
      <c r="A20" s="1611"/>
      <c r="B20" s="1577" t="s">
        <v>6784</v>
      </c>
      <c r="C20" s="1812">
        <f>C81+C86+C90</f>
        <v>0.26682642775704446</v>
      </c>
      <c r="D20" s="1806" t="s">
        <v>2385</v>
      </c>
      <c r="E20" s="1611"/>
      <c r="F20" s="1611"/>
      <c r="G20" s="1611"/>
      <c r="H20" s="1611"/>
      <c r="I20" s="1611"/>
      <c r="J20" s="1611"/>
      <c r="K20" s="1611"/>
      <c r="L20" s="1611"/>
      <c r="M20" s="1611"/>
      <c r="N20" s="1611"/>
      <c r="O20" s="1611"/>
      <c r="P20" s="1611"/>
      <c r="R20" s="602" t="str">
        <f>PT.shallow_scrape!B107</f>
        <v>Auto alley system total electricity</v>
      </c>
      <c r="S20" s="602"/>
      <c r="T20" s="1987">
        <f>PT.shallow_scrape!G107</f>
        <v>12.250783578571429</v>
      </c>
      <c r="U20" s="1987" t="str">
        <f>PT.shallow_scrape!C107</f>
        <v>kWh/day</v>
      </c>
      <c r="W20" s="49"/>
      <c r="X20" s="602" t="str">
        <f>PT.anaer_lagoon!B322</f>
        <v>Number of tractors for pumping needed</v>
      </c>
      <c r="Y20" s="602"/>
      <c r="Z20" s="1987">
        <f>PT.anaer_lagoon!AJ322</f>
        <v>1</v>
      </c>
      <c r="AA20" s="1987" t="str">
        <f>PT.anaer_lagoon!AF322</f>
        <v>quantity</v>
      </c>
    </row>
    <row r="21" spans="1:27" ht="15.75" customHeight="1" x14ac:dyDescent="0.3">
      <c r="A21" s="1611"/>
      <c r="B21" s="1577" t="s">
        <v>6785</v>
      </c>
      <c r="C21" s="1812">
        <f>C79+C84+C88</f>
        <v>12.128694510674944</v>
      </c>
      <c r="D21" s="1806" t="s">
        <v>2385</v>
      </c>
      <c r="E21" s="1611"/>
      <c r="F21" s="1611"/>
      <c r="G21" s="1611"/>
      <c r="H21" s="1611"/>
      <c r="I21" s="1611"/>
      <c r="J21" s="1611"/>
      <c r="K21" s="1611"/>
      <c r="L21" s="1611"/>
      <c r="M21" s="1611"/>
      <c r="N21" s="1611"/>
      <c r="O21" s="1611"/>
      <c r="P21" s="1611"/>
      <c r="R21" s="602"/>
      <c r="S21" s="602"/>
      <c r="T21" s="1987"/>
      <c r="U21" s="1987"/>
      <c r="W21" s="49"/>
      <c r="X21" s="602" t="str">
        <f>PT.anaer_lagoon!B323</f>
        <v>Tractor for pumping, size</v>
      </c>
      <c r="Y21" s="602"/>
      <c r="Z21" s="1987">
        <f>PT.anaer_lagoon!AJ323</f>
        <v>180</v>
      </c>
      <c r="AA21" s="1987" t="str">
        <f>PT.anaer_lagoon!AF323</f>
        <v>PTO hp</v>
      </c>
    </row>
    <row r="22" spans="1:27" ht="15.75" customHeight="1" x14ac:dyDescent="0.3">
      <c r="A22" s="1611"/>
      <c r="B22" s="1577" t="s">
        <v>7466</v>
      </c>
      <c r="C22" s="1500">
        <f>C82</f>
        <v>37.007112913154977</v>
      </c>
      <c r="D22" s="1806" t="s">
        <v>2385</v>
      </c>
      <c r="E22" s="1611"/>
      <c r="F22" s="1611"/>
      <c r="G22" s="1611"/>
      <c r="H22" s="1611"/>
      <c r="I22" s="1611"/>
      <c r="J22" s="1611"/>
      <c r="K22" s="1611"/>
      <c r="L22" s="1611"/>
      <c r="M22" s="1611"/>
      <c r="N22" s="1611"/>
      <c r="O22" s="1611"/>
      <c r="P22" s="1611"/>
      <c r="R22" s="602"/>
      <c r="S22" s="602"/>
      <c r="T22" s="1987"/>
      <c r="U22" s="1987"/>
      <c r="W22" s="49"/>
      <c r="X22" s="602" t="str">
        <f>PT.anaer_lagoon!B324</f>
        <v>Operation time for tractor pumping</v>
      </c>
      <c r="Y22" s="602"/>
      <c r="Z22" s="1987">
        <f>PT.anaer_lagoon!AJ324</f>
        <v>4.936481012817211</v>
      </c>
      <c r="AA22" s="1987" t="str">
        <f>PT.anaer_lagoon!AF324</f>
        <v>hr/event</v>
      </c>
    </row>
    <row r="23" spans="1:27" ht="15.75" customHeight="1" x14ac:dyDescent="0.3">
      <c r="A23" s="1611"/>
      <c r="C23" s="314"/>
      <c r="D23" s="66"/>
      <c r="E23" s="1611"/>
      <c r="F23" s="1611"/>
      <c r="G23" s="1611"/>
      <c r="H23" s="1611"/>
      <c r="I23" s="1611"/>
      <c r="J23" s="1611"/>
      <c r="K23" s="1611"/>
      <c r="L23" s="1611"/>
      <c r="M23" s="1611"/>
      <c r="N23" s="1611"/>
      <c r="O23" s="1611"/>
      <c r="P23" s="1611"/>
      <c r="R23" s="602"/>
      <c r="S23" s="602"/>
      <c r="T23" s="1987"/>
      <c r="U23" s="1987"/>
      <c r="W23" s="49"/>
      <c r="X23" s="602" t="str">
        <f>PT.anaer_lagoon!B325</f>
        <v>Fuel needed for tractor for pumping</v>
      </c>
      <c r="Y23" s="602"/>
      <c r="Z23" s="1987">
        <f>PT.anaer_lagoon!AJ325</f>
        <v>39.096929621512309</v>
      </c>
      <c r="AA23" s="1987" t="str">
        <f>PT.anaer_lagoon!AF325</f>
        <v>gal/event</v>
      </c>
    </row>
    <row r="24" spans="1:27" ht="15.75" customHeight="1" x14ac:dyDescent="0.3">
      <c r="A24" s="1611"/>
      <c r="B24" s="1668" t="s">
        <v>6931</v>
      </c>
      <c r="C24" s="1680"/>
      <c r="D24" s="1815"/>
      <c r="E24" s="1611"/>
      <c r="F24" s="1611"/>
      <c r="G24" s="1611"/>
      <c r="H24" s="1611"/>
      <c r="I24" s="1611"/>
      <c r="J24" s="1611"/>
      <c r="K24" s="1611"/>
      <c r="L24" s="1611"/>
      <c r="M24" s="1611"/>
      <c r="N24" s="1611"/>
      <c r="O24" s="1611"/>
      <c r="P24" s="1611"/>
      <c r="R24" s="602"/>
      <c r="S24" s="602"/>
      <c r="T24" s="1987"/>
      <c r="U24" s="1987"/>
      <c r="W24" s="49"/>
      <c r="X24" s="602" t="str">
        <f>PT.anaer_lagoon!B326</f>
        <v>Size of tractor for pulling hose reel and applicator toolbar</v>
      </c>
      <c r="Y24" s="602"/>
      <c r="Z24" s="1987">
        <f>PT.anaer_lagoon!AJ326</f>
        <v>580</v>
      </c>
      <c r="AA24" s="1987" t="str">
        <f>PT.anaer_lagoon!AF326</f>
        <v>PTO hp</v>
      </c>
    </row>
    <row r="25" spans="1:27" ht="15.75" customHeight="1" x14ac:dyDescent="0.3">
      <c r="A25" s="1611"/>
      <c r="B25" s="510" t="s">
        <v>6932</v>
      </c>
      <c r="C25" s="1378">
        <v>0.21</v>
      </c>
      <c r="D25" s="510" t="s">
        <v>1694</v>
      </c>
      <c r="E25" s="1611"/>
      <c r="F25" s="1611"/>
      <c r="G25" s="1611"/>
      <c r="H25" s="1611"/>
      <c r="I25" s="1611"/>
      <c r="J25" s="1611"/>
      <c r="K25" s="1611"/>
      <c r="L25" s="1611"/>
      <c r="M25" s="1611"/>
      <c r="N25" s="1611"/>
      <c r="O25" s="1611"/>
      <c r="P25" s="1611"/>
      <c r="R25" s="602"/>
      <c r="S25" s="602"/>
      <c r="T25" s="1987"/>
      <c r="U25" s="1987"/>
      <c r="W25" s="49"/>
      <c r="X25" s="602" t="str">
        <f>PT.anaer_lagoon!B327</f>
        <v>Number of tractors for pulling hose reel and applicator</v>
      </c>
      <c r="Y25" s="602"/>
      <c r="Z25" s="1987">
        <f>PT.anaer_lagoon!AJ327</f>
        <v>1</v>
      </c>
      <c r="AA25" s="1987" t="str">
        <f>PT.anaer_lagoon!AF327</f>
        <v>quantity</v>
      </c>
    </row>
    <row r="26" spans="1:27" ht="15.75" customHeight="1" x14ac:dyDescent="0.3">
      <c r="A26" s="1611"/>
      <c r="B26" s="1813" t="s">
        <v>6933</v>
      </c>
      <c r="C26" s="1414">
        <v>2.1428571399999998</v>
      </c>
      <c r="D26" s="510" t="s">
        <v>6934</v>
      </c>
      <c r="E26" s="1611"/>
      <c r="F26" s="1611"/>
      <c r="G26" s="1611"/>
      <c r="H26" s="1611"/>
      <c r="I26" s="1611"/>
      <c r="J26" s="1611"/>
      <c r="K26" s="1611"/>
      <c r="L26" s="1611"/>
      <c r="M26" s="1611"/>
      <c r="N26" s="1611"/>
      <c r="O26" s="1611"/>
      <c r="P26" s="1611"/>
      <c r="R26" s="602"/>
      <c r="S26" s="602"/>
      <c r="T26" s="1987"/>
      <c r="U26" s="1987"/>
      <c r="W26" s="49"/>
      <c r="X26" s="602" t="str">
        <f>PT.anaer_lagoon!B328</f>
        <v>Size of tractor for support with hose pulley</v>
      </c>
      <c r="Y26" s="602"/>
      <c r="Z26" s="1987">
        <f>PT.anaer_lagoon!AJ328</f>
        <v>340</v>
      </c>
      <c r="AA26" s="1987" t="str">
        <f>PT.anaer_lagoon!AF328</f>
        <v>PTO hp</v>
      </c>
    </row>
    <row r="27" spans="1:27" ht="15.75" customHeight="1" x14ac:dyDescent="0.3">
      <c r="A27" s="1611"/>
      <c r="B27" s="91" t="s">
        <v>6935</v>
      </c>
      <c r="C27" s="1403">
        <f>(C19+C20)*(28/44)</f>
        <v>0.28361813303632011</v>
      </c>
      <c r="D27" s="510" t="s">
        <v>2358</v>
      </c>
      <c r="E27" s="1611"/>
      <c r="F27" s="1611"/>
      <c r="G27" s="1611"/>
      <c r="H27" s="1611"/>
      <c r="I27" s="1611"/>
      <c r="J27" s="1611"/>
      <c r="K27" s="1611"/>
      <c r="L27" s="1611"/>
      <c r="M27" s="1611"/>
      <c r="N27" s="1611"/>
      <c r="O27" s="1611"/>
      <c r="P27" s="1611"/>
      <c r="R27" s="602"/>
      <c r="S27" s="602"/>
      <c r="T27" s="1987"/>
      <c r="U27" s="1987"/>
      <c r="W27" s="49"/>
      <c r="X27" s="602" t="str">
        <f>PT.anaer_lagoon!B329</f>
        <v>Distance from storage to field</v>
      </c>
      <c r="Y27" s="602"/>
      <c r="Z27" s="1987">
        <f>PT.anaer_lagoon!AJ329</f>
        <v>2</v>
      </c>
      <c r="AA27" s="1987" t="str">
        <f>PT.anaer_lagoon!AF329</f>
        <v>miles</v>
      </c>
    </row>
    <row r="28" spans="1:27" ht="15.75" customHeight="1" x14ac:dyDescent="0.3">
      <c r="A28" s="1611"/>
      <c r="B28" s="91" t="s">
        <v>6936</v>
      </c>
      <c r="C28" s="1380">
        <f>C21*(14/17)</f>
        <v>9.9883366558499525</v>
      </c>
      <c r="D28" s="510" t="s">
        <v>2358</v>
      </c>
      <c r="E28" s="1611"/>
      <c r="F28" s="1611"/>
      <c r="G28" s="1611"/>
      <c r="H28" s="1611"/>
      <c r="I28" s="1611"/>
      <c r="J28" s="1611"/>
      <c r="K28" s="1611"/>
      <c r="L28" s="1611"/>
      <c r="M28" s="1611"/>
      <c r="N28" s="1611"/>
      <c r="O28" s="1611"/>
      <c r="P28" s="1611"/>
      <c r="R28" s="602"/>
      <c r="S28" s="602"/>
      <c r="T28" s="1987"/>
      <c r="U28" s="1987"/>
      <c r="W28" s="49"/>
      <c r="X28" s="602" t="str">
        <f>PT.anaer_lagoon!B330</f>
        <v>Application by broadcast or injection?</v>
      </c>
      <c r="Y28" s="602"/>
      <c r="Z28" s="1987" t="str">
        <f>PT.anaer_lagoon!AJ330</f>
        <v>Injection</v>
      </c>
      <c r="AA28" s="1987" t="str">
        <f>PT.anaer_lagoon!AF330</f>
        <v>type</v>
      </c>
    </row>
    <row r="29" spans="1:27" ht="15.75" customHeight="1" x14ac:dyDescent="0.3">
      <c r="A29" s="1611"/>
      <c r="B29" s="91" t="s">
        <v>6937</v>
      </c>
      <c r="C29" s="1404">
        <f>C25*C27*(44/28)/C26</f>
        <v>4.3677192545829552E-2</v>
      </c>
      <c r="D29" s="510" t="s">
        <v>2358</v>
      </c>
      <c r="E29" s="1611"/>
      <c r="F29" s="1611"/>
      <c r="G29" s="1611"/>
      <c r="H29" s="1611"/>
      <c r="I29" s="1611"/>
      <c r="J29" s="1611"/>
      <c r="K29" s="1611"/>
      <c r="L29" s="1611"/>
      <c r="M29" s="1611"/>
      <c r="N29" s="1611"/>
      <c r="O29" s="1611"/>
      <c r="P29" s="1611"/>
      <c r="R29" s="602"/>
      <c r="S29" s="602"/>
      <c r="T29" s="1987"/>
      <c r="U29" s="1987"/>
      <c r="W29" s="49"/>
      <c r="X29" s="602" t="str">
        <f>PT.anaer_lagoon!B331</f>
        <v>Fuel needed for tractor for pulling hose reel and applicator</v>
      </c>
      <c r="Y29" s="602"/>
      <c r="Z29" s="1987">
        <f>PT.anaer_lagoon!AJ331</f>
        <v>25.52</v>
      </c>
      <c r="AA29" s="1987">
        <f>PT.anaer_lagoon!AF331</f>
        <v>0</v>
      </c>
    </row>
    <row r="30" spans="1:27" ht="15.75" customHeight="1" x14ac:dyDescent="0.3">
      <c r="A30" s="1611"/>
      <c r="B30" s="1668" t="str">
        <f>PT.shallow_flush!B103</f>
        <v>Electricity</v>
      </c>
      <c r="C30" s="1680"/>
      <c r="D30" s="1815"/>
      <c r="E30" s="1611"/>
      <c r="F30" s="1611"/>
      <c r="G30" s="1611"/>
      <c r="H30" s="1611"/>
      <c r="I30" s="1611"/>
      <c r="J30" s="1611"/>
      <c r="K30" s="1611"/>
      <c r="L30" s="1611"/>
      <c r="M30" s="1611"/>
      <c r="N30" s="1611"/>
      <c r="O30" s="1611"/>
      <c r="P30" s="1611"/>
      <c r="R30" s="602"/>
      <c r="S30" s="602"/>
      <c r="T30" s="1987"/>
      <c r="U30" s="1987"/>
      <c r="W30" s="49"/>
      <c r="X30" s="602" t="str">
        <f>PT.anaer_lagoon!B332</f>
        <v>Fuel needed for support tractor with hose pulley</v>
      </c>
      <c r="Y30" s="602"/>
      <c r="Z30" s="1987">
        <f>PT.anaer_lagoon!AJ332</f>
        <v>14.959999999999999</v>
      </c>
      <c r="AA30" s="1987" t="str">
        <f>PT.anaer_lagoon!AF332</f>
        <v>gal/hr</v>
      </c>
    </row>
    <row r="31" spans="1:27" ht="15.75" customHeight="1" x14ac:dyDescent="0.3">
      <c r="A31" s="1611"/>
      <c r="B31" s="95" t="str">
        <f>PT.shallow_scrape!B117</f>
        <v>Electricity for pumping flush water into scrape system</v>
      </c>
      <c r="C31" s="1877">
        <f>PT.shallow_scrape!G117</f>
        <v>0</v>
      </c>
      <c r="D31" s="1352" t="str">
        <f>PT.shallow_scrape!C117</f>
        <v>kWh/head/year</v>
      </c>
      <c r="E31" s="1611"/>
      <c r="F31" s="1611"/>
      <c r="G31" s="1611"/>
      <c r="H31" s="1611"/>
      <c r="I31" s="1611"/>
      <c r="J31" s="1611"/>
      <c r="K31" s="1611"/>
      <c r="L31" s="1611"/>
      <c r="M31" s="1611"/>
      <c r="N31" s="1611"/>
      <c r="O31" s="1611"/>
      <c r="P31" s="1611"/>
      <c r="R31" s="602"/>
      <c r="S31" s="602"/>
      <c r="T31" s="1987"/>
      <c r="U31" s="1987"/>
      <c r="W31" s="49"/>
      <c r="X31" s="602" t="str">
        <f>PT.anaer_lagoon!B333</f>
        <v>Diesel powered pump(s), size</v>
      </c>
      <c r="Y31" s="602"/>
      <c r="Z31" s="1987">
        <f>PT.anaer_lagoon!AJ333</f>
        <v>3000</v>
      </c>
      <c r="AA31" s="1987" t="str">
        <f>PT.anaer_lagoon!AF333</f>
        <v>gal/min</v>
      </c>
    </row>
    <row r="32" spans="1:27" ht="15.75" customHeight="1" x14ac:dyDescent="0.3">
      <c r="A32" s="1611"/>
      <c r="B32" s="95" t="str">
        <f>PT.shallow_scrape!B118</f>
        <v>Electricity used by auto alley scrape system</v>
      </c>
      <c r="C32" s="1877">
        <f>PT.shallow_scrape!G118</f>
        <v>8.9430720123571419</v>
      </c>
      <c r="D32" s="1352" t="str">
        <f>PT.shallow_scrape!C118</f>
        <v>kWh/head/year</v>
      </c>
      <c r="E32" s="1611"/>
      <c r="F32" s="1611"/>
      <c r="G32" s="1611"/>
      <c r="H32" s="1611"/>
      <c r="I32" s="1611"/>
      <c r="J32" s="1611"/>
      <c r="K32" s="1611"/>
      <c r="L32" s="1611"/>
      <c r="M32" s="1611"/>
      <c r="N32" s="1611"/>
      <c r="O32" s="1611"/>
      <c r="P32" s="1611"/>
      <c r="R32" s="602"/>
      <c r="S32" s="602"/>
      <c r="T32" s="1987"/>
      <c r="U32" s="1987"/>
      <c r="W32" s="49"/>
      <c r="X32" s="602" t="str">
        <f>PT.anaer_lagoon!B334</f>
        <v>Number of diesel powered lead pumps needed</v>
      </c>
      <c r="Y32" s="602"/>
      <c r="Z32" s="1987">
        <f>PT.anaer_lagoon!AJ334</f>
        <v>1</v>
      </c>
      <c r="AA32" s="1987" t="str">
        <f>PT.anaer_lagoon!AF334</f>
        <v>quantity</v>
      </c>
    </row>
    <row r="33" spans="2:27" ht="15.75" customHeight="1" x14ac:dyDescent="0.3">
      <c r="B33" s="95" t="str">
        <f>PT.shallow_scrape!B119</f>
        <v>Electricity used by transfer channel in scrape system</v>
      </c>
      <c r="C33" s="1877">
        <f>PT.shallow_scrape!G119</f>
        <v>0.41604726318357144</v>
      </c>
      <c r="D33" s="1352" t="str">
        <f>PT.shallow_scrape!C119</f>
        <v>kWh/head/year</v>
      </c>
      <c r="E33" s="1611"/>
      <c r="F33" s="1611"/>
      <c r="G33" s="1611"/>
      <c r="H33" s="1611"/>
      <c r="I33" s="1611"/>
      <c r="J33" s="1611"/>
      <c r="K33" s="1611"/>
      <c r="L33" s="1611"/>
      <c r="M33" s="1611"/>
      <c r="N33" s="1611"/>
      <c r="O33" s="1611"/>
      <c r="P33" s="1611"/>
      <c r="R33" s="602"/>
      <c r="S33" s="602"/>
      <c r="T33" s="1987"/>
      <c r="U33" s="1987"/>
      <c r="W33" s="67"/>
      <c r="X33" s="602" t="str">
        <f>PT.anaer_lagoon!B335</f>
        <v>Number of diesel powered agitation trailers needed</v>
      </c>
      <c r="Y33" s="602"/>
      <c r="Z33" s="1987">
        <f>PT.anaer_lagoon!AJ335</f>
        <v>1</v>
      </c>
      <c r="AA33" s="1987" t="str">
        <f>PT.anaer_lagoon!AF335</f>
        <v>quantity</v>
      </c>
    </row>
    <row r="34" spans="2:27" ht="15.75" customHeight="1" x14ac:dyDescent="0.3">
      <c r="B34" s="95"/>
      <c r="C34" s="1877"/>
      <c r="D34" s="602"/>
      <c r="E34" s="1611"/>
      <c r="F34" s="1611"/>
      <c r="G34" s="1611"/>
      <c r="H34" s="1611"/>
      <c r="I34" s="1611"/>
      <c r="J34" s="1611"/>
      <c r="K34" s="1611"/>
      <c r="L34" s="1611"/>
      <c r="M34" s="1611"/>
      <c r="N34" s="1611"/>
      <c r="O34" s="1611"/>
      <c r="P34" s="1611"/>
      <c r="Q34" s="602" t="s">
        <v>5219</v>
      </c>
      <c r="R34" s="602" t="str">
        <f>PT.reception_pit!B26</f>
        <v>Reception pit constructed size</v>
      </c>
      <c r="S34" s="602"/>
      <c r="T34" s="1987">
        <f>PT.reception_pit!K26</f>
        <v>2893.7344524219843</v>
      </c>
      <c r="U34" s="1987" t="str">
        <f>PT.reception_pit!C26</f>
        <v>L</v>
      </c>
      <c r="V34" s="1986"/>
      <c r="W34" s="1988"/>
      <c r="X34" s="602" t="str">
        <f>PT.anaer_lagoon!B336</f>
        <v>Number of booster pumps needed</v>
      </c>
      <c r="Y34" s="602"/>
      <c r="Z34" s="1987">
        <f>PT.anaer_lagoon!AJ336</f>
        <v>1</v>
      </c>
      <c r="AA34" s="1987" t="str">
        <f>PT.anaer_lagoon!AF336</f>
        <v>quantity</v>
      </c>
    </row>
    <row r="35" spans="2:27" ht="15.75" customHeight="1" x14ac:dyDescent="0.3">
      <c r="B35" s="95" t="str">
        <f>PT.reception_pit!B36</f>
        <v>Electricity used by reception pit pumps</v>
      </c>
      <c r="C35" s="1426">
        <f>PT.reception_pit!K36</f>
        <v>0.27742233217176548</v>
      </c>
      <c r="D35" s="602" t="str">
        <f>PT.reception_pit!C36</f>
        <v>kWh/head/year</v>
      </c>
      <c r="E35" s="1611"/>
      <c r="F35" s="1611"/>
      <c r="G35" s="1611"/>
      <c r="H35" s="1611"/>
      <c r="I35" s="1611"/>
      <c r="J35" s="1611"/>
      <c r="K35" s="1611"/>
      <c r="L35" s="1611"/>
      <c r="M35" s="1611"/>
      <c r="N35" s="1611"/>
      <c r="O35" s="1611"/>
      <c r="P35" s="1611"/>
      <c r="Q35" s="602"/>
      <c r="R35" s="602" t="str">
        <f>PT.reception_pit!B27</f>
        <v>Size of motor(s) for agi-pump(s)</v>
      </c>
      <c r="S35" s="602"/>
      <c r="T35" s="1987">
        <f>PT.reception_pit!K27</f>
        <v>15</v>
      </c>
      <c r="U35" s="1987" t="str">
        <f>PT.reception_pit!C27</f>
        <v>hp</v>
      </c>
      <c r="V35" s="1986"/>
      <c r="W35" s="1988"/>
      <c r="X35" s="602" t="str">
        <f>PT.anaer_lagoon!B337</f>
        <v>Operation time for pumping</v>
      </c>
      <c r="Y35" s="602"/>
      <c r="Z35" s="1987">
        <f>PT.anaer_lagoon!AJ337</f>
        <v>5.8183761625293213</v>
      </c>
      <c r="AA35" s="1987" t="str">
        <f>PT.anaer_lagoon!AF337</f>
        <v>hr</v>
      </c>
    </row>
    <row r="36" spans="2:27" ht="15.75" customHeight="1" x14ac:dyDescent="0.3">
      <c r="B36" s="95" t="str">
        <f>PT.anaer_lagoon!B348</f>
        <v>Electricity for irrigation pump</v>
      </c>
      <c r="C36" s="1426">
        <f>PT.anaer_lagoon!AJ348</f>
        <v>1.8624441025497913</v>
      </c>
      <c r="D36" s="602" t="str">
        <f>PT.anaer_lagoon!F348</f>
        <v>kWh/head/year</v>
      </c>
      <c r="E36" s="1611"/>
      <c r="F36" s="1611"/>
      <c r="G36" s="1611"/>
      <c r="H36" s="1611"/>
      <c r="I36" s="1611"/>
      <c r="J36" s="1611"/>
      <c r="K36" s="1611"/>
      <c r="L36" s="1611"/>
      <c r="M36" s="1611"/>
      <c r="N36" s="1611"/>
      <c r="O36" s="1611"/>
      <c r="P36" s="1611"/>
      <c r="Q36" s="602"/>
      <c r="R36" s="602" t="str">
        <f>PT.reception_pit!B28</f>
        <v>Number of agi-pumps needed</v>
      </c>
      <c r="S36" s="602"/>
      <c r="T36" s="1987">
        <f>PT.reception_pit!K28</f>
        <v>1</v>
      </c>
      <c r="U36" s="1987" t="str">
        <f>PT.reception_pit!C28</f>
        <v>pumps</v>
      </c>
      <c r="V36" s="1986"/>
      <c r="W36" s="1988"/>
      <c r="X36" s="602" t="str">
        <f>PT.anaer_lagoon!B338</f>
        <v>Fuel needed for diesel powered lead pump</v>
      </c>
      <c r="Y36" s="602"/>
      <c r="Z36" s="1987">
        <f>PT.anaer_lagoon!AJ338</f>
        <v>104.73077092552778</v>
      </c>
      <c r="AA36" s="1987" t="str">
        <f>PT.anaer_lagoon!AF338</f>
        <v>gal/event</v>
      </c>
    </row>
    <row r="37" spans="2:27" ht="15.75" customHeight="1" x14ac:dyDescent="0.3">
      <c r="B37" s="1668" t="str">
        <f>PT.shallow_flush!B107</f>
        <v>Fresh water</v>
      </c>
      <c r="C37" s="1680"/>
      <c r="D37" s="1815"/>
      <c r="E37" s="1611"/>
      <c r="F37" s="1611"/>
      <c r="G37" s="1611"/>
      <c r="H37" s="1611"/>
      <c r="I37" s="1611"/>
      <c r="J37" s="1611"/>
      <c r="K37" s="1611"/>
      <c r="L37" s="1611"/>
      <c r="M37" s="1611"/>
      <c r="N37" s="1611"/>
      <c r="O37" s="1611"/>
      <c r="P37" s="1611"/>
      <c r="Q37" s="602"/>
      <c r="R37" s="602" t="str">
        <f>PT.reception_pit!B29</f>
        <v>Energy needed for motor for agi-pump</v>
      </c>
      <c r="S37" s="602"/>
      <c r="T37" s="1987">
        <f>PT.reception_pit!K29</f>
        <v>0.38003059201611716</v>
      </c>
      <c r="U37" s="1987" t="str">
        <f>PT.reception_pit!C29</f>
        <v>kWh/day</v>
      </c>
      <c r="V37" s="1986"/>
      <c r="W37" s="1988"/>
      <c r="X37" s="602" t="str">
        <f>PT.anaer_lagoon!B339</f>
        <v>Fuel needed for diesel powered booster pump</v>
      </c>
      <c r="Y37" s="602"/>
      <c r="Z37" s="1987">
        <f>PT.anaer_lagoon!AJ339</f>
        <v>43.637821218969911</v>
      </c>
      <c r="AA37" s="1987" t="str">
        <f>PT.anaer_lagoon!AF339</f>
        <v>gal/event</v>
      </c>
    </row>
    <row r="38" spans="2:27" ht="15.75" customHeight="1" x14ac:dyDescent="0.3">
      <c r="B38" s="1925"/>
      <c r="C38" s="1926"/>
      <c r="D38" s="1925"/>
      <c r="E38" s="1611"/>
      <c r="F38" s="1611"/>
      <c r="G38" s="1611"/>
      <c r="H38" s="1611"/>
      <c r="I38" s="1611"/>
      <c r="J38" s="1611"/>
      <c r="K38" s="1611"/>
      <c r="L38" s="1611"/>
      <c r="M38" s="1611"/>
      <c r="N38" s="1611"/>
      <c r="O38" s="1611"/>
      <c r="P38" s="1611"/>
      <c r="Q38" s="602" t="s">
        <v>7247</v>
      </c>
      <c r="R38" s="602" t="str">
        <f>PT.cover_digest!B88</f>
        <v>Covered lagoon surface area</v>
      </c>
      <c r="S38" s="602"/>
      <c r="T38" s="1987">
        <f>PT.cover_digest!H88</f>
        <v>1661.3902142063973</v>
      </c>
      <c r="U38" s="1987" t="str">
        <f>PT.cover_digest!C88</f>
        <v>m2</v>
      </c>
      <c r="V38" s="1986"/>
      <c r="W38" s="1988"/>
      <c r="X38" s="602" t="str">
        <f>PT.anaer_lagoon!B340</f>
        <v>Fuel needed for diesel powered agitation trailer</v>
      </c>
      <c r="Y38" s="602"/>
      <c r="Z38" s="1987">
        <f>PT.anaer_lagoon!AJ340</f>
        <v>34.910256975175926</v>
      </c>
      <c r="AA38" s="1987" t="str">
        <f>PT.anaer_lagoon!AF340</f>
        <v>gal/event</v>
      </c>
    </row>
    <row r="39" spans="2:27" ht="15.75" customHeight="1" x14ac:dyDescent="0.3">
      <c r="B39" s="602" t="str">
        <f>PT.shallow_scrape!B121</f>
        <v>Fresh water used by scrape system</v>
      </c>
      <c r="C39" s="2266">
        <f>PT.shallow_scrape!G121</f>
        <v>0</v>
      </c>
      <c r="D39" s="602" t="str">
        <f>PT.shallow_scrape!C121</f>
        <v>m3/head/year</v>
      </c>
      <c r="E39" s="1611"/>
      <c r="F39" s="1611"/>
      <c r="G39" s="1611"/>
      <c r="H39" s="1611"/>
      <c r="I39" s="1611"/>
      <c r="J39" s="1611"/>
      <c r="K39" s="1611"/>
      <c r="L39" s="1611"/>
      <c r="M39" s="1611"/>
      <c r="N39" s="1611"/>
      <c r="O39" s="1611"/>
      <c r="P39" s="1611"/>
      <c r="Q39" s="602"/>
      <c r="R39" s="602" t="str">
        <f>PT.cover_digest!B89</f>
        <v>Covered lagoon constructed size</v>
      </c>
      <c r="S39" s="602"/>
      <c r="T39" s="1987">
        <f>PT.cover_digest!H89</f>
        <v>2700.4909100593827</v>
      </c>
      <c r="U39" s="1987" t="str">
        <f>PT.cover_digest!C89</f>
        <v>m3</v>
      </c>
      <c r="V39" s="1986"/>
      <c r="W39" s="1988"/>
      <c r="X39" s="602" t="str">
        <f>PT.anaer_lagoon!B341</f>
        <v>Fuel needed for pickup truck</v>
      </c>
      <c r="Y39" s="602"/>
      <c r="Z39" s="1987">
        <f>PT.anaer_lagoon!AJ341</f>
        <v>5.2365385462763889</v>
      </c>
      <c r="AA39" s="1987" t="str">
        <f>PT.anaer_lagoon!AF341</f>
        <v>gal/event</v>
      </c>
    </row>
    <row r="40" spans="2:27" ht="15.75" customHeight="1" x14ac:dyDescent="0.3">
      <c r="B40" s="602" t="str">
        <f>PT.anaer_lagoon!B359</f>
        <v>Fresh water used to supplement flow into storage structure</v>
      </c>
      <c r="C40" s="2266">
        <f>PT.anaer_lagoon!AJ359</f>
        <v>0</v>
      </c>
      <c r="D40" s="602" t="str">
        <f>PT.anaer_lagoon!F359</f>
        <v>m3/head/year</v>
      </c>
      <c r="E40" s="1611"/>
      <c r="F40" s="1611"/>
      <c r="G40" s="1611"/>
      <c r="H40" s="1611"/>
      <c r="I40" s="1611"/>
      <c r="J40" s="1611"/>
      <c r="K40" s="1611"/>
      <c r="L40" s="1611"/>
      <c r="M40" s="1611"/>
      <c r="N40" s="1611"/>
      <c r="O40" s="1611"/>
      <c r="P40" s="1611"/>
      <c r="Q40" s="602"/>
      <c r="R40" s="602" t="str">
        <f>PT.cover_digest!B90</f>
        <v>Carbon/methane produced by volume</v>
      </c>
      <c r="S40" s="602"/>
      <c r="T40" s="1987">
        <f>PT.cover_digest!H90</f>
        <v>10163.996954999997</v>
      </c>
      <c r="U40" s="1987" t="str">
        <f>PT.cover_digest!C90</f>
        <v>m3/year</v>
      </c>
      <c r="V40" s="1986"/>
      <c r="W40" s="1986"/>
      <c r="X40" s="602" t="str">
        <f>PT.anaer_lagoon!B342</f>
        <v>Number of tractors for support with hose pulley</v>
      </c>
      <c r="Y40" s="602"/>
      <c r="Z40" s="1987">
        <f>PT.anaer_lagoon!AJ342</f>
        <v>1</v>
      </c>
      <c r="AA40" s="1987" t="str">
        <f>PT.anaer_lagoon!AF342</f>
        <v>quantity</v>
      </c>
    </row>
    <row r="41" spans="2:27" ht="15.75" customHeight="1" x14ac:dyDescent="0.3">
      <c r="B41" s="602" t="str">
        <f>PT.anaer_lagoon!B360</f>
        <v>Fresh water used to supplement application liquid volume</v>
      </c>
      <c r="C41" s="2266">
        <f>PT.anaer_lagoon!AJ360</f>
        <v>0.47053708606504846</v>
      </c>
      <c r="D41" s="602" t="str">
        <f>PT.anaer_lagoon!F360</f>
        <v>m3/head/year</v>
      </c>
      <c r="E41" s="1611"/>
      <c r="F41" s="1611"/>
      <c r="G41" s="1611"/>
      <c r="H41" s="1611"/>
      <c r="I41" s="1611"/>
      <c r="J41" s="1611"/>
      <c r="K41" s="1611"/>
      <c r="L41" s="1611"/>
      <c r="M41" s="1611"/>
      <c r="N41" s="1611"/>
      <c r="O41" s="1611"/>
      <c r="P41" s="1611"/>
      <c r="Q41" s="602"/>
      <c r="R41" s="602" t="e">
        <f>PT.cover_digest!#REF!</f>
        <v>#REF!</v>
      </c>
      <c r="S41" s="602"/>
      <c r="T41" s="1987" t="e">
        <f>PT.cover_digest!#REF!</f>
        <v>#REF!</v>
      </c>
      <c r="U41" s="1987" t="e">
        <f>PT.cover_digest!#REF!</f>
        <v>#REF!</v>
      </c>
      <c r="V41" s="1986"/>
      <c r="W41" s="1986"/>
      <c r="X41" s="1986"/>
      <c r="Y41" s="1986"/>
      <c r="Z41" s="1986"/>
      <c r="AA41" s="1986"/>
    </row>
    <row r="42" spans="2:27" ht="15.75" customHeight="1" x14ac:dyDescent="0.3">
      <c r="B42" s="1668" t="str">
        <f>PT.anaer_lagoon!B349</f>
        <v>Land footprint</v>
      </c>
      <c r="C42" s="1680"/>
      <c r="D42" s="1815"/>
      <c r="E42" s="1611"/>
      <c r="F42" s="1611"/>
      <c r="G42" s="1611"/>
      <c r="H42" s="1611"/>
      <c r="I42" s="1611"/>
      <c r="J42" s="1611"/>
      <c r="K42" s="1611"/>
      <c r="L42" s="1611"/>
      <c r="M42" s="1611"/>
      <c r="N42" s="1611"/>
      <c r="O42" s="1611"/>
      <c r="P42" s="1611"/>
      <c r="Q42" s="602" t="s">
        <v>5210</v>
      </c>
      <c r="R42" s="602" t="str">
        <f>PT.anaer_lagoon!B260</f>
        <v>Interval between liquids removal</v>
      </c>
      <c r="S42" s="602"/>
      <c r="T42" s="1987">
        <f>PT.anaer_lagoon!AJ260</f>
        <v>182.5</v>
      </c>
      <c r="U42" s="1987" t="str">
        <f>PT.anaer_lagoon!AF260</f>
        <v>days</v>
      </c>
      <c r="V42" s="1986"/>
      <c r="W42" s="1986"/>
      <c r="X42" s="1986"/>
      <c r="Y42" s="1986"/>
      <c r="Z42" s="1986"/>
      <c r="AA42" s="1986"/>
    </row>
    <row r="43" spans="2:27" ht="15.75" customHeight="1" x14ac:dyDescent="0.3">
      <c r="B43" s="602" t="str">
        <f>PT.shallow_scrape!B115</f>
        <v>Shallow pit land footprint</v>
      </c>
      <c r="C43" s="1877">
        <f>PT.shallow_scrape!G115</f>
        <v>11.129747893930706</v>
      </c>
      <c r="D43" s="602" t="str">
        <f>PT.shallow_scrape!C115</f>
        <v>m2</v>
      </c>
      <c r="E43" s="1611"/>
      <c r="F43" s="1611"/>
      <c r="G43" s="1611"/>
      <c r="H43" s="1611"/>
      <c r="I43" s="1611"/>
      <c r="J43" s="1611"/>
      <c r="K43" s="1611"/>
      <c r="L43" s="1611"/>
      <c r="M43" s="1611"/>
      <c r="N43" s="1611"/>
      <c r="O43" s="1611"/>
      <c r="P43" s="1611"/>
      <c r="Q43" s="602"/>
      <c r="R43" s="602" t="str">
        <f>PT.anaer_lagoon!B261</f>
        <v>Manure liquids removed, lagoon</v>
      </c>
      <c r="S43" s="602"/>
      <c r="T43" s="1987">
        <f>PT.anaer_lagoon!AJ261</f>
        <v>1181.7954759720228</v>
      </c>
      <c r="U43" s="1987" t="str">
        <f>PT.anaer_lagoon!AF261</f>
        <v>m3/event</v>
      </c>
      <c r="V43" s="1986"/>
      <c r="W43" s="1986"/>
      <c r="X43" s="1986"/>
      <c r="Y43" s="1986"/>
      <c r="Z43" s="1986"/>
      <c r="AA43" s="1986"/>
    </row>
    <row r="44" spans="2:27" ht="15.75" customHeight="1" x14ac:dyDescent="0.3">
      <c r="B44" s="602" t="str">
        <f>PT.reception_pit!B38</f>
        <v>Land used by reception pit</v>
      </c>
      <c r="C44" s="1426">
        <f>PT.reception_pit!K38</f>
        <v>0.79128642396007209</v>
      </c>
      <c r="D44" s="602" t="str">
        <f>PT.reception_pit!C38</f>
        <v>m2</v>
      </c>
      <c r="E44" s="1611"/>
      <c r="F44" s="1611"/>
      <c r="G44" s="1611"/>
      <c r="H44" s="1611"/>
      <c r="I44" s="1611"/>
      <c r="J44" s="1611"/>
      <c r="K44" s="1611"/>
      <c r="L44" s="1611"/>
      <c r="M44" s="1611"/>
      <c r="N44" s="1611"/>
      <c r="O44" s="1611"/>
      <c r="P44" s="1611"/>
      <c r="Q44" s="602"/>
      <c r="R44" s="602" t="str">
        <f>PT.anaer_lagoon!B262</f>
        <v>Lagoon surface area</v>
      </c>
      <c r="S44" s="602"/>
      <c r="T44" s="1987">
        <f>PT.anaer_lagoon!AJ262</f>
        <v>2520.2986018694792</v>
      </c>
      <c r="U44" s="1987" t="str">
        <f>PT.anaer_lagoon!AF262</f>
        <v>m2</v>
      </c>
      <c r="V44" s="1986"/>
      <c r="W44" s="1986"/>
      <c r="X44" s="1986"/>
      <c r="Y44" s="1986"/>
      <c r="Z44" s="1986"/>
      <c r="AA44" s="1986"/>
    </row>
    <row r="45" spans="2:27" ht="15.75" customHeight="1" x14ac:dyDescent="0.3">
      <c r="B45" s="602" t="str">
        <f>PT.cover_digest!B98</f>
        <v>Covered digestion basin</v>
      </c>
      <c r="C45" s="1544">
        <f>PT.cover_digest!H98</f>
        <v>1661.3902142063973</v>
      </c>
      <c r="D45" s="602" t="str">
        <f>PT.cover_digest!C98</f>
        <v>m2</v>
      </c>
      <c r="E45" s="1611"/>
      <c r="F45" s="1611"/>
      <c r="G45" s="1611"/>
      <c r="H45" s="1611"/>
      <c r="I45" s="1611"/>
      <c r="J45" s="1611"/>
      <c r="K45" s="1611"/>
      <c r="L45" s="1611"/>
      <c r="M45" s="1611"/>
      <c r="N45" s="1611"/>
      <c r="O45" s="1611"/>
      <c r="P45" s="1611"/>
      <c r="Q45" s="602"/>
      <c r="R45" s="602" t="str">
        <f>PT.anaer_lagoon!B263</f>
        <v>Lagoon constructed size</v>
      </c>
      <c r="S45" s="602"/>
      <c r="T45" s="1987">
        <f>PT.anaer_lagoon!AJ263</f>
        <v>5103.5144459118055</v>
      </c>
      <c r="U45" s="1987" t="str">
        <f>PT.anaer_lagoon!AF263</f>
        <v>m3</v>
      </c>
      <c r="V45" s="1986"/>
      <c r="W45" s="1986"/>
      <c r="X45" s="1986"/>
      <c r="Y45" s="1986"/>
      <c r="Z45" s="1986"/>
      <c r="AA45" s="1986"/>
    </row>
    <row r="46" spans="2:27" ht="18.75" customHeight="1" x14ac:dyDescent="0.3">
      <c r="B46" s="602" t="str">
        <f>PT.anaer_lagoon!B350</f>
        <v>Land for lagoon surface area</v>
      </c>
      <c r="C46" s="1426">
        <f>PT.anaer_lagoon!AJ350</f>
        <v>2520.2986018694792</v>
      </c>
      <c r="D46" s="602" t="str">
        <f>PT.anaer_lagoon!F350</f>
        <v>m2</v>
      </c>
      <c r="E46" s="1611"/>
      <c r="F46" s="1611"/>
      <c r="G46" s="1611"/>
      <c r="H46" s="1611"/>
      <c r="I46" s="1611"/>
      <c r="J46" s="1611"/>
      <c r="K46" s="1611"/>
      <c r="L46" s="1611"/>
      <c r="M46" s="1611"/>
      <c r="N46" s="1611"/>
      <c r="O46" s="1611"/>
      <c r="P46" s="1611"/>
      <c r="Q46" s="602"/>
      <c r="R46" s="602" t="str">
        <f>PT.anaer_lagoon!B264</f>
        <v>N removed, lagoon</v>
      </c>
      <c r="S46" s="602"/>
      <c r="T46" s="1987">
        <f>PT.anaer_lagoon!AJ264</f>
        <v>1.1533993412168242</v>
      </c>
      <c r="U46" s="1987" t="str">
        <f>PT.anaer_lagoon!AF264</f>
        <v>g/L</v>
      </c>
      <c r="V46" s="1986"/>
      <c r="W46" s="1986"/>
      <c r="X46" s="1986"/>
      <c r="Y46" s="1986"/>
      <c r="Z46" s="1986"/>
      <c r="AA46" s="1986"/>
    </row>
    <row r="47" spans="2:27" ht="15.75" customHeight="1" x14ac:dyDescent="0.3">
      <c r="B47" s="602" t="str">
        <f>PT.anaer_lagoon!B351</f>
        <v>Land for liquid application</v>
      </c>
      <c r="C47" s="1426">
        <f>PT.anaer_lagoon!AJ351</f>
        <v>119277.97015385756</v>
      </c>
      <c r="D47" s="602" t="str">
        <f>PT.anaer_lagoon!F351</f>
        <v>m2</v>
      </c>
      <c r="E47" s="1611"/>
      <c r="F47" s="1611"/>
      <c r="G47" s="1611"/>
      <c r="H47" s="1611"/>
      <c r="I47" s="1611"/>
      <c r="J47" s="1611"/>
      <c r="K47" s="1611"/>
      <c r="L47" s="1611"/>
      <c r="M47" s="1611"/>
      <c r="N47" s="1611"/>
      <c r="O47" s="1611"/>
      <c r="P47" s="1611"/>
      <c r="Q47" s="602"/>
      <c r="R47" s="602" t="str">
        <f>PT.anaer_lagoon!B265</f>
        <v>P2O5 removed, lagoon</v>
      </c>
      <c r="S47" s="602"/>
      <c r="T47" s="1987">
        <f>PT.anaer_lagoon!AJ265</f>
        <v>0.77291508964248568</v>
      </c>
      <c r="U47" s="1987" t="str">
        <f>PT.anaer_lagoon!AF265</f>
        <v>g/L</v>
      </c>
      <c r="V47" s="1986"/>
      <c r="W47" s="1986"/>
      <c r="X47" s="1986"/>
      <c r="Y47" s="1986"/>
      <c r="Z47" s="1986"/>
      <c r="AA47" s="1986"/>
    </row>
    <row r="48" spans="2:27" ht="15.75" customHeight="1" x14ac:dyDescent="0.3">
      <c r="B48" s="602" t="str">
        <f>PT.anaer_lagoon!B352</f>
        <v>Land for sludge application</v>
      </c>
      <c r="C48" s="1426">
        <f>PT.anaer_lagoon!AJ352</f>
        <v>28540.767184614244</v>
      </c>
      <c r="D48" s="602" t="str">
        <f>PT.anaer_lagoon!F352</f>
        <v>m2</v>
      </c>
      <c r="E48" s="1611"/>
      <c r="F48" s="1611"/>
      <c r="G48" s="1611"/>
      <c r="H48" s="1611"/>
      <c r="I48" s="1611"/>
      <c r="J48" s="1611"/>
      <c r="K48" s="1611"/>
      <c r="L48" s="1611"/>
      <c r="M48" s="1611"/>
      <c r="N48" s="1611"/>
      <c r="O48" s="1611"/>
      <c r="P48" s="1611"/>
      <c r="Q48" s="602"/>
      <c r="R48" s="602" t="str">
        <f>PT.anaer_lagoon!B266</f>
        <v>K2O removed, lagoon</v>
      </c>
      <c r="S48" s="602"/>
      <c r="T48" s="1987">
        <f>PT.anaer_lagoon!AJ266</f>
        <v>1.1744351577487824</v>
      </c>
      <c r="U48" s="1987" t="str">
        <f>PT.anaer_lagoon!AF266</f>
        <v>g/L</v>
      </c>
      <c r="V48" s="1986"/>
      <c r="W48" s="1986"/>
      <c r="X48" s="1986"/>
      <c r="Y48" s="1986"/>
      <c r="Z48" s="1986"/>
      <c r="AA48" s="1986"/>
    </row>
    <row r="49" spans="2:21" ht="15.75" customHeight="1" x14ac:dyDescent="0.3">
      <c r="B49" s="714"/>
      <c r="C49" s="1425"/>
      <c r="D49" s="714"/>
      <c r="E49" s="1611"/>
      <c r="F49" s="1611"/>
      <c r="G49" s="1611"/>
      <c r="H49" s="1611"/>
      <c r="I49" s="1611"/>
      <c r="J49" s="1611"/>
      <c r="K49" s="1611"/>
      <c r="L49" s="1611"/>
      <c r="M49" s="1611"/>
      <c r="N49" s="1611"/>
      <c r="O49" s="1611"/>
      <c r="P49" s="1611"/>
      <c r="Q49" s="602"/>
      <c r="R49" s="602" t="str">
        <f>PT.anaer_lagoon!B267</f>
        <v>Field area applied by lagoon liquids</v>
      </c>
      <c r="S49" s="602"/>
      <c r="T49" s="1987">
        <f>PT.anaer_lagoon!AJ267</f>
        <v>26.352254973659456</v>
      </c>
      <c r="U49" s="1987" t="str">
        <f>PT.anaer_lagoon!AF267</f>
        <v>ac/y</v>
      </c>
    </row>
    <row r="50" spans="2:21" ht="15.75" customHeight="1" x14ac:dyDescent="0.3">
      <c r="C50" s="314"/>
      <c r="E50" s="1611"/>
      <c r="F50" s="1611"/>
      <c r="G50" s="1611"/>
      <c r="H50" s="1611"/>
      <c r="I50" s="1611"/>
      <c r="J50" s="1611"/>
      <c r="K50" s="1611"/>
      <c r="L50" s="1611"/>
      <c r="M50" s="1611"/>
      <c r="N50" s="1611"/>
      <c r="O50" s="1611"/>
      <c r="P50" s="1611"/>
      <c r="Q50" s="602"/>
      <c r="R50" s="602" t="str">
        <f>PT.anaer_lagoon!B268</f>
        <v>Energy needed to pump lagoon liquids</v>
      </c>
      <c r="S50" s="602"/>
      <c r="T50" s="1987">
        <f>PT.anaer_lagoon!AJ268</f>
        <v>931.22205127489565</v>
      </c>
      <c r="U50" s="1987" t="str">
        <f>PT.anaer_lagoon!AF268</f>
        <v>kWh/y</v>
      </c>
    </row>
    <row r="51" spans="2:21" ht="15.75" customHeight="1" x14ac:dyDescent="0.3">
      <c r="B51" s="1668" t="str">
        <f>PT.anaer_lagoon!B353</f>
        <v>Fuel</v>
      </c>
      <c r="C51" s="1680"/>
      <c r="D51" s="1815"/>
      <c r="E51" s="1611"/>
      <c r="F51" s="1611"/>
      <c r="G51" s="1611"/>
      <c r="H51" s="1611"/>
      <c r="I51" s="1611"/>
      <c r="J51" s="1611"/>
      <c r="K51" s="1611"/>
      <c r="L51" s="1611"/>
      <c r="M51" s="1611"/>
      <c r="N51" s="1611"/>
      <c r="O51" s="1611"/>
      <c r="P51" s="1611"/>
      <c r="Q51" s="602"/>
      <c r="R51" s="602" t="str">
        <f>PT.anaer_lagoon!B269</f>
        <v>Total labor time required for irrigation</v>
      </c>
      <c r="S51" s="602"/>
      <c r="T51" s="1987">
        <f>PT.anaer_lagoon!AJ269</f>
        <v>7.9056764920978377</v>
      </c>
      <c r="U51" s="1987" t="str">
        <f>PT.anaer_lagoon!AF269</f>
        <v>hr/year</v>
      </c>
    </row>
    <row r="52" spans="2:21" ht="15.75" customHeight="1" x14ac:dyDescent="0.3">
      <c r="B52" s="602" t="str">
        <f>PT.anaer_lagoon!B354</f>
        <v>Diesel fuel used for tanker land application of liquids</v>
      </c>
      <c r="C52" s="1725">
        <f>PT.anaer_lagoon!AJ354</f>
        <v>0.16573658517986326</v>
      </c>
      <c r="D52" s="602" t="str">
        <f>PT.anaer_lagoon!F354</f>
        <v>gal/head/year</v>
      </c>
      <c r="E52" s="1611"/>
      <c r="F52" s="1611"/>
      <c r="G52" s="1611"/>
      <c r="H52" s="1611"/>
      <c r="I52" s="1611"/>
      <c r="J52" s="1611"/>
      <c r="K52" s="1611"/>
      <c r="L52" s="1611"/>
      <c r="M52" s="1611"/>
      <c r="N52" s="1611"/>
      <c r="O52" s="1611"/>
      <c r="P52" s="1611"/>
      <c r="Q52" s="602"/>
      <c r="R52" s="602" t="str">
        <f>PT.anaer_lagoon!B270</f>
        <v>Tanker, size</v>
      </c>
      <c r="S52" s="602"/>
      <c r="T52" s="1987">
        <f>PT.anaer_lagoon!AJ270</f>
        <v>6000</v>
      </c>
      <c r="U52" s="1987" t="str">
        <f>PT.anaer_lagoon!AF270</f>
        <v>gal</v>
      </c>
    </row>
    <row r="53" spans="2:21" ht="15.75" customHeight="1" x14ac:dyDescent="0.3">
      <c r="B53" s="602" t="str">
        <f>PT.anaer_lagoon!B355</f>
        <v>Diesel fuel used for tanker land application of sludge</v>
      </c>
      <c r="C53" s="1725">
        <f>PT.anaer_lagoon!AJ355</f>
        <v>0.15723814620535362</v>
      </c>
      <c r="D53" s="602" t="str">
        <f>PT.anaer_lagoon!F355</f>
        <v>gal/head/year</v>
      </c>
      <c r="E53" s="1611"/>
      <c r="F53" s="1611"/>
      <c r="G53" s="1611"/>
      <c r="H53" s="1611"/>
      <c r="I53" s="1611"/>
      <c r="J53" s="1611"/>
      <c r="K53" s="1611"/>
      <c r="L53" s="1611"/>
      <c r="M53" s="1611"/>
      <c r="N53" s="1611"/>
      <c r="O53" s="1611"/>
      <c r="P53" s="1611"/>
      <c r="Q53" s="602"/>
      <c r="R53" s="602" t="str">
        <f>PT.anaer_lagoon!B271</f>
        <v>Tractor for tanker, size</v>
      </c>
      <c r="S53" s="602"/>
      <c r="T53" s="1987">
        <f>PT.anaer_lagoon!AJ271</f>
        <v>250</v>
      </c>
      <c r="U53" s="1987" t="str">
        <f>PT.anaer_lagoon!AF271</f>
        <v>PTO hp</v>
      </c>
    </row>
    <row r="54" spans="2:21" ht="15.75" customHeight="1" x14ac:dyDescent="0.3">
      <c r="B54" s="602" t="str">
        <f>PT.anaer_lagoon!B356</f>
        <v>Diesel fuel used for drag hose land application of liquids</v>
      </c>
      <c r="C54" s="1725">
        <f>PT.anaer_lagoon!AJ356</f>
        <v>5.4774675703313506E-2</v>
      </c>
      <c r="D54" s="602" t="str">
        <f>PT.anaer_lagoon!F356</f>
        <v>gal/head/year</v>
      </c>
      <c r="E54" s="1611"/>
      <c r="F54" s="1611"/>
      <c r="G54" s="1611"/>
      <c r="H54" s="1611"/>
      <c r="I54" s="1611"/>
      <c r="J54" s="1611"/>
      <c r="K54" s="1611"/>
      <c r="L54" s="1611"/>
      <c r="M54" s="1611"/>
      <c r="N54" s="1611"/>
      <c r="O54" s="1611"/>
      <c r="P54" s="1611"/>
      <c r="Q54" s="602"/>
      <c r="R54" s="602" t="str">
        <f>PT.anaer_lagoon!B272</f>
        <v>Application by broadcast or injection?</v>
      </c>
      <c r="S54" s="602"/>
      <c r="T54" s="1987" t="str">
        <f>PT.anaer_lagoon!AJ272</f>
        <v>Injection</v>
      </c>
      <c r="U54" s="1987" t="str">
        <f>PT.anaer_lagoon!AF272</f>
        <v>type</v>
      </c>
    </row>
    <row r="55" spans="2:21" ht="15.75" customHeight="1" x14ac:dyDescent="0.3">
      <c r="B55" s="602" t="str">
        <f>PT.anaer_lagoon!B357</f>
        <v>Diesel fuel used for drag hose land application of sludge</v>
      </c>
      <c r="C55" s="1725">
        <f>PT.anaer_lagoon!AJ357</f>
        <v>9.1874486956802975E-2</v>
      </c>
      <c r="D55" s="602" t="str">
        <f>PT.anaer_lagoon!F357</f>
        <v>gal/head/year</v>
      </c>
      <c r="E55" s="1611"/>
      <c r="F55" s="1611"/>
      <c r="G55" s="1611"/>
      <c r="H55" s="1611"/>
      <c r="I55" s="1611"/>
      <c r="J55" s="1611"/>
      <c r="K55" s="1611"/>
      <c r="L55" s="1611"/>
      <c r="M55" s="1611"/>
      <c r="N55" s="1611"/>
      <c r="O55" s="1611"/>
      <c r="P55" s="1611"/>
      <c r="Q55" s="602"/>
      <c r="R55" s="602" t="str">
        <f>PT.anaer_lagoon!B273</f>
        <v>Operation time for tractor with tanker</v>
      </c>
      <c r="S55" s="602"/>
      <c r="T55" s="1987">
        <f>PT.anaer_lagoon!AJ273</f>
        <v>1.9885678726169513</v>
      </c>
      <c r="U55" s="1987" t="str">
        <f>PT.anaer_lagoon!AF273</f>
        <v>hrs/event</v>
      </c>
    </row>
    <row r="56" spans="2:21" ht="15.75" customHeight="1" x14ac:dyDescent="0.3">
      <c r="B56" s="714" t="s">
        <v>7144</v>
      </c>
      <c r="C56" s="1398">
        <f>C52+C53</f>
        <v>0.32297473138521687</v>
      </c>
      <c r="D56" s="714" t="s">
        <v>2497</v>
      </c>
      <c r="E56" s="1611"/>
      <c r="F56" s="1611"/>
      <c r="G56" s="1611"/>
      <c r="H56" s="1611"/>
      <c r="I56" s="1611"/>
      <c r="J56" s="1611"/>
      <c r="K56" s="1611"/>
      <c r="L56" s="1611"/>
      <c r="M56" s="1611"/>
      <c r="N56" s="1611"/>
      <c r="O56" s="1611"/>
      <c r="P56" s="1611"/>
      <c r="Q56" s="602"/>
      <c r="R56" s="602" t="str">
        <f>PT.anaer_lagoon!B274</f>
        <v>Fuel needed for tractor with tank and applicator</v>
      </c>
      <c r="S56" s="602"/>
      <c r="T56" s="1987">
        <f>PT.anaer_lagoon!AJ274</f>
        <v>21.874246598786463</v>
      </c>
      <c r="U56" s="1987" t="str">
        <f>PT.anaer_lagoon!AF274</f>
        <v>gal/event</v>
      </c>
    </row>
    <row r="57" spans="2:21" ht="15.75" customHeight="1" x14ac:dyDescent="0.3">
      <c r="B57" s="49" t="s">
        <v>7145</v>
      </c>
      <c r="C57" s="1398">
        <f>C54+C55</f>
        <v>0.14664916266011649</v>
      </c>
      <c r="D57" s="714" t="s">
        <v>2497</v>
      </c>
      <c r="E57" s="1611"/>
      <c r="F57" s="1611"/>
      <c r="G57" s="1611"/>
      <c r="H57" s="1611"/>
      <c r="I57" s="1611"/>
      <c r="J57" s="1611"/>
      <c r="K57" s="1611"/>
      <c r="L57" s="1611"/>
      <c r="M57" s="1611"/>
      <c r="N57" s="1611"/>
      <c r="O57" s="1611"/>
      <c r="P57" s="1611"/>
      <c r="Q57" s="602"/>
      <c r="R57" s="602" t="str">
        <f>PT.anaer_lagoon!B275</f>
        <v>Number of tractors with tanker needed</v>
      </c>
      <c r="S57" s="602"/>
      <c r="T57" s="1987">
        <f>PT.anaer_lagoon!AJ275</f>
        <v>1</v>
      </c>
      <c r="U57" s="1987" t="str">
        <f>PT.anaer_lagoon!AF275</f>
        <v>quantity</v>
      </c>
    </row>
    <row r="58" spans="2:21" ht="15.75" customHeight="1" x14ac:dyDescent="0.3">
      <c r="B58" s="1668" t="str">
        <f>PT.anaer_lagoon!B361</f>
        <v>Slurry nutrient contents</v>
      </c>
      <c r="C58" s="1680"/>
      <c r="D58" s="1815"/>
      <c r="E58" s="1611"/>
      <c r="F58" s="1611"/>
      <c r="G58" s="1611"/>
      <c r="H58" s="1611"/>
      <c r="I58" s="1611"/>
      <c r="J58" s="1611"/>
      <c r="K58" s="1611"/>
      <c r="L58" s="1611"/>
      <c r="M58" s="1611"/>
      <c r="N58" s="1611"/>
      <c r="O58" s="1611"/>
      <c r="P58" s="1611"/>
      <c r="Q58" s="602"/>
      <c r="R58" s="602" t="str">
        <f>PT.anaer_lagoon!B276</f>
        <v>Tractor for agitator, size</v>
      </c>
      <c r="S58" s="602"/>
      <c r="T58" s="1987">
        <f>PT.anaer_lagoon!AJ276</f>
        <v>160</v>
      </c>
      <c r="U58" s="1987" t="str">
        <f>PT.anaer_lagoon!AF276</f>
        <v>PTO hp</v>
      </c>
    </row>
    <row r="59" spans="2:21" ht="15.75" customHeight="1" x14ac:dyDescent="0.3">
      <c r="B59" s="49" t="str">
        <f>PT.anaer_lagoon!B362</f>
        <v>Total N accumulated in liquids</v>
      </c>
      <c r="C59" s="1877">
        <f>PT.anaer_lagoon!AJ362</f>
        <v>5.4523284937566165</v>
      </c>
      <c r="D59" s="49" t="str">
        <f>PT.anaer_lagoon!F362</f>
        <v>kg/head/year</v>
      </c>
      <c r="E59" s="1611"/>
      <c r="F59" s="1611"/>
      <c r="G59" s="1611"/>
      <c r="H59" s="1611"/>
      <c r="I59" s="1611"/>
      <c r="J59" s="1611"/>
      <c r="K59" s="1611"/>
      <c r="L59" s="1611"/>
      <c r="M59" s="1611"/>
      <c r="N59" s="1611"/>
      <c r="O59" s="1611"/>
      <c r="P59" s="1611"/>
      <c r="Q59" s="602"/>
      <c r="R59" s="602" t="str">
        <f>PT.anaer_lagoon!B277</f>
        <v>Number of tractors for agitating needed</v>
      </c>
      <c r="S59" s="602"/>
      <c r="T59" s="1987">
        <f>PT.anaer_lagoon!AJ277</f>
        <v>1</v>
      </c>
      <c r="U59" s="1987" t="str">
        <f>PT.anaer_lagoon!AF277</f>
        <v>quantity</v>
      </c>
    </row>
    <row r="60" spans="2:21" ht="15.75" customHeight="1" x14ac:dyDescent="0.3">
      <c r="B60" s="49" t="str">
        <f>PT.anaer_lagoon!B363</f>
        <v>Total P2O5 accumulated in liquids</v>
      </c>
      <c r="C60" s="1877">
        <f>PT.anaer_lagoon!AJ363</f>
        <v>3.6537102250000002</v>
      </c>
      <c r="D60" s="49" t="str">
        <f>PT.anaer_lagoon!F363</f>
        <v>kg/head/year</v>
      </c>
      <c r="E60" s="1611"/>
      <c r="F60" s="1611"/>
      <c r="G60" s="1611"/>
      <c r="H60" s="1611"/>
      <c r="I60" s="1611"/>
      <c r="J60" s="1611"/>
      <c r="K60" s="1611"/>
      <c r="L60" s="1611"/>
      <c r="M60" s="1611"/>
      <c r="N60" s="1611"/>
      <c r="O60" s="1611"/>
      <c r="P60" s="1611"/>
      <c r="Q60" s="602"/>
      <c r="R60" s="602" t="str">
        <f>PT.anaer_lagoon!B278</f>
        <v>Operation time for tractor agitating</v>
      </c>
      <c r="S60" s="602"/>
      <c r="T60" s="1987">
        <f>PT.anaer_lagoon!AJ278</f>
        <v>2.4857098407711891</v>
      </c>
      <c r="U60" s="1987" t="str">
        <f>PT.anaer_lagoon!AF278</f>
        <v>hr/year</v>
      </c>
    </row>
    <row r="61" spans="2:21" ht="15.75" customHeight="1" x14ac:dyDescent="0.3">
      <c r="B61" s="49" t="str">
        <f>PT.anaer_lagoon!B364</f>
        <v>Total K2O accumulated in liquids</v>
      </c>
      <c r="C61" s="1877">
        <f>PT.anaer_lagoon!AJ364</f>
        <v>5.5517686249999993</v>
      </c>
      <c r="D61" s="49" t="str">
        <f>PT.anaer_lagoon!F364</f>
        <v>kg/head/year</v>
      </c>
      <c r="E61" s="1611"/>
      <c r="F61" s="1611"/>
      <c r="G61" s="1611"/>
      <c r="H61" s="1611"/>
      <c r="I61" s="1611"/>
      <c r="J61" s="1611"/>
      <c r="K61" s="1611"/>
      <c r="L61" s="1611"/>
      <c r="M61" s="1611"/>
      <c r="N61" s="1611"/>
      <c r="O61" s="1611"/>
      <c r="P61" s="1611"/>
      <c r="Q61" s="602"/>
      <c r="R61" s="602" t="str">
        <f>PT.anaer_lagoon!B279</f>
        <v>Fuel needed for tractor for agitating</v>
      </c>
      <c r="S61" s="602"/>
      <c r="T61" s="1987">
        <f>PT.anaer_lagoon!AJ279</f>
        <v>17.499397279029168</v>
      </c>
      <c r="U61" s="1987" t="str">
        <f>PT.anaer_lagoon!AF279</f>
        <v>gal/event</v>
      </c>
    </row>
    <row r="62" spans="2:21" ht="15.75" customHeight="1" x14ac:dyDescent="0.3">
      <c r="B62" s="1668" t="str">
        <f>PT.anaer_lagoon!B365</f>
        <v>Sludge nutrient contents</v>
      </c>
      <c r="C62" s="1680"/>
      <c r="D62" s="1815"/>
      <c r="E62" s="1611"/>
      <c r="F62" s="1611"/>
      <c r="G62" s="1611"/>
      <c r="H62" s="1611"/>
      <c r="I62" s="1611"/>
      <c r="J62" s="1611"/>
      <c r="K62" s="1611"/>
      <c r="L62" s="1611"/>
      <c r="M62" s="1611"/>
      <c r="N62" s="1611"/>
      <c r="O62" s="1611"/>
      <c r="P62" s="1611"/>
      <c r="Q62" s="602"/>
      <c r="R62" s="602" t="str">
        <f>PT.anaer_lagoon!B280</f>
        <v>Number of tractors for pumping needed</v>
      </c>
      <c r="S62" s="602"/>
      <c r="T62" s="1987">
        <f>PT.anaer_lagoon!AJ280</f>
        <v>1</v>
      </c>
      <c r="U62" s="1987" t="str">
        <f>PT.anaer_lagoon!AF280</f>
        <v>quantity</v>
      </c>
    </row>
    <row r="63" spans="2:21" ht="15.75" customHeight="1" x14ac:dyDescent="0.3">
      <c r="B63" s="49" t="str">
        <f>PT.anaer_lagoon!B366</f>
        <v>Total N accumulated in sludge</v>
      </c>
      <c r="C63" s="1877">
        <f>PT.anaer_lagoon!AJ366</f>
        <v>1.3630821234391541</v>
      </c>
      <c r="D63" s="49" t="str">
        <f>PT.anaer_lagoon!F366</f>
        <v>kg/head/year</v>
      </c>
      <c r="E63" s="1611"/>
      <c r="F63" s="1611"/>
      <c r="G63" s="1611"/>
      <c r="H63" s="1611"/>
      <c r="I63" s="1611"/>
      <c r="J63" s="1611"/>
      <c r="K63" s="1611"/>
      <c r="L63" s="1611"/>
      <c r="M63" s="1611"/>
      <c r="N63" s="1611"/>
      <c r="O63" s="1611"/>
      <c r="P63" s="1611"/>
      <c r="Q63" s="602"/>
      <c r="R63" s="602" t="str">
        <f>PT.anaer_lagoon!B281</f>
        <v>Tractor for pumping, size</v>
      </c>
      <c r="S63" s="602"/>
      <c r="T63" s="1987">
        <f>PT.anaer_lagoon!AJ281</f>
        <v>180</v>
      </c>
      <c r="U63" s="1987" t="str">
        <f>PT.anaer_lagoon!AF281</f>
        <v>PTO hp</v>
      </c>
    </row>
    <row r="64" spans="2:21" ht="15.75" customHeight="1" x14ac:dyDescent="0.3">
      <c r="B64" s="49" t="str">
        <f>PT.anaer_lagoon!B367</f>
        <v>Total P2O5 accumulated in sludge</v>
      </c>
      <c r="C64" s="1877">
        <f>PT.anaer_lagoon!AJ367</f>
        <v>2.9893992749999998</v>
      </c>
      <c r="D64" s="49" t="str">
        <f>PT.anaer_lagoon!F367</f>
        <v>kg/head/year</v>
      </c>
      <c r="E64" s="1611"/>
      <c r="F64" s="1611"/>
      <c r="G64" s="1611"/>
      <c r="H64" s="1611"/>
      <c r="I64" s="1611"/>
      <c r="J64" s="1611"/>
      <c r="K64" s="1611"/>
      <c r="L64" s="1611"/>
      <c r="M64" s="1611"/>
      <c r="N64" s="1611"/>
      <c r="O64" s="1611"/>
      <c r="P64" s="1611"/>
      <c r="Q64" s="602"/>
      <c r="R64" s="602" t="str">
        <f>PT.anaer_lagoon!B282</f>
        <v>Operation time for tractor pumping</v>
      </c>
      <c r="S64" s="602"/>
      <c r="T64" s="1987">
        <f>PT.anaer_lagoon!AJ282</f>
        <v>0.26016444660987137</v>
      </c>
      <c r="U64" s="1987" t="str">
        <f>PT.anaer_lagoon!AF282</f>
        <v>hr/event</v>
      </c>
    </row>
    <row r="65" spans="2:21" ht="15.75" customHeight="1" x14ac:dyDescent="0.3">
      <c r="B65" s="49" t="str">
        <f>PT.anaer_lagoon!B368</f>
        <v>Total K2O accumulated in sludge</v>
      </c>
      <c r="C65" s="1877">
        <f>PT.anaer_lagoon!AJ368</f>
        <v>2.9894138749999994</v>
      </c>
      <c r="D65" s="49" t="str">
        <f>PT.anaer_lagoon!F368</f>
        <v>kg/head/year</v>
      </c>
      <c r="E65" s="1611"/>
      <c r="F65" s="1611"/>
      <c r="G65" s="1611"/>
      <c r="H65" s="1611"/>
      <c r="I65" s="1611"/>
      <c r="J65" s="1611"/>
      <c r="K65" s="1611"/>
      <c r="L65" s="1611"/>
      <c r="M65" s="1611"/>
      <c r="N65" s="1611"/>
      <c r="O65" s="1611"/>
      <c r="P65" s="1611"/>
      <c r="Q65" s="602"/>
      <c r="R65" s="602" t="str">
        <f>PT.anaer_lagoon!B283</f>
        <v>Fuel needed for tractor for pumping</v>
      </c>
      <c r="S65" s="602"/>
      <c r="T65" s="1987">
        <f>PT.anaer_lagoon!AJ283</f>
        <v>2.0605024171501811</v>
      </c>
      <c r="U65" s="1987" t="str">
        <f>PT.anaer_lagoon!AF283</f>
        <v>gal/event</v>
      </c>
    </row>
    <row r="66" spans="2:21" ht="15.75" customHeight="1" x14ac:dyDescent="0.3">
      <c r="B66" s="1668" t="str">
        <f>PT.anaer_lagoon!B369</f>
        <v>Excess slurry nutrient application</v>
      </c>
      <c r="C66" s="1680"/>
      <c r="D66" s="1815"/>
      <c r="E66" s="1611"/>
      <c r="F66" s="1611"/>
      <c r="G66" s="1611"/>
      <c r="H66" s="1611"/>
      <c r="I66" s="1611"/>
      <c r="J66" s="1611"/>
      <c r="K66" s="1611"/>
      <c r="L66" s="1611"/>
      <c r="M66" s="1611"/>
      <c r="N66" s="1611"/>
      <c r="O66" s="1611"/>
      <c r="P66" s="1611"/>
      <c r="Q66" s="602"/>
      <c r="R66" s="602" t="str">
        <f>PT.anaer_lagoon!B284</f>
        <v>Size of tractor for pulling hose reel and applicator</v>
      </c>
      <c r="S66" s="602"/>
      <c r="T66" s="1987">
        <f>PT.anaer_lagoon!AJ284</f>
        <v>580</v>
      </c>
      <c r="U66" s="1987" t="str">
        <f>PT.anaer_lagoon!AF284</f>
        <v>PTO hp</v>
      </c>
    </row>
    <row r="67" spans="2:21" ht="15.75" customHeight="1" x14ac:dyDescent="0.3">
      <c r="B67" s="49" t="str">
        <f>PT.anaer_lagoon!B370</f>
        <v>Excess N from liquids</v>
      </c>
      <c r="C67" s="1877">
        <f>PT.anaer_lagoon!AJ370</f>
        <v>0</v>
      </c>
      <c r="D67" s="49" t="str">
        <f>PT.anaer_lagoon!F370</f>
        <v>kg/head/year</v>
      </c>
      <c r="E67" s="1611"/>
      <c r="F67" s="1611"/>
      <c r="G67" s="1611"/>
      <c r="H67" s="1611"/>
      <c r="I67" s="1611"/>
      <c r="J67" s="1611"/>
      <c r="K67" s="1611"/>
      <c r="L67" s="1611"/>
      <c r="M67" s="1611"/>
      <c r="N67" s="1611"/>
      <c r="O67" s="1611"/>
      <c r="P67" s="1611"/>
      <c r="Q67" s="602"/>
      <c r="R67" s="602" t="str">
        <f>PT.anaer_lagoon!B285</f>
        <v>Number of tractors for pulling hose reel and applicator</v>
      </c>
      <c r="S67" s="602"/>
      <c r="T67" s="1987">
        <f>PT.anaer_lagoon!AJ285</f>
        <v>1</v>
      </c>
      <c r="U67" s="1987" t="str">
        <f>PT.anaer_lagoon!AF285</f>
        <v>quantity</v>
      </c>
    </row>
    <row r="68" spans="2:21" ht="15.75" customHeight="1" x14ac:dyDescent="0.3">
      <c r="B68" s="49" t="str">
        <f>PT.anaer_lagoon!B371</f>
        <v>Excess P2O5 from liquids</v>
      </c>
      <c r="C68" s="1877">
        <f>PT.anaer_lagoon!AJ371</f>
        <v>2.0004033825236096</v>
      </c>
      <c r="D68" s="49" t="str">
        <f>PT.anaer_lagoon!F371</f>
        <v>kg/head/year</v>
      </c>
      <c r="E68" s="1611"/>
      <c r="F68" s="1611"/>
      <c r="G68" s="1611"/>
      <c r="H68" s="1611"/>
      <c r="I68" s="1611"/>
      <c r="J68" s="1611"/>
      <c r="K68" s="1611"/>
      <c r="L68" s="1611"/>
      <c r="M68" s="1611"/>
      <c r="N68" s="1611"/>
      <c r="O68" s="1611"/>
      <c r="P68" s="1611"/>
      <c r="Q68" s="602"/>
      <c r="R68" s="602" t="str">
        <f>PT.anaer_lagoon!B286</f>
        <v>Number of tractors for support with hose pulley</v>
      </c>
      <c r="S68" s="602"/>
      <c r="T68" s="1987">
        <f>PT.anaer_lagoon!AJ286</f>
        <v>1</v>
      </c>
      <c r="U68" s="1987" t="str">
        <f>PT.anaer_lagoon!AF286</f>
        <v>quantity</v>
      </c>
    </row>
    <row r="69" spans="2:21" ht="15.75" customHeight="1" x14ac:dyDescent="0.3">
      <c r="B69" s="49" t="str">
        <f>PT.anaer_lagoon!B372</f>
        <v>Excess K2O from liquids</v>
      </c>
      <c r="C69" s="1877">
        <f>PT.anaer_lagoon!AJ372</f>
        <v>3.1452973546432905</v>
      </c>
      <c r="D69" s="49" t="str">
        <f>PT.anaer_lagoon!F372</f>
        <v>kg/head/year</v>
      </c>
      <c r="E69" s="1611"/>
      <c r="F69" s="1611"/>
      <c r="G69" s="1611"/>
      <c r="H69" s="1611"/>
      <c r="I69" s="1611"/>
      <c r="J69" s="1611"/>
      <c r="K69" s="1611"/>
      <c r="L69" s="1611"/>
      <c r="M69" s="1611"/>
      <c r="N69" s="1611"/>
      <c r="O69" s="1611"/>
      <c r="P69" s="1611"/>
      <c r="Q69" s="602"/>
      <c r="R69" s="602" t="str">
        <f>PT.anaer_lagoon!B287</f>
        <v>Size of tractor for support with hose pulley</v>
      </c>
      <c r="S69" s="602"/>
      <c r="T69" s="1987">
        <f>PT.anaer_lagoon!AJ287</f>
        <v>340</v>
      </c>
      <c r="U69" s="1987" t="str">
        <f>PT.anaer_lagoon!AF287</f>
        <v>PTO hp</v>
      </c>
    </row>
    <row r="70" spans="2:21" ht="15.75" customHeight="1" x14ac:dyDescent="0.3">
      <c r="B70" s="1668" t="str">
        <f>PT.anaer_lagoon!B373</f>
        <v>Excess sludge nutrient application</v>
      </c>
      <c r="C70" s="1680"/>
      <c r="D70" s="1815"/>
      <c r="E70" s="1611"/>
      <c r="F70" s="1611"/>
      <c r="G70" s="1611"/>
      <c r="H70" s="1611"/>
      <c r="I70" s="1611"/>
      <c r="J70" s="1611"/>
      <c r="K70" s="1611"/>
      <c r="L70" s="1611"/>
      <c r="M70" s="1611"/>
      <c r="N70" s="1611"/>
      <c r="O70" s="1611"/>
      <c r="P70" s="1611"/>
      <c r="Q70" s="602"/>
      <c r="R70" s="602" t="str">
        <f>PT.anaer_lagoon!B288</f>
        <v>Distance from storage to field</v>
      </c>
      <c r="S70" s="602"/>
      <c r="T70" s="1987">
        <f>PT.anaer_lagoon!AJ288</f>
        <v>2</v>
      </c>
      <c r="U70" s="1987" t="str">
        <f>PT.anaer_lagoon!AF288</f>
        <v>miles</v>
      </c>
    </row>
    <row r="71" spans="2:21" ht="15.75" customHeight="1" x14ac:dyDescent="0.3">
      <c r="B71" s="49" t="str">
        <f>PT.anaer_lagoon!B374</f>
        <v>Excess N from sludge</v>
      </c>
      <c r="C71" s="1877">
        <f>PT.anaer_lagoon!AJ374</f>
        <v>0</v>
      </c>
      <c r="D71" s="49" t="str">
        <f>PT.anaer_lagoon!F374</f>
        <v>kg/head/year</v>
      </c>
      <c r="E71" s="1611"/>
      <c r="F71" s="1611"/>
      <c r="G71" s="1611"/>
      <c r="H71" s="1611"/>
      <c r="I71" s="1611"/>
      <c r="J71" s="1611"/>
      <c r="K71" s="1611"/>
      <c r="L71" s="1611"/>
      <c r="M71" s="1611"/>
      <c r="N71" s="1611"/>
      <c r="O71" s="1611"/>
      <c r="P71" s="1611"/>
      <c r="Q71" s="602"/>
      <c r="R71" s="602" t="str">
        <f>PT.anaer_lagoon!B289</f>
        <v>Fuel needed for tractor for pulling hose reel and applicator</v>
      </c>
      <c r="S71" s="602"/>
      <c r="T71" s="1987">
        <f>PT.anaer_lagoon!AJ289</f>
        <v>25.52</v>
      </c>
      <c r="U71" s="1987" t="str">
        <f>PT.anaer_lagoon!AF289</f>
        <v>gal/hr</v>
      </c>
    </row>
    <row r="72" spans="2:21" ht="15.75" customHeight="1" x14ac:dyDescent="0.3">
      <c r="B72" s="49" t="str">
        <f>PT.anaer_lagoon!B375</f>
        <v>Excess P2O5 from sludge</v>
      </c>
      <c r="C72" s="1877">
        <f>PT.anaer_lagoon!AJ375</f>
        <v>2.3842617572172262</v>
      </c>
      <c r="D72" s="49" t="str">
        <f>PT.anaer_lagoon!F375</f>
        <v>kg/head/year</v>
      </c>
      <c r="E72" s="1611"/>
      <c r="F72" s="1611"/>
      <c r="G72" s="1611"/>
      <c r="H72" s="1611"/>
      <c r="I72" s="1611"/>
      <c r="J72" s="1611"/>
      <c r="K72" s="1611"/>
      <c r="L72" s="1611"/>
      <c r="M72" s="1611"/>
      <c r="N72" s="1611"/>
      <c r="O72" s="1611"/>
      <c r="P72" s="1611"/>
      <c r="Q72" s="602"/>
      <c r="R72" s="602" t="str">
        <f>PT.anaer_lagoon!B290</f>
        <v>Fuel needed for support tractor with hose pulley</v>
      </c>
      <c r="S72" s="602"/>
      <c r="T72" s="1987">
        <f>PT.anaer_lagoon!AJ290</f>
        <v>14.959999999999999</v>
      </c>
      <c r="U72" s="1987" t="str">
        <f>PT.anaer_lagoon!AF290</f>
        <v>gal/hr</v>
      </c>
    </row>
    <row r="73" spans="2:21" ht="15.75" customHeight="1" x14ac:dyDescent="0.3">
      <c r="B73" s="49" t="str">
        <f>PT.anaer_lagoon!B376</f>
        <v>Excess K2O from sludge</v>
      </c>
      <c r="C73" s="1877">
        <f>PT.anaer_lagoon!AJ376</f>
        <v>2.3043541194931412</v>
      </c>
      <c r="D73" s="49" t="str">
        <f>PT.anaer_lagoon!F376</f>
        <v>kg/head/year</v>
      </c>
      <c r="E73" s="1611"/>
      <c r="F73" s="1611"/>
      <c r="G73" s="1611"/>
      <c r="H73" s="1611"/>
      <c r="I73" s="1611"/>
      <c r="J73" s="1611"/>
      <c r="K73" s="1611"/>
      <c r="L73" s="1611"/>
      <c r="M73" s="1611"/>
      <c r="N73" s="1611"/>
      <c r="O73" s="1611"/>
      <c r="P73" s="1611"/>
      <c r="Q73" s="602"/>
      <c r="R73" s="602" t="str">
        <f>PT.anaer_lagoon!B291</f>
        <v>Diesel powered pump(s), size</v>
      </c>
      <c r="S73" s="602"/>
      <c r="T73" s="1987">
        <f>PT.anaer_lagoon!AJ291</f>
        <v>3000</v>
      </c>
      <c r="U73" s="1987" t="str">
        <f>PT.anaer_lagoon!AF291</f>
        <v>gal/min</v>
      </c>
    </row>
    <row r="74" spans="2:21" ht="15.75" customHeight="1" x14ac:dyDescent="0.3">
      <c r="B74" s="1945"/>
      <c r="C74" s="1819"/>
      <c r="D74" s="1942"/>
      <c r="E74" s="1611"/>
      <c r="F74" s="1611"/>
      <c r="G74" s="1611"/>
      <c r="H74" s="1611"/>
      <c r="I74" s="1611"/>
      <c r="J74" s="1611"/>
      <c r="K74" s="1611"/>
      <c r="L74" s="1611"/>
      <c r="M74" s="1611"/>
      <c r="N74" s="1611"/>
      <c r="O74" s="1611"/>
      <c r="P74" s="1611"/>
      <c r="Q74" s="602"/>
      <c r="R74" s="602" t="str">
        <f>PT.anaer_lagoon!B292</f>
        <v>Number of diesel powered lead pumps needed</v>
      </c>
      <c r="S74" s="602"/>
      <c r="T74" s="1987">
        <f>PT.anaer_lagoon!AJ292</f>
        <v>1</v>
      </c>
      <c r="U74" s="1987" t="str">
        <f>PT.anaer_lagoon!AF292</f>
        <v>quantity</v>
      </c>
    </row>
    <row r="75" spans="2:21" ht="15.75" customHeight="1" x14ac:dyDescent="0.3">
      <c r="C75" s="314"/>
      <c r="E75" s="1611"/>
      <c r="F75" s="1611"/>
      <c r="G75" s="1611"/>
      <c r="H75" s="1611"/>
      <c r="I75" s="1611"/>
      <c r="J75" s="1611"/>
      <c r="K75" s="1611"/>
      <c r="L75" s="1611"/>
      <c r="M75" s="1611"/>
      <c r="N75" s="1611"/>
      <c r="O75" s="1611"/>
      <c r="P75" s="1611"/>
      <c r="Q75" s="602"/>
      <c r="R75" s="602" t="str">
        <f>PT.anaer_lagoon!B293</f>
        <v>Number of diesel powered agitation trailers needed</v>
      </c>
      <c r="S75" s="602"/>
      <c r="T75" s="1987">
        <f>PT.anaer_lagoon!AJ293</f>
        <v>1</v>
      </c>
      <c r="U75" s="1987" t="str">
        <f>PT.anaer_lagoon!AF293</f>
        <v>quantity</v>
      </c>
    </row>
    <row r="76" spans="2:21" ht="15.75" customHeight="1" x14ac:dyDescent="0.3">
      <c r="C76" s="314"/>
      <c r="E76" s="1611"/>
      <c r="F76" s="1611"/>
      <c r="G76" s="1611"/>
      <c r="H76" s="1611"/>
      <c r="I76" s="1611"/>
      <c r="J76" s="1611"/>
      <c r="K76" s="1611"/>
      <c r="L76" s="1611"/>
      <c r="M76" s="1611"/>
      <c r="N76" s="1611"/>
      <c r="O76" s="1611"/>
      <c r="P76" s="1611"/>
      <c r="Q76" s="602"/>
      <c r="R76" s="602" t="str">
        <f>PT.anaer_lagoon!B294</f>
        <v>Number of booster pumps needed</v>
      </c>
      <c r="S76" s="602"/>
      <c r="T76" s="1987">
        <f>PT.anaer_lagoon!AJ294</f>
        <v>1</v>
      </c>
      <c r="U76" s="1987" t="str">
        <f>PT.anaer_lagoon!AF294</f>
        <v>quantity</v>
      </c>
    </row>
    <row r="77" spans="2:21" ht="15.75" customHeight="1" x14ac:dyDescent="0.3">
      <c r="B77" s="1668" t="str">
        <f>PT.cover_digest!B99</f>
        <v>Emissions from ponds/lagoons/basins/digesters</v>
      </c>
      <c r="C77" s="1680"/>
      <c r="D77" s="1815"/>
      <c r="E77" s="1611"/>
      <c r="F77" s="1611"/>
      <c r="G77" s="1611"/>
      <c r="H77" s="1611"/>
      <c r="I77" s="1611"/>
      <c r="J77" s="1611"/>
      <c r="K77" s="1611"/>
      <c r="L77" s="1611"/>
      <c r="M77" s="1611"/>
      <c r="N77" s="1611"/>
      <c r="O77" s="1611"/>
      <c r="P77" s="1611"/>
      <c r="Q77" s="602"/>
      <c r="R77" s="602" t="str">
        <f>PT.anaer_lagoon!B295</f>
        <v>Operation time for pumping</v>
      </c>
      <c r="S77" s="602"/>
      <c r="T77" s="1987">
        <f>PT.anaer_lagoon!AJ295</f>
        <v>0.17344296440658091</v>
      </c>
      <c r="U77" s="1987" t="str">
        <f>PT.anaer_lagoon!AF295</f>
        <v>hr</v>
      </c>
    </row>
    <row r="78" spans="2:21" ht="15.75" customHeight="1" x14ac:dyDescent="0.3">
      <c r="B78" s="49" t="str">
        <f>PT.cover_digest!B100</f>
        <v>CH4 from covered digester</v>
      </c>
      <c r="C78" s="1877">
        <f>PT.cover_digest!H100</f>
        <v>5.1265264641599977</v>
      </c>
      <c r="D78" s="49" t="str">
        <f>PT.cover_digest!C100</f>
        <v>kg/head/year</v>
      </c>
      <c r="E78" s="1611"/>
      <c r="F78" s="1611"/>
      <c r="G78" s="1611"/>
      <c r="H78" s="1611"/>
      <c r="I78" s="1611"/>
      <c r="J78" s="1611"/>
      <c r="K78" s="1611"/>
      <c r="L78" s="1611"/>
      <c r="M78" s="1611"/>
      <c r="N78" s="1611"/>
      <c r="O78" s="1611"/>
      <c r="P78" s="1611"/>
      <c r="Q78" s="602"/>
      <c r="R78" s="602" t="str">
        <f>PT.anaer_lagoon!B296</f>
        <v>Fuel needed for diesel powered lead pump</v>
      </c>
      <c r="S78" s="602"/>
      <c r="T78" s="1987">
        <f>PT.anaer_lagoon!AJ296</f>
        <v>3.1219733593184564</v>
      </c>
      <c r="U78" s="1987" t="str">
        <f>PT.anaer_lagoon!AF296</f>
        <v>gal/event</v>
      </c>
    </row>
    <row r="79" spans="2:21" ht="15.75" customHeight="1" x14ac:dyDescent="0.3">
      <c r="B79" s="49" t="str">
        <f>PT.cover_digest!B101</f>
        <v>NH3 from covered digester</v>
      </c>
      <c r="C79" s="1877">
        <f>PT.cover_digest!H101</f>
        <v>1.5172181934791724</v>
      </c>
      <c r="D79" s="49" t="str">
        <f>PT.cover_digest!C101</f>
        <v>kg/head/year</v>
      </c>
      <c r="E79" s="1611"/>
      <c r="F79" s="1611"/>
      <c r="G79" s="1611"/>
      <c r="H79" s="1611"/>
      <c r="I79" s="1611"/>
      <c r="J79" s="1611"/>
      <c r="K79" s="1611"/>
      <c r="L79" s="1611"/>
      <c r="M79" s="1611"/>
      <c r="N79" s="1611"/>
      <c r="O79" s="1611"/>
      <c r="P79" s="1611"/>
      <c r="Q79" s="602"/>
      <c r="R79" s="602" t="str">
        <f>PT.anaer_lagoon!B297</f>
        <v>Fuel needed for diesel powered booster pump</v>
      </c>
      <c r="S79" s="602"/>
      <c r="T79" s="1987">
        <f>PT.anaer_lagoon!AJ297</f>
        <v>1.3008222330493568</v>
      </c>
      <c r="U79" s="1987" t="str">
        <f>PT.anaer_lagoon!AF297</f>
        <v>gal/event</v>
      </c>
    </row>
    <row r="80" spans="2:21" ht="15.75" customHeight="1" x14ac:dyDescent="0.3">
      <c r="B80" s="49" t="str">
        <f>PT.cover_digest!B102</f>
        <v>Direct N2O from covered digester</v>
      </c>
      <c r="C80" s="1877">
        <f>PT.cover_digest!H102</f>
        <v>0.11920783346165857</v>
      </c>
      <c r="D80" s="49" t="str">
        <f>PT.cover_digest!C102</f>
        <v>kg/head/year</v>
      </c>
      <c r="E80" s="1611"/>
      <c r="F80" s="1611"/>
      <c r="G80" s="1611"/>
      <c r="H80" s="1611"/>
      <c r="I80" s="1611"/>
      <c r="J80" s="1611"/>
      <c r="K80" s="1611"/>
      <c r="L80" s="1611"/>
      <c r="M80" s="1611"/>
      <c r="N80" s="1611"/>
      <c r="O80" s="1611"/>
      <c r="P80" s="1611"/>
      <c r="Q80" s="602"/>
      <c r="R80" s="602" t="str">
        <f>PT.anaer_lagoon!B298</f>
        <v>Fuel needed for diesel powered agitation trailer</v>
      </c>
      <c r="S80" s="602"/>
      <c r="T80" s="1987">
        <f>PT.anaer_lagoon!AJ298</f>
        <v>1.0406577864394855</v>
      </c>
      <c r="U80" s="1987" t="str">
        <f>PT.anaer_lagoon!AF298</f>
        <v>gal/event</v>
      </c>
    </row>
    <row r="81" spans="2:21" ht="15.75" customHeight="1" x14ac:dyDescent="0.3">
      <c r="B81" s="49" t="str">
        <f>PT.cover_digest!B103</f>
        <v>Indirect N2O from covered digester</v>
      </c>
      <c r="C81" s="1877">
        <f>PT.cover_digest!H103</f>
        <v>3.3378193369264404E-2</v>
      </c>
      <c r="D81" s="49" t="str">
        <f>PT.cover_digest!C103</f>
        <v>kg/head/year</v>
      </c>
      <c r="Q81" s="602"/>
      <c r="R81" s="602" t="str">
        <f>PT.anaer_lagoon!B299</f>
        <v>Fuel needed for pickup truck</v>
      </c>
      <c r="S81" s="602"/>
      <c r="T81" s="1987">
        <f>PT.anaer_lagoon!AJ299</f>
        <v>0.15609866796592281</v>
      </c>
      <c r="U81" s="1987" t="str">
        <f>PT.anaer_lagoon!AF299</f>
        <v>gal/event</v>
      </c>
    </row>
    <row r="82" spans="2:21" ht="15.75" customHeight="1" x14ac:dyDescent="0.3">
      <c r="B82" s="49" t="str">
        <f>PT.cover_digest!B104</f>
        <v>CO2 from covered digester</v>
      </c>
      <c r="C82" s="1877">
        <f>PT.cover_digest!H104</f>
        <v>37.007112913154977</v>
      </c>
      <c r="D82" s="49" t="str">
        <f>PT.cover_digest!C104</f>
        <v>kg/head/year</v>
      </c>
      <c r="Q82" s="602"/>
      <c r="R82" s="602" t="str">
        <f>PT.anaer_lagoon!B300</f>
        <v>Excess volume, lagoon liquid manure</v>
      </c>
      <c r="S82" s="602"/>
      <c r="T82" s="1987">
        <f>PT.anaer_lagoon!AJ300</f>
        <v>0</v>
      </c>
      <c r="U82" s="1987" t="str">
        <f>PT.anaer_lagoon!AF300</f>
        <v>1000 gal/year</v>
      </c>
    </row>
    <row r="83" spans="2:21" ht="15.75" customHeight="1" x14ac:dyDescent="0.3">
      <c r="B83" s="1353" t="str">
        <f>PT.shallow_scrape!B123</f>
        <v>CH4 from shallow scrape</v>
      </c>
      <c r="C83" s="1878">
        <f>PT.shallow_scrape!G123</f>
        <v>1.5236605695921037</v>
      </c>
      <c r="D83" s="1353" t="str">
        <f>PT.shallow_scrape!C123</f>
        <v>kg/head/year</v>
      </c>
      <c r="Q83" s="602"/>
      <c r="R83" s="602" t="str">
        <f>PT.anaer_lagoon!B301</f>
        <v>Excess volume, lagoon sludge manure</v>
      </c>
      <c r="S83" s="602"/>
      <c r="T83" s="1987">
        <f>PT.anaer_lagoon!AJ301</f>
        <v>22.46799725618348</v>
      </c>
      <c r="U83" s="1987" t="str">
        <f>PT.anaer_lagoon!AF301</f>
        <v>1000 gal/event</v>
      </c>
    </row>
    <row r="84" spans="2:21" ht="15.75" customHeight="1" x14ac:dyDescent="0.3">
      <c r="B84" s="1353" t="str">
        <f>PT.shallow_scrape!B124</f>
        <v>NH3 from shallow scrape</v>
      </c>
      <c r="C84" s="1878">
        <f>PT.shallow_scrape!G124</f>
        <v>3.7960656999999998</v>
      </c>
      <c r="D84" s="1353" t="str">
        <f>PT.shallow_scrape!C124</f>
        <v>kg/head/year</v>
      </c>
      <c r="Q84" s="602"/>
      <c r="R84" s="602" t="str">
        <f>PT.anaer_lagoon!B302</f>
        <v>Fertilizer value for on-farm use, liquids</v>
      </c>
      <c r="S84" s="602"/>
      <c r="T84" s="1987">
        <f>PT.anaer_lagoon!AJ302</f>
        <v>5078.9972828671398</v>
      </c>
      <c r="U84" s="1987" t="str">
        <f>PT.anaer_lagoon!AF302</f>
        <v>$/year</v>
      </c>
    </row>
    <row r="85" spans="2:21" ht="15.75" customHeight="1" x14ac:dyDescent="0.3">
      <c r="B85" s="1353" t="str">
        <f>PT.shallow_scrape!B125</f>
        <v>Direct N2O from shallow scrape</v>
      </c>
      <c r="C85" s="1878">
        <f>PT.shallow_scrape!G125</f>
        <v>5.9651376409799999E-2</v>
      </c>
      <c r="D85" s="1353" t="str">
        <f>PT.shallow_scrape!C125</f>
        <v>kg/head/year</v>
      </c>
      <c r="Q85" s="602"/>
      <c r="R85" s="602" t="str">
        <f>PT.anaer_lagoon!B303</f>
        <v>Fertilizer value for on-farm use, sludge</v>
      </c>
      <c r="S85" s="602"/>
      <c r="T85" s="1987">
        <f>PT.anaer_lagoon!AJ303</f>
        <v>12200.958498394819</v>
      </c>
      <c r="U85" s="1987" t="str">
        <f>PT.anaer_lagoon!AF303</f>
        <v>$/event</v>
      </c>
    </row>
    <row r="86" spans="2:21" ht="15.75" customHeight="1" x14ac:dyDescent="0.3">
      <c r="B86" s="1353" t="str">
        <f>PT.shallow_scrape!B126</f>
        <v>Indirect N2O from shallow scrape</v>
      </c>
      <c r="C86" s="1878">
        <f>PT.shallow_scrape!G126</f>
        <v>8.3511926973719994E-2</v>
      </c>
      <c r="D86" s="1353" t="str">
        <f>PT.shallow_scrape!C126</f>
        <v>kg/head/year</v>
      </c>
    </row>
    <row r="87" spans="2:21" ht="15.75" customHeight="1" x14ac:dyDescent="0.3">
      <c r="B87" s="1353" t="str">
        <f>PT.anaer_lagoon!B378</f>
        <v>CH4 from lagoon</v>
      </c>
      <c r="C87" s="1878">
        <f>PT.anaer_lagoon!AJ378</f>
        <v>12.303663513983993</v>
      </c>
      <c r="D87" s="1353" t="str">
        <f>PT.anaer_lagoon!F378</f>
        <v>kg/head/year</v>
      </c>
      <c r="Q87" s="118" t="s">
        <v>7175</v>
      </c>
      <c r="R87" s="1293"/>
      <c r="S87" s="1293"/>
      <c r="T87" s="1293"/>
      <c r="U87" s="1293"/>
    </row>
    <row r="88" spans="2:21" ht="15.75" customHeight="1" x14ac:dyDescent="0.3">
      <c r="B88" s="1353" t="str">
        <f>PT.anaer_lagoon!B379</f>
        <v>NH3 from lagoon</v>
      </c>
      <c r="C88" s="1878">
        <f>PT.anaer_lagoon!AJ379</f>
        <v>6.8154106171957709</v>
      </c>
      <c r="D88" s="1353" t="str">
        <f>PT.anaer_lagoon!F379</f>
        <v>kg/head/year</v>
      </c>
      <c r="Q88" s="49"/>
      <c r="R88" s="18" t="s">
        <v>7176</v>
      </c>
      <c r="S88" s="49"/>
      <c r="T88" s="2126">
        <f>VLOOKUP("Sc 10a",'LCIA Summary output'!P:T,5,FALSE)</f>
        <v>0.65982502043884361</v>
      </c>
      <c r="U88" s="18" t="s">
        <v>7177</v>
      </c>
    </row>
    <row r="89" spans="2:21" ht="15.75" customHeight="1" x14ac:dyDescent="0.3">
      <c r="B89" s="1353" t="str">
        <f>PT.anaer_lagoon!B380</f>
        <v>N2O direct from lagoon</v>
      </c>
      <c r="C89" s="1878">
        <f>PT.anaer_lagoon!AJ380</f>
        <v>0</v>
      </c>
      <c r="D89" s="1353" t="str">
        <f>PT.anaer_lagoon!F380</f>
        <v>kg/head/year</v>
      </c>
      <c r="Q89" s="49"/>
      <c r="R89" s="18" t="s">
        <v>7178</v>
      </c>
      <c r="S89" s="49"/>
      <c r="T89" s="2126">
        <f>VLOOKUP("Sc 10b",'LCIA Summary output'!P:T,5,FALSE)</f>
        <v>0.65803002614922201</v>
      </c>
      <c r="U89" s="18" t="s">
        <v>7177</v>
      </c>
    </row>
    <row r="90" spans="2:21" ht="15.75" customHeight="1" x14ac:dyDescent="0.3">
      <c r="B90" s="1353" t="str">
        <f>PT.anaer_lagoon!B381</f>
        <v>N2O indirect from lagoon</v>
      </c>
      <c r="C90" s="1878">
        <f>PT.anaer_lagoon!AJ381</f>
        <v>0.14993630741406008</v>
      </c>
      <c r="D90" s="1353" t="str">
        <f>PT.anaer_lagoon!F381</f>
        <v>kg/head/year</v>
      </c>
      <c r="Q90" s="49"/>
      <c r="R90" s="18" t="s">
        <v>7179</v>
      </c>
      <c r="S90" s="49"/>
      <c r="T90" s="2127">
        <f>T88*UDV.animal.total</f>
        <v>329.91251021942179</v>
      </c>
      <c r="U90" s="49" t="s">
        <v>7180</v>
      </c>
    </row>
    <row r="91" spans="2:21" ht="15.75" customHeight="1" x14ac:dyDescent="0.3">
      <c r="Q91" s="49"/>
      <c r="R91" s="18" t="s">
        <v>7181</v>
      </c>
      <c r="S91" s="49"/>
      <c r="T91" s="2127">
        <f>T89*UDV.animal.total</f>
        <v>329.01501307461103</v>
      </c>
      <c r="U91" s="49" t="s">
        <v>7180</v>
      </c>
    </row>
    <row r="92" spans="2:21" ht="15.75" customHeight="1" x14ac:dyDescent="0.3">
      <c r="U92" s="42"/>
    </row>
    <row r="93" spans="2:21" ht="15.75" customHeight="1" x14ac:dyDescent="0.3">
      <c r="Q93" s="76" t="s">
        <v>7182</v>
      </c>
      <c r="R93" s="18" t="s">
        <v>7183</v>
      </c>
      <c r="S93" s="49"/>
      <c r="T93" s="2128">
        <f>MAX(0, INDEX(EconIntermediate!$C$25:$BV$25, MATCH(UDV.u.farm_baseline, EconIntermediate!$C$3:$BV$3,0))-T90)</f>
        <v>0</v>
      </c>
      <c r="U93" s="49" t="s">
        <v>7180</v>
      </c>
    </row>
    <row r="94" spans="2:21" ht="15.75" customHeight="1" x14ac:dyDescent="0.3">
      <c r="Q94" s="49"/>
      <c r="R94" s="18" t="s">
        <v>7184</v>
      </c>
      <c r="S94" s="49"/>
      <c r="T94" s="2128">
        <f>MAX(0, INDEX(EconIntermediate!$C$25:$BV$25, MATCH(UDV.u.farm_baseline, EconIntermediate!$C$3:$BV$3,0))-T91)</f>
        <v>0</v>
      </c>
      <c r="U94" s="49" t="s">
        <v>7180</v>
      </c>
    </row>
    <row r="96" spans="2:21" ht="15.75" customHeight="1" x14ac:dyDescent="0.3">
      <c r="Q96" s="49" t="s">
        <v>5925</v>
      </c>
      <c r="R96" s="18" t="s">
        <v>5724</v>
      </c>
      <c r="S96" s="49"/>
      <c r="T96" s="1360">
        <f>PT.shallow_scrape!G16</f>
        <v>20.256141166953888</v>
      </c>
      <c r="U96" s="49" t="s">
        <v>2479</v>
      </c>
    </row>
    <row r="298" spans="1:23" ht="15" thickBot="1" x14ac:dyDescent="0.35">
      <c r="A298" s="137"/>
      <c r="B298" s="137"/>
      <c r="C298" s="137"/>
      <c r="D298" s="137"/>
      <c r="E298" s="137"/>
      <c r="F298" s="137"/>
      <c r="G298" s="137"/>
      <c r="H298" s="137"/>
      <c r="I298" s="137"/>
      <c r="J298" s="137"/>
      <c r="K298" s="137"/>
      <c r="L298" s="137"/>
      <c r="M298" s="137"/>
      <c r="N298" s="137"/>
      <c r="O298" s="137"/>
      <c r="P298" s="137"/>
      <c r="Q298" s="137"/>
      <c r="U298" s="42"/>
      <c r="W298" s="36"/>
    </row>
    <row r="299" spans="1:23" ht="14.4" x14ac:dyDescent="0.3">
      <c r="U299" s="42"/>
      <c r="W299" s="36"/>
    </row>
    <row r="300" spans="1:23" ht="15.75" customHeight="1" x14ac:dyDescent="0.3">
      <c r="B300" s="82" t="s">
        <v>6938</v>
      </c>
    </row>
    <row r="301" spans="1:23" ht="15.75" customHeight="1" x14ac:dyDescent="0.3">
      <c r="B301" t="s">
        <v>5209</v>
      </c>
    </row>
    <row r="302" spans="1:23" ht="15.75" customHeight="1" x14ac:dyDescent="0.3">
      <c r="B302" t="s">
        <v>5223</v>
      </c>
    </row>
    <row r="303" spans="1:23" ht="15.75" customHeight="1" x14ac:dyDescent="0.3">
      <c r="B303" t="s">
        <v>5219</v>
      </c>
    </row>
    <row r="304" spans="1:23" ht="15.75" customHeight="1" x14ac:dyDescent="0.3">
      <c r="B304" t="s">
        <v>4683</v>
      </c>
    </row>
    <row r="305" spans="1:25" ht="15.75" customHeight="1" x14ac:dyDescent="0.3">
      <c r="B305" t="s">
        <v>5210</v>
      </c>
      <c r="D305" s="66"/>
      <c r="E305" s="66"/>
      <c r="F305" s="19"/>
    </row>
    <row r="306" spans="1:25" ht="15.75" customHeight="1" x14ac:dyDescent="0.3">
      <c r="B306" t="s">
        <v>7261</v>
      </c>
      <c r="C306" t="s">
        <v>7262</v>
      </c>
      <c r="D306" s="66"/>
      <c r="E306" s="66"/>
      <c r="F306" s="19"/>
    </row>
    <row r="307" spans="1:25" ht="15" thickBot="1" x14ac:dyDescent="0.35">
      <c r="A307" s="137"/>
      <c r="B307" s="137"/>
      <c r="C307" s="137"/>
      <c r="D307" s="137"/>
      <c r="E307" s="137"/>
      <c r="F307" s="137"/>
      <c r="G307" s="137"/>
      <c r="H307" s="137"/>
      <c r="I307" s="137"/>
      <c r="J307" s="137"/>
      <c r="K307" s="137"/>
      <c r="L307" s="137"/>
      <c r="M307" s="137"/>
      <c r="N307" s="137"/>
      <c r="O307" s="137"/>
      <c r="P307" s="137"/>
      <c r="Q307" s="137"/>
      <c r="U307" s="42"/>
      <c r="W307" s="36"/>
    </row>
    <row r="308" spans="1:25" ht="14.4" x14ac:dyDescent="0.3">
      <c r="R308" s="20"/>
      <c r="W308" s="42"/>
      <c r="Y308" s="36"/>
    </row>
    <row r="309" spans="1:25" ht="18" x14ac:dyDescent="0.35">
      <c r="B309" s="138" t="s">
        <v>6941</v>
      </c>
      <c r="C309" s="34"/>
      <c r="H309" s="355"/>
      <c r="R309" s="20"/>
      <c r="W309" s="42"/>
      <c r="Y309" s="36"/>
    </row>
    <row r="310" spans="1:25" ht="14.4" x14ac:dyDescent="0.3">
      <c r="R310" s="20"/>
      <c r="W310" s="42"/>
      <c r="Y310" s="36"/>
    </row>
    <row r="311" spans="1:25" ht="14.4" x14ac:dyDescent="0.3">
      <c r="B311" s="139" t="s">
        <v>6942</v>
      </c>
      <c r="C311" s="140"/>
      <c r="D311" s="140"/>
      <c r="E311" s="139"/>
      <c r="F311" s="141"/>
      <c r="R311" s="20"/>
      <c r="W311" s="42"/>
      <c r="Y311" s="36"/>
    </row>
    <row r="312" spans="1:25" ht="14.4" x14ac:dyDescent="0.3">
      <c r="B312" s="143" t="s">
        <v>2663</v>
      </c>
      <c r="C312" s="144" t="s">
        <v>565</v>
      </c>
      <c r="D312" s="144" t="s">
        <v>6943</v>
      </c>
      <c r="E312" s="143" t="s">
        <v>565</v>
      </c>
      <c r="F312" s="145" t="s">
        <v>6944</v>
      </c>
      <c r="R312" s="20"/>
      <c r="W312" s="42"/>
      <c r="Y312" s="36"/>
    </row>
    <row r="313" spans="1:25" ht="14.4" x14ac:dyDescent="0.3">
      <c r="A313" t="s">
        <v>6945</v>
      </c>
      <c r="B313" s="149" t="s">
        <v>5724</v>
      </c>
      <c r="C313" s="295">
        <f>VLOOKUP(B313,R5:U304,3,FALSE)</f>
        <v>20.256141166953888</v>
      </c>
      <c r="D313" s="151" t="s">
        <v>2478</v>
      </c>
      <c r="E313" s="359">
        <f>CONVERT(C313,"m^3","ft^3")</f>
        <v>715.3388743744016</v>
      </c>
      <c r="F313" s="151" t="s">
        <v>2479</v>
      </c>
      <c r="R313" s="20"/>
      <c r="W313" s="42"/>
      <c r="Y313" s="36"/>
    </row>
    <row r="314" spans="1:25" ht="14.4" x14ac:dyDescent="0.3">
      <c r="R314" s="20"/>
      <c r="W314" s="42"/>
      <c r="Y314" s="36"/>
    </row>
    <row r="315" spans="1:25" s="369" customFormat="1" ht="57.6"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ht="14.4" x14ac:dyDescent="0.3">
      <c r="A316" t="s">
        <v>6960</v>
      </c>
      <c r="B316" s="99" t="s">
        <v>6961</v>
      </c>
      <c r="C316" s="153">
        <f>VLOOKUP("Deep and shallow pit constructiona",Econ.Equations!C:E,2,FALSE)*E313^VLOOKUP("Deep and shallow pit constructionb",Econ.Equations!$C:$E,2,FALSE)*E313</f>
        <v>7858.4422870541339</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635.93948316737419</v>
      </c>
      <c r="O316" s="372">
        <f>N316*G316</f>
        <v>635.93948316737419</v>
      </c>
      <c r="R316" s="20"/>
      <c r="W316" s="42"/>
      <c r="Y316" s="36"/>
    </row>
    <row r="317" spans="1:25" ht="14.4" x14ac:dyDescent="0.3">
      <c r="B317" s="99"/>
      <c r="O317" s="146"/>
      <c r="R317" s="20"/>
      <c r="W317" s="42"/>
      <c r="Y317" s="36"/>
    </row>
    <row r="318" spans="1:25" ht="14.4" x14ac:dyDescent="0.3">
      <c r="B318" s="99"/>
      <c r="C318" s="82" t="s">
        <v>6962</v>
      </c>
      <c r="D318" s="82" t="s">
        <v>6963</v>
      </c>
      <c r="O318" s="146"/>
      <c r="R318" s="20"/>
      <c r="W318" s="42"/>
      <c r="Y318" s="36"/>
    </row>
    <row r="319" spans="1:25" ht="14.4" x14ac:dyDescent="0.3">
      <c r="A319" t="s">
        <v>6945</v>
      </c>
      <c r="B319" s="99" t="s">
        <v>6964</v>
      </c>
      <c r="C319" s="153">
        <f>SUM(C316:C316)</f>
        <v>7858.4422870541339</v>
      </c>
      <c r="D319" s="158">
        <f>SUMPRODUCT(C316:C316,G316:G316)</f>
        <v>7858.4422870541339</v>
      </c>
      <c r="O319" s="146"/>
      <c r="R319" s="20"/>
      <c r="W319" s="42"/>
      <c r="Y319" s="36"/>
    </row>
    <row r="320" spans="1:25" ht="14.4" x14ac:dyDescent="0.3">
      <c r="A320" t="s">
        <v>6945</v>
      </c>
      <c r="B320" s="149" t="s">
        <v>6965</v>
      </c>
      <c r="C320" s="159">
        <f>SUM(N316:N316)</f>
        <v>635.93948316737419</v>
      </c>
      <c r="D320" s="159">
        <f>SUMPRODUCT(N316:N316,G316:G316)</f>
        <v>635.93948316737419</v>
      </c>
      <c r="E320" s="150"/>
      <c r="F320" s="150"/>
      <c r="G320" s="150"/>
      <c r="H320" s="150"/>
      <c r="I320" s="150"/>
      <c r="J320" s="150"/>
      <c r="K320" s="150"/>
      <c r="L320" s="150"/>
      <c r="M320" s="150"/>
      <c r="N320" s="150"/>
      <c r="O320" s="151"/>
      <c r="R320" s="20"/>
      <c r="W320" s="42"/>
      <c r="Y320" s="36"/>
    </row>
    <row r="321" spans="1:25" ht="14.4" x14ac:dyDescent="0.3">
      <c r="B321" s="262"/>
      <c r="C321" s="142"/>
      <c r="D321" s="142"/>
      <c r="E321" s="142"/>
      <c r="F321" s="142"/>
      <c r="G321" s="142"/>
      <c r="H321" s="142"/>
      <c r="I321" s="142"/>
      <c r="J321" s="142"/>
      <c r="K321" s="142"/>
      <c r="L321" s="142"/>
      <c r="M321" s="142"/>
      <c r="N321" s="142"/>
      <c r="O321" s="141"/>
      <c r="R321" s="20"/>
      <c r="W321" s="42"/>
      <c r="Y321" s="36"/>
    </row>
    <row r="322" spans="1:25" ht="43.2"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c r="R322" s="20"/>
      <c r="W322" s="42"/>
      <c r="Y322" s="36"/>
    </row>
    <row r="323" spans="1:25" ht="14.4" x14ac:dyDescent="0.3">
      <c r="B323" s="99" t="s">
        <v>6945</v>
      </c>
      <c r="C323" s="155">
        <f>VLOOKUP("OPEXInsuranceEverythingDefault",Econ.inputsTable!$E$1:$J$213,2,FALSE)</f>
        <v>5.0000000000000001E-3</v>
      </c>
      <c r="D323" s="155">
        <f>VLOOKUP("OPEXRepair and maintenanceBuildings and constructionDefault",Econ.inputsTable!$E$1:$J$503,2,FALSE)</f>
        <v>0.01</v>
      </c>
      <c r="O323" s="157">
        <f>(SUM(C323:D323)*SUMPRODUCT(C316:C316,G316:G316))+SUM(E323,G323,I323,J323,L323,N323)</f>
        <v>117.876634305812</v>
      </c>
      <c r="R323" s="20"/>
      <c r="W323" s="42"/>
      <c r="Y323" s="36"/>
    </row>
    <row r="324" spans="1:25" ht="14.4"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117.876634305812</v>
      </c>
      <c r="R324" s="20"/>
      <c r="W324" s="42"/>
      <c r="Y324" s="36"/>
    </row>
    <row r="325" spans="1:25" ht="14.4" x14ac:dyDescent="0.3">
      <c r="B325" s="99"/>
      <c r="C325" s="155"/>
      <c r="D325" s="155"/>
      <c r="E325" s="155"/>
      <c r="F325" s="158"/>
      <c r="G325" s="154"/>
      <c r="H325" s="156"/>
      <c r="I325" s="153"/>
      <c r="O325" s="146"/>
      <c r="R325" s="20"/>
      <c r="W325" s="42"/>
      <c r="Y325" s="36"/>
    </row>
    <row r="326" spans="1:25" ht="14.4" x14ac:dyDescent="0.3">
      <c r="A326" t="s">
        <v>6945</v>
      </c>
      <c r="B326" s="149" t="s">
        <v>6980</v>
      </c>
      <c r="C326" s="159">
        <f>O324</f>
        <v>117.876634305812</v>
      </c>
      <c r="D326" s="150"/>
      <c r="E326" s="150"/>
      <c r="F326" s="150"/>
      <c r="G326" s="150"/>
      <c r="H326" s="150"/>
      <c r="I326" s="150"/>
      <c r="J326" s="150"/>
      <c r="K326" s="150"/>
      <c r="L326" s="150"/>
      <c r="M326" s="150"/>
      <c r="N326" s="150"/>
      <c r="O326" s="151"/>
      <c r="R326" s="20"/>
      <c r="W326" s="42"/>
      <c r="Y326" s="36"/>
    </row>
    <row r="327" spans="1:25" ht="15" thickBot="1" x14ac:dyDescent="0.35">
      <c r="A327" s="137"/>
      <c r="B327" s="137"/>
      <c r="C327" s="137"/>
      <c r="D327" s="137"/>
      <c r="E327" s="137"/>
      <c r="F327" s="137"/>
      <c r="G327" s="137"/>
      <c r="H327" s="137"/>
      <c r="I327" s="137"/>
      <c r="J327" s="137"/>
      <c r="K327" s="137"/>
      <c r="L327" s="137"/>
      <c r="M327" s="137"/>
      <c r="N327" s="137"/>
      <c r="O327" s="137"/>
      <c r="R327" s="20"/>
      <c r="W327" s="42"/>
      <c r="Y327" s="36"/>
    </row>
    <row r="328" spans="1:25" ht="14.4" x14ac:dyDescent="0.3">
      <c r="U328" s="42"/>
      <c r="W328" s="36"/>
    </row>
    <row r="329" spans="1:25" ht="15.75" customHeight="1" x14ac:dyDescent="0.3">
      <c r="A329" s="82" t="s">
        <v>7088</v>
      </c>
      <c r="B329" s="138" t="s">
        <v>7089</v>
      </c>
    </row>
    <row r="330" spans="1:25" ht="14.4" x14ac:dyDescent="0.3"/>
    <row r="331" spans="1:25" ht="15.75" customHeight="1" x14ac:dyDescent="0.3">
      <c r="B331" s="139" t="s">
        <v>6942</v>
      </c>
      <c r="C331" s="140"/>
      <c r="D331" s="140"/>
      <c r="E331" s="139" t="s">
        <v>6988</v>
      </c>
      <c r="F331" s="141"/>
    </row>
    <row r="332" spans="1:25" ht="15.75" customHeight="1" x14ac:dyDescent="0.3">
      <c r="B332" s="143" t="s">
        <v>2663</v>
      </c>
      <c r="C332" s="144" t="s">
        <v>565</v>
      </c>
      <c r="D332" s="144" t="s">
        <v>6943</v>
      </c>
      <c r="E332" s="143" t="s">
        <v>565</v>
      </c>
      <c r="F332" s="145" t="s">
        <v>6944</v>
      </c>
    </row>
    <row r="333" spans="1:25" ht="14.4" x14ac:dyDescent="0.3">
      <c r="B333" s="99" t="s">
        <v>6925</v>
      </c>
      <c r="C333" s="205">
        <f>VLOOKUP(B333,$R:$U,3,FALSE)</f>
        <v>0.64457135077403904</v>
      </c>
      <c r="D333" t="s">
        <v>7090</v>
      </c>
      <c r="E333" s="164">
        <f>CONVERT(C333,"m^3","gal")*365</f>
        <v>62151.37386821329</v>
      </c>
      <c r="F333" s="146" t="s">
        <v>5324</v>
      </c>
    </row>
    <row r="334" spans="1:25" ht="14.4" x14ac:dyDescent="0.3">
      <c r="B334" s="99" t="s">
        <v>5829</v>
      </c>
      <c r="C334" s="147">
        <f>VLOOKUP(B334,$R:$U,3,FALSE)</f>
        <v>0</v>
      </c>
      <c r="D334" t="s">
        <v>7090</v>
      </c>
      <c r="E334" s="164">
        <f>CONVERT(C334,"m^3","gal")*365</f>
        <v>0</v>
      </c>
      <c r="F334" s="146" t="s">
        <v>5324</v>
      </c>
    </row>
    <row r="335" spans="1:25" ht="14.4" x14ac:dyDescent="0.3">
      <c r="B335" s="99"/>
      <c r="D335" s="146"/>
      <c r="F335" s="146"/>
    </row>
    <row r="336" spans="1:25" ht="15.75" customHeight="1" x14ac:dyDescent="0.3">
      <c r="B336" s="92" t="s">
        <v>6996</v>
      </c>
      <c r="E336" s="143" t="s">
        <v>565</v>
      </c>
      <c r="F336" s="145" t="s">
        <v>6944</v>
      </c>
    </row>
    <row r="337" spans="1:23" ht="14.4" x14ac:dyDescent="0.3">
      <c r="B337" s="149" t="s">
        <v>7091</v>
      </c>
      <c r="C337" s="150"/>
      <c r="D337" s="150"/>
      <c r="E337" s="497">
        <f>UDV.water.avg_cost/1000</f>
        <v>3.858144828221536E-3</v>
      </c>
      <c r="F337" s="151" t="s">
        <v>2315</v>
      </c>
    </row>
    <row r="338" spans="1:23" ht="14.4" x14ac:dyDescent="0.3"/>
    <row r="339" spans="1:23" ht="15.75" customHeight="1" x14ac:dyDescent="0.3">
      <c r="B339" s="498" t="s">
        <v>6966</v>
      </c>
      <c r="C339" s="362" t="s">
        <v>6979</v>
      </c>
      <c r="D339" s="362"/>
      <c r="E339" s="362"/>
      <c r="F339" s="363"/>
    </row>
    <row r="340" spans="1:23" ht="14.4" x14ac:dyDescent="0.3">
      <c r="B340" s="99" t="s">
        <v>7092</v>
      </c>
      <c r="C340" s="153">
        <f>E333*E337</f>
        <v>239.78900165651024</v>
      </c>
      <c r="D340" s="155"/>
      <c r="E340" s="155"/>
      <c r="F340" s="146"/>
    </row>
    <row r="341" spans="1:23" ht="14.4" x14ac:dyDescent="0.3">
      <c r="B341" s="99"/>
      <c r="F341" s="146"/>
    </row>
    <row r="342" spans="1:23" ht="14.4" x14ac:dyDescent="0.3">
      <c r="A342" t="s">
        <v>5209</v>
      </c>
      <c r="B342" s="149" t="s">
        <v>6980</v>
      </c>
      <c r="C342" s="159">
        <f>SUM(C340:C340)</f>
        <v>239.78900165651024</v>
      </c>
      <c r="D342" s="150"/>
      <c r="E342" s="150"/>
      <c r="F342" s="151"/>
    </row>
    <row r="343" spans="1:23" ht="15" thickBot="1" x14ac:dyDescent="0.35">
      <c r="A343" s="137"/>
      <c r="B343" s="137"/>
      <c r="C343" s="137"/>
      <c r="D343" s="137"/>
      <c r="E343" s="137"/>
      <c r="F343" s="137"/>
      <c r="G343" s="137"/>
      <c r="H343" s="137"/>
      <c r="I343" s="137"/>
      <c r="J343" s="137"/>
      <c r="K343" s="137"/>
      <c r="L343" s="137"/>
      <c r="M343" s="137"/>
      <c r="N343" s="137"/>
      <c r="O343" s="137"/>
      <c r="P343" s="137"/>
      <c r="Q343" s="137"/>
      <c r="U343" s="42"/>
      <c r="W343" s="36"/>
    </row>
    <row r="344" spans="1:23" ht="14.4" x14ac:dyDescent="0.3">
      <c r="U344" s="42"/>
      <c r="W344" s="36"/>
    </row>
    <row r="345" spans="1:23" ht="18" x14ac:dyDescent="0.35">
      <c r="A345" s="502"/>
      <c r="B345" s="138" t="s">
        <v>7146</v>
      </c>
      <c r="H345" s="355"/>
    </row>
    <row r="346" spans="1:23" ht="14.4" x14ac:dyDescent="0.3"/>
    <row r="347" spans="1:23" ht="14.4" x14ac:dyDescent="0.3">
      <c r="B347" s="139" t="s">
        <v>6942</v>
      </c>
      <c r="C347" s="140"/>
      <c r="D347" s="245"/>
      <c r="E347" s="139" t="s">
        <v>6988</v>
      </c>
      <c r="F347" s="141"/>
      <c r="H347" s="139" t="s">
        <v>7033</v>
      </c>
      <c r="I347" s="142"/>
      <c r="J347" s="141"/>
    </row>
    <row r="348" spans="1:23" ht="14.4" x14ac:dyDescent="0.3">
      <c r="B348" s="143" t="s">
        <v>2663</v>
      </c>
      <c r="C348" s="144" t="s">
        <v>565</v>
      </c>
      <c r="D348" s="145" t="s">
        <v>6943</v>
      </c>
      <c r="E348" s="143" t="s">
        <v>565</v>
      </c>
      <c r="F348" s="145" t="s">
        <v>6944</v>
      </c>
      <c r="H348" s="99" t="s">
        <v>1236</v>
      </c>
      <c r="J348" s="146"/>
    </row>
    <row r="349" spans="1:23" ht="14.4" x14ac:dyDescent="0.3">
      <c r="B349" s="99" t="s">
        <v>5893</v>
      </c>
      <c r="C349" s="147">
        <f t="shared" ref="C349:C354" si="3">VLOOKUP(B349,$R:$U,3,FALSE)</f>
        <v>12</v>
      </c>
      <c r="D349" s="146" t="s">
        <v>7097</v>
      </c>
      <c r="E349" s="178">
        <f>C349</f>
        <v>12</v>
      </c>
      <c r="F349" s="146" t="s">
        <v>7097</v>
      </c>
      <c r="H349" s="99" t="s">
        <v>7147</v>
      </c>
      <c r="J349" s="146"/>
    </row>
    <row r="350" spans="1:23" ht="14.4" x14ac:dyDescent="0.3">
      <c r="A350" s="321"/>
      <c r="B350" s="99" t="s">
        <v>5894</v>
      </c>
      <c r="C350" s="147">
        <f t="shared" si="3"/>
        <v>115</v>
      </c>
      <c r="D350" s="146" t="s">
        <v>2337</v>
      </c>
      <c r="E350" s="178">
        <f>CONVERT(C350,"m","ft")</f>
        <v>377.29658792650918</v>
      </c>
      <c r="F350" s="146" t="s">
        <v>2340</v>
      </c>
      <c r="H350" s="99" t="s">
        <v>7148</v>
      </c>
      <c r="J350" s="146"/>
    </row>
    <row r="351" spans="1:23" ht="14.4" x14ac:dyDescent="0.3">
      <c r="A351" s="199"/>
      <c r="B351" s="99" t="s">
        <v>5895</v>
      </c>
      <c r="C351" s="147">
        <f t="shared" si="3"/>
        <v>2</v>
      </c>
      <c r="D351" s="146" t="s">
        <v>2442</v>
      </c>
      <c r="E351" s="178">
        <f>C351</f>
        <v>2</v>
      </c>
      <c r="F351" s="146" t="s">
        <v>2442</v>
      </c>
      <c r="H351" s="149" t="s">
        <v>1239</v>
      </c>
      <c r="I351" s="150"/>
      <c r="J351" s="151"/>
    </row>
    <row r="352" spans="1:23" ht="14.4" x14ac:dyDescent="0.3">
      <c r="B352" s="99" t="s">
        <v>5898</v>
      </c>
      <c r="C352" s="78">
        <f t="shared" si="3"/>
        <v>12.250783578571429</v>
      </c>
      <c r="D352" s="146" t="s">
        <v>6704</v>
      </c>
      <c r="E352" s="178">
        <f>C352*365</f>
        <v>4471.5360061785714</v>
      </c>
      <c r="F352" s="146" t="s">
        <v>5323</v>
      </c>
    </row>
    <row r="353" spans="1:15" ht="14.4" x14ac:dyDescent="0.3">
      <c r="B353" s="235" t="s">
        <v>5897</v>
      </c>
      <c r="C353" s="78">
        <f t="shared" si="3"/>
        <v>10.952380952380953</v>
      </c>
      <c r="D353" s="146" t="s">
        <v>7075</v>
      </c>
      <c r="E353" s="178">
        <f>C353*365</f>
        <v>3997.6190476190477</v>
      </c>
      <c r="F353" s="146" t="s">
        <v>2710</v>
      </c>
    </row>
    <row r="354" spans="1:15" ht="14.4" x14ac:dyDescent="0.3">
      <c r="B354" s="235" t="s">
        <v>5896</v>
      </c>
      <c r="C354" s="147">
        <f t="shared" si="3"/>
        <v>2</v>
      </c>
      <c r="D354" s="146" t="s">
        <v>2442</v>
      </c>
      <c r="E354" s="178">
        <f>C354</f>
        <v>2</v>
      </c>
      <c r="F354" s="146" t="s">
        <v>2442</v>
      </c>
    </row>
    <row r="355" spans="1:15" ht="15.75" customHeight="1" x14ac:dyDescent="0.3">
      <c r="B355" s="99"/>
      <c r="D355" s="146"/>
      <c r="E355" s="99"/>
      <c r="F355" s="146"/>
    </row>
    <row r="356" spans="1:15" ht="14.4" x14ac:dyDescent="0.3">
      <c r="B356" s="92" t="s">
        <v>6996</v>
      </c>
      <c r="D356" s="146"/>
      <c r="E356" s="99"/>
      <c r="F356" s="146"/>
    </row>
    <row r="357" spans="1:15" ht="14.4" x14ac:dyDescent="0.3">
      <c r="B357" s="143" t="s">
        <v>2663</v>
      </c>
      <c r="D357" s="146"/>
      <c r="E357" s="143" t="s">
        <v>565</v>
      </c>
      <c r="F357" s="145" t="s">
        <v>6944</v>
      </c>
    </row>
    <row r="358" spans="1:15" ht="14.4" x14ac:dyDescent="0.3">
      <c r="B358" s="99" t="s">
        <v>7076</v>
      </c>
      <c r="D358" s="146"/>
      <c r="E358" s="357">
        <f>UDV.electricity.avg_cost</f>
        <v>6.8591666666666662E-2</v>
      </c>
      <c r="F358" s="146" t="s">
        <v>2306</v>
      </c>
    </row>
    <row r="359" spans="1:15" ht="14.4" x14ac:dyDescent="0.3">
      <c r="B359" s="149" t="s">
        <v>6998</v>
      </c>
      <c r="C359" s="150"/>
      <c r="D359" s="151"/>
      <c r="E359" s="349">
        <f>UDV.labor.non_specialized_cost</f>
        <v>23.66</v>
      </c>
      <c r="F359" s="151" t="s">
        <v>3659</v>
      </c>
    </row>
    <row r="360" spans="1:15" ht="14.4" x14ac:dyDescent="0.3">
      <c r="B360" s="90"/>
      <c r="C360" s="82"/>
      <c r="E360" s="82"/>
      <c r="F360" s="82"/>
      <c r="H360" s="82"/>
      <c r="I360" s="82"/>
      <c r="O360" s="82"/>
    </row>
    <row r="361" spans="1:15" ht="57.6" x14ac:dyDescent="0.3">
      <c r="B361" s="361" t="s">
        <v>6946</v>
      </c>
      <c r="C361" s="362" t="s">
        <v>6947</v>
      </c>
      <c r="D361" s="362" t="s">
        <v>6948</v>
      </c>
      <c r="E361" s="362" t="s">
        <v>6949</v>
      </c>
      <c r="F361" s="362" t="s">
        <v>6950</v>
      </c>
      <c r="G361" s="362" t="s">
        <v>6951</v>
      </c>
      <c r="H361" s="362" t="s">
        <v>6952</v>
      </c>
      <c r="I361" s="362" t="s">
        <v>6953</v>
      </c>
      <c r="J361" s="362" t="s">
        <v>6954</v>
      </c>
      <c r="K361" s="362" t="s">
        <v>6955</v>
      </c>
      <c r="L361" s="362" t="s">
        <v>6956</v>
      </c>
      <c r="M361" s="140" t="s">
        <v>6957</v>
      </c>
      <c r="N361" s="140" t="s">
        <v>6958</v>
      </c>
      <c r="O361" s="363"/>
    </row>
    <row r="362" spans="1:15" ht="14.4" x14ac:dyDescent="0.3">
      <c r="A362" t="s">
        <v>7149</v>
      </c>
      <c r="B362" s="99" t="s">
        <v>1236</v>
      </c>
      <c r="C362" s="153">
        <f>VLOOKUP("Auto alley system chain and accessoriesDefault",Econ.Tables!$C:$E,2,FALSE)*E350</f>
        <v>4263.4514435695537</v>
      </c>
      <c r="D362">
        <f>VLOOKUP("CAPEXLifetimeEquipmentDefault",Econ.inputsTable!$E:$I,2,FALSE)</f>
        <v>10</v>
      </c>
      <c r="E362" t="s">
        <v>2852</v>
      </c>
      <c r="F362" s="147">
        <f>E353</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 t="shared" ref="J362:J365" si="4">C362*I362</f>
        <v>0</v>
      </c>
      <c r="K362" s="154">
        <f>VLOOKUP("CAPEXFinanced amountNADefault",Econ.inputsTable!$E:$G,2,FALSE)</f>
        <v>1</v>
      </c>
      <c r="L362" s="364">
        <f t="shared" ref="L362:L365" si="5">H362*K362</f>
        <v>5.0999999999999997E-2</v>
      </c>
      <c r="M362" s="351">
        <f t="shared" ref="M362:M365" si="6">L362/(1-(1+L362)^-D362)</f>
        <v>0.13013423257204779</v>
      </c>
      <c r="N362" s="153">
        <f t="shared" ref="N362:N365" si="7">((C362-J362)*M362)+(J362*L362)</f>
        <v>554.82098171711323</v>
      </c>
      <c r="O362" s="157"/>
    </row>
    <row r="363" spans="1:15" ht="14.4" x14ac:dyDescent="0.3">
      <c r="A363" t="s">
        <v>7149</v>
      </c>
      <c r="B363" s="99" t="s">
        <v>7147</v>
      </c>
      <c r="C363" s="153">
        <f>VLOOKUP("Scraper bladeDefault",Econ.Tables!$C:$E,2,FALSE)*E354</f>
        <v>2800</v>
      </c>
      <c r="D363">
        <f>VLOOKUP("CAPEXLifetimeScraper bladeDefault",Econ.inputsTable!$E:$I,2,FALSE)</f>
        <v>1</v>
      </c>
      <c r="E363" t="s">
        <v>2852</v>
      </c>
      <c r="F363" s="147">
        <f>E353</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 t="shared" si="4"/>
        <v>0</v>
      </c>
      <c r="K363" s="154">
        <f>VLOOKUP("CAPEXFinanced amountNADefault",Econ.inputsTable!$E:$G,2,FALSE)</f>
        <v>1</v>
      </c>
      <c r="L363" s="364">
        <f t="shared" si="5"/>
        <v>5.0999999999999997E-2</v>
      </c>
      <c r="M363" s="351">
        <f t="shared" si="6"/>
        <v>1.0510000000000017</v>
      </c>
      <c r="N363" s="153">
        <f t="shared" si="7"/>
        <v>2942.8000000000047</v>
      </c>
      <c r="O363" s="157"/>
    </row>
    <row r="364" spans="1:15" ht="14.4" x14ac:dyDescent="0.3">
      <c r="A364" t="s">
        <v>7149</v>
      </c>
      <c r="B364" s="99" t="s">
        <v>7148</v>
      </c>
      <c r="C364" s="153">
        <f>VLOOKUP("Drive unit, motor, controls, ancillariesDefault",Econ.Tables!$C:$E,2,FALSE)*E351</f>
        <v>24800</v>
      </c>
      <c r="D364">
        <f>VLOOKUP("CAPEXLifetimeDrive units for auto scraper, transfer channelDefault",Econ.inputsTable!$E:$I,2,FALSE)</f>
        <v>18</v>
      </c>
      <c r="E364" t="s">
        <v>2852</v>
      </c>
      <c r="F364" s="147">
        <f>E353</f>
        <v>3997.6190476190477</v>
      </c>
      <c r="G364" s="154">
        <f>VLOOKUP("CAPEXAnnual usage on activityItems that are used only on the given activityDefault",Econ.inputsTable!$E:$G,2,FALSE)</f>
        <v>1</v>
      </c>
      <c r="H364" s="503">
        <f>UDV.econ_capital.interest_rate</f>
        <v>5.0999999999999997E-2</v>
      </c>
      <c r="I364" s="503">
        <f>VLOOKUP("CAPEXSalvageBuildings and constructionDefault",Econ.inputsTable!$E:$G,2,FALSE)</f>
        <v>0</v>
      </c>
      <c r="J364" s="153">
        <f t="shared" si="4"/>
        <v>0</v>
      </c>
      <c r="K364" s="154">
        <f>VLOOKUP("CAPEXFinanced amountNADefault",Econ.inputsTable!$E:$G,2,FALSE)</f>
        <v>1</v>
      </c>
      <c r="L364" s="364">
        <f t="shared" si="5"/>
        <v>5.0999999999999997E-2</v>
      </c>
      <c r="M364" s="351">
        <f t="shared" si="6"/>
        <v>8.6215856907131391E-2</v>
      </c>
      <c r="N364" s="153">
        <f t="shared" si="7"/>
        <v>2138.1532512968583</v>
      </c>
      <c r="O364" s="501"/>
    </row>
    <row r="365" spans="1:15" ht="14.4" x14ac:dyDescent="0.3">
      <c r="A365" t="s">
        <v>7150</v>
      </c>
      <c r="B365" s="99" t="s">
        <v>1239</v>
      </c>
      <c r="C365" s="153">
        <f>VLOOKUP("Auto alley system installation and electricalDefault",Econ.Tables!$C:$E,2,FALSE)*SUM(C362:C364)</f>
        <v>12426.746062992126</v>
      </c>
      <c r="D365">
        <f>VLOOKUP("CAPEXLifetimeDrive units for auto scraper, transfer channelDefault",Econ.inputsTable!$E:$I,2,FALSE)</f>
        <v>18</v>
      </c>
      <c r="E365" t="s">
        <v>2852</v>
      </c>
      <c r="F365" s="147">
        <f>E353</f>
        <v>3997.6190476190477</v>
      </c>
      <c r="G365" s="154">
        <f>VLOOKUP("CAPEXAnnual usage on activityItems that are used only on the given activityDefault",Econ.inputsTable!$E:$G,2,FALSE)</f>
        <v>1</v>
      </c>
      <c r="H365" s="503">
        <f>UDV.econ_capital.interest_rate</f>
        <v>5.0999999999999997E-2</v>
      </c>
      <c r="I365" s="503">
        <f>VLOOKUP("CAPEXSalvageBuildings and constructionDefault",Econ.inputsTable!$E:$G,2,FALSE)</f>
        <v>0</v>
      </c>
      <c r="J365" s="153">
        <f t="shared" si="4"/>
        <v>0</v>
      </c>
      <c r="K365" s="154">
        <f>VLOOKUP("CAPEXFinanced amountNADefault",Econ.inputsTable!$E:$G,2,FALSE)</f>
        <v>1</v>
      </c>
      <c r="L365" s="364">
        <f t="shared" si="5"/>
        <v>5.0999999999999997E-2</v>
      </c>
      <c r="M365" s="351">
        <f t="shared" si="6"/>
        <v>8.6215856907131391E-2</v>
      </c>
      <c r="N365" s="153">
        <f t="shared" si="7"/>
        <v>1071.3825603881876</v>
      </c>
      <c r="O365" s="501"/>
    </row>
    <row r="366" spans="1:15" ht="14.4" x14ac:dyDescent="0.3">
      <c r="B366" s="99"/>
      <c r="C366" s="153"/>
      <c r="K366" s="166"/>
      <c r="L366" s="154"/>
      <c r="M366" s="503"/>
      <c r="N366" s="154"/>
      <c r="O366" s="501"/>
    </row>
    <row r="367" spans="1:15" ht="28.8" x14ac:dyDescent="0.3">
      <c r="B367" s="99"/>
      <c r="C367" s="152" t="s">
        <v>7009</v>
      </c>
      <c r="D367" s="152" t="s">
        <v>6963</v>
      </c>
      <c r="O367" s="146"/>
    </row>
    <row r="368" spans="1:15" ht="14.4" x14ac:dyDescent="0.3">
      <c r="A368" t="s">
        <v>5223</v>
      </c>
      <c r="B368" s="99" t="s">
        <v>6964</v>
      </c>
      <c r="C368" s="153">
        <f>SUM(C362:C365)</f>
        <v>44290.197506561679</v>
      </c>
      <c r="D368" s="153">
        <f>SUMPRODUCT(C362:C365,G362:G365)</f>
        <v>44290.197506561679</v>
      </c>
      <c r="O368" s="146"/>
    </row>
    <row r="369" spans="1:15" ht="14.4" x14ac:dyDescent="0.3">
      <c r="A369" t="s">
        <v>5223</v>
      </c>
      <c r="B369" s="149" t="s">
        <v>6965</v>
      </c>
      <c r="C369" s="159">
        <f>SUM(N362:N365)</f>
        <v>6707.1567934021641</v>
      </c>
      <c r="D369" s="159">
        <f>SUMPRODUCT(G362:G365,N362:N365)</f>
        <v>6707.1567934021641</v>
      </c>
      <c r="E369" s="150"/>
      <c r="F369" s="150"/>
      <c r="G369" s="150"/>
      <c r="H369" s="150"/>
      <c r="I369" s="150"/>
      <c r="J369" s="150"/>
      <c r="K369" s="150"/>
      <c r="L369" s="150"/>
      <c r="M369" s="150"/>
      <c r="N369" s="150"/>
      <c r="O369" s="151"/>
    </row>
    <row r="370" spans="1:15" ht="14.4" x14ac:dyDescent="0.3">
      <c r="B370" s="99"/>
      <c r="O370" s="146"/>
    </row>
    <row r="371" spans="1:15" ht="43.2" x14ac:dyDescent="0.3">
      <c r="B371" s="160" t="s">
        <v>6966</v>
      </c>
      <c r="C371" s="152" t="s">
        <v>6967</v>
      </c>
      <c r="D371" s="152" t="s">
        <v>6968</v>
      </c>
      <c r="E371" s="152" t="s">
        <v>6969</v>
      </c>
      <c r="F371" s="152" t="s">
        <v>6970</v>
      </c>
      <c r="G371" s="152" t="s">
        <v>6971</v>
      </c>
      <c r="H371" s="152" t="s">
        <v>6972</v>
      </c>
      <c r="I371" s="152" t="s">
        <v>6973</v>
      </c>
      <c r="J371" s="152" t="s">
        <v>6974</v>
      </c>
      <c r="K371" s="152" t="s">
        <v>6975</v>
      </c>
      <c r="L371" s="152" t="s">
        <v>6976</v>
      </c>
      <c r="M371" s="152" t="s">
        <v>6977</v>
      </c>
      <c r="N371" s="152" t="s">
        <v>6978</v>
      </c>
      <c r="O371" s="161" t="s">
        <v>6979</v>
      </c>
    </row>
    <row r="372" spans="1:15" ht="14.4" x14ac:dyDescent="0.3">
      <c r="B372" s="99" t="s">
        <v>7151</v>
      </c>
      <c r="C372" s="155">
        <f>VLOOKUP("OPEXInsuranceEverythingDefault",Econ.inputsTable!$E:$G,2,FALSE)</f>
        <v>5.0000000000000001E-3</v>
      </c>
      <c r="D372" s="155">
        <f>VLOOKUP("OPEXRepair and maintenanceEquipmentDefault",Econ.inputsTable!$E:$G,2,FALSE)</f>
        <v>0.03</v>
      </c>
      <c r="I372" s="504"/>
      <c r="K372" s="504"/>
      <c r="L372" s="158"/>
      <c r="O372" s="157">
        <f>(SUM(C372:D372)*C364*G364)+SUM(E372,G372,I372,J372,L372,N372)</f>
        <v>867.99999999999989</v>
      </c>
    </row>
    <row r="373" spans="1:15" ht="14.4" x14ac:dyDescent="0.3">
      <c r="B373" s="99" t="s">
        <v>7152</v>
      </c>
      <c r="C373" s="155">
        <f>VLOOKUP("OPEXInsuranceEverythingDefault",Econ.inputsTable!$E:$G,2,FALSE)</f>
        <v>5.0000000000000001E-3</v>
      </c>
      <c r="D373" s="155">
        <f>VLOOKUP("OPEXRepair and maintenanceAuto scraper systemDefault",Econ.inputsTable!$E:$G,2,FALSE)</f>
        <v>0.06</v>
      </c>
      <c r="E373" s="504"/>
      <c r="F373" s="147">
        <f>E352</f>
        <v>4471.5360061785714</v>
      </c>
      <c r="G373" s="504">
        <f>F373*E358</f>
        <v>306.7101072237985</v>
      </c>
      <c r="H373" s="158"/>
      <c r="I373" s="504"/>
      <c r="J373" s="504"/>
      <c r="O373" s="157">
        <f>(SUM(C373:D373)*SUM(C362:C364)*G364)+SUM(E373,G373,I373,J373,L373,N373)</f>
        <v>2377.8344510558195</v>
      </c>
    </row>
    <row r="374" spans="1:15" ht="14.4" x14ac:dyDescent="0.3">
      <c r="A374" t="s">
        <v>5223</v>
      </c>
      <c r="B374" s="162" t="s">
        <v>5203</v>
      </c>
      <c r="C374" s="505"/>
      <c r="D374" s="505"/>
      <c r="E374" s="506">
        <f t="shared" ref="E374:O374" si="8">SUM(E372:E373)</f>
        <v>0</v>
      </c>
      <c r="F374" s="507">
        <f t="shared" si="8"/>
        <v>4471.5360061785714</v>
      </c>
      <c r="G374" s="506">
        <f t="shared" si="8"/>
        <v>306.7101072237985</v>
      </c>
      <c r="H374" s="508">
        <f t="shared" si="8"/>
        <v>0</v>
      </c>
      <c r="I374" s="506">
        <f t="shared" si="8"/>
        <v>0</v>
      </c>
      <c r="J374" s="506">
        <f t="shared" si="8"/>
        <v>0</v>
      </c>
      <c r="K374" s="508">
        <f t="shared" si="8"/>
        <v>0</v>
      </c>
      <c r="L374" s="506">
        <f t="shared" si="8"/>
        <v>0</v>
      </c>
      <c r="M374" s="508">
        <f t="shared" si="8"/>
        <v>0</v>
      </c>
      <c r="N374" s="506">
        <f t="shared" si="8"/>
        <v>0</v>
      </c>
      <c r="O374" s="509">
        <f t="shared" si="8"/>
        <v>3245.8344510558195</v>
      </c>
    </row>
    <row r="375" spans="1:15" ht="14.4" x14ac:dyDescent="0.3">
      <c r="B375" s="99"/>
      <c r="O375" s="146"/>
    </row>
    <row r="376" spans="1:15" ht="14.4" x14ac:dyDescent="0.3">
      <c r="A376" t="s">
        <v>5223</v>
      </c>
      <c r="B376" s="149" t="s">
        <v>6980</v>
      </c>
      <c r="C376" s="159">
        <f>SUM(O372:O373)</f>
        <v>3245.8344510558195</v>
      </c>
      <c r="D376" s="150"/>
      <c r="E376" s="150"/>
      <c r="F376" s="150"/>
      <c r="G376" s="150"/>
      <c r="H376" s="150"/>
      <c r="I376" s="150"/>
      <c r="J376" s="150"/>
      <c r="K376" s="150"/>
      <c r="L376" s="150"/>
      <c r="M376" s="150"/>
      <c r="N376" s="150"/>
      <c r="O376" s="151"/>
    </row>
    <row r="377" spans="1:15" ht="15" thickBot="1" x14ac:dyDescent="0.35">
      <c r="A377" s="137"/>
      <c r="B377" s="137"/>
      <c r="C377" s="137"/>
      <c r="D377" s="137"/>
      <c r="E377" s="137"/>
      <c r="F377" s="137"/>
      <c r="G377" s="137"/>
      <c r="H377" s="137"/>
      <c r="I377" s="137"/>
      <c r="J377" s="137"/>
      <c r="K377" s="137"/>
      <c r="L377" s="137"/>
      <c r="M377" s="137"/>
      <c r="N377" s="137"/>
      <c r="O377" s="137"/>
    </row>
    <row r="378" spans="1:15" ht="14.4" x14ac:dyDescent="0.3"/>
    <row r="379" spans="1:15" ht="18" x14ac:dyDescent="0.35">
      <c r="B379" s="138" t="s">
        <v>7187</v>
      </c>
      <c r="H379" s="355"/>
    </row>
    <row r="380" spans="1:15" ht="14.4" x14ac:dyDescent="0.3"/>
    <row r="381" spans="1:15" ht="14.4" x14ac:dyDescent="0.3">
      <c r="B381" s="139" t="s">
        <v>6942</v>
      </c>
      <c r="C381" s="140"/>
      <c r="D381" s="245"/>
      <c r="E381" s="139" t="s">
        <v>6988</v>
      </c>
      <c r="F381" s="141"/>
    </row>
    <row r="382" spans="1:15" ht="14.4" x14ac:dyDescent="0.3">
      <c r="B382" s="143" t="s">
        <v>2663</v>
      </c>
      <c r="C382" s="144" t="s">
        <v>565</v>
      </c>
      <c r="D382" s="145" t="s">
        <v>6943</v>
      </c>
      <c r="E382" s="143" t="s">
        <v>565</v>
      </c>
      <c r="F382" s="145" t="s">
        <v>6944</v>
      </c>
      <c r="H382" s="139" t="s">
        <v>7189</v>
      </c>
      <c r="I382" s="142"/>
      <c r="J382" s="142"/>
      <c r="K382" s="141"/>
    </row>
    <row r="383" spans="1:15" ht="14.4" x14ac:dyDescent="0.3">
      <c r="B383" s="99" t="s">
        <v>5951</v>
      </c>
      <c r="C383" s="147">
        <f>VLOOKUP(B383,$R:$U,3,FALSE)</f>
        <v>2893.7344524219843</v>
      </c>
      <c r="D383" s="146" t="s">
        <v>2481</v>
      </c>
      <c r="E383" s="164">
        <f>CONVERT(C383,"l","gal")</f>
        <v>764.44376927579845</v>
      </c>
      <c r="F383" s="146" t="s">
        <v>2480</v>
      </c>
      <c r="H383" s="99" t="s">
        <v>2787</v>
      </c>
      <c r="K383" s="146"/>
    </row>
    <row r="384" spans="1:15" ht="14.4" x14ac:dyDescent="0.3">
      <c r="B384" s="99" t="s">
        <v>5953</v>
      </c>
      <c r="C384" s="147">
        <f>VLOOKUP(B384,$R:$U,3,FALSE)</f>
        <v>1</v>
      </c>
      <c r="D384" s="146" t="s">
        <v>2442</v>
      </c>
      <c r="E384" s="523">
        <f>C384</f>
        <v>1</v>
      </c>
      <c r="F384" s="146" t="s">
        <v>2442</v>
      </c>
      <c r="H384" s="99" t="s">
        <v>1228</v>
      </c>
      <c r="K384" s="146"/>
    </row>
    <row r="385" spans="1:15" ht="14.4" x14ac:dyDescent="0.3">
      <c r="B385" s="99" t="s">
        <v>5952</v>
      </c>
      <c r="C385" s="147">
        <f>VLOOKUP(B385,$R:$U,3,FALSE)</f>
        <v>15</v>
      </c>
      <c r="D385" s="146" t="s">
        <v>971</v>
      </c>
      <c r="E385" s="524">
        <f>ROUNDUP(C385,0.1)</f>
        <v>15</v>
      </c>
      <c r="F385" s="146" t="s">
        <v>971</v>
      </c>
      <c r="H385" s="149" t="s">
        <v>7190</v>
      </c>
      <c r="I385" s="150"/>
      <c r="J385" s="150"/>
      <c r="K385" s="151"/>
    </row>
    <row r="386" spans="1:15" ht="14.4" x14ac:dyDescent="0.3">
      <c r="B386" s="99" t="s">
        <v>5954</v>
      </c>
      <c r="C386" s="147">
        <f>VLOOKUP(B386,$R:$U,3,FALSE)</f>
        <v>0.38003059201611716</v>
      </c>
      <c r="D386" s="146" t="s">
        <v>6704</v>
      </c>
      <c r="E386" s="164">
        <f>C386*365</f>
        <v>138.71116608588275</v>
      </c>
      <c r="F386" s="146" t="s">
        <v>5323</v>
      </c>
    </row>
    <row r="387" spans="1:15" ht="15.75" customHeight="1" x14ac:dyDescent="0.3">
      <c r="B387" s="99"/>
      <c r="D387" s="146"/>
      <c r="E387" s="99"/>
      <c r="F387" s="146"/>
    </row>
    <row r="388" spans="1:15" ht="14.4" x14ac:dyDescent="0.3">
      <c r="B388" s="92" t="s">
        <v>6942</v>
      </c>
      <c r="C388" s="82"/>
      <c r="D388" s="173"/>
      <c r="E388" s="92"/>
      <c r="F388" s="146"/>
    </row>
    <row r="389" spans="1:15" ht="14.4" x14ac:dyDescent="0.3">
      <c r="B389" s="143" t="s">
        <v>2663</v>
      </c>
      <c r="C389" s="144" t="s">
        <v>565</v>
      </c>
      <c r="D389" s="145" t="s">
        <v>6943</v>
      </c>
      <c r="E389" s="143" t="s">
        <v>565</v>
      </c>
      <c r="F389" s="145" t="s">
        <v>6944</v>
      </c>
    </row>
    <row r="390" spans="1:15" ht="14.4" x14ac:dyDescent="0.3">
      <c r="B390" s="99" t="s">
        <v>7076</v>
      </c>
      <c r="D390" s="146"/>
      <c r="E390" s="358">
        <f>UDV.electricity.avg_cost</f>
        <v>6.8591666666666662E-2</v>
      </c>
      <c r="F390" s="146" t="s">
        <v>2306</v>
      </c>
    </row>
    <row r="391" spans="1:15" ht="14.4" x14ac:dyDescent="0.3">
      <c r="B391" s="149" t="s">
        <v>6998</v>
      </c>
      <c r="C391" s="150"/>
      <c r="D391" s="151"/>
      <c r="E391" s="497">
        <f>UDV.labor.non_specialized_cost</f>
        <v>23.66</v>
      </c>
      <c r="F391" s="151" t="s">
        <v>3659</v>
      </c>
    </row>
    <row r="392" spans="1:15" ht="14.4" x14ac:dyDescent="0.3"/>
    <row r="393" spans="1:15" ht="57.6" x14ac:dyDescent="0.3">
      <c r="B393" s="361" t="s">
        <v>6946</v>
      </c>
      <c r="C393" s="362" t="s">
        <v>6947</v>
      </c>
      <c r="D393" s="371" t="s">
        <v>6948</v>
      </c>
      <c r="E393" s="362" t="s">
        <v>6949</v>
      </c>
      <c r="F393" s="362" t="s">
        <v>6950</v>
      </c>
      <c r="G393" s="362" t="s">
        <v>6951</v>
      </c>
      <c r="H393" s="362" t="s">
        <v>6952</v>
      </c>
      <c r="I393" s="371" t="s">
        <v>6953</v>
      </c>
      <c r="J393" s="371" t="s">
        <v>6954</v>
      </c>
      <c r="K393" s="362" t="s">
        <v>6955</v>
      </c>
      <c r="L393" s="362" t="s">
        <v>6956</v>
      </c>
      <c r="M393" s="362" t="s">
        <v>6957</v>
      </c>
      <c r="N393" s="362" t="s">
        <v>6958</v>
      </c>
      <c r="O393" s="363" t="s">
        <v>6959</v>
      </c>
    </row>
    <row r="394" spans="1:15" ht="14.4" x14ac:dyDescent="0.3">
      <c r="A394" t="s">
        <v>7191</v>
      </c>
      <c r="B394" s="99" t="s">
        <v>2787</v>
      </c>
      <c r="C394" s="153">
        <f>VLOOKUP("Reception pit constructiona",Econ.Equations!$C:$E,2,FALSE)*E383^VLOOKUP("Reception pit constructionb",Econ.Equations!$C:$E,2,FALSE)*E383</f>
        <v>8018.7932118545777</v>
      </c>
      <c r="D394">
        <f>VLOOKUP("CAPEXLifetimeBuildings and constructionDefault",Econ.inputsTable!$E:$H,2,FALSE)</f>
        <v>20</v>
      </c>
      <c r="E394" t="s">
        <v>2852</v>
      </c>
      <c r="F394" t="s">
        <v>2852</v>
      </c>
      <c r="G394" s="154">
        <v>1</v>
      </c>
      <c r="H394" s="503">
        <f>UDV.econ_capital.interest_rate</f>
        <v>5.0999999999999997E-2</v>
      </c>
      <c r="I394" s="154">
        <f>VLOOKUP("CAPEXSalvageBuildings and constructionDefault",Econ.inputsTable!$E:$J,2,FALSE)</f>
        <v>0</v>
      </c>
      <c r="J394" s="153">
        <f>$C394*I394</f>
        <v>0</v>
      </c>
      <c r="K394" s="154">
        <f>VLOOKUP("CAPEXFinanced amountNADefault", Econ.inputsTable!$E:$I,2,FALSE)</f>
        <v>1</v>
      </c>
      <c r="L394" s="364">
        <f>H394*K394</f>
        <v>5.0999999999999997E-2</v>
      </c>
      <c r="M394" s="351">
        <f>L394/(1-(1+L394)^-D394)</f>
        <v>8.0924368970045152E-2</v>
      </c>
      <c r="N394" s="153">
        <f>((C394-J394)*M394)+(J394*L394)</f>
        <v>648.91578057061326</v>
      </c>
      <c r="O394" s="157">
        <f>G394*N394</f>
        <v>648.91578057061326</v>
      </c>
    </row>
    <row r="395" spans="1:15" ht="14.4" x14ac:dyDescent="0.3">
      <c r="A395" t="s">
        <v>7192</v>
      </c>
      <c r="B395" s="99" t="s">
        <v>1228</v>
      </c>
      <c r="C395" s="153">
        <f>UDV.econ_agi.electric_pump*E384</f>
        <v>12100</v>
      </c>
      <c r="D395">
        <f>VLOOKUP("CAPEXLifetimeAgi-pump, electricDefault",Econ.inputsTable!$E:$H,2,FALSE)</f>
        <v>15</v>
      </c>
      <c r="E395" t="s">
        <v>2852</v>
      </c>
      <c r="F395" t="s">
        <v>2852</v>
      </c>
      <c r="G395" s="154">
        <v>1</v>
      </c>
      <c r="H395" s="503">
        <f>UDV.econ_capital.interest_rate</f>
        <v>5.0999999999999997E-2</v>
      </c>
      <c r="I395" s="154">
        <f>VLOOKUP("CAPEXSalvageEquipmentDefault",Econ.inputsTable!$E:$J,2,FALSE)</f>
        <v>0.2</v>
      </c>
      <c r="J395" s="153">
        <f>$C395*I395</f>
        <v>2420</v>
      </c>
      <c r="K395" s="154">
        <f>VLOOKUP("CAPEXFinanced amountNADefault", Econ.inputsTable!$E:$I,2,FALSE)</f>
        <v>1</v>
      </c>
      <c r="L395" s="364">
        <f>H395*K395</f>
        <v>5.0999999999999997E-2</v>
      </c>
      <c r="M395" s="351">
        <f>L395/(1-(1+L395)^-D395)</f>
        <v>9.6994593888520206E-2</v>
      </c>
      <c r="N395" s="153">
        <f>((C395-J395)*M395)+(J395*L395)</f>
        <v>1062.3276688408755</v>
      </c>
      <c r="O395" s="157">
        <f>G395*N395</f>
        <v>1062.3276688408755</v>
      </c>
    </row>
    <row r="396" spans="1:15" ht="14.4" x14ac:dyDescent="0.3">
      <c r="A396" t="s">
        <v>7192</v>
      </c>
      <c r="B396" s="99" t="s">
        <v>7193</v>
      </c>
      <c r="C396" s="153">
        <f>VLOOKUP(_xlfn.CONCAT("Motor, ", E385, " hpDefault"), Econ.Tables!C:E, 2, FALSE)*E384</f>
        <v>1470</v>
      </c>
      <c r="D396">
        <f>VLOOKUP("CAPEXLifetimeMotorDefault",Econ.inputsTable!$E:$H,2,FALSE)</f>
        <v>20</v>
      </c>
      <c r="E396" t="s">
        <v>2852</v>
      </c>
      <c r="F396" t="s">
        <v>2852</v>
      </c>
      <c r="G396" s="154">
        <v>1</v>
      </c>
      <c r="H396" s="503">
        <f>UDV.econ_capital.interest_rate</f>
        <v>5.0999999999999997E-2</v>
      </c>
      <c r="I396" s="154">
        <f>VLOOKUP("CAPEXSalvageEquipmentDefault",Econ.inputsTable!$E:$I,2,FALSE)</f>
        <v>0.2</v>
      </c>
      <c r="J396" s="153">
        <f>$C396*I396</f>
        <v>294</v>
      </c>
      <c r="K396" s="154">
        <f>VLOOKUP("CAPEXFinanced amountNADefault", Econ.inputsTable!$E:$I,2,FALSE)</f>
        <v>1</v>
      </c>
      <c r="L396" s="364">
        <f>H396*K396</f>
        <v>5.0999999999999997E-2</v>
      </c>
      <c r="M396" s="351">
        <f>L396/(1-(1+L396)^-D396)</f>
        <v>8.0924368970045152E-2</v>
      </c>
      <c r="N396" s="153">
        <f>((C396-J396)*M396)+(J396*L396)</f>
        <v>110.1610579087731</v>
      </c>
      <c r="O396" s="157">
        <f>G396*N396</f>
        <v>110.1610579087731</v>
      </c>
    </row>
    <row r="397" spans="1:15" ht="14.4" x14ac:dyDescent="0.3">
      <c r="B397" s="99"/>
      <c r="C397" s="153"/>
      <c r="L397" s="154"/>
      <c r="M397" s="155"/>
      <c r="N397" s="154"/>
      <c r="O397" s="501"/>
    </row>
    <row r="398" spans="1:15" ht="14.4" x14ac:dyDescent="0.3">
      <c r="B398" s="99"/>
      <c r="C398" s="82" t="s">
        <v>7009</v>
      </c>
      <c r="D398" s="82" t="s">
        <v>6963</v>
      </c>
      <c r="O398" s="146"/>
    </row>
    <row r="399" spans="1:15" ht="14.4" x14ac:dyDescent="0.3">
      <c r="A399" t="s">
        <v>5219</v>
      </c>
      <c r="B399" s="99" t="s">
        <v>6964</v>
      </c>
      <c r="C399" s="153">
        <f>SUM(C394:C396)</f>
        <v>21588.79321185458</v>
      </c>
      <c r="D399" s="153">
        <f>SUMPRODUCT(C394:C396,G394:G396)</f>
        <v>21588.79321185458</v>
      </c>
      <c r="O399" s="146"/>
    </row>
    <row r="400" spans="1:15" ht="14.4" x14ac:dyDescent="0.3">
      <c r="A400" t="s">
        <v>5219</v>
      </c>
      <c r="B400" s="149" t="s">
        <v>6965</v>
      </c>
      <c r="C400" s="159">
        <f>SUM(N394:N396)</f>
        <v>1821.4045073202617</v>
      </c>
      <c r="D400" s="159">
        <f>SUMPRODUCT(N394:N396,G394:G396)</f>
        <v>1821.4045073202617</v>
      </c>
      <c r="E400" s="150"/>
      <c r="F400" s="150"/>
      <c r="G400" s="150"/>
      <c r="H400" s="150"/>
      <c r="I400" s="150"/>
      <c r="J400" s="150"/>
      <c r="K400" s="150"/>
      <c r="L400" s="150"/>
      <c r="M400" s="150"/>
      <c r="N400" s="150"/>
      <c r="O400" s="151"/>
    </row>
    <row r="401" spans="1:15" ht="14.4" x14ac:dyDescent="0.3">
      <c r="B401" s="262"/>
      <c r="C401" s="142"/>
      <c r="D401" s="142"/>
      <c r="E401" s="142"/>
      <c r="F401" s="142"/>
      <c r="G401" s="142"/>
      <c r="H401" s="142"/>
      <c r="I401" s="142"/>
      <c r="J401" s="142"/>
      <c r="K401" s="142"/>
      <c r="L401" s="142"/>
      <c r="M401" s="142"/>
      <c r="N401" s="142"/>
      <c r="O401" s="141"/>
    </row>
    <row r="402" spans="1:15" ht="43.2" x14ac:dyDescent="0.3">
      <c r="B402" s="160" t="s">
        <v>6966</v>
      </c>
      <c r="C402" s="152" t="s">
        <v>6967</v>
      </c>
      <c r="D402" s="152" t="s">
        <v>6968</v>
      </c>
      <c r="E402" s="152" t="s">
        <v>6969</v>
      </c>
      <c r="F402" s="152" t="s">
        <v>6970</v>
      </c>
      <c r="G402" s="152" t="s">
        <v>6971</v>
      </c>
      <c r="H402" s="152" t="s">
        <v>6972</v>
      </c>
      <c r="I402" s="152" t="s">
        <v>6973</v>
      </c>
      <c r="J402" s="152" t="s">
        <v>6974</v>
      </c>
      <c r="K402" s="152" t="s">
        <v>6975</v>
      </c>
      <c r="L402" s="152" t="s">
        <v>6976</v>
      </c>
      <c r="M402" s="152" t="s">
        <v>6977</v>
      </c>
      <c r="N402" s="152" t="s">
        <v>6978</v>
      </c>
      <c r="O402" s="161" t="s">
        <v>6979</v>
      </c>
    </row>
    <row r="403" spans="1:15" ht="14.4" x14ac:dyDescent="0.3">
      <c r="B403" s="99" t="s">
        <v>5219</v>
      </c>
      <c r="C403" s="155">
        <f>VLOOKUP("OPEXInsuranceEverythingDefault",Econ.inputsTable!$E$1:$J$89,2,FALSE)</f>
        <v>5.0000000000000001E-3</v>
      </c>
      <c r="D403" s="155">
        <f>VLOOKUP("OPEXRepair and maintenanceBuildings and constructionDefault",Econ.inputsTable!$E:$I,2,FALSE)</f>
        <v>0.01</v>
      </c>
      <c r="G403" s="504"/>
      <c r="O403" s="157">
        <f>(SUM(C403:D403)*C394*G394)+SUM(G403,I403,J403,L403,N403)</f>
        <v>120.28189817781866</v>
      </c>
    </row>
    <row r="404" spans="1:15" ht="14.4" x14ac:dyDescent="0.3">
      <c r="B404" s="99" t="s">
        <v>1228</v>
      </c>
      <c r="C404" s="155">
        <f>VLOOKUP("OPEXInsuranceEverythingDefault",Econ.inputsTable!$E$1:$J$89,2,FALSE)</f>
        <v>5.0000000000000001E-3</v>
      </c>
      <c r="D404" s="155">
        <f>VLOOKUP("OPEXRepair and maintenanceAgi-pump, electricDefault",Econ.inputsTable!$E:$I,2,FALSE)</f>
        <v>0.11</v>
      </c>
      <c r="G404" s="504"/>
      <c r="O404" s="157">
        <f>(SUM(C404:D404)*C395*G395)+SUM(G404,I404,J404,L404,N404)</f>
        <v>1391.5</v>
      </c>
    </row>
    <row r="405" spans="1:15" ht="14.4" x14ac:dyDescent="0.3">
      <c r="B405" s="99" t="s">
        <v>7190</v>
      </c>
      <c r="C405" s="155">
        <f>VLOOKUP("OPEXInsuranceEverythingDefault",Econ.inputsTable!$E$1:$J$89,2,FALSE)</f>
        <v>5.0000000000000001E-3</v>
      </c>
      <c r="D405" s="155">
        <f>VLOOKUP("OPEXRepair and maintenanceEquipmentDefault",Econ.inputsTable!$E:$I,2,FALSE)</f>
        <v>0.03</v>
      </c>
      <c r="F405" s="166">
        <f>E386</f>
        <v>138.71116608588275</v>
      </c>
      <c r="G405" s="158">
        <f>F405*E390</f>
        <v>9.5144300671075079</v>
      </c>
      <c r="O405" s="157">
        <f>(SUM(C405:D405)*C396*G396)+SUM(G405,I405,J405,L405,N405)</f>
        <v>60.9644300671075</v>
      </c>
    </row>
    <row r="406" spans="1:15" ht="14.4" x14ac:dyDescent="0.3">
      <c r="A406" t="s">
        <v>5219</v>
      </c>
      <c r="B406" s="162" t="s">
        <v>5203</v>
      </c>
      <c r="C406" s="505"/>
      <c r="D406" s="505"/>
      <c r="E406" s="367">
        <f t="shared" ref="E406:O406" si="9">SUM(E403:E405)</f>
        <v>0</v>
      </c>
      <c r="F406" s="526">
        <f t="shared" si="9"/>
        <v>138.71116608588275</v>
      </c>
      <c r="G406" s="367">
        <f t="shared" si="9"/>
        <v>9.5144300671075079</v>
      </c>
      <c r="H406" s="526">
        <f t="shared" si="9"/>
        <v>0</v>
      </c>
      <c r="I406" s="367">
        <f t="shared" si="9"/>
        <v>0</v>
      </c>
      <c r="J406" s="367">
        <f t="shared" si="9"/>
        <v>0</v>
      </c>
      <c r="K406" s="526">
        <f t="shared" si="9"/>
        <v>0</v>
      </c>
      <c r="L406" s="367">
        <f t="shared" si="9"/>
        <v>0</v>
      </c>
      <c r="M406" s="526">
        <f t="shared" si="9"/>
        <v>0</v>
      </c>
      <c r="N406" s="367">
        <f t="shared" si="9"/>
        <v>0</v>
      </c>
      <c r="O406" s="169">
        <f t="shared" si="9"/>
        <v>1572.7463282449262</v>
      </c>
    </row>
    <row r="407" spans="1:15" ht="14.4" x14ac:dyDescent="0.3">
      <c r="B407" s="99"/>
      <c r="O407" s="146"/>
    </row>
    <row r="408" spans="1:15" ht="14.4" x14ac:dyDescent="0.3">
      <c r="A408" t="s">
        <v>5219</v>
      </c>
      <c r="B408" s="149" t="s">
        <v>6980</v>
      </c>
      <c r="C408" s="159">
        <f>SUM(O403:O405)</f>
        <v>1572.7463282449262</v>
      </c>
      <c r="D408" s="150"/>
      <c r="E408" s="150"/>
      <c r="F408" s="150"/>
      <c r="G408" s="150"/>
      <c r="H408" s="150"/>
      <c r="I408" s="150"/>
      <c r="J408" s="150"/>
      <c r="K408" s="150"/>
      <c r="L408" s="150"/>
      <c r="M408" s="150"/>
      <c r="N408" s="150"/>
      <c r="O408" s="151"/>
    </row>
    <row r="409" spans="1:15" ht="15" thickBot="1" x14ac:dyDescent="0.35">
      <c r="A409" s="137"/>
      <c r="B409" s="137"/>
      <c r="C409" s="137"/>
      <c r="D409" s="137"/>
      <c r="E409" s="137"/>
      <c r="F409" s="137"/>
      <c r="G409" s="137"/>
      <c r="H409" s="137"/>
      <c r="I409" s="137"/>
      <c r="J409" s="137"/>
      <c r="K409" s="137"/>
      <c r="L409" s="137"/>
      <c r="M409" s="137"/>
      <c r="N409" s="137"/>
      <c r="O409" s="137"/>
    </row>
    <row r="410" spans="1:15" ht="14.4" x14ac:dyDescent="0.3"/>
    <row r="411" spans="1:15" ht="18" x14ac:dyDescent="0.35">
      <c r="B411" s="138" t="s">
        <v>4683</v>
      </c>
      <c r="C411" s="90"/>
      <c r="H411" s="355"/>
    </row>
    <row r="412" spans="1:15" ht="14.4" x14ac:dyDescent="0.3"/>
    <row r="413" spans="1:15" ht="14.4" x14ac:dyDescent="0.3">
      <c r="B413" s="139" t="s">
        <v>6942</v>
      </c>
      <c r="C413" s="140"/>
      <c r="D413" s="140"/>
      <c r="E413" s="139"/>
      <c r="F413" s="141"/>
      <c r="H413" s="139" t="s">
        <v>7033</v>
      </c>
      <c r="I413" s="142"/>
      <c r="J413" s="142"/>
      <c r="K413" s="141"/>
    </row>
    <row r="414" spans="1:15" ht="14.4" x14ac:dyDescent="0.3">
      <c r="B414" s="143" t="s">
        <v>2663</v>
      </c>
      <c r="C414" s="144" t="s">
        <v>565</v>
      </c>
      <c r="D414" s="144" t="s">
        <v>6943</v>
      </c>
      <c r="E414" s="143" t="s">
        <v>565</v>
      </c>
      <c r="F414" s="145" t="s">
        <v>6944</v>
      </c>
      <c r="H414" s="99" t="s">
        <v>2771</v>
      </c>
      <c r="K414" s="146"/>
    </row>
    <row r="415" spans="1:15" ht="14.4" x14ac:dyDescent="0.3">
      <c r="B415" s="99" t="s">
        <v>5859</v>
      </c>
      <c r="C415">
        <f>UDV.animal.total</f>
        <v>500</v>
      </c>
      <c r="D415" t="s">
        <v>2442</v>
      </c>
      <c r="E415" s="99">
        <f>C415</f>
        <v>500</v>
      </c>
      <c r="F415" s="146" t="s">
        <v>2442</v>
      </c>
      <c r="H415" s="99" t="s">
        <v>7095</v>
      </c>
      <c r="K415" s="146"/>
    </row>
    <row r="416" spans="1:15" ht="14.4" x14ac:dyDescent="0.3">
      <c r="B416" s="99" t="s">
        <v>5439</v>
      </c>
      <c r="C416" s="148">
        <f>VLOOKUP(B416,$R:$U,3,FALSE)</f>
        <v>2700.4909100593827</v>
      </c>
      <c r="D416" t="s">
        <v>2478</v>
      </c>
      <c r="E416" s="164">
        <f>CONVERT(C416,"m^3","ft^3")</f>
        <v>95366.936473156515</v>
      </c>
      <c r="F416" s="146" t="s">
        <v>2479</v>
      </c>
      <c r="H416" s="99" t="s">
        <v>7250</v>
      </c>
      <c r="K416" s="146"/>
    </row>
    <row r="417" spans="2:11" ht="14.4" x14ac:dyDescent="0.3">
      <c r="B417" s="99" t="s">
        <v>6343</v>
      </c>
      <c r="C417" s="148">
        <f>VLOOKUP(B417,$R:$U,3,FALSE)</f>
        <v>2520.2986018694792</v>
      </c>
      <c r="D417" s="146" t="s">
        <v>2268</v>
      </c>
      <c r="E417" s="148">
        <f>CONVERT(C417,"m^2","ft^2")</f>
        <v>27128.268373881834</v>
      </c>
      <c r="F417" s="146" t="s">
        <v>2267</v>
      </c>
      <c r="G417" s="34"/>
      <c r="H417" s="99" t="s">
        <v>7196</v>
      </c>
      <c r="K417" s="146"/>
    </row>
    <row r="418" spans="2:11" ht="14.4" x14ac:dyDescent="0.3">
      <c r="B418" s="99" t="s">
        <v>7251</v>
      </c>
      <c r="C418" s="148"/>
      <c r="D418" s="146" t="s">
        <v>7200</v>
      </c>
      <c r="E418" s="316"/>
      <c r="F418" s="146" t="s">
        <v>6243</v>
      </c>
      <c r="G418" s="34"/>
      <c r="H418" s="99" t="s">
        <v>7198</v>
      </c>
      <c r="K418" s="146"/>
    </row>
    <row r="419" spans="2:11" ht="14.4" x14ac:dyDescent="0.3">
      <c r="B419" s="99" t="s">
        <v>7251</v>
      </c>
      <c r="D419" s="146" t="s">
        <v>7200</v>
      </c>
      <c r="E419" s="316"/>
      <c r="F419" s="146" t="s">
        <v>7202</v>
      </c>
      <c r="G419" s="34"/>
      <c r="H419" s="547" t="s">
        <v>7199</v>
      </c>
      <c r="K419" s="146" t="s">
        <v>7263</v>
      </c>
    </row>
    <row r="420" spans="2:11" ht="14.4" x14ac:dyDescent="0.3">
      <c r="B420" s="99" t="s">
        <v>7203</v>
      </c>
      <c r="C420" s="153"/>
      <c r="D420" t="s">
        <v>7204</v>
      </c>
      <c r="E420" s="99">
        <f>UDV.econ_methane.fate</f>
        <v>0</v>
      </c>
      <c r="F420" s="146" t="s">
        <v>7252</v>
      </c>
      <c r="G420" s="34"/>
      <c r="H420" s="548" t="s">
        <v>7201</v>
      </c>
      <c r="I420" s="150"/>
      <c r="J420" s="150"/>
      <c r="K420" s="151"/>
    </row>
    <row r="421" spans="2:11" ht="14.4" x14ac:dyDescent="0.3">
      <c r="B421" s="99" t="s">
        <v>1302</v>
      </c>
      <c r="C421" s="153"/>
      <c r="D421" t="s">
        <v>7207</v>
      </c>
      <c r="E421" s="178">
        <f>UDV.econ_elec.connected</f>
        <v>0</v>
      </c>
      <c r="F421" s="146" t="s">
        <v>4750</v>
      </c>
    </row>
    <row r="422" spans="2:11" ht="14.4" x14ac:dyDescent="0.3">
      <c r="B422" s="99" t="s">
        <v>7210</v>
      </c>
      <c r="C422" s="153"/>
      <c r="D422" t="s">
        <v>7207</v>
      </c>
      <c r="E422" s="178">
        <f>UDV.econ_cng.connected</f>
        <v>0</v>
      </c>
      <c r="F422" s="146" t="s">
        <v>4750</v>
      </c>
      <c r="G422" s="34"/>
      <c r="H422" s="139" t="s">
        <v>7206</v>
      </c>
      <c r="I422" s="142"/>
      <c r="J422" s="142"/>
      <c r="K422" s="141"/>
    </row>
    <row r="423" spans="2:11" ht="14.4" x14ac:dyDescent="0.3">
      <c r="B423" s="99" t="s">
        <v>7211</v>
      </c>
      <c r="D423" s="146" t="s">
        <v>7212</v>
      </c>
      <c r="F423" s="146" t="s">
        <v>7135</v>
      </c>
      <c r="G423" s="34"/>
      <c r="H423" s="99">
        <v>0.71699999999999997</v>
      </c>
      <c r="I423" t="s">
        <v>7209</v>
      </c>
      <c r="J423">
        <v>1</v>
      </c>
      <c r="K423" s="146" t="s">
        <v>676</v>
      </c>
    </row>
    <row r="424" spans="2:11" ht="14.4" x14ac:dyDescent="0.3">
      <c r="B424" s="99" t="s">
        <v>7183</v>
      </c>
      <c r="C424" s="148">
        <f>VLOOKUP(B424,R35:U352,3,FALSE)</f>
        <v>0</v>
      </c>
      <c r="D424" s="146" t="s">
        <v>7213</v>
      </c>
      <c r="E424" s="166">
        <f>C424</f>
        <v>0</v>
      </c>
      <c r="F424" s="146" t="s">
        <v>7213</v>
      </c>
      <c r="G424" s="34"/>
      <c r="H424" s="99">
        <v>1</v>
      </c>
      <c r="I424" t="s">
        <v>2478</v>
      </c>
      <c r="J424">
        <v>35.314700000000002</v>
      </c>
      <c r="K424" s="146" t="s">
        <v>2479</v>
      </c>
    </row>
    <row r="425" spans="2:11" ht="14.4" x14ac:dyDescent="0.3">
      <c r="B425" s="99" t="s">
        <v>7184</v>
      </c>
      <c r="C425" s="148">
        <f>VLOOKUP(B425,R35:U352,3,FALSE)</f>
        <v>0</v>
      </c>
      <c r="D425" s="146" t="s">
        <v>7213</v>
      </c>
      <c r="E425" s="166">
        <f>C425</f>
        <v>0</v>
      </c>
      <c r="F425" s="146" t="s">
        <v>7213</v>
      </c>
      <c r="G425" s="34"/>
      <c r="H425" s="149">
        <v>1</v>
      </c>
      <c r="I425" s="150" t="s">
        <v>2557</v>
      </c>
      <c r="J425" s="150">
        <v>1000</v>
      </c>
      <c r="K425" s="151" t="s">
        <v>2479</v>
      </c>
    </row>
    <row r="426" spans="2:11" ht="14.4" x14ac:dyDescent="0.3">
      <c r="B426" s="99"/>
      <c r="C426" s="148"/>
      <c r="D426" s="146"/>
      <c r="E426" s="166"/>
      <c r="F426" s="146"/>
      <c r="G426" s="34"/>
    </row>
    <row r="427" spans="2:11" ht="14.4" x14ac:dyDescent="0.3">
      <c r="B427" s="92" t="s">
        <v>6996</v>
      </c>
      <c r="C427" s="78"/>
      <c r="E427" s="99"/>
      <c r="F427" s="146"/>
      <c r="G427" s="34"/>
    </row>
    <row r="428" spans="2:11" ht="14.4" x14ac:dyDescent="0.3">
      <c r="B428" s="143" t="s">
        <v>2663</v>
      </c>
      <c r="C428" s="144"/>
      <c r="D428" s="144"/>
      <c r="E428" s="143" t="s">
        <v>565</v>
      </c>
      <c r="F428" s="145" t="s">
        <v>6944</v>
      </c>
      <c r="G428" s="34"/>
    </row>
    <row r="429" spans="2:11" ht="14.4" x14ac:dyDescent="0.3">
      <c r="B429" s="99" t="s">
        <v>6998</v>
      </c>
      <c r="D429" s="146"/>
      <c r="E429">
        <v>15</v>
      </c>
      <c r="F429" s="146" t="s">
        <v>3659</v>
      </c>
    </row>
    <row r="430" spans="2:11" ht="14.4" x14ac:dyDescent="0.3">
      <c r="B430" s="99" t="s">
        <v>7077</v>
      </c>
      <c r="D430" s="146"/>
      <c r="E430">
        <v>30</v>
      </c>
      <c r="F430" s="146" t="s">
        <v>3659</v>
      </c>
    </row>
    <row r="431" spans="2:11" ht="14.4" x14ac:dyDescent="0.3">
      <c r="B431" s="99" t="s">
        <v>7076</v>
      </c>
      <c r="D431" s="146"/>
      <c r="E431" s="549">
        <v>5.9400000000000001E-2</v>
      </c>
      <c r="F431" s="146" t="s">
        <v>2306</v>
      </c>
      <c r="G431" s="34"/>
    </row>
    <row r="432" spans="2:11" ht="14.4" x14ac:dyDescent="0.3">
      <c r="B432" s="149" t="s">
        <v>7215</v>
      </c>
      <c r="C432" s="150"/>
      <c r="D432" s="151"/>
      <c r="E432" s="323">
        <v>6.55</v>
      </c>
      <c r="F432" s="151" t="s">
        <v>2311</v>
      </c>
      <c r="G432" s="34"/>
    </row>
    <row r="433" spans="1:17" ht="14.4" x14ac:dyDescent="0.3">
      <c r="C433" s="153"/>
    </row>
    <row r="434" spans="1:17" ht="57.6" x14ac:dyDescent="0.3">
      <c r="B434" s="361" t="s">
        <v>6946</v>
      </c>
      <c r="C434" s="362" t="s">
        <v>6947</v>
      </c>
      <c r="D434" s="362" t="s">
        <v>6948</v>
      </c>
      <c r="E434" s="362" t="s">
        <v>6949</v>
      </c>
      <c r="F434" s="362" t="s">
        <v>6950</v>
      </c>
      <c r="G434" s="362" t="s">
        <v>6951</v>
      </c>
      <c r="H434" s="362" t="s">
        <v>6952</v>
      </c>
      <c r="I434" s="362" t="s">
        <v>6953</v>
      </c>
      <c r="J434" s="362" t="s">
        <v>6954</v>
      </c>
      <c r="K434" s="362" t="s">
        <v>6955</v>
      </c>
      <c r="L434" s="362" t="s">
        <v>6956</v>
      </c>
      <c r="M434" s="362" t="s">
        <v>6957</v>
      </c>
      <c r="N434" s="362" t="s">
        <v>6958</v>
      </c>
    </row>
    <row r="435" spans="1:17" ht="14.4" x14ac:dyDescent="0.3">
      <c r="A435" t="s">
        <v>7253</v>
      </c>
      <c r="B435" s="99" t="s">
        <v>2771</v>
      </c>
      <c r="C435" s="153">
        <f>(VLOOKUP("Lagoon constructiona",Econ.Equations!$C:$E,2,FALSE)*E416^VLOOKUP("Lagoon constructionb",Econ.Equations!$C:$E,2,FALSE))*E416</f>
        <v>31078.833113272121</v>
      </c>
      <c r="D435">
        <f>VLOOKUP("CAPEXLifetimeBuildings and constructionDefault",Econ.inputsTable!$E:$G,2,FALSE)</f>
        <v>20</v>
      </c>
      <c r="E435" t="s">
        <v>2852</v>
      </c>
      <c r="F435" t="s">
        <v>2852</v>
      </c>
      <c r="G435" s="154">
        <f>VLOOKUP("CAPEXAnnual usage on activityItems that are used only on the given activityDefault",Econ.inputsTable!$E:$G,2,FALSE)</f>
        <v>1</v>
      </c>
      <c r="H435" s="503">
        <f t="shared" ref="H435:H441" si="10">UDV.econ_capital.interest_rate</f>
        <v>5.0999999999999997E-2</v>
      </c>
      <c r="I435" s="155">
        <f>VLOOKUP("CAPEXSalvageBuildings and constructionDefault",Econ.inputsTable!$E:$G,2,FALSE)</f>
        <v>0</v>
      </c>
      <c r="J435" s="156">
        <f>$C$22*I435</f>
        <v>0</v>
      </c>
      <c r="K435" s="154">
        <f>VLOOKUP("CAPEXFinanced amountNADefault", Econ.inputsTable!$E:$I,2,FALSE)</f>
        <v>1</v>
      </c>
      <c r="L435" s="364">
        <f>H435*K435</f>
        <v>5.0999999999999997E-2</v>
      </c>
      <c r="M435" s="351">
        <f>L435/(1-(1+L435)^-D435)</f>
        <v>8.0924368970045152E-2</v>
      </c>
      <c r="N435" s="153">
        <f t="shared" ref="N435:N441" si="11">((C435-J435)*M435)+(J435*L435)</f>
        <v>2515.0349580168904</v>
      </c>
      <c r="O435" s="156"/>
      <c r="Q435" s="146"/>
    </row>
    <row r="436" spans="1:17" ht="14.4" x14ac:dyDescent="0.3">
      <c r="A436" t="s">
        <v>7253</v>
      </c>
      <c r="B436" s="99" t="s">
        <v>7254</v>
      </c>
      <c r="C436" s="373">
        <f>VLOOKUP("Lagoon liner geomembraneDefault",Econ.Tables!$C:$E,2,FALSE)*E417</f>
        <v>67820.670934704583</v>
      </c>
      <c r="D436">
        <f>VLOOKUP("CAPEXLifetimeBuildings and constructionDefault",Econ.inputsTable!$E:$G,2,FALSE)</f>
        <v>20</v>
      </c>
      <c r="E436" t="s">
        <v>2852</v>
      </c>
      <c r="F436" t="s">
        <v>2852</v>
      </c>
      <c r="G436" s="154">
        <f>VLOOKUP("CAPEXAnnual usage on activityItems that are used only on the given activityDefault",Econ.inputsTable!$E:$G,2,FALSE)</f>
        <v>1</v>
      </c>
      <c r="H436" s="503">
        <f t="shared" si="10"/>
        <v>5.0999999999999997E-2</v>
      </c>
      <c r="I436" s="155">
        <f>VLOOKUP("CAPEXSalvageBuildings and constructionDefault",Econ.inputsTable!$E:$G,2,FALSE)</f>
        <v>0</v>
      </c>
      <c r="J436" s="156">
        <f>$C$23*I436</f>
        <v>0</v>
      </c>
      <c r="K436" s="154">
        <f>VLOOKUP("CAPEXFinanced amountNADefault", Econ.inputsTable!$E:$I,2,FALSE)</f>
        <v>1</v>
      </c>
      <c r="L436" s="364">
        <f>H436*K436</f>
        <v>5.0999999999999997E-2</v>
      </c>
      <c r="M436" s="351">
        <f>L436/(1-(1+L436)^-D436)</f>
        <v>8.0924368970045152E-2</v>
      </c>
      <c r="N436" s="153">
        <f t="shared" si="11"/>
        <v>5488.3449985160505</v>
      </c>
      <c r="O436" s="156"/>
      <c r="Q436" s="146"/>
    </row>
    <row r="437" spans="1:17" ht="14.4" x14ac:dyDescent="0.3">
      <c r="A437" t="s">
        <v>7253</v>
      </c>
      <c r="B437" s="99" t="s">
        <v>7255</v>
      </c>
      <c r="C437" s="153">
        <f>(VLOOKUP("Cover for lagoona",Econ.Equations!$C:$E,2,FALSE)*E417^VLOOKUP("Cover for lagoonb",Econ.Equations!$C:$E,2,FALSE))*E417</f>
        <v>257274.23569122158</v>
      </c>
      <c r="D437">
        <f>VLOOKUP("CAPEXLifetimeBuildings and constructionDefault",Econ.inputsTable!$E:$G,2,FALSE)</f>
        <v>20</v>
      </c>
      <c r="E437" t="s">
        <v>2852</v>
      </c>
      <c r="F437" t="s">
        <v>2852</v>
      </c>
      <c r="G437" s="154">
        <f>VLOOKUP("CAPEXAnnual usage on activityItems that are used only on the given activityDefault",Econ.inputsTable!$E:$G,2,FALSE)</f>
        <v>1</v>
      </c>
      <c r="H437" s="503">
        <f t="shared" si="10"/>
        <v>5.0999999999999997E-2</v>
      </c>
      <c r="I437" s="155">
        <f>VLOOKUP("CAPEXSalvageBuildings and constructionDefault",Econ.inputsTable!$E:$G,2,FALSE)</f>
        <v>0</v>
      </c>
      <c r="J437" s="156">
        <f>$C$23*I437</f>
        <v>0</v>
      </c>
      <c r="K437" s="154">
        <f>VLOOKUP("CAPEXFinanced amountNADefault", Econ.inputsTable!$E:$I,2,FALSE)</f>
        <v>1</v>
      </c>
      <c r="L437" s="364">
        <f>H437*K437</f>
        <v>5.0999999999999997E-2</v>
      </c>
      <c r="M437" s="351">
        <f>L437/(1-(1+L437)^-D437)</f>
        <v>8.0924368970045152E-2</v>
      </c>
      <c r="N437" s="153">
        <f t="shared" si="11"/>
        <v>20819.755175562776</v>
      </c>
      <c r="O437" s="156"/>
      <c r="Q437" s="146"/>
    </row>
    <row r="438" spans="1:17" ht="14.4" x14ac:dyDescent="0.3">
      <c r="A438" t="s">
        <v>7256</v>
      </c>
      <c r="B438" s="99" t="s">
        <v>7257</v>
      </c>
      <c r="C438" s="153">
        <f>IF(E421=1,VLOOKUP("Combined heat and powera",Econ.Equations!$C:$E,2,FALSE)*E420^VLOOKUP("Combined heat and powerb",Econ.Equations!$C:$E,2,FALSE)*E420,0)</f>
        <v>0</v>
      </c>
      <c r="D438">
        <f>VLOOKUP("CAPEXLifetimeBuildings and constructionDefault",Econ.inputsTable!$E:$G,2,FALSE)</f>
        <v>20</v>
      </c>
      <c r="E438" t="s">
        <v>2852</v>
      </c>
      <c r="F438" t="s">
        <v>2852</v>
      </c>
      <c r="G438" s="154">
        <f>VLOOKUP("CAPEXAnnual usage on activityItems that are used only on the given activityDefault",Econ.inputsTable!$E:$G,2,FALSE)</f>
        <v>1</v>
      </c>
      <c r="H438" s="503">
        <f t="shared" si="10"/>
        <v>5.0999999999999997E-2</v>
      </c>
      <c r="I438" s="155">
        <f>VLOOKUP("CAPEXSalvageBuildings and constructionDefault",Econ.inputsTable!$E:$G,2,FALSE)</f>
        <v>0</v>
      </c>
      <c r="J438" s="156">
        <f>$C438*I438</f>
        <v>0</v>
      </c>
      <c r="K438" s="154">
        <f>VLOOKUP("CAPEXFinanced amountNADefault", Econ.inputsTable!$E:$I,2,FALSE)</f>
        <v>1</v>
      </c>
      <c r="L438" s="364">
        <f>H438*K438</f>
        <v>5.0999999999999997E-2</v>
      </c>
      <c r="M438" s="351">
        <f>L438/(1-(1+L438)^-D438)</f>
        <v>8.0924368970045152E-2</v>
      </c>
      <c r="N438" s="153">
        <f t="shared" si="11"/>
        <v>0</v>
      </c>
      <c r="O438" s="153"/>
      <c r="Q438" s="146"/>
    </row>
    <row r="439" spans="1:17" ht="14.4" x14ac:dyDescent="0.3">
      <c r="A439" t="s">
        <v>7256</v>
      </c>
      <c r="B439" s="99" t="s">
        <v>7258</v>
      </c>
      <c r="C439" s="153">
        <f>IF(E422=1,(VLOOKUP("CHP utility connectionDefault",Econ.Tables!$C:$E,2,FALSE)),0)</f>
        <v>0</v>
      </c>
      <c r="D439">
        <f>VLOOKUP("CAPEXLifetimeEquipmentDefault",Econ.inputsTable!$E:$G,2,FALSE)</f>
        <v>10</v>
      </c>
      <c r="E439" t="s">
        <v>2852</v>
      </c>
      <c r="F439" t="s">
        <v>2852</v>
      </c>
      <c r="G439" s="154">
        <f>VLOOKUP("CAPEXAnnual usage on activityItems that are used only on the given activityDefault",Econ.inputsTable!$E:$G,2,FALSE)</f>
        <v>1</v>
      </c>
      <c r="H439" s="503">
        <f t="shared" si="10"/>
        <v>5.0999999999999997E-2</v>
      </c>
      <c r="I439" s="154">
        <f>VLOOKUP("CAPEXSalvageEquipmentDefault",Econ.inputsTable!$E:$G,2,FALSE)</f>
        <v>0.2</v>
      </c>
      <c r="J439" s="153">
        <f>C439*I439</f>
        <v>0</v>
      </c>
      <c r="K439" s="154">
        <f>VLOOKUP("CAPEXFinanced amountNADefault", Econ.inputsTable!$E:$I,2,FALSE)</f>
        <v>1</v>
      </c>
      <c r="L439" s="364">
        <f>H439*K439</f>
        <v>5.0999999999999997E-2</v>
      </c>
      <c r="M439" s="351">
        <f>L439/(1-(1+L439)^-D439)</f>
        <v>0.13013423257204779</v>
      </c>
      <c r="N439" s="153">
        <f t="shared" si="11"/>
        <v>0</v>
      </c>
      <c r="O439" s="153"/>
      <c r="Q439" s="146"/>
    </row>
    <row r="440" spans="1:17" ht="14.4" x14ac:dyDescent="0.3">
      <c r="A440" t="s">
        <v>7253</v>
      </c>
      <c r="B440" s="99" t="s">
        <v>2690</v>
      </c>
      <c r="C440" s="158">
        <f>IF(E421=2,(VLOOKUP("Compressed natural gasa",Econ.Equations!$C:$E,2,FALSE)*E420^VLOOKUP("Compressed natural gasb",Econ.Equations!$C:$E,2,FALSE)*E420),0)</f>
        <v>0</v>
      </c>
      <c r="D440">
        <f>VLOOKUP("CAPEXLifetimeEquipmentDefault",Econ.inputsTable!$E:$G,2,FALSE)</f>
        <v>10</v>
      </c>
      <c r="E440" t="s">
        <v>2852</v>
      </c>
      <c r="F440" t="s">
        <v>2852</v>
      </c>
      <c r="G440" s="257">
        <f>VLOOKUP("CAPEXAnnual usage on activityItems that are used only on the given activityDefault",Econ.inputsTable!$E:$I,2,FALSE)</f>
        <v>1</v>
      </c>
      <c r="H440" s="503">
        <f t="shared" si="10"/>
        <v>5.0999999999999997E-2</v>
      </c>
      <c r="I440" s="257">
        <f>VLOOKUP("CAPEXSalvageEquipmentDefault",Econ.inputsTable!$E:$G,2,FALSE)</f>
        <v>0.2</v>
      </c>
      <c r="J440" s="153">
        <f>C440*I440</f>
        <v>0</v>
      </c>
      <c r="K440" s="257">
        <f>VLOOKUP("CAPEXFinanced amountNADefault", Econ.inputsTable!$E:$I,2,FALSE)</f>
        <v>1</v>
      </c>
      <c r="L440" s="364">
        <f t="shared" ref="L440:L441" si="12">H440*K440</f>
        <v>5.0999999999999997E-2</v>
      </c>
      <c r="M440" s="351">
        <f t="shared" ref="M440:M441" si="13">L440/(1-(1+L440)^-D440)</f>
        <v>0.13013423257204779</v>
      </c>
      <c r="N440" s="153">
        <f t="shared" si="11"/>
        <v>0</v>
      </c>
      <c r="Q440" s="146"/>
    </row>
    <row r="441" spans="1:17" ht="14.4" x14ac:dyDescent="0.3">
      <c r="A441" t="s">
        <v>7253</v>
      </c>
      <c r="B441" s="99" t="s">
        <v>2697</v>
      </c>
      <c r="C441" s="158">
        <f>IF(E423=1,(VLOOKUP("Compressed natural gas utility connectiona",Econ.Equations!$C:$E,2,FALSE)*E420^VLOOKUP("Compressed natural gas utility connectionb",Econ.Equations!$C:$E,2,FALSE)*E420),0)</f>
        <v>0</v>
      </c>
      <c r="D441">
        <f>VLOOKUP("CAPEXLifetimeEquipmentDefault",Econ.inputsTable!$E:$G,2,FALSE)</f>
        <v>10</v>
      </c>
      <c r="E441" t="s">
        <v>2852</v>
      </c>
      <c r="F441" t="s">
        <v>2852</v>
      </c>
      <c r="G441" s="257">
        <f>VLOOKUP("CAPEXAnnual usage on activityItems that are used only on the given activityDefault",Econ.inputsTable!$E:$I,2,FALSE)</f>
        <v>1</v>
      </c>
      <c r="H441" s="503">
        <f t="shared" si="10"/>
        <v>5.0999999999999997E-2</v>
      </c>
      <c r="I441" s="257">
        <f>VLOOKUP("CAPEXSalvageBuildings and constructionDefault", Econ.inputsTable!$E:$I,2,FALSE)</f>
        <v>0</v>
      </c>
      <c r="J441" s="153">
        <f>C441*I441</f>
        <v>0</v>
      </c>
      <c r="K441" s="257">
        <f>VLOOKUP("CAPEXFinanced amountNADefault", Econ.inputsTable!$E:$I,2,FALSE)</f>
        <v>1</v>
      </c>
      <c r="L441" s="364">
        <f t="shared" si="12"/>
        <v>5.0999999999999997E-2</v>
      </c>
      <c r="M441" s="351">
        <f t="shared" si="13"/>
        <v>0.13013423257204779</v>
      </c>
      <c r="N441" s="153">
        <f t="shared" si="11"/>
        <v>0</v>
      </c>
      <c r="Q441" s="146"/>
    </row>
    <row r="442" spans="1:17" ht="14.4" x14ac:dyDescent="0.3">
      <c r="B442" s="99"/>
      <c r="Q442" s="146"/>
    </row>
    <row r="443" spans="1:17" ht="14.4" x14ac:dyDescent="0.3">
      <c r="B443" s="99"/>
      <c r="C443" s="82" t="s">
        <v>6962</v>
      </c>
      <c r="D443" s="82" t="s">
        <v>6963</v>
      </c>
      <c r="F443" s="153">
        <v>1875106.9130624277</v>
      </c>
      <c r="G443" s="199" t="s">
        <v>7264</v>
      </c>
      <c r="Q443" s="146"/>
    </row>
    <row r="444" spans="1:17" ht="14.4" x14ac:dyDescent="0.3">
      <c r="A444" t="s">
        <v>4683</v>
      </c>
      <c r="B444" s="99" t="s">
        <v>6964</v>
      </c>
      <c r="C444" s="153">
        <f>SUM(C435:C441)</f>
        <v>356173.7397391983</v>
      </c>
      <c r="D444" s="158">
        <f>SUMPRODUCT(C435:C441,G435:G441)</f>
        <v>356173.7397391983</v>
      </c>
      <c r="Q444" s="146"/>
    </row>
    <row r="445" spans="1:17" ht="14.4" x14ac:dyDescent="0.3">
      <c r="A445" t="s">
        <v>4683</v>
      </c>
      <c r="B445" s="149" t="s">
        <v>6965</v>
      </c>
      <c r="C445" s="159">
        <f>SUM(N435:N441)</f>
        <v>28823.135132095718</v>
      </c>
      <c r="D445" s="159">
        <f>SUMPRODUCT(N435:N441,G435:G441)</f>
        <v>28823.135132095718</v>
      </c>
      <c r="E445" s="150"/>
      <c r="F445" s="150"/>
      <c r="G445" s="150"/>
      <c r="H445" s="150"/>
      <c r="I445" s="150"/>
      <c r="J445" s="150"/>
      <c r="K445" s="150"/>
      <c r="L445" s="150"/>
      <c r="M445" s="150"/>
      <c r="N445" s="150"/>
      <c r="O445" s="150"/>
      <c r="P445" s="150"/>
      <c r="Q445" s="151"/>
    </row>
    <row r="446" spans="1:17" ht="14.4" x14ac:dyDescent="0.3">
      <c r="B446" s="99"/>
      <c r="Q446" s="146"/>
    </row>
    <row r="447" spans="1:17" ht="43.2" x14ac:dyDescent="0.3">
      <c r="B447" s="160" t="s">
        <v>6966</v>
      </c>
      <c r="C447" s="152" t="s">
        <v>6967</v>
      </c>
      <c r="D447" s="152" t="s">
        <v>6968</v>
      </c>
      <c r="E447" s="152" t="s">
        <v>6969</v>
      </c>
      <c r="F447" s="152" t="s">
        <v>6970</v>
      </c>
      <c r="G447" s="152" t="s">
        <v>6971</v>
      </c>
      <c r="H447" s="152" t="s">
        <v>6972</v>
      </c>
      <c r="I447" s="152" t="s">
        <v>6973</v>
      </c>
      <c r="J447" s="152" t="s">
        <v>6974</v>
      </c>
      <c r="K447" s="152" t="s">
        <v>6975</v>
      </c>
      <c r="L447" s="152" t="s">
        <v>6976</v>
      </c>
      <c r="M447" s="152" t="s">
        <v>6977</v>
      </c>
      <c r="N447" s="152" t="s">
        <v>6978</v>
      </c>
      <c r="O447" s="152" t="s">
        <v>6979</v>
      </c>
      <c r="P447" s="152" t="s">
        <v>7219</v>
      </c>
      <c r="Q447" s="161" t="s">
        <v>7259</v>
      </c>
    </row>
    <row r="448" spans="1:17" ht="14.4" x14ac:dyDescent="0.3">
      <c r="B448" s="99" t="s">
        <v>4683</v>
      </c>
      <c r="C448" s="155">
        <f>VLOOKUP("OPEXInsuranceEverythingDefault",Econ.inputsTable!$E:$G,2,FALSE)</f>
        <v>5.0000000000000001E-3</v>
      </c>
      <c r="D448" s="155">
        <f>VLOOKUP("OPEXRepair and maintenanceBuildings and constructionDefault",Econ.inputsTable!$E:$G,2,FALSE)</f>
        <v>0.01</v>
      </c>
      <c r="N448" s="153"/>
      <c r="O448" s="153">
        <f>(SUM(C448:D448)*SUMPRODUCT(C435:C437,G435:G437)+SUM(E448,G448,I448,J448,L448,N448))</f>
        <v>5342.606096087974</v>
      </c>
      <c r="Q448" s="146"/>
    </row>
    <row r="449" spans="1:17" ht="14.4" x14ac:dyDescent="0.3">
      <c r="B449" s="99" t="s">
        <v>2681</v>
      </c>
      <c r="C449" s="155">
        <f>VLOOKUP("OPEXInsuranceEverythingDefault",Econ.inputsTable!$E:$G,2,FALSE)</f>
        <v>5.0000000000000001E-3</v>
      </c>
      <c r="D449" s="155">
        <f>VLOOKUP("OPEXRepair and maintenanceElectricity generation equipmentDefault",Econ.inputsTable!$E:$H,2,FALSE)</f>
        <v>0.06</v>
      </c>
      <c r="M449" s="166">
        <f>IF(E421="CHP",VLOOKUP("CHP operational laborm",Econ.Equations!$C:$E,2,FALSE)*E417+VLOOKUP("CHP operational laborb",Econ.Equations!$C:$E,2,FALSE),0)</f>
        <v>0</v>
      </c>
      <c r="N449" s="158">
        <f>M449*E430</f>
        <v>0</v>
      </c>
      <c r="O449" s="153">
        <f>(SUM(C449:D449)*(C438*G438)+SUM(E449,G449,I449,J449,L449,N449))+(P449*C438)+Q449</f>
        <v>0</v>
      </c>
      <c r="P449" s="155">
        <f>IF(E421="CHP",VLOOKUP("OPEXSystem operationsElectricity generation equipmentDefault",Econ.inputsTable!$E:$H,2,FALSE),0)</f>
        <v>0</v>
      </c>
      <c r="Q449" s="167">
        <f>IF(E421="CHP",(VLOOKUP("CHP energy inputsa",Econ.Equations!$C:$E,2,FALSE)*E418^VLOOKUP("CHP energy inputsb",Econ.Equations!$C:$E,2,FALSE)*E4806),0)</f>
        <v>0</v>
      </c>
    </row>
    <row r="450" spans="1:17" ht="14.4" x14ac:dyDescent="0.3">
      <c r="B450" s="99" t="s">
        <v>7217</v>
      </c>
      <c r="C450" s="155">
        <f>VLOOKUP("OPEXInsuranceEverythingDefault",Econ.inputsTable!$E:$G,2,FALSE)</f>
        <v>5.0000000000000001E-3</v>
      </c>
      <c r="D450" s="155"/>
      <c r="F450" s="153"/>
      <c r="M450" s="153"/>
      <c r="O450" s="153">
        <f>(SUM(C450:D450)*SUMPRODUCT(C439,G439)+SUM(E450,G450,I450,J450,L450,N450))</f>
        <v>0</v>
      </c>
      <c r="Q450" s="146"/>
    </row>
    <row r="451" spans="1:17" ht="14.4" x14ac:dyDescent="0.3">
      <c r="B451" s="99" t="s">
        <v>2690</v>
      </c>
      <c r="C451" s="236">
        <f>VLOOKUP("OPEXInsuranceEverythingDefault",Econ.inputsTable!$E:$G,2,FALSE)</f>
        <v>5.0000000000000001E-3</v>
      </c>
      <c r="D451" s="236">
        <f>VLOOKUP("OPEXRepair and maintenanceCNG equipmentDefault",Econ.inputsTable!$E:$H,2,FALSE)</f>
        <v>1.2999999999999999E-2</v>
      </c>
      <c r="G451" s="153">
        <f>IF(E423="CNG",(VLOOKUP("CNG energy inputsDefault",Econ.Tables!$C:$E,2,FALSE)*E419),0)</f>
        <v>0</v>
      </c>
      <c r="M451" s="166">
        <f>IF(E423="CNG",(VLOOKUP("CNG operational laborm",Econ.Equations!$C:$E,2,FALSE)*E419+VLOOKUP("CNG operational laborb",Econ.Equations!$C:$E,2,FALSE)),0)</f>
        <v>0</v>
      </c>
      <c r="N451" s="233">
        <f>M451*E432</f>
        <v>0</v>
      </c>
      <c r="O451" s="153">
        <f t="shared" ref="O451:O452" si="14">(SUM(C451:D451)*(C440*G440)+SUM(E451,G451,I451,J451,L451,N451))</f>
        <v>0</v>
      </c>
      <c r="Q451" s="146"/>
    </row>
    <row r="452" spans="1:17" ht="14.4" x14ac:dyDescent="0.3">
      <c r="B452" s="99" t="s">
        <v>2697</v>
      </c>
      <c r="C452" s="236">
        <f>VLOOKUP("OPEXInsuranceEverythingDefault",Econ.inputsTable!$E:$G,2,FALSE)</f>
        <v>5.0000000000000001E-3</v>
      </c>
      <c r="D452" s="236"/>
      <c r="G452" s="153"/>
      <c r="M452" s="153"/>
      <c r="O452" s="153">
        <f t="shared" si="14"/>
        <v>0</v>
      </c>
      <c r="Q452" s="146"/>
    </row>
    <row r="453" spans="1:17" ht="14.4" x14ac:dyDescent="0.3">
      <c r="A453" t="s">
        <v>4683</v>
      </c>
      <c r="B453" s="162" t="s">
        <v>5203</v>
      </c>
      <c r="C453" s="163"/>
      <c r="D453" s="505"/>
      <c r="E453" s="529">
        <f t="shared" ref="E453:Q453" si="15">SUM(E448:E450)</f>
        <v>0</v>
      </c>
      <c r="F453" s="163">
        <f t="shared" si="15"/>
        <v>0</v>
      </c>
      <c r="G453" s="529">
        <f t="shared" si="15"/>
        <v>0</v>
      </c>
      <c r="H453" s="163">
        <f t="shared" si="15"/>
        <v>0</v>
      </c>
      <c r="I453" s="529">
        <f t="shared" si="15"/>
        <v>0</v>
      </c>
      <c r="J453" s="529">
        <f t="shared" si="15"/>
        <v>0</v>
      </c>
      <c r="K453" s="163">
        <f t="shared" si="15"/>
        <v>0</v>
      </c>
      <c r="L453" s="529">
        <f t="shared" si="15"/>
        <v>0</v>
      </c>
      <c r="M453" s="168">
        <f t="shared" si="15"/>
        <v>0</v>
      </c>
      <c r="N453" s="529">
        <f t="shared" si="15"/>
        <v>0</v>
      </c>
      <c r="O453" s="529">
        <f t="shared" si="15"/>
        <v>5342.606096087974</v>
      </c>
      <c r="P453" s="550">
        <f t="shared" si="15"/>
        <v>0</v>
      </c>
      <c r="Q453" s="530">
        <f t="shared" si="15"/>
        <v>0</v>
      </c>
    </row>
    <row r="454" spans="1:17" ht="14.4" x14ac:dyDescent="0.3">
      <c r="B454" s="99"/>
      <c r="D454" s="155"/>
      <c r="E454" s="155"/>
      <c r="F454" s="158"/>
      <c r="G454" s="154"/>
      <c r="H454" s="156"/>
      <c r="I454" s="153"/>
      <c r="Q454" s="146"/>
    </row>
    <row r="455" spans="1:17" ht="14.4" x14ac:dyDescent="0.3">
      <c r="A455" t="s">
        <v>4683</v>
      </c>
      <c r="B455" s="149" t="s">
        <v>6980</v>
      </c>
      <c r="C455" s="159">
        <f>O453</f>
        <v>5342.606096087974</v>
      </c>
      <c r="D455" s="150"/>
      <c r="E455" s="150"/>
      <c r="F455" s="150"/>
      <c r="G455" s="150"/>
      <c r="H455" s="150"/>
      <c r="I455" s="150"/>
      <c r="J455" s="150"/>
      <c r="K455" s="150"/>
      <c r="L455" s="150"/>
      <c r="M455" s="150"/>
      <c r="N455" s="150"/>
      <c r="O455" s="150"/>
      <c r="P455" s="150"/>
      <c r="Q455" s="151"/>
    </row>
    <row r="456" spans="1:17" ht="14.4" x14ac:dyDescent="0.3">
      <c r="B456" s="262"/>
      <c r="C456" s="142"/>
      <c r="D456" s="142"/>
      <c r="E456" s="142"/>
      <c r="F456" s="142"/>
      <c r="G456" s="142"/>
      <c r="H456" s="142"/>
      <c r="I456" s="142"/>
      <c r="J456" s="142"/>
      <c r="K456" s="142"/>
      <c r="L456" s="142"/>
      <c r="M456" s="142"/>
      <c r="N456" s="142"/>
      <c r="O456" s="142"/>
      <c r="P456" s="142"/>
      <c r="Q456" s="141"/>
    </row>
    <row r="457" spans="1:17" ht="14.4" x14ac:dyDescent="0.3">
      <c r="B457" s="92" t="s">
        <v>7220</v>
      </c>
      <c r="C457" s="82" t="s">
        <v>4888</v>
      </c>
      <c r="Q457" s="146"/>
    </row>
    <row r="458" spans="1:17" ht="14.4" x14ac:dyDescent="0.3">
      <c r="A458" t="s">
        <v>4683</v>
      </c>
      <c r="B458" s="99" t="s">
        <v>7221</v>
      </c>
      <c r="C458" s="166"/>
      <c r="E458" s="34"/>
      <c r="Q458" s="146"/>
    </row>
    <row r="459" spans="1:17" ht="14.4" x14ac:dyDescent="0.3">
      <c r="A459" t="s">
        <v>4683</v>
      </c>
      <c r="B459" s="99" t="s">
        <v>7222</v>
      </c>
      <c r="C459" s="166"/>
      <c r="D459" t="s">
        <v>7223</v>
      </c>
      <c r="E459" s="34"/>
      <c r="P459" s="146"/>
    </row>
    <row r="460" spans="1:17" ht="14.4" x14ac:dyDescent="0.3">
      <c r="B460" s="99"/>
      <c r="Q460" s="146"/>
    </row>
    <row r="461" spans="1:17" ht="14.4" x14ac:dyDescent="0.3">
      <c r="B461" s="531" t="s">
        <v>7104</v>
      </c>
      <c r="C461" s="82" t="s">
        <v>5745</v>
      </c>
      <c r="Q461" s="146"/>
    </row>
    <row r="462" spans="1:17" ht="14.4" x14ac:dyDescent="0.3">
      <c r="A462" t="s">
        <v>4683</v>
      </c>
      <c r="B462" s="99" t="s">
        <v>7224</v>
      </c>
      <c r="C462" s="532"/>
      <c r="Q462" s="146"/>
    </row>
    <row r="463" spans="1:17" ht="14.4" x14ac:dyDescent="0.3">
      <c r="A463" t="s">
        <v>4683</v>
      </c>
      <c r="B463" s="99" t="s">
        <v>7225</v>
      </c>
      <c r="C463" s="532"/>
      <c r="P463" s="146"/>
    </row>
    <row r="464" spans="1:17" ht="14.4" x14ac:dyDescent="0.3">
      <c r="B464" s="99"/>
      <c r="C464" s="532"/>
      <c r="Q464" s="146"/>
    </row>
    <row r="465" spans="1:17" ht="14.4" x14ac:dyDescent="0.3">
      <c r="A465" t="s">
        <v>4683</v>
      </c>
      <c r="B465" s="99" t="s">
        <v>7107</v>
      </c>
      <c r="C465" s="532"/>
      <c r="Q465" s="146"/>
    </row>
    <row r="467" spans="1:17" ht="14.4" x14ac:dyDescent="0.3">
      <c r="B467" s="247" t="s">
        <v>7226</v>
      </c>
      <c r="C467" s="82" t="s">
        <v>5745</v>
      </c>
    </row>
    <row r="468" spans="1:17" ht="14.4" x14ac:dyDescent="0.3">
      <c r="A468" t="s">
        <v>4683</v>
      </c>
      <c r="B468" s="99" t="s">
        <v>7227</v>
      </c>
      <c r="C468" s="532"/>
    </row>
    <row r="469" spans="1:17" ht="14.4" x14ac:dyDescent="0.3">
      <c r="A469" t="s">
        <v>4683</v>
      </c>
      <c r="B469" s="99" t="s">
        <v>7228</v>
      </c>
      <c r="C469" s="532"/>
    </row>
    <row r="470" spans="1:17" ht="14.4" x14ac:dyDescent="0.3">
      <c r="A470" t="s">
        <v>4683</v>
      </c>
      <c r="B470" s="99" t="s">
        <v>1313</v>
      </c>
      <c r="C470" s="532"/>
    </row>
    <row r="471" spans="1:17" ht="14.4" x14ac:dyDescent="0.3">
      <c r="A471" t="s">
        <v>4683</v>
      </c>
      <c r="B471" s="99" t="s">
        <v>7229</v>
      </c>
      <c r="C471" s="532">
        <f>UDV.econ_energy.carbon_credits*C424</f>
        <v>0</v>
      </c>
    </row>
    <row r="472" spans="1:17" ht="14.4" x14ac:dyDescent="0.3">
      <c r="A472" t="s">
        <v>4683</v>
      </c>
      <c r="B472" s="99" t="s">
        <v>7231</v>
      </c>
      <c r="C472" s="532">
        <f>UDV.econ_energy.carbon_credits*C425</f>
        <v>0</v>
      </c>
    </row>
    <row r="473" spans="1:17" ht="14.4" x14ac:dyDescent="0.3">
      <c r="B473" s="99"/>
      <c r="C473" s="532"/>
    </row>
    <row r="474" spans="1:17" ht="14.4" x14ac:dyDescent="0.3">
      <c r="A474" t="s">
        <v>4683</v>
      </c>
      <c r="B474" s="99" t="s">
        <v>7232</v>
      </c>
      <c r="C474" s="532">
        <f>SUM(C468:C471)</f>
        <v>0</v>
      </c>
    </row>
    <row r="475" spans="1:17" ht="14.4" x14ac:dyDescent="0.3">
      <c r="A475" t="s">
        <v>4683</v>
      </c>
      <c r="B475" s="149" t="s">
        <v>7234</v>
      </c>
      <c r="C475" s="534">
        <f>SUM(C468:C470,C472)</f>
        <v>0</v>
      </c>
      <c r="D475" s="150"/>
      <c r="E475" s="150"/>
      <c r="F475" s="150"/>
    </row>
    <row r="476" spans="1:17" ht="15" thickBot="1" x14ac:dyDescent="0.35">
      <c r="A476" s="137"/>
      <c r="B476" s="137"/>
      <c r="C476" s="137"/>
      <c r="D476" s="137"/>
      <c r="E476" s="137"/>
      <c r="F476" s="137"/>
    </row>
    <row r="477" spans="1:17" ht="14.4" x14ac:dyDescent="0.3"/>
    <row r="478" spans="1:17" ht="15.6" x14ac:dyDescent="0.3">
      <c r="B478" s="138" t="s">
        <v>5210</v>
      </c>
      <c r="C478" s="34"/>
    </row>
    <row r="479" spans="1:17" ht="14.4" x14ac:dyDescent="0.3"/>
    <row r="480" spans="1:17" ht="14.4" x14ac:dyDescent="0.3">
      <c r="B480" s="139" t="s">
        <v>6942</v>
      </c>
      <c r="C480" s="140"/>
      <c r="D480" s="140"/>
      <c r="E480" s="139"/>
      <c r="F480" s="141"/>
    </row>
    <row r="481" spans="1:15" ht="14.4" x14ac:dyDescent="0.3">
      <c r="B481" s="143" t="s">
        <v>2663</v>
      </c>
      <c r="C481" s="144" t="s">
        <v>565</v>
      </c>
      <c r="D481" s="144" t="s">
        <v>6943</v>
      </c>
      <c r="E481" s="143" t="s">
        <v>565</v>
      </c>
      <c r="F481" s="145" t="s">
        <v>6944</v>
      </c>
    </row>
    <row r="482" spans="1:15" ht="14.4" x14ac:dyDescent="0.3">
      <c r="B482" s="99" t="s">
        <v>5437</v>
      </c>
      <c r="C482" s="147">
        <f>VLOOKUP(B482,$R:$U,3,FALSE)</f>
        <v>5103.5144459118055</v>
      </c>
      <c r="D482" s="146" t="s">
        <v>2478</v>
      </c>
      <c r="E482" s="148">
        <f>CONVERT(C482,"m^3","ft^3")</f>
        <v>180228.91176567791</v>
      </c>
      <c r="F482" s="146" t="s">
        <v>2479</v>
      </c>
    </row>
    <row r="483" spans="1:15" ht="14.4" x14ac:dyDescent="0.3">
      <c r="B483" s="149" t="s">
        <v>6343</v>
      </c>
      <c r="C483" s="295">
        <f>VLOOKUP(B483,$R:$U,3,FALSE)</f>
        <v>2520.2986018694792</v>
      </c>
      <c r="D483" s="151" t="s">
        <v>2268</v>
      </c>
      <c r="E483" s="359">
        <f>CONVERT(C483,"m^2","ft^2")</f>
        <v>27128.268373881834</v>
      </c>
      <c r="F483" s="151" t="s">
        <v>2267</v>
      </c>
    </row>
    <row r="484" spans="1:15" ht="14.4" x14ac:dyDescent="0.3"/>
    <row r="485" spans="1:15" s="369" customFormat="1" ht="57.6" x14ac:dyDescent="0.3">
      <c r="B485" s="370" t="s">
        <v>6946</v>
      </c>
      <c r="C485" s="362" t="s">
        <v>6947</v>
      </c>
      <c r="D485" s="371" t="s">
        <v>6948</v>
      </c>
      <c r="E485" s="362" t="s">
        <v>6949</v>
      </c>
      <c r="F485" s="362" t="s">
        <v>6950</v>
      </c>
      <c r="G485" s="362" t="s">
        <v>6951</v>
      </c>
      <c r="H485" s="362" t="s">
        <v>6952</v>
      </c>
      <c r="I485" s="371" t="s">
        <v>6953</v>
      </c>
      <c r="J485" s="371" t="s">
        <v>6954</v>
      </c>
      <c r="K485" s="362" t="s">
        <v>6955</v>
      </c>
      <c r="L485" s="362" t="s">
        <v>6956</v>
      </c>
      <c r="M485" s="362" t="s">
        <v>6957</v>
      </c>
      <c r="N485" s="362" t="s">
        <v>6958</v>
      </c>
      <c r="O485" s="363" t="s">
        <v>6959</v>
      </c>
    </row>
    <row r="486" spans="1:15" ht="14.4" x14ac:dyDescent="0.3">
      <c r="A486" t="s">
        <v>7093</v>
      </c>
      <c r="B486" s="99" t="s">
        <v>7094</v>
      </c>
      <c r="C486" s="153">
        <f>VLOOKUP("Lagoon constructiona",Econ.Equations!C:E,2,FALSE)*E482^VLOOKUP("Lagoon constructionb",Econ.Equations!$C:$E,2,FALSE)*E482</f>
        <v>53572.865855653443</v>
      </c>
      <c r="D486">
        <f>VLOOKUP("CAPEXLifetimeBuildings and constructionDefault",Econ.inputsTable!$E:$I,2,FALSE)</f>
        <v>20</v>
      </c>
      <c r="E486" t="s">
        <v>2852</v>
      </c>
      <c r="F486" t="s">
        <v>2852</v>
      </c>
      <c r="G486" s="154">
        <f>VLOOKUP("CAPEXAnnual usage on activityItems that are used only on the given activityDefault",Econ.inputsTable!$E:$I,2,FALSE)</f>
        <v>1</v>
      </c>
      <c r="H486" s="503">
        <f>UDV.econ_capital.interest_rate</f>
        <v>5.0999999999999997E-2</v>
      </c>
      <c r="I486" s="155">
        <f>VLOOKUP("CAPEXSalvageBuildings and constructionDefault",Econ.inputsTable!$E:$J,2,FALSE)</f>
        <v>0</v>
      </c>
      <c r="J486" s="156">
        <f>C486*I486</f>
        <v>0</v>
      </c>
      <c r="K486" s="154">
        <f>VLOOKUP("CAPEXFinanced amountNADefault",Econ.inputsTable!$E:$G,2,FALSE)</f>
        <v>1</v>
      </c>
      <c r="L486" s="364">
        <f>H486*K486</f>
        <v>5.0999999999999997E-2</v>
      </c>
      <c r="M486" s="351">
        <f>L486/(1-(1+L486)^-D486)</f>
        <v>8.0924368970045152E-2</v>
      </c>
      <c r="N486" s="153">
        <f>((C486-J486)*M486)+(J486*L486)</f>
        <v>4335.3503632856327</v>
      </c>
      <c r="O486" s="372">
        <f>N486*G486</f>
        <v>4335.3503632856327</v>
      </c>
    </row>
    <row r="487" spans="1:15" ht="14.4" x14ac:dyDescent="0.3">
      <c r="A487" t="s">
        <v>7093</v>
      </c>
      <c r="B487" s="99" t="s">
        <v>7095</v>
      </c>
      <c r="C487" s="373">
        <f>UDV.econ_liner.lagoon_geomembrane*E483</f>
        <v>67820.670934704583</v>
      </c>
      <c r="D487">
        <f>VLOOKUP("CAPEXLifetimeBuildings and constructionDefault",Econ.inputsTable!$E:$I,2,FALSE)</f>
        <v>20</v>
      </c>
      <c r="E487" t="s">
        <v>2852</v>
      </c>
      <c r="F487" t="s">
        <v>2852</v>
      </c>
      <c r="G487" s="154">
        <f>VLOOKUP("CAPEXAnnual usage on activityItems that are used only on the given activityDefault",Econ.inputsTable!E:G,2,FALSE)</f>
        <v>1</v>
      </c>
      <c r="H487" s="503">
        <f>UDV.econ_capital.interest_rate</f>
        <v>5.0999999999999997E-2</v>
      </c>
      <c r="I487" s="155">
        <f>VLOOKUP("CAPEXSalvageBuildings and constructionDefault",Econ.inputsTable!$E:$J,2,FALSE)</f>
        <v>0</v>
      </c>
      <c r="J487" s="156">
        <f>C487*I487</f>
        <v>0</v>
      </c>
      <c r="K487" s="154">
        <f>VLOOKUP("CAPEXFinanced amountNADefault",Econ.inputsTable!$E:$G,2,FALSE)</f>
        <v>1</v>
      </c>
      <c r="L487" s="364">
        <f>H487*K487</f>
        <v>5.0999999999999997E-2</v>
      </c>
      <c r="M487" s="351">
        <f>L487/(1-(1+L487)^-D487)</f>
        <v>8.0924368970045152E-2</v>
      </c>
      <c r="N487" s="153">
        <f>((C487-J487)*M487)+(J487*L487)</f>
        <v>5488.3449985160505</v>
      </c>
      <c r="O487" s="372">
        <f>N487*G487</f>
        <v>5488.3449985160505</v>
      </c>
    </row>
    <row r="488" spans="1:15" ht="14.4" x14ac:dyDescent="0.3">
      <c r="B488" s="99"/>
      <c r="O488" s="146"/>
    </row>
    <row r="489" spans="1:15" ht="14.4" x14ac:dyDescent="0.3">
      <c r="B489" s="99"/>
      <c r="C489" s="82" t="s">
        <v>6962</v>
      </c>
      <c r="D489" s="82" t="s">
        <v>6963</v>
      </c>
      <c r="O489" s="146"/>
    </row>
    <row r="490" spans="1:15" ht="14.4" x14ac:dyDescent="0.3">
      <c r="A490" t="s">
        <v>5210</v>
      </c>
      <c r="B490" s="99" t="s">
        <v>6964</v>
      </c>
      <c r="C490" s="153">
        <f>SUM(C486:C487)</f>
        <v>121393.53679035802</v>
      </c>
      <c r="D490" s="158">
        <f>SUMPRODUCT(C486:C487,G486:G487)</f>
        <v>121393.53679035802</v>
      </c>
      <c r="O490" s="146"/>
    </row>
    <row r="491" spans="1:15" ht="14.4" x14ac:dyDescent="0.3">
      <c r="A491" t="s">
        <v>5210</v>
      </c>
      <c r="B491" s="149" t="s">
        <v>6965</v>
      </c>
      <c r="C491" s="159">
        <f>SUM(N486:N487)</f>
        <v>9823.6953618016832</v>
      </c>
      <c r="D491" s="159">
        <f>SUMPRODUCT(N486:N487,G486:G487)</f>
        <v>9823.6953618016832</v>
      </c>
      <c r="E491" s="150"/>
      <c r="F491" s="150"/>
      <c r="G491" s="150"/>
      <c r="H491" s="150"/>
      <c r="I491" s="150"/>
      <c r="J491" s="150"/>
      <c r="K491" s="150"/>
      <c r="L491" s="150"/>
      <c r="M491" s="150"/>
      <c r="N491" s="150"/>
      <c r="O491" s="151"/>
    </row>
    <row r="492" spans="1:15" ht="14.4" x14ac:dyDescent="0.3">
      <c r="B492" s="262"/>
      <c r="C492" s="142"/>
      <c r="D492" s="142"/>
      <c r="E492" s="142"/>
      <c r="F492" s="142"/>
      <c r="G492" s="142"/>
      <c r="H492" s="142"/>
      <c r="I492" s="142"/>
      <c r="J492" s="142"/>
      <c r="K492" s="142"/>
      <c r="L492" s="142"/>
      <c r="M492" s="142"/>
      <c r="N492" s="142"/>
      <c r="O492" s="141"/>
    </row>
    <row r="493" spans="1:15" ht="43.2" x14ac:dyDescent="0.3">
      <c r="B493" s="160" t="s">
        <v>6966</v>
      </c>
      <c r="C493" s="152" t="s">
        <v>6967</v>
      </c>
      <c r="D493" s="152" t="s">
        <v>6968</v>
      </c>
      <c r="E493" s="152" t="s">
        <v>6969</v>
      </c>
      <c r="F493" s="152" t="s">
        <v>6970</v>
      </c>
      <c r="G493" s="152" t="s">
        <v>6971</v>
      </c>
      <c r="H493" s="152" t="s">
        <v>6972</v>
      </c>
      <c r="I493" s="152" t="s">
        <v>6973</v>
      </c>
      <c r="J493" s="152" t="s">
        <v>6974</v>
      </c>
      <c r="K493" s="152" t="s">
        <v>6975</v>
      </c>
      <c r="L493" s="152" t="s">
        <v>6976</v>
      </c>
      <c r="M493" s="152" t="s">
        <v>6977</v>
      </c>
      <c r="N493" s="152" t="s">
        <v>6978</v>
      </c>
      <c r="O493" s="161" t="s">
        <v>6979</v>
      </c>
    </row>
    <row r="494" spans="1:15" ht="14.4" x14ac:dyDescent="0.3">
      <c r="B494" s="99" t="s">
        <v>5210</v>
      </c>
      <c r="C494" s="155">
        <f>VLOOKUP("OPEXInsuranceEverythingDefault",Econ.inputsTable!$E$1:$J$213,2,FALSE)</f>
        <v>5.0000000000000001E-3</v>
      </c>
      <c r="D494" s="155">
        <f>VLOOKUP("OPEXRepair and maintenanceBuildings and constructionDefault",Econ.inputsTable!$E$1:$J$503,2,FALSE)</f>
        <v>0.01</v>
      </c>
      <c r="O494" s="157">
        <f>(SUM(C494:D494)*SUMPRODUCT(C486:C487,G486:G487))+SUM(E494,G494,I494,J494,L494,N494)</f>
        <v>1820.9030518553702</v>
      </c>
    </row>
    <row r="495" spans="1:15" ht="14.4" x14ac:dyDescent="0.3">
      <c r="A495" t="s">
        <v>5210</v>
      </c>
      <c r="B495" s="162" t="s">
        <v>5203</v>
      </c>
      <c r="C495" s="241"/>
      <c r="D495" s="241"/>
      <c r="E495" s="367">
        <f t="shared" ref="E495:O495" si="16">SUM(E494)</f>
        <v>0</v>
      </c>
      <c r="F495" s="537">
        <f t="shared" si="16"/>
        <v>0</v>
      </c>
      <c r="G495" s="367">
        <f t="shared" si="16"/>
        <v>0</v>
      </c>
      <c r="H495" s="537">
        <f t="shared" si="16"/>
        <v>0</v>
      </c>
      <c r="I495" s="367">
        <f t="shared" si="16"/>
        <v>0</v>
      </c>
      <c r="J495" s="367">
        <f t="shared" si="16"/>
        <v>0</v>
      </c>
      <c r="K495" s="537">
        <f t="shared" si="16"/>
        <v>0</v>
      </c>
      <c r="L495" s="367">
        <f t="shared" si="16"/>
        <v>0</v>
      </c>
      <c r="M495" s="537">
        <f t="shared" si="16"/>
        <v>0</v>
      </c>
      <c r="N495" s="367">
        <f t="shared" si="16"/>
        <v>0</v>
      </c>
      <c r="O495" s="169">
        <f t="shared" si="16"/>
        <v>1820.9030518553702</v>
      </c>
    </row>
    <row r="496" spans="1:15" ht="14.4" x14ac:dyDescent="0.3">
      <c r="B496" s="99"/>
      <c r="C496" s="155"/>
      <c r="D496" s="155"/>
      <c r="E496" s="155"/>
      <c r="F496" s="158"/>
      <c r="G496" s="154"/>
      <c r="H496" s="156"/>
      <c r="I496" s="153"/>
      <c r="O496" s="146"/>
    </row>
    <row r="497" spans="1:15" ht="14.4" x14ac:dyDescent="0.3">
      <c r="A497" t="s">
        <v>5210</v>
      </c>
      <c r="B497" s="149" t="s">
        <v>6980</v>
      </c>
      <c r="C497" s="159">
        <f>SUM(O494)</f>
        <v>1820.9030518553702</v>
      </c>
      <c r="D497" s="150"/>
      <c r="E497" s="150"/>
      <c r="F497" s="150"/>
      <c r="G497" s="150"/>
      <c r="H497" s="150"/>
      <c r="I497" s="150"/>
      <c r="J497" s="150"/>
      <c r="K497" s="150"/>
      <c r="L497" s="150"/>
      <c r="M497" s="150"/>
      <c r="N497" s="150"/>
      <c r="O497" s="151"/>
    </row>
    <row r="498" spans="1:15" ht="15" thickBot="1" x14ac:dyDescent="0.35">
      <c r="A498" s="137"/>
      <c r="B498" s="137"/>
      <c r="C498" s="137"/>
      <c r="D498" s="137"/>
      <c r="E498" s="137"/>
      <c r="F498" s="137"/>
      <c r="G498" s="137"/>
      <c r="H498" s="137"/>
      <c r="I498" s="137"/>
      <c r="J498" s="137"/>
      <c r="K498" s="137"/>
      <c r="L498" s="137"/>
      <c r="M498" s="137"/>
      <c r="N498" s="137"/>
      <c r="O498" s="137"/>
    </row>
    <row r="499" spans="1:15" ht="14.4" x14ac:dyDescent="0.3"/>
    <row r="500" spans="1:15" ht="15.75" customHeight="1" x14ac:dyDescent="0.3">
      <c r="B500" s="82" t="s">
        <v>7235</v>
      </c>
      <c r="C500" s="170" t="s">
        <v>7260</v>
      </c>
    </row>
    <row r="501" spans="1:15" ht="15.75" customHeight="1" x14ac:dyDescent="0.3">
      <c r="B501" s="138"/>
    </row>
    <row r="502" spans="1:15" ht="15.75" customHeight="1" x14ac:dyDescent="0.3">
      <c r="B502" s="139" t="s">
        <v>6983</v>
      </c>
      <c r="C502" s="140" t="s">
        <v>565</v>
      </c>
      <c r="D502" s="140" t="s">
        <v>38</v>
      </c>
      <c r="E502" s="142"/>
      <c r="F502" s="141"/>
    </row>
    <row r="503" spans="1:15" ht="15.75" customHeight="1" x14ac:dyDescent="0.3">
      <c r="B503" s="99" t="s">
        <v>6984</v>
      </c>
      <c r="C503">
        <f>UDV.crops.acres_available</f>
        <v>100</v>
      </c>
      <c r="D503" t="s">
        <v>5385</v>
      </c>
      <c r="E503" s="34"/>
      <c r="F503" s="146"/>
    </row>
    <row r="504" spans="1:15" ht="15.75" customHeight="1" x14ac:dyDescent="0.3">
      <c r="B504" s="99" t="s">
        <v>7109</v>
      </c>
      <c r="C504" s="166">
        <f>UDV.econ_manure.liquid_sell_pct*VLOOKUP("Excess volume, lagoon liquid manure",$R$1:$T$332, 3, FALSE)</f>
        <v>0</v>
      </c>
      <c r="D504" t="s">
        <v>5246</v>
      </c>
      <c r="F504" s="146"/>
    </row>
    <row r="505" spans="1:15" ht="15.75" customHeight="1" x14ac:dyDescent="0.3">
      <c r="B505" s="99" t="s">
        <v>7110</v>
      </c>
      <c r="C505" s="166">
        <f>UDV.econ_manure.liquid_give_pct*VLOOKUP("Excess volume, lagoon liquid manure",$R$1:$T$332, 3, FALSE)</f>
        <v>0</v>
      </c>
      <c r="D505" t="s">
        <v>5246</v>
      </c>
      <c r="F505" s="146"/>
    </row>
    <row r="506" spans="1:15" ht="15.75" customHeight="1" x14ac:dyDescent="0.3">
      <c r="B506" s="99" t="s">
        <v>7111</v>
      </c>
      <c r="C506" s="166">
        <f>UDV.econ_manure.liquid_export_pct*VLOOKUP("Excess volume, lagoon liquid manure",$R$1:$T$332, 3, FALSE)</f>
        <v>0</v>
      </c>
      <c r="D506" t="s">
        <v>5246</v>
      </c>
      <c r="F506" s="146"/>
    </row>
    <row r="507" spans="1:15" ht="15.75" customHeight="1" x14ac:dyDescent="0.3">
      <c r="B507" s="99" t="s">
        <v>7112</v>
      </c>
      <c r="C507" s="166">
        <f>UDV.econ_manure.sludge_sell_pct*VLOOKUP("Excess volume, lagoon sludge manure",$R$1:$T$332, 3, FALSE)</f>
        <v>0</v>
      </c>
      <c r="D507" t="s">
        <v>5246</v>
      </c>
      <c r="F507" s="146"/>
    </row>
    <row r="508" spans="1:15" ht="15.75" customHeight="1" x14ac:dyDescent="0.3">
      <c r="B508" s="99" t="s">
        <v>7113</v>
      </c>
      <c r="C508" s="166">
        <f>UDV.econ_manure.sludge_give_pct*VLOOKUP("Excess volume, lagoon sludge manure",$R$1:$T$332, 3, FALSE)</f>
        <v>22.46799725618348</v>
      </c>
      <c r="D508" t="s">
        <v>5246</v>
      </c>
      <c r="F508" s="146"/>
    </row>
    <row r="509" spans="1:15" ht="15.75" customHeight="1" x14ac:dyDescent="0.3">
      <c r="B509" s="99" t="s">
        <v>7114</v>
      </c>
      <c r="C509" s="166">
        <f>UDV.econ_manure.sludge_export_pct*VLOOKUP("Excess volume, lagoon sludge manure",$R$1:$T$332, 3, FALSE)</f>
        <v>0</v>
      </c>
      <c r="D509" t="s">
        <v>5246</v>
      </c>
      <c r="F509" s="146"/>
    </row>
    <row r="510" spans="1:15" ht="14.4" x14ac:dyDescent="0.3">
      <c r="B510" s="99"/>
      <c r="F510" s="151"/>
    </row>
    <row r="511" spans="1:15" ht="15.75" customHeight="1" x14ac:dyDescent="0.3">
      <c r="B511" s="92" t="s">
        <v>6942</v>
      </c>
      <c r="E511" s="139" t="s">
        <v>6988</v>
      </c>
      <c r="F511" s="141"/>
    </row>
    <row r="512" spans="1:15" ht="15.75" customHeight="1" x14ac:dyDescent="0.3">
      <c r="B512" s="175" t="s">
        <v>2908</v>
      </c>
      <c r="E512" s="99"/>
      <c r="F512" s="146"/>
    </row>
    <row r="513" spans="2:6" ht="15.75" customHeight="1" x14ac:dyDescent="0.3">
      <c r="B513" s="143" t="s">
        <v>2663</v>
      </c>
      <c r="C513" s="144" t="s">
        <v>565</v>
      </c>
      <c r="D513" s="144" t="s">
        <v>6943</v>
      </c>
      <c r="E513" s="143" t="s">
        <v>565</v>
      </c>
      <c r="F513" s="145" t="s">
        <v>6944</v>
      </c>
    </row>
    <row r="514" spans="2:6" ht="14.4" x14ac:dyDescent="0.3">
      <c r="B514" s="99" t="s">
        <v>5676</v>
      </c>
      <c r="C514" s="147">
        <f>VLOOKUP(B514,$R:$U,3,FALSE)</f>
        <v>160</v>
      </c>
      <c r="D514" t="s">
        <v>5689</v>
      </c>
      <c r="E514" s="99">
        <f>C514</f>
        <v>160</v>
      </c>
      <c r="F514" s="146" t="s">
        <v>5689</v>
      </c>
    </row>
    <row r="515" spans="2:6" ht="14.4" x14ac:dyDescent="0.3">
      <c r="B515" s="99" t="s">
        <v>6989</v>
      </c>
      <c r="C515" s="147"/>
      <c r="D515" t="s">
        <v>2442</v>
      </c>
      <c r="E515" s="99">
        <f>E516</f>
        <v>1</v>
      </c>
      <c r="F515" s="146" t="s">
        <v>2442</v>
      </c>
    </row>
    <row r="516" spans="2:6" ht="14.4" x14ac:dyDescent="0.3">
      <c r="B516" s="222" t="s">
        <v>5735</v>
      </c>
      <c r="C516" s="147">
        <f>VLOOKUP(B516,$R:$U,3,FALSE)</f>
        <v>1</v>
      </c>
      <c r="D516" t="s">
        <v>2442</v>
      </c>
      <c r="E516" s="178">
        <f>C516</f>
        <v>1</v>
      </c>
      <c r="F516" s="146" t="s">
        <v>2442</v>
      </c>
    </row>
    <row r="517" spans="2:6" ht="15.75" customHeight="1" x14ac:dyDescent="0.3">
      <c r="B517" s="99" t="s">
        <v>5663</v>
      </c>
      <c r="C517" s="147">
        <f>VLOOKUP(B517,$R:$U,3,FALSE)</f>
        <v>180</v>
      </c>
      <c r="D517" t="s">
        <v>5689</v>
      </c>
      <c r="E517" s="99">
        <f>C517</f>
        <v>180</v>
      </c>
      <c r="F517" s="146" t="s">
        <v>5689</v>
      </c>
    </row>
    <row r="518" spans="2:6" ht="14.4" x14ac:dyDescent="0.3">
      <c r="B518" s="99" t="s">
        <v>6990</v>
      </c>
      <c r="C518" s="297"/>
      <c r="D518" t="s">
        <v>2442</v>
      </c>
      <c r="E518" s="99">
        <f>E519</f>
        <v>1</v>
      </c>
      <c r="F518" s="146" t="s">
        <v>2442</v>
      </c>
    </row>
    <row r="519" spans="2:6" ht="14.4" x14ac:dyDescent="0.3">
      <c r="B519" s="222" t="s">
        <v>5736</v>
      </c>
      <c r="C519" s="147">
        <f>VLOOKUP(B519,$R:$U,3,FALSE)</f>
        <v>1</v>
      </c>
      <c r="D519" t="s">
        <v>2442</v>
      </c>
      <c r="E519" s="178">
        <f>C519</f>
        <v>1</v>
      </c>
      <c r="F519" s="146" t="s">
        <v>2442</v>
      </c>
    </row>
    <row r="520" spans="2:6" ht="14.4" x14ac:dyDescent="0.3">
      <c r="B520" s="99" t="s">
        <v>5638</v>
      </c>
      <c r="C520" s="147">
        <f>VLOOKUP(B520,$R:$U,3,FALSE)</f>
        <v>250</v>
      </c>
      <c r="D520" t="s">
        <v>5689</v>
      </c>
      <c r="E520" s="99">
        <f>C520</f>
        <v>250</v>
      </c>
      <c r="F520" s="146" t="s">
        <v>5689</v>
      </c>
    </row>
    <row r="521" spans="2:6" ht="14.4" x14ac:dyDescent="0.3">
      <c r="B521" s="99" t="s">
        <v>5637</v>
      </c>
      <c r="C521" s="147">
        <f>VLOOKUP(B521,$R:$U,3,FALSE)</f>
        <v>6000</v>
      </c>
      <c r="D521" t="s">
        <v>2480</v>
      </c>
      <c r="E521" s="99">
        <f>C521</f>
        <v>6000</v>
      </c>
      <c r="F521" s="146" t="s">
        <v>2480</v>
      </c>
    </row>
    <row r="522" spans="2:6" ht="14.4" x14ac:dyDescent="0.3">
      <c r="B522" s="99" t="s">
        <v>6991</v>
      </c>
      <c r="C522" s="147"/>
      <c r="D522" s="146" t="s">
        <v>2442</v>
      </c>
      <c r="E522">
        <f>E523</f>
        <v>1</v>
      </c>
      <c r="F522" s="146" t="s">
        <v>2442</v>
      </c>
    </row>
    <row r="523" spans="2:6" ht="14.4" x14ac:dyDescent="0.3">
      <c r="B523" s="222" t="s">
        <v>5734</v>
      </c>
      <c r="C523" s="147">
        <f>VLOOKUP(B523,$R:$U,3,FALSE)</f>
        <v>1</v>
      </c>
      <c r="D523" t="s">
        <v>2442</v>
      </c>
      <c r="E523" s="178">
        <f>C523</f>
        <v>1</v>
      </c>
      <c r="F523" s="146" t="s">
        <v>2442</v>
      </c>
    </row>
    <row r="524" spans="2:6" ht="14.4" x14ac:dyDescent="0.3">
      <c r="B524" s="99" t="s">
        <v>5732</v>
      </c>
      <c r="C524" s="147" t="str">
        <f>VLOOKUP(B524,$R:$U,3,FALSE)</f>
        <v>Injection</v>
      </c>
      <c r="D524" t="s">
        <v>6992</v>
      </c>
      <c r="E524" s="99" t="str">
        <f>C524</f>
        <v>Injection</v>
      </c>
      <c r="F524" s="146" t="s">
        <v>6992</v>
      </c>
    </row>
    <row r="525" spans="2:6" ht="14.4" x14ac:dyDescent="0.3">
      <c r="B525" s="99"/>
      <c r="C525" s="147"/>
      <c r="E525" s="99"/>
      <c r="F525" s="146"/>
    </row>
    <row r="526" spans="2:6" ht="14.4" x14ac:dyDescent="0.3">
      <c r="B526" s="175" t="s">
        <v>7115</v>
      </c>
      <c r="C526" s="147"/>
      <c r="E526" s="99"/>
      <c r="F526" s="146"/>
    </row>
    <row r="527" spans="2:6" ht="14.4" x14ac:dyDescent="0.3">
      <c r="B527" s="143" t="s">
        <v>2663</v>
      </c>
      <c r="C527" s="147"/>
      <c r="E527" s="99"/>
      <c r="F527" s="146"/>
    </row>
    <row r="528" spans="2:6" ht="14.4" x14ac:dyDescent="0.3">
      <c r="B528" s="99" t="s">
        <v>6407</v>
      </c>
      <c r="C528" s="147">
        <f>VLOOKUP(B528,$R:$U,3,FALSE)</f>
        <v>26.352254973659456</v>
      </c>
      <c r="D528" t="s">
        <v>5385</v>
      </c>
      <c r="E528" s="178">
        <f>C528</f>
        <v>26.352254973659456</v>
      </c>
      <c r="F528" s="146" t="s">
        <v>5385</v>
      </c>
    </row>
    <row r="529" spans="1:10" ht="14.4" x14ac:dyDescent="0.3">
      <c r="B529" s="99" t="s">
        <v>6409</v>
      </c>
      <c r="C529" s="147">
        <f>VLOOKUP(B529,$R:$U,3,FALSE)</f>
        <v>931.22205127489565</v>
      </c>
      <c r="D529" t="s">
        <v>5323</v>
      </c>
      <c r="E529" s="178">
        <f>C529</f>
        <v>931.22205127489565</v>
      </c>
      <c r="F529" s="146" t="s">
        <v>5323</v>
      </c>
    </row>
    <row r="530" spans="1:10" ht="14.4" x14ac:dyDescent="0.3">
      <c r="B530" s="99" t="s">
        <v>6390</v>
      </c>
      <c r="C530" s="205">
        <f>VLOOKUP(B530,$R:$U, 3, FALSE)</f>
        <v>7.9056764920978377</v>
      </c>
      <c r="D530" t="s">
        <v>2472</v>
      </c>
      <c r="E530" s="178">
        <f>C530</f>
        <v>7.9056764920978377</v>
      </c>
      <c r="F530" s="146" t="s">
        <v>2710</v>
      </c>
    </row>
    <row r="531" spans="1:10" ht="14.4" x14ac:dyDescent="0.3">
      <c r="B531" s="99"/>
      <c r="E531" s="99"/>
      <c r="F531" s="146"/>
    </row>
    <row r="532" spans="1:10" ht="15.75" customHeight="1" x14ac:dyDescent="0.3">
      <c r="B532" s="175" t="s">
        <v>7237</v>
      </c>
      <c r="E532" s="99"/>
      <c r="F532" s="146"/>
    </row>
    <row r="533" spans="1:10" ht="15.75" customHeight="1" x14ac:dyDescent="0.3">
      <c r="B533" s="143" t="s">
        <v>2663</v>
      </c>
      <c r="C533" s="144" t="s">
        <v>565</v>
      </c>
      <c r="D533" s="144" t="s">
        <v>6943</v>
      </c>
      <c r="E533" s="143" t="s">
        <v>565</v>
      </c>
      <c r="F533" s="145" t="s">
        <v>6944</v>
      </c>
      <c r="G533" s="1222" t="s">
        <v>6392</v>
      </c>
      <c r="H533" s="1215" t="s">
        <v>6993</v>
      </c>
      <c r="I533" s="142"/>
      <c r="J533" s="141"/>
    </row>
    <row r="534" spans="1:10" ht="14.4" x14ac:dyDescent="0.3">
      <c r="B534" s="99" t="s">
        <v>6401</v>
      </c>
      <c r="C534" s="147">
        <f t="shared" ref="C534:C544" si="17">VLOOKUP(B534,$R:$U,3,FALSE)</f>
        <v>182.5</v>
      </c>
      <c r="D534" t="s">
        <v>5121</v>
      </c>
      <c r="E534" s="201">
        <f>UC.year_to_day/C534</f>
        <v>2</v>
      </c>
      <c r="F534" s="146" t="s">
        <v>6994</v>
      </c>
      <c r="G534" s="42" t="s">
        <v>7117</v>
      </c>
      <c r="H534" s="92" t="s">
        <v>4838</v>
      </c>
      <c r="I534" s="1216" t="s">
        <v>2710</v>
      </c>
      <c r="J534" s="285">
        <f>(SUM(E535:E536)*UDV.OPEX_labor.tractor_stationary)+(E537*UDV.OPEX_labor.tractor_active)+E530</f>
        <v>12.829700669331343</v>
      </c>
    </row>
    <row r="535" spans="1:10" ht="15.75" customHeight="1" x14ac:dyDescent="0.3">
      <c r="B535" s="99" t="s">
        <v>5679</v>
      </c>
      <c r="C535" s="147">
        <f t="shared" si="17"/>
        <v>2.4857098407711891</v>
      </c>
      <c r="D535" t="s">
        <v>6085</v>
      </c>
      <c r="E535" s="178">
        <f>C535*E534</f>
        <v>4.9714196815423781</v>
      </c>
      <c r="F535" s="146" t="s">
        <v>2710</v>
      </c>
      <c r="G535" s="42" t="s">
        <v>7118</v>
      </c>
      <c r="H535" s="1217" t="s">
        <v>5444</v>
      </c>
      <c r="I535" s="1216" t="s">
        <v>6085</v>
      </c>
      <c r="J535" s="285">
        <f>(SUM(E549:E550)*UDV.OPEX_labor.tractor_stationary)+(E551*UDV.OPEX_labor.tractor_active)</f>
        <v>46.715360561960431</v>
      </c>
    </row>
    <row r="536" spans="1:10" ht="15.75" customHeight="1" x14ac:dyDescent="0.3">
      <c r="B536" s="99" t="s">
        <v>5667</v>
      </c>
      <c r="C536" s="147">
        <f t="shared" si="17"/>
        <v>0.26016444660987137</v>
      </c>
      <c r="D536" t="s">
        <v>6085</v>
      </c>
      <c r="E536" s="178">
        <f>C536*E534</f>
        <v>0.52032889321974274</v>
      </c>
      <c r="F536" s="146" t="s">
        <v>2710</v>
      </c>
      <c r="G536" s="42" t="s">
        <v>7119</v>
      </c>
      <c r="H536" s="1218" t="s">
        <v>5445</v>
      </c>
      <c r="I536" s="1216" t="s">
        <v>6995</v>
      </c>
      <c r="J536" s="285">
        <f>SUM(J534:J535)</f>
        <v>59.545061231291776</v>
      </c>
    </row>
    <row r="537" spans="1:10" ht="15.75" customHeight="1" x14ac:dyDescent="0.3">
      <c r="B537" s="99" t="s">
        <v>5654</v>
      </c>
      <c r="C537" s="147">
        <f t="shared" si="17"/>
        <v>1.9885678726169513</v>
      </c>
      <c r="D537" t="s">
        <v>6085</v>
      </c>
      <c r="E537" s="178">
        <f>C537*E534</f>
        <v>3.9771357452339027</v>
      </c>
      <c r="F537" s="146" t="s">
        <v>2710</v>
      </c>
      <c r="G537" s="42" t="s">
        <v>7120</v>
      </c>
      <c r="H537" s="1219" t="s">
        <v>5446</v>
      </c>
      <c r="I537" s="1220" t="s">
        <v>5447</v>
      </c>
      <c r="J537" s="1221">
        <f>J534+(J535/UDV.anaer_lagoon.sludge_time)</f>
        <v>17.501236725527384</v>
      </c>
    </row>
    <row r="538" spans="1:10" ht="14.4" x14ac:dyDescent="0.3">
      <c r="B538" s="99" t="s">
        <v>5682</v>
      </c>
      <c r="C538" s="147">
        <f t="shared" si="17"/>
        <v>17.499397279029168</v>
      </c>
      <c r="D538" t="s">
        <v>2489</v>
      </c>
      <c r="E538" s="178">
        <f>C538*E534</f>
        <v>34.998794558058336</v>
      </c>
      <c r="F538" s="146" t="s">
        <v>5324</v>
      </c>
    </row>
    <row r="539" spans="1:10" ht="14.4" x14ac:dyDescent="0.3">
      <c r="B539" s="99" t="s">
        <v>5672</v>
      </c>
      <c r="C539" s="147">
        <f t="shared" si="17"/>
        <v>2.0605024171501811</v>
      </c>
      <c r="D539" t="s">
        <v>2489</v>
      </c>
      <c r="E539" s="178">
        <f>C539*E534</f>
        <v>4.1210048343003622</v>
      </c>
      <c r="F539" s="146" t="s">
        <v>5324</v>
      </c>
    </row>
    <row r="540" spans="1:10" ht="14.4" x14ac:dyDescent="0.3">
      <c r="B540" s="99" t="s">
        <v>5660</v>
      </c>
      <c r="C540" s="147">
        <f t="shared" si="17"/>
        <v>21.874246598786463</v>
      </c>
      <c r="D540" t="s">
        <v>2489</v>
      </c>
      <c r="E540" s="178">
        <f>C540*E534</f>
        <v>43.748493197572927</v>
      </c>
      <c r="F540" s="146" t="s">
        <v>5324</v>
      </c>
    </row>
    <row r="541" spans="1:10" ht="14.4" x14ac:dyDescent="0.3">
      <c r="B541" s="99" t="s">
        <v>6403</v>
      </c>
      <c r="C541" s="147">
        <f t="shared" si="17"/>
        <v>1181.7954759720228</v>
      </c>
      <c r="D541" t="s">
        <v>5910</v>
      </c>
      <c r="E541" s="164">
        <f>CONVERT(C541,"m^3","gal")*E534</f>
        <v>624394.67271020834</v>
      </c>
      <c r="F541" s="146" t="s">
        <v>5324</v>
      </c>
    </row>
    <row r="542" spans="1:10" ht="14.4" x14ac:dyDescent="0.3">
      <c r="A542" t="str">
        <f>_xlfn.CONCAT("Liquids",B542)</f>
        <v>LiquidsN removed, lagoon</v>
      </c>
      <c r="B542" s="99" t="s">
        <v>6404</v>
      </c>
      <c r="C542" s="78">
        <f t="shared" si="17"/>
        <v>1.1533993412168242</v>
      </c>
      <c r="D542" t="s">
        <v>2413</v>
      </c>
      <c r="E542" s="201">
        <f>C542*UC.g_to_lb/UC.L_to_gal*1000</f>
        <v>9.6255840830704305</v>
      </c>
      <c r="F542" s="146" t="s">
        <v>2414</v>
      </c>
    </row>
    <row r="543" spans="1:10" ht="14.4" x14ac:dyDescent="0.3">
      <c r="A543" t="str">
        <f t="shared" ref="A543:A544" si="18">_xlfn.CONCAT("Liquids",B543)</f>
        <v>LiquidsP2O5 removed, lagoon</v>
      </c>
      <c r="B543" s="99" t="s">
        <v>6405</v>
      </c>
      <c r="C543" s="78">
        <f t="shared" si="17"/>
        <v>0.77291508964248568</v>
      </c>
      <c r="D543" t="s">
        <v>2413</v>
      </c>
      <c r="E543" s="201">
        <f>C543*UC.g_to_lb/UC.L_to_gal*1000</f>
        <v>6.450289087714232</v>
      </c>
      <c r="F543" s="146" t="s">
        <v>2414</v>
      </c>
    </row>
    <row r="544" spans="1:10" ht="14.4" x14ac:dyDescent="0.3">
      <c r="A544" t="str">
        <f t="shared" si="18"/>
        <v>LiquidsK2O removed, lagoon</v>
      </c>
      <c r="B544" s="99" t="s">
        <v>6406</v>
      </c>
      <c r="C544" s="78">
        <f t="shared" si="17"/>
        <v>1.1744351577487824</v>
      </c>
      <c r="D544" t="s">
        <v>2413</v>
      </c>
      <c r="E544" s="201">
        <f>C544*UC.g_to_lb/UC.L_to_gal*1000</f>
        <v>9.801136481575174</v>
      </c>
      <c r="F544" s="146" t="s">
        <v>2414</v>
      </c>
    </row>
    <row r="545" spans="1:6" ht="14.4" x14ac:dyDescent="0.3">
      <c r="B545" s="99"/>
      <c r="E545" s="99"/>
      <c r="F545" s="146"/>
    </row>
    <row r="546" spans="1:6" ht="15.75" customHeight="1" x14ac:dyDescent="0.3">
      <c r="B546" s="175" t="s">
        <v>7265</v>
      </c>
      <c r="E546" s="99"/>
      <c r="F546" s="146"/>
    </row>
    <row r="547" spans="1:6" ht="15.75" customHeight="1" x14ac:dyDescent="0.3">
      <c r="B547" s="143" t="s">
        <v>2663</v>
      </c>
      <c r="C547" s="144" t="s">
        <v>565</v>
      </c>
      <c r="D547" s="144" t="s">
        <v>6943</v>
      </c>
      <c r="E547" s="143" t="s">
        <v>565</v>
      </c>
      <c r="F547" s="145" t="s">
        <v>6944</v>
      </c>
    </row>
    <row r="548" spans="1:6" ht="15.75" customHeight="1" x14ac:dyDescent="0.3">
      <c r="B548" s="99" t="s">
        <v>6416</v>
      </c>
      <c r="C548" s="382">
        <f t="shared" ref="C548:C558" si="19">VLOOKUP(B548,$X:$AA,3,FALSE)</f>
        <v>10</v>
      </c>
      <c r="D548" t="s">
        <v>2669</v>
      </c>
      <c r="E548" s="99">
        <f t="shared" ref="E548:E554" si="20">C548</f>
        <v>10</v>
      </c>
      <c r="F548" s="146" t="s">
        <v>2669</v>
      </c>
    </row>
    <row r="549" spans="1:6" ht="15.75" customHeight="1" x14ac:dyDescent="0.3">
      <c r="B549" s="99" t="s">
        <v>5679</v>
      </c>
      <c r="C549" s="382">
        <f t="shared" si="19"/>
        <v>47.165012714978275</v>
      </c>
      <c r="D549" t="s">
        <v>6085</v>
      </c>
      <c r="E549" s="178">
        <f t="shared" si="20"/>
        <v>47.165012714978275</v>
      </c>
      <c r="F549" s="146" t="s">
        <v>6085</v>
      </c>
    </row>
    <row r="550" spans="1:6" ht="15.75" customHeight="1" x14ac:dyDescent="0.3">
      <c r="B550" s="99" t="s">
        <v>5667</v>
      </c>
      <c r="C550" s="382">
        <f t="shared" si="19"/>
        <v>4.936481012817211</v>
      </c>
      <c r="D550" t="s">
        <v>6085</v>
      </c>
      <c r="E550" s="178">
        <f t="shared" si="20"/>
        <v>4.936481012817211</v>
      </c>
      <c r="F550" s="146" t="s">
        <v>6085</v>
      </c>
    </row>
    <row r="551" spans="1:6" ht="15.75" customHeight="1" x14ac:dyDescent="0.3">
      <c r="B551" s="99" t="s">
        <v>5654</v>
      </c>
      <c r="C551" s="382">
        <f t="shared" si="19"/>
        <v>37.732010171982616</v>
      </c>
      <c r="D551" t="s">
        <v>6085</v>
      </c>
      <c r="E551" s="178">
        <f t="shared" si="20"/>
        <v>37.732010171982616</v>
      </c>
      <c r="F551" s="146" t="s">
        <v>6085</v>
      </c>
    </row>
    <row r="552" spans="1:6" ht="15.75" customHeight="1" x14ac:dyDescent="0.3">
      <c r="B552" s="99" t="s">
        <v>5682</v>
      </c>
      <c r="C552" s="382">
        <f t="shared" si="19"/>
        <v>332.04168951344701</v>
      </c>
      <c r="D552" t="s">
        <v>2489</v>
      </c>
      <c r="E552" s="178">
        <f t="shared" si="20"/>
        <v>332.04168951344701</v>
      </c>
      <c r="F552" s="146" t="s">
        <v>2489</v>
      </c>
    </row>
    <row r="553" spans="1:6" ht="15.75" customHeight="1" x14ac:dyDescent="0.3">
      <c r="B553" s="99" t="s">
        <v>5672</v>
      </c>
      <c r="C553" s="382">
        <f t="shared" si="19"/>
        <v>39.096929621512309</v>
      </c>
      <c r="D553" t="s">
        <v>2489</v>
      </c>
      <c r="E553" s="178">
        <f t="shared" si="20"/>
        <v>39.096929621512309</v>
      </c>
      <c r="F553" s="146" t="s">
        <v>2489</v>
      </c>
    </row>
    <row r="554" spans="1:6" ht="15.75" customHeight="1" x14ac:dyDescent="0.3">
      <c r="B554" s="99" t="s">
        <v>5660</v>
      </c>
      <c r="C554" s="382">
        <f t="shared" si="19"/>
        <v>415.05211189180875</v>
      </c>
      <c r="D554" t="s">
        <v>2489</v>
      </c>
      <c r="E554" s="178">
        <f t="shared" si="20"/>
        <v>415.05211189180875</v>
      </c>
      <c r="F554" s="146" t="s">
        <v>2489</v>
      </c>
    </row>
    <row r="555" spans="1:6" ht="15.75" customHeight="1" x14ac:dyDescent="0.3">
      <c r="B555" s="99" t="s">
        <v>6418</v>
      </c>
      <c r="C555" s="382">
        <f t="shared" si="19"/>
        <v>2327.4442324211072</v>
      </c>
      <c r="D555" t="s">
        <v>5910</v>
      </c>
      <c r="E555" s="164">
        <f>CONVERT(C555,"m^3","gal")</f>
        <v>614845.71962781926</v>
      </c>
      <c r="F555" s="146" t="s">
        <v>2489</v>
      </c>
    </row>
    <row r="556" spans="1:6" ht="15.75" customHeight="1" x14ac:dyDescent="0.3">
      <c r="A556" t="str">
        <f>_xlfn.CONCAT("Sludge",B556)</f>
        <v>SludgeN removed, lagoon</v>
      </c>
      <c r="B556" s="99" t="s">
        <v>6404</v>
      </c>
      <c r="C556" s="382">
        <f t="shared" si="19"/>
        <v>2.9282809539569881</v>
      </c>
      <c r="D556" t="s">
        <v>2413</v>
      </c>
      <c r="E556" s="201">
        <f>C556*UC.g_to_lb/UC.L_to_gal*1000</f>
        <v>24.437689128060633</v>
      </c>
      <c r="F556" s="146" t="s">
        <v>2414</v>
      </c>
    </row>
    <row r="557" spans="1:6" ht="15.75" customHeight="1" x14ac:dyDescent="0.3">
      <c r="A557" t="str">
        <f t="shared" ref="A557:A558" si="21">_xlfn.CONCAT("Sludge",B557)</f>
        <v>SludgeP2O5 removed, lagoon</v>
      </c>
      <c r="B557" s="99" t="s">
        <v>6405</v>
      </c>
      <c r="C557" s="382">
        <f t="shared" si="19"/>
        <v>6.4220642397311023</v>
      </c>
      <c r="D557" t="s">
        <v>2413</v>
      </c>
      <c r="E557" s="201">
        <f>C557*UC.g_to_lb/UC.L_to_gal*1000</f>
        <v>53.59472397582276</v>
      </c>
      <c r="F557" s="146" t="s">
        <v>2414</v>
      </c>
    </row>
    <row r="558" spans="1:6" ht="15.75" customHeight="1" x14ac:dyDescent="0.3">
      <c r="A558" t="str">
        <f t="shared" si="21"/>
        <v>SludgeK2O removed, lagoon</v>
      </c>
      <c r="B558" s="99" t="s">
        <v>6406</v>
      </c>
      <c r="C558" s="382">
        <f t="shared" si="19"/>
        <v>6.4220956046072102</v>
      </c>
      <c r="D558" t="s">
        <v>2413</v>
      </c>
      <c r="E558" s="201">
        <f>C558*UC.g_to_lb/UC.L_to_gal*1000</f>
        <v>53.594985728401802</v>
      </c>
      <c r="F558" s="146" t="s">
        <v>2414</v>
      </c>
    </row>
    <row r="559" spans="1:6" ht="14.4" x14ac:dyDescent="0.3">
      <c r="B559" s="99"/>
      <c r="E559" s="99"/>
      <c r="F559" s="146"/>
    </row>
    <row r="560" spans="1:6" ht="15.75" customHeight="1" x14ac:dyDescent="0.3">
      <c r="B560" s="92" t="s">
        <v>6996</v>
      </c>
      <c r="E560" s="99"/>
      <c r="F560" s="146"/>
    </row>
    <row r="561" spans="1:24" ht="15.75" customHeight="1" x14ac:dyDescent="0.3">
      <c r="B561" s="143" t="s">
        <v>2663</v>
      </c>
      <c r="C561" s="144" t="s">
        <v>565</v>
      </c>
      <c r="D561" s="144" t="s">
        <v>6943</v>
      </c>
      <c r="E561" s="143" t="s">
        <v>565</v>
      </c>
      <c r="F561" s="145" t="s">
        <v>6944</v>
      </c>
    </row>
    <row r="562" spans="1:24" ht="14.4" x14ac:dyDescent="0.3">
      <c r="B562" s="99" t="s">
        <v>7076</v>
      </c>
      <c r="E562" s="357">
        <f>UDV.electricity.avg_cost</f>
        <v>6.8591666666666662E-2</v>
      </c>
      <c r="F562" s="146" t="s">
        <v>2306</v>
      </c>
    </row>
    <row r="563" spans="1:24" ht="14.4" x14ac:dyDescent="0.3">
      <c r="B563" s="99" t="s">
        <v>6997</v>
      </c>
      <c r="D563" s="146"/>
      <c r="E563" s="346">
        <f>UDV.fuel.diesel_avg_cost</f>
        <v>3.6964905660377356</v>
      </c>
      <c r="F563" s="146" t="s">
        <v>2315</v>
      </c>
    </row>
    <row r="564" spans="1:24" ht="14.4" x14ac:dyDescent="0.3">
      <c r="B564" s="149" t="s">
        <v>6998</v>
      </c>
      <c r="C564" s="150"/>
      <c r="D564" s="151"/>
      <c r="E564" s="347">
        <f>UDV.labor.non_specialized_cost</f>
        <v>23.66</v>
      </c>
      <c r="F564" s="151" t="s">
        <v>3659</v>
      </c>
    </row>
    <row r="565" spans="1:24" ht="14.4" x14ac:dyDescent="0.3"/>
    <row r="566" spans="1:24" ht="15.75" customHeight="1" x14ac:dyDescent="0.3">
      <c r="B566" s="206" t="s">
        <v>7121</v>
      </c>
      <c r="C566" s="140"/>
      <c r="D566" s="3057"/>
      <c r="E566" s="3057"/>
      <c r="F566" s="3057"/>
      <c r="G566" s="207"/>
      <c r="H566" s="207"/>
      <c r="I566" s="207"/>
      <c r="J566" s="142"/>
      <c r="K566" s="142"/>
      <c r="L566" s="142"/>
      <c r="M566" s="142"/>
      <c r="N566" s="142"/>
      <c r="O566" s="208"/>
      <c r="R566" s="36"/>
      <c r="S566" s="36"/>
      <c r="T566" s="36"/>
      <c r="U566" s="36"/>
      <c r="V566" s="36"/>
      <c r="W566" s="36"/>
      <c r="X566" s="36"/>
    </row>
    <row r="567" spans="1:24" ht="15.75" customHeight="1" x14ac:dyDescent="0.3">
      <c r="B567" s="210" t="s">
        <v>6946</v>
      </c>
      <c r="C567" s="152" t="s">
        <v>6947</v>
      </c>
      <c r="D567" s="152" t="s">
        <v>6948</v>
      </c>
      <c r="E567" s="152" t="s">
        <v>6999</v>
      </c>
      <c r="F567" s="152" t="s">
        <v>7000</v>
      </c>
      <c r="G567" s="152" t="s">
        <v>6951</v>
      </c>
      <c r="H567" s="152" t="s">
        <v>6952</v>
      </c>
      <c r="I567" s="152" t="s">
        <v>7001</v>
      </c>
      <c r="J567" s="152" t="s">
        <v>6954</v>
      </c>
      <c r="K567" s="152" t="s">
        <v>6955</v>
      </c>
      <c r="L567" s="152" t="s">
        <v>6956</v>
      </c>
      <c r="M567" s="82" t="s">
        <v>6957</v>
      </c>
      <c r="N567" s="152" t="s">
        <v>7002</v>
      </c>
      <c r="O567" s="161" t="s">
        <v>6959</v>
      </c>
      <c r="R567" s="152"/>
      <c r="S567" s="152"/>
      <c r="T567" s="152"/>
      <c r="U567" s="152"/>
      <c r="V567" s="152"/>
      <c r="W567" s="152"/>
      <c r="X567" s="152"/>
    </row>
    <row r="568" spans="1:24" ht="14.4" x14ac:dyDescent="0.3">
      <c r="A568" t="s">
        <v>7122</v>
      </c>
      <c r="B568" s="99" t="s">
        <v>2808</v>
      </c>
      <c r="C568" s="153">
        <f>IF(E528=0,0,(VLOOKUP("Irrigation systema",Econ.Equations!$C:$E,2,FALSE)*E528^VLOOKUP("Irrigation systemb",Econ.Equations!$C:$E,2,FALSE))*E528)</f>
        <v>53760.144276226609</v>
      </c>
      <c r="D568" s="42">
        <f>VLOOKUP("CAPEXLifetimeBuildings and constructionDefault",Econ.inputsTable!$E:$G,2,FALSE)</f>
        <v>20</v>
      </c>
      <c r="E568" s="42" t="s">
        <v>2852</v>
      </c>
      <c r="F568" s="42" t="s">
        <v>2852</v>
      </c>
      <c r="G568" s="539">
        <f>VLOOKUP("CAPEXAnnual usage on activityItems that are used only on the given activityDefault",Econ.inputsTable!$E:$J,2,FALSE)</f>
        <v>1</v>
      </c>
      <c r="H568" s="216">
        <f t="shared" ref="H568" si="22">UDV.econ_capital.interest_rate</f>
        <v>5.0999999999999997E-2</v>
      </c>
      <c r="I568" s="2091">
        <f>VLOOKUP("CAPEXSalvageBuildings and constructionDefault",Econ.inputsTable!$E:$K,2,FALSE)</f>
        <v>0</v>
      </c>
      <c r="J568" s="153">
        <f>C568*I568</f>
        <v>0</v>
      </c>
      <c r="K568" s="154">
        <f>VLOOKUP("CAPEXFinanced amountNADefault",Econ.inputsTable!$E:$J,2,FALSE)</f>
        <v>1</v>
      </c>
      <c r="L568" s="2092">
        <f>H568*K568</f>
        <v>5.0999999999999997E-2</v>
      </c>
      <c r="M568" s="351">
        <f>L568/(1-(1+L568)^-D568)</f>
        <v>8.0924368970045152E-2</v>
      </c>
      <c r="N568" s="153">
        <f>((C568-J568)*M568)+(J568*L568)</f>
        <v>4350.5057512922231</v>
      </c>
      <c r="O568" s="372">
        <f>N568*G568</f>
        <v>4350.5057512922231</v>
      </c>
    </row>
    <row r="569" spans="1:24" ht="15.75" customHeight="1" x14ac:dyDescent="0.3">
      <c r="A569" t="s">
        <v>7003</v>
      </c>
      <c r="B569" s="99" t="s">
        <v>7004</v>
      </c>
      <c r="C569" s="153">
        <f>VLOOKUP(_xlfn.CONCAT("Tractor",E514," hp"), Econ.Tables!$C:$E,2, FALSE)*E516</f>
        <v>283300</v>
      </c>
      <c r="D569" s="79">
        <f>VLOOKUP("CAPEXLifetimeTractor, 4 wheel drive and crawlerDefault",Econ.inputsTable!$E:$H,2,FALSE)/E569</f>
        <v>16</v>
      </c>
      <c r="E569" s="213">
        <f>IF(F569&gt;UDV.tractor.min_usage_yearly,F569,UDV.tractor.min_usage_yearly)</f>
        <v>1000</v>
      </c>
      <c r="F569" s="214">
        <f>IF(E516=0,0,(E535+(E549/E548))/E516)</f>
        <v>9.6879209530402051</v>
      </c>
      <c r="G569" s="538">
        <f>F569/E569</f>
        <v>9.687920953040205E-3</v>
      </c>
      <c r="H569" s="503">
        <f t="shared" ref="H569:H576" si="23">UDV.econ_capital.interest_rate</f>
        <v>5.0999999999999997E-2</v>
      </c>
      <c r="I569" s="503">
        <f>VLOOKUP("CAPEXSalvageEquipmentDefault",Econ.inputsTable!$E:$H,2,FALSE)</f>
        <v>0.2</v>
      </c>
      <c r="J569" s="153">
        <f t="shared" ref="J569:J576" si="24">C569*I569</f>
        <v>56660</v>
      </c>
      <c r="K569" s="154">
        <f>VLOOKUP("CAPEXFinanced amountNADefault",Econ.inputsTable!$E:$H,2,FALSE)</f>
        <v>1</v>
      </c>
      <c r="L569" s="155">
        <f t="shared" ref="L569:L576" si="25">H569*K569</f>
        <v>5.0999999999999997E-2</v>
      </c>
      <c r="M569">
        <f t="shared" ref="M569:M576" si="26">L569/(1-(1+L569)^-D569)</f>
        <v>9.2927821836826949E-2</v>
      </c>
      <c r="N569" s="153">
        <f t="shared" ref="N569:N576" si="27">((C569-J569)*M569)+(J569*L569)</f>
        <v>23950.821541098459</v>
      </c>
      <c r="O569" s="157">
        <f t="shared" ref="O569:O576" si="28">N569*G569</f>
        <v>232.03366585053445</v>
      </c>
      <c r="R569" s="156"/>
      <c r="S569" s="156"/>
      <c r="T569" s="156"/>
      <c r="U569" s="156"/>
      <c r="V569" s="156"/>
      <c r="W569" s="156"/>
      <c r="X569" s="156"/>
    </row>
    <row r="570" spans="1:24" ht="14.4" x14ac:dyDescent="0.3">
      <c r="A570" t="s">
        <v>7003</v>
      </c>
      <c r="B570" s="99" t="s">
        <v>1226</v>
      </c>
      <c r="C570" s="153">
        <f>VLOOKUP("Agitator, ptoDefault",Econ.Tables!$C:$E,2,FALSE)*E515</f>
        <v>43500</v>
      </c>
      <c r="D570" s="42">
        <f>VLOOKUP("CAPEXLifetimeAgitator, ptoDefault",Econ.inputsTable!$E:$H,2,FALSE)</f>
        <v>15</v>
      </c>
      <c r="F570" s="214">
        <f>F569</f>
        <v>9.6879209530402051</v>
      </c>
      <c r="G570" s="539">
        <f>VLOOKUP("CAPEXAnnual usage on activityItems that are used only on the given activityDefault",Econ.inputsTable!$E:$H,2,FALSE)</f>
        <v>1</v>
      </c>
      <c r="H570" s="503">
        <f t="shared" si="23"/>
        <v>5.0999999999999997E-2</v>
      </c>
      <c r="I570" s="503">
        <f>VLOOKUP("CAPEXSalvageEquipmentDefault",Econ.inputsTable!$E:$H,2,FALSE)</f>
        <v>0.2</v>
      </c>
      <c r="J570" s="153">
        <f t="shared" si="24"/>
        <v>8700</v>
      </c>
      <c r="K570" s="154">
        <f>VLOOKUP("CAPEXFinanced amountNADefault",Econ.inputsTable!$E:$H,2,FALSE)</f>
        <v>1</v>
      </c>
      <c r="L570" s="155">
        <f t="shared" si="25"/>
        <v>5.0999999999999997E-2</v>
      </c>
      <c r="M570">
        <f t="shared" si="26"/>
        <v>9.6994593888520206E-2</v>
      </c>
      <c r="N570" s="153">
        <f t="shared" si="27"/>
        <v>3819.1118673205028</v>
      </c>
      <c r="O570" s="157">
        <f t="shared" si="28"/>
        <v>3819.1118673205028</v>
      </c>
      <c r="R570" s="156"/>
      <c r="S570" s="156"/>
      <c r="T570" s="156"/>
      <c r="U570" s="156"/>
      <c r="V570" s="156"/>
      <c r="W570" s="156"/>
      <c r="X570" s="156"/>
    </row>
    <row r="571" spans="1:24" ht="15.75" customHeight="1" x14ac:dyDescent="0.3">
      <c r="A571" t="s">
        <v>7003</v>
      </c>
      <c r="B571" s="99" t="s">
        <v>7005</v>
      </c>
      <c r="C571" s="153">
        <f>VLOOKUP(_xlfn.CONCAT("Tractor",E517," hp"), Econ.Tables!$C:$E,2, FALSE)*E519</f>
        <v>313600</v>
      </c>
      <c r="D571" s="79">
        <f>VLOOKUP("CAPEXLifetimeTractor, 4 wheel drive and crawlerDefault",Econ.inputsTable!$E:$H,2,FALSE)/E571</f>
        <v>16</v>
      </c>
      <c r="E571" s="213">
        <f>IF(F571&gt;UDV.tractor.min_usage_yearly,F571,UDV.tractor.min_usage_yearly)</f>
        <v>1000</v>
      </c>
      <c r="F571" s="214">
        <f>IF(E519=0,0,(E536+(E550/E548))/E519)</f>
        <v>1.0139769945014638</v>
      </c>
      <c r="G571" s="538">
        <f>F571/E571</f>
        <v>1.0139769945014638E-3</v>
      </c>
      <c r="H571" s="503">
        <f t="shared" si="23"/>
        <v>5.0999999999999997E-2</v>
      </c>
      <c r="I571" s="503">
        <f>VLOOKUP("CAPEXSalvageEquipmentDefault",Econ.inputsTable!$E:$H,2,FALSE)</f>
        <v>0.2</v>
      </c>
      <c r="J571" s="153">
        <f t="shared" si="24"/>
        <v>62720</v>
      </c>
      <c r="K571" s="154">
        <f>VLOOKUP("CAPEXFinanced amountNADefault",Econ.inputsTable!$E:$H,2,FALSE)</f>
        <v>1</v>
      </c>
      <c r="L571" s="155">
        <f t="shared" si="25"/>
        <v>5.0999999999999997E-2</v>
      </c>
      <c r="M571">
        <f t="shared" si="26"/>
        <v>9.2927821836826949E-2</v>
      </c>
      <c r="N571" s="153">
        <f t="shared" si="27"/>
        <v>26512.451942423148</v>
      </c>
      <c r="O571" s="157">
        <f t="shared" si="28"/>
        <v>26.883016337442719</v>
      </c>
    </row>
    <row r="572" spans="1:24" s="42" customFormat="1" ht="14.4" x14ac:dyDescent="0.3">
      <c r="A572" t="s">
        <v>7003</v>
      </c>
      <c r="B572" s="222" t="s">
        <v>3021</v>
      </c>
      <c r="C572" s="223">
        <f>VLOOKUP("Pump, tractor ptoDefault",Econ.Tables!$C:$E,2,FALSE)*E518</f>
        <v>26500</v>
      </c>
      <c r="D572" s="42">
        <f>VLOOKUP("CAPEXLifetimePump, tractor ptoDefault",Econ.inputsTable!$E:$H,2,FALSE)</f>
        <v>15</v>
      </c>
      <c r="F572" s="214">
        <f>F571</f>
        <v>1.0139769945014638</v>
      </c>
      <c r="G572" s="539">
        <f>VLOOKUP("CAPEXAnnual usage on activityItems that are used only on the given activityDefault",Econ.inputsTable!$E:$H,2,FALSE)</f>
        <v>1</v>
      </c>
      <c r="H572" s="503">
        <f t="shared" si="23"/>
        <v>5.0999999999999997E-2</v>
      </c>
      <c r="I572" s="503">
        <f>VLOOKUP("CAPEXSalvageEquipmentDefault",Econ.inputsTable!$E:$H,2,FALSE)</f>
        <v>0.2</v>
      </c>
      <c r="J572" s="153">
        <f t="shared" si="24"/>
        <v>5300</v>
      </c>
      <c r="K572" s="154">
        <f>VLOOKUP("CAPEXFinanced amountNADefault",Econ.inputsTable!$E:$H,2,FALSE)</f>
        <v>1</v>
      </c>
      <c r="L572" s="155">
        <f t="shared" si="25"/>
        <v>5.0999999999999997E-2</v>
      </c>
      <c r="M572">
        <f t="shared" si="26"/>
        <v>9.6994593888520206E-2</v>
      </c>
      <c r="N572" s="153">
        <f t="shared" si="27"/>
        <v>2326.5853904366286</v>
      </c>
      <c r="O572" s="157">
        <f t="shared" si="28"/>
        <v>2326.5853904366286</v>
      </c>
    </row>
    <row r="573" spans="1:24" ht="15.75" customHeight="1" x14ac:dyDescent="0.3">
      <c r="A573" t="s">
        <v>7003</v>
      </c>
      <c r="B573" s="99" t="s">
        <v>7006</v>
      </c>
      <c r="C573" s="153">
        <f>VLOOKUP(_xlfn.CONCAT("Tractor",E520," hp"), Econ.Tables!$C:$E,2, FALSE)*E523</f>
        <v>404700</v>
      </c>
      <c r="D573" s="79">
        <f>VLOOKUP("CAPEXLifetimeTractor, 4 wheel drive and crawlerDefault",Econ.inputsTable!$E:$H,2,FALSE)/E573</f>
        <v>16</v>
      </c>
      <c r="E573" s="213">
        <f>IF(F573&gt;UDV.tractor.min_usage_yearly,F573,UDV.tractor.min_usage_yearly)</f>
        <v>1000</v>
      </c>
      <c r="F573" s="214">
        <f>IF(E523=0,0,(E537+(E551/E548))/E523)</f>
        <v>7.7503367624321644</v>
      </c>
      <c r="G573" s="538">
        <f>F573/E573</f>
        <v>7.7503367624321643E-3</v>
      </c>
      <c r="H573" s="503">
        <f t="shared" si="23"/>
        <v>5.0999999999999997E-2</v>
      </c>
      <c r="I573" s="503">
        <f>VLOOKUP("CAPEXSalvageEquipmentDefault",Econ.inputsTable!$E:$H,2,FALSE)</f>
        <v>0.2</v>
      </c>
      <c r="J573" s="153">
        <f t="shared" si="24"/>
        <v>80940</v>
      </c>
      <c r="K573" s="154">
        <f>VLOOKUP("CAPEXFinanced amountNADefault",Econ.inputsTable!$E:$H,2,FALSE)</f>
        <v>1</v>
      </c>
      <c r="L573" s="155">
        <f t="shared" si="25"/>
        <v>5.0999999999999997E-2</v>
      </c>
      <c r="M573">
        <f t="shared" si="26"/>
        <v>9.2927821836826949E-2</v>
      </c>
      <c r="N573" s="153">
        <f t="shared" si="27"/>
        <v>34214.251597891096</v>
      </c>
      <c r="O573" s="157">
        <f t="shared" si="28"/>
        <v>265.17197195823877</v>
      </c>
    </row>
    <row r="574" spans="1:24" ht="14.4" x14ac:dyDescent="0.3">
      <c r="A574" t="s">
        <v>7003</v>
      </c>
      <c r="B574" s="99" t="s">
        <v>6392</v>
      </c>
      <c r="C574" s="153">
        <f>UDV.econ_tanker.cost*E522</f>
        <v>136600</v>
      </c>
      <c r="D574" s="42">
        <f>VLOOKUP("CAPEXLifetimeEquipmentDefault",Econ.inputsTable!$E:$H,2,FALSE)</f>
        <v>10</v>
      </c>
      <c r="F574" s="214">
        <f>F573</f>
        <v>7.7503367624321644</v>
      </c>
      <c r="G574" s="539">
        <f>VLOOKUP("CAPEXAnnual usage on activityItems that are used only on the given activityDefault",Econ.inputsTable!$E:$H,2,FALSE)</f>
        <v>1</v>
      </c>
      <c r="H574" s="503">
        <f t="shared" si="23"/>
        <v>5.0999999999999997E-2</v>
      </c>
      <c r="I574" s="503">
        <f>VLOOKUP("CAPEXSalvageEquipmentDefault",Econ.inputsTable!$E:$H,2,FALSE)</f>
        <v>0.2</v>
      </c>
      <c r="J574" s="153">
        <f t="shared" si="24"/>
        <v>27320</v>
      </c>
      <c r="K574" s="154">
        <f>VLOOKUP("CAPEXFinanced amountNADefault",Econ.inputsTable!$E:$H,2,FALSE)</f>
        <v>1</v>
      </c>
      <c r="L574" s="155">
        <f t="shared" si="25"/>
        <v>5.0999999999999997E-2</v>
      </c>
      <c r="M574">
        <f t="shared" si="26"/>
        <v>0.13013423257204779</v>
      </c>
      <c r="N574" s="153">
        <f t="shared" si="27"/>
        <v>15614.388935473382</v>
      </c>
      <c r="O574" s="157">
        <f t="shared" si="28"/>
        <v>15614.388935473382</v>
      </c>
    </row>
    <row r="575" spans="1:24" ht="15.75" customHeight="1" x14ac:dyDescent="0.3">
      <c r="A575" t="s">
        <v>7003</v>
      </c>
      <c r="B575" s="99" t="s">
        <v>7007</v>
      </c>
      <c r="C575" s="238">
        <f>(IF(E524="Broadcast",VLOOKUP("BoomDefault", Econ.Tables!$C:$E,2,FALSE),0))*E522</f>
        <v>0</v>
      </c>
      <c r="D575" s="42">
        <f>VLOOKUP("CAPEXLifetimeEquipmentDefault",Econ.inputsTable!$E:$H,2,FALSE)</f>
        <v>10</v>
      </c>
      <c r="E575" s="152"/>
      <c r="F575" s="231">
        <f>IF(C524="Broadcast",F573,0)</f>
        <v>0</v>
      </c>
      <c r="G575" s="539">
        <f>VLOOKUP("CAPEXAnnual usage on activityItems that are used only on the given activityDefault",Econ.inputsTable!$E:$H,2,FALSE)</f>
        <v>1</v>
      </c>
      <c r="H575" s="503">
        <f t="shared" si="23"/>
        <v>5.0999999999999997E-2</v>
      </c>
      <c r="I575" s="503">
        <f>VLOOKUP("CAPEXSalvageEquipmentDefault",Econ.inputsTable!$E:$H,2,FALSE)</f>
        <v>0.2</v>
      </c>
      <c r="J575" s="153">
        <f t="shared" si="24"/>
        <v>0</v>
      </c>
      <c r="K575" s="154">
        <f>VLOOKUP("CAPEXFinanced amountNADefault",Econ.inputsTable!$E:$H,2,FALSE)</f>
        <v>1</v>
      </c>
      <c r="L575" s="155">
        <f t="shared" si="25"/>
        <v>5.0999999999999997E-2</v>
      </c>
      <c r="M575">
        <f t="shared" si="26"/>
        <v>0.13013423257204779</v>
      </c>
      <c r="N575" s="153">
        <f t="shared" si="27"/>
        <v>0</v>
      </c>
      <c r="O575" s="157">
        <f t="shared" si="28"/>
        <v>0</v>
      </c>
    </row>
    <row r="576" spans="1:24" ht="15.75" customHeight="1" x14ac:dyDescent="0.3">
      <c r="A576" t="s">
        <v>7003</v>
      </c>
      <c r="B576" s="99" t="s">
        <v>7008</v>
      </c>
      <c r="C576" s="238">
        <f>(IF(E524="Injection",VLOOKUP("InjectionDefault",Econ.Tables!$C:$E,2,FALSE),0))*E522</f>
        <v>80900</v>
      </c>
      <c r="D576" s="42">
        <f>VLOOKUP("CAPEXLifetimeEquipmentDefault",Econ.inputsTable!$E:$H,2,FALSE)</f>
        <v>10</v>
      </c>
      <c r="E576" s="152"/>
      <c r="F576" s="231">
        <f>IF(C524="Injection",F574,0)</f>
        <v>7.7503367624321644</v>
      </c>
      <c r="G576" s="539">
        <f>VLOOKUP("CAPEXAnnual usage on activityItems that are used only on the given activityDefault",Econ.inputsTable!$E:$H,2,FALSE)</f>
        <v>1</v>
      </c>
      <c r="H576" s="503">
        <f t="shared" si="23"/>
        <v>5.0999999999999997E-2</v>
      </c>
      <c r="I576" s="503">
        <f>VLOOKUP("CAPEXSalvageEquipmentDefault",Econ.inputsTable!$E:$H,2,FALSE)</f>
        <v>0.2</v>
      </c>
      <c r="J576" s="153">
        <f t="shared" si="24"/>
        <v>16180</v>
      </c>
      <c r="K576" s="154">
        <f>VLOOKUP("CAPEXFinanced amountNADefault",Econ.inputsTable!$E:$H,2,FALSE)</f>
        <v>1</v>
      </c>
      <c r="L576" s="155">
        <f t="shared" si="25"/>
        <v>5.0999999999999997E-2</v>
      </c>
      <c r="M576">
        <f t="shared" si="26"/>
        <v>0.13013423257204779</v>
      </c>
      <c r="N576" s="153">
        <f t="shared" si="27"/>
        <v>9247.4675320629322</v>
      </c>
      <c r="O576" s="157">
        <f t="shared" si="28"/>
        <v>9247.4675320629322</v>
      </c>
    </row>
    <row r="577" spans="1:15" ht="15.75" customHeight="1" x14ac:dyDescent="0.3">
      <c r="B577" s="99"/>
      <c r="C577" s="238"/>
      <c r="D577" s="42"/>
      <c r="E577" s="42"/>
      <c r="F577" s="42"/>
      <c r="G577" s="42"/>
      <c r="H577" s="42"/>
      <c r="I577" s="152"/>
      <c r="J577" s="231"/>
      <c r="K577" s="539"/>
      <c r="L577" s="503"/>
      <c r="M577" s="503"/>
      <c r="N577" s="503"/>
      <c r="O577" s="540"/>
    </row>
    <row r="578" spans="1:15" ht="15.75" customHeight="1" x14ac:dyDescent="0.3">
      <c r="B578" s="99"/>
      <c r="C578" s="82" t="s">
        <v>7009</v>
      </c>
      <c r="D578" s="82" t="s">
        <v>6963</v>
      </c>
      <c r="N578" s="153">
        <f>SUM(N569:N576)</f>
        <v>115685.07880670615</v>
      </c>
      <c r="O578" s="157">
        <f>SUM(O569:O576)</f>
        <v>31531.642379439661</v>
      </c>
    </row>
    <row r="579" spans="1:15" ht="14.4" x14ac:dyDescent="0.3">
      <c r="A579" t="s">
        <v>5202</v>
      </c>
      <c r="B579" s="99" t="s">
        <v>6964</v>
      </c>
      <c r="C579" s="153">
        <f>SUM(C568:C576)</f>
        <v>1342860.1442762266</v>
      </c>
      <c r="D579" s="233">
        <f>SUMPRODUCT(C568:C576,G568:G576)</f>
        <v>347459.27675545483</v>
      </c>
      <c r="O579" s="146"/>
    </row>
    <row r="580" spans="1:15" ht="14.4" x14ac:dyDescent="0.3">
      <c r="A580" t="s">
        <v>5202</v>
      </c>
      <c r="B580" s="149" t="s">
        <v>6965</v>
      </c>
      <c r="C580" s="159">
        <f>SUM(N568:N576)</f>
        <v>120035.58455799839</v>
      </c>
      <c r="D580" s="234">
        <f>SUMPRODUCT(N568:N576,G568:G576)</f>
        <v>35882.148130731883</v>
      </c>
      <c r="E580" s="159"/>
      <c r="F580" s="150"/>
      <c r="G580" s="150"/>
      <c r="H580" s="150"/>
      <c r="I580" s="150"/>
      <c r="J580" s="150"/>
      <c r="K580" s="150"/>
      <c r="L580" s="150"/>
      <c r="M580" s="150"/>
      <c r="N580" s="150"/>
      <c r="O580" s="151"/>
    </row>
    <row r="581" spans="1:15" ht="14.4" x14ac:dyDescent="0.3">
      <c r="B581" s="262"/>
      <c r="C581" s="142"/>
      <c r="D581" s="142"/>
      <c r="E581" s="142"/>
      <c r="F581" s="142"/>
      <c r="G581" s="142"/>
      <c r="H581" s="142"/>
      <c r="I581" s="142"/>
      <c r="J581" s="142"/>
      <c r="K581" s="142"/>
      <c r="L581" s="142"/>
      <c r="M581" s="142"/>
      <c r="N581" s="142"/>
      <c r="O581" s="141"/>
    </row>
    <row r="582" spans="1:15" ht="15.75" customHeight="1" x14ac:dyDescent="0.3">
      <c r="B582" s="160" t="s">
        <v>6966</v>
      </c>
      <c r="C582" s="152" t="s">
        <v>6967</v>
      </c>
      <c r="D582" s="152" t="s">
        <v>6968</v>
      </c>
      <c r="E582" s="152" t="s">
        <v>6969</v>
      </c>
      <c r="F582" s="82" t="s">
        <v>6970</v>
      </c>
      <c r="G582" s="152" t="s">
        <v>6971</v>
      </c>
      <c r="H582" s="152" t="s">
        <v>6972</v>
      </c>
      <c r="I582" s="152" t="s">
        <v>6973</v>
      </c>
      <c r="J582" s="152" t="s">
        <v>6974</v>
      </c>
      <c r="K582" s="152" t="s">
        <v>6975</v>
      </c>
      <c r="L582" s="152" t="s">
        <v>6976</v>
      </c>
      <c r="M582" s="152" t="s">
        <v>6977</v>
      </c>
      <c r="N582" s="152" t="s">
        <v>6978</v>
      </c>
      <c r="O582" s="161" t="s">
        <v>6979</v>
      </c>
    </row>
    <row r="583" spans="1:15" ht="14.4" x14ac:dyDescent="0.3">
      <c r="B583" s="99" t="s">
        <v>2808</v>
      </c>
      <c r="C583" s="155">
        <f>VLOOKUP("OPEXInsuranceEverythingDefault",Econ.inputsTable!$E:$K,2,FALSE)</f>
        <v>5.0000000000000001E-3</v>
      </c>
      <c r="D583" s="154">
        <f>VLOOKUP("OPEXRepair and maintenanceEquipmentDefault",Econ.inputsTable!$E:$K,2,FALSE)</f>
        <v>0.03</v>
      </c>
      <c r="F583" s="2124">
        <f>E529</f>
        <v>931.22205127489565</v>
      </c>
      <c r="G583" s="504">
        <f>F583*E562</f>
        <v>63.874072533697216</v>
      </c>
      <c r="I583" s="504"/>
      <c r="J583" s="504"/>
      <c r="K583" s="147">
        <f>E530</f>
        <v>7.9056764920978377</v>
      </c>
      <c r="L583" s="156">
        <f>K583*E564</f>
        <v>187.04830580303485</v>
      </c>
      <c r="O583" s="167">
        <f t="shared" ref="O583" si="29">(SUM(C583:D583)*C568*G568)+SUM(E583,G583,I583,J583,L583,N583)</f>
        <v>2132.5274280046633</v>
      </c>
    </row>
    <row r="584" spans="1:15" ht="15.75" customHeight="1" x14ac:dyDescent="0.3">
      <c r="B584" s="235" t="s">
        <v>7004</v>
      </c>
      <c r="C584" s="155">
        <f>VLOOKUP("OPEXInsuranceEverythingDefault",Econ.inputsTable!$E:$H,2,FALSE)</f>
        <v>5.0000000000000001E-3</v>
      </c>
      <c r="D584" s="237">
        <f>VLOOKUP("OPEXRepair and maintenanceEquipmentDefault",Econ.inputsTable!$E:$H,2,FALSE)</f>
        <v>0.03</v>
      </c>
      <c r="H584" s="147">
        <f>E538+(E552/E548)</f>
        <v>68.202963509403034</v>
      </c>
      <c r="I584" s="158">
        <f>H584*E563</f>
        <v>252.11161118832425</v>
      </c>
      <c r="J584" s="238">
        <f>I584*VLOOKUP("OPEXLubeLubeDefault",Econ.inputsTable!$E:$H,2,FALSE)</f>
        <v>25.211161118832425</v>
      </c>
      <c r="K584" s="205">
        <f>(E535+(E549/E548))*VLOOKUP("OPEXLaborTractorDefault",Econ.inputsTable!$E:$H,2,FALSE)</f>
        <v>10.656713048344226</v>
      </c>
      <c r="L584" s="158">
        <f>K584*E564</f>
        <v>252.13783072382441</v>
      </c>
      <c r="O584" s="264">
        <f t="shared" ref="O584:O591" si="30">(SUM(C584:D584)*C569*G569)+SUM(E584,G584,I584,J584,L584,N584)</f>
        <v>625.52118324085131</v>
      </c>
    </row>
    <row r="585" spans="1:15" ht="15.75" customHeight="1" x14ac:dyDescent="0.3">
      <c r="B585" s="99" t="s">
        <v>1226</v>
      </c>
      <c r="C585" s="155">
        <f>VLOOKUP("OPEXInsuranceEverythingDefault",Econ.inputsTable!$E:$H,2,FALSE)</f>
        <v>5.0000000000000001E-3</v>
      </c>
      <c r="D585" s="237">
        <f>VLOOKUP("OPEXRepair and maintenanceEquipmentDefault",Econ.inputsTable!$E:$H,2,FALSE)</f>
        <v>0.03</v>
      </c>
      <c r="H585" s="147"/>
      <c r="I585" s="158"/>
      <c r="J585" s="158"/>
      <c r="L585" s="153"/>
      <c r="O585" s="264">
        <f t="shared" si="30"/>
        <v>1522.4999999999998</v>
      </c>
    </row>
    <row r="586" spans="1:15" ht="15.75" customHeight="1" x14ac:dyDescent="0.3">
      <c r="B586" s="99" t="s">
        <v>7005</v>
      </c>
      <c r="C586" s="155">
        <f>VLOOKUP("OPEXInsuranceEverythingDefault",Econ.inputsTable!$E:$H,2,FALSE)</f>
        <v>5.0000000000000001E-3</v>
      </c>
      <c r="D586" s="237">
        <f>VLOOKUP("OPEXRepair and maintenanceEquipmentDefault",Econ.inputsTable!$E:$H,2,FALSE)</f>
        <v>0.03</v>
      </c>
      <c r="H586" s="147">
        <f>E539+(E553/E548)</f>
        <v>8.0306977964515927</v>
      </c>
      <c r="I586" s="158">
        <f>H586*E563</f>
        <v>29.685398643283342</v>
      </c>
      <c r="J586" s="238">
        <f>I586*VLOOKUP("OPEXLubeLubeDefault",Econ.inputsTable!$E:$H,2,FALSE)</f>
        <v>2.9685398643283345</v>
      </c>
      <c r="K586" s="205">
        <f>(E536+(E550/E548))*VLOOKUP("OPEXLaborTractorDefault",Econ.inputsTable!$E:$H,2,FALSE)</f>
        <v>1.1153746939516103</v>
      </c>
      <c r="L586" s="158">
        <f>K586*E564</f>
        <v>26.3897652588951</v>
      </c>
      <c r="O586" s="264">
        <f t="shared" si="30"/>
        <v>70.173115258154851</v>
      </c>
    </row>
    <row r="587" spans="1:15" ht="15.75" customHeight="1" x14ac:dyDescent="0.3">
      <c r="B587" s="222" t="s">
        <v>3021</v>
      </c>
      <c r="C587" s="155">
        <f>VLOOKUP("OPEXInsuranceEverythingDefault",Econ.inputsTable!$E:$H,2,FALSE)</f>
        <v>5.0000000000000001E-3</v>
      </c>
      <c r="D587" s="237">
        <f>VLOOKUP("OPEXRepair and maintenancePump, tractor ptoDefault",Econ.inputsTable!$E:$H,2,FALSE)</f>
        <v>0.05</v>
      </c>
      <c r="I587" s="158"/>
      <c r="J587" s="158"/>
      <c r="L587" s="153"/>
      <c r="O587" s="264">
        <f t="shared" si="30"/>
        <v>1457.5</v>
      </c>
    </row>
    <row r="588" spans="1:15" ht="15.75" customHeight="1" x14ac:dyDescent="0.3">
      <c r="B588" s="99" t="s">
        <v>7006</v>
      </c>
      <c r="C588" s="155">
        <f>VLOOKUP("OPEXInsuranceEverythingDefault",Econ.inputsTable!$E:$H,2,FALSE)</f>
        <v>5.0000000000000001E-3</v>
      </c>
      <c r="D588" s="237">
        <f>VLOOKUP("OPEXRepair and maintenanceEquipmentDefault",Econ.inputsTable!$E:$H,2,FALSE)</f>
        <v>0.03</v>
      </c>
      <c r="H588" s="147">
        <f>E540+(E554/E548)</f>
        <v>85.25370438675381</v>
      </c>
      <c r="I588" s="158">
        <f>H588*E563</f>
        <v>315.13951398540536</v>
      </c>
      <c r="J588" s="238">
        <f>I588*VLOOKUP("OPEXLubeLubeDefault",Econ.inputsTable!$E:$H,2,FALSE)</f>
        <v>31.513951398540538</v>
      </c>
      <c r="K588" s="205">
        <f>(E537+(E551/E548))*VLOOKUP("OPEXLaborTractorDefault",Econ.inputsTable!$E:$H,2,FALSE)</f>
        <v>8.525370438675381</v>
      </c>
      <c r="L588" s="158">
        <f>K588*E564</f>
        <v>201.71026457905953</v>
      </c>
      <c r="O588" s="264">
        <f t="shared" si="30"/>
        <v>658.14337503447587</v>
      </c>
    </row>
    <row r="589" spans="1:15" ht="15.75" customHeight="1" x14ac:dyDescent="0.3">
      <c r="B589" s="99" t="s">
        <v>6392</v>
      </c>
      <c r="C589" s="155">
        <f>VLOOKUP("OPEXInsuranceEverythingDefault",Econ.inputsTable!$E:$H,2,FALSE)</f>
        <v>5.0000000000000001E-3</v>
      </c>
      <c r="D589" s="237">
        <f>VLOOKUP("OPEXRepair and maintenanceEquipmentDefault",Econ.inputsTable!$E:$H,2,FALSE)</f>
        <v>0.03</v>
      </c>
      <c r="I589" s="158"/>
      <c r="J589" s="158"/>
      <c r="L589" s="153"/>
      <c r="O589" s="264">
        <f t="shared" si="30"/>
        <v>4780.9999999999991</v>
      </c>
    </row>
    <row r="590" spans="1:15" ht="15.75" customHeight="1" x14ac:dyDescent="0.3">
      <c r="B590" s="99" t="s">
        <v>7007</v>
      </c>
      <c r="C590" s="155">
        <f>VLOOKUP("OPEXInsuranceEverythingDefault",Econ.inputsTable!$E:$H,2,FALSE)</f>
        <v>5.0000000000000001E-3</v>
      </c>
      <c r="D590" s="237">
        <f>VLOOKUP("OPEXRepair and maintenanceEquipmentDefault",Econ.inputsTable!$E:$H,2,FALSE)</f>
        <v>0.03</v>
      </c>
      <c r="I590" s="158"/>
      <c r="J590" s="158"/>
      <c r="L590" s="153"/>
      <c r="O590" s="264">
        <f t="shared" si="30"/>
        <v>0</v>
      </c>
    </row>
    <row r="591" spans="1:15" ht="15.75" customHeight="1" x14ac:dyDescent="0.3">
      <c r="B591" s="99" t="s">
        <v>7008</v>
      </c>
      <c r="C591" s="155">
        <f>VLOOKUP("OPEXInsuranceEverythingDefault",Econ.inputsTable!$E:$H,2,FALSE)</f>
        <v>5.0000000000000001E-3</v>
      </c>
      <c r="D591" s="237">
        <f>VLOOKUP("OPEXRepair and maintenanceEquipmentDefault",Econ.inputsTable!$E:$H,2,FALSE)</f>
        <v>0.03</v>
      </c>
      <c r="I591" s="158"/>
      <c r="J591" s="158"/>
      <c r="L591" s="153"/>
      <c r="O591" s="264">
        <f t="shared" si="30"/>
        <v>2831.4999999999995</v>
      </c>
    </row>
    <row r="592" spans="1:15" ht="15.75" customHeight="1" x14ac:dyDescent="0.3">
      <c r="A592" t="s">
        <v>5202</v>
      </c>
      <c r="B592" s="162" t="s">
        <v>5203</v>
      </c>
      <c r="C592" s="241"/>
      <c r="D592" s="241"/>
      <c r="E592" s="242">
        <f t="shared" ref="E592:O592" si="31">SUM(E583:E591)</f>
        <v>0</v>
      </c>
      <c r="F592" s="2125">
        <f t="shared" si="31"/>
        <v>931.22205127489565</v>
      </c>
      <c r="G592" s="242">
        <f t="shared" si="31"/>
        <v>63.874072533697216</v>
      </c>
      <c r="H592" s="286">
        <f t="shared" si="31"/>
        <v>161.48736569260842</v>
      </c>
      <c r="I592" s="242">
        <f t="shared" si="31"/>
        <v>596.93652381701293</v>
      </c>
      <c r="J592" s="242">
        <f t="shared" si="31"/>
        <v>59.693652381701298</v>
      </c>
      <c r="K592" s="243">
        <f t="shared" si="31"/>
        <v>28.203134673069055</v>
      </c>
      <c r="L592" s="242">
        <f t="shared" si="31"/>
        <v>667.28616636481388</v>
      </c>
      <c r="M592" s="374">
        <f t="shared" si="31"/>
        <v>0</v>
      </c>
      <c r="N592" s="242">
        <f t="shared" si="31"/>
        <v>0</v>
      </c>
      <c r="O592" s="169">
        <f t="shared" si="31"/>
        <v>14078.865101538144</v>
      </c>
    </row>
    <row r="593" spans="1:15" ht="14.4" x14ac:dyDescent="0.3">
      <c r="B593" s="99"/>
      <c r="O593" s="146"/>
    </row>
    <row r="594" spans="1:15" ht="14.4" x14ac:dyDescent="0.3">
      <c r="A594" t="s">
        <v>5202</v>
      </c>
      <c r="B594" s="149" t="s">
        <v>6980</v>
      </c>
      <c r="C594" s="159">
        <f>O592</f>
        <v>14078.865101538144</v>
      </c>
      <c r="D594" s="150"/>
      <c r="E594" s="150"/>
      <c r="F594" s="150"/>
      <c r="G594" s="150"/>
      <c r="H594" s="150"/>
      <c r="I594" s="150"/>
      <c r="J594" s="150"/>
      <c r="K594" s="150"/>
      <c r="L594" s="150"/>
      <c r="M594" s="150"/>
      <c r="N594" s="150"/>
      <c r="O594" s="151"/>
    </row>
    <row r="595" spans="1:15" ht="14.4" x14ac:dyDescent="0.3">
      <c r="C595" s="153"/>
    </row>
    <row r="596" spans="1:15" ht="15.75" customHeight="1" x14ac:dyDescent="0.3">
      <c r="B596" s="384" t="s">
        <v>7123</v>
      </c>
      <c r="C596" s="2997" t="s">
        <v>6402</v>
      </c>
      <c r="D596" s="2999"/>
      <c r="E596" s="3059" t="s">
        <v>6417</v>
      </c>
      <c r="F596" s="3058"/>
    </row>
    <row r="597" spans="1:15" ht="15.75" customHeight="1" x14ac:dyDescent="0.3">
      <c r="B597" s="385" t="s">
        <v>7012</v>
      </c>
      <c r="C597" s="139" t="s">
        <v>7124</v>
      </c>
      <c r="D597" s="245" t="s">
        <v>7125</v>
      </c>
      <c r="E597" s="139" t="s">
        <v>7124</v>
      </c>
      <c r="F597" s="245" t="s">
        <v>7125</v>
      </c>
    </row>
    <row r="598" spans="1:15" ht="14.4" x14ac:dyDescent="0.3">
      <c r="A598" t="s">
        <v>5202</v>
      </c>
      <c r="B598" s="386" t="s">
        <v>7013</v>
      </c>
      <c r="C598" s="387">
        <f xml:space="preserve"> VLOOKUP("Fertilizer value for on-farm use, liquids",$R$1:$T$332,3, FALSE)</f>
        <v>5078.9972828671398</v>
      </c>
      <c r="D598" s="388">
        <f>VLOOKUP("Fertilizer value for on-farm use, liquids",$R$1:$T$332,3, FALSE)</f>
        <v>5078.9972828671398</v>
      </c>
      <c r="E598" s="387"/>
      <c r="F598" s="389">
        <f>VLOOKUP("Fertilizer value for on-farm use, sludge",$R$1:$T$332,3, FALSE)</f>
        <v>12200.958498394819</v>
      </c>
    </row>
    <row r="599" spans="1:15" ht="14.4" x14ac:dyDescent="0.3">
      <c r="A599" t="s">
        <v>5202</v>
      </c>
      <c r="B599" s="386" t="s">
        <v>7126</v>
      </c>
      <c r="C599" s="390">
        <f>C598</f>
        <v>5078.9972828671398</v>
      </c>
      <c r="D599" s="391"/>
      <c r="E599" s="390">
        <f>(F598/UDV.anaer_lagoon.sludge_time)</f>
        <v>1220.0958498394818</v>
      </c>
      <c r="F599" s="391"/>
    </row>
    <row r="600" spans="1:15" ht="14.4" x14ac:dyDescent="0.3">
      <c r="A600" t="s">
        <v>5202</v>
      </c>
      <c r="B600" s="386" t="s">
        <v>7014</v>
      </c>
      <c r="C600" s="393">
        <f>SUM(C599,E599)</f>
        <v>6299.0931327066219</v>
      </c>
      <c r="D600" s="146"/>
      <c r="E600" s="99"/>
      <c r="F600" s="146"/>
    </row>
    <row r="601" spans="1:15" ht="14.4" x14ac:dyDescent="0.3">
      <c r="B601" s="386"/>
      <c r="D601" s="146"/>
      <c r="E601" s="99"/>
      <c r="F601" s="146"/>
    </row>
    <row r="602" spans="1:15" ht="15.75" customHeight="1" x14ac:dyDescent="0.3">
      <c r="B602" s="394" t="s">
        <v>7015</v>
      </c>
      <c r="C602" s="139" t="s">
        <v>7124</v>
      </c>
      <c r="D602" s="245" t="s">
        <v>7125</v>
      </c>
      <c r="E602" s="139" t="s">
        <v>7124</v>
      </c>
      <c r="F602" s="245" t="s">
        <v>7125</v>
      </c>
    </row>
    <row r="603" spans="1:15" ht="14.4" x14ac:dyDescent="0.3">
      <c r="A603" t="s">
        <v>5202</v>
      </c>
      <c r="B603" s="386" t="s">
        <v>7016</v>
      </c>
      <c r="C603" s="387">
        <f>UDV.econ_manure.liquid_sell_price*C504</f>
        <v>0</v>
      </c>
      <c r="D603" s="389">
        <f>UDV.econ_manure.liquid_sell_price*C504</f>
        <v>0</v>
      </c>
      <c r="E603" s="387"/>
      <c r="F603" s="389">
        <f>UDV.econ_manure.sludge_sell_price*C507</f>
        <v>0</v>
      </c>
    </row>
    <row r="604" spans="1:15" ht="14.4" x14ac:dyDescent="0.3">
      <c r="A604" t="s">
        <v>5202</v>
      </c>
      <c r="B604" s="386" t="s">
        <v>7127</v>
      </c>
      <c r="C604" s="390">
        <f>C603</f>
        <v>0</v>
      </c>
      <c r="D604" s="391"/>
      <c r="E604" s="390">
        <f>(F603/UDV.anaer_lagoon.sludge_time)</f>
        <v>0</v>
      </c>
      <c r="F604" s="391"/>
    </row>
    <row r="605" spans="1:15" ht="14.4" x14ac:dyDescent="0.3">
      <c r="A605" t="s">
        <v>5202</v>
      </c>
      <c r="B605" s="386" t="s">
        <v>7017</v>
      </c>
      <c r="C605" s="393">
        <f>SUM(C604,E604)</f>
        <v>0</v>
      </c>
      <c r="D605" s="146"/>
      <c r="E605" s="99"/>
      <c r="F605" s="146"/>
    </row>
    <row r="606" spans="1:15" ht="14.4" x14ac:dyDescent="0.3">
      <c r="B606" s="386"/>
      <c r="C606" s="166"/>
      <c r="D606" s="146"/>
      <c r="E606" s="395"/>
      <c r="F606" s="396"/>
    </row>
    <row r="607" spans="1:15" ht="15.75" customHeight="1" x14ac:dyDescent="0.3">
      <c r="B607" s="397" t="s">
        <v>7018</v>
      </c>
      <c r="C607" s="139" t="s">
        <v>7124</v>
      </c>
      <c r="D607" s="245" t="s">
        <v>7125</v>
      </c>
      <c r="E607" s="139" t="s">
        <v>7124</v>
      </c>
      <c r="F607" s="245" t="s">
        <v>7125</v>
      </c>
    </row>
    <row r="608" spans="1:15" ht="14.4" x14ac:dyDescent="0.3">
      <c r="A608" t="s">
        <v>5202</v>
      </c>
      <c r="B608" s="386" t="s">
        <v>7019</v>
      </c>
      <c r="C608" s="387">
        <f>UDV.econ_manure.liquid_sell_price*C505</f>
        <v>0</v>
      </c>
      <c r="D608" s="389">
        <f>UDV.econ_manure.liquid_sell_price*C505</f>
        <v>0</v>
      </c>
      <c r="E608" s="387">
        <v>0</v>
      </c>
      <c r="F608" s="389">
        <f>UDV.econ_manure.sludge_sell_price*C508</f>
        <v>898.71989024733921</v>
      </c>
    </row>
    <row r="609" spans="1:17" ht="14.4" x14ac:dyDescent="0.3">
      <c r="A609" t="s">
        <v>5202</v>
      </c>
      <c r="B609" s="386" t="s">
        <v>7128</v>
      </c>
      <c r="C609" s="390">
        <f>C608</f>
        <v>0</v>
      </c>
      <c r="D609" s="391"/>
      <c r="E609" s="390">
        <f>(F608/UDV.anaer_lagoon.sludge_time)</f>
        <v>89.871989024733921</v>
      </c>
      <c r="F609" s="391"/>
    </row>
    <row r="610" spans="1:17" ht="14.4" x14ac:dyDescent="0.3">
      <c r="A610" t="s">
        <v>5202</v>
      </c>
      <c r="B610" s="386" t="s">
        <v>7020</v>
      </c>
      <c r="C610" s="393">
        <f>SUM(C609,E609)</f>
        <v>89.871989024733921</v>
      </c>
      <c r="D610" s="146"/>
      <c r="E610" s="99"/>
      <c r="F610" s="146"/>
    </row>
    <row r="611" spans="1:17" ht="14.4" x14ac:dyDescent="0.3">
      <c r="B611" s="386"/>
      <c r="D611" s="146"/>
      <c r="E611" s="99"/>
      <c r="F611" s="146"/>
    </row>
    <row r="612" spans="1:17" ht="15.75" customHeight="1" x14ac:dyDescent="0.3">
      <c r="B612" s="398" t="s">
        <v>7021</v>
      </c>
      <c r="C612" s="139" t="s">
        <v>7124</v>
      </c>
      <c r="D612" s="245" t="s">
        <v>7125</v>
      </c>
      <c r="E612" s="139" t="s">
        <v>7124</v>
      </c>
      <c r="F612" s="245" t="s">
        <v>7125</v>
      </c>
    </row>
    <row r="613" spans="1:17" ht="14.4" x14ac:dyDescent="0.3">
      <c r="A613" t="s">
        <v>5202</v>
      </c>
      <c r="B613" s="386" t="s">
        <v>7022</v>
      </c>
      <c r="C613" s="387">
        <f>UDV.econ_manure.liquid_export_cost*C506</f>
        <v>0</v>
      </c>
      <c r="D613" s="389">
        <f>UDV.econ_manure.liquid_export_cost*C506</f>
        <v>0</v>
      </c>
      <c r="E613" s="387">
        <v>0</v>
      </c>
      <c r="F613" s="389">
        <f>UDV.econ_manure.sludge_export_cost*C509</f>
        <v>0</v>
      </c>
    </row>
    <row r="614" spans="1:17" ht="14.4" x14ac:dyDescent="0.3">
      <c r="A614" t="s">
        <v>5202</v>
      </c>
      <c r="B614" s="386" t="s">
        <v>7129</v>
      </c>
      <c r="C614" s="390">
        <f>C613</f>
        <v>0</v>
      </c>
      <c r="D614" s="391"/>
      <c r="E614" s="390">
        <f>(F613/UDV.anaer_lagoon.sludge_time)</f>
        <v>0</v>
      </c>
      <c r="F614" s="391"/>
    </row>
    <row r="615" spans="1:17" ht="14.4" x14ac:dyDescent="0.3">
      <c r="A615" t="s">
        <v>5202</v>
      </c>
      <c r="B615" s="386" t="s">
        <v>7023</v>
      </c>
      <c r="C615" s="393">
        <f>SUM(C614,E614)</f>
        <v>0</v>
      </c>
      <c r="D615" s="146"/>
      <c r="E615" s="99"/>
      <c r="F615" s="146"/>
    </row>
    <row r="616" spans="1:17" ht="14.4" x14ac:dyDescent="0.3">
      <c r="B616" s="386"/>
      <c r="D616" s="146"/>
      <c r="E616" s="99"/>
      <c r="F616" s="146"/>
    </row>
    <row r="617" spans="1:17" ht="15.75" customHeight="1" x14ac:dyDescent="0.3">
      <c r="B617" s="303" t="s">
        <v>7138</v>
      </c>
      <c r="C617" s="173" t="s">
        <v>7025</v>
      </c>
      <c r="D617" s="173"/>
      <c r="E617" s="99"/>
      <c r="F617" s="146"/>
    </row>
    <row r="618" spans="1:17" ht="14.4" x14ac:dyDescent="0.3">
      <c r="B618" s="70" t="s">
        <v>7139</v>
      </c>
      <c r="C618" s="265"/>
      <c r="D618" s="151"/>
      <c r="E618" s="149"/>
      <c r="F618" s="151"/>
    </row>
    <row r="619" spans="1:17" ht="15" thickBot="1" x14ac:dyDescent="0.35">
      <c r="A619" s="137"/>
      <c r="B619" s="137"/>
      <c r="C619" s="137"/>
      <c r="D619" s="137"/>
      <c r="E619" s="137"/>
      <c r="F619" s="137"/>
      <c r="G619" s="137"/>
      <c r="H619" s="137"/>
      <c r="I619" s="137"/>
      <c r="J619" s="137"/>
      <c r="K619" s="137"/>
      <c r="L619" s="137"/>
      <c r="M619" s="137"/>
      <c r="N619" s="137"/>
      <c r="O619" s="137"/>
      <c r="P619" s="137"/>
      <c r="Q619" s="137"/>
    </row>
    <row r="620" spans="1:17" ht="14.4" x14ac:dyDescent="0.3"/>
    <row r="621" spans="1:17" ht="15.75" customHeight="1" x14ac:dyDescent="0.3">
      <c r="B621" s="92" t="s">
        <v>7243</v>
      </c>
      <c r="C621" s="170" t="s">
        <v>7260</v>
      </c>
    </row>
    <row r="623" spans="1:17" ht="15.75" customHeight="1" x14ac:dyDescent="0.3">
      <c r="B623" s="139" t="s">
        <v>6983</v>
      </c>
      <c r="C623" s="140" t="s">
        <v>565</v>
      </c>
      <c r="D623" s="140" t="s">
        <v>38</v>
      </c>
      <c r="E623" s="142"/>
      <c r="F623" s="141"/>
    </row>
    <row r="624" spans="1:17" ht="15.75" customHeight="1" x14ac:dyDescent="0.3">
      <c r="B624" s="99" t="s">
        <v>7028</v>
      </c>
      <c r="C624">
        <f>UDV.crops.acres_available</f>
        <v>100</v>
      </c>
      <c r="D624" t="s">
        <v>7029</v>
      </c>
      <c r="E624" s="34"/>
      <c r="F624" s="146"/>
    </row>
    <row r="625" spans="2:6" ht="15.75" customHeight="1" x14ac:dyDescent="0.3">
      <c r="B625" s="99" t="s">
        <v>7109</v>
      </c>
      <c r="C625" s="166">
        <f>UDV.econ_manure.liquid_sell_pct*VLOOKUP("Excess volume, lagoon liquid manure",$R$1:$T$332, 3, FALSE)</f>
        <v>0</v>
      </c>
      <c r="D625" t="s">
        <v>5246</v>
      </c>
      <c r="F625" s="146"/>
    </row>
    <row r="626" spans="2:6" ht="15.75" customHeight="1" x14ac:dyDescent="0.3">
      <c r="B626" s="99" t="s">
        <v>7110</v>
      </c>
      <c r="C626" s="166">
        <f>UDV.econ_manure.liquid_give_pct*VLOOKUP("Excess volume, lagoon liquid manure",$R$1:$T$332, 3, FALSE)</f>
        <v>0</v>
      </c>
      <c r="D626" t="s">
        <v>5246</v>
      </c>
      <c r="F626" s="146"/>
    </row>
    <row r="627" spans="2:6" ht="15.75" customHeight="1" x14ac:dyDescent="0.3">
      <c r="B627" s="99" t="s">
        <v>7111</v>
      </c>
      <c r="C627" s="166">
        <f>UDV.econ_manure.liquid_export_pct*VLOOKUP("Excess volume, lagoon liquid manure",$R$1:$T$332, 3, FALSE)</f>
        <v>0</v>
      </c>
      <c r="D627" t="s">
        <v>5246</v>
      </c>
      <c r="F627" s="146"/>
    </row>
    <row r="628" spans="2:6" ht="15.75" customHeight="1" x14ac:dyDescent="0.3">
      <c r="B628" s="99" t="s">
        <v>7112</v>
      </c>
      <c r="C628" s="166">
        <f>UDV.econ_manure.sludge_sell_pct*VLOOKUP("Excess volume, lagoon sludge manure",$R$1:$T$332, 3, FALSE)</f>
        <v>0</v>
      </c>
      <c r="D628" t="s">
        <v>5249</v>
      </c>
      <c r="F628" s="146"/>
    </row>
    <row r="629" spans="2:6" ht="15.75" customHeight="1" x14ac:dyDescent="0.3">
      <c r="B629" s="99" t="s">
        <v>7113</v>
      </c>
      <c r="C629" s="166">
        <f>UDV.econ_manure.sludge_give_pct*VLOOKUP("Excess volume, lagoon sludge manure",$R$1:$T$332, 3, FALSE)</f>
        <v>22.46799725618348</v>
      </c>
      <c r="D629" t="s">
        <v>5249</v>
      </c>
      <c r="F629" s="146"/>
    </row>
    <row r="630" spans="2:6" ht="15.75" customHeight="1" x14ac:dyDescent="0.3">
      <c r="B630" s="99" t="s">
        <v>7114</v>
      </c>
      <c r="C630" s="166">
        <f>UDV.econ_manure.sludge_export_pct*VLOOKUP("Excess volume, lagoon sludge manure",$R$1:$T$332, 3, FALSE)</f>
        <v>0</v>
      </c>
      <c r="D630" t="s">
        <v>5249</v>
      </c>
      <c r="F630" s="146"/>
    </row>
    <row r="631" spans="2:6" ht="14.4" x14ac:dyDescent="0.3">
      <c r="B631" s="99"/>
      <c r="F631" s="151"/>
    </row>
    <row r="632" spans="2:6" ht="15.75" customHeight="1" x14ac:dyDescent="0.3">
      <c r="B632" s="92" t="s">
        <v>6942</v>
      </c>
      <c r="C632" s="82"/>
      <c r="D632" s="82"/>
      <c r="E632" s="139" t="s">
        <v>6988</v>
      </c>
      <c r="F632" s="141"/>
    </row>
    <row r="633" spans="2:6" ht="15.75" customHeight="1" x14ac:dyDescent="0.3">
      <c r="B633" s="175" t="s">
        <v>2908</v>
      </c>
      <c r="C633" s="82"/>
      <c r="D633" s="82"/>
      <c r="E633" s="92"/>
      <c r="F633" s="146"/>
    </row>
    <row r="634" spans="2:6" ht="15.75" customHeight="1" x14ac:dyDescent="0.3">
      <c r="B634" s="143" t="s">
        <v>2663</v>
      </c>
      <c r="C634" s="144" t="s">
        <v>565</v>
      </c>
      <c r="D634" s="144" t="s">
        <v>6943</v>
      </c>
      <c r="E634" s="143" t="s">
        <v>565</v>
      </c>
      <c r="F634" s="145" t="s">
        <v>6944</v>
      </c>
    </row>
    <row r="635" spans="2:6" ht="14.4" x14ac:dyDescent="0.3">
      <c r="B635" s="99" t="s">
        <v>5708</v>
      </c>
      <c r="C635" s="147">
        <f t="shared" ref="C635:C643" si="32">VLOOKUP(B635,$R:$U,3,FALSE)</f>
        <v>3000</v>
      </c>
      <c r="D635" t="s">
        <v>2514</v>
      </c>
      <c r="E635" s="99">
        <f t="shared" ref="E635:E643" si="33">C635</f>
        <v>3000</v>
      </c>
      <c r="F635" s="146" t="s">
        <v>2514</v>
      </c>
    </row>
    <row r="636" spans="2:6" ht="14.4" x14ac:dyDescent="0.3">
      <c r="B636" s="99" t="s">
        <v>5709</v>
      </c>
      <c r="C636" s="147">
        <f t="shared" si="32"/>
        <v>1</v>
      </c>
      <c r="D636" t="s">
        <v>2442</v>
      </c>
      <c r="E636" s="99">
        <f t="shared" si="33"/>
        <v>1</v>
      </c>
      <c r="F636" s="146" t="s">
        <v>2442</v>
      </c>
    </row>
    <row r="637" spans="2:6" ht="14.4" x14ac:dyDescent="0.3">
      <c r="B637" s="99" t="s">
        <v>5710</v>
      </c>
      <c r="C637" s="147">
        <f t="shared" si="32"/>
        <v>1</v>
      </c>
      <c r="D637" t="s">
        <v>2442</v>
      </c>
      <c r="E637" s="99">
        <f t="shared" si="33"/>
        <v>1</v>
      </c>
      <c r="F637" s="146" t="s">
        <v>2442</v>
      </c>
    </row>
    <row r="638" spans="2:6" ht="15.75" customHeight="1" x14ac:dyDescent="0.3">
      <c r="B638" s="99" t="s">
        <v>5688</v>
      </c>
      <c r="C638" s="147">
        <f t="shared" si="32"/>
        <v>580</v>
      </c>
      <c r="D638" t="s">
        <v>5689</v>
      </c>
      <c r="E638" s="99">
        <f t="shared" si="33"/>
        <v>580</v>
      </c>
      <c r="F638" s="146" t="s">
        <v>5689</v>
      </c>
    </row>
    <row r="639" spans="2:6" ht="14.4" x14ac:dyDescent="0.3">
      <c r="B639" s="99" t="s">
        <v>5701</v>
      </c>
      <c r="C639" s="147">
        <f t="shared" si="32"/>
        <v>340</v>
      </c>
      <c r="D639" s="146" t="s">
        <v>971</v>
      </c>
      <c r="E639">
        <f t="shared" si="33"/>
        <v>340</v>
      </c>
      <c r="F639" s="146" t="s">
        <v>971</v>
      </c>
    </row>
    <row r="640" spans="2:6" ht="14.4" x14ac:dyDescent="0.3">
      <c r="B640" s="99" t="s">
        <v>5738</v>
      </c>
      <c r="C640" s="147">
        <f t="shared" si="32"/>
        <v>1</v>
      </c>
      <c r="D640" s="146" t="s">
        <v>2442</v>
      </c>
      <c r="E640">
        <f t="shared" si="33"/>
        <v>1</v>
      </c>
      <c r="F640" s="146" t="s">
        <v>2442</v>
      </c>
    </row>
    <row r="641" spans="2:10" ht="14.4" x14ac:dyDescent="0.3">
      <c r="B641" s="99" t="s">
        <v>5702</v>
      </c>
      <c r="C641" s="147">
        <f t="shared" si="32"/>
        <v>1</v>
      </c>
      <c r="D641" s="146" t="s">
        <v>2442</v>
      </c>
      <c r="E641">
        <f t="shared" si="33"/>
        <v>1</v>
      </c>
      <c r="F641" s="146" t="s">
        <v>2442</v>
      </c>
    </row>
    <row r="642" spans="2:10" ht="14.4" x14ac:dyDescent="0.3">
      <c r="B642" s="99" t="s">
        <v>5739</v>
      </c>
      <c r="C642" s="147">
        <f t="shared" si="32"/>
        <v>2</v>
      </c>
      <c r="D642" t="s">
        <v>2971</v>
      </c>
      <c r="E642" s="201">
        <f t="shared" si="33"/>
        <v>2</v>
      </c>
      <c r="F642" s="146" t="s">
        <v>2971</v>
      </c>
    </row>
    <row r="643" spans="2:10" ht="14.4" x14ac:dyDescent="0.3">
      <c r="B643" s="99" t="s">
        <v>5732</v>
      </c>
      <c r="C643" s="147" t="str">
        <f t="shared" si="32"/>
        <v>Injection</v>
      </c>
      <c r="D643" t="s">
        <v>7042</v>
      </c>
      <c r="E643" s="165" t="str">
        <f t="shared" si="33"/>
        <v>Injection</v>
      </c>
      <c r="F643" s="146" t="s">
        <v>7042</v>
      </c>
    </row>
    <row r="644" spans="2:10" ht="14.4" x14ac:dyDescent="0.3">
      <c r="B644" s="99"/>
      <c r="C644" s="82"/>
      <c r="D644" s="82"/>
      <c r="E644" s="92"/>
      <c r="F644" s="146"/>
    </row>
    <row r="645" spans="2:10" ht="14.4" x14ac:dyDescent="0.3">
      <c r="B645" s="175" t="s">
        <v>7115</v>
      </c>
      <c r="C645" s="147"/>
      <c r="E645" s="99"/>
      <c r="F645" s="146"/>
    </row>
    <row r="646" spans="2:10" ht="14.4" x14ac:dyDescent="0.3">
      <c r="B646" s="143" t="s">
        <v>2663</v>
      </c>
      <c r="C646" s="147"/>
      <c r="E646" s="99"/>
      <c r="F646" s="146"/>
    </row>
    <row r="647" spans="2:10" ht="14.4" x14ac:dyDescent="0.3">
      <c r="B647" s="99" t="s">
        <v>6407</v>
      </c>
      <c r="C647" s="147">
        <f>VLOOKUP(B647,$R:$U,3,FALSE)</f>
        <v>26.352254973659456</v>
      </c>
      <c r="D647" t="s">
        <v>5385</v>
      </c>
      <c r="E647" s="178">
        <f>C647</f>
        <v>26.352254973659456</v>
      </c>
      <c r="F647" s="146" t="s">
        <v>5385</v>
      </c>
    </row>
    <row r="648" spans="2:10" ht="14.4" x14ac:dyDescent="0.3">
      <c r="B648" s="99" t="s">
        <v>6409</v>
      </c>
      <c r="C648" s="147">
        <f>VLOOKUP(B648,$R:$U,3,FALSE)</f>
        <v>931.22205127489565</v>
      </c>
      <c r="D648" t="s">
        <v>5323</v>
      </c>
      <c r="E648" s="178">
        <f>C648</f>
        <v>931.22205127489565</v>
      </c>
      <c r="F648" s="146" t="s">
        <v>5323</v>
      </c>
    </row>
    <row r="649" spans="2:10" ht="14.4" x14ac:dyDescent="0.3">
      <c r="B649" s="99" t="s">
        <v>6390</v>
      </c>
      <c r="C649" s="205">
        <f>VLOOKUP(B649,$R:$U, 3, FALSE)</f>
        <v>7.9056764920978377</v>
      </c>
      <c r="D649" t="s">
        <v>2472</v>
      </c>
      <c r="E649" s="178">
        <f>C649</f>
        <v>7.9056764920978377</v>
      </c>
      <c r="F649" s="146" t="s">
        <v>2710</v>
      </c>
    </row>
    <row r="650" spans="2:10" ht="15.75" customHeight="1" x14ac:dyDescent="0.3">
      <c r="B650" s="99"/>
      <c r="C650" s="82"/>
      <c r="D650" s="82"/>
      <c r="E650" s="92"/>
      <c r="F650" s="146"/>
    </row>
    <row r="651" spans="2:10" ht="15.75" customHeight="1" x14ac:dyDescent="0.3">
      <c r="B651" s="175" t="s">
        <v>7237</v>
      </c>
      <c r="E651" s="99"/>
      <c r="F651" s="146"/>
    </row>
    <row r="652" spans="2:10" ht="15.75" customHeight="1" x14ac:dyDescent="0.3">
      <c r="B652" s="143" t="s">
        <v>2663</v>
      </c>
      <c r="C652" s="144" t="s">
        <v>565</v>
      </c>
      <c r="D652" s="144" t="s">
        <v>6943</v>
      </c>
      <c r="E652" s="143" t="s">
        <v>565</v>
      </c>
      <c r="F652" s="145" t="s">
        <v>6944</v>
      </c>
      <c r="G652" s="1222" t="s">
        <v>3007</v>
      </c>
      <c r="H652" s="1215" t="s">
        <v>6993</v>
      </c>
      <c r="I652" s="142"/>
      <c r="J652" s="141"/>
    </row>
    <row r="653" spans="2:10" ht="14.4" x14ac:dyDescent="0.3">
      <c r="B653" s="99" t="s">
        <v>6401</v>
      </c>
      <c r="C653" s="147">
        <f>VLOOKUP(B653,$R:$U,3,FALSE)</f>
        <v>182.5</v>
      </c>
      <c r="D653" t="s">
        <v>5121</v>
      </c>
      <c r="E653" s="201">
        <f>UC.year_to_day/C653</f>
        <v>2</v>
      </c>
      <c r="F653" s="146" t="s">
        <v>7043</v>
      </c>
      <c r="G653" s="42" t="s">
        <v>7131</v>
      </c>
      <c r="H653" s="92" t="s">
        <v>4838</v>
      </c>
      <c r="I653" s="1216" t="s">
        <v>2710</v>
      </c>
      <c r="J653" s="285">
        <f>(SUM(E655:E657)*UDV.OPEX_labor.tractor_stationary)+(SUM(E658:E660)*UDV.OPEX_labor.tractor_active)+E649</f>
        <v>8.7919700402154657</v>
      </c>
    </row>
    <row r="654" spans="2:10" ht="14.4" x14ac:dyDescent="0.3">
      <c r="B654" s="99" t="s">
        <v>5713</v>
      </c>
      <c r="C654" s="147">
        <f>VLOOKUP(B654,$R:$U,3,FALSE)</f>
        <v>0.17344296440658091</v>
      </c>
      <c r="D654" s="146" t="s">
        <v>6085</v>
      </c>
      <c r="E654" s="147">
        <f>C654*E653</f>
        <v>0.34688592881316183</v>
      </c>
      <c r="F654" s="146" t="s">
        <v>2710</v>
      </c>
      <c r="G654" s="42" t="s">
        <v>7132</v>
      </c>
      <c r="H654" s="1217" t="s">
        <v>5444</v>
      </c>
      <c r="I654" s="1216" t="s">
        <v>6085</v>
      </c>
      <c r="J654" s="285">
        <f>(SUM(E676:E678)*UDV.OPEX_labor.tractor_stationary)+(SUM(E679:E681)*UDV.OPEX_labor.tractor_active)</f>
        <v>14.865951095262416</v>
      </c>
    </row>
    <row r="655" spans="2:10" ht="14.4" x14ac:dyDescent="0.3">
      <c r="B655" s="99" t="s">
        <v>6543</v>
      </c>
      <c r="C655" s="204">
        <f>C654</f>
        <v>0.17344296440658091</v>
      </c>
      <c r="D655" s="141" t="s">
        <v>6085</v>
      </c>
      <c r="E655" s="178">
        <f>C655*E653</f>
        <v>0.34688592881316183</v>
      </c>
      <c r="F655" s="146" t="s">
        <v>2710</v>
      </c>
      <c r="G655" s="42" t="s">
        <v>7133</v>
      </c>
      <c r="H655" s="1218" t="s">
        <v>5445</v>
      </c>
      <c r="I655" s="1216" t="s">
        <v>6995</v>
      </c>
      <c r="J655" s="285">
        <f>SUM(J653:J654)</f>
        <v>23.657921135477881</v>
      </c>
    </row>
    <row r="656" spans="2:10" ht="15.75" customHeight="1" x14ac:dyDescent="0.3">
      <c r="B656" s="99" t="s">
        <v>6544</v>
      </c>
      <c r="C656" s="205">
        <f>C654</f>
        <v>0.17344296440658091</v>
      </c>
      <c r="D656" s="146" t="s">
        <v>6085</v>
      </c>
      <c r="E656" s="178">
        <f>C656*E653</f>
        <v>0.34688592881316183</v>
      </c>
      <c r="F656" s="146" t="s">
        <v>2710</v>
      </c>
      <c r="G656" s="42" t="s">
        <v>7134</v>
      </c>
      <c r="H656" s="1219" t="s">
        <v>5446</v>
      </c>
      <c r="I656" s="1220" t="s">
        <v>5447</v>
      </c>
      <c r="J656" s="1221">
        <f>J653+(J654/UDV.anaer_lagoon.sludge_time)</f>
        <v>10.278565149741707</v>
      </c>
    </row>
    <row r="657" spans="2:6" ht="15.75" customHeight="1" x14ac:dyDescent="0.3">
      <c r="B657" s="99" t="s">
        <v>6545</v>
      </c>
      <c r="C657" s="205">
        <f>C654</f>
        <v>0.17344296440658091</v>
      </c>
      <c r="D657" s="146" t="s">
        <v>6085</v>
      </c>
      <c r="E657" s="178">
        <f>C657*E653</f>
        <v>0.34688592881316183</v>
      </c>
      <c r="F657" s="146" t="s">
        <v>2710</v>
      </c>
    </row>
    <row r="658" spans="2:6" ht="15.75" customHeight="1" x14ac:dyDescent="0.3">
      <c r="B658" s="99" t="s">
        <v>6546</v>
      </c>
      <c r="C658" s="205">
        <f>C654*UDV.dhl.application_maneuver_factor</f>
        <v>0.19945940906756804</v>
      </c>
      <c r="D658" s="146" t="s">
        <v>6085</v>
      </c>
      <c r="E658" s="178">
        <f>C658*E653</f>
        <v>0.39891881813513608</v>
      </c>
      <c r="F658" s="146" t="s">
        <v>2710</v>
      </c>
    </row>
    <row r="659" spans="2:6" ht="14.4" x14ac:dyDescent="0.3">
      <c r="B659" s="99" t="s">
        <v>6547</v>
      </c>
      <c r="C659" s="205">
        <f>C654*UDV.dhl.hose_mover_utilization</f>
        <v>0.13008222330493568</v>
      </c>
      <c r="D659" s="146" t="s">
        <v>6085</v>
      </c>
      <c r="E659" s="178">
        <f>C659*E653</f>
        <v>0.26016444660987137</v>
      </c>
      <c r="F659" s="146" t="s">
        <v>2710</v>
      </c>
    </row>
    <row r="660" spans="2:6" ht="14.4" x14ac:dyDescent="0.3">
      <c r="B660" s="99" t="s">
        <v>6548</v>
      </c>
      <c r="C660" s="209">
        <f>C654*UDV.dhl.pickup_utilization</f>
        <v>2.6016444660987136E-2</v>
      </c>
      <c r="D660" s="151" t="s">
        <v>6085</v>
      </c>
      <c r="E660" s="178">
        <f>C660*E653</f>
        <v>5.2032889321974272E-2</v>
      </c>
      <c r="F660" s="146" t="s">
        <v>2710</v>
      </c>
    </row>
    <row r="661" spans="2:6" ht="14.4" x14ac:dyDescent="0.3">
      <c r="B661" s="99" t="s">
        <v>5714</v>
      </c>
      <c r="C661" s="147">
        <f t="shared" ref="C661:C670" si="34">VLOOKUP(B661,$R:$U,3,FALSE)</f>
        <v>3.1219733593184564</v>
      </c>
      <c r="D661" t="s">
        <v>2489</v>
      </c>
      <c r="E661" s="178">
        <f>C661*E653</f>
        <v>6.2439467186369129</v>
      </c>
      <c r="F661" s="146" t="s">
        <v>7135</v>
      </c>
    </row>
    <row r="662" spans="2:6" ht="14.4" x14ac:dyDescent="0.3">
      <c r="B662" s="99" t="s">
        <v>5715</v>
      </c>
      <c r="C662" s="147">
        <f t="shared" si="34"/>
        <v>1.3008222330493568</v>
      </c>
      <c r="D662" t="s">
        <v>2489</v>
      </c>
      <c r="E662" s="178">
        <f>C662*E653</f>
        <v>2.6016444660987137</v>
      </c>
      <c r="F662" s="146" t="s">
        <v>7135</v>
      </c>
    </row>
    <row r="663" spans="2:6" ht="14.4" x14ac:dyDescent="0.3">
      <c r="B663" s="99" t="s">
        <v>5716</v>
      </c>
      <c r="C663" s="147">
        <f t="shared" si="34"/>
        <v>1.0406577864394855</v>
      </c>
      <c r="D663" t="s">
        <v>2489</v>
      </c>
      <c r="E663" s="178">
        <f>C663*E653</f>
        <v>2.081315572878971</v>
      </c>
      <c r="F663" s="146" t="s">
        <v>7135</v>
      </c>
    </row>
    <row r="664" spans="2:6" ht="14.4" x14ac:dyDescent="0.3">
      <c r="B664" s="99" t="s">
        <v>5740</v>
      </c>
      <c r="C664" s="147">
        <f t="shared" si="34"/>
        <v>25.52</v>
      </c>
      <c r="D664" t="s">
        <v>6549</v>
      </c>
      <c r="E664" s="178">
        <f t="shared" ref="E664:E665" si="35">C664*E658</f>
        <v>10.180408238808672</v>
      </c>
      <c r="F664" s="146" t="s">
        <v>7135</v>
      </c>
    </row>
    <row r="665" spans="2:6" ht="14.4" x14ac:dyDescent="0.3">
      <c r="B665" s="99" t="s">
        <v>5741</v>
      </c>
      <c r="C665" s="147">
        <f t="shared" si="34"/>
        <v>14.959999999999999</v>
      </c>
      <c r="D665" t="s">
        <v>6549</v>
      </c>
      <c r="E665" s="178">
        <f t="shared" si="35"/>
        <v>3.8920601212836754</v>
      </c>
      <c r="F665" s="146" t="s">
        <v>7135</v>
      </c>
    </row>
    <row r="666" spans="2:6" ht="14.4" x14ac:dyDescent="0.3">
      <c r="B666" s="99" t="s">
        <v>5717</v>
      </c>
      <c r="C666" s="147">
        <f t="shared" si="34"/>
        <v>0.15609866796592281</v>
      </c>
      <c r="D666" t="s">
        <v>2489</v>
      </c>
      <c r="E666" s="178">
        <f>C666*E653</f>
        <v>0.31219733593184562</v>
      </c>
      <c r="F666" s="146" t="s">
        <v>7135</v>
      </c>
    </row>
    <row r="667" spans="2:6" ht="15.75" customHeight="1" x14ac:dyDescent="0.3">
      <c r="B667" s="99" t="s">
        <v>6403</v>
      </c>
      <c r="C667" s="147">
        <f t="shared" si="34"/>
        <v>1181.7954759720228</v>
      </c>
      <c r="D667" t="s">
        <v>5910</v>
      </c>
      <c r="E667" s="164">
        <f>CONVERT(C667,"m^3","gal")*E653</f>
        <v>624394.67271020834</v>
      </c>
      <c r="F667" s="146" t="s">
        <v>5324</v>
      </c>
    </row>
    <row r="668" spans="2:6" ht="15.75" customHeight="1" x14ac:dyDescent="0.3">
      <c r="B668" s="99" t="s">
        <v>6404</v>
      </c>
      <c r="C668" s="78">
        <f t="shared" si="34"/>
        <v>1.1533993412168242</v>
      </c>
      <c r="D668" s="146" t="s">
        <v>2413</v>
      </c>
      <c r="E668" s="201">
        <f>C668*UC.g_to_lb/UC.L_to_gal*1000</f>
        <v>9.6255840830704305</v>
      </c>
      <c r="F668" s="146" t="s">
        <v>2414</v>
      </c>
    </row>
    <row r="669" spans="2:6" ht="14.4" x14ac:dyDescent="0.3">
      <c r="B669" s="99" t="s">
        <v>6405</v>
      </c>
      <c r="C669" s="78">
        <f t="shared" si="34"/>
        <v>0.77291508964248568</v>
      </c>
      <c r="D669" s="146" t="s">
        <v>2413</v>
      </c>
      <c r="E669" s="201">
        <f>C669*UC.g_to_lb/UC.L_to_gal*1000</f>
        <v>6.450289087714232</v>
      </c>
      <c r="F669" s="146" t="s">
        <v>2414</v>
      </c>
    </row>
    <row r="670" spans="2:6" ht="14.4" x14ac:dyDescent="0.3">
      <c r="B670" s="99" t="s">
        <v>6406</v>
      </c>
      <c r="C670" s="78">
        <f t="shared" si="34"/>
        <v>1.1744351577487824</v>
      </c>
      <c r="D670" s="146" t="s">
        <v>2413</v>
      </c>
      <c r="E670" s="201">
        <f>C670*UC.g_to_lb/UC.L_to_gal*1000</f>
        <v>9.801136481575174</v>
      </c>
      <c r="F670" s="146" t="s">
        <v>2414</v>
      </c>
    </row>
    <row r="671" spans="2:6" ht="14.4" x14ac:dyDescent="0.3">
      <c r="B671" s="99"/>
      <c r="E671" s="99"/>
      <c r="F671" s="146"/>
    </row>
    <row r="672" spans="2:6" ht="15.75" customHeight="1" x14ac:dyDescent="0.3">
      <c r="B672" s="175" t="s">
        <v>7238</v>
      </c>
      <c r="E672" s="99"/>
      <c r="F672" s="146"/>
    </row>
    <row r="673" spans="2:11" ht="15.75" customHeight="1" x14ac:dyDescent="0.3">
      <c r="B673" s="143" t="s">
        <v>2663</v>
      </c>
      <c r="C673" s="144" t="s">
        <v>565</v>
      </c>
      <c r="D673" s="144" t="s">
        <v>6943</v>
      </c>
      <c r="E673" s="143" t="s">
        <v>565</v>
      </c>
      <c r="F673" s="145" t="s">
        <v>6944</v>
      </c>
    </row>
    <row r="674" spans="2:11" ht="15.75" customHeight="1" x14ac:dyDescent="0.3">
      <c r="B674" s="99" t="s">
        <v>6416</v>
      </c>
      <c r="C674" s="382">
        <f>VLOOKUP(B674,$X:$AA,3,FALSE)</f>
        <v>10</v>
      </c>
      <c r="D674" t="s">
        <v>2669</v>
      </c>
      <c r="E674" s="99">
        <f>C674</f>
        <v>10</v>
      </c>
      <c r="F674" s="146" t="s">
        <v>2669</v>
      </c>
    </row>
    <row r="675" spans="2:11" ht="15.75" customHeight="1" x14ac:dyDescent="0.3">
      <c r="B675" s="99" t="s">
        <v>5713</v>
      </c>
      <c r="C675" s="382">
        <f>VLOOKUP(B675,$X:$AA,3,FALSE)</f>
        <v>5.8183761625293213</v>
      </c>
      <c r="D675" s="146" t="s">
        <v>6085</v>
      </c>
      <c r="E675" s="311">
        <f>C675</f>
        <v>5.8183761625293213</v>
      </c>
      <c r="F675" s="146" t="s">
        <v>6085</v>
      </c>
    </row>
    <row r="676" spans="2:11" ht="14.4" x14ac:dyDescent="0.3">
      <c r="B676" s="99" t="s">
        <v>6543</v>
      </c>
      <c r="C676" s="400">
        <f>C675</f>
        <v>5.8183761625293213</v>
      </c>
      <c r="D676" s="141" t="s">
        <v>6085</v>
      </c>
      <c r="E676" s="401">
        <f>E675</f>
        <v>5.8183761625293213</v>
      </c>
      <c r="F676" s="146" t="s">
        <v>6085</v>
      </c>
    </row>
    <row r="677" spans="2:11" ht="14.4" x14ac:dyDescent="0.3">
      <c r="B677" s="99" t="s">
        <v>6544</v>
      </c>
      <c r="C677" s="78">
        <f>C675</f>
        <v>5.8183761625293213</v>
      </c>
      <c r="D677" t="s">
        <v>6085</v>
      </c>
      <c r="E677" s="401">
        <f>E675</f>
        <v>5.8183761625293213</v>
      </c>
      <c r="F677" s="146" t="s">
        <v>6085</v>
      </c>
    </row>
    <row r="678" spans="2:11" ht="15.75" customHeight="1" x14ac:dyDescent="0.3">
      <c r="B678" s="99" t="s">
        <v>6545</v>
      </c>
      <c r="C678" s="78">
        <f>C675</f>
        <v>5.8183761625293213</v>
      </c>
      <c r="D678" t="s">
        <v>6085</v>
      </c>
      <c r="E678" s="401">
        <f>E675</f>
        <v>5.8183761625293213</v>
      </c>
      <c r="F678" s="146" t="s">
        <v>6085</v>
      </c>
      <c r="H678" s="139" t="s">
        <v>7033</v>
      </c>
      <c r="I678" s="142"/>
      <c r="J678" s="142"/>
      <c r="K678" s="141"/>
    </row>
    <row r="679" spans="2:11" ht="14.4" x14ac:dyDescent="0.3">
      <c r="B679" s="99" t="s">
        <v>7136</v>
      </c>
      <c r="C679" s="78">
        <f>C675*UDV.dhl.application_maneuver_factor</f>
        <v>6.6911325869087186</v>
      </c>
      <c r="D679" t="s">
        <v>6085</v>
      </c>
      <c r="E679" s="401">
        <f>E675*VLOOKUP("NAPercent time for useApplicator tractor for drag hose land applicationDefault",Econ.inputsTable!$E:$G,2,FALSE)</f>
        <v>6.6911325869087186</v>
      </c>
      <c r="F679" s="146" t="s">
        <v>6085</v>
      </c>
      <c r="H679" s="99" t="s">
        <v>7034</v>
      </c>
      <c r="K679" s="146"/>
    </row>
    <row r="680" spans="2:11" ht="14.4" x14ac:dyDescent="0.3">
      <c r="B680" s="99" t="s">
        <v>7137</v>
      </c>
      <c r="C680" s="78">
        <f>C675*UDV.dhl.hose_mover_utilization</f>
        <v>4.3637821218969908</v>
      </c>
      <c r="D680" t="s">
        <v>6085</v>
      </c>
      <c r="E680" s="401">
        <f>E675*VLOOKUP("NAPercent time for useHose mover tractor for drag hose land applicationDefault",Econ.inputsTable!$E:$G,2,FALSE)</f>
        <v>4.3637821218969908</v>
      </c>
      <c r="F680" s="146" t="s">
        <v>6085</v>
      </c>
      <c r="H680" s="99" t="s">
        <v>7035</v>
      </c>
      <c r="K680" s="146"/>
    </row>
    <row r="681" spans="2:11" ht="15.75" customHeight="1" x14ac:dyDescent="0.3">
      <c r="B681" s="99" t="s">
        <v>6548</v>
      </c>
      <c r="C681" s="312">
        <f>C675*UDV.dhl.pickup_utilization</f>
        <v>0.87275642437939815</v>
      </c>
      <c r="D681" s="151" t="s">
        <v>6085</v>
      </c>
      <c r="E681" s="311">
        <f>E675*VLOOKUP("NAPercent time for usePickup truck for drag hose land applicationDefault",Econ.inputsTable!$E:$G,2,FALSE)</f>
        <v>0.87275642437939815</v>
      </c>
      <c r="F681" s="146" t="s">
        <v>6085</v>
      </c>
      <c r="H681" s="235" t="s">
        <v>7047</v>
      </c>
      <c r="K681" s="146"/>
    </row>
    <row r="682" spans="2:11" ht="15.75" customHeight="1" x14ac:dyDescent="0.3">
      <c r="B682" s="99" t="s">
        <v>5714</v>
      </c>
      <c r="C682" s="382">
        <f t="shared" ref="C682:C691" si="36">VLOOKUP(B682,$X:$AA,3,FALSE)</f>
        <v>104.73077092552778</v>
      </c>
      <c r="D682" t="s">
        <v>2489</v>
      </c>
      <c r="E682" s="178">
        <f>C682</f>
        <v>104.73077092552778</v>
      </c>
      <c r="F682" s="146" t="s">
        <v>6087</v>
      </c>
      <c r="G682" s="147"/>
      <c r="H682" s="235" t="s">
        <v>7037</v>
      </c>
      <c r="K682" s="146"/>
    </row>
    <row r="683" spans="2:11" ht="15.75" customHeight="1" x14ac:dyDescent="0.3">
      <c r="B683" s="99" t="s">
        <v>5715</v>
      </c>
      <c r="C683" s="382">
        <f t="shared" si="36"/>
        <v>43.637821218969911</v>
      </c>
      <c r="D683" t="s">
        <v>2489</v>
      </c>
      <c r="E683" s="178">
        <f>C683</f>
        <v>43.637821218969911</v>
      </c>
      <c r="F683" s="146" t="s">
        <v>6087</v>
      </c>
      <c r="H683" s="235" t="s">
        <v>7038</v>
      </c>
      <c r="K683" s="146"/>
    </row>
    <row r="684" spans="2:11" ht="15.75" customHeight="1" x14ac:dyDescent="0.3">
      <c r="B684" s="99" t="s">
        <v>5716</v>
      </c>
      <c r="C684" s="382">
        <f t="shared" si="36"/>
        <v>34.910256975175926</v>
      </c>
      <c r="D684" t="s">
        <v>2489</v>
      </c>
      <c r="E684" s="178">
        <f>C684</f>
        <v>34.910256975175926</v>
      </c>
      <c r="F684" s="146" t="s">
        <v>6087</v>
      </c>
      <c r="H684" s="235" t="s">
        <v>7007</v>
      </c>
      <c r="K684" s="146"/>
    </row>
    <row r="685" spans="2:11" ht="15.75" customHeight="1" x14ac:dyDescent="0.3">
      <c r="B685" s="99" t="s">
        <v>5740</v>
      </c>
      <c r="C685" s="382">
        <f t="shared" si="36"/>
        <v>25.52</v>
      </c>
      <c r="D685" t="s">
        <v>6549</v>
      </c>
      <c r="E685" s="178">
        <f>C685*E679</f>
        <v>170.75770361791049</v>
      </c>
      <c r="F685" s="146" t="s">
        <v>6087</v>
      </c>
      <c r="H685" s="235" t="s">
        <v>7008</v>
      </c>
      <c r="K685" s="146"/>
    </row>
    <row r="686" spans="2:11" ht="15.75" customHeight="1" x14ac:dyDescent="0.3">
      <c r="B686" s="99" t="s">
        <v>5741</v>
      </c>
      <c r="C686" s="382">
        <f t="shared" si="36"/>
        <v>14.959999999999999</v>
      </c>
      <c r="D686" t="s">
        <v>6549</v>
      </c>
      <c r="E686" s="178">
        <f>C686*E680</f>
        <v>65.282180543578974</v>
      </c>
      <c r="F686" s="146" t="s">
        <v>6087</v>
      </c>
      <c r="H686" s="235" t="s">
        <v>7039</v>
      </c>
      <c r="K686" s="146"/>
    </row>
    <row r="687" spans="2:11" ht="15.75" customHeight="1" x14ac:dyDescent="0.3">
      <c r="B687" s="99" t="s">
        <v>5717</v>
      </c>
      <c r="C687" s="382">
        <f t="shared" si="36"/>
        <v>5.2365385462763889</v>
      </c>
      <c r="D687" t="s">
        <v>2489</v>
      </c>
      <c r="E687" s="178">
        <f>C687</f>
        <v>5.2365385462763889</v>
      </c>
      <c r="F687" s="146" t="s">
        <v>6087</v>
      </c>
      <c r="H687" s="235" t="s">
        <v>1325</v>
      </c>
      <c r="K687" s="146"/>
    </row>
    <row r="688" spans="2:11" ht="15.75" customHeight="1" x14ac:dyDescent="0.3">
      <c r="B688" s="99" t="s">
        <v>6418</v>
      </c>
      <c r="C688" s="382">
        <f t="shared" si="36"/>
        <v>2327.4442324211072</v>
      </c>
      <c r="D688" t="s">
        <v>5910</v>
      </c>
      <c r="E688" s="164">
        <f>CONVERT(C688,"m^3","gal")</f>
        <v>614845.71962781926</v>
      </c>
      <c r="F688" s="146" t="s">
        <v>2489</v>
      </c>
      <c r="H688" s="235" t="s">
        <v>7040</v>
      </c>
      <c r="K688" s="146"/>
    </row>
    <row r="689" spans="1:15" ht="15.75" customHeight="1" x14ac:dyDescent="0.3">
      <c r="B689" s="99" t="s">
        <v>6404</v>
      </c>
      <c r="C689" s="499">
        <f t="shared" si="36"/>
        <v>2.9282809539569881</v>
      </c>
      <c r="D689" s="146" t="s">
        <v>2413</v>
      </c>
      <c r="E689" s="201">
        <f>C689*UC.g_to_lb/UC.L_to_gal*1000</f>
        <v>24.437689128060633</v>
      </c>
      <c r="F689" s="146" t="s">
        <v>2414</v>
      </c>
      <c r="H689" s="235" t="s">
        <v>7041</v>
      </c>
      <c r="K689" s="146"/>
    </row>
    <row r="690" spans="1:15" ht="15.75" customHeight="1" x14ac:dyDescent="0.3">
      <c r="B690" s="99" t="s">
        <v>6405</v>
      </c>
      <c r="C690" s="499">
        <f t="shared" si="36"/>
        <v>6.4220642397311023</v>
      </c>
      <c r="D690" s="146" t="s">
        <v>2413</v>
      </c>
      <c r="E690" s="201">
        <f>C690*UC.g_to_lb/UC.L_to_gal*1000</f>
        <v>53.59472397582276</v>
      </c>
      <c r="F690" s="146" t="s">
        <v>2414</v>
      </c>
      <c r="H690" s="253" t="s">
        <v>349</v>
      </c>
      <c r="I690" s="150"/>
      <c r="J690" s="150"/>
      <c r="K690" s="151"/>
    </row>
    <row r="691" spans="1:15" ht="15.75" customHeight="1" x14ac:dyDescent="0.3">
      <c r="B691" s="99" t="s">
        <v>6406</v>
      </c>
      <c r="C691" s="499">
        <f t="shared" si="36"/>
        <v>6.4220956046072102</v>
      </c>
      <c r="D691" s="146" t="s">
        <v>2413</v>
      </c>
      <c r="E691" s="201">
        <f>C691*UC.g_to_lb/UC.L_to_gal*1000</f>
        <v>53.594985728401802</v>
      </c>
      <c r="F691" s="146" t="s">
        <v>2414</v>
      </c>
    </row>
    <row r="692" spans="1:15" ht="14.4" x14ac:dyDescent="0.3">
      <c r="B692" s="99"/>
      <c r="E692" s="99"/>
      <c r="F692" s="146"/>
    </row>
    <row r="693" spans="1:15" ht="15.75" customHeight="1" x14ac:dyDescent="0.3">
      <c r="B693" s="92" t="s">
        <v>6996</v>
      </c>
      <c r="E693" s="99"/>
      <c r="F693" s="146"/>
    </row>
    <row r="694" spans="1:15" ht="15.75" customHeight="1" x14ac:dyDescent="0.3">
      <c r="B694" s="143" t="s">
        <v>2663</v>
      </c>
      <c r="C694" s="144" t="s">
        <v>565</v>
      </c>
      <c r="D694" s="144" t="s">
        <v>6943</v>
      </c>
      <c r="E694" s="143" t="s">
        <v>565</v>
      </c>
      <c r="F694" s="145" t="s">
        <v>6944</v>
      </c>
    </row>
    <row r="695" spans="1:15" ht="14.4" x14ac:dyDescent="0.3">
      <c r="B695" s="99" t="s">
        <v>7076</v>
      </c>
      <c r="E695" s="357">
        <f>UDV.electricity.avg_cost</f>
        <v>6.8591666666666662E-2</v>
      </c>
      <c r="F695" s="146" t="s">
        <v>2306</v>
      </c>
    </row>
    <row r="696" spans="1:15" ht="14.4" x14ac:dyDescent="0.3">
      <c r="B696" s="99" t="s">
        <v>6997</v>
      </c>
      <c r="E696" s="348">
        <f>UDV.fuel.diesel_avg_cost</f>
        <v>3.6964905660377356</v>
      </c>
      <c r="F696" s="146" t="s">
        <v>2315</v>
      </c>
    </row>
    <row r="697" spans="1:15" ht="15.75" customHeight="1" x14ac:dyDescent="0.3">
      <c r="B697" s="99" t="s">
        <v>7044</v>
      </c>
      <c r="C697">
        <f>UDV.land_application.max_distance</f>
        <v>2</v>
      </c>
      <c r="D697" t="s">
        <v>2971</v>
      </c>
      <c r="E697" s="178">
        <f>IF(E636=0,0,CONVERT(C697,"mi","ft"))</f>
        <v>10560</v>
      </c>
      <c r="F697" s="146" t="s">
        <v>2340</v>
      </c>
      <c r="G697" s="254"/>
    </row>
    <row r="698" spans="1:15" ht="14.4" x14ac:dyDescent="0.3">
      <c r="B698" s="99" t="s">
        <v>5712</v>
      </c>
      <c r="C698" s="382">
        <f>VLOOKUP(B698,$X:$AA,3,FALSE)</f>
        <v>1</v>
      </c>
      <c r="E698" s="201">
        <f>C698</f>
        <v>1</v>
      </c>
      <c r="F698" s="146" t="s">
        <v>2442</v>
      </c>
    </row>
    <row r="699" spans="1:15" ht="14.4" x14ac:dyDescent="0.3">
      <c r="B699" s="149" t="s">
        <v>6998</v>
      </c>
      <c r="C699" s="150"/>
      <c r="D699" s="151"/>
      <c r="E699" s="349">
        <f>UDV.labor.non_specialized_cost</f>
        <v>23.66</v>
      </c>
      <c r="F699" s="151" t="s">
        <v>3659</v>
      </c>
    </row>
    <row r="700" spans="1:15" ht="15.75" customHeight="1" x14ac:dyDescent="0.3">
      <c r="C700" s="82"/>
      <c r="E700" s="82"/>
      <c r="F700" s="82"/>
      <c r="H700" s="82"/>
      <c r="I700" s="82"/>
      <c r="O700" s="82"/>
    </row>
    <row r="701" spans="1:15" ht="15.75" customHeight="1" x14ac:dyDescent="0.3">
      <c r="B701" s="206" t="s">
        <v>7108</v>
      </c>
      <c r="C701" s="142"/>
      <c r="D701" s="142"/>
      <c r="E701" s="142"/>
      <c r="F701" s="142"/>
      <c r="G701" s="142"/>
      <c r="H701" s="142"/>
      <c r="I701" s="142"/>
      <c r="J701" s="142"/>
      <c r="K701" s="142"/>
      <c r="L701" s="142"/>
      <c r="M701" s="142"/>
      <c r="N701" s="142"/>
      <c r="O701" s="141"/>
    </row>
    <row r="702" spans="1:15" ht="15.75" customHeight="1" x14ac:dyDescent="0.3">
      <c r="B702" s="210" t="s">
        <v>6946</v>
      </c>
      <c r="C702" s="152" t="s">
        <v>6947</v>
      </c>
      <c r="D702" s="152" t="s">
        <v>6948</v>
      </c>
      <c r="E702" s="152" t="s">
        <v>6999</v>
      </c>
      <c r="F702" s="152" t="s">
        <v>7045</v>
      </c>
      <c r="G702" s="152" t="s">
        <v>6951</v>
      </c>
      <c r="H702" s="152" t="s">
        <v>6952</v>
      </c>
      <c r="I702" s="152" t="s">
        <v>6953</v>
      </c>
      <c r="J702" s="152" t="s">
        <v>6954</v>
      </c>
      <c r="K702" s="152" t="s">
        <v>6955</v>
      </c>
      <c r="L702" s="152" t="s">
        <v>6956</v>
      </c>
      <c r="M702" s="152" t="s">
        <v>6957</v>
      </c>
      <c r="N702" s="152" t="s">
        <v>7002</v>
      </c>
      <c r="O702" s="161" t="s">
        <v>6959</v>
      </c>
    </row>
    <row r="703" spans="1:15" ht="14.4" x14ac:dyDescent="0.3">
      <c r="A703" t="s">
        <v>7122</v>
      </c>
      <c r="B703" s="99" t="s">
        <v>2808</v>
      </c>
      <c r="C703" s="153">
        <f>IF(E647=0,0,(VLOOKUP("Irrigation systema",Econ.Equations!$C:$E,2,FALSE)*E647^VLOOKUP("Irrigation systemb",Econ.Equations!$C:$E,2,FALSE))*E647)</f>
        <v>53760.144276226609</v>
      </c>
      <c r="D703" s="42">
        <f>VLOOKUP("CAPEXLifetimeBuildings and constructionDefault",Econ.inputsTable!$E:$G,2,FALSE)</f>
        <v>20</v>
      </c>
      <c r="E703" s="42" t="s">
        <v>2852</v>
      </c>
      <c r="F703" s="42" t="s">
        <v>2852</v>
      </c>
      <c r="G703" s="539">
        <f>VLOOKUP("CAPEXAnnual usage on activityItems that are used only on the given activityDefault",Econ.inputsTable!$E:$J,2,FALSE)</f>
        <v>1</v>
      </c>
      <c r="H703" s="503">
        <f t="shared" ref="H703" si="37">UDV.econ_capital.interest_rate</f>
        <v>5.0999999999999997E-2</v>
      </c>
      <c r="I703" s="2091">
        <f>VLOOKUP("CAPEXSalvageBuildings and constructionDefault",Econ.inputsTable!$E:$K,2,FALSE)</f>
        <v>0</v>
      </c>
      <c r="J703" s="153">
        <f>C703*I703</f>
        <v>0</v>
      </c>
      <c r="K703" s="154">
        <f>VLOOKUP("CAPEXFinanced amountNADefault",Econ.inputsTable!$E:$J,2,FALSE)</f>
        <v>1</v>
      </c>
      <c r="L703" s="2092">
        <f>H703*K703</f>
        <v>5.0999999999999997E-2</v>
      </c>
      <c r="M703" s="351">
        <f>L703/(1-(1+L703)^-D703)</f>
        <v>8.0924368970045152E-2</v>
      </c>
      <c r="N703" s="153">
        <f>((C703-J703)*M703)+(J703*L703)</f>
        <v>4350.5057512922231</v>
      </c>
      <c r="O703" s="372">
        <f>N703*G703</f>
        <v>4350.5057512922231</v>
      </c>
    </row>
    <row r="704" spans="1:15" ht="14.4" x14ac:dyDescent="0.3">
      <c r="A704" t="s">
        <v>7046</v>
      </c>
      <c r="B704" s="99" t="s">
        <v>7034</v>
      </c>
      <c r="C704" s="153">
        <f>VLOOKUP("Diesel powered lead pumpDefault", Econ.Tables!$C:$E,2,FALSE)*E636</f>
        <v>293400</v>
      </c>
      <c r="D704" s="42">
        <f>VLOOKUP("CAPEXLifetimeDiesel-powered pump set package (at lagoon)Default",Econ.inputsTable!$E:$G,2,FALSE)</f>
        <v>17</v>
      </c>
      <c r="F704" s="147">
        <f>IF(E636=0,0,(E655+(E676/E674))/E636)</f>
        <v>0.928723545066094</v>
      </c>
      <c r="G704" s="539">
        <f>VLOOKUP("CAPEXAnnual usage on activityItems that are used only on the given activityDefault",Econ.inputsTable!$E:$G,2,FALSE)</f>
        <v>1</v>
      </c>
      <c r="H704" s="503">
        <f t="shared" ref="H704:H715" si="38">UDV.econ_capital.interest_rate</f>
        <v>5.0999999999999997E-2</v>
      </c>
      <c r="I704" s="155">
        <f>VLOOKUP("CAPEXSalvageEquipmentDefault", Econ.inputsTable!$E:$G,2,FALSE)</f>
        <v>0.2</v>
      </c>
      <c r="J704" s="153">
        <f t="shared" ref="J704:J715" si="39">$C704*I704</f>
        <v>58680</v>
      </c>
      <c r="K704" s="154">
        <f>VLOOKUP("CAPEXFinanced amountNADefault", Econ.inputsTable!$E:$G,2,FALSE)</f>
        <v>1</v>
      </c>
      <c r="L704" s="155">
        <f t="shared" ref="L704:L715" si="40">H704*K704</f>
        <v>5.0999999999999997E-2</v>
      </c>
      <c r="M704">
        <f t="shared" ref="M704:M715" si="41">L704/(1-(1+L704)^-D704)</f>
        <v>8.9362846108502439E-2</v>
      </c>
      <c r="N704" s="153">
        <f t="shared" ref="N704:N715" si="42">((C704-J704)*M704)+(J704*L704)</f>
        <v>23967.927238587694</v>
      </c>
      <c r="O704" s="157">
        <f t="shared" ref="O704:O715" si="43">N704*G704</f>
        <v>23967.927238587694</v>
      </c>
    </row>
    <row r="705" spans="1:15" ht="14.4" x14ac:dyDescent="0.3">
      <c r="A705" t="s">
        <v>7046</v>
      </c>
      <c r="B705" s="99" t="s">
        <v>7035</v>
      </c>
      <c r="C705" s="153">
        <f>VLOOKUP("Diesel powered booster pumpDefault",Econ.Tables!$C:$E,2,FALSE)*E698</f>
        <v>197300</v>
      </c>
      <c r="D705" s="42">
        <f>VLOOKUP("CAPEXLifetimeDiesel-powered pump set package (at lagoon)Default",Econ.inputsTable!$E:$G,2,FALSE)</f>
        <v>17</v>
      </c>
      <c r="F705" s="147">
        <f>IF(E698=0,0,(E656+(E677/E674))/E698)</f>
        <v>0.928723545066094</v>
      </c>
      <c r="G705" s="539">
        <f>VLOOKUP("CAPEXAnnual usage on activityItems that are used only on the given activityDefault",Econ.inputsTable!$E:$G,2,FALSE)</f>
        <v>1</v>
      </c>
      <c r="H705" s="503">
        <f t="shared" si="38"/>
        <v>5.0999999999999997E-2</v>
      </c>
      <c r="I705" s="155">
        <f>VLOOKUP("CAPEXSalvageEquipmentDefault", Econ.inputsTable!$E:$G,2,FALSE)</f>
        <v>0.2</v>
      </c>
      <c r="J705" s="153">
        <f t="shared" si="39"/>
        <v>39460</v>
      </c>
      <c r="K705" s="154">
        <f>VLOOKUP("CAPEXFinanced amountNADefault", Econ.inputsTable!$E:$G,2,FALSE)</f>
        <v>1</v>
      </c>
      <c r="L705" s="155">
        <f t="shared" si="40"/>
        <v>5.0999999999999997E-2</v>
      </c>
      <c r="M705">
        <f t="shared" si="41"/>
        <v>8.9362846108502439E-2</v>
      </c>
      <c r="N705" s="153">
        <f t="shared" si="42"/>
        <v>16117.491629766024</v>
      </c>
      <c r="O705" s="157">
        <f t="shared" si="43"/>
        <v>16117.491629766024</v>
      </c>
    </row>
    <row r="706" spans="1:15" ht="14.4" x14ac:dyDescent="0.3">
      <c r="A706" t="s">
        <v>7046</v>
      </c>
      <c r="B706" s="99" t="s">
        <v>7047</v>
      </c>
      <c r="C706" s="153">
        <f>VLOOKUP("Diesel powered agitation trailerDefault",Econ.Tables!$C:$E,2,FALSE)*E637</f>
        <v>131500</v>
      </c>
      <c r="D706" s="42">
        <f>VLOOKUP("CAPEXLifetimeEquipmentDefault",Econ.inputsTable!$E:$G,2,FALSE)</f>
        <v>10</v>
      </c>
      <c r="F706" s="147">
        <f>IF(E637=0,0,(E657+(E678/E674))/E637)</f>
        <v>0.928723545066094</v>
      </c>
      <c r="G706" s="539">
        <f>VLOOKUP("CAPEXAnnual usage on activityItems that are used only on the given activityDefault",Econ.inputsTable!$E:$G,2,FALSE)</f>
        <v>1</v>
      </c>
      <c r="H706" s="503">
        <f t="shared" si="38"/>
        <v>5.0999999999999997E-2</v>
      </c>
      <c r="I706" s="155">
        <f>VLOOKUP("CAPEXSalvageEquipmentDefault", Econ.inputsTable!$E:$G,2,FALSE)</f>
        <v>0.2</v>
      </c>
      <c r="J706" s="153">
        <f t="shared" si="39"/>
        <v>26300</v>
      </c>
      <c r="K706" s="154">
        <f>VLOOKUP("CAPEXFinanced amountNADefault", Econ.inputsTable!$E:$G,2,FALSE)</f>
        <v>1</v>
      </c>
      <c r="L706" s="155">
        <f t="shared" si="40"/>
        <v>5.0999999999999997E-2</v>
      </c>
      <c r="M706">
        <f t="shared" si="41"/>
        <v>0.13013423257204779</v>
      </c>
      <c r="N706" s="153">
        <f t="shared" si="42"/>
        <v>15031.421266579426</v>
      </c>
      <c r="O706" s="157">
        <f t="shared" si="43"/>
        <v>15031.421266579426</v>
      </c>
    </row>
    <row r="707" spans="1:15" ht="15.75" customHeight="1" x14ac:dyDescent="0.3">
      <c r="A707" t="s">
        <v>7046</v>
      </c>
      <c r="B707" s="99" t="s">
        <v>7037</v>
      </c>
      <c r="C707" s="153">
        <f>VLOOKUP(_xlfn.CONCAT("Tractor",E638," hp"), Econ.Tables!$C:$E,2, FALSE)*E640</f>
        <v>637400</v>
      </c>
      <c r="D707" s="79">
        <f>VLOOKUP("CAPEXLifetimeTractor, 4 wheel drive and crawlerDefault",Econ.inputsTable!$E:$H,2,FALSE)/E707</f>
        <v>16</v>
      </c>
      <c r="E707" s="213">
        <f>IF(F707&gt;UDV.tractor.min_usage_yearly,F707,UDV.tractor.min_usage_yearly)</f>
        <v>1000</v>
      </c>
      <c r="F707" s="147">
        <f>IF(E640=0,0,(E658+(E679/E674))/E640)</f>
        <v>1.0680320768260079</v>
      </c>
      <c r="G707" s="155">
        <f>F707/E707</f>
        <v>1.0680320768260078E-3</v>
      </c>
      <c r="H707" s="503">
        <f t="shared" si="38"/>
        <v>5.0999999999999997E-2</v>
      </c>
      <c r="I707" s="155">
        <f>VLOOKUP("CAPEXSalvageEquipmentDefault", Econ.inputsTable!$E:$G,2,FALSE)</f>
        <v>0.2</v>
      </c>
      <c r="J707" s="153">
        <f t="shared" si="39"/>
        <v>127480</v>
      </c>
      <c r="K707" s="154">
        <f>VLOOKUP("CAPEXFinanced amountNADefault", Econ.inputsTable!$E:$G,2,FALSE)</f>
        <v>1</v>
      </c>
      <c r="L707" s="155">
        <f t="shared" si="40"/>
        <v>5.0999999999999997E-2</v>
      </c>
      <c r="M707">
        <f t="shared" si="41"/>
        <v>9.2927821836826949E-2</v>
      </c>
      <c r="N707" s="153">
        <f t="shared" si="42"/>
        <v>53887.2349110348</v>
      </c>
      <c r="O707" s="157">
        <f t="shared" si="43"/>
        <v>57.553295416443447</v>
      </c>
    </row>
    <row r="708" spans="1:15" ht="15.75" customHeight="1" x14ac:dyDescent="0.3">
      <c r="A708" t="s">
        <v>7046</v>
      </c>
      <c r="B708" s="99" t="s">
        <v>7048</v>
      </c>
      <c r="C708" s="238">
        <f>VLOOKUP("Hose reel, hydraulic,no specific sizeDefault",Econ.Tables!$C:$E,2,FALSE)*E640</f>
        <v>44500</v>
      </c>
      <c r="D708" s="42">
        <f>VLOOKUP("CAPEXLifetimeEquipmentDefault",Econ.inputsTable!$E:$G,2,FALSE)</f>
        <v>10</v>
      </c>
      <c r="E708" s="152"/>
      <c r="F708" s="259">
        <f>F707</f>
        <v>1.0680320768260079</v>
      </c>
      <c r="G708" s="539">
        <f>VLOOKUP("CAPEXAnnual usage on activityItems that are used only on the given activityDefault",Econ.inputsTable!$E:$G,2,FALSE)</f>
        <v>1</v>
      </c>
      <c r="H708" s="503">
        <f t="shared" si="38"/>
        <v>5.0999999999999997E-2</v>
      </c>
      <c r="I708" s="155">
        <f>VLOOKUP("CAPEXSalvageEquipmentDefault", Econ.inputsTable!$E:$G,2,FALSE)</f>
        <v>0.2</v>
      </c>
      <c r="J708" s="153">
        <f t="shared" si="39"/>
        <v>8900</v>
      </c>
      <c r="K708" s="154">
        <f>VLOOKUP("CAPEXFinanced amountNADefault", Econ.inputsTable!$E:$G,2,FALSE)</f>
        <v>1</v>
      </c>
      <c r="L708" s="155">
        <f t="shared" si="40"/>
        <v>5.0999999999999997E-2</v>
      </c>
      <c r="M708">
        <f t="shared" si="41"/>
        <v>0.13013423257204779</v>
      </c>
      <c r="N708" s="153">
        <f t="shared" si="42"/>
        <v>5086.6786795649004</v>
      </c>
      <c r="O708" s="157">
        <f t="shared" si="43"/>
        <v>5086.6786795649004</v>
      </c>
    </row>
    <row r="709" spans="1:15" ht="15.75" customHeight="1" x14ac:dyDescent="0.3">
      <c r="A709" t="s">
        <v>7046</v>
      </c>
      <c r="B709" s="99" t="s">
        <v>7007</v>
      </c>
      <c r="C709" s="238">
        <f>IF(E643="Broadcast",VLOOKUP("BoomDefault", Econ.Tables!$C:$E,2,FALSE),0)*E640</f>
        <v>0</v>
      </c>
      <c r="D709" s="42">
        <f>VLOOKUP("CAPEXLifetimeEquipmentDefault",Econ.inputsTable!$E:$G,2,FALSE)</f>
        <v>10</v>
      </c>
      <c r="E709" s="152"/>
      <c r="F709" s="259">
        <f>IF(E643="Broadcast",F707,0)*VLOOKUP("NAPercent time for useApplication toolbar usage per unit tractor pulling it usageDefault", Econ.inputsTable!$E:$G,2,FALSE)</f>
        <v>0</v>
      </c>
      <c r="G709" s="539">
        <f>VLOOKUP("CAPEXAnnual usage on activityItems that are used only on the given activityDefault",Econ.inputsTable!$E:$G,2,FALSE)</f>
        <v>1</v>
      </c>
      <c r="H709" s="503">
        <f t="shared" si="38"/>
        <v>5.0999999999999997E-2</v>
      </c>
      <c r="I709" s="155">
        <f>VLOOKUP("CAPEXSalvageEquipmentDefault", Econ.inputsTable!$E:$G,2,FALSE)</f>
        <v>0.2</v>
      </c>
      <c r="J709" s="153">
        <f t="shared" si="39"/>
        <v>0</v>
      </c>
      <c r="K709" s="154">
        <f>VLOOKUP("CAPEXFinanced amountNADefault", Econ.inputsTable!$E:$G,2,FALSE)</f>
        <v>1</v>
      </c>
      <c r="L709" s="155">
        <f t="shared" si="40"/>
        <v>5.0999999999999997E-2</v>
      </c>
      <c r="M709">
        <f t="shared" si="41"/>
        <v>0.13013423257204779</v>
      </c>
      <c r="N709" s="153">
        <f t="shared" si="42"/>
        <v>0</v>
      </c>
      <c r="O709" s="157">
        <f t="shared" si="43"/>
        <v>0</v>
      </c>
    </row>
    <row r="710" spans="1:15" ht="15.75" customHeight="1" x14ac:dyDescent="0.3">
      <c r="A710" t="s">
        <v>7046</v>
      </c>
      <c r="B710" s="99" t="s">
        <v>7008</v>
      </c>
      <c r="C710" s="238">
        <f>IF(E643="Injection",VLOOKUP("InjectionDefault",Econ.Tables!$C:$E,2,FALSE),0)*E640</f>
        <v>80900</v>
      </c>
      <c r="D710" s="42">
        <f>VLOOKUP("CAPEXLifetimeEquipmentDefault",Econ.inputsTable!$E:$G,2,FALSE)</f>
        <v>10</v>
      </c>
      <c r="E710" s="152"/>
      <c r="F710" s="259">
        <f>IF(E643="Injection",F707,0)*VLOOKUP("NAPercent time for useApplication toolbar usage per unit tractor pulling it usageDefault", Econ.inputsTable!$E:$G,2,FALSE)</f>
        <v>0.42721283073040317</v>
      </c>
      <c r="G710" s="539">
        <f>VLOOKUP("CAPEXAnnual usage on activityItems that are used only on the given activityDefault",Econ.inputsTable!$E:$G,2,FALSE)</f>
        <v>1</v>
      </c>
      <c r="H710" s="503">
        <f t="shared" si="38"/>
        <v>5.0999999999999997E-2</v>
      </c>
      <c r="I710" s="155">
        <f>VLOOKUP("CAPEXSalvageEquipmentDefault", Econ.inputsTable!$E:$G,2,FALSE)</f>
        <v>0.2</v>
      </c>
      <c r="J710" s="153">
        <f t="shared" si="39"/>
        <v>16180</v>
      </c>
      <c r="K710" s="154">
        <f>VLOOKUP("CAPEXFinanced amountNADefault", Econ.inputsTable!$E:$G,2,FALSE)</f>
        <v>1</v>
      </c>
      <c r="L710" s="155">
        <f t="shared" si="40"/>
        <v>5.0999999999999997E-2</v>
      </c>
      <c r="M710">
        <f t="shared" si="41"/>
        <v>0.13013423257204779</v>
      </c>
      <c r="N710" s="153">
        <f t="shared" si="42"/>
        <v>9247.4675320629322</v>
      </c>
      <c r="O710" s="157">
        <f t="shared" si="43"/>
        <v>9247.4675320629322</v>
      </c>
    </row>
    <row r="711" spans="1:15" ht="15.75" customHeight="1" x14ac:dyDescent="0.3">
      <c r="A711" t="s">
        <v>7046</v>
      </c>
      <c r="B711" s="99" t="s">
        <v>7039</v>
      </c>
      <c r="C711" s="153">
        <f>VLOOKUP(_xlfn.CONCAT("Tractor",E639," hp"), Econ.Tables!$C:$E,2, FALSE)*E641</f>
        <v>490700</v>
      </c>
      <c r="D711" s="79">
        <f>VLOOKUP("CAPEXLifetimeTractor, 4 wheel drive and crawlerDefault",Econ.inputsTable!$E:$H,2,FALSE)/E711</f>
        <v>16</v>
      </c>
      <c r="E711" s="213">
        <f>IF(F711&gt;UDV.tractor.min_usage_yearly,F711,UDV.tractor.min_usage_yearly)</f>
        <v>1000</v>
      </c>
      <c r="F711" s="147">
        <f>IF(E641=0,0,(E659+(E680/E674))/E641)</f>
        <v>0.69654265879957045</v>
      </c>
      <c r="G711" s="155">
        <f>F711/E711</f>
        <v>6.9654265879957042E-4</v>
      </c>
      <c r="H711" s="503">
        <f t="shared" si="38"/>
        <v>5.0999999999999997E-2</v>
      </c>
      <c r="I711" s="155">
        <f>VLOOKUP("CAPEXSalvageEquipmentDefault", Econ.inputsTable!$E:$G,2,FALSE)</f>
        <v>0.2</v>
      </c>
      <c r="J711" s="153">
        <f t="shared" si="39"/>
        <v>98140</v>
      </c>
      <c r="K711" s="154">
        <f>VLOOKUP("CAPEXFinanced amountNADefault", Econ.inputsTable!$E:$G,2,FALSE)</f>
        <v>1</v>
      </c>
      <c r="L711" s="155">
        <f t="shared" si="40"/>
        <v>5.0999999999999997E-2</v>
      </c>
      <c r="M711">
        <f t="shared" si="41"/>
        <v>9.2927821836826949E-2</v>
      </c>
      <c r="N711" s="153">
        <f t="shared" si="42"/>
        <v>41484.885740264785</v>
      </c>
      <c r="O711" s="157">
        <f t="shared" si="43"/>
        <v>28.89599261352042</v>
      </c>
    </row>
    <row r="712" spans="1:15" ht="15.75" customHeight="1" x14ac:dyDescent="0.3">
      <c r="A712" t="s">
        <v>7046</v>
      </c>
      <c r="B712" s="99" t="s">
        <v>1325</v>
      </c>
      <c r="C712" s="238">
        <f>VLOOKUP("Hose pulleyDefault",Econ.Tables!$C:$E,2,FALSE)*E641</f>
        <v>13200</v>
      </c>
      <c r="D712" s="42">
        <f>VLOOKUP("CAPEXLifetimeEquipmentDefault",Econ.inputsTable!$E:$G,2,FALSE)</f>
        <v>10</v>
      </c>
      <c r="E712" s="152"/>
      <c r="F712" s="259">
        <f>F711</f>
        <v>0.69654265879957045</v>
      </c>
      <c r="G712" s="539">
        <f>VLOOKUP("CAPEXAnnual usage on activityItems that are used only on the given activityDefault",Econ.inputsTable!$E:$G,2,FALSE)</f>
        <v>1</v>
      </c>
      <c r="H712" s="503">
        <f t="shared" si="38"/>
        <v>5.0999999999999997E-2</v>
      </c>
      <c r="I712" s="155">
        <f>VLOOKUP("CAPEXSalvageEquipmentDefault", Econ.inputsTable!$E:$G,2,FALSE)</f>
        <v>0.2</v>
      </c>
      <c r="J712" s="153">
        <f t="shared" si="39"/>
        <v>2640</v>
      </c>
      <c r="K712" s="154">
        <f>VLOOKUP("CAPEXFinanced amountNADefault", Econ.inputsTable!$E:$G,2,FALSE)</f>
        <v>1</v>
      </c>
      <c r="L712" s="155">
        <f t="shared" si="40"/>
        <v>5.0999999999999997E-2</v>
      </c>
      <c r="M712">
        <f t="shared" si="41"/>
        <v>0.13013423257204779</v>
      </c>
      <c r="N712" s="153">
        <f t="shared" si="42"/>
        <v>1508.8574959608245</v>
      </c>
      <c r="O712" s="157">
        <f t="shared" si="43"/>
        <v>1508.8574959608245</v>
      </c>
    </row>
    <row r="713" spans="1:15" ht="15.75" customHeight="1" x14ac:dyDescent="0.3">
      <c r="A713" t="s">
        <v>7046</v>
      </c>
      <c r="B713" s="235" t="s">
        <v>3007</v>
      </c>
      <c r="C713" s="543">
        <f>VLOOKUP("Flexible drag hose, 6in 660 ftDefault",Econ.Tables!$C:$E,2,FALSE)*E640</f>
        <v>15200</v>
      </c>
      <c r="D713" s="42">
        <f>VLOOKUP("CAPEXLifetimeDrag hoseDefault",Econ.inputsTable!$E:$G,2,FALSE)</f>
        <v>2.5</v>
      </c>
      <c r="E713" s="152"/>
      <c r="F713" s="259">
        <f>F707</f>
        <v>1.0680320768260079</v>
      </c>
      <c r="G713" s="539">
        <f>VLOOKUP("CAPEXAnnual usage on activityItems that are used only on the given activityDefault",Econ.inputsTable!$E:$G,2,FALSE)</f>
        <v>1</v>
      </c>
      <c r="H713" s="503">
        <f t="shared" si="38"/>
        <v>5.0999999999999997E-2</v>
      </c>
      <c r="I713" s="155">
        <f>VLOOKUP("CAPEXSalvageBuildings and constructionDefault", Econ.inputsTable!$E:$G,2,FALSE)</f>
        <v>0</v>
      </c>
      <c r="J713" s="153">
        <f t="shared" si="39"/>
        <v>0</v>
      </c>
      <c r="K713" s="154">
        <f>VLOOKUP("CAPEXFinanced amountNADefault", Econ.inputsTable!$E:$G,2,FALSE)</f>
        <v>1</v>
      </c>
      <c r="L713" s="155">
        <f t="shared" si="40"/>
        <v>5.0999999999999997E-2</v>
      </c>
      <c r="M713">
        <f t="shared" si="41"/>
        <v>0.43614381549069553</v>
      </c>
      <c r="N713" s="153">
        <f t="shared" si="42"/>
        <v>6629.3859954585723</v>
      </c>
      <c r="O713" s="157">
        <f t="shared" si="43"/>
        <v>6629.3859954585723</v>
      </c>
    </row>
    <row r="714" spans="1:15" ht="15.75" customHeight="1" x14ac:dyDescent="0.3">
      <c r="A714" t="s">
        <v>7046</v>
      </c>
      <c r="B714" s="235" t="s">
        <v>3465</v>
      </c>
      <c r="C714" s="543">
        <f>VLOOKUP("Manure piping to fieldDefault",Econ.Tables!$C:$E,2,FALSE)*E697</f>
        <v>95040</v>
      </c>
      <c r="D714" s="42">
        <f>VLOOKUP("CAPEXLifetimeBuildings and constructionDefault",Econ.inputsTable!$E:$G,2,FALSE)</f>
        <v>20</v>
      </c>
      <c r="E714" s="152"/>
      <c r="F714" s="259">
        <f>F707</f>
        <v>1.0680320768260079</v>
      </c>
      <c r="G714" s="539">
        <f>VLOOKUP("CAPEXAnnual usage on activityItems that are used only on the given activityDefault",Econ.inputsTable!$E:$G,2,FALSE)</f>
        <v>1</v>
      </c>
      <c r="H714" s="503">
        <f t="shared" si="38"/>
        <v>5.0999999999999997E-2</v>
      </c>
      <c r="I714" s="155">
        <f>VLOOKUP("CAPEXSalvageBuildings and constructionDefault", Econ.inputsTable!$E:$G,2,FALSE)</f>
        <v>0</v>
      </c>
      <c r="J714" s="153">
        <f t="shared" si="39"/>
        <v>0</v>
      </c>
      <c r="K714" s="154">
        <f>VLOOKUP("CAPEXFinanced amountNADefault", Econ.inputsTable!$E:$G,2,FALSE)</f>
        <v>1</v>
      </c>
      <c r="L714" s="155">
        <f t="shared" si="40"/>
        <v>5.0999999999999997E-2</v>
      </c>
      <c r="M714">
        <f t="shared" si="41"/>
        <v>8.0924368970045152E-2</v>
      </c>
      <c r="N714" s="153">
        <f t="shared" si="42"/>
        <v>7691.0520269130911</v>
      </c>
      <c r="O714" s="157">
        <f t="shared" si="43"/>
        <v>7691.0520269130911</v>
      </c>
    </row>
    <row r="715" spans="1:15" ht="15.75" customHeight="1" x14ac:dyDescent="0.3">
      <c r="A715" t="s">
        <v>7046</v>
      </c>
      <c r="B715" s="235" t="s">
        <v>349</v>
      </c>
      <c r="C715" s="153">
        <f>IF(E681&gt;0,VLOOKUP("Pick up truckDefault",Econ.Tables!$C:$E,2,FALSE),0)</f>
        <v>58700</v>
      </c>
      <c r="D715" s="42">
        <f>VLOOKUP("CAPEXLifetimeTruck, pickupDefault",Econ.inputsTable!$E:$G,2,FALSE)</f>
        <v>8</v>
      </c>
      <c r="E715" s="42">
        <f>VLOOKUP("CAPEXAnnual usage on farmTruck, pickupDefault",Econ.inputsTable!$E:$G,2,FALSE)</f>
        <v>250</v>
      </c>
      <c r="F715" s="259">
        <f>(E660+(E681/E674))</f>
        <v>0.13930853175991409</v>
      </c>
      <c r="G715" s="538">
        <f>F715/E715</f>
        <v>5.5723412703965634E-4</v>
      </c>
      <c r="H715" s="503">
        <f t="shared" si="38"/>
        <v>5.0999999999999997E-2</v>
      </c>
      <c r="I715" s="155">
        <f>VLOOKUP("CAPEXSalvageEquipmentDefault", Econ.inputsTable!$E:$G,2,FALSE)</f>
        <v>0.2</v>
      </c>
      <c r="J715" s="153">
        <f t="shared" si="39"/>
        <v>11740</v>
      </c>
      <c r="K715" s="154">
        <f>VLOOKUP("CAPEXFinanced amountNADefault", Econ.inputsTable!$E:$G,2,FALSE)</f>
        <v>1</v>
      </c>
      <c r="L715" s="155">
        <f t="shared" si="40"/>
        <v>5.0999999999999997E-2</v>
      </c>
      <c r="M715">
        <f t="shared" si="41"/>
        <v>0.1553478599468672</v>
      </c>
      <c r="N715" s="153">
        <f t="shared" si="42"/>
        <v>7893.8755031048831</v>
      </c>
      <c r="O715" s="157">
        <f t="shared" si="43"/>
        <v>4.3987368249323779</v>
      </c>
    </row>
    <row r="716" spans="1:15" ht="15.75" customHeight="1" x14ac:dyDescent="0.3">
      <c r="B716" s="99"/>
      <c r="C716" s="152"/>
      <c r="D716" s="82"/>
      <c r="E716" s="82"/>
      <c r="F716" s="82"/>
      <c r="G716" s="82"/>
      <c r="H716" s="82"/>
      <c r="I716" s="82"/>
      <c r="J716" s="152"/>
      <c r="K716" s="152"/>
      <c r="L716" s="152"/>
      <c r="M716" s="152"/>
      <c r="N716" s="82"/>
      <c r="O716" s="173"/>
    </row>
    <row r="717" spans="1:15" ht="15.75" customHeight="1" x14ac:dyDescent="0.3">
      <c r="B717" s="99"/>
      <c r="C717" s="82" t="s">
        <v>7009</v>
      </c>
      <c r="D717" s="82" t="s">
        <v>6963</v>
      </c>
      <c r="O717" s="146"/>
    </row>
    <row r="718" spans="1:15" ht="14.4" x14ac:dyDescent="0.3">
      <c r="A718" t="s">
        <v>5205</v>
      </c>
      <c r="B718" s="99" t="s">
        <v>6964</v>
      </c>
      <c r="C718" s="153">
        <f>SUM(C703:C715)</f>
        <v>2111600.1442762269</v>
      </c>
      <c r="D718" s="318">
        <f>SUMPRODUCT(C703:C715,G703:G715)</f>
        <v>925855.41104792571</v>
      </c>
      <c r="O718" s="146"/>
    </row>
    <row r="719" spans="1:15" ht="14.4" x14ac:dyDescent="0.3">
      <c r="A719" t="s">
        <v>5205</v>
      </c>
      <c r="B719" s="149" t="s">
        <v>6965</v>
      </c>
      <c r="C719" s="159">
        <f>SUM(N703:N715)</f>
        <v>192896.78377059015</v>
      </c>
      <c r="D719" s="319">
        <f>SUMPRODUCT(N703:N715,G703:G715)</f>
        <v>89721.635641040601</v>
      </c>
      <c r="E719" s="150"/>
      <c r="F719" s="150"/>
      <c r="G719" s="261"/>
      <c r="H719" s="150"/>
      <c r="I719" s="150"/>
      <c r="J719" s="150"/>
      <c r="K719" s="150"/>
      <c r="L719" s="150"/>
      <c r="M719" s="150"/>
      <c r="N719" s="150"/>
      <c r="O719" s="151"/>
    </row>
    <row r="720" spans="1:15" ht="14.4" x14ac:dyDescent="0.3">
      <c r="B720" s="262"/>
      <c r="C720" s="142"/>
      <c r="D720" s="142"/>
      <c r="E720" s="142"/>
      <c r="F720" s="142"/>
      <c r="G720" s="142"/>
      <c r="H720" s="142"/>
      <c r="I720" s="142"/>
      <c r="J720" s="142"/>
      <c r="K720" s="142"/>
      <c r="L720" s="142"/>
      <c r="M720" s="142"/>
      <c r="N720" s="142"/>
      <c r="O720" s="141"/>
    </row>
    <row r="721" spans="1:15" ht="15.75" customHeight="1" x14ac:dyDescent="0.3">
      <c r="B721" s="160" t="s">
        <v>6966</v>
      </c>
      <c r="C721" s="152" t="s">
        <v>6967</v>
      </c>
      <c r="D721" s="152" t="s">
        <v>6968</v>
      </c>
      <c r="E721" s="152" t="s">
        <v>6969</v>
      </c>
      <c r="F721" s="152" t="s">
        <v>6970</v>
      </c>
      <c r="G721" s="152" t="s">
        <v>6971</v>
      </c>
      <c r="H721" s="152" t="s">
        <v>6972</v>
      </c>
      <c r="I721" s="152" t="s">
        <v>6973</v>
      </c>
      <c r="J721" s="152" t="s">
        <v>6974</v>
      </c>
      <c r="K721" s="152" t="s">
        <v>6975</v>
      </c>
      <c r="L721" s="152" t="s">
        <v>6976</v>
      </c>
      <c r="M721" s="152" t="s">
        <v>6977</v>
      </c>
      <c r="N721" s="152" t="s">
        <v>6978</v>
      </c>
      <c r="O721" s="161" t="s">
        <v>6979</v>
      </c>
    </row>
    <row r="722" spans="1:15" ht="14.4" x14ac:dyDescent="0.3">
      <c r="B722" s="99" t="s">
        <v>2808</v>
      </c>
      <c r="C722" s="236">
        <f>VLOOKUP("OPEXInsuranceEverythingDefault",Econ.inputsTable!$E:$K,2,FALSE)</f>
        <v>5.0000000000000001E-3</v>
      </c>
      <c r="D722" s="257">
        <f>VLOOKUP("OPEXRepair and maintenanceEquipmentDefault",Econ.inputsTable!$E:$K,2,FALSE)</f>
        <v>0.03</v>
      </c>
      <c r="F722" s="2129">
        <f>E648</f>
        <v>931.22205127489565</v>
      </c>
      <c r="G722" s="365">
        <f>F722*E695</f>
        <v>63.874072533697216</v>
      </c>
      <c r="I722" s="365"/>
      <c r="J722" s="365"/>
      <c r="K722" s="147">
        <f>E649</f>
        <v>7.9056764920978377</v>
      </c>
      <c r="L722" s="156">
        <f>K722*E699</f>
        <v>187.04830580303485</v>
      </c>
      <c r="O722" s="167">
        <f t="shared" ref="O722" si="44">(SUM(C722:D722)*C703*G703)+SUM(E722,G722,I722,J722,L722,N722)</f>
        <v>2132.5274280046633</v>
      </c>
    </row>
    <row r="723" spans="1:15" ht="15.75" customHeight="1" x14ac:dyDescent="0.3">
      <c r="B723" s="99" t="s">
        <v>3003</v>
      </c>
      <c r="C723" s="263">
        <f>VLOOKUP("OPEXInsuranceEverythingDefault", Econ.inputsTable!$E:$G,2,FALSE)</f>
        <v>5.0000000000000001E-3</v>
      </c>
      <c r="D723" s="237">
        <f>VLOOKUP("OPEXRepair and maintenanceEquipmentDefault",Econ.inputsTable!$E:$G,2,FALSE)</f>
        <v>0.03</v>
      </c>
      <c r="H723" s="147">
        <f>(E661+(E682/E674))*E636</f>
        <v>16.717023811189691</v>
      </c>
      <c r="I723" s="259">
        <f>H723*E696</f>
        <v>61.794320810290884</v>
      </c>
      <c r="J723" s="259">
        <f>I723*VLOOKUP("OPEXLubeLubeDefault",Econ.inputsTable!$E:$G,2,FALSE)</f>
        <v>6.1794320810290886</v>
      </c>
      <c r="L723" s="158"/>
      <c r="O723" s="264">
        <f t="shared" ref="O723:O734" si="45">(SUM(C723:D723)*C704*G704)+SUM(E723,G723,I723,J723,L723,N723)</f>
        <v>10336.973752891317</v>
      </c>
    </row>
    <row r="724" spans="1:15" ht="15.75" customHeight="1" x14ac:dyDescent="0.3">
      <c r="B724" s="99" t="s">
        <v>3005</v>
      </c>
      <c r="C724" s="263">
        <f>VLOOKUP("OPEXInsuranceEverythingDefault", Econ.inputsTable!$E:$G,2,FALSE)</f>
        <v>5.0000000000000001E-3</v>
      </c>
      <c r="D724" s="237">
        <f>VLOOKUP("OPEXRepair and maintenanceEquipmentDefault",Econ.inputsTable!$E:$G,2,FALSE)</f>
        <v>0.03</v>
      </c>
      <c r="H724" s="147">
        <f>(E662+(E683/E674))*E698</f>
        <v>6.9654265879957045</v>
      </c>
      <c r="I724" s="259">
        <f>H724*E696</f>
        <v>25.747633670954535</v>
      </c>
      <c r="J724" s="259">
        <f>I724*VLOOKUP("OPEXLubeLubeDefault",Econ.inputsTable!$E:$G,2,FALSE)</f>
        <v>2.5747633670954535</v>
      </c>
      <c r="L724" s="158"/>
      <c r="O724" s="264">
        <f t="shared" si="45"/>
        <v>6933.8223970380495</v>
      </c>
    </row>
    <row r="725" spans="1:15" ht="15.75" customHeight="1" x14ac:dyDescent="0.3">
      <c r="B725" s="99" t="s">
        <v>7047</v>
      </c>
      <c r="C725" s="263">
        <f>VLOOKUP("OPEXInsuranceEverythingDefault", Econ.inputsTable!$E:$G,2,FALSE)</f>
        <v>5.0000000000000001E-3</v>
      </c>
      <c r="D725" s="237">
        <f>VLOOKUP("OPEXRepair and maintenanceEquipmentDefault",Econ.inputsTable!$E:$G,2,FALSE)</f>
        <v>0.03</v>
      </c>
      <c r="H725" s="147">
        <f>(E663+(E684/E674))*E637</f>
        <v>5.5723412703965636</v>
      </c>
      <c r="I725" s="259">
        <f>H725*E696</f>
        <v>20.598106936763628</v>
      </c>
      <c r="J725" s="259">
        <f>I725*VLOOKUP("OPEXLubeLubeDefault",Econ.inputsTable!$E:$G,2,FALSE)</f>
        <v>2.0598106936763627</v>
      </c>
      <c r="L725" s="158"/>
      <c r="O725" s="264">
        <f t="shared" si="45"/>
        <v>4625.1579176304394</v>
      </c>
    </row>
    <row r="726" spans="1:15" ht="15.75" customHeight="1" x14ac:dyDescent="0.3">
      <c r="B726" s="99" t="s">
        <v>7037</v>
      </c>
      <c r="C726" s="263">
        <f>VLOOKUP("OPEXInsuranceEverythingDefault", Econ.inputsTable!$E:$G,2,FALSE)</f>
        <v>5.0000000000000001E-3</v>
      </c>
      <c r="D726" s="237">
        <f>VLOOKUP("OPEXRepair and maintenanceEquipmentDefault",Econ.inputsTable!$E:$G,2,FALSE)</f>
        <v>0.03</v>
      </c>
      <c r="H726" s="147">
        <f>(E664+(E685/E674))</f>
        <v>27.256178600599725</v>
      </c>
      <c r="I726" s="259">
        <f>H726*E696</f>
        <v>100.75220706335649</v>
      </c>
      <c r="J726" s="259">
        <f>I726*VLOOKUP("OPEXLubeLubeDefault",Econ.inputsTable!$E:$G,2,FALSE)</f>
        <v>10.075220706335649</v>
      </c>
      <c r="K726" s="147">
        <f>(E658*VLOOKUP("OPEXLaborTractorDefault",Econ.inputsTable!$E:$G,2,FALSE))+(E679/E674*VLOOKUP("OPEXLaborTractorDefault",Econ.inputsTable!$E:$G,2,FALSE))</f>
        <v>1.174835284508609</v>
      </c>
      <c r="L726" s="158">
        <f>K726*E699</f>
        <v>27.796602831473688</v>
      </c>
      <c r="O726" s="264">
        <f t="shared" si="45"/>
        <v>162.45075820307724</v>
      </c>
    </row>
    <row r="727" spans="1:15" ht="15.75" customHeight="1" x14ac:dyDescent="0.3">
      <c r="B727" s="99" t="s">
        <v>7048</v>
      </c>
      <c r="C727" s="263">
        <f>VLOOKUP("OPEXInsuranceEverythingDefault", Econ.inputsTable!$E:$G,2,FALSE)</f>
        <v>5.0000000000000001E-3</v>
      </c>
      <c r="D727" s="237">
        <f>VLOOKUP("OPEXRepair and maintenanceEquipmentDefault",Econ.inputsTable!$E:$G,2,FALSE)</f>
        <v>0.03</v>
      </c>
      <c r="H727" s="147"/>
      <c r="I727" s="369"/>
      <c r="J727" s="369"/>
      <c r="K727" s="205"/>
      <c r="L727" s="158"/>
      <c r="O727" s="264">
        <f t="shared" si="45"/>
        <v>1557.4999999999998</v>
      </c>
    </row>
    <row r="728" spans="1:15" ht="15.75" customHeight="1" x14ac:dyDescent="0.3">
      <c r="B728" s="99" t="s">
        <v>7007</v>
      </c>
      <c r="C728" s="263">
        <f>VLOOKUP("OPEXInsuranceEverythingDefault", Econ.inputsTable!$E:$G,2,FALSE)</f>
        <v>5.0000000000000001E-3</v>
      </c>
      <c r="D728" s="237">
        <f>VLOOKUP("OPEXRepair and maintenanceEquipmentDefault",Econ.inputsTable!$E:$G,2,FALSE)</f>
        <v>0.03</v>
      </c>
      <c r="H728" s="147"/>
      <c r="I728" s="369"/>
      <c r="J728" s="369"/>
      <c r="K728" s="205"/>
      <c r="L728" s="158"/>
      <c r="O728" s="264">
        <f t="shared" si="45"/>
        <v>0</v>
      </c>
    </row>
    <row r="729" spans="1:15" ht="15.75" customHeight="1" x14ac:dyDescent="0.3">
      <c r="B729" s="99" t="s">
        <v>7008</v>
      </c>
      <c r="C729" s="263">
        <f>VLOOKUP("OPEXInsuranceEverythingDefault", Econ.inputsTable!$E:$G,2,FALSE)</f>
        <v>5.0000000000000001E-3</v>
      </c>
      <c r="D729" s="237">
        <f>VLOOKUP("OPEXRepair and maintenanceEquipmentDefault",Econ.inputsTable!$E:$G,2,FALSE)</f>
        <v>0.03</v>
      </c>
      <c r="H729" s="147"/>
      <c r="I729" s="369"/>
      <c r="J729" s="369"/>
      <c r="K729" s="205"/>
      <c r="L729" s="158"/>
      <c r="O729" s="264">
        <f t="shared" si="45"/>
        <v>2831.4999999999995</v>
      </c>
    </row>
    <row r="730" spans="1:15" ht="15.75" customHeight="1" x14ac:dyDescent="0.3">
      <c r="B730" s="99" t="s">
        <v>7039</v>
      </c>
      <c r="C730" s="263">
        <f>VLOOKUP("OPEXInsuranceEverythingDefault", Econ.inputsTable!$E:$G,2,FALSE)</f>
        <v>5.0000000000000001E-3</v>
      </c>
      <c r="D730" s="237">
        <f>VLOOKUP("OPEXRepair and maintenanceEquipmentDefault",Econ.inputsTable!$E:$G,2,FALSE)</f>
        <v>0.03</v>
      </c>
      <c r="H730" s="147">
        <f>(E665+(E686/E674))</f>
        <v>10.420278175641574</v>
      </c>
      <c r="I730" s="259">
        <f>H730*E696</f>
        <v>38.518459971747987</v>
      </c>
      <c r="J730" s="259">
        <f>I730*VLOOKUP("OPEXLubeLubeDefault",Econ.inputsTable!$E:$G,2,FALSE)</f>
        <v>3.8518459971747987</v>
      </c>
      <c r="K730" s="205">
        <f>(E659*VLOOKUP("OPEXLaborTractorDefault",Econ.inputsTable!$E:$G,2,FALSE))+(E680/E674*VLOOKUP("OPEXLaborTractorDefault",Econ.inputsTable!$E:$G,2,FALSE))</f>
        <v>0.76619692467952749</v>
      </c>
      <c r="L730" s="158">
        <f>K730*E699</f>
        <v>18.128219237917619</v>
      </c>
      <c r="O730" s="264">
        <f t="shared" si="45"/>
        <v>72.461297100393622</v>
      </c>
    </row>
    <row r="731" spans="1:15" ht="15.75" customHeight="1" x14ac:dyDescent="0.3">
      <c r="B731" s="99" t="s">
        <v>1325</v>
      </c>
      <c r="C731" s="263">
        <f>VLOOKUP("OPEXInsuranceEverythingDefault", Econ.inputsTable!$E:$G,2,FALSE)</f>
        <v>5.0000000000000001E-3</v>
      </c>
      <c r="D731" s="237">
        <f>VLOOKUP("OPEXRepair and maintenanceEquipmentDefault",Econ.inputsTable!$E:$G,2,FALSE)</f>
        <v>0.03</v>
      </c>
      <c r="H731" s="147"/>
      <c r="I731" s="259"/>
      <c r="J731" s="259"/>
      <c r="K731" s="205"/>
      <c r="L731" s="158"/>
      <c r="O731" s="264">
        <f t="shared" si="45"/>
        <v>461.99999999999994</v>
      </c>
    </row>
    <row r="732" spans="1:15" ht="15.75" customHeight="1" x14ac:dyDescent="0.3">
      <c r="B732" s="99" t="s">
        <v>3007</v>
      </c>
      <c r="C732" s="263">
        <f>VLOOKUP("OPEXInsuranceEverythingDefault", Econ.inputsTable!$E:$G,2,FALSE)</f>
        <v>5.0000000000000001E-3</v>
      </c>
      <c r="D732" s="237">
        <f>VLOOKUP("OPEXRepair and maintenanceEquipmentDefault",Econ.inputsTable!$E:$G,2,FALSE)</f>
        <v>0.03</v>
      </c>
      <c r="H732" s="147"/>
      <c r="I732" s="259"/>
      <c r="J732" s="259"/>
      <c r="K732" s="205"/>
      <c r="L732" s="158"/>
      <c r="O732" s="264">
        <f t="shared" si="45"/>
        <v>532</v>
      </c>
    </row>
    <row r="733" spans="1:15" ht="15.75" customHeight="1" x14ac:dyDescent="0.3">
      <c r="B733" s="235" t="s">
        <v>3465</v>
      </c>
      <c r="C733" s="263">
        <f>VLOOKUP("OPEXInsuranceEverythingDefault", Econ.inputsTable!$E:$G,2,FALSE)</f>
        <v>5.0000000000000001E-3</v>
      </c>
      <c r="D733" s="237">
        <f>VLOOKUP("OPEXRepair and maintenanceBuildings and constructionDefault",Econ.inputsTable!$E:$G,2,FALSE)</f>
        <v>0.01</v>
      </c>
      <c r="H733" s="147"/>
      <c r="I733" s="259"/>
      <c r="J733" s="259"/>
      <c r="K733" s="205"/>
      <c r="L733" s="158"/>
      <c r="O733" s="264">
        <f t="shared" si="45"/>
        <v>1425.6</v>
      </c>
    </row>
    <row r="734" spans="1:15" ht="15.75" customHeight="1" x14ac:dyDescent="0.3">
      <c r="B734" s="99" t="s">
        <v>349</v>
      </c>
      <c r="C734" s="263">
        <f>VLOOKUP("OPEXInsuranceEverythingDefault", Econ.inputsTable!$E:$G,2,FALSE)</f>
        <v>5.0000000000000001E-3</v>
      </c>
      <c r="D734" s="237">
        <f>VLOOKUP("OPEXRepair and maintenanceEquipmentDefault",Econ.inputsTable!$E:$G,2,FALSE)</f>
        <v>0.03</v>
      </c>
      <c r="H734" s="147">
        <f>(E666+(E687/E674))</f>
        <v>0.83585119055948454</v>
      </c>
      <c r="I734" s="259">
        <f>H734*E696</f>
        <v>3.0897160405145443</v>
      </c>
      <c r="J734" s="259">
        <f>I734*VLOOKUP("OPEXLubeLubeDefault",Econ.inputsTable!$E:$G,2,FALSE)</f>
        <v>0.30897160405145446</v>
      </c>
      <c r="K734" s="205">
        <f>(E660*VLOOKUP("OPEXLaborTractorDefault",Econ.inputsTable!$E:$G,2,FALSE))+(E681/E674*VLOOKUP("OPEXLaborTractorDefault",Econ.inputsTable!$E:$G,2,FALSE))</f>
        <v>0.1532393849359055</v>
      </c>
      <c r="L734" s="158">
        <f>K734*E699</f>
        <v>3.625643847583524</v>
      </c>
      <c r="O734" s="264">
        <f t="shared" si="45"/>
        <v>8.1691690061524973</v>
      </c>
    </row>
    <row r="735" spans="1:15" ht="15.75" customHeight="1" x14ac:dyDescent="0.3">
      <c r="A735" t="s">
        <v>5205</v>
      </c>
      <c r="B735" s="162" t="s">
        <v>5203</v>
      </c>
      <c r="C735" s="241"/>
      <c r="D735" s="241"/>
      <c r="E735" s="242">
        <f t="shared" ref="E735:O735" si="46">SUM(E722:E734)</f>
        <v>0</v>
      </c>
      <c r="F735" s="286">
        <f t="shared" si="46"/>
        <v>931.22205127489565</v>
      </c>
      <c r="G735" s="242">
        <f t="shared" si="46"/>
        <v>63.874072533697216</v>
      </c>
      <c r="H735" s="286">
        <f t="shared" si="46"/>
        <v>67.767099636382738</v>
      </c>
      <c r="I735" s="242">
        <f t="shared" si="46"/>
        <v>250.50044449362804</v>
      </c>
      <c r="J735" s="242">
        <f t="shared" si="46"/>
        <v>25.050044449362804</v>
      </c>
      <c r="K735" s="402">
        <f t="shared" si="46"/>
        <v>9.9999480862218775</v>
      </c>
      <c r="L735" s="242">
        <f t="shared" si="46"/>
        <v>236.59877172000967</v>
      </c>
      <c r="M735" s="374">
        <f t="shared" si="46"/>
        <v>0</v>
      </c>
      <c r="N735" s="242">
        <f t="shared" si="46"/>
        <v>0</v>
      </c>
      <c r="O735" s="169">
        <f t="shared" si="46"/>
        <v>31080.162719874097</v>
      </c>
    </row>
    <row r="736" spans="1:15" ht="14.4" x14ac:dyDescent="0.3">
      <c r="B736" s="99"/>
      <c r="O736" s="146"/>
    </row>
    <row r="737" spans="1:15" ht="14.4" x14ac:dyDescent="0.3">
      <c r="A737" t="s">
        <v>5205</v>
      </c>
      <c r="B737" s="149" t="s">
        <v>6980</v>
      </c>
      <c r="C737" s="159">
        <f>O735</f>
        <v>31080.162719874097</v>
      </c>
      <c r="D737" s="150" t="s">
        <v>5181</v>
      </c>
      <c r="E737" s="150"/>
      <c r="F737" s="150"/>
      <c r="G737" s="150"/>
      <c r="H737" s="150"/>
      <c r="I737" s="150"/>
      <c r="J737" s="150"/>
      <c r="K737" s="150"/>
      <c r="L737" s="150"/>
      <c r="M737" s="150"/>
      <c r="N737" s="150"/>
      <c r="O737" s="151"/>
    </row>
    <row r="738" spans="1:15" ht="14.4" x14ac:dyDescent="0.3"/>
    <row r="739" spans="1:15" ht="15.75" customHeight="1" x14ac:dyDescent="0.3">
      <c r="B739" s="384" t="s">
        <v>7123</v>
      </c>
      <c r="C739" s="3057" t="s">
        <v>6402</v>
      </c>
      <c r="D739" s="3058"/>
      <c r="E739" s="3059" t="s">
        <v>6417</v>
      </c>
      <c r="F739" s="3058"/>
    </row>
    <row r="740" spans="1:15" ht="15.75" customHeight="1" x14ac:dyDescent="0.3">
      <c r="B740" s="385" t="s">
        <v>7012</v>
      </c>
      <c r="C740" s="139" t="s">
        <v>7124</v>
      </c>
      <c r="D740" s="245" t="s">
        <v>7125</v>
      </c>
      <c r="E740" s="139" t="s">
        <v>7124</v>
      </c>
      <c r="F740" s="245" t="s">
        <v>7125</v>
      </c>
    </row>
    <row r="741" spans="1:15" ht="14.4" x14ac:dyDescent="0.3">
      <c r="A741" t="s">
        <v>5205</v>
      </c>
      <c r="B741" s="386" t="s">
        <v>7013</v>
      </c>
      <c r="C741" s="387">
        <f xml:space="preserve"> VLOOKUP("Fertilizer value for on-farm use, liquids",$R$1:$T$332,3, FALSE)</f>
        <v>5078.9972828671398</v>
      </c>
      <c r="D741" s="388">
        <f>VLOOKUP("Fertilizer value for on-farm use, liquids",$R$1:$T$332,3, FALSE)</f>
        <v>5078.9972828671398</v>
      </c>
      <c r="E741" s="387">
        <v>0</v>
      </c>
      <c r="F741" s="389">
        <f>VLOOKUP("Fertilizer value for on-farm use, sludge",$R$1:$T$332,3, FALSE)</f>
        <v>12200.958498394819</v>
      </c>
    </row>
    <row r="742" spans="1:15" ht="14.4" x14ac:dyDescent="0.3">
      <c r="A742" t="s">
        <v>5205</v>
      </c>
      <c r="B742" s="386" t="s">
        <v>7126</v>
      </c>
      <c r="C742" s="390">
        <f>C741</f>
        <v>5078.9972828671398</v>
      </c>
      <c r="D742" s="391"/>
      <c r="E742" s="390">
        <f>(F741/UDV.anaer_lagoon.sludge_time)</f>
        <v>1220.0958498394818</v>
      </c>
      <c r="F742" s="391"/>
    </row>
    <row r="743" spans="1:15" ht="14.4" x14ac:dyDescent="0.3">
      <c r="A743" t="s">
        <v>5205</v>
      </c>
      <c r="B743" s="386" t="s">
        <v>7014</v>
      </c>
      <c r="C743" s="393">
        <f>SUM(C742,E742)</f>
        <v>6299.0931327066219</v>
      </c>
      <c r="D743" s="146"/>
      <c r="E743" s="99"/>
      <c r="F743" s="146"/>
    </row>
    <row r="744" spans="1:15" ht="14.4" x14ac:dyDescent="0.3">
      <c r="B744" s="386"/>
      <c r="D744" s="146"/>
      <c r="E744" s="99"/>
      <c r="F744" s="146"/>
    </row>
    <row r="745" spans="1:15" ht="15.75" customHeight="1" x14ac:dyDescent="0.3">
      <c r="B745" s="394" t="s">
        <v>7015</v>
      </c>
      <c r="C745" s="139" t="s">
        <v>7124</v>
      </c>
      <c r="D745" s="245" t="s">
        <v>7125</v>
      </c>
      <c r="E745" s="139" t="s">
        <v>7124</v>
      </c>
      <c r="F745" s="245" t="s">
        <v>7125</v>
      </c>
    </row>
    <row r="746" spans="1:15" ht="14.4" x14ac:dyDescent="0.3">
      <c r="A746" t="s">
        <v>5205</v>
      </c>
      <c r="B746" s="386" t="s">
        <v>7016</v>
      </c>
      <c r="C746" s="387">
        <f>UDV.econ_manure.liquid_sell_price*C625</f>
        <v>0</v>
      </c>
      <c r="D746" s="389">
        <f>UDV.econ_manure.liquid_sell_price*C625</f>
        <v>0</v>
      </c>
      <c r="E746" s="387">
        <v>0</v>
      </c>
      <c r="F746" s="389">
        <f>UDV.econ_manure.sludge_sell_price*C628</f>
        <v>0</v>
      </c>
    </row>
    <row r="747" spans="1:15" ht="14.4" x14ac:dyDescent="0.3">
      <c r="A747" t="s">
        <v>5205</v>
      </c>
      <c r="B747" s="386" t="s">
        <v>7127</v>
      </c>
      <c r="C747" s="390">
        <f>C746</f>
        <v>0</v>
      </c>
      <c r="D747" s="391"/>
      <c r="E747" s="390">
        <f>(F746/UDV.anaer_lagoon.sludge_time)</f>
        <v>0</v>
      </c>
      <c r="F747" s="391"/>
    </row>
    <row r="748" spans="1:15" ht="14.4" x14ac:dyDescent="0.3">
      <c r="A748" t="s">
        <v>5205</v>
      </c>
      <c r="B748" s="386" t="s">
        <v>7017</v>
      </c>
      <c r="C748" s="393">
        <f>SUM(C747,E747)</f>
        <v>0</v>
      </c>
      <c r="D748" s="146"/>
      <c r="E748" s="99"/>
      <c r="F748" s="146"/>
    </row>
    <row r="749" spans="1:15" ht="14.4" x14ac:dyDescent="0.3">
      <c r="B749" s="386"/>
      <c r="C749" s="166"/>
      <c r="D749" s="146"/>
      <c r="E749" s="395"/>
      <c r="F749" s="396"/>
    </row>
    <row r="750" spans="1:15" ht="15.75" customHeight="1" x14ac:dyDescent="0.3">
      <c r="B750" s="397" t="s">
        <v>7018</v>
      </c>
      <c r="C750" s="139" t="s">
        <v>7124</v>
      </c>
      <c r="D750" s="245" t="s">
        <v>7125</v>
      </c>
      <c r="E750" s="139" t="s">
        <v>7124</v>
      </c>
      <c r="F750" s="245" t="s">
        <v>7125</v>
      </c>
    </row>
    <row r="751" spans="1:15" ht="14.4" x14ac:dyDescent="0.3">
      <c r="A751" t="s">
        <v>5205</v>
      </c>
      <c r="B751" s="386" t="s">
        <v>7019</v>
      </c>
      <c r="C751" s="387">
        <f>UDV.econ_manure.liquid_sell_price*C626</f>
        <v>0</v>
      </c>
      <c r="D751" s="389">
        <f>UDV.econ_manure.liquid_sell_price*C626</f>
        <v>0</v>
      </c>
      <c r="E751" s="387"/>
      <c r="F751" s="389">
        <f>UDV.econ_manure.sludge_sell_price*C629</f>
        <v>898.71989024733921</v>
      </c>
    </row>
    <row r="752" spans="1:15" ht="14.4" x14ac:dyDescent="0.3">
      <c r="A752" t="s">
        <v>5205</v>
      </c>
      <c r="B752" s="386" t="s">
        <v>7128</v>
      </c>
      <c r="C752" s="390">
        <f>C751</f>
        <v>0</v>
      </c>
      <c r="D752" s="391"/>
      <c r="E752" s="390">
        <f>(F751/UDV.anaer_lagoon.sludge_time)</f>
        <v>89.871989024733921</v>
      </c>
      <c r="F752" s="391"/>
    </row>
    <row r="753" spans="1:23" ht="14.4" x14ac:dyDescent="0.3">
      <c r="A753" t="s">
        <v>5205</v>
      </c>
      <c r="B753" s="386" t="s">
        <v>7020</v>
      </c>
      <c r="C753" s="393">
        <f>SUM(C752,E752)</f>
        <v>89.871989024733921</v>
      </c>
      <c r="D753" s="146"/>
      <c r="E753" s="99"/>
      <c r="F753" s="146"/>
    </row>
    <row r="754" spans="1:23" ht="14.4" x14ac:dyDescent="0.3">
      <c r="B754" s="386"/>
      <c r="D754" s="146"/>
      <c r="E754" s="99"/>
      <c r="F754" s="146"/>
    </row>
    <row r="755" spans="1:23" ht="15.75" customHeight="1" x14ac:dyDescent="0.3">
      <c r="B755" s="398" t="s">
        <v>7021</v>
      </c>
      <c r="C755" s="139" t="s">
        <v>7124</v>
      </c>
      <c r="D755" s="245" t="s">
        <v>7125</v>
      </c>
      <c r="E755" s="139" t="s">
        <v>7124</v>
      </c>
      <c r="F755" s="245" t="s">
        <v>7125</v>
      </c>
    </row>
    <row r="756" spans="1:23" ht="14.4" x14ac:dyDescent="0.3">
      <c r="A756" t="s">
        <v>5205</v>
      </c>
      <c r="B756" s="386" t="s">
        <v>7022</v>
      </c>
      <c r="C756" s="387">
        <f>UDV.econ_manure.liquid_export_cost*C627</f>
        <v>0</v>
      </c>
      <c r="D756" s="389">
        <f>UDV.econ_manure.liquid_export_cost*C627</f>
        <v>0</v>
      </c>
      <c r="E756" s="387"/>
      <c r="F756" s="389">
        <f>UDV.econ_manure.sludge_export_cost*C630</f>
        <v>0</v>
      </c>
    </row>
    <row r="757" spans="1:23" ht="14.4" x14ac:dyDescent="0.3">
      <c r="A757" t="s">
        <v>5205</v>
      </c>
      <c r="B757" s="386" t="s">
        <v>7129</v>
      </c>
      <c r="C757" s="390">
        <f>C756</f>
        <v>0</v>
      </c>
      <c r="D757" s="391"/>
      <c r="E757" s="390">
        <f>(F756/UDV.anaer_lagoon.sludge_time)</f>
        <v>0</v>
      </c>
      <c r="F757" s="391"/>
    </row>
    <row r="758" spans="1:23" ht="14.4" x14ac:dyDescent="0.3">
      <c r="A758" t="s">
        <v>5205</v>
      </c>
      <c r="B758" s="386" t="s">
        <v>7023</v>
      </c>
      <c r="C758" s="393">
        <f>SUM(C757,E757)</f>
        <v>0</v>
      </c>
      <c r="D758" s="146"/>
      <c r="E758" s="99"/>
      <c r="F758" s="146"/>
    </row>
    <row r="759" spans="1:23" ht="14.4" x14ac:dyDescent="0.3">
      <c r="B759" s="386"/>
      <c r="D759" s="146"/>
      <c r="E759" s="99"/>
      <c r="F759" s="146"/>
    </row>
    <row r="760" spans="1:23" ht="15.75" customHeight="1" x14ac:dyDescent="0.3">
      <c r="B760" s="303" t="s">
        <v>7138</v>
      </c>
      <c r="C760" s="82" t="s">
        <v>5181</v>
      </c>
      <c r="D760" s="173"/>
      <c r="E760" s="99"/>
      <c r="F760" s="146"/>
    </row>
    <row r="761" spans="1:23" ht="14.4" x14ac:dyDescent="0.3">
      <c r="B761" s="70" t="s">
        <v>7139</v>
      </c>
      <c r="C761" s="265"/>
      <c r="D761" s="151"/>
      <c r="E761" s="149"/>
      <c r="F761" s="151"/>
    </row>
    <row r="762" spans="1:23" ht="15" thickBot="1" x14ac:dyDescent="0.35">
      <c r="A762" s="137"/>
      <c r="B762" s="137"/>
      <c r="C762" s="137"/>
      <c r="D762" s="137"/>
      <c r="E762" s="137"/>
      <c r="F762" s="137"/>
      <c r="G762" s="137"/>
      <c r="H762" s="137"/>
      <c r="I762" s="137"/>
      <c r="J762" s="137"/>
      <c r="K762" s="137"/>
      <c r="L762" s="137"/>
      <c r="M762" s="137"/>
      <c r="N762" s="137"/>
      <c r="O762" s="137"/>
      <c r="P762" s="137"/>
      <c r="Q762" s="137"/>
    </row>
    <row r="763" spans="1:23" ht="14.4" x14ac:dyDescent="0.3"/>
    <row r="764" spans="1:23" ht="15.75" customHeight="1" x14ac:dyDescent="0.3">
      <c r="B764" s="139" t="s">
        <v>7050</v>
      </c>
      <c r="C764" s="142"/>
      <c r="D764" s="142"/>
      <c r="E764" s="267"/>
      <c r="F764" s="267"/>
      <c r="G764" s="142"/>
      <c r="H764" s="142"/>
      <c r="I764" s="142"/>
      <c r="J764" s="142"/>
      <c r="K764" s="142"/>
      <c r="L764" s="142"/>
      <c r="M764" s="142"/>
      <c r="N764" s="142"/>
      <c r="O764" s="142"/>
      <c r="P764" s="142"/>
      <c r="Q764" s="142"/>
      <c r="R764" s="142"/>
      <c r="S764" s="142"/>
      <c r="T764" s="142"/>
      <c r="U764" s="142"/>
      <c r="V764" s="142"/>
      <c r="W764" s="141"/>
    </row>
    <row r="765" spans="1:23" ht="15.75" customHeight="1" x14ac:dyDescent="0.3">
      <c r="B765" s="92" t="s">
        <v>7051</v>
      </c>
      <c r="E765" s="66"/>
      <c r="F765" s="66"/>
      <c r="W765" s="146"/>
    </row>
    <row r="766" spans="1:23" ht="15.75" customHeight="1" x14ac:dyDescent="0.3">
      <c r="B766" s="99"/>
      <c r="D766" s="66"/>
      <c r="E766" s="66"/>
      <c r="F766" s="66"/>
      <c r="W766" s="146"/>
    </row>
    <row r="767" spans="1:23" ht="15.75" customHeight="1" x14ac:dyDescent="0.3">
      <c r="B767" s="92" t="s">
        <v>7052</v>
      </c>
      <c r="C767" s="82" t="s">
        <v>565</v>
      </c>
      <c r="D767" s="82" t="s">
        <v>38</v>
      </c>
      <c r="E767" s="66"/>
      <c r="W767" s="146"/>
    </row>
    <row r="768" spans="1:23" ht="15.75" customHeight="1" x14ac:dyDescent="0.3">
      <c r="B768" s="99" t="s">
        <v>5859</v>
      </c>
      <c r="C768">
        <f>UDV.animal.total</f>
        <v>500</v>
      </c>
      <c r="D768" t="s">
        <v>2442</v>
      </c>
      <c r="E768" s="66"/>
      <c r="W768" s="146"/>
    </row>
    <row r="769" spans="1:23" ht="15.75" customHeight="1" x14ac:dyDescent="0.3">
      <c r="B769" s="174" t="s">
        <v>5386</v>
      </c>
      <c r="C769">
        <f>UDV.crops.acres_available</f>
        <v>100</v>
      </c>
      <c r="D769" t="s">
        <v>7029</v>
      </c>
      <c r="E769" s="66"/>
      <c r="W769" s="146"/>
    </row>
    <row r="770" spans="1:23" ht="15.75" customHeight="1" x14ac:dyDescent="0.3">
      <c r="B770" s="99" t="s">
        <v>5114</v>
      </c>
      <c r="C770" t="str">
        <f>UDV.u.state</f>
        <v>Iowa</v>
      </c>
      <c r="D770" t="s">
        <v>2852</v>
      </c>
      <c r="E770" s="66"/>
      <c r="W770" s="146"/>
    </row>
    <row r="771" spans="1:23" ht="15.75" customHeight="1" x14ac:dyDescent="0.3">
      <c r="A771" t="s">
        <v>4912</v>
      </c>
      <c r="B771" s="99" t="s">
        <v>7240</v>
      </c>
      <c r="C771" s="166">
        <f>VLOOKUP("Emissions reductions for tanker", $R$1:$U$299,3,FALSE)*UDV.econ_energy.carbon_credits</f>
        <v>0</v>
      </c>
      <c r="D771" t="s">
        <v>5181</v>
      </c>
      <c r="E771" s="66"/>
      <c r="W771" s="146"/>
    </row>
    <row r="772" spans="1:23" ht="15.75" customHeight="1" x14ac:dyDescent="0.3">
      <c r="B772" s="99"/>
      <c r="W772" s="146"/>
    </row>
    <row r="773" spans="1:23" ht="15.75" customHeight="1" x14ac:dyDescent="0.3">
      <c r="A773" t="s">
        <v>4912</v>
      </c>
      <c r="B773" s="92" t="s">
        <v>7053</v>
      </c>
      <c r="C773" s="82" t="s">
        <v>5181</v>
      </c>
      <c r="D773" s="82" t="s">
        <v>7140</v>
      </c>
      <c r="E773" s="66"/>
      <c r="I773" s="42"/>
      <c r="L773" s="42"/>
      <c r="T773" s="20"/>
      <c r="W773" s="113"/>
    </row>
    <row r="774" spans="1:23" ht="15.75" customHeight="1" x14ac:dyDescent="0.3">
      <c r="A774" t="s">
        <v>4912</v>
      </c>
      <c r="B774" s="275" t="s">
        <v>2585</v>
      </c>
      <c r="C774" s="276">
        <f>F794</f>
        <v>83693.479408519081</v>
      </c>
      <c r="D774" s="153">
        <f>C774/C768</f>
        <v>167.38695881703816</v>
      </c>
      <c r="E774" s="66"/>
      <c r="I774" s="42"/>
      <c r="L774" s="42"/>
      <c r="T774" s="20"/>
      <c r="W774" s="113"/>
    </row>
    <row r="775" spans="1:23" ht="15.75" customHeight="1" x14ac:dyDescent="0.3">
      <c r="A775" t="s">
        <v>4912</v>
      </c>
      <c r="B775" s="275" t="s">
        <v>2588</v>
      </c>
      <c r="C775" s="276">
        <f>G794+L794</f>
        <v>26418.620664744554</v>
      </c>
      <c r="D775" s="153">
        <f>C775/C768</f>
        <v>52.83724132948911</v>
      </c>
      <c r="E775" s="66"/>
      <c r="F775" s="66"/>
      <c r="G775" s="66"/>
      <c r="H775" s="19"/>
      <c r="I775" s="42"/>
      <c r="L775" s="42"/>
      <c r="T775" s="20"/>
      <c r="W775" s="113"/>
    </row>
    <row r="776" spans="1:23" ht="15.75" customHeight="1" x14ac:dyDescent="0.3">
      <c r="A776" t="s">
        <v>4912</v>
      </c>
      <c r="B776" s="275" t="s">
        <v>441</v>
      </c>
      <c r="C776" s="276">
        <f>I794</f>
        <v>0</v>
      </c>
      <c r="D776" s="153">
        <f>C776/C768</f>
        <v>0</v>
      </c>
      <c r="E776" s="66"/>
      <c r="F776" s="66"/>
      <c r="G776" s="66"/>
      <c r="I776" s="42"/>
      <c r="L776" s="42"/>
      <c r="T776" s="20"/>
      <c r="W776" s="113"/>
    </row>
    <row r="777" spans="1:23" ht="15.75" customHeight="1" x14ac:dyDescent="0.3">
      <c r="A777" t="s">
        <v>4912</v>
      </c>
      <c r="B777" s="275" t="s">
        <v>440</v>
      </c>
      <c r="C777" s="276">
        <f>J794</f>
        <v>6299.0931327066219</v>
      </c>
      <c r="D777" s="153">
        <f>C777/C768</f>
        <v>12.598186265413243</v>
      </c>
      <c r="E777" s="66"/>
      <c r="F777" s="66"/>
      <c r="G777" s="66"/>
      <c r="I777" s="42"/>
      <c r="J777" s="3"/>
      <c r="L777" s="42"/>
      <c r="T777" s="20"/>
      <c r="W777" s="113"/>
    </row>
    <row r="778" spans="1:23" ht="15.75" customHeight="1" x14ac:dyDescent="0.3">
      <c r="A778" t="s">
        <v>4912</v>
      </c>
      <c r="B778" s="275" t="s">
        <v>442</v>
      </c>
      <c r="C778" s="276">
        <f>K794</f>
        <v>0</v>
      </c>
      <c r="D778" s="153">
        <f>C778/C768</f>
        <v>0</v>
      </c>
      <c r="E778" s="66"/>
      <c r="F778" s="66"/>
      <c r="G778" s="66"/>
      <c r="I778" s="42"/>
      <c r="J778" s="3"/>
      <c r="L778" s="42"/>
      <c r="P778" s="277"/>
      <c r="T778" s="20"/>
      <c r="W778" s="113"/>
    </row>
    <row r="779" spans="1:23" ht="15.75" customHeight="1" x14ac:dyDescent="0.3">
      <c r="A779" t="s">
        <v>4912</v>
      </c>
      <c r="B779" s="2270" t="s">
        <v>439</v>
      </c>
      <c r="C779" s="2271">
        <f>M794</f>
        <v>-110112.10007326363</v>
      </c>
      <c r="D779" s="159">
        <f>C779/C768</f>
        <v>-220.22420014652727</v>
      </c>
      <c r="E779" s="288"/>
      <c r="F779" s="66"/>
      <c r="G779" s="66"/>
      <c r="I779" s="42"/>
      <c r="J779" s="3"/>
      <c r="L779" s="42"/>
      <c r="T779" s="20"/>
      <c r="W779" s="113"/>
    </row>
    <row r="780" spans="1:23" ht="15.75" customHeight="1" x14ac:dyDescent="0.3">
      <c r="A780" t="s">
        <v>4912</v>
      </c>
      <c r="B780" s="99" t="s">
        <v>7055</v>
      </c>
      <c r="C780" s="276">
        <f>L794</f>
        <v>0</v>
      </c>
      <c r="D780" s="153">
        <f>C780/C768</f>
        <v>0</v>
      </c>
      <c r="E780" s="279" t="s">
        <v>7056</v>
      </c>
      <c r="F780" s="66"/>
      <c r="G780" s="66"/>
      <c r="I780" s="42"/>
      <c r="L780" s="42"/>
      <c r="T780" s="20"/>
      <c r="W780" s="113"/>
    </row>
    <row r="781" spans="1:23" ht="15.75" customHeight="1" x14ac:dyDescent="0.3">
      <c r="A781" t="s">
        <v>4912</v>
      </c>
      <c r="B781" s="99" t="s">
        <v>7057</v>
      </c>
      <c r="C781" s="153">
        <f>C774+C775</f>
        <v>110112.10007326363</v>
      </c>
      <c r="D781" s="153">
        <f>C781/C768</f>
        <v>220.22420014652727</v>
      </c>
      <c r="E781" s="66"/>
      <c r="F781" s="66"/>
      <c r="G781" s="66"/>
      <c r="I781" s="42"/>
      <c r="L781" s="42"/>
      <c r="T781" s="20"/>
      <c r="W781" s="113"/>
    </row>
    <row r="782" spans="1:23" ht="13.5" customHeight="1" x14ac:dyDescent="0.3">
      <c r="A782" t="s">
        <v>4912</v>
      </c>
      <c r="B782" s="853" t="s">
        <v>5392</v>
      </c>
      <c r="C782" s="142"/>
      <c r="D782" s="854">
        <f>E794</f>
        <v>1840404.7095350267</v>
      </c>
      <c r="E782" s="271" t="s">
        <v>2284</v>
      </c>
      <c r="G782" s="66"/>
      <c r="I782" s="42"/>
      <c r="J782" s="3"/>
      <c r="L782" s="42"/>
      <c r="T782" s="20"/>
      <c r="W782" s="113"/>
    </row>
    <row r="783" spans="1:23" ht="13.5" customHeight="1" x14ac:dyDescent="0.3">
      <c r="A783" t="s">
        <v>4912</v>
      </c>
      <c r="B783" s="852" t="s">
        <v>5393</v>
      </c>
      <c r="D783" s="274">
        <f>E794/C768</f>
        <v>3680.8094190700535</v>
      </c>
      <c r="E783" s="20" t="s">
        <v>7058</v>
      </c>
      <c r="G783" s="66"/>
      <c r="I783" s="42"/>
      <c r="J783" s="3"/>
      <c r="L783" s="42"/>
      <c r="T783" s="20"/>
      <c r="W783" s="113"/>
    </row>
    <row r="784" spans="1:23" ht="15.75" customHeight="1" x14ac:dyDescent="0.3">
      <c r="B784" s="174"/>
      <c r="E784" s="66"/>
      <c r="H784" s="42"/>
      <c r="I784" s="3"/>
      <c r="K784" s="42"/>
      <c r="N784" s="273" t="s">
        <v>7059</v>
      </c>
      <c r="O784" s="90"/>
      <c r="P784" s="90"/>
      <c r="Q784" s="90"/>
      <c r="R784" s="90"/>
      <c r="S784" s="279"/>
      <c r="T784" s="90"/>
      <c r="U784" s="90"/>
      <c r="V784" s="42"/>
      <c r="W784" s="146"/>
    </row>
    <row r="785" spans="1:25" ht="15.75" customHeight="1" x14ac:dyDescent="0.3">
      <c r="B785" s="92" t="s">
        <v>7060</v>
      </c>
      <c r="E785" s="66"/>
      <c r="M785" s="113"/>
      <c r="N785" s="90" t="s">
        <v>5323</v>
      </c>
      <c r="O785" s="90" t="s">
        <v>5181</v>
      </c>
      <c r="P785" s="90" t="s">
        <v>5324</v>
      </c>
      <c r="Q785" s="90" t="s">
        <v>5181</v>
      </c>
      <c r="R785" s="90" t="s">
        <v>2710</v>
      </c>
      <c r="S785" s="90" t="s">
        <v>5181</v>
      </c>
      <c r="T785" s="90" t="s">
        <v>2710</v>
      </c>
      <c r="U785" s="90" t="s">
        <v>5181</v>
      </c>
      <c r="V785" s="90" t="s">
        <v>2710</v>
      </c>
      <c r="W785" s="280" t="s">
        <v>5181</v>
      </c>
    </row>
    <row r="786" spans="1:25" ht="15.75" customHeight="1" x14ac:dyDescent="0.3">
      <c r="B786" s="92" t="s">
        <v>5187</v>
      </c>
      <c r="C786" s="82" t="s">
        <v>7061</v>
      </c>
      <c r="D786" s="82" t="s">
        <v>7062</v>
      </c>
      <c r="E786" s="277" t="s">
        <v>7063</v>
      </c>
      <c r="F786" s="84" t="s">
        <v>7064</v>
      </c>
      <c r="G786" s="277" t="s">
        <v>2588</v>
      </c>
      <c r="H786" s="152" t="s">
        <v>5188</v>
      </c>
      <c r="I786" s="82" t="s">
        <v>5189</v>
      </c>
      <c r="J786" s="82" t="s">
        <v>5190</v>
      </c>
      <c r="K786" s="82" t="s">
        <v>442</v>
      </c>
      <c r="L786" s="82" t="s">
        <v>5191</v>
      </c>
      <c r="M786" s="173" t="s">
        <v>439</v>
      </c>
      <c r="N786" s="281" t="s">
        <v>5192</v>
      </c>
      <c r="O786" s="281" t="s">
        <v>5193</v>
      </c>
      <c r="P786" s="281" t="s">
        <v>5194</v>
      </c>
      <c r="Q786" s="281" t="s">
        <v>5195</v>
      </c>
      <c r="R786" s="281" t="s">
        <v>5196</v>
      </c>
      <c r="S786" s="281" t="s">
        <v>5197</v>
      </c>
      <c r="T786" s="281" t="s">
        <v>5198</v>
      </c>
      <c r="U786" s="281" t="s">
        <v>5199</v>
      </c>
      <c r="V786" s="281" t="s">
        <v>5200</v>
      </c>
      <c r="W786" s="282" t="s">
        <v>5201</v>
      </c>
    </row>
    <row r="787" spans="1:25" ht="14.4" x14ac:dyDescent="0.3">
      <c r="A787" t="s">
        <v>7066</v>
      </c>
      <c r="B787" s="99" t="s">
        <v>6945</v>
      </c>
      <c r="C787" s="158">
        <f>SUMIFS($C$300:$C$766,$A$300:$A$766,_xlfn.CONCAT(B787,"_construction"))</f>
        <v>7858.4422870541339</v>
      </c>
      <c r="D787" s="158">
        <f>SUMIFS($C$300:$C$766,$A$300:$A$766,_xlfn.CONCAT(B787,"_equipment"))</f>
        <v>0</v>
      </c>
      <c r="E787" s="274">
        <f>SUM(C787:D787)</f>
        <v>7858.4422870541339</v>
      </c>
      <c r="F787" s="158">
        <f>SUMIFS($D$300:$D$766,$A$300:$A$766,$B787,$B$300:$B$766,"Total capital recovery value")</f>
        <v>635.93948316737419</v>
      </c>
      <c r="G787" s="158">
        <f>SUMIFS($C$300:$C$766,$A$300:$A$766,$B787,$B$300:$B$766,"Annual operational costs")</f>
        <v>117.876634305812</v>
      </c>
      <c r="H787" s="153">
        <f>SUM(F787:G787)</f>
        <v>753.81611747318618</v>
      </c>
      <c r="I787" s="158">
        <f>SUMIFS($C$300:$C$766,$A$300:$A$766,$B787,$B$300:$B$766,"Annual cost savings")</f>
        <v>0</v>
      </c>
      <c r="J787" s="158">
        <f>SUMIFS($C$300:$C$766,$A$300:$A$766,$B787,$B$300:$B$766,"Annual fertilizer value for on-farm use")</f>
        <v>0</v>
      </c>
      <c r="K787" s="158">
        <f>SUMIFS($C$300:$C$766,$A$300:$A$766,$B787,$B$300:$B$766,"Annual revenues")</f>
        <v>0</v>
      </c>
      <c r="L787" s="158">
        <f>SUMIFS($C$300:$C$766,$A$300:$A$766,$B787,$B$300:$B$766,"Annual cost to export excess")</f>
        <v>0</v>
      </c>
      <c r="M787" s="283">
        <f>K787-F787-G787</f>
        <v>-753.81611747318618</v>
      </c>
      <c r="N787">
        <f>SUMIFS($F$300:$F$766,$A$300:$A$766,$B787,$B$300:$B$766,"Totals")</f>
        <v>0</v>
      </c>
      <c r="O787">
        <f>SUMIFS($G$300:$G$766,$A$300:$A$766,$B787,$B$300:$B$766,"Totals")</f>
        <v>0</v>
      </c>
      <c r="P787" s="147">
        <f>SUMIFS($H$300:$H$766,$A$300:$A$766,$B787,$B$300:$B$766,"Totals")</f>
        <v>0</v>
      </c>
      <c r="Q787" s="147">
        <f>SUMIFS($I$300:$I$766,$A$300:$A$766,$B787,$B$300:$B$766,"Totals")</f>
        <v>0</v>
      </c>
      <c r="R787" s="2315">
        <f>SUMIFS($K$300:$K$766,$A$300:$A$766,$B787,$B$300:$B$766,"Totals")</f>
        <v>0</v>
      </c>
      <c r="S787" s="2315">
        <f>SUMIFS($L$300:$L$766,$A$300:$A$766,$B787,$B$300:$B$766,"Totals")</f>
        <v>0</v>
      </c>
      <c r="T787" s="2315">
        <f>SUMIFS($M$300:$M$766,$A$300:$A$766,$B787,$B$300:$B$766,"Totals")</f>
        <v>0</v>
      </c>
      <c r="U787" s="2315">
        <f>SUMIFS($N$300:$N$766,$A$300:$A$766,$B787,$B$300:$B$766,"Totals")</f>
        <v>0</v>
      </c>
      <c r="V787" s="147">
        <f>R787+T787</f>
        <v>0</v>
      </c>
      <c r="W787" s="285">
        <f>S787+U787</f>
        <v>0</v>
      </c>
      <c r="Y787" s="36"/>
    </row>
    <row r="788" spans="1:25" ht="15.75" customHeight="1" x14ac:dyDescent="0.3">
      <c r="A788" t="str">
        <f>_xlfn.CONCAT("TL",B788)</f>
        <v>TLBarn and parlor</v>
      </c>
      <c r="B788" s="99" t="s">
        <v>5209</v>
      </c>
      <c r="C788" s="233">
        <f t="shared" ref="C788:C793" si="47">SUMIFS($C:$C,$A:$A,_xlfn.CONCAT(B788,"_construction"))</f>
        <v>0</v>
      </c>
      <c r="D788" s="233">
        <f t="shared" ref="D788:D793" si="48">SUMIFS($C:$C,$A:$A,_xlfn.CONCAT(B788,"_equipment"))</f>
        <v>0</v>
      </c>
      <c r="E788" s="274">
        <f t="shared" ref="E788:E793" si="49">SUM(C788:D788)</f>
        <v>0</v>
      </c>
      <c r="F788" s="233">
        <f t="shared" ref="F788:F793" si="50">SUMIFS($D:$D,$A:$A,$B788,$B:$B,"Total capital recovery value")</f>
        <v>0</v>
      </c>
      <c r="G788" s="233">
        <f t="shared" ref="G788:G793" si="51">SUMIFS($C:$C,$A:$A,$B788,$B:$B,"Annual operational costs")</f>
        <v>239.78900165651024</v>
      </c>
      <c r="H788" s="153">
        <f t="shared" ref="H788:H793" si="52">SUM(F788:G788)</f>
        <v>239.78900165651024</v>
      </c>
      <c r="I788" s="233">
        <f t="shared" ref="I788:I793" si="53">SUMIFS($C:$C,$A:$A,$B788,$B:$B,"Annual cost savings")</f>
        <v>0</v>
      </c>
      <c r="J788" s="233">
        <f t="shared" ref="J788:J793" si="54">SUMIFS($C:$C,$A:$A,$B788,$B:$B,"Annual fertilizer value for on-farm use")</f>
        <v>0</v>
      </c>
      <c r="K788" s="233">
        <f>SUMIFS($C:$C,$A:$A,$B788,$B:$B,"Annual revenues")</f>
        <v>0</v>
      </c>
      <c r="L788" s="233">
        <f t="shared" ref="L788:L793" si="55">SUMIFS($C:$C,$A:$A,$B788,$B:$B,"Annual cost to export excess")</f>
        <v>0</v>
      </c>
      <c r="M788" s="283">
        <f>K788-F788-G788</f>
        <v>-239.78900165651024</v>
      </c>
      <c r="N788">
        <f t="shared" ref="N788:N793" si="56">SUMIFS($F:$F,$A:$A,$B788,$B:$B,"Totals")</f>
        <v>0</v>
      </c>
      <c r="O788">
        <f t="shared" ref="O788:O793" si="57">SUMIFS($G:$G,$A:$A,$B788,$B:$B,"Totals")</f>
        <v>0</v>
      </c>
      <c r="P788" s="147">
        <f t="shared" ref="P788:P793" si="58">SUMIFS($H:$H,$A:$A,$B788,$B:$B,"Totals")</f>
        <v>0</v>
      </c>
      <c r="Q788" s="147">
        <f t="shared" ref="Q788:Q793" si="59">SUMIFS($I:$I,$A:$A,$B788,$B:$B,"Totals")</f>
        <v>0</v>
      </c>
      <c r="R788" s="284">
        <f t="shared" ref="R788:R793" si="60">SUMIFS($K:$K,$A:$A,$B788,$B:$B,"Totals")</f>
        <v>0</v>
      </c>
      <c r="S788" s="284">
        <f t="shared" ref="S788:S793" si="61">SUMIFS($L:$L,$A:$A,$B788,$B:$B,"Totals")</f>
        <v>0</v>
      </c>
      <c r="T788" s="284">
        <f t="shared" ref="T788:T793" si="62">SUMIFS($M:$M,$A:$A,$B788,$B:$B,"Totals")</f>
        <v>0</v>
      </c>
      <c r="U788" s="284">
        <f t="shared" ref="U788:U793" si="63">SUMIFS($N:$N,$A:$A,$B788,$B:$B,"Totals")</f>
        <v>0</v>
      </c>
      <c r="V788" s="147">
        <f t="shared" ref="V788:W793" si="64">R788+T788</f>
        <v>0</v>
      </c>
      <c r="W788" s="285">
        <f t="shared" si="64"/>
        <v>0</v>
      </c>
    </row>
    <row r="789" spans="1:25" ht="15.75" customHeight="1" x14ac:dyDescent="0.3">
      <c r="A789" t="str">
        <f t="shared" ref="A789:A794" si="65">_xlfn.CONCAT("TL",B789)</f>
        <v>TLScrape auto</v>
      </c>
      <c r="B789" s="99" t="s">
        <v>5223</v>
      </c>
      <c r="C789" s="233">
        <f t="shared" si="47"/>
        <v>12426.746062992126</v>
      </c>
      <c r="D789" s="233">
        <f t="shared" si="48"/>
        <v>31863.451443569553</v>
      </c>
      <c r="E789" s="274">
        <f t="shared" si="49"/>
        <v>44290.197506561679</v>
      </c>
      <c r="F789" s="233">
        <f t="shared" si="50"/>
        <v>6707.1567934021641</v>
      </c>
      <c r="G789" s="233">
        <f t="shared" si="51"/>
        <v>3245.8344510558195</v>
      </c>
      <c r="H789" s="153">
        <f t="shared" si="52"/>
        <v>9952.9912444579841</v>
      </c>
      <c r="I789" s="233">
        <f t="shared" si="53"/>
        <v>0</v>
      </c>
      <c r="J789" s="233">
        <f t="shared" si="54"/>
        <v>0</v>
      </c>
      <c r="K789" s="233">
        <f>SUMIFS($C:$C,$A:$A,$B789,$B:$B,"Annual revenues")</f>
        <v>0</v>
      </c>
      <c r="L789" s="233">
        <f t="shared" si="55"/>
        <v>0</v>
      </c>
      <c r="M789" s="283">
        <f t="shared" ref="M789:M793" si="66">K789-F789-G789</f>
        <v>-9952.9912444579841</v>
      </c>
      <c r="N789">
        <f t="shared" si="56"/>
        <v>4471.5360061785714</v>
      </c>
      <c r="O789">
        <f t="shared" si="57"/>
        <v>306.7101072237985</v>
      </c>
      <c r="P789" s="147">
        <f t="shared" si="58"/>
        <v>0</v>
      </c>
      <c r="Q789" s="147">
        <f t="shared" si="59"/>
        <v>0</v>
      </c>
      <c r="R789" s="284">
        <f t="shared" si="60"/>
        <v>0</v>
      </c>
      <c r="S789" s="284">
        <f t="shared" si="61"/>
        <v>0</v>
      </c>
      <c r="T789" s="284">
        <f t="shared" si="62"/>
        <v>0</v>
      </c>
      <c r="U789" s="284">
        <f t="shared" si="63"/>
        <v>0</v>
      </c>
      <c r="V789" s="147">
        <f t="shared" si="64"/>
        <v>0</v>
      </c>
      <c r="W789" s="285">
        <f t="shared" si="64"/>
        <v>0</v>
      </c>
    </row>
    <row r="790" spans="1:25" ht="15.75" customHeight="1" x14ac:dyDescent="0.3">
      <c r="A790" t="str">
        <f t="shared" si="65"/>
        <v>TLReception pit</v>
      </c>
      <c r="B790" s="99" t="s">
        <v>5219</v>
      </c>
      <c r="C790" s="233">
        <f t="shared" si="47"/>
        <v>8018.7932118545777</v>
      </c>
      <c r="D790" s="233">
        <f t="shared" si="48"/>
        <v>13570</v>
      </c>
      <c r="E790" s="274">
        <f t="shared" si="49"/>
        <v>21588.79321185458</v>
      </c>
      <c r="F790" s="233">
        <f t="shared" si="50"/>
        <v>1821.4045073202617</v>
      </c>
      <c r="G790" s="233">
        <f t="shared" si="51"/>
        <v>1572.7463282449262</v>
      </c>
      <c r="H790" s="153">
        <f t="shared" si="52"/>
        <v>3394.1508355651877</v>
      </c>
      <c r="I790" s="233">
        <f t="shared" si="53"/>
        <v>0</v>
      </c>
      <c r="J790" s="233">
        <f t="shared" si="54"/>
        <v>0</v>
      </c>
      <c r="K790" s="233">
        <f>SUMIFS($C:$C,$A:$A,$B790,$B:$B,"Annual revenues")</f>
        <v>0</v>
      </c>
      <c r="L790" s="233">
        <f t="shared" si="55"/>
        <v>0</v>
      </c>
      <c r="M790" s="283">
        <f t="shared" si="66"/>
        <v>-3394.1508355651877</v>
      </c>
      <c r="N790">
        <f t="shared" si="56"/>
        <v>138.71116608588275</v>
      </c>
      <c r="O790">
        <f t="shared" si="57"/>
        <v>9.5144300671075079</v>
      </c>
      <c r="P790" s="147">
        <f t="shared" si="58"/>
        <v>0</v>
      </c>
      <c r="Q790" s="147">
        <f t="shared" si="59"/>
        <v>0</v>
      </c>
      <c r="R790" s="284">
        <f t="shared" si="60"/>
        <v>0</v>
      </c>
      <c r="S790" s="284">
        <f t="shared" si="61"/>
        <v>0</v>
      </c>
      <c r="T790" s="284">
        <f t="shared" si="62"/>
        <v>0</v>
      </c>
      <c r="U790" s="284">
        <f t="shared" si="63"/>
        <v>0</v>
      </c>
      <c r="V790" s="147">
        <f t="shared" si="64"/>
        <v>0</v>
      </c>
      <c r="W790" s="285">
        <f t="shared" si="64"/>
        <v>0</v>
      </c>
    </row>
    <row r="791" spans="1:25" ht="15.75" customHeight="1" x14ac:dyDescent="0.3">
      <c r="A791" t="str">
        <f t="shared" si="65"/>
        <v>TLCovered lagoon</v>
      </c>
      <c r="B791" s="99" t="s">
        <v>4683</v>
      </c>
      <c r="C791" s="233">
        <f t="shared" si="47"/>
        <v>356173.7397391983</v>
      </c>
      <c r="D791" s="233">
        <f t="shared" si="48"/>
        <v>0</v>
      </c>
      <c r="E791" s="274">
        <f t="shared" si="49"/>
        <v>356173.7397391983</v>
      </c>
      <c r="F791" s="233">
        <f t="shared" si="50"/>
        <v>28823.135132095718</v>
      </c>
      <c r="G791" s="233">
        <f t="shared" si="51"/>
        <v>5342.606096087974</v>
      </c>
      <c r="H791" s="153">
        <f t="shared" si="52"/>
        <v>34165.741228183695</v>
      </c>
      <c r="I791" s="233">
        <f t="shared" si="53"/>
        <v>0</v>
      </c>
      <c r="J791" s="233">
        <f t="shared" si="54"/>
        <v>0</v>
      </c>
      <c r="K791" s="784">
        <f>SUMIFS($C:$C,$A:$A,$B791,$B:$B,"Annual revenues for tanker")</f>
        <v>0</v>
      </c>
      <c r="L791" s="233">
        <f t="shared" si="55"/>
        <v>0</v>
      </c>
      <c r="M791" s="283">
        <f t="shared" si="66"/>
        <v>-34165.741228183695</v>
      </c>
      <c r="N791">
        <f t="shared" si="56"/>
        <v>0</v>
      </c>
      <c r="O791">
        <f t="shared" si="57"/>
        <v>0</v>
      </c>
      <c r="P791" s="147">
        <f t="shared" si="58"/>
        <v>0</v>
      </c>
      <c r="Q791" s="147">
        <f t="shared" si="59"/>
        <v>0</v>
      </c>
      <c r="R791" s="284">
        <f t="shared" si="60"/>
        <v>0</v>
      </c>
      <c r="S791" s="284">
        <f t="shared" si="61"/>
        <v>0</v>
      </c>
      <c r="T791" s="284">
        <f t="shared" si="62"/>
        <v>0</v>
      </c>
      <c r="U791" s="284">
        <f t="shared" si="63"/>
        <v>0</v>
      </c>
      <c r="V791" s="147">
        <f t="shared" si="64"/>
        <v>0</v>
      </c>
      <c r="W791" s="285">
        <f t="shared" si="64"/>
        <v>0</v>
      </c>
    </row>
    <row r="792" spans="1:25" ht="15.75" customHeight="1" x14ac:dyDescent="0.3">
      <c r="A792" t="str">
        <f t="shared" si="65"/>
        <v>TLLagoon</v>
      </c>
      <c r="B792" s="99" t="s">
        <v>5210</v>
      </c>
      <c r="C792" s="233">
        <f t="shared" si="47"/>
        <v>121393.53679035802</v>
      </c>
      <c r="D792" s="233">
        <f t="shared" si="48"/>
        <v>0</v>
      </c>
      <c r="E792" s="274">
        <f t="shared" si="49"/>
        <v>121393.53679035802</v>
      </c>
      <c r="F792" s="233">
        <f t="shared" si="50"/>
        <v>9823.6953618016832</v>
      </c>
      <c r="G792" s="233">
        <f t="shared" si="51"/>
        <v>1820.9030518553702</v>
      </c>
      <c r="H792" s="153">
        <f t="shared" si="52"/>
        <v>11644.598413657053</v>
      </c>
      <c r="I792" s="233">
        <f t="shared" si="53"/>
        <v>0</v>
      </c>
      <c r="J792" s="233">
        <f t="shared" si="54"/>
        <v>0</v>
      </c>
      <c r="K792" s="233">
        <f>SUMIFS($C:$C,$A:$A,$B792,$B:$B,"Annual revenues")</f>
        <v>0</v>
      </c>
      <c r="L792" s="233">
        <f t="shared" si="55"/>
        <v>0</v>
      </c>
      <c r="M792" s="283">
        <f t="shared" si="66"/>
        <v>-11644.598413657053</v>
      </c>
      <c r="N792" s="278">
        <f t="shared" si="56"/>
        <v>0</v>
      </c>
      <c r="O792" s="147">
        <f t="shared" si="57"/>
        <v>0</v>
      </c>
      <c r="P792" s="147">
        <f t="shared" si="58"/>
        <v>0</v>
      </c>
      <c r="Q792" s="147">
        <f t="shared" si="59"/>
        <v>0</v>
      </c>
      <c r="R792" s="284">
        <f t="shared" si="60"/>
        <v>0</v>
      </c>
      <c r="S792" s="284">
        <f t="shared" si="61"/>
        <v>0</v>
      </c>
      <c r="T792" s="284">
        <f t="shared" si="62"/>
        <v>0</v>
      </c>
      <c r="U792" s="284">
        <f t="shared" si="63"/>
        <v>0</v>
      </c>
      <c r="V792" s="147">
        <f t="shared" si="64"/>
        <v>0</v>
      </c>
      <c r="W792" s="285">
        <f t="shared" si="64"/>
        <v>0</v>
      </c>
    </row>
    <row r="793" spans="1:25" ht="15.75" customHeight="1" x14ac:dyDescent="0.3">
      <c r="A793" t="str">
        <f t="shared" si="65"/>
        <v>TLEnd use tanker</v>
      </c>
      <c r="B793" s="99" t="s">
        <v>5202</v>
      </c>
      <c r="C793" s="233">
        <f t="shared" si="47"/>
        <v>0</v>
      </c>
      <c r="D793" s="233">
        <f t="shared" si="48"/>
        <v>1289100</v>
      </c>
      <c r="E793" s="274">
        <f t="shared" si="49"/>
        <v>1289100</v>
      </c>
      <c r="F793" s="233">
        <f t="shared" si="50"/>
        <v>35882.148130731883</v>
      </c>
      <c r="G793" s="233">
        <f t="shared" si="51"/>
        <v>14078.865101538144</v>
      </c>
      <c r="H793" s="153">
        <f t="shared" si="52"/>
        <v>49961.013232270023</v>
      </c>
      <c r="I793" s="233">
        <f t="shared" si="53"/>
        <v>0</v>
      </c>
      <c r="J793" s="233">
        <f t="shared" si="54"/>
        <v>6299.0931327066219</v>
      </c>
      <c r="K793" s="233">
        <f>SUMIFS($C:$C,$A:$A,$B793,$B:$B,"Annual revenues")</f>
        <v>0</v>
      </c>
      <c r="L793" s="233">
        <f t="shared" si="55"/>
        <v>0</v>
      </c>
      <c r="M793" s="283">
        <f t="shared" si="66"/>
        <v>-49961.013232270023</v>
      </c>
      <c r="N793">
        <f t="shared" si="56"/>
        <v>931.22205127489565</v>
      </c>
      <c r="O793">
        <f t="shared" si="57"/>
        <v>63.874072533697216</v>
      </c>
      <c r="P793" s="147">
        <f t="shared" si="58"/>
        <v>161.48736569260842</v>
      </c>
      <c r="Q793" s="147">
        <f t="shared" si="59"/>
        <v>596.93652381701293</v>
      </c>
      <c r="R793" s="284">
        <f t="shared" si="60"/>
        <v>28.203134673069055</v>
      </c>
      <c r="S793" s="284">
        <f t="shared" si="61"/>
        <v>667.28616636481388</v>
      </c>
      <c r="T793" s="284">
        <f t="shared" si="62"/>
        <v>0</v>
      </c>
      <c r="U793" s="284">
        <f t="shared" si="63"/>
        <v>0</v>
      </c>
      <c r="V793" s="147">
        <f t="shared" si="64"/>
        <v>28.203134673069055</v>
      </c>
      <c r="W793" s="285">
        <f t="shared" si="64"/>
        <v>667.28616636481388</v>
      </c>
    </row>
    <row r="794" spans="1:25" ht="15.75" customHeight="1" x14ac:dyDescent="0.3">
      <c r="A794" t="str">
        <f t="shared" si="65"/>
        <v>TLTotals</v>
      </c>
      <c r="B794" s="162" t="s">
        <v>5203</v>
      </c>
      <c r="C794" s="242">
        <f>SUM(C787:C793)</f>
        <v>505871.25809145713</v>
      </c>
      <c r="D794" s="242">
        <f t="shared" ref="D794:M794" si="67">SUM(D787:D793)</f>
        <v>1334533.4514435695</v>
      </c>
      <c r="E794" s="242">
        <f t="shared" si="67"/>
        <v>1840404.7095350267</v>
      </c>
      <c r="F794" s="242">
        <f t="shared" si="67"/>
        <v>83693.479408519081</v>
      </c>
      <c r="G794" s="242">
        <f t="shared" si="67"/>
        <v>26418.620664744554</v>
      </c>
      <c r="H794" s="242">
        <f t="shared" si="67"/>
        <v>110112.10007326363</v>
      </c>
      <c r="I794" s="242">
        <f t="shared" si="67"/>
        <v>0</v>
      </c>
      <c r="J794" s="242">
        <f t="shared" si="67"/>
        <v>6299.0931327066219</v>
      </c>
      <c r="K794" s="242">
        <f t="shared" si="67"/>
        <v>0</v>
      </c>
      <c r="L794" s="242">
        <f t="shared" si="67"/>
        <v>0</v>
      </c>
      <c r="M794" s="242">
        <f t="shared" si="67"/>
        <v>-110112.10007326363</v>
      </c>
      <c r="N794" s="286">
        <f>SUM(N787:N793)</f>
        <v>5541.4692235393495</v>
      </c>
      <c r="O794" s="286">
        <f t="shared" ref="O794:W794" si="68">SUM(O787:O793)</f>
        <v>380.09860982460327</v>
      </c>
      <c r="P794" s="286">
        <f t="shared" si="68"/>
        <v>161.48736569260842</v>
      </c>
      <c r="Q794" s="286">
        <f t="shared" si="68"/>
        <v>596.93652381701293</v>
      </c>
      <c r="R794" s="286">
        <f t="shared" si="68"/>
        <v>28.203134673069055</v>
      </c>
      <c r="S794" s="286">
        <f t="shared" si="68"/>
        <v>667.28616636481388</v>
      </c>
      <c r="T794" s="286">
        <f t="shared" si="68"/>
        <v>0</v>
      </c>
      <c r="U794" s="286">
        <f t="shared" si="68"/>
        <v>0</v>
      </c>
      <c r="V794" s="286">
        <f t="shared" si="68"/>
        <v>28.203134673069055</v>
      </c>
      <c r="W794" s="286">
        <f t="shared" si="68"/>
        <v>667.28616636481388</v>
      </c>
    </row>
    <row r="795" spans="1:25" ht="15.75" customHeight="1" x14ac:dyDescent="0.3">
      <c r="A795" s="82"/>
      <c r="B795" s="287" t="s">
        <v>7069</v>
      </c>
      <c r="C795" s="150"/>
      <c r="D795" s="150"/>
      <c r="E795" s="288"/>
      <c r="F795" s="150"/>
      <c r="G795" s="150"/>
      <c r="H795" s="150"/>
      <c r="I795" s="150"/>
      <c r="J795" s="150"/>
      <c r="K795" s="150"/>
      <c r="L795" s="150"/>
      <c r="M795" s="289"/>
      <c r="N795" s="150"/>
      <c r="O795" s="150"/>
      <c r="P795" s="150"/>
      <c r="Q795" s="150"/>
      <c r="R795" s="290"/>
      <c r="S795" s="291"/>
      <c r="T795" s="150"/>
      <c r="U795" s="150"/>
      <c r="V795" s="150"/>
      <c r="W795" s="151"/>
    </row>
    <row r="797" spans="1:25" ht="15.75" customHeight="1" x14ac:dyDescent="0.3">
      <c r="B797" s="139" t="s">
        <v>7050</v>
      </c>
      <c r="C797" s="142"/>
      <c r="D797" s="142"/>
      <c r="E797" s="267"/>
      <c r="F797" s="142"/>
      <c r="G797" s="142"/>
      <c r="H797" s="142"/>
      <c r="I797" s="142"/>
      <c r="J797" s="142"/>
      <c r="K797" s="142"/>
      <c r="L797" s="142"/>
      <c r="M797" s="142"/>
      <c r="N797" s="142"/>
      <c r="O797" s="142"/>
      <c r="P797" s="142"/>
      <c r="Q797" s="142"/>
      <c r="R797" s="142"/>
      <c r="S797" s="142"/>
      <c r="T797" s="142"/>
      <c r="U797" s="142"/>
      <c r="V797" s="142"/>
      <c r="W797" s="141"/>
    </row>
    <row r="798" spans="1:25" ht="15.75" customHeight="1" x14ac:dyDescent="0.3">
      <c r="B798" s="92" t="s">
        <v>7070</v>
      </c>
      <c r="E798" s="66"/>
      <c r="W798" s="146"/>
    </row>
    <row r="799" spans="1:25" ht="15.75" customHeight="1" x14ac:dyDescent="0.3">
      <c r="B799" s="99"/>
      <c r="D799" s="66"/>
      <c r="E799" s="66"/>
      <c r="W799" s="146"/>
    </row>
    <row r="800" spans="1:25" ht="15.75" customHeight="1" x14ac:dyDescent="0.3">
      <c r="B800" s="92" t="s">
        <v>7052</v>
      </c>
      <c r="C800" s="82" t="s">
        <v>565</v>
      </c>
      <c r="D800" s="82" t="s">
        <v>38</v>
      </c>
      <c r="E800" s="66"/>
      <c r="W800" s="146"/>
    </row>
    <row r="801" spans="1:23" ht="15.75" customHeight="1" x14ac:dyDescent="0.3">
      <c r="B801" s="99" t="s">
        <v>5859</v>
      </c>
      <c r="C801">
        <f>UDV.animal.total</f>
        <v>500</v>
      </c>
      <c r="D801" t="s">
        <v>2442</v>
      </c>
      <c r="E801" s="66"/>
      <c r="W801" s="146"/>
    </row>
    <row r="802" spans="1:23" ht="15.75" customHeight="1" x14ac:dyDescent="0.3">
      <c r="B802" s="174" t="s">
        <v>5386</v>
      </c>
      <c r="C802">
        <f>UDV.crops.acres_available</f>
        <v>100</v>
      </c>
      <c r="D802" t="s">
        <v>7029</v>
      </c>
      <c r="E802" s="66"/>
      <c r="W802" s="146"/>
    </row>
    <row r="803" spans="1:23" ht="15.75" customHeight="1" x14ac:dyDescent="0.3">
      <c r="B803" s="99" t="s">
        <v>5114</v>
      </c>
      <c r="C803" t="str">
        <f>UDV.u.state</f>
        <v>Iowa</v>
      </c>
      <c r="D803" t="s">
        <v>2852</v>
      </c>
      <c r="E803" s="66"/>
      <c r="W803" s="146"/>
    </row>
    <row r="804" spans="1:23" ht="15.75" customHeight="1" x14ac:dyDescent="0.3">
      <c r="A804" t="s">
        <v>4917</v>
      </c>
      <c r="B804" s="99" t="s">
        <v>7240</v>
      </c>
      <c r="C804" s="166">
        <f>VLOOKUP("Emissions reductions for drag hose", $R$1:$U$299,3,FALSE)*UDV.econ_energy.carbon_credits</f>
        <v>0</v>
      </c>
      <c r="D804" t="s">
        <v>5181</v>
      </c>
      <c r="E804" s="66"/>
      <c r="W804" s="146"/>
    </row>
    <row r="805" spans="1:23" ht="15.75" customHeight="1" x14ac:dyDescent="0.3">
      <c r="B805" s="99"/>
      <c r="D805" s="66"/>
      <c r="E805" s="66"/>
      <c r="W805" s="146"/>
    </row>
    <row r="806" spans="1:23" ht="15.75" customHeight="1" x14ac:dyDescent="0.3">
      <c r="A806" t="s">
        <v>4917</v>
      </c>
      <c r="B806" s="92" t="s">
        <v>7053</v>
      </c>
      <c r="C806" s="82" t="s">
        <v>5181</v>
      </c>
      <c r="D806" s="82" t="s">
        <v>7140</v>
      </c>
      <c r="E806" s="66"/>
      <c r="W806" s="146"/>
    </row>
    <row r="807" spans="1:23" ht="15.75" customHeight="1" x14ac:dyDescent="0.3">
      <c r="A807" t="s">
        <v>4917</v>
      </c>
      <c r="B807" s="275" t="s">
        <v>2585</v>
      </c>
      <c r="C807" s="276">
        <f>F827</f>
        <v>137532.96691882779</v>
      </c>
      <c r="D807" s="153">
        <f>C807/C801</f>
        <v>275.06593383765556</v>
      </c>
      <c r="E807" s="66"/>
      <c r="W807" s="146"/>
    </row>
    <row r="808" spans="1:23" ht="15.75" customHeight="1" x14ac:dyDescent="0.3">
      <c r="A808" t="s">
        <v>4917</v>
      </c>
      <c r="B808" s="275" t="s">
        <v>2588</v>
      </c>
      <c r="C808" s="276">
        <f>G827+L827</f>
        <v>43419.918283080508</v>
      </c>
      <c r="D808" s="153">
        <f>C808/C801</f>
        <v>86.839836566161011</v>
      </c>
      <c r="E808" s="66"/>
      <c r="W808" s="146"/>
    </row>
    <row r="809" spans="1:23" ht="15.75" customHeight="1" x14ac:dyDescent="0.3">
      <c r="A809" t="s">
        <v>4917</v>
      </c>
      <c r="B809" s="275" t="s">
        <v>441</v>
      </c>
      <c r="C809" s="276">
        <f>I827</f>
        <v>0</v>
      </c>
      <c r="D809" s="153">
        <f>C809/C801</f>
        <v>0</v>
      </c>
      <c r="E809" s="66"/>
      <c r="W809" s="146"/>
    </row>
    <row r="810" spans="1:23" ht="15.75" customHeight="1" x14ac:dyDescent="0.3">
      <c r="A810" t="s">
        <v>4917</v>
      </c>
      <c r="B810" s="275" t="s">
        <v>440</v>
      </c>
      <c r="C810" s="276">
        <f>J827</f>
        <v>6299.0931327066219</v>
      </c>
      <c r="D810" s="153">
        <f>C810/C801</f>
        <v>12.598186265413243</v>
      </c>
      <c r="E810" s="66"/>
      <c r="G810" s="66"/>
      <c r="I810" s="42"/>
      <c r="J810" s="3"/>
      <c r="L810" s="42"/>
      <c r="T810" s="20"/>
      <c r="W810" s="113"/>
    </row>
    <row r="811" spans="1:23" ht="15.75" customHeight="1" x14ac:dyDescent="0.3">
      <c r="A811" t="s">
        <v>4917</v>
      </c>
      <c r="B811" s="275" t="s">
        <v>442</v>
      </c>
      <c r="C811" s="276">
        <f>K827</f>
        <v>0</v>
      </c>
      <c r="D811" s="153">
        <f>C811/C801</f>
        <v>0</v>
      </c>
      <c r="E811" s="66"/>
      <c r="G811" s="66"/>
      <c r="I811" s="42"/>
      <c r="J811" s="3"/>
      <c r="L811" s="42"/>
      <c r="P811" s="277"/>
      <c r="T811" s="20"/>
      <c r="W811" s="113"/>
    </row>
    <row r="812" spans="1:23" ht="15.75" customHeight="1" x14ac:dyDescent="0.3">
      <c r="A812" t="s">
        <v>4917</v>
      </c>
      <c r="B812" s="2270" t="s">
        <v>439</v>
      </c>
      <c r="C812" s="2271">
        <f>M827</f>
        <v>-180952.8852019083</v>
      </c>
      <c r="D812" s="159">
        <f>C812/C801</f>
        <v>-361.90577040381658</v>
      </c>
      <c r="E812" s="288"/>
      <c r="G812" s="66"/>
      <c r="I812" s="42"/>
      <c r="J812" s="3"/>
      <c r="L812" s="42"/>
      <c r="T812" s="20"/>
      <c r="W812" s="113"/>
    </row>
    <row r="813" spans="1:23" ht="15.75" customHeight="1" x14ac:dyDescent="0.3">
      <c r="A813" t="s">
        <v>4917</v>
      </c>
      <c r="B813" s="99" t="s">
        <v>7055</v>
      </c>
      <c r="C813" s="276">
        <f>L827</f>
        <v>0</v>
      </c>
      <c r="D813" s="153">
        <f>C813/C801</f>
        <v>0</v>
      </c>
      <c r="E813" s="279" t="s">
        <v>7056</v>
      </c>
      <c r="W813" s="146"/>
    </row>
    <row r="814" spans="1:23" ht="15.75" customHeight="1" x14ac:dyDescent="0.3">
      <c r="A814" t="s">
        <v>4917</v>
      </c>
      <c r="B814" s="99" t="s">
        <v>7057</v>
      </c>
      <c r="C814" s="153">
        <f>C807+C808</f>
        <v>180952.8852019083</v>
      </c>
      <c r="D814" s="153">
        <f>C814/C801</f>
        <v>361.90577040381658</v>
      </c>
      <c r="E814" s="66"/>
      <c r="W814" s="146"/>
    </row>
    <row r="815" spans="1:23" ht="13.5" customHeight="1" x14ac:dyDescent="0.3">
      <c r="A815" t="s">
        <v>4917</v>
      </c>
      <c r="B815" s="853" t="s">
        <v>5392</v>
      </c>
      <c r="C815" s="142"/>
      <c r="D815" s="854">
        <f>E827</f>
        <v>2609144.7095350269</v>
      </c>
      <c r="E815" s="271" t="s">
        <v>2284</v>
      </c>
      <c r="G815" s="66"/>
      <c r="I815" s="42"/>
      <c r="J815" s="3"/>
      <c r="L815" s="42"/>
      <c r="T815" s="20"/>
      <c r="W815" s="113"/>
    </row>
    <row r="816" spans="1:23" ht="13.5" customHeight="1" x14ac:dyDescent="0.3">
      <c r="A816" t="s">
        <v>4917</v>
      </c>
      <c r="B816" s="852" t="s">
        <v>5393</v>
      </c>
      <c r="D816" s="274">
        <f>E827/C801</f>
        <v>5218.2894190700536</v>
      </c>
      <c r="E816" s="20" t="s">
        <v>7058</v>
      </c>
      <c r="G816" s="66"/>
      <c r="I816" s="42"/>
      <c r="J816" s="3"/>
      <c r="L816" s="42"/>
      <c r="T816" s="20"/>
      <c r="W816" s="113"/>
    </row>
    <row r="817" spans="1:25" ht="15.75" customHeight="1" x14ac:dyDescent="0.3">
      <c r="B817" s="99"/>
      <c r="E817" s="66"/>
      <c r="H817" s="42"/>
      <c r="I817" s="3"/>
      <c r="K817" s="42"/>
      <c r="N817" s="273" t="s">
        <v>7059</v>
      </c>
      <c r="O817" s="90"/>
      <c r="P817" s="90"/>
      <c r="Q817" s="90"/>
      <c r="R817" s="90"/>
      <c r="S817" s="279"/>
      <c r="T817" s="90"/>
      <c r="U817" s="90"/>
      <c r="V817" s="42"/>
      <c r="W817" s="146"/>
    </row>
    <row r="818" spans="1:25" ht="15.75" customHeight="1" x14ac:dyDescent="0.3">
      <c r="B818" s="92" t="s">
        <v>7060</v>
      </c>
      <c r="E818" s="66"/>
      <c r="M818" s="113"/>
      <c r="N818" s="90" t="s">
        <v>5323</v>
      </c>
      <c r="O818" s="90" t="s">
        <v>5181</v>
      </c>
      <c r="P818" s="90" t="s">
        <v>5324</v>
      </c>
      <c r="Q818" s="90" t="s">
        <v>5181</v>
      </c>
      <c r="R818" s="90" t="s">
        <v>2710</v>
      </c>
      <c r="S818" s="90" t="s">
        <v>5181</v>
      </c>
      <c r="T818" s="90" t="s">
        <v>2710</v>
      </c>
      <c r="U818" s="90" t="s">
        <v>5181</v>
      </c>
      <c r="V818" s="90" t="s">
        <v>2710</v>
      </c>
      <c r="W818" s="280" t="s">
        <v>5181</v>
      </c>
    </row>
    <row r="819" spans="1:25" ht="15.75" customHeight="1" x14ac:dyDescent="0.3">
      <c r="B819" s="92" t="s">
        <v>5187</v>
      </c>
      <c r="C819" s="82" t="s">
        <v>7061</v>
      </c>
      <c r="D819" s="82" t="s">
        <v>7062</v>
      </c>
      <c r="E819" s="277" t="s">
        <v>7063</v>
      </c>
      <c r="F819" s="82" t="s">
        <v>7064</v>
      </c>
      <c r="G819" s="277" t="s">
        <v>2588</v>
      </c>
      <c r="H819" s="82" t="s">
        <v>5188</v>
      </c>
      <c r="I819" s="82" t="s">
        <v>5189</v>
      </c>
      <c r="J819" s="82" t="s">
        <v>5190</v>
      </c>
      <c r="K819" s="82" t="s">
        <v>442</v>
      </c>
      <c r="L819" s="82" t="s">
        <v>5191</v>
      </c>
      <c r="M819" s="173" t="s">
        <v>439</v>
      </c>
      <c r="N819" s="281" t="s">
        <v>5192</v>
      </c>
      <c r="O819" s="281" t="s">
        <v>5193</v>
      </c>
      <c r="P819" s="281" t="s">
        <v>5194</v>
      </c>
      <c r="Q819" s="281" t="s">
        <v>5195</v>
      </c>
      <c r="R819" s="281" t="s">
        <v>5196</v>
      </c>
      <c r="S819" s="281" t="s">
        <v>5197</v>
      </c>
      <c r="T819" s="281" t="s">
        <v>5198</v>
      </c>
      <c r="U819" s="281" t="s">
        <v>5199</v>
      </c>
      <c r="V819" s="281" t="s">
        <v>5200</v>
      </c>
      <c r="W819" s="282" t="s">
        <v>5201</v>
      </c>
    </row>
    <row r="820" spans="1:25" ht="14.4" x14ac:dyDescent="0.3">
      <c r="A820" t="s">
        <v>7071</v>
      </c>
      <c r="B820" s="99" t="s">
        <v>6945</v>
      </c>
      <c r="C820" s="158">
        <f>SUMIFS($C$300:$C$765,$A$300:$A$765,_xlfn.CONCAT(B820,"_construction"))</f>
        <v>7858.4422870541339</v>
      </c>
      <c r="D820" s="158">
        <f>SUMIFS($C$300:$C$765,$A$300:$A$765,_xlfn.CONCAT(B820,"_equipment"))</f>
        <v>0</v>
      </c>
      <c r="E820" s="274">
        <f>SUM(C820:D820)</f>
        <v>7858.4422870541339</v>
      </c>
      <c r="F820" s="158">
        <f>SUMIFS($D$300:$D$765,$A$300:$A$765,$B820,$B$300:$B$765,"Total capital recovery value")</f>
        <v>635.93948316737419</v>
      </c>
      <c r="G820" s="158">
        <f>SUMIFS($C$300:$C$765,$A$300:$A$765,$B820,$B$300:$B$765,"Annual operational costs")</f>
        <v>117.876634305812</v>
      </c>
      <c r="H820" s="153">
        <f>SUM(F820:G820)</f>
        <v>753.81611747318618</v>
      </c>
      <c r="I820" s="158">
        <f>SUMIFS($C$300:$C$765,$A$300:$A$765,$B820,$B$300:$B$765,"Annual cost savings")</f>
        <v>0</v>
      </c>
      <c r="J820" s="158">
        <f>SUMIFS($C$300:$C$765,$A$300:$A$765,$B820,$B$300:$B$765,"Annual fertilizer value for on-farm use")</f>
        <v>0</v>
      </c>
      <c r="K820" s="158">
        <f>SUMIFS($C$300:$C$765,$A$300:$A$765,$B820,$B$300:$B$765,"Annual revenues")</f>
        <v>0</v>
      </c>
      <c r="L820" s="158">
        <f>SUMIFS($C$300:$C$765,$A$300:$A$765,$B820,$B$300:$B$765,"Annual cost to export excess")</f>
        <v>0</v>
      </c>
      <c r="M820" s="283">
        <f>K820-F820-G820</f>
        <v>-753.81611747318618</v>
      </c>
      <c r="N820">
        <f>SUMIFS($F$300:$F$765,$A$300:$A$765,$B820,$B$300:$B$765,"Totals")</f>
        <v>0</v>
      </c>
      <c r="O820">
        <f>SUMIFS($G$300:$G$765,$A$300:$A$765,$B820,$B$300:$B$765,"Totals")</f>
        <v>0</v>
      </c>
      <c r="P820" s="147">
        <f>SUMIFS($H$300:$H$765,$A$300:$A$765,$B820,$B$300:$B$765,"Totals")</f>
        <v>0</v>
      </c>
      <c r="Q820" s="147">
        <f>SUMIFS($I$300:$I$765,$A$300:$A$765,$B820,$B$300:$B$765,"Totals")</f>
        <v>0</v>
      </c>
      <c r="R820" s="2315">
        <f>SUMIFS($K$300:$K$765,$A$300:$A$765,$B820,$B$300:$B$765,"Totals")</f>
        <v>0</v>
      </c>
      <c r="S820" s="2315">
        <f>SUMIFS($L$300:$L$765,$A$300:$A$765,$B820,$B$300:$B$765,"Totals")</f>
        <v>0</v>
      </c>
      <c r="T820" s="2315">
        <f>SUMIFS($M$300:$M$765,$A$300:$A$765,$B820,$B$300:$B$765,"Totals")</f>
        <v>0</v>
      </c>
      <c r="U820" s="2315">
        <f>SUMIFS($N$300:$N$765,$A$300:$A$765,$B820,$B$300:$B$765,"Totals")</f>
        <v>0</v>
      </c>
      <c r="V820" s="147">
        <f>R820+T820</f>
        <v>0</v>
      </c>
      <c r="W820" s="285">
        <f>S820+U820</f>
        <v>0</v>
      </c>
      <c r="Y820" s="36"/>
    </row>
    <row r="821" spans="1:25" ht="15.75" customHeight="1" x14ac:dyDescent="0.3">
      <c r="A821" t="str">
        <f>_xlfn.CONCAT("DHL",B821)</f>
        <v>DHLBarn and parlor</v>
      </c>
      <c r="B821" s="99" t="s">
        <v>5209</v>
      </c>
      <c r="C821" s="233">
        <f t="shared" ref="C821:C826" si="69">SUMIFS($C:$C,$A:$A,_xlfn.CONCAT(B821,"_construction"))</f>
        <v>0</v>
      </c>
      <c r="D821" s="233">
        <f t="shared" ref="D821:D826" si="70">SUMIFS($C:$C,$A:$A,_xlfn.CONCAT(B821,"_equipment"))</f>
        <v>0</v>
      </c>
      <c r="E821" s="274">
        <f t="shared" ref="E821:E826" si="71">SUM(C821:D821)</f>
        <v>0</v>
      </c>
      <c r="F821" s="233">
        <f t="shared" ref="F821:F826" si="72">SUMIFS($D:$D,$A:$A,$B821,$B:$B,"Total capital recovery value")</f>
        <v>0</v>
      </c>
      <c r="G821" s="233">
        <f t="shared" ref="G821:G826" si="73">SUMIFS($C:$C,$A:$A,$B821,$B:$B,"Annual operational costs")</f>
        <v>239.78900165651024</v>
      </c>
      <c r="H821" s="153">
        <f t="shared" ref="H821:H826" si="74">SUM(F821:G821)</f>
        <v>239.78900165651024</v>
      </c>
      <c r="I821" s="233">
        <f t="shared" ref="I821:I826" si="75">SUMIFS($C:$C,$A:$A,$B821,$B:$B,"Annual cost savings")</f>
        <v>0</v>
      </c>
      <c r="J821" s="233">
        <f t="shared" ref="J821:J826" si="76">SUMIFS($C:$C,$A:$A,$B821,$B:$B,"Annual fertilizer value for on-farm use")</f>
        <v>0</v>
      </c>
      <c r="K821" s="233">
        <f>SUMIFS($C:$C,$A:$A,$B821,$B:$B,"Annual revenues")</f>
        <v>0</v>
      </c>
      <c r="L821" s="233">
        <f t="shared" ref="L821:L826" si="77">SUMIFS($C:$C,$A:$A,$B821,$B:$B,"Annual cost to export excess")</f>
        <v>0</v>
      </c>
      <c r="M821" s="283">
        <f>K821-F821-G821</f>
        <v>-239.78900165651024</v>
      </c>
      <c r="N821">
        <f t="shared" ref="N821:N826" si="78">SUMIFS($F:$F,$A:$A,$B821,$B:$B,"Totals")</f>
        <v>0</v>
      </c>
      <c r="O821">
        <f t="shared" ref="O821:O826" si="79">SUMIFS($G:$G,$A:$A,$B821,$B:$B,"Totals")</f>
        <v>0</v>
      </c>
      <c r="P821" s="147">
        <f t="shared" ref="P821:P826" si="80">SUMIFS($H:$H,$A:$A,$B821,$B:$B,"Totals")</f>
        <v>0</v>
      </c>
      <c r="Q821" s="147">
        <f t="shared" ref="Q821:Q826" si="81">SUMIFS($I:$I,$A:$A,$B821,$B:$B,"Totals")</f>
        <v>0</v>
      </c>
      <c r="R821" s="284">
        <f t="shared" ref="R821:R826" si="82">SUMIFS($K:$K,$A:$A,$B821,$B:$B,"Totals")</f>
        <v>0</v>
      </c>
      <c r="S821" s="284">
        <f t="shared" ref="S821:S826" si="83">SUMIFS($L:$L,$A:$A,$B821,$B:$B,"Totals")</f>
        <v>0</v>
      </c>
      <c r="T821" s="284">
        <f t="shared" ref="T821:T826" si="84">SUMIFS($M:$M,$A:$A,$B821,$B:$B,"Totals")</f>
        <v>0</v>
      </c>
      <c r="U821" s="284">
        <f t="shared" ref="U821:U826" si="85">SUMIFS($N:$N,$A:$A,$B821,$B:$B,"Totals")</f>
        <v>0</v>
      </c>
      <c r="V821" s="147">
        <f t="shared" ref="V821:W826" si="86">R821+T821</f>
        <v>0</v>
      </c>
      <c r="W821" s="285">
        <f t="shared" si="86"/>
        <v>0</v>
      </c>
    </row>
    <row r="822" spans="1:25" ht="15.75" customHeight="1" x14ac:dyDescent="0.3">
      <c r="A822" t="str">
        <f t="shared" ref="A822:A827" si="87">_xlfn.CONCAT("DHL",B822)</f>
        <v>DHLScrape auto</v>
      </c>
      <c r="B822" s="99" t="s">
        <v>5223</v>
      </c>
      <c r="C822" s="233">
        <f t="shared" si="69"/>
        <v>12426.746062992126</v>
      </c>
      <c r="D822" s="233">
        <f t="shared" si="70"/>
        <v>31863.451443569553</v>
      </c>
      <c r="E822" s="274">
        <f t="shared" si="71"/>
        <v>44290.197506561679</v>
      </c>
      <c r="F822" s="233">
        <f t="shared" si="72"/>
        <v>6707.1567934021641</v>
      </c>
      <c r="G822" s="233">
        <f t="shared" si="73"/>
        <v>3245.8344510558195</v>
      </c>
      <c r="H822" s="153">
        <f t="shared" si="74"/>
        <v>9952.9912444579841</v>
      </c>
      <c r="I822" s="233">
        <f t="shared" si="75"/>
        <v>0</v>
      </c>
      <c r="J822" s="233">
        <f t="shared" si="76"/>
        <v>0</v>
      </c>
      <c r="K822" s="233">
        <f>SUMIFS($C:$C,$A:$A,$B822,$B:$B,"Annual revenues")</f>
        <v>0</v>
      </c>
      <c r="L822" s="233">
        <f t="shared" si="77"/>
        <v>0</v>
      </c>
      <c r="M822" s="283">
        <f t="shared" ref="M822:M826" si="88">K822-F822-G822</f>
        <v>-9952.9912444579841</v>
      </c>
      <c r="N822">
        <f t="shared" si="78"/>
        <v>4471.5360061785714</v>
      </c>
      <c r="O822">
        <f t="shared" si="79"/>
        <v>306.7101072237985</v>
      </c>
      <c r="P822" s="147">
        <f t="shared" si="80"/>
        <v>0</v>
      </c>
      <c r="Q822" s="147">
        <f t="shared" si="81"/>
        <v>0</v>
      </c>
      <c r="R822" s="284">
        <f t="shared" si="82"/>
        <v>0</v>
      </c>
      <c r="S822" s="284">
        <f t="shared" si="83"/>
        <v>0</v>
      </c>
      <c r="T822" s="284">
        <f t="shared" si="84"/>
        <v>0</v>
      </c>
      <c r="U822" s="284">
        <f t="shared" si="85"/>
        <v>0</v>
      </c>
      <c r="V822" s="147">
        <f t="shared" si="86"/>
        <v>0</v>
      </c>
      <c r="W822" s="285">
        <f t="shared" si="86"/>
        <v>0</v>
      </c>
    </row>
    <row r="823" spans="1:25" ht="15.75" customHeight="1" x14ac:dyDescent="0.3">
      <c r="A823" t="str">
        <f t="shared" si="87"/>
        <v>DHLReception pit</v>
      </c>
      <c r="B823" s="99" t="s">
        <v>5219</v>
      </c>
      <c r="C823" s="233">
        <f t="shared" si="69"/>
        <v>8018.7932118545777</v>
      </c>
      <c r="D823" s="233">
        <f t="shared" si="70"/>
        <v>13570</v>
      </c>
      <c r="E823" s="274">
        <f t="shared" si="71"/>
        <v>21588.79321185458</v>
      </c>
      <c r="F823" s="233">
        <f t="shared" si="72"/>
        <v>1821.4045073202617</v>
      </c>
      <c r="G823" s="233">
        <f t="shared" si="73"/>
        <v>1572.7463282449262</v>
      </c>
      <c r="H823" s="153">
        <f t="shared" si="74"/>
        <v>3394.1508355651877</v>
      </c>
      <c r="I823" s="233">
        <f t="shared" si="75"/>
        <v>0</v>
      </c>
      <c r="J823" s="233">
        <f t="shared" si="76"/>
        <v>0</v>
      </c>
      <c r="K823" s="233">
        <f>SUMIFS($C:$C,$A:$A,$B823,$B:$B,"Annual revenues")</f>
        <v>0</v>
      </c>
      <c r="L823" s="233">
        <f t="shared" si="77"/>
        <v>0</v>
      </c>
      <c r="M823" s="283">
        <f t="shared" si="88"/>
        <v>-3394.1508355651877</v>
      </c>
      <c r="N823" s="278">
        <f t="shared" si="78"/>
        <v>138.71116608588275</v>
      </c>
      <c r="O823" s="147">
        <f t="shared" si="79"/>
        <v>9.5144300671075079</v>
      </c>
      <c r="P823" s="147">
        <f t="shared" si="80"/>
        <v>0</v>
      </c>
      <c r="Q823" s="147">
        <f t="shared" si="81"/>
        <v>0</v>
      </c>
      <c r="R823" s="284">
        <f t="shared" si="82"/>
        <v>0</v>
      </c>
      <c r="S823" s="284">
        <f t="shared" si="83"/>
        <v>0</v>
      </c>
      <c r="T823" s="284">
        <f t="shared" si="84"/>
        <v>0</v>
      </c>
      <c r="U823" s="284">
        <f t="shared" si="85"/>
        <v>0</v>
      </c>
      <c r="V823" s="147">
        <f t="shared" si="86"/>
        <v>0</v>
      </c>
      <c r="W823" s="285">
        <f t="shared" si="86"/>
        <v>0</v>
      </c>
    </row>
    <row r="824" spans="1:25" ht="15.75" customHeight="1" x14ac:dyDescent="0.3">
      <c r="A824" t="str">
        <f t="shared" si="87"/>
        <v>DHLCovered lagoon</v>
      </c>
      <c r="B824" s="99" t="s">
        <v>4683</v>
      </c>
      <c r="C824" s="233">
        <f t="shared" si="69"/>
        <v>356173.7397391983</v>
      </c>
      <c r="D824" s="233">
        <f t="shared" si="70"/>
        <v>0</v>
      </c>
      <c r="E824" s="274">
        <f t="shared" si="71"/>
        <v>356173.7397391983</v>
      </c>
      <c r="F824" s="233">
        <f t="shared" si="72"/>
        <v>28823.135132095718</v>
      </c>
      <c r="G824" s="233">
        <f t="shared" si="73"/>
        <v>5342.606096087974</v>
      </c>
      <c r="H824" s="153">
        <f t="shared" si="74"/>
        <v>34165.741228183695</v>
      </c>
      <c r="I824" s="233">
        <f t="shared" si="75"/>
        <v>0</v>
      </c>
      <c r="J824" s="233">
        <f t="shared" si="76"/>
        <v>0</v>
      </c>
      <c r="K824" s="784">
        <f>SUMIFS($C:$C,$A:$A,$B824,$B:$B,"Annual revenues for drag hose")</f>
        <v>0</v>
      </c>
      <c r="L824" s="233">
        <f t="shared" si="77"/>
        <v>0</v>
      </c>
      <c r="M824" s="283">
        <f t="shared" si="88"/>
        <v>-34165.741228183695</v>
      </c>
      <c r="N824">
        <f t="shared" si="78"/>
        <v>0</v>
      </c>
      <c r="O824">
        <f t="shared" si="79"/>
        <v>0</v>
      </c>
      <c r="P824" s="147">
        <f t="shared" si="80"/>
        <v>0</v>
      </c>
      <c r="Q824" s="147">
        <f t="shared" si="81"/>
        <v>0</v>
      </c>
      <c r="R824" s="284">
        <f t="shared" si="82"/>
        <v>0</v>
      </c>
      <c r="S824" s="284">
        <f t="shared" si="83"/>
        <v>0</v>
      </c>
      <c r="T824" s="284">
        <f t="shared" si="84"/>
        <v>0</v>
      </c>
      <c r="U824" s="284">
        <f t="shared" si="85"/>
        <v>0</v>
      </c>
      <c r="V824" s="147">
        <f t="shared" si="86"/>
        <v>0</v>
      </c>
      <c r="W824" s="285">
        <f t="shared" si="86"/>
        <v>0</v>
      </c>
    </row>
    <row r="825" spans="1:25" ht="15.75" customHeight="1" x14ac:dyDescent="0.3">
      <c r="A825" t="str">
        <f t="shared" si="87"/>
        <v>DHLLagoon</v>
      </c>
      <c r="B825" s="99" t="s">
        <v>5210</v>
      </c>
      <c r="C825" s="233">
        <f t="shared" si="69"/>
        <v>121393.53679035802</v>
      </c>
      <c r="D825" s="233">
        <f t="shared" si="70"/>
        <v>0</v>
      </c>
      <c r="E825" s="274">
        <f t="shared" si="71"/>
        <v>121393.53679035802</v>
      </c>
      <c r="F825" s="233">
        <f t="shared" si="72"/>
        <v>9823.6953618016832</v>
      </c>
      <c r="G825" s="233">
        <f t="shared" si="73"/>
        <v>1820.9030518553702</v>
      </c>
      <c r="H825" s="153">
        <f t="shared" si="74"/>
        <v>11644.598413657053</v>
      </c>
      <c r="I825" s="233">
        <f t="shared" si="75"/>
        <v>0</v>
      </c>
      <c r="J825" s="233">
        <f t="shared" si="76"/>
        <v>0</v>
      </c>
      <c r="K825" s="233">
        <f>SUMIFS($C:$C,$A:$A,$B825,$B:$B,"Annual revenues")</f>
        <v>0</v>
      </c>
      <c r="L825" s="233">
        <f t="shared" si="77"/>
        <v>0</v>
      </c>
      <c r="M825" s="283">
        <f t="shared" si="88"/>
        <v>-11644.598413657053</v>
      </c>
      <c r="N825" s="278">
        <f t="shared" si="78"/>
        <v>0</v>
      </c>
      <c r="O825" s="147">
        <f t="shared" si="79"/>
        <v>0</v>
      </c>
      <c r="P825" s="147">
        <f t="shared" si="80"/>
        <v>0</v>
      </c>
      <c r="Q825" s="147">
        <f t="shared" si="81"/>
        <v>0</v>
      </c>
      <c r="R825" s="284">
        <f t="shared" si="82"/>
        <v>0</v>
      </c>
      <c r="S825" s="284">
        <f t="shared" si="83"/>
        <v>0</v>
      </c>
      <c r="T825" s="284">
        <f t="shared" si="84"/>
        <v>0</v>
      </c>
      <c r="U825" s="284">
        <f t="shared" si="85"/>
        <v>0</v>
      </c>
      <c r="V825" s="147">
        <f t="shared" si="86"/>
        <v>0</v>
      </c>
      <c r="W825" s="285">
        <f t="shared" si="86"/>
        <v>0</v>
      </c>
    </row>
    <row r="826" spans="1:25" ht="15.75" customHeight="1" x14ac:dyDescent="0.3">
      <c r="A826" t="str">
        <f t="shared" si="87"/>
        <v>DHLEnd use drag hose</v>
      </c>
      <c r="B826" s="99" t="s">
        <v>5205</v>
      </c>
      <c r="C826" s="233">
        <f t="shared" si="69"/>
        <v>0</v>
      </c>
      <c r="D826" s="233">
        <f t="shared" si="70"/>
        <v>2057840</v>
      </c>
      <c r="E826" s="274">
        <f t="shared" si="71"/>
        <v>2057840</v>
      </c>
      <c r="F826" s="233">
        <f t="shared" si="72"/>
        <v>89721.635641040601</v>
      </c>
      <c r="G826" s="233">
        <f t="shared" si="73"/>
        <v>31080.162719874097</v>
      </c>
      <c r="H826" s="153">
        <f t="shared" si="74"/>
        <v>120801.79836091469</v>
      </c>
      <c r="I826" s="233">
        <f t="shared" si="75"/>
        <v>0</v>
      </c>
      <c r="J826" s="233">
        <f t="shared" si="76"/>
        <v>6299.0931327066219</v>
      </c>
      <c r="K826" s="233">
        <f>SUMIFS($C:$C,$A:$A,$B826,$B:$B,"Annual revenues")</f>
        <v>0</v>
      </c>
      <c r="L826" s="233">
        <f t="shared" si="77"/>
        <v>0</v>
      </c>
      <c r="M826" s="283">
        <f t="shared" si="88"/>
        <v>-120801.79836091469</v>
      </c>
      <c r="N826">
        <f t="shared" si="78"/>
        <v>931.22205127489565</v>
      </c>
      <c r="O826">
        <f t="shared" si="79"/>
        <v>63.874072533697216</v>
      </c>
      <c r="P826" s="147">
        <f t="shared" si="80"/>
        <v>67.767099636382738</v>
      </c>
      <c r="Q826" s="147">
        <f t="shared" si="81"/>
        <v>250.50044449362804</v>
      </c>
      <c r="R826" s="284">
        <f t="shared" si="82"/>
        <v>9.9999480862218775</v>
      </c>
      <c r="S826" s="284">
        <f t="shared" si="83"/>
        <v>236.59877172000967</v>
      </c>
      <c r="T826" s="284">
        <f t="shared" si="84"/>
        <v>0</v>
      </c>
      <c r="U826" s="284">
        <f t="shared" si="85"/>
        <v>0</v>
      </c>
      <c r="V826" s="147">
        <f t="shared" si="86"/>
        <v>9.9999480862218775</v>
      </c>
      <c r="W826" s="285">
        <f t="shared" si="86"/>
        <v>236.59877172000967</v>
      </c>
    </row>
    <row r="827" spans="1:25" ht="15.75" customHeight="1" x14ac:dyDescent="0.3">
      <c r="A827" t="str">
        <f t="shared" si="87"/>
        <v>DHLTotals</v>
      </c>
      <c r="B827" s="162" t="s">
        <v>5203</v>
      </c>
      <c r="C827" s="242">
        <f>SUM(C820:C826)</f>
        <v>505871.25809145713</v>
      </c>
      <c r="D827" s="242">
        <f t="shared" ref="D827:M827" si="89">SUM(D820:D826)</f>
        <v>2103273.4514435697</v>
      </c>
      <c r="E827" s="242">
        <f t="shared" si="89"/>
        <v>2609144.7095350269</v>
      </c>
      <c r="F827" s="242">
        <f t="shared" si="89"/>
        <v>137532.96691882779</v>
      </c>
      <c r="G827" s="242">
        <f t="shared" si="89"/>
        <v>43419.918283080508</v>
      </c>
      <c r="H827" s="242">
        <f t="shared" si="89"/>
        <v>180952.8852019083</v>
      </c>
      <c r="I827" s="242">
        <f t="shared" si="89"/>
        <v>0</v>
      </c>
      <c r="J827" s="242">
        <f t="shared" si="89"/>
        <v>6299.0931327066219</v>
      </c>
      <c r="K827" s="242">
        <f t="shared" si="89"/>
        <v>0</v>
      </c>
      <c r="L827" s="242">
        <f t="shared" si="89"/>
        <v>0</v>
      </c>
      <c r="M827" s="242">
        <f t="shared" si="89"/>
        <v>-180952.8852019083</v>
      </c>
      <c r="N827" s="286">
        <f>SUM(N820:N826)</f>
        <v>5541.4692235393495</v>
      </c>
      <c r="O827" s="286">
        <f t="shared" ref="O827:W827" si="90">SUM(O820:O826)</f>
        <v>380.09860982460327</v>
      </c>
      <c r="P827" s="286">
        <f t="shared" si="90"/>
        <v>67.767099636382738</v>
      </c>
      <c r="Q827" s="286">
        <f t="shared" si="90"/>
        <v>250.50044449362804</v>
      </c>
      <c r="R827" s="286">
        <f t="shared" si="90"/>
        <v>9.9999480862218775</v>
      </c>
      <c r="S827" s="286">
        <f t="shared" si="90"/>
        <v>236.59877172000967</v>
      </c>
      <c r="T827" s="286">
        <f t="shared" si="90"/>
        <v>0</v>
      </c>
      <c r="U827" s="286">
        <f t="shared" si="90"/>
        <v>0</v>
      </c>
      <c r="V827" s="286">
        <f t="shared" si="90"/>
        <v>9.9999480862218775</v>
      </c>
      <c r="W827" s="286">
        <f t="shared" si="90"/>
        <v>236.59877172000967</v>
      </c>
    </row>
    <row r="828" spans="1:25" ht="15.75" customHeight="1" x14ac:dyDescent="0.3">
      <c r="A828" s="82"/>
      <c r="B828" s="287" t="s">
        <v>7069</v>
      </c>
      <c r="C828" s="150"/>
      <c r="D828" s="150"/>
      <c r="E828" s="288"/>
      <c r="F828" s="150"/>
      <c r="G828" s="150"/>
      <c r="H828" s="150"/>
      <c r="I828" s="150"/>
      <c r="J828" s="150"/>
      <c r="K828" s="150"/>
      <c r="L828" s="150"/>
      <c r="M828" s="289"/>
      <c r="N828" s="150"/>
      <c r="O828" s="150"/>
      <c r="P828" s="150"/>
      <c r="Q828" s="150"/>
      <c r="R828" s="290"/>
      <c r="S828" s="291"/>
      <c r="T828" s="150"/>
      <c r="U828" s="150"/>
      <c r="V828" s="150"/>
      <c r="W828" s="151"/>
    </row>
    <row r="829" spans="1:25" ht="15" thickBot="1" x14ac:dyDescent="0.35">
      <c r="A829" s="137"/>
      <c r="B829" s="137"/>
      <c r="C829" s="137"/>
      <c r="D829" s="137"/>
      <c r="E829" s="137"/>
      <c r="F829" s="137"/>
      <c r="G829" s="137"/>
      <c r="H829" s="137"/>
      <c r="I829" s="137"/>
      <c r="J829" s="137"/>
      <c r="K829" s="137"/>
      <c r="L829" s="137"/>
      <c r="M829" s="137"/>
      <c r="N829" s="137"/>
      <c r="O829" s="137"/>
      <c r="P829" s="137"/>
      <c r="Q829" s="137"/>
    </row>
    <row r="830" spans="1:25" ht="14.4" x14ac:dyDescent="0.3"/>
    <row r="832" spans="1:25" ht="14.4" x14ac:dyDescent="0.3"/>
    <row r="836" ht="14.4" x14ac:dyDescent="0.3"/>
    <row r="861" ht="14.4" x14ac:dyDescent="0.3"/>
    <row r="889" ht="14.4" x14ac:dyDescent="0.3"/>
    <row r="901" ht="14.4" x14ac:dyDescent="0.3"/>
    <row r="904" ht="14.4" x14ac:dyDescent="0.3"/>
    <row r="905" ht="14.4" x14ac:dyDescent="0.3"/>
    <row r="922" ht="14.4" x14ac:dyDescent="0.3"/>
  </sheetData>
  <mergeCells count="5">
    <mergeCell ref="C739:D739"/>
    <mergeCell ref="E739:F739"/>
    <mergeCell ref="D566:F566"/>
    <mergeCell ref="C596:D596"/>
    <mergeCell ref="E596:F596"/>
  </mergeCells>
  <pageMargins left="0.7" right="0.7" top="0.75" bottom="0.75" header="0.3" footer="0.3"/>
  <pageSetup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930B2-19D6-46F3-88F2-1EB9803F4311}">
  <sheetPr codeName="Sheet35">
    <tabColor rgb="FF92D050"/>
  </sheetPr>
  <dimension ref="A1:AA930"/>
  <sheetViews>
    <sheetView topLeftCell="A671" workbookViewId="0"/>
  </sheetViews>
  <sheetFormatPr defaultColWidth="14.5546875" defaultRowHeight="15.75" customHeight="1" x14ac:dyDescent="0.3"/>
  <cols>
    <col min="1" max="1" width="30.44140625" customWidth="1"/>
    <col min="2" max="2" width="53.44140625" customWidth="1"/>
    <col min="6" max="6" width="17.33203125" customWidth="1"/>
    <col min="7" max="7" width="16.88671875" customWidth="1"/>
    <col min="8" max="8" width="15.44140625" customWidth="1"/>
    <col min="10" max="10" width="15.88671875" customWidth="1"/>
    <col min="11" max="11" width="11.5546875" customWidth="1"/>
    <col min="12" max="12" width="11.88671875" customWidth="1"/>
    <col min="17" max="17" width="26.44140625" customWidth="1"/>
    <col min="18" max="18" width="33.88671875" customWidth="1"/>
    <col min="19" max="19" width="9" customWidth="1"/>
    <col min="21" max="21" width="15.6640625" customWidth="1"/>
    <col min="22" max="22" width="7.44140625" customWidth="1"/>
    <col min="23" max="23" width="22.33203125" customWidth="1"/>
    <col min="24" max="24" width="25" customWidth="1"/>
    <col min="25" max="25" width="18.5546875" customWidth="1"/>
    <col min="26" max="26" width="13.44140625" customWidth="1"/>
    <col min="27" max="27" width="12.44140625" customWidth="1"/>
  </cols>
  <sheetData>
    <row r="1" spans="1:27" ht="15.75" customHeight="1" x14ac:dyDescent="0.3">
      <c r="A1" s="20" t="str">
        <f>Sc.Table!J32</f>
        <v>The farm uses a pull-plug method for barn cleaning. The scrape manure is collected in a reception pit and pumped to a covered digestion basin where it is digested for the entirety of the HRT. Digestate then flows to a lagoon and is stored for a period of time before it is emptied. Liquids are land applied via irrigation while the accumulated sludge is removed after a longer storage period and land applied via agitation and tractor-pulled tanker.</v>
      </c>
      <c r="I1" s="36"/>
      <c r="J1" s="36"/>
      <c r="L1" s="42"/>
      <c r="N1" s="79"/>
      <c r="P1" s="2"/>
    </row>
    <row r="2" spans="1:27" ht="15.75" customHeight="1" x14ac:dyDescent="0.3">
      <c r="A2" s="38"/>
      <c r="B2" s="1660" t="s">
        <v>6921</v>
      </c>
      <c r="C2" s="1804"/>
      <c r="D2" s="1661"/>
      <c r="E2" s="1945"/>
      <c r="F2" s="1945"/>
      <c r="G2" s="1945"/>
      <c r="H2" s="1945"/>
      <c r="I2" s="1945"/>
      <c r="J2" s="1914"/>
      <c r="K2" s="1914"/>
      <c r="L2" s="1914"/>
      <c r="M2" s="1945"/>
      <c r="N2" s="1914"/>
      <c r="O2" s="1914"/>
      <c r="Q2" s="1928" t="s">
        <v>6923</v>
      </c>
      <c r="R2" s="1923"/>
      <c r="S2" s="1929"/>
      <c r="T2" s="1930"/>
      <c r="U2" s="1931"/>
      <c r="W2" s="1928" t="s">
        <v>7141</v>
      </c>
      <c r="X2" s="1923"/>
      <c r="Y2" s="1929"/>
      <c r="Z2" s="1930"/>
      <c r="AA2" s="1931"/>
    </row>
    <row r="3" spans="1:27" ht="15.75" customHeight="1" x14ac:dyDescent="0.3">
      <c r="A3" s="38"/>
      <c r="B3" s="1668" t="s">
        <v>6922</v>
      </c>
      <c r="C3" s="1670"/>
      <c r="D3" s="1670"/>
      <c r="E3" s="1611"/>
      <c r="F3" s="1935"/>
      <c r="G3" s="1947"/>
      <c r="H3" s="1945"/>
      <c r="I3" s="1914"/>
      <c r="J3" s="1946"/>
      <c r="K3" s="1946"/>
      <c r="L3" s="1946"/>
      <c r="M3" s="1946"/>
      <c r="N3" s="1946"/>
      <c r="O3" s="1946"/>
      <c r="P3" s="79"/>
      <c r="Q3" s="49" t="s">
        <v>1901</v>
      </c>
      <c r="R3" s="602" t="s">
        <v>6925</v>
      </c>
      <c r="S3" s="49"/>
      <c r="T3" s="61">
        <f>C5*UDV.animal.total*UC.day_to_year</f>
        <v>0.64457135077403904</v>
      </c>
      <c r="U3" s="18" t="s">
        <v>2521</v>
      </c>
      <c r="W3" s="9" t="s">
        <v>7142</v>
      </c>
      <c r="X3" s="602" t="str">
        <f>PT.anaer_lagoon!B305</f>
        <v>Interval between sludge removal</v>
      </c>
      <c r="Y3" s="602"/>
      <c r="Z3" s="1987">
        <f>PT.anaer_lagoon!AN305</f>
        <v>10</v>
      </c>
      <c r="AA3" s="1987" t="str">
        <f>PT.anaer_lagoon!AF305</f>
        <v>year</v>
      </c>
    </row>
    <row r="4" spans="1:27" ht="15.75" customHeight="1" x14ac:dyDescent="0.3">
      <c r="A4" s="42"/>
      <c r="B4" s="1577" t="s">
        <v>6924</v>
      </c>
      <c r="C4" s="1879">
        <f>UDV.animal.manure*UC.year_to_day/UDV.animal.total/UDV.density.manure</f>
        <v>2.0526696680080483</v>
      </c>
      <c r="D4" s="1806" t="s">
        <v>5838</v>
      </c>
      <c r="E4" s="1914"/>
      <c r="F4" s="1914"/>
      <c r="G4" s="1914"/>
      <c r="H4" s="1914"/>
      <c r="I4" s="1914"/>
      <c r="J4" s="1946"/>
      <c r="K4" s="1946"/>
      <c r="L4" s="1946"/>
      <c r="M4" s="1946"/>
      <c r="N4" s="1946"/>
      <c r="O4" s="1946"/>
      <c r="P4" s="79"/>
      <c r="Q4" s="602" t="s">
        <v>4621</v>
      </c>
      <c r="R4" s="602" t="str">
        <f>PT.shallow_plug!B71</f>
        <v>Pit recharge frequency</v>
      </c>
      <c r="S4" s="602"/>
      <c r="T4" s="1987">
        <f>PT.shallow_plug!G71</f>
        <v>52.142857142857146</v>
      </c>
      <c r="U4" s="1987" t="str">
        <f>PT.shallow_plug!C71</f>
        <v>events/year</v>
      </c>
      <c r="W4" s="49"/>
      <c r="X4" s="602" t="str">
        <f>PT.anaer_lagoon!B306</f>
        <v>Manure sludge removed, lagoon</v>
      </c>
      <c r="Y4" s="602"/>
      <c r="Z4" s="1987">
        <f>PT.anaer_lagoon!AN306</f>
        <v>2327.4442324211072</v>
      </c>
      <c r="AA4" s="1987" t="str">
        <f>PT.anaer_lagoon!AF306</f>
        <v>m3/event</v>
      </c>
    </row>
    <row r="5" spans="1:27" ht="15.75" customHeight="1" x14ac:dyDescent="0.3">
      <c r="A5" s="42"/>
      <c r="B5" s="1577" t="s">
        <v>415</v>
      </c>
      <c r="C5" s="1811">
        <f>SUM(C38:C41)</f>
        <v>0.47053708606504846</v>
      </c>
      <c r="D5" s="1806" t="s">
        <v>5838</v>
      </c>
      <c r="E5" s="1914"/>
      <c r="F5" s="1914"/>
      <c r="G5" s="1914"/>
      <c r="H5" s="1914"/>
      <c r="I5" s="1914"/>
      <c r="J5" s="1946"/>
      <c r="K5" s="1946"/>
      <c r="L5" s="1946"/>
      <c r="M5" s="1946"/>
      <c r="N5" s="1946"/>
      <c r="O5" s="1946"/>
      <c r="P5" s="79"/>
      <c r="Q5" s="602"/>
      <c r="R5" s="602" t="str">
        <f>PT.shallow_plug!B72</f>
        <v>Total recycled water needed</v>
      </c>
      <c r="S5" s="602"/>
      <c r="T5" s="1987">
        <f>PT.shallow_plug!G72</f>
        <v>16.2</v>
      </c>
      <c r="U5" s="1987" t="str">
        <f>PT.shallow_plug!C72</f>
        <v>m3/event</v>
      </c>
      <c r="W5" s="49"/>
      <c r="X5" s="602" t="str">
        <f>PT.anaer_lagoon!B307</f>
        <v>Lagoon surface area</v>
      </c>
      <c r="Y5" s="602"/>
      <c r="Z5" s="1987">
        <f>PT.anaer_lagoon!AN307</f>
        <v>2520.2986018694792</v>
      </c>
      <c r="AA5" s="1987" t="str">
        <f>PT.anaer_lagoon!AF307</f>
        <v>m3</v>
      </c>
    </row>
    <row r="6" spans="1:27" ht="15.75" customHeight="1" x14ac:dyDescent="0.3">
      <c r="A6" s="42"/>
      <c r="B6" s="1577" t="s">
        <v>409</v>
      </c>
      <c r="C6" s="1811">
        <f>SUM(C34:C36)</f>
        <v>2.5458286780640407</v>
      </c>
      <c r="D6" s="1806" t="s">
        <v>5769</v>
      </c>
      <c r="E6" s="1918"/>
      <c r="F6" s="1936"/>
      <c r="G6" s="1932"/>
      <c r="H6" s="1914"/>
      <c r="I6" s="1948"/>
      <c r="J6" s="1945"/>
      <c r="K6" s="1945"/>
      <c r="L6" s="1945"/>
      <c r="M6" s="1945"/>
      <c r="N6" s="1945"/>
      <c r="O6" s="1945"/>
      <c r="P6" s="2"/>
      <c r="Q6" s="602"/>
      <c r="R6" s="602" t="str">
        <f>PT.shallow_plug!B73</f>
        <v>Number of pumps needed from pond/lagoon</v>
      </c>
      <c r="S6" s="602"/>
      <c r="T6" s="1987">
        <f>PT.shallow_plug!G73</f>
        <v>1</v>
      </c>
      <c r="U6" s="1987" t="str">
        <f>PT.shallow_plug!C73</f>
        <v>quantity</v>
      </c>
      <c r="W6" s="49"/>
      <c r="X6" s="602" t="str">
        <f>PT.anaer_lagoon!B308</f>
        <v>Lagoon constructed size</v>
      </c>
      <c r="Y6" s="602"/>
      <c r="Z6" s="1987">
        <f>PT.anaer_lagoon!AN308</f>
        <v>5103.5144459118055</v>
      </c>
      <c r="AA6" s="1987" t="str">
        <f>PT.anaer_lagoon!AF308</f>
        <v>m2</v>
      </c>
    </row>
    <row r="7" spans="1:27" ht="15.75" customHeight="1" x14ac:dyDescent="0.3">
      <c r="A7" s="42"/>
      <c r="B7" s="1577" t="s">
        <v>6926</v>
      </c>
      <c r="C7" s="1353" t="s">
        <v>6927</v>
      </c>
      <c r="D7" s="1806"/>
      <c r="E7" s="1945"/>
      <c r="F7" s="1611"/>
      <c r="G7" s="1611"/>
      <c r="H7" s="1945"/>
      <c r="I7" s="1948"/>
      <c r="J7" s="1945"/>
      <c r="K7" s="1945"/>
      <c r="L7" s="1945"/>
      <c r="M7" s="1945"/>
      <c r="N7" s="1945"/>
      <c r="O7" s="1945"/>
      <c r="P7" s="2"/>
      <c r="Q7" s="602"/>
      <c r="R7" s="602" t="str">
        <f>PT.shallow_plug!B74</f>
        <v>Size of motor(s) needed for pump(s)</v>
      </c>
      <c r="S7" s="602"/>
      <c r="T7" s="1987">
        <f>PT.shallow_plug!G74</f>
        <v>4.9783549783549788</v>
      </c>
      <c r="U7" s="1987" t="str">
        <f>PT.shallow_plug!C74</f>
        <v>hp</v>
      </c>
      <c r="W7" s="49"/>
      <c r="X7" s="602" t="str">
        <f>PT.anaer_lagoon!B309</f>
        <v>N removed, lagoon</v>
      </c>
      <c r="Y7" s="602"/>
      <c r="Z7" s="1987">
        <f>PT.anaer_lagoon!AN309</f>
        <v>2.7451176664177526</v>
      </c>
      <c r="AA7" s="1987" t="str">
        <f>PT.anaer_lagoon!AF309</f>
        <v>g/L</v>
      </c>
    </row>
    <row r="8" spans="1:27" ht="15.75" customHeight="1" x14ac:dyDescent="0.3">
      <c r="A8" s="42"/>
      <c r="B8" s="1577" t="s">
        <v>6928</v>
      </c>
      <c r="C8" s="1360">
        <f>SUM(C43:C49)/UDV.animal.total</f>
        <v>289.20189447991015</v>
      </c>
      <c r="D8" s="1353" t="s">
        <v>2270</v>
      </c>
      <c r="E8" s="1945"/>
      <c r="F8" s="1611"/>
      <c r="G8" s="1850"/>
      <c r="H8" s="1945"/>
      <c r="I8" s="1948"/>
      <c r="J8" s="1945"/>
      <c r="K8" s="1945"/>
      <c r="L8" s="1945"/>
      <c r="M8" s="1945"/>
      <c r="N8" s="1945"/>
      <c r="O8" s="1945"/>
      <c r="P8" s="2"/>
      <c r="Q8" s="602"/>
      <c r="R8" s="602" t="str">
        <f>PT.shallow_plug!B75</f>
        <v>Operational time for pump/motor</v>
      </c>
      <c r="S8" s="602"/>
      <c r="T8" s="1987">
        <f>PT.shallow_plug!G75</f>
        <v>6.7929956228571425E-2</v>
      </c>
      <c r="U8" s="1987" t="str">
        <f>PT.shallow_plug!C75</f>
        <v>hr/day</v>
      </c>
      <c r="W8" s="49"/>
      <c r="X8" s="602" t="str">
        <f>PT.anaer_lagoon!B310</f>
        <v>P2O5 removed, lagoon</v>
      </c>
      <c r="Y8" s="602"/>
      <c r="Z8" s="1987">
        <f>PT.anaer_lagoon!AN310</f>
        <v>6.4220642397311023</v>
      </c>
      <c r="AA8" s="1987" t="str">
        <f>PT.anaer_lagoon!AF310</f>
        <v>g/L</v>
      </c>
    </row>
    <row r="9" spans="1:27" ht="15.75" customHeight="1" x14ac:dyDescent="0.3">
      <c r="A9" s="42"/>
      <c r="B9" s="1810" t="s">
        <v>6929</v>
      </c>
      <c r="C9" s="1807"/>
      <c r="D9" s="1806"/>
      <c r="E9" s="1945"/>
      <c r="F9" s="1611"/>
      <c r="G9" s="1850"/>
      <c r="H9" s="1945"/>
      <c r="I9" s="1948"/>
      <c r="J9" s="1953"/>
      <c r="K9" s="1953"/>
      <c r="L9" s="1953"/>
      <c r="M9" s="1953"/>
      <c r="N9" s="1945"/>
      <c r="O9" s="1945"/>
      <c r="P9" s="2"/>
      <c r="Q9" s="602"/>
      <c r="R9" s="602" t="str">
        <f>PT.shallow_plug!B76</f>
        <v>Energy needed for motor(s) for pump(s)</v>
      </c>
      <c r="S9" s="602"/>
      <c r="T9" s="1987">
        <f>PT.shallow_plug!G76</f>
        <v>0.25218036129032084</v>
      </c>
      <c r="U9" s="1987" t="str">
        <f>PT.shallow_plug!C76</f>
        <v>kWh/day</v>
      </c>
      <c r="W9" s="49"/>
      <c r="X9" s="602" t="str">
        <f>PT.anaer_lagoon!B311</f>
        <v>K2O removed, lagoon</v>
      </c>
      <c r="Y9" s="602"/>
      <c r="Z9" s="1987">
        <f>PT.anaer_lagoon!AN311</f>
        <v>6.4220956046072102</v>
      </c>
      <c r="AA9" s="1987" t="str">
        <f>PT.anaer_lagoon!AF311</f>
        <v>g/L</v>
      </c>
    </row>
    <row r="10" spans="1:27" ht="15.75" customHeight="1" x14ac:dyDescent="0.3">
      <c r="A10" s="42"/>
      <c r="B10" s="1577" t="s">
        <v>6163</v>
      </c>
      <c r="C10" s="1811">
        <f>C59</f>
        <v>5.1112866240170316</v>
      </c>
      <c r="D10" s="1806" t="s">
        <v>2385</v>
      </c>
      <c r="E10" s="1945"/>
      <c r="F10" s="1611"/>
      <c r="G10" s="1850"/>
      <c r="H10" s="1945"/>
      <c r="I10" s="1945"/>
      <c r="J10" s="1953"/>
      <c r="K10" s="1953"/>
      <c r="L10" s="1953"/>
      <c r="M10" s="1953"/>
      <c r="N10" s="1945"/>
      <c r="O10" s="1945"/>
      <c r="P10" s="2"/>
      <c r="Q10" s="602"/>
      <c r="R10" s="602" t="str">
        <f>PT.shallow_plug!B77</f>
        <v>Total distance from pump to splitters</v>
      </c>
      <c r="S10" s="602"/>
      <c r="T10" s="1987">
        <f>PT.shallow_plug!G77</f>
        <v>600</v>
      </c>
      <c r="U10" s="1987" t="str">
        <f>PT.shallow_plug!C77</f>
        <v>ft</v>
      </c>
      <c r="W10" s="49"/>
      <c r="X10" s="602" t="str">
        <f>PT.anaer_lagoon!B312</f>
        <v>Tanker, size</v>
      </c>
      <c r="Y10" s="602"/>
      <c r="Z10" s="1987">
        <f>PT.anaer_lagoon!AN312</f>
        <v>6000</v>
      </c>
      <c r="AA10" s="1987" t="str">
        <f>PT.anaer_lagoon!AF312</f>
        <v>gal</v>
      </c>
    </row>
    <row r="11" spans="1:27" ht="15.75" customHeight="1" x14ac:dyDescent="0.3">
      <c r="A11" s="42"/>
      <c r="B11" s="1577" t="s">
        <v>6164</v>
      </c>
      <c r="C11" s="1811">
        <f t="shared" ref="C11:C12" si="0">C60</f>
        <v>3.6537102250000002</v>
      </c>
      <c r="D11" s="1806" t="s">
        <v>2385</v>
      </c>
      <c r="E11" s="1945"/>
      <c r="F11" s="1611"/>
      <c r="G11" s="1850"/>
      <c r="H11" s="1945"/>
      <c r="I11" s="1947"/>
      <c r="J11" s="1954"/>
      <c r="K11" s="1955"/>
      <c r="L11" s="1955"/>
      <c r="M11" s="1955"/>
      <c r="N11" s="1955"/>
      <c r="O11" s="1914"/>
      <c r="P11" s="2"/>
      <c r="Q11" s="602"/>
      <c r="R11" s="602" t="str">
        <f>PT.shallow_plug!B78</f>
        <v>Total distance from splitters to barns</v>
      </c>
      <c r="S11" s="602"/>
      <c r="T11" s="1987">
        <f>PT.shallow_plug!G78</f>
        <v>200</v>
      </c>
      <c r="U11" s="1987" t="str">
        <f>PT.shallow_plug!C78</f>
        <v>ft</v>
      </c>
      <c r="W11" s="49"/>
      <c r="X11" s="602" t="str">
        <f>PT.anaer_lagoon!B313</f>
        <v>Tractor for tanker, size</v>
      </c>
      <c r="Y11" s="602"/>
      <c r="Z11" s="1987">
        <f>PT.anaer_lagoon!AN313</f>
        <v>250</v>
      </c>
      <c r="AA11" s="1987" t="str">
        <f>PT.anaer_lagoon!AF313</f>
        <v>PTO hp</v>
      </c>
    </row>
    <row r="12" spans="1:27" ht="15.75" customHeight="1" x14ac:dyDescent="0.3">
      <c r="A12" s="42"/>
      <c r="B12" s="1577" t="s">
        <v>6165</v>
      </c>
      <c r="C12" s="1811">
        <f t="shared" si="0"/>
        <v>5.5517686249999993</v>
      </c>
      <c r="D12" s="1806" t="s">
        <v>2385</v>
      </c>
      <c r="E12" s="1945"/>
      <c r="F12" s="1611"/>
      <c r="G12" s="1850"/>
      <c r="H12" s="1945"/>
      <c r="I12" s="1947"/>
      <c r="J12" s="1955"/>
      <c r="K12" s="1956"/>
      <c r="L12" s="1954"/>
      <c r="M12" s="1945"/>
      <c r="N12" s="1945"/>
      <c r="O12" s="1945"/>
      <c r="P12" s="2"/>
      <c r="Q12" s="602"/>
      <c r="R12" s="602"/>
      <c r="S12" s="602"/>
      <c r="T12" s="1987"/>
      <c r="U12" s="1987"/>
      <c r="W12" s="49"/>
      <c r="X12" s="602" t="str">
        <f>PT.anaer_lagoon!B314</f>
        <v>Application by broadcast or injection?</v>
      </c>
      <c r="Y12" s="602"/>
      <c r="Z12" s="1987" t="str">
        <f>PT.anaer_lagoon!AN314</f>
        <v>Injection</v>
      </c>
      <c r="AA12" s="1987" t="str">
        <f>PT.anaer_lagoon!AF314</f>
        <v>type</v>
      </c>
    </row>
    <row r="13" spans="1:27" ht="15.75" customHeight="1" x14ac:dyDescent="0.3">
      <c r="A13" s="42"/>
      <c r="B13" s="1810" t="s">
        <v>6930</v>
      </c>
      <c r="C13" s="1811"/>
      <c r="D13" s="1806"/>
      <c r="E13" s="1945"/>
      <c r="F13" s="1611"/>
      <c r="G13" s="1850"/>
      <c r="H13" s="1945"/>
      <c r="I13" s="1947"/>
      <c r="J13" s="1957"/>
      <c r="K13" s="1957"/>
      <c r="L13" s="1992"/>
      <c r="M13" s="1957"/>
      <c r="N13" s="1933"/>
      <c r="O13" s="1945"/>
      <c r="P13" s="2"/>
      <c r="Q13" s="602"/>
      <c r="R13" s="602"/>
      <c r="S13" s="602"/>
      <c r="T13" s="1987"/>
      <c r="U13" s="1987"/>
      <c r="W13" s="49"/>
      <c r="X13" s="602" t="str">
        <f>PT.anaer_lagoon!B315</f>
        <v>Operation time for tractor with tanker</v>
      </c>
      <c r="Y13" s="602"/>
      <c r="Z13" s="1987">
        <f>PT.anaer_lagoon!AN315</f>
        <v>39.163128646210922</v>
      </c>
      <c r="AA13" s="1987" t="str">
        <f>PT.anaer_lagoon!AF315</f>
        <v>hrs/event</v>
      </c>
    </row>
    <row r="14" spans="1:27" ht="15.75" customHeight="1" x14ac:dyDescent="0.3">
      <c r="A14" s="7"/>
      <c r="B14" s="1577" t="s">
        <v>6163</v>
      </c>
      <c r="C14" s="1811">
        <f>C63</f>
        <v>1.2778216560042575</v>
      </c>
      <c r="D14" s="1806" t="s">
        <v>2385</v>
      </c>
      <c r="E14" s="1945"/>
      <c r="F14" s="1611"/>
      <c r="G14" s="1850"/>
      <c r="H14" s="1945"/>
      <c r="I14" s="1947"/>
      <c r="J14" s="1954"/>
      <c r="K14" s="1954"/>
      <c r="L14" s="1993"/>
      <c r="M14" s="1959"/>
      <c r="N14" s="1947"/>
      <c r="O14" s="1945"/>
      <c r="P14" s="2"/>
      <c r="Q14" s="602"/>
      <c r="R14" s="602"/>
      <c r="S14" s="602"/>
      <c r="T14" s="1987"/>
      <c r="U14" s="1987"/>
      <c r="W14" s="49"/>
      <c r="X14" s="602" t="str">
        <f>PT.anaer_lagoon!B316</f>
        <v>Fuel needed for tractor with tank and applicator</v>
      </c>
      <c r="Y14" s="602"/>
      <c r="Z14" s="1987">
        <f>PT.anaer_lagoon!AN316</f>
        <v>430.79441510832015</v>
      </c>
      <c r="AA14" s="1987" t="str">
        <f>PT.anaer_lagoon!AF316</f>
        <v>gal/event</v>
      </c>
    </row>
    <row r="15" spans="1:27" ht="15.75" customHeight="1" x14ac:dyDescent="0.3">
      <c r="A15" s="7"/>
      <c r="B15" s="1577" t="s">
        <v>6164</v>
      </c>
      <c r="C15" s="1811">
        <f t="shared" ref="C15:C16" si="1">C64</f>
        <v>2.9893992749999998</v>
      </c>
      <c r="D15" s="1806" t="s">
        <v>2385</v>
      </c>
      <c r="E15" s="1945"/>
      <c r="F15" s="1611"/>
      <c r="G15" s="1611"/>
      <c r="H15" s="1945"/>
      <c r="I15" s="1947"/>
      <c r="J15" s="1954"/>
      <c r="K15" s="1954"/>
      <c r="L15" s="1993"/>
      <c r="M15" s="1959"/>
      <c r="N15" s="1947"/>
      <c r="O15" s="1945"/>
      <c r="P15" s="2"/>
      <c r="Q15" s="602"/>
      <c r="R15" s="602"/>
      <c r="S15" s="602"/>
      <c r="T15" s="1987"/>
      <c r="U15" s="1987"/>
      <c r="W15" s="49"/>
      <c r="X15" s="602" t="str">
        <f>PT.anaer_lagoon!B317</f>
        <v>Number of tractors with tanker needed</v>
      </c>
      <c r="Y15" s="602"/>
      <c r="Z15" s="1987">
        <f>PT.anaer_lagoon!AN317</f>
        <v>1</v>
      </c>
      <c r="AA15" s="1987" t="str">
        <f>PT.anaer_lagoon!AF317</f>
        <v>quantity</v>
      </c>
    </row>
    <row r="16" spans="1:27" ht="15.75" customHeight="1" x14ac:dyDescent="0.3">
      <c r="A16" s="7"/>
      <c r="B16" s="1577" t="s">
        <v>6165</v>
      </c>
      <c r="C16" s="1811">
        <f t="shared" si="1"/>
        <v>2.9894138749999994</v>
      </c>
      <c r="D16" s="1806" t="s">
        <v>2385</v>
      </c>
      <c r="E16" s="1611"/>
      <c r="F16" s="1611"/>
      <c r="G16" s="1948"/>
      <c r="H16" s="1945"/>
      <c r="I16" s="1947"/>
      <c r="J16" s="1955"/>
      <c r="K16" s="1954"/>
      <c r="L16" s="1959"/>
      <c r="M16" s="1959"/>
      <c r="N16" s="1947"/>
      <c r="O16" s="1945"/>
      <c r="P16" s="2"/>
      <c r="Q16" s="602"/>
      <c r="R16" s="602"/>
      <c r="S16" s="602"/>
      <c r="T16" s="1987"/>
      <c r="U16" s="1987"/>
      <c r="W16" s="49"/>
      <c r="X16" s="602" t="str">
        <f>PT.anaer_lagoon!B318</f>
        <v>Tractor for agitator, size</v>
      </c>
      <c r="Y16" s="602"/>
      <c r="Z16" s="1987">
        <f>PT.anaer_lagoon!AN318</f>
        <v>160</v>
      </c>
      <c r="AA16" s="1987" t="str">
        <f>PT.anaer_lagoon!AF318</f>
        <v>PTO hp</v>
      </c>
    </row>
    <row r="17" spans="1:27" ht="15.75" customHeight="1" x14ac:dyDescent="0.3">
      <c r="A17" s="42"/>
      <c r="B17" s="1808" t="s">
        <v>5271</v>
      </c>
      <c r="C17" s="1809"/>
      <c r="D17" s="1806"/>
      <c r="E17" s="1945"/>
      <c r="F17" s="1611"/>
      <c r="G17" s="1946"/>
      <c r="H17" s="1945"/>
      <c r="I17" s="1945"/>
      <c r="J17" s="1955"/>
      <c r="K17" s="1954"/>
      <c r="L17" s="1958"/>
      <c r="M17" s="1959"/>
      <c r="N17" s="1947"/>
      <c r="O17" s="1945"/>
      <c r="P17" s="2"/>
      <c r="Q17" s="602" t="s">
        <v>5219</v>
      </c>
      <c r="R17" s="602" t="str">
        <f>PT.reception_pit!B26</f>
        <v>Reception pit constructed size</v>
      </c>
      <c r="S17" s="602"/>
      <c r="T17" s="1987">
        <f>PT.reception_pit!L26</f>
        <v>5208.020166707699</v>
      </c>
      <c r="U17" s="1987" t="str">
        <f>PT.reception_pit!C26</f>
        <v>L</v>
      </c>
      <c r="W17" s="49"/>
      <c r="X17" s="602" t="str">
        <f>PT.anaer_lagoon!B319</f>
        <v>Number of tractors for agitating needed</v>
      </c>
      <c r="Y17" s="602"/>
      <c r="Z17" s="1987">
        <f>PT.anaer_lagoon!AN319</f>
        <v>1</v>
      </c>
      <c r="AA17" s="1987" t="str">
        <f>PT.anaer_lagoon!AF319</f>
        <v>quantity</v>
      </c>
    </row>
    <row r="18" spans="1:27" ht="15.75" customHeight="1" x14ac:dyDescent="0.3">
      <c r="A18" s="42"/>
      <c r="B18" s="1577" t="s">
        <v>6782</v>
      </c>
      <c r="C18" s="1812">
        <f>C78+C83+C87</f>
        <v>19.393198992241071</v>
      </c>
      <c r="D18" s="1806" t="s">
        <v>2385</v>
      </c>
      <c r="E18" s="1945"/>
      <c r="F18" s="1945"/>
      <c r="G18" s="1945"/>
      <c r="H18" s="1945"/>
      <c r="I18" s="1945"/>
      <c r="J18" s="1955"/>
      <c r="K18" s="1954"/>
      <c r="L18" s="1958"/>
      <c r="M18" s="1959"/>
      <c r="N18" s="1947"/>
      <c r="O18" s="1945"/>
      <c r="P18" s="2"/>
      <c r="Q18" s="602"/>
      <c r="R18" s="602" t="str">
        <f>PT.reception_pit!B27</f>
        <v>Size of motor(s) for agi-pump(s)</v>
      </c>
      <c r="S18" s="602"/>
      <c r="T18" s="1987">
        <f>PT.reception_pit!L27</f>
        <v>15</v>
      </c>
      <c r="U18" s="1987" t="str">
        <f>PT.reception_pit!C27</f>
        <v>hp</v>
      </c>
      <c r="W18" s="49"/>
      <c r="X18" s="602" t="str">
        <f>PT.anaer_lagoon!B320</f>
        <v>Operation time for tractor agitating</v>
      </c>
      <c r="Y18" s="602"/>
      <c r="Z18" s="1987">
        <f>PT.anaer_lagoon!AN320</f>
        <v>48.953910807763656</v>
      </c>
      <c r="AA18" s="1987" t="str">
        <f>PT.anaer_lagoon!AF320</f>
        <v>hr/year</v>
      </c>
    </row>
    <row r="19" spans="1:27" ht="15.75" customHeight="1" x14ac:dyDescent="0.3">
      <c r="A19" s="42"/>
      <c r="B19" s="1577" t="s">
        <v>6783</v>
      </c>
      <c r="C19" s="1812">
        <f>C80+C85+C89</f>
        <v>0.17140278782023358</v>
      </c>
      <c r="D19" s="1806" t="s">
        <v>2385</v>
      </c>
      <c r="E19" s="1944"/>
      <c r="F19" s="1944"/>
      <c r="G19" s="1944"/>
      <c r="H19" s="1944"/>
      <c r="I19" s="1945"/>
      <c r="J19" s="1955"/>
      <c r="K19" s="1954"/>
      <c r="L19" s="1954"/>
      <c r="M19" s="1959"/>
      <c r="N19" s="1947"/>
      <c r="O19" s="1945"/>
      <c r="P19" s="2"/>
      <c r="Q19" s="602"/>
      <c r="R19" s="602" t="str">
        <f>PT.reception_pit!B28</f>
        <v>Number of agi-pumps needed</v>
      </c>
      <c r="S19" s="602"/>
      <c r="T19" s="1987">
        <f>PT.reception_pit!L28</f>
        <v>1</v>
      </c>
      <c r="U19" s="1987" t="str">
        <f>PT.reception_pit!C28</f>
        <v>pumps</v>
      </c>
      <c r="W19" s="49"/>
      <c r="X19" s="602" t="str">
        <f>PT.anaer_lagoon!B321</f>
        <v>Fuel needed for tractor for agitating</v>
      </c>
      <c r="Y19" s="602"/>
      <c r="Z19" s="1987">
        <f>PT.anaer_lagoon!AN321</f>
        <v>344.6355320866561</v>
      </c>
      <c r="AA19" s="1987" t="str">
        <f>PT.anaer_lagoon!AF321</f>
        <v>gal/event</v>
      </c>
    </row>
    <row r="20" spans="1:27" ht="15.75" customHeight="1" x14ac:dyDescent="0.3">
      <c r="A20" s="42"/>
      <c r="B20" s="1577" t="s">
        <v>6784</v>
      </c>
      <c r="C20" s="1812">
        <f>C81+C86+C90</f>
        <v>0.27623813042922774</v>
      </c>
      <c r="D20" s="1806" t="s">
        <v>2385</v>
      </c>
      <c r="E20" s="1944"/>
      <c r="F20" s="1944"/>
      <c r="G20" s="1944"/>
      <c r="H20" s="1944"/>
      <c r="I20" s="1945"/>
      <c r="J20" s="1954"/>
      <c r="K20" s="1954"/>
      <c r="L20" s="1954"/>
      <c r="M20" s="1959"/>
      <c r="N20" s="1947"/>
      <c r="O20" s="1945"/>
      <c r="P20" s="2"/>
      <c r="Q20" s="602"/>
      <c r="R20" s="602" t="str">
        <f>PT.reception_pit!B29</f>
        <v>Energy needed for motor for agi-pump</v>
      </c>
      <c r="S20" s="602"/>
      <c r="T20" s="1987">
        <f>PT.reception_pit!L29</f>
        <v>0.6839628928387872</v>
      </c>
      <c r="U20" s="1987" t="str">
        <f>PT.reception_pit!C29</f>
        <v>kWh/day</v>
      </c>
      <c r="W20" s="49"/>
      <c r="X20" s="602" t="str">
        <f>PT.anaer_lagoon!B322</f>
        <v>Number of tractors for pumping needed</v>
      </c>
      <c r="Y20" s="602"/>
      <c r="Z20" s="1987">
        <f>PT.anaer_lagoon!AN322</f>
        <v>1</v>
      </c>
      <c r="AA20" s="1987" t="str">
        <f>PT.anaer_lagoon!AF322</f>
        <v>quantity</v>
      </c>
    </row>
    <row r="21" spans="1:27" ht="15.75" customHeight="1" x14ac:dyDescent="0.3">
      <c r="A21" s="42"/>
      <c r="B21" s="1577" t="s">
        <v>6785</v>
      </c>
      <c r="C21" s="1812">
        <f>C79+C84+C88</f>
        <v>12.556506956000462</v>
      </c>
      <c r="D21" s="1806" t="s">
        <v>2385</v>
      </c>
      <c r="E21" s="1611"/>
      <c r="F21" s="1936"/>
      <c r="G21" s="1945"/>
      <c r="H21" s="1945"/>
      <c r="I21" s="1945"/>
      <c r="J21" s="1954"/>
      <c r="K21" s="1954"/>
      <c r="L21" s="1954"/>
      <c r="M21" s="1959"/>
      <c r="N21" s="1947"/>
      <c r="O21" s="1945"/>
      <c r="P21" s="2"/>
      <c r="Q21" s="602" t="s">
        <v>7247</v>
      </c>
      <c r="R21" s="602" t="str">
        <f>PT.cover_digest!B88</f>
        <v>Covered lagoon surface area</v>
      </c>
      <c r="S21" s="602"/>
      <c r="T21" s="1987">
        <f>PT.cover_digest!I88</f>
        <v>1661.3902142063973</v>
      </c>
      <c r="U21" s="1987" t="str">
        <f>PT.cover_digest!C88</f>
        <v>m2</v>
      </c>
      <c r="W21" s="49"/>
      <c r="X21" s="602" t="str">
        <f>PT.anaer_lagoon!B323</f>
        <v>Tractor for pumping, size</v>
      </c>
      <c r="Y21" s="602"/>
      <c r="Z21" s="1987">
        <f>PT.anaer_lagoon!AN323</f>
        <v>180</v>
      </c>
      <c r="AA21" s="1987" t="str">
        <f>PT.anaer_lagoon!AF323</f>
        <v>PTO hp</v>
      </c>
    </row>
    <row r="22" spans="1:27" ht="15.75" customHeight="1" x14ac:dyDescent="0.3">
      <c r="A22" s="42"/>
      <c r="B22" s="1577" t="s">
        <v>7466</v>
      </c>
      <c r="C22" s="1500">
        <f>C82</f>
        <v>37.007112913154977</v>
      </c>
      <c r="D22" s="1806" t="s">
        <v>2385</v>
      </c>
      <c r="E22" s="1611"/>
      <c r="F22" s="1936"/>
      <c r="G22" s="1946"/>
      <c r="H22" s="1945"/>
      <c r="I22" s="1947"/>
      <c r="J22" s="1955"/>
      <c r="K22" s="1954"/>
      <c r="L22" s="1954"/>
      <c r="M22" s="1959"/>
      <c r="N22" s="1947"/>
      <c r="O22" s="1945"/>
      <c r="P22" s="2"/>
      <c r="Q22" s="602"/>
      <c r="R22" s="602" t="str">
        <f>PT.cover_digest!B89</f>
        <v>Covered lagoon constructed size</v>
      </c>
      <c r="S22" s="602"/>
      <c r="T22" s="1987">
        <f>PT.cover_digest!I89</f>
        <v>2700.4909100593827</v>
      </c>
      <c r="U22" s="1987" t="str">
        <f>PT.cover_digest!C89</f>
        <v>m3</v>
      </c>
      <c r="W22" s="49"/>
      <c r="X22" s="602" t="str">
        <f>PT.anaer_lagoon!B324</f>
        <v>Operation time for tractor pumping</v>
      </c>
      <c r="Y22" s="602"/>
      <c r="Z22" s="1987">
        <f>PT.anaer_lagoon!AN324</f>
        <v>5.1237143232854079</v>
      </c>
      <c r="AA22" s="1987" t="str">
        <f>PT.anaer_lagoon!AF324</f>
        <v>hr/event</v>
      </c>
    </row>
    <row r="23" spans="1:27" ht="15.75" customHeight="1" x14ac:dyDescent="0.3">
      <c r="A23" s="42"/>
      <c r="D23" s="66"/>
      <c r="E23" s="1611"/>
      <c r="F23" s="1936"/>
      <c r="G23" s="1948"/>
      <c r="H23" s="1945"/>
      <c r="I23" s="1945"/>
      <c r="J23" s="1955"/>
      <c r="K23" s="1954"/>
      <c r="L23" s="1959"/>
      <c r="M23" s="1959"/>
      <c r="N23" s="1947"/>
      <c r="O23" s="1945"/>
      <c r="P23" s="988"/>
      <c r="Q23" s="602"/>
      <c r="R23" s="602" t="str">
        <f>PT.cover_digest!B90</f>
        <v>Carbon/methane produced by volume</v>
      </c>
      <c r="S23" s="602"/>
      <c r="T23" s="1987">
        <f>PT.cover_digest!I90</f>
        <v>10163.996954999997</v>
      </c>
      <c r="U23" s="1987" t="str">
        <f>PT.cover_digest!C90</f>
        <v>m3/year</v>
      </c>
      <c r="W23" s="49"/>
      <c r="X23" s="602" t="str">
        <f>PT.anaer_lagoon!B325</f>
        <v>Fuel needed for tractor for pumping</v>
      </c>
      <c r="Y23" s="602"/>
      <c r="Z23" s="1987">
        <f>PT.anaer_lagoon!AN325</f>
        <v>40.579817440420427</v>
      </c>
      <c r="AA23" s="1987" t="str">
        <f>PT.anaer_lagoon!AF325</f>
        <v>gal/event</v>
      </c>
    </row>
    <row r="24" spans="1:27" ht="15.75" customHeight="1" x14ac:dyDescent="0.3">
      <c r="A24" s="42"/>
      <c r="B24" s="1668" t="s">
        <v>6931</v>
      </c>
      <c r="C24" s="1680"/>
      <c r="D24" s="1815"/>
      <c r="E24" s="1960"/>
      <c r="F24" s="1936"/>
      <c r="G24" s="1943"/>
      <c r="H24" s="1945"/>
      <c r="I24" s="1934"/>
      <c r="J24" s="1954"/>
      <c r="K24" s="1954"/>
      <c r="L24" s="1959"/>
      <c r="M24" s="1959"/>
      <c r="N24" s="1947"/>
      <c r="O24" s="1945"/>
      <c r="P24" s="988"/>
      <c r="Q24" s="602"/>
      <c r="R24" s="602" t="e">
        <f>PT.cover_digest!#REF!</f>
        <v>#REF!</v>
      </c>
      <c r="S24" s="602"/>
      <c r="T24" s="1987" t="e">
        <f>PT.cover_digest!#REF!</f>
        <v>#REF!</v>
      </c>
      <c r="U24" s="1987" t="e">
        <f>PT.cover_digest!#REF!</f>
        <v>#REF!</v>
      </c>
      <c r="W24" s="49"/>
      <c r="X24" s="602" t="str">
        <f>PT.anaer_lagoon!B326</f>
        <v>Size of tractor for pulling hose reel and applicator toolbar</v>
      </c>
      <c r="Y24" s="602"/>
      <c r="Z24" s="1987">
        <f>PT.anaer_lagoon!AN326</f>
        <v>580</v>
      </c>
      <c r="AA24" s="1987" t="str">
        <f>PT.anaer_lagoon!AF326</f>
        <v>PTO hp</v>
      </c>
    </row>
    <row r="25" spans="1:27" ht="15.75" customHeight="1" x14ac:dyDescent="0.3">
      <c r="A25" s="42"/>
      <c r="B25" s="510" t="s">
        <v>6932</v>
      </c>
      <c r="C25" s="1378">
        <v>0.21</v>
      </c>
      <c r="D25" s="510" t="s">
        <v>1694</v>
      </c>
      <c r="E25" s="1936"/>
      <c r="F25" s="1946"/>
      <c r="G25" s="1946"/>
      <c r="H25" s="1945"/>
      <c r="I25" s="1934"/>
      <c r="J25" s="1954"/>
      <c r="K25" s="1954"/>
      <c r="L25" s="1959"/>
      <c r="M25" s="1959"/>
      <c r="N25" s="1947"/>
      <c r="O25" s="1945"/>
      <c r="P25" s="988"/>
      <c r="Q25" s="602" t="s">
        <v>5210</v>
      </c>
      <c r="R25" s="602" t="str">
        <f>PT.anaer_lagoon!B260</f>
        <v>Interval between liquids removal</v>
      </c>
      <c r="S25" s="602"/>
      <c r="T25" s="1987">
        <f>PT.anaer_lagoon!AN260</f>
        <v>182.5</v>
      </c>
      <c r="U25" s="1987" t="str">
        <f>PT.anaer_lagoon!AF260</f>
        <v>days</v>
      </c>
      <c r="W25" s="49"/>
      <c r="X25" s="602" t="str">
        <f>PT.anaer_lagoon!B327</f>
        <v>Number of tractors for pulling hose reel and applicator</v>
      </c>
      <c r="Y25" s="602"/>
      <c r="Z25" s="1987">
        <f>PT.anaer_lagoon!AN327</f>
        <v>1</v>
      </c>
      <c r="AA25" s="1987" t="str">
        <f>PT.anaer_lagoon!AF327</f>
        <v>quantity</v>
      </c>
    </row>
    <row r="26" spans="1:27" ht="15.75" customHeight="1" x14ac:dyDescent="0.3">
      <c r="A26" s="42"/>
      <c r="B26" s="1813" t="s">
        <v>6933</v>
      </c>
      <c r="C26" s="1414">
        <v>2.1428571399999998</v>
      </c>
      <c r="D26" s="510" t="s">
        <v>6934</v>
      </c>
      <c r="E26" s="1945"/>
      <c r="F26" s="1945"/>
      <c r="G26" s="1945"/>
      <c r="H26" s="1945"/>
      <c r="I26" s="1934"/>
      <c r="J26" s="1954"/>
      <c r="K26" s="1954"/>
      <c r="L26" s="1959"/>
      <c r="M26" s="1959"/>
      <c r="N26" s="1947"/>
      <c r="O26" s="1945"/>
      <c r="P26" s="2"/>
      <c r="Q26" s="602"/>
      <c r="R26" s="602" t="str">
        <f>PT.anaer_lagoon!B261</f>
        <v>Manure liquids removed, lagoon</v>
      </c>
      <c r="S26" s="602"/>
      <c r="T26" s="1987">
        <f>PT.anaer_lagoon!AN261</f>
        <v>1181.795475972023</v>
      </c>
      <c r="U26" s="1987" t="str">
        <f>PT.anaer_lagoon!AF261</f>
        <v>m3/event</v>
      </c>
      <c r="W26" s="49"/>
      <c r="X26" s="602" t="str">
        <f>PT.anaer_lagoon!B328</f>
        <v>Size of tractor for support with hose pulley</v>
      </c>
      <c r="Y26" s="602"/>
      <c r="Z26" s="1987">
        <f>PT.anaer_lagoon!AN328</f>
        <v>340</v>
      </c>
      <c r="AA26" s="1987" t="str">
        <f>PT.anaer_lagoon!AF328</f>
        <v>PTO hp</v>
      </c>
    </row>
    <row r="27" spans="1:27" ht="15.75" customHeight="1" x14ac:dyDescent="0.3">
      <c r="A27" s="42"/>
      <c r="B27" s="91" t="s">
        <v>6935</v>
      </c>
      <c r="C27" s="1403">
        <f>(C19+C20)*(28/44)</f>
        <v>0.28486240252238443</v>
      </c>
      <c r="D27" s="510" t="s">
        <v>2358</v>
      </c>
      <c r="E27" s="1944"/>
      <c r="F27" s="1944"/>
      <c r="G27" s="1944"/>
      <c r="H27" s="1944"/>
      <c r="I27" s="1945"/>
      <c r="J27" s="1955"/>
      <c r="K27" s="1954"/>
      <c r="L27" s="1959"/>
      <c r="M27" s="1959"/>
      <c r="N27" s="1947"/>
      <c r="O27" s="1945"/>
      <c r="P27" s="2"/>
      <c r="Q27" s="602"/>
      <c r="R27" s="602" t="str">
        <f>PT.anaer_lagoon!B262</f>
        <v>Lagoon surface area</v>
      </c>
      <c r="S27" s="602"/>
      <c r="T27" s="1987">
        <f>PT.anaer_lagoon!AN262</f>
        <v>2520.2986018694792</v>
      </c>
      <c r="U27" s="1987" t="str">
        <f>PT.anaer_lagoon!AF262</f>
        <v>m2</v>
      </c>
      <c r="W27" s="49"/>
      <c r="X27" s="602" t="str">
        <f>PT.anaer_lagoon!B329</f>
        <v>Distance from storage to field</v>
      </c>
      <c r="Y27" s="602"/>
      <c r="Z27" s="1987">
        <f>PT.anaer_lagoon!AN329</f>
        <v>2</v>
      </c>
      <c r="AA27" s="1987" t="str">
        <f>PT.anaer_lagoon!AF329</f>
        <v>miles</v>
      </c>
    </row>
    <row r="28" spans="1:27" ht="15.75" customHeight="1" x14ac:dyDescent="0.3">
      <c r="A28" s="42"/>
      <c r="B28" s="91" t="s">
        <v>6936</v>
      </c>
      <c r="C28" s="1380">
        <f>C21*(14/17)</f>
        <v>10.340652787294497</v>
      </c>
      <c r="D28" s="510" t="s">
        <v>2358</v>
      </c>
      <c r="E28" s="1944"/>
      <c r="F28" s="1944"/>
      <c r="G28" s="1944"/>
      <c r="H28" s="1944"/>
      <c r="I28" s="1934"/>
      <c r="J28" s="1954"/>
      <c r="K28" s="1954"/>
      <c r="L28" s="1959"/>
      <c r="M28" s="1959"/>
      <c r="N28" s="1947"/>
      <c r="O28" s="1945"/>
      <c r="Q28" s="602"/>
      <c r="R28" s="602" t="str">
        <f>PT.anaer_lagoon!B263</f>
        <v>Lagoon constructed size</v>
      </c>
      <c r="S28" s="602"/>
      <c r="T28" s="1987">
        <f>PT.anaer_lagoon!AN263</f>
        <v>5103.5144459118055</v>
      </c>
      <c r="U28" s="1987" t="str">
        <f>PT.anaer_lagoon!AF263</f>
        <v>m3</v>
      </c>
      <c r="W28" s="49"/>
      <c r="X28" s="602" t="str">
        <f>PT.anaer_lagoon!B330</f>
        <v>Application by broadcast or injection?</v>
      </c>
      <c r="Y28" s="602"/>
      <c r="Z28" s="1987" t="str">
        <f>PT.anaer_lagoon!AN330</f>
        <v>Injection</v>
      </c>
      <c r="AA28" s="1987" t="str">
        <f>PT.anaer_lagoon!AF330</f>
        <v>type</v>
      </c>
    </row>
    <row r="29" spans="1:27" ht="15.75" customHeight="1" x14ac:dyDescent="0.3">
      <c r="A29" s="42"/>
      <c r="B29" s="91" t="s">
        <v>6937</v>
      </c>
      <c r="C29" s="1404">
        <f>C25*C27*(44/28)/C26</f>
        <v>4.3868810046938947E-2</v>
      </c>
      <c r="D29" s="510" t="s">
        <v>2358</v>
      </c>
      <c r="E29" s="1946"/>
      <c r="F29" s="1946"/>
      <c r="G29" s="1946"/>
      <c r="H29" s="1945"/>
      <c r="I29" s="1934"/>
      <c r="J29" s="1954"/>
      <c r="K29" s="1954"/>
      <c r="L29" s="1959"/>
      <c r="M29" s="1959"/>
      <c r="N29" s="1947"/>
      <c r="O29" s="1945"/>
      <c r="Q29" s="602"/>
      <c r="R29" s="602" t="str">
        <f>PT.anaer_lagoon!B264</f>
        <v>N removed, lagoon</v>
      </c>
      <c r="S29" s="602"/>
      <c r="T29" s="1987">
        <f>PT.anaer_lagoon!AN264</f>
        <v>1.0812544826787847</v>
      </c>
      <c r="U29" s="1987" t="str">
        <f>PT.anaer_lagoon!AF264</f>
        <v>g/L</v>
      </c>
      <c r="W29" s="49"/>
      <c r="X29" s="602" t="str">
        <f>PT.anaer_lagoon!B331</f>
        <v>Fuel needed for tractor for pulling hose reel and applicator</v>
      </c>
      <c r="Y29" s="602"/>
      <c r="Z29" s="1987">
        <f>PT.anaer_lagoon!AN331</f>
        <v>25.52</v>
      </c>
      <c r="AA29" s="1987">
        <f>PT.anaer_lagoon!AF331</f>
        <v>0</v>
      </c>
    </row>
    <row r="30" spans="1:27" ht="15.75" customHeight="1" x14ac:dyDescent="0.3">
      <c r="A30" s="42"/>
      <c r="B30" s="1347"/>
      <c r="C30" s="559"/>
      <c r="D30" s="1352"/>
      <c r="E30" s="1945"/>
      <c r="F30" s="1945"/>
      <c r="G30" s="1945"/>
      <c r="H30" s="1945"/>
      <c r="I30" s="1934"/>
      <c r="J30" s="1954"/>
      <c r="K30" s="1954"/>
      <c r="L30" s="1959"/>
      <c r="M30" s="1959"/>
      <c r="N30" s="1947"/>
      <c r="O30" s="1945"/>
      <c r="Q30" s="602"/>
      <c r="R30" s="602" t="str">
        <f>PT.anaer_lagoon!B265</f>
        <v>P2O5 removed, lagoon</v>
      </c>
      <c r="S30" s="602"/>
      <c r="T30" s="1987">
        <f>PT.anaer_lagoon!AN265</f>
        <v>0.77291508964248556</v>
      </c>
      <c r="U30" s="1987" t="str">
        <f>PT.anaer_lagoon!AF265</f>
        <v>g/L</v>
      </c>
      <c r="W30" s="49"/>
      <c r="X30" s="602" t="str">
        <f>PT.anaer_lagoon!B332</f>
        <v>Fuel needed for support tractor with hose pulley</v>
      </c>
      <c r="Y30" s="602"/>
      <c r="Z30" s="1987">
        <f>PT.anaer_lagoon!AN332</f>
        <v>14.959999999999999</v>
      </c>
      <c r="AA30" s="1987" t="str">
        <f>PT.anaer_lagoon!AF332</f>
        <v>gal/hr</v>
      </c>
    </row>
    <row r="31" spans="1:27" ht="15.75" customHeight="1" x14ac:dyDescent="0.3">
      <c r="B31" s="559"/>
      <c r="C31" s="559"/>
      <c r="D31" s="1352"/>
      <c r="E31" s="1945"/>
      <c r="F31" s="1945"/>
      <c r="G31" s="1945"/>
      <c r="H31" s="1945"/>
      <c r="I31" s="1948"/>
      <c r="J31" s="1955"/>
      <c r="K31" s="1954"/>
      <c r="L31" s="1954"/>
      <c r="M31" s="1959"/>
      <c r="N31" s="1947"/>
      <c r="O31" s="1945"/>
      <c r="Q31" s="602"/>
      <c r="R31" s="602" t="str">
        <f>PT.anaer_lagoon!B266</f>
        <v>K2O removed, lagoon</v>
      </c>
      <c r="S31" s="602"/>
      <c r="T31" s="1987">
        <f>PT.anaer_lagoon!AN266</f>
        <v>1.1744351577487822</v>
      </c>
      <c r="U31" s="1987" t="str">
        <f>PT.anaer_lagoon!AF266</f>
        <v>g/L</v>
      </c>
      <c r="W31" s="49"/>
      <c r="X31" s="602" t="str">
        <f>PT.anaer_lagoon!B333</f>
        <v>Diesel powered pump(s), size</v>
      </c>
      <c r="Y31" s="602"/>
      <c r="Z31" s="1987">
        <f>PT.anaer_lagoon!AN333</f>
        <v>3000</v>
      </c>
      <c r="AA31" s="1987" t="str">
        <f>PT.anaer_lagoon!AF333</f>
        <v>gal/min</v>
      </c>
    </row>
    <row r="32" spans="1:27" ht="15.75" customHeight="1" x14ac:dyDescent="0.3">
      <c r="A32" s="42"/>
      <c r="B32" s="49"/>
      <c r="C32" s="49"/>
      <c r="D32" s="52"/>
      <c r="E32" s="1945"/>
      <c r="F32" s="1945"/>
      <c r="G32" s="1946"/>
      <c r="H32" s="1945"/>
      <c r="I32" s="1945"/>
      <c r="J32" s="1955"/>
      <c r="K32" s="1954"/>
      <c r="L32" s="1959"/>
      <c r="M32" s="1959"/>
      <c r="N32" s="1947"/>
      <c r="O32" s="1945"/>
      <c r="Q32" s="602"/>
      <c r="R32" s="602" t="str">
        <f>PT.anaer_lagoon!B267</f>
        <v>Field area applied by lagoon liquids</v>
      </c>
      <c r="S32" s="602"/>
      <c r="T32" s="1987">
        <f>PT.anaer_lagoon!AN267</f>
        <v>24.703927599701288</v>
      </c>
      <c r="U32" s="1987" t="str">
        <f>PT.anaer_lagoon!AF267</f>
        <v>ac/y</v>
      </c>
      <c r="W32" s="49"/>
      <c r="X32" s="602" t="str">
        <f>PT.anaer_lagoon!B334</f>
        <v>Number of diesel powered lead pumps needed</v>
      </c>
      <c r="Y32" s="602"/>
      <c r="Z32" s="1987">
        <f>PT.anaer_lagoon!AN334</f>
        <v>1</v>
      </c>
      <c r="AA32" s="1987" t="str">
        <f>PT.anaer_lagoon!AF334</f>
        <v>quantity</v>
      </c>
    </row>
    <row r="33" spans="2:27" ht="15.75" customHeight="1" x14ac:dyDescent="0.3">
      <c r="B33" s="1668" t="s">
        <v>409</v>
      </c>
      <c r="C33" s="1680"/>
      <c r="D33" s="1815"/>
      <c r="E33" s="1611"/>
      <c r="F33" s="1935"/>
      <c r="G33" s="1945"/>
      <c r="H33" s="1945"/>
      <c r="I33" s="1945"/>
      <c r="J33" s="1955"/>
      <c r="K33" s="1954"/>
      <c r="L33" s="1959"/>
      <c r="M33" s="1959"/>
      <c r="N33" s="1947"/>
      <c r="O33" s="1945"/>
      <c r="Q33" s="602"/>
      <c r="R33" s="602" t="str">
        <f>PT.anaer_lagoon!B268</f>
        <v>Energy needed to pump lagoon liquids</v>
      </c>
      <c r="S33" s="602"/>
      <c r="T33" s="1987">
        <f>PT.anaer_lagoon!AN268</f>
        <v>931.22205127489576</v>
      </c>
      <c r="U33" s="1987" t="str">
        <f>PT.anaer_lagoon!AF268</f>
        <v>kWh/y</v>
      </c>
      <c r="W33" s="67"/>
      <c r="X33" s="602" t="str">
        <f>PT.anaer_lagoon!B335</f>
        <v>Number of diesel powered agitation trailers needed</v>
      </c>
      <c r="Y33" s="602"/>
      <c r="Z33" s="1987">
        <f>PT.anaer_lagoon!AN335</f>
        <v>1</v>
      </c>
      <c r="AA33" s="1987" t="str">
        <f>PT.anaer_lagoon!AF335</f>
        <v>quantity</v>
      </c>
    </row>
    <row r="34" spans="2:27" ht="15.75" customHeight="1" x14ac:dyDescent="0.3">
      <c r="B34" s="602" t="str">
        <f>PT.shallow_plug!B85</f>
        <v>Electricity used by recharge system</v>
      </c>
      <c r="C34" s="1989">
        <f>PT.shallow_plug!G85</f>
        <v>0.18409166374193422</v>
      </c>
      <c r="D34" s="602" t="str">
        <f>PT.shallow_plug!C85</f>
        <v>kWh/head/year</v>
      </c>
      <c r="E34" s="1944"/>
      <c r="F34" s="1944"/>
      <c r="G34" s="1944"/>
      <c r="H34" s="1944"/>
      <c r="I34" s="1945"/>
      <c r="J34" s="1955"/>
      <c r="K34" s="1954"/>
      <c r="L34" s="1959"/>
      <c r="M34" s="1959"/>
      <c r="N34" s="1947"/>
      <c r="O34" s="1945"/>
      <c r="Q34" s="602"/>
      <c r="R34" s="602" t="str">
        <f>PT.anaer_lagoon!B269</f>
        <v>Total labor time required for irrigation</v>
      </c>
      <c r="S34" s="602"/>
      <c r="T34" s="1987">
        <f>PT.anaer_lagoon!AN269</f>
        <v>7.4111782799103869</v>
      </c>
      <c r="U34" s="1987" t="str">
        <f>PT.anaer_lagoon!AF269</f>
        <v>hr/year</v>
      </c>
      <c r="V34" s="1986"/>
      <c r="W34" s="1988"/>
      <c r="X34" s="602" t="str">
        <f>PT.anaer_lagoon!B336</f>
        <v>Number of booster pumps needed</v>
      </c>
      <c r="Y34" s="602"/>
      <c r="Z34" s="1987">
        <f>PT.anaer_lagoon!AN336</f>
        <v>1</v>
      </c>
      <c r="AA34" s="1987" t="str">
        <f>PT.anaer_lagoon!AF336</f>
        <v>quantity</v>
      </c>
    </row>
    <row r="35" spans="2:27" ht="15.75" customHeight="1" x14ac:dyDescent="0.3">
      <c r="B35" s="602" t="str">
        <f>PT.reception_pit!B36</f>
        <v>Electricity used by reception pit pumps</v>
      </c>
      <c r="C35" s="1987">
        <f>PT.reception_pit!L36</f>
        <v>0.49929291177231466</v>
      </c>
      <c r="D35" s="602" t="str">
        <f>PT.reception_pit!C36</f>
        <v>kWh/head/year</v>
      </c>
      <c r="E35" s="1944"/>
      <c r="F35" s="1944"/>
      <c r="G35" s="1944"/>
      <c r="H35" s="1944"/>
      <c r="I35" s="1945"/>
      <c r="J35" s="1955"/>
      <c r="K35" s="1954"/>
      <c r="L35" s="1959"/>
      <c r="M35" s="1959"/>
      <c r="N35" s="1947"/>
      <c r="O35" s="1945"/>
      <c r="Q35" s="602"/>
      <c r="R35" s="602" t="str">
        <f>PT.anaer_lagoon!B270</f>
        <v>Tanker, size</v>
      </c>
      <c r="S35" s="602"/>
      <c r="T35" s="1987">
        <f>PT.anaer_lagoon!AN270</f>
        <v>6000</v>
      </c>
      <c r="U35" s="1987" t="str">
        <f>PT.anaer_lagoon!AF270</f>
        <v>gal</v>
      </c>
      <c r="V35" s="1986"/>
      <c r="W35" s="1988"/>
      <c r="X35" s="602" t="str">
        <f>PT.anaer_lagoon!B337</f>
        <v>Operation time for pumping</v>
      </c>
      <c r="Y35" s="602"/>
      <c r="Z35" s="1987">
        <f>PT.anaer_lagoon!AN337</f>
        <v>5.6613167415982097</v>
      </c>
      <c r="AA35" s="1987" t="str">
        <f>PT.anaer_lagoon!AF337</f>
        <v>hr</v>
      </c>
    </row>
    <row r="36" spans="2:27" ht="15.75" customHeight="1" x14ac:dyDescent="0.3">
      <c r="B36" s="602" t="str">
        <f>PT.anaer_lagoon!B348</f>
        <v>Electricity for irrigation pump</v>
      </c>
      <c r="C36" s="1987">
        <f>PT.anaer_lagoon!AN348</f>
        <v>1.8624441025497915</v>
      </c>
      <c r="D36" s="602" t="str">
        <f>PT.anaer_lagoon!F348</f>
        <v>kWh/head/year</v>
      </c>
      <c r="E36" s="1936"/>
      <c r="F36" s="1611"/>
      <c r="G36" s="1946"/>
      <c r="H36" s="1945"/>
      <c r="I36" s="1945"/>
      <c r="J36" s="1955"/>
      <c r="K36" s="1954"/>
      <c r="L36" s="1959"/>
      <c r="M36" s="1959"/>
      <c r="N36" s="1947"/>
      <c r="O36" s="1945"/>
      <c r="Q36" s="602"/>
      <c r="R36" s="602" t="str">
        <f>PT.anaer_lagoon!B271</f>
        <v>Tractor for tanker, size</v>
      </c>
      <c r="S36" s="602"/>
      <c r="T36" s="1987">
        <f>PT.anaer_lagoon!AN271</f>
        <v>250</v>
      </c>
      <c r="U36" s="1987" t="str">
        <f>PT.anaer_lagoon!AF271</f>
        <v>PTO hp</v>
      </c>
      <c r="V36" s="1986"/>
      <c r="W36" s="1988"/>
      <c r="X36" s="602" t="str">
        <f>PT.anaer_lagoon!B338</f>
        <v>Fuel needed for diesel powered lead pump</v>
      </c>
      <c r="Y36" s="602"/>
      <c r="Z36" s="1987">
        <f>PT.anaer_lagoon!AN338</f>
        <v>101.90370134876778</v>
      </c>
      <c r="AA36" s="1987" t="str">
        <f>PT.anaer_lagoon!AF338</f>
        <v>gal/event</v>
      </c>
    </row>
    <row r="37" spans="2:27" ht="15.75" customHeight="1" x14ac:dyDescent="0.3">
      <c r="B37" s="1668" t="s">
        <v>415</v>
      </c>
      <c r="C37" s="1680"/>
      <c r="D37" s="1815"/>
      <c r="E37" s="1960"/>
      <c r="F37" s="1936"/>
      <c r="G37" s="1946"/>
      <c r="H37" s="1945"/>
      <c r="I37" s="1945"/>
      <c r="J37" s="1955"/>
      <c r="K37" s="1954"/>
      <c r="L37" s="1954"/>
      <c r="M37" s="1959"/>
      <c r="N37" s="1947"/>
      <c r="O37" s="1945"/>
      <c r="Q37" s="602"/>
      <c r="R37" s="602" t="str">
        <f>PT.anaer_lagoon!B272</f>
        <v>Application by broadcast or injection?</v>
      </c>
      <c r="S37" s="602"/>
      <c r="T37" s="1987" t="str">
        <f>PT.anaer_lagoon!AN272</f>
        <v>Injection</v>
      </c>
      <c r="U37" s="1987" t="str">
        <f>PT.anaer_lagoon!AF272</f>
        <v>type</v>
      </c>
      <c r="V37" s="1986"/>
      <c r="W37" s="1988"/>
      <c r="X37" s="602" t="str">
        <f>PT.anaer_lagoon!B339</f>
        <v>Fuel needed for diesel powered booster pump</v>
      </c>
      <c r="Y37" s="602"/>
      <c r="Z37" s="1987">
        <f>PT.anaer_lagoon!AN339</f>
        <v>42.459875561986571</v>
      </c>
      <c r="AA37" s="1987" t="str">
        <f>PT.anaer_lagoon!AF339</f>
        <v>gal/event</v>
      </c>
    </row>
    <row r="38" spans="2:27" ht="15.75" customHeight="1" x14ac:dyDescent="0.3">
      <c r="B38" s="1925"/>
      <c r="C38" s="1926"/>
      <c r="D38" s="1925"/>
      <c r="E38" s="1939"/>
      <c r="F38" s="1936"/>
      <c r="G38" s="1947"/>
      <c r="H38" s="1945"/>
      <c r="I38" s="1945"/>
      <c r="J38" s="1954"/>
      <c r="K38" s="1954"/>
      <c r="L38" s="1954"/>
      <c r="M38" s="1959"/>
      <c r="N38" s="1946"/>
      <c r="O38" s="1945"/>
      <c r="Q38" s="602"/>
      <c r="R38" s="602" t="str">
        <f>PT.anaer_lagoon!B273</f>
        <v>Operation time for tractor with tanker</v>
      </c>
      <c r="S38" s="602"/>
      <c r="T38" s="1987">
        <f>PT.anaer_lagoon!AN273</f>
        <v>1.9885678726169551</v>
      </c>
      <c r="U38" s="1987" t="str">
        <f>PT.anaer_lagoon!AF273</f>
        <v>hrs/event</v>
      </c>
      <c r="V38" s="1986"/>
      <c r="W38" s="1988"/>
      <c r="X38" s="602" t="str">
        <f>PT.anaer_lagoon!B340</f>
        <v>Fuel needed for diesel powered agitation trailer</v>
      </c>
      <c r="Y38" s="602"/>
      <c r="Z38" s="1987">
        <f>PT.anaer_lagoon!AN340</f>
        <v>33.967900449589258</v>
      </c>
      <c r="AA38" s="1987" t="str">
        <f>PT.anaer_lagoon!AF340</f>
        <v>gal/event</v>
      </c>
    </row>
    <row r="39" spans="2:27" ht="15.75" customHeight="1" x14ac:dyDescent="0.3">
      <c r="B39" s="602" t="str">
        <f>PT.shallow_plug!B89</f>
        <v>Fresh water used to fill pull plug pit</v>
      </c>
      <c r="C39" s="1989">
        <f>PT.shallow_plug!G89</f>
        <v>0</v>
      </c>
      <c r="D39" s="602" t="str">
        <f>PT.shallow_plug!C89</f>
        <v>m3/head/year</v>
      </c>
      <c r="E39" s="1611"/>
      <c r="F39" s="1936"/>
      <c r="G39" s="1946"/>
      <c r="H39" s="1945"/>
      <c r="I39" s="1945"/>
      <c r="J39" s="1945"/>
      <c r="K39" s="1945"/>
      <c r="L39" s="1914"/>
      <c r="M39" s="1932"/>
      <c r="N39" s="1932"/>
      <c r="O39" s="1932"/>
      <c r="Q39" s="602"/>
      <c r="R39" s="602" t="str">
        <f>PT.anaer_lagoon!B274</f>
        <v>Fuel needed for tractor with tank and applicator</v>
      </c>
      <c r="S39" s="602"/>
      <c r="T39" s="1987">
        <f>PT.anaer_lagoon!AN274</f>
        <v>21.874246598786506</v>
      </c>
      <c r="U39" s="1987" t="str">
        <f>PT.anaer_lagoon!AF274</f>
        <v>gal/event</v>
      </c>
      <c r="V39" s="1986"/>
      <c r="W39" s="1988"/>
      <c r="X39" s="602" t="str">
        <f>PT.anaer_lagoon!B341</f>
        <v>Fuel needed for pickup truck</v>
      </c>
      <c r="Y39" s="602"/>
      <c r="Z39" s="1987">
        <f>PT.anaer_lagoon!AN341</f>
        <v>5.0951850674383881</v>
      </c>
      <c r="AA39" s="1987" t="str">
        <f>PT.anaer_lagoon!AF341</f>
        <v>gal/event</v>
      </c>
    </row>
    <row r="40" spans="2:27" ht="15.75" customHeight="1" x14ac:dyDescent="0.3">
      <c r="B40" s="602" t="str">
        <f>PT.anaer_lagoon!B359</f>
        <v>Fresh water used to supplement flow into storage structure</v>
      </c>
      <c r="C40" s="1987">
        <f>PT.anaer_lagoon!AN359</f>
        <v>0</v>
      </c>
      <c r="D40" s="602" t="str">
        <f>PT.anaer_lagoon!F359</f>
        <v>m3/head/year</v>
      </c>
      <c r="E40" s="1939"/>
      <c r="F40" s="1936"/>
      <c r="G40" s="1947"/>
      <c r="H40" s="1945"/>
      <c r="I40" s="1945"/>
      <c r="J40" s="1945"/>
      <c r="K40" s="1945"/>
      <c r="L40" s="1945"/>
      <c r="M40" s="1945"/>
      <c r="N40" s="1914"/>
      <c r="O40" s="1945"/>
      <c r="Q40" s="602"/>
      <c r="R40" s="602" t="str">
        <f>PT.anaer_lagoon!B275</f>
        <v>Number of tractors with tanker needed</v>
      </c>
      <c r="S40" s="602"/>
      <c r="T40" s="1987">
        <f>PT.anaer_lagoon!AN275</f>
        <v>1</v>
      </c>
      <c r="U40" s="1987" t="str">
        <f>PT.anaer_lagoon!AF275</f>
        <v>quantity</v>
      </c>
      <c r="V40" s="1986"/>
      <c r="W40" s="1986"/>
      <c r="X40" s="602" t="str">
        <f>PT.anaer_lagoon!B342</f>
        <v>Number of tractors for support with hose pulley</v>
      </c>
      <c r="Y40" s="602"/>
      <c r="Z40" s="1987">
        <f>PT.anaer_lagoon!AN342</f>
        <v>1</v>
      </c>
      <c r="AA40" s="1987" t="str">
        <f>PT.anaer_lagoon!AF342</f>
        <v>quantity</v>
      </c>
    </row>
    <row r="41" spans="2:27" ht="15.75" customHeight="1" x14ac:dyDescent="0.3">
      <c r="B41" s="602" t="str">
        <f>PT.anaer_lagoon!B360</f>
        <v>Fresh water used to supplement application liquid volume</v>
      </c>
      <c r="C41" s="1987">
        <f>PT.anaer_lagoon!AN360</f>
        <v>0.47053708606504846</v>
      </c>
      <c r="D41" s="602" t="str">
        <f>PT.anaer_lagoon!F360</f>
        <v>m3/head/year</v>
      </c>
      <c r="E41" s="1939"/>
      <c r="F41" s="1936"/>
      <c r="G41" s="1947"/>
      <c r="H41" s="1945"/>
      <c r="I41" s="1945"/>
      <c r="J41" s="1945"/>
      <c r="K41" s="1945"/>
      <c r="L41" s="1945"/>
      <c r="M41" s="1945"/>
      <c r="N41" s="1945"/>
      <c r="O41" s="1945"/>
      <c r="Q41" s="602"/>
      <c r="R41" s="602" t="str">
        <f>PT.anaer_lagoon!B276</f>
        <v>Tractor for agitator, size</v>
      </c>
      <c r="S41" s="602"/>
      <c r="T41" s="1987">
        <f>PT.anaer_lagoon!AN276</f>
        <v>160</v>
      </c>
      <c r="U41" s="1987" t="str">
        <f>PT.anaer_lagoon!AF276</f>
        <v>PTO hp</v>
      </c>
      <c r="V41" s="1986"/>
      <c r="W41" s="1986"/>
      <c r="X41" s="1986"/>
      <c r="Y41" s="1986"/>
      <c r="Z41" s="1986"/>
      <c r="AA41" s="1986"/>
    </row>
    <row r="42" spans="2:27" ht="15.75" customHeight="1" x14ac:dyDescent="0.3">
      <c r="B42" s="1668" t="s">
        <v>447</v>
      </c>
      <c r="C42" s="1680"/>
      <c r="D42" s="1815"/>
      <c r="E42" s="1939"/>
      <c r="F42" s="1936"/>
      <c r="G42" s="1947"/>
      <c r="H42" s="1945"/>
      <c r="I42" s="1945"/>
      <c r="J42" s="1945"/>
      <c r="K42" s="1945"/>
      <c r="L42" s="1945"/>
      <c r="M42" s="1945"/>
      <c r="N42" s="1945"/>
      <c r="O42" s="1945"/>
      <c r="Q42" s="602"/>
      <c r="R42" s="602" t="str">
        <f>PT.anaer_lagoon!B277</f>
        <v>Number of tractors for agitating needed</v>
      </c>
      <c r="S42" s="602"/>
      <c r="T42" s="1987">
        <f>PT.anaer_lagoon!AN277</f>
        <v>1</v>
      </c>
      <c r="U42" s="1987" t="str">
        <f>PT.anaer_lagoon!AF277</f>
        <v>quantity</v>
      </c>
      <c r="V42" s="1986"/>
      <c r="W42" s="1986"/>
      <c r="X42" s="1986"/>
      <c r="Y42" s="1986"/>
      <c r="Z42" s="1986"/>
      <c r="AA42" s="1986"/>
    </row>
    <row r="43" spans="2:27" ht="15.75" customHeight="1" x14ac:dyDescent="0.3">
      <c r="B43" s="602" t="str">
        <f>PT.shallow_plug!B87</f>
        <v>Shallow pit</v>
      </c>
      <c r="C43" s="1989">
        <f>PT.shallow_plug!G87</f>
        <v>40.061693590059214</v>
      </c>
      <c r="D43" s="602" t="str">
        <f>PT.shallow_plug!C87</f>
        <v>m2</v>
      </c>
      <c r="E43" s="1939"/>
      <c r="F43" s="1936"/>
      <c r="G43" s="1947"/>
      <c r="H43" s="1945"/>
      <c r="I43" s="1945"/>
      <c r="J43" s="1914"/>
      <c r="K43" s="1914"/>
      <c r="L43" s="1914"/>
      <c r="M43" s="1945"/>
      <c r="N43" s="1945"/>
      <c r="O43" s="1945"/>
      <c r="Q43" s="602"/>
      <c r="R43" s="602" t="str">
        <f>PT.anaer_lagoon!B278</f>
        <v>Operation time for tractor agitating</v>
      </c>
      <c r="S43" s="602"/>
      <c r="T43" s="1987">
        <f>PT.anaer_lagoon!AN278</f>
        <v>2.4857098407711939</v>
      </c>
      <c r="U43" s="1987" t="str">
        <f>PT.anaer_lagoon!AF278</f>
        <v>hr/year</v>
      </c>
      <c r="V43" s="1986"/>
      <c r="W43" s="1986"/>
      <c r="X43" s="1986"/>
      <c r="Y43" s="1986"/>
      <c r="Z43" s="1986"/>
      <c r="AA43" s="1986"/>
    </row>
    <row r="44" spans="2:27" ht="15.75" customHeight="1" x14ac:dyDescent="0.3">
      <c r="B44" s="602" t="str">
        <f>PT.reception_pit!B38</f>
        <v>Land used by reception pit</v>
      </c>
      <c r="C44" s="1987">
        <f>PT.reception_pit!L38</f>
        <v>1.4241236441639862</v>
      </c>
      <c r="D44" s="602" t="str">
        <f>PT.reception_pit!C38</f>
        <v>m2</v>
      </c>
      <c r="E44" s="1611"/>
      <c r="F44" s="1936"/>
      <c r="G44" s="1947"/>
      <c r="H44" s="1945"/>
      <c r="I44" s="1945"/>
      <c r="J44" s="1950"/>
      <c r="K44" s="1950"/>
      <c r="L44" s="1950"/>
      <c r="M44" s="1945"/>
      <c r="N44" s="1914"/>
      <c r="O44" s="1945"/>
      <c r="Q44" s="602"/>
      <c r="R44" s="602" t="str">
        <f>PT.anaer_lagoon!B279</f>
        <v>Fuel needed for tractor for agitating</v>
      </c>
      <c r="S44" s="602"/>
      <c r="T44" s="1987">
        <f>PT.anaer_lagoon!AN279</f>
        <v>17.499397279029203</v>
      </c>
      <c r="U44" s="1987" t="str">
        <f>PT.anaer_lagoon!AF279</f>
        <v>gal/event</v>
      </c>
      <c r="V44" s="1986"/>
      <c r="W44" s="1986"/>
      <c r="X44" s="1986"/>
      <c r="Y44" s="1986"/>
      <c r="Z44" s="1986"/>
      <c r="AA44" s="1986"/>
    </row>
    <row r="45" spans="2:27" ht="15.75" customHeight="1" x14ac:dyDescent="0.3">
      <c r="B45" s="602" t="str">
        <f>PT.cover_digest!B98</f>
        <v>Covered digestion basin</v>
      </c>
      <c r="C45" s="602">
        <f>PT.cover_digest!I98</f>
        <v>1661.3902142063973</v>
      </c>
      <c r="D45" s="602" t="str">
        <f>PT.cover_digest!C98</f>
        <v>m2</v>
      </c>
      <c r="E45" s="1611"/>
      <c r="F45" s="1936"/>
      <c r="G45" s="1947"/>
      <c r="H45" s="1945"/>
      <c r="I45" s="1945"/>
      <c r="J45" s="1945"/>
      <c r="K45" s="1951"/>
      <c r="L45" s="1945"/>
      <c r="M45" s="1945"/>
      <c r="N45" s="1946"/>
      <c r="O45" s="1945"/>
      <c r="Q45" s="602"/>
      <c r="R45" s="602" t="str">
        <f>PT.anaer_lagoon!B280</f>
        <v>Number of tractors for pumping needed</v>
      </c>
      <c r="S45" s="602"/>
      <c r="T45" s="1987">
        <f>PT.anaer_lagoon!AN280</f>
        <v>1</v>
      </c>
      <c r="U45" s="1987" t="str">
        <f>PT.anaer_lagoon!AF280</f>
        <v>quantity</v>
      </c>
      <c r="V45" s="1986"/>
      <c r="W45" s="1986"/>
      <c r="X45" s="1986"/>
      <c r="Y45" s="1986"/>
      <c r="Z45" s="1986"/>
      <c r="AA45" s="1986"/>
    </row>
    <row r="46" spans="2:27" ht="18.75" customHeight="1" x14ac:dyDescent="0.3">
      <c r="B46" s="602" t="str">
        <f>PT.anaer_lagoon!B350</f>
        <v>Land for lagoon surface area</v>
      </c>
      <c r="C46" s="1987">
        <f>PT.anaer_lagoon!AN350</f>
        <v>2520.2986018694792</v>
      </c>
      <c r="D46" s="602" t="str">
        <f>PT.anaer_lagoon!F350</f>
        <v>m2</v>
      </c>
      <c r="E46" s="1611"/>
      <c r="F46" s="1936"/>
      <c r="G46" s="1947"/>
      <c r="H46" s="1945"/>
      <c r="I46" s="1945"/>
      <c r="J46" s="1961"/>
      <c r="K46" s="1951"/>
      <c r="L46" s="1945"/>
      <c r="M46" s="1945"/>
      <c r="N46" s="1946"/>
      <c r="O46" s="1945"/>
      <c r="Q46" s="602"/>
      <c r="R46" s="602" t="str">
        <f>PT.anaer_lagoon!B281</f>
        <v>Tractor for pumping, size</v>
      </c>
      <c r="S46" s="602"/>
      <c r="T46" s="1987">
        <f>PT.anaer_lagoon!AN281</f>
        <v>180</v>
      </c>
      <c r="U46" s="1987" t="str">
        <f>PT.anaer_lagoon!AF281</f>
        <v>PTO hp</v>
      </c>
      <c r="V46" s="1986"/>
      <c r="W46" s="1986"/>
      <c r="X46" s="1986"/>
      <c r="Y46" s="1986"/>
      <c r="Z46" s="1986"/>
      <c r="AA46" s="1986"/>
    </row>
    <row r="47" spans="2:27" ht="15.75" customHeight="1" x14ac:dyDescent="0.3">
      <c r="B47" s="602" t="str">
        <f>PT.anaer_lagoon!B351</f>
        <v>Land for liquid application</v>
      </c>
      <c r="C47" s="1987">
        <f>PT.anaer_lagoon!AN351</f>
        <v>112607.42593829321</v>
      </c>
      <c r="D47" s="602" t="str">
        <f>PT.anaer_lagoon!F351</f>
        <v>m2</v>
      </c>
      <c r="E47" s="1611"/>
      <c r="F47" s="1936"/>
      <c r="G47" s="1943"/>
      <c r="H47" s="1945"/>
      <c r="I47" s="1945"/>
      <c r="J47" s="1961"/>
      <c r="K47" s="1951"/>
      <c r="L47" s="1945"/>
      <c r="M47" s="1945"/>
      <c r="N47" s="1946"/>
      <c r="O47" s="1945"/>
      <c r="Q47" s="602"/>
      <c r="R47" s="602" t="str">
        <f>PT.anaer_lagoon!B282</f>
        <v>Operation time for tractor pumping</v>
      </c>
      <c r="S47" s="602"/>
      <c r="T47" s="1987">
        <f>PT.anaer_lagoon!AN282</f>
        <v>0.26016444660987187</v>
      </c>
      <c r="U47" s="1987" t="str">
        <f>PT.anaer_lagoon!AF282</f>
        <v>hr/event</v>
      </c>
      <c r="V47" s="1986"/>
      <c r="W47" s="1986"/>
      <c r="X47" s="1986"/>
      <c r="Y47" s="1986"/>
      <c r="Z47" s="1986"/>
      <c r="AA47" s="1986"/>
    </row>
    <row r="48" spans="2:27" ht="15.75" customHeight="1" x14ac:dyDescent="0.3">
      <c r="B48" s="602" t="str">
        <f>PT.anaer_lagoon!B352</f>
        <v>Land for sludge application</v>
      </c>
      <c r="C48" s="1987">
        <f>PT.anaer_lagoon!AN352</f>
        <v>27770.346668351751</v>
      </c>
      <c r="D48" s="602" t="str">
        <f>PT.anaer_lagoon!F352</f>
        <v>m2</v>
      </c>
      <c r="E48" s="1611"/>
      <c r="F48" s="1936"/>
      <c r="G48" s="1943"/>
      <c r="H48" s="1945"/>
      <c r="I48" s="1945"/>
      <c r="J48" s="1961"/>
      <c r="K48" s="1951"/>
      <c r="L48" s="1945"/>
      <c r="M48" s="1945"/>
      <c r="N48" s="1946"/>
      <c r="O48" s="1945"/>
      <c r="Q48" s="602"/>
      <c r="R48" s="602" t="str">
        <f>PT.anaer_lagoon!B283</f>
        <v>Fuel needed for tractor for pumping</v>
      </c>
      <c r="S48" s="602"/>
      <c r="T48" s="1987">
        <f>PT.anaer_lagoon!AN283</f>
        <v>2.0605024171501851</v>
      </c>
      <c r="U48" s="1987" t="str">
        <f>PT.anaer_lagoon!AF283</f>
        <v>gal/event</v>
      </c>
      <c r="V48" s="1986"/>
      <c r="W48" s="1986"/>
      <c r="X48" s="1986"/>
      <c r="Y48" s="1986"/>
      <c r="Z48" s="1986"/>
      <c r="AA48" s="1986"/>
    </row>
    <row r="49" spans="2:21" ht="15.75" customHeight="1" x14ac:dyDescent="0.3">
      <c r="B49" s="714"/>
      <c r="C49" s="648"/>
      <c r="D49" s="714"/>
      <c r="E49" s="1611"/>
      <c r="F49" s="1936"/>
      <c r="G49" s="1946"/>
      <c r="H49" s="1945"/>
      <c r="I49" s="1945"/>
      <c r="J49" s="1945"/>
      <c r="K49" s="1945"/>
      <c r="L49" s="1945"/>
      <c r="M49" s="1945"/>
      <c r="N49" s="1933"/>
      <c r="O49" s="1936"/>
      <c r="Q49" s="602"/>
      <c r="R49" s="602" t="str">
        <f>PT.anaer_lagoon!B284</f>
        <v>Size of tractor for pulling hose reel and applicator</v>
      </c>
      <c r="S49" s="602"/>
      <c r="T49" s="1987">
        <f>PT.anaer_lagoon!AN284</f>
        <v>580</v>
      </c>
      <c r="U49" s="1987" t="str">
        <f>PT.anaer_lagoon!AF284</f>
        <v>PTO hp</v>
      </c>
    </row>
    <row r="50" spans="2:21" ht="15.75" customHeight="1" x14ac:dyDescent="0.3">
      <c r="E50" s="1611"/>
      <c r="F50" s="1936"/>
      <c r="G50" s="1948"/>
      <c r="H50" s="1945"/>
      <c r="I50" s="1945"/>
      <c r="J50" s="1945"/>
      <c r="K50" s="1945"/>
      <c r="L50" s="1945"/>
      <c r="M50" s="1945"/>
      <c r="N50" s="1945"/>
      <c r="O50" s="1945"/>
      <c r="Q50" s="602"/>
      <c r="R50" s="602" t="str">
        <f>PT.anaer_lagoon!B285</f>
        <v>Number of tractors for pulling hose reel and applicator</v>
      </c>
      <c r="S50" s="602"/>
      <c r="T50" s="1987">
        <f>PT.anaer_lagoon!AN285</f>
        <v>1</v>
      </c>
      <c r="U50" s="1987" t="str">
        <f>PT.anaer_lagoon!AF285</f>
        <v>quantity</v>
      </c>
    </row>
    <row r="51" spans="2:21" ht="15.75" customHeight="1" x14ac:dyDescent="0.3">
      <c r="B51" s="1668" t="s">
        <v>5753</v>
      </c>
      <c r="C51" s="1680"/>
      <c r="D51" s="1815"/>
      <c r="E51" s="1611"/>
      <c r="F51" s="1936"/>
      <c r="G51" s="1948"/>
      <c r="H51" s="1945"/>
      <c r="I51" s="1945"/>
      <c r="J51" s="1945"/>
      <c r="K51" s="1945"/>
      <c r="L51" s="1945"/>
      <c r="M51" s="1945"/>
      <c r="N51" s="1945"/>
      <c r="O51" s="1945"/>
      <c r="Q51" s="602"/>
      <c r="R51" s="602" t="str">
        <f>PT.anaer_lagoon!B286</f>
        <v>Number of tractors for support with hose pulley</v>
      </c>
      <c r="S51" s="602"/>
      <c r="T51" s="1987">
        <f>PT.anaer_lagoon!AN286</f>
        <v>1</v>
      </c>
      <c r="U51" s="1987" t="str">
        <f>PT.anaer_lagoon!AF286</f>
        <v>quantity</v>
      </c>
    </row>
    <row r="52" spans="2:21" ht="15.75" customHeight="1" x14ac:dyDescent="0.3">
      <c r="B52" s="602" t="str">
        <f>PT.anaer_lagoon!B354</f>
        <v>Diesel fuel used for tanker land application of liquids</v>
      </c>
      <c r="C52" s="1987">
        <f>PT.anaer_lagoon!AN354</f>
        <v>0.16573658517986359</v>
      </c>
      <c r="D52" s="602" t="str">
        <f>PT.anaer_lagoon!F354</f>
        <v>gal/head/year</v>
      </c>
      <c r="E52" s="1611"/>
      <c r="F52" s="1936"/>
      <c r="G52" s="1947"/>
      <c r="H52" s="1945"/>
      <c r="I52" s="1945"/>
      <c r="J52" s="1945"/>
      <c r="K52" s="1945"/>
      <c r="L52" s="1945"/>
      <c r="M52" s="1945"/>
      <c r="N52" s="1945"/>
      <c r="O52" s="1945"/>
      <c r="Q52" s="602"/>
      <c r="R52" s="602" t="str">
        <f>PT.anaer_lagoon!B287</f>
        <v>Size of tractor for support with hose pulley</v>
      </c>
      <c r="S52" s="602"/>
      <c r="T52" s="1987">
        <f>PT.anaer_lagoon!AN287</f>
        <v>340</v>
      </c>
      <c r="U52" s="1987" t="str">
        <f>PT.anaer_lagoon!AF287</f>
        <v>PTO hp</v>
      </c>
    </row>
    <row r="53" spans="2:21" ht="15.75" customHeight="1" x14ac:dyDescent="0.3">
      <c r="B53" s="602" t="str">
        <f>PT.anaer_lagoon!B355</f>
        <v>Diesel fuel used for tanker land application of sludge</v>
      </c>
      <c r="C53" s="1987">
        <f>PT.anaer_lagoon!AN355</f>
        <v>0.16320195292707934</v>
      </c>
      <c r="D53" s="602" t="str">
        <f>PT.anaer_lagoon!F355</f>
        <v>gal/head/year</v>
      </c>
      <c r="E53" s="1611"/>
      <c r="F53" s="1936"/>
      <c r="G53" s="1947"/>
      <c r="H53" s="1945"/>
      <c r="I53" s="1945"/>
      <c r="J53" s="1945"/>
      <c r="K53" s="1945"/>
      <c r="L53" s="1945"/>
      <c r="M53" s="1945"/>
      <c r="N53" s="1945"/>
      <c r="O53" s="1990"/>
      <c r="Q53" s="602"/>
      <c r="R53" s="602" t="str">
        <f>PT.anaer_lagoon!B288</f>
        <v>Distance from storage to field</v>
      </c>
      <c r="S53" s="602"/>
      <c r="T53" s="1987">
        <f>PT.anaer_lagoon!AN288</f>
        <v>2</v>
      </c>
      <c r="U53" s="1987" t="str">
        <f>PT.anaer_lagoon!AF288</f>
        <v>miles</v>
      </c>
    </row>
    <row r="54" spans="2:21" ht="15.75" customHeight="1" x14ac:dyDescent="0.3">
      <c r="B54" s="602" t="str">
        <f>PT.anaer_lagoon!B356</f>
        <v>Diesel fuel used for drag hose land application of liquids</v>
      </c>
      <c r="C54" s="1987">
        <f>PT.anaer_lagoon!AN356</f>
        <v>5.4774675703313611E-2</v>
      </c>
      <c r="D54" s="602" t="str">
        <f>PT.anaer_lagoon!F356</f>
        <v>gal/head/year</v>
      </c>
      <c r="E54" s="1611"/>
      <c r="F54" s="1936"/>
      <c r="G54" s="1947"/>
      <c r="H54" s="1945"/>
      <c r="I54" s="1945"/>
      <c r="J54" s="1945"/>
      <c r="K54" s="1945"/>
      <c r="L54" s="1945"/>
      <c r="M54" s="1945"/>
      <c r="N54" s="1945"/>
      <c r="O54" s="1938"/>
      <c r="Q54" s="602"/>
      <c r="R54" s="602" t="str">
        <f>PT.anaer_lagoon!B289</f>
        <v>Fuel needed for tractor for pulling hose reel and applicator</v>
      </c>
      <c r="S54" s="602"/>
      <c r="T54" s="1987">
        <f>PT.anaer_lagoon!AN289</f>
        <v>25.52</v>
      </c>
      <c r="U54" s="1987" t="str">
        <f>PT.anaer_lagoon!AF289</f>
        <v>gal/hr</v>
      </c>
    </row>
    <row r="55" spans="2:21" ht="15.75" customHeight="1" x14ac:dyDescent="0.3">
      <c r="B55" s="602" t="str">
        <f>PT.anaer_lagoon!B357</f>
        <v>Diesel fuel used for drag hose land application of sludge</v>
      </c>
      <c r="C55" s="1987">
        <f>PT.anaer_lagoon!AN357</f>
        <v>8.9394455876532358E-2</v>
      </c>
      <c r="D55" s="602" t="str">
        <f>PT.anaer_lagoon!F357</f>
        <v>gal/head/year</v>
      </c>
      <c r="E55" s="1611"/>
      <c r="F55" s="1936"/>
      <c r="G55" s="1947"/>
      <c r="H55" s="1945"/>
      <c r="I55" s="1945"/>
      <c r="J55" s="1945"/>
      <c r="K55" s="1945"/>
      <c r="L55" s="1945"/>
      <c r="M55" s="1945"/>
      <c r="N55" s="1945"/>
      <c r="O55" s="1952"/>
      <c r="Q55" s="602"/>
      <c r="R55" s="602" t="str">
        <f>PT.anaer_lagoon!B290</f>
        <v>Fuel needed for support tractor with hose pulley</v>
      </c>
      <c r="S55" s="602"/>
      <c r="T55" s="1987">
        <f>PT.anaer_lagoon!AN290</f>
        <v>14.959999999999999</v>
      </c>
      <c r="U55" s="1987" t="str">
        <f>PT.anaer_lagoon!AF290</f>
        <v>gal/hr</v>
      </c>
    </row>
    <row r="56" spans="2:21" ht="15.75" customHeight="1" x14ac:dyDescent="0.3">
      <c r="B56" s="714" t="s">
        <v>7144</v>
      </c>
      <c r="C56" s="648">
        <f>C52+C53</f>
        <v>0.32893853810694296</v>
      </c>
      <c r="D56" s="714" t="s">
        <v>2497</v>
      </c>
      <c r="E56" s="1611"/>
      <c r="F56" s="1935"/>
      <c r="G56" s="1945"/>
      <c r="H56" s="1945"/>
      <c r="I56" s="1945"/>
      <c r="J56" s="1961"/>
      <c r="K56" s="1951"/>
      <c r="L56" s="1945"/>
      <c r="M56" s="1945"/>
      <c r="N56" s="1945"/>
      <c r="O56" s="1991"/>
      <c r="Q56" s="602"/>
      <c r="R56" s="602" t="str">
        <f>PT.anaer_lagoon!B291</f>
        <v>Diesel powered pump(s), size</v>
      </c>
      <c r="S56" s="602"/>
      <c r="T56" s="1987">
        <f>PT.anaer_lagoon!AN291</f>
        <v>3000</v>
      </c>
      <c r="U56" s="1987" t="str">
        <f>PT.anaer_lagoon!AF291</f>
        <v>gal/min</v>
      </c>
    </row>
    <row r="57" spans="2:21" ht="15.75" customHeight="1" x14ac:dyDescent="0.3">
      <c r="B57" s="49" t="s">
        <v>7145</v>
      </c>
      <c r="C57" s="648">
        <f>C54+C55</f>
        <v>0.14416913157984595</v>
      </c>
      <c r="D57" s="714" t="s">
        <v>2497</v>
      </c>
      <c r="E57" s="1944"/>
      <c r="F57" s="1944"/>
      <c r="G57" s="1944"/>
      <c r="H57" s="1944"/>
      <c r="I57" s="1945"/>
      <c r="J57" s="1961"/>
      <c r="K57" s="1951"/>
      <c r="L57" s="1945"/>
      <c r="M57" s="1945"/>
      <c r="N57" s="1945"/>
      <c r="O57" s="1945"/>
      <c r="Q57" s="602"/>
      <c r="R57" s="602" t="str">
        <f>PT.anaer_lagoon!B292</f>
        <v>Number of diesel powered lead pumps needed</v>
      </c>
      <c r="S57" s="602"/>
      <c r="T57" s="1987">
        <f>PT.anaer_lagoon!AN292</f>
        <v>1</v>
      </c>
      <c r="U57" s="1987" t="str">
        <f>PT.anaer_lagoon!AF292</f>
        <v>quantity</v>
      </c>
    </row>
    <row r="58" spans="2:21" ht="15.75" customHeight="1" x14ac:dyDescent="0.3">
      <c r="B58" s="1668" t="s">
        <v>5756</v>
      </c>
      <c r="C58" s="1680"/>
      <c r="D58" s="1815"/>
      <c r="E58" s="1611"/>
      <c r="F58" s="1611"/>
      <c r="G58" s="1947"/>
      <c r="H58" s="1945"/>
      <c r="I58" s="1945"/>
      <c r="J58" s="1961"/>
      <c r="K58" s="1951"/>
      <c r="L58" s="1945"/>
      <c r="M58" s="1945"/>
      <c r="N58" s="1945"/>
      <c r="O58" s="1945"/>
      <c r="Q58" s="602"/>
      <c r="R58" s="602" t="str">
        <f>PT.anaer_lagoon!B293</f>
        <v>Number of diesel powered agitation trailers needed</v>
      </c>
      <c r="S58" s="602"/>
      <c r="T58" s="1987">
        <f>PT.anaer_lagoon!AN293</f>
        <v>1</v>
      </c>
      <c r="U58" s="1987" t="str">
        <f>PT.anaer_lagoon!AF293</f>
        <v>quantity</v>
      </c>
    </row>
    <row r="59" spans="2:21" ht="15.75" customHeight="1" x14ac:dyDescent="0.3">
      <c r="B59" s="49" t="str">
        <f>PT.anaer_lagoon!B362</f>
        <v>Total N accumulated in liquids</v>
      </c>
      <c r="C59" s="1877">
        <f>PT.anaer_lagoon!AN362</f>
        <v>5.1112866240170316</v>
      </c>
      <c r="D59" s="49" t="str">
        <f>PT.anaer_lagoon!F362</f>
        <v>kg/head/year</v>
      </c>
      <c r="E59" s="1611"/>
      <c r="F59" s="1611"/>
      <c r="G59" s="1945"/>
      <c r="H59" s="1945"/>
      <c r="I59" s="1945"/>
      <c r="J59" s="1945"/>
      <c r="K59" s="1945"/>
      <c r="L59" s="1945"/>
      <c r="M59" s="1945"/>
      <c r="N59" s="1945"/>
      <c r="O59" s="1945"/>
      <c r="Q59" s="602"/>
      <c r="R59" s="602" t="str">
        <f>PT.anaer_lagoon!B294</f>
        <v>Number of booster pumps needed</v>
      </c>
      <c r="S59" s="602"/>
      <c r="T59" s="1987">
        <f>PT.anaer_lagoon!AN294</f>
        <v>1</v>
      </c>
      <c r="U59" s="1987" t="str">
        <f>PT.anaer_lagoon!AF294</f>
        <v>quantity</v>
      </c>
    </row>
    <row r="60" spans="2:21" ht="15.75" customHeight="1" x14ac:dyDescent="0.3">
      <c r="B60" s="49" t="str">
        <f>PT.anaer_lagoon!B363</f>
        <v>Total P2O5 accumulated in liquids</v>
      </c>
      <c r="C60" s="1877">
        <f>PT.anaer_lagoon!AN363</f>
        <v>3.6537102250000002</v>
      </c>
      <c r="D60" s="49" t="str">
        <f>PT.anaer_lagoon!F363</f>
        <v>kg/head/year</v>
      </c>
      <c r="E60" s="1611"/>
      <c r="F60" s="1611"/>
      <c r="G60" s="1945"/>
      <c r="H60" s="1945"/>
      <c r="I60" s="1945"/>
      <c r="J60" s="1914"/>
      <c r="K60" s="1945"/>
      <c r="L60" s="1945"/>
      <c r="M60" s="1945"/>
      <c r="N60" s="1945"/>
      <c r="O60" s="1945"/>
      <c r="Q60" s="602"/>
      <c r="R60" s="602" t="str">
        <f>PT.anaer_lagoon!B295</f>
        <v>Operation time for pumping</v>
      </c>
      <c r="S60" s="602"/>
      <c r="T60" s="1987">
        <f>PT.anaer_lagoon!AN295</f>
        <v>0.17344296440658125</v>
      </c>
      <c r="U60" s="1987" t="str">
        <f>PT.anaer_lagoon!AF295</f>
        <v>hr</v>
      </c>
    </row>
    <row r="61" spans="2:21" ht="15.75" customHeight="1" x14ac:dyDescent="0.3">
      <c r="B61" s="49" t="str">
        <f>PT.anaer_lagoon!B364</f>
        <v>Total K2O accumulated in liquids</v>
      </c>
      <c r="C61" s="1877">
        <f>PT.anaer_lagoon!AN364</f>
        <v>5.5517686249999993</v>
      </c>
      <c r="D61" s="49" t="str">
        <f>PT.anaer_lagoon!F364</f>
        <v>kg/head/year</v>
      </c>
      <c r="E61" s="1611"/>
      <c r="F61" s="1935"/>
      <c r="G61" s="1946"/>
      <c r="H61" s="1945"/>
      <c r="I61" s="1945"/>
      <c r="J61" s="1945"/>
      <c r="K61" s="1945"/>
      <c r="L61" s="1952"/>
      <c r="M61" s="1945"/>
      <c r="N61" s="1945"/>
      <c r="O61" s="1945"/>
      <c r="Q61" s="602"/>
      <c r="R61" s="602" t="str">
        <f>PT.anaer_lagoon!B296</f>
        <v>Fuel needed for diesel powered lead pump</v>
      </c>
      <c r="S61" s="602"/>
      <c r="T61" s="1987">
        <f>PT.anaer_lagoon!AN296</f>
        <v>3.1219733593184626</v>
      </c>
      <c r="U61" s="1987" t="str">
        <f>PT.anaer_lagoon!AF296</f>
        <v>gal/event</v>
      </c>
    </row>
    <row r="62" spans="2:21" ht="15.75" customHeight="1" x14ac:dyDescent="0.3">
      <c r="B62" s="1668" t="s">
        <v>6432</v>
      </c>
      <c r="C62" s="1680"/>
      <c r="D62" s="1815"/>
      <c r="E62" s="1939"/>
      <c r="F62" s="1935"/>
      <c r="G62" s="1947"/>
      <c r="H62" s="1945"/>
      <c r="I62" s="1945"/>
      <c r="J62" s="1945"/>
      <c r="K62" s="1945"/>
      <c r="L62" s="1952"/>
      <c r="M62" s="1945"/>
      <c r="N62" s="1945"/>
      <c r="O62" s="1945"/>
      <c r="Q62" s="602"/>
      <c r="R62" s="602" t="str">
        <f>PT.anaer_lagoon!B297</f>
        <v>Fuel needed for diesel powered booster pump</v>
      </c>
      <c r="S62" s="602"/>
      <c r="T62" s="1987">
        <f>PT.anaer_lagoon!AN297</f>
        <v>1.3008222330493593</v>
      </c>
      <c r="U62" s="1987" t="str">
        <f>PT.anaer_lagoon!AF297</f>
        <v>gal/event</v>
      </c>
    </row>
    <row r="63" spans="2:21" ht="15.75" customHeight="1" x14ac:dyDescent="0.3">
      <c r="B63" s="49" t="str">
        <f>PT.anaer_lagoon!B366</f>
        <v>Total N accumulated in sludge</v>
      </c>
      <c r="C63" s="1877">
        <f>PT.anaer_lagoon!AN366</f>
        <v>1.2778216560042575</v>
      </c>
      <c r="D63" s="49" t="str">
        <f>PT.anaer_lagoon!F366</f>
        <v>kg/head/year</v>
      </c>
      <c r="E63" s="1939"/>
      <c r="F63" s="1935"/>
      <c r="G63" s="1947"/>
      <c r="H63" s="1945"/>
      <c r="I63" s="1945"/>
      <c r="J63" s="1945"/>
      <c r="K63" s="1945"/>
      <c r="L63" s="1952"/>
      <c r="M63" s="1949"/>
      <c r="N63" s="1945"/>
      <c r="O63" s="1945"/>
      <c r="Q63" s="602"/>
      <c r="R63" s="602" t="str">
        <f>PT.anaer_lagoon!B298</f>
        <v>Fuel needed for diesel powered agitation trailer</v>
      </c>
      <c r="S63" s="602"/>
      <c r="T63" s="1987">
        <f>PT.anaer_lagoon!AN298</f>
        <v>1.0406577864394875</v>
      </c>
      <c r="U63" s="1987" t="str">
        <f>PT.anaer_lagoon!AF298</f>
        <v>gal/event</v>
      </c>
    </row>
    <row r="64" spans="2:21" ht="15.75" customHeight="1" x14ac:dyDescent="0.3">
      <c r="B64" s="49" t="str">
        <f>PT.anaer_lagoon!B367</f>
        <v>Total P2O5 accumulated in sludge</v>
      </c>
      <c r="C64" s="1877">
        <f>PT.anaer_lagoon!AN367</f>
        <v>2.9893992749999998</v>
      </c>
      <c r="D64" s="49" t="str">
        <f>PT.anaer_lagoon!F367</f>
        <v>kg/head/year</v>
      </c>
      <c r="E64" s="1611"/>
      <c r="F64" s="1935"/>
      <c r="G64" s="1938"/>
      <c r="H64" s="1945"/>
      <c r="I64" s="1945"/>
      <c r="J64" s="1945"/>
      <c r="K64" s="1945"/>
      <c r="L64" s="1952"/>
      <c r="M64" s="1945"/>
      <c r="N64" s="1945"/>
      <c r="O64" s="1945"/>
      <c r="Q64" s="602"/>
      <c r="R64" s="602" t="str">
        <f>PT.anaer_lagoon!B299</f>
        <v>Fuel needed for pickup truck</v>
      </c>
      <c r="S64" s="602"/>
      <c r="T64" s="1987">
        <f>PT.anaer_lagoon!AN299</f>
        <v>0.15609866796592312</v>
      </c>
      <c r="U64" s="1987" t="str">
        <f>PT.anaer_lagoon!AF299</f>
        <v>gal/event</v>
      </c>
    </row>
    <row r="65" spans="2:21" ht="15.75" customHeight="1" x14ac:dyDescent="0.3">
      <c r="B65" s="49" t="str">
        <f>PT.anaer_lagoon!B368</f>
        <v>Total K2O accumulated in sludge</v>
      </c>
      <c r="C65" s="1877">
        <f>PT.anaer_lagoon!AN368</f>
        <v>2.9894138749999994</v>
      </c>
      <c r="D65" s="49" t="str">
        <f>PT.anaer_lagoon!F368</f>
        <v>kg/head/year</v>
      </c>
      <c r="E65" s="1611"/>
      <c r="F65" s="1935"/>
      <c r="G65" s="1946"/>
      <c r="H65" s="1945"/>
      <c r="I65" s="1945"/>
      <c r="J65" s="1945"/>
      <c r="K65" s="1945"/>
      <c r="L65" s="1952"/>
      <c r="M65" s="1945"/>
      <c r="N65" s="1945"/>
      <c r="O65" s="1945"/>
      <c r="Q65" s="602"/>
      <c r="R65" s="602" t="str">
        <f>PT.anaer_lagoon!B300</f>
        <v>Excess volume, lagoon liquid manure</v>
      </c>
      <c r="S65" s="602"/>
      <c r="T65" s="1987">
        <f>PT.anaer_lagoon!AN300</f>
        <v>0</v>
      </c>
      <c r="U65" s="1987" t="str">
        <f>PT.anaer_lagoon!AF300</f>
        <v>1000 gal/year</v>
      </c>
    </row>
    <row r="66" spans="2:21" ht="15.75" customHeight="1" x14ac:dyDescent="0.3">
      <c r="B66" s="1668" t="s">
        <v>5760</v>
      </c>
      <c r="C66" s="1680"/>
      <c r="D66" s="1815"/>
      <c r="E66" s="1611"/>
      <c r="F66" s="1935"/>
      <c r="G66" s="1947"/>
      <c r="H66" s="1945"/>
      <c r="I66" s="1945"/>
      <c r="J66" s="1945"/>
      <c r="K66" s="1945"/>
      <c r="L66" s="1940"/>
      <c r="M66" s="1945"/>
      <c r="N66" s="1945"/>
      <c r="O66" s="1945"/>
      <c r="Q66" s="602"/>
      <c r="R66" s="602" t="str">
        <f>PT.anaer_lagoon!B301</f>
        <v>Excess volume, lagoon sludge manure</v>
      </c>
      <c r="S66" s="602"/>
      <c r="T66" s="1987">
        <f>PT.anaer_lagoon!AN301</f>
        <v>0</v>
      </c>
      <c r="U66" s="1987" t="str">
        <f>PT.anaer_lagoon!AF301</f>
        <v>1000 gal/event</v>
      </c>
    </row>
    <row r="67" spans="2:21" ht="15.75" customHeight="1" x14ac:dyDescent="0.3">
      <c r="B67" s="49" t="str">
        <f>PT.anaer_lagoon!B370</f>
        <v>Excess N from liquids</v>
      </c>
      <c r="C67" s="1877">
        <f>PT.anaer_lagoon!AN370</f>
        <v>0</v>
      </c>
      <c r="D67" s="49" t="str">
        <f>PT.anaer_lagoon!F370</f>
        <v>kg/head/year</v>
      </c>
      <c r="E67" s="1611"/>
      <c r="F67" s="1935"/>
      <c r="G67" s="1945"/>
      <c r="H67" s="1945"/>
      <c r="I67" s="1945"/>
      <c r="J67" s="1941"/>
      <c r="K67" s="1945"/>
      <c r="L67" s="1937"/>
      <c r="M67" s="1945"/>
      <c r="N67" s="1945"/>
      <c r="O67" s="1945"/>
      <c r="Q67" s="602"/>
      <c r="R67" s="602" t="str">
        <f>PT.anaer_lagoon!B302</f>
        <v>Fertilizer value for on-farm use, liquids</v>
      </c>
      <c r="S67" s="602"/>
      <c r="T67" s="1987">
        <f>PT.anaer_lagoon!AN302</f>
        <v>4774.9083544947553</v>
      </c>
      <c r="U67" s="1987" t="str">
        <f>PT.anaer_lagoon!AF302</f>
        <v>$/year</v>
      </c>
    </row>
    <row r="68" spans="2:21" ht="15.75" customHeight="1" x14ac:dyDescent="0.3">
      <c r="B68" s="49" t="str">
        <f>PT.anaer_lagoon!B371</f>
        <v>Excess P2O5 from liquids</v>
      </c>
      <c r="C68" s="1877">
        <f>PT.anaer_lagoon!AN371</f>
        <v>2.0826469418024298</v>
      </c>
      <c r="D68" s="49" t="str">
        <f>PT.anaer_lagoon!F371</f>
        <v>kg/head/year</v>
      </c>
      <c r="E68" s="1942"/>
      <c r="F68" s="1935"/>
      <c r="G68" s="1945"/>
      <c r="H68" s="1945"/>
      <c r="I68" s="1945"/>
      <c r="J68" s="1945"/>
      <c r="K68" s="1945"/>
      <c r="L68" s="1945"/>
      <c r="M68" s="1945"/>
      <c r="N68" s="1945"/>
      <c r="O68" s="1945"/>
      <c r="Q68" s="602"/>
      <c r="R68" s="602" t="str">
        <f>PT.anaer_lagoon!B303</f>
        <v>Fertilizer value for on-farm use, sludge</v>
      </c>
      <c r="S68" s="602"/>
      <c r="T68" s="1987">
        <f>PT.anaer_lagoon!AN303</f>
        <v>11871.609652078669</v>
      </c>
      <c r="U68" s="1987" t="str">
        <f>PT.anaer_lagoon!AF303</f>
        <v>$/event</v>
      </c>
    </row>
    <row r="69" spans="2:21" ht="15.75" customHeight="1" x14ac:dyDescent="0.3">
      <c r="B69" s="49" t="str">
        <f>PT.anaer_lagoon!B372</f>
        <v>Excess K2O from liquids</v>
      </c>
      <c r="C69" s="1877">
        <f>PT.anaer_lagoon!AN372</f>
        <v>3.2798777243722697</v>
      </c>
      <c r="D69" s="49" t="str">
        <f>PT.anaer_lagoon!F372</f>
        <v>kg/head/year</v>
      </c>
      <c r="E69" s="1611"/>
      <c r="F69" s="1935"/>
      <c r="G69" s="1946"/>
      <c r="H69" s="1945"/>
      <c r="I69" s="1945"/>
      <c r="J69" s="1950"/>
      <c r="K69" s="1950"/>
      <c r="L69" s="1950"/>
      <c r="M69" s="1945"/>
      <c r="N69" s="1945"/>
      <c r="O69" s="1945"/>
      <c r="Q69" s="602"/>
      <c r="R69" s="602" t="str">
        <f>PT.anaer_lagoon!B304</f>
        <v>Transfer table entries (aligned with tables on the right)</v>
      </c>
      <c r="S69" s="602"/>
      <c r="T69" s="1987">
        <f>PT.anaer_lagoon!AN304</f>
        <v>11</v>
      </c>
      <c r="U69" s="1987" t="str">
        <f>PT.anaer_lagoon!AF304</f>
        <v>Unit</v>
      </c>
    </row>
    <row r="70" spans="2:21" ht="15.75" customHeight="1" x14ac:dyDescent="0.3">
      <c r="B70" s="1668" t="s">
        <v>6439</v>
      </c>
      <c r="C70" s="1680"/>
      <c r="D70" s="1815"/>
      <c r="E70" s="1611"/>
      <c r="F70" s="1935"/>
      <c r="G70" s="1946"/>
      <c r="H70" s="1945"/>
      <c r="I70" s="1945"/>
      <c r="J70" s="1945"/>
      <c r="K70" s="1945"/>
      <c r="L70" s="1945"/>
      <c r="M70" s="1945"/>
      <c r="N70" s="1945"/>
      <c r="O70" s="1945"/>
    </row>
    <row r="71" spans="2:21" ht="15.75" customHeight="1" x14ac:dyDescent="0.3">
      <c r="B71" s="49" t="str">
        <f>PT.anaer_lagoon!B374</f>
        <v>Excess N from sludge</v>
      </c>
      <c r="C71" s="1877">
        <f>PT.anaer_lagoon!AN374</f>
        <v>0</v>
      </c>
      <c r="D71" s="49" t="str">
        <f>PT.anaer_lagoon!F374</f>
        <v>kg/head/year</v>
      </c>
      <c r="E71" s="1611"/>
      <c r="F71" s="1935"/>
      <c r="G71" s="1946"/>
      <c r="H71" s="1945"/>
      <c r="I71" s="1945"/>
      <c r="J71" s="1945"/>
      <c r="K71" s="1945"/>
      <c r="L71" s="1945"/>
      <c r="M71" s="1945"/>
      <c r="N71" s="1945"/>
      <c r="O71" s="1945"/>
      <c r="Q71" s="118" t="s">
        <v>7175</v>
      </c>
      <c r="R71" s="1293"/>
      <c r="S71" s="1293"/>
      <c r="T71" s="1293"/>
      <c r="U71" s="1293"/>
    </row>
    <row r="72" spans="2:21" ht="15.75" customHeight="1" x14ac:dyDescent="0.3">
      <c r="B72" s="49" t="str">
        <f>PT.anaer_lagoon!B375</f>
        <v>Excess P2O5 from sludge</v>
      </c>
      <c r="C72" s="1877">
        <f>PT.anaer_lagoon!AN375</f>
        <v>2.4975386577593883</v>
      </c>
      <c r="D72" s="49" t="str">
        <f>PT.anaer_lagoon!F375</f>
        <v>kg/head/year</v>
      </c>
      <c r="E72" s="1611"/>
      <c r="F72" s="1935"/>
      <c r="G72" s="1946"/>
      <c r="H72" s="1945"/>
      <c r="I72" s="1945"/>
      <c r="J72" s="1945"/>
      <c r="K72" s="1945"/>
      <c r="L72" s="1945"/>
      <c r="M72" s="1945"/>
      <c r="N72" s="1945"/>
      <c r="O72" s="1945"/>
      <c r="Q72" s="49"/>
      <c r="R72" s="18" t="s">
        <v>7176</v>
      </c>
      <c r="S72" s="49"/>
      <c r="T72" s="2126">
        <f>VLOOKUP("Sc 11a",'LCIA Summary output'!P:T,5,FALSE)</f>
        <v>0.67345190886709994</v>
      </c>
      <c r="U72" s="18" t="s">
        <v>7177</v>
      </c>
    </row>
    <row r="73" spans="2:21" ht="15.75" customHeight="1" x14ac:dyDescent="0.3">
      <c r="B73" s="49" t="str">
        <f>PT.anaer_lagoon!B376</f>
        <v>Excess K2O from sludge</v>
      </c>
      <c r="C73" s="1877">
        <f>PT.anaer_lagoon!AN376</f>
        <v>2.4291382462565325</v>
      </c>
      <c r="D73" s="49" t="str">
        <f>PT.anaer_lagoon!F376</f>
        <v>kg/head/year</v>
      </c>
      <c r="E73" s="1611"/>
      <c r="F73" s="1935"/>
      <c r="G73" s="1946"/>
      <c r="H73" s="1945"/>
      <c r="I73" s="1945"/>
      <c r="J73" s="1945"/>
      <c r="K73" s="1945"/>
      <c r="L73" s="1945"/>
      <c r="M73" s="1945"/>
      <c r="N73" s="1945"/>
      <c r="O73" s="1945"/>
      <c r="Q73" s="49"/>
      <c r="R73" s="18" t="s">
        <v>7178</v>
      </c>
      <c r="S73" s="49"/>
      <c r="T73" s="2126">
        <f>VLOOKUP("Sc 11b",'LCIA Summary output'!P:T,5,FALSE)</f>
        <v>0.67157095630865415</v>
      </c>
      <c r="U73" s="18" t="s">
        <v>7177</v>
      </c>
    </row>
    <row r="74" spans="2:21" ht="15.75" customHeight="1" x14ac:dyDescent="0.3">
      <c r="B74" s="1945"/>
      <c r="C74" s="1945"/>
      <c r="D74" s="1942"/>
      <c r="E74" s="1611"/>
      <c r="F74" s="1935"/>
      <c r="G74" s="1932"/>
      <c r="H74" s="1945"/>
      <c r="I74" s="1945"/>
      <c r="J74" s="1945"/>
      <c r="K74" s="1952"/>
      <c r="L74" s="1952"/>
      <c r="M74" s="1945"/>
      <c r="N74" s="1945"/>
      <c r="O74" s="1945"/>
      <c r="Q74" s="49"/>
      <c r="R74" s="18" t="s">
        <v>7179</v>
      </c>
      <c r="S74" s="49"/>
      <c r="T74" s="2127">
        <f>T72*UDV.animal.total</f>
        <v>336.72595443354999</v>
      </c>
      <c r="U74" s="49" t="s">
        <v>7180</v>
      </c>
    </row>
    <row r="75" spans="2:21" ht="15.75" customHeight="1" x14ac:dyDescent="0.3">
      <c r="E75" s="1945"/>
      <c r="F75" s="1935"/>
      <c r="G75" s="1932"/>
      <c r="H75" s="1945"/>
      <c r="I75" s="1945"/>
      <c r="J75" s="1945"/>
      <c r="K75" s="1945"/>
      <c r="L75" s="1945"/>
      <c r="M75" s="1945"/>
      <c r="N75" s="1945"/>
      <c r="O75" s="1945"/>
      <c r="Q75" s="49"/>
      <c r="R75" s="18" t="s">
        <v>7181</v>
      </c>
      <c r="S75" s="49"/>
      <c r="T75" s="2127">
        <f>T73*UDV.animal.total</f>
        <v>335.78547815432705</v>
      </c>
      <c r="U75" s="49" t="s">
        <v>7180</v>
      </c>
    </row>
    <row r="76" spans="2:21" ht="15.75" customHeight="1" x14ac:dyDescent="0.3">
      <c r="E76" s="1611"/>
      <c r="F76" s="1935"/>
      <c r="G76" s="1932"/>
      <c r="H76" s="1945"/>
      <c r="I76" s="1945"/>
      <c r="J76" s="1914"/>
      <c r="K76" s="1945"/>
      <c r="L76" s="1945"/>
      <c r="M76" s="1945"/>
      <c r="N76" s="1945"/>
      <c r="O76" s="1945"/>
      <c r="U76" s="42"/>
    </row>
    <row r="77" spans="2:21" ht="15.75" customHeight="1" x14ac:dyDescent="0.3">
      <c r="B77" s="1668" t="s">
        <v>6280</v>
      </c>
      <c r="C77" s="1680"/>
      <c r="D77" s="1815"/>
      <c r="E77" s="1611"/>
      <c r="F77" s="1935"/>
      <c r="G77" s="1932"/>
      <c r="H77" s="1945"/>
      <c r="I77" s="1945"/>
      <c r="J77" s="1953"/>
      <c r="K77" s="1953"/>
      <c r="L77" s="1953"/>
      <c r="M77" s="1953"/>
      <c r="N77" s="1945"/>
      <c r="O77" s="1945"/>
      <c r="Q77" s="76" t="s">
        <v>7182</v>
      </c>
      <c r="R77" s="18" t="s">
        <v>7183</v>
      </c>
      <c r="S77" s="49"/>
      <c r="T77" s="2128">
        <f>MAX(0, INDEX(EconIntermediate!$C$25:$BV$25, MATCH(UDV.u.farm_baseline, EconIntermediate!$C$3:$BV$3,0))-T74)</f>
        <v>0</v>
      </c>
      <c r="U77" s="49" t="s">
        <v>7180</v>
      </c>
    </row>
    <row r="78" spans="2:21" ht="15.75" customHeight="1" x14ac:dyDescent="0.3">
      <c r="B78" s="49" t="str">
        <f>PT.cover_digest!B100</f>
        <v>CH4 from covered digester</v>
      </c>
      <c r="C78" s="1877">
        <f>PT.cover_digest!I100</f>
        <v>5.1265264641599977</v>
      </c>
      <c r="D78" s="49" t="str">
        <f>PT.cover_digest!C100</f>
        <v>kg/head/year</v>
      </c>
      <c r="E78" s="1945"/>
      <c r="F78" s="1935"/>
      <c r="G78" s="1932"/>
      <c r="H78" s="1945"/>
      <c r="I78" s="1945"/>
      <c r="J78" s="1953"/>
      <c r="K78" s="1953"/>
      <c r="L78" s="1953"/>
      <c r="M78" s="1953"/>
      <c r="N78" s="1945"/>
      <c r="O78" s="1945"/>
      <c r="Q78" s="49"/>
      <c r="R78" s="18" t="s">
        <v>7184</v>
      </c>
      <c r="S78" s="49"/>
      <c r="T78" s="2128">
        <f>MAX(0, INDEX(EconIntermediate!$C$25:$BV$25, MATCH(UDV.u.farm_baseline, EconIntermediate!$C$3:$BV$3,0))-T75)</f>
        <v>0</v>
      </c>
      <c r="U78" s="49" t="s">
        <v>7180</v>
      </c>
    </row>
    <row r="79" spans="2:21" ht="15.75" customHeight="1" x14ac:dyDescent="0.3">
      <c r="B79" s="49" t="str">
        <f>PT.cover_digest!B101</f>
        <v>NH3 from covered digester</v>
      </c>
      <c r="C79" s="1877">
        <f>PT.cover_digest!I101</f>
        <v>1.4223165509791724</v>
      </c>
      <c r="D79" s="49" t="str">
        <f>PT.cover_digest!C101</f>
        <v>kg/head/year</v>
      </c>
    </row>
    <row r="80" spans="2:21" ht="15.75" customHeight="1" x14ac:dyDescent="0.3">
      <c r="B80" s="49" t="str">
        <f>PT.cover_digest!B102</f>
        <v>Direct N2O from covered digester</v>
      </c>
      <c r="C80" s="1877">
        <f>PT.cover_digest!I102</f>
        <v>0.11175141141043357</v>
      </c>
      <c r="D80" s="49" t="str">
        <f>PT.cover_digest!C102</f>
        <v>kg/head/year</v>
      </c>
      <c r="Q80" s="49" t="s">
        <v>5925</v>
      </c>
      <c r="R80" s="18" t="s">
        <v>5724</v>
      </c>
      <c r="S80" s="49"/>
      <c r="T80" s="1360">
        <f>PT.shallow_plug!G19</f>
        <v>72.912282333907768</v>
      </c>
      <c r="U80" s="49" t="s">
        <v>2479</v>
      </c>
    </row>
    <row r="81" spans="2:4" ht="15.75" customHeight="1" x14ac:dyDescent="0.3">
      <c r="B81" s="49" t="str">
        <f>PT.cover_digest!B103</f>
        <v>Indirect N2O from covered digester</v>
      </c>
      <c r="C81" s="1877">
        <f>PT.cover_digest!I103</f>
        <v>3.1290395194921397E-2</v>
      </c>
      <c r="D81" s="49" t="str">
        <f>PT.cover_digest!C103</f>
        <v>kg/head/year</v>
      </c>
    </row>
    <row r="82" spans="2:4" ht="15.75" customHeight="1" x14ac:dyDescent="0.3">
      <c r="B82" s="49" t="str">
        <f>PT.cover_digest!B104</f>
        <v>CO2 from covered digester</v>
      </c>
      <c r="C82" s="1877">
        <f>PT.cover_digest!I104</f>
        <v>37.007112913154977</v>
      </c>
      <c r="D82" s="49" t="str">
        <f>PT.cover_digest!C104</f>
        <v>kg/head/year</v>
      </c>
    </row>
    <row r="83" spans="2:4" ht="15.75" customHeight="1" x14ac:dyDescent="0.3">
      <c r="B83" s="49" t="str">
        <f>PT.shallow_plug!B91</f>
        <v>CH4 from shallow plug</v>
      </c>
      <c r="C83" s="1209">
        <f>PT.shallow_plug!G91</f>
        <v>1.9630090140970797</v>
      </c>
      <c r="D83" s="49" t="str">
        <f>PT.shallow_plug!C91</f>
        <v>kg/head/year</v>
      </c>
    </row>
    <row r="84" spans="2:4" ht="15.75" customHeight="1" x14ac:dyDescent="0.3">
      <c r="B84" s="49" t="str">
        <f>PT.shallow_plug!B92</f>
        <v>NH3 from shallow plug</v>
      </c>
      <c r="C84" s="1209">
        <f>PT.shallow_plug!G92</f>
        <v>4.7450821249999997</v>
      </c>
      <c r="D84" s="49" t="str">
        <f>PT.shallow_plug!C92</f>
        <v>kg/head/year</v>
      </c>
    </row>
    <row r="85" spans="2:4" ht="15.75" customHeight="1" x14ac:dyDescent="0.3">
      <c r="B85" s="49" t="str">
        <f>PT.shallow_plug!B93</f>
        <v>Direct N2O from shallow plug</v>
      </c>
      <c r="C85" s="1209">
        <f>PT.shallow_plug!G93</f>
        <v>5.9651376409799999E-2</v>
      </c>
      <c r="D85" s="49" t="str">
        <f>PT.shallow_plug!C93</f>
        <v>kg/head/year</v>
      </c>
    </row>
    <row r="86" spans="2:4" ht="15.75" customHeight="1" x14ac:dyDescent="0.3">
      <c r="B86" s="49" t="str">
        <f>PT.shallow_plug!B94</f>
        <v>Indirect N2O from shallow plug</v>
      </c>
      <c r="C86" s="1209">
        <f>PT.shallow_plug!G94</f>
        <v>0.10438990871715</v>
      </c>
      <c r="D86" s="49" t="str">
        <f>PT.shallow_plug!C94</f>
        <v>kg/head/year</v>
      </c>
    </row>
    <row r="87" spans="2:4" ht="15.75" customHeight="1" x14ac:dyDescent="0.3">
      <c r="B87" s="49" t="str">
        <f>PT.anaer_lagoon!B378</f>
        <v>CH4 from lagoon</v>
      </c>
      <c r="C87" s="1209">
        <f>PT.anaer_lagoon!AN378</f>
        <v>12.303663513983993</v>
      </c>
      <c r="D87" s="49" t="str">
        <f>PT.anaer_lagoon!F378</f>
        <v>kg/head/year</v>
      </c>
    </row>
    <row r="88" spans="2:4" ht="15.75" customHeight="1" x14ac:dyDescent="0.3">
      <c r="B88" s="49" t="str">
        <f>PT.anaer_lagoon!B379</f>
        <v>NH3 from lagoon</v>
      </c>
      <c r="C88" s="1209">
        <f>PT.anaer_lagoon!AN379</f>
        <v>6.3891082800212891</v>
      </c>
      <c r="D88" s="49" t="str">
        <f>PT.anaer_lagoon!F379</f>
        <v>kg/head/year</v>
      </c>
    </row>
    <row r="89" spans="2:4" ht="15.75" customHeight="1" x14ac:dyDescent="0.3">
      <c r="B89" s="49" t="str">
        <f>PT.anaer_lagoon!B380</f>
        <v>N2O direct from lagoon</v>
      </c>
      <c r="C89" s="1209">
        <f>PT.anaer_lagoon!AN380</f>
        <v>0</v>
      </c>
      <c r="D89" s="49" t="str">
        <f>PT.anaer_lagoon!F380</f>
        <v>kg/head/year</v>
      </c>
    </row>
    <row r="90" spans="2:4" ht="15.75" customHeight="1" x14ac:dyDescent="0.3">
      <c r="B90" s="49" t="str">
        <f>PT.anaer_lagoon!B381</f>
        <v>N2O indirect from lagoon</v>
      </c>
      <c r="C90" s="1209">
        <f>PT.anaer_lagoon!AN381</f>
        <v>0.14055782651715637</v>
      </c>
      <c r="D90" s="49" t="str">
        <f>PT.anaer_lagoon!F381</f>
        <v>kg/head/year</v>
      </c>
    </row>
    <row r="298" spans="1:23" ht="15" thickBot="1" x14ac:dyDescent="0.35">
      <c r="A298" s="137"/>
      <c r="B298" s="137"/>
      <c r="C298" s="137"/>
      <c r="D298" s="137"/>
      <c r="E298" s="137"/>
      <c r="F298" s="137"/>
      <c r="G298" s="137"/>
      <c r="H298" s="137"/>
      <c r="I298" s="137"/>
      <c r="J298" s="137"/>
      <c r="K298" s="137"/>
      <c r="L298" s="137"/>
      <c r="M298" s="137"/>
      <c r="N298" s="137"/>
      <c r="O298" s="137"/>
      <c r="P298" s="137"/>
      <c r="Q298" s="137"/>
      <c r="U298" s="42"/>
      <c r="W298" s="36"/>
    </row>
    <row r="299" spans="1:23" ht="14.4" x14ac:dyDescent="0.3">
      <c r="U299" s="42"/>
      <c r="W299" s="36"/>
    </row>
    <row r="300" spans="1:23" ht="15.75" customHeight="1" x14ac:dyDescent="0.3">
      <c r="B300" s="82" t="s">
        <v>6938</v>
      </c>
    </row>
    <row r="301" spans="1:23" ht="15.75" customHeight="1" x14ac:dyDescent="0.3">
      <c r="B301" t="s">
        <v>5209</v>
      </c>
    </row>
    <row r="302" spans="1:23" ht="15.75" customHeight="1" x14ac:dyDescent="0.3">
      <c r="B302" t="s">
        <v>5219</v>
      </c>
    </row>
    <row r="303" spans="1:23" ht="15.75" customHeight="1" x14ac:dyDescent="0.3">
      <c r="B303" t="s">
        <v>4683</v>
      </c>
    </row>
    <row r="304" spans="1:23" ht="15.75" customHeight="1" x14ac:dyDescent="0.3">
      <c r="B304" t="s">
        <v>5210</v>
      </c>
    </row>
    <row r="305" spans="1:25" ht="15.75" customHeight="1" x14ac:dyDescent="0.3">
      <c r="B305" t="s">
        <v>7170</v>
      </c>
      <c r="D305" s="66"/>
      <c r="E305" s="66"/>
      <c r="F305" s="19"/>
    </row>
    <row r="306" spans="1:25" ht="15.75" customHeight="1" x14ac:dyDescent="0.3">
      <c r="B306" t="s">
        <v>7261</v>
      </c>
      <c r="C306" t="s">
        <v>7262</v>
      </c>
      <c r="D306" s="66"/>
      <c r="E306" s="66"/>
      <c r="F306" s="19"/>
    </row>
    <row r="307" spans="1:25" ht="15" thickBot="1" x14ac:dyDescent="0.35">
      <c r="A307" s="137"/>
      <c r="B307" s="137"/>
      <c r="C307" s="137"/>
      <c r="D307" s="137"/>
      <c r="E307" s="137"/>
      <c r="F307" s="137"/>
      <c r="G307" s="137"/>
      <c r="H307" s="137"/>
      <c r="I307" s="137"/>
      <c r="J307" s="137"/>
      <c r="K307" s="137"/>
      <c r="L307" s="137"/>
      <c r="M307" s="137"/>
      <c r="N307" s="137"/>
      <c r="O307" s="137"/>
      <c r="P307" s="137"/>
      <c r="Q307" s="137"/>
      <c r="U307" s="42"/>
      <c r="W307" s="36"/>
    </row>
    <row r="308" spans="1:25" ht="14.4" x14ac:dyDescent="0.3">
      <c r="R308" s="20"/>
      <c r="W308" s="42"/>
      <c r="Y308" s="36"/>
    </row>
    <row r="309" spans="1:25" ht="18" x14ac:dyDescent="0.35">
      <c r="B309" s="138" t="s">
        <v>6941</v>
      </c>
      <c r="C309" s="34"/>
      <c r="H309" s="355"/>
      <c r="R309" s="20"/>
      <c r="W309" s="42"/>
      <c r="Y309" s="36"/>
    </row>
    <row r="310" spans="1:25" ht="14.4" x14ac:dyDescent="0.3">
      <c r="R310" s="20"/>
      <c r="W310" s="42"/>
      <c r="Y310" s="36"/>
    </row>
    <row r="311" spans="1:25" ht="14.4" x14ac:dyDescent="0.3">
      <c r="B311" s="139" t="s">
        <v>6942</v>
      </c>
      <c r="C311" s="140"/>
      <c r="D311" s="140"/>
      <c r="E311" s="139"/>
      <c r="F311" s="141"/>
      <c r="R311" s="20"/>
      <c r="W311" s="42"/>
      <c r="Y311" s="36"/>
    </row>
    <row r="312" spans="1:25" ht="14.4" x14ac:dyDescent="0.3">
      <c r="B312" s="143" t="s">
        <v>2663</v>
      </c>
      <c r="C312" s="144" t="s">
        <v>565</v>
      </c>
      <c r="D312" s="144" t="s">
        <v>6943</v>
      </c>
      <c r="E312" s="143" t="s">
        <v>565</v>
      </c>
      <c r="F312" s="145" t="s">
        <v>6944</v>
      </c>
      <c r="R312" s="20"/>
      <c r="W312" s="42"/>
      <c r="Y312" s="36"/>
    </row>
    <row r="313" spans="1:25" ht="14.4" x14ac:dyDescent="0.3">
      <c r="A313" t="s">
        <v>6945</v>
      </c>
      <c r="B313" s="149" t="s">
        <v>5724</v>
      </c>
      <c r="C313" s="295">
        <f>VLOOKUP(B313,R5:U304,3,FALSE)</f>
        <v>72.912282333907768</v>
      </c>
      <c r="D313" s="151" t="s">
        <v>2478</v>
      </c>
      <c r="E313" s="359">
        <f>CONVERT(C313,"m^3","ft^3")</f>
        <v>2574.872950525033</v>
      </c>
      <c r="F313" s="151" t="s">
        <v>2479</v>
      </c>
      <c r="R313" s="20"/>
      <c r="W313" s="42"/>
      <c r="Y313" s="36"/>
    </row>
    <row r="314" spans="1:25" ht="14.4" x14ac:dyDescent="0.3">
      <c r="R314" s="20"/>
      <c r="W314" s="42"/>
      <c r="Y314" s="36"/>
    </row>
    <row r="315" spans="1:25" s="369" customFormat="1" ht="43.2"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ht="14.4" x14ac:dyDescent="0.3">
      <c r="A316" t="s">
        <v>6960</v>
      </c>
      <c r="B316" s="99" t="s">
        <v>6961</v>
      </c>
      <c r="C316" s="153">
        <f>VLOOKUP("Deep and shallow pit constructiona",Econ.Equations!C:E,2,FALSE)*E313^VLOOKUP("Deep and shallow pit constructionb",Econ.Equations!$C:$E,2,FALSE)*E313</f>
        <v>17700.891908535374</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1432.4335079052032</v>
      </c>
      <c r="O316" s="372">
        <f>N316*G316</f>
        <v>1432.4335079052032</v>
      </c>
      <c r="R316" s="20"/>
      <c r="W316" s="42"/>
      <c r="Y316" s="36"/>
    </row>
    <row r="317" spans="1:25" ht="14.4" x14ac:dyDescent="0.3">
      <c r="B317" s="99"/>
      <c r="O317" s="146"/>
      <c r="R317" s="20"/>
      <c r="W317" s="42"/>
      <c r="Y317" s="36"/>
    </row>
    <row r="318" spans="1:25" ht="14.4" x14ac:dyDescent="0.3">
      <c r="B318" s="99"/>
      <c r="C318" s="82" t="s">
        <v>6962</v>
      </c>
      <c r="D318" s="82" t="s">
        <v>6963</v>
      </c>
      <c r="O318" s="146"/>
      <c r="R318" s="20"/>
      <c r="W318" s="42"/>
      <c r="Y318" s="36"/>
    </row>
    <row r="319" spans="1:25" ht="14.4" x14ac:dyDescent="0.3">
      <c r="A319" t="s">
        <v>6945</v>
      </c>
      <c r="B319" s="99" t="s">
        <v>6964</v>
      </c>
      <c r="C319" s="153">
        <f>SUM(C316:C316)</f>
        <v>17700.891908535374</v>
      </c>
      <c r="D319" s="158">
        <f>SUMPRODUCT(C316:C316,G316:G316)</f>
        <v>17700.891908535374</v>
      </c>
      <c r="O319" s="146"/>
      <c r="R319" s="20"/>
      <c r="W319" s="42"/>
      <c r="Y319" s="36"/>
    </row>
    <row r="320" spans="1:25" ht="14.4" x14ac:dyDescent="0.3">
      <c r="A320" t="s">
        <v>6945</v>
      </c>
      <c r="B320" s="149" t="s">
        <v>6965</v>
      </c>
      <c r="C320" s="159">
        <f>SUM(N316:N316)</f>
        <v>1432.4335079052032</v>
      </c>
      <c r="D320" s="159">
        <f>SUMPRODUCT(N316:N316,G316:G316)</f>
        <v>1432.4335079052032</v>
      </c>
      <c r="E320" s="150"/>
      <c r="F320" s="150"/>
      <c r="G320" s="150"/>
      <c r="H320" s="150"/>
      <c r="I320" s="150"/>
      <c r="J320" s="150"/>
      <c r="K320" s="150"/>
      <c r="L320" s="150"/>
      <c r="M320" s="150"/>
      <c r="N320" s="150"/>
      <c r="O320" s="151"/>
      <c r="R320" s="20"/>
      <c r="W320" s="42"/>
      <c r="Y320" s="36"/>
    </row>
    <row r="321" spans="1:25" ht="14.4" x14ac:dyDescent="0.3">
      <c r="B321" s="262"/>
      <c r="C321" s="142"/>
      <c r="D321" s="142"/>
      <c r="E321" s="142"/>
      <c r="F321" s="142"/>
      <c r="G321" s="142"/>
      <c r="H321" s="142"/>
      <c r="I321" s="142"/>
      <c r="J321" s="142"/>
      <c r="K321" s="142"/>
      <c r="L321" s="142"/>
      <c r="M321" s="142"/>
      <c r="N321" s="142"/>
      <c r="O321" s="141"/>
      <c r="R321" s="20"/>
      <c r="W321" s="42"/>
      <c r="Y321" s="36"/>
    </row>
    <row r="322" spans="1:25" ht="57.6"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c r="R322" s="20"/>
      <c r="W322" s="42"/>
      <c r="Y322" s="36"/>
    </row>
    <row r="323" spans="1:25" ht="14.4" x14ac:dyDescent="0.3">
      <c r="B323" s="99" t="s">
        <v>6945</v>
      </c>
      <c r="C323" s="155">
        <f>VLOOKUP("OPEXInsuranceEverythingDefault",Econ.inputsTable!$E$1:$J$213,2,FALSE)</f>
        <v>5.0000000000000001E-3</v>
      </c>
      <c r="D323" s="155">
        <f>VLOOKUP("OPEXRepair and maintenanceBuildings and constructionDefault",Econ.inputsTable!$E$1:$J$503,2,FALSE)</f>
        <v>0.01</v>
      </c>
      <c r="O323" s="157">
        <f>(SUM(C323:D323)*SUMPRODUCT(C316:C316,G316:G316))+SUM(E323,G323,I323,J323,L323,N323)</f>
        <v>265.51337862803058</v>
      </c>
      <c r="R323" s="20"/>
      <c r="W323" s="42"/>
      <c r="Y323" s="36"/>
    </row>
    <row r="324" spans="1:25" ht="14.4"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265.51337862803058</v>
      </c>
      <c r="R324" s="20"/>
      <c r="W324" s="42"/>
      <c r="Y324" s="36"/>
    </row>
    <row r="325" spans="1:25" ht="14.4" x14ac:dyDescent="0.3">
      <c r="B325" s="99"/>
      <c r="C325" s="155"/>
      <c r="D325" s="155"/>
      <c r="E325" s="155"/>
      <c r="F325" s="158"/>
      <c r="G325" s="154"/>
      <c r="H325" s="156"/>
      <c r="I325" s="153"/>
      <c r="O325" s="146"/>
      <c r="R325" s="20"/>
      <c r="W325" s="42"/>
      <c r="Y325" s="36"/>
    </row>
    <row r="326" spans="1:25" ht="14.4" x14ac:dyDescent="0.3">
      <c r="A326" t="s">
        <v>6945</v>
      </c>
      <c r="B326" s="149" t="s">
        <v>6980</v>
      </c>
      <c r="C326" s="159">
        <f>O324</f>
        <v>265.51337862803058</v>
      </c>
      <c r="D326" s="150"/>
      <c r="E326" s="150"/>
      <c r="F326" s="150"/>
      <c r="G326" s="150"/>
      <c r="H326" s="150"/>
      <c r="I326" s="150"/>
      <c r="J326" s="150"/>
      <c r="K326" s="150"/>
      <c r="L326" s="150"/>
      <c r="M326" s="150"/>
      <c r="N326" s="150"/>
      <c r="O326" s="151"/>
      <c r="R326" s="20"/>
      <c r="W326" s="42"/>
      <c r="Y326" s="36"/>
    </row>
    <row r="327" spans="1:25" ht="15" thickBot="1" x14ac:dyDescent="0.35">
      <c r="A327" s="137"/>
      <c r="B327" s="137"/>
      <c r="C327" s="137"/>
      <c r="D327" s="137"/>
      <c r="E327" s="137"/>
      <c r="F327" s="137"/>
      <c r="G327" s="137"/>
      <c r="H327" s="137"/>
      <c r="I327" s="137"/>
      <c r="J327" s="137"/>
      <c r="K327" s="137"/>
      <c r="L327" s="137"/>
      <c r="M327" s="137"/>
      <c r="N327" s="137"/>
      <c r="O327" s="137"/>
      <c r="R327" s="20"/>
      <c r="W327" s="42"/>
      <c r="Y327" s="36"/>
    </row>
    <row r="328" spans="1:25" ht="14.4" x14ac:dyDescent="0.3">
      <c r="U328" s="42"/>
      <c r="W328" s="36"/>
    </row>
    <row r="329" spans="1:25" ht="15.75" customHeight="1" x14ac:dyDescent="0.3">
      <c r="A329" s="82" t="s">
        <v>7088</v>
      </c>
      <c r="B329" s="138" t="s">
        <v>7089</v>
      </c>
    </row>
    <row r="330" spans="1:25" ht="14.4" x14ac:dyDescent="0.3"/>
    <row r="331" spans="1:25" ht="15.75" customHeight="1" x14ac:dyDescent="0.3">
      <c r="B331" s="139" t="s">
        <v>6942</v>
      </c>
      <c r="C331" s="140"/>
      <c r="D331" s="140"/>
      <c r="E331" s="139" t="s">
        <v>6988</v>
      </c>
      <c r="F331" s="141"/>
    </row>
    <row r="332" spans="1:25" ht="15.75" customHeight="1" x14ac:dyDescent="0.3">
      <c r="B332" s="143" t="s">
        <v>2663</v>
      </c>
      <c r="C332" s="144" t="s">
        <v>565</v>
      </c>
      <c r="D332" s="144" t="s">
        <v>6943</v>
      </c>
      <c r="E332" s="143" t="s">
        <v>565</v>
      </c>
      <c r="F332" s="145" t="s">
        <v>6944</v>
      </c>
    </row>
    <row r="333" spans="1:25" ht="14.4" x14ac:dyDescent="0.3">
      <c r="B333" s="99" t="s">
        <v>6925</v>
      </c>
      <c r="C333" s="205">
        <f>VLOOKUP(B333,$R:$U,3,FALSE)</f>
        <v>0.64457135077403904</v>
      </c>
      <c r="D333" t="s">
        <v>7090</v>
      </c>
      <c r="E333" s="164">
        <f>CONVERT(C333,"m^3","gal")*365</f>
        <v>62151.37386821329</v>
      </c>
      <c r="F333" s="146" t="s">
        <v>5324</v>
      </c>
    </row>
    <row r="334" spans="1:25" ht="14.4" x14ac:dyDescent="0.3">
      <c r="B334" s="99" t="s">
        <v>5829</v>
      </c>
      <c r="C334" s="147">
        <f>VLOOKUP(B334,$R:$U,3,FALSE)</f>
        <v>16.2</v>
      </c>
      <c r="D334" t="s">
        <v>7090</v>
      </c>
      <c r="E334" s="164">
        <f>CONVERT(C334,"m^3","gal")*365</f>
        <v>1562049.3455937314</v>
      </c>
      <c r="F334" s="146" t="s">
        <v>5324</v>
      </c>
    </row>
    <row r="335" spans="1:25" ht="14.4" x14ac:dyDescent="0.3">
      <c r="B335" s="99"/>
      <c r="D335" s="146"/>
      <c r="F335" s="146"/>
    </row>
    <row r="336" spans="1:25" ht="15.75" customHeight="1" x14ac:dyDescent="0.3">
      <c r="B336" s="92" t="s">
        <v>6996</v>
      </c>
      <c r="E336" s="143" t="s">
        <v>565</v>
      </c>
      <c r="F336" s="145" t="s">
        <v>6944</v>
      </c>
    </row>
    <row r="337" spans="1:23" ht="14.4" x14ac:dyDescent="0.3">
      <c r="B337" s="149" t="s">
        <v>7091</v>
      </c>
      <c r="C337" s="150"/>
      <c r="D337" s="150"/>
      <c r="E337" s="497">
        <f>UDV.water.avg_cost/1000</f>
        <v>3.858144828221536E-3</v>
      </c>
      <c r="F337" s="151" t="s">
        <v>2315</v>
      </c>
    </row>
    <row r="338" spans="1:23" ht="14.4" x14ac:dyDescent="0.3"/>
    <row r="339" spans="1:23" ht="15.75" customHeight="1" x14ac:dyDescent="0.3">
      <c r="B339" s="498" t="s">
        <v>6966</v>
      </c>
      <c r="C339" s="362" t="s">
        <v>6979</v>
      </c>
      <c r="D339" s="362"/>
      <c r="E339" s="362"/>
      <c r="F339" s="363"/>
    </row>
    <row r="340" spans="1:23" ht="14.4" x14ac:dyDescent="0.3">
      <c r="B340" s="99" t="s">
        <v>7092</v>
      </c>
      <c r="C340" s="153">
        <f>E333*E337</f>
        <v>239.78900165651024</v>
      </c>
      <c r="D340" s="155"/>
      <c r="E340" s="155"/>
      <c r="F340" s="146"/>
    </row>
    <row r="341" spans="1:23" ht="14.4" x14ac:dyDescent="0.3">
      <c r="B341" s="99"/>
      <c r="F341" s="146"/>
    </row>
    <row r="342" spans="1:23" ht="14.4" x14ac:dyDescent="0.3">
      <c r="A342" t="s">
        <v>5209</v>
      </c>
      <c r="B342" s="149" t="s">
        <v>6980</v>
      </c>
      <c r="C342" s="159">
        <f>SUM(C340:C340)</f>
        <v>239.78900165651024</v>
      </c>
      <c r="D342" s="150"/>
      <c r="E342" s="150"/>
      <c r="F342" s="151"/>
    </row>
    <row r="343" spans="1:23" ht="15" thickBot="1" x14ac:dyDescent="0.35">
      <c r="A343" s="137"/>
      <c r="B343" s="137"/>
      <c r="C343" s="137"/>
      <c r="D343" s="137"/>
      <c r="E343" s="137"/>
      <c r="F343" s="137"/>
      <c r="G343" s="137"/>
      <c r="H343" s="137"/>
      <c r="I343" s="137"/>
      <c r="J343" s="137"/>
      <c r="K343" s="137"/>
      <c r="L343" s="137"/>
      <c r="M343" s="137"/>
      <c r="N343" s="137"/>
      <c r="O343" s="137"/>
      <c r="P343" s="137"/>
      <c r="Q343" s="137"/>
      <c r="U343" s="42"/>
      <c r="W343" s="36"/>
    </row>
    <row r="344" spans="1:23" ht="14.4" x14ac:dyDescent="0.3">
      <c r="U344" s="42"/>
      <c r="W344" s="36"/>
    </row>
    <row r="345" spans="1:23" ht="18" x14ac:dyDescent="0.35">
      <c r="B345" s="138" t="s">
        <v>7187</v>
      </c>
      <c r="H345" s="355"/>
    </row>
    <row r="346" spans="1:23" ht="14.4" x14ac:dyDescent="0.3"/>
    <row r="347" spans="1:23" ht="14.4" x14ac:dyDescent="0.3">
      <c r="B347" s="139" t="s">
        <v>6942</v>
      </c>
      <c r="C347" s="140"/>
      <c r="D347" s="140"/>
      <c r="E347" s="139" t="s">
        <v>6988</v>
      </c>
      <c r="F347" s="141"/>
    </row>
    <row r="348" spans="1:23" ht="14.4" x14ac:dyDescent="0.3">
      <c r="B348" s="143" t="s">
        <v>2663</v>
      </c>
      <c r="C348" s="144" t="s">
        <v>565</v>
      </c>
      <c r="D348" s="144" t="s">
        <v>6943</v>
      </c>
      <c r="E348" s="143" t="s">
        <v>565</v>
      </c>
      <c r="F348" s="145" t="s">
        <v>6944</v>
      </c>
      <c r="H348" s="139" t="s">
        <v>7189</v>
      </c>
    </row>
    <row r="349" spans="1:23" ht="14.4" x14ac:dyDescent="0.3">
      <c r="B349" s="99" t="s">
        <v>5951</v>
      </c>
      <c r="C349" s="147">
        <f>VLOOKUP(B349,$R:$U,3,FALSE)</f>
        <v>5208.020166707699</v>
      </c>
      <c r="D349" t="s">
        <v>2481</v>
      </c>
      <c r="E349" s="164">
        <f>CONVERT(C349,"l","gal")</f>
        <v>1375.8133761617992</v>
      </c>
      <c r="F349" s="146" t="s">
        <v>2480</v>
      </c>
      <c r="H349" s="99" t="s">
        <v>2787</v>
      </c>
    </row>
    <row r="350" spans="1:23" ht="14.4" x14ac:dyDescent="0.3">
      <c r="B350" s="99" t="s">
        <v>5953</v>
      </c>
      <c r="C350" s="147">
        <f>VLOOKUP(B350,$R:$U,3,FALSE)</f>
        <v>1</v>
      </c>
      <c r="D350" t="s">
        <v>2442</v>
      </c>
      <c r="E350" s="523">
        <f>C350</f>
        <v>1</v>
      </c>
      <c r="F350" s="146" t="s">
        <v>2442</v>
      </c>
      <c r="H350" s="99" t="s">
        <v>1228</v>
      </c>
    </row>
    <row r="351" spans="1:23" ht="14.4" x14ac:dyDescent="0.3">
      <c r="B351" s="99" t="s">
        <v>5952</v>
      </c>
      <c r="C351" s="147">
        <f>VLOOKUP(B351,$R:$U,3,FALSE)</f>
        <v>15</v>
      </c>
      <c r="D351" t="s">
        <v>971</v>
      </c>
      <c r="E351" s="524">
        <f>ROUNDUP(C351,0.1)</f>
        <v>15</v>
      </c>
      <c r="F351" s="146" t="s">
        <v>971</v>
      </c>
      <c r="H351" s="149" t="s">
        <v>7190</v>
      </c>
    </row>
    <row r="352" spans="1:23" ht="14.4" x14ac:dyDescent="0.3">
      <c r="B352" s="99" t="s">
        <v>5954</v>
      </c>
      <c r="C352" s="147">
        <f>VLOOKUP(B352,$R:$U,3,FALSE)</f>
        <v>0.6839628928387872</v>
      </c>
      <c r="D352" t="s">
        <v>6704</v>
      </c>
      <c r="E352" s="164">
        <f>C352*365</f>
        <v>249.64645588615733</v>
      </c>
      <c r="F352" s="146" t="s">
        <v>5323</v>
      </c>
    </row>
    <row r="353" spans="1:15" ht="14.4" x14ac:dyDescent="0.3">
      <c r="B353" s="99"/>
      <c r="E353" s="99"/>
      <c r="F353" s="146"/>
    </row>
    <row r="354" spans="1:15" ht="14.4" x14ac:dyDescent="0.3">
      <c r="B354" s="92" t="s">
        <v>6942</v>
      </c>
      <c r="C354" s="82"/>
      <c r="D354" s="82"/>
      <c r="E354" s="92"/>
      <c r="F354" s="146"/>
    </row>
    <row r="355" spans="1:15" ht="14.4" x14ac:dyDescent="0.3">
      <c r="B355" s="143" t="s">
        <v>2663</v>
      </c>
      <c r="C355" s="144" t="s">
        <v>565</v>
      </c>
      <c r="D355" s="144" t="s">
        <v>6943</v>
      </c>
      <c r="E355" s="143" t="s">
        <v>565</v>
      </c>
      <c r="F355" s="145" t="s">
        <v>6944</v>
      </c>
    </row>
    <row r="356" spans="1:15" ht="14.4" x14ac:dyDescent="0.3">
      <c r="B356" s="99" t="s">
        <v>7076</v>
      </c>
      <c r="D356" s="146"/>
      <c r="E356" s="525">
        <f>UDV.electricity.avg_cost</f>
        <v>6.8591666666666662E-2</v>
      </c>
      <c r="F356" s="146" t="s">
        <v>2306</v>
      </c>
    </row>
    <row r="357" spans="1:15" ht="14.4" x14ac:dyDescent="0.3">
      <c r="B357" s="149" t="s">
        <v>6998</v>
      </c>
      <c r="C357" s="150"/>
      <c r="D357" s="151"/>
      <c r="E357" s="497">
        <f>UDV.labor.non_specialized_cost</f>
        <v>23.66</v>
      </c>
      <c r="F357" s="151" t="s">
        <v>3659</v>
      </c>
    </row>
    <row r="358" spans="1:15" ht="14.4" x14ac:dyDescent="0.3"/>
    <row r="359" spans="1:15" ht="43.2" x14ac:dyDescent="0.3">
      <c r="B359" s="361" t="s">
        <v>6946</v>
      </c>
      <c r="C359" s="362" t="s">
        <v>6947</v>
      </c>
      <c r="D359" s="371" t="s">
        <v>6948</v>
      </c>
      <c r="E359" s="362" t="s">
        <v>6949</v>
      </c>
      <c r="F359" s="362" t="s">
        <v>6950</v>
      </c>
      <c r="G359" s="362" t="s">
        <v>6951</v>
      </c>
      <c r="H359" s="362" t="s">
        <v>6952</v>
      </c>
      <c r="I359" s="371" t="s">
        <v>6953</v>
      </c>
      <c r="J359" s="371" t="s">
        <v>6954</v>
      </c>
      <c r="K359" s="362" t="s">
        <v>6955</v>
      </c>
      <c r="L359" s="362" t="s">
        <v>6956</v>
      </c>
      <c r="M359" s="362" t="s">
        <v>6957</v>
      </c>
      <c r="N359" s="362" t="s">
        <v>6958</v>
      </c>
      <c r="O359" s="363" t="s">
        <v>6959</v>
      </c>
    </row>
    <row r="360" spans="1:15" ht="14.4" x14ac:dyDescent="0.3">
      <c r="A360" t="s">
        <v>7191</v>
      </c>
      <c r="B360" s="99" t="s">
        <v>2787</v>
      </c>
      <c r="C360" s="153">
        <f>VLOOKUP("Reception pit constructiona",Econ.Equations!$C:$E,2,FALSE)*E349^VLOOKUP("Reception pit constructionb",Econ.Equations!$C:$E,2,FALSE)*E349</f>
        <v>11278.228484656651</v>
      </c>
      <c r="D360">
        <f>VLOOKUP("CAPEXLifetimeBuildings and constructionDefault",Econ.inputsTable!$E:$H,2,FALSE)</f>
        <v>20</v>
      </c>
      <c r="E360" t="s">
        <v>2852</v>
      </c>
      <c r="F360" t="s">
        <v>2852</v>
      </c>
      <c r="G360" s="154">
        <v>1</v>
      </c>
      <c r="H360" s="503">
        <f>UDV.econ_capital.interest_rate</f>
        <v>5.0999999999999997E-2</v>
      </c>
      <c r="I360" s="154">
        <f>VLOOKUP("CAPEXSalvageBuildings and constructionDefault",Econ.inputsTable!$E:$J,2,FALSE)</f>
        <v>0</v>
      </c>
      <c r="J360" s="153">
        <f>$C360*I360</f>
        <v>0</v>
      </c>
      <c r="K360" s="154">
        <f>VLOOKUP("CAPEXFinanced amountNADefault", Econ.inputsTable!$E:$I,2,FALSE)</f>
        <v>1</v>
      </c>
      <c r="L360" s="364">
        <f>H360*K360</f>
        <v>5.0999999999999997E-2</v>
      </c>
      <c r="M360" s="351">
        <f>L360/(1-(1+L360)^-D360)</f>
        <v>8.0924368970045152E-2</v>
      </c>
      <c r="N360" s="153">
        <f>((C360-J360)*M360)+(J360*L360)</f>
        <v>912.68352322082808</v>
      </c>
      <c r="O360" s="157">
        <f>G360*N360</f>
        <v>912.68352322082808</v>
      </c>
    </row>
    <row r="361" spans="1:15" ht="14.4" x14ac:dyDescent="0.3">
      <c r="A361" t="s">
        <v>7192</v>
      </c>
      <c r="B361" s="99" t="s">
        <v>1228</v>
      </c>
      <c r="C361" s="153">
        <f>UDV.econ_agi.electric_pump*E350</f>
        <v>12100</v>
      </c>
      <c r="D361">
        <f>VLOOKUP("CAPEXLifetimeAgi-pump, electricDefault",Econ.inputsTable!$E:$H,2,FALSE)</f>
        <v>15</v>
      </c>
      <c r="E361" t="s">
        <v>2852</v>
      </c>
      <c r="F361" t="s">
        <v>2852</v>
      </c>
      <c r="G361" s="154">
        <v>1</v>
      </c>
      <c r="H361" s="503">
        <f>UDV.econ_capital.interest_rate</f>
        <v>5.0999999999999997E-2</v>
      </c>
      <c r="I361" s="154">
        <f>VLOOKUP("CAPEXSalvageEquipmentDefault",Econ.inputsTable!$E:$J,2,FALSE)</f>
        <v>0.2</v>
      </c>
      <c r="J361" s="153">
        <f>$C361*I361</f>
        <v>2420</v>
      </c>
      <c r="K361" s="154">
        <f>VLOOKUP("CAPEXFinanced amountNADefault", Econ.inputsTable!$E:$I,2,FALSE)</f>
        <v>1</v>
      </c>
      <c r="L361" s="364">
        <f>H361*K361</f>
        <v>5.0999999999999997E-2</v>
      </c>
      <c r="M361" s="351">
        <f>L361/(1-(1+L361)^-D361)</f>
        <v>9.6994593888520206E-2</v>
      </c>
      <c r="N361" s="153">
        <f>((C361-J361)*M361)+(J361*L361)</f>
        <v>1062.3276688408755</v>
      </c>
      <c r="O361" s="157">
        <f>G361*N361</f>
        <v>1062.3276688408755</v>
      </c>
    </row>
    <row r="362" spans="1:15" ht="14.4" x14ac:dyDescent="0.3">
      <c r="A362" t="s">
        <v>7192</v>
      </c>
      <c r="B362" s="99" t="s">
        <v>7193</v>
      </c>
      <c r="C362" s="153">
        <f>VLOOKUP(_xlfn.CONCAT("Motor, ", E351, " hpDefault"), Econ.Tables!C:E, 2, FALSE)*E350</f>
        <v>1470</v>
      </c>
      <c r="D362">
        <f>VLOOKUP("CAPEXLifetimeMotorDefault",Econ.inputsTable!$E:$H,2,FALSE)</f>
        <v>20</v>
      </c>
      <c r="E362" t="s">
        <v>2852</v>
      </c>
      <c r="F362" t="s">
        <v>2852</v>
      </c>
      <c r="G362" s="154">
        <v>1</v>
      </c>
      <c r="H362" s="503">
        <f>UDV.econ_capital.interest_rate</f>
        <v>5.0999999999999997E-2</v>
      </c>
      <c r="I362" s="154">
        <f>VLOOKUP("CAPEXSalvageEquipmentDefault",Econ.inputsTable!$E:$I,2,FALSE)</f>
        <v>0.2</v>
      </c>
      <c r="J362" s="153">
        <f>$C362*I362</f>
        <v>294</v>
      </c>
      <c r="K362" s="154">
        <f>VLOOKUP("CAPEXFinanced amountNADefault", Econ.inputsTable!$E:$I,2,FALSE)</f>
        <v>1</v>
      </c>
      <c r="L362" s="364">
        <f>H362*K362</f>
        <v>5.0999999999999997E-2</v>
      </c>
      <c r="M362" s="351">
        <f>L362/(1-(1+L362)^-D362)</f>
        <v>8.0924368970045152E-2</v>
      </c>
      <c r="N362" s="153">
        <f>((C362-J362)*M362)+(J362*L362)</f>
        <v>110.1610579087731</v>
      </c>
      <c r="O362" s="157">
        <f>G362*N362</f>
        <v>110.1610579087731</v>
      </c>
    </row>
    <row r="363" spans="1:15" ht="14.4" x14ac:dyDescent="0.3">
      <c r="B363" s="99"/>
      <c r="C363" s="153"/>
      <c r="L363" s="154"/>
      <c r="M363" s="155"/>
      <c r="N363" s="154"/>
      <c r="O363" s="501"/>
    </row>
    <row r="364" spans="1:15" ht="14.4" x14ac:dyDescent="0.3">
      <c r="B364" s="99"/>
      <c r="C364" s="82" t="s">
        <v>7009</v>
      </c>
      <c r="D364" s="82" t="s">
        <v>6963</v>
      </c>
      <c r="O364" s="146"/>
    </row>
    <row r="365" spans="1:15" ht="14.4" x14ac:dyDescent="0.3">
      <c r="A365" t="s">
        <v>5219</v>
      </c>
      <c r="B365" s="99" t="s">
        <v>6964</v>
      </c>
      <c r="C365" s="153">
        <f>SUM(C360:C362)</f>
        <v>24848.228484656651</v>
      </c>
      <c r="D365" s="153">
        <f>SUMPRODUCT(C360:C362,G360:G362)</f>
        <v>24848.228484656651</v>
      </c>
      <c r="O365" s="146"/>
    </row>
    <row r="366" spans="1:15" ht="14.4" x14ac:dyDescent="0.3">
      <c r="A366" t="s">
        <v>5219</v>
      </c>
      <c r="B366" s="149" t="s">
        <v>6965</v>
      </c>
      <c r="C366" s="159">
        <f>SUM(N360:N362)</f>
        <v>2085.172249970477</v>
      </c>
      <c r="D366" s="159">
        <f>SUMPRODUCT(N360:N362,G360:G362)</f>
        <v>2085.172249970477</v>
      </c>
      <c r="E366" s="150"/>
      <c r="F366" s="150"/>
      <c r="G366" s="150"/>
      <c r="H366" s="150"/>
      <c r="I366" s="150"/>
      <c r="J366" s="150"/>
      <c r="K366" s="150"/>
      <c r="L366" s="150"/>
      <c r="M366" s="150"/>
      <c r="N366" s="150"/>
      <c r="O366" s="151"/>
    </row>
    <row r="367" spans="1:15" ht="14.4" x14ac:dyDescent="0.3">
      <c r="B367" s="262"/>
      <c r="C367" s="142"/>
      <c r="D367" s="142"/>
      <c r="E367" s="142"/>
      <c r="F367" s="142"/>
      <c r="G367" s="142"/>
      <c r="H367" s="142"/>
      <c r="I367" s="142"/>
      <c r="J367" s="142"/>
      <c r="K367" s="142"/>
      <c r="L367" s="142"/>
      <c r="M367" s="142"/>
      <c r="N367" s="142"/>
      <c r="O367" s="141"/>
    </row>
    <row r="368" spans="1:15" ht="57.6" x14ac:dyDescent="0.3">
      <c r="B368" s="160" t="s">
        <v>6966</v>
      </c>
      <c r="C368" s="152" t="s">
        <v>6967</v>
      </c>
      <c r="D368" s="152" t="s">
        <v>6968</v>
      </c>
      <c r="E368" s="152" t="s">
        <v>6969</v>
      </c>
      <c r="F368" s="152" t="s">
        <v>6970</v>
      </c>
      <c r="G368" s="152" t="s">
        <v>6971</v>
      </c>
      <c r="H368" s="152" t="s">
        <v>6972</v>
      </c>
      <c r="I368" s="152" t="s">
        <v>6973</v>
      </c>
      <c r="J368" s="152" t="s">
        <v>6974</v>
      </c>
      <c r="K368" s="152" t="s">
        <v>6975</v>
      </c>
      <c r="L368" s="152" t="s">
        <v>6976</v>
      </c>
      <c r="M368" s="152" t="s">
        <v>6977</v>
      </c>
      <c r="N368" s="152" t="s">
        <v>6978</v>
      </c>
      <c r="O368" s="161" t="s">
        <v>6979</v>
      </c>
    </row>
    <row r="369" spans="1:15" ht="14.4" x14ac:dyDescent="0.3">
      <c r="B369" s="99" t="s">
        <v>5219</v>
      </c>
      <c r="C369" s="155">
        <f>VLOOKUP("OPEXInsuranceEverythingDefault",Econ.inputsTable!$E$1:$J$89,2,FALSE)</f>
        <v>5.0000000000000001E-3</v>
      </c>
      <c r="D369" s="155">
        <f>VLOOKUP("OPEXRepair and maintenanceBuildings and constructionDefault",Econ.inputsTable!$E:$I,2,FALSE)</f>
        <v>0.01</v>
      </c>
      <c r="G369" s="504"/>
      <c r="O369" s="157">
        <f>(SUM(C369:D369)*C360*G360)+SUM(G369,I369,J369,L369,N369)</f>
        <v>169.17342726984975</v>
      </c>
    </row>
    <row r="370" spans="1:15" ht="14.4" x14ac:dyDescent="0.3">
      <c r="B370" s="99" t="s">
        <v>1228</v>
      </c>
      <c r="C370" s="155">
        <f>VLOOKUP("OPEXInsuranceEverythingDefault",Econ.inputsTable!$E$1:$J$89,2,FALSE)</f>
        <v>5.0000000000000001E-3</v>
      </c>
      <c r="D370" s="155">
        <f>VLOOKUP("OPEXRepair and maintenanceAgi-pump, electricDefault",Econ.inputsTable!$E:$I,2,FALSE)</f>
        <v>0.11</v>
      </c>
      <c r="G370" s="504"/>
      <c r="O370" s="157">
        <f>(SUM(C370:D370)*C361*G361)+SUM(G370,I370,J370,L370,N370)</f>
        <v>1391.5</v>
      </c>
    </row>
    <row r="371" spans="1:15" ht="14.4" x14ac:dyDescent="0.3">
      <c r="B371" s="99" t="s">
        <v>7190</v>
      </c>
      <c r="C371" s="155">
        <f>VLOOKUP("OPEXInsuranceEverythingDefault",Econ.inputsTable!$E$1:$J$89,2,FALSE)</f>
        <v>5.0000000000000001E-3</v>
      </c>
      <c r="D371" s="155">
        <f>VLOOKUP("OPEXRepair and maintenanceEquipmentDefault",Econ.inputsTable!$E:$I,2,FALSE)</f>
        <v>0.03</v>
      </c>
      <c r="F371" s="166">
        <f>E352</f>
        <v>249.64645588615733</v>
      </c>
      <c r="G371" s="158">
        <f>F371*E356</f>
        <v>17.123666486658006</v>
      </c>
      <c r="O371" s="157">
        <f>(SUM(C371:D371)*C362*G362)+SUM(G371,I371,J371,L371,N371)</f>
        <v>68.573666486657999</v>
      </c>
    </row>
    <row r="372" spans="1:15" ht="14.4" x14ac:dyDescent="0.3">
      <c r="A372" t="s">
        <v>5219</v>
      </c>
      <c r="B372" s="162" t="s">
        <v>5203</v>
      </c>
      <c r="C372" s="505"/>
      <c r="D372" s="505"/>
      <c r="E372" s="367">
        <f t="shared" ref="E372:O372" si="3">SUM(E369:E371)</f>
        <v>0</v>
      </c>
      <c r="F372" s="526">
        <f t="shared" si="3"/>
        <v>249.64645588615733</v>
      </c>
      <c r="G372" s="367">
        <f t="shared" si="3"/>
        <v>17.123666486658006</v>
      </c>
      <c r="H372" s="526">
        <f t="shared" si="3"/>
        <v>0</v>
      </c>
      <c r="I372" s="367">
        <f t="shared" si="3"/>
        <v>0</v>
      </c>
      <c r="J372" s="367">
        <f t="shared" si="3"/>
        <v>0</v>
      </c>
      <c r="K372" s="526">
        <f t="shared" si="3"/>
        <v>0</v>
      </c>
      <c r="L372" s="367">
        <f t="shared" si="3"/>
        <v>0</v>
      </c>
      <c r="M372" s="526">
        <f t="shared" si="3"/>
        <v>0</v>
      </c>
      <c r="N372" s="367">
        <f t="shared" si="3"/>
        <v>0</v>
      </c>
      <c r="O372" s="169">
        <f t="shared" si="3"/>
        <v>1629.2470937565076</v>
      </c>
    </row>
    <row r="373" spans="1:15" ht="14.4" x14ac:dyDescent="0.3">
      <c r="B373" s="99"/>
      <c r="O373" s="146"/>
    </row>
    <row r="374" spans="1:15" ht="14.4" x14ac:dyDescent="0.3">
      <c r="A374" t="s">
        <v>5219</v>
      </c>
      <c r="B374" s="149" t="s">
        <v>6980</v>
      </c>
      <c r="C374" s="159">
        <f>SUM(O369:O371)</f>
        <v>1629.2470937565076</v>
      </c>
      <c r="D374" s="150"/>
      <c r="E374" s="150"/>
      <c r="F374" s="150"/>
      <c r="G374" s="150"/>
      <c r="H374" s="150"/>
      <c r="I374" s="150"/>
      <c r="J374" s="150"/>
      <c r="K374" s="150"/>
      <c r="L374" s="150"/>
      <c r="M374" s="150"/>
      <c r="N374" s="150"/>
      <c r="O374" s="151"/>
    </row>
    <row r="375" spans="1:15" ht="15" thickBot="1" x14ac:dyDescent="0.35">
      <c r="A375" s="137"/>
      <c r="B375" s="137"/>
      <c r="C375" s="137"/>
      <c r="D375" s="137"/>
      <c r="E375" s="137"/>
      <c r="F375" s="137"/>
      <c r="G375" s="137"/>
      <c r="H375" s="137"/>
      <c r="I375" s="137"/>
      <c r="J375" s="137"/>
      <c r="K375" s="137"/>
      <c r="L375" s="137"/>
      <c r="M375" s="137"/>
      <c r="N375" s="137"/>
      <c r="O375" s="137"/>
    </row>
    <row r="376" spans="1:15" ht="14.4" x14ac:dyDescent="0.3"/>
    <row r="377" spans="1:15" ht="18" x14ac:dyDescent="0.35">
      <c r="B377" s="138" t="s">
        <v>4683</v>
      </c>
      <c r="C377" s="90"/>
      <c r="H377" s="355"/>
    </row>
    <row r="378" spans="1:15" ht="14.4" x14ac:dyDescent="0.3"/>
    <row r="379" spans="1:15" ht="14.4" x14ac:dyDescent="0.3">
      <c r="B379" s="139" t="s">
        <v>6942</v>
      </c>
      <c r="C379" s="140"/>
      <c r="D379" s="140"/>
      <c r="E379" s="139"/>
      <c r="F379" s="141"/>
      <c r="H379" s="139" t="s">
        <v>7033</v>
      </c>
      <c r="I379" s="142"/>
      <c r="J379" s="142"/>
      <c r="K379" s="141"/>
    </row>
    <row r="380" spans="1:15" ht="14.4" x14ac:dyDescent="0.3">
      <c r="B380" s="143" t="s">
        <v>2663</v>
      </c>
      <c r="C380" s="144" t="s">
        <v>565</v>
      </c>
      <c r="D380" s="144" t="s">
        <v>6943</v>
      </c>
      <c r="E380" s="143" t="s">
        <v>565</v>
      </c>
      <c r="F380" s="145" t="s">
        <v>6944</v>
      </c>
      <c r="H380" s="99" t="s">
        <v>2771</v>
      </c>
      <c r="K380" s="146"/>
    </row>
    <row r="381" spans="1:15" ht="14.4" x14ac:dyDescent="0.3">
      <c r="B381" s="99" t="s">
        <v>5859</v>
      </c>
      <c r="C381">
        <f>UDV.animal.total</f>
        <v>500</v>
      </c>
      <c r="D381" t="s">
        <v>2442</v>
      </c>
      <c r="E381" s="99">
        <f>C381</f>
        <v>500</v>
      </c>
      <c r="F381" s="146" t="s">
        <v>2442</v>
      </c>
      <c r="H381" s="99" t="s">
        <v>7095</v>
      </c>
      <c r="K381" s="146"/>
    </row>
    <row r="382" spans="1:15" ht="14.4" x14ac:dyDescent="0.3">
      <c r="B382" s="99" t="s">
        <v>5439</v>
      </c>
      <c r="C382" s="148">
        <f>VLOOKUP(B382,$R:$U,3,FALSE)</f>
        <v>2700.4909100593827</v>
      </c>
      <c r="D382" t="s">
        <v>2478</v>
      </c>
      <c r="E382" s="164">
        <f>CONVERT(C382,"m^3","ft^3")</f>
        <v>95366.936473156515</v>
      </c>
      <c r="F382" s="146" t="s">
        <v>2479</v>
      </c>
      <c r="H382" s="99" t="s">
        <v>7250</v>
      </c>
      <c r="K382" s="146"/>
    </row>
    <row r="383" spans="1:15" ht="14.4" x14ac:dyDescent="0.3">
      <c r="B383" s="99" t="s">
        <v>6343</v>
      </c>
      <c r="C383" s="148">
        <f>VLOOKUP(B383,$R:$U,3,FALSE)</f>
        <v>2520.2986018694792</v>
      </c>
      <c r="D383" s="146" t="s">
        <v>2268</v>
      </c>
      <c r="E383" s="148">
        <f>CONVERT(C383,"m^2","ft^2")</f>
        <v>27128.268373881834</v>
      </c>
      <c r="F383" s="146" t="s">
        <v>2267</v>
      </c>
      <c r="G383" s="34"/>
      <c r="H383" s="99" t="s">
        <v>7196</v>
      </c>
      <c r="K383" s="146"/>
    </row>
    <row r="384" spans="1:15" ht="14.4" x14ac:dyDescent="0.3">
      <c r="B384" s="99" t="s">
        <v>7251</v>
      </c>
      <c r="C384" s="148"/>
      <c r="D384" s="146" t="s">
        <v>7200</v>
      </c>
      <c r="E384" s="316"/>
      <c r="F384" s="146" t="s">
        <v>6243</v>
      </c>
      <c r="G384" s="34"/>
      <c r="H384" s="99" t="s">
        <v>7198</v>
      </c>
      <c r="K384" s="146"/>
    </row>
    <row r="385" spans="2:14" ht="14.4" x14ac:dyDescent="0.3">
      <c r="B385" s="99" t="s">
        <v>7251</v>
      </c>
      <c r="D385" s="146" t="s">
        <v>7200</v>
      </c>
      <c r="E385" s="316"/>
      <c r="F385" s="146" t="s">
        <v>7202</v>
      </c>
      <c r="G385" s="34"/>
      <c r="H385" s="547" t="s">
        <v>7199</v>
      </c>
      <c r="K385" s="146" t="s">
        <v>7263</v>
      </c>
    </row>
    <row r="386" spans="2:14" ht="14.4" x14ac:dyDescent="0.3">
      <c r="B386" s="99" t="s">
        <v>7203</v>
      </c>
      <c r="C386" s="153"/>
      <c r="D386" t="s">
        <v>7204</v>
      </c>
      <c r="E386" s="99">
        <f>UDV.econ_methane.fate</f>
        <v>0</v>
      </c>
      <c r="F386" s="146" t="s">
        <v>7252</v>
      </c>
      <c r="G386" s="34"/>
      <c r="H386" s="548" t="s">
        <v>7201</v>
      </c>
      <c r="I386" s="150"/>
      <c r="J386" s="150"/>
      <c r="K386" s="151"/>
    </row>
    <row r="387" spans="2:14" ht="14.4" x14ac:dyDescent="0.3">
      <c r="B387" s="99" t="s">
        <v>1302</v>
      </c>
      <c r="C387" s="153"/>
      <c r="D387" t="s">
        <v>7207</v>
      </c>
      <c r="E387" s="178">
        <f>UDV.econ_elec.connected</f>
        <v>0</v>
      </c>
      <c r="F387" s="146" t="s">
        <v>4750</v>
      </c>
    </row>
    <row r="388" spans="2:14" ht="14.4" x14ac:dyDescent="0.3">
      <c r="B388" s="99" t="s">
        <v>7210</v>
      </c>
      <c r="C388" s="153"/>
      <c r="D388" t="s">
        <v>7207</v>
      </c>
      <c r="E388" s="178">
        <f>UDV.econ_cng.connected</f>
        <v>0</v>
      </c>
      <c r="F388" s="146" t="s">
        <v>4750</v>
      </c>
      <c r="G388" s="34"/>
      <c r="H388" s="139" t="s">
        <v>7206</v>
      </c>
      <c r="I388" s="142"/>
      <c r="J388" s="142"/>
      <c r="K388" s="141"/>
    </row>
    <row r="389" spans="2:14" ht="14.4" x14ac:dyDescent="0.3">
      <c r="B389" s="99" t="s">
        <v>7211</v>
      </c>
      <c r="D389" s="146" t="s">
        <v>7212</v>
      </c>
      <c r="F389" s="146" t="s">
        <v>7135</v>
      </c>
      <c r="G389" s="34"/>
      <c r="H389" s="99">
        <v>0.71699999999999997</v>
      </c>
      <c r="I389" t="s">
        <v>7209</v>
      </c>
      <c r="J389">
        <v>1</v>
      </c>
      <c r="K389" s="146" t="s">
        <v>676</v>
      </c>
    </row>
    <row r="390" spans="2:14" ht="14.4" x14ac:dyDescent="0.3">
      <c r="B390" s="99" t="s">
        <v>7183</v>
      </c>
      <c r="C390" s="148">
        <f>VLOOKUP(B390,R1:U299,3,FALSE)</f>
        <v>0</v>
      </c>
      <c r="D390" s="146" t="s">
        <v>7213</v>
      </c>
      <c r="E390" s="166">
        <f>C390</f>
        <v>0</v>
      </c>
      <c r="F390" s="146" t="s">
        <v>7213</v>
      </c>
      <c r="G390" s="34"/>
      <c r="H390" s="99">
        <v>1</v>
      </c>
      <c r="I390" t="s">
        <v>2478</v>
      </c>
      <c r="J390">
        <v>35.314700000000002</v>
      </c>
      <c r="K390" s="146" t="s">
        <v>2479</v>
      </c>
    </row>
    <row r="391" spans="2:14" ht="14.4" x14ac:dyDescent="0.3">
      <c r="B391" s="99" t="s">
        <v>7184</v>
      </c>
      <c r="C391" s="148">
        <f>VLOOKUP(B391,R1:U299,3,FALSE)</f>
        <v>0</v>
      </c>
      <c r="D391" s="146" t="s">
        <v>7213</v>
      </c>
      <c r="E391" s="166">
        <f>C391</f>
        <v>0</v>
      </c>
      <c r="F391" s="146" t="s">
        <v>7213</v>
      </c>
      <c r="G391" s="34"/>
      <c r="H391" s="149">
        <v>1</v>
      </c>
      <c r="I391" s="150" t="s">
        <v>2557</v>
      </c>
      <c r="J391" s="150">
        <v>1000</v>
      </c>
      <c r="K391" s="151" t="s">
        <v>2479</v>
      </c>
    </row>
    <row r="392" spans="2:14" ht="14.4" x14ac:dyDescent="0.3">
      <c r="B392" s="99"/>
      <c r="C392" s="148"/>
      <c r="D392" s="146"/>
      <c r="E392" s="166"/>
      <c r="F392" s="146"/>
      <c r="G392" s="34"/>
    </row>
    <row r="393" spans="2:14" ht="14.4" x14ac:dyDescent="0.3">
      <c r="B393" s="92" t="s">
        <v>6996</v>
      </c>
      <c r="C393" s="78"/>
      <c r="E393" s="99"/>
      <c r="F393" s="146"/>
      <c r="G393" s="34"/>
    </row>
    <row r="394" spans="2:14" ht="14.4" x14ac:dyDescent="0.3">
      <c r="B394" s="143" t="s">
        <v>2663</v>
      </c>
      <c r="C394" s="144"/>
      <c r="D394" s="144"/>
      <c r="E394" s="143" t="s">
        <v>565</v>
      </c>
      <c r="F394" s="145" t="s">
        <v>6944</v>
      </c>
      <c r="G394" s="34"/>
    </row>
    <row r="395" spans="2:14" ht="14.4" x14ac:dyDescent="0.3">
      <c r="B395" s="99" t="s">
        <v>6998</v>
      </c>
      <c r="D395" s="146"/>
      <c r="E395">
        <v>15</v>
      </c>
      <c r="F395" s="146" t="s">
        <v>3659</v>
      </c>
    </row>
    <row r="396" spans="2:14" ht="14.4" x14ac:dyDescent="0.3">
      <c r="B396" s="99" t="s">
        <v>7077</v>
      </c>
      <c r="D396" s="146"/>
      <c r="E396">
        <v>30</v>
      </c>
      <c r="F396" s="146" t="s">
        <v>3659</v>
      </c>
    </row>
    <row r="397" spans="2:14" ht="14.4" x14ac:dyDescent="0.3">
      <c r="B397" s="99" t="s">
        <v>7076</v>
      </c>
      <c r="D397" s="146"/>
      <c r="E397" s="549">
        <v>5.9400000000000001E-2</v>
      </c>
      <c r="F397" s="146" t="s">
        <v>2306</v>
      </c>
      <c r="G397" s="34"/>
    </row>
    <row r="398" spans="2:14" ht="14.4" x14ac:dyDescent="0.3">
      <c r="B398" s="149" t="s">
        <v>7215</v>
      </c>
      <c r="C398" s="150"/>
      <c r="D398" s="151"/>
      <c r="E398" s="323">
        <v>6.55</v>
      </c>
      <c r="F398" s="151" t="s">
        <v>2311</v>
      </c>
      <c r="G398" s="34"/>
    </row>
    <row r="399" spans="2:14" ht="14.4" x14ac:dyDescent="0.3">
      <c r="C399" s="153"/>
    </row>
    <row r="400" spans="2:14" ht="43.2" x14ac:dyDescent="0.3">
      <c r="B400" s="361" t="s">
        <v>6946</v>
      </c>
      <c r="C400" s="362" t="s">
        <v>6947</v>
      </c>
      <c r="D400" s="362" t="s">
        <v>6948</v>
      </c>
      <c r="E400" s="362" t="s">
        <v>6949</v>
      </c>
      <c r="F400" s="362" t="s">
        <v>6950</v>
      </c>
      <c r="G400" s="362" t="s">
        <v>6951</v>
      </c>
      <c r="H400" s="362" t="s">
        <v>6952</v>
      </c>
      <c r="I400" s="362" t="s">
        <v>6953</v>
      </c>
      <c r="J400" s="362" t="s">
        <v>6954</v>
      </c>
      <c r="K400" s="362" t="s">
        <v>6955</v>
      </c>
      <c r="L400" s="362" t="s">
        <v>6956</v>
      </c>
      <c r="M400" s="362" t="s">
        <v>6957</v>
      </c>
      <c r="N400" s="362" t="s">
        <v>6958</v>
      </c>
    </row>
    <row r="401" spans="1:17" ht="14.4" x14ac:dyDescent="0.3">
      <c r="A401" t="s">
        <v>7253</v>
      </c>
      <c r="B401" s="99" t="s">
        <v>2771</v>
      </c>
      <c r="C401" s="153">
        <f>(VLOOKUP("Lagoon constructiona",Econ.Equations!$C:$E,2,FALSE)*E382^VLOOKUP("Lagoon constructionb",Econ.Equations!$C:$E,2,FALSE))*E382</f>
        <v>31078.833113272121</v>
      </c>
      <c r="D401">
        <f>VLOOKUP("CAPEXLifetimeBuildings and constructionDefault",Econ.inputsTable!$E:$G,2,FALSE)</f>
        <v>20</v>
      </c>
      <c r="E401" t="s">
        <v>2852</v>
      </c>
      <c r="F401" t="s">
        <v>2852</v>
      </c>
      <c r="G401" s="154">
        <f>VLOOKUP("CAPEXAnnual usage on activityItems that are used only on the given activityDefault",Econ.inputsTable!$E:$G,2,FALSE)</f>
        <v>1</v>
      </c>
      <c r="H401" s="503">
        <f t="shared" ref="H401:H407" si="4">UDV.econ_capital.interest_rate</f>
        <v>5.0999999999999997E-2</v>
      </c>
      <c r="I401" s="155">
        <f>VLOOKUP("CAPEXSalvageBuildings and constructionDefault",Econ.inputsTable!$E:$G,2,FALSE)</f>
        <v>0</v>
      </c>
      <c r="J401" s="156">
        <f>$C$22*I401</f>
        <v>0</v>
      </c>
      <c r="K401" s="154">
        <f>VLOOKUP("CAPEXFinanced amountNADefault", Econ.inputsTable!$E:$I,2,FALSE)</f>
        <v>1</v>
      </c>
      <c r="L401" s="364">
        <f>H401*K401</f>
        <v>5.0999999999999997E-2</v>
      </c>
      <c r="M401" s="351">
        <f>L401/(1-(1+L401)^-D401)</f>
        <v>8.0924368970045152E-2</v>
      </c>
      <c r="N401" s="153">
        <f t="shared" ref="N401:N407" si="5">((C401-J401)*M401)+(J401*L401)</f>
        <v>2515.0349580168904</v>
      </c>
    </row>
    <row r="402" spans="1:17" ht="14.4" x14ac:dyDescent="0.3">
      <c r="A402" t="s">
        <v>7253</v>
      </c>
      <c r="B402" s="99" t="s">
        <v>7254</v>
      </c>
      <c r="C402" s="373">
        <f>VLOOKUP("Lagoon liner geomembraneDefault",Econ.Tables!$C:$E,2,FALSE)*E383</f>
        <v>67820.670934704583</v>
      </c>
      <c r="D402">
        <f>VLOOKUP("CAPEXLifetimeBuildings and constructionDefault",Econ.inputsTable!$E:$G,2,FALSE)</f>
        <v>20</v>
      </c>
      <c r="E402" t="s">
        <v>2852</v>
      </c>
      <c r="F402" t="s">
        <v>2852</v>
      </c>
      <c r="G402" s="154">
        <f>VLOOKUP("CAPEXAnnual usage on activityItems that are used only on the given activityDefault",Econ.inputsTable!$E:$G,2,FALSE)</f>
        <v>1</v>
      </c>
      <c r="H402" s="503">
        <f t="shared" si="4"/>
        <v>5.0999999999999997E-2</v>
      </c>
      <c r="I402" s="155">
        <f>VLOOKUP("CAPEXSalvageBuildings and constructionDefault",Econ.inputsTable!$E:$G,2,FALSE)</f>
        <v>0</v>
      </c>
      <c r="J402" s="156">
        <f>$C$23*I402</f>
        <v>0</v>
      </c>
      <c r="K402" s="154">
        <f>VLOOKUP("CAPEXFinanced amountNADefault", Econ.inputsTable!$E:$I,2,FALSE)</f>
        <v>1</v>
      </c>
      <c r="L402" s="364">
        <f>H402*K402</f>
        <v>5.0999999999999997E-2</v>
      </c>
      <c r="M402" s="351">
        <f>L402/(1-(1+L402)^-D402)</f>
        <v>8.0924368970045152E-2</v>
      </c>
      <c r="N402" s="153">
        <f t="shared" si="5"/>
        <v>5488.3449985160505</v>
      </c>
    </row>
    <row r="403" spans="1:17" ht="14.4" x14ac:dyDescent="0.3">
      <c r="A403" t="s">
        <v>7253</v>
      </c>
      <c r="B403" s="99" t="s">
        <v>7255</v>
      </c>
      <c r="C403" s="153">
        <f>(VLOOKUP("Cover for lagoona",Econ.Equations!$C:$E,2,FALSE)*E383^VLOOKUP("Cover for lagoonb",Econ.Equations!$C:$E,2,FALSE))*E383</f>
        <v>257274.23569122158</v>
      </c>
      <c r="D403">
        <f>VLOOKUP("CAPEXLifetimeBuildings and constructionDefault",Econ.inputsTable!$E:$G,2,FALSE)</f>
        <v>20</v>
      </c>
      <c r="E403" t="s">
        <v>2852</v>
      </c>
      <c r="F403" t="s">
        <v>2852</v>
      </c>
      <c r="G403" s="154">
        <f>VLOOKUP("CAPEXAnnual usage on activityItems that are used only on the given activityDefault",Econ.inputsTable!$E:$G,2,FALSE)</f>
        <v>1</v>
      </c>
      <c r="H403" s="503">
        <f t="shared" si="4"/>
        <v>5.0999999999999997E-2</v>
      </c>
      <c r="I403" s="155">
        <f>VLOOKUP("CAPEXSalvageBuildings and constructionDefault",Econ.inputsTable!$E:$G,2,FALSE)</f>
        <v>0</v>
      </c>
      <c r="J403" s="156">
        <f>$C$23*I403</f>
        <v>0</v>
      </c>
      <c r="K403" s="154">
        <f>VLOOKUP("CAPEXFinanced amountNADefault", Econ.inputsTable!$E:$I,2,FALSE)</f>
        <v>1</v>
      </c>
      <c r="L403" s="364">
        <f>H403*K403</f>
        <v>5.0999999999999997E-2</v>
      </c>
      <c r="M403" s="351">
        <f>L403/(1-(1+L403)^-D403)</f>
        <v>8.0924368970045152E-2</v>
      </c>
      <c r="N403" s="153">
        <f t="shared" si="5"/>
        <v>20819.755175562776</v>
      </c>
      <c r="O403" s="156"/>
      <c r="Q403" s="146"/>
    </row>
    <row r="404" spans="1:17" ht="14.4" x14ac:dyDescent="0.3">
      <c r="A404" t="s">
        <v>7256</v>
      </c>
      <c r="B404" s="99" t="s">
        <v>7257</v>
      </c>
      <c r="C404" s="153">
        <f>IF(E387=1,VLOOKUP("Combined heat and powera",Econ.Equations!$C:$E,2,FALSE)*E386^VLOOKUP("Combined heat and powerb",Econ.Equations!$C:$E,2,FALSE)*E386,0)</f>
        <v>0</v>
      </c>
      <c r="D404">
        <f>VLOOKUP("CAPEXLifetimeBuildings and constructionDefault",Econ.inputsTable!$E:$G,2,FALSE)</f>
        <v>20</v>
      </c>
      <c r="E404" t="s">
        <v>2852</v>
      </c>
      <c r="F404" t="s">
        <v>2852</v>
      </c>
      <c r="G404" s="154">
        <f>VLOOKUP("CAPEXAnnual usage on activityItems that are used only on the given activityDefault",Econ.inputsTable!$E:$G,2,FALSE)</f>
        <v>1</v>
      </c>
      <c r="H404" s="503">
        <f t="shared" si="4"/>
        <v>5.0999999999999997E-2</v>
      </c>
      <c r="I404" s="155">
        <f>VLOOKUP("CAPEXSalvageBuildings and constructionDefault",Econ.inputsTable!$E:$G,2,FALSE)</f>
        <v>0</v>
      </c>
      <c r="J404" s="156">
        <f>$C404*I404</f>
        <v>0</v>
      </c>
      <c r="K404" s="154">
        <f>VLOOKUP("CAPEXFinanced amountNADefault", Econ.inputsTable!$E:$I,2,FALSE)</f>
        <v>1</v>
      </c>
      <c r="L404" s="364">
        <f>H404*K404</f>
        <v>5.0999999999999997E-2</v>
      </c>
      <c r="M404" s="351">
        <f>L404/(1-(1+L404)^-D404)</f>
        <v>8.0924368970045152E-2</v>
      </c>
      <c r="N404" s="153">
        <f t="shared" si="5"/>
        <v>0</v>
      </c>
      <c r="O404" s="153"/>
      <c r="Q404" s="146"/>
    </row>
    <row r="405" spans="1:17" ht="14.4" x14ac:dyDescent="0.3">
      <c r="A405" t="s">
        <v>7256</v>
      </c>
      <c r="B405" s="99" t="s">
        <v>7258</v>
      </c>
      <c r="C405" s="153">
        <f>IF(E388=1,(VLOOKUP("CHP utility connectionDefault",Econ.Tables!$C:$E,2,FALSE)),0)</f>
        <v>0</v>
      </c>
      <c r="D405">
        <f>VLOOKUP("CAPEXLifetimeEquipmentDefault",Econ.inputsTable!$E:$G,2,FALSE)</f>
        <v>10</v>
      </c>
      <c r="E405" t="s">
        <v>2852</v>
      </c>
      <c r="F405" t="s">
        <v>2852</v>
      </c>
      <c r="G405" s="154">
        <f>VLOOKUP("CAPEXAnnual usage on activityItems that are used only on the given activityDefault",Econ.inputsTable!$E:$G,2,FALSE)</f>
        <v>1</v>
      </c>
      <c r="H405" s="503">
        <f t="shared" si="4"/>
        <v>5.0999999999999997E-2</v>
      </c>
      <c r="I405" s="154">
        <f>VLOOKUP("CAPEXSalvageEquipmentDefault",Econ.inputsTable!$E:$G,2,FALSE)</f>
        <v>0.2</v>
      </c>
      <c r="J405" s="153">
        <f>C405*I405</f>
        <v>0</v>
      </c>
      <c r="K405" s="154">
        <f>VLOOKUP("CAPEXFinanced amountNADefault", Econ.inputsTable!$E:$I,2,FALSE)</f>
        <v>1</v>
      </c>
      <c r="L405" s="364">
        <f>H405*K405</f>
        <v>5.0999999999999997E-2</v>
      </c>
      <c r="M405" s="351">
        <f>L405/(1-(1+L405)^-D405)</f>
        <v>0.13013423257204779</v>
      </c>
      <c r="N405" s="153">
        <f t="shared" si="5"/>
        <v>0</v>
      </c>
      <c r="O405" s="153"/>
      <c r="Q405" s="146"/>
    </row>
    <row r="406" spans="1:17" ht="14.4" x14ac:dyDescent="0.3">
      <c r="A406" t="s">
        <v>7253</v>
      </c>
      <c r="B406" s="99" t="s">
        <v>2690</v>
      </c>
      <c r="C406" s="158">
        <f>IF(E387=2,(VLOOKUP("Compressed natural gasa",Econ.Equations!$C:$E,2,FALSE)*E386^VLOOKUP("Compressed natural gasb",Econ.Equations!$C:$E,2,FALSE)*E386),0)</f>
        <v>0</v>
      </c>
      <c r="D406">
        <f>VLOOKUP("CAPEXLifetimeEquipmentDefault",Econ.inputsTable!$E:$G,2,FALSE)</f>
        <v>10</v>
      </c>
      <c r="E406" t="s">
        <v>2852</v>
      </c>
      <c r="F406" t="s">
        <v>2852</v>
      </c>
      <c r="G406" s="257">
        <f>VLOOKUP("CAPEXAnnual usage on activityItems that are used only on the given activityDefault",Econ.inputsTable!$E:$I,2,FALSE)</f>
        <v>1</v>
      </c>
      <c r="H406" s="503">
        <f t="shared" si="4"/>
        <v>5.0999999999999997E-2</v>
      </c>
      <c r="I406" s="257">
        <f>VLOOKUP("CAPEXSalvageEquipmentDefault",Econ.inputsTable!$E:$G,2,FALSE)</f>
        <v>0.2</v>
      </c>
      <c r="J406" s="153">
        <f>C406*I406</f>
        <v>0</v>
      </c>
      <c r="K406" s="257">
        <f>VLOOKUP("CAPEXFinanced amountNADefault", Econ.inputsTable!$E:$I,2,FALSE)</f>
        <v>1</v>
      </c>
      <c r="L406" s="364">
        <f t="shared" ref="L406:L407" si="6">H406*K406</f>
        <v>5.0999999999999997E-2</v>
      </c>
      <c r="M406" s="351">
        <f t="shared" ref="M406:M407" si="7">L406/(1-(1+L406)^-D406)</f>
        <v>0.13013423257204779</v>
      </c>
      <c r="N406" s="153">
        <f t="shared" si="5"/>
        <v>0</v>
      </c>
      <c r="Q406" s="146"/>
    </row>
    <row r="407" spans="1:17" ht="14.4" x14ac:dyDescent="0.3">
      <c r="A407" t="s">
        <v>7253</v>
      </c>
      <c r="B407" s="99" t="s">
        <v>2697</v>
      </c>
      <c r="C407" s="158">
        <f>IF(E389=1,(VLOOKUP("Compressed natural gas utility connectiona",Econ.Equations!$C:$E,2,FALSE)*E386^VLOOKUP("Compressed natural gas utility connectionb",Econ.Equations!$C:$E,2,FALSE)*E386),0)</f>
        <v>0</v>
      </c>
      <c r="D407">
        <f>VLOOKUP("CAPEXLifetimeEquipmentDefault",Econ.inputsTable!$E:$G,2,FALSE)</f>
        <v>10</v>
      </c>
      <c r="E407" t="s">
        <v>2852</v>
      </c>
      <c r="F407" t="s">
        <v>2852</v>
      </c>
      <c r="G407" s="257">
        <f>VLOOKUP("CAPEXAnnual usage on activityItems that are used only on the given activityDefault",Econ.inputsTable!$E:$I,2,FALSE)</f>
        <v>1</v>
      </c>
      <c r="H407" s="503">
        <f t="shared" si="4"/>
        <v>5.0999999999999997E-2</v>
      </c>
      <c r="I407" s="257">
        <f>VLOOKUP("CAPEXSalvageBuildings and constructionDefault", Econ.inputsTable!$E:$I,2,FALSE)</f>
        <v>0</v>
      </c>
      <c r="J407" s="153">
        <f>C407*I407</f>
        <v>0</v>
      </c>
      <c r="K407" s="257">
        <f>VLOOKUP("CAPEXFinanced amountNADefault", Econ.inputsTable!$E:$I,2,FALSE)</f>
        <v>1</v>
      </c>
      <c r="L407" s="364">
        <f t="shared" si="6"/>
        <v>5.0999999999999997E-2</v>
      </c>
      <c r="M407" s="351">
        <f t="shared" si="7"/>
        <v>0.13013423257204779</v>
      </c>
      <c r="N407" s="153">
        <f t="shared" si="5"/>
        <v>0</v>
      </c>
      <c r="Q407" s="146"/>
    </row>
    <row r="408" spans="1:17" ht="14.4" x14ac:dyDescent="0.3">
      <c r="B408" s="99"/>
      <c r="Q408" s="146"/>
    </row>
    <row r="409" spans="1:17" ht="14.4" x14ac:dyDescent="0.3">
      <c r="B409" s="99"/>
      <c r="C409" s="82" t="s">
        <v>6962</v>
      </c>
      <c r="D409" s="82" t="s">
        <v>6963</v>
      </c>
      <c r="F409" s="153">
        <v>1875106.9130624277</v>
      </c>
      <c r="G409" s="199" t="s">
        <v>7264</v>
      </c>
      <c r="Q409" s="146"/>
    </row>
    <row r="410" spans="1:17" ht="14.4" x14ac:dyDescent="0.3">
      <c r="A410" t="s">
        <v>4683</v>
      </c>
      <c r="B410" s="99" t="s">
        <v>6964</v>
      </c>
      <c r="C410" s="153">
        <f>SUM(C401:C407)</f>
        <v>356173.7397391983</v>
      </c>
      <c r="D410" s="158">
        <f>SUMPRODUCT(C401:C407,G401:G407)</f>
        <v>356173.7397391983</v>
      </c>
      <c r="Q410" s="146"/>
    </row>
    <row r="411" spans="1:17" ht="14.4" x14ac:dyDescent="0.3">
      <c r="A411" t="s">
        <v>4683</v>
      </c>
      <c r="B411" s="149" t="s">
        <v>6965</v>
      </c>
      <c r="C411" s="159">
        <f>SUM(N401:N407)</f>
        <v>28823.135132095718</v>
      </c>
      <c r="D411" s="159">
        <f>SUMPRODUCT(N401:N407,G401:G407)</f>
        <v>28823.135132095718</v>
      </c>
      <c r="E411" s="150"/>
      <c r="F411" s="150"/>
      <c r="G411" s="150"/>
      <c r="H411" s="150"/>
      <c r="I411" s="150"/>
      <c r="J411" s="150"/>
      <c r="K411" s="150"/>
      <c r="L411" s="150"/>
      <c r="M411" s="150"/>
      <c r="N411" s="150"/>
      <c r="O411" s="150"/>
      <c r="P411" s="150"/>
      <c r="Q411" s="151"/>
    </row>
    <row r="412" spans="1:17" ht="14.4" x14ac:dyDescent="0.3">
      <c r="B412" s="99"/>
      <c r="Q412" s="146"/>
    </row>
    <row r="413" spans="1:17" ht="57.6" x14ac:dyDescent="0.3">
      <c r="B413" s="160" t="s">
        <v>6966</v>
      </c>
      <c r="C413" s="152" t="s">
        <v>6967</v>
      </c>
      <c r="D413" s="152" t="s">
        <v>6968</v>
      </c>
      <c r="E413" s="152" t="s">
        <v>6969</v>
      </c>
      <c r="F413" s="152" t="s">
        <v>6970</v>
      </c>
      <c r="G413" s="152" t="s">
        <v>6971</v>
      </c>
      <c r="H413" s="152" t="s">
        <v>6972</v>
      </c>
      <c r="I413" s="152" t="s">
        <v>6973</v>
      </c>
      <c r="J413" s="152" t="s">
        <v>6974</v>
      </c>
      <c r="K413" s="152" t="s">
        <v>6975</v>
      </c>
      <c r="L413" s="152" t="s">
        <v>6976</v>
      </c>
      <c r="M413" s="152" t="s">
        <v>6977</v>
      </c>
      <c r="N413" s="152" t="s">
        <v>6978</v>
      </c>
      <c r="O413" s="152" t="s">
        <v>6979</v>
      </c>
      <c r="P413" s="152" t="s">
        <v>7219</v>
      </c>
      <c r="Q413" s="161" t="s">
        <v>7259</v>
      </c>
    </row>
    <row r="414" spans="1:17" ht="14.4" x14ac:dyDescent="0.3">
      <c r="B414" s="99" t="s">
        <v>4683</v>
      </c>
      <c r="C414" s="155">
        <f>VLOOKUP("OPEXInsuranceEverythingDefault",Econ.inputsTable!$E:$G,2,FALSE)</f>
        <v>5.0000000000000001E-3</v>
      </c>
      <c r="D414" s="155">
        <f>VLOOKUP("OPEXRepair and maintenanceBuildings and constructionDefault",Econ.inputsTable!$E:$G,2,FALSE)</f>
        <v>0.01</v>
      </c>
      <c r="N414" s="153"/>
      <c r="O414" s="153">
        <f>(SUM(C414:D414)*SUMPRODUCT(C401:C403,G401:G403)+SUM(E414,G414,I414,J414,L414,N414))</f>
        <v>5342.606096087974</v>
      </c>
      <c r="Q414" s="146"/>
    </row>
    <row r="415" spans="1:17" ht="14.4" x14ac:dyDescent="0.3">
      <c r="B415" s="99" t="s">
        <v>2681</v>
      </c>
      <c r="C415" s="155">
        <f>VLOOKUP("OPEXInsuranceEverythingDefault",Econ.inputsTable!$E:$G,2,FALSE)</f>
        <v>5.0000000000000001E-3</v>
      </c>
      <c r="D415" s="155">
        <f>VLOOKUP("OPEXRepair and maintenanceElectricity generation equipmentDefault",Econ.inputsTable!$E:$H,2,FALSE)</f>
        <v>0.06</v>
      </c>
      <c r="M415" s="166">
        <f>IF(E387="CHP",VLOOKUP("CHP operational laborm",Econ.Equations!$C:$E,2,FALSE)*E383+VLOOKUP("CHP operational laborb",Econ.Equations!$C:$E,2,FALSE),0)</f>
        <v>0</v>
      </c>
      <c r="N415" s="158">
        <f>M415*E396</f>
        <v>0</v>
      </c>
      <c r="O415" s="153">
        <f>(SUM(C415:D415)*(C404*G404)+SUM(E415,G415,I415,J415,L415,N415))+(P415*C404)+Q415</f>
        <v>0</v>
      </c>
      <c r="P415" s="155">
        <f>IF(E387="CHP",VLOOKUP("OPEXSystem operationsElectricity generation equipmentDefault",Econ.inputsTable!$E:$H,2,FALSE),0)</f>
        <v>0</v>
      </c>
      <c r="Q415" s="167">
        <f>IF(E387="CHP",(VLOOKUP("CHP energy inputsa",Econ.Equations!$C:$E,2,FALSE)*E384^VLOOKUP("CHP energy inputsb",Econ.Equations!$C:$E,2,FALSE)*E4814),0)</f>
        <v>0</v>
      </c>
    </row>
    <row r="416" spans="1:17" ht="14.4" x14ac:dyDescent="0.3">
      <c r="B416" s="99" t="s">
        <v>7217</v>
      </c>
      <c r="C416" s="155">
        <f>VLOOKUP("OPEXInsuranceEverythingDefault",Econ.inputsTable!$E:$G,2,FALSE)</f>
        <v>5.0000000000000001E-3</v>
      </c>
      <c r="D416" s="155"/>
      <c r="F416" s="153"/>
      <c r="M416" s="153"/>
      <c r="O416" s="153">
        <f>(SUM(C416:D416)*SUMPRODUCT(C405,G405)+SUM(E416,G416,I416,J416,L416,N416))</f>
        <v>0</v>
      </c>
      <c r="Q416" s="146"/>
    </row>
    <row r="417" spans="1:17" ht="14.4" x14ac:dyDescent="0.3">
      <c r="B417" s="99" t="s">
        <v>2690</v>
      </c>
      <c r="C417" s="236">
        <f>VLOOKUP("OPEXInsuranceEverythingDefault",Econ.inputsTable!$E:$G,2,FALSE)</f>
        <v>5.0000000000000001E-3</v>
      </c>
      <c r="D417" s="236">
        <f>VLOOKUP("OPEXRepair and maintenanceCNG equipmentDefault",Econ.inputsTable!$E:$H,2,FALSE)</f>
        <v>1.2999999999999999E-2</v>
      </c>
      <c r="G417" s="153">
        <f>IF(E389="CNG",(VLOOKUP("CNG energy inputsDefault",Econ.Tables!$C:$E,2,FALSE)*E385),0)</f>
        <v>0</v>
      </c>
      <c r="M417" s="166">
        <f>IF(E389="CNG",(VLOOKUP("CNG operational laborm",Econ.Equations!$C:$E,2,FALSE)*E385+VLOOKUP("CNG operational laborb",Econ.Equations!$C:$E,2,FALSE)),0)</f>
        <v>0</v>
      </c>
      <c r="N417" s="233">
        <f>M417*E398</f>
        <v>0</v>
      </c>
      <c r="O417" s="153">
        <f t="shared" ref="O417:O418" si="8">(SUM(C417:D417)*(C406*G406)+SUM(E417,G417,I417,J417,L417,N417))</f>
        <v>0</v>
      </c>
      <c r="Q417" s="146"/>
    </row>
    <row r="418" spans="1:17" ht="14.4" x14ac:dyDescent="0.3">
      <c r="B418" s="99" t="s">
        <v>2697</v>
      </c>
      <c r="C418" s="236">
        <f>VLOOKUP("OPEXInsuranceEverythingDefault",Econ.inputsTable!$E:$G,2,FALSE)</f>
        <v>5.0000000000000001E-3</v>
      </c>
      <c r="D418" s="236"/>
      <c r="G418" s="153"/>
      <c r="M418" s="153"/>
      <c r="O418" s="153">
        <f t="shared" si="8"/>
        <v>0</v>
      </c>
      <c r="Q418" s="146"/>
    </row>
    <row r="419" spans="1:17" ht="14.4" x14ac:dyDescent="0.3">
      <c r="A419" t="s">
        <v>4683</v>
      </c>
      <c r="B419" s="162" t="s">
        <v>5203</v>
      </c>
      <c r="C419" s="163"/>
      <c r="D419" s="505"/>
      <c r="E419" s="529">
        <f t="shared" ref="E419:Q419" si="9">SUM(E414:E416)</f>
        <v>0</v>
      </c>
      <c r="F419" s="163">
        <f t="shared" si="9"/>
        <v>0</v>
      </c>
      <c r="G419" s="529">
        <f t="shared" si="9"/>
        <v>0</v>
      </c>
      <c r="H419" s="163">
        <f t="shared" si="9"/>
        <v>0</v>
      </c>
      <c r="I419" s="529">
        <f t="shared" si="9"/>
        <v>0</v>
      </c>
      <c r="J419" s="529">
        <f t="shared" si="9"/>
        <v>0</v>
      </c>
      <c r="K419" s="163">
        <f t="shared" si="9"/>
        <v>0</v>
      </c>
      <c r="L419" s="529">
        <f t="shared" si="9"/>
        <v>0</v>
      </c>
      <c r="M419" s="168">
        <f t="shared" si="9"/>
        <v>0</v>
      </c>
      <c r="N419" s="529">
        <f t="shared" si="9"/>
        <v>0</v>
      </c>
      <c r="O419" s="529">
        <f t="shared" si="9"/>
        <v>5342.606096087974</v>
      </c>
      <c r="P419" s="550">
        <f t="shared" si="9"/>
        <v>0</v>
      </c>
      <c r="Q419" s="530">
        <f t="shared" si="9"/>
        <v>0</v>
      </c>
    </row>
    <row r="420" spans="1:17" ht="14.4" x14ac:dyDescent="0.3">
      <c r="B420" s="99"/>
      <c r="D420" s="155"/>
      <c r="E420" s="155"/>
      <c r="F420" s="158"/>
      <c r="G420" s="154"/>
      <c r="H420" s="156"/>
      <c r="I420" s="153"/>
      <c r="Q420" s="146"/>
    </row>
    <row r="421" spans="1:17" ht="14.4" x14ac:dyDescent="0.3">
      <c r="A421" t="s">
        <v>4683</v>
      </c>
      <c r="B421" s="149" t="s">
        <v>6980</v>
      </c>
      <c r="C421" s="159">
        <f>O419</f>
        <v>5342.606096087974</v>
      </c>
      <c r="D421" s="150"/>
      <c r="E421" s="150"/>
      <c r="F421" s="150"/>
      <c r="G421" s="150"/>
      <c r="H421" s="150"/>
      <c r="I421" s="150"/>
      <c r="J421" s="150"/>
      <c r="K421" s="150"/>
      <c r="L421" s="150"/>
      <c r="M421" s="150"/>
      <c r="N421" s="150"/>
      <c r="O421" s="150"/>
      <c r="P421" s="150"/>
      <c r="Q421" s="151"/>
    </row>
    <row r="422" spans="1:17" ht="14.4" x14ac:dyDescent="0.3">
      <c r="B422" s="262"/>
      <c r="C422" s="142"/>
      <c r="D422" s="142"/>
      <c r="E422" s="142"/>
      <c r="F422" s="142"/>
      <c r="G422" s="142"/>
      <c r="H422" s="142"/>
      <c r="I422" s="142"/>
      <c r="J422" s="142"/>
      <c r="K422" s="142"/>
      <c r="L422" s="142"/>
      <c r="M422" s="142"/>
      <c r="N422" s="142"/>
      <c r="O422" s="142"/>
      <c r="P422" s="142"/>
      <c r="Q422" s="141"/>
    </row>
    <row r="423" spans="1:17" ht="14.4" x14ac:dyDescent="0.3">
      <c r="B423" s="92" t="s">
        <v>7220</v>
      </c>
      <c r="C423" s="82" t="s">
        <v>4888</v>
      </c>
      <c r="Q423" s="146"/>
    </row>
    <row r="424" spans="1:17" ht="14.4" x14ac:dyDescent="0.3">
      <c r="A424" t="s">
        <v>4683</v>
      </c>
      <c r="B424" s="99" t="s">
        <v>7221</v>
      </c>
      <c r="C424" s="166"/>
      <c r="E424" s="34"/>
      <c r="Q424" s="146"/>
    </row>
    <row r="425" spans="1:17" ht="14.4" x14ac:dyDescent="0.3">
      <c r="A425" t="s">
        <v>4683</v>
      </c>
      <c r="B425" s="99" t="s">
        <v>7222</v>
      </c>
      <c r="C425" s="166"/>
      <c r="D425" t="s">
        <v>7223</v>
      </c>
      <c r="E425" s="34"/>
      <c r="P425" s="146"/>
    </row>
    <row r="426" spans="1:17" ht="14.4" x14ac:dyDescent="0.3">
      <c r="B426" s="99"/>
      <c r="Q426" s="146"/>
    </row>
    <row r="427" spans="1:17" ht="14.4" x14ac:dyDescent="0.3">
      <c r="B427" s="531" t="s">
        <v>7104</v>
      </c>
      <c r="C427" s="82" t="s">
        <v>5745</v>
      </c>
      <c r="Q427" s="146"/>
    </row>
    <row r="428" spans="1:17" ht="14.4" x14ac:dyDescent="0.3">
      <c r="A428" t="s">
        <v>4683</v>
      </c>
      <c r="B428" s="99" t="s">
        <v>7224</v>
      </c>
      <c r="C428" s="532"/>
      <c r="Q428" s="146"/>
    </row>
    <row r="429" spans="1:17" ht="14.4" x14ac:dyDescent="0.3">
      <c r="A429" t="s">
        <v>4683</v>
      </c>
      <c r="B429" s="99" t="s">
        <v>7225</v>
      </c>
      <c r="C429" s="532"/>
      <c r="P429" s="146"/>
    </row>
    <row r="430" spans="1:17" ht="14.4" x14ac:dyDescent="0.3">
      <c r="B430" s="99"/>
      <c r="C430" s="532"/>
      <c r="Q430" s="146"/>
    </row>
    <row r="431" spans="1:17" ht="14.4" x14ac:dyDescent="0.3">
      <c r="A431" t="s">
        <v>4683</v>
      </c>
      <c r="B431" s="99" t="s">
        <v>7107</v>
      </c>
      <c r="C431" s="532"/>
      <c r="Q431" s="146"/>
    </row>
    <row r="432" spans="1:17" ht="14.4" x14ac:dyDescent="0.3">
      <c r="B432" s="99"/>
      <c r="C432" s="532"/>
      <c r="Q432" s="146"/>
    </row>
    <row r="433" spans="1:23" ht="14.4" x14ac:dyDescent="0.3">
      <c r="B433" s="247" t="s">
        <v>7226</v>
      </c>
      <c r="C433" s="82" t="s">
        <v>5745</v>
      </c>
      <c r="Q433" s="146"/>
    </row>
    <row r="434" spans="1:23" ht="14.4" x14ac:dyDescent="0.3">
      <c r="A434" t="s">
        <v>4683</v>
      </c>
      <c r="B434" s="99" t="s">
        <v>7227</v>
      </c>
      <c r="C434" s="532"/>
      <c r="Q434" s="146"/>
    </row>
    <row r="435" spans="1:23" ht="14.4" x14ac:dyDescent="0.3">
      <c r="A435" t="s">
        <v>4683</v>
      </c>
      <c r="B435" s="99" t="s">
        <v>7228</v>
      </c>
      <c r="C435" s="532"/>
    </row>
    <row r="436" spans="1:23" ht="14.4" x14ac:dyDescent="0.3">
      <c r="A436" t="s">
        <v>4683</v>
      </c>
      <c r="B436" s="99" t="s">
        <v>1313</v>
      </c>
      <c r="C436" s="532"/>
    </row>
    <row r="437" spans="1:23" ht="14.4" x14ac:dyDescent="0.3">
      <c r="A437" t="s">
        <v>4683</v>
      </c>
      <c r="B437" s="99" t="s">
        <v>7229</v>
      </c>
      <c r="C437" s="532">
        <f>UDV.econ_energy.carbon_credits*C390</f>
        <v>0</v>
      </c>
      <c r="D437" s="1141" t="s">
        <v>7230</v>
      </c>
    </row>
    <row r="438" spans="1:23" ht="14.4" x14ac:dyDescent="0.3">
      <c r="A438" t="s">
        <v>4683</v>
      </c>
      <c r="B438" s="99" t="s">
        <v>7231</v>
      </c>
      <c r="C438" s="532">
        <f>UDV.econ_energy.carbon_credits*C391</f>
        <v>0</v>
      </c>
      <c r="D438" s="1141" t="s">
        <v>7230</v>
      </c>
    </row>
    <row r="439" spans="1:23" ht="14.4" x14ac:dyDescent="0.3">
      <c r="B439" s="99"/>
      <c r="C439" s="532"/>
    </row>
    <row r="440" spans="1:23" ht="14.4" x14ac:dyDescent="0.3">
      <c r="A440" t="s">
        <v>4683</v>
      </c>
      <c r="B440" s="99" t="s">
        <v>7232</v>
      </c>
      <c r="C440" s="532">
        <f>SUM(C434:C437)</f>
        <v>0</v>
      </c>
      <c r="D440" s="34" t="s">
        <v>7233</v>
      </c>
    </row>
    <row r="441" spans="1:23" ht="14.4" x14ac:dyDescent="0.3">
      <c r="A441" t="s">
        <v>4683</v>
      </c>
      <c r="B441" s="149" t="s">
        <v>7234</v>
      </c>
      <c r="C441" s="534">
        <f>SUM(C434:C436,C438)</f>
        <v>0</v>
      </c>
      <c r="D441" s="777" t="s">
        <v>7233</v>
      </c>
      <c r="E441" s="150"/>
      <c r="F441" s="150"/>
    </row>
    <row r="442" spans="1:23" ht="15" thickBot="1" x14ac:dyDescent="0.35">
      <c r="A442" s="137"/>
      <c r="B442" s="137"/>
      <c r="C442" s="137"/>
      <c r="D442" s="137"/>
      <c r="E442" s="137"/>
      <c r="F442" s="137"/>
      <c r="G442" s="137"/>
      <c r="H442" s="137"/>
      <c r="I442" s="137"/>
      <c r="J442" s="137"/>
      <c r="K442" s="137"/>
      <c r="L442" s="137"/>
      <c r="M442" s="137"/>
      <c r="N442" s="137"/>
      <c r="O442" s="137"/>
      <c r="P442" s="137"/>
      <c r="Q442" s="137"/>
      <c r="U442" s="42"/>
      <c r="W442" s="36"/>
    </row>
    <row r="443" spans="1:23" ht="14.4" x14ac:dyDescent="0.3">
      <c r="U443" s="42"/>
      <c r="W443" s="36"/>
    </row>
    <row r="444" spans="1:23" ht="15.6" x14ac:dyDescent="0.3">
      <c r="B444" s="138" t="s">
        <v>5210</v>
      </c>
      <c r="C444" s="34"/>
    </row>
    <row r="445" spans="1:23" ht="14.4" x14ac:dyDescent="0.3"/>
    <row r="446" spans="1:23" ht="14.4" x14ac:dyDescent="0.3">
      <c r="B446" s="139" t="s">
        <v>6942</v>
      </c>
      <c r="C446" s="140"/>
      <c r="D446" s="140"/>
      <c r="E446" s="139"/>
      <c r="F446" s="141"/>
    </row>
    <row r="447" spans="1:23" ht="14.4" x14ac:dyDescent="0.3">
      <c r="B447" s="143" t="s">
        <v>2663</v>
      </c>
      <c r="C447" s="144" t="s">
        <v>565</v>
      </c>
      <c r="D447" s="144" t="s">
        <v>6943</v>
      </c>
      <c r="E447" s="143" t="s">
        <v>565</v>
      </c>
      <c r="F447" s="145" t="s">
        <v>6944</v>
      </c>
    </row>
    <row r="448" spans="1:23" ht="14.4" x14ac:dyDescent="0.3">
      <c r="B448" s="99" t="s">
        <v>5437</v>
      </c>
      <c r="C448" s="147">
        <f>VLOOKUP(B448,$R:$U,3,FALSE)</f>
        <v>5103.5144459118055</v>
      </c>
      <c r="D448" s="146" t="s">
        <v>2478</v>
      </c>
      <c r="E448" s="148">
        <f>CONVERT(C448,"m^3","ft^3")</f>
        <v>180228.91176567791</v>
      </c>
      <c r="F448" s="146" t="s">
        <v>2479</v>
      </c>
    </row>
    <row r="449" spans="1:15" ht="14.4" x14ac:dyDescent="0.3">
      <c r="B449" s="149" t="s">
        <v>6343</v>
      </c>
      <c r="C449" s="295">
        <f>VLOOKUP(B449,$R:$U,3,FALSE)</f>
        <v>2520.2986018694792</v>
      </c>
      <c r="D449" s="151" t="s">
        <v>2268</v>
      </c>
      <c r="E449" s="359">
        <f>CONVERT(C449,"m^2","ft^2")</f>
        <v>27128.268373881834</v>
      </c>
      <c r="F449" s="151" t="s">
        <v>2267</v>
      </c>
    </row>
    <row r="451" spans="1:15" s="369" customFormat="1" ht="43.2" x14ac:dyDescent="0.3">
      <c r="B451" s="370" t="s">
        <v>6946</v>
      </c>
      <c r="C451" s="362" t="s">
        <v>6947</v>
      </c>
      <c r="D451" s="371" t="s">
        <v>6948</v>
      </c>
      <c r="E451" s="362" t="s">
        <v>6949</v>
      </c>
      <c r="F451" s="362" t="s">
        <v>6950</v>
      </c>
      <c r="G451" s="362" t="s">
        <v>6951</v>
      </c>
      <c r="H451" s="362" t="s">
        <v>6952</v>
      </c>
      <c r="I451" s="371" t="s">
        <v>6953</v>
      </c>
      <c r="J451" s="371" t="s">
        <v>6954</v>
      </c>
      <c r="K451" s="362" t="s">
        <v>6955</v>
      </c>
      <c r="L451" s="362" t="s">
        <v>6956</v>
      </c>
      <c r="M451" s="362" t="s">
        <v>6957</v>
      </c>
      <c r="N451" s="362" t="s">
        <v>6958</v>
      </c>
      <c r="O451" s="363" t="s">
        <v>6959</v>
      </c>
    </row>
    <row r="452" spans="1:15" ht="14.4" x14ac:dyDescent="0.3">
      <c r="A452" t="s">
        <v>7093</v>
      </c>
      <c r="B452" s="99" t="s">
        <v>7094</v>
      </c>
      <c r="C452" s="153">
        <f>VLOOKUP("Lagoon constructiona",Econ.Equations!C:E,2,FALSE)*E448^VLOOKUP("Lagoon constructionb",Econ.Equations!$C:$E,2,FALSE)*E448</f>
        <v>53572.865855653443</v>
      </c>
      <c r="D452">
        <f>VLOOKUP("CAPEXLifetimeBuildings and constructionDefault",Econ.inputsTable!$E:$I,2,FALSE)</f>
        <v>20</v>
      </c>
      <c r="E452" t="s">
        <v>2852</v>
      </c>
      <c r="F452" t="s">
        <v>2852</v>
      </c>
      <c r="G452" s="154">
        <f>VLOOKUP("CAPEXAnnual usage on activityItems that are used only on the given activityDefault",Econ.inputsTable!$E:$I,2,FALSE)</f>
        <v>1</v>
      </c>
      <c r="H452" s="503">
        <f>UDV.econ_capital.interest_rate</f>
        <v>5.0999999999999997E-2</v>
      </c>
      <c r="I452" s="155">
        <f>VLOOKUP("CAPEXSalvageBuildings and constructionDefault",Econ.inputsTable!$E:$J,2,FALSE)</f>
        <v>0</v>
      </c>
      <c r="J452" s="156">
        <f>C452*I452</f>
        <v>0</v>
      </c>
      <c r="K452" s="154">
        <f>VLOOKUP("CAPEXFinanced amountNADefault",Econ.inputsTable!$E:$G,2,FALSE)</f>
        <v>1</v>
      </c>
      <c r="L452" s="364">
        <f>H452*K452</f>
        <v>5.0999999999999997E-2</v>
      </c>
      <c r="M452" s="351">
        <f>L452/(1-(1+L452)^-D452)</f>
        <v>8.0924368970045152E-2</v>
      </c>
      <c r="N452" s="153">
        <f>((C452-J452)*M452)+(J452*L452)</f>
        <v>4335.3503632856327</v>
      </c>
      <c r="O452" s="372">
        <f>N452*G452</f>
        <v>4335.3503632856327</v>
      </c>
    </row>
    <row r="453" spans="1:15" ht="14.4" x14ac:dyDescent="0.3">
      <c r="A453" t="s">
        <v>7093</v>
      </c>
      <c r="B453" s="99" t="s">
        <v>7095</v>
      </c>
      <c r="C453" s="373">
        <f>UDV.econ_liner.lagoon_geomembrane*E449</f>
        <v>67820.670934704583</v>
      </c>
      <c r="D453">
        <f>VLOOKUP("CAPEXLifetimeBuildings and constructionDefault",Econ.inputsTable!$E:$I,2,FALSE)</f>
        <v>20</v>
      </c>
      <c r="E453" t="s">
        <v>2852</v>
      </c>
      <c r="F453" t="s">
        <v>2852</v>
      </c>
      <c r="G453" s="154">
        <f>VLOOKUP("CAPEXAnnual usage on activityItems that are used only on the given activityDefault",Econ.inputsTable!E:G,2,FALSE)</f>
        <v>1</v>
      </c>
      <c r="H453" s="503">
        <f>UDV.econ_capital.interest_rate</f>
        <v>5.0999999999999997E-2</v>
      </c>
      <c r="I453" s="155">
        <f>VLOOKUP("CAPEXSalvageBuildings and constructionDefault",Econ.inputsTable!$E:$J,2,FALSE)</f>
        <v>0</v>
      </c>
      <c r="J453" s="156">
        <f>C453*I453</f>
        <v>0</v>
      </c>
      <c r="K453" s="154">
        <f>VLOOKUP("CAPEXFinanced amountNADefault",Econ.inputsTable!$E:$G,2,FALSE)</f>
        <v>1</v>
      </c>
      <c r="L453" s="364">
        <f>H453*K453</f>
        <v>5.0999999999999997E-2</v>
      </c>
      <c r="M453" s="351">
        <f>L453/(1-(1+L453)^-D453)</f>
        <v>8.0924368970045152E-2</v>
      </c>
      <c r="N453" s="153">
        <f>((C453-J453)*M453)+(J453*L453)</f>
        <v>5488.3449985160505</v>
      </c>
      <c r="O453" s="372">
        <f>N453*G453</f>
        <v>5488.3449985160505</v>
      </c>
    </row>
    <row r="454" spans="1:15" ht="14.4" x14ac:dyDescent="0.3">
      <c r="B454" s="99"/>
      <c r="O454" s="146"/>
    </row>
    <row r="455" spans="1:15" ht="14.4" x14ac:dyDescent="0.3">
      <c r="B455" s="99"/>
      <c r="C455" s="82" t="s">
        <v>6962</v>
      </c>
      <c r="D455" s="82" t="s">
        <v>6963</v>
      </c>
      <c r="O455" s="146"/>
    </row>
    <row r="456" spans="1:15" ht="14.4" x14ac:dyDescent="0.3">
      <c r="A456" t="s">
        <v>5210</v>
      </c>
      <c r="B456" s="99" t="s">
        <v>6964</v>
      </c>
      <c r="C456" s="153">
        <f>SUM(C452:C453)</f>
        <v>121393.53679035802</v>
      </c>
      <c r="D456" s="158">
        <f>SUMPRODUCT(C452:C453,G452:G453)</f>
        <v>121393.53679035802</v>
      </c>
      <c r="O456" s="146"/>
    </row>
    <row r="457" spans="1:15" ht="14.4" x14ac:dyDescent="0.3">
      <c r="A457" t="s">
        <v>5210</v>
      </c>
      <c r="B457" s="149" t="s">
        <v>6965</v>
      </c>
      <c r="C457" s="159">
        <f>SUM(N452:N453)</f>
        <v>9823.6953618016832</v>
      </c>
      <c r="D457" s="159">
        <f>SUMPRODUCT(N452:N453,G452:G453)</f>
        <v>9823.6953618016832</v>
      </c>
      <c r="E457" s="150"/>
      <c r="F457" s="150"/>
      <c r="G457" s="150"/>
      <c r="H457" s="150"/>
      <c r="I457" s="150"/>
      <c r="J457" s="150"/>
      <c r="K457" s="150"/>
      <c r="L457" s="150"/>
      <c r="M457" s="150"/>
      <c r="N457" s="150"/>
      <c r="O457" s="151"/>
    </row>
    <row r="458" spans="1:15" ht="14.4" x14ac:dyDescent="0.3">
      <c r="B458" s="262"/>
      <c r="C458" s="142"/>
      <c r="D458" s="142"/>
      <c r="E458" s="142"/>
      <c r="F458" s="142"/>
      <c r="G458" s="142"/>
      <c r="H458" s="142"/>
      <c r="I458" s="142"/>
      <c r="J458" s="142"/>
      <c r="K458" s="142"/>
      <c r="L458" s="142"/>
      <c r="M458" s="142"/>
      <c r="N458" s="142"/>
      <c r="O458" s="141"/>
    </row>
    <row r="459" spans="1:15" ht="57.6" x14ac:dyDescent="0.3">
      <c r="B459" s="160" t="s">
        <v>6966</v>
      </c>
      <c r="C459" s="152" t="s">
        <v>6967</v>
      </c>
      <c r="D459" s="152" t="s">
        <v>6968</v>
      </c>
      <c r="E459" s="152" t="s">
        <v>6969</v>
      </c>
      <c r="F459" s="152" t="s">
        <v>6970</v>
      </c>
      <c r="G459" s="152" t="s">
        <v>6971</v>
      </c>
      <c r="H459" s="152" t="s">
        <v>6972</v>
      </c>
      <c r="I459" s="152" t="s">
        <v>6973</v>
      </c>
      <c r="J459" s="152" t="s">
        <v>6974</v>
      </c>
      <c r="K459" s="152" t="s">
        <v>6975</v>
      </c>
      <c r="L459" s="152" t="s">
        <v>6976</v>
      </c>
      <c r="M459" s="152" t="s">
        <v>6977</v>
      </c>
      <c r="N459" s="152" t="s">
        <v>6978</v>
      </c>
      <c r="O459" s="161" t="s">
        <v>6979</v>
      </c>
    </row>
    <row r="460" spans="1:15" ht="14.4" x14ac:dyDescent="0.3">
      <c r="B460" s="99" t="s">
        <v>5210</v>
      </c>
      <c r="C460" s="155">
        <f>VLOOKUP("OPEXInsuranceEverythingDefault",Econ.inputsTable!$E$1:$J$213,2,FALSE)</f>
        <v>5.0000000000000001E-3</v>
      </c>
      <c r="D460" s="155">
        <f>VLOOKUP("OPEXRepair and maintenanceBuildings and constructionDefault",Econ.inputsTable!$E$1:$J$503,2,FALSE)</f>
        <v>0.01</v>
      </c>
      <c r="O460" s="157">
        <f>(SUM(C460:D460)*SUMPRODUCT(C452:C453,G452:G453))+SUM(E460,G460,I460,J460,L460,N460)</f>
        <v>1820.9030518553702</v>
      </c>
    </row>
    <row r="461" spans="1:15" ht="14.4" x14ac:dyDescent="0.3">
      <c r="A461" t="s">
        <v>5210</v>
      </c>
      <c r="B461" s="162" t="s">
        <v>5203</v>
      </c>
      <c r="C461" s="241"/>
      <c r="D461" s="241"/>
      <c r="E461" s="367">
        <f t="shared" ref="E461:O461" si="10">SUM(E460)</f>
        <v>0</v>
      </c>
      <c r="F461" s="537">
        <f t="shared" si="10"/>
        <v>0</v>
      </c>
      <c r="G461" s="367">
        <f t="shared" si="10"/>
        <v>0</v>
      </c>
      <c r="H461" s="537">
        <f t="shared" si="10"/>
        <v>0</v>
      </c>
      <c r="I461" s="367">
        <f t="shared" si="10"/>
        <v>0</v>
      </c>
      <c r="J461" s="367">
        <f t="shared" si="10"/>
        <v>0</v>
      </c>
      <c r="K461" s="537">
        <f t="shared" si="10"/>
        <v>0</v>
      </c>
      <c r="L461" s="367">
        <f t="shared" si="10"/>
        <v>0</v>
      </c>
      <c r="M461" s="537">
        <f t="shared" si="10"/>
        <v>0</v>
      </c>
      <c r="N461" s="367">
        <f t="shared" si="10"/>
        <v>0</v>
      </c>
      <c r="O461" s="169">
        <f t="shared" si="10"/>
        <v>1820.9030518553702</v>
      </c>
    </row>
    <row r="462" spans="1:15" ht="14.4" x14ac:dyDescent="0.3">
      <c r="B462" s="99"/>
      <c r="C462" s="155"/>
      <c r="D462" s="155"/>
      <c r="E462" s="155"/>
      <c r="F462" s="158"/>
      <c r="G462" s="154"/>
      <c r="H462" s="156"/>
      <c r="I462" s="153"/>
      <c r="O462" s="146"/>
    </row>
    <row r="463" spans="1:15" ht="14.4" x14ac:dyDescent="0.3">
      <c r="A463" t="s">
        <v>5210</v>
      </c>
      <c r="B463" s="149" t="s">
        <v>6980</v>
      </c>
      <c r="C463" s="159">
        <f>SUM(O460)</f>
        <v>1820.9030518553702</v>
      </c>
      <c r="D463" s="150"/>
      <c r="E463" s="150"/>
      <c r="F463" s="150"/>
      <c r="G463" s="150"/>
      <c r="H463" s="150"/>
      <c r="I463" s="150"/>
      <c r="J463" s="150"/>
      <c r="K463" s="150"/>
      <c r="L463" s="150"/>
      <c r="M463" s="150"/>
      <c r="N463" s="150"/>
      <c r="O463" s="151"/>
    </row>
    <row r="464" spans="1:15" ht="15" thickBot="1" x14ac:dyDescent="0.35">
      <c r="A464" s="137"/>
      <c r="B464" s="137"/>
      <c r="C464" s="137"/>
      <c r="D464" s="137"/>
      <c r="E464" s="137"/>
      <c r="F464" s="137"/>
      <c r="G464" s="137"/>
      <c r="H464" s="137"/>
      <c r="I464" s="137"/>
      <c r="J464" s="137"/>
      <c r="K464" s="137"/>
      <c r="L464" s="137"/>
      <c r="M464" s="137"/>
      <c r="N464" s="137"/>
      <c r="O464" s="137"/>
    </row>
    <row r="465" spans="2:10" ht="14.4" x14ac:dyDescent="0.3"/>
    <row r="466" spans="2:10" ht="18" x14ac:dyDescent="0.35">
      <c r="B466" s="138" t="s">
        <v>7170</v>
      </c>
      <c r="H466" s="355"/>
    </row>
    <row r="468" spans="2:10" ht="14.4" x14ac:dyDescent="0.3">
      <c r="B468" s="139" t="s">
        <v>6942</v>
      </c>
      <c r="C468" s="140"/>
      <c r="D468" s="140"/>
      <c r="E468" s="139" t="s">
        <v>6988</v>
      </c>
      <c r="F468" s="141"/>
      <c r="H468" s="139" t="s">
        <v>7033</v>
      </c>
      <c r="I468" s="142"/>
      <c r="J468" s="141"/>
    </row>
    <row r="469" spans="2:10" ht="14.4" x14ac:dyDescent="0.3">
      <c r="B469" s="143" t="s">
        <v>2663</v>
      </c>
      <c r="C469" s="144" t="s">
        <v>565</v>
      </c>
      <c r="D469" s="144" t="s">
        <v>6943</v>
      </c>
      <c r="E469" s="143" t="s">
        <v>565</v>
      </c>
      <c r="F469" s="145" t="s">
        <v>6944</v>
      </c>
      <c r="H469" s="99" t="s">
        <v>7096</v>
      </c>
      <c r="J469" s="146"/>
    </row>
    <row r="470" spans="2:10" ht="14.4" x14ac:dyDescent="0.3">
      <c r="B470" s="99" t="s">
        <v>5510</v>
      </c>
      <c r="C470" s="205">
        <f t="shared" ref="C470:C475" si="11">VLOOKUP(B470,$R:$U,3,FALSE)</f>
        <v>52.142857142857146</v>
      </c>
      <c r="D470" t="s">
        <v>7043</v>
      </c>
      <c r="E470" s="201">
        <f>C470</f>
        <v>52.142857142857146</v>
      </c>
      <c r="F470" s="146" t="s">
        <v>7043</v>
      </c>
      <c r="H470" s="99" t="s">
        <v>1477</v>
      </c>
      <c r="J470" s="146"/>
    </row>
    <row r="471" spans="2:10" ht="14.4" x14ac:dyDescent="0.3">
      <c r="B471" s="99" t="s">
        <v>5829</v>
      </c>
      <c r="C471" s="205">
        <f t="shared" si="11"/>
        <v>16.2</v>
      </c>
      <c r="D471" t="s">
        <v>5910</v>
      </c>
      <c r="E471" s="164">
        <f>CONVERT(C471,"m^3","gal")*E470</f>
        <v>223149.90651339022</v>
      </c>
      <c r="F471" s="146" t="s">
        <v>5324</v>
      </c>
      <c r="H471" s="149" t="s">
        <v>7099</v>
      </c>
      <c r="I471" s="150"/>
      <c r="J471" s="151"/>
    </row>
    <row r="472" spans="2:10" ht="14.4" x14ac:dyDescent="0.3">
      <c r="B472" s="99" t="s">
        <v>5802</v>
      </c>
      <c r="C472" s="205">
        <f t="shared" si="11"/>
        <v>1</v>
      </c>
      <c r="D472" t="s">
        <v>2442</v>
      </c>
      <c r="E472" s="165">
        <f>C472</f>
        <v>1</v>
      </c>
      <c r="F472" s="146" t="s">
        <v>2442</v>
      </c>
    </row>
    <row r="473" spans="2:10" ht="14.4" x14ac:dyDescent="0.3">
      <c r="B473" s="99" t="s">
        <v>5797</v>
      </c>
      <c r="C473" s="205">
        <f t="shared" si="11"/>
        <v>4.9783549783549788</v>
      </c>
      <c r="D473" t="s">
        <v>971</v>
      </c>
      <c r="E473" s="178">
        <f>ROUNDUP(C473,0.1)</f>
        <v>5</v>
      </c>
      <c r="F473" s="146" t="s">
        <v>971</v>
      </c>
    </row>
    <row r="474" spans="2:10" ht="14.4" x14ac:dyDescent="0.3">
      <c r="B474" s="99" t="s">
        <v>5804</v>
      </c>
      <c r="C474" s="78">
        <f t="shared" si="11"/>
        <v>6.7929956228571425E-2</v>
      </c>
      <c r="D474" t="s">
        <v>7075</v>
      </c>
      <c r="E474" s="164">
        <f>C474*365</f>
        <v>24.794434023428572</v>
      </c>
      <c r="F474" s="146" t="s">
        <v>2710</v>
      </c>
    </row>
    <row r="475" spans="2:10" ht="14.4" x14ac:dyDescent="0.3">
      <c r="B475" s="99" t="s">
        <v>5808</v>
      </c>
      <c r="C475" s="205">
        <f t="shared" si="11"/>
        <v>0.25218036129032084</v>
      </c>
      <c r="D475" t="s">
        <v>6704</v>
      </c>
      <c r="E475" s="356">
        <f>C475*365</f>
        <v>92.045831870967106</v>
      </c>
      <c r="F475" s="146" t="s">
        <v>5323</v>
      </c>
    </row>
    <row r="476" spans="2:10" ht="14.4" x14ac:dyDescent="0.3">
      <c r="B476" s="99"/>
      <c r="E476" s="99"/>
      <c r="F476" s="146"/>
    </row>
    <row r="477" spans="2:10" ht="14.4" x14ac:dyDescent="0.3">
      <c r="B477" s="92" t="s">
        <v>6996</v>
      </c>
      <c r="E477" s="99"/>
      <c r="F477" s="146"/>
    </row>
    <row r="478" spans="2:10" ht="14.4" x14ac:dyDescent="0.3">
      <c r="B478" s="143" t="s">
        <v>2663</v>
      </c>
      <c r="E478" s="143" t="s">
        <v>565</v>
      </c>
      <c r="F478" s="145" t="s">
        <v>6944</v>
      </c>
    </row>
    <row r="479" spans="2:10" ht="14.4" x14ac:dyDescent="0.3">
      <c r="B479" s="99" t="s">
        <v>7076</v>
      </c>
      <c r="E479" s="357">
        <f>UDV.electricity.avg_cost</f>
        <v>6.8591666666666662E-2</v>
      </c>
      <c r="F479" s="146" t="s">
        <v>2306</v>
      </c>
    </row>
    <row r="480" spans="2:10" ht="14.4" x14ac:dyDescent="0.3">
      <c r="B480" s="99" t="s">
        <v>7100</v>
      </c>
      <c r="E480" s="358">
        <f>UDV.water.avg_cost/1000</f>
        <v>3.858144828221536E-3</v>
      </c>
      <c r="F480" s="146" t="s">
        <v>2315</v>
      </c>
    </row>
    <row r="481" spans="1:15" ht="14.4" x14ac:dyDescent="0.3">
      <c r="B481" s="99" t="s">
        <v>5819</v>
      </c>
      <c r="C481" s="205">
        <f>VLOOKUP(B481,$R:$U,3,FALSE)</f>
        <v>600</v>
      </c>
      <c r="D481" t="s">
        <v>2340</v>
      </c>
      <c r="E481" s="2101"/>
      <c r="F481" s="2089"/>
    </row>
    <row r="482" spans="1:15" ht="14.4" x14ac:dyDescent="0.3">
      <c r="B482" s="99" t="s">
        <v>5820</v>
      </c>
      <c r="C482" s="205">
        <f>VLOOKUP(B482,$R:$U,3,FALSE)</f>
        <v>200</v>
      </c>
      <c r="D482" t="s">
        <v>2340</v>
      </c>
      <c r="E482" s="164"/>
      <c r="F482" s="146"/>
    </row>
    <row r="483" spans="1:15" ht="14.4" x14ac:dyDescent="0.3">
      <c r="B483" s="149" t="s">
        <v>7101</v>
      </c>
      <c r="C483" s="209"/>
      <c r="D483" s="150"/>
      <c r="E483" s="360">
        <f>SUM(C481:C482)</f>
        <v>800</v>
      </c>
      <c r="F483" s="151" t="s">
        <v>2340</v>
      </c>
    </row>
    <row r="485" spans="1:15" ht="43.2" x14ac:dyDescent="0.3">
      <c r="B485" s="361" t="s">
        <v>6946</v>
      </c>
      <c r="C485" s="362" t="s">
        <v>6947</v>
      </c>
      <c r="D485" s="362" t="s">
        <v>6948</v>
      </c>
      <c r="E485" s="362" t="s">
        <v>6949</v>
      </c>
      <c r="F485" s="362" t="s">
        <v>6950</v>
      </c>
      <c r="G485" s="362" t="s">
        <v>6951</v>
      </c>
      <c r="H485" s="362" t="s">
        <v>6952</v>
      </c>
      <c r="I485" s="362" t="s">
        <v>6953</v>
      </c>
      <c r="J485" s="362" t="s">
        <v>6954</v>
      </c>
      <c r="K485" s="362" t="s">
        <v>6955</v>
      </c>
      <c r="L485" s="362" t="s">
        <v>6956</v>
      </c>
      <c r="M485" s="140" t="s">
        <v>6957</v>
      </c>
      <c r="N485" s="140" t="s">
        <v>6958</v>
      </c>
      <c r="O485" s="363" t="s">
        <v>6959</v>
      </c>
    </row>
    <row r="486" spans="1:15" ht="14.4" x14ac:dyDescent="0.3">
      <c r="B486" s="99" t="s">
        <v>7102</v>
      </c>
      <c r="C486" s="153">
        <f>VLOOKUP("Underground 12 in pipe for flushDefault",Econ.Tables!$C:$E,2,FALSE)*E483</f>
        <v>25600</v>
      </c>
      <c r="D486">
        <f>VLOOKUP("CAPEXLifetimeBuildings and constructionDefault",Econ.inputsTable!$E:$H,2,FALSE)</f>
        <v>20</v>
      </c>
      <c r="E486" t="s">
        <v>2852</v>
      </c>
      <c r="F486" t="s">
        <v>2852</v>
      </c>
      <c r="G486" s="257">
        <f>VLOOKUP("CAPEXAnnual usage on activityItems that are used only on the given activityDefault",Econ.inputsTable!$E:$I,2,FALSE)</f>
        <v>1</v>
      </c>
      <c r="H486" s="503">
        <f>UDV.econ_capital.interest_rate</f>
        <v>5.0999999999999997E-2</v>
      </c>
      <c r="I486" s="154">
        <f>VLOOKUP("CAPEXSalvageBuildings and constructionDefault",Econ.inputsTable!$E:$H,2,FALSE)</f>
        <v>0</v>
      </c>
      <c r="J486" s="153">
        <f>C486*I486</f>
        <v>0</v>
      </c>
      <c r="K486" s="257">
        <f>VLOOKUP("CAPEXFinanced amountNADefault",Econ.inputsTable!$E:$I,2,FALSE)</f>
        <v>1</v>
      </c>
      <c r="L486" s="364">
        <f>H486*K486</f>
        <v>5.0999999999999997E-2</v>
      </c>
      <c r="M486" s="351">
        <f>L486/(1-(1+L486)^-D486)</f>
        <v>8.0924368970045152E-2</v>
      </c>
      <c r="N486" s="153">
        <f>((C486-J486)*M486)+(J486*L486)</f>
        <v>2071.6638456331557</v>
      </c>
      <c r="O486" s="157">
        <f>G486*N486</f>
        <v>2071.6638456331557</v>
      </c>
    </row>
    <row r="487" spans="1:15" ht="14.4" x14ac:dyDescent="0.3">
      <c r="B487" s="99" t="s">
        <v>7103</v>
      </c>
      <c r="C487" s="153">
        <f>VLOOKUP("Pump, non-pto flushDefault",Econ.Tables!$C:$E,2,FALSE)*E472</f>
        <v>10800</v>
      </c>
      <c r="D487">
        <f>VLOOKUP("CAPEXLifetimePump, non-ptoDefault",Econ.inputsTable!$E:$I,2,FALSE)</f>
        <v>17</v>
      </c>
      <c r="E487" t="s">
        <v>2852</v>
      </c>
      <c r="F487" s="166">
        <f>E474*E472</f>
        <v>24.794434023428572</v>
      </c>
      <c r="G487" s="257">
        <f>VLOOKUP("CAPEXAnnual usage on activityItems that are used only on the given activityDefault",Econ.inputsTable!$E:$I,2,FALSE)</f>
        <v>1</v>
      </c>
      <c r="H487" s="503">
        <f>UDV.econ_capital.interest_rate</f>
        <v>5.0999999999999997E-2</v>
      </c>
      <c r="I487" s="257">
        <f>VLOOKUP("CAPEXSalvageEquipmentDefault",Econ.inputsTable!$E:$I,2,FALSE)</f>
        <v>0.2</v>
      </c>
      <c r="J487" s="153">
        <f>C487*I487</f>
        <v>2160</v>
      </c>
      <c r="K487" s="257">
        <f>VLOOKUP("CAPEXFinanced amountNADefault",Econ.inputsTable!$E:$I,2,FALSE)</f>
        <v>1</v>
      </c>
      <c r="L487" s="364">
        <f>H487*K487</f>
        <v>5.0999999999999997E-2</v>
      </c>
      <c r="M487" s="351">
        <f>L487/(1-(1+L487)^-D487)</f>
        <v>8.9362846108502439E-2</v>
      </c>
      <c r="N487" s="153">
        <f>((C487-J487)*M487)+(J487*L487)</f>
        <v>882.25499037746101</v>
      </c>
      <c r="O487" s="157">
        <f>G487*N487</f>
        <v>882.25499037746101</v>
      </c>
    </row>
    <row r="488" spans="1:15" ht="14.4" x14ac:dyDescent="0.3">
      <c r="B488" s="99" t="s">
        <v>7099</v>
      </c>
      <c r="C488" s="153">
        <f>VLOOKUP(_xlfn.CONCAT("Motor, ", E473, " hpDefault"), Econ.Tables!C:E, 2, FALSE)*E472</f>
        <v>850</v>
      </c>
      <c r="D488">
        <f>VLOOKUP("CAPEXLifetimeMotorDefault",Econ.inputsTable!$E:$I,2,FALSE)</f>
        <v>20</v>
      </c>
      <c r="E488" t="s">
        <v>2852</v>
      </c>
      <c r="F488" s="166">
        <f>E474*E472</f>
        <v>24.794434023428572</v>
      </c>
      <c r="G488" s="257">
        <f>VLOOKUP("CAPEXAnnual usage on activityItems that are used only on the given activityDefault",Econ.inputsTable!$E:$I,2,FALSE)</f>
        <v>1</v>
      </c>
      <c r="H488" s="503">
        <f>UDV.econ_capital.interest_rate</f>
        <v>5.0999999999999997E-2</v>
      </c>
      <c r="I488" s="257">
        <f>VLOOKUP("CAPEXSalvageEquipmentDefault",Econ.inputsTable!$E:$I,2,FALSE)</f>
        <v>0.2</v>
      </c>
      <c r="J488" s="153">
        <f>C488*I488</f>
        <v>170</v>
      </c>
      <c r="K488" s="257">
        <f>VLOOKUP("CAPEXFinanced amountNADefault",Econ.inputsTable!$E:$I,2,FALSE)</f>
        <v>1</v>
      </c>
      <c r="L488" s="364">
        <f>H488*K488</f>
        <v>5.0999999999999997E-2</v>
      </c>
      <c r="M488" s="351">
        <f>L488/(1-(1+L488)^-D488)</f>
        <v>8.0924368970045152E-2</v>
      </c>
      <c r="N488" s="153">
        <f>((C488-J488)*M488)+(J488*L488)</f>
        <v>63.698570899630703</v>
      </c>
      <c r="O488" s="157">
        <f>G488*N488</f>
        <v>63.698570899630703</v>
      </c>
    </row>
    <row r="489" spans="1:15" ht="14.4" x14ac:dyDescent="0.3">
      <c r="B489" s="99"/>
      <c r="C489" s="153"/>
      <c r="F489" s="166"/>
      <c r="G489" s="257"/>
      <c r="H489" s="256"/>
      <c r="I489" s="257"/>
      <c r="J489" s="153"/>
      <c r="K489" s="153"/>
      <c r="L489" s="257"/>
      <c r="M489" s="364"/>
      <c r="N489" s="351"/>
      <c r="O489" s="157"/>
    </row>
    <row r="490" spans="1:15" ht="14.4" x14ac:dyDescent="0.3">
      <c r="B490" s="99"/>
      <c r="C490" s="82" t="s">
        <v>7009</v>
      </c>
      <c r="D490" s="82" t="s">
        <v>6963</v>
      </c>
      <c r="O490" s="146"/>
    </row>
    <row r="491" spans="1:15" ht="14.4" x14ac:dyDescent="0.3">
      <c r="A491" t="s">
        <v>5216</v>
      </c>
      <c r="B491" s="99" t="s">
        <v>6964</v>
      </c>
      <c r="C491" s="153">
        <f>SUM(C486:C488)</f>
        <v>37250</v>
      </c>
      <c r="D491" s="153">
        <f>SUMPRODUCT(C486:C488,G486:G488)</f>
        <v>37250</v>
      </c>
      <c r="O491" s="146"/>
    </row>
    <row r="492" spans="1:15" ht="14.4" x14ac:dyDescent="0.3">
      <c r="A492" t="s">
        <v>5216</v>
      </c>
      <c r="B492" s="149" t="s">
        <v>6965</v>
      </c>
      <c r="C492" s="159">
        <f>SUM(N486:N488)</f>
        <v>3017.6174069102476</v>
      </c>
      <c r="D492" s="159">
        <f>SUMPRODUCT(N486:N488,G486:G488)</f>
        <v>3017.6174069102476</v>
      </c>
      <c r="E492" s="150"/>
      <c r="F492" s="150"/>
      <c r="G492" s="150"/>
      <c r="H492" s="150"/>
      <c r="I492" s="150"/>
      <c r="J492" s="150"/>
      <c r="K492" s="150"/>
      <c r="L492" s="150"/>
      <c r="M492" s="150"/>
      <c r="N492" s="150"/>
      <c r="O492" s="151"/>
    </row>
    <row r="493" spans="1:15" ht="14.4" x14ac:dyDescent="0.3">
      <c r="B493" s="99"/>
      <c r="C493" s="153"/>
      <c r="D493" s="153"/>
      <c r="O493" s="146"/>
    </row>
    <row r="494" spans="1:15" ht="57.6" x14ac:dyDescent="0.3">
      <c r="B494" s="160" t="s">
        <v>6966</v>
      </c>
      <c r="C494" s="152" t="s">
        <v>6967</v>
      </c>
      <c r="D494" s="152" t="s">
        <v>6968</v>
      </c>
      <c r="E494" s="152" t="s">
        <v>6969</v>
      </c>
      <c r="F494" s="152" t="s">
        <v>6970</v>
      </c>
      <c r="G494" s="152" t="s">
        <v>6971</v>
      </c>
      <c r="H494" s="152" t="s">
        <v>6972</v>
      </c>
      <c r="I494" s="152" t="s">
        <v>6973</v>
      </c>
      <c r="J494" s="152" t="s">
        <v>6974</v>
      </c>
      <c r="K494" s="152" t="s">
        <v>6975</v>
      </c>
      <c r="L494" s="152" t="s">
        <v>6976</v>
      </c>
      <c r="M494" s="152" t="s">
        <v>6977</v>
      </c>
      <c r="N494" s="152" t="s">
        <v>6978</v>
      </c>
      <c r="O494" s="161" t="s">
        <v>6979</v>
      </c>
    </row>
    <row r="495" spans="1:15" ht="14.4" x14ac:dyDescent="0.3">
      <c r="B495" s="99" t="s">
        <v>7102</v>
      </c>
      <c r="C495" s="236">
        <f>VLOOKUP("OPEXInsuranceEverythingDefault",Econ.inputsTable!$E:$I,2,FALSE)</f>
        <v>5.0000000000000001E-3</v>
      </c>
      <c r="D495" s="236">
        <f>VLOOKUP("OPEXRepair and maintenanceBuildings and constructionDefault",Econ.inputsTable!$E:$I,2,FALSE)</f>
        <v>0.01</v>
      </c>
      <c r="F495" s="365"/>
      <c r="G495" s="365"/>
      <c r="I495" s="365"/>
      <c r="J495" s="365"/>
      <c r="O495" s="167">
        <f>(SUM(C495:D495)*C486*G486)+SUM(E495,G495,I495,J495,L495,N495)</f>
        <v>384</v>
      </c>
    </row>
    <row r="496" spans="1:15" ht="14.4" x14ac:dyDescent="0.3">
      <c r="B496" s="99" t="s">
        <v>7103</v>
      </c>
      <c r="C496" s="236">
        <f>VLOOKUP("OPEXInsuranceEverythingDefault",Econ.inputsTable!$E:$I,2,FALSE)</f>
        <v>5.0000000000000001E-3</v>
      </c>
      <c r="D496" s="236">
        <f>VLOOKUP("OPEXRepair and maintenancePump, non-ptoDefault",Econ.inputsTable!$E:$I,2,FALSE)</f>
        <v>0.05</v>
      </c>
      <c r="F496" s="365"/>
      <c r="G496" s="365"/>
      <c r="I496" s="365"/>
      <c r="J496" s="365"/>
      <c r="O496" s="167">
        <f>(SUM(C496:D496)*C487*G487)+SUM(E496,G496,I496,J496,L496,N496)</f>
        <v>594</v>
      </c>
    </row>
    <row r="497" spans="1:17" ht="14.4" x14ac:dyDescent="0.3">
      <c r="B497" s="99" t="s">
        <v>7099</v>
      </c>
      <c r="C497" s="236">
        <f>VLOOKUP("OPEXInsuranceEverythingDefault",Econ.inputsTable!$E:$I,2,FALSE)</f>
        <v>5.0000000000000001E-3</v>
      </c>
      <c r="D497" s="236">
        <f>VLOOKUP("OPEXRepair and maintenanceEquipmentDefault",Econ.inputsTable!$E:$I,2,FALSE)</f>
        <v>0.03</v>
      </c>
      <c r="F497" s="166">
        <f>E475</f>
        <v>92.045831870967106</v>
      </c>
      <c r="G497" s="233">
        <f>F497*E479</f>
        <v>6.3135770177494184</v>
      </c>
      <c r="I497" s="365"/>
      <c r="J497" s="365"/>
      <c r="O497" s="167">
        <f>(SUM(C497:D497)*C488*G488)+SUM(E497,G497,I497,J497,L497,N497)</f>
        <v>36.063577017749417</v>
      </c>
    </row>
    <row r="498" spans="1:17" ht="14.4" x14ac:dyDescent="0.3">
      <c r="A498" t="s">
        <v>5216</v>
      </c>
      <c r="B498" s="162" t="s">
        <v>5203</v>
      </c>
      <c r="C498" s="366"/>
      <c r="D498" s="366"/>
      <c r="E498" s="367">
        <f>SUM(E495:E497)</f>
        <v>0</v>
      </c>
      <c r="F498" s="168">
        <f t="shared" ref="F498:O498" si="12">SUM(F495:F497)</f>
        <v>92.045831870967106</v>
      </c>
      <c r="G498" s="367">
        <f t="shared" si="12"/>
        <v>6.3135770177494184</v>
      </c>
      <c r="H498" s="163">
        <f t="shared" si="12"/>
        <v>0</v>
      </c>
      <c r="I498" s="367">
        <f t="shared" si="12"/>
        <v>0</v>
      </c>
      <c r="J498" s="367">
        <f t="shared" si="12"/>
        <v>0</v>
      </c>
      <c r="K498" s="163">
        <f t="shared" si="12"/>
        <v>0</v>
      </c>
      <c r="L498" s="367">
        <f t="shared" si="12"/>
        <v>0</v>
      </c>
      <c r="M498" s="163">
        <f t="shared" si="12"/>
        <v>0</v>
      </c>
      <c r="N498" s="367">
        <f t="shared" si="12"/>
        <v>0</v>
      </c>
      <c r="O498" s="169">
        <f t="shared" si="12"/>
        <v>1014.0635770177494</v>
      </c>
    </row>
    <row r="499" spans="1:17" ht="14.4" x14ac:dyDescent="0.3">
      <c r="B499" s="99"/>
      <c r="O499" s="146"/>
    </row>
    <row r="500" spans="1:17" ht="14.4" x14ac:dyDescent="0.3">
      <c r="A500" t="s">
        <v>5216</v>
      </c>
      <c r="B500" s="149" t="s">
        <v>6980</v>
      </c>
      <c r="C500" s="159">
        <f>SUM(O495:O497)</f>
        <v>1014.0635770177494</v>
      </c>
      <c r="D500" s="150"/>
      <c r="E500" s="150"/>
      <c r="F500" s="150"/>
      <c r="G500" s="150"/>
      <c r="H500" s="150"/>
      <c r="I500" s="150"/>
      <c r="J500" s="150"/>
      <c r="K500" s="150"/>
      <c r="L500" s="150"/>
      <c r="M500" s="150"/>
      <c r="N500" s="150"/>
      <c r="O500" s="151"/>
    </row>
    <row r="502" spans="1:17" ht="14.4" x14ac:dyDescent="0.3">
      <c r="B502" s="368" t="s">
        <v>7104</v>
      </c>
      <c r="C502" s="82" t="s">
        <v>7105</v>
      </c>
      <c r="O502" s="146"/>
    </row>
    <row r="503" spans="1:17" ht="14.4" x14ac:dyDescent="0.3">
      <c r="B503" s="99" t="s">
        <v>7106</v>
      </c>
      <c r="C503" s="153">
        <f>E471*E480</f>
        <v>860.94465773275579</v>
      </c>
      <c r="O503" s="146"/>
    </row>
    <row r="504" spans="1:17" ht="14.4" x14ac:dyDescent="0.3">
      <c r="B504" s="99"/>
      <c r="O504" s="146"/>
    </row>
    <row r="505" spans="1:17" ht="14.4" x14ac:dyDescent="0.3">
      <c r="A505" t="s">
        <v>5216</v>
      </c>
      <c r="B505" s="149" t="s">
        <v>7107</v>
      </c>
      <c r="C505" s="159">
        <f>SUM(C503)</f>
        <v>860.94465773275579</v>
      </c>
      <c r="D505" s="150"/>
      <c r="E505" s="150"/>
      <c r="F505" s="150"/>
      <c r="G505" s="150"/>
      <c r="H505" s="150"/>
      <c r="I505" s="150"/>
      <c r="J505" s="150"/>
      <c r="K505" s="150"/>
      <c r="L505" s="150"/>
      <c r="M505" s="150"/>
      <c r="N505" s="150"/>
      <c r="O505" s="151"/>
    </row>
    <row r="506" spans="1:17" ht="15" thickBot="1" x14ac:dyDescent="0.35">
      <c r="A506" s="137"/>
      <c r="B506" s="137"/>
      <c r="C506" s="137"/>
      <c r="D506" s="137"/>
      <c r="E506" s="137"/>
      <c r="F506" s="137"/>
      <c r="G506" s="137"/>
      <c r="H506" s="137"/>
      <c r="I506" s="137"/>
      <c r="J506" s="137"/>
      <c r="K506" s="137"/>
      <c r="L506" s="137"/>
      <c r="M506" s="137"/>
      <c r="N506" s="137"/>
      <c r="O506" s="137"/>
      <c r="P506" s="137"/>
      <c r="Q506" s="137"/>
    </row>
    <row r="507" spans="1:17" ht="14.4" x14ac:dyDescent="0.3"/>
    <row r="508" spans="1:17" ht="15.75" customHeight="1" x14ac:dyDescent="0.3">
      <c r="B508" s="82" t="s">
        <v>7235</v>
      </c>
      <c r="C508" s="170" t="s">
        <v>7260</v>
      </c>
    </row>
    <row r="509" spans="1:17" ht="15.75" customHeight="1" x14ac:dyDescent="0.3">
      <c r="B509" s="138"/>
    </row>
    <row r="510" spans="1:17" ht="15.75" customHeight="1" x14ac:dyDescent="0.3">
      <c r="B510" s="139" t="s">
        <v>6983</v>
      </c>
      <c r="C510" s="140" t="s">
        <v>565</v>
      </c>
      <c r="D510" s="140" t="s">
        <v>38</v>
      </c>
      <c r="E510" s="142"/>
      <c r="F510" s="141"/>
    </row>
    <row r="511" spans="1:17" ht="15.75" customHeight="1" x14ac:dyDescent="0.3">
      <c r="B511" s="99" t="s">
        <v>6984</v>
      </c>
      <c r="C511">
        <f>UDV.crops.acres_available</f>
        <v>100</v>
      </c>
      <c r="D511" t="s">
        <v>5385</v>
      </c>
      <c r="E511" s="34"/>
      <c r="F511" s="146"/>
    </row>
    <row r="512" spans="1:17" ht="15.75" customHeight="1" x14ac:dyDescent="0.3">
      <c r="B512" s="99" t="s">
        <v>7109</v>
      </c>
      <c r="C512" s="166">
        <f>UDV.econ_manure.liquid_sell_pct*VLOOKUP("Excess volume, lagoon liquid manure",$R$1:$T$332, 3, FALSE)</f>
        <v>0</v>
      </c>
      <c r="D512" t="s">
        <v>5246</v>
      </c>
      <c r="F512" s="146"/>
    </row>
    <row r="513" spans="2:6" ht="15.75" customHeight="1" x14ac:dyDescent="0.3">
      <c r="B513" s="99" t="s">
        <v>7110</v>
      </c>
      <c r="C513" s="166">
        <f>UDV.econ_manure.liquid_give_pct*VLOOKUP("Excess volume, lagoon liquid manure",$R$1:$T$332, 3, FALSE)</f>
        <v>0</v>
      </c>
      <c r="D513" t="s">
        <v>5246</v>
      </c>
      <c r="F513" s="146"/>
    </row>
    <row r="514" spans="2:6" ht="15.75" customHeight="1" x14ac:dyDescent="0.3">
      <c r="B514" s="99" t="s">
        <v>7111</v>
      </c>
      <c r="C514" s="166">
        <f>UDV.econ_manure.liquid_export_pct*VLOOKUP("Excess volume, lagoon liquid manure",$R$1:$T$332, 3, FALSE)</f>
        <v>0</v>
      </c>
      <c r="D514" t="s">
        <v>5246</v>
      </c>
      <c r="F514" s="146"/>
    </row>
    <row r="515" spans="2:6" ht="15.75" customHeight="1" x14ac:dyDescent="0.3">
      <c r="B515" s="99" t="s">
        <v>7112</v>
      </c>
      <c r="C515" s="166">
        <f>UDV.econ_manure.sludge_sell_pct*VLOOKUP("Excess volume, lagoon sludge manure",$R$1:$T$332, 3, FALSE)</f>
        <v>0</v>
      </c>
      <c r="D515" t="s">
        <v>5246</v>
      </c>
      <c r="F515" s="146"/>
    </row>
    <row r="516" spans="2:6" ht="15.75" customHeight="1" x14ac:dyDescent="0.3">
      <c r="B516" s="99" t="s">
        <v>7113</v>
      </c>
      <c r="C516" s="166">
        <f>UDV.econ_manure.sludge_give_pct*VLOOKUP("Excess volume, lagoon sludge manure",$R$1:$T$332, 3, FALSE)</f>
        <v>0</v>
      </c>
      <c r="D516" t="s">
        <v>5246</v>
      </c>
      <c r="F516" s="146"/>
    </row>
    <row r="517" spans="2:6" ht="15.75" customHeight="1" x14ac:dyDescent="0.3">
      <c r="B517" s="99" t="s">
        <v>7114</v>
      </c>
      <c r="C517" s="166">
        <f>UDV.econ_manure.sludge_export_pct*VLOOKUP("Excess volume, lagoon sludge manure",$R$1:$T$332, 3, FALSE)</f>
        <v>0</v>
      </c>
      <c r="D517" t="s">
        <v>5246</v>
      </c>
      <c r="F517" s="146"/>
    </row>
    <row r="518" spans="2:6" ht="14.4" x14ac:dyDescent="0.3">
      <c r="B518" s="99"/>
      <c r="F518" s="151"/>
    </row>
    <row r="519" spans="2:6" ht="15.75" customHeight="1" x14ac:dyDescent="0.3">
      <c r="B519" s="92" t="s">
        <v>6942</v>
      </c>
      <c r="E519" s="139" t="s">
        <v>6988</v>
      </c>
      <c r="F519" s="141"/>
    </row>
    <row r="520" spans="2:6" ht="15.75" customHeight="1" x14ac:dyDescent="0.3">
      <c r="B520" s="175" t="s">
        <v>2908</v>
      </c>
      <c r="E520" s="99"/>
      <c r="F520" s="146"/>
    </row>
    <row r="521" spans="2:6" ht="15.75" customHeight="1" x14ac:dyDescent="0.3">
      <c r="B521" s="143" t="s">
        <v>2663</v>
      </c>
      <c r="C521" s="144" t="s">
        <v>565</v>
      </c>
      <c r="D521" s="144" t="s">
        <v>6943</v>
      </c>
      <c r="E521" s="143" t="s">
        <v>565</v>
      </c>
      <c r="F521" s="145" t="s">
        <v>6944</v>
      </c>
    </row>
    <row r="522" spans="2:6" ht="14.4" x14ac:dyDescent="0.3">
      <c r="B522" s="99" t="s">
        <v>5676</v>
      </c>
      <c r="C522" s="147">
        <f>VLOOKUP(B522,$R:$U,3,FALSE)</f>
        <v>160</v>
      </c>
      <c r="D522" t="s">
        <v>5689</v>
      </c>
      <c r="E522" s="99">
        <f>C522</f>
        <v>160</v>
      </c>
      <c r="F522" s="146" t="s">
        <v>5689</v>
      </c>
    </row>
    <row r="523" spans="2:6" ht="14.4" x14ac:dyDescent="0.3">
      <c r="B523" s="99" t="s">
        <v>6989</v>
      </c>
      <c r="C523" s="147"/>
      <c r="D523" t="s">
        <v>2442</v>
      </c>
      <c r="E523" s="99">
        <f>E524</f>
        <v>1</v>
      </c>
      <c r="F523" s="146" t="s">
        <v>2442</v>
      </c>
    </row>
    <row r="524" spans="2:6" ht="14.4" x14ac:dyDescent="0.3">
      <c r="B524" s="222" t="s">
        <v>5735</v>
      </c>
      <c r="C524" s="147">
        <f>VLOOKUP(B524,$R:$U,3,FALSE)</f>
        <v>1</v>
      </c>
      <c r="D524" t="s">
        <v>2442</v>
      </c>
      <c r="E524" s="178">
        <f>C524</f>
        <v>1</v>
      </c>
      <c r="F524" s="146" t="s">
        <v>2442</v>
      </c>
    </row>
    <row r="525" spans="2:6" ht="15.75" customHeight="1" x14ac:dyDescent="0.3">
      <c r="B525" s="99" t="s">
        <v>5663</v>
      </c>
      <c r="C525" s="147">
        <f>VLOOKUP(B525,$R:$U,3,FALSE)</f>
        <v>180</v>
      </c>
      <c r="D525" t="s">
        <v>5689</v>
      </c>
      <c r="E525" s="99">
        <f>C525</f>
        <v>180</v>
      </c>
      <c r="F525" s="146" t="s">
        <v>5689</v>
      </c>
    </row>
    <row r="526" spans="2:6" ht="14.4" x14ac:dyDescent="0.3">
      <c r="B526" s="99" t="s">
        <v>6990</v>
      </c>
      <c r="C526" s="297"/>
      <c r="D526" t="s">
        <v>2442</v>
      </c>
      <c r="E526" s="99">
        <f>E527</f>
        <v>1</v>
      </c>
      <c r="F526" s="146" t="s">
        <v>2442</v>
      </c>
    </row>
    <row r="527" spans="2:6" ht="14.4" x14ac:dyDescent="0.3">
      <c r="B527" s="222" t="s">
        <v>5736</v>
      </c>
      <c r="C527" s="147">
        <f>VLOOKUP(B527,$R:$U,3,FALSE)</f>
        <v>1</v>
      </c>
      <c r="D527" t="s">
        <v>2442</v>
      </c>
      <c r="E527" s="178">
        <f>C527</f>
        <v>1</v>
      </c>
      <c r="F527" s="146" t="s">
        <v>2442</v>
      </c>
    </row>
    <row r="528" spans="2:6" ht="14.4" x14ac:dyDescent="0.3">
      <c r="B528" s="99" t="s">
        <v>5638</v>
      </c>
      <c r="C528" s="147">
        <f>VLOOKUP(B528,$R:$U,3,FALSE)</f>
        <v>250</v>
      </c>
      <c r="D528" t="s">
        <v>5689</v>
      </c>
      <c r="E528" s="99">
        <f>C528</f>
        <v>250</v>
      </c>
      <c r="F528" s="146" t="s">
        <v>5689</v>
      </c>
    </row>
    <row r="529" spans="2:10" ht="14.4" x14ac:dyDescent="0.3">
      <c r="B529" s="99" t="s">
        <v>5637</v>
      </c>
      <c r="C529" s="147">
        <f>VLOOKUP(B529,$R:$U,3,FALSE)</f>
        <v>6000</v>
      </c>
      <c r="D529" t="s">
        <v>2480</v>
      </c>
      <c r="E529" s="99">
        <f>C529</f>
        <v>6000</v>
      </c>
      <c r="F529" s="146" t="s">
        <v>2480</v>
      </c>
    </row>
    <row r="530" spans="2:10" ht="14.4" x14ac:dyDescent="0.3">
      <c r="B530" s="99" t="s">
        <v>6991</v>
      </c>
      <c r="C530" s="147"/>
      <c r="D530" s="146" t="s">
        <v>2442</v>
      </c>
      <c r="E530">
        <f>E531</f>
        <v>1</v>
      </c>
      <c r="F530" s="146" t="s">
        <v>2442</v>
      </c>
    </row>
    <row r="531" spans="2:10" ht="14.4" x14ac:dyDescent="0.3">
      <c r="B531" s="222" t="s">
        <v>5734</v>
      </c>
      <c r="C531" s="147">
        <f>VLOOKUP(B531,$R:$U,3,FALSE)</f>
        <v>1</v>
      </c>
      <c r="D531" t="s">
        <v>2442</v>
      </c>
      <c r="E531" s="178">
        <f>C531</f>
        <v>1</v>
      </c>
      <c r="F531" s="146" t="s">
        <v>2442</v>
      </c>
    </row>
    <row r="532" spans="2:10" ht="14.4" x14ac:dyDescent="0.3">
      <c r="B532" s="99" t="s">
        <v>5732</v>
      </c>
      <c r="C532" s="147" t="str">
        <f>VLOOKUP(B532,$R:$U,3,FALSE)</f>
        <v>Injection</v>
      </c>
      <c r="D532" t="s">
        <v>6992</v>
      </c>
      <c r="E532" s="99" t="str">
        <f>C532</f>
        <v>Injection</v>
      </c>
      <c r="F532" s="146" t="s">
        <v>6992</v>
      </c>
    </row>
    <row r="533" spans="2:10" ht="14.4" x14ac:dyDescent="0.3">
      <c r="B533" s="99"/>
      <c r="C533" s="147"/>
      <c r="E533" s="99"/>
      <c r="F533" s="146"/>
    </row>
    <row r="534" spans="2:10" ht="14.4" x14ac:dyDescent="0.3">
      <c r="B534" s="175" t="s">
        <v>7115</v>
      </c>
      <c r="C534" s="147"/>
      <c r="E534" s="99"/>
      <c r="F534" s="146"/>
    </row>
    <row r="535" spans="2:10" ht="14.4" x14ac:dyDescent="0.3">
      <c r="B535" s="143" t="s">
        <v>2663</v>
      </c>
      <c r="C535" s="147"/>
      <c r="E535" s="99"/>
      <c r="F535" s="146"/>
    </row>
    <row r="536" spans="2:10" ht="14.4" x14ac:dyDescent="0.3">
      <c r="B536" s="99" t="s">
        <v>6407</v>
      </c>
      <c r="C536" s="147">
        <f>VLOOKUP(B536,$R:$U,3,FALSE)</f>
        <v>24.703927599701288</v>
      </c>
      <c r="D536" t="s">
        <v>5385</v>
      </c>
      <c r="E536" s="178">
        <f>C536</f>
        <v>24.703927599701288</v>
      </c>
      <c r="F536" s="146" t="s">
        <v>5385</v>
      </c>
    </row>
    <row r="537" spans="2:10" ht="14.4" x14ac:dyDescent="0.3">
      <c r="B537" s="99" t="s">
        <v>6409</v>
      </c>
      <c r="C537" s="147">
        <f>VLOOKUP(B537,$R:$U,3,FALSE)</f>
        <v>931.22205127489576</v>
      </c>
      <c r="D537" t="s">
        <v>5323</v>
      </c>
      <c r="E537" s="178">
        <f>C537</f>
        <v>931.22205127489576</v>
      </c>
      <c r="F537" s="146" t="s">
        <v>5323</v>
      </c>
    </row>
    <row r="538" spans="2:10" ht="14.4" x14ac:dyDescent="0.3">
      <c r="B538" s="99" t="s">
        <v>6390</v>
      </c>
      <c r="C538" s="205">
        <f>VLOOKUP(B538,$R:$U, 3, FALSE)</f>
        <v>7.4111782799103869</v>
      </c>
      <c r="D538" t="s">
        <v>2472</v>
      </c>
      <c r="E538" s="178">
        <f>C538</f>
        <v>7.4111782799103869</v>
      </c>
      <c r="F538" s="146" t="s">
        <v>2710</v>
      </c>
    </row>
    <row r="539" spans="2:10" ht="14.4" x14ac:dyDescent="0.3">
      <c r="B539" s="99"/>
      <c r="E539" s="99"/>
      <c r="F539" s="146"/>
    </row>
    <row r="540" spans="2:10" ht="15.75" customHeight="1" x14ac:dyDescent="0.3">
      <c r="B540" s="175" t="s">
        <v>7237</v>
      </c>
      <c r="E540" s="99"/>
      <c r="F540" s="146"/>
    </row>
    <row r="541" spans="2:10" ht="15.75" customHeight="1" x14ac:dyDescent="0.3">
      <c r="B541" s="143" t="s">
        <v>2663</v>
      </c>
      <c r="C541" s="144" t="s">
        <v>565</v>
      </c>
      <c r="D541" s="144" t="s">
        <v>6943</v>
      </c>
      <c r="E541" s="143" t="s">
        <v>565</v>
      </c>
      <c r="F541" s="145" t="s">
        <v>6944</v>
      </c>
      <c r="G541" s="1222" t="s">
        <v>6392</v>
      </c>
      <c r="H541" s="1215" t="s">
        <v>6993</v>
      </c>
      <c r="I541" s="142"/>
      <c r="J541" s="141"/>
    </row>
    <row r="542" spans="2:10" ht="14.4" x14ac:dyDescent="0.3">
      <c r="B542" s="99" t="s">
        <v>6401</v>
      </c>
      <c r="C542" s="147">
        <f t="shared" ref="C542:C552" si="13">VLOOKUP(B542,$R:$U,3,FALSE)</f>
        <v>182.5</v>
      </c>
      <c r="D542" t="s">
        <v>5121</v>
      </c>
      <c r="E542" s="201">
        <f>UC.year_to_day/C542</f>
        <v>2</v>
      </c>
      <c r="F542" s="146" t="s">
        <v>6994</v>
      </c>
      <c r="G542" s="42" t="s">
        <v>7117</v>
      </c>
      <c r="H542" s="92" t="s">
        <v>4838</v>
      </c>
      <c r="I542" s="1216" t="s">
        <v>2710</v>
      </c>
      <c r="J542" s="285">
        <f>(SUM(E543:E544)*UDV.OPEX_labor.tractor_stationary)+(E545*UDV.OPEX_labor.tractor_active)+E538</f>
        <v>12.335202457143902</v>
      </c>
    </row>
    <row r="543" spans="2:10" ht="15.75" customHeight="1" x14ac:dyDescent="0.3">
      <c r="B543" s="99" t="s">
        <v>5679</v>
      </c>
      <c r="C543" s="147">
        <f t="shared" si="13"/>
        <v>2.4857098407711939</v>
      </c>
      <c r="D543" t="s">
        <v>6085</v>
      </c>
      <c r="E543" s="178">
        <f>C543*E542</f>
        <v>4.9714196815423879</v>
      </c>
      <c r="F543" s="146" t="s">
        <v>2710</v>
      </c>
      <c r="G543" s="42" t="s">
        <v>7118</v>
      </c>
      <c r="H543" s="1217" t="s">
        <v>5444</v>
      </c>
      <c r="I543" s="1216" t="s">
        <v>6085</v>
      </c>
      <c r="J543" s="285">
        <f>(SUM(E557:E558)*UDV.OPEX_labor.tractor_stationary)+(E559*UDV.OPEX_labor.tractor_active)</f>
        <v>48.487204023936926</v>
      </c>
    </row>
    <row r="544" spans="2:10" ht="15.75" customHeight="1" x14ac:dyDescent="0.3">
      <c r="B544" s="99" t="s">
        <v>5667</v>
      </c>
      <c r="C544" s="147">
        <f t="shared" si="13"/>
        <v>0.26016444660987187</v>
      </c>
      <c r="D544" t="s">
        <v>6085</v>
      </c>
      <c r="E544" s="178">
        <f>C544*E542</f>
        <v>0.52032889321974374</v>
      </c>
      <c r="F544" s="146" t="s">
        <v>2710</v>
      </c>
      <c r="G544" s="42" t="s">
        <v>7119</v>
      </c>
      <c r="H544" s="1218" t="s">
        <v>5445</v>
      </c>
      <c r="I544" s="1216" t="s">
        <v>6995</v>
      </c>
      <c r="J544" s="285">
        <f>SUM(J542:J543)</f>
        <v>60.822406481080826</v>
      </c>
    </row>
    <row r="545" spans="1:10" ht="15.75" customHeight="1" x14ac:dyDescent="0.3">
      <c r="B545" s="99" t="s">
        <v>5654</v>
      </c>
      <c r="C545" s="147">
        <f t="shared" si="13"/>
        <v>1.9885678726169551</v>
      </c>
      <c r="D545" t="s">
        <v>6085</v>
      </c>
      <c r="E545" s="178">
        <f>C545*E542</f>
        <v>3.9771357452339102</v>
      </c>
      <c r="F545" s="146" t="s">
        <v>2710</v>
      </c>
      <c r="G545" s="42" t="s">
        <v>7120</v>
      </c>
      <c r="H545" s="1219" t="s">
        <v>5446</v>
      </c>
      <c r="I545" s="1220" t="s">
        <v>5447</v>
      </c>
      <c r="J545" s="1221">
        <f>J542+(J543/UDV.anaer_lagoon.sludge_time)</f>
        <v>17.183922859537596</v>
      </c>
    </row>
    <row r="546" spans="1:10" ht="14.4" x14ac:dyDescent="0.3">
      <c r="B546" s="99" t="s">
        <v>5682</v>
      </c>
      <c r="C546" s="147">
        <f t="shared" si="13"/>
        <v>17.499397279029203</v>
      </c>
      <c r="D546" t="s">
        <v>2489</v>
      </c>
      <c r="E546" s="178">
        <f>C546*E542</f>
        <v>34.998794558058407</v>
      </c>
      <c r="F546" s="146" t="s">
        <v>5324</v>
      </c>
    </row>
    <row r="547" spans="1:10" ht="14.4" x14ac:dyDescent="0.3">
      <c r="B547" s="99" t="s">
        <v>5672</v>
      </c>
      <c r="C547" s="147">
        <f t="shared" si="13"/>
        <v>2.0605024171501851</v>
      </c>
      <c r="D547" t="s">
        <v>2489</v>
      </c>
      <c r="E547" s="178">
        <f>C547*E542</f>
        <v>4.1210048343003702</v>
      </c>
      <c r="F547" s="146" t="s">
        <v>5324</v>
      </c>
    </row>
    <row r="548" spans="1:10" ht="14.4" x14ac:dyDescent="0.3">
      <c r="B548" s="99" t="s">
        <v>5660</v>
      </c>
      <c r="C548" s="147">
        <f t="shared" si="13"/>
        <v>21.874246598786506</v>
      </c>
      <c r="D548" t="s">
        <v>2489</v>
      </c>
      <c r="E548" s="178">
        <f>C548*E542</f>
        <v>43.748493197573012</v>
      </c>
      <c r="F548" s="146" t="s">
        <v>5324</v>
      </c>
    </row>
    <row r="549" spans="1:10" ht="14.4" x14ac:dyDescent="0.3">
      <c r="B549" s="99" t="s">
        <v>6403</v>
      </c>
      <c r="C549" s="147">
        <f t="shared" si="13"/>
        <v>1181.795475972023</v>
      </c>
      <c r="D549" t="s">
        <v>5910</v>
      </c>
      <c r="E549" s="164">
        <f>CONVERT(C549,"m^3","gal")*E542</f>
        <v>624394.67271020846</v>
      </c>
      <c r="F549" s="146" t="s">
        <v>5324</v>
      </c>
    </row>
    <row r="550" spans="1:10" ht="14.4" x14ac:dyDescent="0.3">
      <c r="A550" t="str">
        <f>_xlfn.CONCAT("Liquids",B550)</f>
        <v>LiquidsN removed, lagoon</v>
      </c>
      <c r="B550" s="99" t="s">
        <v>6404</v>
      </c>
      <c r="C550" s="78">
        <f t="shared" si="13"/>
        <v>1.0812544826787847</v>
      </c>
      <c r="D550" t="s">
        <v>2413</v>
      </c>
      <c r="E550" s="201">
        <f>C550*UC.g_to_lb/UC.L_to_gal*1000</f>
        <v>9.0235060540622829</v>
      </c>
      <c r="F550" s="146" t="s">
        <v>2414</v>
      </c>
    </row>
    <row r="551" spans="1:10" ht="14.4" x14ac:dyDescent="0.3">
      <c r="A551" t="str">
        <f t="shared" ref="A551:A552" si="14">_xlfn.CONCAT("Liquids",B551)</f>
        <v>LiquidsP2O5 removed, lagoon</v>
      </c>
      <c r="B551" s="99" t="s">
        <v>6405</v>
      </c>
      <c r="C551" s="78">
        <f t="shared" si="13"/>
        <v>0.77291508964248556</v>
      </c>
      <c r="D551" t="s">
        <v>2413</v>
      </c>
      <c r="E551" s="201">
        <f>C551*UC.g_to_lb/UC.L_to_gal*1000</f>
        <v>6.4502890877142312</v>
      </c>
      <c r="F551" s="146" t="s">
        <v>2414</v>
      </c>
    </row>
    <row r="552" spans="1:10" ht="14.4" x14ac:dyDescent="0.3">
      <c r="A552" t="str">
        <f t="shared" si="14"/>
        <v>LiquidsK2O removed, lagoon</v>
      </c>
      <c r="B552" s="99" t="s">
        <v>6406</v>
      </c>
      <c r="C552" s="78">
        <f t="shared" si="13"/>
        <v>1.1744351577487822</v>
      </c>
      <c r="D552" t="s">
        <v>2413</v>
      </c>
      <c r="E552" s="201">
        <f>C552*UC.g_to_lb/UC.L_to_gal*1000</f>
        <v>9.8011364815751723</v>
      </c>
      <c r="F552" s="146" t="s">
        <v>2414</v>
      </c>
    </row>
    <row r="553" spans="1:10" ht="14.4" x14ac:dyDescent="0.3">
      <c r="B553" s="99"/>
      <c r="E553" s="99"/>
      <c r="F553" s="146"/>
    </row>
    <row r="554" spans="1:10" ht="15.75" customHeight="1" x14ac:dyDescent="0.3">
      <c r="B554" s="175" t="s">
        <v>7238</v>
      </c>
      <c r="E554" s="99"/>
      <c r="F554" s="146"/>
    </row>
    <row r="555" spans="1:10" ht="15.75" customHeight="1" x14ac:dyDescent="0.3">
      <c r="B555" s="143" t="s">
        <v>2663</v>
      </c>
      <c r="C555" s="144" t="s">
        <v>565</v>
      </c>
      <c r="D555" s="144" t="s">
        <v>6943</v>
      </c>
      <c r="E555" s="143" t="s">
        <v>565</v>
      </c>
      <c r="F555" s="145" t="s">
        <v>6944</v>
      </c>
    </row>
    <row r="556" spans="1:10" ht="15.75" customHeight="1" x14ac:dyDescent="0.3">
      <c r="B556" s="99" t="s">
        <v>6416</v>
      </c>
      <c r="C556" s="382">
        <f t="shared" ref="C556:C566" si="15">VLOOKUP(B556,$X:$AA,3,FALSE)</f>
        <v>10</v>
      </c>
      <c r="D556" t="s">
        <v>2669</v>
      </c>
      <c r="E556" s="99">
        <f t="shared" ref="E556:E562" si="16">C556</f>
        <v>10</v>
      </c>
      <c r="F556" s="146" t="s">
        <v>2669</v>
      </c>
    </row>
    <row r="557" spans="1:10" ht="15.75" customHeight="1" x14ac:dyDescent="0.3">
      <c r="B557" s="99" t="s">
        <v>5679</v>
      </c>
      <c r="C557" s="382">
        <f t="shared" si="15"/>
        <v>48.953910807763656</v>
      </c>
      <c r="D557" t="s">
        <v>6085</v>
      </c>
      <c r="E557" s="178">
        <f t="shared" si="16"/>
        <v>48.953910807763656</v>
      </c>
      <c r="F557" s="146" t="s">
        <v>6085</v>
      </c>
    </row>
    <row r="558" spans="1:10" ht="15.75" customHeight="1" x14ac:dyDescent="0.3">
      <c r="B558" s="99" t="s">
        <v>5667</v>
      </c>
      <c r="C558" s="382">
        <f t="shared" si="15"/>
        <v>5.1237143232854079</v>
      </c>
      <c r="D558" t="s">
        <v>6085</v>
      </c>
      <c r="E558" s="178">
        <f t="shared" si="16"/>
        <v>5.1237143232854079</v>
      </c>
      <c r="F558" s="146" t="s">
        <v>6085</v>
      </c>
    </row>
    <row r="559" spans="1:10" ht="15.75" customHeight="1" x14ac:dyDescent="0.3">
      <c r="B559" s="99" t="s">
        <v>5654</v>
      </c>
      <c r="C559" s="382">
        <f t="shared" si="15"/>
        <v>39.163128646210922</v>
      </c>
      <c r="D559" t="s">
        <v>6085</v>
      </c>
      <c r="E559" s="178">
        <f t="shared" si="16"/>
        <v>39.163128646210922</v>
      </c>
      <c r="F559" s="146" t="s">
        <v>6085</v>
      </c>
    </row>
    <row r="560" spans="1:10" ht="15.75" customHeight="1" x14ac:dyDescent="0.3">
      <c r="B560" s="99" t="s">
        <v>5682</v>
      </c>
      <c r="C560" s="382">
        <f t="shared" si="15"/>
        <v>344.6355320866561</v>
      </c>
      <c r="D560" t="s">
        <v>2489</v>
      </c>
      <c r="E560" s="178">
        <f t="shared" si="16"/>
        <v>344.6355320866561</v>
      </c>
      <c r="F560" s="146" t="s">
        <v>2489</v>
      </c>
    </row>
    <row r="561" spans="1:15" ht="15.75" customHeight="1" x14ac:dyDescent="0.3">
      <c r="B561" s="99" t="s">
        <v>5672</v>
      </c>
      <c r="C561" s="382">
        <f t="shared" si="15"/>
        <v>40.579817440420427</v>
      </c>
      <c r="D561" t="s">
        <v>2489</v>
      </c>
      <c r="E561" s="178">
        <f t="shared" si="16"/>
        <v>40.579817440420427</v>
      </c>
      <c r="F561" s="146" t="s">
        <v>2489</v>
      </c>
    </row>
    <row r="562" spans="1:15" ht="15.75" customHeight="1" x14ac:dyDescent="0.3">
      <c r="B562" s="99" t="s">
        <v>5660</v>
      </c>
      <c r="C562" s="382">
        <f t="shared" si="15"/>
        <v>430.79441510832015</v>
      </c>
      <c r="D562" t="s">
        <v>2489</v>
      </c>
      <c r="E562" s="178">
        <f t="shared" si="16"/>
        <v>430.79441510832015</v>
      </c>
      <c r="F562" s="146" t="s">
        <v>2489</v>
      </c>
    </row>
    <row r="563" spans="1:15" ht="15.75" customHeight="1" x14ac:dyDescent="0.3">
      <c r="B563" s="99" t="s">
        <v>6418</v>
      </c>
      <c r="C563" s="382">
        <f t="shared" si="15"/>
        <v>2327.4442324211072</v>
      </c>
      <c r="D563" t="s">
        <v>5910</v>
      </c>
      <c r="E563" s="164">
        <f>CONVERT(C563,"m^3","gal")</f>
        <v>614845.71962781926</v>
      </c>
      <c r="F563" s="146" t="s">
        <v>2489</v>
      </c>
    </row>
    <row r="564" spans="1:15" ht="15.75" customHeight="1" x14ac:dyDescent="0.3">
      <c r="A564" t="str">
        <f>_xlfn.CONCAT("Sludge",B564)</f>
        <v>SludgeN removed, lagoon</v>
      </c>
      <c r="B564" s="99" t="s">
        <v>6404</v>
      </c>
      <c r="C564" s="382">
        <f t="shared" si="15"/>
        <v>2.7451176664177526</v>
      </c>
      <c r="D564" t="s">
        <v>2413</v>
      </c>
      <c r="E564" s="201">
        <f>C564*UC.g_to_lb/UC.L_to_gal*1000</f>
        <v>22.909117399139308</v>
      </c>
      <c r="F564" s="146" t="s">
        <v>2414</v>
      </c>
    </row>
    <row r="565" spans="1:15" ht="15.75" customHeight="1" x14ac:dyDescent="0.3">
      <c r="A565" t="str">
        <f t="shared" ref="A565:A566" si="17">_xlfn.CONCAT("Sludge",B565)</f>
        <v>SludgeP2O5 removed, lagoon</v>
      </c>
      <c r="B565" s="99" t="s">
        <v>6405</v>
      </c>
      <c r="C565" s="382">
        <f t="shared" si="15"/>
        <v>6.4220642397311023</v>
      </c>
      <c r="D565" t="s">
        <v>2413</v>
      </c>
      <c r="E565" s="201">
        <f>C565*UC.g_to_lb/UC.L_to_gal*1000</f>
        <v>53.59472397582276</v>
      </c>
      <c r="F565" s="146" t="s">
        <v>2414</v>
      </c>
    </row>
    <row r="566" spans="1:15" ht="15.75" customHeight="1" x14ac:dyDescent="0.3">
      <c r="A566" t="str">
        <f t="shared" si="17"/>
        <v>SludgeK2O removed, lagoon</v>
      </c>
      <c r="B566" s="99" t="s">
        <v>6406</v>
      </c>
      <c r="C566" s="382">
        <f t="shared" si="15"/>
        <v>6.4220956046072102</v>
      </c>
      <c r="D566" t="s">
        <v>2413</v>
      </c>
      <c r="E566" s="201">
        <f>C566*UC.g_to_lb/UC.L_to_gal*1000</f>
        <v>53.594985728401802</v>
      </c>
      <c r="F566" s="146" t="s">
        <v>2414</v>
      </c>
    </row>
    <row r="567" spans="1:15" ht="14.4" x14ac:dyDescent="0.3">
      <c r="B567" s="99"/>
      <c r="E567" s="99"/>
      <c r="F567" s="146"/>
    </row>
    <row r="568" spans="1:15" ht="15.75" customHeight="1" x14ac:dyDescent="0.3">
      <c r="B568" s="92" t="s">
        <v>6996</v>
      </c>
      <c r="E568" s="99"/>
      <c r="F568" s="146"/>
    </row>
    <row r="569" spans="1:15" ht="15.75" customHeight="1" x14ac:dyDescent="0.3">
      <c r="B569" s="143" t="s">
        <v>2663</v>
      </c>
      <c r="C569" s="144" t="s">
        <v>565</v>
      </c>
      <c r="D569" s="144" t="s">
        <v>6943</v>
      </c>
      <c r="E569" s="143" t="s">
        <v>565</v>
      </c>
      <c r="F569" s="145" t="s">
        <v>6944</v>
      </c>
    </row>
    <row r="570" spans="1:15" ht="14.4" x14ac:dyDescent="0.3">
      <c r="B570" s="99" t="s">
        <v>7076</v>
      </c>
      <c r="E570" s="357">
        <f>UDV.electricity.avg_cost</f>
        <v>6.8591666666666662E-2</v>
      </c>
      <c r="F570" s="146" t="s">
        <v>2306</v>
      </c>
    </row>
    <row r="571" spans="1:15" ht="14.4" x14ac:dyDescent="0.3">
      <c r="B571" s="99" t="s">
        <v>6997</v>
      </c>
      <c r="D571" s="146"/>
      <c r="E571" s="346">
        <f>UDV.fuel.diesel_avg_cost</f>
        <v>3.6964905660377356</v>
      </c>
      <c r="F571" s="146" t="s">
        <v>2315</v>
      </c>
    </row>
    <row r="572" spans="1:15" ht="14.4" x14ac:dyDescent="0.3">
      <c r="B572" s="149" t="s">
        <v>6998</v>
      </c>
      <c r="C572" s="150"/>
      <c r="D572" s="151"/>
      <c r="E572" s="347">
        <f>UDV.labor.non_specialized_cost</f>
        <v>23.66</v>
      </c>
      <c r="F572" s="151" t="s">
        <v>3659</v>
      </c>
    </row>
    <row r="573" spans="1:15" ht="14.4" x14ac:dyDescent="0.3"/>
    <row r="574" spans="1:15" ht="15.75" customHeight="1" x14ac:dyDescent="0.3">
      <c r="B574" s="206" t="s">
        <v>7121</v>
      </c>
      <c r="C574" s="140"/>
      <c r="D574" s="3057"/>
      <c r="E574" s="3057"/>
      <c r="F574" s="3057"/>
      <c r="G574" s="207"/>
      <c r="H574" s="207"/>
      <c r="I574" s="207"/>
      <c r="J574" s="142"/>
      <c r="K574" s="142"/>
      <c r="L574" s="142"/>
      <c r="M574" s="142"/>
      <c r="N574" s="142"/>
      <c r="O574" s="208"/>
    </row>
    <row r="575" spans="1:15" ht="15.75" customHeight="1" x14ac:dyDescent="0.3">
      <c r="B575" s="210" t="s">
        <v>6946</v>
      </c>
      <c r="C575" s="152" t="s">
        <v>6947</v>
      </c>
      <c r="D575" s="152" t="s">
        <v>6948</v>
      </c>
      <c r="E575" s="152" t="s">
        <v>6999</v>
      </c>
      <c r="F575" s="152" t="s">
        <v>7000</v>
      </c>
      <c r="G575" s="152" t="s">
        <v>6951</v>
      </c>
      <c r="H575" s="152" t="s">
        <v>6952</v>
      </c>
      <c r="I575" s="152" t="s">
        <v>7001</v>
      </c>
      <c r="J575" s="152" t="s">
        <v>6954</v>
      </c>
      <c r="K575" s="152" t="s">
        <v>6955</v>
      </c>
      <c r="L575" s="152" t="s">
        <v>6956</v>
      </c>
      <c r="M575" s="82" t="s">
        <v>6957</v>
      </c>
      <c r="N575" s="152" t="s">
        <v>7002</v>
      </c>
      <c r="O575" s="161" t="s">
        <v>6959</v>
      </c>
    </row>
    <row r="576" spans="1:15" ht="14.4" x14ac:dyDescent="0.3">
      <c r="A576" t="s">
        <v>7122</v>
      </c>
      <c r="B576" s="99" t="s">
        <v>2808</v>
      </c>
      <c r="C576" s="153">
        <f>IF(E536=0,0,(VLOOKUP("Irrigation systema",Econ.Equations!$C:$E,2,FALSE)*E536^VLOOKUP("Irrigation systemb",Econ.Equations!$C:$E,2,FALSE))*E536)</f>
        <v>51400.156324413474</v>
      </c>
      <c r="D576" s="42">
        <f>VLOOKUP("CAPEXLifetimeBuildings and constructionDefault",Econ.inputsTable!$E:$G,2,FALSE)</f>
        <v>20</v>
      </c>
      <c r="E576" s="42" t="s">
        <v>2852</v>
      </c>
      <c r="F576" s="42" t="s">
        <v>2852</v>
      </c>
      <c r="G576" s="539">
        <f>VLOOKUP("CAPEXAnnual usage on activityItems that are used only on the given activityDefault",Econ.inputsTable!$E:$J,2,FALSE)</f>
        <v>1</v>
      </c>
      <c r="H576" s="216">
        <f t="shared" ref="H576" si="18">UDV.econ_capital.interest_rate</f>
        <v>5.0999999999999997E-2</v>
      </c>
      <c r="I576" s="2091">
        <f>VLOOKUP("CAPEXSalvageBuildings and constructionDefault",Econ.inputsTable!$E:$K,2,FALSE)</f>
        <v>0</v>
      </c>
      <c r="J576" s="153">
        <f>C576*I576</f>
        <v>0</v>
      </c>
      <c r="K576" s="154">
        <f>VLOOKUP("CAPEXFinanced amountNADefault",Econ.inputsTable!$E:$J,2,FALSE)</f>
        <v>1</v>
      </c>
      <c r="L576" s="2092">
        <f>H576*K576</f>
        <v>5.0999999999999997E-2</v>
      </c>
      <c r="M576" s="351">
        <f>L576/(1-(1+L576)^-D576)</f>
        <v>8.0924368970045152E-2</v>
      </c>
      <c r="N576" s="153">
        <f>((C576-J576)*M576)+(J576*L576)</f>
        <v>4159.5252155148355</v>
      </c>
      <c r="O576" s="372">
        <f>N576*G576</f>
        <v>4159.5252155148355</v>
      </c>
    </row>
    <row r="577" spans="1:15" ht="15.75" customHeight="1" x14ac:dyDescent="0.3">
      <c r="A577" t="s">
        <v>7003</v>
      </c>
      <c r="B577" s="99" t="s">
        <v>7004</v>
      </c>
      <c r="C577" s="153">
        <f>VLOOKUP(_xlfn.CONCAT("Tractor",E522," hp"), Econ.Tables!$C:$E,2, FALSE)*E524</f>
        <v>283300</v>
      </c>
      <c r="D577" s="79">
        <f>VLOOKUP("CAPEXLifetimeTractor, 4 wheel drive and crawlerDefault",Econ.inputsTable!$E:$H,2,FALSE)/E577</f>
        <v>16</v>
      </c>
      <c r="E577" s="213">
        <f>IF(F577&gt;UDV.tractor.min_usage_yearly,F577,UDV.tractor.min_usage_yearly)</f>
        <v>1000</v>
      </c>
      <c r="F577" s="214">
        <f>IF(E524=0,0,(E543+(E557/E556))/E524)</f>
        <v>9.8668107623187531</v>
      </c>
      <c r="G577" s="538">
        <f>F577/E577</f>
        <v>9.8668107623187534E-3</v>
      </c>
      <c r="H577" s="503">
        <f t="shared" ref="H577:H584" si="19">UDV.econ_capital.interest_rate</f>
        <v>5.0999999999999997E-2</v>
      </c>
      <c r="I577" s="503">
        <f>VLOOKUP("CAPEXSalvageEquipmentDefault",Econ.inputsTable!$E:$H,2,FALSE)</f>
        <v>0.2</v>
      </c>
      <c r="J577" s="153">
        <f t="shared" ref="J577:J584" si="20">C577*I577</f>
        <v>56660</v>
      </c>
      <c r="K577" s="154">
        <f>VLOOKUP("CAPEXFinanced amountNADefault",Econ.inputsTable!$E:$H,2,FALSE)</f>
        <v>1</v>
      </c>
      <c r="L577" s="155">
        <f t="shared" ref="L577:L584" si="21">H577*K577</f>
        <v>5.0999999999999997E-2</v>
      </c>
      <c r="M577">
        <f t="shared" ref="M577:M584" si="22">L577/(1-(1+L577)^-D577)</f>
        <v>9.2927821836826949E-2</v>
      </c>
      <c r="N577" s="153">
        <f t="shared" ref="N577:N584" si="23">((C577-J577)*M577)+(J577*L577)</f>
        <v>23950.821541098459</v>
      </c>
      <c r="O577" s="157">
        <f t="shared" ref="O577:O584" si="24">N577*G577</f>
        <v>236.3182237480861</v>
      </c>
    </row>
    <row r="578" spans="1:15" ht="14.4" x14ac:dyDescent="0.3">
      <c r="A578" t="s">
        <v>7003</v>
      </c>
      <c r="B578" s="99" t="s">
        <v>1226</v>
      </c>
      <c r="C578" s="153">
        <f>VLOOKUP("Agitator, ptoDefault",Econ.Tables!$C:$E,2,FALSE)*E523</f>
        <v>43500</v>
      </c>
      <c r="D578" s="42">
        <f>VLOOKUP("CAPEXLifetimeAgitator, ptoDefault",Econ.inputsTable!$E:$H,2,FALSE)</f>
        <v>15</v>
      </c>
      <c r="F578" s="214">
        <f>F577</f>
        <v>9.8668107623187531</v>
      </c>
      <c r="G578" s="539">
        <f>VLOOKUP("CAPEXAnnual usage on activityItems that are used only on the given activityDefault",Econ.inputsTable!$E:$H,2,FALSE)</f>
        <v>1</v>
      </c>
      <c r="H578" s="503">
        <f t="shared" si="19"/>
        <v>5.0999999999999997E-2</v>
      </c>
      <c r="I578" s="503">
        <f>VLOOKUP("CAPEXSalvageEquipmentDefault",Econ.inputsTable!$E:$H,2,FALSE)</f>
        <v>0.2</v>
      </c>
      <c r="J578" s="153">
        <f t="shared" si="20"/>
        <v>8700</v>
      </c>
      <c r="K578" s="154">
        <f>VLOOKUP("CAPEXFinanced amountNADefault",Econ.inputsTable!$E:$H,2,FALSE)</f>
        <v>1</v>
      </c>
      <c r="L578" s="155">
        <f t="shared" si="21"/>
        <v>5.0999999999999997E-2</v>
      </c>
      <c r="M578">
        <f t="shared" si="22"/>
        <v>9.6994593888520206E-2</v>
      </c>
      <c r="N578" s="153">
        <f t="shared" si="23"/>
        <v>3819.1118673205028</v>
      </c>
      <c r="O578" s="157">
        <f t="shared" si="24"/>
        <v>3819.1118673205028</v>
      </c>
    </row>
    <row r="579" spans="1:15" ht="15.75" customHeight="1" x14ac:dyDescent="0.3">
      <c r="A579" t="s">
        <v>7003</v>
      </c>
      <c r="B579" s="99" t="s">
        <v>7005</v>
      </c>
      <c r="C579" s="153">
        <f>VLOOKUP(_xlfn.CONCAT("Tractor",E525," hp"), Econ.Tables!$C:$E,2, FALSE)*E527</f>
        <v>313600</v>
      </c>
      <c r="D579" s="79">
        <f>VLOOKUP("CAPEXLifetimeTractor, 4 wheel drive and crawlerDefault",Econ.inputsTable!$E:$H,2,FALSE)/E579</f>
        <v>16</v>
      </c>
      <c r="E579" s="213">
        <f>IF(F579&gt;UDV.tractor.min_usage_yearly,F579,UDV.tractor.min_usage_yearly)</f>
        <v>1000</v>
      </c>
      <c r="F579" s="214">
        <f>IF(E527=0,0,(E544+(E558/E556))/E527)</f>
        <v>1.0327003255482845</v>
      </c>
      <c r="G579" s="538">
        <f>F579/E579</f>
        <v>1.0327003255482844E-3</v>
      </c>
      <c r="H579" s="503">
        <f t="shared" si="19"/>
        <v>5.0999999999999997E-2</v>
      </c>
      <c r="I579" s="503">
        <f>VLOOKUP("CAPEXSalvageEquipmentDefault",Econ.inputsTable!$E:$H,2,FALSE)</f>
        <v>0.2</v>
      </c>
      <c r="J579" s="153">
        <f t="shared" si="20"/>
        <v>62720</v>
      </c>
      <c r="K579" s="154">
        <f>VLOOKUP("CAPEXFinanced amountNADefault",Econ.inputsTable!$E:$H,2,FALSE)</f>
        <v>1</v>
      </c>
      <c r="L579" s="155">
        <f t="shared" si="21"/>
        <v>5.0999999999999997E-2</v>
      </c>
      <c r="M579">
        <f t="shared" si="22"/>
        <v>9.2927821836826949E-2</v>
      </c>
      <c r="N579" s="153">
        <f t="shared" si="23"/>
        <v>26512.451942423148</v>
      </c>
      <c r="O579" s="157">
        <f t="shared" si="24"/>
        <v>27.379417752023631</v>
      </c>
    </row>
    <row r="580" spans="1:15" s="42" customFormat="1" ht="14.4" x14ac:dyDescent="0.3">
      <c r="A580" t="s">
        <v>7003</v>
      </c>
      <c r="B580" s="222" t="s">
        <v>3021</v>
      </c>
      <c r="C580" s="223">
        <f>VLOOKUP("Pump, tractor ptoDefault",Econ.Tables!$C:$E,2,FALSE)*E526</f>
        <v>26500</v>
      </c>
      <c r="D580" s="42">
        <f>VLOOKUP("CAPEXLifetimePump, tractor ptoDefault",Econ.inputsTable!$E:$H,2,FALSE)</f>
        <v>15</v>
      </c>
      <c r="F580" s="214">
        <f>F579</f>
        <v>1.0327003255482845</v>
      </c>
      <c r="G580" s="539">
        <f>VLOOKUP("CAPEXAnnual usage on activityItems that are used only on the given activityDefault",Econ.inputsTable!$E:$H,2,FALSE)</f>
        <v>1</v>
      </c>
      <c r="H580" s="503">
        <f t="shared" si="19"/>
        <v>5.0999999999999997E-2</v>
      </c>
      <c r="I580" s="503">
        <f>VLOOKUP("CAPEXSalvageEquipmentDefault",Econ.inputsTable!$E:$H,2,FALSE)</f>
        <v>0.2</v>
      </c>
      <c r="J580" s="153">
        <f t="shared" si="20"/>
        <v>5300</v>
      </c>
      <c r="K580" s="154">
        <f>VLOOKUP("CAPEXFinanced amountNADefault",Econ.inputsTable!$E:$H,2,FALSE)</f>
        <v>1</v>
      </c>
      <c r="L580" s="155">
        <f t="shared" si="21"/>
        <v>5.0999999999999997E-2</v>
      </c>
      <c r="M580">
        <f t="shared" si="22"/>
        <v>9.6994593888520206E-2</v>
      </c>
      <c r="N580" s="153">
        <f t="shared" si="23"/>
        <v>2326.5853904366286</v>
      </c>
      <c r="O580" s="157">
        <f t="shared" si="24"/>
        <v>2326.5853904366286</v>
      </c>
    </row>
    <row r="581" spans="1:15" ht="15.75" customHeight="1" x14ac:dyDescent="0.3">
      <c r="A581" t="s">
        <v>7003</v>
      </c>
      <c r="B581" s="99" t="s">
        <v>7006</v>
      </c>
      <c r="C581" s="153">
        <f>VLOOKUP(_xlfn.CONCAT("Tractor",E528," hp"), Econ.Tables!$C:$E,2, FALSE)*E531</f>
        <v>404700</v>
      </c>
      <c r="D581" s="79">
        <f>VLOOKUP("CAPEXLifetimeTractor, 4 wheel drive and crawlerDefault",Econ.inputsTable!$E:$H,2,FALSE)/E581</f>
        <v>16</v>
      </c>
      <c r="E581" s="213">
        <f>IF(F581&gt;UDV.tractor.min_usage_yearly,F581,UDV.tractor.min_usage_yearly)</f>
        <v>1000</v>
      </c>
      <c r="F581" s="214">
        <f>IF(E531=0,0,(E545+(E559/E556))/E531)</f>
        <v>7.8934486098550023</v>
      </c>
      <c r="G581" s="538">
        <f>F581/E581</f>
        <v>7.8934486098550024E-3</v>
      </c>
      <c r="H581" s="503">
        <f t="shared" si="19"/>
        <v>5.0999999999999997E-2</v>
      </c>
      <c r="I581" s="503">
        <f>VLOOKUP("CAPEXSalvageEquipmentDefault",Econ.inputsTable!$E:$H,2,FALSE)</f>
        <v>0.2</v>
      </c>
      <c r="J581" s="153">
        <f t="shared" si="20"/>
        <v>80940</v>
      </c>
      <c r="K581" s="154">
        <f>VLOOKUP("CAPEXFinanced amountNADefault",Econ.inputsTable!$E:$H,2,FALSE)</f>
        <v>1</v>
      </c>
      <c r="L581" s="155">
        <f t="shared" si="21"/>
        <v>5.0999999999999997E-2</v>
      </c>
      <c r="M581">
        <f t="shared" si="22"/>
        <v>9.2927821836826949E-2</v>
      </c>
      <c r="N581" s="153">
        <f t="shared" si="23"/>
        <v>34214.251597891096</v>
      </c>
      <c r="O581" s="157">
        <f t="shared" si="24"/>
        <v>270.06843671260276</v>
      </c>
    </row>
    <row r="582" spans="1:15" ht="14.4" x14ac:dyDescent="0.3">
      <c r="A582" t="s">
        <v>7003</v>
      </c>
      <c r="B582" s="99" t="s">
        <v>6392</v>
      </c>
      <c r="C582" s="153">
        <f>UDV.econ_tanker.cost*E530</f>
        <v>136600</v>
      </c>
      <c r="D582" s="42">
        <f>VLOOKUP("CAPEXLifetimeEquipmentDefault",Econ.inputsTable!$E:$H,2,FALSE)</f>
        <v>10</v>
      </c>
      <c r="F582" s="214">
        <f>F581</f>
        <v>7.8934486098550023</v>
      </c>
      <c r="G582" s="539">
        <f>VLOOKUP("CAPEXAnnual usage on activityItems that are used only on the given activityDefault",Econ.inputsTable!$E:$H,2,FALSE)</f>
        <v>1</v>
      </c>
      <c r="H582" s="503">
        <f t="shared" si="19"/>
        <v>5.0999999999999997E-2</v>
      </c>
      <c r="I582" s="503">
        <f>VLOOKUP("CAPEXSalvageEquipmentDefault",Econ.inputsTable!$E:$H,2,FALSE)</f>
        <v>0.2</v>
      </c>
      <c r="J582" s="153">
        <f t="shared" si="20"/>
        <v>27320</v>
      </c>
      <c r="K582" s="154">
        <f>VLOOKUP("CAPEXFinanced amountNADefault",Econ.inputsTable!$E:$H,2,FALSE)</f>
        <v>1</v>
      </c>
      <c r="L582" s="155">
        <f t="shared" si="21"/>
        <v>5.0999999999999997E-2</v>
      </c>
      <c r="M582">
        <f t="shared" si="22"/>
        <v>0.13013423257204779</v>
      </c>
      <c r="N582" s="153">
        <f t="shared" si="23"/>
        <v>15614.388935473382</v>
      </c>
      <c r="O582" s="157">
        <f t="shared" si="24"/>
        <v>15614.388935473382</v>
      </c>
    </row>
    <row r="583" spans="1:15" ht="15.75" customHeight="1" x14ac:dyDescent="0.3">
      <c r="A583" t="s">
        <v>7003</v>
      </c>
      <c r="B583" s="99" t="s">
        <v>7007</v>
      </c>
      <c r="C583" s="238">
        <f>(IF(E532="Broadcast",VLOOKUP("BoomDefault", Econ.Tables!$C:$E,2,FALSE),0))*E530</f>
        <v>0</v>
      </c>
      <c r="D583" s="42">
        <f>VLOOKUP("CAPEXLifetimeEquipmentDefault",Econ.inputsTable!$E:$H,2,FALSE)</f>
        <v>10</v>
      </c>
      <c r="E583" s="152"/>
      <c r="F583" s="231">
        <f>IF(C532="Broadcast",F581,0)</f>
        <v>0</v>
      </c>
      <c r="G583" s="539">
        <f>VLOOKUP("CAPEXAnnual usage on activityItems that are used only on the given activityDefault",Econ.inputsTable!$E:$H,2,FALSE)</f>
        <v>1</v>
      </c>
      <c r="H583" s="503">
        <f t="shared" si="19"/>
        <v>5.0999999999999997E-2</v>
      </c>
      <c r="I583" s="503">
        <f>VLOOKUP("CAPEXSalvageEquipmentDefault",Econ.inputsTable!$E:$H,2,FALSE)</f>
        <v>0.2</v>
      </c>
      <c r="J583" s="153">
        <f t="shared" si="20"/>
        <v>0</v>
      </c>
      <c r="K583" s="154">
        <f>VLOOKUP("CAPEXFinanced amountNADefault",Econ.inputsTable!$E:$H,2,FALSE)</f>
        <v>1</v>
      </c>
      <c r="L583" s="155">
        <f t="shared" si="21"/>
        <v>5.0999999999999997E-2</v>
      </c>
      <c r="M583">
        <f t="shared" si="22"/>
        <v>0.13013423257204779</v>
      </c>
      <c r="N583" s="153">
        <f t="shared" si="23"/>
        <v>0</v>
      </c>
      <c r="O583" s="157">
        <f t="shared" si="24"/>
        <v>0</v>
      </c>
    </row>
    <row r="584" spans="1:15" ht="15.75" customHeight="1" x14ac:dyDescent="0.3">
      <c r="A584" t="s">
        <v>7003</v>
      </c>
      <c r="B584" s="99" t="s">
        <v>7008</v>
      </c>
      <c r="C584" s="238">
        <f>(IF(E532="Injection",VLOOKUP("InjectionDefault",Econ.Tables!$C:$E,2,FALSE),0))*E530</f>
        <v>80900</v>
      </c>
      <c r="D584" s="42">
        <f>VLOOKUP("CAPEXLifetimeEquipmentDefault",Econ.inputsTable!$E:$H,2,FALSE)</f>
        <v>10</v>
      </c>
      <c r="E584" s="152"/>
      <c r="F584" s="231">
        <f>IF(C532="Injection",F582,0)</f>
        <v>7.8934486098550023</v>
      </c>
      <c r="G584" s="539">
        <f>VLOOKUP("CAPEXAnnual usage on activityItems that are used only on the given activityDefault",Econ.inputsTable!$E:$H,2,FALSE)</f>
        <v>1</v>
      </c>
      <c r="H584" s="503">
        <f t="shared" si="19"/>
        <v>5.0999999999999997E-2</v>
      </c>
      <c r="I584" s="503">
        <f>VLOOKUP("CAPEXSalvageEquipmentDefault",Econ.inputsTable!$E:$H,2,FALSE)</f>
        <v>0.2</v>
      </c>
      <c r="J584" s="153">
        <f t="shared" si="20"/>
        <v>16180</v>
      </c>
      <c r="K584" s="154">
        <f>VLOOKUP("CAPEXFinanced amountNADefault",Econ.inputsTable!$E:$H,2,FALSE)</f>
        <v>1</v>
      </c>
      <c r="L584" s="155">
        <f t="shared" si="21"/>
        <v>5.0999999999999997E-2</v>
      </c>
      <c r="M584">
        <f t="shared" si="22"/>
        <v>0.13013423257204779</v>
      </c>
      <c r="N584" s="153">
        <f t="shared" si="23"/>
        <v>9247.4675320629322</v>
      </c>
      <c r="O584" s="157">
        <f t="shared" si="24"/>
        <v>9247.4675320629322</v>
      </c>
    </row>
    <row r="585" spans="1:15" ht="15.75" customHeight="1" x14ac:dyDescent="0.3">
      <c r="B585" s="99"/>
      <c r="C585" s="238"/>
      <c r="D585" s="42"/>
      <c r="E585" s="42"/>
      <c r="F585" s="42"/>
      <c r="G585" s="42"/>
      <c r="H585" s="42"/>
      <c r="I585" s="152"/>
      <c r="J585" s="231"/>
      <c r="K585" s="539"/>
      <c r="L585" s="503"/>
      <c r="M585" s="503"/>
      <c r="N585" s="503"/>
      <c r="O585" s="540"/>
    </row>
    <row r="586" spans="1:15" ht="15.75" customHeight="1" x14ac:dyDescent="0.3">
      <c r="B586" s="99"/>
      <c r="C586" s="82" t="s">
        <v>7009</v>
      </c>
      <c r="D586" s="82" t="s">
        <v>6963</v>
      </c>
      <c r="N586" s="153">
        <f>SUM(N577:N584)</f>
        <v>115685.07880670615</v>
      </c>
      <c r="O586" s="157">
        <f>SUM(O577:O584)</f>
        <v>31541.319803506158</v>
      </c>
    </row>
    <row r="587" spans="1:15" ht="14.4" x14ac:dyDescent="0.3">
      <c r="A587" t="s">
        <v>5202</v>
      </c>
      <c r="B587" s="99" t="s">
        <v>6964</v>
      </c>
      <c r="C587" s="153">
        <f>SUM(C576:C584)</f>
        <v>1340500.1563244136</v>
      </c>
      <c r="D587" s="233">
        <f>SUMPRODUCT(C576:C584,G576:G584)</f>
        <v>345213.75728787866</v>
      </c>
      <c r="O587" s="146"/>
    </row>
    <row r="588" spans="1:15" ht="14.4" x14ac:dyDescent="0.3">
      <c r="A588" t="s">
        <v>5202</v>
      </c>
      <c r="B588" s="149" t="s">
        <v>6965</v>
      </c>
      <c r="C588" s="159">
        <f>SUM(N576:N584)</f>
        <v>119844.60402222098</v>
      </c>
      <c r="D588" s="234">
        <f>SUMPRODUCT(N576:N584,G576:G584)</f>
        <v>35700.845019020991</v>
      </c>
      <c r="E588" s="159"/>
      <c r="F588" s="150"/>
      <c r="G588" s="150"/>
      <c r="H588" s="150"/>
      <c r="I588" s="150"/>
      <c r="J588" s="150"/>
      <c r="K588" s="150"/>
      <c r="L588" s="150"/>
      <c r="M588" s="150"/>
      <c r="N588" s="150"/>
      <c r="O588" s="151"/>
    </row>
    <row r="590" spans="1:15" ht="15.75" customHeight="1" x14ac:dyDescent="0.3">
      <c r="B590" s="160" t="s">
        <v>6966</v>
      </c>
      <c r="C590" s="152" t="s">
        <v>6967</v>
      </c>
      <c r="D590" s="152" t="s">
        <v>6968</v>
      </c>
      <c r="E590" s="152" t="s">
        <v>6969</v>
      </c>
      <c r="F590" s="152" t="s">
        <v>6970</v>
      </c>
      <c r="G590" s="152" t="s">
        <v>6971</v>
      </c>
      <c r="H590" s="152" t="s">
        <v>6972</v>
      </c>
      <c r="I590" s="152" t="s">
        <v>6973</v>
      </c>
      <c r="J590" s="152" t="s">
        <v>6974</v>
      </c>
      <c r="K590" s="152" t="s">
        <v>6975</v>
      </c>
      <c r="L590" s="152" t="s">
        <v>6976</v>
      </c>
      <c r="M590" s="152" t="s">
        <v>6977</v>
      </c>
      <c r="N590" s="152" t="s">
        <v>6978</v>
      </c>
      <c r="O590" s="161" t="s">
        <v>6979</v>
      </c>
    </row>
    <row r="591" spans="1:15" ht="14.4" x14ac:dyDescent="0.3">
      <c r="B591" s="99" t="s">
        <v>2808</v>
      </c>
      <c r="C591" s="155">
        <f>VLOOKUP("OPEXInsuranceEverythingDefault",Econ.inputsTable!$E:$K,2,FALSE)</f>
        <v>5.0000000000000001E-3</v>
      </c>
      <c r="D591" s="154">
        <f>VLOOKUP("OPEXRepair and maintenanceEquipmentDefault",Econ.inputsTable!$E:$K,2,FALSE)</f>
        <v>0.03</v>
      </c>
      <c r="F591" s="2124">
        <f>E537</f>
        <v>931.22205127489576</v>
      </c>
      <c r="G591" s="504">
        <f>F591*E570</f>
        <v>63.874072533697223</v>
      </c>
      <c r="I591" s="504"/>
      <c r="J591" s="504"/>
      <c r="K591" s="147">
        <f>E538</f>
        <v>7.4111782799103869</v>
      </c>
      <c r="L591" s="156">
        <f>K591*E572</f>
        <v>175.34847810267976</v>
      </c>
      <c r="O591" s="167">
        <f t="shared" ref="O591" si="25">(SUM(C591:D591)*C576*G576)+SUM(E591,G591,I591,J591,L591,N591)</f>
        <v>2038.2280219908484</v>
      </c>
    </row>
    <row r="592" spans="1:15" ht="15.75" customHeight="1" x14ac:dyDescent="0.3">
      <c r="B592" s="235" t="s">
        <v>7004</v>
      </c>
      <c r="C592" s="155">
        <f>VLOOKUP("OPEXInsuranceEverythingDefault",Econ.inputsTable!$E:$H,2,FALSE)</f>
        <v>5.0000000000000001E-3</v>
      </c>
      <c r="D592" s="237">
        <f>VLOOKUP("OPEXRepair and maintenanceEquipmentDefault",Econ.inputsTable!$E:$H,2,FALSE)</f>
        <v>0.03</v>
      </c>
      <c r="H592" s="147">
        <f>E546+(E560/E556)</f>
        <v>69.462347766724008</v>
      </c>
      <c r="I592" s="158">
        <f>H592*E571</f>
        <v>256.76691321452768</v>
      </c>
      <c r="J592" s="238">
        <f>I592*VLOOKUP("OPEXLubeLubeDefault",Econ.inputsTable!$E:$H,2,FALSE)</f>
        <v>25.676691321452768</v>
      </c>
      <c r="K592" s="205">
        <f>(E543+(E557/E556))*VLOOKUP("OPEXLaborTractorDefault",Econ.inputsTable!$E:$H,2,FALSE)</f>
        <v>10.85349183855063</v>
      </c>
      <c r="L592" s="158">
        <f>K592*E572</f>
        <v>256.79361690010791</v>
      </c>
      <c r="O592" s="264">
        <f t="shared" ref="O592:O599" si="26">(SUM(C592:D592)*C577*G577)+SUM(E592,G592,I592,J592,L592,N592)</f>
        <v>637.07158354985995</v>
      </c>
    </row>
    <row r="593" spans="1:15" ht="15.75" customHeight="1" x14ac:dyDescent="0.3">
      <c r="B593" s="99" t="s">
        <v>1226</v>
      </c>
      <c r="C593" s="155">
        <f>VLOOKUP("OPEXInsuranceEverythingDefault",Econ.inputsTable!$E:$H,2,FALSE)</f>
        <v>5.0000000000000001E-3</v>
      </c>
      <c r="D593" s="237">
        <f>VLOOKUP("OPEXRepair and maintenanceEquipmentDefault",Econ.inputsTable!$E:$H,2,FALSE)</f>
        <v>0.03</v>
      </c>
      <c r="H593" s="147"/>
      <c r="I593" s="158"/>
      <c r="J593" s="158"/>
      <c r="L593" s="153"/>
      <c r="O593" s="264">
        <f t="shared" si="26"/>
        <v>1522.4999999999998</v>
      </c>
    </row>
    <row r="594" spans="1:15" ht="15.75" customHeight="1" x14ac:dyDescent="0.3">
      <c r="B594" s="99" t="s">
        <v>7005</v>
      </c>
      <c r="C594" s="155">
        <f>VLOOKUP("OPEXInsuranceEverythingDefault",Econ.inputsTable!$E:$H,2,FALSE)</f>
        <v>5.0000000000000001E-3</v>
      </c>
      <c r="D594" s="237">
        <f>VLOOKUP("OPEXRepair and maintenanceEquipmentDefault",Econ.inputsTable!$E:$H,2,FALSE)</f>
        <v>0.03</v>
      </c>
      <c r="H594" s="147">
        <f>E547+(E561/E556)</f>
        <v>8.178986578342414</v>
      </c>
      <c r="I594" s="158">
        <f>H594*E571</f>
        <v>30.233546726591992</v>
      </c>
      <c r="J594" s="238">
        <f>I594*VLOOKUP("OPEXLubeLubeDefault",Econ.inputsTable!$E:$H,2,FALSE)</f>
        <v>3.0233546726591993</v>
      </c>
      <c r="K594" s="205">
        <f>(E544+(E558/E556))*VLOOKUP("OPEXLaborTractorDefault",Econ.inputsTable!$E:$H,2,FALSE)</f>
        <v>1.1359703581031131</v>
      </c>
      <c r="L594" s="158">
        <f>K594*E572</f>
        <v>26.877058672719656</v>
      </c>
      <c r="O594" s="264">
        <f t="shared" si="26"/>
        <v>71.468878845188812</v>
      </c>
    </row>
    <row r="595" spans="1:15" ht="15.75" customHeight="1" x14ac:dyDescent="0.3">
      <c r="B595" s="222" t="s">
        <v>3021</v>
      </c>
      <c r="C595" s="155">
        <f>VLOOKUP("OPEXInsuranceEverythingDefault",Econ.inputsTable!$E:$H,2,FALSE)</f>
        <v>5.0000000000000001E-3</v>
      </c>
      <c r="D595" s="237">
        <f>VLOOKUP("OPEXRepair and maintenancePump, tractor ptoDefault",Econ.inputsTable!$E:$H,2,FALSE)</f>
        <v>0.05</v>
      </c>
      <c r="I595" s="158"/>
      <c r="J595" s="158"/>
      <c r="L595" s="153"/>
      <c r="O595" s="264">
        <f t="shared" si="26"/>
        <v>1457.5</v>
      </c>
    </row>
    <row r="596" spans="1:15" ht="15.75" customHeight="1" x14ac:dyDescent="0.3">
      <c r="B596" s="99" t="s">
        <v>7006</v>
      </c>
      <c r="C596" s="155">
        <f>VLOOKUP("OPEXInsuranceEverythingDefault",Econ.inputsTable!$E:$H,2,FALSE)</f>
        <v>5.0000000000000001E-3</v>
      </c>
      <c r="D596" s="237">
        <f>VLOOKUP("OPEXRepair and maintenanceEquipmentDefault",Econ.inputsTable!$E:$H,2,FALSE)</f>
        <v>0.03</v>
      </c>
      <c r="H596" s="147">
        <f>E548+(E562/E556)</f>
        <v>86.827934708405024</v>
      </c>
      <c r="I596" s="158">
        <f>H596*E571</f>
        <v>320.95864151815965</v>
      </c>
      <c r="J596" s="238">
        <f>I596*VLOOKUP("OPEXLubeLubeDefault",Econ.inputsTable!$E:$H,2,FALSE)</f>
        <v>32.095864151815967</v>
      </c>
      <c r="K596" s="205">
        <f>(E545+(E559/E556))*VLOOKUP("OPEXLaborTractorDefault",Econ.inputsTable!$E:$H,2,FALSE)</f>
        <v>8.6827934708405028</v>
      </c>
      <c r="L596" s="158">
        <f>K596*E572</f>
        <v>205.43489352008629</v>
      </c>
      <c r="O596" s="264">
        <f t="shared" si="26"/>
        <v>670.29615202435309</v>
      </c>
    </row>
    <row r="597" spans="1:15" ht="15.75" customHeight="1" x14ac:dyDescent="0.3">
      <c r="B597" s="99" t="s">
        <v>6392</v>
      </c>
      <c r="C597" s="155">
        <f>VLOOKUP("OPEXInsuranceEverythingDefault",Econ.inputsTable!$E:$H,2,FALSE)</f>
        <v>5.0000000000000001E-3</v>
      </c>
      <c r="D597" s="237">
        <f>VLOOKUP("OPEXRepair and maintenanceEquipmentDefault",Econ.inputsTable!$E:$H,2,FALSE)</f>
        <v>0.03</v>
      </c>
      <c r="I597" s="158"/>
      <c r="J597" s="158"/>
      <c r="L597" s="153"/>
      <c r="O597" s="264">
        <f t="shared" si="26"/>
        <v>4780.9999999999991</v>
      </c>
    </row>
    <row r="598" spans="1:15" ht="15.75" customHeight="1" x14ac:dyDescent="0.3">
      <c r="B598" s="99" t="s">
        <v>7007</v>
      </c>
      <c r="C598" s="155">
        <f>VLOOKUP("OPEXInsuranceEverythingDefault",Econ.inputsTable!$E:$H,2,FALSE)</f>
        <v>5.0000000000000001E-3</v>
      </c>
      <c r="D598" s="237">
        <f>VLOOKUP("OPEXRepair and maintenanceEquipmentDefault",Econ.inputsTable!$E:$H,2,FALSE)</f>
        <v>0.03</v>
      </c>
      <c r="I598" s="158"/>
      <c r="J598" s="158"/>
      <c r="L598" s="153"/>
      <c r="O598" s="264">
        <f t="shared" si="26"/>
        <v>0</v>
      </c>
    </row>
    <row r="599" spans="1:15" ht="15.75" customHeight="1" x14ac:dyDescent="0.3">
      <c r="B599" s="99" t="s">
        <v>7008</v>
      </c>
      <c r="C599" s="155">
        <f>VLOOKUP("OPEXInsuranceEverythingDefault",Econ.inputsTable!$E:$H,2,FALSE)</f>
        <v>5.0000000000000001E-3</v>
      </c>
      <c r="D599" s="237">
        <f>VLOOKUP("OPEXRepair and maintenanceEquipmentDefault",Econ.inputsTable!$E:$H,2,FALSE)</f>
        <v>0.03</v>
      </c>
      <c r="I599" s="158"/>
      <c r="J599" s="158"/>
      <c r="L599" s="153"/>
      <c r="O599" s="264">
        <f t="shared" si="26"/>
        <v>2831.4999999999995</v>
      </c>
    </row>
    <row r="600" spans="1:15" ht="15.75" customHeight="1" x14ac:dyDescent="0.3">
      <c r="A600" t="s">
        <v>5202</v>
      </c>
      <c r="B600" s="162" t="s">
        <v>5203</v>
      </c>
      <c r="C600" s="241"/>
      <c r="D600" s="241"/>
      <c r="E600" s="242">
        <f t="shared" ref="E600:O600" si="27">SUM(E591:E599)</f>
        <v>0</v>
      </c>
      <c r="F600" s="2125">
        <f t="shared" si="27"/>
        <v>931.22205127489576</v>
      </c>
      <c r="G600" s="242">
        <f t="shared" si="27"/>
        <v>63.874072533697223</v>
      </c>
      <c r="H600" s="286">
        <f t="shared" si="27"/>
        <v>164.46926905347146</v>
      </c>
      <c r="I600" s="242">
        <f t="shared" si="27"/>
        <v>607.95910145927928</v>
      </c>
      <c r="J600" s="242">
        <f t="shared" si="27"/>
        <v>60.795910145927934</v>
      </c>
      <c r="K600" s="243">
        <f t="shared" si="27"/>
        <v>28.083433947404629</v>
      </c>
      <c r="L600" s="242">
        <f t="shared" si="27"/>
        <v>664.4540471955936</v>
      </c>
      <c r="M600" s="374">
        <f t="shared" si="27"/>
        <v>0</v>
      </c>
      <c r="N600" s="242">
        <f t="shared" si="27"/>
        <v>0</v>
      </c>
      <c r="O600" s="169">
        <f t="shared" si="27"/>
        <v>14009.56463641025</v>
      </c>
    </row>
    <row r="601" spans="1:15" ht="14.4" x14ac:dyDescent="0.3">
      <c r="B601" s="99"/>
      <c r="O601" s="146"/>
    </row>
    <row r="602" spans="1:15" ht="14.4" x14ac:dyDescent="0.3">
      <c r="A602" t="s">
        <v>5202</v>
      </c>
      <c r="B602" s="149" t="s">
        <v>6980</v>
      </c>
      <c r="C602" s="159">
        <f>O600</f>
        <v>14009.56463641025</v>
      </c>
      <c r="D602" s="150"/>
      <c r="E602" s="150"/>
      <c r="F602" s="150"/>
      <c r="G602" s="150"/>
      <c r="H602" s="150"/>
      <c r="I602" s="150"/>
      <c r="J602" s="150"/>
      <c r="K602" s="150"/>
      <c r="L602" s="150"/>
      <c r="M602" s="150"/>
      <c r="N602" s="150"/>
      <c r="O602" s="151"/>
    </row>
    <row r="603" spans="1:15" ht="14.4" x14ac:dyDescent="0.3">
      <c r="C603" s="153"/>
    </row>
    <row r="604" spans="1:15" ht="15.75" customHeight="1" x14ac:dyDescent="0.3">
      <c r="B604" s="384" t="s">
        <v>7123</v>
      </c>
      <c r="C604" s="2997" t="s">
        <v>6402</v>
      </c>
      <c r="D604" s="2999"/>
      <c r="E604" s="3059" t="s">
        <v>6417</v>
      </c>
      <c r="F604" s="3058"/>
    </row>
    <row r="605" spans="1:15" ht="15.75" customHeight="1" x14ac:dyDescent="0.3">
      <c r="B605" s="385" t="s">
        <v>7012</v>
      </c>
      <c r="C605" s="139" t="s">
        <v>7124</v>
      </c>
      <c r="D605" s="245" t="s">
        <v>7125</v>
      </c>
      <c r="E605" s="139" t="s">
        <v>7124</v>
      </c>
      <c r="F605" s="245" t="s">
        <v>7125</v>
      </c>
    </row>
    <row r="606" spans="1:15" ht="14.4" x14ac:dyDescent="0.3">
      <c r="A606" t="s">
        <v>5202</v>
      </c>
      <c r="B606" s="386" t="s">
        <v>7013</v>
      </c>
      <c r="C606" s="387">
        <f xml:space="preserve"> VLOOKUP("Fertilizer value for on-farm use, liquids",$R$1:$T$332,3, FALSE)</f>
        <v>4774.9083544947553</v>
      </c>
      <c r="D606" s="388">
        <f>VLOOKUP("Fertilizer value for on-farm use, liquids",$R$1:$T$332,3, FALSE)</f>
        <v>4774.9083544947553</v>
      </c>
      <c r="E606" s="387"/>
      <c r="F606" s="389">
        <f>VLOOKUP("Fertilizer value for on-farm use, sludge",$R$1:$T$332,3, FALSE)</f>
        <v>11871.609652078669</v>
      </c>
    </row>
    <row r="607" spans="1:15" ht="14.4" x14ac:dyDescent="0.3">
      <c r="A607" t="s">
        <v>5202</v>
      </c>
      <c r="B607" s="386" t="s">
        <v>7126</v>
      </c>
      <c r="C607" s="390">
        <f>C606</f>
        <v>4774.9083544947553</v>
      </c>
      <c r="D607" s="391"/>
      <c r="E607" s="390">
        <f>(F606/UDV.anaer_lagoon.sludge_time)</f>
        <v>1187.1609652078669</v>
      </c>
      <c r="F607" s="391"/>
    </row>
    <row r="608" spans="1:15" ht="14.4" x14ac:dyDescent="0.3">
      <c r="A608" t="s">
        <v>5202</v>
      </c>
      <c r="B608" s="386" t="s">
        <v>7014</v>
      </c>
      <c r="C608" s="393">
        <f>SUM(C607,E607)</f>
        <v>5962.0693197026221</v>
      </c>
      <c r="D608" s="146"/>
      <c r="E608" s="99"/>
      <c r="F608" s="146"/>
    </row>
    <row r="609" spans="1:6" ht="14.4" x14ac:dyDescent="0.3">
      <c r="B609" s="386"/>
      <c r="D609" s="146"/>
      <c r="E609" s="99"/>
      <c r="F609" s="146"/>
    </row>
    <row r="610" spans="1:6" ht="15.75" customHeight="1" x14ac:dyDescent="0.3">
      <c r="B610" s="394" t="s">
        <v>7015</v>
      </c>
      <c r="C610" s="139" t="s">
        <v>7124</v>
      </c>
      <c r="D610" s="245" t="s">
        <v>7125</v>
      </c>
      <c r="E610" s="139" t="s">
        <v>7124</v>
      </c>
      <c r="F610" s="245" t="s">
        <v>7125</v>
      </c>
    </row>
    <row r="611" spans="1:6" ht="14.4" x14ac:dyDescent="0.3">
      <c r="A611" t="s">
        <v>5202</v>
      </c>
      <c r="B611" s="386" t="s">
        <v>7016</v>
      </c>
      <c r="C611" s="387">
        <f>UDV.econ_manure.liquid_sell_price*C512</f>
        <v>0</v>
      </c>
      <c r="D611" s="389">
        <f>UDV.econ_manure.liquid_sell_price*C512</f>
        <v>0</v>
      </c>
      <c r="E611" s="387"/>
      <c r="F611" s="389">
        <f>UDV.econ_manure.sludge_sell_price*C515</f>
        <v>0</v>
      </c>
    </row>
    <row r="612" spans="1:6" ht="14.4" x14ac:dyDescent="0.3">
      <c r="A612" t="s">
        <v>5202</v>
      </c>
      <c r="B612" s="386" t="s">
        <v>7127</v>
      </c>
      <c r="C612" s="390">
        <f>C611</f>
        <v>0</v>
      </c>
      <c r="D612" s="391"/>
      <c r="E612" s="390">
        <f>(F611/UDV.anaer_lagoon.sludge_time)</f>
        <v>0</v>
      </c>
      <c r="F612" s="391"/>
    </row>
    <row r="613" spans="1:6" ht="14.4" x14ac:dyDescent="0.3">
      <c r="A613" t="s">
        <v>5202</v>
      </c>
      <c r="B613" s="386" t="s">
        <v>7017</v>
      </c>
      <c r="C613" s="393">
        <f>SUM(C612,E612)</f>
        <v>0</v>
      </c>
      <c r="D613" s="146"/>
      <c r="E613" s="99"/>
      <c r="F613" s="146"/>
    </row>
    <row r="614" spans="1:6" ht="14.4" x14ac:dyDescent="0.3">
      <c r="B614" s="386"/>
      <c r="C614" s="166"/>
      <c r="D614" s="146"/>
      <c r="E614" s="395"/>
      <c r="F614" s="396"/>
    </row>
    <row r="615" spans="1:6" ht="15.75" customHeight="1" x14ac:dyDescent="0.3">
      <c r="B615" s="397" t="s">
        <v>7018</v>
      </c>
      <c r="C615" s="139" t="s">
        <v>7124</v>
      </c>
      <c r="D615" s="245" t="s">
        <v>7125</v>
      </c>
      <c r="E615" s="139" t="s">
        <v>7124</v>
      </c>
      <c r="F615" s="245" t="s">
        <v>7125</v>
      </c>
    </row>
    <row r="616" spans="1:6" ht="14.4" x14ac:dyDescent="0.3">
      <c r="A616" t="s">
        <v>5202</v>
      </c>
      <c r="B616" s="386" t="s">
        <v>7019</v>
      </c>
      <c r="C616" s="387">
        <f>UDV.econ_manure.liquid_sell_price*C513</f>
        <v>0</v>
      </c>
      <c r="D616" s="389">
        <f>UDV.econ_manure.liquid_sell_price*C513</f>
        <v>0</v>
      </c>
      <c r="E616" s="387">
        <v>0</v>
      </c>
      <c r="F616" s="389">
        <f>UDV.econ_manure.sludge_sell_price*C516</f>
        <v>0</v>
      </c>
    </row>
    <row r="617" spans="1:6" ht="14.4" x14ac:dyDescent="0.3">
      <c r="A617" t="s">
        <v>5202</v>
      </c>
      <c r="B617" s="386" t="s">
        <v>7128</v>
      </c>
      <c r="C617" s="390">
        <f>C616</f>
        <v>0</v>
      </c>
      <c r="D617" s="391"/>
      <c r="E617" s="390">
        <f>(F616/UDV.anaer_lagoon.sludge_time)</f>
        <v>0</v>
      </c>
      <c r="F617" s="391"/>
    </row>
    <row r="618" spans="1:6" ht="14.4" x14ac:dyDescent="0.3">
      <c r="A618" t="s">
        <v>5202</v>
      </c>
      <c r="B618" s="386" t="s">
        <v>7020</v>
      </c>
      <c r="C618" s="393">
        <f>SUM(C617,E617)</f>
        <v>0</v>
      </c>
      <c r="D618" s="146"/>
      <c r="E618" s="99"/>
      <c r="F618" s="146"/>
    </row>
    <row r="619" spans="1:6" ht="14.4" x14ac:dyDescent="0.3">
      <c r="B619" s="386"/>
      <c r="D619" s="146"/>
      <c r="E619" s="99"/>
      <c r="F619" s="146"/>
    </row>
    <row r="620" spans="1:6" ht="15.75" customHeight="1" x14ac:dyDescent="0.3">
      <c r="B620" s="398" t="s">
        <v>7021</v>
      </c>
      <c r="C620" s="139" t="s">
        <v>7124</v>
      </c>
      <c r="D620" s="245" t="s">
        <v>7125</v>
      </c>
      <c r="E620" s="139" t="s">
        <v>7124</v>
      </c>
      <c r="F620" s="245" t="s">
        <v>7125</v>
      </c>
    </row>
    <row r="621" spans="1:6" ht="14.4" x14ac:dyDescent="0.3">
      <c r="A621" t="s">
        <v>5202</v>
      </c>
      <c r="B621" s="386" t="s">
        <v>7022</v>
      </c>
      <c r="C621" s="387">
        <f>UDV.econ_manure.liquid_export_cost*C514</f>
        <v>0</v>
      </c>
      <c r="D621" s="389">
        <f>UDV.econ_manure.liquid_export_cost*C514</f>
        <v>0</v>
      </c>
      <c r="E621" s="387">
        <v>0</v>
      </c>
      <c r="F621" s="389">
        <f>UDV.econ_manure.sludge_export_cost*C517</f>
        <v>0</v>
      </c>
    </row>
    <row r="622" spans="1:6" ht="14.4" x14ac:dyDescent="0.3">
      <c r="A622" t="s">
        <v>5202</v>
      </c>
      <c r="B622" s="386" t="s">
        <v>7129</v>
      </c>
      <c r="C622" s="390">
        <f>C621</f>
        <v>0</v>
      </c>
      <c r="D622" s="391"/>
      <c r="E622" s="390">
        <f>(F621/UDV.anaer_lagoon.sludge_time)</f>
        <v>0</v>
      </c>
      <c r="F622" s="391"/>
    </row>
    <row r="623" spans="1:6" ht="14.4" x14ac:dyDescent="0.3">
      <c r="A623" t="s">
        <v>5202</v>
      </c>
      <c r="B623" s="386" t="s">
        <v>7023</v>
      </c>
      <c r="C623" s="393">
        <f>SUM(C622,E622)</f>
        <v>0</v>
      </c>
      <c r="D623" s="146"/>
      <c r="E623" s="99"/>
      <c r="F623" s="146"/>
    </row>
    <row r="624" spans="1:6" ht="14.4" x14ac:dyDescent="0.3">
      <c r="B624" s="386"/>
      <c r="D624" s="146"/>
      <c r="E624" s="99"/>
      <c r="F624" s="146"/>
    </row>
    <row r="625" spans="1:17" ht="15.75" customHeight="1" x14ac:dyDescent="0.3">
      <c r="B625" s="303" t="s">
        <v>7138</v>
      </c>
      <c r="C625" s="173" t="s">
        <v>7025</v>
      </c>
      <c r="D625" s="173"/>
      <c r="E625" s="99"/>
      <c r="F625" s="146"/>
    </row>
    <row r="626" spans="1:17" ht="14.4" x14ac:dyDescent="0.3">
      <c r="B626" s="70" t="s">
        <v>7139</v>
      </c>
      <c r="C626" s="265"/>
      <c r="D626" s="151"/>
      <c r="E626" s="149"/>
      <c r="F626" s="151"/>
    </row>
    <row r="627" spans="1:17" ht="15" thickBot="1" x14ac:dyDescent="0.35">
      <c r="A627" s="137"/>
      <c r="B627" s="137"/>
      <c r="C627" s="137"/>
      <c r="D627" s="137"/>
      <c r="E627" s="137"/>
      <c r="F627" s="137"/>
      <c r="G627" s="137"/>
      <c r="H627" s="137"/>
      <c r="I627" s="137"/>
      <c r="J627" s="137"/>
      <c r="K627" s="137"/>
      <c r="L627" s="137"/>
      <c r="M627" s="137"/>
      <c r="N627" s="137"/>
      <c r="O627" s="137"/>
      <c r="P627" s="137"/>
      <c r="Q627" s="137"/>
    </row>
    <row r="628" spans="1:17" ht="14.4" x14ac:dyDescent="0.3"/>
    <row r="629" spans="1:17" ht="15.75" customHeight="1" x14ac:dyDescent="0.3">
      <c r="B629" s="92" t="s">
        <v>7243</v>
      </c>
      <c r="C629" s="170" t="s">
        <v>7260</v>
      </c>
    </row>
    <row r="631" spans="1:17" ht="15.75" customHeight="1" x14ac:dyDescent="0.3">
      <c r="B631" s="139" t="s">
        <v>6983</v>
      </c>
      <c r="C631" s="140" t="s">
        <v>565</v>
      </c>
      <c r="D631" s="140" t="s">
        <v>38</v>
      </c>
      <c r="E631" s="142"/>
      <c r="F631" s="141"/>
    </row>
    <row r="632" spans="1:17" ht="15.75" customHeight="1" x14ac:dyDescent="0.3">
      <c r="B632" s="99" t="s">
        <v>7028</v>
      </c>
      <c r="C632">
        <f>UDV.crops.acres_available</f>
        <v>100</v>
      </c>
      <c r="D632" t="s">
        <v>7029</v>
      </c>
      <c r="E632" s="34"/>
      <c r="F632" s="146"/>
    </row>
    <row r="633" spans="1:17" ht="15.75" customHeight="1" x14ac:dyDescent="0.3">
      <c r="B633" s="99" t="s">
        <v>7109</v>
      </c>
      <c r="C633" s="166">
        <f>UDV.econ_manure.liquid_sell_pct*VLOOKUP("Excess volume, lagoon liquid manure",$R$1:$T$332, 3, FALSE)</f>
        <v>0</v>
      </c>
      <c r="D633" t="s">
        <v>5246</v>
      </c>
      <c r="F633" s="146"/>
    </row>
    <row r="634" spans="1:17" ht="15.75" customHeight="1" x14ac:dyDescent="0.3">
      <c r="B634" s="99" t="s">
        <v>7110</v>
      </c>
      <c r="C634" s="166">
        <f>UDV.econ_manure.liquid_give_pct*VLOOKUP("Excess volume, lagoon liquid manure",$R$1:$T$332, 3, FALSE)</f>
        <v>0</v>
      </c>
      <c r="D634" t="s">
        <v>5246</v>
      </c>
      <c r="F634" s="146"/>
    </row>
    <row r="635" spans="1:17" ht="15.75" customHeight="1" x14ac:dyDescent="0.3">
      <c r="B635" s="99" t="s">
        <v>7111</v>
      </c>
      <c r="C635" s="166">
        <f>UDV.econ_manure.liquid_export_pct*VLOOKUP("Excess volume, lagoon liquid manure",$R$1:$T$332, 3, FALSE)</f>
        <v>0</v>
      </c>
      <c r="D635" t="s">
        <v>5246</v>
      </c>
      <c r="F635" s="146"/>
    </row>
    <row r="636" spans="1:17" ht="15.75" customHeight="1" x14ac:dyDescent="0.3">
      <c r="B636" s="99" t="s">
        <v>7112</v>
      </c>
      <c r="C636" s="166">
        <f>UDV.econ_manure.sludge_sell_pct*VLOOKUP("Excess volume, lagoon sludge manure",$R$1:$T$332, 3, FALSE)</f>
        <v>0</v>
      </c>
      <c r="D636" t="s">
        <v>5249</v>
      </c>
      <c r="F636" s="146"/>
    </row>
    <row r="637" spans="1:17" ht="15.75" customHeight="1" x14ac:dyDescent="0.3">
      <c r="B637" s="99" t="s">
        <v>7113</v>
      </c>
      <c r="C637" s="166">
        <f>UDV.econ_manure.sludge_give_pct*VLOOKUP("Excess volume, lagoon sludge manure",$R$1:$T$332, 3, FALSE)</f>
        <v>0</v>
      </c>
      <c r="D637" t="s">
        <v>5249</v>
      </c>
      <c r="F637" s="146"/>
    </row>
    <row r="638" spans="1:17" ht="15.75" customHeight="1" x14ac:dyDescent="0.3">
      <c r="B638" s="99" t="s">
        <v>7114</v>
      </c>
      <c r="C638" s="166">
        <f>UDV.econ_manure.sludge_export_pct*VLOOKUP("Excess volume, lagoon sludge manure",$R$1:$T$332, 3, FALSE)</f>
        <v>0</v>
      </c>
      <c r="D638" t="s">
        <v>5249</v>
      </c>
      <c r="F638" s="146"/>
    </row>
    <row r="639" spans="1:17" ht="14.4" x14ac:dyDescent="0.3">
      <c r="B639" s="99"/>
      <c r="F639" s="151"/>
    </row>
    <row r="640" spans="1:17" ht="15.75" customHeight="1" x14ac:dyDescent="0.3">
      <c r="B640" s="92" t="s">
        <v>6942</v>
      </c>
      <c r="C640" s="82"/>
      <c r="D640" s="82"/>
      <c r="E640" s="139" t="s">
        <v>6988</v>
      </c>
      <c r="F640" s="141"/>
    </row>
    <row r="641" spans="2:6" ht="15.75" customHeight="1" x14ac:dyDescent="0.3">
      <c r="B641" s="175" t="s">
        <v>2908</v>
      </c>
      <c r="C641" s="82"/>
      <c r="D641" s="82"/>
      <c r="E641" s="92"/>
      <c r="F641" s="146"/>
    </row>
    <row r="642" spans="2:6" ht="15.75" customHeight="1" x14ac:dyDescent="0.3">
      <c r="B642" s="143" t="s">
        <v>2663</v>
      </c>
      <c r="C642" s="144" t="s">
        <v>565</v>
      </c>
      <c r="D642" s="144" t="s">
        <v>6943</v>
      </c>
      <c r="E642" s="143" t="s">
        <v>565</v>
      </c>
      <c r="F642" s="145" t="s">
        <v>6944</v>
      </c>
    </row>
    <row r="643" spans="2:6" ht="14.4" x14ac:dyDescent="0.3">
      <c r="B643" s="99" t="s">
        <v>5708</v>
      </c>
      <c r="C643" s="147">
        <f t="shared" ref="C643:C651" si="28">VLOOKUP(B643,$R:$U,3,FALSE)</f>
        <v>3000</v>
      </c>
      <c r="D643" t="s">
        <v>2514</v>
      </c>
      <c r="E643" s="99">
        <f t="shared" ref="E643:E651" si="29">C643</f>
        <v>3000</v>
      </c>
      <c r="F643" s="146" t="s">
        <v>2514</v>
      </c>
    </row>
    <row r="644" spans="2:6" ht="14.4" x14ac:dyDescent="0.3">
      <c r="B644" s="99" t="s">
        <v>5709</v>
      </c>
      <c r="C644" s="147">
        <f t="shared" si="28"/>
        <v>1</v>
      </c>
      <c r="D644" t="s">
        <v>2442</v>
      </c>
      <c r="E644" s="99">
        <f t="shared" si="29"/>
        <v>1</v>
      </c>
      <c r="F644" s="146" t="s">
        <v>2442</v>
      </c>
    </row>
    <row r="645" spans="2:6" ht="14.4" x14ac:dyDescent="0.3">
      <c r="B645" s="99" t="s">
        <v>5710</v>
      </c>
      <c r="C645" s="147">
        <f t="shared" si="28"/>
        <v>1</v>
      </c>
      <c r="D645" t="s">
        <v>2442</v>
      </c>
      <c r="E645" s="99">
        <f t="shared" si="29"/>
        <v>1</v>
      </c>
      <c r="F645" s="146" t="s">
        <v>2442</v>
      </c>
    </row>
    <row r="646" spans="2:6" ht="15.75" customHeight="1" x14ac:dyDescent="0.3">
      <c r="B646" s="99" t="s">
        <v>5688</v>
      </c>
      <c r="C646" s="147">
        <f t="shared" si="28"/>
        <v>580</v>
      </c>
      <c r="D646" t="s">
        <v>5689</v>
      </c>
      <c r="E646" s="99">
        <f t="shared" si="29"/>
        <v>580</v>
      </c>
      <c r="F646" s="146" t="s">
        <v>5689</v>
      </c>
    </row>
    <row r="647" spans="2:6" ht="14.4" x14ac:dyDescent="0.3">
      <c r="B647" s="99" t="s">
        <v>5701</v>
      </c>
      <c r="C647" s="147">
        <f t="shared" si="28"/>
        <v>340</v>
      </c>
      <c r="D647" s="146" t="s">
        <v>971</v>
      </c>
      <c r="E647">
        <f t="shared" si="29"/>
        <v>340</v>
      </c>
      <c r="F647" s="146" t="s">
        <v>971</v>
      </c>
    </row>
    <row r="648" spans="2:6" ht="14.4" x14ac:dyDescent="0.3">
      <c r="B648" s="99" t="s">
        <v>5738</v>
      </c>
      <c r="C648" s="147">
        <f t="shared" si="28"/>
        <v>1</v>
      </c>
      <c r="D648" s="146" t="s">
        <v>2442</v>
      </c>
      <c r="E648">
        <f t="shared" si="29"/>
        <v>1</v>
      </c>
      <c r="F648" s="146" t="s">
        <v>2442</v>
      </c>
    </row>
    <row r="649" spans="2:6" ht="14.4" x14ac:dyDescent="0.3">
      <c r="B649" s="99" t="s">
        <v>5702</v>
      </c>
      <c r="C649" s="147">
        <f t="shared" si="28"/>
        <v>1</v>
      </c>
      <c r="D649" s="146" t="s">
        <v>2442</v>
      </c>
      <c r="E649">
        <f t="shared" si="29"/>
        <v>1</v>
      </c>
      <c r="F649" s="146" t="s">
        <v>2442</v>
      </c>
    </row>
    <row r="650" spans="2:6" ht="14.4" x14ac:dyDescent="0.3">
      <c r="B650" s="99" t="s">
        <v>5739</v>
      </c>
      <c r="C650" s="147">
        <f t="shared" si="28"/>
        <v>2</v>
      </c>
      <c r="D650" t="s">
        <v>2971</v>
      </c>
      <c r="E650" s="201">
        <f t="shared" si="29"/>
        <v>2</v>
      </c>
      <c r="F650" s="146" t="s">
        <v>2971</v>
      </c>
    </row>
    <row r="651" spans="2:6" ht="14.4" x14ac:dyDescent="0.3">
      <c r="B651" s="99" t="s">
        <v>5732</v>
      </c>
      <c r="C651" s="147" t="str">
        <f t="shared" si="28"/>
        <v>Injection</v>
      </c>
      <c r="D651" t="s">
        <v>7042</v>
      </c>
      <c r="E651" s="165" t="str">
        <f t="shared" si="29"/>
        <v>Injection</v>
      </c>
      <c r="F651" s="146" t="s">
        <v>7042</v>
      </c>
    </row>
    <row r="652" spans="2:6" ht="14.4" x14ac:dyDescent="0.3">
      <c r="B652" s="99"/>
      <c r="C652" s="82"/>
      <c r="D652" s="82"/>
      <c r="E652" s="92"/>
      <c r="F652" s="146"/>
    </row>
    <row r="653" spans="2:6" ht="14.4" x14ac:dyDescent="0.3">
      <c r="B653" s="175" t="s">
        <v>7115</v>
      </c>
      <c r="C653" s="147"/>
      <c r="E653" s="99"/>
      <c r="F653" s="146"/>
    </row>
    <row r="654" spans="2:6" ht="14.4" x14ac:dyDescent="0.3">
      <c r="B654" s="143" t="s">
        <v>2663</v>
      </c>
      <c r="C654" s="147"/>
      <c r="E654" s="99"/>
      <c r="F654" s="146"/>
    </row>
    <row r="655" spans="2:6" ht="14.4" x14ac:dyDescent="0.3">
      <c r="B655" s="99" t="s">
        <v>6407</v>
      </c>
      <c r="C655" s="147">
        <f>VLOOKUP(B655,$R:$U,3,FALSE)</f>
        <v>24.703927599701288</v>
      </c>
      <c r="D655" t="s">
        <v>5385</v>
      </c>
      <c r="E655" s="178">
        <f>C655</f>
        <v>24.703927599701288</v>
      </c>
      <c r="F655" s="146" t="s">
        <v>5385</v>
      </c>
    </row>
    <row r="656" spans="2:6" ht="14.4" x14ac:dyDescent="0.3">
      <c r="B656" s="99" t="s">
        <v>6409</v>
      </c>
      <c r="C656" s="147">
        <f>VLOOKUP(B656,$R:$U,3,FALSE)</f>
        <v>931.22205127489576</v>
      </c>
      <c r="D656" t="s">
        <v>5323</v>
      </c>
      <c r="E656" s="178">
        <f>C656</f>
        <v>931.22205127489576</v>
      </c>
      <c r="F656" s="146" t="s">
        <v>5323</v>
      </c>
    </row>
    <row r="657" spans="2:10" ht="14.4" x14ac:dyDescent="0.3">
      <c r="B657" s="99" t="s">
        <v>6390</v>
      </c>
      <c r="C657" s="205">
        <f>VLOOKUP(B657,$R:$U, 3, FALSE)</f>
        <v>7.4111782799103869</v>
      </c>
      <c r="D657" t="s">
        <v>2472</v>
      </c>
      <c r="E657" s="178">
        <f>C657</f>
        <v>7.4111782799103869</v>
      </c>
      <c r="F657" s="146" t="s">
        <v>2710</v>
      </c>
    </row>
    <row r="658" spans="2:10" ht="15.75" customHeight="1" x14ac:dyDescent="0.3">
      <c r="B658" s="99"/>
      <c r="C658" s="82"/>
      <c r="D658" s="82"/>
      <c r="E658" s="92"/>
      <c r="F658" s="146"/>
    </row>
    <row r="659" spans="2:10" ht="15.75" customHeight="1" x14ac:dyDescent="0.3">
      <c r="B659" s="175" t="s">
        <v>7237</v>
      </c>
      <c r="E659" s="99"/>
      <c r="F659" s="146"/>
    </row>
    <row r="660" spans="2:10" ht="15.75" customHeight="1" x14ac:dyDescent="0.3">
      <c r="B660" s="143" t="s">
        <v>2663</v>
      </c>
      <c r="C660" s="144" t="s">
        <v>565</v>
      </c>
      <c r="D660" s="144" t="s">
        <v>6943</v>
      </c>
      <c r="E660" s="143" t="s">
        <v>565</v>
      </c>
      <c r="F660" s="145" t="s">
        <v>6944</v>
      </c>
      <c r="G660" s="1222" t="s">
        <v>3007</v>
      </c>
      <c r="H660" s="1215" t="s">
        <v>6993</v>
      </c>
      <c r="I660" s="142"/>
      <c r="J660" s="141"/>
    </row>
    <row r="661" spans="2:10" ht="14.4" x14ac:dyDescent="0.3">
      <c r="B661" s="99" t="s">
        <v>6401</v>
      </c>
      <c r="C661" s="147">
        <f>VLOOKUP(B661,$R:$U,3,FALSE)</f>
        <v>182.5</v>
      </c>
      <c r="D661" t="s">
        <v>5121</v>
      </c>
      <c r="E661" s="201">
        <f>UC.year_to_day/C661</f>
        <v>2</v>
      </c>
      <c r="F661" s="146" t="s">
        <v>7043</v>
      </c>
      <c r="G661" s="42" t="s">
        <v>7131</v>
      </c>
      <c r="H661" s="92" t="s">
        <v>4838</v>
      </c>
      <c r="I661" s="1216" t="s">
        <v>2710</v>
      </c>
      <c r="J661" s="285">
        <f>(SUM(E663:E665)*UDV.OPEX_labor.tractor_stationary)+(SUM(E666:E668)*UDV.OPEX_labor.tractor_active)+E657</f>
        <v>8.2974718280280175</v>
      </c>
    </row>
    <row r="662" spans="2:10" ht="14.4" x14ac:dyDescent="0.3">
      <c r="B662" s="99" t="s">
        <v>5713</v>
      </c>
      <c r="C662" s="147">
        <f>VLOOKUP(B662,$R:$U,3,FALSE)</f>
        <v>0.17344296440658125</v>
      </c>
      <c r="D662" s="146" t="s">
        <v>6085</v>
      </c>
      <c r="E662" s="147">
        <f>C662*E661</f>
        <v>0.34688592881316249</v>
      </c>
      <c r="F662" s="146" t="s">
        <v>2710</v>
      </c>
      <c r="G662" s="42" t="s">
        <v>7132</v>
      </c>
      <c r="H662" s="1217" t="s">
        <v>5444</v>
      </c>
      <c r="I662" s="1216" t="s">
        <v>6085</v>
      </c>
      <c r="J662" s="285">
        <f>(SUM(E684:E686)*UDV.OPEX_labor.tractor_stationary)+(SUM(E687:E689)*UDV.OPEX_labor.tractor_active)</f>
        <v>14.464664274783427</v>
      </c>
    </row>
    <row r="663" spans="2:10" ht="14.4" x14ac:dyDescent="0.3">
      <c r="B663" s="99" t="s">
        <v>6543</v>
      </c>
      <c r="C663" s="204">
        <f>C662</f>
        <v>0.17344296440658125</v>
      </c>
      <c r="D663" s="141" t="s">
        <v>6085</v>
      </c>
      <c r="E663" s="178">
        <f>C663*E661</f>
        <v>0.34688592881316249</v>
      </c>
      <c r="F663" s="146" t="s">
        <v>2710</v>
      </c>
      <c r="G663" s="42" t="s">
        <v>7133</v>
      </c>
      <c r="H663" s="1218" t="s">
        <v>5445</v>
      </c>
      <c r="I663" s="1216" t="s">
        <v>6995</v>
      </c>
      <c r="J663" s="285">
        <f>SUM(J661:J662)</f>
        <v>22.762136102811446</v>
      </c>
    </row>
    <row r="664" spans="2:10" ht="15.75" customHeight="1" x14ac:dyDescent="0.3">
      <c r="B664" s="99" t="s">
        <v>6544</v>
      </c>
      <c r="C664" s="205">
        <f>C662</f>
        <v>0.17344296440658125</v>
      </c>
      <c r="D664" s="146" t="s">
        <v>6085</v>
      </c>
      <c r="E664" s="178">
        <f>C664*E661</f>
        <v>0.34688592881316249</v>
      </c>
      <c r="F664" s="146" t="s">
        <v>2710</v>
      </c>
      <c r="G664" s="42" t="s">
        <v>7134</v>
      </c>
      <c r="H664" s="1219" t="s">
        <v>5446</v>
      </c>
      <c r="I664" s="1220" t="s">
        <v>5447</v>
      </c>
      <c r="J664" s="1221">
        <f>J661+(J662/UDV.anaer_lagoon.sludge_time)</f>
        <v>9.7439382555063609</v>
      </c>
    </row>
    <row r="665" spans="2:10" ht="15.75" customHeight="1" x14ac:dyDescent="0.3">
      <c r="B665" s="99" t="s">
        <v>6545</v>
      </c>
      <c r="C665" s="205">
        <f>C662</f>
        <v>0.17344296440658125</v>
      </c>
      <c r="D665" s="146" t="s">
        <v>6085</v>
      </c>
      <c r="E665" s="178">
        <f>C665*E661</f>
        <v>0.34688592881316249</v>
      </c>
      <c r="F665" s="146" t="s">
        <v>2710</v>
      </c>
    </row>
    <row r="666" spans="2:10" ht="15.75" customHeight="1" x14ac:dyDescent="0.3">
      <c r="B666" s="99" t="s">
        <v>6546</v>
      </c>
      <c r="C666" s="205">
        <f>C662*UDV.dhl.application_maneuver_factor</f>
        <v>0.19945940906756843</v>
      </c>
      <c r="D666" s="146" t="s">
        <v>6085</v>
      </c>
      <c r="E666" s="178">
        <f>C666*E661</f>
        <v>0.39891881813513685</v>
      </c>
      <c r="F666" s="146" t="s">
        <v>2710</v>
      </c>
    </row>
    <row r="667" spans="2:10" ht="14.4" x14ac:dyDescent="0.3">
      <c r="B667" s="99" t="s">
        <v>6547</v>
      </c>
      <c r="C667" s="205">
        <f>C662*UDV.dhl.hose_mover_utilization</f>
        <v>0.13008222330493593</v>
      </c>
      <c r="D667" s="146" t="s">
        <v>6085</v>
      </c>
      <c r="E667" s="178">
        <f>C667*E661</f>
        <v>0.26016444660987187</v>
      </c>
      <c r="F667" s="146" t="s">
        <v>2710</v>
      </c>
    </row>
    <row r="668" spans="2:10" ht="14.4" x14ac:dyDescent="0.3">
      <c r="B668" s="99" t="s">
        <v>6548</v>
      </c>
      <c r="C668" s="209">
        <f>C662*UDV.dhl.pickup_utilization</f>
        <v>2.6016444660987185E-2</v>
      </c>
      <c r="D668" s="151" t="s">
        <v>6085</v>
      </c>
      <c r="E668" s="178">
        <f>C668*E661</f>
        <v>5.203288932197437E-2</v>
      </c>
      <c r="F668" s="146" t="s">
        <v>2710</v>
      </c>
    </row>
    <row r="669" spans="2:10" ht="14.4" x14ac:dyDescent="0.3">
      <c r="B669" s="99" t="s">
        <v>5714</v>
      </c>
      <c r="C669" s="147">
        <f t="shared" ref="C669:C678" si="30">VLOOKUP(B669,$R:$U,3,FALSE)</f>
        <v>3.1219733593184626</v>
      </c>
      <c r="D669" t="s">
        <v>2489</v>
      </c>
      <c r="E669" s="178">
        <f>C669*E661</f>
        <v>6.2439467186369253</v>
      </c>
      <c r="F669" s="146" t="s">
        <v>7135</v>
      </c>
    </row>
    <row r="670" spans="2:10" ht="14.4" x14ac:dyDescent="0.3">
      <c r="B670" s="99" t="s">
        <v>5715</v>
      </c>
      <c r="C670" s="147">
        <f t="shared" si="30"/>
        <v>1.3008222330493593</v>
      </c>
      <c r="D670" t="s">
        <v>2489</v>
      </c>
      <c r="E670" s="178">
        <f>C670*E661</f>
        <v>2.6016444660987186</v>
      </c>
      <c r="F670" s="146" t="s">
        <v>7135</v>
      </c>
    </row>
    <row r="671" spans="2:10" ht="14.4" x14ac:dyDescent="0.3">
      <c r="B671" s="99" t="s">
        <v>5716</v>
      </c>
      <c r="C671" s="147">
        <f t="shared" si="30"/>
        <v>1.0406577864394875</v>
      </c>
      <c r="D671" t="s">
        <v>2489</v>
      </c>
      <c r="E671" s="178">
        <f>C671*E661</f>
        <v>2.081315572878975</v>
      </c>
      <c r="F671" s="146" t="s">
        <v>7135</v>
      </c>
    </row>
    <row r="672" spans="2:10" ht="14.4" x14ac:dyDescent="0.3">
      <c r="B672" s="99" t="s">
        <v>5740</v>
      </c>
      <c r="C672" s="147">
        <f t="shared" si="30"/>
        <v>25.52</v>
      </c>
      <c r="D672" t="s">
        <v>6549</v>
      </c>
      <c r="E672" s="178">
        <f t="shared" ref="E672:E673" si="31">C672*E666</f>
        <v>10.180408238808692</v>
      </c>
      <c r="F672" s="146" t="s">
        <v>7135</v>
      </c>
    </row>
    <row r="673" spans="2:11" ht="14.4" x14ac:dyDescent="0.3">
      <c r="B673" s="99" t="s">
        <v>5741</v>
      </c>
      <c r="C673" s="147">
        <f t="shared" si="30"/>
        <v>14.959999999999999</v>
      </c>
      <c r="D673" t="s">
        <v>6549</v>
      </c>
      <c r="E673" s="178">
        <f t="shared" si="31"/>
        <v>3.8920601212836829</v>
      </c>
      <c r="F673" s="146" t="s">
        <v>7135</v>
      </c>
    </row>
    <row r="674" spans="2:11" ht="14.4" x14ac:dyDescent="0.3">
      <c r="B674" s="99" t="s">
        <v>5717</v>
      </c>
      <c r="C674" s="147">
        <f t="shared" si="30"/>
        <v>0.15609866796592312</v>
      </c>
      <c r="D674" t="s">
        <v>2489</v>
      </c>
      <c r="E674" s="178">
        <f>C674*E661</f>
        <v>0.31219733593184623</v>
      </c>
      <c r="F674" s="146" t="s">
        <v>7135</v>
      </c>
    </row>
    <row r="675" spans="2:11" ht="15.75" customHeight="1" x14ac:dyDescent="0.3">
      <c r="B675" s="99" t="s">
        <v>6403</v>
      </c>
      <c r="C675" s="147">
        <f t="shared" si="30"/>
        <v>1181.795475972023</v>
      </c>
      <c r="D675" t="s">
        <v>5910</v>
      </c>
      <c r="E675" s="164">
        <f>CONVERT(C675,"m^3","gal")*E661</f>
        <v>624394.67271020846</v>
      </c>
      <c r="F675" s="146" t="s">
        <v>5324</v>
      </c>
    </row>
    <row r="676" spans="2:11" ht="15.75" customHeight="1" x14ac:dyDescent="0.3">
      <c r="B676" s="99" t="s">
        <v>6404</v>
      </c>
      <c r="C676" s="78">
        <f t="shared" si="30"/>
        <v>1.0812544826787847</v>
      </c>
      <c r="D676" s="146" t="s">
        <v>2413</v>
      </c>
      <c r="E676" s="201">
        <f>C676*UC.g_to_lb/UC.L_to_gal*1000</f>
        <v>9.0235060540622829</v>
      </c>
      <c r="F676" s="146" t="s">
        <v>2414</v>
      </c>
    </row>
    <row r="677" spans="2:11" ht="14.4" x14ac:dyDescent="0.3">
      <c r="B677" s="99" t="s">
        <v>6405</v>
      </c>
      <c r="C677" s="78">
        <f t="shared" si="30"/>
        <v>0.77291508964248556</v>
      </c>
      <c r="D677" s="146" t="s">
        <v>2413</v>
      </c>
      <c r="E677" s="201">
        <f>C677*UC.g_to_lb/UC.L_to_gal*1000</f>
        <v>6.4502890877142312</v>
      </c>
      <c r="F677" s="146" t="s">
        <v>2414</v>
      </c>
    </row>
    <row r="678" spans="2:11" ht="14.4" x14ac:dyDescent="0.3">
      <c r="B678" s="99" t="s">
        <v>6406</v>
      </c>
      <c r="C678" s="78">
        <f t="shared" si="30"/>
        <v>1.1744351577487822</v>
      </c>
      <c r="D678" s="146" t="s">
        <v>2413</v>
      </c>
      <c r="E678" s="201">
        <f>C678*UC.g_to_lb/UC.L_to_gal*1000</f>
        <v>9.8011364815751723</v>
      </c>
      <c r="F678" s="146" t="s">
        <v>2414</v>
      </c>
    </row>
    <row r="679" spans="2:11" ht="14.4" x14ac:dyDescent="0.3">
      <c r="B679" s="99"/>
      <c r="E679" s="99"/>
      <c r="F679" s="146"/>
    </row>
    <row r="680" spans="2:11" ht="15.75" customHeight="1" x14ac:dyDescent="0.3">
      <c r="B680" s="175" t="s">
        <v>7238</v>
      </c>
      <c r="E680" s="99"/>
      <c r="F680" s="146"/>
    </row>
    <row r="681" spans="2:11" ht="15.75" customHeight="1" x14ac:dyDescent="0.3">
      <c r="B681" s="143" t="s">
        <v>2663</v>
      </c>
      <c r="C681" s="144" t="s">
        <v>565</v>
      </c>
      <c r="D681" s="144" t="s">
        <v>6943</v>
      </c>
      <c r="E681" s="143" t="s">
        <v>565</v>
      </c>
      <c r="F681" s="145" t="s">
        <v>6944</v>
      </c>
    </row>
    <row r="682" spans="2:11" ht="15.75" customHeight="1" x14ac:dyDescent="0.3">
      <c r="B682" s="99" t="s">
        <v>6416</v>
      </c>
      <c r="C682" s="382">
        <f>VLOOKUP(B682,$X:$AA,3,FALSE)</f>
        <v>10</v>
      </c>
      <c r="D682" t="s">
        <v>2669</v>
      </c>
      <c r="E682" s="99">
        <f>C682</f>
        <v>10</v>
      </c>
      <c r="F682" s="146" t="s">
        <v>2669</v>
      </c>
    </row>
    <row r="683" spans="2:11" ht="15.75" customHeight="1" x14ac:dyDescent="0.3">
      <c r="B683" s="99" t="s">
        <v>5713</v>
      </c>
      <c r="C683" s="382">
        <f>VLOOKUP(B683,$X:$AA,3,FALSE)</f>
        <v>5.6613167415982097</v>
      </c>
      <c r="D683" s="146" t="s">
        <v>6085</v>
      </c>
      <c r="E683" s="311">
        <f>C683</f>
        <v>5.6613167415982097</v>
      </c>
      <c r="F683" s="146" t="s">
        <v>6085</v>
      </c>
    </row>
    <row r="684" spans="2:11" ht="14.4" x14ac:dyDescent="0.3">
      <c r="B684" s="99" t="s">
        <v>6543</v>
      </c>
      <c r="C684" s="400">
        <f>C683</f>
        <v>5.6613167415982097</v>
      </c>
      <c r="D684" s="141" t="s">
        <v>6085</v>
      </c>
      <c r="E684" s="401">
        <f>E683</f>
        <v>5.6613167415982097</v>
      </c>
      <c r="F684" s="146" t="s">
        <v>6085</v>
      </c>
    </row>
    <row r="685" spans="2:11" ht="14.4" x14ac:dyDescent="0.3">
      <c r="B685" s="99" t="s">
        <v>6544</v>
      </c>
      <c r="C685" s="78">
        <f>C683</f>
        <v>5.6613167415982097</v>
      </c>
      <c r="D685" t="s">
        <v>6085</v>
      </c>
      <c r="E685" s="401">
        <f>E683</f>
        <v>5.6613167415982097</v>
      </c>
      <c r="F685" s="146" t="s">
        <v>6085</v>
      </c>
    </row>
    <row r="686" spans="2:11" ht="15.75" customHeight="1" x14ac:dyDescent="0.3">
      <c r="B686" s="99" t="s">
        <v>6545</v>
      </c>
      <c r="C686" s="78">
        <f>C683</f>
        <v>5.6613167415982097</v>
      </c>
      <c r="D686" t="s">
        <v>6085</v>
      </c>
      <c r="E686" s="401">
        <f>E683</f>
        <v>5.6613167415982097</v>
      </c>
      <c r="F686" s="146" t="s">
        <v>6085</v>
      </c>
      <c r="H686" s="139" t="s">
        <v>7033</v>
      </c>
      <c r="I686" s="142"/>
      <c r="J686" s="142"/>
      <c r="K686" s="141"/>
    </row>
    <row r="687" spans="2:11" ht="14.4" x14ac:dyDescent="0.3">
      <c r="B687" s="99" t="s">
        <v>7136</v>
      </c>
      <c r="C687" s="78">
        <f>C683*UDV.dhl.application_maneuver_factor</f>
        <v>6.5105142528379405</v>
      </c>
      <c r="D687" t="s">
        <v>6085</v>
      </c>
      <c r="E687" s="401">
        <f>E683*VLOOKUP("NAPercent time for useApplicator tractor for drag hose land applicationDefault",Econ.inputsTable!$E:$G,2,FALSE)</f>
        <v>6.5105142528379405</v>
      </c>
      <c r="F687" s="146" t="s">
        <v>6085</v>
      </c>
      <c r="H687" s="99" t="s">
        <v>7034</v>
      </c>
      <c r="K687" s="146"/>
    </row>
    <row r="688" spans="2:11" ht="14.4" x14ac:dyDescent="0.3">
      <c r="B688" s="99" t="s">
        <v>7137</v>
      </c>
      <c r="C688" s="78">
        <f>C683*UDV.dhl.hose_mover_utilization</f>
        <v>4.2459875561986573</v>
      </c>
      <c r="D688" t="s">
        <v>6085</v>
      </c>
      <c r="E688" s="401">
        <f>E683*VLOOKUP("NAPercent time for useHose mover tractor for drag hose land applicationDefault",Econ.inputsTable!$E:$G,2,FALSE)</f>
        <v>4.2459875561986573</v>
      </c>
      <c r="F688" s="146" t="s">
        <v>6085</v>
      </c>
      <c r="H688" s="99" t="s">
        <v>7035</v>
      </c>
      <c r="K688" s="146"/>
    </row>
    <row r="689" spans="2:11" ht="15.75" customHeight="1" x14ac:dyDescent="0.3">
      <c r="B689" s="99" t="s">
        <v>6548</v>
      </c>
      <c r="C689" s="312">
        <f>C683*UDV.dhl.pickup_utilization</f>
        <v>0.84919751123973142</v>
      </c>
      <c r="D689" s="151" t="s">
        <v>6085</v>
      </c>
      <c r="E689" s="311">
        <f>E683*VLOOKUP("NAPercent time for usePickup truck for drag hose land applicationDefault",Econ.inputsTable!$E:$G,2,FALSE)</f>
        <v>0.84919751123973142</v>
      </c>
      <c r="F689" s="146" t="s">
        <v>6085</v>
      </c>
      <c r="H689" s="235" t="s">
        <v>7047</v>
      </c>
      <c r="K689" s="146"/>
    </row>
    <row r="690" spans="2:11" ht="15.75" customHeight="1" x14ac:dyDescent="0.3">
      <c r="B690" s="99" t="s">
        <v>5714</v>
      </c>
      <c r="C690" s="382">
        <f t="shared" ref="C690:C699" si="32">VLOOKUP(B690,$X:$AA,3,FALSE)</f>
        <v>101.90370134876778</v>
      </c>
      <c r="D690" t="s">
        <v>2489</v>
      </c>
      <c r="E690" s="178">
        <f>C690</f>
        <v>101.90370134876778</v>
      </c>
      <c r="F690" s="146" t="s">
        <v>6087</v>
      </c>
      <c r="G690" s="147"/>
      <c r="H690" s="235" t="s">
        <v>7037</v>
      </c>
      <c r="K690" s="146"/>
    </row>
    <row r="691" spans="2:11" ht="15.75" customHeight="1" x14ac:dyDescent="0.3">
      <c r="B691" s="99" t="s">
        <v>5715</v>
      </c>
      <c r="C691" s="382">
        <f t="shared" si="32"/>
        <v>42.459875561986571</v>
      </c>
      <c r="D691" t="s">
        <v>2489</v>
      </c>
      <c r="E691" s="178">
        <f>C691</f>
        <v>42.459875561986571</v>
      </c>
      <c r="F691" s="146" t="s">
        <v>6087</v>
      </c>
      <c r="H691" s="235" t="s">
        <v>7038</v>
      </c>
      <c r="K691" s="146"/>
    </row>
    <row r="692" spans="2:11" ht="15.75" customHeight="1" x14ac:dyDescent="0.3">
      <c r="B692" s="99" t="s">
        <v>5716</v>
      </c>
      <c r="C692" s="382">
        <f t="shared" si="32"/>
        <v>33.967900449589258</v>
      </c>
      <c r="D692" t="s">
        <v>2489</v>
      </c>
      <c r="E692" s="178">
        <f>C692</f>
        <v>33.967900449589258</v>
      </c>
      <c r="F692" s="146" t="s">
        <v>6087</v>
      </c>
      <c r="H692" s="235" t="s">
        <v>7007</v>
      </c>
      <c r="K692" s="146"/>
    </row>
    <row r="693" spans="2:11" ht="15.75" customHeight="1" x14ac:dyDescent="0.3">
      <c r="B693" s="99" t="s">
        <v>5740</v>
      </c>
      <c r="C693" s="382">
        <f t="shared" si="32"/>
        <v>25.52</v>
      </c>
      <c r="D693" t="s">
        <v>6549</v>
      </c>
      <c r="E693" s="178">
        <f>C693*E687</f>
        <v>166.14832373242425</v>
      </c>
      <c r="F693" s="146" t="s">
        <v>6087</v>
      </c>
      <c r="H693" s="235" t="s">
        <v>7008</v>
      </c>
      <c r="K693" s="146"/>
    </row>
    <row r="694" spans="2:11" ht="15.75" customHeight="1" x14ac:dyDescent="0.3">
      <c r="B694" s="99" t="s">
        <v>5741</v>
      </c>
      <c r="C694" s="382">
        <f t="shared" si="32"/>
        <v>14.959999999999999</v>
      </c>
      <c r="D694" t="s">
        <v>6549</v>
      </c>
      <c r="E694" s="178">
        <f>C694*E688</f>
        <v>63.519973840731907</v>
      </c>
      <c r="F694" s="146" t="s">
        <v>6087</v>
      </c>
      <c r="H694" s="235" t="s">
        <v>7039</v>
      </c>
      <c r="K694" s="146"/>
    </row>
    <row r="695" spans="2:11" ht="15.75" customHeight="1" x14ac:dyDescent="0.3">
      <c r="B695" s="99" t="s">
        <v>5717</v>
      </c>
      <c r="C695" s="382">
        <f t="shared" si="32"/>
        <v>5.0951850674383881</v>
      </c>
      <c r="D695" t="s">
        <v>2489</v>
      </c>
      <c r="E695" s="178">
        <f>C695</f>
        <v>5.0951850674383881</v>
      </c>
      <c r="F695" s="146" t="s">
        <v>6087</v>
      </c>
      <c r="H695" s="235" t="s">
        <v>1325</v>
      </c>
      <c r="K695" s="146"/>
    </row>
    <row r="696" spans="2:11" ht="15.75" customHeight="1" x14ac:dyDescent="0.3">
      <c r="B696" s="99" t="s">
        <v>6418</v>
      </c>
      <c r="C696" s="382">
        <f t="shared" si="32"/>
        <v>2327.4442324211072</v>
      </c>
      <c r="D696" t="s">
        <v>5910</v>
      </c>
      <c r="E696" s="164">
        <f>CONVERT(C696,"m^3","gal")</f>
        <v>614845.71962781926</v>
      </c>
      <c r="F696" s="146" t="s">
        <v>2489</v>
      </c>
      <c r="H696" s="235" t="s">
        <v>7040</v>
      </c>
      <c r="K696" s="146"/>
    </row>
    <row r="697" spans="2:11" ht="15.75" customHeight="1" x14ac:dyDescent="0.3">
      <c r="B697" s="99" t="s">
        <v>6404</v>
      </c>
      <c r="C697" s="499">
        <f t="shared" si="32"/>
        <v>2.7451176664177526</v>
      </c>
      <c r="D697" s="146" t="s">
        <v>2413</v>
      </c>
      <c r="E697" s="201">
        <f>C697*UC.g_to_lb/UC.L_to_gal*1000</f>
        <v>22.909117399139308</v>
      </c>
      <c r="F697" s="146" t="s">
        <v>2414</v>
      </c>
      <c r="H697" s="235" t="s">
        <v>7041</v>
      </c>
      <c r="K697" s="146"/>
    </row>
    <row r="698" spans="2:11" ht="15.75" customHeight="1" x14ac:dyDescent="0.3">
      <c r="B698" s="99" t="s">
        <v>6405</v>
      </c>
      <c r="C698" s="499">
        <f t="shared" si="32"/>
        <v>6.4220642397311023</v>
      </c>
      <c r="D698" s="146" t="s">
        <v>2413</v>
      </c>
      <c r="E698" s="201">
        <f>C698*UC.g_to_lb/UC.L_to_gal*1000</f>
        <v>53.59472397582276</v>
      </c>
      <c r="F698" s="146" t="s">
        <v>2414</v>
      </c>
      <c r="H698" s="253" t="s">
        <v>349</v>
      </c>
      <c r="I698" s="150"/>
      <c r="J698" s="150"/>
      <c r="K698" s="151"/>
    </row>
    <row r="699" spans="2:11" ht="15.75" customHeight="1" x14ac:dyDescent="0.3">
      <c r="B699" s="99" t="s">
        <v>6406</v>
      </c>
      <c r="C699" s="499">
        <f t="shared" si="32"/>
        <v>6.4220956046072102</v>
      </c>
      <c r="D699" s="146" t="s">
        <v>2413</v>
      </c>
      <c r="E699" s="201">
        <f>C699*UC.g_to_lb/UC.L_to_gal*1000</f>
        <v>53.594985728401802</v>
      </c>
      <c r="F699" s="146" t="s">
        <v>2414</v>
      </c>
    </row>
    <row r="700" spans="2:11" ht="14.4" x14ac:dyDescent="0.3">
      <c r="B700" s="99"/>
      <c r="E700" s="99"/>
      <c r="F700" s="146"/>
    </row>
    <row r="701" spans="2:11" ht="15.75" customHeight="1" x14ac:dyDescent="0.3">
      <c r="B701" s="92" t="s">
        <v>6996</v>
      </c>
      <c r="E701" s="99"/>
      <c r="F701" s="146"/>
    </row>
    <row r="702" spans="2:11" ht="15.75" customHeight="1" x14ac:dyDescent="0.3">
      <c r="B702" s="143" t="s">
        <v>2663</v>
      </c>
      <c r="C702" s="144" t="s">
        <v>565</v>
      </c>
      <c r="D702" s="144" t="s">
        <v>6943</v>
      </c>
      <c r="E702" s="143" t="s">
        <v>565</v>
      </c>
      <c r="F702" s="145" t="s">
        <v>6944</v>
      </c>
    </row>
    <row r="703" spans="2:11" ht="14.4" x14ac:dyDescent="0.3">
      <c r="B703" s="99" t="s">
        <v>7076</v>
      </c>
      <c r="E703" s="357">
        <f>UDV.electricity.avg_cost</f>
        <v>6.8591666666666662E-2</v>
      </c>
      <c r="F703" s="146" t="s">
        <v>2306</v>
      </c>
    </row>
    <row r="704" spans="2:11" ht="14.4" x14ac:dyDescent="0.3">
      <c r="B704" s="99" t="s">
        <v>6997</v>
      </c>
      <c r="E704" s="348">
        <f>UDV.fuel.diesel_avg_cost</f>
        <v>3.6964905660377356</v>
      </c>
      <c r="F704" s="146" t="s">
        <v>2315</v>
      </c>
    </row>
    <row r="705" spans="1:15" ht="15.75" customHeight="1" x14ac:dyDescent="0.3">
      <c r="B705" s="99" t="s">
        <v>7044</v>
      </c>
      <c r="C705">
        <f>UDV.land_application.max_distance</f>
        <v>2</v>
      </c>
      <c r="D705" t="s">
        <v>2971</v>
      </c>
      <c r="E705" s="178">
        <f>IF(E644=0,0,CONVERT(C705,"mi","ft"))</f>
        <v>10560</v>
      </c>
      <c r="F705" s="146" t="s">
        <v>2340</v>
      </c>
      <c r="G705" s="254"/>
    </row>
    <row r="706" spans="1:15" ht="14.4" x14ac:dyDescent="0.3">
      <c r="B706" s="99" t="s">
        <v>5712</v>
      </c>
      <c r="C706" s="382">
        <f>VLOOKUP(B706,$X:$AA,3,FALSE)</f>
        <v>1</v>
      </c>
      <c r="E706" s="201">
        <f>C706</f>
        <v>1</v>
      </c>
      <c r="F706" s="146" t="s">
        <v>2442</v>
      </c>
    </row>
    <row r="707" spans="1:15" ht="14.4" x14ac:dyDescent="0.3">
      <c r="B707" s="149" t="s">
        <v>6998</v>
      </c>
      <c r="C707" s="150"/>
      <c r="D707" s="151"/>
      <c r="E707" s="349">
        <f>UDV.labor.non_specialized_cost</f>
        <v>23.66</v>
      </c>
      <c r="F707" s="151" t="s">
        <v>3659</v>
      </c>
    </row>
    <row r="709" spans="1:15" ht="15.75" customHeight="1" x14ac:dyDescent="0.3">
      <c r="B709" s="206" t="s">
        <v>7108</v>
      </c>
      <c r="C709" s="142"/>
      <c r="D709" s="142"/>
      <c r="E709" s="142"/>
      <c r="F709" s="142"/>
      <c r="G709" s="142"/>
      <c r="H709" s="142"/>
      <c r="I709" s="142"/>
      <c r="J709" s="142"/>
      <c r="K709" s="142"/>
      <c r="L709" s="142"/>
      <c r="M709" s="142"/>
      <c r="N709" s="142"/>
      <c r="O709" s="141"/>
    </row>
    <row r="710" spans="1:15" ht="15.75" customHeight="1" x14ac:dyDescent="0.3">
      <c r="B710" s="210" t="s">
        <v>6946</v>
      </c>
      <c r="C710" s="152" t="s">
        <v>6947</v>
      </c>
      <c r="D710" s="152" t="s">
        <v>6948</v>
      </c>
      <c r="E710" s="152" t="s">
        <v>6999</v>
      </c>
      <c r="F710" s="152" t="s">
        <v>7045</v>
      </c>
      <c r="G710" s="152" t="s">
        <v>6951</v>
      </c>
      <c r="H710" s="152" t="s">
        <v>6952</v>
      </c>
      <c r="I710" s="152" t="s">
        <v>6953</v>
      </c>
      <c r="J710" s="152" t="s">
        <v>6954</v>
      </c>
      <c r="K710" s="152" t="s">
        <v>6955</v>
      </c>
      <c r="L710" s="152" t="s">
        <v>6956</v>
      </c>
      <c r="M710" s="152" t="s">
        <v>6957</v>
      </c>
      <c r="N710" s="152" t="s">
        <v>7002</v>
      </c>
      <c r="O710" s="161" t="s">
        <v>6959</v>
      </c>
    </row>
    <row r="711" spans="1:15" ht="14.4" x14ac:dyDescent="0.3">
      <c r="A711" t="s">
        <v>7122</v>
      </c>
      <c r="B711" s="99" t="s">
        <v>2808</v>
      </c>
      <c r="C711" s="153">
        <f>IF(E655=0,0,(VLOOKUP("Irrigation systema",Econ.Equations!$C:$E,2,FALSE)*E655^VLOOKUP("Irrigation systemb",Econ.Equations!$C:$E,2,FALSE))*E655)</f>
        <v>51400.156324413474</v>
      </c>
      <c r="D711" s="42">
        <f>VLOOKUP("CAPEXLifetimeBuildings and constructionDefault",Econ.inputsTable!$E:$G,2,FALSE)</f>
        <v>20</v>
      </c>
      <c r="E711" s="42" t="s">
        <v>2852</v>
      </c>
      <c r="F711" s="42" t="s">
        <v>2852</v>
      </c>
      <c r="G711" s="539">
        <f>VLOOKUP("CAPEXAnnual usage on activityItems that are used only on the given activityDefault",Econ.inputsTable!$E:$J,2,FALSE)</f>
        <v>1</v>
      </c>
      <c r="H711" s="503">
        <f t="shared" ref="H711" si="33">UDV.econ_capital.interest_rate</f>
        <v>5.0999999999999997E-2</v>
      </c>
      <c r="I711" s="2091">
        <f>VLOOKUP("CAPEXSalvageBuildings and constructionDefault",Econ.inputsTable!$E:$K,2,FALSE)</f>
        <v>0</v>
      </c>
      <c r="J711" s="153">
        <f>C711*I711</f>
        <v>0</v>
      </c>
      <c r="K711" s="154">
        <f>VLOOKUP("CAPEXFinanced amountNADefault",Econ.inputsTable!$E:$J,2,FALSE)</f>
        <v>1</v>
      </c>
      <c r="L711" s="2092">
        <f>H711*K711</f>
        <v>5.0999999999999997E-2</v>
      </c>
      <c r="M711" s="351">
        <f>L711/(1-(1+L711)^-D711)</f>
        <v>8.0924368970045152E-2</v>
      </c>
      <c r="N711" s="153">
        <f>((C711-J711)*M711)+(J711*L711)</f>
        <v>4159.5252155148355</v>
      </c>
      <c r="O711" s="372">
        <f>N711*G711</f>
        <v>4159.5252155148355</v>
      </c>
    </row>
    <row r="712" spans="1:15" ht="14.4" x14ac:dyDescent="0.3">
      <c r="A712" t="s">
        <v>7046</v>
      </c>
      <c r="B712" s="99" t="s">
        <v>7034</v>
      </c>
      <c r="C712" s="153">
        <f>VLOOKUP("Diesel powered lead pumpDefault", Econ.Tables!$C:$E,2,FALSE)*E644</f>
        <v>293400</v>
      </c>
      <c r="D712" s="42">
        <f>VLOOKUP("CAPEXLifetimeDiesel-powered pump set package (at lagoon)Default",Econ.inputsTable!$E:$G,2,FALSE)</f>
        <v>17</v>
      </c>
      <c r="F712" s="147">
        <f>IF(E644=0,0,(E663+(E684/E682))/E644)</f>
        <v>0.91301760297298351</v>
      </c>
      <c r="G712" s="539">
        <f>VLOOKUP("CAPEXAnnual usage on activityItems that are used only on the given activityDefault",Econ.inputsTable!$E:$G,2,FALSE)</f>
        <v>1</v>
      </c>
      <c r="H712" s="503">
        <f t="shared" ref="H712:H723" si="34">UDV.econ_capital.interest_rate</f>
        <v>5.0999999999999997E-2</v>
      </c>
      <c r="I712" s="155">
        <f>VLOOKUP("CAPEXSalvageEquipmentDefault", Econ.inputsTable!$E:$G,2,FALSE)</f>
        <v>0.2</v>
      </c>
      <c r="J712" s="153">
        <f t="shared" ref="J712:J723" si="35">$C712*I712</f>
        <v>58680</v>
      </c>
      <c r="K712" s="154">
        <f>VLOOKUP("CAPEXFinanced amountNADefault", Econ.inputsTable!$E:$G,2,FALSE)</f>
        <v>1</v>
      </c>
      <c r="L712" s="155">
        <f t="shared" ref="L712:L723" si="36">H712*K712</f>
        <v>5.0999999999999997E-2</v>
      </c>
      <c r="M712">
        <f t="shared" ref="M712:M723" si="37">L712/(1-(1+L712)^-D712)</f>
        <v>8.9362846108502439E-2</v>
      </c>
      <c r="N712" s="153">
        <f t="shared" ref="N712:N723" si="38">((C712-J712)*M712)+(J712*L712)</f>
        <v>23967.927238587694</v>
      </c>
      <c r="O712" s="157">
        <f t="shared" ref="O712:O723" si="39">N712*G712</f>
        <v>23967.927238587694</v>
      </c>
    </row>
    <row r="713" spans="1:15" ht="14.4" x14ac:dyDescent="0.3">
      <c r="A713" t="s">
        <v>7046</v>
      </c>
      <c r="B713" s="99" t="s">
        <v>7035</v>
      </c>
      <c r="C713" s="153">
        <f>VLOOKUP("Diesel powered booster pumpDefault",Econ.Tables!$C:$E,2,FALSE)*E706</f>
        <v>197300</v>
      </c>
      <c r="D713" s="42">
        <f>VLOOKUP("CAPEXLifetimeDiesel-powered pump set package (at lagoon)Default",Econ.inputsTable!$E:$G,2,FALSE)</f>
        <v>17</v>
      </c>
      <c r="F713" s="147">
        <f>IF(E706=0,0,(E664+(E685/E682))/E706)</f>
        <v>0.91301760297298351</v>
      </c>
      <c r="G713" s="539">
        <f>VLOOKUP("CAPEXAnnual usage on activityItems that are used only on the given activityDefault",Econ.inputsTable!$E:$G,2,FALSE)</f>
        <v>1</v>
      </c>
      <c r="H713" s="503">
        <f t="shared" si="34"/>
        <v>5.0999999999999997E-2</v>
      </c>
      <c r="I713" s="155">
        <f>VLOOKUP("CAPEXSalvageEquipmentDefault", Econ.inputsTable!$E:$G,2,FALSE)</f>
        <v>0.2</v>
      </c>
      <c r="J713" s="153">
        <f t="shared" si="35"/>
        <v>39460</v>
      </c>
      <c r="K713" s="154">
        <f>VLOOKUP("CAPEXFinanced amountNADefault", Econ.inputsTable!$E:$G,2,FALSE)</f>
        <v>1</v>
      </c>
      <c r="L713" s="155">
        <f t="shared" si="36"/>
        <v>5.0999999999999997E-2</v>
      </c>
      <c r="M713">
        <f t="shared" si="37"/>
        <v>8.9362846108502439E-2</v>
      </c>
      <c r="N713" s="153">
        <f t="shared" si="38"/>
        <v>16117.491629766024</v>
      </c>
      <c r="O713" s="157">
        <f t="shared" si="39"/>
        <v>16117.491629766024</v>
      </c>
    </row>
    <row r="714" spans="1:15" ht="14.4" x14ac:dyDescent="0.3">
      <c r="A714" t="s">
        <v>7046</v>
      </c>
      <c r="B714" s="99" t="s">
        <v>7047</v>
      </c>
      <c r="C714" s="153">
        <f>VLOOKUP("Diesel powered agitation trailerDefault",Econ.Tables!$C:$E,2,FALSE)*E645</f>
        <v>131500</v>
      </c>
      <c r="D714" s="42">
        <f>VLOOKUP("CAPEXLifetimeEquipmentDefault",Econ.inputsTable!$E:$G,2,FALSE)</f>
        <v>10</v>
      </c>
      <c r="F714" s="147">
        <f>IF(E645=0,0,(E665+(E686/E682))/E645)</f>
        <v>0.91301760297298351</v>
      </c>
      <c r="G714" s="539">
        <f>VLOOKUP("CAPEXAnnual usage on activityItems that are used only on the given activityDefault",Econ.inputsTable!$E:$G,2,FALSE)</f>
        <v>1</v>
      </c>
      <c r="H714" s="503">
        <f t="shared" si="34"/>
        <v>5.0999999999999997E-2</v>
      </c>
      <c r="I714" s="155">
        <f>VLOOKUP("CAPEXSalvageEquipmentDefault", Econ.inputsTable!$E:$G,2,FALSE)</f>
        <v>0.2</v>
      </c>
      <c r="J714" s="153">
        <f t="shared" si="35"/>
        <v>26300</v>
      </c>
      <c r="K714" s="154">
        <f>VLOOKUP("CAPEXFinanced amountNADefault", Econ.inputsTable!$E:$G,2,FALSE)</f>
        <v>1</v>
      </c>
      <c r="L714" s="155">
        <f t="shared" si="36"/>
        <v>5.0999999999999997E-2</v>
      </c>
      <c r="M714">
        <f t="shared" si="37"/>
        <v>0.13013423257204779</v>
      </c>
      <c r="N714" s="153">
        <f t="shared" si="38"/>
        <v>15031.421266579426</v>
      </c>
      <c r="O714" s="157">
        <f t="shared" si="39"/>
        <v>15031.421266579426</v>
      </c>
    </row>
    <row r="715" spans="1:15" ht="15.75" customHeight="1" x14ac:dyDescent="0.3">
      <c r="A715" t="s">
        <v>7046</v>
      </c>
      <c r="B715" s="99" t="s">
        <v>7037</v>
      </c>
      <c r="C715" s="153">
        <f>VLOOKUP(_xlfn.CONCAT("Tractor",E646," hp"), Econ.Tables!$C:$E,2, FALSE)*E648</f>
        <v>637400</v>
      </c>
      <c r="D715" s="79">
        <f>VLOOKUP("CAPEXLifetimeTractor, 4 wheel drive and crawlerDefault",Econ.inputsTable!$E:$H,2,FALSE)/E715</f>
        <v>16</v>
      </c>
      <c r="E715" s="213">
        <f>IF(F715&gt;UDV.tractor.min_usage_yearly,F715,UDV.tractor.min_usage_yearly)</f>
        <v>1000</v>
      </c>
      <c r="F715" s="147">
        <f>IF(E648=0,0,(E666+(E687/E682))/E648)</f>
        <v>1.0499702434189309</v>
      </c>
      <c r="G715" s="155">
        <f>F715/E715</f>
        <v>1.049970243418931E-3</v>
      </c>
      <c r="H715" s="503">
        <f t="shared" si="34"/>
        <v>5.0999999999999997E-2</v>
      </c>
      <c r="I715" s="155">
        <f>VLOOKUP("CAPEXSalvageEquipmentDefault", Econ.inputsTable!$E:$G,2,FALSE)</f>
        <v>0.2</v>
      </c>
      <c r="J715" s="153">
        <f t="shared" si="35"/>
        <v>127480</v>
      </c>
      <c r="K715" s="154">
        <f>VLOOKUP("CAPEXFinanced amountNADefault", Econ.inputsTable!$E:$G,2,FALSE)</f>
        <v>1</v>
      </c>
      <c r="L715" s="155">
        <f t="shared" si="36"/>
        <v>5.0999999999999997E-2</v>
      </c>
      <c r="M715">
        <f t="shared" si="37"/>
        <v>9.2927821836826949E-2</v>
      </c>
      <c r="N715" s="153">
        <f t="shared" si="38"/>
        <v>53887.2349110348</v>
      </c>
      <c r="O715" s="157">
        <f t="shared" si="39"/>
        <v>56.579993156712327</v>
      </c>
    </row>
    <row r="716" spans="1:15" ht="15.75" customHeight="1" x14ac:dyDescent="0.3">
      <c r="A716" t="s">
        <v>7046</v>
      </c>
      <c r="B716" s="99" t="s">
        <v>7048</v>
      </c>
      <c r="C716" s="238">
        <f>VLOOKUP("Hose reel, hydraulic,no specific sizeDefault",Econ.Tables!$C:$E,2,FALSE)*E648</f>
        <v>44500</v>
      </c>
      <c r="D716" s="42">
        <f>VLOOKUP("CAPEXLifetimeEquipmentDefault",Econ.inputsTable!$E:$G,2,FALSE)</f>
        <v>10</v>
      </c>
      <c r="E716" s="152"/>
      <c r="F716" s="259">
        <f>F715</f>
        <v>1.0499702434189309</v>
      </c>
      <c r="G716" s="539">
        <f>VLOOKUP("CAPEXAnnual usage on activityItems that are used only on the given activityDefault",Econ.inputsTable!$E:$G,2,FALSE)</f>
        <v>1</v>
      </c>
      <c r="H716" s="503">
        <f t="shared" si="34"/>
        <v>5.0999999999999997E-2</v>
      </c>
      <c r="I716" s="155">
        <f>VLOOKUP("CAPEXSalvageEquipmentDefault", Econ.inputsTable!$E:$G,2,FALSE)</f>
        <v>0.2</v>
      </c>
      <c r="J716" s="153">
        <f t="shared" si="35"/>
        <v>8900</v>
      </c>
      <c r="K716" s="154">
        <f>VLOOKUP("CAPEXFinanced amountNADefault", Econ.inputsTable!$E:$G,2,FALSE)</f>
        <v>1</v>
      </c>
      <c r="L716" s="155">
        <f t="shared" si="36"/>
        <v>5.0999999999999997E-2</v>
      </c>
      <c r="M716">
        <f t="shared" si="37"/>
        <v>0.13013423257204779</v>
      </c>
      <c r="N716" s="153">
        <f t="shared" si="38"/>
        <v>5086.6786795649004</v>
      </c>
      <c r="O716" s="157">
        <f t="shared" si="39"/>
        <v>5086.6786795649004</v>
      </c>
    </row>
    <row r="717" spans="1:15" ht="15.75" customHeight="1" x14ac:dyDescent="0.3">
      <c r="A717" t="s">
        <v>7046</v>
      </c>
      <c r="B717" s="99" t="s">
        <v>7007</v>
      </c>
      <c r="C717" s="238">
        <f>IF(E651="Broadcast",VLOOKUP("BoomDefault", Econ.Tables!$C:$E,2,FALSE),0)*E648</f>
        <v>0</v>
      </c>
      <c r="D717" s="42">
        <f>VLOOKUP("CAPEXLifetimeEquipmentDefault",Econ.inputsTable!$E:$G,2,FALSE)</f>
        <v>10</v>
      </c>
      <c r="E717" s="152"/>
      <c r="F717" s="259">
        <f>IF(E651="Broadcast",F715,0)*VLOOKUP("NAPercent time for useApplication toolbar usage per unit tractor pulling it usageDefault", Econ.inputsTable!$E:$G,2,FALSE)</f>
        <v>0</v>
      </c>
      <c r="G717" s="539">
        <f>VLOOKUP("CAPEXAnnual usage on activityItems that are used only on the given activityDefault",Econ.inputsTable!$E:$G,2,FALSE)</f>
        <v>1</v>
      </c>
      <c r="H717" s="503">
        <f t="shared" si="34"/>
        <v>5.0999999999999997E-2</v>
      </c>
      <c r="I717" s="155">
        <f>VLOOKUP("CAPEXSalvageEquipmentDefault", Econ.inputsTable!$E:$G,2,FALSE)</f>
        <v>0.2</v>
      </c>
      <c r="J717" s="153">
        <f t="shared" si="35"/>
        <v>0</v>
      </c>
      <c r="K717" s="154">
        <f>VLOOKUP("CAPEXFinanced amountNADefault", Econ.inputsTable!$E:$G,2,FALSE)</f>
        <v>1</v>
      </c>
      <c r="L717" s="155">
        <f t="shared" si="36"/>
        <v>5.0999999999999997E-2</v>
      </c>
      <c r="M717">
        <f t="shared" si="37"/>
        <v>0.13013423257204779</v>
      </c>
      <c r="N717" s="153">
        <f t="shared" si="38"/>
        <v>0</v>
      </c>
      <c r="O717" s="157">
        <f t="shared" si="39"/>
        <v>0</v>
      </c>
    </row>
    <row r="718" spans="1:15" ht="15.75" customHeight="1" x14ac:dyDescent="0.3">
      <c r="A718" t="s">
        <v>7046</v>
      </c>
      <c r="B718" s="99" t="s">
        <v>7008</v>
      </c>
      <c r="C718" s="238">
        <f>IF(E651="Injection",VLOOKUP("InjectionDefault",Econ.Tables!$C:$E,2,FALSE),0)*E648</f>
        <v>80900</v>
      </c>
      <c r="D718" s="42">
        <f>VLOOKUP("CAPEXLifetimeEquipmentDefault",Econ.inputsTable!$E:$G,2,FALSE)</f>
        <v>10</v>
      </c>
      <c r="E718" s="152"/>
      <c r="F718" s="259">
        <f>IF(E651="Injection",F715,0)*VLOOKUP("NAPercent time for useApplication toolbar usage per unit tractor pulling it usageDefault", Econ.inputsTable!$E:$G,2,FALSE)</f>
        <v>0.41998809736757237</v>
      </c>
      <c r="G718" s="539">
        <f>VLOOKUP("CAPEXAnnual usage on activityItems that are used only on the given activityDefault",Econ.inputsTable!$E:$G,2,FALSE)</f>
        <v>1</v>
      </c>
      <c r="H718" s="503">
        <f t="shared" si="34"/>
        <v>5.0999999999999997E-2</v>
      </c>
      <c r="I718" s="155">
        <f>VLOOKUP("CAPEXSalvageEquipmentDefault", Econ.inputsTable!$E:$G,2,FALSE)</f>
        <v>0.2</v>
      </c>
      <c r="J718" s="153">
        <f t="shared" si="35"/>
        <v>16180</v>
      </c>
      <c r="K718" s="154">
        <f>VLOOKUP("CAPEXFinanced amountNADefault", Econ.inputsTable!$E:$G,2,FALSE)</f>
        <v>1</v>
      </c>
      <c r="L718" s="155">
        <f t="shared" si="36"/>
        <v>5.0999999999999997E-2</v>
      </c>
      <c r="M718">
        <f t="shared" si="37"/>
        <v>0.13013423257204779</v>
      </c>
      <c r="N718" s="153">
        <f t="shared" si="38"/>
        <v>9247.4675320629322</v>
      </c>
      <c r="O718" s="157">
        <f t="shared" si="39"/>
        <v>9247.4675320629322</v>
      </c>
    </row>
    <row r="719" spans="1:15" ht="15.75" customHeight="1" x14ac:dyDescent="0.3">
      <c r="A719" t="s">
        <v>7046</v>
      </c>
      <c r="B719" s="99" t="s">
        <v>7039</v>
      </c>
      <c r="C719" s="153">
        <f>VLOOKUP(_xlfn.CONCAT("Tractor",E647," hp"), Econ.Tables!$C:$E,2, FALSE)*E649</f>
        <v>490700</v>
      </c>
      <c r="D719" s="79">
        <f>VLOOKUP("CAPEXLifetimeTractor, 4 wheel drive and crawlerDefault",Econ.inputsTable!$E:$H,2,FALSE)/E719</f>
        <v>16</v>
      </c>
      <c r="E719" s="213">
        <f>IF(F719&gt;UDV.tractor.min_usage_yearly,F719,UDV.tractor.min_usage_yearly)</f>
        <v>1000</v>
      </c>
      <c r="F719" s="147">
        <f>IF(E649=0,0,(E667+(E688/E682))/E649)</f>
        <v>0.68476320222973763</v>
      </c>
      <c r="G719" s="155">
        <f>F719/E719</f>
        <v>6.8476320222973764E-4</v>
      </c>
      <c r="H719" s="503">
        <f t="shared" si="34"/>
        <v>5.0999999999999997E-2</v>
      </c>
      <c r="I719" s="155">
        <f>VLOOKUP("CAPEXSalvageEquipmentDefault", Econ.inputsTable!$E:$G,2,FALSE)</f>
        <v>0.2</v>
      </c>
      <c r="J719" s="153">
        <f t="shared" si="35"/>
        <v>98140</v>
      </c>
      <c r="K719" s="154">
        <f>VLOOKUP("CAPEXFinanced amountNADefault", Econ.inputsTable!$E:$G,2,FALSE)</f>
        <v>1</v>
      </c>
      <c r="L719" s="155">
        <f t="shared" si="36"/>
        <v>5.0999999999999997E-2</v>
      </c>
      <c r="M719">
        <f t="shared" si="37"/>
        <v>9.2927821836826949E-2</v>
      </c>
      <c r="N719" s="153">
        <f t="shared" si="38"/>
        <v>41484.885740264785</v>
      </c>
      <c r="O719" s="157">
        <f t="shared" si="39"/>
        <v>28.407323203638494</v>
      </c>
    </row>
    <row r="720" spans="1:15" ht="15.75" customHeight="1" x14ac:dyDescent="0.3">
      <c r="A720" t="s">
        <v>7046</v>
      </c>
      <c r="B720" s="99" t="s">
        <v>1325</v>
      </c>
      <c r="C720" s="238">
        <f>VLOOKUP("Hose pulleyDefault",Econ.Tables!$C:$E,2,FALSE)*E649</f>
        <v>13200</v>
      </c>
      <c r="D720" s="42">
        <f>VLOOKUP("CAPEXLifetimeEquipmentDefault",Econ.inputsTable!$E:$G,2,FALSE)</f>
        <v>10</v>
      </c>
      <c r="E720" s="152"/>
      <c r="F720" s="259">
        <f>F719</f>
        <v>0.68476320222973763</v>
      </c>
      <c r="G720" s="539">
        <f>VLOOKUP("CAPEXAnnual usage on activityItems that are used only on the given activityDefault",Econ.inputsTable!$E:$G,2,FALSE)</f>
        <v>1</v>
      </c>
      <c r="H720" s="503">
        <f t="shared" si="34"/>
        <v>5.0999999999999997E-2</v>
      </c>
      <c r="I720" s="155">
        <f>VLOOKUP("CAPEXSalvageEquipmentDefault", Econ.inputsTable!$E:$G,2,FALSE)</f>
        <v>0.2</v>
      </c>
      <c r="J720" s="153">
        <f t="shared" si="35"/>
        <v>2640</v>
      </c>
      <c r="K720" s="154">
        <f>VLOOKUP("CAPEXFinanced amountNADefault", Econ.inputsTable!$E:$G,2,FALSE)</f>
        <v>1</v>
      </c>
      <c r="L720" s="155">
        <f t="shared" si="36"/>
        <v>5.0999999999999997E-2</v>
      </c>
      <c r="M720">
        <f t="shared" si="37"/>
        <v>0.13013423257204779</v>
      </c>
      <c r="N720" s="153">
        <f t="shared" si="38"/>
        <v>1508.8574959608245</v>
      </c>
      <c r="O720" s="157">
        <f t="shared" si="39"/>
        <v>1508.8574959608245</v>
      </c>
    </row>
    <row r="721" spans="1:15" ht="15.75" customHeight="1" x14ac:dyDescent="0.3">
      <c r="A721" t="s">
        <v>7046</v>
      </c>
      <c r="B721" s="235" t="s">
        <v>3007</v>
      </c>
      <c r="C721" s="543">
        <f>VLOOKUP("Flexible drag hose, 6in 660 ftDefault",Econ.Tables!$C:$E,2,FALSE)*E648</f>
        <v>15200</v>
      </c>
      <c r="D721" s="42">
        <f>VLOOKUP("CAPEXLifetimeDrag hoseDefault",Econ.inputsTable!$E:$G,2,FALSE)</f>
        <v>2.5</v>
      </c>
      <c r="E721" s="152"/>
      <c r="F721" s="259">
        <f>F715</f>
        <v>1.0499702434189309</v>
      </c>
      <c r="G721" s="539">
        <f>VLOOKUP("CAPEXAnnual usage on activityItems that are used only on the given activityDefault",Econ.inputsTable!$E:$G,2,FALSE)</f>
        <v>1</v>
      </c>
      <c r="H721" s="503">
        <f t="shared" si="34"/>
        <v>5.0999999999999997E-2</v>
      </c>
      <c r="I721" s="155">
        <f>VLOOKUP("CAPEXSalvageBuildings and constructionDefault", Econ.inputsTable!$E:$G,2,FALSE)</f>
        <v>0</v>
      </c>
      <c r="J721" s="153">
        <f t="shared" si="35"/>
        <v>0</v>
      </c>
      <c r="K721" s="154">
        <f>VLOOKUP("CAPEXFinanced amountNADefault", Econ.inputsTable!$E:$G,2,FALSE)</f>
        <v>1</v>
      </c>
      <c r="L721" s="155">
        <f t="shared" si="36"/>
        <v>5.0999999999999997E-2</v>
      </c>
      <c r="M721">
        <f t="shared" si="37"/>
        <v>0.43614381549069553</v>
      </c>
      <c r="N721" s="153">
        <f t="shared" si="38"/>
        <v>6629.3859954585723</v>
      </c>
      <c r="O721" s="157">
        <f t="shared" si="39"/>
        <v>6629.3859954585723</v>
      </c>
    </row>
    <row r="722" spans="1:15" ht="15.75" customHeight="1" x14ac:dyDescent="0.3">
      <c r="A722" t="s">
        <v>7046</v>
      </c>
      <c r="B722" s="235" t="s">
        <v>3465</v>
      </c>
      <c r="C722" s="543">
        <f>VLOOKUP("Manure piping to fieldDefault",Econ.Tables!$C:$E,2,FALSE)*E705</f>
        <v>95040</v>
      </c>
      <c r="D722" s="42">
        <f>VLOOKUP("CAPEXLifetimeBuildings and constructionDefault",Econ.inputsTable!$E:$G,2,FALSE)</f>
        <v>20</v>
      </c>
      <c r="E722" s="152"/>
      <c r="F722" s="259">
        <f>F715</f>
        <v>1.0499702434189309</v>
      </c>
      <c r="G722" s="539">
        <f>VLOOKUP("CAPEXAnnual usage on activityItems that are used only on the given activityDefault",Econ.inputsTable!$E:$G,2,FALSE)</f>
        <v>1</v>
      </c>
      <c r="H722" s="503">
        <f t="shared" si="34"/>
        <v>5.0999999999999997E-2</v>
      </c>
      <c r="I722" s="155">
        <f>VLOOKUP("CAPEXSalvageBuildings and constructionDefault", Econ.inputsTable!$E:$G,2,FALSE)</f>
        <v>0</v>
      </c>
      <c r="J722" s="153">
        <f t="shared" si="35"/>
        <v>0</v>
      </c>
      <c r="K722" s="154">
        <f>VLOOKUP("CAPEXFinanced amountNADefault", Econ.inputsTable!$E:$G,2,FALSE)</f>
        <v>1</v>
      </c>
      <c r="L722" s="155">
        <f t="shared" si="36"/>
        <v>5.0999999999999997E-2</v>
      </c>
      <c r="M722">
        <f t="shared" si="37"/>
        <v>8.0924368970045152E-2</v>
      </c>
      <c r="N722" s="153">
        <f t="shared" si="38"/>
        <v>7691.0520269130911</v>
      </c>
      <c r="O722" s="157">
        <f t="shared" si="39"/>
        <v>7691.0520269130911</v>
      </c>
    </row>
    <row r="723" spans="1:15" ht="15.75" customHeight="1" x14ac:dyDescent="0.3">
      <c r="A723" t="s">
        <v>7046</v>
      </c>
      <c r="B723" s="235" t="s">
        <v>349</v>
      </c>
      <c r="C723" s="153">
        <f>IF(E689&gt;0,VLOOKUP("Pick up truckDefault",Econ.Tables!$C:$E,2,FALSE),0)</f>
        <v>58700</v>
      </c>
      <c r="D723" s="42">
        <f>VLOOKUP("CAPEXLifetimeTruck, pickupDefault",Econ.inputsTable!$E:$G,2,FALSE)</f>
        <v>8</v>
      </c>
      <c r="E723" s="42">
        <f>VLOOKUP("CAPEXAnnual usage on farmTruck, pickupDefault",Econ.inputsTable!$E:$G,2,FALSE)</f>
        <v>250</v>
      </c>
      <c r="F723" s="259">
        <f>(E668+(E689/E682))</f>
        <v>0.13695264044594752</v>
      </c>
      <c r="G723" s="538">
        <f>F723/E723</f>
        <v>5.4781056178379009E-4</v>
      </c>
      <c r="H723" s="503">
        <f t="shared" si="34"/>
        <v>5.0999999999999997E-2</v>
      </c>
      <c r="I723" s="155">
        <f>VLOOKUP("CAPEXSalvageEquipmentDefault", Econ.inputsTable!$E:$G,2,FALSE)</f>
        <v>0.2</v>
      </c>
      <c r="J723" s="153">
        <f t="shared" si="35"/>
        <v>11740</v>
      </c>
      <c r="K723" s="154">
        <f>VLOOKUP("CAPEXFinanced amountNADefault", Econ.inputsTable!$E:$G,2,FALSE)</f>
        <v>1</v>
      </c>
      <c r="L723" s="155">
        <f t="shared" si="36"/>
        <v>5.0999999999999997E-2</v>
      </c>
      <c r="M723">
        <f t="shared" si="37"/>
        <v>0.1553478599468672</v>
      </c>
      <c r="N723" s="153">
        <f t="shared" si="38"/>
        <v>7893.8755031048831</v>
      </c>
      <c r="O723" s="157">
        <f t="shared" si="39"/>
        <v>4.3243483740071849</v>
      </c>
    </row>
    <row r="724" spans="1:15" ht="15.75" customHeight="1" x14ac:dyDescent="0.3">
      <c r="B724" s="99"/>
      <c r="C724" s="152"/>
      <c r="D724" s="82"/>
      <c r="E724" s="82"/>
      <c r="F724" s="82"/>
      <c r="G724" s="82"/>
      <c r="H724" s="82"/>
      <c r="I724" s="82"/>
      <c r="J724" s="152"/>
      <c r="K724" s="152"/>
      <c r="L724" s="152"/>
      <c r="M724" s="152"/>
      <c r="N724" s="82"/>
      <c r="O724" s="173"/>
    </row>
    <row r="725" spans="1:15" ht="15.75" customHeight="1" x14ac:dyDescent="0.3">
      <c r="B725" s="99"/>
      <c r="C725" s="82" t="s">
        <v>7009</v>
      </c>
      <c r="D725" s="82" t="s">
        <v>6963</v>
      </c>
      <c r="O725" s="146"/>
    </row>
    <row r="726" spans="1:15" ht="14.4" x14ac:dyDescent="0.3">
      <c r="A726" t="s">
        <v>5205</v>
      </c>
      <c r="B726" s="99" t="s">
        <v>6964</v>
      </c>
      <c r="C726" s="153">
        <f>SUM(C711:C723)</f>
        <v>2109240.1563244136</v>
      </c>
      <c r="D726" s="318">
        <f>SUMPRODUCT(C711:C723,G711:G723)</f>
        <v>923477.57714087958</v>
      </c>
      <c r="O726" s="146"/>
    </row>
    <row r="727" spans="1:15" ht="14.4" x14ac:dyDescent="0.3">
      <c r="A727" t="s">
        <v>5205</v>
      </c>
      <c r="B727" s="149" t="s">
        <v>6965</v>
      </c>
      <c r="C727" s="159">
        <f>SUM(N711:N723)</f>
        <v>192705.8032348128</v>
      </c>
      <c r="D727" s="319">
        <f>SUMPRODUCT(N711:N723,G711:G723)</f>
        <v>89529.118745142667</v>
      </c>
      <c r="E727" s="150"/>
      <c r="F727" s="150"/>
      <c r="G727" s="261"/>
      <c r="H727" s="150"/>
      <c r="I727" s="150"/>
      <c r="J727" s="150"/>
      <c r="K727" s="150"/>
      <c r="L727" s="150"/>
      <c r="M727" s="150"/>
      <c r="N727" s="150"/>
      <c r="O727" s="151"/>
    </row>
    <row r="728" spans="1:15" ht="14.4" x14ac:dyDescent="0.3">
      <c r="B728" s="262"/>
      <c r="C728" s="142"/>
      <c r="D728" s="142"/>
      <c r="E728" s="142"/>
      <c r="F728" s="142"/>
      <c r="G728" s="142"/>
      <c r="H728" s="142"/>
      <c r="I728" s="142"/>
      <c r="J728" s="142"/>
      <c r="K728" s="142"/>
      <c r="L728" s="142"/>
      <c r="M728" s="142"/>
      <c r="N728" s="142"/>
      <c r="O728" s="141"/>
    </row>
    <row r="729" spans="1:15" ht="15.75" customHeight="1" x14ac:dyDescent="0.3">
      <c r="B729" s="160" t="s">
        <v>6966</v>
      </c>
      <c r="C729" s="152" t="s">
        <v>6967</v>
      </c>
      <c r="D729" s="152" t="s">
        <v>6968</v>
      </c>
      <c r="E729" s="152" t="s">
        <v>6969</v>
      </c>
      <c r="F729" s="152" t="s">
        <v>6970</v>
      </c>
      <c r="G729" s="152" t="s">
        <v>6971</v>
      </c>
      <c r="H729" s="152" t="s">
        <v>6972</v>
      </c>
      <c r="I729" s="152" t="s">
        <v>6973</v>
      </c>
      <c r="J729" s="152" t="s">
        <v>6974</v>
      </c>
      <c r="K729" s="152" t="s">
        <v>6975</v>
      </c>
      <c r="L729" s="152" t="s">
        <v>6976</v>
      </c>
      <c r="M729" s="152" t="s">
        <v>6977</v>
      </c>
      <c r="N729" s="152" t="s">
        <v>6978</v>
      </c>
      <c r="O729" s="161" t="s">
        <v>6979</v>
      </c>
    </row>
    <row r="730" spans="1:15" ht="14.4" x14ac:dyDescent="0.3">
      <c r="B730" s="99" t="s">
        <v>2808</v>
      </c>
      <c r="C730" s="236">
        <f>VLOOKUP("OPEXInsuranceEverythingDefault",Econ.inputsTable!$E:$K,2,FALSE)</f>
        <v>5.0000000000000001E-3</v>
      </c>
      <c r="D730" s="257">
        <f>VLOOKUP("OPEXRepair and maintenanceEquipmentDefault",Econ.inputsTable!$E:$K,2,FALSE)</f>
        <v>0.03</v>
      </c>
      <c r="F730" s="2129">
        <f>E656</f>
        <v>931.22205127489576</v>
      </c>
      <c r="G730" s="365">
        <f>F730*E703</f>
        <v>63.874072533697223</v>
      </c>
      <c r="I730" s="365"/>
      <c r="J730" s="365"/>
      <c r="K730" s="147">
        <f>E657</f>
        <v>7.4111782799103869</v>
      </c>
      <c r="L730" s="156">
        <f>K730*E707</f>
        <v>175.34847810267976</v>
      </c>
      <c r="O730" s="167">
        <f t="shared" ref="O730" si="40">(SUM(C730:D730)*C711*G711)+SUM(E730,G730,I730,J730,L730,N730)</f>
        <v>2038.2280219908484</v>
      </c>
    </row>
    <row r="731" spans="1:15" ht="15.75" customHeight="1" x14ac:dyDescent="0.3">
      <c r="B731" s="99" t="s">
        <v>3003</v>
      </c>
      <c r="C731" s="263">
        <f>VLOOKUP("OPEXInsuranceEverythingDefault", Econ.inputsTable!$E:$G,2,FALSE)</f>
        <v>5.0000000000000001E-3</v>
      </c>
      <c r="D731" s="237">
        <f>VLOOKUP("OPEXRepair and maintenanceEquipmentDefault",Econ.inputsTable!$E:$G,2,FALSE)</f>
        <v>0.03</v>
      </c>
      <c r="H731" s="147">
        <f>(E669+(E690/E682))*E644</f>
        <v>16.434316853513703</v>
      </c>
      <c r="I731" s="259">
        <f>H731*E704</f>
        <v>60.749297208288368</v>
      </c>
      <c r="J731" s="259">
        <f>I731*VLOOKUP("OPEXLubeLubeDefault",Econ.inputsTable!$E:$G,2,FALSE)</f>
        <v>6.0749297208288375</v>
      </c>
      <c r="L731" s="158"/>
      <c r="O731" s="264">
        <f t="shared" ref="O731:O742" si="41">(SUM(C731:D731)*C712*G712)+SUM(E731,G731,I731,J731,L731,N731)</f>
        <v>10335.824226929115</v>
      </c>
    </row>
    <row r="732" spans="1:15" ht="15.75" customHeight="1" x14ac:dyDescent="0.3">
      <c r="B732" s="99" t="s">
        <v>3005</v>
      </c>
      <c r="C732" s="263">
        <f>VLOOKUP("OPEXInsuranceEverythingDefault", Econ.inputsTable!$E:$G,2,FALSE)</f>
        <v>5.0000000000000001E-3</v>
      </c>
      <c r="D732" s="237">
        <f>VLOOKUP("OPEXRepair and maintenanceEquipmentDefault",Econ.inputsTable!$E:$G,2,FALSE)</f>
        <v>0.03</v>
      </c>
      <c r="H732" s="147">
        <f>(E670+(E691/E682))*E706</f>
        <v>6.8476320222973754</v>
      </c>
      <c r="I732" s="259">
        <f>H732*E704</f>
        <v>25.31220717012015</v>
      </c>
      <c r="J732" s="259">
        <f>I732*VLOOKUP("OPEXLubeLubeDefault",Econ.inputsTable!$E:$G,2,FALSE)</f>
        <v>2.5312207170120153</v>
      </c>
      <c r="L732" s="158"/>
      <c r="O732" s="264">
        <f t="shared" si="41"/>
        <v>6933.3434278871309</v>
      </c>
    </row>
    <row r="733" spans="1:15" ht="15.75" customHeight="1" x14ac:dyDescent="0.3">
      <c r="B733" s="99" t="s">
        <v>7047</v>
      </c>
      <c r="C733" s="263">
        <f>VLOOKUP("OPEXInsuranceEverythingDefault", Econ.inputsTable!$E:$G,2,FALSE)</f>
        <v>5.0000000000000001E-3</v>
      </c>
      <c r="D733" s="237">
        <f>VLOOKUP("OPEXRepair and maintenanceEquipmentDefault",Econ.inputsTable!$E:$G,2,FALSE)</f>
        <v>0.03</v>
      </c>
      <c r="H733" s="147">
        <f>(E671+(E692/E682))*E645</f>
        <v>5.4781056178379011</v>
      </c>
      <c r="I733" s="259">
        <f>H733*E704</f>
        <v>20.249765736096123</v>
      </c>
      <c r="J733" s="259">
        <f>I733*VLOOKUP("OPEXLubeLubeDefault",Econ.inputsTable!$E:$G,2,FALSE)</f>
        <v>2.0249765736096124</v>
      </c>
      <c r="L733" s="158"/>
      <c r="O733" s="264">
        <f t="shared" si="41"/>
        <v>4624.7747423097044</v>
      </c>
    </row>
    <row r="734" spans="1:15" ht="15.75" customHeight="1" x14ac:dyDescent="0.3">
      <c r="B734" s="99" t="s">
        <v>7037</v>
      </c>
      <c r="C734" s="263">
        <f>VLOOKUP("OPEXInsuranceEverythingDefault", Econ.inputsTable!$E:$G,2,FALSE)</f>
        <v>5.0000000000000001E-3</v>
      </c>
      <c r="D734" s="237">
        <f>VLOOKUP("OPEXRepair and maintenanceEquipmentDefault",Econ.inputsTable!$E:$G,2,FALSE)</f>
        <v>0.03</v>
      </c>
      <c r="H734" s="147">
        <f>(E672+(E693/E682))</f>
        <v>26.795240612051117</v>
      </c>
      <c r="I734" s="259">
        <f>H734*E704</f>
        <v>99.048354137158157</v>
      </c>
      <c r="J734" s="259">
        <f>I734*VLOOKUP("OPEXLubeLubeDefault",Econ.inputsTable!$E:$G,2,FALSE)</f>
        <v>9.9048354137158157</v>
      </c>
      <c r="K734" s="147">
        <f>(E666*VLOOKUP("OPEXLaborTractorDefault",Econ.inputsTable!$E:$G,2,FALSE))+(E687/E682*VLOOKUP("OPEXLaborTractorDefault",Econ.inputsTable!$E:$G,2,FALSE))</f>
        <v>1.154967267760824</v>
      </c>
      <c r="L734" s="158">
        <f>K734*E707</f>
        <v>27.326525555221096</v>
      </c>
      <c r="O734" s="264">
        <f t="shared" si="41"/>
        <v>159.70350126652801</v>
      </c>
    </row>
    <row r="735" spans="1:15" ht="15.75" customHeight="1" x14ac:dyDescent="0.3">
      <c r="B735" s="99" t="s">
        <v>7048</v>
      </c>
      <c r="C735" s="263">
        <f>VLOOKUP("OPEXInsuranceEverythingDefault", Econ.inputsTable!$E:$G,2,FALSE)</f>
        <v>5.0000000000000001E-3</v>
      </c>
      <c r="D735" s="237">
        <f>VLOOKUP("OPEXRepair and maintenanceEquipmentDefault",Econ.inputsTable!$E:$G,2,FALSE)</f>
        <v>0.03</v>
      </c>
      <c r="H735" s="147"/>
      <c r="I735" s="369"/>
      <c r="J735" s="369"/>
      <c r="K735" s="205"/>
      <c r="L735" s="158"/>
      <c r="O735" s="264">
        <f t="shared" si="41"/>
        <v>1557.4999999999998</v>
      </c>
    </row>
    <row r="736" spans="1:15" ht="15.75" customHeight="1" x14ac:dyDescent="0.3">
      <c r="B736" s="99" t="s">
        <v>7007</v>
      </c>
      <c r="C736" s="263">
        <f>VLOOKUP("OPEXInsuranceEverythingDefault", Econ.inputsTable!$E:$G,2,FALSE)</f>
        <v>5.0000000000000001E-3</v>
      </c>
      <c r="D736" s="237">
        <f>VLOOKUP("OPEXRepair and maintenanceEquipmentDefault",Econ.inputsTable!$E:$G,2,FALSE)</f>
        <v>0.03</v>
      </c>
      <c r="H736" s="147"/>
      <c r="I736" s="369"/>
      <c r="J736" s="369"/>
      <c r="K736" s="205"/>
      <c r="L736" s="158"/>
      <c r="O736" s="264">
        <f t="shared" si="41"/>
        <v>0</v>
      </c>
    </row>
    <row r="737" spans="1:15" ht="15.75" customHeight="1" x14ac:dyDescent="0.3">
      <c r="B737" s="99" t="s">
        <v>7008</v>
      </c>
      <c r="C737" s="263">
        <f>VLOOKUP("OPEXInsuranceEverythingDefault", Econ.inputsTable!$E:$G,2,FALSE)</f>
        <v>5.0000000000000001E-3</v>
      </c>
      <c r="D737" s="237">
        <f>VLOOKUP("OPEXRepair and maintenanceEquipmentDefault",Econ.inputsTable!$E:$G,2,FALSE)</f>
        <v>0.03</v>
      </c>
      <c r="H737" s="147"/>
      <c r="I737" s="369"/>
      <c r="J737" s="369"/>
      <c r="K737" s="205"/>
      <c r="L737" s="158"/>
      <c r="O737" s="264">
        <f t="shared" si="41"/>
        <v>2831.4999999999995</v>
      </c>
    </row>
    <row r="738" spans="1:15" ht="15.75" customHeight="1" x14ac:dyDescent="0.3">
      <c r="B738" s="99" t="s">
        <v>7039</v>
      </c>
      <c r="C738" s="263">
        <f>VLOOKUP("OPEXInsuranceEverythingDefault", Econ.inputsTable!$E:$G,2,FALSE)</f>
        <v>5.0000000000000001E-3</v>
      </c>
      <c r="D738" s="237">
        <f>VLOOKUP("OPEXRepair and maintenanceEquipmentDefault",Econ.inputsTable!$E:$G,2,FALSE)</f>
        <v>0.03</v>
      </c>
      <c r="H738" s="147">
        <f>(E673+(E694/E682))</f>
        <v>10.244057505356874</v>
      </c>
      <c r="I738" s="259">
        <f>H738*E704</f>
        <v>37.867061926499744</v>
      </c>
      <c r="J738" s="259">
        <f>I738*VLOOKUP("OPEXLubeLubeDefault",Econ.inputsTable!$E:$G,2,FALSE)</f>
        <v>3.7867061926499748</v>
      </c>
      <c r="K738" s="205">
        <f>(E667*VLOOKUP("OPEXLaborTractorDefault",Econ.inputsTable!$E:$G,2,FALSE))+(E688/E682*VLOOKUP("OPEXLaborTractorDefault",Econ.inputsTable!$E:$G,2,FALSE))</f>
        <v>0.75323952245271142</v>
      </c>
      <c r="L738" s="158">
        <f>K738*E707</f>
        <v>17.821647101231154</v>
      </c>
      <c r="O738" s="264">
        <f t="shared" si="41"/>
        <v>71.235880837075499</v>
      </c>
    </row>
    <row r="739" spans="1:15" ht="15.75" customHeight="1" x14ac:dyDescent="0.3">
      <c r="B739" s="99" t="s">
        <v>1325</v>
      </c>
      <c r="C739" s="263">
        <f>VLOOKUP("OPEXInsuranceEverythingDefault", Econ.inputsTable!$E:$G,2,FALSE)</f>
        <v>5.0000000000000001E-3</v>
      </c>
      <c r="D739" s="237">
        <f>VLOOKUP("OPEXRepair and maintenanceEquipmentDefault",Econ.inputsTable!$E:$G,2,FALSE)</f>
        <v>0.03</v>
      </c>
      <c r="H739" s="147"/>
      <c r="I739" s="259"/>
      <c r="J739" s="259"/>
      <c r="K739" s="205"/>
      <c r="L739" s="158"/>
      <c r="O739" s="264">
        <f t="shared" si="41"/>
        <v>461.99999999999994</v>
      </c>
    </row>
    <row r="740" spans="1:15" ht="15.75" customHeight="1" x14ac:dyDescent="0.3">
      <c r="B740" s="99" t="s">
        <v>3007</v>
      </c>
      <c r="C740" s="263">
        <f>VLOOKUP("OPEXInsuranceEverythingDefault", Econ.inputsTable!$E:$G,2,FALSE)</f>
        <v>5.0000000000000001E-3</v>
      </c>
      <c r="D740" s="237">
        <f>VLOOKUP("OPEXRepair and maintenanceEquipmentDefault",Econ.inputsTable!$E:$G,2,FALSE)</f>
        <v>0.03</v>
      </c>
      <c r="H740" s="147"/>
      <c r="I740" s="259"/>
      <c r="J740" s="259"/>
      <c r="K740" s="205"/>
      <c r="L740" s="158"/>
      <c r="O740" s="264">
        <f t="shared" si="41"/>
        <v>532</v>
      </c>
    </row>
    <row r="741" spans="1:15" ht="15.75" customHeight="1" x14ac:dyDescent="0.3">
      <c r="B741" s="235" t="s">
        <v>3465</v>
      </c>
      <c r="C741" s="263">
        <f>VLOOKUP("OPEXInsuranceEverythingDefault", Econ.inputsTable!$E:$G,2,FALSE)</f>
        <v>5.0000000000000001E-3</v>
      </c>
      <c r="D741" s="237">
        <f>VLOOKUP("OPEXRepair and maintenanceBuildings and constructionDefault",Econ.inputsTable!$E:$G,2,FALSE)</f>
        <v>0.01</v>
      </c>
      <c r="H741" s="147"/>
      <c r="I741" s="259"/>
      <c r="J741" s="259"/>
      <c r="K741" s="205"/>
      <c r="L741" s="158"/>
      <c r="O741" s="264">
        <f t="shared" si="41"/>
        <v>1425.6</v>
      </c>
    </row>
    <row r="742" spans="1:15" ht="15.75" customHeight="1" x14ac:dyDescent="0.3">
      <c r="B742" s="99" t="s">
        <v>349</v>
      </c>
      <c r="C742" s="263">
        <f>VLOOKUP("OPEXInsuranceEverythingDefault", Econ.inputsTable!$E:$G,2,FALSE)</f>
        <v>5.0000000000000001E-3</v>
      </c>
      <c r="D742" s="237">
        <f>VLOOKUP("OPEXRepair and maintenanceEquipmentDefault",Econ.inputsTable!$E:$G,2,FALSE)</f>
        <v>0.03</v>
      </c>
      <c r="H742" s="147">
        <f>(E674+(E695/E682))</f>
        <v>0.82171584267568498</v>
      </c>
      <c r="I742" s="259">
        <f>H742*E704</f>
        <v>3.0374648604144179</v>
      </c>
      <c r="J742" s="259">
        <f>I742*VLOOKUP("OPEXLubeLubeDefault",Econ.inputsTable!$E:$G,2,FALSE)</f>
        <v>0.30374648604144183</v>
      </c>
      <c r="K742" s="205">
        <f>(E668*VLOOKUP("OPEXLaborTractorDefault",Econ.inputsTable!$E:$G,2,FALSE))+(E689/E682*VLOOKUP("OPEXLaborTractorDefault",Econ.inputsTable!$E:$G,2,FALSE))</f>
        <v>0.15064790449054227</v>
      </c>
      <c r="L742" s="158">
        <f>K742*E707</f>
        <v>3.5643294202462301</v>
      </c>
      <c r="O742" s="264">
        <f t="shared" si="41"/>
        <v>8.0310175658868879</v>
      </c>
    </row>
    <row r="743" spans="1:15" ht="15.75" customHeight="1" x14ac:dyDescent="0.3">
      <c r="A743" t="s">
        <v>5205</v>
      </c>
      <c r="B743" s="162" t="s">
        <v>5203</v>
      </c>
      <c r="C743" s="241"/>
      <c r="D743" s="241"/>
      <c r="E743" s="242">
        <f t="shared" ref="E743:O743" si="42">SUM(E730:E742)</f>
        <v>0</v>
      </c>
      <c r="F743" s="286">
        <f t="shared" si="42"/>
        <v>931.22205127489576</v>
      </c>
      <c r="G743" s="242">
        <f t="shared" si="42"/>
        <v>63.874072533697223</v>
      </c>
      <c r="H743" s="286">
        <f t="shared" si="42"/>
        <v>66.621068453732661</v>
      </c>
      <c r="I743" s="242">
        <f t="shared" si="42"/>
        <v>246.26415103857695</v>
      </c>
      <c r="J743" s="242">
        <f t="shared" si="42"/>
        <v>24.626415103857695</v>
      </c>
      <c r="K743" s="402">
        <f t="shared" si="42"/>
        <v>9.4700329746144636</v>
      </c>
      <c r="L743" s="242">
        <f t="shared" si="42"/>
        <v>224.06098017937822</v>
      </c>
      <c r="M743" s="374">
        <f t="shared" si="42"/>
        <v>0</v>
      </c>
      <c r="N743" s="242">
        <f t="shared" si="42"/>
        <v>0</v>
      </c>
      <c r="O743" s="169">
        <f t="shared" si="42"/>
        <v>30979.740818786286</v>
      </c>
    </row>
    <row r="744" spans="1:15" ht="14.4" x14ac:dyDescent="0.3">
      <c r="B744" s="99"/>
      <c r="O744" s="146"/>
    </row>
    <row r="745" spans="1:15" ht="14.4" x14ac:dyDescent="0.3">
      <c r="A745" t="s">
        <v>5205</v>
      </c>
      <c r="B745" s="149" t="s">
        <v>6980</v>
      </c>
      <c r="C745" s="159">
        <f>O743</f>
        <v>30979.740818786286</v>
      </c>
      <c r="D745" s="150" t="s">
        <v>5181</v>
      </c>
      <c r="E745" s="150"/>
      <c r="F745" s="150"/>
      <c r="G745" s="150"/>
      <c r="H745" s="150"/>
      <c r="I745" s="150"/>
      <c r="J745" s="150"/>
      <c r="K745" s="150"/>
      <c r="L745" s="150"/>
      <c r="M745" s="150"/>
      <c r="N745" s="150"/>
      <c r="O745" s="151"/>
    </row>
    <row r="746" spans="1:15" ht="14.4" x14ac:dyDescent="0.3"/>
    <row r="747" spans="1:15" ht="15.75" customHeight="1" x14ac:dyDescent="0.3">
      <c r="B747" s="384" t="s">
        <v>7123</v>
      </c>
      <c r="C747" s="3057" t="s">
        <v>6402</v>
      </c>
      <c r="D747" s="3058"/>
      <c r="E747" s="3059" t="s">
        <v>6417</v>
      </c>
      <c r="F747" s="3058"/>
    </row>
    <row r="748" spans="1:15" ht="15.75" customHeight="1" x14ac:dyDescent="0.3">
      <c r="B748" s="385" t="s">
        <v>7012</v>
      </c>
      <c r="C748" s="139" t="s">
        <v>7124</v>
      </c>
      <c r="D748" s="245" t="s">
        <v>7125</v>
      </c>
      <c r="E748" s="139" t="s">
        <v>7124</v>
      </c>
      <c r="F748" s="245" t="s">
        <v>7125</v>
      </c>
    </row>
    <row r="749" spans="1:15" ht="14.4" x14ac:dyDescent="0.3">
      <c r="A749" t="s">
        <v>5205</v>
      </c>
      <c r="B749" s="386" t="s">
        <v>7013</v>
      </c>
      <c r="C749" s="387">
        <f xml:space="preserve"> VLOOKUP("Fertilizer value for on-farm use, liquids",$R$1:$T$332,3, FALSE)</f>
        <v>4774.9083544947553</v>
      </c>
      <c r="D749" s="388">
        <f>VLOOKUP("Fertilizer value for on-farm use, liquids",$R$1:$T$332,3, FALSE)</f>
        <v>4774.9083544947553</v>
      </c>
      <c r="E749" s="387">
        <v>0</v>
      </c>
      <c r="F749" s="389">
        <f>VLOOKUP("Fertilizer value for on-farm use, sludge",$R$1:$T$332,3, FALSE)</f>
        <v>11871.609652078669</v>
      </c>
    </row>
    <row r="750" spans="1:15" ht="14.4" x14ac:dyDescent="0.3">
      <c r="A750" t="s">
        <v>5205</v>
      </c>
      <c r="B750" s="386" t="s">
        <v>7126</v>
      </c>
      <c r="C750" s="390">
        <f>C749</f>
        <v>4774.9083544947553</v>
      </c>
      <c r="D750" s="391"/>
      <c r="E750" s="390">
        <f>(F749/UDV.anaer_lagoon.sludge_time)</f>
        <v>1187.1609652078669</v>
      </c>
      <c r="F750" s="391"/>
    </row>
    <row r="751" spans="1:15" ht="14.4" x14ac:dyDescent="0.3">
      <c r="A751" t="s">
        <v>5205</v>
      </c>
      <c r="B751" s="386" t="s">
        <v>7014</v>
      </c>
      <c r="C751" s="393">
        <f>SUM(C750,E750)</f>
        <v>5962.0693197026221</v>
      </c>
      <c r="D751" s="146"/>
      <c r="E751" s="99"/>
      <c r="F751" s="146"/>
    </row>
    <row r="752" spans="1:15" ht="14.4" x14ac:dyDescent="0.3">
      <c r="B752" s="386"/>
      <c r="D752" s="146"/>
      <c r="E752" s="99"/>
      <c r="F752" s="146"/>
    </row>
    <row r="753" spans="1:6" ht="15.75" customHeight="1" x14ac:dyDescent="0.3">
      <c r="B753" s="394" t="s">
        <v>7015</v>
      </c>
      <c r="C753" s="139" t="s">
        <v>7124</v>
      </c>
      <c r="D753" s="245" t="s">
        <v>7125</v>
      </c>
      <c r="E753" s="139" t="s">
        <v>7124</v>
      </c>
      <c r="F753" s="245" t="s">
        <v>7125</v>
      </c>
    </row>
    <row r="754" spans="1:6" ht="14.4" x14ac:dyDescent="0.3">
      <c r="A754" t="s">
        <v>5205</v>
      </c>
      <c r="B754" s="386" t="s">
        <v>7016</v>
      </c>
      <c r="C754" s="387">
        <f>UDV.econ_manure.liquid_sell_price*C633</f>
        <v>0</v>
      </c>
      <c r="D754" s="389">
        <f>UDV.econ_manure.liquid_sell_price*C633</f>
        <v>0</v>
      </c>
      <c r="E754" s="387">
        <v>0</v>
      </c>
      <c r="F754" s="389">
        <f>UDV.econ_manure.sludge_sell_price*C636</f>
        <v>0</v>
      </c>
    </row>
    <row r="755" spans="1:6" ht="14.4" x14ac:dyDescent="0.3">
      <c r="A755" t="s">
        <v>5205</v>
      </c>
      <c r="B755" s="386" t="s">
        <v>7127</v>
      </c>
      <c r="C755" s="390">
        <f>C754</f>
        <v>0</v>
      </c>
      <c r="D755" s="391"/>
      <c r="E755" s="390">
        <f>(F754/UDV.anaer_lagoon.sludge_time)</f>
        <v>0</v>
      </c>
      <c r="F755" s="391"/>
    </row>
    <row r="756" spans="1:6" ht="14.4" x14ac:dyDescent="0.3">
      <c r="A756" t="s">
        <v>5205</v>
      </c>
      <c r="B756" s="386" t="s">
        <v>7017</v>
      </c>
      <c r="C756" s="393">
        <f>SUM(C755,E755)</f>
        <v>0</v>
      </c>
      <c r="D756" s="146"/>
      <c r="E756" s="99"/>
      <c r="F756" s="146"/>
    </row>
    <row r="757" spans="1:6" ht="14.4" x14ac:dyDescent="0.3">
      <c r="B757" s="386"/>
      <c r="C757" s="166"/>
      <c r="D757" s="146"/>
      <c r="E757" s="395"/>
      <c r="F757" s="396"/>
    </row>
    <row r="758" spans="1:6" ht="15.75" customHeight="1" x14ac:dyDescent="0.3">
      <c r="B758" s="397" t="s">
        <v>7018</v>
      </c>
      <c r="C758" s="139" t="s">
        <v>7124</v>
      </c>
      <c r="D758" s="245" t="s">
        <v>7125</v>
      </c>
      <c r="E758" s="139" t="s">
        <v>7124</v>
      </c>
      <c r="F758" s="245" t="s">
        <v>7125</v>
      </c>
    </row>
    <row r="759" spans="1:6" ht="14.4" x14ac:dyDescent="0.3">
      <c r="A759" t="s">
        <v>5205</v>
      </c>
      <c r="B759" s="386" t="s">
        <v>7019</v>
      </c>
      <c r="C759" s="387">
        <f>UDV.econ_manure.liquid_sell_price*C634</f>
        <v>0</v>
      </c>
      <c r="D759" s="389">
        <f>UDV.econ_manure.liquid_sell_price*C634</f>
        <v>0</v>
      </c>
      <c r="E759" s="387"/>
      <c r="F759" s="389">
        <f>UDV.econ_manure.sludge_sell_price*C637</f>
        <v>0</v>
      </c>
    </row>
    <row r="760" spans="1:6" ht="14.4" x14ac:dyDescent="0.3">
      <c r="A760" t="s">
        <v>5205</v>
      </c>
      <c r="B760" s="386" t="s">
        <v>7128</v>
      </c>
      <c r="C760" s="390">
        <f>C759</f>
        <v>0</v>
      </c>
      <c r="D760" s="391"/>
      <c r="E760" s="390">
        <f>(F759/UDV.anaer_lagoon.sludge_time)</f>
        <v>0</v>
      </c>
      <c r="F760" s="391"/>
    </row>
    <row r="761" spans="1:6" ht="14.4" x14ac:dyDescent="0.3">
      <c r="A761" t="s">
        <v>5205</v>
      </c>
      <c r="B761" s="386" t="s">
        <v>7020</v>
      </c>
      <c r="C761" s="393">
        <f>SUM(C760,E760)</f>
        <v>0</v>
      </c>
      <c r="D761" s="146"/>
      <c r="E761" s="99"/>
      <c r="F761" s="146"/>
    </row>
    <row r="762" spans="1:6" ht="14.4" x14ac:dyDescent="0.3">
      <c r="B762" s="386"/>
      <c r="D762" s="146"/>
      <c r="E762" s="99"/>
      <c r="F762" s="146"/>
    </row>
    <row r="763" spans="1:6" ht="15.75" customHeight="1" x14ac:dyDescent="0.3">
      <c r="B763" s="398" t="s">
        <v>7021</v>
      </c>
      <c r="C763" s="139" t="s">
        <v>7124</v>
      </c>
      <c r="D763" s="245" t="s">
        <v>7125</v>
      </c>
      <c r="E763" s="139" t="s">
        <v>7124</v>
      </c>
      <c r="F763" s="245" t="s">
        <v>7125</v>
      </c>
    </row>
    <row r="764" spans="1:6" ht="14.4" x14ac:dyDescent="0.3">
      <c r="A764" t="s">
        <v>5205</v>
      </c>
      <c r="B764" s="386" t="s">
        <v>7022</v>
      </c>
      <c r="C764" s="387">
        <f>UDV.econ_manure.liquid_export_cost*C635</f>
        <v>0</v>
      </c>
      <c r="D764" s="389">
        <f>UDV.econ_manure.liquid_export_cost*C635</f>
        <v>0</v>
      </c>
      <c r="E764" s="387"/>
      <c r="F764" s="389">
        <f>UDV.econ_manure.sludge_export_cost*C638</f>
        <v>0</v>
      </c>
    </row>
    <row r="765" spans="1:6" ht="14.4" x14ac:dyDescent="0.3">
      <c r="A765" t="s">
        <v>5205</v>
      </c>
      <c r="B765" s="386" t="s">
        <v>7129</v>
      </c>
      <c r="C765" s="390">
        <f>C764</f>
        <v>0</v>
      </c>
      <c r="D765" s="391"/>
      <c r="E765" s="390">
        <f>(F764/UDV.anaer_lagoon.sludge_time)</f>
        <v>0</v>
      </c>
      <c r="F765" s="391"/>
    </row>
    <row r="766" spans="1:6" ht="14.4" x14ac:dyDescent="0.3">
      <c r="A766" t="s">
        <v>5205</v>
      </c>
      <c r="B766" s="386" t="s">
        <v>7023</v>
      </c>
      <c r="C766" s="393">
        <f>SUM(C765,E765)</f>
        <v>0</v>
      </c>
      <c r="D766" s="146"/>
      <c r="E766" s="99"/>
      <c r="F766" s="146"/>
    </row>
    <row r="767" spans="1:6" ht="14.4" x14ac:dyDescent="0.3">
      <c r="B767" s="386"/>
      <c r="D767" s="146"/>
      <c r="E767" s="99"/>
      <c r="F767" s="146"/>
    </row>
    <row r="768" spans="1:6" ht="15.75" customHeight="1" x14ac:dyDescent="0.3">
      <c r="B768" s="303" t="s">
        <v>7138</v>
      </c>
      <c r="C768" s="82" t="s">
        <v>5181</v>
      </c>
      <c r="D768" s="173"/>
      <c r="E768" s="99"/>
      <c r="F768" s="146"/>
    </row>
    <row r="769" spans="1:23" ht="14.4" x14ac:dyDescent="0.3">
      <c r="B769" s="70" t="s">
        <v>7139</v>
      </c>
      <c r="C769" s="265"/>
      <c r="D769" s="151"/>
      <c r="E769" s="149"/>
      <c r="F769" s="151"/>
    </row>
    <row r="770" spans="1:23" ht="15" thickBot="1" x14ac:dyDescent="0.35">
      <c r="A770" s="137"/>
      <c r="B770" s="137"/>
      <c r="C770" s="137"/>
      <c r="D770" s="137"/>
      <c r="E770" s="137"/>
      <c r="F770" s="137"/>
      <c r="G770" s="137"/>
      <c r="H770" s="137"/>
      <c r="I770" s="137"/>
      <c r="J770" s="137"/>
      <c r="K770" s="137"/>
      <c r="L770" s="137"/>
      <c r="M770" s="137"/>
      <c r="N770" s="137"/>
      <c r="O770" s="137"/>
      <c r="P770" s="137"/>
      <c r="Q770" s="137"/>
      <c r="U770" s="42"/>
      <c r="W770" s="36"/>
    </row>
    <row r="771" spans="1:23" ht="14.4" x14ac:dyDescent="0.3">
      <c r="U771" s="42"/>
      <c r="W771" s="36"/>
    </row>
    <row r="772" spans="1:23" ht="15.75" customHeight="1" x14ac:dyDescent="0.3">
      <c r="B772" s="139" t="s">
        <v>7050</v>
      </c>
      <c r="C772" s="142"/>
      <c r="D772" s="142"/>
      <c r="E772" s="267"/>
      <c r="F772" s="267"/>
      <c r="G772" s="142"/>
      <c r="H772" s="142"/>
      <c r="I772" s="142"/>
      <c r="J772" s="142"/>
      <c r="K772" s="142"/>
      <c r="L772" s="142"/>
      <c r="M772" s="142"/>
      <c r="N772" s="142"/>
      <c r="O772" s="142"/>
      <c r="P772" s="142"/>
      <c r="Q772" s="142"/>
      <c r="R772" s="142"/>
      <c r="S772" s="142"/>
      <c r="T772" s="142"/>
      <c r="U772" s="142"/>
      <c r="V772" s="142"/>
      <c r="W772" s="141"/>
    </row>
    <row r="773" spans="1:23" ht="15.75" customHeight="1" x14ac:dyDescent="0.3">
      <c r="B773" s="92" t="s">
        <v>7051</v>
      </c>
      <c r="E773" s="66"/>
      <c r="F773" s="66"/>
      <c r="W773" s="146"/>
    </row>
    <row r="774" spans="1:23" ht="15.75" customHeight="1" x14ac:dyDescent="0.3">
      <c r="B774" s="99"/>
      <c r="W774" s="146"/>
    </row>
    <row r="775" spans="1:23" ht="15.75" customHeight="1" x14ac:dyDescent="0.3">
      <c r="B775" s="92" t="s">
        <v>7052</v>
      </c>
      <c r="C775" s="82" t="s">
        <v>565</v>
      </c>
      <c r="D775" s="82" t="s">
        <v>38</v>
      </c>
      <c r="E775" s="66"/>
      <c r="W775" s="146"/>
    </row>
    <row r="776" spans="1:23" ht="15.75" customHeight="1" x14ac:dyDescent="0.3">
      <c r="B776" s="99" t="s">
        <v>5859</v>
      </c>
      <c r="C776">
        <f>UDV.animal.total</f>
        <v>500</v>
      </c>
      <c r="D776" t="s">
        <v>2442</v>
      </c>
      <c r="E776" s="66"/>
      <c r="W776" s="146"/>
    </row>
    <row r="777" spans="1:23" ht="15.75" customHeight="1" x14ac:dyDescent="0.3">
      <c r="B777" s="174" t="s">
        <v>5386</v>
      </c>
      <c r="C777">
        <f>UDV.crops.acres_available</f>
        <v>100</v>
      </c>
      <c r="D777" t="s">
        <v>7029</v>
      </c>
      <c r="E777" s="66"/>
      <c r="W777" s="146"/>
    </row>
    <row r="778" spans="1:23" ht="15.75" customHeight="1" x14ac:dyDescent="0.3">
      <c r="B778" s="99" t="s">
        <v>5114</v>
      </c>
      <c r="C778" t="str">
        <f>UDV.u.state</f>
        <v>Iowa</v>
      </c>
      <c r="D778" t="s">
        <v>2852</v>
      </c>
      <c r="E778" s="66"/>
      <c r="W778" s="146"/>
    </row>
    <row r="779" spans="1:23" ht="15.75" customHeight="1" x14ac:dyDescent="0.3">
      <c r="A779" t="s">
        <v>4912</v>
      </c>
      <c r="B779" s="99" t="s">
        <v>7240</v>
      </c>
      <c r="C779" s="166">
        <f>VLOOKUP("Emissions reductions for tanker", $R$1:$U$299,3,FALSE)*UDV.econ_energy.carbon_credits</f>
        <v>0</v>
      </c>
      <c r="D779" t="s">
        <v>5181</v>
      </c>
      <c r="E779" s="66"/>
      <c r="W779" s="146"/>
    </row>
    <row r="780" spans="1:23" ht="15.75" customHeight="1" x14ac:dyDescent="0.3">
      <c r="B780" s="99"/>
      <c r="D780" s="66"/>
      <c r="E780" s="66"/>
      <c r="W780" s="146"/>
    </row>
    <row r="781" spans="1:23" ht="15.75" customHeight="1" x14ac:dyDescent="0.3">
      <c r="A781" t="s">
        <v>4912</v>
      </c>
      <c r="B781" s="92" t="s">
        <v>7053</v>
      </c>
      <c r="C781" s="82" t="s">
        <v>5181</v>
      </c>
      <c r="D781" s="82" t="s">
        <v>7140</v>
      </c>
      <c r="E781" s="66"/>
      <c r="W781" s="146"/>
    </row>
    <row r="782" spans="1:23" ht="15.75" customHeight="1" x14ac:dyDescent="0.3">
      <c r="A782" t="s">
        <v>4912</v>
      </c>
      <c r="B782" s="275" t="s">
        <v>2585</v>
      </c>
      <c r="C782" s="276">
        <f>F802</f>
        <v>80882.898677704332</v>
      </c>
      <c r="D782" s="153">
        <f>C782/C776</f>
        <v>161.76579735540867</v>
      </c>
      <c r="E782" s="66"/>
      <c r="W782" s="146"/>
    </row>
    <row r="783" spans="1:23" ht="15.75" customHeight="1" x14ac:dyDescent="0.3">
      <c r="A783" t="s">
        <v>4912</v>
      </c>
      <c r="B783" s="275" t="s">
        <v>2588</v>
      </c>
      <c r="C783" s="276">
        <f>G802+L802</f>
        <v>24321.686835412394</v>
      </c>
      <c r="D783" s="153">
        <f>C783/C776</f>
        <v>48.643373670824786</v>
      </c>
      <c r="E783" s="66"/>
      <c r="W783" s="146"/>
    </row>
    <row r="784" spans="1:23" ht="15.75" customHeight="1" x14ac:dyDescent="0.3">
      <c r="A784" t="s">
        <v>4912</v>
      </c>
      <c r="B784" s="275" t="s">
        <v>441</v>
      </c>
      <c r="C784" s="276">
        <f>I802</f>
        <v>860.94465773275579</v>
      </c>
      <c r="D784" s="153">
        <f>C784/C776</f>
        <v>1.7218893154655115</v>
      </c>
      <c r="E784" s="66"/>
      <c r="W784" s="146"/>
    </row>
    <row r="785" spans="1:25" ht="15.75" customHeight="1" x14ac:dyDescent="0.3">
      <c r="A785" t="s">
        <v>4912</v>
      </c>
      <c r="B785" s="275" t="s">
        <v>440</v>
      </c>
      <c r="C785" s="276">
        <f>J802</f>
        <v>5962.0693197026221</v>
      </c>
      <c r="D785" s="153">
        <f>C785/C776</f>
        <v>11.924138639405244</v>
      </c>
      <c r="E785" s="66"/>
      <c r="W785" s="146"/>
    </row>
    <row r="786" spans="1:25" ht="15.75" customHeight="1" x14ac:dyDescent="0.3">
      <c r="A786" t="s">
        <v>4912</v>
      </c>
      <c r="B786" s="275" t="s">
        <v>442</v>
      </c>
      <c r="C786" s="276">
        <f>K802</f>
        <v>0</v>
      </c>
      <c r="D786" s="153">
        <f>C786/C776</f>
        <v>0</v>
      </c>
      <c r="E786" s="66"/>
      <c r="W786" s="146"/>
    </row>
    <row r="787" spans="1:25" ht="15.75" customHeight="1" x14ac:dyDescent="0.3">
      <c r="A787" t="s">
        <v>4912</v>
      </c>
      <c r="B787" s="2270" t="s">
        <v>439</v>
      </c>
      <c r="C787" s="2271">
        <f>M802</f>
        <v>-105204.58551311672</v>
      </c>
      <c r="D787" s="159">
        <f>C787/C776</f>
        <v>-210.40917102623345</v>
      </c>
      <c r="E787" s="288"/>
      <c r="W787" s="146"/>
    </row>
    <row r="788" spans="1:25" ht="15.75" customHeight="1" x14ac:dyDescent="0.3">
      <c r="A788" t="s">
        <v>4912</v>
      </c>
      <c r="B788" s="99" t="s">
        <v>7055</v>
      </c>
      <c r="C788" s="276">
        <f>L802</f>
        <v>0</v>
      </c>
      <c r="D788" s="153">
        <f>C788/C776</f>
        <v>0</v>
      </c>
      <c r="E788" s="279" t="s">
        <v>7056</v>
      </c>
      <c r="W788" s="146"/>
    </row>
    <row r="789" spans="1:25" ht="15.75" customHeight="1" x14ac:dyDescent="0.3">
      <c r="A789" t="s">
        <v>4912</v>
      </c>
      <c r="B789" s="99" t="s">
        <v>7057</v>
      </c>
      <c r="C789" s="153">
        <f>C782+C783</f>
        <v>105204.58551311673</v>
      </c>
      <c r="D789" s="153">
        <f>C789/C776</f>
        <v>210.40917102623348</v>
      </c>
      <c r="E789" s="66"/>
      <c r="W789" s="146"/>
    </row>
    <row r="790" spans="1:25" ht="13.5" customHeight="1" x14ac:dyDescent="0.3">
      <c r="A790" t="s">
        <v>4912</v>
      </c>
      <c r="B790" s="853" t="s">
        <v>5392</v>
      </c>
      <c r="C790" s="142"/>
      <c r="D790" s="854">
        <f>E802</f>
        <v>1809216.3969227483</v>
      </c>
      <c r="E790" s="271" t="s">
        <v>2284</v>
      </c>
      <c r="W790" s="146"/>
    </row>
    <row r="791" spans="1:25" ht="13.5" customHeight="1" x14ac:dyDescent="0.3">
      <c r="A791" t="s">
        <v>4912</v>
      </c>
      <c r="B791" s="852" t="s">
        <v>5393</v>
      </c>
      <c r="D791" s="274">
        <f>E802/C776</f>
        <v>3618.4327938454967</v>
      </c>
      <c r="E791" s="20" t="s">
        <v>7058</v>
      </c>
      <c r="G791" s="66"/>
      <c r="I791" s="42"/>
      <c r="J791" s="3"/>
      <c r="L791" s="42"/>
      <c r="T791" s="20"/>
      <c r="W791" s="113"/>
    </row>
    <row r="792" spans="1:25" ht="15.75" customHeight="1" x14ac:dyDescent="0.3">
      <c r="B792" s="174"/>
      <c r="E792" s="66"/>
      <c r="H792" s="42"/>
      <c r="I792" s="3"/>
      <c r="K792" s="42"/>
      <c r="N792" s="273" t="s">
        <v>7059</v>
      </c>
      <c r="O792" s="90"/>
      <c r="P792" s="90"/>
      <c r="Q792" s="90"/>
      <c r="R792" s="90"/>
      <c r="S792" s="279"/>
      <c r="T792" s="90"/>
      <c r="U792" s="90"/>
      <c r="V792" s="42"/>
      <c r="W792" s="146"/>
    </row>
    <row r="793" spans="1:25" ht="15.75" customHeight="1" x14ac:dyDescent="0.3">
      <c r="B793" s="92" t="s">
        <v>7060</v>
      </c>
      <c r="E793" s="66"/>
      <c r="M793" s="113"/>
      <c r="N793" s="90" t="s">
        <v>5323</v>
      </c>
      <c r="O793" s="90" t="s">
        <v>5181</v>
      </c>
      <c r="P793" s="90" t="s">
        <v>5324</v>
      </c>
      <c r="Q793" s="90" t="s">
        <v>5181</v>
      </c>
      <c r="R793" s="90" t="s">
        <v>2710</v>
      </c>
      <c r="S793" s="90" t="s">
        <v>5181</v>
      </c>
      <c r="T793" s="90" t="s">
        <v>2710</v>
      </c>
      <c r="U793" s="90" t="s">
        <v>5181</v>
      </c>
      <c r="V793" s="90" t="s">
        <v>2710</v>
      </c>
      <c r="W793" s="280" t="s">
        <v>5181</v>
      </c>
    </row>
    <row r="794" spans="1:25" ht="15.75" customHeight="1" x14ac:dyDescent="0.3">
      <c r="B794" s="92" t="s">
        <v>5187</v>
      </c>
      <c r="C794" s="82" t="s">
        <v>7061</v>
      </c>
      <c r="D794" s="82" t="s">
        <v>7062</v>
      </c>
      <c r="E794" s="277" t="s">
        <v>7063</v>
      </c>
      <c r="F794" s="152" t="s">
        <v>7064</v>
      </c>
      <c r="G794" s="277" t="s">
        <v>2588</v>
      </c>
      <c r="H794" s="152" t="s">
        <v>5188</v>
      </c>
      <c r="I794" s="82" t="s">
        <v>5189</v>
      </c>
      <c r="J794" s="82" t="s">
        <v>5190</v>
      </c>
      <c r="K794" s="82" t="s">
        <v>442</v>
      </c>
      <c r="L794" s="82" t="s">
        <v>5191</v>
      </c>
      <c r="M794" s="173" t="s">
        <v>439</v>
      </c>
      <c r="N794" s="281" t="s">
        <v>5192</v>
      </c>
      <c r="O794" s="281" t="s">
        <v>5193</v>
      </c>
      <c r="P794" s="281" t="s">
        <v>5194</v>
      </c>
      <c r="Q794" s="281" t="s">
        <v>5195</v>
      </c>
      <c r="R794" s="281" t="s">
        <v>5196</v>
      </c>
      <c r="S794" s="281" t="s">
        <v>5197</v>
      </c>
      <c r="T794" s="281" t="s">
        <v>5198</v>
      </c>
      <c r="U794" s="281" t="s">
        <v>5199</v>
      </c>
      <c r="V794" s="281" t="s">
        <v>5200</v>
      </c>
      <c r="W794" s="282" t="s">
        <v>5201</v>
      </c>
    </row>
    <row r="795" spans="1:25" ht="14.4" x14ac:dyDescent="0.3">
      <c r="A795" t="s">
        <v>7066</v>
      </c>
      <c r="B795" s="99" t="s">
        <v>6945</v>
      </c>
      <c r="C795" s="158">
        <f>SUMIFS($C$300:$C$766,$A$300:$A$766,_xlfn.CONCAT(B795,"_construction"))</f>
        <v>17700.891908535374</v>
      </c>
      <c r="D795" s="158">
        <f>SUMIFS($C$300:$C$766,$A$300:$A$766,_xlfn.CONCAT(B795,"_equipment"))</f>
        <v>0</v>
      </c>
      <c r="E795" s="274">
        <f>SUM(C795:D795)</f>
        <v>17700.891908535374</v>
      </c>
      <c r="F795" s="158">
        <f>SUMIFS($D$300:$D$766,$A$300:$A$766,$B795,$B$300:$B$766,"Total capital recovery value")</f>
        <v>1432.4335079052032</v>
      </c>
      <c r="G795" s="158">
        <f>SUMIFS($C$300:$C$766,$A$300:$A$766,$B795,$B$300:$B$766,"Annual operational costs")</f>
        <v>265.51337862803058</v>
      </c>
      <c r="H795" s="153">
        <f>SUM(F795:G795)</f>
        <v>1697.9468865332337</v>
      </c>
      <c r="I795" s="158">
        <f>SUMIFS($C$300:$C$766,$A$300:$A$766,$B795,$B$300:$B$766,"Annual cost savings")</f>
        <v>0</v>
      </c>
      <c r="J795" s="158">
        <f>SUMIFS($C$300:$C$766,$A$300:$A$766,$B795,$B$300:$B$766,"Annual fertilizer value for on-farm use")</f>
        <v>0</v>
      </c>
      <c r="K795" s="158">
        <f>SUMIFS($C$300:$C$766,$A$300:$A$766,$B795,$B$300:$B$766,"Annual revenues")</f>
        <v>0</v>
      </c>
      <c r="L795" s="158">
        <f>SUMIFS($C$300:$C$766,$A$300:$A$766,$B795,$B$300:$B$766,"Annual cost to export excess")</f>
        <v>0</v>
      </c>
      <c r="M795" s="283">
        <f>K795-F795-G795</f>
        <v>-1697.9468865332337</v>
      </c>
      <c r="N795">
        <f>SUMIFS($F$300:$F$766,$A$300:$A$766,$B795,$B$300:$B$766,"Totals")</f>
        <v>0</v>
      </c>
      <c r="O795">
        <f>SUMIFS($G$300:$G$766,$A$300:$A$766,$B795,$B$300:$B$766,"Totals")</f>
        <v>0</v>
      </c>
      <c r="P795" s="147">
        <f>SUMIFS($H$300:$H$766,$A$300:$A$766,$B795,$B$300:$B$766,"Totals")</f>
        <v>0</v>
      </c>
      <c r="Q795" s="147">
        <f>SUMIFS($I$300:$I$766,$A$300:$A$766,$B795,$B$300:$B$766,"Totals")</f>
        <v>0</v>
      </c>
      <c r="R795" s="2315">
        <f>SUMIFS($K$300:$K$766,$A$300:$A$766,$B795,$B$300:$B$766,"Totals")</f>
        <v>0</v>
      </c>
      <c r="S795" s="2315">
        <f>SUMIFS($L$300:$L$766,$A$300:$A$766,$B795,$B$300:$B$766,"Totals")</f>
        <v>0</v>
      </c>
      <c r="T795" s="2315">
        <f>SUMIFS($M$300:$M$766,$A$300:$A$766,$B795,$B$300:$B$766,"Totals")</f>
        <v>0</v>
      </c>
      <c r="U795" s="2315">
        <f>SUMIFS($N$300:$N$766,$A$300:$A$766,$B795,$B$300:$B$766,"Totals")</f>
        <v>0</v>
      </c>
      <c r="V795" s="147">
        <f>R795+T795</f>
        <v>0</v>
      </c>
      <c r="W795" s="285">
        <f>S795+U795</f>
        <v>0</v>
      </c>
      <c r="Y795" s="36"/>
    </row>
    <row r="796" spans="1:25" ht="15.75" customHeight="1" x14ac:dyDescent="0.3">
      <c r="A796" t="str">
        <f>_xlfn.CONCAT("TL",B796)</f>
        <v>TLBarn and parlor</v>
      </c>
      <c r="B796" s="99" t="s">
        <v>5209</v>
      </c>
      <c r="C796" s="233">
        <f t="shared" ref="C796:C801" si="43">SUMIFS($C:$C,$A:$A,_xlfn.CONCAT(B796,"_construction"))</f>
        <v>0</v>
      </c>
      <c r="D796" s="233">
        <f t="shared" ref="D796:D801" si="44">SUMIFS($C:$C,$A:$A,_xlfn.CONCAT(B796,"_equipment"))</f>
        <v>0</v>
      </c>
      <c r="E796" s="274">
        <f t="shared" ref="E796:E801" si="45">SUM(C796:D796)</f>
        <v>0</v>
      </c>
      <c r="F796" s="233">
        <f t="shared" ref="F796:F801" si="46">SUMIFS($D:$D,$A:$A,$B796,$B:$B,"Total capital recovery value")</f>
        <v>0</v>
      </c>
      <c r="G796" s="233">
        <f t="shared" ref="G796:G801" si="47">SUMIFS($C:$C,$A:$A,$B796,$B:$B,"Annual operational costs")</f>
        <v>239.78900165651024</v>
      </c>
      <c r="H796" s="153">
        <f t="shared" ref="H796:H801" si="48">SUM(F796:G796)</f>
        <v>239.78900165651024</v>
      </c>
      <c r="I796" s="233">
        <f t="shared" ref="I796:I801" si="49">SUMIFS($C:$C,$A:$A,$B796,$B:$B,"Annual cost savings")</f>
        <v>0</v>
      </c>
      <c r="J796" s="233">
        <f t="shared" ref="J796:J801" si="50">SUMIFS($C:$C,$A:$A,$B796,$B:$B,"Annual fertilizer value for on-farm use")</f>
        <v>0</v>
      </c>
      <c r="K796" s="233">
        <f>SUMIFS($C:$C,$A:$A,$B796,$B:$B,"Annual revenues")</f>
        <v>0</v>
      </c>
      <c r="L796" s="233">
        <f t="shared" ref="L796:L801" si="51">SUMIFS($C:$C,$A:$A,$B796,$B:$B,"Annual cost to export excess")</f>
        <v>0</v>
      </c>
      <c r="M796" s="283">
        <f>K796-F796-G796</f>
        <v>-239.78900165651024</v>
      </c>
      <c r="N796">
        <f t="shared" ref="N796:N801" si="52">SUMIFS($F:$F,$A:$A,$B796,$B:$B,"Totals")</f>
        <v>0</v>
      </c>
      <c r="O796">
        <f t="shared" ref="O796:O801" si="53">SUMIFS($G:$G,$A:$A,$B796,$B:$B,"Totals")</f>
        <v>0</v>
      </c>
      <c r="P796" s="147">
        <f t="shared" ref="P796:P801" si="54">SUMIFS($H:$H,$A:$A,$B796,$B:$B,"Totals")</f>
        <v>0</v>
      </c>
      <c r="Q796" s="147">
        <f t="shared" ref="Q796:Q801" si="55">SUMIFS($I:$I,$A:$A,$B796,$B:$B,"Totals")</f>
        <v>0</v>
      </c>
      <c r="R796" s="284">
        <f t="shared" ref="R796:R801" si="56">SUMIFS($K:$K,$A:$A,$B796,$B:$B,"Totals")</f>
        <v>0</v>
      </c>
      <c r="S796" s="284">
        <f t="shared" ref="S796:S801" si="57">SUMIFS($L:$L,$A:$A,$B796,$B:$B,"Totals")</f>
        <v>0</v>
      </c>
      <c r="T796" s="284">
        <f t="shared" ref="T796:T801" si="58">SUMIFS($M:$M,$A:$A,$B796,$B:$B,"Totals")</f>
        <v>0</v>
      </c>
      <c r="U796" s="284">
        <f t="shared" ref="U796:U801" si="59">SUMIFS($N:$N,$A:$A,$B796,$B:$B,"Totals")</f>
        <v>0</v>
      </c>
      <c r="V796" s="147">
        <f t="shared" ref="V796:W801" si="60">R796+T796</f>
        <v>0</v>
      </c>
      <c r="W796" s="285">
        <f t="shared" si="60"/>
        <v>0</v>
      </c>
    </row>
    <row r="797" spans="1:25" ht="15.75" customHeight="1" x14ac:dyDescent="0.3">
      <c r="A797" t="str">
        <f t="shared" ref="A797:A802" si="61">_xlfn.CONCAT("TL",B797)</f>
        <v>TLReception pit</v>
      </c>
      <c r="B797" s="99" t="s">
        <v>5219</v>
      </c>
      <c r="C797" s="233">
        <f t="shared" si="43"/>
        <v>11278.228484656651</v>
      </c>
      <c r="D797" s="233">
        <f t="shared" si="44"/>
        <v>13570</v>
      </c>
      <c r="E797" s="274">
        <f t="shared" si="45"/>
        <v>24848.228484656651</v>
      </c>
      <c r="F797" s="233">
        <f t="shared" si="46"/>
        <v>2085.172249970477</v>
      </c>
      <c r="G797" s="233">
        <f t="shared" si="47"/>
        <v>1629.2470937565076</v>
      </c>
      <c r="H797" s="153">
        <f t="shared" si="48"/>
        <v>3714.4193437269846</v>
      </c>
      <c r="I797" s="233">
        <f t="shared" si="49"/>
        <v>0</v>
      </c>
      <c r="J797" s="233">
        <f t="shared" si="50"/>
        <v>0</v>
      </c>
      <c r="K797" s="233">
        <f>SUMIFS($C:$C,$A:$A,$B797,$B:$B,"Annual revenues")</f>
        <v>0</v>
      </c>
      <c r="L797" s="233">
        <f t="shared" si="51"/>
        <v>0</v>
      </c>
      <c r="M797" s="283">
        <f t="shared" ref="M797:M801" si="62">K797-F797-G797</f>
        <v>-3714.4193437269846</v>
      </c>
      <c r="N797">
        <f t="shared" si="52"/>
        <v>249.64645588615733</v>
      </c>
      <c r="O797">
        <f t="shared" si="53"/>
        <v>17.123666486658006</v>
      </c>
      <c r="P797" s="147">
        <f t="shared" si="54"/>
        <v>0</v>
      </c>
      <c r="Q797" s="147">
        <f t="shared" si="55"/>
        <v>0</v>
      </c>
      <c r="R797" s="284">
        <f t="shared" si="56"/>
        <v>0</v>
      </c>
      <c r="S797" s="284">
        <f t="shared" si="57"/>
        <v>0</v>
      </c>
      <c r="T797" s="284">
        <f t="shared" si="58"/>
        <v>0</v>
      </c>
      <c r="U797" s="284">
        <f t="shared" si="59"/>
        <v>0</v>
      </c>
      <c r="V797" s="147">
        <f t="shared" si="60"/>
        <v>0</v>
      </c>
      <c r="W797" s="285">
        <f t="shared" si="60"/>
        <v>0</v>
      </c>
    </row>
    <row r="798" spans="1:25" ht="15.75" customHeight="1" x14ac:dyDescent="0.3">
      <c r="A798" t="str">
        <f t="shared" si="61"/>
        <v>TLCovered lagoon</v>
      </c>
      <c r="B798" s="99" t="s">
        <v>4683</v>
      </c>
      <c r="C798" s="233">
        <f t="shared" si="43"/>
        <v>356173.7397391983</v>
      </c>
      <c r="D798" s="233">
        <f t="shared" si="44"/>
        <v>0</v>
      </c>
      <c r="E798" s="274">
        <f t="shared" si="45"/>
        <v>356173.7397391983</v>
      </c>
      <c r="F798" s="233">
        <f t="shared" si="46"/>
        <v>28823.135132095718</v>
      </c>
      <c r="G798" s="233">
        <f t="shared" si="47"/>
        <v>5342.606096087974</v>
      </c>
      <c r="H798" s="153">
        <f t="shared" si="48"/>
        <v>34165.741228183695</v>
      </c>
      <c r="I798" s="233">
        <f t="shared" si="49"/>
        <v>0</v>
      </c>
      <c r="J798" s="233">
        <f t="shared" si="50"/>
        <v>0</v>
      </c>
      <c r="K798" s="784">
        <f>SUMIFS($C:$C,$A:$A,$B798,$B:$B,"Annual revenues for tanker")</f>
        <v>0</v>
      </c>
      <c r="L798" s="233">
        <f t="shared" si="51"/>
        <v>0</v>
      </c>
      <c r="M798" s="283">
        <f t="shared" si="62"/>
        <v>-34165.741228183695</v>
      </c>
      <c r="N798">
        <f t="shared" si="52"/>
        <v>0</v>
      </c>
      <c r="O798">
        <f t="shared" si="53"/>
        <v>0</v>
      </c>
      <c r="P798" s="147">
        <f t="shared" si="54"/>
        <v>0</v>
      </c>
      <c r="Q798" s="147">
        <f t="shared" si="55"/>
        <v>0</v>
      </c>
      <c r="R798" s="284">
        <f t="shared" si="56"/>
        <v>0</v>
      </c>
      <c r="S798" s="284">
        <f t="shared" si="57"/>
        <v>0</v>
      </c>
      <c r="T798" s="284">
        <f t="shared" si="58"/>
        <v>0</v>
      </c>
      <c r="U798" s="284">
        <f t="shared" si="59"/>
        <v>0</v>
      </c>
      <c r="V798" s="147">
        <f t="shared" si="60"/>
        <v>0</v>
      </c>
      <c r="W798" s="285">
        <f t="shared" si="60"/>
        <v>0</v>
      </c>
    </row>
    <row r="799" spans="1:25" ht="15.75" customHeight="1" x14ac:dyDescent="0.3">
      <c r="A799" t="str">
        <f t="shared" si="61"/>
        <v>TLLagoon</v>
      </c>
      <c r="B799" s="99" t="s">
        <v>5210</v>
      </c>
      <c r="C799" s="233">
        <f t="shared" si="43"/>
        <v>121393.53679035802</v>
      </c>
      <c r="D799" s="233">
        <f t="shared" si="44"/>
        <v>0</v>
      </c>
      <c r="E799" s="274">
        <f t="shared" si="45"/>
        <v>121393.53679035802</v>
      </c>
      <c r="F799" s="233">
        <f t="shared" si="46"/>
        <v>9823.6953618016832</v>
      </c>
      <c r="G799" s="233">
        <f t="shared" si="47"/>
        <v>1820.9030518553702</v>
      </c>
      <c r="H799" s="153">
        <f t="shared" si="48"/>
        <v>11644.598413657053</v>
      </c>
      <c r="I799" s="233">
        <f t="shared" si="49"/>
        <v>0</v>
      </c>
      <c r="J799" s="233">
        <f t="shared" si="50"/>
        <v>0</v>
      </c>
      <c r="K799" s="233">
        <f>SUMIFS($C:$C,$A:$A,$B799,$B:$B,"Annual revenues")</f>
        <v>0</v>
      </c>
      <c r="L799" s="233">
        <f t="shared" si="51"/>
        <v>0</v>
      </c>
      <c r="M799" s="283">
        <f t="shared" si="62"/>
        <v>-11644.598413657053</v>
      </c>
      <c r="N799">
        <f t="shared" si="52"/>
        <v>0</v>
      </c>
      <c r="O799">
        <f t="shared" si="53"/>
        <v>0</v>
      </c>
      <c r="P799" s="147">
        <f t="shared" si="54"/>
        <v>0</v>
      </c>
      <c r="Q799" s="147">
        <f t="shared" si="55"/>
        <v>0</v>
      </c>
      <c r="R799" s="284">
        <f t="shared" si="56"/>
        <v>0</v>
      </c>
      <c r="S799" s="284">
        <f t="shared" si="57"/>
        <v>0</v>
      </c>
      <c r="T799" s="284">
        <f t="shared" si="58"/>
        <v>0</v>
      </c>
      <c r="U799" s="284">
        <f t="shared" si="59"/>
        <v>0</v>
      </c>
      <c r="V799" s="147">
        <f t="shared" si="60"/>
        <v>0</v>
      </c>
      <c r="W799" s="285">
        <f t="shared" si="60"/>
        <v>0</v>
      </c>
    </row>
    <row r="800" spans="1:25" ht="15.75" customHeight="1" x14ac:dyDescent="0.3">
      <c r="A800" t="str">
        <f t="shared" si="61"/>
        <v>TLPit recharge</v>
      </c>
      <c r="B800" s="99" t="s">
        <v>5216</v>
      </c>
      <c r="C800" s="233">
        <f t="shared" si="43"/>
        <v>0</v>
      </c>
      <c r="D800" s="233">
        <f t="shared" si="44"/>
        <v>0</v>
      </c>
      <c r="E800" s="274">
        <f t="shared" si="45"/>
        <v>0</v>
      </c>
      <c r="F800" s="233">
        <f t="shared" si="46"/>
        <v>3017.6174069102476</v>
      </c>
      <c r="G800" s="233">
        <f t="shared" si="47"/>
        <v>1014.0635770177494</v>
      </c>
      <c r="H800" s="153">
        <f t="shared" si="48"/>
        <v>4031.6809839279967</v>
      </c>
      <c r="I800" s="233">
        <f t="shared" si="49"/>
        <v>860.94465773275579</v>
      </c>
      <c r="J800" s="233">
        <f t="shared" si="50"/>
        <v>0</v>
      </c>
      <c r="K800" s="233">
        <f>SUMIFS($C:$C,$A:$A,$B800,$B:$B,"Annual revenues")</f>
        <v>0</v>
      </c>
      <c r="L800" s="233">
        <f t="shared" si="51"/>
        <v>0</v>
      </c>
      <c r="M800" s="283">
        <f t="shared" si="62"/>
        <v>-4031.6809839279967</v>
      </c>
      <c r="N800" s="278">
        <f t="shared" si="52"/>
        <v>92.045831870967106</v>
      </c>
      <c r="O800" s="147">
        <f t="shared" si="53"/>
        <v>6.3135770177494184</v>
      </c>
      <c r="P800" s="147">
        <f t="shared" si="54"/>
        <v>0</v>
      </c>
      <c r="Q800" s="147">
        <f t="shared" si="55"/>
        <v>0</v>
      </c>
      <c r="R800" s="284">
        <f t="shared" si="56"/>
        <v>0</v>
      </c>
      <c r="S800" s="284">
        <f t="shared" si="57"/>
        <v>0</v>
      </c>
      <c r="T800" s="284">
        <f t="shared" si="58"/>
        <v>0</v>
      </c>
      <c r="U800" s="284">
        <f t="shared" si="59"/>
        <v>0</v>
      </c>
      <c r="V800" s="147">
        <f t="shared" si="60"/>
        <v>0</v>
      </c>
      <c r="W800" s="285">
        <f t="shared" si="60"/>
        <v>0</v>
      </c>
    </row>
    <row r="801" spans="1:23" ht="15.75" customHeight="1" x14ac:dyDescent="0.3">
      <c r="A801" t="str">
        <f t="shared" si="61"/>
        <v>TLEnd use tanker</v>
      </c>
      <c r="B801" s="99" t="s">
        <v>5202</v>
      </c>
      <c r="C801" s="233">
        <f t="shared" si="43"/>
        <v>0</v>
      </c>
      <c r="D801" s="233">
        <f t="shared" si="44"/>
        <v>1289100</v>
      </c>
      <c r="E801" s="274">
        <f t="shared" si="45"/>
        <v>1289100</v>
      </c>
      <c r="F801" s="233">
        <f t="shared" si="46"/>
        <v>35700.845019020991</v>
      </c>
      <c r="G801" s="233">
        <f t="shared" si="47"/>
        <v>14009.56463641025</v>
      </c>
      <c r="H801" s="153">
        <f t="shared" si="48"/>
        <v>49710.409655431242</v>
      </c>
      <c r="I801" s="233">
        <f t="shared" si="49"/>
        <v>0</v>
      </c>
      <c r="J801" s="233">
        <f t="shared" si="50"/>
        <v>5962.0693197026221</v>
      </c>
      <c r="K801" s="233">
        <f>SUMIFS($C:$C,$A:$A,$B801,$B:$B,"Annual revenues")</f>
        <v>0</v>
      </c>
      <c r="L801" s="233">
        <f t="shared" si="51"/>
        <v>0</v>
      </c>
      <c r="M801" s="283">
        <f t="shared" si="62"/>
        <v>-49710.409655431242</v>
      </c>
      <c r="N801">
        <f t="shared" si="52"/>
        <v>931.22205127489576</v>
      </c>
      <c r="O801">
        <f t="shared" si="53"/>
        <v>63.874072533697223</v>
      </c>
      <c r="P801" s="147">
        <f t="shared" si="54"/>
        <v>164.46926905347146</v>
      </c>
      <c r="Q801" s="147">
        <f t="shared" si="55"/>
        <v>607.95910145927928</v>
      </c>
      <c r="R801" s="284">
        <f t="shared" si="56"/>
        <v>28.083433947404629</v>
      </c>
      <c r="S801" s="284">
        <f t="shared" si="57"/>
        <v>664.4540471955936</v>
      </c>
      <c r="T801" s="284">
        <f t="shared" si="58"/>
        <v>0</v>
      </c>
      <c r="U801" s="284">
        <f t="shared" si="59"/>
        <v>0</v>
      </c>
      <c r="V801" s="147">
        <f t="shared" si="60"/>
        <v>28.083433947404629</v>
      </c>
      <c r="W801" s="285">
        <f t="shared" si="60"/>
        <v>664.4540471955936</v>
      </c>
    </row>
    <row r="802" spans="1:23" ht="15.75" customHeight="1" x14ac:dyDescent="0.3">
      <c r="A802" t="str">
        <f t="shared" si="61"/>
        <v>TLTotals</v>
      </c>
      <c r="B802" s="162" t="s">
        <v>5203</v>
      </c>
      <c r="C802" s="242">
        <f>SUM(C795:C801)</f>
        <v>506546.39692274836</v>
      </c>
      <c r="D802" s="242">
        <f t="shared" ref="D802:M802" si="63">SUM(D795:D801)</f>
        <v>1302670</v>
      </c>
      <c r="E802" s="242">
        <f t="shared" si="63"/>
        <v>1809216.3969227483</v>
      </c>
      <c r="F802" s="242">
        <f t="shared" si="63"/>
        <v>80882.898677704332</v>
      </c>
      <c r="G802" s="242">
        <f t="shared" si="63"/>
        <v>24321.686835412394</v>
      </c>
      <c r="H802" s="242">
        <f t="shared" si="63"/>
        <v>105204.58551311672</v>
      </c>
      <c r="I802" s="242">
        <f t="shared" si="63"/>
        <v>860.94465773275579</v>
      </c>
      <c r="J802" s="242">
        <f t="shared" si="63"/>
        <v>5962.0693197026221</v>
      </c>
      <c r="K802" s="242">
        <f t="shared" si="63"/>
        <v>0</v>
      </c>
      <c r="L802" s="242">
        <f t="shared" si="63"/>
        <v>0</v>
      </c>
      <c r="M802" s="242">
        <f t="shared" si="63"/>
        <v>-105204.58551311672</v>
      </c>
      <c r="N802" s="286">
        <f>SUM(N795:N801)</f>
        <v>1272.9143390320201</v>
      </c>
      <c r="O802" s="286">
        <f t="shared" ref="O802:W802" si="64">SUM(O795:O801)</f>
        <v>87.31131603810465</v>
      </c>
      <c r="P802" s="286">
        <f t="shared" si="64"/>
        <v>164.46926905347146</v>
      </c>
      <c r="Q802" s="286">
        <f t="shared" si="64"/>
        <v>607.95910145927928</v>
      </c>
      <c r="R802" s="286">
        <f t="shared" si="64"/>
        <v>28.083433947404629</v>
      </c>
      <c r="S802" s="286">
        <f t="shared" si="64"/>
        <v>664.4540471955936</v>
      </c>
      <c r="T802" s="286">
        <f t="shared" si="64"/>
        <v>0</v>
      </c>
      <c r="U802" s="286">
        <f t="shared" si="64"/>
        <v>0</v>
      </c>
      <c r="V802" s="286">
        <f t="shared" si="64"/>
        <v>28.083433947404629</v>
      </c>
      <c r="W802" s="286">
        <f t="shared" si="64"/>
        <v>664.4540471955936</v>
      </c>
    </row>
    <row r="803" spans="1:23" ht="15.75" customHeight="1" x14ac:dyDescent="0.3">
      <c r="A803" s="82"/>
      <c r="B803" s="287" t="s">
        <v>7069</v>
      </c>
      <c r="C803" s="150"/>
      <c r="D803" s="150"/>
      <c r="E803" s="288"/>
      <c r="F803" s="150"/>
      <c r="G803" s="150"/>
      <c r="H803" s="150"/>
      <c r="I803" s="150"/>
      <c r="J803" s="150"/>
      <c r="K803" s="150"/>
      <c r="L803" s="150"/>
      <c r="M803" s="289"/>
      <c r="N803" s="150"/>
      <c r="O803" s="150"/>
      <c r="P803" s="150"/>
      <c r="Q803" s="150"/>
      <c r="R803" s="290"/>
      <c r="S803" s="291"/>
      <c r="T803" s="150"/>
      <c r="U803" s="150"/>
      <c r="V803" s="150"/>
      <c r="W803" s="151"/>
    </row>
    <row r="804" spans="1:23" ht="15.75" customHeight="1" x14ac:dyDescent="0.3">
      <c r="E804" s="288"/>
    </row>
    <row r="805" spans="1:23" ht="15.75" customHeight="1" x14ac:dyDescent="0.3">
      <c r="B805" s="139" t="s">
        <v>7050</v>
      </c>
      <c r="C805" s="142"/>
      <c r="D805" s="142"/>
      <c r="E805" s="267"/>
      <c r="F805" s="267"/>
      <c r="G805" s="267"/>
      <c r="H805" s="268"/>
      <c r="I805" s="269"/>
      <c r="J805" s="270"/>
      <c r="K805" s="142"/>
      <c r="L805" s="269"/>
      <c r="M805" s="142"/>
      <c r="N805" s="142"/>
      <c r="O805" s="142"/>
      <c r="P805" s="142"/>
      <c r="Q805" s="142"/>
      <c r="R805" s="142"/>
      <c r="S805" s="142"/>
      <c r="T805" s="271"/>
      <c r="U805" s="142"/>
      <c r="V805" s="142"/>
      <c r="W805" s="272"/>
    </row>
    <row r="806" spans="1:23" ht="15.75" customHeight="1" x14ac:dyDescent="0.3">
      <c r="B806" s="92" t="s">
        <v>7070</v>
      </c>
      <c r="E806" s="66"/>
      <c r="F806" s="66"/>
      <c r="G806" s="66"/>
      <c r="H806" s="19"/>
      <c r="I806" s="42"/>
      <c r="J806" s="3"/>
      <c r="L806" s="42"/>
      <c r="T806" s="20"/>
      <c r="W806" s="113"/>
    </row>
    <row r="807" spans="1:23" ht="15.75" customHeight="1" x14ac:dyDescent="0.3">
      <c r="B807" s="99"/>
      <c r="D807" s="66"/>
      <c r="E807" s="66"/>
      <c r="F807" s="66"/>
      <c r="G807" s="19"/>
      <c r="H807" s="19"/>
      <c r="I807" s="42"/>
      <c r="J807" s="3"/>
      <c r="L807" s="42"/>
      <c r="T807" s="20"/>
      <c r="W807" s="113"/>
    </row>
    <row r="808" spans="1:23" ht="15.75" customHeight="1" x14ac:dyDescent="0.3">
      <c r="B808" s="92" t="s">
        <v>7052</v>
      </c>
      <c r="C808" s="82" t="s">
        <v>565</v>
      </c>
      <c r="D808" s="82" t="s">
        <v>38</v>
      </c>
      <c r="E808" s="66"/>
      <c r="H808" s="19"/>
      <c r="I808" s="42"/>
      <c r="J808" s="3"/>
      <c r="L808" s="42"/>
      <c r="T808" s="20"/>
      <c r="W808" s="113"/>
    </row>
    <row r="809" spans="1:23" ht="15.75" customHeight="1" x14ac:dyDescent="0.3">
      <c r="B809" s="99" t="s">
        <v>5859</v>
      </c>
      <c r="C809">
        <f>UDV.animal.total</f>
        <v>500</v>
      </c>
      <c r="D809" t="s">
        <v>2442</v>
      </c>
      <c r="E809" s="66"/>
      <c r="H809" s="19"/>
      <c r="I809" s="42"/>
      <c r="J809" s="3"/>
      <c r="L809" s="42"/>
      <c r="T809" s="20"/>
      <c r="W809" s="113"/>
    </row>
    <row r="810" spans="1:23" ht="15.75" customHeight="1" x14ac:dyDescent="0.3">
      <c r="B810" s="174" t="s">
        <v>5386</v>
      </c>
      <c r="C810">
        <f>UDV.crops.acres_available</f>
        <v>100</v>
      </c>
      <c r="D810" t="s">
        <v>7029</v>
      </c>
      <c r="E810" s="66"/>
      <c r="H810" s="19"/>
      <c r="I810" s="42"/>
      <c r="J810" s="3"/>
      <c r="L810" s="42"/>
      <c r="T810" s="20"/>
      <c r="W810" s="113"/>
    </row>
    <row r="811" spans="1:23" ht="15.75" customHeight="1" x14ac:dyDescent="0.3">
      <c r="B811" s="99" t="s">
        <v>5114</v>
      </c>
      <c r="C811" t="str">
        <f>UDV.u.state</f>
        <v>Iowa</v>
      </c>
      <c r="D811" t="s">
        <v>2852</v>
      </c>
      <c r="E811" s="66"/>
      <c r="H811" s="19"/>
      <c r="I811" s="42"/>
      <c r="J811" s="3"/>
      <c r="L811" s="42"/>
      <c r="T811" s="20"/>
      <c r="W811" s="113"/>
    </row>
    <row r="812" spans="1:23" ht="13.5" customHeight="1" x14ac:dyDescent="0.3">
      <c r="A812" t="s">
        <v>4917</v>
      </c>
      <c r="B812" s="99" t="s">
        <v>7240</v>
      </c>
      <c r="C812" s="166">
        <f>VLOOKUP("Emissions reductions for drag hose", $R$1:$U$299,3,FALSE)*UDV.econ_energy.carbon_credits</f>
        <v>0</v>
      </c>
      <c r="D812" t="s">
        <v>5181</v>
      </c>
      <c r="E812" s="66"/>
      <c r="H812" s="19"/>
      <c r="I812" s="42"/>
      <c r="J812" s="3"/>
      <c r="L812" s="42"/>
      <c r="T812" s="20"/>
      <c r="W812" s="113"/>
    </row>
    <row r="813" spans="1:23" ht="15.75" customHeight="1" x14ac:dyDescent="0.3">
      <c r="B813" s="99"/>
      <c r="W813" s="146"/>
    </row>
    <row r="814" spans="1:23" ht="15.75" customHeight="1" x14ac:dyDescent="0.3">
      <c r="A814" t="s">
        <v>4917</v>
      </c>
      <c r="B814" s="92" t="s">
        <v>7053</v>
      </c>
      <c r="C814" s="82" t="s">
        <v>5181</v>
      </c>
      <c r="D814" s="82" t="s">
        <v>7140</v>
      </c>
      <c r="E814" s="66"/>
      <c r="I814" s="42"/>
      <c r="J814" s="3"/>
      <c r="L814" s="42"/>
      <c r="T814" s="20"/>
      <c r="W814" s="113"/>
    </row>
    <row r="815" spans="1:23" ht="15.75" customHeight="1" x14ac:dyDescent="0.3">
      <c r="A815" t="s">
        <v>4917</v>
      </c>
      <c r="B815" s="275" t="s">
        <v>2585</v>
      </c>
      <c r="C815" s="276">
        <f>F835</f>
        <v>134711.172403826</v>
      </c>
      <c r="D815" s="153">
        <f>C815/C809</f>
        <v>269.422344807652</v>
      </c>
      <c r="E815" s="66"/>
      <c r="F815" s="66"/>
      <c r="G815" s="66"/>
      <c r="T815" s="20"/>
      <c r="W815" s="113"/>
    </row>
    <row r="816" spans="1:23" ht="15.75" customHeight="1" x14ac:dyDescent="0.3">
      <c r="A816" t="s">
        <v>4917</v>
      </c>
      <c r="B816" s="275" t="s">
        <v>2588</v>
      </c>
      <c r="C816" s="276">
        <f>G835+L835</f>
        <v>41291.863017788426</v>
      </c>
      <c r="D816" s="153">
        <f>C816/C809</f>
        <v>82.583726035576859</v>
      </c>
      <c r="E816" s="66"/>
      <c r="F816" s="66"/>
      <c r="G816" s="66"/>
      <c r="H816" s="19"/>
      <c r="I816" s="42"/>
      <c r="J816" s="3"/>
      <c r="L816" s="42"/>
      <c r="T816" s="20"/>
      <c r="W816" s="113"/>
    </row>
    <row r="817" spans="1:25" ht="15.75" customHeight="1" x14ac:dyDescent="0.3">
      <c r="A817" t="s">
        <v>4917</v>
      </c>
      <c r="B817" s="275" t="s">
        <v>441</v>
      </c>
      <c r="C817" s="276">
        <f>I835</f>
        <v>860.94465773275579</v>
      </c>
      <c r="D817" s="153">
        <f>C817/C809</f>
        <v>1.7218893154655115</v>
      </c>
      <c r="E817" s="66"/>
      <c r="F817" s="66"/>
      <c r="G817" s="66"/>
      <c r="I817" s="42"/>
      <c r="J817" s="3"/>
      <c r="L817" s="42"/>
      <c r="T817" s="20"/>
      <c r="W817" s="113"/>
    </row>
    <row r="818" spans="1:25" ht="15.75" customHeight="1" x14ac:dyDescent="0.3">
      <c r="A818" t="s">
        <v>4917</v>
      </c>
      <c r="B818" s="275" t="s">
        <v>440</v>
      </c>
      <c r="C818" s="276">
        <f>J835</f>
        <v>5962.0693197026221</v>
      </c>
      <c r="D818" s="153">
        <f>C818/C809</f>
        <v>11.924138639405244</v>
      </c>
      <c r="E818" s="66"/>
      <c r="G818" s="66"/>
      <c r="I818" s="42"/>
      <c r="J818" s="3"/>
      <c r="L818" s="42"/>
      <c r="T818" s="20"/>
      <c r="W818" s="113"/>
    </row>
    <row r="819" spans="1:25" ht="15.75" customHeight="1" x14ac:dyDescent="0.3">
      <c r="A819" t="s">
        <v>4917</v>
      </c>
      <c r="B819" s="275" t="s">
        <v>442</v>
      </c>
      <c r="C819" s="276">
        <f>K835</f>
        <v>0</v>
      </c>
      <c r="D819" s="153">
        <f>C819/C809</f>
        <v>0</v>
      </c>
      <c r="E819" s="66"/>
      <c r="G819" s="66"/>
      <c r="I819" s="42"/>
      <c r="J819" s="3"/>
      <c r="L819" s="42"/>
      <c r="P819" s="277"/>
      <c r="T819" s="20"/>
      <c r="W819" s="113"/>
    </row>
    <row r="820" spans="1:25" ht="15.75" customHeight="1" x14ac:dyDescent="0.3">
      <c r="A820" t="s">
        <v>4917</v>
      </c>
      <c r="B820" s="2270" t="s">
        <v>439</v>
      </c>
      <c r="C820" s="2271">
        <f>M835</f>
        <v>-176003.03542161442</v>
      </c>
      <c r="D820" s="159">
        <f>C820/C809</f>
        <v>-352.00607084322883</v>
      </c>
      <c r="E820" s="288"/>
      <c r="G820" s="66"/>
      <c r="I820" s="42"/>
      <c r="J820" s="3"/>
      <c r="L820" s="42"/>
      <c r="T820" s="20"/>
      <c r="W820" s="113"/>
    </row>
    <row r="821" spans="1:25" ht="15.75" customHeight="1" x14ac:dyDescent="0.3">
      <c r="A821" t="s">
        <v>4917</v>
      </c>
      <c r="B821" s="99" t="s">
        <v>7055</v>
      </c>
      <c r="C821" s="276">
        <f>L835</f>
        <v>0</v>
      </c>
      <c r="D821" s="153">
        <f>C821/C809</f>
        <v>0</v>
      </c>
      <c r="E821" s="279" t="s">
        <v>7056</v>
      </c>
      <c r="F821" s="66"/>
      <c r="G821" s="66"/>
      <c r="I821" s="42"/>
      <c r="J821" s="3"/>
      <c r="L821" s="42"/>
      <c r="T821" s="20"/>
      <c r="W821" s="113"/>
    </row>
    <row r="822" spans="1:25" ht="15.75" customHeight="1" x14ac:dyDescent="0.3">
      <c r="A822" t="s">
        <v>4917</v>
      </c>
      <c r="B822" s="99" t="s">
        <v>7057</v>
      </c>
      <c r="C822" s="153">
        <f>C815+C816</f>
        <v>176003.03542161442</v>
      </c>
      <c r="D822" s="153">
        <f>C822/C809</f>
        <v>352.00607084322883</v>
      </c>
      <c r="E822" s="66"/>
      <c r="F822" s="66"/>
      <c r="G822" s="66"/>
      <c r="I822" s="42"/>
      <c r="J822" s="3"/>
      <c r="L822" s="42"/>
      <c r="T822" s="20"/>
      <c r="W822" s="113"/>
    </row>
    <row r="823" spans="1:25" ht="13.5" customHeight="1" x14ac:dyDescent="0.3">
      <c r="A823" t="s">
        <v>4917</v>
      </c>
      <c r="B823" s="853" t="s">
        <v>5392</v>
      </c>
      <c r="C823" s="142"/>
      <c r="D823" s="854">
        <f>E835</f>
        <v>2577956.3969227485</v>
      </c>
      <c r="E823" s="271" t="s">
        <v>2284</v>
      </c>
      <c r="G823" s="66"/>
      <c r="I823" s="42"/>
      <c r="J823" s="3"/>
      <c r="L823" s="42"/>
      <c r="T823" s="20"/>
      <c r="W823" s="113"/>
    </row>
    <row r="824" spans="1:25" ht="13.5" customHeight="1" x14ac:dyDescent="0.3">
      <c r="A824" t="s">
        <v>4917</v>
      </c>
      <c r="B824" s="852" t="s">
        <v>5393</v>
      </c>
      <c r="D824" s="274">
        <f>E835/C809</f>
        <v>5155.9127938454967</v>
      </c>
      <c r="E824" s="20" t="s">
        <v>7058</v>
      </c>
      <c r="G824" s="66"/>
      <c r="I824" s="42"/>
      <c r="J824" s="3"/>
      <c r="L824" s="42"/>
      <c r="T824" s="20"/>
      <c r="W824" s="113"/>
    </row>
    <row r="825" spans="1:25" ht="15.75" customHeight="1" x14ac:dyDescent="0.3">
      <c r="B825" s="99"/>
      <c r="E825" s="66"/>
      <c r="H825" s="42"/>
      <c r="I825" s="3"/>
      <c r="K825" s="42"/>
      <c r="N825" s="273" t="s">
        <v>7059</v>
      </c>
      <c r="O825" s="90"/>
      <c r="P825" s="90"/>
      <c r="Q825" s="90"/>
      <c r="R825" s="90"/>
      <c r="S825" s="279"/>
      <c r="T825" s="90"/>
      <c r="U825" s="90"/>
      <c r="V825" s="42"/>
      <c r="W825" s="146"/>
    </row>
    <row r="826" spans="1:25" ht="15.75" customHeight="1" x14ac:dyDescent="0.3">
      <c r="B826" s="92" t="s">
        <v>7060</v>
      </c>
      <c r="E826" s="66"/>
      <c r="M826" s="113"/>
      <c r="N826" s="90" t="s">
        <v>5323</v>
      </c>
      <c r="O826" s="90" t="s">
        <v>5181</v>
      </c>
      <c r="P826" s="90" t="s">
        <v>5324</v>
      </c>
      <c r="Q826" s="90" t="s">
        <v>5181</v>
      </c>
      <c r="R826" s="90" t="s">
        <v>2710</v>
      </c>
      <c r="S826" s="90" t="s">
        <v>5181</v>
      </c>
      <c r="T826" s="90" t="s">
        <v>2710</v>
      </c>
      <c r="U826" s="90" t="s">
        <v>5181</v>
      </c>
      <c r="V826" s="90" t="s">
        <v>2710</v>
      </c>
      <c r="W826" s="280" t="s">
        <v>5181</v>
      </c>
    </row>
    <row r="827" spans="1:25" ht="15.75" customHeight="1" x14ac:dyDescent="0.3">
      <c r="B827" s="92" t="s">
        <v>5187</v>
      </c>
      <c r="C827" s="82" t="s">
        <v>7061</v>
      </c>
      <c r="D827" s="82" t="s">
        <v>7062</v>
      </c>
      <c r="E827" s="277" t="s">
        <v>7063</v>
      </c>
      <c r="F827" s="82" t="s">
        <v>7064</v>
      </c>
      <c r="G827" s="277" t="s">
        <v>2588</v>
      </c>
      <c r="H827" s="82" t="s">
        <v>5188</v>
      </c>
      <c r="I827" s="82" t="s">
        <v>5189</v>
      </c>
      <c r="J827" s="82" t="s">
        <v>5190</v>
      </c>
      <c r="K827" s="82" t="s">
        <v>442</v>
      </c>
      <c r="L827" s="82" t="s">
        <v>5191</v>
      </c>
      <c r="M827" s="173" t="s">
        <v>439</v>
      </c>
      <c r="N827" s="281" t="s">
        <v>5192</v>
      </c>
      <c r="O827" s="281" t="s">
        <v>5193</v>
      </c>
      <c r="P827" s="281" t="s">
        <v>5194</v>
      </c>
      <c r="Q827" s="281" t="s">
        <v>5195</v>
      </c>
      <c r="R827" s="281" t="s">
        <v>5196</v>
      </c>
      <c r="S827" s="281" t="s">
        <v>5197</v>
      </c>
      <c r="T827" s="281" t="s">
        <v>5198</v>
      </c>
      <c r="U827" s="281" t="s">
        <v>5199</v>
      </c>
      <c r="V827" s="281" t="s">
        <v>5200</v>
      </c>
      <c r="W827" s="282" t="s">
        <v>5201</v>
      </c>
    </row>
    <row r="828" spans="1:25" ht="14.4" x14ac:dyDescent="0.3">
      <c r="A828" t="s">
        <v>7071</v>
      </c>
      <c r="B828" s="99" t="s">
        <v>6945</v>
      </c>
      <c r="C828" s="158">
        <f>SUMIFS($C$300:$C$765,$A$300:$A$765,_xlfn.CONCAT(B828,"_construction"))</f>
        <v>17700.891908535374</v>
      </c>
      <c r="D828" s="158">
        <f>SUMIFS($C$300:$C$765,$A$300:$A$765,_xlfn.CONCAT(B828,"_equipment"))</f>
        <v>0</v>
      </c>
      <c r="E828" s="274">
        <f>SUM(C828:D828)</f>
        <v>17700.891908535374</v>
      </c>
      <c r="F828" s="158">
        <f>SUMIFS($D$300:$D$765,$A$300:$A$765,$B828,$B$300:$B$765,"Total capital recovery value")</f>
        <v>1432.4335079052032</v>
      </c>
      <c r="G828" s="158">
        <f>SUMIFS($C$300:$C$765,$A$300:$A$765,$B828,$B$300:$B$765,"Annual operational costs")</f>
        <v>265.51337862803058</v>
      </c>
      <c r="H828" s="153">
        <f>SUM(F828:G828)</f>
        <v>1697.9468865332337</v>
      </c>
      <c r="I828" s="158">
        <f>SUMIFS($C$300:$C$765,$A$300:$A$765,$B828,$B$300:$B$765,"Annual cost savings")</f>
        <v>0</v>
      </c>
      <c r="J828" s="158">
        <f>SUMIFS($C$300:$C$765,$A$300:$A$765,$B828,$B$300:$B$765,"Annual fertilizer value for on-farm use")</f>
        <v>0</v>
      </c>
      <c r="K828" s="158">
        <f>SUMIFS($C$300:$C$765,$A$300:$A$765,$B828,$B$300:$B$765,"Annual revenues")</f>
        <v>0</v>
      </c>
      <c r="L828" s="158">
        <f>SUMIFS($C$300:$C$765,$A$300:$A$765,$B828,$B$300:$B$765,"Annual cost to export excess")</f>
        <v>0</v>
      </c>
      <c r="M828" s="283">
        <f>K828-F828-G828</f>
        <v>-1697.9468865332337</v>
      </c>
      <c r="N828">
        <f>SUMIFS($F$300:$F$765,$A$300:$A$765,$B828,$B$300:$B$765,"Totals")</f>
        <v>0</v>
      </c>
      <c r="O828">
        <f>SUMIFS($G$300:$G$765,$A$300:$A$765,$B828,$B$300:$B$765,"Totals")</f>
        <v>0</v>
      </c>
      <c r="P828" s="147">
        <f>SUMIFS($H$300:$H$765,$A$300:$A$765,$B828,$B$300:$B$765,"Totals")</f>
        <v>0</v>
      </c>
      <c r="Q828" s="147">
        <f>SUMIFS($I$300:$I$765,$A$300:$A$765,$B828,$B$300:$B$765,"Totals")</f>
        <v>0</v>
      </c>
      <c r="R828" s="2315">
        <f>SUMIFS($K$300:$K$765,$A$300:$A$765,$B828,$B$300:$B$765,"Totals")</f>
        <v>0</v>
      </c>
      <c r="S828" s="2315">
        <f>SUMIFS($L$300:$L$765,$A$300:$A$765,$B828,$B$300:$B$765,"Totals")</f>
        <v>0</v>
      </c>
      <c r="T828" s="2315">
        <f>SUMIFS($M$300:$M$765,$A$300:$A$765,$B828,$B$300:$B$765,"Totals")</f>
        <v>0</v>
      </c>
      <c r="U828" s="2315">
        <f>SUMIFS($N$300:$N$765,$A$300:$A$765,$B828,$B$300:$B$765,"Totals")</f>
        <v>0</v>
      </c>
      <c r="V828" s="147">
        <f>R828+T828</f>
        <v>0</v>
      </c>
      <c r="W828" s="285">
        <f>S828+U828</f>
        <v>0</v>
      </c>
      <c r="Y828" s="36"/>
    </row>
    <row r="829" spans="1:25" ht="15.75" customHeight="1" x14ac:dyDescent="0.3">
      <c r="A829" t="str">
        <f>_xlfn.CONCAT("DHL",B829)</f>
        <v>DHLBarn and parlor</v>
      </c>
      <c r="B829" s="99" t="s">
        <v>5209</v>
      </c>
      <c r="C829" s="233">
        <f t="shared" ref="C829:C834" si="65">SUMIFS($C:$C,$A:$A,_xlfn.CONCAT(B829,"_construction"))</f>
        <v>0</v>
      </c>
      <c r="D829" s="233">
        <f t="shared" ref="D829:D834" si="66">SUMIFS($C:$C,$A:$A,_xlfn.CONCAT(B829,"_equipment"))</f>
        <v>0</v>
      </c>
      <c r="E829" s="274">
        <f t="shared" ref="E829:E834" si="67">SUM(C829:D829)</f>
        <v>0</v>
      </c>
      <c r="F829" s="233">
        <f t="shared" ref="F829:F834" si="68">SUMIFS($D:$D,$A:$A,$B829,$B:$B,"Total capital recovery value")</f>
        <v>0</v>
      </c>
      <c r="G829" s="233">
        <f t="shared" ref="G829:G834" si="69">SUMIFS($C:$C,$A:$A,$B829,$B:$B,"Annual operational costs")</f>
        <v>239.78900165651024</v>
      </c>
      <c r="H829" s="153">
        <f t="shared" ref="H829:H834" si="70">SUM(F829:G829)</f>
        <v>239.78900165651024</v>
      </c>
      <c r="I829" s="233">
        <f t="shared" ref="I829:I834" si="71">SUMIFS($C:$C,$A:$A,$B829,$B:$B,"Annual cost savings")</f>
        <v>0</v>
      </c>
      <c r="J829" s="233">
        <f t="shared" ref="J829:J834" si="72">SUMIFS($C:$C,$A:$A,$B829,$B:$B,"Annual fertilizer value for on-farm use")</f>
        <v>0</v>
      </c>
      <c r="K829" s="233">
        <f>SUMIFS($C:$C,$A:$A,$B829,$B:$B,"Annual revenues")</f>
        <v>0</v>
      </c>
      <c r="L829" s="233">
        <f t="shared" ref="L829:L834" si="73">SUMIFS($C:$C,$A:$A,$B829,$B:$B,"Annual cost to export excess")</f>
        <v>0</v>
      </c>
      <c r="M829" s="283">
        <f>K829-F829-G829</f>
        <v>-239.78900165651024</v>
      </c>
      <c r="N829">
        <f t="shared" ref="N829:N834" si="74">SUMIFS($F:$F,$A:$A,$B829,$B:$B,"Totals")</f>
        <v>0</v>
      </c>
      <c r="O829">
        <f t="shared" ref="O829:O834" si="75">SUMIFS($G:$G,$A:$A,$B829,$B:$B,"Totals")</f>
        <v>0</v>
      </c>
      <c r="P829" s="147">
        <f t="shared" ref="P829:P834" si="76">SUMIFS($H:$H,$A:$A,$B829,$B:$B,"Totals")</f>
        <v>0</v>
      </c>
      <c r="Q829" s="147">
        <f t="shared" ref="Q829:Q834" si="77">SUMIFS($I:$I,$A:$A,$B829,$B:$B,"Totals")</f>
        <v>0</v>
      </c>
      <c r="R829" s="284">
        <f t="shared" ref="R829:R834" si="78">SUMIFS($K:$K,$A:$A,$B829,$B:$B,"Totals")</f>
        <v>0</v>
      </c>
      <c r="S829" s="284">
        <f t="shared" ref="S829:S834" si="79">SUMIFS($L:$L,$A:$A,$B829,$B:$B,"Totals")</f>
        <v>0</v>
      </c>
      <c r="T829" s="284">
        <f t="shared" ref="T829:T834" si="80">SUMIFS($M:$M,$A:$A,$B829,$B:$B,"Totals")</f>
        <v>0</v>
      </c>
      <c r="U829" s="284">
        <f t="shared" ref="U829:U834" si="81">SUMIFS($N:$N,$A:$A,$B829,$B:$B,"Totals")</f>
        <v>0</v>
      </c>
      <c r="V829" s="147">
        <f t="shared" ref="V829:W834" si="82">R829+T829</f>
        <v>0</v>
      </c>
      <c r="W829" s="285">
        <f t="shared" si="82"/>
        <v>0</v>
      </c>
    </row>
    <row r="830" spans="1:25" ht="15.75" customHeight="1" x14ac:dyDescent="0.3">
      <c r="A830" t="str">
        <f t="shared" ref="A830:A835" si="83">_xlfn.CONCAT("DHL",B830)</f>
        <v>DHLReception pit</v>
      </c>
      <c r="B830" s="99" t="s">
        <v>5219</v>
      </c>
      <c r="C830" s="233">
        <f t="shared" si="65"/>
        <v>11278.228484656651</v>
      </c>
      <c r="D830" s="233">
        <f t="shared" si="66"/>
        <v>13570</v>
      </c>
      <c r="E830" s="274">
        <f t="shared" si="67"/>
        <v>24848.228484656651</v>
      </c>
      <c r="F830" s="233">
        <f t="shared" si="68"/>
        <v>2085.172249970477</v>
      </c>
      <c r="G830" s="233">
        <f t="shared" si="69"/>
        <v>1629.2470937565076</v>
      </c>
      <c r="H830" s="153">
        <f t="shared" si="70"/>
        <v>3714.4193437269846</v>
      </c>
      <c r="I830" s="233">
        <f t="shared" si="71"/>
        <v>0</v>
      </c>
      <c r="J830" s="233">
        <f t="shared" si="72"/>
        <v>0</v>
      </c>
      <c r="K830" s="233">
        <f>SUMIFS($C:$C,$A:$A,$B830,$B:$B,"Annual revenues")</f>
        <v>0</v>
      </c>
      <c r="L830" s="233">
        <f t="shared" si="73"/>
        <v>0</v>
      </c>
      <c r="M830" s="283">
        <f t="shared" ref="M830:M834" si="84">K830-F830-G830</f>
        <v>-3714.4193437269846</v>
      </c>
      <c r="N830">
        <f t="shared" si="74"/>
        <v>249.64645588615733</v>
      </c>
      <c r="O830">
        <f t="shared" si="75"/>
        <v>17.123666486658006</v>
      </c>
      <c r="P830" s="147">
        <f t="shared" si="76"/>
        <v>0</v>
      </c>
      <c r="Q830" s="147">
        <f t="shared" si="77"/>
        <v>0</v>
      </c>
      <c r="R830" s="284">
        <f t="shared" si="78"/>
        <v>0</v>
      </c>
      <c r="S830" s="284">
        <f t="shared" si="79"/>
        <v>0</v>
      </c>
      <c r="T830" s="284">
        <f t="shared" si="80"/>
        <v>0</v>
      </c>
      <c r="U830" s="284">
        <f t="shared" si="81"/>
        <v>0</v>
      </c>
      <c r="V830" s="147">
        <f t="shared" si="82"/>
        <v>0</v>
      </c>
      <c r="W830" s="285">
        <f t="shared" si="82"/>
        <v>0</v>
      </c>
    </row>
    <row r="831" spans="1:25" ht="15.75" customHeight="1" x14ac:dyDescent="0.3">
      <c r="A831" t="str">
        <f t="shared" si="83"/>
        <v>DHLCovered lagoon</v>
      </c>
      <c r="B831" s="99" t="s">
        <v>4683</v>
      </c>
      <c r="C831" s="233">
        <f t="shared" si="65"/>
        <v>356173.7397391983</v>
      </c>
      <c r="D831" s="233">
        <f t="shared" si="66"/>
        <v>0</v>
      </c>
      <c r="E831" s="274">
        <f t="shared" si="67"/>
        <v>356173.7397391983</v>
      </c>
      <c r="F831" s="233">
        <f t="shared" si="68"/>
        <v>28823.135132095718</v>
      </c>
      <c r="G831" s="233">
        <f t="shared" si="69"/>
        <v>5342.606096087974</v>
      </c>
      <c r="H831" s="153">
        <f t="shared" si="70"/>
        <v>34165.741228183695</v>
      </c>
      <c r="I831" s="233">
        <f t="shared" si="71"/>
        <v>0</v>
      </c>
      <c r="J831" s="233">
        <f t="shared" si="72"/>
        <v>0</v>
      </c>
      <c r="K831" s="784">
        <f>SUMIFS($C:$C,$A:$A,$B831,$B:$B,"Annual revenues for drag hose")</f>
        <v>0</v>
      </c>
      <c r="L831" s="233">
        <f t="shared" si="73"/>
        <v>0</v>
      </c>
      <c r="M831" s="283">
        <f t="shared" si="84"/>
        <v>-34165.741228183695</v>
      </c>
      <c r="N831" s="278">
        <f t="shared" si="74"/>
        <v>0</v>
      </c>
      <c r="O831" s="147">
        <f t="shared" si="75"/>
        <v>0</v>
      </c>
      <c r="P831" s="147">
        <f t="shared" si="76"/>
        <v>0</v>
      </c>
      <c r="Q831" s="147">
        <f t="shared" si="77"/>
        <v>0</v>
      </c>
      <c r="R831" s="284">
        <f t="shared" si="78"/>
        <v>0</v>
      </c>
      <c r="S831" s="284">
        <f t="shared" si="79"/>
        <v>0</v>
      </c>
      <c r="T831" s="284">
        <f t="shared" si="80"/>
        <v>0</v>
      </c>
      <c r="U831" s="284">
        <f t="shared" si="81"/>
        <v>0</v>
      </c>
      <c r="V831" s="147">
        <f t="shared" si="82"/>
        <v>0</v>
      </c>
      <c r="W831" s="285">
        <f t="shared" si="82"/>
        <v>0</v>
      </c>
    </row>
    <row r="832" spans="1:25" ht="15.75" customHeight="1" x14ac:dyDescent="0.3">
      <c r="A832" t="str">
        <f t="shared" si="83"/>
        <v>DHLLagoon</v>
      </c>
      <c r="B832" s="99" t="s">
        <v>5210</v>
      </c>
      <c r="C832" s="233">
        <f t="shared" si="65"/>
        <v>121393.53679035802</v>
      </c>
      <c r="D832" s="233">
        <f t="shared" si="66"/>
        <v>0</v>
      </c>
      <c r="E832" s="274">
        <f t="shared" si="67"/>
        <v>121393.53679035802</v>
      </c>
      <c r="F832" s="233">
        <f t="shared" si="68"/>
        <v>9823.6953618016832</v>
      </c>
      <c r="G832" s="233">
        <f t="shared" si="69"/>
        <v>1820.9030518553702</v>
      </c>
      <c r="H832" s="153">
        <f t="shared" si="70"/>
        <v>11644.598413657053</v>
      </c>
      <c r="I832" s="233">
        <f t="shared" si="71"/>
        <v>0</v>
      </c>
      <c r="J832" s="233">
        <f t="shared" si="72"/>
        <v>0</v>
      </c>
      <c r="K832" s="233">
        <f>SUMIFS($C:$C,$A:$A,$B832,$B:$B,"Annual revenues")</f>
        <v>0</v>
      </c>
      <c r="L832" s="233">
        <f t="shared" si="73"/>
        <v>0</v>
      </c>
      <c r="M832" s="283">
        <f t="shared" si="84"/>
        <v>-11644.598413657053</v>
      </c>
      <c r="N832">
        <f t="shared" si="74"/>
        <v>0</v>
      </c>
      <c r="O832">
        <f t="shared" si="75"/>
        <v>0</v>
      </c>
      <c r="P832" s="147">
        <f t="shared" si="76"/>
        <v>0</v>
      </c>
      <c r="Q832" s="147">
        <f t="shared" si="77"/>
        <v>0</v>
      </c>
      <c r="R832" s="284">
        <f t="shared" si="78"/>
        <v>0</v>
      </c>
      <c r="S832" s="284">
        <f t="shared" si="79"/>
        <v>0</v>
      </c>
      <c r="T832" s="284">
        <f t="shared" si="80"/>
        <v>0</v>
      </c>
      <c r="U832" s="284">
        <f t="shared" si="81"/>
        <v>0</v>
      </c>
      <c r="V832" s="147">
        <f t="shared" si="82"/>
        <v>0</v>
      </c>
      <c r="W832" s="285">
        <f t="shared" si="82"/>
        <v>0</v>
      </c>
    </row>
    <row r="833" spans="1:23" ht="15.75" customHeight="1" x14ac:dyDescent="0.3">
      <c r="A833" t="str">
        <f t="shared" si="83"/>
        <v>DHLPit recharge</v>
      </c>
      <c r="B833" s="99" t="s">
        <v>5216</v>
      </c>
      <c r="C833" s="233">
        <f t="shared" si="65"/>
        <v>0</v>
      </c>
      <c r="D833" s="233">
        <f t="shared" si="66"/>
        <v>0</v>
      </c>
      <c r="E833" s="274">
        <f t="shared" si="67"/>
        <v>0</v>
      </c>
      <c r="F833" s="233">
        <f t="shared" si="68"/>
        <v>3017.6174069102476</v>
      </c>
      <c r="G833" s="233">
        <f t="shared" si="69"/>
        <v>1014.0635770177494</v>
      </c>
      <c r="H833" s="153">
        <f t="shared" si="70"/>
        <v>4031.6809839279967</v>
      </c>
      <c r="I833" s="233">
        <f t="shared" si="71"/>
        <v>860.94465773275579</v>
      </c>
      <c r="J833" s="233">
        <f t="shared" si="72"/>
        <v>0</v>
      </c>
      <c r="K833" s="233">
        <f>SUMIFS($C:$C,$A:$A,$B833,$B:$B,"Annual revenues")</f>
        <v>0</v>
      </c>
      <c r="L833" s="233">
        <f t="shared" si="73"/>
        <v>0</v>
      </c>
      <c r="M833" s="283">
        <f t="shared" si="84"/>
        <v>-4031.6809839279967</v>
      </c>
      <c r="N833" s="278">
        <f t="shared" si="74"/>
        <v>92.045831870967106</v>
      </c>
      <c r="O833" s="147">
        <f t="shared" si="75"/>
        <v>6.3135770177494184</v>
      </c>
      <c r="P833" s="147">
        <f t="shared" si="76"/>
        <v>0</v>
      </c>
      <c r="Q833" s="147">
        <f t="shared" si="77"/>
        <v>0</v>
      </c>
      <c r="R833" s="284">
        <f t="shared" si="78"/>
        <v>0</v>
      </c>
      <c r="S833" s="284">
        <f t="shared" si="79"/>
        <v>0</v>
      </c>
      <c r="T833" s="284">
        <f t="shared" si="80"/>
        <v>0</v>
      </c>
      <c r="U833" s="284">
        <f t="shared" si="81"/>
        <v>0</v>
      </c>
      <c r="V833" s="147">
        <f t="shared" si="82"/>
        <v>0</v>
      </c>
      <c r="W833" s="285">
        <f t="shared" si="82"/>
        <v>0</v>
      </c>
    </row>
    <row r="834" spans="1:23" ht="15.75" customHeight="1" x14ac:dyDescent="0.3">
      <c r="A834" t="str">
        <f t="shared" si="83"/>
        <v>DHLEnd use drag hose</v>
      </c>
      <c r="B834" s="99" t="s">
        <v>5205</v>
      </c>
      <c r="C834" s="233">
        <f t="shared" si="65"/>
        <v>0</v>
      </c>
      <c r="D834" s="233">
        <f t="shared" si="66"/>
        <v>2057840</v>
      </c>
      <c r="E834" s="274">
        <f t="shared" si="67"/>
        <v>2057840</v>
      </c>
      <c r="F834" s="233">
        <f t="shared" si="68"/>
        <v>89529.118745142667</v>
      </c>
      <c r="G834" s="233">
        <f t="shared" si="69"/>
        <v>30979.740818786286</v>
      </c>
      <c r="H834" s="153">
        <f t="shared" si="70"/>
        <v>120508.85956392896</v>
      </c>
      <c r="I834" s="233">
        <f t="shared" si="71"/>
        <v>0</v>
      </c>
      <c r="J834" s="233">
        <f t="shared" si="72"/>
        <v>5962.0693197026221</v>
      </c>
      <c r="K834" s="233">
        <f>SUMIFS($C:$C,$A:$A,$B834,$B:$B,"Annual revenues")</f>
        <v>0</v>
      </c>
      <c r="L834" s="233">
        <f t="shared" si="73"/>
        <v>0</v>
      </c>
      <c r="M834" s="283">
        <f t="shared" si="84"/>
        <v>-120508.85956392896</v>
      </c>
      <c r="N834">
        <f t="shared" si="74"/>
        <v>931.22205127489576</v>
      </c>
      <c r="O834">
        <f t="shared" si="75"/>
        <v>63.874072533697223</v>
      </c>
      <c r="P834" s="147">
        <f t="shared" si="76"/>
        <v>66.621068453732661</v>
      </c>
      <c r="Q834" s="147">
        <f t="shared" si="77"/>
        <v>246.26415103857695</v>
      </c>
      <c r="R834" s="284">
        <f t="shared" si="78"/>
        <v>9.4700329746144636</v>
      </c>
      <c r="S834" s="284">
        <f t="shared" si="79"/>
        <v>224.06098017937822</v>
      </c>
      <c r="T834" s="284">
        <f t="shared" si="80"/>
        <v>0</v>
      </c>
      <c r="U834" s="284">
        <f t="shared" si="81"/>
        <v>0</v>
      </c>
      <c r="V834" s="147">
        <f t="shared" si="82"/>
        <v>9.4700329746144636</v>
      </c>
      <c r="W834" s="285">
        <f t="shared" si="82"/>
        <v>224.06098017937822</v>
      </c>
    </row>
    <row r="835" spans="1:23" ht="15.75" customHeight="1" x14ac:dyDescent="0.3">
      <c r="A835" t="str">
        <f t="shared" si="83"/>
        <v>DHLTotals</v>
      </c>
      <c r="B835" s="162" t="s">
        <v>5203</v>
      </c>
      <c r="C835" s="242">
        <f>SUM(C828:C834)</f>
        <v>506546.39692274836</v>
      </c>
      <c r="D835" s="242">
        <f t="shared" ref="D835:M835" si="85">SUM(D828:D834)</f>
        <v>2071410</v>
      </c>
      <c r="E835" s="242">
        <f t="shared" si="85"/>
        <v>2577956.3969227485</v>
      </c>
      <c r="F835" s="242">
        <f t="shared" si="85"/>
        <v>134711.172403826</v>
      </c>
      <c r="G835" s="242">
        <f t="shared" si="85"/>
        <v>41291.863017788426</v>
      </c>
      <c r="H835" s="242">
        <f t="shared" si="85"/>
        <v>176003.03542161442</v>
      </c>
      <c r="I835" s="242">
        <f t="shared" si="85"/>
        <v>860.94465773275579</v>
      </c>
      <c r="J835" s="242">
        <f t="shared" si="85"/>
        <v>5962.0693197026221</v>
      </c>
      <c r="K835" s="242">
        <f t="shared" si="85"/>
        <v>0</v>
      </c>
      <c r="L835" s="242">
        <f t="shared" si="85"/>
        <v>0</v>
      </c>
      <c r="M835" s="242">
        <f t="shared" si="85"/>
        <v>-176003.03542161442</v>
      </c>
      <c r="N835" s="286">
        <f>SUM(N828:N834)</f>
        <v>1272.9143390320201</v>
      </c>
      <c r="O835" s="286">
        <f t="shared" ref="O835:W835" si="86">SUM(O828:O834)</f>
        <v>87.31131603810465</v>
      </c>
      <c r="P835" s="286">
        <f t="shared" si="86"/>
        <v>66.621068453732661</v>
      </c>
      <c r="Q835" s="286">
        <f t="shared" si="86"/>
        <v>246.26415103857695</v>
      </c>
      <c r="R835" s="286">
        <f t="shared" si="86"/>
        <v>9.4700329746144636</v>
      </c>
      <c r="S835" s="286">
        <f t="shared" si="86"/>
        <v>224.06098017937822</v>
      </c>
      <c r="T835" s="286">
        <f t="shared" si="86"/>
        <v>0</v>
      </c>
      <c r="U835" s="286">
        <f t="shared" si="86"/>
        <v>0</v>
      </c>
      <c r="V835" s="286">
        <f t="shared" si="86"/>
        <v>9.4700329746144636</v>
      </c>
      <c r="W835" s="286">
        <f t="shared" si="86"/>
        <v>224.06098017937822</v>
      </c>
    </row>
    <row r="836" spans="1:23" ht="15.75" customHeight="1" x14ac:dyDescent="0.3">
      <c r="A836" s="82"/>
      <c r="B836" s="287" t="s">
        <v>7069</v>
      </c>
      <c r="C836" s="150"/>
      <c r="D836" s="150"/>
      <c r="E836" s="288"/>
      <c r="F836" s="150"/>
      <c r="G836" s="150"/>
      <c r="H836" s="150"/>
      <c r="I836" s="150"/>
      <c r="J836" s="150"/>
      <c r="K836" s="150"/>
      <c r="L836" s="150"/>
      <c r="M836" s="289"/>
      <c r="N836" s="150"/>
      <c r="O836" s="150"/>
      <c r="P836" s="150"/>
      <c r="Q836" s="150"/>
      <c r="R836" s="290"/>
      <c r="S836" s="291"/>
      <c r="T836" s="150"/>
      <c r="U836" s="150"/>
      <c r="V836" s="150"/>
      <c r="W836" s="151"/>
    </row>
    <row r="837" spans="1:23" ht="15" thickBot="1" x14ac:dyDescent="0.35">
      <c r="A837" s="137"/>
      <c r="B837" s="137"/>
      <c r="C837" s="137"/>
      <c r="D837" s="137"/>
      <c r="E837" s="137"/>
      <c r="F837" s="137"/>
      <c r="G837" s="137"/>
      <c r="H837" s="137"/>
      <c r="I837" s="137"/>
      <c r="J837" s="137"/>
      <c r="K837" s="137"/>
      <c r="L837" s="137"/>
      <c r="M837" s="137"/>
      <c r="N837" s="137"/>
      <c r="O837" s="137"/>
      <c r="P837" s="137"/>
      <c r="Q837" s="137"/>
      <c r="U837" s="42"/>
      <c r="W837" s="36"/>
    </row>
    <row r="838" spans="1:23" ht="14.4" x14ac:dyDescent="0.3">
      <c r="U838" s="42"/>
      <c r="W838" s="36"/>
    </row>
    <row r="840" spans="1:23" ht="14.4" x14ac:dyDescent="0.3"/>
    <row r="844" spans="1:23" ht="14.4" x14ac:dyDescent="0.3"/>
    <row r="897" ht="14.4" x14ac:dyDescent="0.3"/>
    <row r="909" ht="14.4" x14ac:dyDescent="0.3"/>
    <row r="912" ht="14.4" x14ac:dyDescent="0.3"/>
    <row r="913" ht="14.4" x14ac:dyDescent="0.3"/>
    <row r="930" ht="14.4" x14ac:dyDescent="0.3"/>
  </sheetData>
  <mergeCells count="5">
    <mergeCell ref="C747:D747"/>
    <mergeCell ref="E747:F747"/>
    <mergeCell ref="D574:F574"/>
    <mergeCell ref="C604:D604"/>
    <mergeCell ref="E604:F604"/>
  </mergeCells>
  <pageMargins left="0.7" right="0.7" top="0.75" bottom="0.75" header="0.3" footer="0.3"/>
  <pageSetup orientation="portrait"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1622-18F3-4479-B9B7-A4FFD4FE779F}">
  <sheetPr codeName="Sheet36">
    <tabColor rgb="FF92D050"/>
  </sheetPr>
  <dimension ref="A1:Y779"/>
  <sheetViews>
    <sheetView topLeftCell="A543" workbookViewId="0">
      <selection activeCell="C2" sqref="C2:D4"/>
    </sheetView>
  </sheetViews>
  <sheetFormatPr defaultColWidth="9.44140625" defaultRowHeight="13.5" customHeight="1" x14ac:dyDescent="0.3"/>
  <cols>
    <col min="1" max="1" width="22.5546875" customWidth="1"/>
    <col min="2" max="2" width="50.6640625" customWidth="1"/>
    <col min="3" max="3" width="17.5546875" customWidth="1"/>
    <col min="4" max="4" width="17.88671875" style="66" customWidth="1"/>
    <col min="5" max="5" width="18.33203125" style="66" customWidth="1"/>
    <col min="6" max="6" width="16.44140625" style="19" customWidth="1"/>
    <col min="7" max="7" width="30.6640625" style="42" customWidth="1"/>
    <col min="8" max="8" width="15.6640625" style="3" customWidth="1"/>
    <col min="9" max="9" width="12" customWidth="1"/>
    <col min="10" max="10" width="11" customWidth="1"/>
    <col min="11" max="11" width="14.33203125" style="42" customWidth="1"/>
    <col min="12" max="12" width="12.33203125" style="42" customWidth="1"/>
    <col min="13" max="13" width="12.44140625" customWidth="1"/>
    <col min="14" max="14" width="12.33203125" customWidth="1"/>
    <col min="15" max="15" width="15.44140625" customWidth="1"/>
    <col min="16" max="16" width="14.5546875" customWidth="1"/>
    <col min="17" max="17" width="24" customWidth="1"/>
    <col min="18" max="18" width="41.44140625" style="20" customWidth="1"/>
    <col min="19" max="19" width="12.44140625" customWidth="1"/>
    <col min="20" max="20" width="13.6640625" customWidth="1"/>
    <col min="21" max="21" width="18.6640625" customWidth="1"/>
    <col min="22" max="22" width="14.88671875" customWidth="1"/>
    <col min="23" max="23" width="45.44140625" style="42" customWidth="1"/>
    <col min="24" max="24" width="57.5546875" bestFit="1" customWidth="1"/>
    <col min="25" max="25" width="38" style="36" customWidth="1"/>
    <col min="26" max="26" width="30.44140625" customWidth="1"/>
    <col min="28" max="29" width="14.5546875" bestFit="1" customWidth="1"/>
    <col min="30" max="30" width="20.5546875" bestFit="1" customWidth="1"/>
    <col min="36" max="36" width="14.44140625" bestFit="1" customWidth="1"/>
    <col min="37" max="37" width="20.5546875" bestFit="1" customWidth="1"/>
    <col min="38" max="38" width="15.5546875" bestFit="1" customWidth="1"/>
  </cols>
  <sheetData>
    <row r="1" spans="1:21" ht="18" x14ac:dyDescent="0.35">
      <c r="A1" s="522" t="str">
        <f>Sc.Table!J34</f>
        <v>The farm uses a scrape system for barn cleaning. The scraped manure is collected in a reception pit and pumped to an outside Slurry Storage tank for a period of time before it is emptied. The slurry removal is done with agitation and land applied using the tractor-pulled tanker method.</v>
      </c>
      <c r="B1" s="1"/>
      <c r="C1" s="1"/>
      <c r="D1" s="5"/>
      <c r="E1" s="5"/>
      <c r="F1" s="4"/>
      <c r="G1" s="46"/>
      <c r="I1" s="36"/>
      <c r="J1" s="36"/>
      <c r="K1"/>
      <c r="N1" s="2"/>
      <c r="O1" s="2"/>
      <c r="P1" s="2"/>
      <c r="Q1" s="2"/>
      <c r="R1" s="14"/>
      <c r="S1" s="2"/>
      <c r="T1" s="2"/>
      <c r="U1" s="2"/>
    </row>
    <row r="2" spans="1:21" ht="14.4" x14ac:dyDescent="0.3">
      <c r="A2" s="38"/>
      <c r="B2" s="1660" t="s">
        <v>6921</v>
      </c>
      <c r="C2" s="1804"/>
      <c r="D2" s="1661"/>
      <c r="E2" s="1611"/>
      <c r="F2" s="1611"/>
      <c r="G2" s="1611"/>
      <c r="H2" s="1611"/>
      <c r="I2" s="1611"/>
      <c r="J2" s="1918"/>
      <c r="K2" s="1918"/>
      <c r="L2" s="1918"/>
      <c r="M2" s="1611"/>
      <c r="N2" s="1611"/>
      <c r="O2" s="1611"/>
      <c r="P2" s="1611"/>
      <c r="Q2" s="1928" t="s">
        <v>6923</v>
      </c>
      <c r="R2" s="1923"/>
      <c r="S2" s="1929"/>
      <c r="T2" s="1930"/>
      <c r="U2" s="1931"/>
    </row>
    <row r="3" spans="1:21" ht="14.4" x14ac:dyDescent="0.3">
      <c r="A3" s="38"/>
      <c r="B3" s="1668" t="s">
        <v>6922</v>
      </c>
      <c r="C3" s="1670"/>
      <c r="D3" s="1670"/>
      <c r="E3" s="1611"/>
      <c r="F3" s="1611"/>
      <c r="G3" s="1939"/>
      <c r="H3" s="1611"/>
      <c r="I3" s="1918"/>
      <c r="J3" s="1632"/>
      <c r="K3" s="1632"/>
      <c r="L3" s="1632"/>
      <c r="M3" s="1632"/>
      <c r="N3" s="1611"/>
      <c r="O3" s="1611"/>
      <c r="P3" s="1611"/>
      <c r="Q3" s="49" t="s">
        <v>1901</v>
      </c>
      <c r="R3" s="602" t="s">
        <v>6925</v>
      </c>
      <c r="S3" s="49"/>
      <c r="T3" s="61">
        <f>C5*UDV.animal.total*UC.day_to_year</f>
        <v>5.6486707631511237</v>
      </c>
      <c r="U3" s="18" t="s">
        <v>2521</v>
      </c>
    </row>
    <row r="4" spans="1:21" ht="14.4" x14ac:dyDescent="0.3">
      <c r="A4" s="42"/>
      <c r="B4" s="1577" t="s">
        <v>6924</v>
      </c>
      <c r="C4" s="1879">
        <f>UDV.animal.manure*UC.year_to_day/UDV.animal.total/UDV.density.manure</f>
        <v>2.0526696680080483</v>
      </c>
      <c r="D4" s="1806" t="s">
        <v>5838</v>
      </c>
      <c r="E4" s="1918"/>
      <c r="F4" s="1918"/>
      <c r="G4" s="1918"/>
      <c r="H4" s="1918"/>
      <c r="I4" s="1918"/>
      <c r="J4" s="1632"/>
      <c r="K4" s="1632"/>
      <c r="L4" s="1632"/>
      <c r="M4" s="1632"/>
      <c r="N4" s="1611"/>
      <c r="O4" s="1611"/>
      <c r="P4" s="1611"/>
      <c r="Q4" s="602" t="s">
        <v>7143</v>
      </c>
      <c r="R4" s="602" t="str">
        <f>PT.shallow_scrape!B91</f>
        <v>Total recycled water needed</v>
      </c>
      <c r="S4" s="602"/>
      <c r="T4" s="1987">
        <f>PT.shallow_scrape!G91</f>
        <v>0</v>
      </c>
      <c r="U4" s="1818" t="str">
        <f>PT.shallow_scrape!C91</f>
        <v>m3/year</v>
      </c>
    </row>
    <row r="5" spans="1:21" ht="14.4" x14ac:dyDescent="0.3">
      <c r="A5" s="42"/>
      <c r="B5" s="1577" t="s">
        <v>415</v>
      </c>
      <c r="C5" s="1811">
        <f>SUM(C38:C41)</f>
        <v>4.1235296571003204</v>
      </c>
      <c r="D5" s="1806" t="s">
        <v>5838</v>
      </c>
      <c r="E5" s="1918"/>
      <c r="F5" s="1918"/>
      <c r="G5" s="1918"/>
      <c r="H5" s="1918"/>
      <c r="I5" s="1918"/>
      <c r="J5" s="1632"/>
      <c r="K5" s="1632"/>
      <c r="L5" s="1632"/>
      <c r="M5" s="1632"/>
      <c r="N5" s="1611"/>
      <c r="O5" s="1611"/>
      <c r="P5" s="1611"/>
      <c r="Q5" s="602"/>
      <c r="R5" s="602" t="str">
        <f>PT.shallow_scrape!B92</f>
        <v>Number of flushes</v>
      </c>
      <c r="S5" s="602"/>
      <c r="T5" s="1987">
        <f>PT.shallow_scrape!G92</f>
        <v>3</v>
      </c>
      <c r="U5" s="1818" t="str">
        <f>PT.shallow_scrape!C92</f>
        <v>flush/day</v>
      </c>
    </row>
    <row r="6" spans="1:21" ht="14.4" x14ac:dyDescent="0.3">
      <c r="A6" s="42"/>
      <c r="B6" s="1577" t="s">
        <v>409</v>
      </c>
      <c r="C6" s="1811">
        <f>SUM(C31:C36)</f>
        <v>9.6365416077124788</v>
      </c>
      <c r="D6" s="1806" t="s">
        <v>5769</v>
      </c>
      <c r="E6" s="1918"/>
      <c r="F6" s="1918"/>
      <c r="G6" s="2017"/>
      <c r="H6" s="1918"/>
      <c r="I6" s="1611"/>
      <c r="J6" s="1850"/>
      <c r="K6" s="1850"/>
      <c r="L6" s="1850"/>
      <c r="M6" s="1850"/>
      <c r="N6" s="1611"/>
      <c r="O6" s="1611"/>
      <c r="P6" s="1611"/>
      <c r="Q6" s="602"/>
      <c r="R6" s="602" t="str">
        <f>PT.shallow_scrape!B93</f>
        <v>Volume of recycled water per flush</v>
      </c>
      <c r="S6" s="602"/>
      <c r="T6" s="1987">
        <f>PT.shallow_scrape!G93</f>
        <v>0</v>
      </c>
      <c r="U6" s="1818" t="str">
        <f>PT.shallow_scrape!C93</f>
        <v>m3/flush</v>
      </c>
    </row>
    <row r="7" spans="1:21" ht="15" customHeight="1" x14ac:dyDescent="0.3">
      <c r="A7" s="42"/>
      <c r="B7" s="1577" t="s">
        <v>6926</v>
      </c>
      <c r="C7" s="1353" t="s">
        <v>6927</v>
      </c>
      <c r="D7" s="1806"/>
      <c r="E7" s="1611"/>
      <c r="F7" s="1611"/>
      <c r="G7" s="1611"/>
      <c r="H7" s="1611"/>
      <c r="I7" s="1611"/>
      <c r="J7" s="1850"/>
      <c r="K7" s="1850"/>
      <c r="L7" s="1850"/>
      <c r="M7" s="1850"/>
      <c r="N7" s="1850"/>
      <c r="O7" s="1611"/>
      <c r="P7" s="1611"/>
      <c r="Q7" s="602"/>
      <c r="R7" s="602" t="str">
        <f>PT.shallow_scrape!B94</f>
        <v>Total flush water volume</v>
      </c>
      <c r="S7" s="602"/>
      <c r="T7" s="1987">
        <f>PT.shallow_scrape!G94</f>
        <v>0</v>
      </c>
      <c r="U7" s="1818" t="str">
        <f>PT.shallow_scrape!C94</f>
        <v>m3/day</v>
      </c>
    </row>
    <row r="8" spans="1:21" ht="14.4" x14ac:dyDescent="0.3">
      <c r="A8" s="42"/>
      <c r="B8" s="1577" t="s">
        <v>6928</v>
      </c>
      <c r="C8" s="1360">
        <f>SUM(C43:C49)/UDV.animal.total</f>
        <v>576.35487119311904</v>
      </c>
      <c r="D8" s="1353" t="s">
        <v>2270</v>
      </c>
      <c r="E8" s="1611"/>
      <c r="F8" s="1611"/>
      <c r="G8" s="1850"/>
      <c r="H8" s="1611"/>
      <c r="I8" s="1611"/>
      <c r="J8" s="1850"/>
      <c r="K8" s="1850"/>
      <c r="L8" s="1850"/>
      <c r="M8" s="1850"/>
      <c r="N8" s="1850"/>
      <c r="O8" s="1611"/>
      <c r="P8" s="1611"/>
      <c r="Q8" s="602"/>
      <c r="R8" s="602" t="str">
        <f>PT.shallow_scrape!B95</f>
        <v>Recycled water volume</v>
      </c>
      <c r="S8" s="602"/>
      <c r="T8" s="1987">
        <f>PT.shallow_scrape!G95</f>
        <v>0</v>
      </c>
      <c r="U8" s="1818" t="str">
        <f>PT.shallow_scrape!C95</f>
        <v>m3/day</v>
      </c>
    </row>
    <row r="9" spans="1:21" ht="14.4" x14ac:dyDescent="0.3">
      <c r="A9" s="42"/>
      <c r="B9" s="1810" t="s">
        <v>6929</v>
      </c>
      <c r="C9" s="1807"/>
      <c r="D9" s="1806"/>
      <c r="E9" s="1611"/>
      <c r="F9" s="1611"/>
      <c r="G9" s="1850"/>
      <c r="H9" s="1611"/>
      <c r="I9" s="1611"/>
      <c r="J9" s="1918"/>
      <c r="K9" s="1918"/>
      <c r="L9" s="1918"/>
      <c r="M9" s="1918"/>
      <c r="N9" s="1611"/>
      <c r="O9" s="1611"/>
      <c r="P9" s="1611"/>
      <c r="Q9" s="602"/>
      <c r="R9" s="602" t="str">
        <f>PT.shallow_scrape!B96</f>
        <v>Volume of water per cleaning</v>
      </c>
      <c r="S9" s="602"/>
      <c r="T9" s="1987">
        <f>PT.shallow_scrape!G96</f>
        <v>0</v>
      </c>
      <c r="U9" s="1818" t="str">
        <f>PT.shallow_scrape!C96</f>
        <v>m3/flush</v>
      </c>
    </row>
    <row r="10" spans="1:21" ht="14.4" x14ac:dyDescent="0.3">
      <c r="A10" s="42"/>
      <c r="B10" s="1577" t="s">
        <v>6163</v>
      </c>
      <c r="C10" s="1811">
        <f>C59</f>
        <v>13.256027786979301</v>
      </c>
      <c r="D10" s="1806" t="s">
        <v>2385</v>
      </c>
      <c r="E10" s="1611"/>
      <c r="F10" s="1611"/>
      <c r="G10" s="1850"/>
      <c r="H10" s="1611"/>
      <c r="I10" s="1611"/>
      <c r="J10" s="1918"/>
      <c r="K10" s="1918"/>
      <c r="L10" s="1918"/>
      <c r="M10" s="1918"/>
      <c r="N10" s="1611"/>
      <c r="O10" s="1611"/>
      <c r="P10" s="1611"/>
      <c r="Q10" s="602"/>
      <c r="R10" s="602" t="str">
        <f>PT.shallow_scrape!B97</f>
        <v>Size of motor(s) needed for pump(s)</v>
      </c>
      <c r="S10" s="602"/>
      <c r="T10" s="1987">
        <f>PT.shallow_scrape!G97</f>
        <v>4.9783549783549788</v>
      </c>
      <c r="U10" s="1818" t="str">
        <f>PT.shallow_scrape!C97</f>
        <v>hp/pump</v>
      </c>
    </row>
    <row r="11" spans="1:21" ht="14.4" x14ac:dyDescent="0.3">
      <c r="A11" s="42"/>
      <c r="B11" s="1577" t="s">
        <v>6164</v>
      </c>
      <c r="C11" s="1811">
        <f t="shared" ref="C11:C12" si="0">C60</f>
        <v>6.6431094999999987</v>
      </c>
      <c r="D11" s="1806" t="s">
        <v>2385</v>
      </c>
      <c r="E11" s="1611"/>
      <c r="F11" s="1611"/>
      <c r="G11" s="1850"/>
      <c r="H11" s="1611"/>
      <c r="I11" s="1939"/>
      <c r="J11" s="1862"/>
      <c r="K11" s="1857"/>
      <c r="L11" s="1857"/>
      <c r="M11" s="1857"/>
      <c r="N11" s="1857"/>
      <c r="O11" s="1918"/>
      <c r="P11" s="1611"/>
      <c r="Q11" s="602"/>
      <c r="R11" s="602" t="str">
        <f>PT.shallow_scrape!B98</f>
        <v>Number of pumps needed from pond/lagoon</v>
      </c>
      <c r="S11" s="602"/>
      <c r="T11" s="1987">
        <f>PT.shallow_scrape!G98</f>
        <v>0</v>
      </c>
      <c r="U11" s="1818" t="str">
        <f>PT.shallow_scrape!C98</f>
        <v>pumps</v>
      </c>
    </row>
    <row r="12" spans="1:21" ht="14.4" x14ac:dyDescent="0.3">
      <c r="A12" s="42"/>
      <c r="B12" s="1577" t="s">
        <v>6165</v>
      </c>
      <c r="C12" s="1811">
        <f t="shared" si="0"/>
        <v>8.5411824999999979</v>
      </c>
      <c r="D12" s="1806" t="s">
        <v>2385</v>
      </c>
      <c r="E12" s="1611"/>
      <c r="F12" s="1611"/>
      <c r="G12" s="1850"/>
      <c r="H12" s="1611"/>
      <c r="I12" s="1939"/>
      <c r="J12" s="1857"/>
      <c r="K12" s="2019"/>
      <c r="L12" s="1862"/>
      <c r="M12" s="1611"/>
      <c r="N12" s="1611"/>
      <c r="O12" s="1611"/>
      <c r="P12" s="1611"/>
      <c r="Q12" s="602"/>
      <c r="R12" s="602" t="str">
        <f>PT.shallow_scrape!B99</f>
        <v>Operational time for pump/motor</v>
      </c>
      <c r="S12" s="602"/>
      <c r="T12" s="1987">
        <f>PT.shallow_scrape!G99</f>
        <v>0</v>
      </c>
      <c r="U12" s="1818" t="str">
        <f>PT.shallow_scrape!C99</f>
        <v>hr/day/pump</v>
      </c>
    </row>
    <row r="13" spans="1:21" ht="14.4" x14ac:dyDescent="0.3">
      <c r="A13" s="42"/>
      <c r="B13" s="1810" t="s">
        <v>6930</v>
      </c>
      <c r="C13" s="1811"/>
      <c r="D13" s="1806"/>
      <c r="E13" s="1611"/>
      <c r="F13" s="1611"/>
      <c r="G13" s="1850"/>
      <c r="H13" s="1611"/>
      <c r="I13" s="1939"/>
      <c r="J13" s="1857"/>
      <c r="K13" s="1857"/>
      <c r="L13" s="2021"/>
      <c r="M13" s="1857"/>
      <c r="N13" s="1866"/>
      <c r="O13" s="1611"/>
      <c r="P13" s="1611"/>
      <c r="Q13" s="602"/>
      <c r="R13" s="602" t="str">
        <f>PT.shallow_scrape!B100</f>
        <v>Energy needed for motor(s) for pump(s)</v>
      </c>
      <c r="S13" s="602"/>
      <c r="T13" s="1987">
        <f>PT.shallow_scrape!G100</f>
        <v>0</v>
      </c>
      <c r="U13" s="1818" t="str">
        <f>PT.shallow_scrape!C100</f>
        <v>kWh/day</v>
      </c>
    </row>
    <row r="14" spans="1:21" ht="14.4" x14ac:dyDescent="0.3">
      <c r="A14" s="7"/>
      <c r="B14" s="1577" t="s">
        <v>6163</v>
      </c>
      <c r="C14" s="1811">
        <f>C63</f>
        <v>0</v>
      </c>
      <c r="D14" s="1806" t="s">
        <v>2385</v>
      </c>
      <c r="E14" s="1611"/>
      <c r="F14" s="1611"/>
      <c r="G14" s="1850"/>
      <c r="H14" s="1611"/>
      <c r="I14" s="1939"/>
      <c r="J14" s="1862"/>
      <c r="K14" s="1862"/>
      <c r="L14" s="2019"/>
      <c r="M14" s="2022"/>
      <c r="N14" s="1939"/>
      <c r="O14" s="1611"/>
      <c r="P14" s="1611"/>
      <c r="Q14" s="602"/>
      <c r="R14" s="602" t="str">
        <f>PT.shallow_scrape!B101</f>
        <v>Distance from pump to barns</v>
      </c>
      <c r="S14" s="602"/>
      <c r="T14" s="1987">
        <f>PT.shallow_scrape!G101</f>
        <v>800</v>
      </c>
      <c r="U14" s="1818" t="str">
        <f>PT.shallow_scrape!C101</f>
        <v>ft</v>
      </c>
    </row>
    <row r="15" spans="1:21" ht="14.4" x14ac:dyDescent="0.3">
      <c r="A15" s="7"/>
      <c r="B15" s="1577" t="s">
        <v>6164</v>
      </c>
      <c r="C15" s="1811">
        <f t="shared" ref="C15:C16" si="1">C64</f>
        <v>0</v>
      </c>
      <c r="D15" s="1806" t="s">
        <v>2385</v>
      </c>
      <c r="E15" s="1611"/>
      <c r="F15" s="1611"/>
      <c r="G15" s="1611"/>
      <c r="H15" s="1611"/>
      <c r="I15" s="1939"/>
      <c r="J15" s="1862"/>
      <c r="K15" s="1862"/>
      <c r="L15" s="2019"/>
      <c r="M15" s="2022"/>
      <c r="N15" s="1939"/>
      <c r="O15" s="1611"/>
      <c r="P15" s="1611"/>
      <c r="Q15" s="602"/>
      <c r="R15" s="602" t="str">
        <f>PT.shallow_scrape!B102</f>
        <v>Number of scrapes, auto</v>
      </c>
      <c r="S15" s="602"/>
      <c r="T15" s="1987">
        <f>PT.shallow_scrape!G102</f>
        <v>12</v>
      </c>
      <c r="U15" s="1818" t="str">
        <f>PT.shallow_scrape!C102</f>
        <v>quantity/day</v>
      </c>
    </row>
    <row r="16" spans="1:21" ht="14.4" x14ac:dyDescent="0.3">
      <c r="A16" s="7"/>
      <c r="B16" s="1577" t="s">
        <v>6165</v>
      </c>
      <c r="C16" s="1811">
        <f t="shared" si="1"/>
        <v>0</v>
      </c>
      <c r="D16" s="1806" t="s">
        <v>2385</v>
      </c>
      <c r="E16" s="1611"/>
      <c r="F16" s="1611"/>
      <c r="G16" s="1850"/>
      <c r="H16" s="1611"/>
      <c r="I16" s="1939"/>
      <c r="J16" s="1857"/>
      <c r="K16" s="1862"/>
      <c r="L16" s="2022"/>
      <c r="M16" s="2022"/>
      <c r="N16" s="1939"/>
      <c r="O16" s="1611"/>
      <c r="P16" s="1611"/>
      <c r="Q16" s="602"/>
      <c r="R16" s="602" t="str">
        <f>PT.shallow_scrape!B103</f>
        <v>Alley length, total</v>
      </c>
      <c r="S16" s="602"/>
      <c r="T16" s="1987">
        <f>PT.shallow_scrape!G103</f>
        <v>115</v>
      </c>
      <c r="U16" s="1818" t="str">
        <f>PT.shallow_scrape!C103</f>
        <v>m</v>
      </c>
    </row>
    <row r="17" spans="1:21" ht="14.4" x14ac:dyDescent="0.3">
      <c r="A17" s="42"/>
      <c r="B17" s="1808" t="s">
        <v>5271</v>
      </c>
      <c r="C17" s="1809"/>
      <c r="D17" s="1806"/>
      <c r="E17" s="1611"/>
      <c r="F17" s="1611"/>
      <c r="G17" s="1632"/>
      <c r="H17" s="1611"/>
      <c r="I17" s="1611"/>
      <c r="J17" s="1857"/>
      <c r="K17" s="1862"/>
      <c r="L17" s="2022"/>
      <c r="M17" s="2022"/>
      <c r="N17" s="1939"/>
      <c r="O17" s="1611"/>
      <c r="P17" s="1611"/>
      <c r="Q17" s="49"/>
      <c r="R17" s="602" t="str">
        <f>PT.shallow_scrape!B104</f>
        <v>Auto alley system number of drive units/motors</v>
      </c>
      <c r="S17" s="602"/>
      <c r="T17" s="1987">
        <f>PT.shallow_scrape!G104</f>
        <v>2</v>
      </c>
      <c r="U17" s="1818" t="str">
        <f>PT.shallow_scrape!C104</f>
        <v>quantity</v>
      </c>
    </row>
    <row r="18" spans="1:21" ht="15.6" x14ac:dyDescent="0.3">
      <c r="A18" s="42"/>
      <c r="B18" s="1577" t="s">
        <v>6782</v>
      </c>
      <c r="C18" s="1812">
        <f>C78+C82</f>
        <v>12.06520928733535</v>
      </c>
      <c r="D18" s="1806" t="s">
        <v>2385</v>
      </c>
      <c r="E18" s="1611"/>
      <c r="F18" s="1611"/>
      <c r="G18" s="1632"/>
      <c r="H18" s="1611"/>
      <c r="I18" s="1611"/>
      <c r="J18" s="1857"/>
      <c r="K18" s="1862"/>
      <c r="L18" s="2019"/>
      <c r="M18" s="2022"/>
      <c r="N18" s="1939"/>
      <c r="O18" s="1611"/>
      <c r="P18" s="1611"/>
      <c r="Q18" s="49"/>
      <c r="R18" s="602" t="str">
        <f>PT.shallow_scrape!B105</f>
        <v>Number of scraper blades, auto</v>
      </c>
      <c r="S18" s="602"/>
      <c r="T18" s="1987">
        <f>PT.shallow_scrape!G105</f>
        <v>2</v>
      </c>
      <c r="U18" s="1818" t="str">
        <f>PT.shallow_scrape!C105</f>
        <v>quantity</v>
      </c>
    </row>
    <row r="19" spans="1:21" ht="15.6" x14ac:dyDescent="0.3">
      <c r="A19" s="42"/>
      <c r="B19" s="1577" t="s">
        <v>6783</v>
      </c>
      <c r="C19" s="1812">
        <f>C80+C84</f>
        <v>0.20877981743429999</v>
      </c>
      <c r="D19" s="1806" t="s">
        <v>2385</v>
      </c>
      <c r="E19" s="1611"/>
      <c r="F19" s="1611"/>
      <c r="G19" s="1611"/>
      <c r="H19" s="1611"/>
      <c r="I19" s="1611"/>
      <c r="J19" s="1857"/>
      <c r="K19" s="1862"/>
      <c r="L19" s="1862"/>
      <c r="M19" s="2022"/>
      <c r="N19" s="1939"/>
      <c r="O19" s="1611"/>
      <c r="P19" s="1611"/>
      <c r="Q19" s="49"/>
      <c r="R19" s="602" t="str">
        <f>PT.shallow_scrape!B106</f>
        <v>Auto alley system operation time</v>
      </c>
      <c r="S19" s="602"/>
      <c r="T19" s="1987">
        <f>PT.shallow_scrape!G106</f>
        <v>10.952380952380953</v>
      </c>
      <c r="U19" s="1818" t="str">
        <f>PT.shallow_scrape!C106</f>
        <v>hr/day</v>
      </c>
    </row>
    <row r="20" spans="1:21" ht="15.6" x14ac:dyDescent="0.3">
      <c r="A20" s="42"/>
      <c r="B20" s="1577" t="s">
        <v>6784</v>
      </c>
      <c r="C20" s="1812">
        <f>C81+C85</f>
        <v>0.20877981743429996</v>
      </c>
      <c r="D20" s="1806" t="s">
        <v>2385</v>
      </c>
      <c r="E20" s="1866"/>
      <c r="F20" s="1866"/>
      <c r="G20" s="1866"/>
      <c r="H20" s="1866"/>
      <c r="I20" s="1611"/>
      <c r="J20" s="1862"/>
      <c r="K20" s="1862"/>
      <c r="L20" s="1862"/>
      <c r="M20" s="2022"/>
      <c r="N20" s="1939"/>
      <c r="O20" s="1611"/>
      <c r="P20" s="1960"/>
      <c r="Q20" s="49"/>
      <c r="R20" s="602" t="str">
        <f>PT.shallow_scrape!B107</f>
        <v>Auto alley system total electricity</v>
      </c>
      <c r="S20" s="602"/>
      <c r="T20" s="1987">
        <f>PT.shallow_scrape!G107</f>
        <v>12.250783578571429</v>
      </c>
      <c r="U20" s="1818" t="str">
        <f>PT.shallow_scrape!C107</f>
        <v>kWh/day</v>
      </c>
    </row>
    <row r="21" spans="1:21" ht="14.25" customHeight="1" x14ac:dyDescent="0.3">
      <c r="A21" s="42"/>
      <c r="B21" s="1577" t="s">
        <v>6785</v>
      </c>
      <c r="C21" s="1812">
        <f>C79+C83</f>
        <v>9.4901642499999994</v>
      </c>
      <c r="D21" s="1806" t="s">
        <v>2385</v>
      </c>
      <c r="E21" s="1866"/>
      <c r="F21" s="1866"/>
      <c r="G21" s="1866"/>
      <c r="H21" s="1866"/>
      <c r="I21" s="1611"/>
      <c r="J21" s="1862"/>
      <c r="K21" s="1862"/>
      <c r="L21" s="1862"/>
      <c r="M21" s="2022"/>
      <c r="N21" s="1939"/>
      <c r="O21" s="1611"/>
      <c r="P21" s="1611"/>
      <c r="Q21" s="49"/>
      <c r="R21" s="602"/>
      <c r="S21" s="602"/>
      <c r="T21" s="1987"/>
      <c r="U21" s="1818"/>
    </row>
    <row r="22" spans="1:21" ht="15.75" customHeight="1" x14ac:dyDescent="0.3">
      <c r="A22" s="42"/>
      <c r="E22" s="1960"/>
      <c r="F22" s="1918"/>
      <c r="G22" s="1632"/>
      <c r="H22" s="1611"/>
      <c r="I22" s="1611"/>
      <c r="J22" s="1857"/>
      <c r="K22" s="1862"/>
      <c r="L22" s="1862"/>
      <c r="M22" s="2022"/>
      <c r="N22" s="1939"/>
      <c r="O22" s="1611"/>
      <c r="P22" s="1960"/>
      <c r="Q22" s="49"/>
      <c r="R22" s="602"/>
      <c r="S22" s="602"/>
      <c r="T22" s="1987"/>
      <c r="U22" s="1818"/>
    </row>
    <row r="23" spans="1:21" ht="14.4" x14ac:dyDescent="0.3">
      <c r="A23" s="42"/>
      <c r="E23" s="1611"/>
      <c r="F23" s="1611"/>
      <c r="G23" s="1611"/>
      <c r="H23" s="1611"/>
      <c r="I23" s="1611"/>
      <c r="J23" s="1857"/>
      <c r="K23" s="1862"/>
      <c r="L23" s="2019"/>
      <c r="M23" s="2022"/>
      <c r="N23" s="1939"/>
      <c r="O23" s="1611"/>
      <c r="P23" s="1611"/>
      <c r="Q23" s="49"/>
      <c r="R23" s="602"/>
      <c r="S23" s="602"/>
      <c r="T23" s="1987"/>
      <c r="U23" s="1818"/>
    </row>
    <row r="24" spans="1:21" ht="14.4" x14ac:dyDescent="0.3">
      <c r="A24" s="42"/>
      <c r="B24" s="1668" t="s">
        <v>6931</v>
      </c>
      <c r="C24" s="1680"/>
      <c r="D24" s="1815"/>
      <c r="E24" s="1866"/>
      <c r="F24" s="1866"/>
      <c r="G24" s="1866"/>
      <c r="H24" s="1866"/>
      <c r="I24" s="1850"/>
      <c r="J24" s="1862"/>
      <c r="K24" s="1862"/>
      <c r="L24" s="2019"/>
      <c r="M24" s="2022"/>
      <c r="N24" s="1939"/>
      <c r="O24" s="1611"/>
      <c r="P24" s="1611"/>
      <c r="Q24" s="49"/>
      <c r="R24" s="602"/>
      <c r="S24" s="602"/>
      <c r="T24" s="1987"/>
      <c r="U24" s="1818"/>
    </row>
    <row r="25" spans="1:21" ht="14.4" x14ac:dyDescent="0.3">
      <c r="A25" s="42"/>
      <c r="B25" s="510" t="s">
        <v>6932</v>
      </c>
      <c r="C25" s="1378">
        <v>0.21</v>
      </c>
      <c r="D25" s="510" t="s">
        <v>1694</v>
      </c>
      <c r="E25" s="1866"/>
      <c r="F25" s="1866"/>
      <c r="G25" s="1866"/>
      <c r="H25" s="1866"/>
      <c r="I25" s="1850"/>
      <c r="J25" s="1862"/>
      <c r="K25" s="1862"/>
      <c r="L25" s="2019"/>
      <c r="M25" s="2022"/>
      <c r="N25" s="1939"/>
      <c r="O25" s="1611"/>
      <c r="P25" s="1611"/>
      <c r="Q25" s="49"/>
      <c r="R25" s="602"/>
      <c r="S25" s="602"/>
      <c r="T25" s="1987"/>
      <c r="U25" s="1818"/>
    </row>
    <row r="26" spans="1:21" ht="14.4" x14ac:dyDescent="0.3">
      <c r="A26" s="42"/>
      <c r="B26" s="1813" t="s">
        <v>6933</v>
      </c>
      <c r="C26" s="1414">
        <v>2.1428571399999998</v>
      </c>
      <c r="D26" s="510" t="s">
        <v>6934</v>
      </c>
      <c r="E26" s="1960"/>
      <c r="F26" s="1918"/>
      <c r="G26" s="1632"/>
      <c r="H26" s="1611"/>
      <c r="I26" s="1850"/>
      <c r="J26" s="1862"/>
      <c r="K26" s="1862"/>
      <c r="L26" s="2019"/>
      <c r="M26" s="2022"/>
      <c r="N26" s="1939"/>
      <c r="O26" s="1611"/>
      <c r="P26" s="1611"/>
      <c r="Q26" s="49"/>
      <c r="R26" s="602"/>
      <c r="S26" s="602"/>
      <c r="T26" s="1987"/>
      <c r="U26" s="1818"/>
    </row>
    <row r="27" spans="1:21" ht="14.4" x14ac:dyDescent="0.3">
      <c r="A27" s="42"/>
      <c r="B27" s="91" t="s">
        <v>6935</v>
      </c>
      <c r="C27" s="1403">
        <f>(C19+C20)*(28/44)</f>
        <v>0.26571976764365451</v>
      </c>
      <c r="D27" s="510" t="s">
        <v>2358</v>
      </c>
      <c r="E27" s="1611"/>
      <c r="F27" s="1611"/>
      <c r="G27" s="1611"/>
      <c r="H27" s="1611"/>
      <c r="I27" s="1611"/>
      <c r="J27" s="1857"/>
      <c r="K27" s="1862"/>
      <c r="L27" s="2019"/>
      <c r="M27" s="2022"/>
      <c r="N27" s="1939"/>
      <c r="O27" s="1611"/>
      <c r="P27" s="1611"/>
      <c r="Q27" s="49"/>
      <c r="R27" s="602"/>
      <c r="S27" s="602"/>
      <c r="T27" s="1987"/>
      <c r="U27" s="1818"/>
    </row>
    <row r="28" spans="1:21" ht="14.4" x14ac:dyDescent="0.3">
      <c r="A28" s="42"/>
      <c r="B28" s="91" t="s">
        <v>6936</v>
      </c>
      <c r="C28" s="1403">
        <f>C21*(14/17)</f>
        <v>7.8154293823529404</v>
      </c>
      <c r="D28" s="510" t="s">
        <v>2358</v>
      </c>
      <c r="E28" s="1866"/>
      <c r="F28" s="1866"/>
      <c r="G28" s="1866"/>
      <c r="H28" s="1866"/>
      <c r="I28" s="1850"/>
      <c r="J28" s="1862"/>
      <c r="K28" s="1862"/>
      <c r="L28" s="2019"/>
      <c r="M28" s="2022"/>
      <c r="N28" s="1939"/>
      <c r="O28" s="1611"/>
      <c r="P28" s="1611"/>
      <c r="Q28" s="49"/>
      <c r="R28" s="602"/>
      <c r="S28" s="602"/>
      <c r="T28" s="1987"/>
      <c r="U28" s="1818"/>
    </row>
    <row r="29" spans="1:21" ht="18" customHeight="1" x14ac:dyDescent="0.3">
      <c r="A29" s="42"/>
      <c r="B29" s="91" t="s">
        <v>6937</v>
      </c>
      <c r="C29" s="1403">
        <f>C25*C27*(44/28)/C26</f>
        <v>4.0920844271683923E-2</v>
      </c>
      <c r="D29" s="510" t="s">
        <v>2358</v>
      </c>
      <c r="E29" s="1866"/>
      <c r="F29" s="1866"/>
      <c r="G29" s="1866"/>
      <c r="H29" s="1866"/>
      <c r="I29" s="1850"/>
      <c r="J29" s="1862"/>
      <c r="K29" s="1862"/>
      <c r="L29" s="2019"/>
      <c r="M29" s="2022"/>
      <c r="N29" s="1939"/>
      <c r="O29" s="1611"/>
      <c r="P29" s="1611"/>
      <c r="Q29" s="49"/>
      <c r="R29" s="602"/>
      <c r="S29" s="602"/>
      <c r="T29" s="1987"/>
      <c r="U29" s="1818"/>
    </row>
    <row r="30" spans="1:21" ht="15" customHeight="1" x14ac:dyDescent="0.3">
      <c r="A30" s="42"/>
      <c r="B30" s="1668" t="s">
        <v>409</v>
      </c>
      <c r="C30" s="1680"/>
      <c r="D30" s="1815"/>
      <c r="E30" s="1611"/>
      <c r="F30" s="1611"/>
      <c r="G30" s="1632"/>
      <c r="H30" s="1611"/>
      <c r="I30" s="1850"/>
      <c r="J30" s="1862"/>
      <c r="K30" s="1862"/>
      <c r="L30" s="2019"/>
      <c r="M30" s="2022"/>
      <c r="N30" s="1939"/>
      <c r="O30" s="1611"/>
      <c r="P30" s="1611"/>
      <c r="Q30" s="49"/>
      <c r="R30" s="602"/>
      <c r="S30" s="602"/>
      <c r="T30" s="1987"/>
      <c r="U30" s="1818"/>
    </row>
    <row r="31" spans="1:21" ht="14.4" x14ac:dyDescent="0.3">
      <c r="A31" s="42"/>
      <c r="B31" s="95" t="str">
        <f>PT.shallow_scrape!B117</f>
        <v>Electricity for pumping flush water into scrape system</v>
      </c>
      <c r="C31" s="1877">
        <f>PT.shallow_scrape!G117</f>
        <v>0</v>
      </c>
      <c r="D31" s="1352" t="str">
        <f>PT.shallow_scrape!C117</f>
        <v>kWh/head/year</v>
      </c>
      <c r="E31" s="1611"/>
      <c r="F31" s="1611"/>
      <c r="G31" s="1632"/>
      <c r="H31" s="1611"/>
      <c r="I31" s="1611"/>
      <c r="J31" s="1857"/>
      <c r="K31" s="1862"/>
      <c r="L31" s="1862"/>
      <c r="M31" s="2022"/>
      <c r="N31" s="1939"/>
      <c r="O31" s="1611"/>
      <c r="P31" s="1611"/>
      <c r="Q31" s="49"/>
      <c r="R31" s="602"/>
      <c r="S31" s="602"/>
      <c r="T31" s="1987"/>
      <c r="U31" s="1818"/>
    </row>
    <row r="32" spans="1:21" ht="21.75" customHeight="1" x14ac:dyDescent="0.3">
      <c r="A32" s="42"/>
      <c r="B32" s="95" t="str">
        <f>PT.shallow_scrape!B118</f>
        <v>Electricity used by auto alley scrape system</v>
      </c>
      <c r="C32" s="1877">
        <f>PT.shallow_scrape!G118</f>
        <v>8.9430720123571419</v>
      </c>
      <c r="D32" s="1352" t="str">
        <f>PT.shallow_scrape!C118</f>
        <v>kWh/head/year</v>
      </c>
      <c r="E32" s="1960"/>
      <c r="F32" s="1611"/>
      <c r="G32" s="1611"/>
      <c r="H32" s="1611"/>
      <c r="I32" s="1611"/>
      <c r="J32" s="1857"/>
      <c r="K32" s="1862"/>
      <c r="L32" s="2022"/>
      <c r="M32" s="2022"/>
      <c r="N32" s="1939"/>
      <c r="O32" s="1611"/>
      <c r="P32" s="1611"/>
      <c r="Q32" s="49"/>
      <c r="R32" s="602"/>
      <c r="S32" s="602"/>
      <c r="T32" s="1987"/>
      <c r="U32" s="1818"/>
    </row>
    <row r="33" spans="1:21" ht="15" customHeight="1" x14ac:dyDescent="0.3">
      <c r="A33" s="7"/>
      <c r="B33" s="95" t="str">
        <f>PT.shallow_scrape!B119</f>
        <v>Electricity used by transfer channel in scrape system</v>
      </c>
      <c r="C33" s="1877">
        <f>PT.shallow_scrape!G119</f>
        <v>0.41604726318357144</v>
      </c>
      <c r="D33" s="1352" t="str">
        <f>PT.shallow_scrape!C119</f>
        <v>kWh/head/year</v>
      </c>
      <c r="E33" s="1611"/>
      <c r="F33" s="1611"/>
      <c r="G33" s="1611"/>
      <c r="H33" s="1611"/>
      <c r="I33" s="1611"/>
      <c r="J33" s="1857"/>
      <c r="K33" s="1862"/>
      <c r="L33" s="2022"/>
      <c r="M33" s="2022"/>
      <c r="N33" s="1939"/>
      <c r="O33" s="1611"/>
      <c r="P33" s="1611"/>
      <c r="Q33" s="49"/>
      <c r="R33" s="602"/>
      <c r="S33" s="602"/>
      <c r="T33" s="1987"/>
      <c r="U33" s="1818"/>
    </row>
    <row r="34" spans="1:21" ht="15" customHeight="1" x14ac:dyDescent="0.3">
      <c r="A34" s="7"/>
      <c r="B34" s="95"/>
      <c r="C34" s="1877"/>
      <c r="D34" s="602"/>
      <c r="E34" s="1866"/>
      <c r="F34" s="1866"/>
      <c r="G34" s="1866"/>
      <c r="H34" s="1866"/>
      <c r="I34" s="1611"/>
      <c r="J34" s="1857"/>
      <c r="K34" s="1862"/>
      <c r="L34" s="2022"/>
      <c r="M34" s="2022"/>
      <c r="N34" s="1939"/>
      <c r="O34" s="1611"/>
      <c r="P34" s="1611"/>
      <c r="Q34" s="49" t="s">
        <v>5219</v>
      </c>
      <c r="R34" s="49" t="str">
        <f>PT.reception_pit!B26</f>
        <v>Reception pit constructed size</v>
      </c>
      <c r="S34" s="49"/>
      <c r="T34" s="648">
        <f>PT.reception_pit!M26</f>
        <v>2893.7344524219843</v>
      </c>
      <c r="U34" s="714" t="str">
        <f>PT.reception_pit!C26</f>
        <v>L</v>
      </c>
    </row>
    <row r="35" spans="1:21" ht="14.4" x14ac:dyDescent="0.3">
      <c r="A35" s="7"/>
      <c r="B35" s="95" t="str">
        <f>PT.reception_pit!B36</f>
        <v>Electricity used by reception pit pumps</v>
      </c>
      <c r="C35" s="1877">
        <f>PT.reception_pit!M36</f>
        <v>0.27742233217176548</v>
      </c>
      <c r="D35" s="602" t="str">
        <f>PT.reception_pit!C36</f>
        <v>kWh/head/year</v>
      </c>
      <c r="E35" s="1866"/>
      <c r="F35" s="1866"/>
      <c r="G35" s="1866"/>
      <c r="H35" s="1866"/>
      <c r="I35" s="1611"/>
      <c r="J35" s="1857"/>
      <c r="K35" s="1862"/>
      <c r="L35" s="2022"/>
      <c r="M35" s="2022"/>
      <c r="N35" s="1939"/>
      <c r="O35" s="1611"/>
      <c r="P35" s="1611"/>
      <c r="Q35" s="49"/>
      <c r="R35" s="49" t="str">
        <f>PT.reception_pit!B27</f>
        <v>Size of motor(s) for agi-pump(s)</v>
      </c>
      <c r="S35" s="49"/>
      <c r="T35" s="648">
        <f>PT.reception_pit!M27</f>
        <v>15</v>
      </c>
      <c r="U35" s="714" t="str">
        <f>PT.reception_pit!C27</f>
        <v>hp</v>
      </c>
    </row>
    <row r="36" spans="1:21" ht="18" customHeight="1" x14ac:dyDescent="0.3">
      <c r="A36" s="42"/>
      <c r="B36" s="95"/>
      <c r="C36" s="1987"/>
      <c r="D36" s="602"/>
      <c r="E36" s="1918"/>
      <c r="F36" s="1611"/>
      <c r="G36" s="1632"/>
      <c r="H36" s="1611"/>
      <c r="I36" s="1611"/>
      <c r="J36" s="1857"/>
      <c r="K36" s="1862"/>
      <c r="L36" s="2022"/>
      <c r="M36" s="2022"/>
      <c r="N36" s="1939"/>
      <c r="O36" s="1611"/>
      <c r="P36" s="1611"/>
      <c r="Q36" s="49"/>
      <c r="R36" s="49" t="str">
        <f>PT.reception_pit!B28</f>
        <v>Number of agi-pumps needed</v>
      </c>
      <c r="S36" s="49"/>
      <c r="T36" s="648">
        <f>PT.reception_pit!M28</f>
        <v>1</v>
      </c>
      <c r="U36" s="714" t="str">
        <f>PT.reception_pit!C28</f>
        <v>pumps</v>
      </c>
    </row>
    <row r="37" spans="1:21" ht="14.4" x14ac:dyDescent="0.3">
      <c r="A37" s="42"/>
      <c r="B37" s="1668" t="s">
        <v>415</v>
      </c>
      <c r="C37" s="1680"/>
      <c r="D37" s="1815"/>
      <c r="E37" s="1960"/>
      <c r="F37" s="1918"/>
      <c r="G37" s="1632"/>
      <c r="H37" s="1611"/>
      <c r="I37" s="1611"/>
      <c r="J37" s="1857"/>
      <c r="K37" s="1862"/>
      <c r="L37" s="1862"/>
      <c r="M37" s="2022"/>
      <c r="N37" s="1939"/>
      <c r="O37" s="1611"/>
      <c r="P37" s="1611"/>
      <c r="Q37" s="49"/>
      <c r="R37" s="49" t="str">
        <f>PT.reception_pit!B29</f>
        <v>Energy needed for motor for agi-pump</v>
      </c>
      <c r="S37" s="49"/>
      <c r="T37" s="648">
        <f>PT.reception_pit!M29</f>
        <v>0.38003059201611716</v>
      </c>
      <c r="U37" s="714" t="str">
        <f>PT.reception_pit!C29</f>
        <v>kWh/day</v>
      </c>
    </row>
    <row r="38" spans="1:21" ht="14.4" x14ac:dyDescent="0.3">
      <c r="A38" s="42"/>
      <c r="B38" s="1925"/>
      <c r="C38" s="1926"/>
      <c r="D38" s="1925"/>
      <c r="E38" s="1939"/>
      <c r="F38" s="1918"/>
      <c r="G38" s="1939"/>
      <c r="H38" s="1611"/>
      <c r="I38" s="1611"/>
      <c r="J38" s="1862"/>
      <c r="K38" s="1862"/>
      <c r="L38" s="1862"/>
      <c r="M38" s="2022"/>
      <c r="N38" s="1632"/>
      <c r="O38" s="1611"/>
      <c r="P38" s="1611"/>
      <c r="Q38" s="49" t="s">
        <v>4622</v>
      </c>
      <c r="R38" s="49" t="str">
        <f>PT.storage_tank!B258</f>
        <v>Storage tank constructed size</v>
      </c>
      <c r="S38" s="49"/>
      <c r="T38" s="648">
        <f>PT.storage_tank!G258</f>
        <v>164806.71414197996</v>
      </c>
      <c r="U38" s="714" t="str">
        <f>PT.storage_tank!C258</f>
        <v>gal</v>
      </c>
    </row>
    <row r="39" spans="1:21" ht="14.4" x14ac:dyDescent="0.3">
      <c r="A39" s="42"/>
      <c r="B39" s="602" t="str">
        <f>PT.shallow_scrape!B121</f>
        <v>Fresh water used by scrape system</v>
      </c>
      <c r="C39" s="1989">
        <f>PT.shallow_scrape!G121</f>
        <v>0</v>
      </c>
      <c r="D39" s="602" t="str">
        <f>PT.shallow_scrape!C121</f>
        <v>m3/head/year</v>
      </c>
      <c r="E39" s="1611"/>
      <c r="F39" s="1918"/>
      <c r="G39" s="1632"/>
      <c r="H39" s="1611"/>
      <c r="I39" s="1611"/>
      <c r="J39" s="1611"/>
      <c r="K39" s="1611"/>
      <c r="L39" s="1918"/>
      <c r="M39" s="2017"/>
      <c r="N39" s="2017"/>
      <c r="O39" s="2017"/>
      <c r="P39" s="1611"/>
      <c r="Q39" s="49"/>
      <c r="R39" s="49" t="str">
        <f>PT.storage_tank!B259</f>
        <v>Number of constructed storage tanks</v>
      </c>
      <c r="S39" s="49"/>
      <c r="T39" s="648">
        <f>PT.storage_tank!G259</f>
        <v>1</v>
      </c>
      <c r="U39" s="714" t="str">
        <f>PT.storage_tank!C259</f>
        <v>quantity</v>
      </c>
    </row>
    <row r="40" spans="1:21" ht="14.4" x14ac:dyDescent="0.3">
      <c r="A40" s="42"/>
      <c r="B40" s="602" t="str">
        <f>PT.storage_tank!B333</f>
        <v>Supplemental flow for recycling of storage tank water</v>
      </c>
      <c r="C40" s="1987">
        <f>PT.storage_tank!G333</f>
        <v>0</v>
      </c>
      <c r="D40" s="602" t="str">
        <f>PT.storage_tank!C333</f>
        <v>m3/head/year</v>
      </c>
      <c r="E40" s="1939"/>
      <c r="F40" s="1918"/>
      <c r="G40" s="1939"/>
      <c r="H40" s="1611"/>
      <c r="I40" s="1611"/>
      <c r="J40" s="1611"/>
      <c r="K40" s="1611"/>
      <c r="L40" s="1611"/>
      <c r="M40" s="1611"/>
      <c r="N40" s="1918"/>
      <c r="O40" s="1611"/>
      <c r="P40" s="1611"/>
      <c r="Q40" s="49"/>
      <c r="R40" s="49" t="str">
        <f>PT.storage_tank!B260</f>
        <v>Interval between slurry removal</v>
      </c>
      <c r="S40" s="49"/>
      <c r="T40" s="648">
        <f>PT.storage_tank!G260</f>
        <v>180</v>
      </c>
      <c r="U40" s="714" t="str">
        <f>PT.storage_tank!C260</f>
        <v>days</v>
      </c>
    </row>
    <row r="41" spans="1:21" ht="14.4" x14ac:dyDescent="0.3">
      <c r="A41" s="42"/>
      <c r="B41" s="602" t="str">
        <f>PT.storage_tank!B334</f>
        <v>Dilution water for storage tank application</v>
      </c>
      <c r="C41" s="1987">
        <f>PT.storage_tank!G334</f>
        <v>4.1235296571003204</v>
      </c>
      <c r="D41" s="602" t="str">
        <f>PT.storage_tank!C334</f>
        <v>m3/head/year</v>
      </c>
      <c r="E41" s="1939"/>
      <c r="F41" s="1918"/>
      <c r="G41" s="1939"/>
      <c r="H41" s="1611"/>
      <c r="I41" s="1611"/>
      <c r="J41" s="1611"/>
      <c r="K41" s="1611"/>
      <c r="L41" s="1611"/>
      <c r="M41" s="1611"/>
      <c r="N41" s="1611"/>
      <c r="O41" s="1611"/>
      <c r="P41" s="1611"/>
      <c r="Q41" s="49"/>
      <c r="R41" s="49" t="str">
        <f>PT.storage_tank!B261</f>
        <v>Number of removal events per year</v>
      </c>
      <c r="S41" s="49"/>
      <c r="T41" s="648">
        <f>PT.storage_tank!G261</f>
        <v>2.0277777777777777</v>
      </c>
      <c r="U41" s="714" t="str">
        <f>PT.storage_tank!C261</f>
        <v>times/year</v>
      </c>
    </row>
    <row r="42" spans="1:21" ht="14.4" x14ac:dyDescent="0.3">
      <c r="A42" s="42"/>
      <c r="B42" s="1668" t="s">
        <v>447</v>
      </c>
      <c r="C42" s="1680"/>
      <c r="D42" s="1815"/>
      <c r="E42" s="1939"/>
      <c r="F42" s="1918"/>
      <c r="G42" s="1939"/>
      <c r="H42" s="1611"/>
      <c r="I42" s="1611"/>
      <c r="J42" s="1611"/>
      <c r="K42" s="1611"/>
      <c r="L42" s="1611"/>
      <c r="M42" s="1611"/>
      <c r="N42" s="1611"/>
      <c r="O42" s="1611"/>
      <c r="P42" s="1611"/>
      <c r="Q42" s="49"/>
      <c r="R42" s="49" t="str">
        <f>PT.storage_tank!B262</f>
        <v>Size of agi-pump(s)</v>
      </c>
      <c r="S42" s="49"/>
      <c r="T42" s="648" t="str">
        <f>PT.storage_tank!G262</f>
        <v>single</v>
      </c>
      <c r="U42" s="714" t="str">
        <f>PT.storage_tank!C262</f>
        <v>single, double, or quadruple</v>
      </c>
    </row>
    <row r="43" spans="1:21" ht="14.4" x14ac:dyDescent="0.3">
      <c r="A43" s="42"/>
      <c r="B43" s="602" t="str">
        <f>PT.shallow_scrape!B115</f>
        <v>Shallow pit land footprint</v>
      </c>
      <c r="C43" s="1989">
        <f>PT.shallow_scrape!G115</f>
        <v>11.129747893930706</v>
      </c>
      <c r="D43" s="602" t="str">
        <f>PT.shallow_scrape!C115</f>
        <v>m2</v>
      </c>
      <c r="E43" s="1939"/>
      <c r="F43" s="1918"/>
      <c r="G43" s="1939"/>
      <c r="H43" s="1611"/>
      <c r="I43" s="1611"/>
      <c r="J43" s="1918"/>
      <c r="K43" s="1918"/>
      <c r="L43" s="1918"/>
      <c r="M43" s="1611"/>
      <c r="N43" s="1611"/>
      <c r="O43" s="1611"/>
      <c r="P43" s="1611"/>
      <c r="Q43" s="49"/>
      <c r="R43" s="49" t="str">
        <f>PT.storage_tank!B263</f>
        <v>Number of agi-pump(s)</v>
      </c>
      <c r="S43" s="49"/>
      <c r="T43" s="648">
        <f>PT.storage_tank!G263</f>
        <v>1</v>
      </c>
      <c r="U43" s="714" t="str">
        <f>PT.storage_tank!C263</f>
        <v>quantity</v>
      </c>
    </row>
    <row r="44" spans="1:21" ht="15" customHeight="1" x14ac:dyDescent="0.3">
      <c r="A44" s="42"/>
      <c r="B44" s="602" t="str">
        <f>PT.reception_pit!B38</f>
        <v>Land used by reception pit</v>
      </c>
      <c r="C44" s="1987">
        <f>PT.reception_pit!M38</f>
        <v>0.79128642396007209</v>
      </c>
      <c r="D44" s="602" t="str">
        <f>PT.reception_pit!C38</f>
        <v>m2</v>
      </c>
      <c r="E44" s="1611"/>
      <c r="F44" s="1918"/>
      <c r="G44" s="1939"/>
      <c r="H44" s="1611"/>
      <c r="I44" s="1611"/>
      <c r="J44" s="2026"/>
      <c r="K44" s="2026"/>
      <c r="L44" s="2026"/>
      <c r="M44" s="1611"/>
      <c r="N44" s="1918"/>
      <c r="O44" s="1611"/>
      <c r="P44" s="1611"/>
      <c r="Q44" s="49"/>
      <c r="R44" s="49" t="str">
        <f>PT.storage_tank!B264</f>
        <v>Application by broadcast or injection?</v>
      </c>
      <c r="S44" s="49"/>
      <c r="T44" s="648" t="str">
        <f>PT.storage_tank!G264</f>
        <v>Injection</v>
      </c>
      <c r="U44" s="714" t="str">
        <f>PT.storage_tank!C264</f>
        <v>type</v>
      </c>
    </row>
    <row r="45" spans="1:21" ht="14.4" x14ac:dyDescent="0.3">
      <c r="A45" s="42"/>
      <c r="B45" s="602" t="str">
        <f>PT.storage_tank!B322</f>
        <v>Storage tank land area</v>
      </c>
      <c r="C45" s="2065">
        <f>PT.storage_tank!G322</f>
        <v>77.982659830145451</v>
      </c>
      <c r="D45" s="602" t="str">
        <f>PT.storage_tank!C322</f>
        <v>m2</v>
      </c>
      <c r="E45" s="1611"/>
      <c r="F45" s="1918"/>
      <c r="G45" s="1939"/>
      <c r="H45" s="1611"/>
      <c r="I45" s="1611"/>
      <c r="J45" s="1611"/>
      <c r="K45" s="2027"/>
      <c r="L45" s="1611"/>
      <c r="M45" s="1611"/>
      <c r="N45" s="1632"/>
      <c r="O45" s="1611"/>
      <c r="P45" s="1611"/>
      <c r="Q45" s="49"/>
      <c r="R45" s="49" t="str">
        <f>PT.storage_tank!B265</f>
        <v>Manure slurry removed, tank</v>
      </c>
      <c r="S45" s="49"/>
      <c r="T45" s="648">
        <f>PT.storage_tank!G265</f>
        <v>1527.6188051509002</v>
      </c>
      <c r="U45" s="714" t="str">
        <f>PT.storage_tank!C265</f>
        <v>m3/event</v>
      </c>
    </row>
    <row r="46" spans="1:21" ht="14.4" x14ac:dyDescent="0.3">
      <c r="A46" s="42"/>
      <c r="B46" s="602" t="str">
        <f>PT.storage_tank!B323</f>
        <v>Application of slurry</v>
      </c>
      <c r="C46" s="2065">
        <f>PT.storage_tank!G323</f>
        <v>288087.53190241149</v>
      </c>
      <c r="D46" s="602" t="str">
        <f>PT.storage_tank!C323</f>
        <v>m3</v>
      </c>
      <c r="E46" s="1611"/>
      <c r="F46" s="1918"/>
      <c r="G46" s="1632"/>
      <c r="H46" s="1611"/>
      <c r="I46" s="1611"/>
      <c r="J46" s="1872"/>
      <c r="K46" s="2027"/>
      <c r="L46" s="1611"/>
      <c r="M46" s="1611"/>
      <c r="N46" s="1632"/>
      <c r="O46" s="1611"/>
      <c r="P46" s="1611"/>
      <c r="Q46" s="49"/>
      <c r="R46" s="49" t="str">
        <f>PT.storage_tank!B266</f>
        <v>N removed, tank</v>
      </c>
      <c r="S46" s="49"/>
      <c r="T46" s="648">
        <f>PT.storage_tank!G266</f>
        <v>2.1396751829824225</v>
      </c>
      <c r="U46" s="714" t="str">
        <f>PT.storage_tank!C266</f>
        <v>g/L</v>
      </c>
    </row>
    <row r="47" spans="1:21" ht="14.4" x14ac:dyDescent="0.3">
      <c r="A47" s="42"/>
      <c r="B47" s="602"/>
      <c r="C47" s="1987"/>
      <c r="D47" s="602"/>
      <c r="E47" s="1611"/>
      <c r="F47" s="1918"/>
      <c r="G47" s="1632"/>
      <c r="H47" s="1611"/>
      <c r="I47" s="1611"/>
      <c r="J47" s="1872"/>
      <c r="K47" s="2027"/>
      <c r="L47" s="1611"/>
      <c r="M47" s="1611"/>
      <c r="N47" s="1632"/>
      <c r="O47" s="1611"/>
      <c r="P47" s="1611"/>
      <c r="Q47" s="49"/>
      <c r="R47" s="49" t="str">
        <f>PT.storage_tank!B267</f>
        <v>P2O5 removed, tank</v>
      </c>
      <c r="S47" s="49"/>
      <c r="T47" s="648">
        <f>PT.storage_tank!G267</f>
        <v>1.0722741958150184</v>
      </c>
      <c r="U47" s="714" t="str">
        <f>PT.storage_tank!C267</f>
        <v>g/L</v>
      </c>
    </row>
    <row r="48" spans="1:21" ht="14.4" x14ac:dyDescent="0.3">
      <c r="A48" s="42"/>
      <c r="B48" s="602"/>
      <c r="C48" s="1987"/>
      <c r="D48" s="602"/>
      <c r="E48" s="1611"/>
      <c r="F48" s="1918"/>
      <c r="G48" s="1939"/>
      <c r="H48" s="1611"/>
      <c r="I48" s="1611"/>
      <c r="J48" s="1872"/>
      <c r="K48" s="2027"/>
      <c r="L48" s="1611"/>
      <c r="M48" s="1611"/>
      <c r="N48" s="1632"/>
      <c r="O48" s="1611"/>
      <c r="P48" s="1611"/>
      <c r="Q48" s="49"/>
      <c r="R48" s="49" t="str">
        <f>PT.storage_tank!B268</f>
        <v>K2O removed, tank</v>
      </c>
      <c r="S48" s="49"/>
      <c r="T48" s="648">
        <f>PT.storage_tank!G268</f>
        <v>1.3786449849271349</v>
      </c>
      <c r="U48" s="714" t="str">
        <f>PT.storage_tank!C268</f>
        <v>g/L</v>
      </c>
    </row>
    <row r="49" spans="1:21" ht="14.4" x14ac:dyDescent="0.3">
      <c r="A49" s="42"/>
      <c r="B49" s="714"/>
      <c r="C49" s="648"/>
      <c r="D49" s="714"/>
      <c r="E49" s="1611"/>
      <c r="F49" s="1918"/>
      <c r="G49" s="1632"/>
      <c r="H49" s="1611"/>
      <c r="I49" s="1611"/>
      <c r="J49" s="1611"/>
      <c r="K49" s="1611"/>
      <c r="L49" s="1611"/>
      <c r="M49" s="1611"/>
      <c r="N49" s="1866"/>
      <c r="O49" s="1918"/>
      <c r="P49" s="1611"/>
      <c r="Q49" s="49"/>
      <c r="R49" s="49"/>
      <c r="S49" s="49"/>
      <c r="T49" s="648"/>
      <c r="U49" s="714"/>
    </row>
    <row r="50" spans="1:21" ht="14.4" x14ac:dyDescent="0.3">
      <c r="A50" s="7"/>
      <c r="D50"/>
      <c r="E50" s="1611"/>
      <c r="F50" s="1918"/>
      <c r="G50" s="1850"/>
      <c r="H50" s="1611"/>
      <c r="I50" s="1611"/>
      <c r="J50" s="1611"/>
      <c r="K50" s="1611"/>
      <c r="L50" s="1611"/>
      <c r="M50" s="1611"/>
      <c r="N50" s="1611"/>
      <c r="O50" s="1611"/>
      <c r="P50" s="1611"/>
      <c r="Q50" s="49"/>
      <c r="R50" s="49" t="str">
        <f>PT.storage_tank!B270</f>
        <v>Tractor for agitator, size</v>
      </c>
      <c r="S50" s="49"/>
      <c r="T50" s="648">
        <f>PT.storage_tank!G270</f>
        <v>160</v>
      </c>
      <c r="U50" s="714" t="str">
        <f>PT.storage_tank!C270</f>
        <v>pto hp</v>
      </c>
    </row>
    <row r="51" spans="1:21" ht="14.4" x14ac:dyDescent="0.3">
      <c r="A51" s="7"/>
      <c r="B51" s="1668" t="s">
        <v>5753</v>
      </c>
      <c r="C51" s="2310"/>
      <c r="D51" s="1815"/>
      <c r="E51" s="1611"/>
      <c r="F51" s="1918"/>
      <c r="G51" s="1850"/>
      <c r="H51" s="1611"/>
      <c r="I51" s="1611"/>
      <c r="J51" s="1611"/>
      <c r="K51" s="1611"/>
      <c r="L51" s="1611"/>
      <c r="M51" s="1611"/>
      <c r="N51" s="1611"/>
      <c r="O51" s="1611"/>
      <c r="P51" s="1611"/>
      <c r="Q51" s="49"/>
      <c r="R51" s="49" t="str">
        <f>PT.storage_tank!B271</f>
        <v>Tractor for agitator, quantity</v>
      </c>
      <c r="S51" s="49"/>
      <c r="T51" s="648">
        <f>PT.storage_tank!G271</f>
        <v>1</v>
      </c>
      <c r="U51" s="714" t="str">
        <f>PT.storage_tank!C271</f>
        <v>quantity</v>
      </c>
    </row>
    <row r="52" spans="1:21" ht="15.75" customHeight="1" x14ac:dyDescent="0.3">
      <c r="A52" s="7"/>
      <c r="B52" s="602" t="str">
        <f>PT.storage_tank!B327</f>
        <v>Tanker application</v>
      </c>
      <c r="C52" s="2065">
        <f>PT.storage_tank!G327</f>
        <v>2.1721090657136459</v>
      </c>
      <c r="D52" s="602" t="str">
        <f>PT.storage_tank!C327</f>
        <v>gal/head/year</v>
      </c>
      <c r="E52" s="1611"/>
      <c r="F52" s="1918"/>
      <c r="G52" s="1939"/>
      <c r="H52" s="1611"/>
      <c r="I52" s="1611"/>
      <c r="J52" s="1611"/>
      <c r="K52" s="1611"/>
      <c r="L52" s="1611"/>
      <c r="M52" s="1611"/>
      <c r="N52" s="1611"/>
      <c r="O52" s="1611"/>
      <c r="P52" s="1611"/>
      <c r="Q52" s="49"/>
      <c r="R52" s="49" t="str">
        <f>PT.storage_tank!B272</f>
        <v>Tractor for pumping, size</v>
      </c>
      <c r="S52" s="49"/>
      <c r="T52" s="648">
        <f>PT.storage_tank!G272</f>
        <v>180</v>
      </c>
      <c r="U52" s="714" t="str">
        <f>PT.storage_tank!C272</f>
        <v>pto hp</v>
      </c>
    </row>
    <row r="53" spans="1:21" ht="14.4" x14ac:dyDescent="0.3">
      <c r="A53" s="42"/>
      <c r="B53" s="602" t="str">
        <f>PT.storage_tank!B328</f>
        <v>Drag hose application</v>
      </c>
      <c r="C53" s="2065">
        <f>PT.storage_tank!G328</f>
        <v>0.92737150410077218</v>
      </c>
      <c r="D53" s="602" t="str">
        <f>PT.storage_tank!C328</f>
        <v>gal/head/year</v>
      </c>
      <c r="E53" s="1611"/>
      <c r="F53" s="1918"/>
      <c r="G53" s="1939"/>
      <c r="H53" s="1611"/>
      <c r="I53" s="1611"/>
      <c r="J53" s="1611"/>
      <c r="K53" s="1611"/>
      <c r="L53" s="1611"/>
      <c r="M53" s="1611"/>
      <c r="N53" s="1611"/>
      <c r="O53" s="2028"/>
      <c r="P53" s="1611"/>
      <c r="Q53" s="49"/>
      <c r="R53" s="49" t="str">
        <f>PT.storage_tank!B273</f>
        <v>Tractor for pump, quantity</v>
      </c>
      <c r="S53" s="49"/>
      <c r="T53" s="648">
        <f>PT.storage_tank!G273</f>
        <v>1</v>
      </c>
      <c r="U53" s="714" t="str">
        <f>PT.storage_tank!C273</f>
        <v>quantity</v>
      </c>
    </row>
    <row r="54" spans="1:21" ht="14.4" x14ac:dyDescent="0.3">
      <c r="A54" s="42"/>
      <c r="B54" s="602"/>
      <c r="C54" s="2065"/>
      <c r="D54" s="602"/>
      <c r="E54" s="1611"/>
      <c r="F54" s="1918"/>
      <c r="G54" s="1939"/>
      <c r="H54" s="1611"/>
      <c r="I54" s="1611"/>
      <c r="J54" s="1611"/>
      <c r="K54" s="1611"/>
      <c r="L54" s="1611"/>
      <c r="M54" s="1611"/>
      <c r="N54" s="1611"/>
      <c r="O54" s="1939"/>
      <c r="P54" s="1611"/>
      <c r="Q54" s="49"/>
      <c r="R54" s="49" t="str">
        <f>PT.storage_tank!B274</f>
        <v>Tractor for tanker, size</v>
      </c>
      <c r="S54" s="49"/>
      <c r="T54" s="648">
        <f>PT.storage_tank!G274</f>
        <v>250</v>
      </c>
      <c r="U54" s="714" t="str">
        <f>PT.storage_tank!C274</f>
        <v>pto hp</v>
      </c>
    </row>
    <row r="55" spans="1:21" ht="14.4" x14ac:dyDescent="0.3">
      <c r="A55" s="42"/>
      <c r="B55" s="602"/>
      <c r="C55" s="2065"/>
      <c r="D55" s="602"/>
      <c r="E55" s="1611"/>
      <c r="F55" s="1918"/>
      <c r="G55" s="1939"/>
      <c r="H55" s="1611"/>
      <c r="I55" s="1611"/>
      <c r="J55" s="1611"/>
      <c r="K55" s="1611"/>
      <c r="L55" s="1611"/>
      <c r="M55" s="1611"/>
      <c r="N55" s="1611"/>
      <c r="O55" s="1851"/>
      <c r="P55" s="1611"/>
      <c r="Q55" s="49"/>
      <c r="R55" s="49" t="str">
        <f>PT.storage_tank!B275</f>
        <v>Tanker, size</v>
      </c>
      <c r="S55" s="49"/>
      <c r="T55" s="648">
        <f>PT.storage_tank!G275</f>
        <v>6000</v>
      </c>
      <c r="U55" s="714" t="str">
        <f>PT.storage_tank!C275</f>
        <v>gal</v>
      </c>
    </row>
    <row r="56" spans="1:21" ht="17.25" customHeight="1" x14ac:dyDescent="0.3">
      <c r="A56" s="42"/>
      <c r="B56" s="714" t="s">
        <v>7144</v>
      </c>
      <c r="C56" s="1360">
        <f>C52</f>
        <v>2.1721090657136459</v>
      </c>
      <c r="D56" s="714" t="s">
        <v>2497</v>
      </c>
      <c r="E56" s="1611"/>
      <c r="F56" s="1611"/>
      <c r="G56" s="1611"/>
      <c r="H56" s="1611"/>
      <c r="I56" s="1611"/>
      <c r="J56" s="1872"/>
      <c r="K56" s="2027"/>
      <c r="L56" s="1611"/>
      <c r="M56" s="1611"/>
      <c r="N56" s="1611"/>
      <c r="O56" s="2029"/>
      <c r="P56" s="1611"/>
      <c r="Q56" s="49"/>
      <c r="R56" s="49" t="str">
        <f>PT.storage_tank!B276</f>
        <v>Tractor for tanker, quantity</v>
      </c>
      <c r="S56" s="49"/>
      <c r="T56" s="648">
        <f>PT.storage_tank!G276</f>
        <v>1</v>
      </c>
      <c r="U56" s="714" t="str">
        <f>PT.storage_tank!C276</f>
        <v>quantity</v>
      </c>
    </row>
    <row r="57" spans="1:21" ht="20.25" customHeight="1" x14ac:dyDescent="0.3">
      <c r="A57" s="7"/>
      <c r="B57" s="49" t="s">
        <v>7145</v>
      </c>
      <c r="C57" s="1360">
        <f>C53</f>
        <v>0.92737150410077218</v>
      </c>
      <c r="D57" s="714" t="s">
        <v>2497</v>
      </c>
      <c r="E57" s="1866"/>
      <c r="F57" s="1866"/>
      <c r="G57" s="1866"/>
      <c r="H57" s="1866"/>
      <c r="I57" s="1611"/>
      <c r="J57" s="1872"/>
      <c r="K57" s="2027"/>
      <c r="L57" s="1611"/>
      <c r="M57" s="1611"/>
      <c r="N57" s="1611"/>
      <c r="O57" s="1611"/>
      <c r="P57" s="1611"/>
      <c r="Q57" s="49"/>
      <c r="R57" s="49"/>
      <c r="S57" s="49"/>
      <c r="T57" s="648"/>
      <c r="U57" s="714"/>
    </row>
    <row r="58" spans="1:21" ht="18.75" customHeight="1" x14ac:dyDescent="0.3">
      <c r="A58" s="7"/>
      <c r="B58" s="1668" t="s">
        <v>5756</v>
      </c>
      <c r="C58" s="1680"/>
      <c r="D58" s="1815"/>
      <c r="E58" s="1611"/>
      <c r="F58" s="1611"/>
      <c r="G58" s="1939"/>
      <c r="H58" s="1611"/>
      <c r="I58" s="1939"/>
      <c r="J58" s="1872"/>
      <c r="K58" s="2027"/>
      <c r="L58" s="1611"/>
      <c r="M58" s="1611"/>
      <c r="N58" s="1611"/>
      <c r="O58" s="1611"/>
      <c r="P58" s="1611"/>
      <c r="Q58" s="49"/>
      <c r="R58" s="49" t="str">
        <f>PT.storage_tank!B278</f>
        <v>Operation time for tractor agitating</v>
      </c>
      <c r="S58" s="49"/>
      <c r="T58" s="648">
        <f>PT.storage_tank!G278</f>
        <v>32.130931018330791</v>
      </c>
      <c r="U58" s="714" t="str">
        <f>PT.storage_tank!C278</f>
        <v>h/event</v>
      </c>
    </row>
    <row r="59" spans="1:21" ht="14.4" x14ac:dyDescent="0.3">
      <c r="A59" s="7"/>
      <c r="B59" s="49" t="str">
        <f>PT.storage_tank!B337</f>
        <v>Total N accumulated in liquids</v>
      </c>
      <c r="C59" s="1877">
        <f>PT.storage_tank!G337</f>
        <v>13.256027786979301</v>
      </c>
      <c r="D59" s="49" t="str">
        <f>PT.storage_tank!C337</f>
        <v>kg/head/year</v>
      </c>
      <c r="E59" s="1611"/>
      <c r="F59" s="1611"/>
      <c r="G59" s="1632"/>
      <c r="H59" s="1611"/>
      <c r="I59" s="1939"/>
      <c r="J59" s="1611"/>
      <c r="K59" s="1611"/>
      <c r="L59" s="1611"/>
      <c r="M59" s="1611"/>
      <c r="N59" s="1611"/>
      <c r="O59" s="1611"/>
      <c r="P59" s="1611"/>
      <c r="Q59" s="49"/>
      <c r="R59" s="49" t="str">
        <f>PT.storage_tank!B279</f>
        <v>Operation time for tractor pumping</v>
      </c>
      <c r="S59" s="49"/>
      <c r="T59" s="648">
        <f>PT.storage_tank!G279</f>
        <v>3.3629532097159456</v>
      </c>
      <c r="U59" s="714" t="str">
        <f>PT.storage_tank!C279</f>
        <v>h/event</v>
      </c>
    </row>
    <row r="60" spans="1:21" ht="14.4" x14ac:dyDescent="0.3">
      <c r="A60" s="7"/>
      <c r="B60" s="49" t="str">
        <f>PT.storage_tank!B338</f>
        <v>Total P2O5 accumulated in liquids</v>
      </c>
      <c r="C60" s="1877">
        <f>PT.storage_tank!G338</f>
        <v>6.6431094999999987</v>
      </c>
      <c r="D60" s="49" t="str">
        <f>PT.storage_tank!C338</f>
        <v>kg/head/year</v>
      </c>
      <c r="E60" s="1939"/>
      <c r="F60" s="1611"/>
      <c r="G60" s="1939"/>
      <c r="H60" s="1611"/>
      <c r="I60" s="1939"/>
      <c r="J60" s="1918"/>
      <c r="K60" s="1611"/>
      <c r="L60" s="1611"/>
      <c r="M60" s="1611"/>
      <c r="N60" s="1611"/>
      <c r="O60" s="1611"/>
      <c r="P60" s="1611"/>
      <c r="Q60" s="49"/>
      <c r="R60" s="49" t="str">
        <f>PT.storage_tank!B280</f>
        <v>Operation time for tractor with tanker</v>
      </c>
      <c r="S60" s="49"/>
      <c r="T60" s="648">
        <f>PT.storage_tank!G280</f>
        <v>25.704744814664636</v>
      </c>
      <c r="U60" s="714" t="str">
        <f>PT.storage_tank!C280</f>
        <v>h/event</v>
      </c>
    </row>
    <row r="61" spans="1:21" ht="14.4" x14ac:dyDescent="0.3">
      <c r="A61" s="7"/>
      <c r="B61" s="49" t="str">
        <f>PT.storage_tank!B339</f>
        <v>Total K2O accumulated in liquids</v>
      </c>
      <c r="C61" s="1877">
        <f>PT.storage_tank!G339</f>
        <v>8.5411824999999979</v>
      </c>
      <c r="D61" s="49" t="str">
        <f>PT.storage_tank!C339</f>
        <v>kg/head/year</v>
      </c>
      <c r="E61" s="1939"/>
      <c r="F61" s="1611"/>
      <c r="G61" s="1939"/>
      <c r="H61" s="1611"/>
      <c r="I61" s="1939"/>
      <c r="J61" s="1611"/>
      <c r="K61" s="1611"/>
      <c r="L61" s="1851"/>
      <c r="M61" s="1611"/>
      <c r="N61" s="1611"/>
      <c r="O61" s="1611"/>
      <c r="P61" s="1611"/>
      <c r="Q61" s="49"/>
      <c r="R61" s="49" t="str">
        <f>PT.storage_tank!B281</f>
        <v>Fuel needed for tractor for agitating</v>
      </c>
      <c r="S61" s="49"/>
      <c r="T61" s="648">
        <f>PT.storage_tank!G281</f>
        <v>226.20175436904876</v>
      </c>
      <c r="U61" s="714" t="str">
        <f>PT.storage_tank!C281</f>
        <v>gal/event</v>
      </c>
    </row>
    <row r="62" spans="1:21" ht="14.4" x14ac:dyDescent="0.3">
      <c r="A62" s="7"/>
      <c r="B62" s="1668" t="s">
        <v>6432</v>
      </c>
      <c r="C62" s="1680"/>
      <c r="D62" s="1815"/>
      <c r="E62" s="1611"/>
      <c r="F62" s="1611"/>
      <c r="G62" s="1939"/>
      <c r="H62" s="1611"/>
      <c r="I62" s="1939"/>
      <c r="J62" s="1611"/>
      <c r="K62" s="1611"/>
      <c r="L62" s="1851"/>
      <c r="M62" s="1611"/>
      <c r="N62" s="1611"/>
      <c r="O62" s="1611"/>
      <c r="P62" s="1611"/>
      <c r="Q62" s="49"/>
      <c r="R62" s="49" t="str">
        <f>PT.storage_tank!B282</f>
        <v>Fuel needed for tractor for pumping</v>
      </c>
      <c r="S62" s="49"/>
      <c r="T62" s="648">
        <f>PT.storage_tank!G282</f>
        <v>26.634589420950288</v>
      </c>
      <c r="U62" s="714" t="str">
        <f>PT.storage_tank!C282</f>
        <v>gal/event</v>
      </c>
    </row>
    <row r="63" spans="1:21" ht="14.4" x14ac:dyDescent="0.3">
      <c r="A63" s="7"/>
      <c r="B63" s="49"/>
      <c r="C63" s="1877"/>
      <c r="D63" s="49"/>
      <c r="E63" s="1611"/>
      <c r="F63" s="1632"/>
      <c r="G63" s="1632"/>
      <c r="H63" s="1611"/>
      <c r="I63" s="1939"/>
      <c r="J63" s="1611"/>
      <c r="K63" s="1611"/>
      <c r="L63" s="1851"/>
      <c r="M63" s="1960"/>
      <c r="N63" s="1611"/>
      <c r="O63" s="1611"/>
      <c r="P63" s="1611"/>
      <c r="Q63" s="49"/>
      <c r="R63" s="49" t="str">
        <f>PT.storage_tank!B283</f>
        <v>Fuel needed for tractor with tank and applicator</v>
      </c>
      <c r="S63" s="49"/>
      <c r="T63" s="648">
        <f>PT.storage_tank!G283</f>
        <v>282.75219296131098</v>
      </c>
      <c r="U63" s="714" t="str">
        <f>PT.storage_tank!C283</f>
        <v>gal/event</v>
      </c>
    </row>
    <row r="64" spans="1:21" ht="14.4" x14ac:dyDescent="0.3">
      <c r="A64" s="7"/>
      <c r="B64" s="49"/>
      <c r="C64" s="1877"/>
      <c r="D64" s="49"/>
      <c r="E64" s="1611"/>
      <c r="F64" s="1611"/>
      <c r="G64" s="1632"/>
      <c r="H64" s="1611"/>
      <c r="I64" s="1939"/>
      <c r="J64" s="1611"/>
      <c r="K64" s="1611"/>
      <c r="L64" s="1851"/>
      <c r="M64" s="1611"/>
      <c r="N64" s="1611"/>
      <c r="O64" s="1611"/>
      <c r="P64" s="1611"/>
      <c r="Q64" s="49"/>
      <c r="R64" s="49"/>
      <c r="S64" s="49"/>
      <c r="T64" s="648"/>
      <c r="U64" s="714"/>
    </row>
    <row r="65" spans="1:21" ht="14.4" x14ac:dyDescent="0.3">
      <c r="A65" s="7"/>
      <c r="B65" s="49"/>
      <c r="C65" s="1877"/>
      <c r="D65" s="49"/>
      <c r="E65" s="1611"/>
      <c r="F65" s="1611"/>
      <c r="G65" s="1611"/>
      <c r="H65" s="1611"/>
      <c r="I65" s="1939"/>
      <c r="J65" s="1611"/>
      <c r="K65" s="1611"/>
      <c r="L65" s="1851"/>
      <c r="M65" s="1611"/>
      <c r="N65" s="1611"/>
      <c r="O65" s="1611"/>
      <c r="P65" s="1611"/>
      <c r="Q65" s="49"/>
      <c r="R65" s="49" t="str">
        <f>PT.storage_tank!B285</f>
        <v>Diesel powered pump(s), size</v>
      </c>
      <c r="S65" s="49"/>
      <c r="T65" s="648">
        <f>PT.storage_tank!G285</f>
        <v>3000</v>
      </c>
      <c r="U65" s="714" t="str">
        <f>PT.storage_tank!C285</f>
        <v>gpm</v>
      </c>
    </row>
    <row r="66" spans="1:21" ht="14.4" x14ac:dyDescent="0.3">
      <c r="A66" s="7"/>
      <c r="B66" s="1668" t="s">
        <v>5760</v>
      </c>
      <c r="C66" s="1680"/>
      <c r="D66" s="1815"/>
      <c r="E66" s="1611"/>
      <c r="F66" s="1611"/>
      <c r="G66" s="1850"/>
      <c r="H66" s="1611"/>
      <c r="I66" s="1611"/>
      <c r="J66" s="1611"/>
      <c r="K66" s="1611"/>
      <c r="L66" s="2030"/>
      <c r="M66" s="1611"/>
      <c r="N66" s="1611"/>
      <c r="O66" s="1611"/>
      <c r="P66" s="1611"/>
      <c r="Q66" s="49"/>
      <c r="R66" s="49" t="str">
        <f>PT.storage_tank!B286</f>
        <v>Number of diesel powered lead pumps needed</v>
      </c>
      <c r="S66" s="49"/>
      <c r="T66" s="648">
        <f>PT.storage_tank!G286</f>
        <v>1</v>
      </c>
      <c r="U66" s="714" t="str">
        <f>PT.storage_tank!C286</f>
        <v>quantity</v>
      </c>
    </row>
    <row r="67" spans="1:21" ht="14.4" x14ac:dyDescent="0.3">
      <c r="A67" s="7"/>
      <c r="B67" s="49" t="str">
        <f>PT.storage_tank!B341</f>
        <v>Excess N from liquids</v>
      </c>
      <c r="C67" s="1877">
        <f>PT.storage_tank!G341</f>
        <v>0</v>
      </c>
      <c r="D67" s="49" t="str">
        <f>PT.storage_tank!C341</f>
        <v>kg/head/year</v>
      </c>
      <c r="E67" s="1611"/>
      <c r="F67" s="1611"/>
      <c r="G67" s="1632"/>
      <c r="H67" s="1611"/>
      <c r="I67" s="1611"/>
      <c r="J67" s="2031"/>
      <c r="K67" s="1611"/>
      <c r="L67" s="2017"/>
      <c r="M67" s="1611"/>
      <c r="N67" s="1611"/>
      <c r="O67" s="1611"/>
      <c r="P67" s="1611"/>
      <c r="Q67" s="49"/>
      <c r="R67" s="49" t="str">
        <f>PT.storage_tank!B287</f>
        <v>Number of diesel powered agitation trailers needed</v>
      </c>
      <c r="S67" s="49"/>
      <c r="T67" s="648">
        <f>PT.storage_tank!G287</f>
        <v>1</v>
      </c>
      <c r="U67" s="714" t="str">
        <f>PT.storage_tank!C287</f>
        <v>quantity</v>
      </c>
    </row>
    <row r="68" spans="1:21" ht="14.4" x14ac:dyDescent="0.3">
      <c r="A68" s="7"/>
      <c r="B68" s="49" t="str">
        <f>PT.storage_tank!B342</f>
        <v>Excess P2O5 from liquids</v>
      </c>
      <c r="C68" s="1877">
        <f>PT.storage_tank!G342</f>
        <v>2.759018397588044</v>
      </c>
      <c r="D68" s="49" t="str">
        <f>PT.storage_tank!C342</f>
        <v>kg/head/year</v>
      </c>
      <c r="E68" s="1611"/>
      <c r="F68" s="1611"/>
      <c r="G68" s="1939"/>
      <c r="H68" s="1611"/>
      <c r="I68" s="1611"/>
      <c r="J68" s="1611"/>
      <c r="K68" s="1611"/>
      <c r="L68" s="1611"/>
      <c r="M68" s="1611"/>
      <c r="N68" s="1611"/>
      <c r="O68" s="1611"/>
      <c r="P68" s="1611"/>
      <c r="Q68" s="49"/>
      <c r="R68" s="49" t="str">
        <f>PT.storage_tank!B288</f>
        <v>Number of booster pumps needed</v>
      </c>
      <c r="S68" s="49"/>
      <c r="T68" s="648">
        <f>PT.storage_tank!G288</f>
        <v>1</v>
      </c>
      <c r="U68" s="714" t="str">
        <f>PT.storage_tank!C288</f>
        <v>quantity</v>
      </c>
    </row>
    <row r="69" spans="1:21" ht="14.4" x14ac:dyDescent="0.3">
      <c r="A69" s="7"/>
      <c r="B69" s="49" t="str">
        <f>PT.storage_tank!B343</f>
        <v>Excess K2O from liquids</v>
      </c>
      <c r="C69" s="1877">
        <f>PT.storage_tank!G343</f>
        <v>2.7289241855808046</v>
      </c>
      <c r="D69" s="49" t="str">
        <f>PT.storage_tank!C343</f>
        <v>kg/head/year</v>
      </c>
      <c r="E69" s="1611"/>
      <c r="F69" s="1611"/>
      <c r="G69" s="2017"/>
      <c r="H69" s="1611"/>
      <c r="I69" s="1611"/>
      <c r="J69" s="2026"/>
      <c r="K69" s="2026"/>
      <c r="L69" s="2026"/>
      <c r="M69" s="1611"/>
      <c r="N69" s="1611"/>
      <c r="O69" s="1611"/>
      <c r="P69" s="1611"/>
      <c r="Q69" s="49"/>
      <c r="R69" s="49" t="str">
        <f>PT.storage_tank!B289</f>
        <v>Size of tractor for pulling hose reel and applicator</v>
      </c>
      <c r="S69" s="49"/>
      <c r="T69" s="648">
        <f>PT.storage_tank!G289</f>
        <v>580</v>
      </c>
      <c r="U69" s="714" t="str">
        <f>PT.storage_tank!C289</f>
        <v>pto hp</v>
      </c>
    </row>
    <row r="70" spans="1:21" ht="14.4" x14ac:dyDescent="0.3">
      <c r="A70" s="7"/>
      <c r="B70" s="1668" t="s">
        <v>6439</v>
      </c>
      <c r="C70" s="1680"/>
      <c r="D70" s="1815"/>
      <c r="E70" s="1611"/>
      <c r="F70" s="1611"/>
      <c r="G70" s="2017"/>
      <c r="H70" s="1611"/>
      <c r="I70" s="1611"/>
      <c r="J70" s="1611"/>
      <c r="K70" s="1611"/>
      <c r="L70" s="1611"/>
      <c r="M70" s="1611"/>
      <c r="N70" s="1611"/>
      <c r="O70" s="1611"/>
      <c r="P70" s="1611"/>
      <c r="Q70" s="49"/>
      <c r="R70" s="49" t="str">
        <f>PT.storage_tank!B290</f>
        <v>Size of tractor for support with hose pulley</v>
      </c>
      <c r="S70" s="49"/>
      <c r="T70" s="648">
        <f>PT.storage_tank!G290</f>
        <v>340</v>
      </c>
      <c r="U70" s="714" t="str">
        <f>PT.storage_tank!C290</f>
        <v>hp</v>
      </c>
    </row>
    <row r="71" spans="1:21" ht="14.4" x14ac:dyDescent="0.3">
      <c r="A71" s="7"/>
      <c r="B71" s="49"/>
      <c r="C71" s="1877"/>
      <c r="D71" s="49"/>
      <c r="E71" s="1611"/>
      <c r="F71" s="1611"/>
      <c r="G71" s="2017"/>
      <c r="H71" s="1611"/>
      <c r="I71" s="1611"/>
      <c r="J71" s="1611"/>
      <c r="K71" s="1611"/>
      <c r="L71" s="1611"/>
      <c r="M71" s="1611"/>
      <c r="N71" s="1611"/>
      <c r="O71" s="1611"/>
      <c r="P71" s="1611"/>
      <c r="Q71" s="49"/>
      <c r="R71" s="49" t="str">
        <f>PT.storage_tank!B291</f>
        <v>Tractor for pulling hose reel and applicator, quantity</v>
      </c>
      <c r="S71" s="49"/>
      <c r="T71" s="648">
        <f>PT.storage_tank!G291</f>
        <v>1</v>
      </c>
      <c r="U71" s="714" t="str">
        <f>PT.storage_tank!C291</f>
        <v>quantity</v>
      </c>
    </row>
    <row r="72" spans="1:21" ht="14.4" x14ac:dyDescent="0.3">
      <c r="A72" s="7"/>
      <c r="B72" s="49"/>
      <c r="C72" s="1877"/>
      <c r="D72" s="49"/>
      <c r="E72" s="1611"/>
      <c r="F72" s="1611"/>
      <c r="G72" s="2017"/>
      <c r="H72" s="1611"/>
      <c r="I72" s="1611"/>
      <c r="J72" s="1611"/>
      <c r="K72" s="1611"/>
      <c r="L72" s="1611"/>
      <c r="M72" s="1611"/>
      <c r="N72" s="1611"/>
      <c r="O72" s="1611"/>
      <c r="P72" s="1611"/>
      <c r="Q72" s="49"/>
      <c r="R72" s="49" t="str">
        <f>PT.storage_tank!B292</f>
        <v>Tractor for support with hose pulley, quantity</v>
      </c>
      <c r="S72" s="49"/>
      <c r="T72" s="648">
        <f>PT.storage_tank!G292</f>
        <v>1</v>
      </c>
      <c r="U72" s="714" t="str">
        <f>PT.storage_tank!C292</f>
        <v>quantity</v>
      </c>
    </row>
    <row r="73" spans="1:21" ht="14.4" x14ac:dyDescent="0.3">
      <c r="A73" s="7"/>
      <c r="B73" s="49"/>
      <c r="C73" s="1877"/>
      <c r="D73" s="49"/>
      <c r="E73" s="1611"/>
      <c r="F73" s="1611"/>
      <c r="G73" s="2017"/>
      <c r="H73" s="1611"/>
      <c r="I73" s="1611"/>
      <c r="J73" s="1611"/>
      <c r="K73" s="1611"/>
      <c r="L73" s="1611"/>
      <c r="M73" s="1611"/>
      <c r="N73" s="1611"/>
      <c r="O73" s="1611"/>
      <c r="P73" s="1611"/>
      <c r="Q73" s="49"/>
      <c r="R73" s="49" t="str">
        <f>PT.storage_tank!B293</f>
        <v>Maximum distance from storage to field</v>
      </c>
      <c r="S73" s="49"/>
      <c r="T73" s="648">
        <f>PT.storage_tank!G293</f>
        <v>2</v>
      </c>
      <c r="U73" s="714" t="str">
        <f>PT.storage_tank!C293</f>
        <v>mi</v>
      </c>
    </row>
    <row r="74" spans="1:21" ht="14.4" x14ac:dyDescent="0.3">
      <c r="A74" s="7"/>
      <c r="B74" s="1945"/>
      <c r="C74" s="1945"/>
      <c r="D74" s="1942"/>
      <c r="E74" s="1611"/>
      <c r="F74" s="1611"/>
      <c r="G74" s="2017"/>
      <c r="H74" s="1611"/>
      <c r="I74" s="1611"/>
      <c r="J74" s="1611"/>
      <c r="K74" s="1851"/>
      <c r="L74" s="1851"/>
      <c r="M74" s="1611"/>
      <c r="N74" s="1611"/>
      <c r="O74" s="1611"/>
      <c r="P74" s="1611"/>
      <c r="Q74" s="49"/>
      <c r="R74" s="49"/>
      <c r="S74" s="49"/>
      <c r="T74" s="648"/>
      <c r="U74" s="714"/>
    </row>
    <row r="75" spans="1:21" ht="14.4" x14ac:dyDescent="0.3">
      <c r="A75" s="7"/>
      <c r="D75"/>
      <c r="E75" s="1611"/>
      <c r="F75" s="1611"/>
      <c r="G75" s="2017"/>
      <c r="H75" s="1611"/>
      <c r="I75" s="1611"/>
      <c r="J75" s="1611"/>
      <c r="K75" s="1611"/>
      <c r="L75" s="1611"/>
      <c r="M75" s="1611"/>
      <c r="N75" s="1611"/>
      <c r="O75" s="1611"/>
      <c r="P75" s="1611"/>
      <c r="Q75" s="49"/>
      <c r="R75" s="49" t="str">
        <f>PT.storage_tank!B295</f>
        <v>Operation time for pumping</v>
      </c>
      <c r="S75" s="49"/>
      <c r="T75" s="648">
        <f>PT.storage_tank!G295</f>
        <v>2.8962780704304993</v>
      </c>
      <c r="U75" s="714" t="str">
        <f>PT.storage_tank!C295</f>
        <v>h/event</v>
      </c>
    </row>
    <row r="76" spans="1:21" ht="14.4" x14ac:dyDescent="0.3">
      <c r="A76" s="7"/>
      <c r="D76"/>
      <c r="E76" s="1611"/>
      <c r="F76" s="1611"/>
      <c r="G76" s="2017"/>
      <c r="H76" s="1611"/>
      <c r="I76" s="1611"/>
      <c r="J76" s="1918"/>
      <c r="K76" s="1611"/>
      <c r="L76" s="1611"/>
      <c r="M76" s="1611"/>
      <c r="N76" s="1611"/>
      <c r="O76" s="1611"/>
      <c r="P76" s="1611"/>
      <c r="Q76" s="49"/>
      <c r="R76" s="49"/>
      <c r="S76" s="49"/>
      <c r="T76" s="648"/>
      <c r="U76" s="714"/>
    </row>
    <row r="77" spans="1:21" ht="24.75" customHeight="1" x14ac:dyDescent="0.3">
      <c r="A77" s="7"/>
      <c r="B77" s="1668" t="s">
        <v>5271</v>
      </c>
      <c r="C77" s="1680"/>
      <c r="D77" s="1815"/>
      <c r="E77" s="1611"/>
      <c r="F77" s="1611"/>
      <c r="G77" s="1611"/>
      <c r="H77" s="1611"/>
      <c r="I77" s="1611"/>
      <c r="J77" s="1918"/>
      <c r="K77" s="1918"/>
      <c r="L77" s="1918"/>
      <c r="M77" s="1918"/>
      <c r="N77" s="1611"/>
      <c r="O77" s="1611"/>
      <c r="P77" s="1611"/>
      <c r="Q77" s="91"/>
      <c r="R77" s="49"/>
      <c r="S77" s="49"/>
      <c r="T77" s="648"/>
      <c r="U77" s="714"/>
    </row>
    <row r="78" spans="1:21" ht="24" customHeight="1" x14ac:dyDescent="0.3">
      <c r="A78" s="7"/>
      <c r="B78" s="602" t="str">
        <f>PT.storage_tank!B345</f>
        <v>CH4 from storage tank</v>
      </c>
      <c r="C78" s="1877">
        <f>PT.storage_tank!G345</f>
        <v>10.541548717743245</v>
      </c>
      <c r="D78" s="602" t="str">
        <f>PT.storage_tank!C345</f>
        <v>kg/head/year</v>
      </c>
      <c r="E78" s="1866"/>
      <c r="F78" s="1866"/>
      <c r="G78" s="1866"/>
      <c r="H78" s="1866"/>
      <c r="I78" s="1611"/>
      <c r="J78" s="1918"/>
      <c r="K78" s="1918"/>
      <c r="L78" s="1918"/>
      <c r="M78" s="1918"/>
      <c r="N78" s="1611"/>
      <c r="O78" s="1611"/>
      <c r="P78" s="1611"/>
      <c r="Q78" s="49"/>
      <c r="R78" s="49"/>
      <c r="S78" s="49"/>
      <c r="T78" s="648"/>
      <c r="U78" s="714"/>
    </row>
    <row r="79" spans="1:21" ht="21" customHeight="1" x14ac:dyDescent="0.3">
      <c r="A79" s="7"/>
      <c r="B79" s="602" t="str">
        <f>PT.storage_tank!B346</f>
        <v>NH3 from storage tank</v>
      </c>
      <c r="C79" s="1877">
        <f>PT.storage_tank!G346</f>
        <v>5.6940985499999996</v>
      </c>
      <c r="D79" s="602" t="str">
        <f>PT.storage_tank!C346</f>
        <v>kg/head/year</v>
      </c>
      <c r="E79" s="1960"/>
      <c r="F79" s="1632"/>
      <c r="G79" s="1632"/>
      <c r="H79" s="1611"/>
      <c r="I79" s="1939"/>
      <c r="J79" s="1862"/>
      <c r="K79" s="1857"/>
      <c r="L79" s="1857"/>
      <c r="M79" s="1857"/>
      <c r="N79" s="1857"/>
      <c r="O79" s="1918"/>
      <c r="P79" s="1611"/>
      <c r="Q79" s="49"/>
      <c r="R79" s="49" t="str">
        <f>PT.storage_tank!B296</f>
        <v>Tractor for pulling hose reel and applicator, operation time</v>
      </c>
      <c r="S79" s="49"/>
      <c r="T79" s="648">
        <f>PT.storage_tank!G296</f>
        <v>3.3307197809950742</v>
      </c>
      <c r="U79" s="714" t="str">
        <f>PT.storage_tank!C296</f>
        <v>h/event</v>
      </c>
    </row>
    <row r="80" spans="1:21" ht="18.75" customHeight="1" x14ac:dyDescent="0.3">
      <c r="A80" s="79"/>
      <c r="B80" s="602" t="str">
        <f>PT.storage_tank!B347</f>
        <v>Direct N2O from storage tank</v>
      </c>
      <c r="C80" s="1877">
        <f>PT.storage_tank!G347</f>
        <v>0.14912844102449999</v>
      </c>
      <c r="D80" s="602" t="str">
        <f>PT.storage_tank!C347</f>
        <v>kg/head/year</v>
      </c>
      <c r="E80" s="1632"/>
      <c r="F80" s="1632"/>
      <c r="G80" s="1939"/>
      <c r="H80" s="1611"/>
      <c r="I80" s="1939"/>
      <c r="J80" s="1857"/>
      <c r="K80" s="2019"/>
      <c r="L80" s="1862"/>
      <c r="M80" s="1611"/>
      <c r="N80" s="1611"/>
      <c r="O80" s="1611"/>
      <c r="P80" s="1611"/>
      <c r="Q80" s="49"/>
      <c r="R80" s="49" t="str">
        <f>PT.storage_tank!B297</f>
        <v>Tractor for support with hose pulley, operation time</v>
      </c>
      <c r="S80" s="49"/>
      <c r="T80" s="648">
        <f>PT.storage_tank!G297</f>
        <v>3.3307197809950742</v>
      </c>
      <c r="U80" s="714" t="str">
        <f>PT.storage_tank!C297</f>
        <v>h/event</v>
      </c>
    </row>
    <row r="81" spans="1:21" ht="28.5" customHeight="1" x14ac:dyDescent="0.3">
      <c r="A81" s="2059"/>
      <c r="B81" s="602" t="str">
        <f>PT.storage_tank!B348</f>
        <v>Indirect N2O from storage tank</v>
      </c>
      <c r="C81" s="1877">
        <f>PT.storage_tank!G348</f>
        <v>0.12526789046057998</v>
      </c>
      <c r="D81" s="602" t="str">
        <f>PT.storage_tank!C348</f>
        <v>kg/head/year</v>
      </c>
      <c r="E81" s="1632"/>
      <c r="F81" s="1632"/>
      <c r="G81" s="1939"/>
      <c r="H81" s="1611"/>
      <c r="I81" s="1939"/>
      <c r="J81" s="1857"/>
      <c r="K81" s="1857"/>
      <c r="L81" s="2021"/>
      <c r="M81" s="1857"/>
      <c r="N81" s="1866"/>
      <c r="O81" s="1611"/>
      <c r="P81" s="1611"/>
      <c r="Q81" s="49"/>
      <c r="R81" s="49"/>
      <c r="S81" s="49"/>
      <c r="T81" s="648"/>
      <c r="U81" s="714"/>
    </row>
    <row r="82" spans="1:21" ht="25.5" customHeight="1" x14ac:dyDescent="0.3">
      <c r="A82" s="2059"/>
      <c r="B82" s="49" t="str">
        <f>PT.shallow_scrape!B123</f>
        <v>CH4 from shallow scrape</v>
      </c>
      <c r="C82" s="1877">
        <f>PT.shallow_scrape!G123</f>
        <v>1.5236605695921037</v>
      </c>
      <c r="D82" s="49" t="str">
        <f>PT.shallow_scrape!C123</f>
        <v>kg/head/year</v>
      </c>
      <c r="E82" s="1632"/>
      <c r="F82" s="1611"/>
      <c r="G82" s="1939"/>
      <c r="H82" s="1611"/>
      <c r="I82" s="1939"/>
      <c r="J82" s="1862"/>
      <c r="K82" s="1862"/>
      <c r="L82" s="2019"/>
      <c r="M82" s="2022"/>
      <c r="N82" s="1939"/>
      <c r="O82" s="1611"/>
      <c r="P82" s="1611"/>
      <c r="Q82" s="49"/>
      <c r="R82" s="49" t="s">
        <v>5714</v>
      </c>
      <c r="S82" s="49"/>
      <c r="T82" s="648">
        <f>PT.storage_tank!G298</f>
        <v>52.133005267748985</v>
      </c>
      <c r="U82" s="714" t="str">
        <f>PT.storage_tank!C298</f>
        <v>gal/event</v>
      </c>
    </row>
    <row r="83" spans="1:21" ht="14.4" x14ac:dyDescent="0.3">
      <c r="A83" s="7"/>
      <c r="B83" s="49" t="str">
        <f>PT.shallow_scrape!B124</f>
        <v>NH3 from shallow scrape</v>
      </c>
      <c r="C83" s="1877">
        <f>PT.shallow_scrape!G124</f>
        <v>3.7960656999999998</v>
      </c>
      <c r="D83" s="49" t="str">
        <f>PT.shallow_scrape!C124</f>
        <v>kg/head/year</v>
      </c>
      <c r="E83" s="1632"/>
      <c r="F83" s="1611"/>
      <c r="G83" s="1939"/>
      <c r="H83" s="1611"/>
      <c r="I83" s="1611"/>
      <c r="J83" s="1862"/>
      <c r="K83" s="1862"/>
      <c r="L83" s="2019"/>
      <c r="M83" s="2022"/>
      <c r="N83" s="1939"/>
      <c r="O83" s="1611"/>
      <c r="P83" s="1611"/>
      <c r="Q83" s="49"/>
      <c r="R83" s="49" t="str">
        <f>PT.storage_tank!B299</f>
        <v>Fuel needed for diesel powered booster pump</v>
      </c>
      <c r="S83" s="49"/>
      <c r="T83" s="648">
        <f>PT.storage_tank!G299</f>
        <v>21.722085528228746</v>
      </c>
      <c r="U83" s="714" t="str">
        <f>PT.storage_tank!C299</f>
        <v>gal/event</v>
      </c>
    </row>
    <row r="84" spans="1:21" ht="28.5" customHeight="1" x14ac:dyDescent="0.3">
      <c r="A84" s="7"/>
      <c r="B84" s="49" t="str">
        <f>PT.shallow_scrape!B125</f>
        <v>Direct N2O from shallow scrape</v>
      </c>
      <c r="C84" s="1877">
        <f>PT.shallow_scrape!G125</f>
        <v>5.9651376409799999E-2</v>
      </c>
      <c r="D84" s="49" t="str">
        <f>PT.shallow_scrape!C125</f>
        <v>kg/head/year</v>
      </c>
      <c r="E84" s="1632"/>
      <c r="F84" s="1611"/>
      <c r="G84" s="1939"/>
      <c r="H84" s="1611"/>
      <c r="I84" s="1939"/>
      <c r="J84" s="1857"/>
      <c r="K84" s="1862"/>
      <c r="L84" s="2022"/>
      <c r="M84" s="2022"/>
      <c r="N84" s="1939"/>
      <c r="O84" s="1611"/>
      <c r="P84" s="1611"/>
      <c r="Q84" s="49"/>
      <c r="R84" s="49" t="str">
        <f>PT.storage_tank!B300</f>
        <v>Fuel needed for diesel powered agitation trailer</v>
      </c>
      <c r="S84" s="49"/>
      <c r="T84" s="648">
        <f>PT.storage_tank!G300</f>
        <v>17.377668422582996</v>
      </c>
      <c r="U84" s="714" t="str">
        <f>PT.storage_tank!C300</f>
        <v>gal/event</v>
      </c>
    </row>
    <row r="85" spans="1:21" ht="25.5" customHeight="1" x14ac:dyDescent="0.3">
      <c r="A85" s="7"/>
      <c r="B85" s="49" t="str">
        <f>PT.shallow_scrape!B126</f>
        <v>Indirect N2O from shallow scrape</v>
      </c>
      <c r="C85" s="1877">
        <f>PT.shallow_scrape!G126</f>
        <v>8.3511926973719994E-2</v>
      </c>
      <c r="D85" s="49" t="str">
        <f>PT.shallow_scrape!C126</f>
        <v>kg/head/year</v>
      </c>
      <c r="E85" s="1632"/>
      <c r="F85" s="1611"/>
      <c r="G85" s="1939"/>
      <c r="H85" s="1611"/>
      <c r="I85" s="1939"/>
      <c r="J85" s="1857"/>
      <c r="K85" s="1862"/>
      <c r="L85" s="2022"/>
      <c r="M85" s="2022"/>
      <c r="N85" s="1939"/>
      <c r="O85" s="1611"/>
      <c r="P85" s="1611"/>
      <c r="Q85" s="49"/>
      <c r="R85" s="49" t="str">
        <f>PT.storage_tank!B301</f>
        <v>Fuel needed for tractor for pulling hose reel and applicator</v>
      </c>
      <c r="S85" s="49"/>
      <c r="T85" s="648">
        <f>PT.storage_tank!G301</f>
        <v>25.52</v>
      </c>
      <c r="U85" s="714" t="str">
        <f>PT.storage_tank!C301</f>
        <v>gal/h</v>
      </c>
    </row>
    <row r="86" spans="1:21" ht="14.4" x14ac:dyDescent="0.3">
      <c r="A86" s="7"/>
      <c r="B86" s="1939"/>
      <c r="C86" s="1939"/>
      <c r="D86" s="1939"/>
      <c r="E86" s="1939"/>
      <c r="F86" s="1939"/>
      <c r="G86" s="1939"/>
      <c r="H86" s="1939"/>
      <c r="I86" s="1939"/>
      <c r="J86" s="1857"/>
      <c r="K86" s="1862"/>
      <c r="L86" s="2019"/>
      <c r="M86" s="2022"/>
      <c r="N86" s="1939"/>
      <c r="O86" s="1611"/>
      <c r="P86" s="1611"/>
      <c r="R86" s="49" t="str">
        <f>PT.storage_tank!B302</f>
        <v>Fuel needed for support tractor with hose pulley</v>
      </c>
      <c r="S86" s="49"/>
      <c r="T86" s="648">
        <f>PT.storage_tank!G302</f>
        <v>14.959999999999999</v>
      </c>
      <c r="U86" s="714" t="str">
        <f>PT.storage_tank!C302</f>
        <v>gal/h</v>
      </c>
    </row>
    <row r="87" spans="1:21" ht="14.4" x14ac:dyDescent="0.3">
      <c r="A87" s="7"/>
      <c r="B87" s="1918"/>
      <c r="C87" s="1918"/>
      <c r="D87" s="1918"/>
      <c r="E87" s="1918"/>
      <c r="F87" s="1611"/>
      <c r="G87" s="1918"/>
      <c r="H87" s="1611"/>
      <c r="I87" s="1611"/>
      <c r="J87" s="1857"/>
      <c r="K87" s="1862"/>
      <c r="L87" s="1862"/>
      <c r="M87" s="2022"/>
      <c r="N87" s="1939"/>
      <c r="O87" s="1611"/>
      <c r="P87" s="1611"/>
      <c r="R87" s="49" t="str">
        <f>PT.storage_tank!B303</f>
        <v>Fuel needed for pickup truck</v>
      </c>
      <c r="S87" s="49"/>
      <c r="T87" s="648">
        <f>PT.storage_tank!G303</f>
        <v>2.6066502633874493</v>
      </c>
      <c r="U87" s="714" t="str">
        <f>PT.storage_tank!C303</f>
        <v>gal/event</v>
      </c>
    </row>
    <row r="88" spans="1:21" ht="14.4" x14ac:dyDescent="0.3">
      <c r="A88" s="7"/>
      <c r="B88" s="1611"/>
      <c r="C88" s="1611"/>
      <c r="D88" s="1611"/>
      <c r="E88" s="1632"/>
      <c r="F88" s="1611"/>
      <c r="G88" s="1939"/>
      <c r="H88" s="1611"/>
      <c r="I88" s="1611"/>
      <c r="J88" s="1862"/>
      <c r="K88" s="1862"/>
      <c r="L88" s="1862"/>
      <c r="M88" s="2022"/>
      <c r="N88" s="1939"/>
      <c r="O88" s="1611"/>
      <c r="P88" s="1611"/>
      <c r="R88" s="49"/>
      <c r="S88" s="49"/>
      <c r="T88" s="648"/>
      <c r="U88" s="714"/>
    </row>
    <row r="89" spans="1:21" ht="14.4" x14ac:dyDescent="0.3">
      <c r="A89" s="7"/>
      <c r="B89" s="1611"/>
      <c r="C89" s="1611"/>
      <c r="D89" s="1611"/>
      <c r="E89" s="1611"/>
      <c r="F89" s="1611"/>
      <c r="G89" s="1939"/>
      <c r="H89" s="1611"/>
      <c r="I89" s="1611"/>
      <c r="J89" s="1862"/>
      <c r="K89" s="1862"/>
      <c r="L89" s="1862"/>
      <c r="M89" s="2022"/>
      <c r="N89" s="1939"/>
      <c r="O89" s="1611"/>
      <c r="P89" s="1611"/>
      <c r="R89" s="49" t="str">
        <f>PT.storage_tank!B305</f>
        <v>Excess volume, tank slurry</v>
      </c>
      <c r="S89" s="49"/>
      <c r="T89" s="648">
        <f>PT.storage_tank!G305</f>
        <v>0</v>
      </c>
      <c r="U89" s="714" t="str">
        <f>PT.storage_tank!C305</f>
        <v>1000 gal/year</v>
      </c>
    </row>
    <row r="90" spans="1:21" ht="14.4" x14ac:dyDescent="0.3">
      <c r="A90" s="7"/>
      <c r="B90" s="1611"/>
      <c r="C90" s="1611"/>
      <c r="D90" s="1611"/>
      <c r="E90" s="1939"/>
      <c r="F90" s="1611"/>
      <c r="G90" s="1939"/>
      <c r="H90" s="1611"/>
      <c r="I90" s="1611"/>
      <c r="J90" s="1857"/>
      <c r="K90" s="1862"/>
      <c r="L90" s="1862"/>
      <c r="M90" s="2022"/>
      <c r="N90" s="1939"/>
      <c r="O90" s="1611"/>
      <c r="P90" s="1611"/>
      <c r="R90" s="49" t="str">
        <f>PT.storage_tank!B306</f>
        <v>Fertilizer value for on-farm use, tank slurry</v>
      </c>
      <c r="S90" s="49"/>
      <c r="T90" s="648">
        <f>PT.storage_tank!G306</f>
        <v>12315.520455039321</v>
      </c>
      <c r="U90" s="714" t="str">
        <f>PT.storage_tank!C306</f>
        <v>$/year</v>
      </c>
    </row>
    <row r="91" spans="1:21" ht="14.4" x14ac:dyDescent="0.3">
      <c r="B91" s="1611"/>
      <c r="C91" s="1611"/>
      <c r="D91" s="1611"/>
      <c r="E91" s="1851"/>
      <c r="F91" s="1611"/>
      <c r="G91" s="1632"/>
      <c r="H91" s="1611"/>
      <c r="I91" s="1611"/>
      <c r="J91" s="1857"/>
      <c r="K91" s="1862"/>
      <c r="L91" s="2019"/>
      <c r="M91" s="2022"/>
      <c r="N91" s="1939"/>
      <c r="O91" s="1611"/>
      <c r="P91" s="1611"/>
      <c r="R91" s="49"/>
      <c r="S91" s="49"/>
      <c r="T91" s="648"/>
      <c r="U91" s="714"/>
    </row>
    <row r="92" spans="1:21" ht="14.4" x14ac:dyDescent="0.3">
      <c r="B92" s="1611"/>
      <c r="C92" s="1611"/>
      <c r="D92" s="1611"/>
      <c r="E92" s="1611"/>
      <c r="F92" s="1611"/>
      <c r="G92" s="1632"/>
      <c r="H92" s="1611"/>
      <c r="I92" s="2062"/>
      <c r="J92" s="1862"/>
      <c r="K92" s="1862"/>
      <c r="L92" s="2019"/>
      <c r="M92" s="2022"/>
      <c r="N92" s="1939"/>
      <c r="O92" s="1611"/>
      <c r="P92" s="1611"/>
      <c r="R92"/>
      <c r="T92" s="147"/>
      <c r="U92" s="79"/>
    </row>
    <row r="93" spans="1:21" ht="14.4" x14ac:dyDescent="0.3">
      <c r="B93" s="1611"/>
      <c r="C93" s="1611"/>
      <c r="D93" s="1611"/>
      <c r="E93" s="1939"/>
      <c r="F93" s="1611"/>
      <c r="G93" s="1939"/>
      <c r="H93" s="1611"/>
      <c r="I93" s="1611"/>
      <c r="J93" s="1862"/>
      <c r="K93" s="1862"/>
      <c r="L93" s="2019"/>
      <c r="M93" s="2022"/>
      <c r="N93" s="1939"/>
      <c r="O93" s="1611"/>
      <c r="P93" s="1611"/>
      <c r="Q93" s="49" t="s">
        <v>5925</v>
      </c>
      <c r="R93" s="18" t="s">
        <v>5724</v>
      </c>
      <c r="S93" s="49"/>
      <c r="T93" s="1360">
        <f>PT.shallow_scrape!G16</f>
        <v>20.256141166953888</v>
      </c>
      <c r="U93" s="49" t="s">
        <v>2479</v>
      </c>
    </row>
    <row r="94" spans="1:21" ht="14.4" x14ac:dyDescent="0.3">
      <c r="B94" s="1611"/>
      <c r="C94" s="1611"/>
      <c r="D94" s="1611"/>
      <c r="E94" s="1939"/>
      <c r="F94" s="1611"/>
      <c r="G94" s="1632"/>
      <c r="H94" s="1611"/>
      <c r="I94" s="1611"/>
      <c r="J94" s="1862"/>
      <c r="K94" s="1862"/>
      <c r="L94" s="2019"/>
      <c r="M94" s="2022"/>
      <c r="N94" s="1939"/>
      <c r="O94" s="1611"/>
      <c r="P94" s="1611"/>
      <c r="R94"/>
      <c r="T94" s="147"/>
      <c r="U94" s="79"/>
    </row>
    <row r="95" spans="1:21" ht="14.4" x14ac:dyDescent="0.3">
      <c r="B95" s="1611"/>
      <c r="C95" s="1611"/>
      <c r="D95" s="1611"/>
      <c r="E95" s="1611"/>
      <c r="F95" s="1918"/>
      <c r="G95" s="1918"/>
      <c r="H95" s="1918"/>
      <c r="I95" s="1611"/>
      <c r="J95" s="1857"/>
      <c r="K95" s="1862"/>
      <c r="L95" s="2019"/>
      <c r="M95" s="2022"/>
      <c r="N95" s="1939"/>
      <c r="O95" s="1611"/>
      <c r="P95" s="1611"/>
      <c r="R95"/>
      <c r="T95" s="147"/>
      <c r="U95" s="79"/>
    </row>
    <row r="96" spans="1:21" ht="14.4" x14ac:dyDescent="0.3">
      <c r="B96" s="1611"/>
      <c r="C96" s="1611"/>
      <c r="D96" s="1611"/>
      <c r="E96" s="1611"/>
      <c r="F96" s="1918"/>
      <c r="G96" s="1918"/>
      <c r="H96" s="1632"/>
      <c r="I96" s="1611"/>
      <c r="J96" s="1862"/>
      <c r="K96" s="1862"/>
      <c r="L96" s="2019"/>
      <c r="M96" s="2022"/>
      <c r="N96" s="1939"/>
      <c r="O96" s="1611"/>
      <c r="P96" s="1611"/>
      <c r="R96"/>
      <c r="T96" s="147"/>
      <c r="U96" s="79"/>
    </row>
    <row r="97" spans="1:21" ht="14.4" x14ac:dyDescent="0.3">
      <c r="B97" s="1611"/>
      <c r="C97" s="1611"/>
      <c r="D97" s="1611"/>
      <c r="E97" s="1611"/>
      <c r="F97" s="1611"/>
      <c r="G97" s="2027"/>
      <c r="H97" s="1632"/>
      <c r="I97" s="1611"/>
      <c r="J97" s="1862"/>
      <c r="K97" s="1862"/>
      <c r="L97" s="2019"/>
      <c r="M97" s="2022"/>
      <c r="N97" s="1939"/>
      <c r="O97" s="1611"/>
      <c r="P97" s="1611"/>
      <c r="R97"/>
      <c r="T97" s="147"/>
      <c r="U97" s="79"/>
    </row>
    <row r="98" spans="1:21" ht="14.4" x14ac:dyDescent="0.3">
      <c r="A98" s="7"/>
      <c r="B98" s="1611"/>
      <c r="C98" s="1611"/>
      <c r="D98" s="1611"/>
      <c r="E98" s="1611"/>
      <c r="F98" s="1611"/>
      <c r="G98" s="2027"/>
      <c r="H98" s="1632"/>
      <c r="I98" s="1611"/>
      <c r="J98" s="1862"/>
      <c r="K98" s="1862"/>
      <c r="L98" s="2019"/>
      <c r="M98" s="2022"/>
      <c r="N98" s="1939"/>
      <c r="O98" s="1611"/>
      <c r="P98" s="1611"/>
      <c r="R98"/>
      <c r="T98" s="147"/>
      <c r="U98" s="79"/>
    </row>
    <row r="99" spans="1:21" ht="14.4" x14ac:dyDescent="0.3">
      <c r="A99" s="7"/>
      <c r="B99" s="1611"/>
      <c r="C99" s="1611"/>
      <c r="D99" s="1611"/>
      <c r="E99" s="1611"/>
      <c r="F99" s="1611"/>
      <c r="G99" s="2027"/>
      <c r="H99" s="1632"/>
      <c r="I99" s="1611"/>
      <c r="J99" s="1857"/>
      <c r="K99" s="1862"/>
      <c r="L99" s="1862"/>
      <c r="M99" s="2022"/>
      <c r="N99" s="1939"/>
      <c r="O99" s="1611"/>
      <c r="P99" s="1611"/>
      <c r="R99"/>
    </row>
    <row r="100" spans="1:21" ht="14.4" x14ac:dyDescent="0.3">
      <c r="A100" s="7"/>
      <c r="B100" s="2063"/>
      <c r="C100" s="1611"/>
      <c r="D100" s="1611"/>
      <c r="E100" s="1611"/>
      <c r="F100" s="1611"/>
      <c r="G100" s="2027"/>
      <c r="H100" s="1632"/>
      <c r="I100" s="1611"/>
      <c r="J100" s="1857"/>
      <c r="K100" s="1862"/>
      <c r="L100" s="2022"/>
      <c r="M100" s="2022"/>
      <c r="N100" s="1939"/>
      <c r="O100" s="1611"/>
      <c r="P100" s="1611"/>
      <c r="R100"/>
    </row>
    <row r="101" spans="1:21" ht="14.4" x14ac:dyDescent="0.3">
      <c r="A101" s="7"/>
      <c r="B101" s="1611"/>
      <c r="C101" s="1611"/>
      <c r="D101" s="1611"/>
      <c r="E101" s="1611"/>
      <c r="F101" s="1918"/>
      <c r="G101" s="1918"/>
      <c r="H101" s="1918"/>
      <c r="I101" s="1611"/>
      <c r="J101" s="1857"/>
      <c r="K101" s="1862"/>
      <c r="L101" s="2022"/>
      <c r="M101" s="2022"/>
      <c r="N101" s="1939"/>
      <c r="O101" s="1611"/>
      <c r="P101" s="1611"/>
      <c r="R101"/>
    </row>
    <row r="102" spans="1:21" ht="14.4" x14ac:dyDescent="0.3">
      <c r="A102" s="7"/>
      <c r="B102" s="1611"/>
      <c r="C102" s="1611"/>
      <c r="D102" s="1611"/>
      <c r="E102" s="1611"/>
      <c r="F102" s="1611"/>
      <c r="G102" s="1611"/>
      <c r="H102" s="1611"/>
      <c r="I102" s="1611"/>
      <c r="J102" s="1857"/>
      <c r="K102" s="1862"/>
      <c r="L102" s="2022"/>
      <c r="M102" s="2022"/>
      <c r="N102" s="1939"/>
      <c r="O102" s="1611"/>
      <c r="P102" s="1611"/>
      <c r="R102"/>
    </row>
    <row r="103" spans="1:21" ht="14.4" x14ac:dyDescent="0.3">
      <c r="A103" s="7"/>
      <c r="B103" s="1611"/>
      <c r="C103" s="1611"/>
      <c r="D103" s="1611"/>
      <c r="E103" s="1611"/>
      <c r="F103" s="1611"/>
      <c r="G103" s="1611"/>
      <c r="H103" s="1850"/>
      <c r="I103" s="1611"/>
      <c r="J103" s="1857"/>
      <c r="K103" s="1862"/>
      <c r="L103" s="2022"/>
      <c r="M103" s="2022"/>
      <c r="N103" s="1939"/>
      <c r="O103" s="1611"/>
      <c r="P103" s="1611"/>
      <c r="R103"/>
    </row>
    <row r="104" spans="1:21" ht="14.4" x14ac:dyDescent="0.3">
      <c r="A104" s="7"/>
      <c r="B104" s="1611"/>
      <c r="C104" s="1611"/>
      <c r="D104" s="1611"/>
      <c r="E104" s="1611"/>
      <c r="F104" s="1611"/>
      <c r="G104" s="1611"/>
      <c r="H104" s="1850"/>
      <c r="I104" s="1611"/>
      <c r="J104" s="1857"/>
      <c r="K104" s="1862"/>
      <c r="L104" s="2022"/>
      <c r="M104" s="2022"/>
      <c r="N104" s="1939"/>
      <c r="O104" s="1611"/>
      <c r="P104" s="1611"/>
      <c r="R104"/>
    </row>
    <row r="105" spans="1:21" ht="14.4" x14ac:dyDescent="0.3">
      <c r="A105" s="7"/>
      <c r="B105" s="1611"/>
      <c r="C105" s="1611"/>
      <c r="D105" s="1611"/>
      <c r="E105" s="1611"/>
      <c r="F105" s="1918"/>
      <c r="G105" s="1939"/>
      <c r="H105" s="1939"/>
      <c r="I105" s="1611"/>
      <c r="J105" s="1857"/>
      <c r="K105" s="1862"/>
      <c r="L105" s="1862"/>
      <c r="M105" s="2022"/>
      <c r="N105" s="1939"/>
      <c r="O105" s="1611"/>
      <c r="P105" s="1611"/>
      <c r="R105"/>
    </row>
    <row r="106" spans="1:21" ht="14.4" x14ac:dyDescent="0.3">
      <c r="A106" s="7"/>
      <c r="B106" s="1611"/>
      <c r="C106" s="1611"/>
      <c r="D106" s="1611"/>
      <c r="E106" s="1611"/>
      <c r="F106" s="1611"/>
      <c r="G106" s="1611"/>
      <c r="H106" s="1611"/>
      <c r="I106" s="1611"/>
      <c r="J106" s="1862"/>
      <c r="K106" s="1862"/>
      <c r="L106" s="1862"/>
      <c r="M106" s="2022"/>
      <c r="N106" s="1632"/>
      <c r="O106" s="1611"/>
      <c r="P106" s="1611"/>
      <c r="R106"/>
    </row>
    <row r="107" spans="1:21" ht="14.4" x14ac:dyDescent="0.3">
      <c r="A107" s="7"/>
      <c r="B107" s="1939"/>
      <c r="C107" s="1939"/>
      <c r="D107" s="1939"/>
      <c r="E107" s="1939"/>
      <c r="F107" s="1611"/>
      <c r="G107" s="1611"/>
      <c r="H107" s="1850"/>
      <c r="I107" s="1939"/>
      <c r="J107" s="1611"/>
      <c r="K107" s="1611"/>
      <c r="L107" s="1918"/>
      <c r="M107" s="2017"/>
      <c r="N107" s="2017"/>
      <c r="O107" s="2017"/>
      <c r="P107" s="1611"/>
      <c r="R107"/>
    </row>
    <row r="108" spans="1:21" ht="14.4" x14ac:dyDescent="0.3">
      <c r="A108" s="7"/>
      <c r="B108" s="1939"/>
      <c r="C108" s="1939"/>
      <c r="D108" s="1939"/>
      <c r="E108" s="1939"/>
      <c r="F108" s="2017"/>
      <c r="G108" s="1939"/>
      <c r="H108" s="1939"/>
      <c r="I108" s="1939"/>
      <c r="J108" s="1611"/>
      <c r="K108" s="1611"/>
      <c r="L108" s="1611"/>
      <c r="M108" s="1611"/>
      <c r="N108" s="1918"/>
      <c r="O108" s="1611"/>
      <c r="P108" s="1611"/>
      <c r="R108"/>
    </row>
    <row r="109" spans="1:21" ht="14.4" x14ac:dyDescent="0.3">
      <c r="A109" s="7"/>
      <c r="B109" s="1939"/>
      <c r="C109" s="1939"/>
      <c r="D109" s="1939"/>
      <c r="E109" s="1939"/>
      <c r="F109" s="1611"/>
      <c r="G109" s="1611"/>
      <c r="H109" s="1611"/>
      <c r="I109" s="1939"/>
      <c r="J109" s="1611"/>
      <c r="K109" s="1611"/>
      <c r="L109" s="1611"/>
      <c r="M109" s="1611"/>
      <c r="N109" s="1611"/>
      <c r="O109" s="1611"/>
      <c r="P109" s="1611"/>
      <c r="R109"/>
    </row>
    <row r="110" spans="1:21" ht="14.4" x14ac:dyDescent="0.3">
      <c r="A110" s="7"/>
      <c r="B110" s="1939"/>
      <c r="C110" s="1939"/>
      <c r="D110" s="1939"/>
      <c r="E110" s="1939"/>
      <c r="F110" s="1611"/>
      <c r="G110" s="1611"/>
      <c r="H110" s="1632"/>
      <c r="I110" s="1939"/>
      <c r="J110" s="1611"/>
      <c r="K110" s="1611"/>
      <c r="L110" s="1611"/>
      <c r="M110" s="1611"/>
      <c r="N110" s="1611"/>
      <c r="O110" s="1611"/>
      <c r="P110" s="1611"/>
      <c r="R110"/>
    </row>
    <row r="111" spans="1:21" ht="13.5" customHeight="1" x14ac:dyDescent="0.3">
      <c r="B111" s="1611"/>
      <c r="C111" s="1611"/>
      <c r="D111" s="1611"/>
      <c r="E111" s="1611"/>
      <c r="F111" s="1611"/>
      <c r="G111" s="1611"/>
      <c r="H111" s="1611"/>
      <c r="I111" s="1611"/>
      <c r="J111" s="1611"/>
      <c r="K111" s="1611"/>
      <c r="L111" s="1611"/>
      <c r="M111" s="1611"/>
      <c r="N111" s="1611"/>
      <c r="O111" s="1611"/>
      <c r="P111" s="1611"/>
    </row>
    <row r="112" spans="1:21" ht="13.5" customHeight="1" x14ac:dyDescent="0.3">
      <c r="B112" s="1611"/>
      <c r="C112" s="1611"/>
      <c r="D112" s="1611"/>
      <c r="E112" s="1611"/>
      <c r="F112" s="1611"/>
      <c r="G112" s="1611"/>
      <c r="H112" s="1611"/>
      <c r="I112" s="1611"/>
      <c r="J112" s="1611"/>
      <c r="K112" s="1611"/>
      <c r="L112" s="1611"/>
      <c r="M112" s="1611"/>
      <c r="N112" s="1611"/>
      <c r="O112" s="1611"/>
      <c r="P112" s="1611"/>
    </row>
    <row r="113" spans="2:16" ht="14.4" x14ac:dyDescent="0.3">
      <c r="B113" s="1918"/>
      <c r="C113" s="1611"/>
      <c r="D113" s="1611"/>
      <c r="E113" s="1611"/>
      <c r="F113" s="1611"/>
      <c r="G113" s="1611"/>
      <c r="H113" s="1611"/>
      <c r="I113" s="1939"/>
      <c r="J113" s="1611"/>
      <c r="K113" s="1611"/>
      <c r="L113" s="1611"/>
      <c r="M113" s="1611"/>
      <c r="N113" s="1611"/>
      <c r="O113" s="1611"/>
      <c r="P113" s="1611"/>
    </row>
    <row r="114" spans="2:16" ht="14.4" x14ac:dyDescent="0.3">
      <c r="B114" s="1611"/>
      <c r="C114" s="1611"/>
      <c r="D114" s="1918"/>
      <c r="E114" s="1611"/>
      <c r="F114" s="1611"/>
      <c r="G114" s="1939"/>
      <c r="H114" s="1611"/>
      <c r="I114" s="1939"/>
      <c r="J114" s="1611"/>
      <c r="K114" s="1611"/>
      <c r="L114" s="1611"/>
      <c r="M114" s="1611"/>
      <c r="N114" s="1611"/>
      <c r="O114" s="1611"/>
      <c r="P114" s="1611"/>
    </row>
    <row r="115" spans="2:16" ht="14.4" x14ac:dyDescent="0.3">
      <c r="B115" s="1611"/>
      <c r="C115" s="1611"/>
      <c r="D115" s="1918"/>
      <c r="E115" s="1611"/>
      <c r="F115" s="1611"/>
      <c r="G115" s="1939"/>
      <c r="H115" s="1611"/>
      <c r="I115" s="1939"/>
      <c r="J115" s="1611"/>
      <c r="K115" s="1611"/>
      <c r="L115" s="1611"/>
      <c r="M115" s="1611"/>
      <c r="N115" s="1611"/>
      <c r="O115" s="1611"/>
      <c r="P115" s="1611"/>
    </row>
    <row r="116" spans="2:16" ht="14.4" x14ac:dyDescent="0.3">
      <c r="B116" s="1611"/>
      <c r="C116" s="1611"/>
      <c r="D116" s="1918"/>
      <c r="E116" s="1611"/>
      <c r="F116" s="1611"/>
      <c r="G116" s="1939"/>
      <c r="H116" s="1611"/>
      <c r="I116" s="1939"/>
      <c r="J116" s="1611"/>
      <c r="K116" s="1611"/>
      <c r="L116" s="1611"/>
      <c r="M116" s="1611"/>
      <c r="N116" s="1611"/>
      <c r="O116" s="1611"/>
      <c r="P116" s="1611"/>
    </row>
    <row r="117" spans="2:16" ht="14.4" x14ac:dyDescent="0.3">
      <c r="B117" s="1611"/>
      <c r="C117" s="1611"/>
      <c r="D117" s="1918"/>
      <c r="E117" s="1611"/>
      <c r="F117" s="1611"/>
      <c r="G117" s="1939"/>
      <c r="H117" s="1611"/>
      <c r="I117" s="1939"/>
      <c r="J117" s="1611"/>
      <c r="K117" s="1611"/>
      <c r="L117" s="1611"/>
      <c r="M117" s="1611"/>
      <c r="N117" s="1611"/>
      <c r="O117" s="1611"/>
      <c r="P117" s="1611"/>
    </row>
    <row r="118" spans="2:16" ht="14.4" x14ac:dyDescent="0.3">
      <c r="B118" s="1611"/>
      <c r="C118" s="1611"/>
      <c r="D118" s="1918"/>
      <c r="E118" s="1611"/>
      <c r="F118" s="1611"/>
      <c r="G118" s="1939"/>
      <c r="H118" s="1611"/>
      <c r="I118" s="1939"/>
      <c r="J118" s="1611"/>
      <c r="K118" s="1611"/>
      <c r="L118" s="1611"/>
      <c r="M118" s="1611"/>
      <c r="N118" s="1611"/>
      <c r="O118" s="1611"/>
      <c r="P118" s="1611"/>
    </row>
    <row r="119" spans="2:16" ht="14.4" x14ac:dyDescent="0.3">
      <c r="B119" s="1611"/>
      <c r="C119" s="1611"/>
      <c r="D119" s="1918"/>
      <c r="E119" s="1611"/>
      <c r="F119" s="1611"/>
      <c r="G119" s="1939"/>
      <c r="H119" s="1611"/>
      <c r="I119" s="1939"/>
      <c r="J119" s="1611"/>
      <c r="K119" s="1611"/>
      <c r="L119" s="1611"/>
      <c r="M119" s="1611"/>
      <c r="N119" s="1611"/>
      <c r="O119" s="1611"/>
      <c r="P119" s="1611"/>
    </row>
    <row r="120" spans="2:16" ht="14.4" x14ac:dyDescent="0.3">
      <c r="B120" s="1611"/>
      <c r="C120" s="1611"/>
      <c r="D120" s="1918"/>
      <c r="E120" s="1611"/>
      <c r="F120" s="1611"/>
      <c r="G120" s="1939"/>
      <c r="H120" s="1611"/>
      <c r="I120" s="1939"/>
      <c r="J120" s="1611"/>
      <c r="K120" s="1611"/>
      <c r="L120" s="1611"/>
      <c r="M120" s="1611"/>
      <c r="N120" s="1611"/>
      <c r="O120" s="1611"/>
      <c r="P120" s="1611"/>
    </row>
    <row r="121" spans="2:16" ht="14.4" x14ac:dyDescent="0.3">
      <c r="B121" s="1611"/>
      <c r="C121" s="1611"/>
      <c r="D121" s="1918"/>
      <c r="E121" s="1611"/>
      <c r="F121" s="1611"/>
      <c r="G121" s="1939"/>
      <c r="H121" s="1611"/>
      <c r="I121" s="1939"/>
      <c r="J121" s="1611"/>
      <c r="K121" s="1611"/>
      <c r="L121" s="1611"/>
      <c r="M121" s="1611"/>
      <c r="N121" s="1611"/>
      <c r="O121" s="1611"/>
      <c r="P121" s="1611"/>
    </row>
    <row r="122" spans="2:16" ht="14.4" x14ac:dyDescent="0.3">
      <c r="B122" s="1611"/>
      <c r="C122" s="1611"/>
      <c r="D122" s="1918"/>
      <c r="E122" s="1611"/>
      <c r="F122" s="1611"/>
      <c r="G122" s="2017"/>
      <c r="H122" s="1611"/>
      <c r="I122" s="1939"/>
      <c r="J122" s="1611"/>
      <c r="K122" s="1611"/>
      <c r="L122" s="1611"/>
      <c r="M122" s="1611"/>
      <c r="N122" s="1611"/>
      <c r="O122" s="1611"/>
      <c r="P122" s="1611"/>
    </row>
    <row r="123" spans="2:16" ht="14.4" x14ac:dyDescent="0.3">
      <c r="B123" s="1611"/>
      <c r="C123" s="1611"/>
      <c r="D123" s="1918"/>
      <c r="E123" s="1611"/>
      <c r="F123" s="1611"/>
      <c r="G123" s="1939"/>
      <c r="H123" s="1611"/>
      <c r="I123" s="1939"/>
      <c r="J123" s="1611"/>
      <c r="K123" s="1611"/>
      <c r="L123" s="1611"/>
      <c r="M123" s="1611"/>
      <c r="N123" s="1611"/>
      <c r="O123" s="1611"/>
      <c r="P123" s="1611"/>
    </row>
    <row r="124" spans="2:16" ht="14.4" x14ac:dyDescent="0.3">
      <c r="B124" s="1611"/>
      <c r="C124" s="1611"/>
      <c r="D124" s="1611"/>
      <c r="E124" s="1611"/>
      <c r="F124" s="1611"/>
      <c r="G124" s="1939"/>
      <c r="H124" s="1611"/>
      <c r="I124" s="1939"/>
      <c r="J124" s="1611"/>
      <c r="K124" s="1611"/>
      <c r="L124" s="1611"/>
      <c r="M124" s="1611"/>
      <c r="N124" s="1611"/>
      <c r="O124" s="1611"/>
      <c r="P124" s="1611"/>
    </row>
    <row r="125" spans="2:16" ht="14.4" x14ac:dyDescent="0.3">
      <c r="B125" s="1611"/>
      <c r="C125" s="1611"/>
      <c r="D125" s="2027"/>
      <c r="E125" s="1611"/>
      <c r="F125" s="1611"/>
      <c r="G125" s="1939"/>
      <c r="H125" s="1611"/>
      <c r="I125" s="1939"/>
      <c r="J125" s="1611"/>
      <c r="K125" s="1611"/>
      <c r="L125" s="1611"/>
      <c r="M125" s="1611"/>
      <c r="N125" s="1611"/>
      <c r="O125" s="1611"/>
      <c r="P125" s="1611"/>
    </row>
    <row r="126" spans="2:16" ht="14.4" x14ac:dyDescent="0.3">
      <c r="B126" s="1611"/>
      <c r="C126" s="1611"/>
      <c r="D126" s="2027"/>
      <c r="E126" s="1611"/>
      <c r="F126" s="1611"/>
      <c r="G126" s="1939"/>
      <c r="H126" s="1611"/>
      <c r="I126" s="1939"/>
      <c r="J126" s="1611"/>
      <c r="K126" s="1611"/>
      <c r="L126" s="1611"/>
      <c r="M126" s="1611"/>
      <c r="N126" s="1611"/>
      <c r="O126" s="1611"/>
      <c r="P126" s="1611"/>
    </row>
    <row r="127" spans="2:16" ht="14.4" x14ac:dyDescent="0.3">
      <c r="B127" s="1611"/>
      <c r="C127" s="1611"/>
      <c r="D127" s="2027"/>
      <c r="E127" s="1611"/>
      <c r="F127" s="1611"/>
      <c r="G127" s="1939"/>
      <c r="H127" s="1611"/>
      <c r="I127" s="1939"/>
      <c r="J127" s="1611"/>
      <c r="K127" s="1611"/>
      <c r="L127" s="1611"/>
      <c r="M127" s="1611"/>
      <c r="N127" s="1611"/>
      <c r="O127" s="1611"/>
      <c r="P127" s="1611"/>
    </row>
    <row r="128" spans="2:16" ht="14.4" x14ac:dyDescent="0.3">
      <c r="B128" s="1611"/>
      <c r="C128" s="1611"/>
      <c r="D128" s="2027"/>
      <c r="E128" s="1611"/>
      <c r="F128" s="1611"/>
      <c r="G128" s="2027"/>
      <c r="H128" s="1611"/>
      <c r="I128" s="1939"/>
      <c r="J128" s="1611"/>
      <c r="K128" s="1611"/>
      <c r="L128" s="1611"/>
      <c r="M128" s="1611"/>
      <c r="N128" s="1611"/>
      <c r="O128" s="1611"/>
      <c r="P128" s="1611"/>
    </row>
    <row r="129" spans="2:16" ht="14.4" x14ac:dyDescent="0.3">
      <c r="B129" s="1611"/>
      <c r="C129" s="1611"/>
      <c r="D129" s="1611"/>
      <c r="E129" s="1611"/>
      <c r="F129" s="1611"/>
      <c r="G129" s="1939"/>
      <c r="H129" s="1611"/>
      <c r="I129" s="1939"/>
      <c r="J129" s="1611"/>
      <c r="K129" s="1611"/>
      <c r="L129" s="1611"/>
      <c r="M129" s="1611"/>
      <c r="N129" s="1611"/>
      <c r="O129" s="1611"/>
      <c r="P129" s="1611"/>
    </row>
    <row r="130" spans="2:16" ht="14.4" x14ac:dyDescent="0.3">
      <c r="B130" s="1918"/>
      <c r="C130" s="1611"/>
      <c r="D130" s="2030"/>
      <c r="E130" s="1611"/>
      <c r="F130" s="1611"/>
      <c r="G130" s="2017"/>
      <c r="H130" s="1611"/>
      <c r="I130" s="1939"/>
      <c r="J130" s="1611"/>
      <c r="K130" s="1611"/>
      <c r="L130" s="1611"/>
      <c r="M130" s="1611"/>
      <c r="N130" s="1611"/>
      <c r="O130" s="1611"/>
      <c r="P130" s="1611"/>
    </row>
    <row r="131" spans="2:16" ht="14.4" x14ac:dyDescent="0.3">
      <c r="B131" s="1918"/>
      <c r="C131" s="1611"/>
      <c r="D131" s="1866"/>
      <c r="E131" s="1611"/>
      <c r="F131" s="1611"/>
      <c r="G131" s="1939"/>
      <c r="H131" s="1611"/>
      <c r="I131" s="1939"/>
      <c r="J131" s="1611"/>
      <c r="K131" s="1611"/>
      <c r="L131" s="1611"/>
      <c r="M131" s="1611"/>
      <c r="N131" s="1611"/>
      <c r="O131" s="1611"/>
      <c r="P131" s="1611"/>
    </row>
    <row r="132" spans="2:16" ht="14.4" x14ac:dyDescent="0.3">
      <c r="B132" s="1611"/>
      <c r="C132" s="1611"/>
      <c r="D132" s="1611"/>
      <c r="E132" s="1611"/>
      <c r="F132" s="1611"/>
      <c r="G132" s="1611"/>
      <c r="H132" s="1611"/>
      <c r="I132" s="1939"/>
      <c r="J132" s="1611"/>
      <c r="K132" s="1611"/>
      <c r="L132" s="1611"/>
      <c r="M132" s="1611"/>
      <c r="N132" s="1611"/>
      <c r="O132" s="1611"/>
      <c r="P132" s="1611"/>
    </row>
    <row r="133" spans="2:16" ht="14.4" x14ac:dyDescent="0.3">
      <c r="B133" s="1611"/>
      <c r="C133" s="1611"/>
      <c r="D133" s="2027"/>
      <c r="E133" s="1611"/>
      <c r="F133" s="1611"/>
      <c r="G133" s="1939"/>
      <c r="H133" s="1611"/>
      <c r="I133" s="1939"/>
      <c r="J133" s="1611"/>
      <c r="K133" s="1611"/>
      <c r="L133" s="1611"/>
      <c r="M133" s="1611"/>
      <c r="N133" s="1611"/>
      <c r="O133" s="1611"/>
      <c r="P133" s="1611"/>
    </row>
    <row r="134" spans="2:16" ht="14.4" x14ac:dyDescent="0.3">
      <c r="B134" s="1611"/>
      <c r="C134" s="1611"/>
      <c r="D134" s="2027"/>
      <c r="E134" s="1611"/>
      <c r="F134" s="1611"/>
      <c r="G134" s="1939"/>
      <c r="H134" s="1611"/>
      <c r="I134" s="1939"/>
      <c r="J134" s="1611"/>
      <c r="K134" s="1611"/>
      <c r="L134" s="1611"/>
      <c r="M134" s="1611"/>
      <c r="N134" s="1611"/>
      <c r="O134" s="1611"/>
      <c r="P134" s="1611"/>
    </row>
    <row r="135" spans="2:16" ht="14.4" x14ac:dyDescent="0.3">
      <c r="B135" s="1611"/>
      <c r="C135" s="1611"/>
      <c r="D135" s="2027"/>
      <c r="E135" s="1611"/>
      <c r="F135" s="1611"/>
      <c r="G135" s="1939"/>
      <c r="H135" s="1611"/>
      <c r="I135" s="1939"/>
      <c r="J135" s="1611"/>
      <c r="K135" s="1611"/>
      <c r="L135" s="1611"/>
      <c r="M135" s="1611"/>
      <c r="N135" s="1611"/>
      <c r="O135" s="1611"/>
      <c r="P135" s="1611"/>
    </row>
    <row r="136" spans="2:16" ht="14.4" x14ac:dyDescent="0.3">
      <c r="B136" s="1611"/>
      <c r="C136" s="1611"/>
      <c r="D136" s="2027"/>
      <c r="E136" s="1611"/>
      <c r="F136" s="1611"/>
      <c r="G136" s="1939"/>
      <c r="H136" s="1611"/>
      <c r="I136" s="1939"/>
      <c r="J136" s="1611"/>
      <c r="K136" s="1611"/>
      <c r="L136" s="1611"/>
      <c r="M136" s="1611"/>
      <c r="N136" s="1611"/>
      <c r="O136" s="1611"/>
      <c r="P136" s="1611"/>
    </row>
    <row r="137" spans="2:16" ht="14.4" x14ac:dyDescent="0.3">
      <c r="B137" s="1611"/>
      <c r="C137" s="1611"/>
      <c r="D137" s="1611"/>
      <c r="E137" s="1611"/>
      <c r="F137" s="1611"/>
      <c r="G137" s="1939"/>
      <c r="H137" s="1611"/>
      <c r="I137" s="1939"/>
      <c r="J137" s="1611"/>
      <c r="K137" s="1611"/>
      <c r="L137" s="1611"/>
      <c r="M137" s="1611"/>
      <c r="N137" s="1611"/>
      <c r="O137" s="1611"/>
      <c r="P137" s="1611"/>
    </row>
    <row r="138" spans="2:16" ht="14.4" x14ac:dyDescent="0.3">
      <c r="B138" s="1918"/>
      <c r="C138" s="1611"/>
      <c r="D138" s="1866"/>
      <c r="E138" s="1611"/>
      <c r="F138" s="1611"/>
      <c r="G138" s="2017"/>
      <c r="H138" s="1611"/>
      <c r="I138" s="1939"/>
      <c r="J138" s="1611"/>
      <c r="K138" s="1611"/>
      <c r="L138" s="1611"/>
      <c r="M138" s="1611"/>
      <c r="N138" s="1611"/>
      <c r="O138" s="1611"/>
      <c r="P138" s="1611"/>
    </row>
    <row r="139" spans="2:16" ht="14.4" x14ac:dyDescent="0.3">
      <c r="B139" s="1918"/>
      <c r="C139" s="1611"/>
      <c r="D139" s="1866"/>
      <c r="E139" s="1611"/>
      <c r="F139" s="1611"/>
      <c r="G139" s="1939"/>
      <c r="H139" s="1611"/>
      <c r="I139" s="1939"/>
      <c r="J139" s="1611"/>
      <c r="K139" s="1611"/>
      <c r="L139" s="1611"/>
      <c r="M139" s="1611"/>
      <c r="N139" s="1611"/>
      <c r="O139" s="1611"/>
      <c r="P139" s="1611"/>
    </row>
    <row r="140" spans="2:16" ht="14.4" x14ac:dyDescent="0.3">
      <c r="B140" s="1611"/>
      <c r="C140" s="1611"/>
      <c r="D140" s="1611"/>
      <c r="E140" s="1611"/>
      <c r="F140" s="1611"/>
      <c r="G140" s="1611"/>
      <c r="H140" s="1611"/>
      <c r="I140" s="1939"/>
      <c r="J140" s="1611"/>
      <c r="K140" s="1611"/>
      <c r="L140" s="1611"/>
      <c r="M140" s="1611"/>
      <c r="N140" s="1611"/>
      <c r="O140" s="1611"/>
      <c r="P140" s="1611"/>
    </row>
    <row r="141" spans="2:16" ht="14.4" x14ac:dyDescent="0.3">
      <c r="B141" s="1611"/>
      <c r="C141" s="1611"/>
      <c r="D141" s="1611"/>
      <c r="E141" s="1611"/>
      <c r="F141" s="1611"/>
      <c r="G141" s="1939"/>
      <c r="H141" s="1611"/>
      <c r="I141" s="1939"/>
      <c r="J141" s="1611"/>
      <c r="K141" s="1611"/>
      <c r="L141" s="1611"/>
      <c r="M141" s="1611"/>
      <c r="N141" s="1611"/>
      <c r="O141" s="1611"/>
      <c r="P141" s="1611"/>
    </row>
    <row r="142" spans="2:16" ht="14.4" x14ac:dyDescent="0.3">
      <c r="B142" s="1611"/>
      <c r="C142" s="1611"/>
      <c r="D142" s="1611"/>
      <c r="E142" s="1611"/>
      <c r="F142" s="1611"/>
      <c r="G142" s="1632"/>
      <c r="H142" s="1611"/>
      <c r="I142" s="1632"/>
      <c r="J142" s="1611"/>
      <c r="K142" s="1611"/>
      <c r="L142" s="1611"/>
      <c r="M142" s="1611"/>
      <c r="N142" s="1611"/>
      <c r="O142" s="1611"/>
      <c r="P142" s="1611"/>
    </row>
    <row r="143" spans="2:16" ht="13.5" customHeight="1" x14ac:dyDescent="0.3">
      <c r="B143" s="1611"/>
      <c r="C143" s="1611"/>
      <c r="D143" s="1611"/>
      <c r="E143" s="1611"/>
      <c r="F143" s="1611"/>
      <c r="G143" s="1611"/>
      <c r="H143" s="1611"/>
      <c r="I143" s="1611"/>
      <c r="J143" s="1611"/>
      <c r="K143" s="1611"/>
      <c r="L143" s="1611"/>
      <c r="M143" s="1611"/>
      <c r="N143" s="1611"/>
      <c r="O143" s="1611"/>
      <c r="P143" s="1611"/>
    </row>
    <row r="144" spans="2:16" ht="13.5" customHeight="1" x14ac:dyDescent="0.3">
      <c r="B144" s="1611"/>
      <c r="C144" s="1611"/>
      <c r="D144" s="1611"/>
      <c r="E144" s="1611"/>
      <c r="F144" s="1611"/>
      <c r="G144" s="1611"/>
      <c r="H144" s="1611"/>
      <c r="I144" s="1611"/>
      <c r="J144" s="1611"/>
      <c r="K144" s="1611"/>
      <c r="L144" s="1611"/>
      <c r="M144" s="1611"/>
      <c r="N144" s="1611"/>
      <c r="O144" s="1611"/>
      <c r="P144" s="1611"/>
    </row>
    <row r="145" spans="2:16" ht="14.4" x14ac:dyDescent="0.3">
      <c r="B145" s="1918"/>
      <c r="C145" s="1918"/>
      <c r="D145" s="1918"/>
      <c r="E145" s="1918"/>
      <c r="F145" s="1918"/>
      <c r="G145" s="2017"/>
      <c r="H145" s="1918"/>
      <c r="I145" s="1939"/>
      <c r="J145" s="1611"/>
      <c r="K145" s="1611"/>
      <c r="L145" s="1611"/>
      <c r="M145" s="1611"/>
      <c r="N145" s="1611"/>
      <c r="O145" s="1611"/>
      <c r="P145" s="1611"/>
    </row>
    <row r="146" spans="2:16" ht="14.4" x14ac:dyDescent="0.3">
      <c r="B146" s="1918"/>
      <c r="C146" s="1918"/>
      <c r="D146" s="1918"/>
      <c r="E146" s="1918"/>
      <c r="F146" s="1918"/>
      <c r="G146" s="2017"/>
      <c r="H146" s="1918"/>
      <c r="I146" s="1611"/>
      <c r="J146" s="1611"/>
      <c r="K146" s="1611"/>
      <c r="L146" s="1611"/>
      <c r="M146" s="1611"/>
      <c r="N146" s="1611"/>
      <c r="O146" s="1611"/>
      <c r="P146" s="1611"/>
    </row>
    <row r="147" spans="2:16" ht="14.4" x14ac:dyDescent="0.3">
      <c r="B147" s="1611"/>
      <c r="C147" s="1611"/>
      <c r="D147" s="1611"/>
      <c r="E147" s="1611"/>
      <c r="F147" s="1611"/>
      <c r="G147" s="1611"/>
      <c r="H147" s="1611"/>
      <c r="I147" s="1611"/>
      <c r="J147" s="1611"/>
      <c r="K147" s="1611"/>
      <c r="L147" s="1611"/>
      <c r="M147" s="1611"/>
      <c r="N147" s="1611"/>
      <c r="O147" s="1611"/>
      <c r="P147" s="1611"/>
    </row>
    <row r="148" spans="2:16" ht="16.8" x14ac:dyDescent="0.3">
      <c r="B148" s="2064"/>
      <c r="C148" s="1611"/>
      <c r="D148" s="1611"/>
      <c r="E148" s="1611"/>
      <c r="F148" s="1611"/>
      <c r="G148" s="1611"/>
      <c r="H148" s="1611"/>
      <c r="I148" s="1611"/>
      <c r="J148" s="1611"/>
      <c r="K148" s="1611"/>
      <c r="L148" s="1611"/>
      <c r="M148" s="1611"/>
      <c r="N148" s="1611"/>
      <c r="O148" s="1611"/>
      <c r="P148" s="1611"/>
    </row>
    <row r="149" spans="2:16" ht="14.4" x14ac:dyDescent="0.3">
      <c r="B149" s="1611"/>
      <c r="C149" s="1632"/>
      <c r="D149" s="1611"/>
      <c r="E149" s="1611"/>
      <c r="F149" s="1611"/>
      <c r="G149" s="1611"/>
      <c r="H149" s="1611"/>
      <c r="I149" s="1611"/>
      <c r="J149" s="1611"/>
      <c r="K149" s="1611"/>
      <c r="L149" s="1611"/>
      <c r="M149" s="1611"/>
      <c r="N149" s="1611"/>
      <c r="O149" s="1611"/>
      <c r="P149" s="1611"/>
    </row>
    <row r="150" spans="2:16" ht="14.4" x14ac:dyDescent="0.3">
      <c r="B150" s="1611"/>
      <c r="C150" s="1939"/>
      <c r="D150" s="1611"/>
      <c r="E150" s="1611"/>
      <c r="F150" s="1611"/>
      <c r="G150" s="1611"/>
      <c r="H150" s="1611"/>
      <c r="I150" s="1611"/>
      <c r="J150" s="1611"/>
      <c r="K150" s="1611"/>
      <c r="L150" s="1611"/>
      <c r="M150" s="1611"/>
      <c r="N150" s="1611"/>
      <c r="O150" s="1611"/>
      <c r="P150" s="1611"/>
    </row>
    <row r="151" spans="2:16" ht="14.4" x14ac:dyDescent="0.3">
      <c r="B151" s="1611"/>
      <c r="C151" s="1632"/>
      <c r="D151" s="1611"/>
      <c r="E151" s="1611"/>
      <c r="F151" s="1611"/>
      <c r="G151" s="1611"/>
      <c r="H151" s="1611"/>
      <c r="I151" s="1611"/>
      <c r="J151" s="1611"/>
      <c r="K151" s="1611"/>
      <c r="L151" s="1611"/>
      <c r="M151" s="1611"/>
      <c r="N151" s="1611"/>
      <c r="O151" s="1611"/>
      <c r="P151" s="1611"/>
    </row>
    <row r="152" spans="2:16" ht="21" customHeight="1" x14ac:dyDescent="0.3">
      <c r="B152" s="1611"/>
      <c r="C152" s="1939"/>
      <c r="D152" s="1611"/>
      <c r="E152" s="1611"/>
      <c r="F152" s="1611"/>
      <c r="G152" s="1611"/>
      <c r="H152" s="1611"/>
      <c r="I152" s="1611"/>
      <c r="J152" s="1611"/>
      <c r="K152" s="1611"/>
      <c r="L152" s="1611"/>
      <c r="M152" s="1611"/>
      <c r="N152" s="1611"/>
      <c r="O152" s="1611"/>
      <c r="P152" s="1611"/>
    </row>
    <row r="153" spans="2:16" ht="14.4" x14ac:dyDescent="0.3">
      <c r="B153" s="1611"/>
      <c r="C153" s="1632"/>
      <c r="D153" s="1611"/>
      <c r="E153" s="1611"/>
      <c r="F153" s="1611"/>
      <c r="G153" s="1611"/>
      <c r="H153" s="1611"/>
      <c r="I153" s="1611"/>
      <c r="J153" s="1611"/>
      <c r="K153" s="1611"/>
      <c r="L153" s="1611"/>
      <c r="M153" s="1611"/>
      <c r="N153" s="1611"/>
      <c r="O153" s="1611"/>
      <c r="P153" s="1611"/>
    </row>
    <row r="154" spans="2:16" ht="19.5" customHeight="1" x14ac:dyDescent="0.3">
      <c r="B154" s="1611"/>
      <c r="C154" s="1866"/>
      <c r="D154" s="1611"/>
      <c r="E154" s="1611"/>
      <c r="F154" s="1611"/>
      <c r="G154" s="1611"/>
      <c r="H154" s="1611"/>
      <c r="I154" s="1611"/>
      <c r="J154" s="1611"/>
      <c r="K154" s="1611"/>
      <c r="L154" s="1611"/>
      <c r="M154" s="1611"/>
      <c r="N154" s="1611"/>
      <c r="O154" s="1611"/>
      <c r="P154" s="1611"/>
    </row>
    <row r="155" spans="2:16" ht="13.5" customHeight="1" x14ac:dyDescent="0.3">
      <c r="B155" s="1611"/>
      <c r="C155" s="1611"/>
      <c r="D155" s="1611"/>
      <c r="E155" s="1611"/>
      <c r="F155" s="1611"/>
      <c r="G155" s="1611"/>
      <c r="H155" s="1611"/>
      <c r="I155" s="1611"/>
      <c r="J155" s="1611"/>
      <c r="K155" s="1611"/>
      <c r="L155" s="1611"/>
      <c r="M155" s="1611"/>
      <c r="N155" s="1611"/>
      <c r="O155" s="1611"/>
      <c r="P155" s="1611"/>
    </row>
    <row r="156" spans="2:16" ht="13.5" customHeight="1" x14ac:dyDescent="0.3">
      <c r="B156" s="1611"/>
      <c r="C156" s="1611"/>
      <c r="D156" s="1611"/>
      <c r="E156" s="1611"/>
      <c r="F156" s="1611"/>
      <c r="G156" s="1611"/>
      <c r="H156" s="1611"/>
      <c r="I156" s="1611"/>
      <c r="J156" s="1611"/>
      <c r="K156" s="1611"/>
      <c r="L156" s="1611"/>
      <c r="M156" s="1611"/>
      <c r="N156" s="1611"/>
      <c r="O156" s="1611"/>
      <c r="P156" s="1611"/>
    </row>
    <row r="157" spans="2:16" ht="13.5" customHeight="1" x14ac:dyDescent="0.3">
      <c r="B157" s="1611"/>
      <c r="C157" s="1611"/>
      <c r="D157" s="1611"/>
      <c r="E157" s="1611"/>
      <c r="F157" s="1611"/>
      <c r="G157" s="1611"/>
      <c r="H157" s="1611"/>
      <c r="I157" s="1611"/>
      <c r="J157" s="1611"/>
      <c r="K157" s="1611"/>
      <c r="L157" s="1611"/>
      <c r="M157" s="1611"/>
      <c r="N157" s="1611"/>
      <c r="O157" s="1611"/>
      <c r="P157" s="1611"/>
    </row>
    <row r="158" spans="2:16" ht="13.5" customHeight="1" x14ac:dyDescent="0.3">
      <c r="B158" s="1611"/>
      <c r="C158" s="1611"/>
      <c r="D158" s="1611"/>
      <c r="E158" s="1611"/>
      <c r="F158" s="1611"/>
      <c r="G158" s="1611"/>
      <c r="H158" s="1611"/>
      <c r="I158" s="1611"/>
      <c r="J158" s="1611"/>
      <c r="K158" s="1611"/>
      <c r="L158" s="1611"/>
      <c r="M158" s="1611"/>
      <c r="N158" s="1611"/>
      <c r="O158" s="1611"/>
      <c r="P158" s="1611"/>
    </row>
    <row r="159" spans="2:16" ht="13.5" customHeight="1" x14ac:dyDescent="0.3">
      <c r="B159" s="1611"/>
      <c r="C159" s="1611"/>
      <c r="D159" s="1611"/>
      <c r="E159" s="1611"/>
      <c r="F159" s="1611"/>
      <c r="G159" s="1611"/>
      <c r="H159" s="1611"/>
      <c r="I159" s="1611"/>
      <c r="J159" s="1611"/>
      <c r="K159" s="1611"/>
      <c r="L159" s="1611"/>
      <c r="M159" s="1611"/>
      <c r="N159" s="1611"/>
      <c r="O159" s="1611"/>
      <c r="P159" s="1611"/>
    </row>
    <row r="160" spans="2:16" ht="13.5" customHeight="1" x14ac:dyDescent="0.3">
      <c r="B160" s="1611"/>
      <c r="C160" s="1611"/>
      <c r="D160" s="1611"/>
      <c r="E160" s="1611"/>
      <c r="F160" s="1611"/>
      <c r="G160" s="1611"/>
      <c r="H160" s="1611"/>
      <c r="I160" s="1611"/>
      <c r="J160" s="1611"/>
      <c r="K160" s="1611"/>
      <c r="L160" s="1611"/>
      <c r="M160" s="1611"/>
      <c r="N160" s="1611"/>
      <c r="O160" s="1611"/>
      <c r="P160" s="1611"/>
    </row>
    <row r="161" spans="2:16" ht="13.5" customHeight="1" x14ac:dyDescent="0.3">
      <c r="B161" s="1611"/>
      <c r="C161" s="1611"/>
      <c r="D161" s="1611"/>
      <c r="E161" s="1611"/>
      <c r="F161" s="1611"/>
      <c r="G161" s="1611"/>
      <c r="H161" s="1611"/>
      <c r="I161" s="1611"/>
      <c r="J161" s="1611"/>
      <c r="K161" s="1611"/>
      <c r="L161" s="1611"/>
      <c r="M161" s="1611"/>
      <c r="N161" s="1611"/>
      <c r="O161" s="1611"/>
      <c r="P161" s="1611"/>
    </row>
    <row r="162" spans="2:16" ht="13.5" customHeight="1" x14ac:dyDescent="0.3">
      <c r="B162" s="1611"/>
      <c r="C162" s="1611"/>
      <c r="D162" s="1611"/>
      <c r="E162" s="1611"/>
      <c r="F162" s="1611"/>
      <c r="G162" s="1611"/>
      <c r="H162" s="1611"/>
      <c r="I162" s="1611"/>
      <c r="J162" s="1611"/>
      <c r="K162" s="1611"/>
      <c r="L162" s="1611"/>
      <c r="M162" s="1611"/>
      <c r="N162" s="1611"/>
      <c r="O162" s="1611"/>
      <c r="P162" s="1611"/>
    </row>
    <row r="163" spans="2:16" ht="13.5" customHeight="1" x14ac:dyDescent="0.3">
      <c r="B163" s="1611"/>
      <c r="C163" s="1611"/>
      <c r="D163" s="1611"/>
      <c r="E163" s="1611"/>
      <c r="F163" s="1611"/>
      <c r="G163" s="1611"/>
      <c r="H163" s="1611"/>
      <c r="I163" s="1611"/>
      <c r="J163" s="1611"/>
      <c r="K163" s="1611"/>
      <c r="L163" s="1611"/>
      <c r="M163" s="1611"/>
      <c r="N163" s="1611"/>
      <c r="O163" s="1611"/>
      <c r="P163" s="1611"/>
    </row>
    <row r="164" spans="2:16" ht="13.5" customHeight="1" x14ac:dyDescent="0.3">
      <c r="B164" s="1611"/>
      <c r="C164" s="1611"/>
      <c r="D164" s="1611"/>
      <c r="E164" s="1611"/>
      <c r="F164" s="1611"/>
      <c r="G164" s="1611"/>
      <c r="H164" s="1611"/>
      <c r="I164" s="1611"/>
      <c r="J164" s="1611"/>
      <c r="K164" s="1611"/>
      <c r="L164" s="1611"/>
      <c r="M164" s="1611"/>
      <c r="N164" s="1611"/>
      <c r="O164" s="1611"/>
      <c r="P164" s="1611"/>
    </row>
    <row r="165" spans="2:16" ht="13.5" customHeight="1" x14ac:dyDescent="0.3">
      <c r="B165" s="1611"/>
      <c r="C165" s="1611"/>
      <c r="D165" s="1611"/>
      <c r="E165" s="1611"/>
      <c r="F165" s="1611"/>
      <c r="G165" s="1611"/>
      <c r="H165" s="1611"/>
      <c r="I165" s="1611"/>
      <c r="J165" s="1611"/>
      <c r="K165" s="1611"/>
      <c r="L165" s="1611"/>
      <c r="M165" s="1611"/>
      <c r="N165" s="1611"/>
      <c r="O165" s="1611"/>
      <c r="P165" s="1611"/>
    </row>
    <row r="166" spans="2:16" ht="13.5" customHeight="1" x14ac:dyDescent="0.3">
      <c r="B166" s="1611"/>
      <c r="C166" s="1611"/>
      <c r="D166" s="1611"/>
      <c r="E166" s="1611"/>
      <c r="F166" s="1611"/>
      <c r="G166" s="1611"/>
      <c r="H166" s="1611"/>
      <c r="I166" s="1611"/>
      <c r="J166" s="1611"/>
      <c r="K166" s="1611"/>
      <c r="L166" s="1611"/>
      <c r="M166" s="1611"/>
      <c r="N166" s="1611"/>
      <c r="O166" s="1611"/>
      <c r="P166" s="1611"/>
    </row>
    <row r="167" spans="2:16" ht="13.5" customHeight="1" x14ac:dyDescent="0.3">
      <c r="B167" s="1611"/>
      <c r="C167" s="1611"/>
      <c r="D167" s="1611"/>
      <c r="E167" s="1611"/>
      <c r="F167" s="1611"/>
      <c r="G167" s="1611"/>
      <c r="H167" s="1611"/>
      <c r="I167" s="1611"/>
      <c r="J167" s="1611"/>
      <c r="K167" s="1611"/>
      <c r="L167" s="1611"/>
      <c r="M167" s="1611"/>
      <c r="N167" s="1611"/>
      <c r="O167" s="1611"/>
      <c r="P167" s="1611"/>
    </row>
    <row r="168" spans="2:16" ht="13.5" customHeight="1" x14ac:dyDescent="0.3">
      <c r="B168" s="1611"/>
      <c r="C168" s="1611"/>
      <c r="D168" s="1611"/>
      <c r="E168" s="1611"/>
      <c r="F168" s="1611"/>
      <c r="G168" s="1611"/>
      <c r="H168" s="1611"/>
      <c r="I168" s="1611"/>
      <c r="J168" s="1611"/>
      <c r="K168" s="1611"/>
      <c r="L168" s="1611"/>
      <c r="M168" s="1611"/>
      <c r="N168" s="1611"/>
      <c r="O168" s="1611"/>
      <c r="P168" s="1611"/>
    </row>
    <row r="169" spans="2:16" ht="13.5" customHeight="1" x14ac:dyDescent="0.3">
      <c r="B169" s="1611"/>
      <c r="C169" s="1611"/>
      <c r="D169" s="1611"/>
      <c r="E169" s="1611"/>
      <c r="F169" s="1611"/>
      <c r="G169" s="1611"/>
      <c r="H169" s="1611"/>
      <c r="I169" s="1611"/>
      <c r="J169" s="1611"/>
      <c r="K169" s="1611"/>
      <c r="L169" s="1611"/>
      <c r="M169" s="1611"/>
      <c r="N169" s="1611"/>
      <c r="O169" s="1611"/>
      <c r="P169" s="1611"/>
    </row>
    <row r="170" spans="2:16" ht="13.5" customHeight="1" x14ac:dyDescent="0.3">
      <c r="B170" s="1611"/>
      <c r="C170" s="1611"/>
      <c r="D170" s="1611"/>
      <c r="E170" s="1611"/>
      <c r="F170" s="1611"/>
      <c r="G170" s="1611"/>
      <c r="H170" s="1611"/>
      <c r="I170" s="1611"/>
      <c r="J170" s="1611"/>
      <c r="K170" s="1611"/>
      <c r="L170" s="1611"/>
      <c r="M170" s="1611"/>
      <c r="N170" s="1611"/>
      <c r="O170" s="1611"/>
      <c r="P170" s="1611"/>
    </row>
    <row r="171" spans="2:16" ht="13.5" customHeight="1" x14ac:dyDescent="0.3">
      <c r="B171" s="1611"/>
      <c r="C171" s="1611"/>
      <c r="D171" s="1611"/>
      <c r="E171" s="1611"/>
      <c r="F171" s="1611"/>
      <c r="G171" s="1611"/>
      <c r="H171" s="1611"/>
      <c r="I171" s="1611"/>
      <c r="J171" s="1611"/>
      <c r="K171" s="1611"/>
      <c r="L171" s="1611"/>
      <c r="M171" s="1611"/>
      <c r="N171" s="1611"/>
      <c r="O171" s="1611"/>
      <c r="P171" s="1611"/>
    </row>
    <row r="172" spans="2:16" ht="13.5" customHeight="1" x14ac:dyDescent="0.3">
      <c r="B172" s="1611"/>
      <c r="C172" s="1611"/>
      <c r="D172" s="1611"/>
      <c r="E172" s="1611"/>
      <c r="F172" s="1611"/>
      <c r="G172" s="1611"/>
      <c r="H172" s="1611"/>
      <c r="I172" s="1611"/>
      <c r="J172" s="1611"/>
      <c r="K172" s="1611"/>
      <c r="L172" s="1611"/>
      <c r="M172" s="1611"/>
      <c r="N172" s="1611"/>
      <c r="O172" s="1611"/>
      <c r="P172" s="1611"/>
    </row>
    <row r="173" spans="2:16" ht="13.5" customHeight="1" x14ac:dyDescent="0.3">
      <c r="B173" s="1611"/>
      <c r="C173" s="1611"/>
      <c r="D173" s="1611"/>
      <c r="E173" s="1611"/>
      <c r="F173" s="1611"/>
      <c r="G173" s="1611"/>
      <c r="H173" s="1611"/>
      <c r="I173" s="1611"/>
      <c r="J173" s="1611"/>
      <c r="K173" s="1611"/>
      <c r="L173" s="1611"/>
      <c r="M173" s="1611"/>
      <c r="N173" s="1611"/>
      <c r="O173" s="1611"/>
      <c r="P173" s="1611"/>
    </row>
    <row r="174" spans="2:16" ht="13.5" customHeight="1" x14ac:dyDescent="0.3">
      <c r="B174" s="1611"/>
      <c r="C174" s="1611"/>
      <c r="D174" s="1611"/>
      <c r="E174" s="1611"/>
      <c r="F174" s="1611"/>
      <c r="G174" s="1611"/>
      <c r="H174" s="1611"/>
      <c r="I174" s="1611"/>
      <c r="J174" s="1611"/>
      <c r="K174" s="1611"/>
      <c r="L174" s="1611"/>
      <c r="M174" s="1611"/>
      <c r="N174" s="1611"/>
      <c r="O174" s="1611"/>
      <c r="P174" s="1611"/>
    </row>
    <row r="175" spans="2:16" ht="13.5" customHeight="1" x14ac:dyDescent="0.3">
      <c r="B175" s="1611"/>
      <c r="C175" s="1611"/>
      <c r="D175" s="1611"/>
      <c r="E175" s="1611"/>
      <c r="F175" s="1611"/>
      <c r="G175" s="1611"/>
      <c r="H175" s="1611"/>
      <c r="I175" s="1611"/>
      <c r="J175" s="1611"/>
      <c r="K175" s="1611"/>
      <c r="L175" s="1611"/>
      <c r="M175" s="1611"/>
      <c r="N175" s="1611"/>
      <c r="O175" s="1611"/>
      <c r="P175" s="1611"/>
    </row>
    <row r="176" spans="2:16" ht="13.5" customHeight="1" x14ac:dyDescent="0.3">
      <c r="B176" s="1611"/>
      <c r="C176" s="1611"/>
      <c r="D176" s="1611"/>
      <c r="E176" s="1611"/>
      <c r="F176" s="1611"/>
      <c r="G176" s="1611"/>
      <c r="H176" s="1611"/>
      <c r="I176" s="1611"/>
      <c r="J176" s="1611"/>
      <c r="K176" s="1611"/>
      <c r="L176" s="1611"/>
      <c r="M176" s="1611"/>
      <c r="N176" s="1611"/>
      <c r="O176" s="1611"/>
      <c r="P176" s="1611"/>
    </row>
    <row r="177" spans="2:18" ht="13.5" customHeight="1" x14ac:dyDescent="0.3">
      <c r="B177" s="1611"/>
      <c r="C177" s="1611"/>
      <c r="D177" s="1611"/>
      <c r="E177" s="1611"/>
      <c r="F177" s="1611"/>
      <c r="G177" s="1611"/>
      <c r="H177" s="1611"/>
      <c r="I177" s="1611"/>
      <c r="J177" s="1611"/>
      <c r="K177" s="1611"/>
      <c r="L177" s="1611"/>
      <c r="M177" s="1611"/>
      <c r="N177" s="1611"/>
      <c r="O177" s="1611"/>
      <c r="P177" s="1611"/>
    </row>
    <row r="178" spans="2:18" ht="13.5" customHeight="1" x14ac:dyDescent="0.3">
      <c r="B178" s="1611"/>
      <c r="C178" s="1611"/>
      <c r="D178" s="1611"/>
      <c r="E178" s="1611"/>
      <c r="F178" s="1611"/>
      <c r="G178" s="1611"/>
      <c r="H178" s="1611"/>
      <c r="I178" s="1611"/>
      <c r="J178" s="1611"/>
      <c r="K178" s="1611"/>
      <c r="L178" s="1611"/>
      <c r="M178" s="1611"/>
      <c r="N178" s="1611"/>
      <c r="O178" s="1611"/>
      <c r="P178" s="1611"/>
    </row>
    <row r="179" spans="2:18" ht="13.5" customHeight="1" x14ac:dyDescent="0.3">
      <c r="B179" s="1611"/>
      <c r="C179" s="1611"/>
      <c r="D179" s="1611"/>
      <c r="E179" s="1611"/>
      <c r="F179" s="1611"/>
      <c r="G179" s="1611"/>
      <c r="H179" s="1611"/>
      <c r="I179" s="1611"/>
      <c r="J179" s="1611"/>
      <c r="K179" s="1611"/>
      <c r="L179" s="1611"/>
      <c r="M179" s="1611"/>
      <c r="N179" s="1611"/>
      <c r="O179" s="1611"/>
      <c r="P179" s="1611"/>
    </row>
    <row r="180" spans="2:18" ht="13.5" customHeight="1" x14ac:dyDescent="0.3">
      <c r="B180" s="1611"/>
      <c r="C180" s="1611"/>
      <c r="D180" s="1611"/>
      <c r="E180" s="1611"/>
      <c r="F180" s="1611"/>
      <c r="G180" s="1611"/>
      <c r="H180" s="1611"/>
      <c r="I180" s="1611"/>
      <c r="J180" s="1611"/>
      <c r="K180" s="1611"/>
      <c r="L180" s="1611"/>
      <c r="M180" s="1611"/>
      <c r="N180" s="1611"/>
      <c r="O180" s="1611"/>
      <c r="P180" s="1611"/>
      <c r="R180"/>
    </row>
    <row r="181" spans="2:18" ht="13.5" customHeight="1" x14ac:dyDescent="0.3">
      <c r="B181" s="1611"/>
      <c r="C181" s="1611"/>
      <c r="D181" s="1611"/>
      <c r="E181" s="1611"/>
      <c r="F181" s="1611"/>
      <c r="G181" s="1611"/>
      <c r="H181" s="1611"/>
      <c r="I181" s="1611"/>
      <c r="J181" s="1611"/>
      <c r="K181" s="1611"/>
      <c r="L181" s="1611"/>
      <c r="M181" s="1611"/>
      <c r="N181" s="1611"/>
      <c r="O181" s="1611"/>
      <c r="P181" s="1611"/>
      <c r="R181"/>
    </row>
    <row r="182" spans="2:18" ht="13.5" customHeight="1" x14ac:dyDescent="0.3">
      <c r="B182" s="1611"/>
      <c r="C182" s="1611"/>
      <c r="D182" s="1611"/>
      <c r="E182" s="1611"/>
      <c r="F182" s="1611"/>
      <c r="G182" s="1611"/>
      <c r="H182" s="1611"/>
      <c r="I182" s="1611"/>
      <c r="J182" s="1611"/>
      <c r="K182" s="1611"/>
      <c r="L182" s="1611"/>
      <c r="M182" s="1611"/>
      <c r="N182" s="1611"/>
      <c r="O182" s="1611"/>
      <c r="P182" s="1611"/>
      <c r="R182"/>
    </row>
    <row r="183" spans="2:18" ht="13.5" customHeight="1" x14ac:dyDescent="0.3">
      <c r="B183" s="1611"/>
      <c r="C183" s="1611"/>
      <c r="D183" s="1611"/>
      <c r="E183" s="1611"/>
      <c r="F183" s="1611"/>
      <c r="G183" s="1611"/>
      <c r="H183" s="1611"/>
      <c r="I183" s="1611"/>
      <c r="J183" s="1611"/>
      <c r="K183" s="1611"/>
      <c r="L183" s="1611"/>
      <c r="M183" s="1611"/>
      <c r="N183" s="1611"/>
      <c r="O183" s="1611"/>
      <c r="P183" s="1611"/>
      <c r="R183"/>
    </row>
    <row r="184" spans="2:18" ht="13.5" customHeight="1" x14ac:dyDescent="0.3">
      <c r="B184" s="1611"/>
      <c r="C184" s="1611"/>
      <c r="D184" s="1611"/>
      <c r="E184" s="1611"/>
      <c r="F184" s="1611"/>
      <c r="G184" s="1611"/>
      <c r="H184" s="1611"/>
      <c r="I184" s="1611"/>
      <c r="J184" s="1611"/>
      <c r="K184" s="1611"/>
      <c r="L184" s="1611"/>
      <c r="M184" s="1611"/>
      <c r="N184" s="1611"/>
      <c r="O184" s="1611"/>
      <c r="P184" s="1611"/>
      <c r="R184"/>
    </row>
    <row r="185" spans="2:18" ht="13.5" customHeight="1" x14ac:dyDescent="0.3">
      <c r="B185" s="1611"/>
      <c r="C185" s="1611"/>
      <c r="D185" s="1611"/>
      <c r="E185" s="1611"/>
      <c r="F185" s="1611"/>
      <c r="G185" s="1611"/>
      <c r="H185" s="1611"/>
      <c r="I185" s="1611"/>
      <c r="J185" s="1611"/>
      <c r="K185" s="1611"/>
      <c r="L185" s="1611"/>
      <c r="M185" s="1611"/>
      <c r="N185" s="1611"/>
      <c r="O185" s="1611"/>
      <c r="P185" s="1611"/>
      <c r="R185"/>
    </row>
    <row r="186" spans="2:18" ht="13.5" customHeight="1" x14ac:dyDescent="0.3">
      <c r="B186" s="1611"/>
      <c r="C186" s="1611"/>
      <c r="D186" s="1611"/>
      <c r="E186" s="1611"/>
      <c r="F186" s="1611"/>
      <c r="G186" s="1611"/>
      <c r="H186" s="1611"/>
      <c r="I186" s="1611"/>
      <c r="J186" s="1611"/>
      <c r="K186" s="1611"/>
      <c r="L186" s="1611"/>
      <c r="M186" s="1611"/>
      <c r="N186" s="1611"/>
      <c r="O186" s="1611"/>
      <c r="P186" s="1611"/>
      <c r="R186"/>
    </row>
    <row r="187" spans="2:18" ht="13.5" customHeight="1" x14ac:dyDescent="0.3">
      <c r="B187" s="1611"/>
      <c r="C187" s="1611"/>
      <c r="D187" s="1611"/>
      <c r="E187" s="1611"/>
      <c r="F187" s="1611"/>
      <c r="G187" s="1611"/>
      <c r="H187" s="1611"/>
      <c r="I187" s="1611"/>
      <c r="J187" s="1611"/>
      <c r="K187" s="1611"/>
      <c r="L187" s="1611"/>
      <c r="M187" s="1611"/>
      <c r="N187" s="1611"/>
      <c r="O187" s="1611"/>
      <c r="P187" s="1611"/>
      <c r="R187"/>
    </row>
    <row r="188" spans="2:18" ht="13.5" customHeight="1" x14ac:dyDescent="0.3">
      <c r="B188" s="1611"/>
      <c r="C188" s="1611"/>
      <c r="D188" s="1611"/>
      <c r="E188" s="1611"/>
      <c r="F188" s="1611"/>
      <c r="G188" s="1611"/>
      <c r="H188" s="1611"/>
      <c r="I188" s="1611"/>
      <c r="J188" s="1611"/>
      <c r="K188" s="1611"/>
      <c r="L188" s="1611"/>
      <c r="M188" s="1611"/>
      <c r="N188" s="1611"/>
      <c r="O188" s="1611"/>
      <c r="P188" s="1611"/>
      <c r="R188"/>
    </row>
    <row r="189" spans="2:18" ht="13.5" customHeight="1" x14ac:dyDescent="0.3">
      <c r="B189" s="1611"/>
      <c r="C189" s="1611"/>
      <c r="D189" s="1611"/>
      <c r="E189" s="1611"/>
      <c r="F189" s="1611"/>
      <c r="G189" s="1611"/>
      <c r="H189" s="1611"/>
      <c r="I189" s="1611"/>
      <c r="J189" s="1611"/>
      <c r="K189" s="1611"/>
      <c r="L189" s="1611"/>
      <c r="M189" s="1611"/>
      <c r="N189" s="1611"/>
      <c r="O189" s="1611"/>
      <c r="P189" s="1611"/>
      <c r="R189"/>
    </row>
    <row r="190" spans="2:18" ht="13.5" customHeight="1" x14ac:dyDescent="0.3">
      <c r="B190" s="1611"/>
      <c r="C190" s="1611"/>
      <c r="D190" s="1611"/>
      <c r="E190" s="1611"/>
      <c r="F190" s="1611"/>
      <c r="G190" s="1611"/>
      <c r="H190" s="1611"/>
      <c r="I190" s="1611"/>
      <c r="J190" s="1611"/>
      <c r="K190" s="1611"/>
      <c r="L190" s="1611"/>
      <c r="M190" s="1611"/>
      <c r="N190" s="1611"/>
      <c r="O190" s="1611"/>
      <c r="P190" s="1611"/>
      <c r="R190"/>
    </row>
    <row r="191" spans="2:18" ht="13.5" customHeight="1" x14ac:dyDescent="0.3">
      <c r="B191" s="1611"/>
      <c r="C191" s="1611"/>
      <c r="D191" s="1611"/>
      <c r="E191" s="1611"/>
      <c r="F191" s="1611"/>
      <c r="G191" s="1611"/>
      <c r="H191" s="1611"/>
      <c r="I191" s="1611"/>
      <c r="J191" s="1611"/>
      <c r="K191" s="1611"/>
      <c r="L191" s="1611"/>
      <c r="M191" s="1611"/>
      <c r="N191" s="1611"/>
      <c r="O191" s="1611"/>
      <c r="P191" s="1611"/>
      <c r="R191"/>
    </row>
    <row r="192" spans="2:18" ht="13.5" customHeight="1" x14ac:dyDescent="0.3">
      <c r="B192" s="1611"/>
      <c r="C192" s="1611"/>
      <c r="D192" s="1611"/>
      <c r="E192" s="1611"/>
      <c r="F192" s="1611"/>
      <c r="G192" s="1611"/>
      <c r="H192" s="1611"/>
      <c r="I192" s="1611"/>
      <c r="J192" s="1611"/>
      <c r="K192" s="1611"/>
      <c r="L192" s="1611"/>
      <c r="M192" s="1611"/>
      <c r="N192" s="1611"/>
      <c r="O192" s="1611"/>
      <c r="P192" s="1611"/>
      <c r="R192"/>
    </row>
    <row r="193" spans="2:18" ht="13.5" customHeight="1" x14ac:dyDescent="0.3">
      <c r="B193" s="1611"/>
      <c r="C193" s="1611"/>
      <c r="D193" s="1611"/>
      <c r="E193" s="1611"/>
      <c r="F193" s="1611"/>
      <c r="G193" s="1611"/>
      <c r="H193" s="1611"/>
      <c r="I193" s="1611"/>
      <c r="J193" s="1611"/>
      <c r="K193" s="1611"/>
      <c r="L193" s="1611"/>
      <c r="M193" s="1611"/>
      <c r="N193" s="1611"/>
      <c r="O193" s="1611"/>
      <c r="P193" s="1611"/>
      <c r="R193"/>
    </row>
    <row r="194" spans="2:18" ht="13.5" customHeight="1" x14ac:dyDescent="0.3">
      <c r="B194" s="1611"/>
      <c r="C194" s="1611"/>
      <c r="D194" s="1611"/>
      <c r="E194" s="1611"/>
      <c r="F194" s="1611"/>
      <c r="G194" s="1611"/>
      <c r="H194" s="1611"/>
      <c r="I194" s="1611"/>
      <c r="J194" s="1611"/>
      <c r="K194" s="1611"/>
      <c r="L194" s="1611"/>
      <c r="M194" s="1611"/>
      <c r="N194" s="1611"/>
      <c r="O194" s="1611"/>
      <c r="P194" s="1611"/>
      <c r="R194"/>
    </row>
    <row r="195" spans="2:18" ht="13.5" customHeight="1" x14ac:dyDescent="0.3">
      <c r="B195" s="1611"/>
      <c r="C195" s="1611"/>
      <c r="D195" s="1611"/>
      <c r="E195" s="1611"/>
      <c r="F195" s="1611"/>
      <c r="G195" s="1611"/>
      <c r="H195" s="1611"/>
      <c r="I195" s="1611"/>
      <c r="J195" s="1611"/>
      <c r="K195" s="1611"/>
      <c r="L195" s="1611"/>
      <c r="M195" s="1611"/>
      <c r="N195" s="1611"/>
      <c r="O195" s="1611"/>
      <c r="P195" s="1611"/>
      <c r="R195"/>
    </row>
    <row r="196" spans="2:18" ht="13.5" customHeight="1" x14ac:dyDescent="0.3">
      <c r="B196" s="1611"/>
      <c r="C196" s="1611"/>
      <c r="D196" s="1611"/>
      <c r="E196" s="1611"/>
      <c r="F196" s="1611"/>
      <c r="G196" s="1611"/>
      <c r="H196" s="1611"/>
      <c r="I196" s="1611"/>
      <c r="J196" s="1611"/>
      <c r="K196" s="1611"/>
      <c r="L196" s="1611"/>
      <c r="M196" s="1611"/>
      <c r="N196" s="1611"/>
      <c r="O196" s="1611"/>
      <c r="P196" s="1611"/>
    </row>
    <row r="197" spans="2:18" ht="13.5" customHeight="1" x14ac:dyDescent="0.3">
      <c r="B197" s="1611"/>
      <c r="C197" s="1611"/>
      <c r="D197" s="1611"/>
      <c r="E197" s="1611"/>
      <c r="F197" s="1611"/>
      <c r="G197" s="1611"/>
      <c r="H197" s="1611"/>
      <c r="I197" s="1611"/>
      <c r="J197" s="1611"/>
      <c r="K197" s="1611"/>
      <c r="L197" s="1611"/>
      <c r="M197" s="1611"/>
      <c r="N197" s="1611"/>
      <c r="O197" s="1611"/>
      <c r="P197" s="1611"/>
    </row>
    <row r="198" spans="2:18" ht="13.5" customHeight="1" x14ac:dyDescent="0.3">
      <c r="B198" s="1611"/>
      <c r="C198" s="1611"/>
      <c r="D198" s="1611"/>
      <c r="E198" s="1611"/>
      <c r="F198" s="1611"/>
      <c r="G198" s="1611"/>
      <c r="H198" s="1611"/>
      <c r="I198" s="1611"/>
      <c r="J198" s="1611"/>
      <c r="K198" s="1611"/>
      <c r="L198" s="1611"/>
      <c r="M198" s="1611"/>
      <c r="N198" s="1611"/>
      <c r="O198" s="1611"/>
      <c r="P198" s="1611"/>
    </row>
    <row r="199" spans="2:18" ht="13.5" customHeight="1" x14ac:dyDescent="0.3">
      <c r="B199" s="1611"/>
      <c r="C199" s="1611"/>
      <c r="D199" s="1611"/>
      <c r="E199" s="1611"/>
      <c r="F199" s="1611"/>
      <c r="G199" s="1611"/>
      <c r="H199" s="1611"/>
      <c r="I199" s="1611"/>
      <c r="J199" s="1611"/>
      <c r="K199" s="1611"/>
      <c r="L199" s="1611"/>
      <c r="M199" s="1611"/>
      <c r="N199" s="1611"/>
      <c r="O199" s="1611"/>
      <c r="P199" s="1611"/>
    </row>
    <row r="200" spans="2:18" ht="13.5" customHeight="1" x14ac:dyDescent="0.3">
      <c r="B200" s="1611"/>
      <c r="C200" s="1611"/>
      <c r="D200" s="1611"/>
      <c r="E200" s="1611"/>
      <c r="F200" s="1611"/>
      <c r="G200" s="1611"/>
      <c r="H200" s="1611"/>
      <c r="I200" s="1611"/>
      <c r="J200" s="1611"/>
      <c r="K200" s="1611"/>
      <c r="L200" s="1611"/>
      <c r="M200" s="1611"/>
      <c r="N200" s="1611"/>
      <c r="O200" s="1611"/>
      <c r="P200" s="1611"/>
    </row>
    <row r="201" spans="2:18" ht="13.5" customHeight="1" x14ac:dyDescent="0.3">
      <c r="B201" s="1611"/>
      <c r="C201" s="1611"/>
      <c r="D201" s="1611"/>
      <c r="E201" s="1611"/>
      <c r="F201" s="1611"/>
      <c r="G201" s="1611"/>
      <c r="H201" s="1611"/>
      <c r="I201" s="1611"/>
      <c r="J201" s="1611"/>
      <c r="K201" s="1611"/>
      <c r="L201" s="1611"/>
      <c r="M201" s="1611"/>
      <c r="N201" s="1611"/>
      <c r="O201" s="1611"/>
      <c r="P201" s="1611"/>
    </row>
    <row r="202" spans="2:18" ht="13.5" customHeight="1" x14ac:dyDescent="0.3">
      <c r="B202" s="1611"/>
      <c r="C202" s="1611"/>
      <c r="D202" s="1611"/>
      <c r="E202" s="1611"/>
      <c r="F202" s="1611"/>
      <c r="G202" s="1611"/>
      <c r="H202" s="1611"/>
      <c r="I202" s="1611"/>
      <c r="J202" s="1611"/>
      <c r="K202" s="1611"/>
      <c r="L202" s="1611"/>
      <c r="M202" s="1611"/>
      <c r="N202" s="1611"/>
      <c r="O202" s="1611"/>
      <c r="P202" s="1611"/>
    </row>
    <row r="203" spans="2:18" ht="13.5" customHeight="1" x14ac:dyDescent="0.3">
      <c r="B203" s="1611"/>
      <c r="C203" s="1611"/>
      <c r="D203" s="1611"/>
      <c r="E203" s="1611"/>
      <c r="F203" s="1611"/>
      <c r="G203" s="1611"/>
      <c r="H203" s="1611"/>
      <c r="I203" s="1611"/>
      <c r="J203" s="1611"/>
      <c r="K203" s="1611"/>
      <c r="L203" s="1611"/>
      <c r="M203" s="1611"/>
      <c r="N203" s="1611"/>
      <c r="O203" s="1611"/>
      <c r="P203" s="1611"/>
    </row>
    <row r="204" spans="2:18" ht="13.5" customHeight="1" x14ac:dyDescent="0.3">
      <c r="B204" s="1611"/>
      <c r="C204" s="1611"/>
      <c r="D204" s="1611"/>
      <c r="E204" s="1611"/>
      <c r="F204" s="1611"/>
      <c r="G204" s="1611"/>
      <c r="H204" s="1611"/>
      <c r="I204" s="1611"/>
      <c r="J204" s="1611"/>
      <c r="K204" s="1611"/>
      <c r="L204" s="1611"/>
      <c r="M204" s="1611"/>
      <c r="N204" s="1611"/>
      <c r="O204" s="1611"/>
      <c r="P204" s="1611"/>
    </row>
    <row r="205" spans="2:18" ht="13.5" customHeight="1" x14ac:dyDescent="0.3">
      <c r="B205" s="1611"/>
      <c r="C205" s="1611"/>
      <c r="D205" s="1611"/>
      <c r="E205" s="1611"/>
      <c r="F205" s="1611"/>
      <c r="G205" s="1611"/>
      <c r="H205" s="1611"/>
      <c r="I205" s="1611"/>
      <c r="J205" s="1611"/>
      <c r="K205" s="1611"/>
      <c r="L205" s="1611"/>
      <c r="M205" s="1611"/>
      <c r="N205" s="1611"/>
      <c r="O205" s="1611"/>
      <c r="P205" s="1611"/>
    </row>
    <row r="206" spans="2:18" ht="13.5" customHeight="1" x14ac:dyDescent="0.3">
      <c r="B206" s="1611"/>
      <c r="C206" s="1611"/>
      <c r="D206" s="1611"/>
      <c r="E206" s="1611"/>
      <c r="F206" s="1611"/>
      <c r="G206" s="1611"/>
      <c r="H206" s="1611"/>
      <c r="I206" s="1611"/>
      <c r="J206" s="1611"/>
      <c r="K206" s="1611"/>
      <c r="L206" s="1611"/>
      <c r="M206" s="1611"/>
      <c r="N206" s="1611"/>
      <c r="O206" s="1611"/>
      <c r="P206" s="1611"/>
    </row>
    <row r="207" spans="2:18" ht="13.5" customHeight="1" x14ac:dyDescent="0.3">
      <c r="B207" s="1611"/>
      <c r="C207" s="1611"/>
      <c r="D207" s="1611"/>
      <c r="E207" s="1611"/>
      <c r="F207" s="1611"/>
      <c r="G207" s="1611"/>
      <c r="H207" s="1611"/>
      <c r="I207" s="1611"/>
      <c r="J207" s="1611"/>
      <c r="K207" s="1611"/>
      <c r="L207" s="1611"/>
      <c r="M207" s="1611"/>
      <c r="N207" s="1611"/>
      <c r="O207" s="1611"/>
      <c r="P207" s="1611"/>
    </row>
    <row r="208" spans="2:18" ht="13.5" customHeight="1" x14ac:dyDescent="0.3">
      <c r="B208" s="1611"/>
      <c r="C208" s="1611"/>
      <c r="D208" s="1611"/>
      <c r="E208" s="1611"/>
      <c r="F208" s="1611"/>
      <c r="G208" s="1611"/>
      <c r="H208" s="1611"/>
      <c r="I208" s="1611"/>
      <c r="J208" s="1611"/>
      <c r="K208" s="1611"/>
      <c r="L208" s="1611"/>
      <c r="M208" s="1611"/>
      <c r="N208" s="1611"/>
      <c r="O208" s="1611"/>
      <c r="P208" s="1611"/>
    </row>
    <row r="209" spans="2:16" ht="13.5" customHeight="1" x14ac:dyDescent="0.3">
      <c r="B209" s="1611"/>
      <c r="C209" s="1611"/>
      <c r="D209" s="1611"/>
      <c r="E209" s="1611"/>
      <c r="F209" s="1611"/>
      <c r="G209" s="1611"/>
      <c r="H209" s="1611"/>
      <c r="I209" s="1611"/>
      <c r="J209" s="1611"/>
      <c r="K209" s="1611"/>
      <c r="L209" s="1611"/>
      <c r="M209" s="1611"/>
      <c r="N209" s="1611"/>
      <c r="O209" s="1611"/>
      <c r="P209" s="1611"/>
    </row>
    <row r="210" spans="2:16" ht="13.5" customHeight="1" x14ac:dyDescent="0.3">
      <c r="B210" s="1611"/>
      <c r="C210" s="1611"/>
      <c r="D210" s="1611"/>
      <c r="E210" s="1611"/>
      <c r="F210" s="1611"/>
      <c r="G210" s="1611"/>
      <c r="H210" s="1611"/>
      <c r="I210" s="1611"/>
      <c r="J210" s="1611"/>
      <c r="K210" s="1611"/>
      <c r="L210" s="1611"/>
      <c r="M210" s="1611"/>
      <c r="N210" s="1611"/>
      <c r="O210" s="1611"/>
      <c r="P210" s="1611"/>
    </row>
    <row r="211" spans="2:16" ht="13.5" customHeight="1" x14ac:dyDescent="0.3">
      <c r="B211" s="1611"/>
      <c r="C211" s="1611"/>
      <c r="D211" s="1611"/>
      <c r="E211" s="1611"/>
      <c r="F211" s="1611"/>
      <c r="G211" s="1611"/>
      <c r="H211" s="1611"/>
      <c r="I211" s="1611"/>
      <c r="J211" s="1611"/>
      <c r="K211" s="1611"/>
      <c r="L211" s="1611"/>
      <c r="M211" s="1611"/>
      <c r="N211" s="1611"/>
      <c r="O211" s="1611"/>
      <c r="P211" s="1611"/>
    </row>
    <row r="212" spans="2:16" ht="13.5" customHeight="1" x14ac:dyDescent="0.3">
      <c r="B212" s="1611"/>
      <c r="C212" s="1611"/>
      <c r="D212" s="1611"/>
      <c r="E212" s="1611"/>
      <c r="F212" s="1611"/>
      <c r="G212" s="1611"/>
      <c r="H212" s="1611"/>
      <c r="I212" s="1611"/>
      <c r="J212" s="1611"/>
      <c r="K212" s="1611"/>
      <c r="L212" s="1611"/>
      <c r="M212" s="1611"/>
      <c r="N212" s="1611"/>
      <c r="O212" s="1611"/>
      <c r="P212" s="1611"/>
    </row>
    <row r="213" spans="2:16" ht="13.5" customHeight="1" x14ac:dyDescent="0.3">
      <c r="B213" s="1611"/>
      <c r="C213" s="1611"/>
      <c r="D213" s="1611"/>
      <c r="E213" s="1611"/>
      <c r="F213" s="1611"/>
      <c r="G213" s="1611"/>
      <c r="H213" s="1611"/>
      <c r="I213" s="1611"/>
      <c r="J213" s="1611"/>
      <c r="K213" s="1611"/>
      <c r="L213" s="1611"/>
      <c r="M213" s="1611"/>
      <c r="N213" s="1611"/>
      <c r="O213" s="1611"/>
      <c r="P213" s="1611"/>
    </row>
    <row r="214" spans="2:16" ht="13.5" customHeight="1" x14ac:dyDescent="0.3">
      <c r="B214" s="1611"/>
      <c r="C214" s="1611"/>
      <c r="D214" s="1611"/>
      <c r="E214" s="1611"/>
      <c r="F214" s="1611"/>
      <c r="G214" s="1611"/>
      <c r="H214" s="1611"/>
      <c r="I214" s="1611"/>
      <c r="J214" s="1611"/>
      <c r="K214" s="1611"/>
      <c r="L214" s="1611"/>
      <c r="M214" s="1611"/>
      <c r="N214" s="1611"/>
      <c r="O214" s="1611"/>
      <c r="P214" s="1611"/>
    </row>
    <row r="215" spans="2:16" ht="13.5" customHeight="1" x14ac:dyDescent="0.3">
      <c r="B215" s="1611"/>
      <c r="C215" s="1611"/>
      <c r="D215" s="1611"/>
      <c r="E215" s="1611"/>
      <c r="F215" s="1611"/>
      <c r="G215" s="1611"/>
      <c r="H215" s="1611"/>
      <c r="I215" s="1611"/>
      <c r="J215" s="1611"/>
      <c r="K215" s="1611"/>
      <c r="L215" s="1611"/>
      <c r="M215" s="1611"/>
      <c r="N215" s="1611"/>
      <c r="O215" s="1611"/>
      <c r="P215" s="1611"/>
    </row>
    <row r="216" spans="2:16" ht="13.5" customHeight="1" x14ac:dyDescent="0.3">
      <c r="B216" s="1611"/>
      <c r="C216" s="1611"/>
      <c r="D216" s="1611"/>
      <c r="E216" s="1611"/>
      <c r="F216" s="1611"/>
      <c r="G216" s="1611"/>
      <c r="H216" s="1611"/>
      <c r="I216" s="1611"/>
      <c r="J216" s="1611"/>
      <c r="K216" s="1611"/>
      <c r="L216" s="1611"/>
      <c r="M216" s="1611"/>
      <c r="N216" s="1611"/>
      <c r="O216" s="1611"/>
      <c r="P216" s="1611"/>
    </row>
    <row r="298" spans="1:25" ht="15" thickBot="1" x14ac:dyDescent="0.35">
      <c r="A298" s="137"/>
      <c r="B298" s="137"/>
      <c r="C298" s="137"/>
      <c r="D298" s="137"/>
      <c r="E298" s="137"/>
      <c r="F298" s="137"/>
      <c r="G298" s="137"/>
      <c r="H298" s="137"/>
      <c r="I298" s="137"/>
      <c r="J298" s="137"/>
      <c r="K298" s="137"/>
      <c r="L298" s="137"/>
      <c r="M298" s="137"/>
      <c r="N298" s="137"/>
      <c r="O298" s="137"/>
      <c r="P298" s="137"/>
      <c r="Q298" s="137"/>
      <c r="R298"/>
      <c r="W298"/>
      <c r="Y298"/>
    </row>
    <row r="299" spans="1:25" ht="14.4" x14ac:dyDescent="0.3">
      <c r="D299"/>
      <c r="E299"/>
      <c r="F299"/>
      <c r="G299"/>
      <c r="H299"/>
      <c r="K299"/>
      <c r="L299"/>
      <c r="R299"/>
      <c r="W299"/>
      <c r="Y299"/>
    </row>
    <row r="300" spans="1:25" ht="14.4" x14ac:dyDescent="0.3">
      <c r="B300" s="82" t="s">
        <v>6938</v>
      </c>
    </row>
    <row r="301" spans="1:25" ht="14.4" x14ac:dyDescent="0.3">
      <c r="B301" t="s">
        <v>5209</v>
      </c>
    </row>
    <row r="302" spans="1:25" ht="14.4" x14ac:dyDescent="0.3">
      <c r="B302" t="s">
        <v>6289</v>
      </c>
    </row>
    <row r="303" spans="1:25" ht="14.4" x14ac:dyDescent="0.3">
      <c r="B303" t="s">
        <v>5219</v>
      </c>
    </row>
    <row r="304" spans="1:25" ht="14.4" x14ac:dyDescent="0.3">
      <c r="B304" t="s">
        <v>3086</v>
      </c>
    </row>
    <row r="305" spans="1:25" ht="14.4" x14ac:dyDescent="0.3">
      <c r="B305" t="s">
        <v>5210</v>
      </c>
    </row>
    <row r="306" spans="1:25" ht="14.4" x14ac:dyDescent="0.3">
      <c r="B306" t="s">
        <v>7074</v>
      </c>
      <c r="C306" t="s">
        <v>5205</v>
      </c>
    </row>
    <row r="307" spans="1:25" ht="15" thickBot="1" x14ac:dyDescent="0.35">
      <c r="A307" s="137"/>
      <c r="B307" s="137"/>
      <c r="C307" s="137"/>
      <c r="D307" s="137"/>
      <c r="E307" s="137"/>
      <c r="F307" s="137"/>
      <c r="G307" s="137"/>
      <c r="H307" s="137"/>
      <c r="I307" s="137"/>
      <c r="J307" s="137"/>
      <c r="K307" s="137"/>
      <c r="L307" s="137"/>
      <c r="M307" s="137"/>
      <c r="N307" s="137"/>
      <c r="O307" s="137"/>
      <c r="P307" s="137"/>
      <c r="Q307" s="137"/>
      <c r="R307"/>
      <c r="W307"/>
      <c r="Y307"/>
    </row>
    <row r="308" spans="1:25" ht="14.4" x14ac:dyDescent="0.3">
      <c r="D308"/>
      <c r="E308"/>
      <c r="F308"/>
      <c r="G308"/>
      <c r="H308"/>
      <c r="K308"/>
      <c r="L308"/>
    </row>
    <row r="309" spans="1:25" ht="18" x14ac:dyDescent="0.35">
      <c r="B309" s="138" t="s">
        <v>6941</v>
      </c>
      <c r="C309" s="34"/>
      <c r="D309"/>
      <c r="E309"/>
      <c r="F309"/>
      <c r="G309"/>
      <c r="H309" s="355"/>
      <c r="K309"/>
      <c r="L309"/>
    </row>
    <row r="310" spans="1:25" ht="14.4" x14ac:dyDescent="0.3">
      <c r="D310"/>
      <c r="E310"/>
      <c r="F310"/>
      <c r="G310"/>
      <c r="H310"/>
      <c r="K310"/>
      <c r="L310"/>
    </row>
    <row r="311" spans="1:25" ht="14.4" x14ac:dyDescent="0.3">
      <c r="B311" s="139" t="s">
        <v>6942</v>
      </c>
      <c r="C311" s="140"/>
      <c r="D311" s="140"/>
      <c r="E311" s="139"/>
      <c r="F311" s="141"/>
      <c r="G311"/>
      <c r="H311"/>
      <c r="K311"/>
      <c r="L311"/>
    </row>
    <row r="312" spans="1:25" ht="14.4" x14ac:dyDescent="0.3">
      <c r="B312" s="143" t="s">
        <v>2663</v>
      </c>
      <c r="C312" s="144" t="s">
        <v>565</v>
      </c>
      <c r="D312" s="144" t="s">
        <v>6943</v>
      </c>
      <c r="E312" s="143" t="s">
        <v>565</v>
      </c>
      <c r="F312" s="145" t="s">
        <v>6944</v>
      </c>
      <c r="G312"/>
      <c r="H312"/>
      <c r="K312"/>
      <c r="L312"/>
    </row>
    <row r="313" spans="1:25" ht="14.4" x14ac:dyDescent="0.3">
      <c r="A313" t="s">
        <v>6945</v>
      </c>
      <c r="B313" s="149" t="s">
        <v>5724</v>
      </c>
      <c r="C313" s="295">
        <f>VLOOKUP(B313,R5:U304,3,FALSE)</f>
        <v>20.256141166953888</v>
      </c>
      <c r="D313" s="151" t="s">
        <v>2478</v>
      </c>
      <c r="E313" s="359">
        <f>CONVERT(C313,"m^3","ft^3")</f>
        <v>715.3388743744016</v>
      </c>
      <c r="F313" s="151" t="s">
        <v>2479</v>
      </c>
      <c r="G313"/>
      <c r="H313"/>
      <c r="K313"/>
      <c r="L313"/>
    </row>
    <row r="314" spans="1:25" ht="14.4" x14ac:dyDescent="0.3">
      <c r="D314"/>
      <c r="E314"/>
      <c r="F314"/>
      <c r="G314"/>
      <c r="H314"/>
      <c r="K314"/>
      <c r="L314"/>
    </row>
    <row r="315" spans="1:25" s="369" customFormat="1" ht="43.2" x14ac:dyDescent="0.3">
      <c r="B315" s="370" t="s">
        <v>6946</v>
      </c>
      <c r="C315" s="362" t="s">
        <v>6947</v>
      </c>
      <c r="D315" s="371" t="s">
        <v>6948</v>
      </c>
      <c r="E315" s="362" t="s">
        <v>6949</v>
      </c>
      <c r="F315" s="362" t="s">
        <v>6950</v>
      </c>
      <c r="G315" s="362" t="s">
        <v>6951</v>
      </c>
      <c r="H315" s="362" t="s">
        <v>6952</v>
      </c>
      <c r="I315" s="371" t="s">
        <v>6953</v>
      </c>
      <c r="J315" s="371" t="s">
        <v>6954</v>
      </c>
      <c r="K315" s="362" t="s">
        <v>6955</v>
      </c>
      <c r="L315" s="362" t="s">
        <v>6956</v>
      </c>
      <c r="M315" s="362" t="s">
        <v>6957</v>
      </c>
      <c r="N315" s="362" t="s">
        <v>6958</v>
      </c>
      <c r="O315" s="363" t="s">
        <v>6959</v>
      </c>
    </row>
    <row r="316" spans="1:25" ht="14.4" x14ac:dyDescent="0.3">
      <c r="A316" t="s">
        <v>6960</v>
      </c>
      <c r="B316" s="99" t="s">
        <v>6961</v>
      </c>
      <c r="C316" s="153">
        <f>VLOOKUP("Deep and shallow pit constructiona",Econ.Equations!C:E,2,FALSE)*E313^VLOOKUP("Deep and shallow pit constructionb",Econ.Equations!$C:$E,2,FALSE)*E313</f>
        <v>7858.4422870541339</v>
      </c>
      <c r="D316">
        <f>VLOOKUP("CAPEXLifetimeBuildings and constructionDefault",Econ.inputsTable!$E:$I,2,FALSE)</f>
        <v>20</v>
      </c>
      <c r="E316" t="s">
        <v>2852</v>
      </c>
      <c r="F316" t="s">
        <v>2852</v>
      </c>
      <c r="G316" s="154">
        <f>VLOOKUP("CAPEXAnnual usage on activityItems that are used only on the given activityDefault",Econ.inputsTable!$E:$I,2,FALSE)</f>
        <v>1</v>
      </c>
      <c r="H316" s="503">
        <f>UDV.econ_capital.interest_rate</f>
        <v>5.0999999999999997E-2</v>
      </c>
      <c r="I316" s="155">
        <f>VLOOKUP("CAPEXSalvageBuildings and constructionDefault",Econ.inputsTable!$E:$J,2,FALSE)</f>
        <v>0</v>
      </c>
      <c r="J316" s="156">
        <f>C316*I316</f>
        <v>0</v>
      </c>
      <c r="K316" s="154">
        <f>VLOOKUP("CAPEXFinanced amountNADefault",Econ.inputsTable!$E:$G,2,FALSE)</f>
        <v>1</v>
      </c>
      <c r="L316" s="364">
        <f>H316*K316</f>
        <v>5.0999999999999997E-2</v>
      </c>
      <c r="M316" s="351">
        <f>L316/(1-(1+L316)^-D316)</f>
        <v>8.0924368970045152E-2</v>
      </c>
      <c r="N316" s="153">
        <f>((C316-J316)*M316)+(J316*L316)</f>
        <v>635.93948316737419</v>
      </c>
      <c r="O316" s="372">
        <f>N316*G316</f>
        <v>635.93948316737419</v>
      </c>
    </row>
    <row r="317" spans="1:25" ht="14.4" x14ac:dyDescent="0.3">
      <c r="B317" s="99"/>
      <c r="D317"/>
      <c r="E317"/>
      <c r="F317"/>
      <c r="G317"/>
      <c r="H317"/>
      <c r="K317"/>
      <c r="L317"/>
      <c r="O317" s="146"/>
    </row>
    <row r="318" spans="1:25" ht="14.4" x14ac:dyDescent="0.3">
      <c r="B318" s="99"/>
      <c r="C318" s="82" t="s">
        <v>6962</v>
      </c>
      <c r="D318" s="82" t="s">
        <v>6963</v>
      </c>
      <c r="E318"/>
      <c r="F318"/>
      <c r="G318"/>
      <c r="H318"/>
      <c r="K318"/>
      <c r="L318"/>
      <c r="O318" s="146"/>
    </row>
    <row r="319" spans="1:25" ht="14.4" x14ac:dyDescent="0.3">
      <c r="A319" t="s">
        <v>6945</v>
      </c>
      <c r="B319" s="99" t="s">
        <v>6964</v>
      </c>
      <c r="C319" s="153">
        <f>SUM(C316:C316)</f>
        <v>7858.4422870541339</v>
      </c>
      <c r="D319" s="158">
        <f>SUMPRODUCT(C316:C316,G316:G316)</f>
        <v>7858.4422870541339</v>
      </c>
      <c r="E319"/>
      <c r="F319"/>
      <c r="G319"/>
      <c r="H319"/>
      <c r="K319"/>
      <c r="L319"/>
      <c r="O319" s="146"/>
    </row>
    <row r="320" spans="1:25" ht="14.4" x14ac:dyDescent="0.3">
      <c r="A320" t="s">
        <v>6945</v>
      </c>
      <c r="B320" s="149" t="s">
        <v>6965</v>
      </c>
      <c r="C320" s="159">
        <f>SUM(N316:N316)</f>
        <v>635.93948316737419</v>
      </c>
      <c r="D320" s="159">
        <f>SUMPRODUCT(N316:N316,G316:G316)</f>
        <v>635.93948316737419</v>
      </c>
      <c r="E320" s="150"/>
      <c r="F320" s="150"/>
      <c r="G320" s="150"/>
      <c r="H320" s="150"/>
      <c r="I320" s="150"/>
      <c r="J320" s="150"/>
      <c r="K320" s="150"/>
      <c r="L320" s="150"/>
      <c r="M320" s="150"/>
      <c r="N320" s="150"/>
      <c r="O320" s="151"/>
    </row>
    <row r="321" spans="1:25" ht="14.4" x14ac:dyDescent="0.3">
      <c r="B321" s="262"/>
      <c r="C321" s="142"/>
      <c r="D321" s="142"/>
      <c r="E321" s="142"/>
      <c r="F321" s="142"/>
      <c r="G321" s="142"/>
      <c r="H321" s="142"/>
      <c r="I321" s="142"/>
      <c r="J321" s="142"/>
      <c r="K321" s="142"/>
      <c r="L321" s="142"/>
      <c r="M321" s="142"/>
      <c r="N321" s="142"/>
      <c r="O321" s="141"/>
    </row>
    <row r="322" spans="1:25" ht="43.2" x14ac:dyDescent="0.3">
      <c r="B322" s="160" t="s">
        <v>6966</v>
      </c>
      <c r="C322" s="152" t="s">
        <v>6967</v>
      </c>
      <c r="D322" s="152" t="s">
        <v>6968</v>
      </c>
      <c r="E322" s="152" t="s">
        <v>6969</v>
      </c>
      <c r="F322" s="152" t="s">
        <v>6970</v>
      </c>
      <c r="G322" s="152" t="s">
        <v>6971</v>
      </c>
      <c r="H322" s="152" t="s">
        <v>6972</v>
      </c>
      <c r="I322" s="152" t="s">
        <v>6973</v>
      </c>
      <c r="J322" s="152" t="s">
        <v>6974</v>
      </c>
      <c r="K322" s="152" t="s">
        <v>6975</v>
      </c>
      <c r="L322" s="152" t="s">
        <v>6976</v>
      </c>
      <c r="M322" s="152" t="s">
        <v>6977</v>
      </c>
      <c r="N322" s="152" t="s">
        <v>6978</v>
      </c>
      <c r="O322" s="161" t="s">
        <v>6979</v>
      </c>
    </row>
    <row r="323" spans="1:25" ht="14.4" x14ac:dyDescent="0.3">
      <c r="B323" s="99" t="s">
        <v>6945</v>
      </c>
      <c r="C323" s="155">
        <f>VLOOKUP("OPEXInsuranceEverythingDefault",Econ.inputsTable!$E$1:$J$213,2,FALSE)</f>
        <v>5.0000000000000001E-3</v>
      </c>
      <c r="D323" s="155">
        <f>VLOOKUP("OPEXRepair and maintenanceBuildings and constructionDefault",Econ.inputsTable!$E$1:$J$503,2,FALSE)</f>
        <v>0.01</v>
      </c>
      <c r="E323"/>
      <c r="F323"/>
      <c r="G323"/>
      <c r="H323"/>
      <c r="K323"/>
      <c r="L323"/>
      <c r="O323" s="157">
        <f>(SUM(C323:D323)*SUMPRODUCT(C316:C316,G316:G316))+SUM(E323,G323,I323,J323,L323,N323)</f>
        <v>117.876634305812</v>
      </c>
    </row>
    <row r="324" spans="1:25" ht="14.4" x14ac:dyDescent="0.3">
      <c r="A324" t="s">
        <v>6945</v>
      </c>
      <c r="B324" s="162" t="s">
        <v>5203</v>
      </c>
      <c r="C324" s="241"/>
      <c r="D324" s="241"/>
      <c r="E324" s="367">
        <f t="shared" ref="E324:O324" si="2">SUM(E323)</f>
        <v>0</v>
      </c>
      <c r="F324" s="537">
        <f t="shared" si="2"/>
        <v>0</v>
      </c>
      <c r="G324" s="367">
        <f t="shared" si="2"/>
        <v>0</v>
      </c>
      <c r="H324" s="537">
        <f t="shared" si="2"/>
        <v>0</v>
      </c>
      <c r="I324" s="367">
        <f t="shared" si="2"/>
        <v>0</v>
      </c>
      <c r="J324" s="367">
        <f t="shared" si="2"/>
        <v>0</v>
      </c>
      <c r="K324" s="537">
        <f t="shared" si="2"/>
        <v>0</v>
      </c>
      <c r="L324" s="367">
        <f t="shared" si="2"/>
        <v>0</v>
      </c>
      <c r="M324" s="537">
        <f t="shared" si="2"/>
        <v>0</v>
      </c>
      <c r="N324" s="367">
        <f t="shared" si="2"/>
        <v>0</v>
      </c>
      <c r="O324" s="169">
        <f t="shared" si="2"/>
        <v>117.876634305812</v>
      </c>
    </row>
    <row r="325" spans="1:25" ht="14.4" x14ac:dyDescent="0.3">
      <c r="B325" s="99"/>
      <c r="C325" s="155"/>
      <c r="D325" s="155"/>
      <c r="E325" s="155"/>
      <c r="F325" s="158"/>
      <c r="G325" s="154"/>
      <c r="H325" s="156"/>
      <c r="I325" s="153"/>
      <c r="K325"/>
      <c r="L325"/>
      <c r="O325" s="146"/>
    </row>
    <row r="326" spans="1:25" ht="14.4" x14ac:dyDescent="0.3">
      <c r="A326" t="s">
        <v>6945</v>
      </c>
      <c r="B326" s="149" t="s">
        <v>6980</v>
      </c>
      <c r="C326" s="159">
        <f>O324</f>
        <v>117.876634305812</v>
      </c>
      <c r="D326" s="150"/>
      <c r="E326" s="150"/>
      <c r="F326" s="150"/>
      <c r="G326" s="150"/>
      <c r="H326" s="150"/>
      <c r="I326" s="150"/>
      <c r="J326" s="150"/>
      <c r="K326" s="150"/>
      <c r="L326" s="150"/>
      <c r="M326" s="150"/>
      <c r="N326" s="150"/>
      <c r="O326" s="151"/>
    </row>
    <row r="327" spans="1:25" ht="15" thickBot="1" x14ac:dyDescent="0.35">
      <c r="A327" s="137"/>
      <c r="B327" s="137"/>
      <c r="C327" s="137"/>
      <c r="D327" s="137"/>
      <c r="E327" s="137"/>
      <c r="F327" s="137"/>
      <c r="G327" s="137"/>
      <c r="H327" s="137"/>
      <c r="I327" s="137"/>
      <c r="J327" s="137"/>
      <c r="K327" s="137"/>
      <c r="L327" s="137"/>
      <c r="M327" s="137"/>
      <c r="N327" s="137"/>
      <c r="O327" s="137"/>
    </row>
    <row r="328" spans="1:25" ht="14.4" x14ac:dyDescent="0.3">
      <c r="D328"/>
      <c r="E328"/>
      <c r="F328"/>
      <c r="G328"/>
      <c r="H328"/>
      <c r="K328"/>
      <c r="L328"/>
      <c r="R328"/>
      <c r="W328"/>
      <c r="Y328"/>
    </row>
    <row r="329" spans="1:25" ht="15.6" x14ac:dyDescent="0.3">
      <c r="A329" s="82" t="s">
        <v>7088</v>
      </c>
      <c r="B329" s="138" t="s">
        <v>7089</v>
      </c>
      <c r="D329"/>
      <c r="E329"/>
      <c r="F329"/>
    </row>
    <row r="330" spans="1:25" ht="14.4" x14ac:dyDescent="0.3">
      <c r="D330"/>
      <c r="E330"/>
      <c r="F330"/>
    </row>
    <row r="331" spans="1:25" ht="14.4" x14ac:dyDescent="0.3">
      <c r="B331" s="139" t="s">
        <v>6942</v>
      </c>
      <c r="C331" s="140"/>
      <c r="D331" s="140"/>
      <c r="E331" s="139" t="s">
        <v>6988</v>
      </c>
      <c r="F331" s="141"/>
    </row>
    <row r="332" spans="1:25" ht="14.4" x14ac:dyDescent="0.3">
      <c r="B332" s="143" t="s">
        <v>2663</v>
      </c>
      <c r="C332" s="144" t="s">
        <v>565</v>
      </c>
      <c r="D332" s="144" t="s">
        <v>6943</v>
      </c>
      <c r="E332" s="143" t="s">
        <v>565</v>
      </c>
      <c r="F332" s="145" t="s">
        <v>6944</v>
      </c>
    </row>
    <row r="333" spans="1:25" ht="14.4" x14ac:dyDescent="0.3">
      <c r="B333" s="99" t="s">
        <v>6925</v>
      </c>
      <c r="C333" s="205">
        <f>VLOOKUP(B333,$R:$U,3,FALSE)</f>
        <v>5.6486707631511237</v>
      </c>
      <c r="D333" t="s">
        <v>7090</v>
      </c>
      <c r="E333" s="164">
        <f>CONVERT(C333,"m^3","gal")*365</f>
        <v>544660.64623794181</v>
      </c>
      <c r="F333" s="146" t="s">
        <v>5324</v>
      </c>
    </row>
    <row r="334" spans="1:25" ht="14.4" x14ac:dyDescent="0.3">
      <c r="B334" s="99" t="s">
        <v>5829</v>
      </c>
      <c r="C334" s="147">
        <f>VLOOKUP(B334,$R:$U,3,FALSE)</f>
        <v>0</v>
      </c>
      <c r="D334" t="s">
        <v>7090</v>
      </c>
      <c r="E334" s="164">
        <f>CONVERT(C334,"m^3","gal")*365</f>
        <v>0</v>
      </c>
      <c r="F334" s="146" t="s">
        <v>5324</v>
      </c>
    </row>
    <row r="335" spans="1:25" ht="14.4" x14ac:dyDescent="0.3">
      <c r="B335" s="99"/>
      <c r="D335" s="146"/>
      <c r="E335"/>
      <c r="F335" s="146"/>
    </row>
    <row r="336" spans="1:25" ht="14.4" x14ac:dyDescent="0.3">
      <c r="B336" s="92" t="s">
        <v>6996</v>
      </c>
      <c r="D336"/>
      <c r="E336" s="143" t="s">
        <v>565</v>
      </c>
      <c r="F336" s="145" t="s">
        <v>6944</v>
      </c>
    </row>
    <row r="337" spans="1:25" ht="14.4" x14ac:dyDescent="0.3">
      <c r="B337" s="149" t="s">
        <v>7091</v>
      </c>
      <c r="C337" s="150"/>
      <c r="D337" s="150"/>
      <c r="E337" s="497">
        <f>UDV.water.avg_cost/1000</f>
        <v>3.858144828221536E-3</v>
      </c>
      <c r="F337" s="151" t="s">
        <v>2315</v>
      </c>
    </row>
    <row r="338" spans="1:25" ht="14.4" x14ac:dyDescent="0.3">
      <c r="D338"/>
      <c r="E338"/>
      <c r="F338"/>
    </row>
    <row r="339" spans="1:25" ht="14.4" x14ac:dyDescent="0.3">
      <c r="B339" s="498" t="s">
        <v>6966</v>
      </c>
      <c r="C339" s="362" t="s">
        <v>6979</v>
      </c>
      <c r="D339" s="362"/>
      <c r="E339" s="362"/>
      <c r="F339" s="363"/>
    </row>
    <row r="340" spans="1:25" ht="14.4" x14ac:dyDescent="0.3">
      <c r="B340" s="99" t="s">
        <v>7092</v>
      </c>
      <c r="C340" s="153">
        <f>E333*E337</f>
        <v>2101.3796554187147</v>
      </c>
      <c r="D340" s="236"/>
      <c r="E340" s="236"/>
      <c r="F340" s="146"/>
    </row>
    <row r="341" spans="1:25" ht="14.4" x14ac:dyDescent="0.3">
      <c r="B341" s="99"/>
      <c r="D341"/>
      <c r="E341"/>
      <c r="F341" s="146"/>
      <c r="G341"/>
      <c r="H341"/>
    </row>
    <row r="342" spans="1:25" ht="14.4" x14ac:dyDescent="0.3">
      <c r="A342" t="s">
        <v>5209</v>
      </c>
      <c r="B342" s="149" t="s">
        <v>6980</v>
      </c>
      <c r="C342" s="159">
        <f>SUM(C340:C340)</f>
        <v>2101.3796554187147</v>
      </c>
      <c r="D342" s="150"/>
      <c r="E342" s="150"/>
      <c r="F342" s="151"/>
      <c r="G342"/>
      <c r="H342"/>
    </row>
    <row r="343" spans="1:25" ht="15" thickBot="1" x14ac:dyDescent="0.35">
      <c r="A343" s="137"/>
      <c r="B343" s="137"/>
      <c r="C343" s="137"/>
      <c r="D343" s="137"/>
      <c r="E343" s="137"/>
      <c r="F343" s="137"/>
      <c r="G343" s="137"/>
      <c r="H343" s="137"/>
      <c r="I343" s="137"/>
      <c r="J343" s="137"/>
      <c r="K343" s="137"/>
      <c r="L343" s="137"/>
      <c r="M343" s="137"/>
      <c r="N343" s="137"/>
      <c r="O343" s="137"/>
      <c r="P343" s="137"/>
      <c r="Q343" s="137"/>
      <c r="R343"/>
      <c r="W343"/>
      <c r="Y343"/>
    </row>
    <row r="344" spans="1:25" ht="14.4" x14ac:dyDescent="0.3">
      <c r="D344"/>
      <c r="E344"/>
      <c r="F344"/>
      <c r="G344"/>
      <c r="H344"/>
      <c r="K344"/>
      <c r="L344"/>
      <c r="R344"/>
      <c r="W344"/>
      <c r="Y344"/>
    </row>
    <row r="345" spans="1:25" ht="18" x14ac:dyDescent="0.35">
      <c r="A345" s="502"/>
      <c r="B345" s="138" t="s">
        <v>7146</v>
      </c>
      <c r="D345"/>
      <c r="E345"/>
      <c r="F345"/>
      <c r="G345"/>
      <c r="H345" s="355"/>
    </row>
    <row r="346" spans="1:25" ht="14.4" x14ac:dyDescent="0.3">
      <c r="D346"/>
      <c r="E346"/>
      <c r="F346"/>
      <c r="G346"/>
      <c r="H346"/>
    </row>
    <row r="347" spans="1:25" ht="14.4" x14ac:dyDescent="0.3">
      <c r="B347" s="139" t="s">
        <v>6942</v>
      </c>
      <c r="C347" s="140"/>
      <c r="D347" s="245"/>
      <c r="E347" s="139" t="s">
        <v>6988</v>
      </c>
      <c r="F347" s="141"/>
      <c r="G347"/>
      <c r="H347" s="139" t="s">
        <v>7033</v>
      </c>
    </row>
    <row r="348" spans="1:25" ht="14.4" x14ac:dyDescent="0.3">
      <c r="B348" s="143" t="s">
        <v>2663</v>
      </c>
      <c r="C348" s="144" t="s">
        <v>565</v>
      </c>
      <c r="D348" s="145" t="s">
        <v>6943</v>
      </c>
      <c r="E348" s="143" t="s">
        <v>565</v>
      </c>
      <c r="F348" s="145" t="s">
        <v>6944</v>
      </c>
      <c r="G348"/>
      <c r="H348" s="99" t="s">
        <v>1236</v>
      </c>
    </row>
    <row r="349" spans="1:25" ht="14.4" x14ac:dyDescent="0.3">
      <c r="B349" s="99" t="s">
        <v>5893</v>
      </c>
      <c r="C349" s="147">
        <f t="shared" ref="C349:C354" si="3">VLOOKUP(B349,$R:$U,3,FALSE)</f>
        <v>12</v>
      </c>
      <c r="D349" s="146" t="s">
        <v>7097</v>
      </c>
      <c r="E349" s="178">
        <f>C349</f>
        <v>12</v>
      </c>
      <c r="F349" s="146" t="s">
        <v>7097</v>
      </c>
      <c r="G349"/>
      <c r="H349" s="99" t="s">
        <v>7147</v>
      </c>
    </row>
    <row r="350" spans="1:25" ht="14.4" x14ac:dyDescent="0.3">
      <c r="A350" s="321"/>
      <c r="B350" s="99" t="s">
        <v>5894</v>
      </c>
      <c r="C350" s="147">
        <f t="shared" si="3"/>
        <v>115</v>
      </c>
      <c r="D350" s="146" t="s">
        <v>2337</v>
      </c>
      <c r="E350" s="178">
        <f>CONVERT(C350,"m","ft")</f>
        <v>377.29658792650918</v>
      </c>
      <c r="F350" s="146" t="s">
        <v>2340</v>
      </c>
      <c r="G350"/>
      <c r="H350" s="99" t="s">
        <v>7148</v>
      </c>
    </row>
    <row r="351" spans="1:25" ht="14.4" x14ac:dyDescent="0.3">
      <c r="A351" s="199"/>
      <c r="B351" s="99" t="s">
        <v>5895</v>
      </c>
      <c r="C351" s="147">
        <f t="shared" si="3"/>
        <v>2</v>
      </c>
      <c r="D351" s="146" t="s">
        <v>2442</v>
      </c>
      <c r="E351" s="178">
        <f>C351</f>
        <v>2</v>
      </c>
      <c r="F351" s="146" t="s">
        <v>2442</v>
      </c>
      <c r="G351"/>
      <c r="H351" s="149" t="s">
        <v>1239</v>
      </c>
    </row>
    <row r="352" spans="1:25" ht="14.4" x14ac:dyDescent="0.3">
      <c r="B352" s="99" t="s">
        <v>5898</v>
      </c>
      <c r="C352" s="78">
        <f t="shared" si="3"/>
        <v>12.250783578571429</v>
      </c>
      <c r="D352" s="146" t="s">
        <v>6704</v>
      </c>
      <c r="E352" s="178">
        <f>C352*365</f>
        <v>4471.5360061785714</v>
      </c>
      <c r="F352" s="146" t="s">
        <v>5323</v>
      </c>
      <c r="G352"/>
      <c r="H352"/>
    </row>
    <row r="353" spans="1:15" ht="14.4" x14ac:dyDescent="0.3">
      <c r="B353" s="235" t="s">
        <v>5897</v>
      </c>
      <c r="C353" s="78">
        <f t="shared" si="3"/>
        <v>10.952380952380953</v>
      </c>
      <c r="D353" s="146" t="s">
        <v>7075</v>
      </c>
      <c r="E353" s="178">
        <f>C353*365</f>
        <v>3997.6190476190477</v>
      </c>
      <c r="F353" s="146" t="s">
        <v>2710</v>
      </c>
      <c r="G353"/>
      <c r="H353"/>
    </row>
    <row r="354" spans="1:15" ht="14.4" x14ac:dyDescent="0.3">
      <c r="B354" s="235" t="s">
        <v>5896</v>
      </c>
      <c r="C354" s="147">
        <f t="shared" si="3"/>
        <v>2</v>
      </c>
      <c r="D354" s="146" t="s">
        <v>2442</v>
      </c>
      <c r="E354" s="178">
        <f>C354</f>
        <v>2</v>
      </c>
      <c r="F354" s="146" t="s">
        <v>2442</v>
      </c>
      <c r="G354"/>
      <c r="H354"/>
    </row>
    <row r="355" spans="1:15" ht="13.5" customHeight="1" x14ac:dyDescent="0.3">
      <c r="B355" s="99"/>
      <c r="D355" s="2100"/>
      <c r="E355" s="2101"/>
      <c r="F355" s="2089"/>
    </row>
    <row r="356" spans="1:15" ht="14.4" x14ac:dyDescent="0.3">
      <c r="B356" s="92" t="s">
        <v>6996</v>
      </c>
      <c r="D356" s="146"/>
      <c r="E356" s="99"/>
      <c r="F356" s="146"/>
      <c r="G356"/>
      <c r="H356"/>
      <c r="K356"/>
      <c r="L356"/>
    </row>
    <row r="357" spans="1:15" ht="14.4" x14ac:dyDescent="0.3">
      <c r="B357" s="143" t="s">
        <v>2663</v>
      </c>
      <c r="D357" s="146"/>
      <c r="E357" s="143" t="s">
        <v>565</v>
      </c>
      <c r="F357" s="145" t="s">
        <v>6944</v>
      </c>
      <c r="G357"/>
      <c r="H357"/>
      <c r="K357"/>
      <c r="L357"/>
    </row>
    <row r="358" spans="1:15" ht="14.4" x14ac:dyDescent="0.3">
      <c r="B358" s="99" t="s">
        <v>7076</v>
      </c>
      <c r="D358" s="146"/>
      <c r="E358" s="357">
        <f>UDV.electricity.avg_cost</f>
        <v>6.8591666666666662E-2</v>
      </c>
      <c r="F358" s="146" t="s">
        <v>2306</v>
      </c>
      <c r="G358"/>
      <c r="H358"/>
      <c r="K358"/>
      <c r="L358"/>
    </row>
    <row r="359" spans="1:15" ht="14.4" x14ac:dyDescent="0.3">
      <c r="B359" s="149" t="s">
        <v>6998</v>
      </c>
      <c r="C359" s="150"/>
      <c r="D359" s="151"/>
      <c r="E359" s="349">
        <f>UDV.labor.non_specialized_cost</f>
        <v>23.66</v>
      </c>
      <c r="F359" s="151" t="s">
        <v>3659</v>
      </c>
      <c r="G359"/>
      <c r="H359"/>
      <c r="K359"/>
      <c r="L359"/>
    </row>
    <row r="360" spans="1:15" ht="14.4" x14ac:dyDescent="0.3">
      <c r="B360" s="90"/>
      <c r="C360" s="82"/>
      <c r="D360"/>
      <c r="E360" s="82"/>
      <c r="F360" s="82"/>
      <c r="G360"/>
      <c r="H360" s="82"/>
      <c r="I360" s="82"/>
      <c r="K360"/>
      <c r="L360"/>
      <c r="O360" s="82"/>
    </row>
    <row r="361" spans="1:15" ht="43.2" x14ac:dyDescent="0.3">
      <c r="B361" s="361" t="s">
        <v>6946</v>
      </c>
      <c r="C361" s="362" t="s">
        <v>6947</v>
      </c>
      <c r="D361" s="362" t="s">
        <v>6948</v>
      </c>
      <c r="E361" s="362" t="s">
        <v>6949</v>
      </c>
      <c r="F361" s="362" t="s">
        <v>6950</v>
      </c>
      <c r="G361" s="362" t="s">
        <v>6951</v>
      </c>
      <c r="H361" s="362" t="s">
        <v>6952</v>
      </c>
      <c r="I361" s="362" t="s">
        <v>6953</v>
      </c>
      <c r="J361" s="362" t="s">
        <v>6954</v>
      </c>
      <c r="K361" s="362" t="s">
        <v>6955</v>
      </c>
      <c r="L361" s="362" t="s">
        <v>6956</v>
      </c>
      <c r="M361" s="140" t="s">
        <v>6957</v>
      </c>
      <c r="N361" s="140" t="s">
        <v>6958</v>
      </c>
      <c r="O361" s="363"/>
    </row>
    <row r="362" spans="1:15" ht="14.4" x14ac:dyDescent="0.3">
      <c r="A362" t="s">
        <v>7149</v>
      </c>
      <c r="B362" s="99" t="s">
        <v>1236</v>
      </c>
      <c r="C362" s="153">
        <f>VLOOKUP("Auto alley system chain and accessoriesDefault",Econ.Tables!$C:$E,2,FALSE)*E350</f>
        <v>4263.4514435695537</v>
      </c>
      <c r="D362">
        <f>VLOOKUP("CAPEXLifetimeEquipmentDefault",Econ.inputsTable!$E:$I,2,FALSE)</f>
        <v>10</v>
      </c>
      <c r="E362" t="s">
        <v>2852</v>
      </c>
      <c r="F362" s="147">
        <f>E353</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 t="shared" ref="J362:J365" si="4">C362*I362</f>
        <v>0</v>
      </c>
      <c r="K362" s="154">
        <f>VLOOKUP("CAPEXFinanced amountNADefault",Econ.inputsTable!$E:$G,2,FALSE)</f>
        <v>1</v>
      </c>
      <c r="L362" s="364">
        <f t="shared" ref="L362:L365" si="5">H362*K362</f>
        <v>5.0999999999999997E-2</v>
      </c>
      <c r="M362" s="351">
        <f t="shared" ref="M362:M365" si="6">L362/(1-(1+L362)^-D362)</f>
        <v>0.13013423257204779</v>
      </c>
      <c r="N362" s="153">
        <f t="shared" ref="N362:N365" si="7">((C362-J362)*M362)+(J362*L362)</f>
        <v>554.82098171711323</v>
      </c>
      <c r="O362" s="157"/>
    </row>
    <row r="363" spans="1:15" ht="14.4" x14ac:dyDescent="0.3">
      <c r="A363" t="s">
        <v>7149</v>
      </c>
      <c r="B363" s="99" t="s">
        <v>7147</v>
      </c>
      <c r="C363" s="153">
        <f>VLOOKUP("Scraper bladeDefault",Econ.Tables!$C:$E,2,FALSE)*E354</f>
        <v>2800</v>
      </c>
      <c r="D363">
        <f>VLOOKUP("CAPEXLifetimeScraper bladeDefault",Econ.inputsTable!$E:$I,2,FALSE)</f>
        <v>1</v>
      </c>
      <c r="E363" t="s">
        <v>2852</v>
      </c>
      <c r="F363" s="147">
        <f>E353</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 t="shared" si="4"/>
        <v>0</v>
      </c>
      <c r="K363" s="154">
        <f>VLOOKUP("CAPEXFinanced amountNADefault",Econ.inputsTable!$E:$G,2,FALSE)</f>
        <v>1</v>
      </c>
      <c r="L363" s="364">
        <f t="shared" si="5"/>
        <v>5.0999999999999997E-2</v>
      </c>
      <c r="M363" s="351">
        <f t="shared" si="6"/>
        <v>1.0510000000000017</v>
      </c>
      <c r="N363" s="153">
        <f t="shared" si="7"/>
        <v>2942.8000000000047</v>
      </c>
      <c r="O363" s="157"/>
    </row>
    <row r="364" spans="1:15" ht="14.4" x14ac:dyDescent="0.3">
      <c r="A364" t="s">
        <v>7149</v>
      </c>
      <c r="B364" s="99" t="s">
        <v>7148</v>
      </c>
      <c r="C364" s="153">
        <f>VLOOKUP("Drive unit, motor, controls, ancillariesDefault",Econ.Tables!$C:$E,2,FALSE)*E351</f>
        <v>24800</v>
      </c>
      <c r="D364">
        <f>VLOOKUP("CAPEXLifetimeDrive units for auto scraper, transfer channelDefault",Econ.inputsTable!$E:$I,2,FALSE)</f>
        <v>18</v>
      </c>
      <c r="E364" t="s">
        <v>2852</v>
      </c>
      <c r="F364" s="147">
        <f>E353</f>
        <v>3997.6190476190477</v>
      </c>
      <c r="G364" s="154">
        <f>VLOOKUP("CAPEXAnnual usage on activityItems that are used only on the given activityDefault",Econ.inputsTable!$E:$G,2,FALSE)</f>
        <v>1</v>
      </c>
      <c r="H364" s="503">
        <f>UDV.econ_capital.interest_rate</f>
        <v>5.0999999999999997E-2</v>
      </c>
      <c r="I364" s="503">
        <f>VLOOKUP("CAPEXSalvageBuildings and constructionDefault",Econ.inputsTable!$E:$G,2,FALSE)</f>
        <v>0</v>
      </c>
      <c r="J364" s="153">
        <f t="shared" si="4"/>
        <v>0</v>
      </c>
      <c r="K364" s="154">
        <f>VLOOKUP("CAPEXFinanced amountNADefault",Econ.inputsTable!$E:$G,2,FALSE)</f>
        <v>1</v>
      </c>
      <c r="L364" s="364">
        <f t="shared" si="5"/>
        <v>5.0999999999999997E-2</v>
      </c>
      <c r="M364" s="351">
        <f t="shared" si="6"/>
        <v>8.6215856907131391E-2</v>
      </c>
      <c r="N364" s="153">
        <f t="shared" si="7"/>
        <v>2138.1532512968583</v>
      </c>
      <c r="O364" s="501"/>
    </row>
    <row r="365" spans="1:15" ht="14.4" x14ac:dyDescent="0.3">
      <c r="A365" t="s">
        <v>7150</v>
      </c>
      <c r="B365" s="99" t="s">
        <v>1239</v>
      </c>
      <c r="C365" s="153">
        <f>VLOOKUP("Auto alley system installation and electricalDefault",Econ.Tables!$C:$E,2,FALSE)*SUM(C362:C364)</f>
        <v>12426.746062992126</v>
      </c>
      <c r="D365">
        <f>VLOOKUP("CAPEXLifetimeDrive units for auto scraper, transfer channelDefault",Econ.inputsTable!$E:$I,2,FALSE)</f>
        <v>18</v>
      </c>
      <c r="E365" t="s">
        <v>2852</v>
      </c>
      <c r="F365" s="147">
        <f>E353</f>
        <v>3997.6190476190477</v>
      </c>
      <c r="G365" s="154">
        <f>VLOOKUP("CAPEXAnnual usage on activityItems that are used only on the given activityDefault",Econ.inputsTable!$E:$G,2,FALSE)</f>
        <v>1</v>
      </c>
      <c r="H365" s="503">
        <f>UDV.econ_capital.interest_rate</f>
        <v>5.0999999999999997E-2</v>
      </c>
      <c r="I365" s="503">
        <f>VLOOKUP("CAPEXSalvageBuildings and constructionDefault",Econ.inputsTable!$E:$G,2,FALSE)</f>
        <v>0</v>
      </c>
      <c r="J365" s="153">
        <f t="shared" si="4"/>
        <v>0</v>
      </c>
      <c r="K365" s="154">
        <f>VLOOKUP("CAPEXFinanced amountNADefault",Econ.inputsTable!$E:$G,2,FALSE)</f>
        <v>1</v>
      </c>
      <c r="L365" s="364">
        <f t="shared" si="5"/>
        <v>5.0999999999999997E-2</v>
      </c>
      <c r="M365" s="351">
        <f t="shared" si="6"/>
        <v>8.6215856907131391E-2</v>
      </c>
      <c r="N365" s="153">
        <f t="shared" si="7"/>
        <v>1071.3825603881876</v>
      </c>
      <c r="O365" s="501"/>
    </row>
    <row r="366" spans="1:15" ht="14.4" x14ac:dyDescent="0.3">
      <c r="B366" s="99"/>
      <c r="C366" s="153"/>
      <c r="D366"/>
      <c r="E366"/>
      <c r="F366"/>
      <c r="G366"/>
      <c r="H366"/>
      <c r="K366" s="166"/>
      <c r="L366" s="154"/>
      <c r="M366" s="503"/>
      <c r="N366" s="154"/>
      <c r="O366" s="501"/>
    </row>
    <row r="367" spans="1:15" ht="28.8" x14ac:dyDescent="0.3">
      <c r="B367" s="99"/>
      <c r="C367" s="152" t="s">
        <v>7009</v>
      </c>
      <c r="D367" s="152" t="s">
        <v>6963</v>
      </c>
      <c r="E367"/>
      <c r="F367"/>
      <c r="G367"/>
      <c r="H367"/>
      <c r="K367"/>
      <c r="L367"/>
      <c r="O367" s="146"/>
    </row>
    <row r="368" spans="1:15" ht="14.4" x14ac:dyDescent="0.3">
      <c r="A368" t="s">
        <v>5223</v>
      </c>
      <c r="B368" s="99" t="s">
        <v>6964</v>
      </c>
      <c r="C368" s="153">
        <f>SUM(C362:C365)</f>
        <v>44290.197506561679</v>
      </c>
      <c r="D368" s="153">
        <f>SUMPRODUCT(C362:C365,G362:G365)</f>
        <v>44290.197506561679</v>
      </c>
      <c r="E368"/>
      <c r="F368"/>
      <c r="G368"/>
      <c r="H368"/>
      <c r="K368"/>
      <c r="L368"/>
      <c r="O368" s="146"/>
    </row>
    <row r="369" spans="1:15" ht="14.4" x14ac:dyDescent="0.3">
      <c r="A369" t="s">
        <v>5223</v>
      </c>
      <c r="B369" s="149" t="s">
        <v>6965</v>
      </c>
      <c r="C369" s="159">
        <f>SUM(N362:N365)</f>
        <v>6707.1567934021641</v>
      </c>
      <c r="D369" s="159">
        <f>SUMPRODUCT(G362:G365,N362:N365)</f>
        <v>6707.1567934021641</v>
      </c>
      <c r="E369" s="150"/>
      <c r="F369" s="150"/>
      <c r="G369" s="150"/>
      <c r="H369" s="150"/>
      <c r="I369" s="150"/>
      <c r="J369" s="150"/>
      <c r="K369" s="150"/>
      <c r="L369" s="150"/>
      <c r="M369" s="150"/>
      <c r="N369" s="150"/>
      <c r="O369" s="151"/>
    </row>
    <row r="370" spans="1:15" ht="14.4" x14ac:dyDescent="0.3">
      <c r="B370" s="99"/>
      <c r="D370"/>
      <c r="E370"/>
      <c r="F370"/>
      <c r="G370"/>
      <c r="H370"/>
      <c r="K370"/>
      <c r="L370"/>
      <c r="O370" s="146"/>
    </row>
    <row r="371" spans="1:15" ht="43.2" x14ac:dyDescent="0.3">
      <c r="B371" s="160" t="s">
        <v>6966</v>
      </c>
      <c r="C371" s="152" t="s">
        <v>6967</v>
      </c>
      <c r="D371" s="152" t="s">
        <v>6968</v>
      </c>
      <c r="E371" s="152" t="s">
        <v>6969</v>
      </c>
      <c r="F371" s="152" t="s">
        <v>6970</v>
      </c>
      <c r="G371" s="152" t="s">
        <v>6971</v>
      </c>
      <c r="H371" s="152" t="s">
        <v>6972</v>
      </c>
      <c r="I371" s="152" t="s">
        <v>6973</v>
      </c>
      <c r="J371" s="152" t="s">
        <v>6974</v>
      </c>
      <c r="K371" s="152" t="s">
        <v>6975</v>
      </c>
      <c r="L371" s="152" t="s">
        <v>6976</v>
      </c>
      <c r="M371" s="152" t="s">
        <v>6977</v>
      </c>
      <c r="N371" s="152" t="s">
        <v>6978</v>
      </c>
      <c r="O371" s="161" t="s">
        <v>6979</v>
      </c>
    </row>
    <row r="372" spans="1:15" ht="14.4" x14ac:dyDescent="0.3">
      <c r="B372" s="99" t="s">
        <v>7151</v>
      </c>
      <c r="C372" s="155">
        <f>VLOOKUP("OPEXInsuranceEverythingDefault",Econ.inputsTable!$E:$G,2,FALSE)</f>
        <v>5.0000000000000001E-3</v>
      </c>
      <c r="D372" s="155">
        <f>VLOOKUP("OPEXRepair and maintenanceEquipmentDefault",Econ.inputsTable!$E:$G,2,FALSE)</f>
        <v>0.03</v>
      </c>
      <c r="E372"/>
      <c r="F372"/>
      <c r="G372"/>
      <c r="H372"/>
      <c r="I372" s="504"/>
      <c r="K372" s="504"/>
      <c r="L372" s="158"/>
      <c r="O372" s="157">
        <f>(SUM(C372:D372)*C364*G364)+SUM(E372,G372,I372,J372,L372,N372)</f>
        <v>867.99999999999989</v>
      </c>
    </row>
    <row r="373" spans="1:15" ht="14.4" x14ac:dyDescent="0.3">
      <c r="B373" s="99" t="s">
        <v>7152</v>
      </c>
      <c r="C373" s="155">
        <f>VLOOKUP("OPEXInsuranceEverythingDefault",Econ.inputsTable!$E:$G,2,FALSE)</f>
        <v>5.0000000000000001E-3</v>
      </c>
      <c r="D373" s="155">
        <f>VLOOKUP("OPEXRepair and maintenanceAuto scraper systemDefault",Econ.inputsTable!$E:$G,2,FALSE)</f>
        <v>0.06</v>
      </c>
      <c r="E373" s="504"/>
      <c r="F373" s="147">
        <f>E352</f>
        <v>4471.5360061785714</v>
      </c>
      <c r="G373" s="504">
        <f>F373*E358</f>
        <v>306.7101072237985</v>
      </c>
      <c r="H373" s="158"/>
      <c r="I373" s="504"/>
      <c r="J373" s="504"/>
      <c r="K373"/>
      <c r="L373"/>
      <c r="O373" s="157">
        <f>(SUM(C373:D373)*SUM(C362:C364)*G364)+SUM(E373,G373,I373,J373,L373,N373)</f>
        <v>2377.8344510558195</v>
      </c>
    </row>
    <row r="374" spans="1:15" ht="14.4" x14ac:dyDescent="0.3">
      <c r="A374" t="s">
        <v>5223</v>
      </c>
      <c r="B374" s="162" t="s">
        <v>5203</v>
      </c>
      <c r="C374" s="505"/>
      <c r="D374" s="505"/>
      <c r="E374" s="506">
        <f t="shared" ref="E374:O374" si="8">SUM(E372:E373)</f>
        <v>0</v>
      </c>
      <c r="F374" s="507">
        <f t="shared" si="8"/>
        <v>4471.5360061785714</v>
      </c>
      <c r="G374" s="506">
        <f t="shared" si="8"/>
        <v>306.7101072237985</v>
      </c>
      <c r="H374" s="508">
        <f t="shared" si="8"/>
        <v>0</v>
      </c>
      <c r="I374" s="506">
        <f t="shared" si="8"/>
        <v>0</v>
      </c>
      <c r="J374" s="506">
        <f t="shared" si="8"/>
        <v>0</v>
      </c>
      <c r="K374" s="508">
        <f t="shared" si="8"/>
        <v>0</v>
      </c>
      <c r="L374" s="506">
        <f t="shared" si="8"/>
        <v>0</v>
      </c>
      <c r="M374" s="508">
        <f t="shared" si="8"/>
        <v>0</v>
      </c>
      <c r="N374" s="506">
        <f t="shared" si="8"/>
        <v>0</v>
      </c>
      <c r="O374" s="509">
        <f t="shared" si="8"/>
        <v>3245.8344510558195</v>
      </c>
    </row>
    <row r="375" spans="1:15" ht="14.4" x14ac:dyDescent="0.3">
      <c r="B375" s="99"/>
      <c r="D375"/>
      <c r="E375"/>
      <c r="F375"/>
      <c r="G375"/>
      <c r="H375"/>
      <c r="K375"/>
      <c r="L375"/>
      <c r="O375" s="146"/>
    </row>
    <row r="376" spans="1:15" ht="14.4" x14ac:dyDescent="0.3">
      <c r="A376" t="s">
        <v>5223</v>
      </c>
      <c r="B376" s="149" t="s">
        <v>6980</v>
      </c>
      <c r="C376" s="159">
        <f>SUM(O372:O373)</f>
        <v>3245.8344510558195</v>
      </c>
      <c r="D376" s="150"/>
      <c r="E376" s="150"/>
      <c r="F376" s="150"/>
      <c r="G376" s="150"/>
      <c r="H376" s="150"/>
      <c r="I376" s="150"/>
      <c r="J376" s="150"/>
      <c r="K376" s="150"/>
      <c r="L376" s="150"/>
      <c r="M376" s="150"/>
      <c r="N376" s="150"/>
      <c r="O376" s="151"/>
    </row>
    <row r="377" spans="1:15" ht="15" thickBot="1" x14ac:dyDescent="0.35">
      <c r="A377" s="137"/>
      <c r="B377" s="137"/>
      <c r="C377" s="137"/>
      <c r="D377" s="137"/>
      <c r="E377" s="137"/>
      <c r="F377" s="137"/>
      <c r="G377" s="137"/>
      <c r="H377" s="137"/>
      <c r="I377" s="137"/>
      <c r="J377" s="137"/>
      <c r="K377" s="137"/>
      <c r="L377" s="137"/>
      <c r="M377" s="137"/>
      <c r="N377" s="137"/>
      <c r="O377" s="137"/>
    </row>
    <row r="378" spans="1:15" ht="14.4" x14ac:dyDescent="0.3">
      <c r="D378"/>
      <c r="E378"/>
      <c r="F378"/>
      <c r="G378"/>
      <c r="H378"/>
      <c r="K378"/>
      <c r="L378"/>
    </row>
    <row r="379" spans="1:15" ht="18" x14ac:dyDescent="0.35">
      <c r="B379" s="138" t="s">
        <v>7187</v>
      </c>
      <c r="D379"/>
      <c r="E379"/>
      <c r="F379"/>
      <c r="G379"/>
      <c r="H379" s="355"/>
      <c r="K379"/>
      <c r="L379"/>
    </row>
    <row r="380" spans="1:15" ht="14.4" x14ac:dyDescent="0.3">
      <c r="D380"/>
      <c r="E380"/>
      <c r="F380"/>
      <c r="G380"/>
      <c r="H380"/>
      <c r="K380"/>
      <c r="L380"/>
    </row>
    <row r="381" spans="1:15" ht="14.4" x14ac:dyDescent="0.3">
      <c r="B381" s="139" t="s">
        <v>6942</v>
      </c>
      <c r="C381" s="140"/>
      <c r="D381" s="140"/>
      <c r="E381" s="139" t="s">
        <v>6988</v>
      </c>
      <c r="F381" s="141"/>
      <c r="G381"/>
      <c r="H381"/>
      <c r="K381"/>
      <c r="L381"/>
    </row>
    <row r="382" spans="1:15" ht="14.4" x14ac:dyDescent="0.3">
      <c r="B382" s="143" t="s">
        <v>2663</v>
      </c>
      <c r="C382" s="144" t="s">
        <v>565</v>
      </c>
      <c r="D382" s="144" t="s">
        <v>6943</v>
      </c>
      <c r="E382" s="143" t="s">
        <v>565</v>
      </c>
      <c r="F382" s="145" t="s">
        <v>6944</v>
      </c>
      <c r="G382"/>
      <c r="H382" s="139" t="s">
        <v>7189</v>
      </c>
      <c r="I382" s="142"/>
      <c r="J382" s="142"/>
      <c r="K382" s="141"/>
      <c r="L382"/>
    </row>
    <row r="383" spans="1:15" ht="14.4" x14ac:dyDescent="0.3">
      <c r="B383" s="99" t="s">
        <v>5951</v>
      </c>
      <c r="C383" s="147">
        <f>VLOOKUP(B383,$R:$U,3,FALSE)</f>
        <v>2893.7344524219843</v>
      </c>
      <c r="D383" t="s">
        <v>2481</v>
      </c>
      <c r="E383" s="164">
        <f>CONVERT(C383,"l","gal")</f>
        <v>764.44376927579845</v>
      </c>
      <c r="F383" s="146" t="s">
        <v>2480</v>
      </c>
      <c r="G383"/>
      <c r="H383" s="99" t="s">
        <v>2787</v>
      </c>
      <c r="K383" s="146"/>
      <c r="L383"/>
    </row>
    <row r="384" spans="1:15" ht="14.4" x14ac:dyDescent="0.3">
      <c r="B384" s="99" t="s">
        <v>5953</v>
      </c>
      <c r="C384" s="147">
        <f>VLOOKUP(B384,$R:$U,3,FALSE)</f>
        <v>1</v>
      </c>
      <c r="D384" t="s">
        <v>2442</v>
      </c>
      <c r="E384" s="523">
        <f>C384</f>
        <v>1</v>
      </c>
      <c r="F384" s="146" t="s">
        <v>2442</v>
      </c>
      <c r="G384"/>
      <c r="H384" s="99" t="s">
        <v>1228</v>
      </c>
      <c r="K384" s="146"/>
      <c r="L384"/>
    </row>
    <row r="385" spans="1:15" ht="14.4" x14ac:dyDescent="0.3">
      <c r="B385" s="99" t="s">
        <v>5952</v>
      </c>
      <c r="C385" s="147">
        <f>VLOOKUP(B385,$R:$U,3,FALSE)</f>
        <v>15</v>
      </c>
      <c r="D385" t="s">
        <v>971</v>
      </c>
      <c r="E385" s="524">
        <f>ROUNDUP(C385,0.1)</f>
        <v>15</v>
      </c>
      <c r="F385" s="146" t="s">
        <v>971</v>
      </c>
      <c r="G385"/>
      <c r="H385" s="149" t="s">
        <v>7190</v>
      </c>
      <c r="I385" s="150"/>
      <c r="J385" s="150"/>
      <c r="K385" s="151"/>
      <c r="L385"/>
    </row>
    <row r="386" spans="1:15" ht="14.4" x14ac:dyDescent="0.3">
      <c r="B386" s="99" t="s">
        <v>5954</v>
      </c>
      <c r="C386" s="147">
        <f>VLOOKUP(B386,$R:$U,3,FALSE)</f>
        <v>0.38003059201611716</v>
      </c>
      <c r="D386" t="s">
        <v>6704</v>
      </c>
      <c r="E386" s="164">
        <f>C386*365</f>
        <v>138.71116608588275</v>
      </c>
      <c r="F386" s="146" t="s">
        <v>5323</v>
      </c>
      <c r="G386"/>
      <c r="H386"/>
      <c r="K386"/>
      <c r="L386"/>
    </row>
    <row r="387" spans="1:15" ht="13.5" customHeight="1" x14ac:dyDescent="0.3">
      <c r="B387" s="99"/>
      <c r="E387" s="2101"/>
      <c r="F387" s="2089"/>
    </row>
    <row r="388" spans="1:15" ht="14.4" x14ac:dyDescent="0.3">
      <c r="B388" s="92" t="s">
        <v>6942</v>
      </c>
      <c r="C388" s="82"/>
      <c r="D388" s="82"/>
      <c r="E388" s="92"/>
      <c r="F388" s="146"/>
      <c r="G388"/>
      <c r="H388"/>
      <c r="K388"/>
      <c r="L388"/>
    </row>
    <row r="389" spans="1:15" ht="14.4" x14ac:dyDescent="0.3">
      <c r="B389" s="143" t="s">
        <v>2663</v>
      </c>
      <c r="C389" s="144" t="s">
        <v>565</v>
      </c>
      <c r="D389" s="144" t="s">
        <v>6943</v>
      </c>
      <c r="E389" s="143" t="s">
        <v>565</v>
      </c>
      <c r="F389" s="145" t="s">
        <v>6944</v>
      </c>
      <c r="G389"/>
      <c r="H389"/>
      <c r="K389"/>
      <c r="L389"/>
    </row>
    <row r="390" spans="1:15" ht="14.4" x14ac:dyDescent="0.3">
      <c r="B390" s="99" t="s">
        <v>7076</v>
      </c>
      <c r="D390"/>
      <c r="E390" s="358">
        <f>UDV.electricity.avg_cost</f>
        <v>6.8591666666666662E-2</v>
      </c>
      <c r="F390" s="146" t="s">
        <v>2306</v>
      </c>
      <c r="G390"/>
      <c r="H390"/>
      <c r="K390"/>
      <c r="L390"/>
    </row>
    <row r="391" spans="1:15" ht="14.4" x14ac:dyDescent="0.3">
      <c r="B391" s="149" t="s">
        <v>6998</v>
      </c>
      <c r="C391" s="150"/>
      <c r="D391" s="150"/>
      <c r="E391" s="497">
        <f>UDV.labor.non_specialized_cost</f>
        <v>23.66</v>
      </c>
      <c r="F391" s="151" t="s">
        <v>3659</v>
      </c>
      <c r="G391"/>
      <c r="H391"/>
      <c r="K391"/>
      <c r="L391"/>
    </row>
    <row r="392" spans="1:15" ht="14.4" x14ac:dyDescent="0.3">
      <c r="D392"/>
      <c r="E392"/>
      <c r="F392"/>
      <c r="G392"/>
      <c r="H392"/>
      <c r="K392"/>
      <c r="L392"/>
    </row>
    <row r="393" spans="1:15" ht="43.2" x14ac:dyDescent="0.3">
      <c r="B393" s="361" t="s">
        <v>6946</v>
      </c>
      <c r="C393" s="362" t="s">
        <v>6947</v>
      </c>
      <c r="D393" s="371" t="s">
        <v>6948</v>
      </c>
      <c r="E393" s="362" t="s">
        <v>6949</v>
      </c>
      <c r="F393" s="362" t="s">
        <v>6950</v>
      </c>
      <c r="G393" s="362" t="s">
        <v>6951</v>
      </c>
      <c r="H393" s="362" t="s">
        <v>6952</v>
      </c>
      <c r="I393" s="371" t="s">
        <v>6953</v>
      </c>
      <c r="J393" s="371" t="s">
        <v>6954</v>
      </c>
      <c r="K393" s="362" t="s">
        <v>6955</v>
      </c>
      <c r="L393" s="362" t="s">
        <v>6956</v>
      </c>
      <c r="M393" s="362" t="s">
        <v>6957</v>
      </c>
      <c r="N393" s="362" t="s">
        <v>6958</v>
      </c>
      <c r="O393" s="363" t="s">
        <v>6959</v>
      </c>
    </row>
    <row r="394" spans="1:15" ht="14.4" x14ac:dyDescent="0.3">
      <c r="A394" t="s">
        <v>7191</v>
      </c>
      <c r="B394" s="99" t="s">
        <v>2787</v>
      </c>
      <c r="C394" s="153">
        <f>VLOOKUP("Reception pit constructiona",Econ.Equations!$C:$E,2,FALSE)*E383^VLOOKUP("Reception pit constructionb",Econ.Equations!$C:$E,2,FALSE)*E383</f>
        <v>8018.7932118545777</v>
      </c>
      <c r="D394">
        <f>VLOOKUP("CAPEXLifetimeBuildings and constructionDefault",Econ.inputsTable!$E:$H,2,FALSE)</f>
        <v>20</v>
      </c>
      <c r="E394" t="s">
        <v>2852</v>
      </c>
      <c r="F394" t="s">
        <v>2852</v>
      </c>
      <c r="G394" s="154">
        <v>1</v>
      </c>
      <c r="H394" s="503">
        <f>UDV.econ_capital.interest_rate</f>
        <v>5.0999999999999997E-2</v>
      </c>
      <c r="I394" s="154">
        <f>VLOOKUP("CAPEXSalvageBuildings and constructionDefault",Econ.inputsTable!$E:$J,2,FALSE)</f>
        <v>0</v>
      </c>
      <c r="J394" s="153">
        <f>$C394*I394</f>
        <v>0</v>
      </c>
      <c r="K394" s="154">
        <f>VLOOKUP("CAPEXFinanced amountNADefault", Econ.inputsTable!$E:$I,2,FALSE)</f>
        <v>1</v>
      </c>
      <c r="L394" s="364">
        <f>H394*K394</f>
        <v>5.0999999999999997E-2</v>
      </c>
      <c r="M394" s="351">
        <f>L394/(1-(1+L394)^-D394)</f>
        <v>8.0924368970045152E-2</v>
      </c>
      <c r="N394" s="153">
        <f>((C394-J394)*M394)+(J394*L394)</f>
        <v>648.91578057061326</v>
      </c>
      <c r="O394" s="157">
        <f>G394*N394</f>
        <v>648.91578057061326</v>
      </c>
    </row>
    <row r="395" spans="1:15" ht="14.4" x14ac:dyDescent="0.3">
      <c r="A395" t="s">
        <v>7192</v>
      </c>
      <c r="B395" s="99" t="s">
        <v>1228</v>
      </c>
      <c r="C395" s="153">
        <f>UDV.econ_agi.electric_pump*E384</f>
        <v>12100</v>
      </c>
      <c r="D395">
        <f>VLOOKUP("CAPEXLifetimeAgi-pump, electricDefault",Econ.inputsTable!$E:$H,2,FALSE)</f>
        <v>15</v>
      </c>
      <c r="E395" t="s">
        <v>2852</v>
      </c>
      <c r="F395" t="s">
        <v>2852</v>
      </c>
      <c r="G395" s="154">
        <v>1</v>
      </c>
      <c r="H395" s="503">
        <f>UDV.econ_capital.interest_rate</f>
        <v>5.0999999999999997E-2</v>
      </c>
      <c r="I395" s="154">
        <f>VLOOKUP("CAPEXSalvageEquipmentDefault",Econ.inputsTable!$E:$J,2,FALSE)</f>
        <v>0.2</v>
      </c>
      <c r="J395" s="153">
        <f>$C395*I395</f>
        <v>2420</v>
      </c>
      <c r="K395" s="154">
        <f>VLOOKUP("CAPEXFinanced amountNADefault", Econ.inputsTable!$E:$I,2,FALSE)</f>
        <v>1</v>
      </c>
      <c r="L395" s="364">
        <f>H395*K395</f>
        <v>5.0999999999999997E-2</v>
      </c>
      <c r="M395" s="351">
        <f>L395/(1-(1+L395)^-D395)</f>
        <v>9.6994593888520206E-2</v>
      </c>
      <c r="N395" s="153">
        <f>((C395-J395)*M395)+(J395*L395)</f>
        <v>1062.3276688408755</v>
      </c>
      <c r="O395" s="157">
        <f>G395*N395</f>
        <v>1062.3276688408755</v>
      </c>
    </row>
    <row r="396" spans="1:15" ht="14.4" x14ac:dyDescent="0.3">
      <c r="A396" t="s">
        <v>7192</v>
      </c>
      <c r="B396" s="99" t="s">
        <v>7193</v>
      </c>
      <c r="C396" s="153">
        <f>VLOOKUP(_xlfn.CONCAT("Motor, ", E385, " hpDefault"), Econ.Tables!C:E, 2, FALSE)*E384</f>
        <v>1470</v>
      </c>
      <c r="D396">
        <f>VLOOKUP("CAPEXLifetimeMotorDefault",Econ.inputsTable!$E:$H,2,FALSE)</f>
        <v>20</v>
      </c>
      <c r="E396" t="s">
        <v>2852</v>
      </c>
      <c r="F396" t="s">
        <v>2852</v>
      </c>
      <c r="G396" s="154">
        <v>1</v>
      </c>
      <c r="H396" s="503">
        <f>UDV.econ_capital.interest_rate</f>
        <v>5.0999999999999997E-2</v>
      </c>
      <c r="I396" s="154">
        <f>VLOOKUP("CAPEXSalvageEquipmentDefault",Econ.inputsTable!$E:$I,2,FALSE)</f>
        <v>0.2</v>
      </c>
      <c r="J396" s="153">
        <f>$C396*I396</f>
        <v>294</v>
      </c>
      <c r="K396" s="154">
        <f>VLOOKUP("CAPEXFinanced amountNADefault", Econ.inputsTable!$E:$I,2,FALSE)</f>
        <v>1</v>
      </c>
      <c r="L396" s="364">
        <f>H396*K396</f>
        <v>5.0999999999999997E-2</v>
      </c>
      <c r="M396" s="351">
        <f>L396/(1-(1+L396)^-D396)</f>
        <v>8.0924368970045152E-2</v>
      </c>
      <c r="N396" s="153">
        <f>((C396-J396)*M396)+(J396*L396)</f>
        <v>110.1610579087731</v>
      </c>
      <c r="O396" s="157">
        <f>G396*N396</f>
        <v>110.1610579087731</v>
      </c>
    </row>
    <row r="397" spans="1:15" ht="14.4" x14ac:dyDescent="0.3">
      <c r="B397" s="99"/>
      <c r="C397" s="153"/>
      <c r="D397"/>
      <c r="E397"/>
      <c r="F397"/>
      <c r="G397"/>
      <c r="H397"/>
      <c r="K397"/>
      <c r="L397" s="154"/>
      <c r="M397" s="155"/>
      <c r="N397" s="154"/>
      <c r="O397" s="501"/>
    </row>
    <row r="398" spans="1:15" ht="14.4" x14ac:dyDescent="0.3">
      <c r="B398" s="99"/>
      <c r="C398" s="82" t="s">
        <v>7009</v>
      </c>
      <c r="D398" s="82" t="s">
        <v>6963</v>
      </c>
      <c r="E398"/>
      <c r="F398"/>
      <c r="G398"/>
      <c r="H398"/>
      <c r="K398"/>
      <c r="L398"/>
      <c r="O398" s="146"/>
    </row>
    <row r="399" spans="1:15" ht="14.4" x14ac:dyDescent="0.3">
      <c r="A399" t="s">
        <v>5219</v>
      </c>
      <c r="B399" s="99" t="s">
        <v>6964</v>
      </c>
      <c r="C399" s="153">
        <f>SUM(C394:C396)</f>
        <v>21588.79321185458</v>
      </c>
      <c r="D399" s="153">
        <f>SUMPRODUCT(C394:C396,G394:G396)</f>
        <v>21588.79321185458</v>
      </c>
      <c r="E399"/>
      <c r="F399"/>
      <c r="G399"/>
      <c r="H399"/>
      <c r="K399"/>
      <c r="L399"/>
      <c r="O399" s="146"/>
    </row>
    <row r="400" spans="1:15" ht="14.4" x14ac:dyDescent="0.3">
      <c r="A400" t="s">
        <v>5219</v>
      </c>
      <c r="B400" s="149" t="s">
        <v>6965</v>
      </c>
      <c r="C400" s="159">
        <f>SUM(N394:N396)</f>
        <v>1821.4045073202617</v>
      </c>
      <c r="D400" s="159">
        <f>SUMPRODUCT(N394:N396,G394:G396)</f>
        <v>1821.4045073202617</v>
      </c>
      <c r="E400" s="150"/>
      <c r="F400" s="150"/>
      <c r="G400" s="150"/>
      <c r="H400" s="150"/>
      <c r="I400" s="150"/>
      <c r="J400" s="150"/>
      <c r="K400" s="150"/>
      <c r="L400" s="150"/>
      <c r="M400" s="150"/>
      <c r="N400" s="150"/>
      <c r="O400" s="151"/>
    </row>
    <row r="401" spans="1:15" ht="14.4" x14ac:dyDescent="0.3">
      <c r="B401" s="262"/>
      <c r="C401" s="142"/>
      <c r="D401" s="142"/>
      <c r="E401" s="142"/>
      <c r="F401" s="142"/>
      <c r="G401" s="142"/>
      <c r="H401" s="142"/>
      <c r="I401" s="142"/>
      <c r="J401" s="142"/>
      <c r="K401" s="142"/>
      <c r="L401" s="142"/>
      <c r="M401" s="142"/>
      <c r="N401" s="142"/>
      <c r="O401" s="141"/>
    </row>
    <row r="402" spans="1:15" ht="43.2" x14ac:dyDescent="0.3">
      <c r="B402" s="160" t="s">
        <v>6966</v>
      </c>
      <c r="C402" s="152" t="s">
        <v>6967</v>
      </c>
      <c r="D402" s="152" t="s">
        <v>6968</v>
      </c>
      <c r="E402" s="152" t="s">
        <v>6969</v>
      </c>
      <c r="F402" s="152" t="s">
        <v>6970</v>
      </c>
      <c r="G402" s="152" t="s">
        <v>6971</v>
      </c>
      <c r="H402" s="152" t="s">
        <v>6972</v>
      </c>
      <c r="I402" s="152" t="s">
        <v>6973</v>
      </c>
      <c r="J402" s="152" t="s">
        <v>6974</v>
      </c>
      <c r="K402" s="152" t="s">
        <v>6975</v>
      </c>
      <c r="L402" s="152" t="s">
        <v>6976</v>
      </c>
      <c r="M402" s="152" t="s">
        <v>6977</v>
      </c>
      <c r="N402" s="152" t="s">
        <v>6978</v>
      </c>
      <c r="O402" s="161" t="s">
        <v>6979</v>
      </c>
    </row>
    <row r="403" spans="1:15" ht="14.4" x14ac:dyDescent="0.3">
      <c r="B403" s="99" t="s">
        <v>5219</v>
      </c>
      <c r="C403" s="155">
        <f>VLOOKUP("OPEXInsuranceEverythingDefault",Econ.inputsTable!$E$1:$J$89,2,FALSE)</f>
        <v>5.0000000000000001E-3</v>
      </c>
      <c r="D403" s="155">
        <f>VLOOKUP("OPEXRepair and maintenanceBuildings and constructionDefault",Econ.inputsTable!$E:$I,2,FALSE)</f>
        <v>0.01</v>
      </c>
      <c r="E403"/>
      <c r="F403"/>
      <c r="G403" s="504"/>
      <c r="H403"/>
      <c r="K403"/>
      <c r="L403"/>
      <c r="O403" s="157">
        <f>(SUM(C403:D403)*C394*G394)+SUM(G403,I403,J403,L403,N403)</f>
        <v>120.28189817781866</v>
      </c>
    </row>
    <row r="404" spans="1:15" ht="14.4" x14ac:dyDescent="0.3">
      <c r="B404" s="99" t="s">
        <v>1228</v>
      </c>
      <c r="C404" s="155">
        <f>VLOOKUP("OPEXInsuranceEverythingDefault",Econ.inputsTable!$E$1:$J$89,2,FALSE)</f>
        <v>5.0000000000000001E-3</v>
      </c>
      <c r="D404" s="155">
        <f>VLOOKUP("OPEXRepair and maintenanceAgi-pump, electricDefault",Econ.inputsTable!$E:$I,2,FALSE)</f>
        <v>0.11</v>
      </c>
      <c r="E404"/>
      <c r="F404"/>
      <c r="G404" s="504"/>
      <c r="H404"/>
      <c r="K404"/>
      <c r="L404"/>
      <c r="O404" s="157">
        <f>(SUM(C404:D404)*C395*G395)+SUM(G404,I404,J404,L404,N404)</f>
        <v>1391.5</v>
      </c>
    </row>
    <row r="405" spans="1:15" ht="14.4" x14ac:dyDescent="0.3">
      <c r="B405" s="99" t="s">
        <v>7190</v>
      </c>
      <c r="C405" s="155">
        <f>VLOOKUP("OPEXInsuranceEverythingDefault",Econ.inputsTable!$E$1:$J$89,2,FALSE)</f>
        <v>5.0000000000000001E-3</v>
      </c>
      <c r="D405" s="155">
        <f>VLOOKUP("OPEXRepair and maintenanceEquipmentDefault",Econ.inputsTable!$E:$I,2,FALSE)</f>
        <v>0.03</v>
      </c>
      <c r="E405"/>
      <c r="F405" s="166">
        <f>E386</f>
        <v>138.71116608588275</v>
      </c>
      <c r="G405" s="158">
        <f>F405*E390</f>
        <v>9.5144300671075079</v>
      </c>
      <c r="H405"/>
      <c r="K405"/>
      <c r="L405"/>
      <c r="O405" s="157">
        <f>(SUM(C405:D405)*C396*G396)+SUM(G405,I405,J405,L405,N405)</f>
        <v>60.9644300671075</v>
      </c>
    </row>
    <row r="406" spans="1:15" ht="14.4" x14ac:dyDescent="0.3">
      <c r="A406" t="s">
        <v>5219</v>
      </c>
      <c r="B406" s="162" t="s">
        <v>5203</v>
      </c>
      <c r="C406" s="505"/>
      <c r="D406" s="505"/>
      <c r="E406" s="367">
        <f t="shared" ref="E406:O406" si="9">SUM(E403:E405)</f>
        <v>0</v>
      </c>
      <c r="F406" s="526">
        <f t="shared" si="9"/>
        <v>138.71116608588275</v>
      </c>
      <c r="G406" s="367">
        <f t="shared" si="9"/>
        <v>9.5144300671075079</v>
      </c>
      <c r="H406" s="526">
        <f t="shared" si="9"/>
        <v>0</v>
      </c>
      <c r="I406" s="367">
        <f t="shared" si="9"/>
        <v>0</v>
      </c>
      <c r="J406" s="367">
        <f t="shared" si="9"/>
        <v>0</v>
      </c>
      <c r="K406" s="526">
        <f t="shared" si="9"/>
        <v>0</v>
      </c>
      <c r="L406" s="367">
        <f t="shared" si="9"/>
        <v>0</v>
      </c>
      <c r="M406" s="526">
        <f t="shared" si="9"/>
        <v>0</v>
      </c>
      <c r="N406" s="367">
        <f t="shared" si="9"/>
        <v>0</v>
      </c>
      <c r="O406" s="169">
        <f t="shared" si="9"/>
        <v>1572.7463282449262</v>
      </c>
    </row>
    <row r="407" spans="1:15" ht="14.4" x14ac:dyDescent="0.3">
      <c r="B407" s="99"/>
      <c r="D407"/>
      <c r="E407"/>
      <c r="F407"/>
      <c r="G407"/>
      <c r="H407"/>
      <c r="K407"/>
      <c r="L407"/>
      <c r="O407" s="146"/>
    </row>
    <row r="408" spans="1:15" ht="14.4" x14ac:dyDescent="0.3">
      <c r="A408" t="s">
        <v>5219</v>
      </c>
      <c r="B408" s="149" t="s">
        <v>6980</v>
      </c>
      <c r="C408" s="159">
        <f>SUM(O403:O405)</f>
        <v>1572.7463282449262</v>
      </c>
      <c r="D408" s="150"/>
      <c r="E408" s="150"/>
      <c r="F408" s="150"/>
      <c r="G408" s="150"/>
      <c r="H408" s="150"/>
      <c r="I408" s="150"/>
      <c r="J408" s="150"/>
      <c r="K408" s="150"/>
      <c r="L408" s="150"/>
      <c r="M408" s="150"/>
      <c r="N408" s="150"/>
      <c r="O408" s="151"/>
    </row>
    <row r="409" spans="1:15" ht="15" thickBot="1" x14ac:dyDescent="0.35">
      <c r="A409" s="137"/>
      <c r="B409" s="137"/>
      <c r="C409" s="137"/>
      <c r="D409" s="137"/>
      <c r="E409" s="137"/>
      <c r="F409" s="137"/>
      <c r="G409" s="137"/>
      <c r="H409" s="137"/>
      <c r="I409" s="137"/>
      <c r="J409" s="137"/>
      <c r="K409" s="137"/>
      <c r="L409" s="137"/>
      <c r="M409" s="137"/>
      <c r="N409" s="137"/>
      <c r="O409" s="137"/>
    </row>
    <row r="410" spans="1:15" ht="14.4" x14ac:dyDescent="0.3">
      <c r="D410"/>
      <c r="E410"/>
      <c r="F410"/>
      <c r="G410"/>
      <c r="H410"/>
      <c r="K410"/>
      <c r="L410"/>
    </row>
    <row r="411" spans="1:15" ht="18" x14ac:dyDescent="0.35">
      <c r="B411" s="138" t="s">
        <v>2800</v>
      </c>
      <c r="C411" s="814"/>
      <c r="D411"/>
      <c r="E411"/>
      <c r="F411"/>
      <c r="G411"/>
      <c r="H411" s="355"/>
      <c r="K411"/>
      <c r="L411"/>
    </row>
    <row r="412" spans="1:15" ht="14.4" x14ac:dyDescent="0.3">
      <c r="D412"/>
      <c r="E412"/>
      <c r="F412"/>
      <c r="G412"/>
      <c r="H412"/>
      <c r="K412"/>
      <c r="L412"/>
    </row>
    <row r="413" spans="1:15" ht="14.4" x14ac:dyDescent="0.3">
      <c r="B413" s="139" t="s">
        <v>6942</v>
      </c>
      <c r="C413" s="140"/>
      <c r="D413" s="140"/>
      <c r="E413" s="139"/>
      <c r="F413" s="141"/>
      <c r="G413"/>
      <c r="H413" s="139" t="s">
        <v>7189</v>
      </c>
      <c r="I413" s="142"/>
      <c r="J413" s="141"/>
      <c r="K413"/>
      <c r="L413"/>
    </row>
    <row r="414" spans="1:15" ht="14.4" x14ac:dyDescent="0.3">
      <c r="B414" s="143" t="s">
        <v>2663</v>
      </c>
      <c r="C414" s="144" t="s">
        <v>565</v>
      </c>
      <c r="D414" s="144" t="s">
        <v>6943</v>
      </c>
      <c r="E414" s="143" t="s">
        <v>565</v>
      </c>
      <c r="F414" s="145" t="s">
        <v>6944</v>
      </c>
      <c r="G414"/>
      <c r="H414" s="99" t="s">
        <v>7266</v>
      </c>
      <c r="J414" s="146"/>
      <c r="K414"/>
      <c r="L414"/>
    </row>
    <row r="415" spans="1:15" ht="14.4" x14ac:dyDescent="0.3">
      <c r="B415" s="99" t="s">
        <v>6523</v>
      </c>
      <c r="C415" s="147">
        <f>VLOOKUP(B415,$R:$U,3,FALSE)</f>
        <v>164806.71414197996</v>
      </c>
      <c r="D415" t="s">
        <v>7267</v>
      </c>
      <c r="E415" s="164">
        <f>C415</f>
        <v>164806.71414197996</v>
      </c>
      <c r="F415" s="146" t="s">
        <v>7267</v>
      </c>
      <c r="G415"/>
      <c r="H415" s="149" t="s">
        <v>7268</v>
      </c>
      <c r="I415" s="150"/>
      <c r="J415" s="151"/>
      <c r="K415"/>
      <c r="L415"/>
    </row>
    <row r="416" spans="1:15" ht="14.4" x14ac:dyDescent="0.3">
      <c r="B416" s="99" t="s">
        <v>6524</v>
      </c>
      <c r="C416" s="147">
        <f>VLOOKUP(B416,$R:$U,3,FALSE)</f>
        <v>1</v>
      </c>
      <c r="D416" s="279" t="s">
        <v>2442</v>
      </c>
      <c r="E416" s="2134">
        <f>C416</f>
        <v>1</v>
      </c>
      <c r="F416" s="2133" t="s">
        <v>2442</v>
      </c>
      <c r="H416"/>
      <c r="K416"/>
      <c r="L416"/>
    </row>
    <row r="417" spans="1:15" ht="14.4" x14ac:dyDescent="0.3">
      <c r="B417" s="99" t="s">
        <v>5528</v>
      </c>
      <c r="C417" s="147">
        <f>VLOOKUP(B417,$R:$U,3,FALSE)</f>
        <v>180</v>
      </c>
      <c r="D417" t="s">
        <v>5121</v>
      </c>
      <c r="E417" s="201">
        <f>UC.year_to_day/C417</f>
        <v>2.0277777777777777</v>
      </c>
      <c r="F417" s="146" t="s">
        <v>7269</v>
      </c>
      <c r="G417"/>
      <c r="H417"/>
      <c r="K417"/>
      <c r="L417"/>
    </row>
    <row r="418" spans="1:15" ht="14.4" x14ac:dyDescent="0.3">
      <c r="B418" s="99" t="s">
        <v>6526</v>
      </c>
      <c r="C418" s="147" t="str">
        <f>VLOOKUP(B418,$R:$U,3,FALSE)</f>
        <v>single</v>
      </c>
      <c r="D418" t="s">
        <v>7270</v>
      </c>
      <c r="E418" s="164" t="str">
        <f>C418</f>
        <v>single</v>
      </c>
      <c r="F418" s="146" t="s">
        <v>7270</v>
      </c>
      <c r="G418"/>
      <c r="H418"/>
      <c r="K418"/>
      <c r="L418"/>
    </row>
    <row r="419" spans="1:15" ht="13.5" customHeight="1" x14ac:dyDescent="0.3">
      <c r="B419" s="99" t="s">
        <v>6528</v>
      </c>
      <c r="C419" s="147">
        <f>VLOOKUP(B419,$R:$U,3,FALSE)</f>
        <v>1</v>
      </c>
      <c r="D419" t="s">
        <v>2442</v>
      </c>
      <c r="E419" s="164">
        <f>C419</f>
        <v>1</v>
      </c>
      <c r="F419" s="146" t="s">
        <v>2442</v>
      </c>
      <c r="G419"/>
    </row>
    <row r="420" spans="1:15" ht="14.4" x14ac:dyDescent="0.3">
      <c r="B420" s="99"/>
      <c r="E420" s="2101"/>
      <c r="F420" s="2089"/>
      <c r="K420"/>
      <c r="L420"/>
    </row>
    <row r="421" spans="1:15" ht="14.4" x14ac:dyDescent="0.3">
      <c r="B421" s="92" t="s">
        <v>6996</v>
      </c>
      <c r="D421"/>
      <c r="E421" s="164"/>
      <c r="F421" s="146"/>
      <c r="G421"/>
      <c r="H421"/>
      <c r="K421"/>
      <c r="L421"/>
    </row>
    <row r="422" spans="1:15" ht="14.4" x14ac:dyDescent="0.3">
      <c r="B422" s="143" t="s">
        <v>2663</v>
      </c>
      <c r="D422"/>
      <c r="E422" s="143" t="s">
        <v>565</v>
      </c>
      <c r="F422" s="145" t="s">
        <v>6944</v>
      </c>
      <c r="G422"/>
      <c r="H422"/>
      <c r="K422"/>
      <c r="L422"/>
    </row>
    <row r="423" spans="1:15" ht="14.4" x14ac:dyDescent="0.3">
      <c r="B423" s="99" t="s">
        <v>6997</v>
      </c>
      <c r="D423"/>
      <c r="E423" s="813">
        <f>UDV.fuel.diesel_avg_cost</f>
        <v>3.6964905660377356</v>
      </c>
      <c r="F423" s="146" t="s">
        <v>2315</v>
      </c>
      <c r="G423"/>
      <c r="H423"/>
      <c r="K423"/>
      <c r="L423"/>
    </row>
    <row r="424" spans="1:15" ht="14.4" x14ac:dyDescent="0.3">
      <c r="B424" s="149" t="s">
        <v>6998</v>
      </c>
      <c r="C424" s="150"/>
      <c r="D424" s="150"/>
      <c r="E424" s="349">
        <f>UDV.labor.non_specialized_cost</f>
        <v>23.66</v>
      </c>
      <c r="F424" s="151" t="s">
        <v>3659</v>
      </c>
      <c r="G424"/>
      <c r="H424"/>
      <c r="K424"/>
      <c r="L424"/>
    </row>
    <row r="425" spans="1:15" ht="14.4" x14ac:dyDescent="0.3">
      <c r="D425"/>
      <c r="E425" s="156"/>
      <c r="F425"/>
      <c r="G425"/>
      <c r="H425"/>
      <c r="K425"/>
      <c r="L425"/>
    </row>
    <row r="426" spans="1:15" ht="14.4" x14ac:dyDescent="0.3">
      <c r="C426" s="82"/>
      <c r="D426"/>
      <c r="E426"/>
      <c r="F426"/>
      <c r="G426"/>
      <c r="H426" s="152"/>
      <c r="I426" s="152"/>
      <c r="K426"/>
      <c r="L426"/>
      <c r="O426" s="152"/>
    </row>
    <row r="427" spans="1:15" ht="43.2" x14ac:dyDescent="0.3">
      <c r="B427" s="361" t="s">
        <v>6946</v>
      </c>
      <c r="C427" s="362" t="s">
        <v>6947</v>
      </c>
      <c r="D427" s="362" t="s">
        <v>6948</v>
      </c>
      <c r="E427" s="362" t="s">
        <v>6949</v>
      </c>
      <c r="F427" s="362" t="s">
        <v>6950</v>
      </c>
      <c r="G427" s="362" t="s">
        <v>6951</v>
      </c>
      <c r="H427" s="362" t="s">
        <v>6952</v>
      </c>
      <c r="I427" s="362" t="s">
        <v>6953</v>
      </c>
      <c r="J427" s="362" t="s">
        <v>6954</v>
      </c>
      <c r="K427" s="362" t="s">
        <v>6955</v>
      </c>
      <c r="L427" s="362" t="s">
        <v>6956</v>
      </c>
      <c r="M427" s="140" t="s">
        <v>6957</v>
      </c>
      <c r="N427" s="140" t="s">
        <v>6958</v>
      </c>
      <c r="O427" s="363" t="s">
        <v>6959</v>
      </c>
    </row>
    <row r="428" spans="1:15" ht="14.4" x14ac:dyDescent="0.3">
      <c r="A428" t="s">
        <v>7271</v>
      </c>
      <c r="B428" s="99" t="s">
        <v>7272</v>
      </c>
      <c r="C428" s="153">
        <f>(VLOOKUP("Slurry storage tanka",Econ.Equations!C:E,2,FALSE)*E415^VLOOKUP("Slurry storage tankb",Econ.Equations!C:E,2,FALSE)*E415)*E416</f>
        <v>76790.998597815356</v>
      </c>
      <c r="D428">
        <f>VLOOKUP("CAPEXLifetimeAbove ground slurry storage tankDefault",Econ.inputsTable!$E:$H,2,FALSE)</f>
        <v>25</v>
      </c>
      <c r="E428" t="s">
        <v>2852</v>
      </c>
      <c r="F428" t="s">
        <v>2852</v>
      </c>
      <c r="G428" s="154">
        <v>1</v>
      </c>
      <c r="H428" s="503">
        <f>UDV.econ_capital.interest_rate</f>
        <v>5.0999999999999997E-2</v>
      </c>
      <c r="I428" s="154">
        <f>VLOOKUP("CAPEXSalvageAbove ground slurry storage tankDefault",Econ.inputsTable!$E:$J,2,FALSE)</f>
        <v>0.2</v>
      </c>
      <c r="J428" s="153">
        <f>C428*I428</f>
        <v>15358.199719563072</v>
      </c>
      <c r="K428" s="154">
        <f>VLOOKUP("CAPEXFinanced amountNADefault", Econ.inputsTable!$E:$I,2,FALSE)</f>
        <v>1</v>
      </c>
      <c r="L428" s="364">
        <f>H428*K428</f>
        <v>5.0999999999999997E-2</v>
      </c>
      <c r="M428" s="351">
        <f>L428/(1-(1+L428)^-D428)</f>
        <v>7.1665253740539267E-2</v>
      </c>
      <c r="N428" s="153">
        <f>((C428-J428)*M428)+(J428*L428)</f>
        <v>5185.8653052991831</v>
      </c>
      <c r="O428" s="157">
        <f>N428*G428</f>
        <v>5185.8653052991831</v>
      </c>
    </row>
    <row r="429" spans="1:15" ht="14.4" x14ac:dyDescent="0.3">
      <c r="A429" t="s">
        <v>7271</v>
      </c>
      <c r="B429" s="99" t="s">
        <v>7273</v>
      </c>
      <c r="C429" s="153">
        <f>VLOOKUP("CAPEXInstallationAbove ground slurry storage tankDefault",Econ.inputsTable!E:H,2,FALSE)*C428</f>
        <v>115186.49789672304</v>
      </c>
      <c r="D429">
        <f>VLOOKUP("CAPEXLifetimeAbove ground slurry storage tankDefault",Econ.inputsTable!$E:$H,2,FALSE)</f>
        <v>25</v>
      </c>
      <c r="E429" t="s">
        <v>2852</v>
      </c>
      <c r="F429" t="s">
        <v>2852</v>
      </c>
      <c r="G429" s="154">
        <v>1</v>
      </c>
      <c r="H429" s="503">
        <f>UDV.econ_capital.interest_rate</f>
        <v>5.0999999999999997E-2</v>
      </c>
      <c r="I429" s="154">
        <f>VLOOKUP("CAPEXSalvageBuildings and constructionDefault",Econ.inputsTable!$E:$J,2,FALSE)</f>
        <v>0</v>
      </c>
      <c r="J429" s="153">
        <f t="shared" ref="J429:J430" si="10">C429*I429</f>
        <v>0</v>
      </c>
      <c r="K429" s="154">
        <f>VLOOKUP("CAPEXFinanced amountNADefault", Econ.inputsTable!$E:$I,2,FALSE)</f>
        <v>1</v>
      </c>
      <c r="L429" s="364">
        <f t="shared" ref="L429:L430" si="11">H429*K429</f>
        <v>5.0999999999999997E-2</v>
      </c>
      <c r="M429" s="351">
        <f t="shared" ref="M429:M430" si="12">L429/(1-(1+L429)^-D429)</f>
        <v>7.1665253740539267E-2</v>
      </c>
      <c r="N429" s="153">
        <f t="shared" ref="N429:N430" si="13">((C429-J429)*M429)+(J429*L429)</f>
        <v>8254.86959925275</v>
      </c>
      <c r="O429" s="157">
        <f t="shared" ref="O429:O430" si="14">N429*G429</f>
        <v>8254.86959925275</v>
      </c>
    </row>
    <row r="430" spans="1:15" ht="14.4" x14ac:dyDescent="0.3">
      <c r="A430" t="s">
        <v>7274</v>
      </c>
      <c r="B430" s="99" t="s">
        <v>7275</v>
      </c>
      <c r="C430" s="153" cm="1">
        <f t="array" ref="C430">_xlfn.IFS(E418="single",VLOOKUP("Pump, side mount singleDefault",Econ.Tables!C:E,2,FALSE),E418="double",VLOOKUP("Pump, side mount doubleDefault",Econ.Tables!C:E,2,FALSE),E418="quadruple",VLOOKUP("Pump, side mount quadrupleDefault",Econ.Tables!C:E,2,FALSE))*E419</f>
        <v>51200</v>
      </c>
      <c r="D430">
        <f>VLOOKUP("CAPEXLifetimeAgi-pump, ptoDefault",Econ.inputsTable!$E:$H,2,FALSE)</f>
        <v>20</v>
      </c>
      <c r="E430" t="s">
        <v>2852</v>
      </c>
      <c r="F430" t="s">
        <v>2852</v>
      </c>
      <c r="G430" s="154">
        <v>1</v>
      </c>
      <c r="H430" s="503">
        <f>UDV.econ_capital.interest_rate</f>
        <v>5.0999999999999997E-2</v>
      </c>
      <c r="I430" s="154">
        <f>VLOOKUP("CAPEXSalvageEquipmentDefault",Econ.inputsTable!$E:$J,2,FALSE)</f>
        <v>0.2</v>
      </c>
      <c r="J430" s="153">
        <f t="shared" si="10"/>
        <v>10240</v>
      </c>
      <c r="K430" s="154">
        <f>VLOOKUP("CAPEXFinanced amountNADefault", Econ.inputsTable!$E:$I,2,FALSE)</f>
        <v>1</v>
      </c>
      <c r="L430" s="364">
        <f t="shared" si="11"/>
        <v>5.0999999999999997E-2</v>
      </c>
      <c r="M430" s="351">
        <f t="shared" si="12"/>
        <v>8.0924368970045152E-2</v>
      </c>
      <c r="N430" s="153">
        <f t="shared" si="13"/>
        <v>3836.9021530130494</v>
      </c>
      <c r="O430" s="157">
        <f t="shared" si="14"/>
        <v>3836.9021530130494</v>
      </c>
    </row>
    <row r="431" spans="1:15" ht="14.4" x14ac:dyDescent="0.3">
      <c r="B431" s="99"/>
      <c r="D431"/>
      <c r="E431"/>
      <c r="F431"/>
      <c r="G431"/>
      <c r="H431"/>
      <c r="K431"/>
      <c r="L431"/>
      <c r="O431" s="146"/>
    </row>
    <row r="432" spans="1:15" ht="14.4" x14ac:dyDescent="0.3">
      <c r="B432" s="99"/>
      <c r="C432" s="82" t="s">
        <v>6962</v>
      </c>
      <c r="D432" s="82" t="s">
        <v>6963</v>
      </c>
      <c r="E432"/>
      <c r="F432"/>
      <c r="G432"/>
      <c r="H432"/>
      <c r="K432"/>
      <c r="L432"/>
      <c r="O432" s="146"/>
    </row>
    <row r="433" spans="1:23" ht="14.4" x14ac:dyDescent="0.3">
      <c r="A433" t="s">
        <v>4622</v>
      </c>
      <c r="B433" s="99" t="s">
        <v>6964</v>
      </c>
      <c r="C433" s="153">
        <f>SUM(C428:C430)</f>
        <v>243177.49649453838</v>
      </c>
      <c r="D433" s="318">
        <f>SUMPRODUCT(C428:C430,G428:G430)</f>
        <v>243177.49649453838</v>
      </c>
      <c r="E433"/>
      <c r="F433"/>
      <c r="G433"/>
      <c r="H433"/>
      <c r="K433"/>
      <c r="L433"/>
      <c r="O433" s="146"/>
    </row>
    <row r="434" spans="1:23" ht="14.4" x14ac:dyDescent="0.3">
      <c r="A434" t="s">
        <v>4622</v>
      </c>
      <c r="B434" s="149" t="s">
        <v>6965</v>
      </c>
      <c r="C434" s="159">
        <f>SUM(N428:N428)</f>
        <v>5185.8653052991831</v>
      </c>
      <c r="D434" s="159">
        <f>SUMPRODUCT(N428,G428)</f>
        <v>5185.8653052991831</v>
      </c>
      <c r="E434" s="150"/>
      <c r="F434" s="150"/>
      <c r="G434" s="150"/>
      <c r="H434" s="150"/>
      <c r="I434" s="150"/>
      <c r="J434" s="150"/>
      <c r="K434" s="150"/>
      <c r="L434" s="150"/>
      <c r="M434" s="150"/>
      <c r="N434" s="150"/>
      <c r="O434" s="151"/>
    </row>
    <row r="435" spans="1:23" ht="14.4" x14ac:dyDescent="0.3">
      <c r="B435" s="99"/>
      <c r="C435" s="153"/>
      <c r="D435" s="153"/>
      <c r="E435"/>
      <c r="F435"/>
      <c r="G435"/>
      <c r="H435"/>
      <c r="K435"/>
      <c r="L435"/>
      <c r="O435" s="146"/>
    </row>
    <row r="436" spans="1:23" ht="43.2" x14ac:dyDescent="0.3">
      <c r="B436" s="160" t="s">
        <v>6966</v>
      </c>
      <c r="C436" s="152" t="s">
        <v>6967</v>
      </c>
      <c r="D436" s="152" t="s">
        <v>6968</v>
      </c>
      <c r="E436" s="152" t="s">
        <v>6969</v>
      </c>
      <c r="F436" s="152" t="s">
        <v>6970</v>
      </c>
      <c r="G436" s="152" t="s">
        <v>6971</v>
      </c>
      <c r="H436" s="152" t="s">
        <v>6972</v>
      </c>
      <c r="I436" s="152" t="s">
        <v>6973</v>
      </c>
      <c r="J436" s="152" t="s">
        <v>6974</v>
      </c>
      <c r="K436" s="152" t="s">
        <v>6975</v>
      </c>
      <c r="L436" s="152" t="s">
        <v>6976</v>
      </c>
      <c r="M436" s="152" t="s">
        <v>6977</v>
      </c>
      <c r="N436" s="152" t="s">
        <v>6978</v>
      </c>
      <c r="O436" s="161" t="s">
        <v>6979</v>
      </c>
    </row>
    <row r="437" spans="1:23" ht="14.4" x14ac:dyDescent="0.3">
      <c r="B437" s="99" t="s">
        <v>4622</v>
      </c>
      <c r="C437" s="155">
        <f>VLOOKUP("OPEXInsuranceEverythingDefault",Econ.inputsTable!$E$1:$J$89,2,FALSE)</f>
        <v>5.0000000000000001E-3</v>
      </c>
      <c r="E437" s="158">
        <f>VLOOKUP("OPEXRepair and maintenanceAbove ground slurry storage tankDefault",Econ.inputsTable!$E:$I,2,FALSE)</f>
        <v>1000</v>
      </c>
      <c r="F437"/>
      <c r="G437"/>
      <c r="H437"/>
      <c r="K437"/>
      <c r="L437"/>
      <c r="O437" s="157">
        <f>(SUM(C437:D437)*G428*C428)+SUM(E437,G437,I437,J437,L437,N437)</f>
        <v>1383.9549929890768</v>
      </c>
    </row>
    <row r="438" spans="1:23" ht="14.4" x14ac:dyDescent="0.3">
      <c r="B438" s="99" t="s">
        <v>7275</v>
      </c>
      <c r="C438" s="155">
        <f>VLOOKUP("OPEXInsuranceEverythingDefault",Econ.inputsTable!$E$1:$J$89,2,FALSE)</f>
        <v>5.0000000000000001E-3</v>
      </c>
      <c r="D438" s="155">
        <f>VLOOKUP("OPEXRepair and maintenancePump, tractor ptoDefault",Econ.inputsTable!$E:$I,2,FALSE)</f>
        <v>0.05</v>
      </c>
      <c r="E438"/>
      <c r="F438"/>
      <c r="G438"/>
      <c r="H438"/>
      <c r="K438"/>
      <c r="L438"/>
      <c r="O438" s="157">
        <f>(SUM(C438:D438)*G430*C430)+SUM(E438,G438,I438,J438,L438,N438)</f>
        <v>2816</v>
      </c>
      <c r="R438"/>
    </row>
    <row r="439" spans="1:23" ht="14.4" x14ac:dyDescent="0.3">
      <c r="A439" t="s">
        <v>4622</v>
      </c>
      <c r="B439" s="162" t="s">
        <v>5203</v>
      </c>
      <c r="C439" s="366"/>
      <c r="D439" s="366"/>
      <c r="E439" s="163"/>
      <c r="F439" s="163"/>
      <c r="G439" s="163"/>
      <c r="H439" s="163"/>
      <c r="I439" s="163"/>
      <c r="J439" s="163"/>
      <c r="K439" s="163"/>
      <c r="L439" s="163"/>
      <c r="M439" s="163"/>
      <c r="N439" s="163"/>
      <c r="O439" s="530">
        <f>SUM(O437:O438)</f>
        <v>4199.9549929890763</v>
      </c>
      <c r="R439"/>
    </row>
    <row r="440" spans="1:23" ht="14.4" x14ac:dyDescent="0.3">
      <c r="B440" s="99"/>
      <c r="C440" s="236"/>
      <c r="D440" s="236"/>
      <c r="E440" s="236"/>
      <c r="F440" s="233"/>
      <c r="G440" s="257"/>
      <c r="H440" s="156"/>
      <c r="I440" s="153"/>
      <c r="K440"/>
      <c r="L440"/>
      <c r="O440" s="146"/>
      <c r="R440"/>
    </row>
    <row r="441" spans="1:23" ht="14.4" x14ac:dyDescent="0.3">
      <c r="A441" t="s">
        <v>4622</v>
      </c>
      <c r="B441" s="149" t="s">
        <v>6980</v>
      </c>
      <c r="C441" s="159">
        <f>O439</f>
        <v>4199.9549929890763</v>
      </c>
      <c r="D441" s="150"/>
      <c r="E441" s="150"/>
      <c r="F441" s="150"/>
      <c r="G441" s="150"/>
      <c r="H441" s="150"/>
      <c r="I441" s="150"/>
      <c r="J441" s="150"/>
      <c r="K441" s="150"/>
      <c r="L441" s="150"/>
      <c r="M441" s="150"/>
      <c r="N441" s="150"/>
      <c r="O441" s="151"/>
      <c r="R441"/>
    </row>
    <row r="442" spans="1:23" ht="15" thickBot="1" x14ac:dyDescent="0.35">
      <c r="A442" s="137"/>
      <c r="B442" s="137"/>
      <c r="C442" s="137"/>
      <c r="D442" s="137"/>
      <c r="E442" s="137"/>
      <c r="F442" s="137"/>
      <c r="G442" s="137"/>
      <c r="H442" s="137"/>
      <c r="I442" s="137"/>
      <c r="J442" s="137"/>
      <c r="K442" s="137"/>
      <c r="L442" s="137"/>
      <c r="M442" s="137"/>
      <c r="N442" s="137"/>
      <c r="O442" s="137"/>
      <c r="P442" s="137"/>
      <c r="Q442" s="137"/>
      <c r="R442"/>
    </row>
    <row r="443" spans="1:23" ht="14.4" x14ac:dyDescent="0.3">
      <c r="D443"/>
      <c r="E443"/>
      <c r="F443"/>
      <c r="G443"/>
      <c r="H443"/>
      <c r="K443"/>
      <c r="L443"/>
      <c r="R443"/>
    </row>
    <row r="444" spans="1:23" ht="13.5" customHeight="1" x14ac:dyDescent="0.3">
      <c r="B444" s="138" t="s">
        <v>6981</v>
      </c>
      <c r="C444" s="170" t="s">
        <v>7276</v>
      </c>
      <c r="D444"/>
      <c r="E444"/>
      <c r="F444"/>
      <c r="G444"/>
      <c r="H444"/>
      <c r="K444"/>
      <c r="L444"/>
      <c r="R444"/>
      <c r="W444"/>
    </row>
    <row r="445" spans="1:23" ht="13.5" customHeight="1" x14ac:dyDescent="0.3">
      <c r="B445" s="138"/>
      <c r="D445"/>
      <c r="E445"/>
      <c r="F445"/>
      <c r="G445"/>
      <c r="H445"/>
      <c r="K445"/>
      <c r="L445"/>
      <c r="R445"/>
      <c r="W445"/>
    </row>
    <row r="446" spans="1:23" ht="13.5" customHeight="1" x14ac:dyDescent="0.3">
      <c r="B446" s="139" t="s">
        <v>6983</v>
      </c>
      <c r="C446" s="140" t="s">
        <v>565</v>
      </c>
      <c r="D446" s="140" t="s">
        <v>38</v>
      </c>
      <c r="E446" s="142"/>
      <c r="F446" s="141"/>
      <c r="G446"/>
      <c r="H446"/>
      <c r="K446"/>
      <c r="L446"/>
      <c r="R446"/>
      <c r="W446"/>
    </row>
    <row r="447" spans="1:23" ht="13.5" customHeight="1" x14ac:dyDescent="0.3">
      <c r="A447" s="292"/>
      <c r="B447" s="99" t="s">
        <v>6984</v>
      </c>
      <c r="C447">
        <f>UDV.crops.acres_available</f>
        <v>100</v>
      </c>
      <c r="D447" t="s">
        <v>5385</v>
      </c>
      <c r="E447" s="34"/>
      <c r="F447" s="146"/>
      <c r="G447"/>
      <c r="H447"/>
      <c r="K447"/>
      <c r="L447"/>
      <c r="R447"/>
      <c r="W447"/>
    </row>
    <row r="448" spans="1:23" ht="13.5" customHeight="1" x14ac:dyDescent="0.3">
      <c r="B448" s="99" t="s">
        <v>6985</v>
      </c>
      <c r="C448" s="166">
        <f>UDV.econ_manure.liquid_sell_pct*VLOOKUP("Excess volume, tank slurry",$R$1:$T$300, 3, FALSE)</f>
        <v>0</v>
      </c>
      <c r="D448" t="s">
        <v>5246</v>
      </c>
      <c r="E448"/>
      <c r="F448" s="146"/>
      <c r="G448"/>
      <c r="H448"/>
      <c r="K448"/>
      <c r="L448"/>
      <c r="R448"/>
      <c r="W448"/>
    </row>
    <row r="449" spans="2:23" ht="13.5" customHeight="1" x14ac:dyDescent="0.3">
      <c r="B449" s="99" t="s">
        <v>6986</v>
      </c>
      <c r="C449" s="166">
        <f>UDV.econ_manure.liquid_give_pct*VLOOKUP("Excess volume, tank slurry",$R$1:$T$300, 3, FALSE)</f>
        <v>0</v>
      </c>
      <c r="D449" t="s">
        <v>5246</v>
      </c>
      <c r="E449"/>
      <c r="F449" s="146"/>
      <c r="G449"/>
      <c r="H449"/>
      <c r="K449"/>
      <c r="L449"/>
      <c r="R449"/>
      <c r="W449"/>
    </row>
    <row r="450" spans="2:23" ht="13.5" customHeight="1" x14ac:dyDescent="0.3">
      <c r="B450" s="99" t="s">
        <v>6987</v>
      </c>
      <c r="C450" s="757">
        <f>UDV.econ_manure.liquid_export_pct*VLOOKUP("Excess volume, tank slurry",$R$1:$T$300, 3, FALSE)</f>
        <v>0</v>
      </c>
      <c r="D450" t="s">
        <v>5246</v>
      </c>
      <c r="E450"/>
      <c r="F450" s="146"/>
      <c r="G450"/>
      <c r="H450"/>
      <c r="K450"/>
      <c r="L450"/>
      <c r="R450"/>
      <c r="W450"/>
    </row>
    <row r="451" spans="2:23" ht="14.4" x14ac:dyDescent="0.3">
      <c r="B451" s="99"/>
      <c r="D451"/>
      <c r="E451"/>
      <c r="F451" s="146"/>
      <c r="G451"/>
      <c r="H451"/>
      <c r="K451"/>
      <c r="L451"/>
      <c r="R451"/>
      <c r="W451"/>
    </row>
    <row r="452" spans="2:23" ht="13.5" customHeight="1" x14ac:dyDescent="0.3">
      <c r="B452" s="92" t="s">
        <v>6942</v>
      </c>
      <c r="D452"/>
      <c r="E452" s="139" t="s">
        <v>6988</v>
      </c>
      <c r="F452" s="141"/>
      <c r="G452"/>
      <c r="H452"/>
      <c r="K452"/>
      <c r="L452"/>
      <c r="R452"/>
      <c r="W452"/>
    </row>
    <row r="453" spans="2:23" ht="13.5" customHeight="1" x14ac:dyDescent="0.3">
      <c r="B453" s="175" t="s">
        <v>2908</v>
      </c>
      <c r="D453"/>
      <c r="E453" s="99"/>
      <c r="F453" s="146"/>
      <c r="G453"/>
      <c r="H453"/>
      <c r="K453"/>
      <c r="L453"/>
      <c r="R453"/>
      <c r="W453"/>
    </row>
    <row r="454" spans="2:23" ht="13.5" customHeight="1" x14ac:dyDescent="0.3">
      <c r="B454" s="143" t="s">
        <v>2663</v>
      </c>
      <c r="C454" s="144" t="s">
        <v>565</v>
      </c>
      <c r="D454" s="144" t="s">
        <v>6943</v>
      </c>
      <c r="E454" s="143" t="s">
        <v>565</v>
      </c>
      <c r="F454" s="145" t="s">
        <v>6944</v>
      </c>
      <c r="G454"/>
      <c r="H454"/>
      <c r="K454"/>
      <c r="L454"/>
      <c r="R454"/>
      <c r="W454"/>
    </row>
    <row r="455" spans="2:23" ht="14.4" x14ac:dyDescent="0.3">
      <c r="B455" s="99" t="s">
        <v>5676</v>
      </c>
      <c r="C455" s="147">
        <f>VLOOKUP(B455,$R$1:$U$299,3,FALSE)</f>
        <v>160</v>
      </c>
      <c r="D455" t="s">
        <v>5689</v>
      </c>
      <c r="E455" s="99">
        <f>C455</f>
        <v>160</v>
      </c>
      <c r="F455" s="146" t="s">
        <v>5689</v>
      </c>
      <c r="G455"/>
      <c r="H455"/>
      <c r="K455"/>
      <c r="L455"/>
      <c r="R455"/>
      <c r="W455"/>
    </row>
    <row r="456" spans="2:23" ht="13.5" customHeight="1" x14ac:dyDescent="0.3">
      <c r="B456" s="99" t="s">
        <v>6989</v>
      </c>
      <c r="C456" s="147"/>
      <c r="D456" t="s">
        <v>2442</v>
      </c>
      <c r="E456" s="99">
        <f>E457</f>
        <v>1</v>
      </c>
      <c r="F456" s="146" t="s">
        <v>2442</v>
      </c>
      <c r="G456"/>
      <c r="H456"/>
      <c r="K456"/>
      <c r="L456"/>
      <c r="R456"/>
      <c r="W456"/>
    </row>
    <row r="457" spans="2:23" ht="13.5" customHeight="1" x14ac:dyDescent="0.3">
      <c r="B457" s="99" t="s">
        <v>6534</v>
      </c>
      <c r="C457" s="147">
        <f>VLOOKUP(B457,$R$1:$U$299,3,FALSE)</f>
        <v>1</v>
      </c>
      <c r="D457" t="s">
        <v>2442</v>
      </c>
      <c r="E457" s="178">
        <f>C457</f>
        <v>1</v>
      </c>
      <c r="F457" s="146" t="s">
        <v>2442</v>
      </c>
      <c r="G457"/>
      <c r="H457"/>
      <c r="K457"/>
      <c r="L457"/>
      <c r="R457"/>
      <c r="W457"/>
    </row>
    <row r="458" spans="2:23" ht="14.4" x14ac:dyDescent="0.3">
      <c r="B458" s="99" t="s">
        <v>5663</v>
      </c>
      <c r="C458" s="147">
        <f>VLOOKUP(B458,$R$1:$U$299,3,FALSE)</f>
        <v>180</v>
      </c>
      <c r="D458" t="s">
        <v>5689</v>
      </c>
      <c r="E458" s="99">
        <f>C458</f>
        <v>180</v>
      </c>
      <c r="F458" s="146" t="s">
        <v>5689</v>
      </c>
      <c r="G458"/>
      <c r="H458"/>
      <c r="K458"/>
      <c r="L458"/>
      <c r="R458"/>
      <c r="W458"/>
    </row>
    <row r="459" spans="2:23" ht="14.4" x14ac:dyDescent="0.3">
      <c r="B459" s="99" t="s">
        <v>6990</v>
      </c>
      <c r="C459" s="147"/>
      <c r="D459" t="s">
        <v>2442</v>
      </c>
      <c r="E459" s="99">
        <f>E460</f>
        <v>1</v>
      </c>
      <c r="F459" s="146" t="s">
        <v>2442</v>
      </c>
      <c r="G459"/>
      <c r="H459"/>
      <c r="K459"/>
      <c r="L459"/>
      <c r="R459"/>
      <c r="W459"/>
    </row>
    <row r="460" spans="2:23" ht="14.4" x14ac:dyDescent="0.3">
      <c r="B460" s="99" t="s">
        <v>6535</v>
      </c>
      <c r="C460" s="147">
        <f>VLOOKUP(B460,$R$1:$U$299,3,FALSE)</f>
        <v>1</v>
      </c>
      <c r="D460" t="s">
        <v>2442</v>
      </c>
      <c r="E460" s="178">
        <f>C460</f>
        <v>1</v>
      </c>
      <c r="F460" s="146" t="s">
        <v>2442</v>
      </c>
      <c r="G460"/>
      <c r="H460"/>
      <c r="K460"/>
      <c r="L460"/>
      <c r="R460"/>
      <c r="W460"/>
    </row>
    <row r="461" spans="2:23" ht="13.5" customHeight="1" x14ac:dyDescent="0.3">
      <c r="B461" s="99" t="s">
        <v>5638</v>
      </c>
      <c r="C461" s="147">
        <f>VLOOKUP(B461,$R$1:$U$299,3,FALSE)</f>
        <v>250</v>
      </c>
      <c r="D461" t="s">
        <v>5689</v>
      </c>
      <c r="E461" s="99">
        <f>C461</f>
        <v>250</v>
      </c>
      <c r="F461" s="146" t="s">
        <v>5689</v>
      </c>
      <c r="G461"/>
      <c r="H461"/>
      <c r="K461"/>
      <c r="L461"/>
      <c r="R461"/>
      <c r="W461"/>
    </row>
    <row r="462" spans="2:23" ht="14.4" x14ac:dyDescent="0.3">
      <c r="B462" s="99" t="s">
        <v>5637</v>
      </c>
      <c r="C462" s="147">
        <f>VLOOKUP(B462,$R$1:$U$299,3,FALSE)</f>
        <v>6000</v>
      </c>
      <c r="D462" t="s">
        <v>2480</v>
      </c>
      <c r="E462" s="99">
        <f>C462</f>
        <v>6000</v>
      </c>
      <c r="F462" s="146" t="s">
        <v>2480</v>
      </c>
      <c r="G462"/>
      <c r="H462"/>
      <c r="K462"/>
      <c r="L462"/>
      <c r="R462"/>
      <c r="W462"/>
    </row>
    <row r="463" spans="2:23" ht="14.4" x14ac:dyDescent="0.3">
      <c r="B463" s="99" t="s">
        <v>6991</v>
      </c>
      <c r="C463" s="147"/>
      <c r="D463" s="146" t="s">
        <v>2442</v>
      </c>
      <c r="E463" s="147">
        <f>E464</f>
        <v>1</v>
      </c>
      <c r="F463" s="146" t="s">
        <v>2442</v>
      </c>
      <c r="G463"/>
      <c r="H463"/>
      <c r="K463"/>
      <c r="L463"/>
      <c r="R463"/>
      <c r="W463"/>
    </row>
    <row r="464" spans="2:23" ht="14.4" x14ac:dyDescent="0.3">
      <c r="B464" s="99" t="s">
        <v>6536</v>
      </c>
      <c r="C464" s="147">
        <f>VLOOKUP(B464,$R$1:$U$299,3,FALSE)</f>
        <v>1</v>
      </c>
      <c r="D464" t="s">
        <v>2442</v>
      </c>
      <c r="E464" s="178">
        <f>C464</f>
        <v>1</v>
      </c>
      <c r="F464" s="146" t="s">
        <v>2442</v>
      </c>
      <c r="G464"/>
      <c r="H464"/>
      <c r="K464"/>
      <c r="L464"/>
      <c r="R464"/>
      <c r="W464"/>
    </row>
    <row r="465" spans="1:23" ht="14.4" x14ac:dyDescent="0.3">
      <c r="B465" s="99" t="s">
        <v>5732</v>
      </c>
      <c r="C465" s="147" t="str">
        <f>VLOOKUP(B465,$R$1:$U$299,3,FALSE)</f>
        <v>Injection</v>
      </c>
      <c r="D465" t="s">
        <v>6992</v>
      </c>
      <c r="E465" s="99" t="str">
        <f>C465</f>
        <v>Injection</v>
      </c>
      <c r="F465" s="146" t="s">
        <v>6992</v>
      </c>
      <c r="G465"/>
      <c r="H465"/>
      <c r="K465"/>
      <c r="L465"/>
      <c r="R465"/>
      <c r="W465"/>
    </row>
    <row r="466" spans="1:23" ht="14.4" x14ac:dyDescent="0.3">
      <c r="B466" s="99"/>
      <c r="D466"/>
      <c r="E466" s="99"/>
      <c r="F466" s="146"/>
      <c r="G466"/>
      <c r="H466"/>
      <c r="K466"/>
      <c r="L466"/>
      <c r="R466"/>
      <c r="W466"/>
    </row>
    <row r="467" spans="1:23" ht="13.5" customHeight="1" x14ac:dyDescent="0.3">
      <c r="B467" s="175" t="s">
        <v>262</v>
      </c>
      <c r="D467"/>
      <c r="E467" s="99"/>
      <c r="F467" s="146"/>
      <c r="G467"/>
      <c r="H467"/>
      <c r="K467"/>
      <c r="L467"/>
      <c r="R467"/>
      <c r="W467"/>
    </row>
    <row r="468" spans="1:23" ht="13.5" customHeight="1" x14ac:dyDescent="0.3">
      <c r="B468" s="143" t="s">
        <v>2663</v>
      </c>
      <c r="C468" s="144" t="s">
        <v>565</v>
      </c>
      <c r="D468" s="144" t="s">
        <v>6943</v>
      </c>
      <c r="E468" s="143" t="s">
        <v>565</v>
      </c>
      <c r="F468" s="145" t="s">
        <v>6944</v>
      </c>
      <c r="G468" s="1222" t="s">
        <v>6392</v>
      </c>
      <c r="H468" s="1215" t="s">
        <v>6993</v>
      </c>
      <c r="I468" s="142"/>
      <c r="J468" s="141"/>
      <c r="K468"/>
      <c r="L468"/>
      <c r="R468"/>
      <c r="W468"/>
    </row>
    <row r="469" spans="1:23" ht="14.4" x14ac:dyDescent="0.3">
      <c r="B469" s="99" t="s">
        <v>5528</v>
      </c>
      <c r="C469" s="147">
        <f t="shared" ref="C469:C475" si="15">VLOOKUP(B469,$R$1:$U$300,3,FALSE)</f>
        <v>180</v>
      </c>
      <c r="D469" t="s">
        <v>5121</v>
      </c>
      <c r="E469" s="201">
        <f>UC.year_to_day/C469</f>
        <v>2.0277777777777777</v>
      </c>
      <c r="F469" s="146" t="s">
        <v>6994</v>
      </c>
      <c r="G469" s="42" t="s">
        <v>7117</v>
      </c>
      <c r="H469" s="92" t="s">
        <v>5443</v>
      </c>
      <c r="I469" s="1216" t="s">
        <v>2710</v>
      </c>
      <c r="J469" s="285">
        <f>(SUM(E470:E471)*UDV.OPEX_labor.tractor_stationary)+(E472*UDV.OPEX_labor.tractor_active)</f>
        <v>64.533232318953097</v>
      </c>
      <c r="K469"/>
      <c r="L469"/>
      <c r="R469"/>
      <c r="W469"/>
    </row>
    <row r="470" spans="1:23" ht="14.4" x14ac:dyDescent="0.3">
      <c r="B470" s="99" t="s">
        <v>5679</v>
      </c>
      <c r="C470" s="147">
        <f t="shared" si="15"/>
        <v>32.130931018330791</v>
      </c>
      <c r="D470" t="s">
        <v>6085</v>
      </c>
      <c r="E470" s="178">
        <f>C470*E469</f>
        <v>65.154387898281882</v>
      </c>
      <c r="F470" s="146" t="s">
        <v>2710</v>
      </c>
      <c r="G470" s="42" t="s">
        <v>7118</v>
      </c>
      <c r="H470" s="1217" t="s">
        <v>5444</v>
      </c>
      <c r="I470" s="1216" t="s">
        <v>6085</v>
      </c>
      <c r="J470" s="285"/>
      <c r="K470"/>
      <c r="L470"/>
      <c r="R470"/>
      <c r="W470"/>
    </row>
    <row r="471" spans="1:23" ht="13.5" customHeight="1" x14ac:dyDescent="0.3">
      <c r="B471" s="99" t="s">
        <v>5667</v>
      </c>
      <c r="C471" s="147">
        <f t="shared" si="15"/>
        <v>3.3629532097159456</v>
      </c>
      <c r="D471" t="s">
        <v>6085</v>
      </c>
      <c r="E471" s="178">
        <f>C471*E469</f>
        <v>6.8193217863684445</v>
      </c>
      <c r="F471" s="146" t="s">
        <v>2710</v>
      </c>
      <c r="G471" s="42" t="s">
        <v>7119</v>
      </c>
      <c r="H471" s="1218" t="s">
        <v>5445</v>
      </c>
      <c r="I471" s="1216" t="s">
        <v>6995</v>
      </c>
      <c r="J471" s="285">
        <f>SUM(J469:J470)</f>
        <v>64.533232318953097</v>
      </c>
      <c r="K471"/>
      <c r="L471"/>
      <c r="R471"/>
      <c r="W471"/>
    </row>
    <row r="472" spans="1:23" ht="14.4" x14ac:dyDescent="0.3">
      <c r="B472" s="99" t="s">
        <v>5654</v>
      </c>
      <c r="C472" s="147">
        <f t="shared" si="15"/>
        <v>25.704744814664636</v>
      </c>
      <c r="D472" t="s">
        <v>6085</v>
      </c>
      <c r="E472" s="178">
        <f>C472*E469</f>
        <v>52.123510318625506</v>
      </c>
      <c r="F472" s="146" t="s">
        <v>2710</v>
      </c>
      <c r="G472" s="42" t="s">
        <v>7120</v>
      </c>
      <c r="H472" s="1219" t="s">
        <v>5446</v>
      </c>
      <c r="I472" s="1220" t="s">
        <v>5447</v>
      </c>
      <c r="J472" s="1221">
        <f>J469+(J470/UDV.anaer_lagoon.sludge_time)</f>
        <v>64.533232318953097</v>
      </c>
      <c r="K472"/>
      <c r="L472"/>
      <c r="R472"/>
      <c r="W472"/>
    </row>
    <row r="473" spans="1:23" ht="13.5" customHeight="1" x14ac:dyDescent="0.3">
      <c r="B473" s="99" t="s">
        <v>5682</v>
      </c>
      <c r="C473" s="147">
        <f t="shared" si="15"/>
        <v>226.20175436904876</v>
      </c>
      <c r="D473" t="s">
        <v>2489</v>
      </c>
      <c r="E473" s="178">
        <f>C473*E469</f>
        <v>458.68689080390442</v>
      </c>
      <c r="F473" s="146" t="s">
        <v>5324</v>
      </c>
      <c r="G473"/>
      <c r="H473"/>
      <c r="K473"/>
      <c r="L473"/>
      <c r="R473"/>
      <c r="W473"/>
    </row>
    <row r="474" spans="1:23" ht="13.5" customHeight="1" x14ac:dyDescent="0.3">
      <c r="B474" s="99" t="s">
        <v>5672</v>
      </c>
      <c r="C474" s="147">
        <f t="shared" si="15"/>
        <v>26.634589420950288</v>
      </c>
      <c r="D474" t="s">
        <v>2489</v>
      </c>
      <c r="E474" s="178">
        <f>C474*E469</f>
        <v>54.009028548038081</v>
      </c>
      <c r="F474" s="146" t="s">
        <v>5324</v>
      </c>
      <c r="G474"/>
      <c r="H474"/>
      <c r="K474"/>
      <c r="L474"/>
      <c r="R474"/>
      <c r="W474"/>
    </row>
    <row r="475" spans="1:23" ht="13.5" customHeight="1" x14ac:dyDescent="0.3">
      <c r="B475" s="99" t="s">
        <v>5660</v>
      </c>
      <c r="C475" s="147">
        <f t="shared" si="15"/>
        <v>282.75219296131098</v>
      </c>
      <c r="D475" t="s">
        <v>2489</v>
      </c>
      <c r="E475" s="178">
        <f>C475*E469</f>
        <v>573.35861350488062</v>
      </c>
      <c r="F475" s="146" t="s">
        <v>5324</v>
      </c>
      <c r="G475"/>
      <c r="H475"/>
      <c r="K475"/>
      <c r="L475"/>
      <c r="R475"/>
      <c r="W475"/>
    </row>
    <row r="476" spans="1:23" ht="14.4" x14ac:dyDescent="0.3">
      <c r="B476" s="99" t="s">
        <v>6529</v>
      </c>
      <c r="C476" s="147">
        <f t="shared" ref="C476:C479" si="16">VLOOKUP(B476,$R$1:$U$299,3,FALSE)</f>
        <v>1527.6188051509002</v>
      </c>
      <c r="D476" t="s">
        <v>5910</v>
      </c>
      <c r="E476" s="200">
        <f>CONVERT(C476,"m^3","gal")*E469</f>
        <v>818318.22870460979</v>
      </c>
      <c r="F476" s="146" t="s">
        <v>5324</v>
      </c>
      <c r="G476"/>
      <c r="H476"/>
      <c r="K476"/>
      <c r="L476"/>
      <c r="R476"/>
      <c r="W476"/>
    </row>
    <row r="477" spans="1:23" ht="14.4" x14ac:dyDescent="0.3">
      <c r="A477" t="str">
        <f>_xlfn.CONCAT("Slurry",B477)</f>
        <v>SlurryN removed, tank</v>
      </c>
      <c r="B477" s="99" t="s">
        <v>6530</v>
      </c>
      <c r="C477" s="205">
        <f t="shared" si="16"/>
        <v>2.1396751829824225</v>
      </c>
      <c r="D477" t="s">
        <v>2413</v>
      </c>
      <c r="E477" s="201">
        <f>C477*UC.g_to_lb/UC.L_to_gal*1000</f>
        <v>17.856454957333554</v>
      </c>
      <c r="F477" s="146" t="s">
        <v>2414</v>
      </c>
      <c r="G477"/>
      <c r="H477"/>
      <c r="K477"/>
      <c r="L477"/>
      <c r="R477"/>
      <c r="W477"/>
    </row>
    <row r="478" spans="1:23" ht="13.5" customHeight="1" x14ac:dyDescent="0.3">
      <c r="A478" t="str">
        <f t="shared" ref="A478:A479" si="17">_xlfn.CONCAT("Slurry",B478)</f>
        <v>SlurryP2O5 removed, tank</v>
      </c>
      <c r="B478" s="99" t="s">
        <v>6531</v>
      </c>
      <c r="C478" s="205">
        <f t="shared" si="16"/>
        <v>1.0722741958150184</v>
      </c>
      <c r="D478" t="s">
        <v>2413</v>
      </c>
      <c r="E478" s="201">
        <f>C478*UC.g_to_lb/UC.L_to_gal*1000</f>
        <v>8.9485619274200019</v>
      </c>
      <c r="F478" s="146" t="s">
        <v>2414</v>
      </c>
      <c r="G478"/>
      <c r="H478"/>
      <c r="K478"/>
      <c r="L478"/>
      <c r="R478"/>
      <c r="W478"/>
    </row>
    <row r="479" spans="1:23" ht="14.4" x14ac:dyDescent="0.3">
      <c r="A479" t="str">
        <f t="shared" si="17"/>
        <v>SlurryK2O removed, tank</v>
      </c>
      <c r="B479" s="99" t="s">
        <v>6532</v>
      </c>
      <c r="C479" s="205">
        <f t="shared" si="16"/>
        <v>1.3786449849271349</v>
      </c>
      <c r="D479" t="s">
        <v>2413</v>
      </c>
      <c r="E479" s="201">
        <f>C479*UC.g_to_lb/UC.L_to_gal*1000</f>
        <v>11.505350097668268</v>
      </c>
      <c r="F479" s="146" t="s">
        <v>2414</v>
      </c>
      <c r="G479"/>
      <c r="H479"/>
      <c r="K479"/>
      <c r="L479"/>
      <c r="R479"/>
      <c r="W479"/>
    </row>
    <row r="480" spans="1:23" ht="14.4" x14ac:dyDescent="0.3">
      <c r="B480" s="99"/>
      <c r="D480" s="146"/>
      <c r="E480"/>
      <c r="F480" s="146"/>
      <c r="G480"/>
      <c r="H480"/>
      <c r="K480"/>
      <c r="L480"/>
      <c r="R480"/>
      <c r="W480"/>
    </row>
    <row r="481" spans="1:23" ht="13.5" customHeight="1" x14ac:dyDescent="0.3">
      <c r="B481" s="92" t="s">
        <v>6996</v>
      </c>
      <c r="D481"/>
      <c r="E481" s="99"/>
      <c r="F481" s="146"/>
      <c r="G481"/>
      <c r="H481"/>
      <c r="K481"/>
      <c r="L481"/>
      <c r="R481"/>
      <c r="W481"/>
    </row>
    <row r="482" spans="1:23" ht="13.5" customHeight="1" x14ac:dyDescent="0.3">
      <c r="B482" s="143" t="s">
        <v>2663</v>
      </c>
      <c r="C482" s="144" t="s">
        <v>565</v>
      </c>
      <c r="D482" s="144" t="s">
        <v>6943</v>
      </c>
      <c r="E482" s="143" t="s">
        <v>565</v>
      </c>
      <c r="F482" s="145" t="s">
        <v>6944</v>
      </c>
      <c r="G482"/>
      <c r="H482"/>
      <c r="K482"/>
      <c r="L482"/>
      <c r="R482"/>
      <c r="W482"/>
    </row>
    <row r="483" spans="1:23" ht="14.4" x14ac:dyDescent="0.3">
      <c r="B483" s="99" t="s">
        <v>6997</v>
      </c>
      <c r="D483" s="146"/>
      <c r="E483" s="346">
        <f>UDV.fuel.diesel_avg_cost</f>
        <v>3.6964905660377356</v>
      </c>
      <c r="F483" s="146" t="s">
        <v>2315</v>
      </c>
      <c r="G483"/>
      <c r="H483"/>
      <c r="K483"/>
      <c r="L483"/>
      <c r="R483"/>
      <c r="W483"/>
    </row>
    <row r="484" spans="1:23" ht="13.5" customHeight="1" x14ac:dyDescent="0.3">
      <c r="B484" s="149" t="s">
        <v>6998</v>
      </c>
      <c r="C484" s="150"/>
      <c r="D484" s="151"/>
      <c r="E484" s="347">
        <f>UDV.labor.non_specialized_cost</f>
        <v>23.66</v>
      </c>
      <c r="F484" s="151" t="s">
        <v>3659</v>
      </c>
      <c r="G484"/>
      <c r="H484"/>
      <c r="K484"/>
      <c r="L484"/>
      <c r="R484"/>
      <c r="W484"/>
    </row>
    <row r="485" spans="1:23" ht="13.5" customHeight="1" x14ac:dyDescent="0.3">
      <c r="D485"/>
      <c r="E485"/>
      <c r="F485"/>
      <c r="G485"/>
      <c r="H485"/>
      <c r="K485"/>
      <c r="L485"/>
      <c r="R485"/>
      <c r="W485"/>
    </row>
    <row r="486" spans="1:23" ht="13.5" customHeight="1" x14ac:dyDescent="0.3">
      <c r="B486" s="206" t="s">
        <v>7277</v>
      </c>
      <c r="C486" s="140"/>
      <c r="D486" s="207"/>
      <c r="E486" s="207"/>
      <c r="F486" s="207"/>
      <c r="G486" s="207"/>
      <c r="H486" s="207"/>
      <c r="I486" s="207"/>
      <c r="J486" s="142"/>
      <c r="K486" s="142"/>
      <c r="L486" s="142"/>
      <c r="M486" s="142"/>
      <c r="N486" s="142"/>
      <c r="O486" s="208"/>
      <c r="R486"/>
      <c r="W486"/>
    </row>
    <row r="487" spans="1:23" ht="13.5" customHeight="1" x14ac:dyDescent="0.3">
      <c r="B487" s="210" t="s">
        <v>6946</v>
      </c>
      <c r="C487" s="152" t="s">
        <v>6947</v>
      </c>
      <c r="D487" s="152" t="s">
        <v>6948</v>
      </c>
      <c r="E487" s="152" t="s">
        <v>6999</v>
      </c>
      <c r="F487" s="152" t="s">
        <v>7000</v>
      </c>
      <c r="G487" s="152" t="s">
        <v>6951</v>
      </c>
      <c r="H487" s="152" t="s">
        <v>6952</v>
      </c>
      <c r="I487" s="152" t="s">
        <v>7001</v>
      </c>
      <c r="J487" s="152" t="s">
        <v>6954</v>
      </c>
      <c r="K487" s="152" t="s">
        <v>6955</v>
      </c>
      <c r="L487" s="152" t="s">
        <v>6956</v>
      </c>
      <c r="M487" s="82" t="s">
        <v>6957</v>
      </c>
      <c r="N487" s="152" t="s">
        <v>7002</v>
      </c>
      <c r="O487" s="161" t="s">
        <v>6959</v>
      </c>
      <c r="R487"/>
      <c r="W487"/>
    </row>
    <row r="488" spans="1:23" ht="13.5" customHeight="1" x14ac:dyDescent="0.3">
      <c r="A488" t="s">
        <v>7003</v>
      </c>
      <c r="B488" s="99" t="s">
        <v>7004</v>
      </c>
      <c r="C488" s="153">
        <f>VLOOKUP(_xlfn.CONCAT("Tractor",E455," hp"),Econ.Tables!C:E,2,FALSE)*E457</f>
        <v>283300</v>
      </c>
      <c r="D488" s="79">
        <f>VLOOKUP("CAPEXLifetimeTractor, 4 wheel drive and crawlerDefault",Econ.inputsTable!$E:$H,2,FALSE)/E488</f>
        <v>16</v>
      </c>
      <c r="E488" s="213">
        <f>IF(F488&gt;UDV.tractor.min_usage_yearly,F488,UDV.tractor.min_usage_yearly)</f>
        <v>1000</v>
      </c>
      <c r="F488" s="214">
        <f>IF(E457=0,0,E470/E457)</f>
        <v>65.154387898281882</v>
      </c>
      <c r="G488" s="215">
        <f>F488/E488</f>
        <v>6.5154387898281887E-2</v>
      </c>
      <c r="H488" s="216">
        <f t="shared" ref="H488:H495" si="18">UDV.econ_capital.interest_rate</f>
        <v>5.0999999999999997E-2</v>
      </c>
      <c r="I488" s="216">
        <f>VLOOKUP("CAPEXSalvageEquipmentDefault",Econ.inputsTable!$E:$H,2,FALSE)</f>
        <v>0.2</v>
      </c>
      <c r="J488" s="153">
        <f t="shared" ref="J488:J495" si="19">C488*I488</f>
        <v>56660</v>
      </c>
      <c r="K488" s="217">
        <f>VLOOKUP("CAPEXFinanced amountNADefault",Econ.inputsTable!$E:$H,2,FALSE)</f>
        <v>1</v>
      </c>
      <c r="L488" s="218">
        <f t="shared" ref="L488:L495" si="20">H488*K488</f>
        <v>5.0999999999999997E-2</v>
      </c>
      <c r="M488">
        <f t="shared" ref="M488:M495" si="21">L488/(1-(1+L488)^-D488)</f>
        <v>9.2927821836826949E-2</v>
      </c>
      <c r="N488" s="153">
        <f t="shared" ref="N488:N495" si="22">((C488-J488)*M488)+(J488*L488)</f>
        <v>23950.821541098459</v>
      </c>
      <c r="O488" s="157">
        <f t="shared" ref="O488:O495" si="23">N488*G488</f>
        <v>1560.5011171712547</v>
      </c>
      <c r="R488"/>
      <c r="W488"/>
    </row>
    <row r="489" spans="1:23" ht="14.4" x14ac:dyDescent="0.3">
      <c r="A489" t="s">
        <v>7003</v>
      </c>
      <c r="B489" s="99" t="s">
        <v>1226</v>
      </c>
      <c r="C489" s="153">
        <f>VLOOKUP("Agitator, ptoDefault",Econ.Tables!$C:$E,2,FALSE)*E456</f>
        <v>43500</v>
      </c>
      <c r="D489" s="79">
        <f>VLOOKUP("CAPEXLifetimeAgitator, ptoDefault",Econ.inputsTable!$E:$H,2,FALSE)</f>
        <v>15</v>
      </c>
      <c r="E489" s="42"/>
      <c r="F489" s="214">
        <f>F488</f>
        <v>65.154387898281882</v>
      </c>
      <c r="G489" s="220">
        <f>VLOOKUP("CAPEXAnnual usage on activityItems that are used only on the given activityDefault",Econ.inputsTable!$E:$H,2,FALSE)</f>
        <v>1</v>
      </c>
      <c r="H489" s="216">
        <f t="shared" si="18"/>
        <v>5.0999999999999997E-2</v>
      </c>
      <c r="I489" s="216">
        <f>VLOOKUP("CAPEXSalvageEquipmentDefault",Econ.inputsTable!$E:$H,2,FALSE)</f>
        <v>0.2</v>
      </c>
      <c r="J489" s="153">
        <f t="shared" si="19"/>
        <v>8700</v>
      </c>
      <c r="K489" s="217">
        <f>VLOOKUP("CAPEXFinanced amountNADefault",Econ.inputsTable!$E:$H,2,FALSE)</f>
        <v>1</v>
      </c>
      <c r="L489" s="218">
        <f t="shared" si="20"/>
        <v>5.0999999999999997E-2</v>
      </c>
      <c r="M489">
        <f t="shared" si="21"/>
        <v>9.6994593888520206E-2</v>
      </c>
      <c r="N489" s="153">
        <f t="shared" si="22"/>
        <v>3819.1118673205028</v>
      </c>
      <c r="O489" s="157">
        <f t="shared" si="23"/>
        <v>3819.1118673205028</v>
      </c>
      <c r="R489"/>
      <c r="W489"/>
    </row>
    <row r="490" spans="1:23" ht="13.5" customHeight="1" x14ac:dyDescent="0.3">
      <c r="A490" t="s">
        <v>7003</v>
      </c>
      <c r="B490" s="99" t="s">
        <v>7005</v>
      </c>
      <c r="C490" s="153">
        <f>VLOOKUP(_xlfn.CONCAT("Tractor",E458," hp"),Econ.Tables!$C:$E,2,FALSE)*E460</f>
        <v>313600</v>
      </c>
      <c r="D490" s="79">
        <f>VLOOKUP("CAPEXLifetimeTractor, 4 wheel drive and crawlerDefault",Econ.inputsTable!$E:$H,2,FALSE)/E490</f>
        <v>16</v>
      </c>
      <c r="E490" s="213">
        <f>IF(F490&gt;UDV.tractor.min_usage_yearly,F490,UDV.tractor.min_usage_yearly)</f>
        <v>1000</v>
      </c>
      <c r="F490" s="214">
        <f>IF(E460=0,0,E471/E460)</f>
        <v>6.8193217863684445</v>
      </c>
      <c r="G490" s="215">
        <f>F490/E490</f>
        <v>6.8193217863684449E-3</v>
      </c>
      <c r="H490" s="216">
        <f t="shared" si="18"/>
        <v>5.0999999999999997E-2</v>
      </c>
      <c r="I490" s="216">
        <f>VLOOKUP("CAPEXSalvageEquipmentDefault",Econ.inputsTable!$E:$H,2,FALSE)</f>
        <v>0.2</v>
      </c>
      <c r="J490" s="153">
        <f t="shared" si="19"/>
        <v>62720</v>
      </c>
      <c r="K490" s="217">
        <f>VLOOKUP("CAPEXFinanced amountNADefault",Econ.inputsTable!$E:$H,2,FALSE)</f>
        <v>1</v>
      </c>
      <c r="L490" s="218">
        <f t="shared" si="20"/>
        <v>5.0999999999999997E-2</v>
      </c>
      <c r="M490">
        <f t="shared" si="21"/>
        <v>9.2927821836826949E-2</v>
      </c>
      <c r="N490" s="153">
        <f t="shared" si="22"/>
        <v>26512.451942423148</v>
      </c>
      <c r="O490" s="157">
        <f t="shared" si="23"/>
        <v>180.79694114101255</v>
      </c>
      <c r="R490"/>
      <c r="W490"/>
    </row>
    <row r="491" spans="1:23" ht="13.5" customHeight="1" x14ac:dyDescent="0.3">
      <c r="A491" t="s">
        <v>7003</v>
      </c>
      <c r="B491" s="222" t="s">
        <v>3021</v>
      </c>
      <c r="C491" s="223">
        <f>IF(E459=0,0,VLOOKUP("Pump, tractor ptoDefault",Econ.Tables!$C:$E,2,FALSE)*E459)</f>
        <v>26500</v>
      </c>
      <c r="D491" s="79">
        <f>VLOOKUP("CAPEXLifetimePump, tractor ptoDefault",Econ.inputsTable!$E:$H,2,FALSE)</f>
        <v>15</v>
      </c>
      <c r="E491" s="42"/>
      <c r="F491" s="214">
        <f>F490</f>
        <v>6.8193217863684445</v>
      </c>
      <c r="G491" s="220">
        <f>VLOOKUP("CAPEXAnnual usage on activityItems that are used only on the given activityDefault",Econ.inputsTable!$E:$H,2,FALSE)</f>
        <v>1</v>
      </c>
      <c r="H491" s="216">
        <f t="shared" si="18"/>
        <v>5.0999999999999997E-2</v>
      </c>
      <c r="I491" s="216">
        <f>VLOOKUP("CAPEXSalvageEquipmentDefault",Econ.inputsTable!$E:$H,2,FALSE)</f>
        <v>0.2</v>
      </c>
      <c r="J491" s="153">
        <f t="shared" si="19"/>
        <v>5300</v>
      </c>
      <c r="K491" s="217">
        <f>VLOOKUP("CAPEXFinanced amountNADefault",Econ.inputsTable!$E:$H,2,FALSE)</f>
        <v>1</v>
      </c>
      <c r="L491" s="218">
        <f t="shared" si="20"/>
        <v>5.0999999999999997E-2</v>
      </c>
      <c r="M491">
        <f t="shared" si="21"/>
        <v>9.6994593888520206E-2</v>
      </c>
      <c r="N491" s="153">
        <f t="shared" si="22"/>
        <v>2326.5853904366286</v>
      </c>
      <c r="O491" s="157">
        <f t="shared" si="23"/>
        <v>2326.5853904366286</v>
      </c>
      <c r="R491"/>
      <c r="W491"/>
    </row>
    <row r="492" spans="1:23" ht="13.5" customHeight="1" x14ac:dyDescent="0.3">
      <c r="A492" t="s">
        <v>7003</v>
      </c>
      <c r="B492" s="99" t="s">
        <v>7006</v>
      </c>
      <c r="C492" s="153">
        <f>VLOOKUP(_xlfn.CONCAT("Tractor",E461," hp"),Econ.Tables!$C:$E,2,FALSE)*E464</f>
        <v>404700</v>
      </c>
      <c r="D492" s="79">
        <f>VLOOKUP("CAPEXLifetimeTractor, 4 wheel drive and crawlerDefault",Econ.inputsTable!$E:$H,2,FALSE)/E492</f>
        <v>16</v>
      </c>
      <c r="E492" s="213">
        <f>IF(F492&gt;UDV.tractor.min_usage_yearly,F492,UDV.tractor.min_usage_yearly)</f>
        <v>1000</v>
      </c>
      <c r="F492" s="79">
        <f>IF(E464=0,0,E472/E464)</f>
        <v>52.123510318625506</v>
      </c>
      <c r="G492" s="215">
        <f>F492/E492</f>
        <v>5.2123510318625506E-2</v>
      </c>
      <c r="H492" s="216">
        <f t="shared" si="18"/>
        <v>5.0999999999999997E-2</v>
      </c>
      <c r="I492" s="216">
        <f>VLOOKUP("CAPEXSalvageEquipmentDefault",Econ.inputsTable!$E:$H,2,FALSE)</f>
        <v>0.2</v>
      </c>
      <c r="J492" s="153">
        <f t="shared" si="19"/>
        <v>80940</v>
      </c>
      <c r="K492" s="217">
        <f>VLOOKUP("CAPEXFinanced amountNADefault",Econ.inputsTable!$E:$H,2,FALSE)</f>
        <v>1</v>
      </c>
      <c r="L492" s="218">
        <f t="shared" si="20"/>
        <v>5.0999999999999997E-2</v>
      </c>
      <c r="M492">
        <f t="shared" si="21"/>
        <v>9.2927821836826949E-2</v>
      </c>
      <c r="N492" s="153">
        <f t="shared" si="22"/>
        <v>34214.251597891096</v>
      </c>
      <c r="O492" s="157">
        <f t="shared" si="23"/>
        <v>1783.3668962067256</v>
      </c>
      <c r="R492"/>
      <c r="W492"/>
    </row>
    <row r="493" spans="1:23" ht="14.4" x14ac:dyDescent="0.3">
      <c r="A493" t="s">
        <v>7003</v>
      </c>
      <c r="B493" s="99" t="s">
        <v>6392</v>
      </c>
      <c r="C493" s="153">
        <f>UDV.econ_tanker.cost*E463</f>
        <v>136600</v>
      </c>
      <c r="D493" s="42">
        <f>VLOOKUP("CAPEXLifetimeEquipmentDefault",Econ.inputsTable!$E:$H,2,FALSE)</f>
        <v>10</v>
      </c>
      <c r="E493" s="42"/>
      <c r="F493" s="79">
        <f>F492</f>
        <v>52.123510318625506</v>
      </c>
      <c r="G493" s="220">
        <f>VLOOKUP("CAPEXAnnual usage on activityItems that are used only on the given activityDefault",Econ.inputsTable!$E:$H,2,FALSE)</f>
        <v>1</v>
      </c>
      <c r="H493" s="216">
        <f t="shared" si="18"/>
        <v>5.0999999999999997E-2</v>
      </c>
      <c r="I493" s="216">
        <f>VLOOKUP("CAPEXSalvageEquipmentDefault",Econ.inputsTable!$E:$H,2,FALSE)</f>
        <v>0.2</v>
      </c>
      <c r="J493" s="153">
        <f t="shared" si="19"/>
        <v>27320</v>
      </c>
      <c r="K493" s="217">
        <f>VLOOKUP("CAPEXFinanced amountNADefault",Econ.inputsTable!$E:$H,2,FALSE)</f>
        <v>1</v>
      </c>
      <c r="L493" s="218">
        <f t="shared" si="20"/>
        <v>5.0999999999999997E-2</v>
      </c>
      <c r="M493">
        <f t="shared" si="21"/>
        <v>0.13013423257204779</v>
      </c>
      <c r="N493" s="153">
        <f t="shared" si="22"/>
        <v>15614.388935473382</v>
      </c>
      <c r="O493" s="157">
        <f t="shared" si="23"/>
        <v>15614.388935473382</v>
      </c>
      <c r="R493"/>
      <c r="W493"/>
    </row>
    <row r="494" spans="1:23" ht="13.5" customHeight="1" x14ac:dyDescent="0.3">
      <c r="A494" t="s">
        <v>7003</v>
      </c>
      <c r="B494" s="99" t="s">
        <v>7007</v>
      </c>
      <c r="C494" s="229">
        <f>IF(E465="Broadcast",VLOOKUP("BoomDefault", Econ.Tables!$C:$E,2,FALSE),0)*E463</f>
        <v>0</v>
      </c>
      <c r="D494" s="42">
        <f>VLOOKUP("CAPEXLifetimeEquipmentDefault",Econ.inputsTable!$E:$H,2,FALSE)</f>
        <v>10</v>
      </c>
      <c r="E494" s="230"/>
      <c r="F494" s="350">
        <f>IF(C465="Broadcast",F492,0)</f>
        <v>0</v>
      </c>
      <c r="G494" s="220">
        <f>VLOOKUP("CAPEXAnnual usage on activityItems that are used only on the given activityDefault",Econ.inputsTable!$E:$H,2,FALSE)</f>
        <v>1</v>
      </c>
      <c r="H494" s="216">
        <f t="shared" si="18"/>
        <v>5.0999999999999997E-2</v>
      </c>
      <c r="I494" s="216">
        <f>VLOOKUP("CAPEXSalvageEquipmentDefault",Econ.inputsTable!$E:$H,2,FALSE)</f>
        <v>0.2</v>
      </c>
      <c r="J494" s="153">
        <f t="shared" si="19"/>
        <v>0</v>
      </c>
      <c r="K494" s="217">
        <f>VLOOKUP("CAPEXFinanced amountNADefault",Econ.inputsTable!$E:$H,2,FALSE)</f>
        <v>1</v>
      </c>
      <c r="L494" s="218">
        <f t="shared" si="20"/>
        <v>5.0999999999999997E-2</v>
      </c>
      <c r="M494">
        <f t="shared" si="21"/>
        <v>0.13013423257204779</v>
      </c>
      <c r="N494" s="153">
        <f t="shared" si="22"/>
        <v>0</v>
      </c>
      <c r="O494" s="157">
        <f t="shared" si="23"/>
        <v>0</v>
      </c>
      <c r="R494"/>
      <c r="W494"/>
    </row>
    <row r="495" spans="1:23" ht="13.5" customHeight="1" x14ac:dyDescent="0.3">
      <c r="A495" t="s">
        <v>7003</v>
      </c>
      <c r="B495" s="99" t="s">
        <v>7008</v>
      </c>
      <c r="C495" s="229">
        <f>IF(E465="Injection",VLOOKUP("InjectionDefault",Econ.Tables!$C:$E,2,FALSE),0)*E463</f>
        <v>80900</v>
      </c>
      <c r="D495" s="42">
        <f>VLOOKUP("CAPEXLifetimeEquipmentDefault",Econ.inputsTable!$E:$H,2,FALSE)</f>
        <v>10</v>
      </c>
      <c r="E495" s="230"/>
      <c r="F495" s="231">
        <f>IF(C465="Injection",F493,0)</f>
        <v>52.123510318625506</v>
      </c>
      <c r="G495" s="220">
        <f>VLOOKUP("CAPEXAnnual usage on activityItems that are used only on the given activityDefault",Econ.inputsTable!$E:$H,2,FALSE)</f>
        <v>1</v>
      </c>
      <c r="H495" s="216">
        <f t="shared" si="18"/>
        <v>5.0999999999999997E-2</v>
      </c>
      <c r="I495" s="216">
        <f>VLOOKUP("CAPEXSalvageEquipmentDefault",Econ.inputsTable!$E:$H,2,FALSE)</f>
        <v>0.2</v>
      </c>
      <c r="J495" s="153">
        <f t="shared" si="19"/>
        <v>16180</v>
      </c>
      <c r="K495" s="217">
        <f>VLOOKUP("CAPEXFinanced amountNADefault",Econ.inputsTable!$E:$H,2,FALSE)</f>
        <v>1</v>
      </c>
      <c r="L495" s="218">
        <f t="shared" si="20"/>
        <v>5.0999999999999997E-2</v>
      </c>
      <c r="M495">
        <f t="shared" si="21"/>
        <v>0.13013423257204779</v>
      </c>
      <c r="N495" s="153">
        <f t="shared" si="22"/>
        <v>9247.4675320629322</v>
      </c>
      <c r="O495" s="157">
        <f t="shared" si="23"/>
        <v>9247.4675320629322</v>
      </c>
      <c r="R495"/>
      <c r="W495"/>
    </row>
    <row r="496" spans="1:23" ht="13.5" customHeight="1" x14ac:dyDescent="0.3">
      <c r="B496" s="99"/>
      <c r="C496" s="229"/>
      <c r="D496" s="42"/>
      <c r="E496" s="42"/>
      <c r="F496" s="42"/>
      <c r="H496" s="42"/>
      <c r="I496" s="152"/>
      <c r="J496" s="231"/>
      <c r="K496" s="220"/>
      <c r="L496" s="216"/>
      <c r="M496" s="216"/>
      <c r="N496" s="216"/>
      <c r="O496" s="232"/>
      <c r="R496"/>
      <c r="W496"/>
    </row>
    <row r="497" spans="1:23" ht="13.5" customHeight="1" x14ac:dyDescent="0.3">
      <c r="B497" s="99"/>
      <c r="C497" s="82" t="s">
        <v>7009</v>
      </c>
      <c r="D497" s="82" t="s">
        <v>6963</v>
      </c>
      <c r="E497"/>
      <c r="F497"/>
      <c r="G497"/>
      <c r="H497"/>
      <c r="K497"/>
      <c r="L497"/>
      <c r="O497" s="146"/>
      <c r="R497"/>
      <c r="W497"/>
    </row>
    <row r="498" spans="1:23" ht="14.4" x14ac:dyDescent="0.3">
      <c r="A498" t="s">
        <v>5202</v>
      </c>
      <c r="B498" s="99" t="s">
        <v>6964</v>
      </c>
      <c r="C498" s="153">
        <f>SUM(C488:C495)</f>
        <v>1289100</v>
      </c>
      <c r="D498" s="233">
        <f>SUMPRODUCT(C488:C495,G488:G495)</f>
        <v>329191.16202973615</v>
      </c>
      <c r="E498"/>
      <c r="F498"/>
      <c r="G498"/>
      <c r="H498"/>
      <c r="K498"/>
      <c r="L498"/>
      <c r="O498" s="146"/>
      <c r="R498"/>
      <c r="W498"/>
    </row>
    <row r="499" spans="1:23" ht="14.4" x14ac:dyDescent="0.3">
      <c r="A499" t="s">
        <v>5202</v>
      </c>
      <c r="B499" s="149" t="s">
        <v>6965</v>
      </c>
      <c r="C499" s="159">
        <f>SUM(N488:N495)</f>
        <v>115685.07880670615</v>
      </c>
      <c r="D499" s="234">
        <f>SUMPRODUCT(N488:N495,G488:G495)</f>
        <v>34532.218679812438</v>
      </c>
      <c r="E499" s="159"/>
      <c r="F499" s="150"/>
      <c r="G499" s="150"/>
      <c r="H499" s="150"/>
      <c r="I499" s="150"/>
      <c r="J499" s="150"/>
      <c r="K499" s="150"/>
      <c r="L499" s="150"/>
      <c r="M499" s="150"/>
      <c r="N499" s="150"/>
      <c r="O499" s="151"/>
      <c r="R499"/>
      <c r="W499"/>
    </row>
    <row r="500" spans="1:23" ht="13.5" customHeight="1" x14ac:dyDescent="0.3">
      <c r="R500"/>
      <c r="W500"/>
    </row>
    <row r="501" spans="1:23" ht="13.5" customHeight="1" x14ac:dyDescent="0.3">
      <c r="B501" s="160" t="s">
        <v>6966</v>
      </c>
      <c r="C501" s="152" t="s">
        <v>6967</v>
      </c>
      <c r="D501" s="152" t="s">
        <v>6968</v>
      </c>
      <c r="E501" s="152" t="s">
        <v>6969</v>
      </c>
      <c r="F501" s="152" t="s">
        <v>6970</v>
      </c>
      <c r="G501" s="152" t="s">
        <v>6971</v>
      </c>
      <c r="H501" s="152" t="s">
        <v>6972</v>
      </c>
      <c r="I501" s="152" t="s">
        <v>6973</v>
      </c>
      <c r="J501" s="152" t="s">
        <v>6974</v>
      </c>
      <c r="K501" s="152" t="s">
        <v>6975</v>
      </c>
      <c r="L501" s="152" t="s">
        <v>6976</v>
      </c>
      <c r="M501" s="152" t="s">
        <v>6977</v>
      </c>
      <c r="N501" s="152" t="s">
        <v>6978</v>
      </c>
      <c r="O501" s="161" t="s">
        <v>6979</v>
      </c>
      <c r="R501"/>
      <c r="W501"/>
    </row>
    <row r="502" spans="1:23" ht="13.5" customHeight="1" x14ac:dyDescent="0.3">
      <c r="B502" s="235" t="s">
        <v>7004</v>
      </c>
      <c r="C502" s="236">
        <f>VLOOKUP("OPEXInsuranceEverythingDefault",Econ.inputsTable!$E:$H,2,FALSE)</f>
        <v>5.0000000000000001E-3</v>
      </c>
      <c r="D502" s="237">
        <f>VLOOKUP("OPEXRepair and maintenanceEquipmentDefault",Econ.inputsTable!$E:$H,2,FALSE)</f>
        <v>0.03</v>
      </c>
      <c r="E502"/>
      <c r="F502"/>
      <c r="G502"/>
      <c r="H502" s="147">
        <f>E473</f>
        <v>458.68689080390442</v>
      </c>
      <c r="I502" s="233">
        <f>H502*E483</f>
        <v>1695.5317646218136</v>
      </c>
      <c r="J502" s="238">
        <f>I502*VLOOKUP("OPEXLubeLubeDefault",Econ.inputsTable!$E:$H,2,FALSE)</f>
        <v>169.55317646218137</v>
      </c>
      <c r="K502" s="205">
        <f>E470*VLOOKUP("OPEXLaborTractorDefault",Econ.inputsTable!$E:$H,2,FALSE)</f>
        <v>71.669826688110078</v>
      </c>
      <c r="L502" s="239">
        <f>K502*E484</f>
        <v>1695.7080994406845</v>
      </c>
      <c r="O502" s="240">
        <f t="shared" ref="O502:O509" si="24">(SUM(C502:D502)*C488*G488)+SUM(E502,G502,I502,J502,L502,N502)</f>
        <v>4206.8313737300941</v>
      </c>
      <c r="R502"/>
      <c r="W502"/>
    </row>
    <row r="503" spans="1:23" ht="13.5" customHeight="1" x14ac:dyDescent="0.3">
      <c r="B503" s="99" t="s">
        <v>1226</v>
      </c>
      <c r="C503" s="236">
        <f>VLOOKUP("OPEXInsuranceEverythingDefault",Econ.inputsTable!$E:$H,2,FALSE)</f>
        <v>5.0000000000000001E-3</v>
      </c>
      <c r="D503" s="237">
        <f>VLOOKUP("OPEXRepair and maintenanceEquipmentDefault",Econ.inputsTable!$E:$H,2,FALSE)</f>
        <v>0.03</v>
      </c>
      <c r="E503"/>
      <c r="F503"/>
      <c r="G503"/>
      <c r="H503" s="147"/>
      <c r="I503" s="233"/>
      <c r="J503" s="233"/>
      <c r="K503"/>
      <c r="L503" s="153"/>
      <c r="O503" s="240">
        <f t="shared" si="24"/>
        <v>1522.4999999999998</v>
      </c>
    </row>
    <row r="504" spans="1:23" ht="13.5" customHeight="1" x14ac:dyDescent="0.3">
      <c r="B504" s="99" t="s">
        <v>7005</v>
      </c>
      <c r="C504" s="236">
        <f>VLOOKUP("OPEXInsuranceEverythingDefault",Econ.inputsTable!$E:$H,2,FALSE)</f>
        <v>5.0000000000000001E-3</v>
      </c>
      <c r="D504" s="237">
        <f>VLOOKUP("OPEXRepair and maintenanceEquipmentDefault",Econ.inputsTable!$E:$H,2,FALSE)</f>
        <v>0.03</v>
      </c>
      <c r="E504"/>
      <c r="F504"/>
      <c r="G504"/>
      <c r="H504" s="147">
        <f>E474</f>
        <v>54.009028548038081</v>
      </c>
      <c r="I504" s="233">
        <f>H504*E483</f>
        <v>199.64386450868551</v>
      </c>
      <c r="J504" s="238">
        <f>I504*VLOOKUP("OPEXLubeLubeDefault",Econ.inputsTable!$E:$H,2,FALSE)</f>
        <v>19.964386450868552</v>
      </c>
      <c r="K504" s="205">
        <f>E471*VLOOKUP("OPEXLaborTractorDefault",Econ.inputsTable!$E:$H,2,FALSE)</f>
        <v>7.5012539650052892</v>
      </c>
      <c r="L504" s="239">
        <f>K504*E484</f>
        <v>177.47966881202515</v>
      </c>
      <c r="O504" s="240">
        <f t="shared" si="24"/>
        <v>471.93679569875923</v>
      </c>
    </row>
    <row r="505" spans="1:23" ht="13.5" customHeight="1" x14ac:dyDescent="0.3">
      <c r="B505" s="222" t="s">
        <v>3021</v>
      </c>
      <c r="C505" s="236">
        <f>VLOOKUP("OPEXInsuranceEverythingDefault",Econ.inputsTable!$E:$H,2,FALSE)</f>
        <v>5.0000000000000001E-3</v>
      </c>
      <c r="D505" s="237">
        <f>VLOOKUP("OPEXRepair and maintenancePump, tractor ptoDefault",Econ.inputsTable!$E:$H,2,FALSE)</f>
        <v>0.05</v>
      </c>
      <c r="E505"/>
      <c r="F505"/>
      <c r="G505"/>
      <c r="H505" s="147"/>
      <c r="I505" s="233"/>
      <c r="J505" s="233"/>
      <c r="K505"/>
      <c r="L505" s="153"/>
      <c r="O505" s="240">
        <f t="shared" si="24"/>
        <v>1457.5</v>
      </c>
    </row>
    <row r="506" spans="1:23" ht="13.5" customHeight="1" x14ac:dyDescent="0.3">
      <c r="B506" s="99" t="s">
        <v>7006</v>
      </c>
      <c r="C506" s="236">
        <f>VLOOKUP("OPEXInsuranceEverythingDefault",Econ.inputsTable!$E:$H,2,FALSE)</f>
        <v>5.0000000000000001E-3</v>
      </c>
      <c r="D506" s="237">
        <f>VLOOKUP("OPEXRepair and maintenanceEquipmentDefault",Econ.inputsTable!$E:$H,2,FALSE)</f>
        <v>0.03</v>
      </c>
      <c r="E506"/>
      <c r="F506"/>
      <c r="G506"/>
      <c r="H506" s="147">
        <f>E475</f>
        <v>573.35861350488062</v>
      </c>
      <c r="I506" s="233">
        <f>H506*E483</f>
        <v>2119.4147057772675</v>
      </c>
      <c r="J506" s="238">
        <f>I506*VLOOKUP("OPEXLubeLubeDefault",Econ.inputsTable!$E:$H,2,FALSE)</f>
        <v>211.94147057772676</v>
      </c>
      <c r="K506" s="205">
        <f>E472*VLOOKUP("OPEXLaborTractorDefault",Econ.inputsTable!$E:$H,2,FALSE)</f>
        <v>57.335861350488059</v>
      </c>
      <c r="L506" s="239">
        <f>K506*E484</f>
        <v>1356.5664795525474</v>
      </c>
      <c r="O506" s="240">
        <f t="shared" si="24"/>
        <v>4426.2261178157123</v>
      </c>
    </row>
    <row r="507" spans="1:23" ht="13.5" customHeight="1" x14ac:dyDescent="0.3">
      <c r="B507" s="99" t="s">
        <v>6392</v>
      </c>
      <c r="C507" s="236">
        <f>VLOOKUP("OPEXInsuranceEverythingDefault",Econ.inputsTable!$E:$H,2,FALSE)</f>
        <v>5.0000000000000001E-3</v>
      </c>
      <c r="D507" s="237">
        <f>VLOOKUP("OPEXRepair and maintenanceEquipmentDefault",Econ.inputsTable!$E:$H,2,FALSE)</f>
        <v>0.03</v>
      </c>
      <c r="E507"/>
      <c r="F507"/>
      <c r="G507"/>
      <c r="H507"/>
      <c r="I507" s="233"/>
      <c r="J507" s="233"/>
      <c r="K507"/>
      <c r="L507" s="153"/>
      <c r="O507" s="240">
        <f t="shared" si="24"/>
        <v>4780.9999999999991</v>
      </c>
    </row>
    <row r="508" spans="1:23" s="42" customFormat="1" ht="13.5" customHeight="1" x14ac:dyDescent="0.3">
      <c r="A508"/>
      <c r="B508" s="99" t="s">
        <v>7007</v>
      </c>
      <c r="C508" s="236">
        <f>VLOOKUP("OPEXInsuranceEverythingDefault",Econ.inputsTable!$E:$H,2,FALSE)</f>
        <v>5.0000000000000001E-3</v>
      </c>
      <c r="D508" s="237">
        <f>VLOOKUP("OPEXRepair and maintenanceEquipmentDefault",Econ.inputsTable!$E:$H,2,FALSE)</f>
        <v>0.03</v>
      </c>
      <c r="I508" s="233"/>
      <c r="J508" s="233"/>
      <c r="K508"/>
      <c r="L508" s="153"/>
      <c r="M508"/>
      <c r="N508"/>
      <c r="O508" s="240">
        <f t="shared" si="24"/>
        <v>0</v>
      </c>
    </row>
    <row r="509" spans="1:23" ht="13.5" customHeight="1" x14ac:dyDescent="0.3">
      <c r="B509" s="99" t="s">
        <v>7008</v>
      </c>
      <c r="C509" s="236">
        <f>VLOOKUP("OPEXInsuranceEverythingDefault",Econ.inputsTable!$E:$H,2,FALSE)</f>
        <v>5.0000000000000001E-3</v>
      </c>
      <c r="D509" s="237">
        <f>VLOOKUP("OPEXRepair and maintenanceEquipmentDefault",Econ.inputsTable!$E:$H,2,FALSE)</f>
        <v>0.03</v>
      </c>
      <c r="E509"/>
      <c r="F509"/>
      <c r="G509"/>
      <c r="H509"/>
      <c r="I509" s="233"/>
      <c r="J509" s="233"/>
      <c r="K509"/>
      <c r="L509" s="153"/>
      <c r="O509" s="240">
        <f t="shared" si="24"/>
        <v>2831.4999999999995</v>
      </c>
    </row>
    <row r="510" spans="1:23" ht="13.5" customHeight="1" x14ac:dyDescent="0.3">
      <c r="A510" t="s">
        <v>5202</v>
      </c>
      <c r="B510" s="162" t="s">
        <v>5203</v>
      </c>
      <c r="C510" s="241"/>
      <c r="D510" s="241"/>
      <c r="E510" s="242">
        <f t="shared" ref="E510:O510" si="25">SUM(E502:E509)</f>
        <v>0</v>
      </c>
      <c r="F510" s="243">
        <f t="shared" si="25"/>
        <v>0</v>
      </c>
      <c r="G510" s="242">
        <f t="shared" si="25"/>
        <v>0</v>
      </c>
      <c r="H510" s="243">
        <f t="shared" si="25"/>
        <v>1086.0545328568232</v>
      </c>
      <c r="I510" s="242">
        <f t="shared" si="25"/>
        <v>4014.5903349077666</v>
      </c>
      <c r="J510" s="242">
        <f t="shared" si="25"/>
        <v>401.45903349077668</v>
      </c>
      <c r="K510" s="243">
        <f t="shared" si="25"/>
        <v>136.50694200360343</v>
      </c>
      <c r="L510" s="242">
        <f t="shared" si="25"/>
        <v>3229.7542478052574</v>
      </c>
      <c r="M510" s="243">
        <f t="shared" si="25"/>
        <v>0</v>
      </c>
      <c r="N510" s="242">
        <f t="shared" si="25"/>
        <v>0</v>
      </c>
      <c r="O510" s="169">
        <f t="shared" si="25"/>
        <v>19697.494287244564</v>
      </c>
    </row>
    <row r="511" spans="1:23" ht="14.4" x14ac:dyDescent="0.3">
      <c r="B511" s="99"/>
      <c r="D511"/>
      <c r="E511"/>
      <c r="F511"/>
      <c r="G511"/>
      <c r="H511"/>
      <c r="K511"/>
      <c r="L511"/>
      <c r="O511" s="146"/>
    </row>
    <row r="512" spans="1:23" ht="14.4" x14ac:dyDescent="0.3">
      <c r="A512" t="s">
        <v>5202</v>
      </c>
      <c r="B512" s="149" t="s">
        <v>6980</v>
      </c>
      <c r="C512" s="159">
        <f>O510</f>
        <v>19697.494287244564</v>
      </c>
      <c r="D512" s="150"/>
      <c r="E512" s="150"/>
      <c r="F512" s="150"/>
      <c r="G512" s="150"/>
      <c r="H512" s="150"/>
      <c r="I512" s="150"/>
      <c r="J512" s="150"/>
      <c r="K512" s="150"/>
      <c r="L512" s="150"/>
      <c r="M512" s="150"/>
      <c r="N512" s="150"/>
      <c r="O512" s="151"/>
    </row>
    <row r="513" spans="1:12" ht="14.4" x14ac:dyDescent="0.3">
      <c r="C513" s="153"/>
      <c r="D513"/>
      <c r="E513"/>
      <c r="F513"/>
      <c r="G513"/>
      <c r="H513"/>
      <c r="K513"/>
      <c r="L513"/>
    </row>
    <row r="514" spans="1:12" ht="13.5" customHeight="1" x14ac:dyDescent="0.3">
      <c r="B514" s="244" t="s">
        <v>7010</v>
      </c>
      <c r="C514" s="245" t="s">
        <v>2800</v>
      </c>
      <c r="D514"/>
      <c r="E514"/>
      <c r="F514"/>
      <c r="G514"/>
      <c r="H514"/>
      <c r="K514"/>
      <c r="L514"/>
    </row>
    <row r="515" spans="1:12" ht="13.5" customHeight="1" x14ac:dyDescent="0.3">
      <c r="B515" s="246" t="s">
        <v>7012</v>
      </c>
      <c r="C515" s="173" t="s">
        <v>5181</v>
      </c>
      <c r="D515"/>
      <c r="E515"/>
      <c r="F515"/>
      <c r="G515"/>
      <c r="H515"/>
      <c r="K515"/>
      <c r="L515"/>
    </row>
    <row r="516" spans="1:12" ht="14.4" x14ac:dyDescent="0.3">
      <c r="A516" t="s">
        <v>5202</v>
      </c>
      <c r="B516" s="99" t="s">
        <v>7013</v>
      </c>
      <c r="C516" s="167">
        <f>VLOOKUP("Fertilizer value for on-farm use, tank slurry",$R$1:$T$300,3, FALSE)</f>
        <v>12315.520455039321</v>
      </c>
      <c r="D516"/>
      <c r="E516"/>
      <c r="F516"/>
      <c r="G516"/>
      <c r="H516"/>
      <c r="K516"/>
      <c r="L516"/>
    </row>
    <row r="517" spans="1:12" ht="14.4" x14ac:dyDescent="0.3">
      <c r="A517" t="s">
        <v>5202</v>
      </c>
      <c r="B517" s="99" t="s">
        <v>7014</v>
      </c>
      <c r="C517" s="157">
        <f>SUM(C516)</f>
        <v>12315.520455039321</v>
      </c>
    </row>
    <row r="518" spans="1:12" ht="14.4" x14ac:dyDescent="0.3">
      <c r="B518" s="99"/>
      <c r="C518" s="146"/>
    </row>
    <row r="519" spans="1:12" ht="13.5" customHeight="1" x14ac:dyDescent="0.3">
      <c r="B519" s="247" t="s">
        <v>7015</v>
      </c>
      <c r="C519" s="173" t="s">
        <v>5181</v>
      </c>
    </row>
    <row r="520" spans="1:12" ht="14.4" x14ac:dyDescent="0.3">
      <c r="A520" t="s">
        <v>5202</v>
      </c>
      <c r="B520" s="99" t="s">
        <v>7016</v>
      </c>
      <c r="C520" s="167">
        <f>UDV.econ_manure.liquid_sell_price*C448</f>
        <v>0</v>
      </c>
    </row>
    <row r="521" spans="1:12" ht="14.4" x14ac:dyDescent="0.3">
      <c r="A521" t="s">
        <v>5202</v>
      </c>
      <c r="B521" s="99" t="s">
        <v>7017</v>
      </c>
      <c r="C521" s="157">
        <f>SUM(C520)</f>
        <v>0</v>
      </c>
    </row>
    <row r="522" spans="1:12" ht="14.4" x14ac:dyDescent="0.3">
      <c r="B522" s="99"/>
      <c r="C522" s="248"/>
    </row>
    <row r="523" spans="1:12" ht="13.5" customHeight="1" x14ac:dyDescent="0.3">
      <c r="B523" s="249" t="s">
        <v>7018</v>
      </c>
      <c r="C523" s="173" t="s">
        <v>5181</v>
      </c>
    </row>
    <row r="524" spans="1:12" ht="14.4" x14ac:dyDescent="0.3">
      <c r="A524" t="s">
        <v>5202</v>
      </c>
      <c r="B524" s="99" t="s">
        <v>7019</v>
      </c>
      <c r="C524" s="167">
        <f>UDV.econ_manure.liquid_sell_price*C449</f>
        <v>0</v>
      </c>
    </row>
    <row r="525" spans="1:12" ht="14.4" x14ac:dyDescent="0.3">
      <c r="A525" t="s">
        <v>5202</v>
      </c>
      <c r="B525" s="99" t="s">
        <v>7020</v>
      </c>
      <c r="C525" s="157">
        <f>SUM(C524)</f>
        <v>0</v>
      </c>
    </row>
    <row r="526" spans="1:12" ht="14.4" x14ac:dyDescent="0.3">
      <c r="B526" s="99"/>
      <c r="C526" s="146"/>
    </row>
    <row r="527" spans="1:12" ht="13.5" customHeight="1" x14ac:dyDescent="0.3">
      <c r="B527" s="250" t="s">
        <v>7021</v>
      </c>
      <c r="C527" s="173" t="s">
        <v>5181</v>
      </c>
    </row>
    <row r="528" spans="1:12" ht="14.4" x14ac:dyDescent="0.3">
      <c r="A528" t="s">
        <v>5202</v>
      </c>
      <c r="B528" s="99" t="s">
        <v>7022</v>
      </c>
      <c r="C528" s="167">
        <f>UDV.econ_manure.liquid_export_cost*C450</f>
        <v>0</v>
      </c>
    </row>
    <row r="529" spans="1:20" ht="14.4" x14ac:dyDescent="0.3">
      <c r="A529" t="s">
        <v>5202</v>
      </c>
      <c r="B529" s="99" t="s">
        <v>7023</v>
      </c>
      <c r="C529" s="157">
        <f>SUM(C528)</f>
        <v>0</v>
      </c>
    </row>
    <row r="530" spans="1:20" ht="14.4" x14ac:dyDescent="0.3">
      <c r="B530" s="99"/>
      <c r="C530" s="146"/>
    </row>
    <row r="531" spans="1:20" ht="13.5" customHeight="1" x14ac:dyDescent="0.3">
      <c r="B531" s="92" t="s">
        <v>7138</v>
      </c>
      <c r="C531" s="173" t="s">
        <v>7025</v>
      </c>
    </row>
    <row r="532" spans="1:20" ht="14.4" x14ac:dyDescent="0.3">
      <c r="B532" s="149" t="s">
        <v>7139</v>
      </c>
      <c r="C532" s="251"/>
    </row>
    <row r="533" spans="1:20" ht="13.5" customHeight="1" thickBot="1" x14ac:dyDescent="0.35">
      <c r="A533" s="137"/>
      <c r="B533" s="137"/>
      <c r="C533" s="137"/>
      <c r="D533" s="137"/>
      <c r="E533" s="137"/>
      <c r="F533" s="137"/>
      <c r="G533" s="137"/>
      <c r="H533" s="137"/>
      <c r="I533" s="137"/>
      <c r="J533" s="137"/>
      <c r="K533" s="137"/>
      <c r="L533" s="137"/>
      <c r="M533" s="137"/>
      <c r="N533" s="137"/>
      <c r="O533" s="137"/>
      <c r="P533" s="137"/>
      <c r="Q533" s="137"/>
      <c r="R533"/>
    </row>
    <row r="534" spans="1:20" ht="13.5" customHeight="1" x14ac:dyDescent="0.3">
      <c r="D534"/>
      <c r="E534"/>
      <c r="F534"/>
      <c r="G534"/>
      <c r="H534"/>
      <c r="K534"/>
      <c r="L534"/>
      <c r="R534"/>
    </row>
    <row r="535" spans="1:20" ht="13.5" customHeight="1" x14ac:dyDescent="0.3">
      <c r="B535" s="82" t="s">
        <v>7027</v>
      </c>
      <c r="D535"/>
      <c r="E535"/>
      <c r="F535"/>
      <c r="G535"/>
      <c r="H535"/>
      <c r="K535"/>
      <c r="L535"/>
      <c r="Q535" s="171" t="s">
        <v>7153</v>
      </c>
      <c r="R535" s="142"/>
      <c r="S535" s="142"/>
      <c r="T535" s="141"/>
    </row>
    <row r="536" spans="1:20" ht="13.5" customHeight="1" x14ac:dyDescent="0.3">
      <c r="D536"/>
      <c r="E536"/>
      <c r="F536"/>
      <c r="G536"/>
      <c r="H536"/>
      <c r="K536"/>
      <c r="L536"/>
      <c r="Q536" s="172" t="s">
        <v>565</v>
      </c>
      <c r="R536" s="82" t="s">
        <v>38</v>
      </c>
      <c r="S536" s="82" t="s">
        <v>565</v>
      </c>
      <c r="T536" s="173" t="s">
        <v>38</v>
      </c>
    </row>
    <row r="537" spans="1:20" ht="13.5" customHeight="1" x14ac:dyDescent="0.3">
      <c r="B537" s="139" t="s">
        <v>6983</v>
      </c>
      <c r="C537" s="140" t="s">
        <v>565</v>
      </c>
      <c r="D537" s="140" t="s">
        <v>38</v>
      </c>
      <c r="E537" s="142"/>
      <c r="F537" s="141"/>
      <c r="G537"/>
      <c r="H537"/>
      <c r="K537"/>
      <c r="L537"/>
      <c r="Q537" s="99">
        <v>1</v>
      </c>
      <c r="R537" t="s">
        <v>2359</v>
      </c>
      <c r="S537">
        <v>453.59199999999998</v>
      </c>
      <c r="T537" s="146" t="s">
        <v>2535</v>
      </c>
    </row>
    <row r="538" spans="1:20" ht="13.5" customHeight="1" x14ac:dyDescent="0.3">
      <c r="B538" s="99" t="s">
        <v>7028</v>
      </c>
      <c r="C538">
        <f>UDV.crops.acres_available</f>
        <v>100</v>
      </c>
      <c r="D538" t="s">
        <v>7029</v>
      </c>
      <c r="E538"/>
      <c r="F538" s="146"/>
      <c r="G538"/>
      <c r="H538"/>
      <c r="K538"/>
      <c r="L538"/>
      <c r="Q538" s="99">
        <v>1</v>
      </c>
      <c r="R538" t="s">
        <v>2535</v>
      </c>
      <c r="S538">
        <v>2.20462E-3</v>
      </c>
      <c r="T538" s="146" t="s">
        <v>2359</v>
      </c>
    </row>
    <row r="539" spans="1:20" ht="13.5" customHeight="1" x14ac:dyDescent="0.3">
      <c r="B539" s="99" t="s">
        <v>6985</v>
      </c>
      <c r="C539" s="166">
        <f>UDV.econ_manure.liquid_sell_pct*VLOOKUP("Excess volume, tank slurry",$R$1:$T$300, 3, FALSE)</f>
        <v>0</v>
      </c>
      <c r="D539" t="s">
        <v>5249</v>
      </c>
      <c r="E539"/>
      <c r="F539" s="146"/>
      <c r="G539"/>
      <c r="H539"/>
      <c r="K539"/>
      <c r="L539"/>
      <c r="Q539" s="99">
        <v>1</v>
      </c>
      <c r="R539" t="s">
        <v>2358</v>
      </c>
      <c r="S539">
        <v>1.10231E-3</v>
      </c>
      <c r="T539" s="146" t="s">
        <v>2537</v>
      </c>
    </row>
    <row r="540" spans="1:20" ht="13.5" customHeight="1" x14ac:dyDescent="0.3">
      <c r="B540" s="99" t="s">
        <v>6986</v>
      </c>
      <c r="C540" s="166">
        <f>UDV.econ_manure.liquid_give_pct*VLOOKUP("Excess volume, tank slurry",$R$1:$T$300, 3, FALSE)</f>
        <v>0</v>
      </c>
      <c r="D540" t="s">
        <v>5249</v>
      </c>
      <c r="E540"/>
      <c r="F540" s="146"/>
      <c r="G540"/>
      <c r="H540"/>
      <c r="K540"/>
      <c r="L540"/>
      <c r="Q540" s="99">
        <v>1</v>
      </c>
      <c r="R540" t="s">
        <v>2481</v>
      </c>
      <c r="S540">
        <v>0.26417200000000002</v>
      </c>
      <c r="T540" s="146" t="s">
        <v>2480</v>
      </c>
    </row>
    <row r="541" spans="1:20" ht="13.5" customHeight="1" x14ac:dyDescent="0.3">
      <c r="B541" s="99" t="s">
        <v>6987</v>
      </c>
      <c r="C541" s="757">
        <f>UDV.econ_manure.liquid_export_pct*VLOOKUP("Excess volume, tank slurry",$R$1:$T$300, 3, FALSE)</f>
        <v>0</v>
      </c>
      <c r="D541" t="s">
        <v>5249</v>
      </c>
      <c r="E541"/>
      <c r="F541" s="146"/>
      <c r="G541"/>
      <c r="H541"/>
      <c r="K541"/>
      <c r="L541"/>
      <c r="Q541" s="99">
        <v>1</v>
      </c>
      <c r="R541" t="s">
        <v>2480</v>
      </c>
      <c r="S541">
        <v>3.7854100000000002</v>
      </c>
      <c r="T541" s="146" t="s">
        <v>2481</v>
      </c>
    </row>
    <row r="542" spans="1:20" ht="13.5" customHeight="1" x14ac:dyDescent="0.3">
      <c r="B542" s="99"/>
      <c r="C542" s="166"/>
      <c r="D542"/>
      <c r="E542"/>
      <c r="F542" s="146"/>
      <c r="G542"/>
      <c r="H542"/>
      <c r="K542"/>
      <c r="L542"/>
      <c r="Q542" s="99"/>
      <c r="R542"/>
      <c r="T542" s="146"/>
    </row>
    <row r="543" spans="1:20" ht="14.4" x14ac:dyDescent="0.3">
      <c r="B543" s="92" t="s">
        <v>6942</v>
      </c>
      <c r="C543" s="82"/>
      <c r="D543" s="82"/>
      <c r="E543" s="139" t="s">
        <v>6988</v>
      </c>
      <c r="F543" s="141"/>
      <c r="G543"/>
      <c r="H543"/>
      <c r="K543"/>
      <c r="L543"/>
      <c r="Q543" s="149">
        <v>1</v>
      </c>
      <c r="R543" s="150" t="s">
        <v>2480</v>
      </c>
      <c r="S543" s="150">
        <v>1E-3</v>
      </c>
      <c r="T543" s="151" t="s">
        <v>7154</v>
      </c>
    </row>
    <row r="544" spans="1:20" ht="13.5" customHeight="1" x14ac:dyDescent="0.3">
      <c r="B544" s="175" t="s">
        <v>2908</v>
      </c>
      <c r="C544" s="82"/>
      <c r="D544" s="82"/>
      <c r="E544" s="92"/>
      <c r="F544" s="146"/>
      <c r="G544"/>
      <c r="H544" s="139" t="s">
        <v>7033</v>
      </c>
      <c r="I544" s="142"/>
      <c r="J544" s="142"/>
      <c r="K544" s="141"/>
      <c r="L544"/>
      <c r="Q544" s="174">
        <v>1</v>
      </c>
      <c r="R544" t="s">
        <v>84</v>
      </c>
      <c r="S544">
        <v>1</v>
      </c>
      <c r="T544" s="146" t="s">
        <v>84</v>
      </c>
    </row>
    <row r="545" spans="2:21" ht="13.5" customHeight="1" x14ac:dyDescent="0.3">
      <c r="B545" s="143" t="s">
        <v>2663</v>
      </c>
      <c r="C545" s="144" t="s">
        <v>565</v>
      </c>
      <c r="D545" s="144" t="s">
        <v>6943</v>
      </c>
      <c r="E545" s="143" t="s">
        <v>565</v>
      </c>
      <c r="F545" s="145" t="s">
        <v>6944</v>
      </c>
      <c r="G545"/>
      <c r="H545" s="99" t="s">
        <v>7034</v>
      </c>
      <c r="K545" s="146"/>
      <c r="L545"/>
      <c r="Q545" s="99">
        <v>1</v>
      </c>
      <c r="R545" t="s">
        <v>704</v>
      </c>
      <c r="S545">
        <v>2.29</v>
      </c>
      <c r="T545" s="146" t="s">
        <v>941</v>
      </c>
    </row>
    <row r="546" spans="2:21" ht="13.5" customHeight="1" x14ac:dyDescent="0.3">
      <c r="B546" s="99" t="s">
        <v>5708</v>
      </c>
      <c r="C546" s="147">
        <f t="shared" ref="C546:C555" si="26">VLOOKUP(B546,$R$1:$U$300,3,FALSE)</f>
        <v>3000</v>
      </c>
      <c r="D546" t="s">
        <v>2514</v>
      </c>
      <c r="E546" s="99">
        <f t="shared" ref="E546:E555" si="27">C546</f>
        <v>3000</v>
      </c>
      <c r="F546" s="146" t="s">
        <v>2514</v>
      </c>
      <c r="G546"/>
      <c r="H546" s="99" t="s">
        <v>7035</v>
      </c>
      <c r="K546" s="146"/>
      <c r="L546"/>
      <c r="Q546" s="149">
        <v>1</v>
      </c>
      <c r="R546" s="150" t="s">
        <v>702</v>
      </c>
      <c r="S546" s="150">
        <v>1.21</v>
      </c>
      <c r="T546" s="151" t="s">
        <v>934</v>
      </c>
    </row>
    <row r="547" spans="2:21" ht="13.5" customHeight="1" x14ac:dyDescent="0.3">
      <c r="B547" s="99" t="s">
        <v>5709</v>
      </c>
      <c r="C547" s="147">
        <f t="shared" si="26"/>
        <v>1</v>
      </c>
      <c r="D547" t="s">
        <v>2442</v>
      </c>
      <c r="E547" s="99">
        <f t="shared" si="27"/>
        <v>1</v>
      </c>
      <c r="F547" s="146" t="s">
        <v>2442</v>
      </c>
      <c r="G547"/>
      <c r="H547" s="235" t="s">
        <v>7036</v>
      </c>
      <c r="K547" s="146"/>
      <c r="L547"/>
      <c r="R547"/>
    </row>
    <row r="548" spans="2:21" ht="13.5" customHeight="1" x14ac:dyDescent="0.3">
      <c r="B548" s="99" t="s">
        <v>5712</v>
      </c>
      <c r="C548" s="147">
        <f t="shared" si="26"/>
        <v>1</v>
      </c>
      <c r="D548" t="s">
        <v>2442</v>
      </c>
      <c r="E548" s="178">
        <f t="shared" si="27"/>
        <v>1</v>
      </c>
      <c r="F548" s="146" t="s">
        <v>2442</v>
      </c>
      <c r="G548"/>
      <c r="H548" s="235" t="s">
        <v>7037</v>
      </c>
      <c r="K548" s="146"/>
      <c r="L548"/>
      <c r="Q548" s="176" t="s">
        <v>7157</v>
      </c>
      <c r="R548" s="170" t="s">
        <v>7276</v>
      </c>
      <c r="S548" s="177"/>
      <c r="T548" s="177"/>
      <c r="U548" s="177"/>
    </row>
    <row r="549" spans="2:21" ht="13.5" customHeight="1" x14ac:dyDescent="0.3">
      <c r="B549" s="99" t="s">
        <v>5710</v>
      </c>
      <c r="C549" s="147">
        <f t="shared" si="26"/>
        <v>1</v>
      </c>
      <c r="D549" t="s">
        <v>2442</v>
      </c>
      <c r="E549" s="99">
        <f t="shared" si="27"/>
        <v>1</v>
      </c>
      <c r="F549" s="146" t="s">
        <v>2442</v>
      </c>
      <c r="G549"/>
      <c r="H549" s="235" t="s">
        <v>7038</v>
      </c>
      <c r="K549" s="146"/>
      <c r="L549"/>
      <c r="Q549" s="179" t="s">
        <v>5328</v>
      </c>
      <c r="R549" s="179" t="s">
        <v>565</v>
      </c>
      <c r="S549" s="179" t="s">
        <v>5329</v>
      </c>
      <c r="T549" s="179" t="s">
        <v>5330</v>
      </c>
      <c r="U549" s="179" t="s">
        <v>5330</v>
      </c>
    </row>
    <row r="550" spans="2:21" ht="13.5" customHeight="1" x14ac:dyDescent="0.3">
      <c r="B550" s="99" t="s">
        <v>5688</v>
      </c>
      <c r="C550" s="147">
        <f t="shared" si="26"/>
        <v>580</v>
      </c>
      <c r="D550" t="s">
        <v>5689</v>
      </c>
      <c r="E550" s="99">
        <f t="shared" si="27"/>
        <v>580</v>
      </c>
      <c r="F550" s="146" t="s">
        <v>5689</v>
      </c>
      <c r="G550"/>
      <c r="H550" s="235" t="s">
        <v>7007</v>
      </c>
      <c r="K550" s="146"/>
      <c r="L550"/>
      <c r="Q550" s="180" t="s">
        <v>5332</v>
      </c>
      <c r="R550" s="252" t="e">
        <f>R575*R582</f>
        <v>#REF!</v>
      </c>
      <c r="S550" s="180" t="s">
        <v>5181</v>
      </c>
      <c r="T550" s="177" t="s">
        <v>5333</v>
      </c>
      <c r="U550" s="177">
        <f>UDV.crops.N_avail</f>
        <v>0.95</v>
      </c>
    </row>
    <row r="551" spans="2:21" ht="13.5" customHeight="1" x14ac:dyDescent="0.3">
      <c r="B551" s="99" t="s">
        <v>5701</v>
      </c>
      <c r="C551" s="147">
        <f t="shared" si="26"/>
        <v>340</v>
      </c>
      <c r="D551" t="s">
        <v>971</v>
      </c>
      <c r="E551" s="99">
        <f t="shared" si="27"/>
        <v>340</v>
      </c>
      <c r="F551" s="146" t="s">
        <v>971</v>
      </c>
      <c r="G551"/>
      <c r="H551" s="235" t="s">
        <v>7008</v>
      </c>
      <c r="K551" s="146"/>
      <c r="L551"/>
      <c r="Q551" s="182" t="s">
        <v>5336</v>
      </c>
      <c r="R551" s="183">
        <f>E573/1000</f>
        <v>818.31822870460974</v>
      </c>
      <c r="S551" s="182" t="s">
        <v>5246</v>
      </c>
      <c r="T551" s="177" t="s">
        <v>5337</v>
      </c>
      <c r="U551" s="177">
        <f>UDV.crops.P_avail</f>
        <v>0.95</v>
      </c>
    </row>
    <row r="552" spans="2:21" ht="13.5" customHeight="1" x14ac:dyDescent="0.3">
      <c r="B552" s="99" t="s">
        <v>6539</v>
      </c>
      <c r="C552" s="147">
        <f t="shared" si="26"/>
        <v>1</v>
      </c>
      <c r="D552"/>
      <c r="E552" s="178">
        <f t="shared" si="27"/>
        <v>1</v>
      </c>
      <c r="F552" s="146" t="s">
        <v>2442</v>
      </c>
      <c r="G552"/>
      <c r="H552" s="235" t="s">
        <v>7039</v>
      </c>
      <c r="K552" s="146"/>
      <c r="L552"/>
      <c r="Q552" s="177" t="s">
        <v>5338</v>
      </c>
      <c r="R552" s="189">
        <f>U561</f>
        <v>17.856437101232185</v>
      </c>
      <c r="S552" s="177" t="s">
        <v>2414</v>
      </c>
      <c r="T552" s="177" t="s">
        <v>5339</v>
      </c>
      <c r="U552" s="177">
        <f>UDV.crops.K_avail</f>
        <v>1</v>
      </c>
    </row>
    <row r="553" spans="2:21" ht="13.5" customHeight="1" x14ac:dyDescent="0.3">
      <c r="B553" s="99" t="s">
        <v>6540</v>
      </c>
      <c r="C553" s="147">
        <f t="shared" si="26"/>
        <v>1</v>
      </c>
      <c r="D553"/>
      <c r="E553" s="178">
        <f t="shared" si="27"/>
        <v>1</v>
      </c>
      <c r="F553" s="146" t="s">
        <v>2442</v>
      </c>
      <c r="G553"/>
      <c r="H553" s="235" t="s">
        <v>1325</v>
      </c>
      <c r="K553" s="146"/>
      <c r="L553"/>
      <c r="Q553" s="177" t="s">
        <v>5340</v>
      </c>
      <c r="R553" s="189">
        <f>U562</f>
        <v>8.9485529790352718</v>
      </c>
      <c r="S553" s="177" t="s">
        <v>2414</v>
      </c>
      <c r="T553" s="184" t="s">
        <v>5341</v>
      </c>
      <c r="U553" s="150"/>
    </row>
    <row r="554" spans="2:21" ht="13.5" customHeight="1" x14ac:dyDescent="0.3">
      <c r="B554" s="99" t="s">
        <v>6541</v>
      </c>
      <c r="C554" s="147">
        <f t="shared" si="26"/>
        <v>2</v>
      </c>
      <c r="D554" t="s">
        <v>2971</v>
      </c>
      <c r="E554" s="201">
        <f t="shared" si="27"/>
        <v>2</v>
      </c>
      <c r="F554" s="146" t="s">
        <v>2971</v>
      </c>
      <c r="G554"/>
      <c r="H554" s="235" t="s">
        <v>7040</v>
      </c>
      <c r="K554" s="146"/>
      <c r="L554"/>
      <c r="Q554" s="177" t="s">
        <v>5342</v>
      </c>
      <c r="R554" s="189">
        <f>U563</f>
        <v>11.505338592545993</v>
      </c>
      <c r="S554" s="177" t="s">
        <v>2414</v>
      </c>
      <c r="T554" s="185" t="s">
        <v>5343</v>
      </c>
      <c r="U554" s="185" t="str">
        <f>UDV.crops.apply_for</f>
        <v>N</v>
      </c>
    </row>
    <row r="555" spans="2:21" ht="13.5" customHeight="1" x14ac:dyDescent="0.3">
      <c r="B555" s="99" t="s">
        <v>5732</v>
      </c>
      <c r="C555" s="147" t="str">
        <f t="shared" si="26"/>
        <v>Injection</v>
      </c>
      <c r="D555" t="s">
        <v>7042</v>
      </c>
      <c r="E555" s="165" t="str">
        <f t="shared" si="27"/>
        <v>Injection</v>
      </c>
      <c r="F555" s="146" t="s">
        <v>7042</v>
      </c>
      <c r="G555"/>
      <c r="H555" s="235" t="s">
        <v>7041</v>
      </c>
      <c r="K555" s="146"/>
      <c r="L555"/>
      <c r="Q555" s="186" t="s">
        <v>5344</v>
      </c>
      <c r="R555" s="187">
        <f>R552*U550</f>
        <v>16.963615246170576</v>
      </c>
      <c r="S555" s="186" t="s">
        <v>2414</v>
      </c>
      <c r="T555" s="989" t="s">
        <v>5345</v>
      </c>
      <c r="U555" s="990">
        <f>U558*S544</f>
        <v>195</v>
      </c>
    </row>
    <row r="556" spans="2:21" ht="13.5" customHeight="1" x14ac:dyDescent="0.3">
      <c r="B556" s="99"/>
      <c r="C556" s="82"/>
      <c r="D556" s="82"/>
      <c r="E556" s="92"/>
      <c r="F556" s="146"/>
      <c r="G556"/>
      <c r="H556" s="253" t="s">
        <v>1576</v>
      </c>
      <c r="I556" s="150"/>
      <c r="J556" s="150"/>
      <c r="K556" s="151"/>
      <c r="L556"/>
      <c r="Q556" s="177" t="s">
        <v>5347</v>
      </c>
      <c r="R556" s="189">
        <f>R553*U551</f>
        <v>8.5011253300835072</v>
      </c>
      <c r="S556" s="177" t="s">
        <v>2414</v>
      </c>
      <c r="T556" s="989" t="s">
        <v>5348</v>
      </c>
      <c r="U556" s="990">
        <f>U559/S545</f>
        <v>24.017467248908297</v>
      </c>
    </row>
    <row r="557" spans="2:21" ht="13.5" customHeight="1" x14ac:dyDescent="0.3">
      <c r="B557" s="175" t="s">
        <v>262</v>
      </c>
      <c r="D557"/>
      <c r="E557" s="99"/>
      <c r="F557" s="146"/>
      <c r="G557"/>
      <c r="H557"/>
      <c r="K557"/>
      <c r="L557"/>
      <c r="Q557" s="182" t="s">
        <v>5349</v>
      </c>
      <c r="R557" s="190">
        <f>R554*U552</f>
        <v>11.505338592545993</v>
      </c>
      <c r="S557" s="182" t="s">
        <v>2414</v>
      </c>
      <c r="T557" s="991" t="s">
        <v>5350</v>
      </c>
      <c r="U557" s="992">
        <f>U560/S546</f>
        <v>74.380165289256198</v>
      </c>
    </row>
    <row r="558" spans="2:21" ht="13.5" customHeight="1" x14ac:dyDescent="0.3">
      <c r="B558" s="143" t="s">
        <v>2663</v>
      </c>
      <c r="C558" s="144" t="s">
        <v>565</v>
      </c>
      <c r="D558" s="144" t="s">
        <v>6943</v>
      </c>
      <c r="E558" s="143" t="s">
        <v>565</v>
      </c>
      <c r="F558" s="145" t="s">
        <v>6944</v>
      </c>
      <c r="G558" s="1222" t="s">
        <v>3007</v>
      </c>
      <c r="H558" s="1215" t="s">
        <v>6993</v>
      </c>
      <c r="I558" s="142"/>
      <c r="J558" s="141"/>
      <c r="K558"/>
      <c r="L558"/>
      <c r="Q558" s="177" t="s">
        <v>5351</v>
      </c>
      <c r="R558" s="193">
        <f>U558/R555</f>
        <v>11.495191158855125</v>
      </c>
      <c r="S558" s="177" t="s">
        <v>5352</v>
      </c>
      <c r="T558" s="186" t="s">
        <v>5345</v>
      </c>
      <c r="U558" s="186">
        <f>UDV.crops.N_need</f>
        <v>195</v>
      </c>
    </row>
    <row r="559" spans="2:21" ht="14.4" x14ac:dyDescent="0.3">
      <c r="B559" s="99" t="s">
        <v>5528</v>
      </c>
      <c r="C559" s="147">
        <f>VLOOKUP(B559,$R$1:$U$300,3,FALSE)</f>
        <v>180</v>
      </c>
      <c r="D559" t="s">
        <v>5121</v>
      </c>
      <c r="E559" s="201">
        <f>UC.year_to_day/C559</f>
        <v>2.0277777777777777</v>
      </c>
      <c r="F559" s="146" t="s">
        <v>7043</v>
      </c>
      <c r="G559" s="42" t="s">
        <v>7131</v>
      </c>
      <c r="H559" s="92" t="s">
        <v>5443</v>
      </c>
      <c r="I559" s="1216" t="s">
        <v>2710</v>
      </c>
      <c r="J559" s="285">
        <f>(SUM(E561:E563)*UDV.OPEX_labor.tractor_stationary)+(SUM(E564:E566)*UDV.OPEX_labor.tractor_active)</f>
        <v>15.005536230731796</v>
      </c>
      <c r="K559"/>
      <c r="L559"/>
      <c r="Q559" s="177" t="s">
        <v>5353</v>
      </c>
      <c r="R559" s="193">
        <f>U559/R556</f>
        <v>6.4697316960341453</v>
      </c>
      <c r="S559" s="177" t="s">
        <v>5352</v>
      </c>
      <c r="T559" s="177" t="s">
        <v>5354</v>
      </c>
      <c r="U559" s="177">
        <f>UDV.crops.P_need</f>
        <v>55</v>
      </c>
    </row>
    <row r="560" spans="2:21" ht="14.4" x14ac:dyDescent="0.3">
      <c r="B560" s="99" t="s">
        <v>5713</v>
      </c>
      <c r="C560" s="295">
        <f>VLOOKUP(B560,$R$1:$U$300,3,FALSE)</f>
        <v>2.8962780704304993</v>
      </c>
      <c r="D560" s="150" t="s">
        <v>6085</v>
      </c>
      <c r="E560" s="1167">
        <f>C560*E559</f>
        <v>5.8730083094840682</v>
      </c>
      <c r="F560" s="151" t="s">
        <v>2710</v>
      </c>
      <c r="G560" s="42" t="s">
        <v>7132</v>
      </c>
      <c r="H560" s="1217" t="s">
        <v>5444</v>
      </c>
      <c r="I560" s="1216" t="s">
        <v>6085</v>
      </c>
      <c r="J560" s="285"/>
      <c r="K560"/>
      <c r="L560"/>
      <c r="Q560" s="177" t="s">
        <v>5355</v>
      </c>
      <c r="R560" s="193">
        <f>U560/R557</f>
        <v>7.8224555736507089</v>
      </c>
      <c r="S560" s="177" t="s">
        <v>5352</v>
      </c>
      <c r="T560" s="182" t="s">
        <v>5356</v>
      </c>
      <c r="U560" s="182">
        <f>UDV.crops.K_need</f>
        <v>90</v>
      </c>
    </row>
    <row r="561" spans="2:21" ht="14.4" x14ac:dyDescent="0.3">
      <c r="B561" s="99" t="s">
        <v>6543</v>
      </c>
      <c r="C561" s="147">
        <f>C560</f>
        <v>2.8962780704304993</v>
      </c>
      <c r="D561" t="s">
        <v>6085</v>
      </c>
      <c r="E561" s="201">
        <f>C561*E559</f>
        <v>5.8730083094840682</v>
      </c>
      <c r="F561" s="146" t="s">
        <v>2710</v>
      </c>
      <c r="G561" s="42" t="s">
        <v>7133</v>
      </c>
      <c r="H561" s="1218" t="s">
        <v>5445</v>
      </c>
      <c r="I561" s="1216" t="s">
        <v>6995</v>
      </c>
      <c r="J561" s="285">
        <f>SUM(J559:J560)</f>
        <v>15.005536230731796</v>
      </c>
      <c r="K561"/>
      <c r="L561"/>
      <c r="Q561" s="185" t="s">
        <v>5357</v>
      </c>
      <c r="R561" s="192">
        <f>IF(U554="P",VLOOKUP("Amount of manure needed for P2O5",Q558:R560,2,FALSE),VLOOKUP("Amount of manure needed for N",Q558:R560,2,FALSE))</f>
        <v>11.495191158855125</v>
      </c>
      <c r="S561" s="185" t="s">
        <v>5358</v>
      </c>
      <c r="T561" s="177" t="s">
        <v>5359</v>
      </c>
      <c r="U561" s="193">
        <f>E574</f>
        <v>17.856437101232185</v>
      </c>
    </row>
    <row r="562" spans="2:21" ht="14.4" x14ac:dyDescent="0.3">
      <c r="B562" s="99" t="s">
        <v>6544</v>
      </c>
      <c r="C562" s="147">
        <f>C560</f>
        <v>2.8962780704304993</v>
      </c>
      <c r="D562" t="s">
        <v>6085</v>
      </c>
      <c r="E562" s="201">
        <f>C562*E559</f>
        <v>5.8730083094840682</v>
      </c>
      <c r="F562" s="146" t="s">
        <v>2710</v>
      </c>
      <c r="G562" s="42" t="s">
        <v>7134</v>
      </c>
      <c r="H562" s="1219" t="s">
        <v>5446</v>
      </c>
      <c r="I562" s="1220" t="s">
        <v>5447</v>
      </c>
      <c r="J562" s="1221">
        <f>J559+(J560/UDV.anaer_lagoon.sludge_time)</f>
        <v>15.005536230731796</v>
      </c>
      <c r="K562"/>
      <c r="L562"/>
      <c r="Q562" s="194" t="s">
        <v>5360</v>
      </c>
      <c r="R562" s="195">
        <f>R555*R561</f>
        <v>195</v>
      </c>
      <c r="S562" s="194" t="s">
        <v>5361</v>
      </c>
      <c r="T562" s="177" t="s">
        <v>5362</v>
      </c>
      <c r="U562" s="193">
        <f>E575</f>
        <v>8.9485529790352718</v>
      </c>
    </row>
    <row r="563" spans="2:21" ht="14.4" x14ac:dyDescent="0.3">
      <c r="B563" s="99" t="s">
        <v>6545</v>
      </c>
      <c r="C563" s="147">
        <f>C560</f>
        <v>2.8962780704304993</v>
      </c>
      <c r="D563" t="s">
        <v>6085</v>
      </c>
      <c r="E563" s="201">
        <f>C563*E559</f>
        <v>5.8730083094840682</v>
      </c>
      <c r="F563" s="146" t="s">
        <v>2710</v>
      </c>
      <c r="K563"/>
      <c r="L563"/>
      <c r="Q563" s="194" t="s">
        <v>5363</v>
      </c>
      <c r="R563" s="195">
        <f>R556*R561</f>
        <v>97.72206073469529</v>
      </c>
      <c r="S563" s="194" t="s">
        <v>5361</v>
      </c>
      <c r="T563" s="182" t="s">
        <v>5364</v>
      </c>
      <c r="U563" s="196">
        <f>E576</f>
        <v>11.505338592545993</v>
      </c>
    </row>
    <row r="564" spans="2:21" ht="14.4" x14ac:dyDescent="0.3">
      <c r="B564" s="99" t="s">
        <v>6546</v>
      </c>
      <c r="C564" s="147">
        <f>C560*UDV.dhl.application_maneuver_factor</f>
        <v>3.3307197809950742</v>
      </c>
      <c r="D564" t="s">
        <v>6085</v>
      </c>
      <c r="E564" s="201">
        <f>C564*E559</f>
        <v>6.7539595559066781</v>
      </c>
      <c r="F564" s="146" t="s">
        <v>2710</v>
      </c>
      <c r="G564"/>
      <c r="H564"/>
      <c r="K564"/>
      <c r="L564"/>
      <c r="Q564" s="197" t="s">
        <v>5365</v>
      </c>
      <c r="R564" s="198">
        <f>R557*R561</f>
        <v>132.25606646866936</v>
      </c>
      <c r="S564" s="197" t="s">
        <v>5361</v>
      </c>
    </row>
    <row r="565" spans="2:21" ht="13.5" customHeight="1" x14ac:dyDescent="0.3">
      <c r="B565" s="99" t="s">
        <v>6547</v>
      </c>
      <c r="C565" s="147">
        <f>C560*UDV.dhl.hose_mover_utilization</f>
        <v>2.1722085528228745</v>
      </c>
      <c r="D565" t="s">
        <v>6085</v>
      </c>
      <c r="E565" s="201">
        <f>C565*E559</f>
        <v>4.4047562321130505</v>
      </c>
      <c r="F565" s="146" t="s">
        <v>2710</v>
      </c>
      <c r="G565"/>
      <c r="H565"/>
      <c r="K565"/>
      <c r="L565"/>
      <c r="Q565" s="177" t="s">
        <v>5366</v>
      </c>
      <c r="R565" s="188">
        <f>IF(U558&lt;R562,U558,R562)</f>
        <v>195</v>
      </c>
      <c r="S565" s="177" t="s">
        <v>5361</v>
      </c>
      <c r="T565" s="199" t="s">
        <v>5367</v>
      </c>
      <c r="U565" s="177"/>
    </row>
    <row r="566" spans="2:21" ht="13.5" customHeight="1" x14ac:dyDescent="0.3">
      <c r="B566" s="149" t="s">
        <v>6548</v>
      </c>
      <c r="C566" s="295">
        <f>C560*UDV.dhl.pickup_utilization</f>
        <v>0.43444171056457487</v>
      </c>
      <c r="D566" s="150" t="s">
        <v>6085</v>
      </c>
      <c r="E566" s="1167">
        <f>C566*E559</f>
        <v>0.88095124642261013</v>
      </c>
      <c r="F566" s="151" t="s">
        <v>2710</v>
      </c>
      <c r="G566"/>
      <c r="H566"/>
      <c r="K566"/>
      <c r="L566"/>
      <c r="Q566" s="177" t="s">
        <v>5368</v>
      </c>
      <c r="R566" s="188">
        <f>IF(U559&lt;R563,U559,R563)</f>
        <v>55</v>
      </c>
      <c r="S566" s="177" t="s">
        <v>5361</v>
      </c>
      <c r="T566" s="199" t="s">
        <v>5369</v>
      </c>
      <c r="U566" s="177"/>
    </row>
    <row r="567" spans="2:21" ht="13.5" customHeight="1" x14ac:dyDescent="0.3">
      <c r="B567" s="99" t="s">
        <v>5714</v>
      </c>
      <c r="C567" s="147">
        <f t="shared" ref="C567:C572" si="28">VLOOKUP(B567,$R$1:$U$300,3,FALSE)</f>
        <v>52.133005267748985</v>
      </c>
      <c r="D567" t="s">
        <v>2489</v>
      </c>
      <c r="E567" s="178">
        <f>C567*E559</f>
        <v>105.71414957071322</v>
      </c>
      <c r="F567" s="146" t="s">
        <v>5324</v>
      </c>
      <c r="G567"/>
      <c r="H567"/>
      <c r="K567"/>
      <c r="L567"/>
      <c r="Q567" s="182" t="s">
        <v>5370</v>
      </c>
      <c r="R567" s="191">
        <f>IF(U560&lt;R564,U560,R564)</f>
        <v>90</v>
      </c>
      <c r="S567" s="182" t="s">
        <v>5361</v>
      </c>
      <c r="T567" s="199" t="s">
        <v>5371</v>
      </c>
      <c r="U567" s="177"/>
    </row>
    <row r="568" spans="2:21" ht="14.4" x14ac:dyDescent="0.3">
      <c r="B568" s="99" t="s">
        <v>5715</v>
      </c>
      <c r="C568" s="147">
        <f t="shared" si="28"/>
        <v>21.722085528228746</v>
      </c>
      <c r="D568" t="s">
        <v>2489</v>
      </c>
      <c r="E568" s="178">
        <f>C568*E559</f>
        <v>44.047562321130513</v>
      </c>
      <c r="F568" s="146" t="s">
        <v>5324</v>
      </c>
      <c r="G568"/>
      <c r="H568"/>
      <c r="K568"/>
      <c r="L568"/>
      <c r="Q568" s="177" t="s">
        <v>5372</v>
      </c>
      <c r="R568" s="189">
        <f>UDV.econ_fertilizer.N</f>
        <v>0.53</v>
      </c>
      <c r="S568" s="177" t="s">
        <v>2299</v>
      </c>
      <c r="T568" s="177"/>
      <c r="U568" s="177"/>
    </row>
    <row r="569" spans="2:21" ht="14.4" x14ac:dyDescent="0.3">
      <c r="B569" s="99" t="s">
        <v>5716</v>
      </c>
      <c r="C569" s="147">
        <f t="shared" si="28"/>
        <v>17.377668422582996</v>
      </c>
      <c r="D569" t="s">
        <v>2489</v>
      </c>
      <c r="E569" s="178">
        <f>C569*E559</f>
        <v>35.238049856904404</v>
      </c>
      <c r="F569" s="146" t="s">
        <v>5324</v>
      </c>
      <c r="G569"/>
      <c r="H569"/>
      <c r="K569"/>
      <c r="L569"/>
      <c r="Q569" s="177" t="s">
        <v>5373</v>
      </c>
      <c r="R569" s="189">
        <f>UDV.econ_fertilizer.P2O5</f>
        <v>0.53</v>
      </c>
      <c r="S569" s="177" t="s">
        <v>2299</v>
      </c>
      <c r="T569" s="177"/>
      <c r="U569" s="177"/>
    </row>
    <row r="570" spans="2:21" ht="14.4" x14ac:dyDescent="0.3">
      <c r="B570" s="99" t="s">
        <v>5740</v>
      </c>
      <c r="C570" s="147">
        <f t="shared" si="28"/>
        <v>25.52</v>
      </c>
      <c r="D570" t="s">
        <v>6549</v>
      </c>
      <c r="E570" s="178">
        <f>C570*E564</f>
        <v>172.36104786673843</v>
      </c>
      <c r="F570" s="146" t="s">
        <v>5324</v>
      </c>
      <c r="G570"/>
      <c r="H570"/>
      <c r="K570"/>
      <c r="L570"/>
      <c r="Q570" s="182" t="s">
        <v>5374</v>
      </c>
      <c r="R570" s="190">
        <f>UDV.econ_fertilizer.K2O</f>
        <v>0.45</v>
      </c>
      <c r="S570" s="182" t="s">
        <v>2299</v>
      </c>
      <c r="T570" s="177"/>
      <c r="U570" s="177"/>
    </row>
    <row r="571" spans="2:21" ht="14.4" x14ac:dyDescent="0.3">
      <c r="B571" s="99" t="s">
        <v>5741</v>
      </c>
      <c r="C571" s="147">
        <f t="shared" si="28"/>
        <v>14.959999999999999</v>
      </c>
      <c r="D571" t="s">
        <v>6549</v>
      </c>
      <c r="E571" s="178">
        <f>C571*E565</f>
        <v>65.895153232411232</v>
      </c>
      <c r="F571" s="146" t="s">
        <v>5324</v>
      </c>
      <c r="G571"/>
      <c r="H571"/>
      <c r="K571"/>
      <c r="L571"/>
      <c r="Q571" s="177" t="s">
        <v>5375</v>
      </c>
      <c r="R571" s="193">
        <f>R565*R568</f>
        <v>103.35000000000001</v>
      </c>
      <c r="S571" s="177" t="s">
        <v>5376</v>
      </c>
      <c r="T571" s="177"/>
      <c r="U571" s="177"/>
    </row>
    <row r="572" spans="2:21" ht="14.4" x14ac:dyDescent="0.3">
      <c r="B572" s="149" t="s">
        <v>5717</v>
      </c>
      <c r="C572" s="295">
        <f t="shared" si="28"/>
        <v>2.6066502633874493</v>
      </c>
      <c r="D572" s="150" t="s">
        <v>2489</v>
      </c>
      <c r="E572" s="718">
        <f>C572*E559</f>
        <v>5.2857074785356613</v>
      </c>
      <c r="F572" s="151" t="s">
        <v>5324</v>
      </c>
      <c r="G572"/>
      <c r="H572"/>
      <c r="K572"/>
      <c r="L572"/>
      <c r="Q572" s="177" t="s">
        <v>5377</v>
      </c>
      <c r="R572" s="193">
        <f>R566*R569</f>
        <v>29.150000000000002</v>
      </c>
      <c r="S572" s="177" t="s">
        <v>5376</v>
      </c>
      <c r="T572" s="177"/>
      <c r="U572" s="177"/>
    </row>
    <row r="573" spans="2:21" ht="14.4" x14ac:dyDescent="0.3">
      <c r="B573" s="99" t="s">
        <v>6529</v>
      </c>
      <c r="C573" s="147">
        <f t="shared" ref="C573:C576" si="29">VLOOKUP(B573,$R$1:$U$299,3,FALSE)</f>
        <v>1527.6188051509002</v>
      </c>
      <c r="D573" t="s">
        <v>5910</v>
      </c>
      <c r="E573" s="164">
        <f>CONVERT(C573,"m^3","gal")*E559</f>
        <v>818318.22870460979</v>
      </c>
      <c r="F573" s="146" t="s">
        <v>5324</v>
      </c>
      <c r="G573"/>
      <c r="H573"/>
      <c r="K573"/>
      <c r="L573"/>
      <c r="Q573" s="182" t="s">
        <v>5378</v>
      </c>
      <c r="R573" s="196">
        <f>R567*R570</f>
        <v>40.5</v>
      </c>
      <c r="S573" s="182" t="s">
        <v>5376</v>
      </c>
      <c r="T573" s="177"/>
      <c r="U573" s="177"/>
    </row>
    <row r="574" spans="2:21" ht="14.4" x14ac:dyDescent="0.3">
      <c r="B574" s="99" t="s">
        <v>6530</v>
      </c>
      <c r="C574" s="205">
        <f t="shared" si="29"/>
        <v>2.1396751829824225</v>
      </c>
      <c r="D574" s="146" t="s">
        <v>2413</v>
      </c>
      <c r="E574" s="205">
        <f>C574*S538/(S540*S543)</f>
        <v>17.856437101232185</v>
      </c>
      <c r="F574" s="146" t="s">
        <v>2414</v>
      </c>
      <c r="G574"/>
      <c r="H574"/>
      <c r="K574"/>
      <c r="L574"/>
      <c r="Q574" s="185" t="s">
        <v>5379</v>
      </c>
      <c r="R574" s="202">
        <f>SUM(R571:R573)</f>
        <v>173</v>
      </c>
      <c r="S574" s="185" t="s">
        <v>5376</v>
      </c>
      <c r="T574" s="177"/>
      <c r="U574" s="177"/>
    </row>
    <row r="575" spans="2:21" ht="14.4" x14ac:dyDescent="0.3">
      <c r="B575" s="99" t="s">
        <v>6531</v>
      </c>
      <c r="C575" s="205">
        <f t="shared" si="29"/>
        <v>1.0722741958150184</v>
      </c>
      <c r="D575" s="146" t="s">
        <v>2413</v>
      </c>
      <c r="E575" s="205">
        <f>C575*S538/(S540*S543)</f>
        <v>8.9485529790352718</v>
      </c>
      <c r="F575" s="146" t="s">
        <v>2414</v>
      </c>
      <c r="G575"/>
      <c r="H575"/>
      <c r="K575"/>
      <c r="L575"/>
      <c r="Q575" s="185" t="s">
        <v>5380</v>
      </c>
      <c r="R575" s="202">
        <f>R574/R561</f>
        <v>15.049771474807741</v>
      </c>
      <c r="S575" s="203" t="s">
        <v>2314</v>
      </c>
      <c r="T575" s="177"/>
      <c r="U575" s="177"/>
    </row>
    <row r="576" spans="2:21" ht="13.5" customHeight="1" x14ac:dyDescent="0.3">
      <c r="B576" s="99" t="s">
        <v>6532</v>
      </c>
      <c r="C576" s="205">
        <f t="shared" si="29"/>
        <v>1.3786449849271349</v>
      </c>
      <c r="D576" s="146" t="s">
        <v>2413</v>
      </c>
      <c r="E576" s="205">
        <f>C576*S538/(S540*S543)</f>
        <v>11.505338592545993</v>
      </c>
      <c r="F576" s="146" t="s">
        <v>2414</v>
      </c>
      <c r="G576"/>
      <c r="H576"/>
      <c r="K576"/>
      <c r="L576"/>
      <c r="Q576" s="186" t="s">
        <v>5381</v>
      </c>
      <c r="R576" s="204">
        <f>R562-R565</f>
        <v>0</v>
      </c>
      <c r="S576" s="186" t="s">
        <v>5361</v>
      </c>
      <c r="T576" s="34"/>
    </row>
    <row r="577" spans="1:21" ht="13.5" customHeight="1" x14ac:dyDescent="0.3">
      <c r="B577" s="99"/>
      <c r="D577"/>
      <c r="E577" s="99"/>
      <c r="F577" s="146"/>
      <c r="G577"/>
      <c r="H577"/>
      <c r="K577"/>
      <c r="L577"/>
      <c r="Q577" s="177" t="s">
        <v>5382</v>
      </c>
      <c r="R577" s="205">
        <f>R563-R566</f>
        <v>42.72206073469529</v>
      </c>
      <c r="S577" s="177" t="s">
        <v>5361</v>
      </c>
      <c r="T577" s="34"/>
    </row>
    <row r="578" spans="1:21" ht="13.5" customHeight="1" x14ac:dyDescent="0.3">
      <c r="B578" s="92" t="s">
        <v>6996</v>
      </c>
      <c r="D578"/>
      <c r="E578" s="99"/>
      <c r="F578" s="146"/>
      <c r="G578"/>
      <c r="H578"/>
      <c r="K578"/>
      <c r="L578"/>
      <c r="Q578" s="182" t="s">
        <v>5383</v>
      </c>
      <c r="R578" s="209">
        <f>R564-R567</f>
        <v>42.25606646866936</v>
      </c>
      <c r="S578" s="182" t="s">
        <v>5361</v>
      </c>
    </row>
    <row r="579" spans="1:21" ht="13.5" customHeight="1" x14ac:dyDescent="0.3">
      <c r="B579" s="143" t="s">
        <v>2663</v>
      </c>
      <c r="C579" s="144" t="s">
        <v>565</v>
      </c>
      <c r="D579" s="144" t="s">
        <v>6943</v>
      </c>
      <c r="E579" s="143" t="s">
        <v>565</v>
      </c>
      <c r="F579" s="145" t="s">
        <v>6944</v>
      </c>
      <c r="G579"/>
      <c r="H579"/>
      <c r="K579"/>
      <c r="L579"/>
      <c r="Q579" s="186" t="s">
        <v>5384</v>
      </c>
      <c r="R579" s="211">
        <f>R551/R561</f>
        <v>71.187874772681113</v>
      </c>
      <c r="S579" s="212" t="s">
        <v>5385</v>
      </c>
    </row>
    <row r="580" spans="1:21" ht="13.5" customHeight="1" x14ac:dyDescent="0.3">
      <c r="B580" s="99" t="s">
        <v>6997</v>
      </c>
      <c r="D580"/>
      <c r="E580" s="348">
        <f>UDV.fuel.diesel_avg_cost</f>
        <v>3.6964905660377356</v>
      </c>
      <c r="F580" s="146" t="s">
        <v>2315</v>
      </c>
      <c r="G580"/>
      <c r="H580"/>
      <c r="K580"/>
      <c r="L580"/>
      <c r="Q580" s="177" t="s">
        <v>5386</v>
      </c>
      <c r="R580">
        <f>UDV.crops.acres_available</f>
        <v>100</v>
      </c>
      <c r="S580" s="177" t="s">
        <v>5385</v>
      </c>
      <c r="U580" s="219"/>
    </row>
    <row r="581" spans="1:21" ht="13.5" customHeight="1" x14ac:dyDescent="0.3">
      <c r="B581" s="99" t="s">
        <v>7044</v>
      </c>
      <c r="C581">
        <f>UDV.land_application.max_distance</f>
        <v>2</v>
      </c>
      <c r="D581" t="s">
        <v>2971</v>
      </c>
      <c r="E581" s="178">
        <f>IF(E547=0,0,CONVERT(C581,"mi","ft"))</f>
        <v>10560</v>
      </c>
      <c r="F581" s="146" t="s">
        <v>2340</v>
      </c>
      <c r="G581" s="254"/>
      <c r="H581"/>
      <c r="K581"/>
      <c r="L581"/>
      <c r="Q581" s="177" t="s">
        <v>5387</v>
      </c>
      <c r="R581" s="221">
        <f>IF(R579&lt;R580,R579,R580)</f>
        <v>71.187874772681113</v>
      </c>
      <c r="S581" s="194" t="s">
        <v>5385</v>
      </c>
    </row>
    <row r="582" spans="1:21" ht="13.5" customHeight="1" x14ac:dyDescent="0.3">
      <c r="B582" s="149" t="s">
        <v>6998</v>
      </c>
      <c r="C582" s="150"/>
      <c r="D582" s="151"/>
      <c r="E582" s="349">
        <f>UDV.labor.non_specialized_cost</f>
        <v>23.66</v>
      </c>
      <c r="F582" s="151" t="s">
        <v>3659</v>
      </c>
      <c r="G582"/>
      <c r="H582"/>
      <c r="K582"/>
      <c r="L582"/>
      <c r="Q582" s="224" t="s">
        <v>5389</v>
      </c>
      <c r="R582" s="225" t="e">
        <f>IF(R551&gt;#REF!,#REF!,R551)</f>
        <v>#REF!</v>
      </c>
      <c r="S582" s="226" t="s">
        <v>5246</v>
      </c>
      <c r="U582" s="219"/>
    </row>
    <row r="583" spans="1:21" ht="13.5" customHeight="1" x14ac:dyDescent="0.3">
      <c r="C583" s="82"/>
      <c r="D583" s="82"/>
      <c r="E583" s="82"/>
      <c r="F583" s="82"/>
      <c r="G583"/>
      <c r="H583" s="82"/>
      <c r="I583" s="82"/>
      <c r="K583"/>
      <c r="L583"/>
      <c r="O583" s="82"/>
      <c r="P583" s="82"/>
      <c r="Q583" s="185" t="s">
        <v>5390</v>
      </c>
      <c r="R583" s="227" t="e">
        <f>R551-R582</f>
        <v>#REF!</v>
      </c>
      <c r="S583" s="228" t="s">
        <v>5246</v>
      </c>
      <c r="T583" s="34"/>
    </row>
    <row r="584" spans="1:21" ht="13.5" customHeight="1" x14ac:dyDescent="0.3">
      <c r="B584" s="206" t="s">
        <v>3007</v>
      </c>
      <c r="C584" s="142"/>
      <c r="D584" s="142"/>
      <c r="E584" s="142"/>
      <c r="F584" s="142"/>
      <c r="G584" s="142"/>
      <c r="H584" s="142"/>
      <c r="I584" s="142"/>
      <c r="J584" s="142"/>
      <c r="K584" s="142"/>
      <c r="L584" s="142"/>
      <c r="M584" s="142"/>
      <c r="N584" s="142"/>
      <c r="O584" s="141"/>
      <c r="Q584" s="20"/>
      <c r="R584"/>
    </row>
    <row r="585" spans="1:21" ht="27.6" customHeight="1" x14ac:dyDescent="0.3">
      <c r="B585" s="210" t="s">
        <v>6946</v>
      </c>
      <c r="C585" s="152" t="s">
        <v>6947</v>
      </c>
      <c r="D585" s="82" t="s">
        <v>6948</v>
      </c>
      <c r="E585" s="152" t="s">
        <v>6999</v>
      </c>
      <c r="F585" s="152" t="s">
        <v>7045</v>
      </c>
      <c r="G585" s="152" t="s">
        <v>6951</v>
      </c>
      <c r="H585" s="152" t="s">
        <v>6952</v>
      </c>
      <c r="I585" s="82" t="s">
        <v>6953</v>
      </c>
      <c r="J585" s="82" t="s">
        <v>6954</v>
      </c>
      <c r="K585" s="152" t="s">
        <v>6955</v>
      </c>
      <c r="L585" s="152" t="s">
        <v>6956</v>
      </c>
      <c r="M585" s="82" t="s">
        <v>6957</v>
      </c>
      <c r="N585" s="152" t="s">
        <v>7002</v>
      </c>
      <c r="O585" s="161" t="s">
        <v>6959</v>
      </c>
      <c r="Q585" s="20"/>
      <c r="R585"/>
    </row>
    <row r="586" spans="1:21" ht="14.4" x14ac:dyDescent="0.3">
      <c r="A586" t="s">
        <v>7046</v>
      </c>
      <c r="B586" s="99" t="s">
        <v>7034</v>
      </c>
      <c r="C586" s="153">
        <f>VLOOKUP("Diesel powered lead pumpDefault", Econ.Tables!$C:$E,2,FALSE)*E547</f>
        <v>293400</v>
      </c>
      <c r="D586" s="42">
        <f>VLOOKUP("CAPEXLifetimeDiesel-powered pump set package (at lagoon)Default",Econ.inputsTable!$E:$G,2,FALSE)</f>
        <v>17</v>
      </c>
      <c r="E586"/>
      <c r="F586" s="147">
        <f>E561</f>
        <v>5.8730083094840682</v>
      </c>
      <c r="G586" s="255">
        <f>VLOOKUP("CAPEXAnnual usage on activityItems that are used only on the given activityDefault",Econ.inputsTable!$E:$G,2,FALSE)</f>
        <v>1</v>
      </c>
      <c r="H586" s="503">
        <f t="shared" ref="H586:H597" si="30">UDV.econ_capital.interest_rate</f>
        <v>5.0999999999999997E-2</v>
      </c>
      <c r="I586" s="236">
        <f>VLOOKUP("CAPEXSalvageEquipmentDefault",Econ.inputsTable!$E:$G,2,FALSE)</f>
        <v>0.2</v>
      </c>
      <c r="J586" s="153">
        <f t="shared" ref="J586:J597" si="31">$C586*I586</f>
        <v>58680</v>
      </c>
      <c r="K586" s="257">
        <f>VLOOKUP("CAPEXFinanced amountNADefault",Econ.inputsTable!$E:$G,2,FALSE)</f>
        <v>1</v>
      </c>
      <c r="L586" s="236">
        <f t="shared" ref="L586:L597" si="32">H586*K586</f>
        <v>5.0999999999999997E-2</v>
      </c>
      <c r="M586">
        <f t="shared" ref="M586:M597" si="33">L586/(1-(1+L586)^-D586)</f>
        <v>8.9362846108502439E-2</v>
      </c>
      <c r="N586" s="153">
        <f t="shared" ref="N586:N597" si="34">((C586-J586)*M586)+(J586*L586)</f>
        <v>23967.927238587694</v>
      </c>
      <c r="O586" s="157">
        <f t="shared" ref="O586:O597" si="35">N586*G586</f>
        <v>23967.927238587694</v>
      </c>
      <c r="Q586" s="376" t="s">
        <v>7164</v>
      </c>
      <c r="R586" s="662">
        <f>R576*R581</f>
        <v>0</v>
      </c>
      <c r="S586" s="855" t="s">
        <v>5346</v>
      </c>
    </row>
    <row r="587" spans="1:21" ht="14.4" x14ac:dyDescent="0.3">
      <c r="A587" t="s">
        <v>7046</v>
      </c>
      <c r="B587" s="99" t="s">
        <v>7035</v>
      </c>
      <c r="C587" s="153">
        <f>VLOOKUP("Diesel powered booster pumpDefault", Econ.Tables!$C:$E,2,FALSE)*E548</f>
        <v>197300</v>
      </c>
      <c r="D587" s="42">
        <f>VLOOKUP("CAPEXLifetimeDiesel-powered pump set package (at lagoon)Default",Econ.inputsTable!$E:$G,2,FALSE)</f>
        <v>17</v>
      </c>
      <c r="E587"/>
      <c r="F587" s="147">
        <f>E562</f>
        <v>5.8730083094840682</v>
      </c>
      <c r="G587" s="255">
        <f>VLOOKUP("CAPEXAnnual usage on activityItems that are used only on the given activityDefault",Econ.inputsTable!$E:$G,2,FALSE)</f>
        <v>1</v>
      </c>
      <c r="H587" s="503">
        <f t="shared" si="30"/>
        <v>5.0999999999999997E-2</v>
      </c>
      <c r="I587" s="236">
        <f>VLOOKUP("CAPEXSalvageEquipmentDefault",Econ.inputsTable!$E:$G,2,FALSE)</f>
        <v>0.2</v>
      </c>
      <c r="J587" s="153">
        <f t="shared" si="31"/>
        <v>39460</v>
      </c>
      <c r="K587" s="257">
        <f>VLOOKUP("CAPEXFinanced amountNADefault",Econ.inputsTable!$E:$G,2,FALSE)</f>
        <v>1</v>
      </c>
      <c r="L587" s="236">
        <f t="shared" si="32"/>
        <v>5.0999999999999997E-2</v>
      </c>
      <c r="M587">
        <f t="shared" si="33"/>
        <v>8.9362846108502439E-2</v>
      </c>
      <c r="N587" s="153">
        <f t="shared" si="34"/>
        <v>16117.491629766024</v>
      </c>
      <c r="O587" s="157">
        <f t="shared" si="35"/>
        <v>16117.491629766024</v>
      </c>
      <c r="Q587" s="174" t="s">
        <v>7165</v>
      </c>
      <c r="R587" s="278">
        <f>R577*R581</f>
        <v>3041.2927096123653</v>
      </c>
      <c r="S587" s="856" t="s">
        <v>5346</v>
      </c>
    </row>
    <row r="588" spans="1:21" ht="14.4" x14ac:dyDescent="0.3">
      <c r="A588" t="s">
        <v>7046</v>
      </c>
      <c r="B588" s="99" t="s">
        <v>7047</v>
      </c>
      <c r="C588" s="153">
        <f>VLOOKUP("Diesel powered agitation trailerDefault",Econ.Tables!$C:$E,2,FALSE)*E549</f>
        <v>131500</v>
      </c>
      <c r="D588" s="42">
        <f>VLOOKUP("CAPEXLifetimeEquipmentDefault",Econ.inputsTable!$E:$G,2,FALSE)</f>
        <v>10</v>
      </c>
      <c r="E588"/>
      <c r="F588" s="147">
        <f>E563</f>
        <v>5.8730083094840682</v>
      </c>
      <c r="G588" s="255">
        <f>VLOOKUP("CAPEXAnnual usage on activityItems that are used only on the given activityDefault",Econ.inputsTable!$E:$G,2,FALSE)</f>
        <v>1</v>
      </c>
      <c r="H588" s="503">
        <f t="shared" si="30"/>
        <v>5.0999999999999997E-2</v>
      </c>
      <c r="I588" s="236">
        <f>VLOOKUP("CAPEXSalvageEquipmentDefault",Econ.inputsTable!$E:$G,2,FALSE)</f>
        <v>0.2</v>
      </c>
      <c r="J588" s="153">
        <f t="shared" si="31"/>
        <v>26300</v>
      </c>
      <c r="K588" s="257">
        <f>VLOOKUP("CAPEXFinanced amountNADefault",Econ.inputsTable!$E:$G,2,FALSE)</f>
        <v>1</v>
      </c>
      <c r="L588" s="236">
        <f t="shared" si="32"/>
        <v>5.0999999999999997E-2</v>
      </c>
      <c r="M588">
        <f t="shared" si="33"/>
        <v>0.13013423257204779</v>
      </c>
      <c r="N588" s="153">
        <f t="shared" si="34"/>
        <v>15031.421266579426</v>
      </c>
      <c r="O588" s="157">
        <f t="shared" si="35"/>
        <v>15031.421266579426</v>
      </c>
      <c r="Q588" s="377" t="s">
        <v>7166</v>
      </c>
      <c r="R588" s="359">
        <f>R578*R581</f>
        <v>3008.1195681577237</v>
      </c>
      <c r="S588" s="778" t="s">
        <v>5346</v>
      </c>
    </row>
    <row r="589" spans="1:21" ht="13.5" customHeight="1" x14ac:dyDescent="0.3">
      <c r="A589" t="s">
        <v>7046</v>
      </c>
      <c r="B589" s="99" t="s">
        <v>7037</v>
      </c>
      <c r="C589" s="153">
        <f>VLOOKUP(_xlfn.CONCAT("Tractor",E550," hp"),Econ.Tables!$C:$E,2,FALSE)*E552</f>
        <v>637400</v>
      </c>
      <c r="D589" s="79">
        <f>VLOOKUP("CAPEXLifetimeTractor, 4 wheel drive and crawlerDefault",Econ.inputsTable!$E:$H,2,FALSE)/E589</f>
        <v>16</v>
      </c>
      <c r="E589" s="213">
        <f>IF(F589&gt;UDV.tractor.min_usage_yearly,F589,UDV.tractor.min_usage_yearly)</f>
        <v>1000</v>
      </c>
      <c r="F589" s="147">
        <f>E564</f>
        <v>6.7539595559066781</v>
      </c>
      <c r="G589" s="258">
        <f>F589/E589</f>
        <v>6.7539595559066778E-3</v>
      </c>
      <c r="H589" s="503">
        <f t="shared" si="30"/>
        <v>5.0999999999999997E-2</v>
      </c>
      <c r="I589" s="236">
        <f>VLOOKUP("CAPEXSalvageEquipmentDefault", Econ.inputsTable!$E:$G,2,FALSE)</f>
        <v>0.2</v>
      </c>
      <c r="J589" s="153">
        <f t="shared" si="31"/>
        <v>127480</v>
      </c>
      <c r="K589" s="257">
        <f>VLOOKUP("CAPEXFinanced amountNADefault",Econ.inputsTable!$E:$G,2,FALSE)</f>
        <v>1</v>
      </c>
      <c r="L589" s="236">
        <f t="shared" si="32"/>
        <v>5.0999999999999997E-2</v>
      </c>
      <c r="M589">
        <f t="shared" si="33"/>
        <v>9.2927821836826949E-2</v>
      </c>
      <c r="N589" s="153">
        <f t="shared" si="34"/>
        <v>53887.2349110348</v>
      </c>
      <c r="O589" s="157">
        <f t="shared" si="35"/>
        <v>363.9522051687714</v>
      </c>
      <c r="R589"/>
    </row>
    <row r="590" spans="1:21" ht="13.5" customHeight="1" x14ac:dyDescent="0.3">
      <c r="A590" t="s">
        <v>7046</v>
      </c>
      <c r="B590" s="99" t="s">
        <v>7048</v>
      </c>
      <c r="C590" s="229">
        <f>VLOOKUP("Hose reel, hydraulic,no specific sizeDefault", Econ.Tables!$C:$E,2,FALSE)*E552</f>
        <v>44500</v>
      </c>
      <c r="D590" s="42">
        <f>VLOOKUP("CAPEXLifetimeEquipmentDefault",Econ.inputsTable!$E:$G,2,FALSE)</f>
        <v>10</v>
      </c>
      <c r="E590" s="152"/>
      <c r="F590" s="259">
        <f>E564</f>
        <v>6.7539595559066781</v>
      </c>
      <c r="G590" s="255">
        <f>VLOOKUP("CAPEXAnnual usage on activityItems that are used only on the given activityDefault",Econ.inputsTable!$E:$G,2,FALSE)</f>
        <v>1</v>
      </c>
      <c r="H590" s="503">
        <f t="shared" si="30"/>
        <v>5.0999999999999997E-2</v>
      </c>
      <c r="I590" s="236">
        <f>VLOOKUP("CAPEXSalvageEquipmentDefault",Econ.inputsTable!$E:$G,2,FALSE)</f>
        <v>0.2</v>
      </c>
      <c r="J590" s="153">
        <f t="shared" si="31"/>
        <v>8900</v>
      </c>
      <c r="K590" s="257">
        <f>VLOOKUP("CAPEXFinanced amountNADefault",Econ.inputsTable!$E:$G,2,FALSE)</f>
        <v>1</v>
      </c>
      <c r="L590" s="236">
        <f t="shared" si="32"/>
        <v>5.0999999999999997E-2</v>
      </c>
      <c r="M590">
        <f t="shared" si="33"/>
        <v>0.13013423257204779</v>
      </c>
      <c r="N590" s="153">
        <f t="shared" si="34"/>
        <v>5086.6786795649004</v>
      </c>
      <c r="O590" s="157">
        <f t="shared" si="35"/>
        <v>5086.6786795649004</v>
      </c>
      <c r="R590"/>
    </row>
    <row r="591" spans="1:21" ht="13.5" customHeight="1" x14ac:dyDescent="0.3">
      <c r="A591" t="s">
        <v>7046</v>
      </c>
      <c r="B591" s="99" t="s">
        <v>7007</v>
      </c>
      <c r="C591" s="229">
        <f>IF(E555="Broadcast",VLOOKUP("BoomDefault", Econ.Tables!$C:$E,2,FALSE),0)*E552</f>
        <v>0</v>
      </c>
      <c r="D591" s="42">
        <f>VLOOKUP("CAPEXLifetimeEquipmentDefault",Econ.inputsTable!$E:$G,2,FALSE)</f>
        <v>10</v>
      </c>
      <c r="E591" s="152"/>
      <c r="F591" s="259">
        <f>IF(C555="Broadcast",F589,0)</f>
        <v>0</v>
      </c>
      <c r="G591" s="255">
        <f>VLOOKUP("CAPEXAnnual usage on activityItems that are used only on the given activityDefault",Econ.inputsTable!$E:$G,2,FALSE)</f>
        <v>1</v>
      </c>
      <c r="H591" s="503">
        <f t="shared" si="30"/>
        <v>5.0999999999999997E-2</v>
      </c>
      <c r="I591" s="236">
        <f>VLOOKUP("CAPEXSalvageEquipmentDefault", Econ.inputsTable!$E:$G,2,FALSE)</f>
        <v>0.2</v>
      </c>
      <c r="J591" s="153">
        <f t="shared" si="31"/>
        <v>0</v>
      </c>
      <c r="K591" s="257">
        <f>VLOOKUP("CAPEXFinanced amountNADefault",Econ.inputsTable!$E:$G,2,FALSE)</f>
        <v>1</v>
      </c>
      <c r="L591" s="236">
        <f t="shared" si="32"/>
        <v>5.0999999999999997E-2</v>
      </c>
      <c r="M591">
        <f t="shared" si="33"/>
        <v>0.13013423257204779</v>
      </c>
      <c r="N591" s="153">
        <f t="shared" si="34"/>
        <v>0</v>
      </c>
      <c r="O591" s="157">
        <f t="shared" si="35"/>
        <v>0</v>
      </c>
      <c r="R591"/>
    </row>
    <row r="592" spans="1:21" ht="13.5" customHeight="1" x14ac:dyDescent="0.3">
      <c r="A592" t="s">
        <v>7046</v>
      </c>
      <c r="B592" s="99" t="s">
        <v>7008</v>
      </c>
      <c r="C592" s="229">
        <f>IF(E555="Injection",VLOOKUP("InjectionDefault",Econ.Tables!$C:$E,2,FALSE),0)*E552</f>
        <v>80900</v>
      </c>
      <c r="D592" s="42">
        <f>VLOOKUP("CAPEXLifetimeEquipmentDefault",Econ.inputsTable!$E:$G,2,FALSE)</f>
        <v>10</v>
      </c>
      <c r="E592" s="152"/>
      <c r="F592" s="259">
        <f>IF(C555="Injection",F589,0)</f>
        <v>6.7539595559066781</v>
      </c>
      <c r="G592" s="255">
        <f>VLOOKUP("CAPEXAnnual usage on activityItems that are used only on the given activityDefault",Econ.inputsTable!$E:$G,2,FALSE)</f>
        <v>1</v>
      </c>
      <c r="H592" s="503">
        <f t="shared" si="30"/>
        <v>5.0999999999999997E-2</v>
      </c>
      <c r="I592" s="236">
        <f>VLOOKUP("CAPEXSalvageEquipmentDefault",Econ.inputsTable!$E:$G,2,FALSE)</f>
        <v>0.2</v>
      </c>
      <c r="J592" s="153">
        <f t="shared" si="31"/>
        <v>16180</v>
      </c>
      <c r="K592" s="257">
        <f>VLOOKUP("CAPEXFinanced amountNADefault",Econ.inputsTable!$E:$G,2,FALSE)</f>
        <v>1</v>
      </c>
      <c r="L592" s="236">
        <f t="shared" si="32"/>
        <v>5.0999999999999997E-2</v>
      </c>
      <c r="M592">
        <f t="shared" si="33"/>
        <v>0.13013423257204779</v>
      </c>
      <c r="N592" s="153">
        <f t="shared" si="34"/>
        <v>9247.4675320629322</v>
      </c>
      <c r="O592" s="157">
        <f t="shared" si="35"/>
        <v>9247.4675320629322</v>
      </c>
      <c r="R592"/>
    </row>
    <row r="593" spans="1:18" ht="13.5" customHeight="1" x14ac:dyDescent="0.3">
      <c r="A593" t="s">
        <v>7046</v>
      </c>
      <c r="B593" s="99" t="s">
        <v>7039</v>
      </c>
      <c r="C593" s="153">
        <f>VLOOKUP(_xlfn.CONCAT("Tractor",E551," hp"),Econ.Tables!$C:$E,2,FALSE)*E553</f>
        <v>490700</v>
      </c>
      <c r="D593" s="79">
        <f>VLOOKUP("CAPEXLifetimeTractor, 4 wheel drive and crawlerDefault",Econ.inputsTable!$E:$H,2,FALSE)/E593</f>
        <v>16</v>
      </c>
      <c r="E593" s="213">
        <f>IF(F593&gt;UDV.tractor.min_usage_yearly,F593,UDV.tractor.min_usage_yearly)</f>
        <v>1000</v>
      </c>
      <c r="F593" s="147">
        <f>E565</f>
        <v>4.4047562321130505</v>
      </c>
      <c r="G593" s="258">
        <f>F593/E593</f>
        <v>4.4047562321130503E-3</v>
      </c>
      <c r="H593" s="503">
        <f t="shared" si="30"/>
        <v>5.0999999999999997E-2</v>
      </c>
      <c r="I593" s="236">
        <f>VLOOKUP("CAPEXSalvageEquipmentDefault",Econ.inputsTable!$E:$G,2,FALSE)</f>
        <v>0.2</v>
      </c>
      <c r="J593" s="153">
        <f t="shared" si="31"/>
        <v>98140</v>
      </c>
      <c r="K593" s="257">
        <f>VLOOKUP("CAPEXFinanced amountNADefault",Econ.inputsTable!$E:$G,2,FALSE)</f>
        <v>1</v>
      </c>
      <c r="L593" s="236">
        <f t="shared" si="32"/>
        <v>5.0999999999999997E-2</v>
      </c>
      <c r="M593">
        <f t="shared" si="33"/>
        <v>9.2927821836826949E-2</v>
      </c>
      <c r="N593" s="153">
        <f t="shared" si="34"/>
        <v>41484.885740264785</v>
      </c>
      <c r="O593" s="157">
        <f t="shared" si="35"/>
        <v>182.73080900292911</v>
      </c>
      <c r="R593"/>
    </row>
    <row r="594" spans="1:18" ht="13.5" customHeight="1" x14ac:dyDescent="0.3">
      <c r="A594" t="s">
        <v>7046</v>
      </c>
      <c r="B594" s="99" t="s">
        <v>1325</v>
      </c>
      <c r="C594" s="229">
        <f>VLOOKUP("Hose pulleyDefault", Econ.Tables!$C:$E,2,FALSE)*E553</f>
        <v>13200</v>
      </c>
      <c r="D594" s="42">
        <f>VLOOKUP("CAPEXLifetimeEquipmentDefault",Econ.inputsTable!$E:$G,2,FALSE)</f>
        <v>10</v>
      </c>
      <c r="E594" s="152"/>
      <c r="F594" s="259">
        <f>F593</f>
        <v>4.4047562321130505</v>
      </c>
      <c r="G594" s="255">
        <f>VLOOKUP("CAPEXAnnual usage on activityItems that are used only on the given activityDefault",Econ.inputsTable!$E:$G,2,FALSE)</f>
        <v>1</v>
      </c>
      <c r="H594" s="503">
        <f t="shared" si="30"/>
        <v>5.0999999999999997E-2</v>
      </c>
      <c r="I594" s="236">
        <f>VLOOKUP("CAPEXSalvageEquipmentDefault", Econ.inputsTable!$E:$G,2,FALSE)</f>
        <v>0.2</v>
      </c>
      <c r="J594" s="153">
        <f t="shared" si="31"/>
        <v>2640</v>
      </c>
      <c r="K594" s="257">
        <f>VLOOKUP("CAPEXFinanced amountNADefault",Econ.inputsTable!$E:$G,2,FALSE)</f>
        <v>1</v>
      </c>
      <c r="L594" s="236">
        <f t="shared" si="32"/>
        <v>5.0999999999999997E-2</v>
      </c>
      <c r="M594">
        <f t="shared" si="33"/>
        <v>0.13013423257204779</v>
      </c>
      <c r="N594" s="153">
        <f t="shared" si="34"/>
        <v>1508.8574959608245</v>
      </c>
      <c r="O594" s="157">
        <f t="shared" si="35"/>
        <v>1508.8574959608245</v>
      </c>
      <c r="R594"/>
    </row>
    <row r="595" spans="1:18" ht="13.5" customHeight="1" x14ac:dyDescent="0.3">
      <c r="A595" t="s">
        <v>7046</v>
      </c>
      <c r="B595" s="235" t="s">
        <v>3007</v>
      </c>
      <c r="C595" s="260">
        <f>VLOOKUP("Flexible drag hose, 6in 660 ftDefault",Econ.Tables!$C:$E,2,FALSE)*E552</f>
        <v>15200</v>
      </c>
      <c r="D595" s="42">
        <f>VLOOKUP("CAPEXLifetimeDrag hoseDefault",Econ.inputsTable!$E:$G,2,FALSE)</f>
        <v>2.5</v>
      </c>
      <c r="E595" s="152"/>
      <c r="F595" s="259">
        <f>F589</f>
        <v>6.7539595559066781</v>
      </c>
      <c r="G595" s="255">
        <f>VLOOKUP("CAPEXAnnual usage on activityItems that are used only on the given activityDefault",Econ.inputsTable!$E:$G,2,FALSE)</f>
        <v>1</v>
      </c>
      <c r="H595" s="503">
        <f t="shared" si="30"/>
        <v>5.0999999999999997E-2</v>
      </c>
      <c r="I595" s="236">
        <f>VLOOKUP("CAPEXSalvageBuildings and constructionDefault",Econ.inputsTable!$E:$G,2,FALSE)</f>
        <v>0</v>
      </c>
      <c r="J595" s="153">
        <f t="shared" si="31"/>
        <v>0</v>
      </c>
      <c r="K595" s="257">
        <f>VLOOKUP("CAPEXFinanced amountNADefault",Econ.inputsTable!$E:$G,2,FALSE)</f>
        <v>1</v>
      </c>
      <c r="L595" s="236">
        <f t="shared" si="32"/>
        <v>5.0999999999999997E-2</v>
      </c>
      <c r="M595">
        <f t="shared" si="33"/>
        <v>0.43614381549069553</v>
      </c>
      <c r="N595" s="153">
        <f t="shared" si="34"/>
        <v>6629.3859954585723</v>
      </c>
      <c r="O595" s="157">
        <f t="shared" si="35"/>
        <v>6629.3859954585723</v>
      </c>
      <c r="R595"/>
    </row>
    <row r="596" spans="1:18" ht="13.5" customHeight="1" x14ac:dyDescent="0.3">
      <c r="A596" t="s">
        <v>7046</v>
      </c>
      <c r="B596" s="235" t="s">
        <v>3465</v>
      </c>
      <c r="C596" s="260">
        <f>VLOOKUP("Manure piping to fieldDefault", Econ.Tables!$C:$E,2,FALSE)*E581</f>
        <v>95040</v>
      </c>
      <c r="D596" s="42">
        <f>VLOOKUP("CAPEXLifetimeBuildings and constructionDefault",Econ.inputsTable!$E:$G,2,FALSE)</f>
        <v>20</v>
      </c>
      <c r="E596" s="152"/>
      <c r="F596" s="259">
        <f>F589</f>
        <v>6.7539595559066781</v>
      </c>
      <c r="G596" s="255">
        <f>VLOOKUP("CAPEXAnnual usage on activityItems that are used only on the given activityDefault",Econ.inputsTable!$E:$G,2,FALSE)</f>
        <v>1</v>
      </c>
      <c r="H596" s="503">
        <f t="shared" si="30"/>
        <v>5.0999999999999997E-2</v>
      </c>
      <c r="I596" s="236">
        <f>VLOOKUP("CAPEXSalvageBuildings and constructionDefault",Econ.inputsTable!$E:$G,2,FALSE)</f>
        <v>0</v>
      </c>
      <c r="J596" s="153">
        <f t="shared" si="31"/>
        <v>0</v>
      </c>
      <c r="K596" s="257">
        <f>VLOOKUP("CAPEXFinanced amountNADefault",Econ.inputsTable!$E:$G,2,FALSE)</f>
        <v>1</v>
      </c>
      <c r="L596" s="236">
        <f t="shared" si="32"/>
        <v>5.0999999999999997E-2</v>
      </c>
      <c r="M596">
        <f t="shared" si="33"/>
        <v>8.0924368970045152E-2</v>
      </c>
      <c r="N596" s="153">
        <f t="shared" si="34"/>
        <v>7691.0520269130911</v>
      </c>
      <c r="O596" s="157">
        <f t="shared" si="35"/>
        <v>7691.0520269130911</v>
      </c>
      <c r="R596"/>
    </row>
    <row r="597" spans="1:18" ht="13.5" customHeight="1" x14ac:dyDescent="0.3">
      <c r="A597" t="s">
        <v>7046</v>
      </c>
      <c r="B597" s="235" t="s">
        <v>349</v>
      </c>
      <c r="C597" s="153">
        <f>IF(E563&gt;0,VLOOKUP("Pick up truckDefault",Econ.Tables!$C:$E,2,FALSE),0)</f>
        <v>58700</v>
      </c>
      <c r="D597" s="42">
        <f>VLOOKUP("CAPEXLifetimeTruck, pickupDefault",Econ.inputsTable!$E:$G,2,FALSE)</f>
        <v>8</v>
      </c>
      <c r="E597" s="42">
        <f>VLOOKUP("CAPEXAnnual usage on farmTruck, pickupDefault",Econ.inputsTable!$E:$G,2,FALSE)</f>
        <v>250</v>
      </c>
      <c r="F597" s="259">
        <f>E566</f>
        <v>0.88095124642261013</v>
      </c>
      <c r="G597" s="258">
        <f>F597/E597</f>
        <v>3.5238049856904405E-3</v>
      </c>
      <c r="H597" s="503">
        <f t="shared" si="30"/>
        <v>5.0999999999999997E-2</v>
      </c>
      <c r="I597" s="236">
        <f>VLOOKUP("CAPEXSalvageEquipmentDefault", Econ.inputsTable!$E:$G,2,FALSE)</f>
        <v>0.2</v>
      </c>
      <c r="J597" s="153">
        <f t="shared" si="31"/>
        <v>11740</v>
      </c>
      <c r="K597" s="257">
        <f>VLOOKUP("CAPEXFinanced amountNADefault",Econ.inputsTable!$E:$G,2,FALSE)</f>
        <v>1</v>
      </c>
      <c r="L597" s="236">
        <f t="shared" si="32"/>
        <v>5.0999999999999997E-2</v>
      </c>
      <c r="M597">
        <f t="shared" si="33"/>
        <v>0.1553478599468672</v>
      </c>
      <c r="N597" s="153">
        <f t="shared" si="34"/>
        <v>7893.8755031048831</v>
      </c>
      <c r="O597" s="157">
        <f t="shared" si="35"/>
        <v>27.816477854260622</v>
      </c>
    </row>
    <row r="598" spans="1:18" ht="13.5" customHeight="1" x14ac:dyDescent="0.3">
      <c r="B598" s="99"/>
      <c r="C598" s="152"/>
      <c r="D598" s="82"/>
      <c r="E598" s="82"/>
      <c r="F598" s="82"/>
      <c r="G598" s="82"/>
      <c r="H598" s="82"/>
      <c r="I598" s="82"/>
      <c r="J598" s="152"/>
      <c r="K598" s="152"/>
      <c r="L598" s="152"/>
      <c r="M598" s="152"/>
      <c r="N598" s="82"/>
      <c r="O598" s="173"/>
    </row>
    <row r="599" spans="1:18" ht="13.5" customHeight="1" x14ac:dyDescent="0.3">
      <c r="B599" s="99"/>
      <c r="C599" s="82" t="s">
        <v>7009</v>
      </c>
      <c r="D599" s="82" t="s">
        <v>6963</v>
      </c>
      <c r="E599"/>
      <c r="F599"/>
      <c r="G599"/>
      <c r="H599"/>
      <c r="K599"/>
      <c r="L599"/>
      <c r="O599" s="146"/>
    </row>
    <row r="600" spans="1:18" ht="14.4" x14ac:dyDescent="0.3">
      <c r="A600" t="s">
        <v>5205</v>
      </c>
      <c r="B600" s="99" t="s">
        <v>6964</v>
      </c>
      <c r="C600" s="153">
        <f>SUM(C586:C597)</f>
        <v>2057840</v>
      </c>
      <c r="D600" s="233">
        <f>SUMPRODUCT(C586:C597,G586:G597)</f>
        <v>877713.23505669273</v>
      </c>
      <c r="E600"/>
      <c r="F600"/>
      <c r="G600"/>
      <c r="H600"/>
      <c r="K600"/>
      <c r="L600"/>
      <c r="O600" s="146"/>
    </row>
    <row r="601" spans="1:18" ht="14.4" x14ac:dyDescent="0.3">
      <c r="A601" t="s">
        <v>5205</v>
      </c>
      <c r="B601" s="149" t="s">
        <v>6965</v>
      </c>
      <c r="C601" s="159">
        <f>SUM(N586:N597)</f>
        <v>188546.27801929793</v>
      </c>
      <c r="D601" s="234">
        <f>SUMPRODUCT(N586:N597,G586:G597)</f>
        <v>85854.781356919426</v>
      </c>
      <c r="E601" s="234"/>
      <c r="F601" s="150"/>
      <c r="G601" s="261"/>
      <c r="H601" s="150"/>
      <c r="I601" s="150"/>
      <c r="J601" s="150"/>
      <c r="K601" s="150"/>
      <c r="L601" s="150"/>
      <c r="M601" s="150"/>
      <c r="N601" s="150"/>
      <c r="O601" s="151"/>
    </row>
    <row r="602" spans="1:18" ht="14.4" x14ac:dyDescent="0.3">
      <c r="B602" s="262"/>
      <c r="C602" s="142"/>
      <c r="D602" s="142"/>
      <c r="E602" s="142"/>
      <c r="F602" s="142"/>
      <c r="G602" s="142"/>
      <c r="H602" s="142"/>
      <c r="I602" s="142"/>
      <c r="J602" s="142"/>
      <c r="K602" s="142"/>
      <c r="L602" s="142"/>
      <c r="M602" s="142"/>
      <c r="N602" s="142"/>
      <c r="O602" s="141"/>
    </row>
    <row r="603" spans="1:18" ht="27.6" customHeight="1" x14ac:dyDescent="0.3">
      <c r="B603" s="160" t="s">
        <v>6966</v>
      </c>
      <c r="C603" s="152" t="s">
        <v>6967</v>
      </c>
      <c r="D603" s="152" t="s">
        <v>6968</v>
      </c>
      <c r="E603" s="152" t="s">
        <v>6969</v>
      </c>
      <c r="F603" s="152" t="s">
        <v>6970</v>
      </c>
      <c r="G603" s="152" t="s">
        <v>6971</v>
      </c>
      <c r="H603" s="152" t="s">
        <v>6972</v>
      </c>
      <c r="I603" s="152" t="s">
        <v>6973</v>
      </c>
      <c r="J603" s="152" t="s">
        <v>6974</v>
      </c>
      <c r="K603" s="152" t="s">
        <v>6975</v>
      </c>
      <c r="L603" s="152" t="s">
        <v>6976</v>
      </c>
      <c r="M603" s="152" t="s">
        <v>6977</v>
      </c>
      <c r="N603" s="152" t="s">
        <v>6978</v>
      </c>
      <c r="O603" s="161" t="s">
        <v>6979</v>
      </c>
    </row>
    <row r="604" spans="1:18" ht="13.5" customHeight="1" x14ac:dyDescent="0.3">
      <c r="B604" s="99" t="s">
        <v>7034</v>
      </c>
      <c r="C604" s="236">
        <f>VLOOKUP("OPEXInsuranceEverythingDefault",Econ.inputsTable!$E:$H,2,FALSE)</f>
        <v>5.0000000000000001E-3</v>
      </c>
      <c r="D604" s="237">
        <f>VLOOKUP("OPEXRepair and maintenanceEquipmentDefault",Econ.inputsTable!$E:$G,2,FALSE)</f>
        <v>0.03</v>
      </c>
      <c r="E604"/>
      <c r="F604"/>
      <c r="G604"/>
      <c r="H604" s="147">
        <f>E567</f>
        <v>105.71414957071322</v>
      </c>
      <c r="I604" s="259">
        <f>H604*E580</f>
        <v>390.77135658484355</v>
      </c>
      <c r="J604" s="259">
        <f>VLOOKUP("OPEXLubeLubeDefault",Econ.inputsTable!$E:$G,2,FALSE)*I604</f>
        <v>39.077135658484359</v>
      </c>
      <c r="K604"/>
      <c r="L604" s="229"/>
      <c r="N604" s="152"/>
      <c r="O604" s="264">
        <f t="shared" ref="O604:O615" si="36">(SUM(C604:D604)*C586*G586)+SUM(I604:J604)+L604</f>
        <v>10698.848492243325</v>
      </c>
    </row>
    <row r="605" spans="1:18" ht="13.5" customHeight="1" x14ac:dyDescent="0.3">
      <c r="B605" s="99" t="s">
        <v>7035</v>
      </c>
      <c r="C605" s="236">
        <f>VLOOKUP("OPEXInsuranceEverythingDefault",Econ.inputsTable!$E:$H,2,FALSE)</f>
        <v>5.0000000000000001E-3</v>
      </c>
      <c r="D605" s="237">
        <f>VLOOKUP("OPEXRepair and maintenanceEquipmentDefault",Econ.inputsTable!$E:$G,2,FALSE)</f>
        <v>0.03</v>
      </c>
      <c r="E605"/>
      <c r="F605"/>
      <c r="G605"/>
      <c r="H605" s="147">
        <f>E568</f>
        <v>44.047562321130513</v>
      </c>
      <c r="I605" s="259">
        <f>H605*E580</f>
        <v>162.82139857701816</v>
      </c>
      <c r="J605" s="259">
        <f>VLOOKUP("OPEXLubeLubeDefault",Econ.inputsTable!$E:$G,2,FALSE)*I605</f>
        <v>16.282139857701818</v>
      </c>
      <c r="K605"/>
      <c r="L605" s="229"/>
      <c r="N605" s="152"/>
      <c r="O605" s="264">
        <f t="shared" si="36"/>
        <v>7084.6035384347188</v>
      </c>
    </row>
    <row r="606" spans="1:18" ht="13.5" customHeight="1" x14ac:dyDescent="0.3">
      <c r="B606" s="99" t="s">
        <v>7047</v>
      </c>
      <c r="C606" s="236">
        <f>VLOOKUP("OPEXInsuranceEverythingDefault",Econ.inputsTable!$E:$H,2,FALSE)</f>
        <v>5.0000000000000001E-3</v>
      </c>
      <c r="D606" s="237">
        <f>VLOOKUP("OPEXRepair and maintenanceEquipmentDefault",Econ.inputsTable!$E:$G,2,FALSE)</f>
        <v>0.03</v>
      </c>
      <c r="E606"/>
      <c r="F606"/>
      <c r="G606"/>
      <c r="H606" s="147">
        <f>E569</f>
        <v>35.238049856904404</v>
      </c>
      <c r="I606" s="259">
        <f>H606*E580</f>
        <v>130.25711886161452</v>
      </c>
      <c r="J606" s="259">
        <f>VLOOKUP("OPEXLubeLubeDefault",Econ.inputsTable!$E:$G,2,FALSE)*I606</f>
        <v>13.025711886161453</v>
      </c>
      <c r="K606"/>
      <c r="L606" s="229"/>
      <c r="N606" s="152"/>
      <c r="O606" s="264">
        <f t="shared" si="36"/>
        <v>4745.7828307477748</v>
      </c>
    </row>
    <row r="607" spans="1:18" ht="13.5" customHeight="1" x14ac:dyDescent="0.3">
      <c r="B607" s="99" t="s">
        <v>7037</v>
      </c>
      <c r="C607" s="236">
        <f>VLOOKUP("OPEXInsuranceEverythingDefault",Econ.inputsTable!$E:$H,2,FALSE)</f>
        <v>5.0000000000000001E-3</v>
      </c>
      <c r="D607" s="237">
        <f>VLOOKUP("OPEXRepair and maintenanceEquipmentDefault",Econ.inputsTable!$E:$G,2,FALSE)</f>
        <v>0.03</v>
      </c>
      <c r="E607"/>
      <c r="F607"/>
      <c r="G607"/>
      <c r="H607" s="147">
        <f>E570</f>
        <v>172.36104786673843</v>
      </c>
      <c r="I607" s="259">
        <f>H607*E580</f>
        <v>637.13098739177724</v>
      </c>
      <c r="J607" s="259">
        <f>VLOOKUP("OPEXLubeLubeDefault",Econ.inputsTable!$E:$G,2,FALSE)*I607</f>
        <v>63.713098739177724</v>
      </c>
      <c r="K607" s="205">
        <f>VLOOKUP("OPEXLaborTractorDefault",Econ.inputsTable!$E:$G,2,FALSE)*C564*E559</f>
        <v>7.429355511497346</v>
      </c>
      <c r="L607" s="229">
        <f>K607*E582</f>
        <v>175.7785514020272</v>
      </c>
      <c r="N607" s="152"/>
      <c r="O607" s="264">
        <f t="shared" si="36"/>
        <v>1027.2967212657043</v>
      </c>
    </row>
    <row r="608" spans="1:18" ht="13.5" customHeight="1" x14ac:dyDescent="0.3">
      <c r="B608" s="99" t="s">
        <v>7048</v>
      </c>
      <c r="C608" s="236">
        <f>VLOOKUP("OPEXInsuranceEverythingDefault",Econ.inputsTable!$E:$H,2,FALSE)</f>
        <v>5.0000000000000001E-3</v>
      </c>
      <c r="D608" s="237">
        <f>VLOOKUP("OPEXRepair and maintenanceEquipmentDefault",Econ.inputsTable!$E:$G,2,FALSE)</f>
        <v>0.03</v>
      </c>
      <c r="E608"/>
      <c r="F608"/>
      <c r="G608"/>
      <c r="H608" s="147"/>
      <c r="I608" s="259"/>
      <c r="J608" s="259"/>
      <c r="K608" s="205"/>
      <c r="L608" s="229"/>
      <c r="N608" s="152"/>
      <c r="O608" s="264">
        <f t="shared" si="36"/>
        <v>1557.4999999999998</v>
      </c>
    </row>
    <row r="609" spans="1:15" ht="13.5" customHeight="1" x14ac:dyDescent="0.3">
      <c r="B609" s="99" t="s">
        <v>7007</v>
      </c>
      <c r="C609" s="236">
        <f>VLOOKUP("OPEXInsuranceEverythingDefault",Econ.inputsTable!$E:$H,2,FALSE)</f>
        <v>5.0000000000000001E-3</v>
      </c>
      <c r="D609" s="237">
        <f>VLOOKUP("OPEXRepair and maintenanceEquipmentDefault",Econ.inputsTable!$E:$G,2,FALSE)</f>
        <v>0.03</v>
      </c>
      <c r="E609"/>
      <c r="F609"/>
      <c r="G609"/>
      <c r="H609" s="147"/>
      <c r="I609" s="259"/>
      <c r="J609" s="259"/>
      <c r="K609" s="205"/>
      <c r="L609" s="229"/>
      <c r="N609" s="152"/>
      <c r="O609" s="264">
        <f t="shared" si="36"/>
        <v>0</v>
      </c>
    </row>
    <row r="610" spans="1:15" ht="13.5" customHeight="1" x14ac:dyDescent="0.3">
      <c r="B610" s="99" t="s">
        <v>7008</v>
      </c>
      <c r="C610" s="236">
        <f>VLOOKUP("OPEXInsuranceEverythingDefault",Econ.inputsTable!$E:$H,2,FALSE)</f>
        <v>5.0000000000000001E-3</v>
      </c>
      <c r="D610" s="237">
        <f>VLOOKUP("OPEXRepair and maintenanceEquipmentDefault",Econ.inputsTable!$E:$G,2,FALSE)</f>
        <v>0.03</v>
      </c>
      <c r="E610"/>
      <c r="F610"/>
      <c r="G610"/>
      <c r="H610" s="147"/>
      <c r="I610" s="259"/>
      <c r="J610" s="259"/>
      <c r="K610" s="205"/>
      <c r="L610" s="229"/>
      <c r="N610" s="152"/>
      <c r="O610" s="264">
        <f t="shared" si="36"/>
        <v>2831.4999999999995</v>
      </c>
    </row>
    <row r="611" spans="1:15" ht="13.5" customHeight="1" x14ac:dyDescent="0.3">
      <c r="B611" s="99" t="s">
        <v>7039</v>
      </c>
      <c r="C611" s="236">
        <f>VLOOKUP("OPEXInsuranceEverythingDefault",Econ.inputsTable!$E:$H,2,FALSE)</f>
        <v>5.0000000000000001E-3</v>
      </c>
      <c r="D611" s="237">
        <f>VLOOKUP("OPEXRepair and maintenanceEquipmentDefault",Econ.inputsTable!$E:$G,2,FALSE)</f>
        <v>0.03</v>
      </c>
      <c r="E611"/>
      <c r="F611"/>
      <c r="G611"/>
      <c r="H611" s="147">
        <f>E571</f>
        <v>65.895153232411232</v>
      </c>
      <c r="I611" s="259">
        <f>H611*E580</f>
        <v>243.58081227121912</v>
      </c>
      <c r="J611" s="259">
        <f>VLOOKUP("OPEXLubeLubeDefault",Econ.inputsTable!$E:$G,2,FALSE)*I611</f>
        <v>24.358081227121914</v>
      </c>
      <c r="K611" s="205">
        <f>VLOOKUP("OPEXLaborTractorDefault",Econ.inputsTable!$E:$G,2,FALSE)*C565*E559</f>
        <v>4.8452318553243572</v>
      </c>
      <c r="L611" s="229">
        <f>K611*E582</f>
        <v>114.63818569697429</v>
      </c>
      <c r="N611" s="152"/>
      <c r="O611" s="264">
        <f t="shared" si="36"/>
        <v>458.22656510374088</v>
      </c>
    </row>
    <row r="612" spans="1:15" ht="13.5" customHeight="1" x14ac:dyDescent="0.3">
      <c r="B612" s="99" t="s">
        <v>1325</v>
      </c>
      <c r="C612" s="236">
        <f>VLOOKUP("OPEXInsuranceEverythingDefault",Econ.inputsTable!$E:$H,2,FALSE)</f>
        <v>5.0000000000000001E-3</v>
      </c>
      <c r="D612" s="237">
        <f>VLOOKUP("OPEXRepair and maintenanceEquipmentDefault",Econ.inputsTable!$E:$G,2,FALSE)</f>
        <v>0.03</v>
      </c>
      <c r="E612"/>
      <c r="F612"/>
      <c r="G612"/>
      <c r="H612" s="147"/>
      <c r="I612" s="259"/>
      <c r="J612" s="259"/>
      <c r="K612" s="205"/>
      <c r="L612" s="229"/>
      <c r="N612" s="152"/>
      <c r="O612" s="264">
        <f t="shared" si="36"/>
        <v>461.99999999999994</v>
      </c>
    </row>
    <row r="613" spans="1:15" ht="13.5" customHeight="1" x14ac:dyDescent="0.3">
      <c r="B613" s="99" t="s">
        <v>3007</v>
      </c>
      <c r="C613" s="236">
        <f>VLOOKUP("OPEXInsuranceEverythingDefault",Econ.inputsTable!$E:$H,2,FALSE)</f>
        <v>5.0000000000000001E-3</v>
      </c>
      <c r="D613" s="237">
        <f>VLOOKUP("OPEXRepair and maintenanceEquipmentDefault",Econ.inputsTable!$E:$G,2,FALSE)</f>
        <v>0.03</v>
      </c>
      <c r="E613"/>
      <c r="F613"/>
      <c r="G613"/>
      <c r="H613" s="147"/>
      <c r="I613" s="259"/>
      <c r="J613" s="259"/>
      <c r="K613" s="205"/>
      <c r="L613" s="229"/>
      <c r="N613" s="152"/>
      <c r="O613" s="264">
        <f t="shared" si="36"/>
        <v>532</v>
      </c>
    </row>
    <row r="614" spans="1:15" ht="13.5" customHeight="1" x14ac:dyDescent="0.3">
      <c r="B614" s="235" t="s">
        <v>3465</v>
      </c>
      <c r="C614" s="236">
        <f>VLOOKUP("OPEXInsuranceEverythingDefault",Econ.inputsTable!$E:$H,2,FALSE)</f>
        <v>5.0000000000000001E-3</v>
      </c>
      <c r="D614" s="237">
        <f>VLOOKUP("OPEXRepair and maintenanceBuildings and constructionDefault",Econ.inputsTable!$E:$G,2,FALSE)</f>
        <v>0.01</v>
      </c>
      <c r="E614"/>
      <c r="F614"/>
      <c r="G614"/>
      <c r="H614" s="147"/>
      <c r="I614" s="259"/>
      <c r="J614" s="259"/>
      <c r="K614" s="205"/>
      <c r="L614" s="229"/>
      <c r="N614" s="152"/>
      <c r="O614" s="264">
        <f t="shared" si="36"/>
        <v>1425.6</v>
      </c>
    </row>
    <row r="615" spans="1:15" ht="13.5" customHeight="1" x14ac:dyDescent="0.3">
      <c r="B615" s="99" t="s">
        <v>349</v>
      </c>
      <c r="C615" s="236">
        <f>VLOOKUP("OPEXInsuranceEverythingDefault",Econ.inputsTable!$E:$H,2,FALSE)</f>
        <v>5.0000000000000001E-3</v>
      </c>
      <c r="D615" s="237">
        <f>VLOOKUP("OPEXRepair and maintenanceEquipmentDefault",Econ.inputsTable!$E:$G,2,FALSE)</f>
        <v>0.03</v>
      </c>
      <c r="E615"/>
      <c r="F615"/>
      <c r="G615"/>
      <c r="H615" s="147">
        <f>E572</f>
        <v>5.2857074785356613</v>
      </c>
      <c r="I615" s="259">
        <f>H615*E580</f>
        <v>19.538567829242179</v>
      </c>
      <c r="J615" s="259">
        <f>VLOOKUP("OPEXLubeLubeDefault",Econ.inputsTable!$E:$G,2,FALSE)*I615</f>
        <v>1.9538567829242179</v>
      </c>
      <c r="K615" s="205">
        <f>VLOOKUP("OPEXLaborTractorDefault",Econ.inputsTable!$E:$G,2,FALSE)*C566*E559</f>
        <v>0.96904637106487124</v>
      </c>
      <c r="L615" s="229">
        <f>K615*E582</f>
        <v>22.927637139394854</v>
      </c>
      <c r="N615" s="152"/>
      <c r="O615" s="264">
        <f t="shared" si="36"/>
        <v>51.659719094662258</v>
      </c>
    </row>
    <row r="616" spans="1:15" ht="13.5" customHeight="1" x14ac:dyDescent="0.3">
      <c r="A616" t="s">
        <v>5205</v>
      </c>
      <c r="B616" s="162" t="s">
        <v>5203</v>
      </c>
      <c r="C616" s="241"/>
      <c r="D616" s="241"/>
      <c r="E616" s="242">
        <f t="shared" ref="E616:O616" si="37">SUM(E604:E615)</f>
        <v>0</v>
      </c>
      <c r="F616" s="163">
        <f t="shared" si="37"/>
        <v>0</v>
      </c>
      <c r="G616" s="242">
        <f t="shared" si="37"/>
        <v>0</v>
      </c>
      <c r="H616" s="168">
        <f t="shared" si="37"/>
        <v>428.54167032643346</v>
      </c>
      <c r="I616" s="242">
        <f t="shared" si="37"/>
        <v>1584.1002415157147</v>
      </c>
      <c r="J616" s="242">
        <f t="shared" si="37"/>
        <v>158.41002415157149</v>
      </c>
      <c r="K616" s="335">
        <f t="shared" si="37"/>
        <v>13.243633737886574</v>
      </c>
      <c r="L616" s="242">
        <f t="shared" si="37"/>
        <v>313.34437423839631</v>
      </c>
      <c r="M616" s="163">
        <f t="shared" si="37"/>
        <v>0</v>
      </c>
      <c r="N616" s="163">
        <f t="shared" si="37"/>
        <v>0</v>
      </c>
      <c r="O616" s="169">
        <f t="shared" si="37"/>
        <v>30875.017866889928</v>
      </c>
    </row>
    <row r="617" spans="1:15" ht="14.4" x14ac:dyDescent="0.3">
      <c r="B617" s="99"/>
      <c r="D617"/>
      <c r="E617"/>
      <c r="F617"/>
      <c r="G617"/>
      <c r="H617"/>
      <c r="K617"/>
      <c r="L617"/>
      <c r="O617" s="146"/>
    </row>
    <row r="618" spans="1:15" ht="14.4" x14ac:dyDescent="0.3">
      <c r="A618" t="s">
        <v>5205</v>
      </c>
      <c r="B618" s="149" t="s">
        <v>6980</v>
      </c>
      <c r="C618" s="159">
        <f>O616</f>
        <v>30875.017866889928</v>
      </c>
      <c r="D618" s="150"/>
      <c r="E618" s="150"/>
      <c r="F618" s="150"/>
      <c r="G618" s="150"/>
      <c r="H618" s="150"/>
      <c r="I618" s="150"/>
      <c r="J618" s="150"/>
      <c r="K618" s="150"/>
      <c r="L618" s="150"/>
      <c r="M618" s="150"/>
      <c r="N618" s="150"/>
      <c r="O618" s="151"/>
    </row>
    <row r="619" spans="1:15" ht="14.4" x14ac:dyDescent="0.3">
      <c r="C619" s="153"/>
      <c r="D619"/>
      <c r="E619"/>
      <c r="F619"/>
      <c r="G619"/>
      <c r="H619"/>
      <c r="K619"/>
      <c r="L619"/>
    </row>
    <row r="620" spans="1:15" ht="13.5" customHeight="1" x14ac:dyDescent="0.3">
      <c r="B620" s="244" t="s">
        <v>7010</v>
      </c>
      <c r="C620" s="245" t="s">
        <v>2800</v>
      </c>
      <c r="D620" s="142"/>
      <c r="E620" s="142"/>
      <c r="F620" s="142"/>
      <c r="G620" s="142"/>
      <c r="H620" s="142"/>
      <c r="I620" s="142"/>
      <c r="J620" s="142"/>
      <c r="K620" s="142"/>
      <c r="L620" s="142"/>
      <c r="M620" s="142"/>
      <c r="N620" s="142"/>
      <c r="O620" s="141"/>
    </row>
    <row r="621" spans="1:15" ht="13.5" customHeight="1" x14ac:dyDescent="0.3">
      <c r="B621" s="246" t="s">
        <v>7012</v>
      </c>
      <c r="C621" s="173" t="s">
        <v>5181</v>
      </c>
      <c r="D621"/>
      <c r="E621"/>
      <c r="F621"/>
      <c r="G621"/>
      <c r="H621"/>
      <c r="K621"/>
      <c r="L621"/>
      <c r="O621" s="146"/>
    </row>
    <row r="622" spans="1:15" ht="14.4" x14ac:dyDescent="0.3">
      <c r="A622" t="s">
        <v>5205</v>
      </c>
      <c r="B622" s="99" t="s">
        <v>7013</v>
      </c>
      <c r="C622" s="167">
        <f>VLOOKUP("Fertilizer value for on-farm use, tank slurry",$R$1:$T$300,3, FALSE)</f>
        <v>12315.520455039321</v>
      </c>
      <c r="D622"/>
      <c r="E622"/>
      <c r="F622"/>
      <c r="G622"/>
      <c r="H622"/>
      <c r="K622"/>
      <c r="L622"/>
      <c r="O622" s="146"/>
    </row>
    <row r="623" spans="1:15" ht="14.4" x14ac:dyDescent="0.3">
      <c r="A623" t="s">
        <v>5205</v>
      </c>
      <c r="B623" s="99" t="s">
        <v>7014</v>
      </c>
      <c r="C623" s="157">
        <f>SUM(C622)</f>
        <v>12315.520455039321</v>
      </c>
      <c r="D623"/>
      <c r="E623"/>
      <c r="F623"/>
      <c r="G623"/>
      <c r="H623"/>
      <c r="K623"/>
      <c r="L623"/>
      <c r="O623" s="146"/>
    </row>
    <row r="624" spans="1:15" ht="14.4" x14ac:dyDescent="0.3">
      <c r="B624" s="99"/>
      <c r="C624" s="146"/>
      <c r="D624"/>
      <c r="E624"/>
      <c r="F624"/>
      <c r="G624"/>
      <c r="H624"/>
      <c r="K624"/>
      <c r="L624"/>
      <c r="O624" s="146"/>
    </row>
    <row r="625" spans="1:25" ht="13.5" customHeight="1" x14ac:dyDescent="0.3">
      <c r="B625" s="247" t="s">
        <v>7015</v>
      </c>
      <c r="C625" s="173" t="s">
        <v>5181</v>
      </c>
      <c r="D625"/>
      <c r="E625"/>
      <c r="F625"/>
      <c r="G625"/>
      <c r="H625"/>
      <c r="K625"/>
      <c r="L625"/>
      <c r="O625" s="146"/>
    </row>
    <row r="626" spans="1:25" ht="14.4" x14ac:dyDescent="0.3">
      <c r="A626" t="s">
        <v>5205</v>
      </c>
      <c r="B626" s="99" t="s">
        <v>7016</v>
      </c>
      <c r="C626" s="167">
        <f>UDV.econ_manure.liquid_sell_price*C539</f>
        <v>0</v>
      </c>
      <c r="D626"/>
      <c r="E626"/>
      <c r="F626"/>
      <c r="G626"/>
      <c r="H626"/>
      <c r="K626"/>
      <c r="L626"/>
      <c r="O626" s="146"/>
    </row>
    <row r="627" spans="1:25" ht="14.4" x14ac:dyDescent="0.3">
      <c r="A627" t="s">
        <v>5205</v>
      </c>
      <c r="B627" s="99" t="s">
        <v>7017</v>
      </c>
      <c r="C627" s="157">
        <f>SUM(C626)</f>
        <v>0</v>
      </c>
      <c r="D627"/>
      <c r="E627"/>
      <c r="F627"/>
      <c r="G627"/>
      <c r="H627"/>
      <c r="K627"/>
      <c r="L627"/>
      <c r="O627" s="146"/>
    </row>
    <row r="628" spans="1:25" ht="13.5" customHeight="1" x14ac:dyDescent="0.3">
      <c r="C628" s="248"/>
    </row>
    <row r="629" spans="1:25" ht="13.5" customHeight="1" x14ac:dyDescent="0.3">
      <c r="B629" s="249" t="s">
        <v>7018</v>
      </c>
      <c r="C629" s="173" t="s">
        <v>5181</v>
      </c>
      <c r="D629"/>
    </row>
    <row r="630" spans="1:25" ht="14.4" x14ac:dyDescent="0.3">
      <c r="A630" t="s">
        <v>5205</v>
      </c>
      <c r="B630" s="99" t="s">
        <v>7019</v>
      </c>
      <c r="C630" s="167">
        <f>UDV.econ_manure.liquid_sell_price*C540</f>
        <v>0</v>
      </c>
      <c r="D630"/>
    </row>
    <row r="631" spans="1:25" ht="14.4" x14ac:dyDescent="0.3">
      <c r="A631" t="s">
        <v>5205</v>
      </c>
      <c r="B631" s="99" t="s">
        <v>7020</v>
      </c>
      <c r="C631" s="157">
        <f>SUM(C630)</f>
        <v>0</v>
      </c>
      <c r="D631"/>
    </row>
    <row r="632" spans="1:25" ht="14.4" x14ac:dyDescent="0.3">
      <c r="B632" s="99"/>
      <c r="C632" s="146"/>
      <c r="D632"/>
    </row>
    <row r="633" spans="1:25" ht="13.5" customHeight="1" x14ac:dyDescent="0.3">
      <c r="B633" s="250" t="s">
        <v>7021</v>
      </c>
      <c r="C633" s="173" t="s">
        <v>5181</v>
      </c>
      <c r="D633"/>
    </row>
    <row r="634" spans="1:25" ht="14.4" x14ac:dyDescent="0.3">
      <c r="A634" t="s">
        <v>5205</v>
      </c>
      <c r="B634" s="99" t="s">
        <v>7022</v>
      </c>
      <c r="C634" s="167">
        <f>UDV.econ_manure.liquid_export_cost*C541</f>
        <v>0</v>
      </c>
      <c r="D634"/>
    </row>
    <row r="635" spans="1:25" ht="14.4" x14ac:dyDescent="0.3">
      <c r="A635" t="s">
        <v>5205</v>
      </c>
      <c r="B635" s="149" t="s">
        <v>7023</v>
      </c>
      <c r="C635" s="289">
        <f>SUM(C634)</f>
        <v>0</v>
      </c>
      <c r="D635"/>
    </row>
    <row r="636" spans="1:25" ht="14.4" x14ac:dyDescent="0.3">
      <c r="B636" s="99"/>
      <c r="C636" s="146"/>
      <c r="D636"/>
    </row>
    <row r="637" spans="1:25" ht="13.5" customHeight="1" x14ac:dyDescent="0.3">
      <c r="B637" s="92" t="s">
        <v>7138</v>
      </c>
      <c r="C637" s="173" t="s">
        <v>7025</v>
      </c>
      <c r="D637"/>
    </row>
    <row r="638" spans="1:25" ht="14.4" x14ac:dyDescent="0.3">
      <c r="B638" s="149" t="s">
        <v>7139</v>
      </c>
      <c r="C638" s="251"/>
      <c r="D638"/>
    </row>
    <row r="639" spans="1:25" ht="15" thickBot="1" x14ac:dyDescent="0.35">
      <c r="A639" s="137"/>
      <c r="B639" s="137"/>
      <c r="C639" s="137"/>
      <c r="D639" s="137"/>
      <c r="E639" s="137"/>
      <c r="F639" s="137"/>
      <c r="G639" s="137"/>
      <c r="H639" s="137"/>
      <c r="I639" s="137"/>
      <c r="J639" s="137"/>
      <c r="K639" s="137"/>
      <c r="L639" s="137"/>
      <c r="M639" s="137"/>
      <c r="N639" s="137"/>
      <c r="O639" s="137"/>
      <c r="P639" s="137"/>
      <c r="Q639" s="137"/>
      <c r="R639"/>
      <c r="W639"/>
      <c r="Y639"/>
    </row>
    <row r="640" spans="1:25" ht="14.4" x14ac:dyDescent="0.3">
      <c r="D640"/>
      <c r="E640"/>
      <c r="F640"/>
      <c r="G640"/>
      <c r="H640"/>
      <c r="K640"/>
      <c r="L640"/>
      <c r="R640"/>
      <c r="W640"/>
      <c r="Y640"/>
    </row>
    <row r="641" spans="1:23" ht="13.5" customHeight="1" x14ac:dyDescent="0.3">
      <c r="B641" s="139" t="s">
        <v>7050</v>
      </c>
      <c r="C641" s="142"/>
      <c r="D641" s="142"/>
      <c r="E641" s="267"/>
      <c r="F641" s="268"/>
      <c r="G641" s="269"/>
      <c r="H641" s="270"/>
      <c r="I641" s="142"/>
      <c r="J641" s="142"/>
      <c r="K641" s="269"/>
      <c r="L641" s="269"/>
      <c r="M641" s="142"/>
      <c r="N641" s="142"/>
      <c r="O641" s="142"/>
      <c r="P641" s="142"/>
      <c r="Q641" s="142"/>
      <c r="R641" s="271"/>
      <c r="S641" s="142"/>
      <c r="T641" s="142"/>
      <c r="U641" s="142"/>
      <c r="V641" s="142"/>
      <c r="W641" s="272"/>
    </row>
    <row r="642" spans="1:23" ht="13.5" customHeight="1" x14ac:dyDescent="0.3">
      <c r="B642" s="92" t="s">
        <v>7051</v>
      </c>
      <c r="D642"/>
      <c r="W642" s="113"/>
    </row>
    <row r="643" spans="1:23" ht="13.5" customHeight="1" x14ac:dyDescent="0.3">
      <c r="B643" s="99"/>
      <c r="W643" s="113"/>
    </row>
    <row r="644" spans="1:23" ht="13.5" customHeight="1" x14ac:dyDescent="0.3">
      <c r="B644" s="92" t="s">
        <v>7052</v>
      </c>
      <c r="C644" s="82" t="s">
        <v>565</v>
      </c>
      <c r="D644" s="82" t="s">
        <v>38</v>
      </c>
      <c r="W644" s="113"/>
    </row>
    <row r="645" spans="1:23" ht="13.5" customHeight="1" x14ac:dyDescent="0.3">
      <c r="B645" s="99" t="s">
        <v>5859</v>
      </c>
      <c r="C645">
        <f>UDV.animal.total</f>
        <v>500</v>
      </c>
      <c r="D645" t="s">
        <v>2442</v>
      </c>
      <c r="W645" s="113"/>
    </row>
    <row r="646" spans="1:23" ht="13.5" customHeight="1" x14ac:dyDescent="0.3">
      <c r="B646" s="174" t="s">
        <v>5386</v>
      </c>
      <c r="C646">
        <f>UDV.crops.acres_available</f>
        <v>100</v>
      </c>
      <c r="D646" t="s">
        <v>7029</v>
      </c>
      <c r="W646" s="113"/>
    </row>
    <row r="647" spans="1:23" ht="13.5" customHeight="1" x14ac:dyDescent="0.3">
      <c r="B647" s="99" t="s">
        <v>5114</v>
      </c>
      <c r="C647" t="str">
        <f>UDV.u.state</f>
        <v>Iowa</v>
      </c>
      <c r="D647" t="s">
        <v>2852</v>
      </c>
      <c r="W647" s="113"/>
    </row>
    <row r="648" spans="1:23" ht="13.5" customHeight="1" x14ac:dyDescent="0.3">
      <c r="B648" s="99"/>
      <c r="W648" s="113"/>
    </row>
    <row r="649" spans="1:23" ht="13.5" customHeight="1" x14ac:dyDescent="0.3">
      <c r="A649" t="s">
        <v>4912</v>
      </c>
      <c r="B649" s="92" t="s">
        <v>7053</v>
      </c>
      <c r="C649" s="82" t="s">
        <v>5181</v>
      </c>
      <c r="D649" s="82" t="s">
        <v>7054</v>
      </c>
      <c r="W649" s="113"/>
    </row>
    <row r="650" spans="1:23" ht="13.5" customHeight="1" x14ac:dyDescent="0.3">
      <c r="A650" t="s">
        <v>4912</v>
      </c>
      <c r="B650" s="275" t="s">
        <v>2585</v>
      </c>
      <c r="C650" s="276">
        <f>F669</f>
        <v>48882.58476900142</v>
      </c>
      <c r="D650" s="153">
        <f>C650/C645</f>
        <v>97.765169538002837</v>
      </c>
      <c r="W650" s="113"/>
    </row>
    <row r="651" spans="1:23" ht="13.5" customHeight="1" x14ac:dyDescent="0.3">
      <c r="A651" t="s">
        <v>4912</v>
      </c>
      <c r="B651" s="275" t="s">
        <v>2588</v>
      </c>
      <c r="C651" s="276">
        <f>G669+L669</f>
        <v>30935.286349258913</v>
      </c>
      <c r="D651" s="153">
        <f>C651/C645</f>
        <v>61.870572698517826</v>
      </c>
      <c r="W651" s="113"/>
    </row>
    <row r="652" spans="1:23" ht="13.5" customHeight="1" x14ac:dyDescent="0.3">
      <c r="A652" t="s">
        <v>4912</v>
      </c>
      <c r="B652" s="275" t="s">
        <v>441</v>
      </c>
      <c r="C652" s="276">
        <f>I669</f>
        <v>0</v>
      </c>
      <c r="D652" s="153">
        <f>C652/C645</f>
        <v>0</v>
      </c>
      <c r="W652" s="113"/>
    </row>
    <row r="653" spans="1:23" ht="13.5" customHeight="1" x14ac:dyDescent="0.3">
      <c r="A653" t="s">
        <v>4912</v>
      </c>
      <c r="B653" s="275" t="s">
        <v>440</v>
      </c>
      <c r="C653" s="276">
        <f>J669</f>
        <v>12315.520455039321</v>
      </c>
      <c r="D653" s="153">
        <f>C653/C645</f>
        <v>24.631040910078642</v>
      </c>
      <c r="W653" s="113"/>
    </row>
    <row r="654" spans="1:23" ht="13.5" customHeight="1" x14ac:dyDescent="0.3">
      <c r="A654" t="s">
        <v>4912</v>
      </c>
      <c r="B654" s="275" t="s">
        <v>442</v>
      </c>
      <c r="C654" s="276">
        <f>K669</f>
        <v>0</v>
      </c>
      <c r="D654" s="153">
        <f>C654/C645</f>
        <v>0</v>
      </c>
      <c r="W654" s="113"/>
    </row>
    <row r="655" spans="1:23" ht="13.5" customHeight="1" x14ac:dyDescent="0.3">
      <c r="A655" t="s">
        <v>4912</v>
      </c>
      <c r="B655" s="2270" t="s">
        <v>439</v>
      </c>
      <c r="C655" s="2271">
        <f>M669</f>
        <v>-79817.871118260329</v>
      </c>
      <c r="D655" s="159">
        <f>C655/C645</f>
        <v>-159.63574223652066</v>
      </c>
      <c r="E655" s="288"/>
      <c r="W655" s="113"/>
    </row>
    <row r="656" spans="1:23" ht="13.5" customHeight="1" x14ac:dyDescent="0.3">
      <c r="A656" t="s">
        <v>4912</v>
      </c>
      <c r="B656" s="99" t="s">
        <v>7055</v>
      </c>
      <c r="C656" s="276">
        <f>L669</f>
        <v>0</v>
      </c>
      <c r="D656" s="153">
        <f>C656/C645</f>
        <v>0</v>
      </c>
      <c r="E656" s="279" t="s">
        <v>7056</v>
      </c>
      <c r="W656" s="113"/>
    </row>
    <row r="657" spans="1:23" ht="13.5" customHeight="1" x14ac:dyDescent="0.3">
      <c r="A657" t="s">
        <v>4912</v>
      </c>
      <c r="B657" s="99" t="s">
        <v>7057</v>
      </c>
      <c r="C657" s="153">
        <f>C650+C651</f>
        <v>79817.871118260329</v>
      </c>
      <c r="D657" s="153">
        <f>C657/C645</f>
        <v>159.63574223652066</v>
      </c>
      <c r="W657" s="113"/>
    </row>
    <row r="658" spans="1:23" ht="13.5" customHeight="1" x14ac:dyDescent="0.3">
      <c r="A658" t="s">
        <v>4912</v>
      </c>
      <c r="B658" s="853" t="s">
        <v>5392</v>
      </c>
      <c r="C658" s="142"/>
      <c r="D658" s="854">
        <f>E669</f>
        <v>1606014.9295000087</v>
      </c>
      <c r="E658" s="271" t="s">
        <v>2284</v>
      </c>
      <c r="W658" s="113"/>
    </row>
    <row r="659" spans="1:23" ht="13.5" customHeight="1" x14ac:dyDescent="0.3">
      <c r="A659" t="s">
        <v>4912</v>
      </c>
      <c r="B659" s="852" t="s">
        <v>5393</v>
      </c>
      <c r="D659" s="274">
        <f>E669/C645</f>
        <v>3212.0298590000175</v>
      </c>
      <c r="E659" s="20" t="s">
        <v>7058</v>
      </c>
      <c r="W659" s="113"/>
    </row>
    <row r="660" spans="1:23" ht="13.5" customHeight="1" x14ac:dyDescent="0.3">
      <c r="B660" s="99"/>
      <c r="D660"/>
      <c r="F660"/>
      <c r="G660"/>
      <c r="H660" s="42"/>
      <c r="I660" s="3"/>
      <c r="L660"/>
      <c r="N660" s="273" t="s">
        <v>7059</v>
      </c>
      <c r="O660" s="90"/>
      <c r="P660" s="90"/>
      <c r="Q660" s="90"/>
      <c r="R660" s="90"/>
      <c r="S660" s="279"/>
      <c r="T660" s="90"/>
      <c r="U660" s="90"/>
      <c r="V660" s="66"/>
      <c r="W660" s="280"/>
    </row>
    <row r="661" spans="1:23" ht="13.5" customHeight="1" x14ac:dyDescent="0.3">
      <c r="B661" s="92" t="s">
        <v>7060</v>
      </c>
      <c r="D661"/>
      <c r="F661"/>
      <c r="G661"/>
      <c r="H661"/>
      <c r="K661"/>
      <c r="L661"/>
      <c r="M661" s="113"/>
      <c r="N661" s="90" t="s">
        <v>5323</v>
      </c>
      <c r="O661" s="90" t="s">
        <v>5181</v>
      </c>
      <c r="P661" s="90" t="s">
        <v>5324</v>
      </c>
      <c r="Q661" s="90" t="s">
        <v>5181</v>
      </c>
      <c r="R661" s="90" t="s">
        <v>2710</v>
      </c>
      <c r="S661" s="90" t="s">
        <v>5181</v>
      </c>
      <c r="T661" s="90" t="s">
        <v>2710</v>
      </c>
      <c r="U661" s="90" t="s">
        <v>5181</v>
      </c>
      <c r="V661" s="90" t="s">
        <v>2710</v>
      </c>
      <c r="W661" s="280" t="s">
        <v>5181</v>
      </c>
    </row>
    <row r="662" spans="1:23" ht="13.5" customHeight="1" x14ac:dyDescent="0.3">
      <c r="B662" s="92" t="s">
        <v>5187</v>
      </c>
      <c r="C662" s="82" t="s">
        <v>7061</v>
      </c>
      <c r="D662" s="82" t="s">
        <v>7062</v>
      </c>
      <c r="E662" s="277" t="s">
        <v>7063</v>
      </c>
      <c r="F662" s="82" t="s">
        <v>7064</v>
      </c>
      <c r="G662" s="277" t="s">
        <v>2588</v>
      </c>
      <c r="H662" s="82" t="s">
        <v>5188</v>
      </c>
      <c r="I662" s="82" t="s">
        <v>5189</v>
      </c>
      <c r="J662" s="82" t="s">
        <v>5190</v>
      </c>
      <c r="K662" s="82" t="s">
        <v>442</v>
      </c>
      <c r="L662" s="82" t="s">
        <v>5191</v>
      </c>
      <c r="M662" s="173" t="s">
        <v>439</v>
      </c>
      <c r="N662" s="281" t="s">
        <v>5192</v>
      </c>
      <c r="O662" s="281" t="s">
        <v>5193</v>
      </c>
      <c r="P662" s="281" t="s">
        <v>5194</v>
      </c>
      <c r="Q662" s="281" t="s">
        <v>5195</v>
      </c>
      <c r="R662" s="281" t="s">
        <v>5196</v>
      </c>
      <c r="S662" s="281" t="s">
        <v>5197</v>
      </c>
      <c r="T662" s="281" t="s">
        <v>5198</v>
      </c>
      <c r="U662" s="281" t="s">
        <v>5199</v>
      </c>
      <c r="V662" s="281" t="s">
        <v>5200</v>
      </c>
      <c r="W662" s="282" t="s">
        <v>5201</v>
      </c>
    </row>
    <row r="663" spans="1:23" ht="14.4" x14ac:dyDescent="0.3">
      <c r="A663" t="s">
        <v>7066</v>
      </c>
      <c r="B663" s="99" t="s">
        <v>6945</v>
      </c>
      <c r="C663" s="158">
        <f>SUMIFS($C$300:$C$767,$A$300:$A$767,_xlfn.CONCAT(B663,"_construction"))</f>
        <v>7858.4422870541339</v>
      </c>
      <c r="D663" s="158">
        <f>SUMIFS($C$300:$C$767,$A$300:$A$767,_xlfn.CONCAT(B663,"_equipment"))</f>
        <v>0</v>
      </c>
      <c r="E663" s="274">
        <f>SUM(C663:D663)</f>
        <v>7858.4422870541339</v>
      </c>
      <c r="F663" s="158">
        <f>SUMIFS($D$300:$D$767,$A$300:$A$767,$B663,$B$300:$B$767,"Total capital recovery value")</f>
        <v>635.93948316737419</v>
      </c>
      <c r="G663" s="158">
        <f>SUMIFS($C$300:$C$767,$A$300:$A$767,$B663,$B$300:$B$767,"Annual operational costs")</f>
        <v>117.876634305812</v>
      </c>
      <c r="H663" s="153">
        <f t="shared" ref="H663:H668" si="38">SUM(F663:G663)</f>
        <v>753.81611747318618</v>
      </c>
      <c r="I663" s="158">
        <f>SUMIFS($C$300:$C$767,$A$300:$A$767,$B663,$B$300:$B$767,"Annual cost savings")</f>
        <v>0</v>
      </c>
      <c r="J663" s="158">
        <f>SUMIFS($C$300:$C$767,$A$300:$A$767,$B663,$B$300:$B$767,"Annual fertilizer value for on-farm use")</f>
        <v>0</v>
      </c>
      <c r="K663" s="158">
        <f>SUMIFS($C$300:$C$767,$A$300:$A$767,$B663,$B$300:$B$767,"Annual revenues")</f>
        <v>0</v>
      </c>
      <c r="L663" s="158">
        <f>SUMIFS($C$300:$C$767,$A$300:$A$767,$B663,$B$300:$B$767,"Annual cost to export excess")</f>
        <v>0</v>
      </c>
      <c r="M663" s="283">
        <f>K663-F663-G663</f>
        <v>-753.81611747318618</v>
      </c>
      <c r="N663">
        <f>SUMIFS($F$300:$F$767,$A$300:$A$767,$B663,$B$300:$B$767,"Totals")</f>
        <v>0</v>
      </c>
      <c r="O663">
        <f>SUMIFS($G$300:$G$767,$A$300:$A$767,$B663,$B$300:$B$767,"Totals")</f>
        <v>0</v>
      </c>
      <c r="P663" s="147">
        <f>SUMIFS($H$300:$H$767,$A$300:$A$767,$B663,$B$300:$B$767,"Totals")</f>
        <v>0</v>
      </c>
      <c r="Q663" s="147">
        <f>SUMIFS($I$300:$I$767,$A$300:$A$767,$B663,$B$300:$B$767,"Totals")</f>
        <v>0</v>
      </c>
      <c r="R663" s="2315">
        <f>SUMIFS($K$300:$K$767,$A$300:$A$767,$B663,$B$300:$B$767,"Totals")</f>
        <v>0</v>
      </c>
      <c r="S663" s="2315">
        <f>SUMIFS($L$300:$L$767,$A$300:$A$767,$B663,$B$300:$B$767,"Totals")</f>
        <v>0</v>
      </c>
      <c r="T663" s="2315">
        <f>SUMIFS($M$300:$M$767,$A$300:$A$767,$B663,$B$300:$B$767,"Totals")</f>
        <v>0</v>
      </c>
      <c r="U663" s="2315">
        <f>SUMIFS($N$300:$N$767,$A$300:$A$767,$B663,$B$300:$B$767,"Totals")</f>
        <v>0</v>
      </c>
      <c r="V663" s="147">
        <f>R663+T663</f>
        <v>0</v>
      </c>
      <c r="W663" s="285">
        <f>S663+U663</f>
        <v>0</v>
      </c>
    </row>
    <row r="664" spans="1:23" ht="13.5" customHeight="1" x14ac:dyDescent="0.3">
      <c r="A664" t="s">
        <v>7278</v>
      </c>
      <c r="B664" s="99" t="s">
        <v>5209</v>
      </c>
      <c r="C664" s="233">
        <f>SUMIFS($C:$C,$A:$A,_xlfn.CONCAT(B664,"_construction"))</f>
        <v>0</v>
      </c>
      <c r="D664" s="233">
        <f>SUMIFS($C:$C,$A:$A,_xlfn.CONCAT(B664,"_equipment"))</f>
        <v>0</v>
      </c>
      <c r="E664" s="274">
        <f>SUM(C664:D664)</f>
        <v>0</v>
      </c>
      <c r="F664" s="233">
        <f>SUMIFS($D:$D,$A:$A,$B664,$B:$B,"Total capital recovery value")</f>
        <v>0</v>
      </c>
      <c r="G664" s="233">
        <f>SUMIFS($C:$C,$A:$A,$B664,$B:$B,"Annual operational costs")</f>
        <v>2101.3796554187147</v>
      </c>
      <c r="H664" s="153">
        <f t="shared" si="38"/>
        <v>2101.3796554187147</v>
      </c>
      <c r="I664" s="233">
        <f>SUMIFS($C:$C,$A:$A,$B664,$B:$B,"Annual cost savings")</f>
        <v>0</v>
      </c>
      <c r="J664" s="233">
        <f>SUMIFS($C:$C,$A:$A,$B664,$B:$B,"Annual fertilizer value for on-farm use")</f>
        <v>0</v>
      </c>
      <c r="K664" s="233">
        <f>SUMIFS($C:$C,$A:$A,$B664,$B:$B,"Annual revenues")</f>
        <v>0</v>
      </c>
      <c r="L664" s="233">
        <f>SUMIFS($C:$C,$A:$A,$B664,$B:$B,"Annual cost to export excess")</f>
        <v>0</v>
      </c>
      <c r="M664" s="283">
        <f>K664-F664-G664</f>
        <v>-2101.3796554187147</v>
      </c>
      <c r="N664">
        <f>SUMIFS($F:$F,$A:$A,$B664,$B:$B,"Totals")</f>
        <v>0</v>
      </c>
      <c r="O664">
        <f>SUMIFS($G:$G,$A:$A,$B664,$B:$B,"Totals")</f>
        <v>0</v>
      </c>
      <c r="P664" s="147">
        <f>SUMIFS($H:$H,$A:$A,$B664,$B:$B,"Totals")</f>
        <v>0</v>
      </c>
      <c r="Q664" s="147">
        <f>SUMIFS($I:$I,$A:$A,$B664,$B:$B,"Totals")</f>
        <v>0</v>
      </c>
      <c r="R664" s="284">
        <f>SUMIFS($K:$K,$A:$A,$B664,$B:$B,"Totals")</f>
        <v>0</v>
      </c>
      <c r="S664" s="284">
        <f>SUMIFS($L:$L,$A:$A,$B664,$B:$B,"Totals")</f>
        <v>0</v>
      </c>
      <c r="T664" s="284">
        <f>SUMIFS($M:$M,$A:$A,$B664,$B:$B,"Totals")</f>
        <v>0</v>
      </c>
      <c r="U664" s="284">
        <f>SUMIFS($N:$N,$A:$A,$B664,$B:$B,"Totals")</f>
        <v>0</v>
      </c>
      <c r="V664" s="147">
        <f t="shared" ref="V664:W664" si="39">R664+T664</f>
        <v>0</v>
      </c>
      <c r="W664" s="285">
        <f t="shared" si="39"/>
        <v>0</v>
      </c>
    </row>
    <row r="665" spans="1:23" ht="13.5" customHeight="1" x14ac:dyDescent="0.3">
      <c r="A665" t="s">
        <v>7279</v>
      </c>
      <c r="B665" s="99" t="s">
        <v>5223</v>
      </c>
      <c r="C665" s="233">
        <f>SUMIFS($C:$C,$A:$A,_xlfn.CONCAT(B665,"_construction"))</f>
        <v>12426.746062992126</v>
      </c>
      <c r="D665" s="233">
        <f>SUMIFS($C:$C,$A:$A,_xlfn.CONCAT(B665,"_equipment"))</f>
        <v>31863.451443569553</v>
      </c>
      <c r="E665" s="274">
        <f>SUM(C665:D665)</f>
        <v>44290.197506561679</v>
      </c>
      <c r="F665" s="233">
        <f>SUMIFS($D:$D,$A:$A,$B665,$B:$B,"Total capital recovery value")</f>
        <v>6707.1567934021641</v>
      </c>
      <c r="G665" s="233">
        <f>SUMIFS($C:$C,$A:$A,$B665,$B:$B,"Annual operational costs")</f>
        <v>3245.8344510558195</v>
      </c>
      <c r="H665" s="153">
        <f t="shared" si="38"/>
        <v>9952.9912444579841</v>
      </c>
      <c r="I665" s="233">
        <f>SUMIFS($C:$C,$A:$A,$B665,$B:$B,"Annual cost savings")</f>
        <v>0</v>
      </c>
      <c r="J665" s="233">
        <f>SUMIFS($C:$C,$A:$A,$B665,$B:$B,"Annual fertilizer value for on-farm use")</f>
        <v>0</v>
      </c>
      <c r="K665" s="233">
        <f>SUMIFS($C:$C,$A:$A,$B665,$B:$B,"Annual revenues")</f>
        <v>0</v>
      </c>
      <c r="L665" s="233">
        <f>SUMIFS($C:$C,$A:$A,$B665,$B:$B,"Annual cost to export excess")</f>
        <v>0</v>
      </c>
      <c r="M665" s="283">
        <f t="shared" ref="M665:M668" si="40">K665-F665-G665</f>
        <v>-9952.9912444579841</v>
      </c>
      <c r="N665" s="278">
        <f>SUMIFS($F:$F,$A:$A,$B665,$B:$B,"Totals")</f>
        <v>4471.5360061785714</v>
      </c>
      <c r="O665" s="147">
        <f>SUMIFS($G:$G,$A:$A,$B665,$B:$B,"Totals")</f>
        <v>306.7101072237985</v>
      </c>
      <c r="P665" s="147">
        <f>SUMIFS($H:$H,$A:$A,$B665,$B:$B,"Totals")</f>
        <v>0</v>
      </c>
      <c r="Q665" s="147">
        <f>SUMIFS($I:$I,$A:$A,$B665,$B:$B,"Totals")</f>
        <v>0</v>
      </c>
      <c r="R665" s="284">
        <f>SUMIFS($K:$K,$A:$A,$B665,$B:$B,"Totals")</f>
        <v>0</v>
      </c>
      <c r="S665" s="284">
        <f>SUMIFS($L:$L,$A:$A,$B665,$B:$B,"Totals")</f>
        <v>0</v>
      </c>
      <c r="T665" s="284">
        <f>SUMIFS($M:$M,$A:$A,$B665,$B:$B,"Totals")</f>
        <v>0</v>
      </c>
      <c r="U665" s="284">
        <f>SUMIFS($N:$N,$A:$A,$B665,$B:$B,"Totals")</f>
        <v>0</v>
      </c>
      <c r="V665" s="147">
        <f>R665+T665</f>
        <v>0</v>
      </c>
      <c r="W665" s="285">
        <f>S665+U665</f>
        <v>0</v>
      </c>
    </row>
    <row r="666" spans="1:23" ht="13.5" customHeight="1" x14ac:dyDescent="0.3">
      <c r="A666" t="s">
        <v>7280</v>
      </c>
      <c r="B666" s="99" t="s">
        <v>5219</v>
      </c>
      <c r="C666" s="233">
        <f>SUMIFS($C:$C,$A:$A,_xlfn.CONCAT(B666,"_construction"))</f>
        <v>8018.7932118545777</v>
      </c>
      <c r="D666" s="233">
        <f>SUMIFS($C:$C,$A:$A,_xlfn.CONCAT(B666,"_equipment"))</f>
        <v>13570</v>
      </c>
      <c r="E666" s="274">
        <f>SUM(C666:D666)</f>
        <v>21588.79321185458</v>
      </c>
      <c r="F666" s="233">
        <f>SUMIFS($D:$D,$A:$A,$B666,$B:$B,"Total capital recovery value")</f>
        <v>1821.4045073202617</v>
      </c>
      <c r="G666" s="233">
        <f>SUMIFS($C:$C,$A:$A,$B666,$B:$B,"Annual operational costs")</f>
        <v>1572.7463282449262</v>
      </c>
      <c r="H666" s="153">
        <f t="shared" si="38"/>
        <v>3394.1508355651877</v>
      </c>
      <c r="I666" s="233">
        <f>SUMIFS($C:$C,$A:$A,$B666,$B:$B,"Annual cost savings")</f>
        <v>0</v>
      </c>
      <c r="J666" s="233">
        <f>SUMIFS($C:$C,$A:$A,$B666,$B:$B,"Annual fertilizer value for on-farm use")</f>
        <v>0</v>
      </c>
      <c r="K666" s="233">
        <f>SUMIFS($C:$C,$A:$A,$B666,$B:$B,"Annual revenues")</f>
        <v>0</v>
      </c>
      <c r="L666" s="233">
        <f>SUMIFS($C:$C,$A:$A,$B666,$B:$B,"Annual cost to export excess")</f>
        <v>0</v>
      </c>
      <c r="M666" s="283">
        <f t="shared" si="40"/>
        <v>-3394.1508355651877</v>
      </c>
      <c r="N666">
        <f>SUMIFS($F:$F,$A:$A,$B666,$B:$B,"Totals")</f>
        <v>138.71116608588275</v>
      </c>
      <c r="O666">
        <f>SUMIFS($G:$G,$A:$A,$B666,$B:$B,"Totals")</f>
        <v>9.5144300671075079</v>
      </c>
      <c r="P666" s="147">
        <f>SUMIFS($H:$H,$A:$A,$B666,$B:$B,"Totals")</f>
        <v>0</v>
      </c>
      <c r="Q666" s="147">
        <f>SUMIFS($I:$I,$A:$A,$B666,$B:$B,"Totals")</f>
        <v>0</v>
      </c>
      <c r="R666" s="284">
        <f>SUMIFS($K:$K,$A:$A,$B666,$B:$B,"Totals")</f>
        <v>0</v>
      </c>
      <c r="S666" s="284">
        <f>SUMIFS($L:$L,$A:$A,$B666,$B:$B,"Totals")</f>
        <v>0</v>
      </c>
      <c r="T666" s="284">
        <f>SUMIFS($M:$M,$A:$A,$B666,$B:$B,"Totals")</f>
        <v>0</v>
      </c>
      <c r="U666" s="284">
        <f>SUMIFS($N:$N,$A:$A,$B666,$B:$B,"Totals")</f>
        <v>0</v>
      </c>
      <c r="V666" s="147">
        <f t="shared" ref="V666:W666" si="41">R666+T666</f>
        <v>0</v>
      </c>
      <c r="W666" s="285">
        <f t="shared" si="41"/>
        <v>0</v>
      </c>
    </row>
    <row r="667" spans="1:23" ht="13.5" customHeight="1" x14ac:dyDescent="0.3">
      <c r="A667" t="s">
        <v>7281</v>
      </c>
      <c r="B667" s="99" t="s">
        <v>4622</v>
      </c>
      <c r="C667" s="233">
        <f>SUMIFS($C:$C,$A:$A,_xlfn.CONCAT(B667,"_construction"))</f>
        <v>191977.49649453838</v>
      </c>
      <c r="D667" s="233">
        <f>SUMIFS($C:$C,$A:$A,_xlfn.CONCAT(B667,"_equipment"))</f>
        <v>51200</v>
      </c>
      <c r="E667" s="274">
        <f>SUM(C667:D667)</f>
        <v>243177.49649453838</v>
      </c>
      <c r="F667" s="233">
        <f>SUMIFS($D:$D,$A:$A,$B667,$B:$B,"Total capital recovery value")</f>
        <v>5185.8653052991831</v>
      </c>
      <c r="G667" s="233">
        <f>SUMIFS($C:$C,$A:$A,$B667,$B:$B,"Annual operational costs")</f>
        <v>4199.9549929890763</v>
      </c>
      <c r="H667" s="153">
        <f t="shared" si="38"/>
        <v>9385.8202982882594</v>
      </c>
      <c r="I667" s="233">
        <f>SUMIFS($C:$C,$A:$A,$B667,$B:$B,"Annual cost savings")</f>
        <v>0</v>
      </c>
      <c r="J667" s="233">
        <f>SUMIFS($C:$C,$A:$A,$B667,$B:$B,"Annual fertilizer value for on-farm use")</f>
        <v>0</v>
      </c>
      <c r="K667" s="233">
        <f>SUMIFS($C:$C,$A:$A,$B667,$B:$B,"Annual revenues")</f>
        <v>0</v>
      </c>
      <c r="L667" s="233">
        <f>SUMIFS($C:$C,$A:$A,$B667,$B:$B,"Annual cost to export excess")</f>
        <v>0</v>
      </c>
      <c r="M667" s="283">
        <f t="shared" si="40"/>
        <v>-9385.8202982882594</v>
      </c>
      <c r="N667">
        <f>SUMIFS($F:$F,$A:$A,$B667,$B:$B,"Totals")</f>
        <v>0</v>
      </c>
      <c r="O667">
        <f>SUMIFS($G:$G,$A:$A,$B667,$B:$B,"Totals")</f>
        <v>0</v>
      </c>
      <c r="P667" s="147">
        <f>SUMIFS($H:$H,$A:$A,$B667,$B:$B,"Totals")</f>
        <v>0</v>
      </c>
      <c r="Q667" s="147">
        <f>SUMIFS($I:$I,$A:$A,$B667,$B:$B,"Totals")</f>
        <v>0</v>
      </c>
      <c r="R667" s="284">
        <f>SUMIFS($K:$K,$A:$A,$B667,$B:$B,"Totals")</f>
        <v>0</v>
      </c>
      <c r="S667" s="284">
        <f>SUMIFS($L:$L,$A:$A,$B667,$B:$B,"Totals")</f>
        <v>0</v>
      </c>
      <c r="T667" s="284">
        <f>SUMIFS($M:$M,$A:$A,$B667,$B:$B,"Totals")</f>
        <v>0</v>
      </c>
      <c r="U667" s="284">
        <f>SUMIFS($N:$N,$A:$A,$B667,$B:$B,"Totals")</f>
        <v>0</v>
      </c>
      <c r="V667" s="147">
        <f t="shared" ref="V667" si="42">R667+T667</f>
        <v>0</v>
      </c>
      <c r="W667" s="285">
        <f t="shared" ref="W667" si="43">S667+U667</f>
        <v>0</v>
      </c>
    </row>
    <row r="668" spans="1:23" ht="13.5" customHeight="1" x14ac:dyDescent="0.3">
      <c r="A668" t="s">
        <v>7067</v>
      </c>
      <c r="B668" s="99" t="s">
        <v>5202</v>
      </c>
      <c r="C668" s="233">
        <f>SUMIFS($C$299:$C$770,$A$299:$A$770,_xlfn.CONCAT(B668,"_construction"))</f>
        <v>0</v>
      </c>
      <c r="D668" s="233">
        <f>SUMIFS($C$299:$C$770,$A$299:$A$770,_xlfn.CONCAT(B668,"_equipment"))</f>
        <v>1289100</v>
      </c>
      <c r="E668" s="274">
        <f t="shared" ref="E668" si="44">SUM(C668:D668)</f>
        <v>1289100</v>
      </c>
      <c r="F668" s="233">
        <f>SUMIFS($D$299:$D$770,$A$299:$A$770,$B668,$B$299:$B$770,"Total capital recovery value")</f>
        <v>34532.218679812438</v>
      </c>
      <c r="G668" s="233">
        <f>SUMIFS($C$299:$C$770,$A$299:$A$770,$B668,$B$299:$B$770,"Annual operational costs")</f>
        <v>19697.494287244564</v>
      </c>
      <c r="H668" s="153">
        <f t="shared" si="38"/>
        <v>54229.712967056999</v>
      </c>
      <c r="I668" s="233">
        <f>SUMIFS($C$299:$C$770,$A$299:$A$770,$B668,$B$299:$B$770,"Annual cost savings")</f>
        <v>0</v>
      </c>
      <c r="J668" s="233">
        <f>SUMIFS($C$299:$C$770,$A$299:$A$770,$B668,$B$299:$B$770,"Annual fertilizer value for on-farm use")</f>
        <v>12315.520455039321</v>
      </c>
      <c r="K668" s="233">
        <f>SUMIFS($C$299:$C$770,$A$299:$A$770,$B668,$B$299:$B$770,"Annual revenues")</f>
        <v>0</v>
      </c>
      <c r="L668" s="233">
        <f>SUMIFS($C$299:$C$770,$A$299:$A$770,$B668,$B$299:$B$770,"Annual cost to export excess")</f>
        <v>0</v>
      </c>
      <c r="M668" s="283">
        <f t="shared" si="40"/>
        <v>-54229.712967056999</v>
      </c>
      <c r="N668">
        <f>SUMIFS($F$299:$F$770,$A$299:$A$770,$B668,$B$299:$B$770,"Totals")</f>
        <v>0</v>
      </c>
      <c r="O668">
        <f>SUMIFS($G$299:$G$770,$A$299:$A$770,$B668,$B$299:$B$770,"Totals")</f>
        <v>0</v>
      </c>
      <c r="P668" s="147">
        <f>SUMIFS($H$299:$H$770,$A$299:$A$770,$B668,$B$299:$B$770,"Totals")</f>
        <v>1086.0545328568232</v>
      </c>
      <c r="Q668" s="147">
        <f>SUMIFS($I$299:$I$770,$A$299:$A$770,$B668,$B$299:$B$770,"Totals")</f>
        <v>4014.5903349077666</v>
      </c>
      <c r="R668" s="284">
        <f>SUMIFS($K$299:$K$770,$A$299:$A$770,$B668,$B$299:$B$770,"Totals")</f>
        <v>136.50694200360343</v>
      </c>
      <c r="S668" s="284">
        <f>SUMIFS($L$299:$L$770,$A$299:$A$770,$B668,$B$299:$B$770,"Totals")</f>
        <v>3229.7542478052574</v>
      </c>
      <c r="T668" s="284">
        <f>SUMIFS($M$299:$M$770,$A$299:$A$770,$B668,$B$299:$B$770,"Totals")</f>
        <v>0</v>
      </c>
      <c r="U668" s="284">
        <f>SUMIFS($N$299:$N$770,$A$299:$A$770,$B668,$B$299:$B$770,"Totals")</f>
        <v>0</v>
      </c>
      <c r="V668" s="147">
        <f t="shared" ref="V668:W668" si="45">R668+T668</f>
        <v>136.50694200360343</v>
      </c>
      <c r="W668" s="285">
        <f t="shared" si="45"/>
        <v>3229.7542478052574</v>
      </c>
    </row>
    <row r="669" spans="1:23" ht="13.5" customHeight="1" x14ac:dyDescent="0.3">
      <c r="A669" t="s">
        <v>7068</v>
      </c>
      <c r="B669" s="162" t="s">
        <v>5203</v>
      </c>
      <c r="C669" s="242">
        <f>SUM(C663:C668)</f>
        <v>220281.47805643923</v>
      </c>
      <c r="D669" s="242">
        <f t="shared" ref="D669:M669" si="46">SUM(D663:D668)</f>
        <v>1385733.4514435695</v>
      </c>
      <c r="E669" s="242">
        <f t="shared" si="46"/>
        <v>1606014.9295000087</v>
      </c>
      <c r="F669" s="242">
        <f t="shared" si="46"/>
        <v>48882.58476900142</v>
      </c>
      <c r="G669" s="242">
        <f t="shared" si="46"/>
        <v>30935.286349258913</v>
      </c>
      <c r="H669" s="242">
        <f t="shared" si="46"/>
        <v>79817.871118260329</v>
      </c>
      <c r="I669" s="242">
        <f t="shared" si="46"/>
        <v>0</v>
      </c>
      <c r="J669" s="242">
        <f t="shared" si="46"/>
        <v>12315.520455039321</v>
      </c>
      <c r="K669" s="242">
        <f t="shared" si="46"/>
        <v>0</v>
      </c>
      <c r="L669" s="242">
        <f t="shared" si="46"/>
        <v>0</v>
      </c>
      <c r="M669" s="242">
        <f t="shared" si="46"/>
        <v>-79817.871118260329</v>
      </c>
      <c r="N669" s="286">
        <f>SUM(N663:N668)</f>
        <v>4610.2471722644541</v>
      </c>
      <c r="O669" s="286">
        <f t="shared" ref="O669:W669" si="47">SUM(O663:O668)</f>
        <v>316.22453729090603</v>
      </c>
      <c r="P669" s="286">
        <f t="shared" si="47"/>
        <v>1086.0545328568232</v>
      </c>
      <c r="Q669" s="286">
        <f t="shared" si="47"/>
        <v>4014.5903349077666</v>
      </c>
      <c r="R669" s="286">
        <f t="shared" si="47"/>
        <v>136.50694200360343</v>
      </c>
      <c r="S669" s="286">
        <f t="shared" si="47"/>
        <v>3229.7542478052574</v>
      </c>
      <c r="T669" s="286">
        <f t="shared" si="47"/>
        <v>0</v>
      </c>
      <c r="U669" s="286">
        <f t="shared" si="47"/>
        <v>0</v>
      </c>
      <c r="V669" s="286">
        <f t="shared" si="47"/>
        <v>136.50694200360343</v>
      </c>
      <c r="W669" s="286">
        <f t="shared" si="47"/>
        <v>3229.7542478052574</v>
      </c>
    </row>
    <row r="670" spans="1:23" ht="13.5" customHeight="1" x14ac:dyDescent="0.3">
      <c r="A670" s="82"/>
      <c r="B670" s="287" t="s">
        <v>7069</v>
      </c>
      <c r="C670" s="150"/>
      <c r="D670" s="150"/>
      <c r="E670" s="288"/>
      <c r="F670" s="150"/>
      <c r="G670" s="150"/>
      <c r="H670" s="150"/>
      <c r="I670" s="150"/>
      <c r="J670" s="150"/>
      <c r="K670" s="150"/>
      <c r="L670" s="150"/>
      <c r="M670" s="289"/>
      <c r="N670" s="150"/>
      <c r="O670" s="150"/>
      <c r="P670" s="150"/>
      <c r="Q670" s="150"/>
      <c r="R670" s="290"/>
      <c r="S670" s="291"/>
      <c r="T670" s="150"/>
      <c r="U670" s="150"/>
      <c r="V670" s="150"/>
      <c r="W670" s="151"/>
    </row>
    <row r="673" spans="1:23" ht="13.5" customHeight="1" x14ac:dyDescent="0.3">
      <c r="B673" s="139" t="s">
        <v>7050</v>
      </c>
      <c r="C673" s="142"/>
      <c r="D673" s="142"/>
      <c r="E673" s="267"/>
      <c r="F673" s="268"/>
      <c r="G673" s="269"/>
      <c r="H673" s="270"/>
      <c r="I673" s="142"/>
      <c r="J673" s="142"/>
      <c r="K673" s="269"/>
      <c r="L673" s="269"/>
      <c r="M673" s="142"/>
      <c r="N673" s="142"/>
      <c r="O673" s="142"/>
      <c r="P673" s="142"/>
      <c r="Q673" s="142"/>
      <c r="R673" s="271"/>
      <c r="S673" s="142"/>
      <c r="T673" s="142"/>
      <c r="U673" s="142"/>
      <c r="V673" s="142"/>
      <c r="W673" s="272"/>
    </row>
    <row r="674" spans="1:23" ht="13.5" customHeight="1" x14ac:dyDescent="0.3">
      <c r="B674" s="92" t="s">
        <v>7070</v>
      </c>
      <c r="D674"/>
      <c r="W674" s="113"/>
    </row>
    <row r="675" spans="1:23" ht="13.5" customHeight="1" x14ac:dyDescent="0.3">
      <c r="B675" s="99"/>
      <c r="W675" s="113"/>
    </row>
    <row r="676" spans="1:23" ht="13.5" customHeight="1" x14ac:dyDescent="0.3">
      <c r="B676" s="92" t="s">
        <v>7052</v>
      </c>
      <c r="C676" s="82" t="s">
        <v>565</v>
      </c>
      <c r="D676" s="82" t="s">
        <v>38</v>
      </c>
      <c r="W676" s="113"/>
    </row>
    <row r="677" spans="1:23" ht="13.5" customHeight="1" x14ac:dyDescent="0.3">
      <c r="B677" s="99" t="s">
        <v>5859</v>
      </c>
      <c r="C677">
        <f>UDV.animal.total</f>
        <v>500</v>
      </c>
      <c r="D677" t="s">
        <v>2442</v>
      </c>
      <c r="W677" s="113"/>
    </row>
    <row r="678" spans="1:23" ht="13.5" customHeight="1" x14ac:dyDescent="0.3">
      <c r="B678" s="174" t="s">
        <v>5386</v>
      </c>
      <c r="C678">
        <f>UDV.crops.acres_available</f>
        <v>100</v>
      </c>
      <c r="D678" t="s">
        <v>7029</v>
      </c>
      <c r="W678" s="113"/>
    </row>
    <row r="679" spans="1:23" ht="13.5" customHeight="1" x14ac:dyDescent="0.3">
      <c r="B679" s="99" t="s">
        <v>5114</v>
      </c>
      <c r="C679" t="str">
        <f>UDV.u.state</f>
        <v>Iowa</v>
      </c>
      <c r="D679" t="s">
        <v>2852</v>
      </c>
      <c r="W679" s="113"/>
    </row>
    <row r="680" spans="1:23" ht="13.5" customHeight="1" x14ac:dyDescent="0.3">
      <c r="B680" s="99"/>
      <c r="W680" s="113"/>
    </row>
    <row r="681" spans="1:23" ht="13.5" customHeight="1" x14ac:dyDescent="0.3">
      <c r="A681" t="s">
        <v>4917</v>
      </c>
      <c r="B681" s="92" t="s">
        <v>7053</v>
      </c>
      <c r="C681" s="82" t="s">
        <v>5181</v>
      </c>
      <c r="D681" s="82" t="s">
        <v>7054</v>
      </c>
      <c r="W681" s="113"/>
    </row>
    <row r="682" spans="1:23" ht="13.5" customHeight="1" x14ac:dyDescent="0.3">
      <c r="A682" t="s">
        <v>4917</v>
      </c>
      <c r="B682" s="275" t="s">
        <v>2585</v>
      </c>
      <c r="C682" s="276">
        <f>F701</f>
        <v>100205.14744610841</v>
      </c>
      <c r="D682" s="153">
        <f>C682/C677</f>
        <v>200.41029489221683</v>
      </c>
      <c r="W682" s="113"/>
    </row>
    <row r="683" spans="1:23" ht="13.5" customHeight="1" x14ac:dyDescent="0.3">
      <c r="A683" t="s">
        <v>4917</v>
      </c>
      <c r="B683" s="275" t="s">
        <v>2588</v>
      </c>
      <c r="C683" s="276">
        <f>G701+L701</f>
        <v>42112.809928904273</v>
      </c>
      <c r="D683" s="153">
        <f>C683/C677</f>
        <v>84.225619857808539</v>
      </c>
      <c r="W683" s="113"/>
    </row>
    <row r="684" spans="1:23" ht="13.5" customHeight="1" x14ac:dyDescent="0.3">
      <c r="A684" t="s">
        <v>4917</v>
      </c>
      <c r="B684" s="275" t="s">
        <v>441</v>
      </c>
      <c r="C684" s="276">
        <f>I701</f>
        <v>0</v>
      </c>
      <c r="D684" s="153">
        <f>C684/C677</f>
        <v>0</v>
      </c>
      <c r="W684" s="113"/>
    </row>
    <row r="685" spans="1:23" ht="13.5" customHeight="1" x14ac:dyDescent="0.3">
      <c r="A685" t="s">
        <v>4917</v>
      </c>
      <c r="B685" s="275" t="s">
        <v>440</v>
      </c>
      <c r="C685" s="276">
        <f>J701</f>
        <v>12315.520455039321</v>
      </c>
      <c r="D685" s="153">
        <f>C685/C677</f>
        <v>24.631040910078642</v>
      </c>
      <c r="F685" s="66"/>
      <c r="G685" s="66"/>
      <c r="H685"/>
      <c r="I685" s="42"/>
      <c r="J685" s="3"/>
      <c r="K685"/>
      <c r="R685"/>
      <c r="T685" s="20"/>
      <c r="W685" s="113"/>
    </row>
    <row r="686" spans="1:23" ht="13.5" customHeight="1" x14ac:dyDescent="0.3">
      <c r="A686" t="s">
        <v>4917</v>
      </c>
      <c r="B686" s="275" t="s">
        <v>442</v>
      </c>
      <c r="C686" s="276">
        <f>K701</f>
        <v>0</v>
      </c>
      <c r="D686" s="153">
        <f>C686/C677</f>
        <v>0</v>
      </c>
      <c r="F686" s="66"/>
      <c r="G686" s="66"/>
      <c r="H686"/>
      <c r="I686" s="42"/>
      <c r="J686" s="3"/>
      <c r="K686"/>
      <c r="P686" s="277"/>
      <c r="R686"/>
      <c r="T686" s="20"/>
      <c r="W686" s="113"/>
    </row>
    <row r="687" spans="1:23" ht="13.5" customHeight="1" x14ac:dyDescent="0.3">
      <c r="A687" t="s">
        <v>4917</v>
      </c>
      <c r="B687" s="2270" t="s">
        <v>439</v>
      </c>
      <c r="C687" s="2271">
        <f>M701</f>
        <v>-142317.95737501269</v>
      </c>
      <c r="D687" s="159">
        <f>C687/C677</f>
        <v>-284.63591475002539</v>
      </c>
      <c r="E687" s="288"/>
      <c r="F687" s="66"/>
      <c r="G687" s="66"/>
      <c r="H687"/>
      <c r="I687" s="42"/>
      <c r="J687" s="3"/>
      <c r="K687"/>
      <c r="R687"/>
      <c r="T687" s="20"/>
      <c r="W687" s="113"/>
    </row>
    <row r="688" spans="1:23" ht="13.5" customHeight="1" x14ac:dyDescent="0.3">
      <c r="A688" t="s">
        <v>4917</v>
      </c>
      <c r="B688" s="99" t="s">
        <v>7055</v>
      </c>
      <c r="C688" s="276">
        <f>L701</f>
        <v>0</v>
      </c>
      <c r="D688" s="153">
        <f>C688/C677</f>
        <v>0</v>
      </c>
      <c r="E688" s="279" t="s">
        <v>7056</v>
      </c>
      <c r="W688" s="113"/>
    </row>
    <row r="689" spans="1:23" ht="13.5" customHeight="1" x14ac:dyDescent="0.3">
      <c r="A689" t="s">
        <v>4917</v>
      </c>
      <c r="B689" s="99" t="s">
        <v>7057</v>
      </c>
      <c r="C689" s="153">
        <f>C682+C683</f>
        <v>142317.95737501269</v>
      </c>
      <c r="D689" s="153">
        <f>C689/C677</f>
        <v>284.63591475002539</v>
      </c>
      <c r="W689" s="113"/>
    </row>
    <row r="690" spans="1:23" ht="13.5" customHeight="1" x14ac:dyDescent="0.3">
      <c r="A690" t="s">
        <v>4917</v>
      </c>
      <c r="B690" s="853" t="s">
        <v>5392</v>
      </c>
      <c r="C690" s="142"/>
      <c r="D690" s="854">
        <f>E701</f>
        <v>2374754.9295000089</v>
      </c>
      <c r="E690" s="271" t="s">
        <v>2284</v>
      </c>
      <c r="F690"/>
      <c r="G690" s="66"/>
      <c r="H690"/>
      <c r="I690" s="42"/>
      <c r="J690" s="3"/>
      <c r="K690"/>
      <c r="R690"/>
      <c r="T690" s="20"/>
      <c r="W690" s="113"/>
    </row>
    <row r="691" spans="1:23" ht="13.5" customHeight="1" x14ac:dyDescent="0.3">
      <c r="A691" t="s">
        <v>4917</v>
      </c>
      <c r="B691" s="852" t="s">
        <v>5393</v>
      </c>
      <c r="D691" s="274">
        <f>E701/C677</f>
        <v>4749.509859000018</v>
      </c>
      <c r="E691" s="20" t="s">
        <v>7058</v>
      </c>
      <c r="F691"/>
      <c r="G691" s="66"/>
      <c r="H691"/>
      <c r="I691" s="42"/>
      <c r="J691" s="3"/>
      <c r="K691"/>
      <c r="R691"/>
      <c r="T691" s="20"/>
      <c r="W691" s="113"/>
    </row>
    <row r="692" spans="1:23" ht="13.5" customHeight="1" x14ac:dyDescent="0.3">
      <c r="B692" s="99"/>
      <c r="D692"/>
      <c r="F692"/>
      <c r="G692"/>
      <c r="H692" s="42"/>
      <c r="I692" s="3"/>
      <c r="L692"/>
      <c r="N692" s="273" t="s">
        <v>7059</v>
      </c>
      <c r="O692" s="90"/>
      <c r="P692" s="90"/>
      <c r="Q692" s="90"/>
      <c r="R692" s="90"/>
      <c r="S692" s="279"/>
      <c r="T692" s="90"/>
      <c r="U692" s="90"/>
      <c r="V692" s="66"/>
      <c r="W692" s="280"/>
    </row>
    <row r="693" spans="1:23" ht="13.5" customHeight="1" x14ac:dyDescent="0.3">
      <c r="B693" s="92" t="s">
        <v>7060</v>
      </c>
      <c r="D693"/>
      <c r="F693"/>
      <c r="G693"/>
      <c r="H693"/>
      <c r="K693"/>
      <c r="L693"/>
      <c r="M693" s="113"/>
      <c r="N693" s="90" t="s">
        <v>5323</v>
      </c>
      <c r="O693" s="90" t="s">
        <v>5181</v>
      </c>
      <c r="P693" s="90" t="s">
        <v>5324</v>
      </c>
      <c r="Q693" s="90" t="s">
        <v>5181</v>
      </c>
      <c r="R693" s="90" t="s">
        <v>2710</v>
      </c>
      <c r="S693" s="90" t="s">
        <v>5181</v>
      </c>
      <c r="T693" s="90" t="s">
        <v>2710</v>
      </c>
      <c r="U693" s="90" t="s">
        <v>5181</v>
      </c>
      <c r="V693" s="90" t="s">
        <v>2710</v>
      </c>
      <c r="W693" s="280" t="s">
        <v>5181</v>
      </c>
    </row>
    <row r="694" spans="1:23" ht="13.5" customHeight="1" x14ac:dyDescent="0.3">
      <c r="B694" s="92" t="s">
        <v>5187</v>
      </c>
      <c r="C694" s="152" t="s">
        <v>7061</v>
      </c>
      <c r="D694" s="152" t="s">
        <v>7062</v>
      </c>
      <c r="E694" s="277" t="s">
        <v>7063</v>
      </c>
      <c r="F694" s="152" t="s">
        <v>7064</v>
      </c>
      <c r="G694" s="293" t="s">
        <v>2588</v>
      </c>
      <c r="H694" s="152" t="s">
        <v>5188</v>
      </c>
      <c r="I694" s="152" t="s">
        <v>5189</v>
      </c>
      <c r="J694" s="152" t="s">
        <v>5190</v>
      </c>
      <c r="K694" s="152" t="s">
        <v>442</v>
      </c>
      <c r="L694" s="152" t="s">
        <v>5191</v>
      </c>
      <c r="M694" s="161" t="s">
        <v>439</v>
      </c>
      <c r="N694" s="281" t="s">
        <v>5192</v>
      </c>
      <c r="O694" s="281" t="s">
        <v>5193</v>
      </c>
      <c r="P694" s="281" t="s">
        <v>5194</v>
      </c>
      <c r="Q694" s="281" t="s">
        <v>5195</v>
      </c>
      <c r="R694" s="281" t="s">
        <v>5196</v>
      </c>
      <c r="S694" s="281" t="s">
        <v>5197</v>
      </c>
      <c r="T694" s="281" t="s">
        <v>5198</v>
      </c>
      <c r="U694" s="281" t="s">
        <v>5199</v>
      </c>
      <c r="V694" s="281" t="s">
        <v>5200</v>
      </c>
      <c r="W694" s="282" t="s">
        <v>5201</v>
      </c>
    </row>
    <row r="695" spans="1:23" ht="14.4" x14ac:dyDescent="0.3">
      <c r="A695" t="s">
        <v>7071</v>
      </c>
      <c r="B695" s="99" t="s">
        <v>6945</v>
      </c>
      <c r="C695" s="158">
        <f>SUMIFS($C$300:$C$765,$A$300:$A$765,_xlfn.CONCAT(B695,"_construction"))</f>
        <v>7858.4422870541339</v>
      </c>
      <c r="D695" s="158">
        <f>SUMIFS($C$300:$C$765,$A$300:$A$765,_xlfn.CONCAT(B695,"_equipment"))</f>
        <v>0</v>
      </c>
      <c r="E695" s="274">
        <f>SUM(C695:D695)</f>
        <v>7858.4422870541339</v>
      </c>
      <c r="F695" s="158">
        <f>SUMIFS($D$300:$D$765,$A$300:$A$765,$B695,$B$300:$B$765,"Total capital recovery value")</f>
        <v>635.93948316737419</v>
      </c>
      <c r="G695" s="158">
        <f>SUMIFS($C$300:$C$765,$A$300:$A$765,$B695,$B$300:$B$765,"Annual operational costs")</f>
        <v>117.876634305812</v>
      </c>
      <c r="H695" s="153">
        <f t="shared" ref="H695:H700" si="48">SUM(F695:G695)</f>
        <v>753.81611747318618</v>
      </c>
      <c r="I695" s="158">
        <f>SUMIFS($C$300:$C$765,$A$300:$A$765,$B695,$B$300:$B$765,"Annual cost savings")</f>
        <v>0</v>
      </c>
      <c r="J695" s="158">
        <f>SUMIFS($C$300:$C$765,$A$300:$A$765,$B695,$B$300:$B$765,"Annual fertilizer value for on-farm use")</f>
        <v>0</v>
      </c>
      <c r="K695" s="158">
        <f>SUMIFS($C$300:$C$765,$A$300:$A$765,$B695,$B$300:$B$765,"Annual revenues")</f>
        <v>0</v>
      </c>
      <c r="L695" s="158">
        <f>SUMIFS($C$300:$C$765,$A$300:$A$765,$B695,$B$300:$B$765,"Annual cost to export excess")</f>
        <v>0</v>
      </c>
      <c r="M695" s="283">
        <f>K695-F695-G695</f>
        <v>-753.81611747318618</v>
      </c>
      <c r="N695">
        <f>SUMIFS($F$300:$F$765,$A$300:$A$765,$B695,$B$300:$B$765,"Totals")</f>
        <v>0</v>
      </c>
      <c r="O695">
        <f>SUMIFS($G$300:$G$765,$A$300:$A$765,$B695,$B$300:$B$765,"Totals")</f>
        <v>0</v>
      </c>
      <c r="P695" s="147">
        <f>SUMIFS($H$300:$H$765,$A$300:$A$765,$B695,$B$300:$B$765,"Totals")</f>
        <v>0</v>
      </c>
      <c r="Q695" s="147">
        <f>SUMIFS($I$300:$I$765,$A$300:$A$765,$B695,$B$300:$B$765,"Totals")</f>
        <v>0</v>
      </c>
      <c r="R695" s="2315">
        <f>SUMIFS($K$300:$K$765,$A$300:$A$765,$B695,$B$300:$B$765,"Totals")</f>
        <v>0</v>
      </c>
      <c r="S695" s="2315">
        <f>SUMIFS($L$300:$L$765,$A$300:$A$765,$B695,$B$300:$B$765,"Totals")</f>
        <v>0</v>
      </c>
      <c r="T695" s="2315">
        <f>SUMIFS($M$300:$M$765,$A$300:$A$765,$B695,$B$300:$B$765,"Totals")</f>
        <v>0</v>
      </c>
      <c r="U695" s="2315">
        <f>SUMIFS($N$300:$N$765,$A$300:$A$765,$B695,$B$300:$B$765,"Totals")</f>
        <v>0</v>
      </c>
      <c r="V695" s="147">
        <f>R695+T695</f>
        <v>0</v>
      </c>
      <c r="W695" s="285">
        <f>S695+U695</f>
        <v>0</v>
      </c>
    </row>
    <row r="696" spans="1:23" ht="13.5" customHeight="1" x14ac:dyDescent="0.3">
      <c r="A696" t="s">
        <v>7282</v>
      </c>
      <c r="B696" s="99" t="s">
        <v>5209</v>
      </c>
      <c r="C696" s="233">
        <f>SUMIFS($C:$C,$A:$A,_xlfn.CONCAT(B696,"_construction"))</f>
        <v>0</v>
      </c>
      <c r="D696" s="233">
        <f>SUMIFS($C:$C,$A:$A,_xlfn.CONCAT(B696,"_equipment"))</f>
        <v>0</v>
      </c>
      <c r="E696" s="274">
        <f>SUM(C696:D696)</f>
        <v>0</v>
      </c>
      <c r="F696" s="233">
        <f>SUMIFS($D:$D,$A:$A,$B696,$B:$B,"Total capital recovery value")</f>
        <v>0</v>
      </c>
      <c r="G696" s="233">
        <f>SUMIFS($C:$C,$A:$A,$B696,$B:$B,"Annual operational costs")</f>
        <v>2101.3796554187147</v>
      </c>
      <c r="H696" s="153">
        <f t="shared" si="48"/>
        <v>2101.3796554187147</v>
      </c>
      <c r="I696" s="233">
        <f>SUMIFS($C:$C,$A:$A,$B696,$B:$B,"Annual cost savings")</f>
        <v>0</v>
      </c>
      <c r="J696" s="233">
        <f>SUMIFS($C:$C,$A:$A,$B696,$B:$B,"Annual fertilizer value for on-farm use")</f>
        <v>0</v>
      </c>
      <c r="K696" s="233">
        <f>SUMIFS($C:$C,$A:$A,$B696,$B:$B,"Annual revenues")</f>
        <v>0</v>
      </c>
      <c r="L696" s="233">
        <f>SUMIFS($C:$C,$A:$A,$B696,$B:$B,"Annual cost to export excess")</f>
        <v>0</v>
      </c>
      <c r="M696" s="283">
        <f>K696-F696-G696</f>
        <v>-2101.3796554187147</v>
      </c>
      <c r="N696">
        <f>SUMIFS($F:$F,$A:$A,$B696,$B:$B,"Totals")</f>
        <v>0</v>
      </c>
      <c r="O696">
        <f>SUMIFS($G:$G,$A:$A,$B696,$B:$B,"Totals")</f>
        <v>0</v>
      </c>
      <c r="P696" s="147">
        <f>SUMIFS($H:$H,$A:$A,$B696,$B:$B,"Totals")</f>
        <v>0</v>
      </c>
      <c r="Q696" s="147">
        <f>SUMIFS($I:$I,$A:$A,$B696,$B:$B,"Totals")</f>
        <v>0</v>
      </c>
      <c r="R696" s="284">
        <f>SUMIFS($K:$K,$A:$A,$B696,$B:$B,"Totals")</f>
        <v>0</v>
      </c>
      <c r="S696" s="284">
        <f>SUMIFS($L:$L,$A:$A,$B696,$B:$B,"Totals")</f>
        <v>0</v>
      </c>
      <c r="T696" s="284">
        <f>SUMIFS($M:$M,$A:$A,$B696,$B:$B,"Totals")</f>
        <v>0</v>
      </c>
      <c r="U696" s="284">
        <f>SUMIFS($N:$N,$A:$A,$B696,$B:$B,"Totals")</f>
        <v>0</v>
      </c>
      <c r="V696" s="147">
        <f t="shared" ref="V696" si="49">R696+T696</f>
        <v>0</v>
      </c>
      <c r="W696" s="285">
        <f t="shared" ref="W696" si="50">S696+U696</f>
        <v>0</v>
      </c>
    </row>
    <row r="697" spans="1:23" ht="13.5" customHeight="1" x14ac:dyDescent="0.3">
      <c r="A697" t="s">
        <v>7283</v>
      </c>
      <c r="B697" s="99" t="s">
        <v>5223</v>
      </c>
      <c r="C697" s="233">
        <f>SUMIFS($C:$C,$A:$A,_xlfn.CONCAT(B697,"_construction"))</f>
        <v>12426.746062992126</v>
      </c>
      <c r="D697" s="233">
        <f>SUMIFS($C:$C,$A:$A,_xlfn.CONCAT(B697,"_equipment"))</f>
        <v>31863.451443569553</v>
      </c>
      <c r="E697" s="274">
        <f>SUM(C697:D697)</f>
        <v>44290.197506561679</v>
      </c>
      <c r="F697" s="233">
        <f>SUMIFS($D:$D,$A:$A,$B697,$B:$B,"Total capital recovery value")</f>
        <v>6707.1567934021641</v>
      </c>
      <c r="G697" s="233">
        <f>SUMIFS($C:$C,$A:$A,$B697,$B:$B,"Annual operational costs")</f>
        <v>3245.8344510558195</v>
      </c>
      <c r="H697" s="153">
        <f t="shared" si="48"/>
        <v>9952.9912444579841</v>
      </c>
      <c r="I697" s="233">
        <f>SUMIFS($C:$C,$A:$A,$B697,$B:$B,"Annual cost savings")</f>
        <v>0</v>
      </c>
      <c r="J697" s="233">
        <f>SUMIFS($C:$C,$A:$A,$B697,$B:$B,"Annual fertilizer value for on-farm use")</f>
        <v>0</v>
      </c>
      <c r="K697" s="233">
        <f>SUMIFS($C:$C,$A:$A,$B697,$B:$B,"Annual revenues")</f>
        <v>0</v>
      </c>
      <c r="L697" s="233">
        <f>SUMIFS($C:$C,$A:$A,$B697,$B:$B,"Annual cost to export excess")</f>
        <v>0</v>
      </c>
      <c r="M697" s="283">
        <f t="shared" ref="M697:M700" si="51">K697-F697-G697</f>
        <v>-9952.9912444579841</v>
      </c>
      <c r="N697" s="278">
        <f>SUMIFS($F:$F,$A:$A,$B697,$B:$B,"Totals")</f>
        <v>4471.5360061785714</v>
      </c>
      <c r="O697" s="147">
        <f>SUMIFS($G:$G,$A:$A,$B697,$B:$B,"Totals")</f>
        <v>306.7101072237985</v>
      </c>
      <c r="P697" s="147">
        <f>SUMIFS($H:$H,$A:$A,$B697,$B:$B,"Totals")</f>
        <v>0</v>
      </c>
      <c r="Q697" s="147">
        <f>SUMIFS($I:$I,$A:$A,$B697,$B:$B,"Totals")</f>
        <v>0</v>
      </c>
      <c r="R697" s="284">
        <f>SUMIFS($K:$K,$A:$A,$B697,$B:$B,"Totals")</f>
        <v>0</v>
      </c>
      <c r="S697" s="284">
        <f>SUMIFS($L:$L,$A:$A,$B697,$B:$B,"Totals")</f>
        <v>0</v>
      </c>
      <c r="T697" s="284">
        <f>SUMIFS($M:$M,$A:$A,$B697,$B:$B,"Totals")</f>
        <v>0</v>
      </c>
      <c r="U697" s="284">
        <f>SUMIFS($N:$N,$A:$A,$B697,$B:$B,"Totals")</f>
        <v>0</v>
      </c>
      <c r="V697" s="147">
        <f>R697+T697</f>
        <v>0</v>
      </c>
      <c r="W697" s="285">
        <f>S697+U697</f>
        <v>0</v>
      </c>
    </row>
    <row r="698" spans="1:23" ht="13.5" customHeight="1" x14ac:dyDescent="0.3">
      <c r="A698" t="s">
        <v>7284</v>
      </c>
      <c r="B698" s="99" t="s">
        <v>5219</v>
      </c>
      <c r="C698" s="233">
        <f>SUMIFS($C:$C,$A:$A,_xlfn.CONCAT(B698,"_construction"))</f>
        <v>8018.7932118545777</v>
      </c>
      <c r="D698" s="233">
        <f>SUMIFS($C:$C,$A:$A,_xlfn.CONCAT(B698,"_equipment"))</f>
        <v>13570</v>
      </c>
      <c r="E698" s="274">
        <f>SUM(C698:D698)</f>
        <v>21588.79321185458</v>
      </c>
      <c r="F698" s="233">
        <f>SUMIFS($D:$D,$A:$A,$B698,$B:$B,"Total capital recovery value")</f>
        <v>1821.4045073202617</v>
      </c>
      <c r="G698" s="233">
        <f>SUMIFS($C:$C,$A:$A,$B698,$B:$B,"Annual operational costs")</f>
        <v>1572.7463282449262</v>
      </c>
      <c r="H698" s="153">
        <f t="shared" si="48"/>
        <v>3394.1508355651877</v>
      </c>
      <c r="I698" s="233">
        <f>SUMIFS($C:$C,$A:$A,$B698,$B:$B,"Annual cost savings")</f>
        <v>0</v>
      </c>
      <c r="J698" s="233">
        <f>SUMIFS($C:$C,$A:$A,$B698,$B:$B,"Annual fertilizer value for on-farm use")</f>
        <v>0</v>
      </c>
      <c r="K698" s="233">
        <f>SUMIFS($C:$C,$A:$A,$B698,$B:$B,"Annual revenues")</f>
        <v>0</v>
      </c>
      <c r="L698" s="233">
        <f>SUMIFS($C:$C,$A:$A,$B698,$B:$B,"Annual cost to export excess")</f>
        <v>0</v>
      </c>
      <c r="M698" s="283">
        <f t="shared" si="51"/>
        <v>-3394.1508355651877</v>
      </c>
      <c r="N698">
        <f>SUMIFS($F:$F,$A:$A,$B698,$B:$B,"Totals")</f>
        <v>138.71116608588275</v>
      </c>
      <c r="O698">
        <f>SUMIFS($G:$G,$A:$A,$B698,$B:$B,"Totals")</f>
        <v>9.5144300671075079</v>
      </c>
      <c r="P698" s="147">
        <f>SUMIFS($H:$H,$A:$A,$B698,$B:$B,"Totals")</f>
        <v>0</v>
      </c>
      <c r="Q698" s="147">
        <f>SUMIFS($I:$I,$A:$A,$B698,$B:$B,"Totals")</f>
        <v>0</v>
      </c>
      <c r="R698" s="284">
        <f>SUMIFS($K:$K,$A:$A,$B698,$B:$B,"Totals")</f>
        <v>0</v>
      </c>
      <c r="S698" s="284">
        <f>SUMIFS($L:$L,$A:$A,$B698,$B:$B,"Totals")</f>
        <v>0</v>
      </c>
      <c r="T698" s="284">
        <f>SUMIFS($M:$M,$A:$A,$B698,$B:$B,"Totals")</f>
        <v>0</v>
      </c>
      <c r="U698" s="284">
        <f>SUMIFS($N:$N,$A:$A,$B698,$B:$B,"Totals")</f>
        <v>0</v>
      </c>
      <c r="V698" s="147">
        <f t="shared" ref="V698" si="52">R698+T698</f>
        <v>0</v>
      </c>
      <c r="W698" s="285">
        <f t="shared" ref="W698" si="53">S698+U698</f>
        <v>0</v>
      </c>
    </row>
    <row r="699" spans="1:23" ht="13.5" customHeight="1" x14ac:dyDescent="0.3">
      <c r="A699" t="s">
        <v>7285</v>
      </c>
      <c r="B699" s="99" t="s">
        <v>4622</v>
      </c>
      <c r="C699" s="233">
        <f>SUMIFS($C:$C,$A:$A,_xlfn.CONCAT(B699,"_construction"))</f>
        <v>191977.49649453838</v>
      </c>
      <c r="D699" s="233">
        <f>SUMIFS($C:$C,$A:$A,_xlfn.CONCAT(B699,"_equipment"))</f>
        <v>51200</v>
      </c>
      <c r="E699" s="274">
        <f>SUM(C699:D699)</f>
        <v>243177.49649453838</v>
      </c>
      <c r="F699" s="233">
        <f>SUMIFS($D:$D,$A:$A,$B699,$B:$B,"Total capital recovery value")</f>
        <v>5185.8653052991831</v>
      </c>
      <c r="G699" s="233">
        <f>SUMIFS($C:$C,$A:$A,$B699,$B:$B,"Annual operational costs")</f>
        <v>4199.9549929890763</v>
      </c>
      <c r="H699" s="153">
        <f t="shared" si="48"/>
        <v>9385.8202982882594</v>
      </c>
      <c r="I699" s="233">
        <f>SUMIFS($C:$C,$A:$A,$B699,$B:$B,"Annual cost savings")</f>
        <v>0</v>
      </c>
      <c r="J699" s="233">
        <f>SUMIFS($C:$C,$A:$A,$B699,$B:$B,"Annual fertilizer value for on-farm use")</f>
        <v>0</v>
      </c>
      <c r="K699" s="233">
        <f>SUMIFS($C:$C,$A:$A,$B699,$B:$B,"Annual revenues")</f>
        <v>0</v>
      </c>
      <c r="L699" s="233">
        <f>SUMIFS($C:$C,$A:$A,$B699,$B:$B,"Annual cost to export excess")</f>
        <v>0</v>
      </c>
      <c r="M699" s="283">
        <f t="shared" si="51"/>
        <v>-9385.8202982882594</v>
      </c>
      <c r="N699">
        <f>SUMIFS($F:$F,$A:$A,$B699,$B:$B,"Totals")</f>
        <v>0</v>
      </c>
      <c r="O699">
        <f>SUMIFS($G:$G,$A:$A,$B699,$B:$B,"Totals")</f>
        <v>0</v>
      </c>
      <c r="P699" s="147">
        <f>SUMIFS($H:$H,$A:$A,$B699,$B:$B,"Totals")</f>
        <v>0</v>
      </c>
      <c r="Q699" s="147">
        <f>SUMIFS($I:$I,$A:$A,$B699,$B:$B,"Totals")</f>
        <v>0</v>
      </c>
      <c r="R699" s="284">
        <f>SUMIFS($K:$K,$A:$A,$B699,$B:$B,"Totals")</f>
        <v>0</v>
      </c>
      <c r="S699" s="284">
        <f>SUMIFS($L:$L,$A:$A,$B699,$B:$B,"Totals")</f>
        <v>0</v>
      </c>
      <c r="T699" s="284">
        <f>SUMIFS($M:$M,$A:$A,$B699,$B:$B,"Totals")</f>
        <v>0</v>
      </c>
      <c r="U699" s="284">
        <f>SUMIFS($N:$N,$A:$A,$B699,$B:$B,"Totals")</f>
        <v>0</v>
      </c>
      <c r="V699" s="147">
        <f t="shared" ref="V699" si="54">R699+T699</f>
        <v>0</v>
      </c>
      <c r="W699" s="285">
        <f t="shared" ref="W699" si="55">S699+U699</f>
        <v>0</v>
      </c>
    </row>
    <row r="700" spans="1:23" ht="13.5" customHeight="1" x14ac:dyDescent="0.3">
      <c r="A700" t="s">
        <v>5310</v>
      </c>
      <c r="B700" s="99" t="s">
        <v>5205</v>
      </c>
      <c r="C700" s="233">
        <f>SUMIFS($C$299:$C$770,$A$299:$A$770,_xlfn.CONCAT(B700,"_construction"))</f>
        <v>0</v>
      </c>
      <c r="D700" s="233">
        <f>SUMIFS($C$299:$C$770,$A$299:$A$770,_xlfn.CONCAT(B700,"_equipment"))</f>
        <v>2057840</v>
      </c>
      <c r="E700" s="274">
        <f t="shared" ref="E700" si="56">SUM(C700:D700)</f>
        <v>2057840</v>
      </c>
      <c r="F700" s="233">
        <f>SUMIFS($D$299:$D$770,$A$299:$A$770,$B700,$B$299:$B$770,"Total capital recovery value")</f>
        <v>85854.781356919426</v>
      </c>
      <c r="G700" s="233">
        <f>SUMIFS($C$299:$C$770,$A$299:$A$770,$B700,$B$299:$B$770,"Annual operational costs")</f>
        <v>30875.017866889928</v>
      </c>
      <c r="H700" s="153">
        <f t="shared" si="48"/>
        <v>116729.79922380936</v>
      </c>
      <c r="I700" s="233">
        <f>SUMIFS($C$299:$C$770,$A$299:$A$770,$B700,$B$299:$B$770,"Annual cost savings")</f>
        <v>0</v>
      </c>
      <c r="J700" s="233">
        <f>SUMIFS($C$299:$C$770,$A$299:$A$770,$B700,$B$299:$B$770,"Annual fertilizer value for on-farm use")</f>
        <v>12315.520455039321</v>
      </c>
      <c r="K700" s="233">
        <f>SUMIFS($C$299:$C$770,$A$299:$A$770,$B700,$B$299:$B$770,"Annual revenues")</f>
        <v>0</v>
      </c>
      <c r="L700" s="233">
        <f>SUMIFS($C$299:$C$770,$A$299:$A$770,$B700,$B$299:$B$770,"Annual cost to export excess")</f>
        <v>0</v>
      </c>
      <c r="M700" s="283">
        <f t="shared" si="51"/>
        <v>-116729.79922380936</v>
      </c>
      <c r="N700">
        <f>SUMIFS($F$299:$F$770,$A$299:$A$770,$B700,$B$299:$B$770,"Totals")</f>
        <v>0</v>
      </c>
      <c r="O700">
        <f>SUMIFS($G$299:$G$770,$A$299:$A$770,$B700,$B$299:$B$770,"Totals")</f>
        <v>0</v>
      </c>
      <c r="P700" s="147">
        <f>SUMIFS($H$299:$H$770,$A$299:$A$770,$B700,$B$299:$B$770,"Totals")</f>
        <v>428.54167032643346</v>
      </c>
      <c r="Q700" s="147">
        <f>SUMIFS($I$299:$I$770,$A$299:$A$770,$B700,$B$299:$B$770,"Totals")</f>
        <v>1584.1002415157147</v>
      </c>
      <c r="R700" s="284">
        <f>SUMIFS($K$299:$K$770,$A$299:$A$770,$B700,$B$299:$B$770,"Totals")</f>
        <v>13.243633737886574</v>
      </c>
      <c r="S700" s="284">
        <f>SUMIFS($L$299:$L$770,$A$299:$A$770,$B700,$B$299:$B$770,"Totals")</f>
        <v>313.34437423839631</v>
      </c>
      <c r="T700" s="284">
        <f>SUMIFS($M$299:$M$770,$A$299:$A$770,$B700,$B$299:$B$770,"Totals")</f>
        <v>0</v>
      </c>
      <c r="U700" s="284">
        <f>SUMIFS($N$299:$N$770,$A$299:$A$770,$B700,$B$299:$B$770,"Totals")</f>
        <v>0</v>
      </c>
      <c r="V700" s="147">
        <f t="shared" ref="V700:W700" si="57">R700+T700</f>
        <v>13.243633737886574</v>
      </c>
      <c r="W700" s="285">
        <f t="shared" si="57"/>
        <v>313.34437423839631</v>
      </c>
    </row>
    <row r="701" spans="1:23" ht="13.5" customHeight="1" x14ac:dyDescent="0.3">
      <c r="A701" t="s">
        <v>7072</v>
      </c>
      <c r="B701" s="162" t="s">
        <v>5203</v>
      </c>
      <c r="C701" s="242">
        <f>SUM(C695:C700)</f>
        <v>220281.47805643923</v>
      </c>
      <c r="D701" s="242">
        <f t="shared" ref="D701:M701" si="58">SUM(D695:D700)</f>
        <v>2154473.4514435697</v>
      </c>
      <c r="E701" s="242">
        <f t="shared" si="58"/>
        <v>2374754.9295000089</v>
      </c>
      <c r="F701" s="242">
        <f t="shared" si="58"/>
        <v>100205.14744610841</v>
      </c>
      <c r="G701" s="242">
        <f t="shared" si="58"/>
        <v>42112.809928904273</v>
      </c>
      <c r="H701" s="242">
        <f t="shared" si="58"/>
        <v>142317.95737501269</v>
      </c>
      <c r="I701" s="242">
        <f t="shared" si="58"/>
        <v>0</v>
      </c>
      <c r="J701" s="242">
        <f t="shared" si="58"/>
        <v>12315.520455039321</v>
      </c>
      <c r="K701" s="242">
        <f t="shared" si="58"/>
        <v>0</v>
      </c>
      <c r="L701" s="242">
        <f t="shared" si="58"/>
        <v>0</v>
      </c>
      <c r="M701" s="242">
        <f t="shared" si="58"/>
        <v>-142317.95737501269</v>
      </c>
      <c r="N701" s="286">
        <f>SUM(N695:N700)</f>
        <v>4610.2471722644541</v>
      </c>
      <c r="O701" s="286">
        <f t="shared" ref="O701:V701" si="59">SUM(O695:O700)</f>
        <v>316.22453729090603</v>
      </c>
      <c r="P701" s="286">
        <f t="shared" si="59"/>
        <v>428.54167032643346</v>
      </c>
      <c r="Q701" s="286">
        <f t="shared" si="59"/>
        <v>1584.1002415157147</v>
      </c>
      <c r="R701" s="286">
        <f t="shared" si="59"/>
        <v>13.243633737886574</v>
      </c>
      <c r="S701" s="286">
        <f t="shared" si="59"/>
        <v>313.34437423839631</v>
      </c>
      <c r="T701" s="286">
        <f t="shared" si="59"/>
        <v>0</v>
      </c>
      <c r="U701" s="286">
        <f t="shared" si="59"/>
        <v>0</v>
      </c>
      <c r="V701" s="286">
        <f t="shared" si="59"/>
        <v>13.243633737886574</v>
      </c>
      <c r="W701" s="286">
        <f>SUM(W695:W700)</f>
        <v>313.34437423839631</v>
      </c>
    </row>
    <row r="702" spans="1:23" ht="13.5" customHeight="1" x14ac:dyDescent="0.3">
      <c r="A702" s="82"/>
      <c r="B702" s="287" t="s">
        <v>7069</v>
      </c>
      <c r="C702" s="150"/>
      <c r="D702" s="150"/>
      <c r="E702" s="288"/>
      <c r="F702" s="150"/>
      <c r="G702" s="150"/>
      <c r="H702" s="150"/>
      <c r="I702" s="150"/>
      <c r="J702" s="150"/>
      <c r="K702" s="150"/>
      <c r="L702" s="150"/>
      <c r="M702" s="289"/>
      <c r="N702" s="150"/>
      <c r="O702" s="150"/>
      <c r="P702" s="150"/>
      <c r="Q702" s="150"/>
      <c r="R702" s="290"/>
      <c r="S702" s="291"/>
      <c r="T702" s="150"/>
      <c r="U702" s="150"/>
      <c r="V702" s="150"/>
      <c r="W702" s="151"/>
    </row>
    <row r="703" spans="1:23" ht="15" thickBot="1" x14ac:dyDescent="0.35">
      <c r="A703" s="137"/>
      <c r="B703" s="137"/>
      <c r="C703" s="137"/>
      <c r="D703" s="137"/>
      <c r="E703" s="137"/>
      <c r="F703" s="137"/>
      <c r="G703" s="137"/>
      <c r="H703" s="137"/>
      <c r="I703" s="137"/>
      <c r="J703" s="137"/>
      <c r="K703" s="137"/>
      <c r="L703" s="137"/>
      <c r="M703" s="137"/>
      <c r="N703" s="137"/>
      <c r="O703" s="137"/>
      <c r="P703" s="137"/>
      <c r="Q703" s="137"/>
      <c r="R703"/>
      <c r="W703"/>
    </row>
    <row r="704" spans="1:23" ht="14.4" x14ac:dyDescent="0.3">
      <c r="D704"/>
      <c r="E704"/>
      <c r="F704"/>
      <c r="G704"/>
      <c r="H704"/>
      <c r="L704"/>
      <c r="R704"/>
      <c r="W704"/>
    </row>
    <row r="705" customFormat="1" ht="13.5" customHeight="1" x14ac:dyDescent="0.3"/>
    <row r="706" customFormat="1" ht="14.4" x14ac:dyDescent="0.3"/>
    <row r="707" customFormat="1" ht="13.5" customHeight="1" x14ac:dyDescent="0.3"/>
    <row r="708" customFormat="1" ht="13.5" customHeight="1"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3.5" customHeight="1" x14ac:dyDescent="0.3"/>
    <row r="721" customFormat="1" ht="13.5" customHeight="1" x14ac:dyDescent="0.3"/>
    <row r="722" customFormat="1" ht="13.5" customHeight="1" x14ac:dyDescent="0.3"/>
    <row r="723" customFormat="1" ht="13.5" customHeight="1" x14ac:dyDescent="0.3"/>
    <row r="724" customFormat="1" ht="13.5" customHeight="1" x14ac:dyDescent="0.3"/>
    <row r="725" customFormat="1" ht="13.5" customHeight="1" x14ac:dyDescent="0.3"/>
    <row r="726" customFormat="1" ht="14.4" x14ac:dyDescent="0.3"/>
    <row r="727" customFormat="1" ht="14.4" x14ac:dyDescent="0.3"/>
    <row r="728" customFormat="1" ht="14.4" x14ac:dyDescent="0.3"/>
    <row r="729" customFormat="1" ht="13.5" customHeight="1" x14ac:dyDescent="0.3"/>
    <row r="730" customFormat="1" ht="13.5" customHeight="1" x14ac:dyDescent="0.3"/>
    <row r="731" customFormat="1" ht="13.5" customHeight="1" x14ac:dyDescent="0.3"/>
    <row r="732" customFormat="1" ht="13.5" customHeight="1" x14ac:dyDescent="0.3"/>
    <row r="733" customFormat="1" ht="13.5" customHeight="1" x14ac:dyDescent="0.3"/>
    <row r="734" customFormat="1" ht="13.5" customHeight="1" x14ac:dyDescent="0.3"/>
    <row r="735" customFormat="1" ht="14.4" x14ac:dyDescent="0.3"/>
    <row r="736" customFormat="1" ht="13.5" customHeight="1" x14ac:dyDescent="0.3"/>
    <row r="737" customFormat="1" ht="13.5" customHeight="1"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3.5" customHeight="1" x14ac:dyDescent="0.3"/>
    <row r="747" customFormat="1" ht="13.5" customHeight="1" x14ac:dyDescent="0.3"/>
    <row r="748" customFormat="1" ht="13.5" customHeight="1" x14ac:dyDescent="0.3"/>
    <row r="749" customFormat="1" ht="13.5" customHeight="1" x14ac:dyDescent="0.3"/>
    <row r="750" customFormat="1" ht="14.4" x14ac:dyDescent="0.3"/>
    <row r="751" customFormat="1" ht="14.4" x14ac:dyDescent="0.3"/>
    <row r="752" customFormat="1" ht="13.5" customHeight="1" x14ac:dyDescent="0.3"/>
    <row r="753" customFormat="1" ht="13.5" customHeight="1" x14ac:dyDescent="0.3"/>
    <row r="754" customFormat="1" ht="14.4" x14ac:dyDescent="0.3"/>
    <row r="755" customFormat="1" ht="14.4" x14ac:dyDescent="0.3"/>
    <row r="756" customFormat="1" ht="13.5" customHeight="1" x14ac:dyDescent="0.3"/>
    <row r="757" customFormat="1" ht="13.5" customHeight="1" x14ac:dyDescent="0.3"/>
    <row r="758" customFormat="1" ht="13.5" customHeight="1" x14ac:dyDescent="0.3"/>
    <row r="759" customFormat="1" ht="13.5" customHeight="1" x14ac:dyDescent="0.3"/>
    <row r="760" customFormat="1" ht="13.5" customHeight="1" x14ac:dyDescent="0.3"/>
    <row r="761" customFormat="1" ht="13.5" customHeight="1" x14ac:dyDescent="0.3"/>
    <row r="762" customFormat="1" ht="13.5" customHeight="1" x14ac:dyDescent="0.3"/>
    <row r="763" customFormat="1" ht="13.5" customHeight="1" x14ac:dyDescent="0.3"/>
    <row r="764" customFormat="1" ht="13.5" customHeight="1" x14ac:dyDescent="0.3"/>
    <row r="765" customFormat="1" ht="13.5" customHeight="1" x14ac:dyDescent="0.3"/>
    <row r="766" customFormat="1" ht="13.5" customHeight="1" x14ac:dyDescent="0.3"/>
    <row r="767" customFormat="1" ht="13.5" customHeight="1" x14ac:dyDescent="0.3"/>
    <row r="768" customFormat="1" ht="13.5" customHeight="1" x14ac:dyDescent="0.3"/>
    <row r="769" customFormat="1" ht="13.5" customHeight="1" x14ac:dyDescent="0.3"/>
    <row r="770" customFormat="1" ht="13.5" customHeight="1" x14ac:dyDescent="0.3"/>
    <row r="771" customFormat="1" ht="13.5" customHeight="1" x14ac:dyDescent="0.3"/>
    <row r="772" customFormat="1" ht="13.5" customHeight="1" x14ac:dyDescent="0.3"/>
    <row r="773" customFormat="1" ht="13.5" customHeight="1" x14ac:dyDescent="0.3"/>
    <row r="774" customFormat="1" ht="13.5" customHeight="1" x14ac:dyDescent="0.3"/>
    <row r="775" customFormat="1" ht="13.5" customHeight="1" x14ac:dyDescent="0.3"/>
    <row r="776" customFormat="1" ht="13.5" customHeight="1" x14ac:dyDescent="0.3"/>
    <row r="777" customFormat="1" ht="13.5" customHeight="1" x14ac:dyDescent="0.3"/>
    <row r="778" customFormat="1" ht="13.5" customHeight="1" x14ac:dyDescent="0.3"/>
    <row r="779" customFormat="1" ht="13.5" customHeight="1" x14ac:dyDescent="0.3"/>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75FE-7408-47C2-B8F9-69E5AD6933D4}">
  <sheetPr codeName="Sheet14">
    <tabColor rgb="FF00B0F0"/>
  </sheetPr>
  <dimension ref="A1:BN101"/>
  <sheetViews>
    <sheetView workbookViewId="0">
      <selection activeCell="G5" sqref="G5:H7"/>
    </sheetView>
  </sheetViews>
  <sheetFormatPr defaultColWidth="9.44140625" defaultRowHeight="14.4" x14ac:dyDescent="0.3"/>
  <cols>
    <col min="2" max="2" width="2.5546875" customWidth="1"/>
    <col min="16" max="17" width="9.44140625" customWidth="1"/>
    <col min="21" max="21" width="2.5546875" customWidth="1"/>
    <col min="54" max="54" width="35" bestFit="1" customWidth="1"/>
    <col min="55" max="55" width="12" bestFit="1" customWidth="1"/>
    <col min="56" max="56" width="14.109375" bestFit="1" customWidth="1"/>
    <col min="57" max="57" width="10.88671875" bestFit="1" customWidth="1"/>
    <col min="58" max="58" width="10.88671875" customWidth="1"/>
    <col min="59" max="59" width="13.88671875" bestFit="1" customWidth="1"/>
    <col min="60" max="60" width="14.44140625" bestFit="1" customWidth="1"/>
    <col min="61" max="61" width="10.33203125" bestFit="1" customWidth="1"/>
    <col min="62" max="62" width="10.5546875" bestFit="1" customWidth="1"/>
    <col min="63" max="63" width="18.44140625" bestFit="1" customWidth="1"/>
    <col min="64" max="64" width="43.664062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62" t="s">
        <v>5</v>
      </c>
      <c r="Q2" s="2363"/>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64"/>
      <c r="Q3" s="2365"/>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66"/>
      <c r="Q4" s="2367"/>
      <c r="R4" s="926"/>
      <c r="S4" s="2356" t="s">
        <v>7</v>
      </c>
      <c r="T4" s="2357"/>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597" t="s">
        <v>323</v>
      </c>
      <c r="E11" s="2598"/>
      <c r="F11" s="2598"/>
      <c r="G11" s="2598"/>
      <c r="H11" s="2598"/>
      <c r="I11" s="2598"/>
      <c r="J11" s="2598"/>
      <c r="K11" s="2598"/>
      <c r="L11" s="2598"/>
      <c r="M11" s="2598"/>
      <c r="N11" s="2598"/>
      <c r="O11" s="2598"/>
      <c r="P11" s="2598"/>
      <c r="Q11" s="2598"/>
      <c r="R11" s="2598"/>
      <c r="S11" s="2599"/>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600"/>
      <c r="E12" s="2601"/>
      <c r="F12" s="2601"/>
      <c r="G12" s="2601"/>
      <c r="H12" s="2601"/>
      <c r="I12" s="2601"/>
      <c r="J12" s="2601"/>
      <c r="K12" s="2601"/>
      <c r="L12" s="2601"/>
      <c r="M12" s="2601"/>
      <c r="N12" s="2601"/>
      <c r="O12" s="2601"/>
      <c r="P12" s="2601"/>
      <c r="Q12" s="2601"/>
      <c r="R12" s="2601"/>
      <c r="S12" s="2602"/>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600"/>
      <c r="E13" s="2601"/>
      <c r="F13" s="2601"/>
      <c r="G13" s="2601"/>
      <c r="H13" s="2601"/>
      <c r="I13" s="2601"/>
      <c r="J13" s="2601"/>
      <c r="K13" s="2601"/>
      <c r="L13" s="2601"/>
      <c r="M13" s="2601"/>
      <c r="N13" s="2601"/>
      <c r="O13" s="2601"/>
      <c r="P13" s="2601"/>
      <c r="Q13" s="2601"/>
      <c r="R13" s="2601"/>
      <c r="S13" s="260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600"/>
      <c r="E14" s="2601"/>
      <c r="F14" s="2601"/>
      <c r="G14" s="2601"/>
      <c r="H14" s="2601"/>
      <c r="I14" s="2601"/>
      <c r="J14" s="2601"/>
      <c r="K14" s="2601"/>
      <c r="L14" s="2601"/>
      <c r="M14" s="2601"/>
      <c r="N14" s="2601"/>
      <c r="O14" s="2601"/>
      <c r="P14" s="2601"/>
      <c r="Q14" s="2601"/>
      <c r="R14" s="2601"/>
      <c r="S14" s="2602"/>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600"/>
      <c r="E15" s="2601"/>
      <c r="F15" s="2601"/>
      <c r="G15" s="2601"/>
      <c r="H15" s="2601"/>
      <c r="I15" s="2601"/>
      <c r="J15" s="2601"/>
      <c r="K15" s="2601"/>
      <c r="L15" s="2601"/>
      <c r="M15" s="2601"/>
      <c r="N15" s="2601"/>
      <c r="O15" s="2601"/>
      <c r="P15" s="2601"/>
      <c r="Q15" s="2601"/>
      <c r="R15" s="2601"/>
      <c r="S15" s="2602"/>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603"/>
      <c r="E16" s="2604"/>
      <c r="F16" s="2604"/>
      <c r="G16" s="2604"/>
      <c r="H16" s="2604"/>
      <c r="I16" s="2604"/>
      <c r="J16" s="2604"/>
      <c r="K16" s="2604"/>
      <c r="L16" s="2604"/>
      <c r="M16" s="2604"/>
      <c r="N16" s="2604"/>
      <c r="O16" s="2604"/>
      <c r="P16" s="2604"/>
      <c r="Q16" s="2604"/>
      <c r="R16" s="2604"/>
      <c r="S16" s="2605"/>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x14ac:dyDescent="0.3">
      <c r="A18" s="926"/>
      <c r="B18" s="609"/>
      <c r="C18" s="962"/>
      <c r="D18" s="40"/>
      <c r="E18" s="40"/>
      <c r="F18" s="40"/>
      <c r="G18" s="2606" t="s">
        <v>324</v>
      </c>
      <c r="H18" s="2607"/>
      <c r="I18" s="2607"/>
      <c r="J18" s="2607"/>
      <c r="K18" s="2607"/>
      <c r="L18" s="2607"/>
      <c r="M18" s="2607"/>
      <c r="N18" s="2607"/>
      <c r="O18" s="2607"/>
      <c r="P18" s="2608"/>
      <c r="Q18" s="40"/>
      <c r="R18" s="40"/>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40"/>
      <c r="F19" s="40"/>
      <c r="G19" s="2609"/>
      <c r="H19" s="2610"/>
      <c r="I19" s="2610"/>
      <c r="J19" s="2610"/>
      <c r="K19" s="2610"/>
      <c r="L19" s="2610"/>
      <c r="M19" s="2610"/>
      <c r="N19" s="2610"/>
      <c r="O19" s="2610"/>
      <c r="P19" s="2611"/>
      <c r="Q19" s="40"/>
      <c r="R19" s="40"/>
      <c r="S19" s="4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40"/>
      <c r="E20" s="40"/>
      <c r="F20" s="40"/>
      <c r="G20" s="2609"/>
      <c r="H20" s="2610"/>
      <c r="I20" s="2610"/>
      <c r="J20" s="2610"/>
      <c r="K20" s="2610"/>
      <c r="L20" s="2610"/>
      <c r="M20" s="2610"/>
      <c r="N20" s="2610"/>
      <c r="O20" s="2610"/>
      <c r="P20" s="2611"/>
      <c r="Q20" s="40"/>
      <c r="R20" s="40"/>
      <c r="S20" s="4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40"/>
      <c r="E21" s="40"/>
      <c r="F21" s="40"/>
      <c r="G21" s="2609"/>
      <c r="H21" s="2610"/>
      <c r="I21" s="2610"/>
      <c r="J21" s="2610"/>
      <c r="K21" s="2610"/>
      <c r="L21" s="2610"/>
      <c r="M21" s="2610"/>
      <c r="N21" s="2610"/>
      <c r="O21" s="2610"/>
      <c r="P21" s="2611"/>
      <c r="Q21" s="40"/>
      <c r="R21" s="40"/>
      <c r="S21" s="40"/>
      <c r="T21" s="963"/>
      <c r="U21" s="609"/>
      <c r="V21" s="926"/>
      <c r="W21" s="926"/>
      <c r="X21" s="926"/>
      <c r="Y21" s="926"/>
      <c r="Z21" s="926"/>
      <c r="AA21" s="926"/>
      <c r="AB21" s="926"/>
      <c r="AC21" s="926"/>
      <c r="AD21" s="926"/>
      <c r="AE21" s="926"/>
      <c r="AF21" s="926"/>
      <c r="AG21" s="926"/>
      <c r="AH21" s="926"/>
      <c r="AI21" s="926"/>
      <c r="AJ21" s="926"/>
    </row>
    <row r="22" spans="1:36" ht="15" customHeight="1" thickBot="1" x14ac:dyDescent="0.35">
      <c r="A22" s="926"/>
      <c r="B22" s="609"/>
      <c r="C22" s="962"/>
      <c r="D22" s="40"/>
      <c r="E22" s="40"/>
      <c r="F22" s="40"/>
      <c r="G22" s="2612"/>
      <c r="H22" s="2613"/>
      <c r="I22" s="2613"/>
      <c r="J22" s="2613"/>
      <c r="K22" s="2613"/>
      <c r="L22" s="2613"/>
      <c r="M22" s="2613"/>
      <c r="N22" s="2613"/>
      <c r="O22" s="2613"/>
      <c r="P22" s="2614"/>
      <c r="Q22" s="40"/>
      <c r="R22" s="40"/>
      <c r="S22" s="40"/>
      <c r="T22" s="963"/>
      <c r="U22" s="609"/>
      <c r="V22" s="926"/>
      <c r="W22" s="926"/>
      <c r="X22" s="926"/>
      <c r="Y22" s="926"/>
      <c r="Z22" s="926"/>
      <c r="AA22" s="926"/>
      <c r="AB22" s="926"/>
      <c r="AC22" s="926"/>
      <c r="AD22" s="926"/>
      <c r="AE22" s="926"/>
      <c r="AF22" s="926"/>
      <c r="AG22" s="926"/>
      <c r="AH22" s="926"/>
      <c r="AI22" s="926"/>
      <c r="AJ22" s="926"/>
    </row>
    <row r="23" spans="1:36" ht="15" customHeight="1" thickBot="1" x14ac:dyDescent="0.35">
      <c r="A23" s="926"/>
      <c r="B23" s="609"/>
      <c r="C23" s="962"/>
      <c r="D23" s="40"/>
      <c r="E23" s="40"/>
      <c r="F23" s="40"/>
      <c r="G23" s="40"/>
      <c r="H23" s="40"/>
      <c r="I23" s="40"/>
      <c r="J23" s="40"/>
      <c r="K23" s="40"/>
      <c r="L23" s="40"/>
      <c r="M23" s="40"/>
      <c r="N23" s="40"/>
      <c r="O23" s="40"/>
      <c r="P23" s="40"/>
      <c r="Q23" s="40"/>
      <c r="R23" s="40"/>
      <c r="S23" s="40"/>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2562" t="s">
        <v>325</v>
      </c>
      <c r="E24" s="2563"/>
      <c r="F24" s="2563"/>
      <c r="G24" s="2563"/>
      <c r="H24" s="2563"/>
      <c r="I24" s="2563"/>
      <c r="J24" s="2563"/>
      <c r="K24" s="2563"/>
      <c r="L24" s="2563"/>
      <c r="M24" s="2563"/>
      <c r="N24" s="2563"/>
      <c r="O24" s="2563"/>
      <c r="P24" s="2563"/>
      <c r="Q24" s="2563"/>
      <c r="R24" s="2563"/>
      <c r="S24" s="2564"/>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2565"/>
      <c r="E25" s="2566"/>
      <c r="F25" s="2566"/>
      <c r="G25" s="2566"/>
      <c r="H25" s="2566"/>
      <c r="I25" s="2566"/>
      <c r="J25" s="2566"/>
      <c r="K25" s="2566"/>
      <c r="L25" s="2566"/>
      <c r="M25" s="2566"/>
      <c r="N25" s="2566"/>
      <c r="O25" s="2566"/>
      <c r="P25" s="2566"/>
      <c r="Q25" s="2566"/>
      <c r="R25" s="2566"/>
      <c r="S25" s="2567"/>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565"/>
      <c r="E26" s="2566"/>
      <c r="F26" s="2566"/>
      <c r="G26" s="2566"/>
      <c r="H26" s="2566"/>
      <c r="I26" s="2566"/>
      <c r="J26" s="2566"/>
      <c r="K26" s="2566"/>
      <c r="L26" s="2566"/>
      <c r="M26" s="2566"/>
      <c r="N26" s="2566"/>
      <c r="O26" s="2566"/>
      <c r="P26" s="2566"/>
      <c r="Q26" s="2566"/>
      <c r="R26" s="2566"/>
      <c r="S26" s="2567"/>
      <c r="T26" s="963"/>
      <c r="U26" s="609"/>
      <c r="V26" s="926"/>
      <c r="W26" s="926"/>
      <c r="X26" s="926"/>
      <c r="Y26" s="926"/>
      <c r="Z26" s="926"/>
      <c r="AA26" s="926"/>
      <c r="AB26" s="926"/>
      <c r="AC26" s="926"/>
      <c r="AD26" s="926"/>
      <c r="AE26" s="926"/>
      <c r="AF26" s="926"/>
      <c r="AG26" s="926"/>
      <c r="AH26" s="926"/>
      <c r="AI26" s="926"/>
      <c r="AJ26" s="926"/>
    </row>
    <row r="27" spans="1:36" ht="15" customHeight="1" thickBot="1" x14ac:dyDescent="0.35">
      <c r="A27" s="926"/>
      <c r="B27" s="609"/>
      <c r="C27" s="962"/>
      <c r="D27" s="2568"/>
      <c r="E27" s="2569"/>
      <c r="F27" s="2569"/>
      <c r="G27" s="2569"/>
      <c r="H27" s="2569"/>
      <c r="I27" s="2569"/>
      <c r="J27" s="2569"/>
      <c r="K27" s="2569"/>
      <c r="L27" s="2569"/>
      <c r="M27" s="2569"/>
      <c r="N27" s="2569"/>
      <c r="O27" s="2569"/>
      <c r="P27" s="2569"/>
      <c r="Q27" s="2569"/>
      <c r="R27" s="2569"/>
      <c r="S27" s="2570"/>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571" t="s">
        <v>326</v>
      </c>
      <c r="E28" s="2572"/>
      <c r="F28" s="2572"/>
      <c r="G28" s="2572"/>
      <c r="H28" s="2572" t="s">
        <v>38</v>
      </c>
      <c r="I28" s="2572"/>
      <c r="J28" s="2572" t="s">
        <v>39</v>
      </c>
      <c r="K28" s="2572"/>
      <c r="L28" s="2572" t="s">
        <v>40</v>
      </c>
      <c r="M28" s="2572"/>
      <c r="N28" s="2572" t="s">
        <v>41</v>
      </c>
      <c r="O28" s="2572"/>
      <c r="P28" s="2572" t="s">
        <v>42</v>
      </c>
      <c r="Q28" s="2572"/>
      <c r="R28" s="2572" t="s">
        <v>43</v>
      </c>
      <c r="S28" s="2573"/>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2615" t="s">
        <v>327</v>
      </c>
      <c r="E29" s="2616"/>
      <c r="F29" s="2616"/>
      <c r="G29" s="2616"/>
      <c r="H29" s="2398" t="str">
        <f>BG89</f>
        <v>miles</v>
      </c>
      <c r="I29" s="2398"/>
      <c r="J29" s="2619">
        <f>BE89</f>
        <v>2</v>
      </c>
      <c r="K29" s="2619"/>
      <c r="L29" s="2621">
        <v>1</v>
      </c>
      <c r="M29" s="2621"/>
      <c r="N29" s="2619">
        <f>BI89</f>
        <v>0.1</v>
      </c>
      <c r="O29" s="2619"/>
      <c r="P29" s="2619">
        <f>BJ89</f>
        <v>10</v>
      </c>
      <c r="Q29" s="2619"/>
      <c r="R29" s="2398" t="str">
        <f>BN89</f>
        <v>Input accepted</v>
      </c>
      <c r="S29" s="2511"/>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2615"/>
      <c r="E30" s="2616"/>
      <c r="F30" s="2616"/>
      <c r="G30" s="2616"/>
      <c r="H30" s="2398"/>
      <c r="I30" s="2398"/>
      <c r="J30" s="2619"/>
      <c r="K30" s="2619"/>
      <c r="L30" s="2621"/>
      <c r="M30" s="2621"/>
      <c r="N30" s="2619"/>
      <c r="O30" s="2619"/>
      <c r="P30" s="2619"/>
      <c r="Q30" s="2619"/>
      <c r="R30" s="2398"/>
      <c r="S30" s="2511"/>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615"/>
      <c r="E31" s="2616"/>
      <c r="F31" s="2616"/>
      <c r="G31" s="2616"/>
      <c r="H31" s="2398"/>
      <c r="I31" s="2398"/>
      <c r="J31" s="2619"/>
      <c r="K31" s="2619"/>
      <c r="L31" s="2621"/>
      <c r="M31" s="2621"/>
      <c r="N31" s="2619"/>
      <c r="O31" s="2619"/>
      <c r="P31" s="2619"/>
      <c r="Q31" s="2619"/>
      <c r="R31" s="2398"/>
      <c r="S31" s="2511"/>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615"/>
      <c r="E32" s="2616"/>
      <c r="F32" s="2616"/>
      <c r="G32" s="2616"/>
      <c r="H32" s="2398"/>
      <c r="I32" s="2398"/>
      <c r="J32" s="2619"/>
      <c r="K32" s="2619"/>
      <c r="L32" s="2621"/>
      <c r="M32" s="2621"/>
      <c r="N32" s="2619"/>
      <c r="O32" s="2619"/>
      <c r="P32" s="2619"/>
      <c r="Q32" s="2619"/>
      <c r="R32" s="2398"/>
      <c r="S32" s="2511"/>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615" t="s">
        <v>328</v>
      </c>
      <c r="E33" s="2616"/>
      <c r="F33" s="2616"/>
      <c r="G33" s="2616"/>
      <c r="H33" s="2398" t="str">
        <f>BG90</f>
        <v>miles</v>
      </c>
      <c r="I33" s="2398"/>
      <c r="J33" s="2619">
        <f>BE90</f>
        <v>4</v>
      </c>
      <c r="K33" s="2619"/>
      <c r="L33" s="2621">
        <v>2</v>
      </c>
      <c r="M33" s="2621"/>
      <c r="N33" s="2619">
        <f>BI90</f>
        <v>1</v>
      </c>
      <c r="O33" s="2619"/>
      <c r="P33" s="2619">
        <f>BJ90</f>
        <v>10</v>
      </c>
      <c r="Q33" s="2619"/>
      <c r="R33" s="2398" t="str">
        <f>BN90</f>
        <v>Input accepted</v>
      </c>
      <c r="S33" s="2511"/>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2615"/>
      <c r="E34" s="2616"/>
      <c r="F34" s="2616"/>
      <c r="G34" s="2616"/>
      <c r="H34" s="2398"/>
      <c r="I34" s="2398"/>
      <c r="J34" s="2619"/>
      <c r="K34" s="2619"/>
      <c r="L34" s="2621"/>
      <c r="M34" s="2621"/>
      <c r="N34" s="2619"/>
      <c r="O34" s="2619"/>
      <c r="P34" s="2619"/>
      <c r="Q34" s="2619"/>
      <c r="R34" s="2398"/>
      <c r="S34" s="2511"/>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2615"/>
      <c r="E35" s="2616"/>
      <c r="F35" s="2616"/>
      <c r="G35" s="2616"/>
      <c r="H35" s="2398"/>
      <c r="I35" s="2398"/>
      <c r="J35" s="2619"/>
      <c r="K35" s="2619"/>
      <c r="L35" s="2621"/>
      <c r="M35" s="2621"/>
      <c r="N35" s="2619"/>
      <c r="O35" s="2619"/>
      <c r="P35" s="2619"/>
      <c r="Q35" s="2619"/>
      <c r="R35" s="2398"/>
      <c r="S35" s="2511"/>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2615"/>
      <c r="E36" s="2616"/>
      <c r="F36" s="2616"/>
      <c r="G36" s="2616"/>
      <c r="H36" s="2398"/>
      <c r="I36" s="2398"/>
      <c r="J36" s="2619"/>
      <c r="K36" s="2619"/>
      <c r="L36" s="2621"/>
      <c r="M36" s="2621"/>
      <c r="N36" s="2619"/>
      <c r="O36" s="2619"/>
      <c r="P36" s="2619"/>
      <c r="Q36" s="2619"/>
      <c r="R36" s="2398"/>
      <c r="S36" s="2511"/>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2623" t="s">
        <v>329</v>
      </c>
      <c r="E37" s="2624"/>
      <c r="F37" s="2624"/>
      <c r="G37" s="2625"/>
      <c r="H37" s="2398" t="str">
        <f>BH91</f>
        <v>gal (tank size)</v>
      </c>
      <c r="I37" s="2398"/>
      <c r="J37" s="2619">
        <f>BE91</f>
        <v>9000</v>
      </c>
      <c r="K37" s="2619"/>
      <c r="L37" s="2621">
        <v>6000</v>
      </c>
      <c r="M37" s="2621"/>
      <c r="N37" s="2619">
        <f>BI91</f>
        <v>3000</v>
      </c>
      <c r="O37" s="2619"/>
      <c r="P37" s="2619">
        <f>BJ91</f>
        <v>9000</v>
      </c>
      <c r="Q37" s="2619"/>
      <c r="R37" s="2398" t="str">
        <f>BN91</f>
        <v>Input accepted</v>
      </c>
      <c r="S37" s="2511"/>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2626"/>
      <c r="E38" s="2627"/>
      <c r="F38" s="2627"/>
      <c r="G38" s="2628"/>
      <c r="H38" s="2398"/>
      <c r="I38" s="2398"/>
      <c r="J38" s="2619"/>
      <c r="K38" s="2619"/>
      <c r="L38" s="2621"/>
      <c r="M38" s="2621"/>
      <c r="N38" s="2619"/>
      <c r="O38" s="2619"/>
      <c r="P38" s="2619"/>
      <c r="Q38" s="2619"/>
      <c r="R38" s="2398"/>
      <c r="S38" s="2511"/>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2626"/>
      <c r="E39" s="2627"/>
      <c r="F39" s="2627"/>
      <c r="G39" s="2628"/>
      <c r="H39" s="2398"/>
      <c r="I39" s="2398"/>
      <c r="J39" s="2619"/>
      <c r="K39" s="2619"/>
      <c r="L39" s="2621"/>
      <c r="M39" s="2621"/>
      <c r="N39" s="2619"/>
      <c r="O39" s="2619"/>
      <c r="P39" s="2619"/>
      <c r="Q39" s="2619"/>
      <c r="R39" s="2398"/>
      <c r="S39" s="2511"/>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2629"/>
      <c r="E40" s="2630"/>
      <c r="F40" s="2630"/>
      <c r="G40" s="2631"/>
      <c r="H40" s="2398"/>
      <c r="I40" s="2398"/>
      <c r="J40" s="2619"/>
      <c r="K40" s="2619"/>
      <c r="L40" s="2621"/>
      <c r="M40" s="2621"/>
      <c r="N40" s="2619"/>
      <c r="O40" s="2619"/>
      <c r="P40" s="2619"/>
      <c r="Q40" s="2619"/>
      <c r="R40" s="2398"/>
      <c r="S40" s="2511"/>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2623" t="s">
        <v>330</v>
      </c>
      <c r="E41" s="2624"/>
      <c r="F41" s="2624"/>
      <c r="G41" s="2625"/>
      <c r="H41" s="2398" t="str">
        <f>BH92</f>
        <v>hr/year</v>
      </c>
      <c r="I41" s="2398"/>
      <c r="J41" s="2619">
        <f>BE92</f>
        <v>1000</v>
      </c>
      <c r="K41" s="2619"/>
      <c r="L41" s="2621"/>
      <c r="M41" s="2621"/>
      <c r="N41" s="2619">
        <f>BI92</f>
        <v>600</v>
      </c>
      <c r="O41" s="2619"/>
      <c r="P41" s="2619">
        <f>BJ92</f>
        <v>2000</v>
      </c>
      <c r="Q41" s="2619"/>
      <c r="R41" s="2398" t="str">
        <f>BN92</f>
        <v>Using default</v>
      </c>
      <c r="S41" s="2511"/>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2626"/>
      <c r="E42" s="2627"/>
      <c r="F42" s="2627"/>
      <c r="G42" s="2628"/>
      <c r="H42" s="2398"/>
      <c r="I42" s="2398"/>
      <c r="J42" s="2619"/>
      <c r="K42" s="2619"/>
      <c r="L42" s="2621"/>
      <c r="M42" s="2621"/>
      <c r="N42" s="2619"/>
      <c r="O42" s="2619"/>
      <c r="P42" s="2619"/>
      <c r="Q42" s="2619"/>
      <c r="R42" s="2398"/>
      <c r="S42" s="2511"/>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2626"/>
      <c r="E43" s="2627"/>
      <c r="F43" s="2627"/>
      <c r="G43" s="2628"/>
      <c r="H43" s="2398"/>
      <c r="I43" s="2398"/>
      <c r="J43" s="2619"/>
      <c r="K43" s="2619"/>
      <c r="L43" s="2621"/>
      <c r="M43" s="2621"/>
      <c r="N43" s="2619"/>
      <c r="O43" s="2619"/>
      <c r="P43" s="2619"/>
      <c r="Q43" s="2619"/>
      <c r="R43" s="2398"/>
      <c r="S43" s="2511"/>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2629"/>
      <c r="E44" s="2630"/>
      <c r="F44" s="2630"/>
      <c r="G44" s="2631"/>
      <c r="H44" s="2398"/>
      <c r="I44" s="2398"/>
      <c r="J44" s="2619"/>
      <c r="K44" s="2619"/>
      <c r="L44" s="2621"/>
      <c r="M44" s="2621"/>
      <c r="N44" s="2619"/>
      <c r="O44" s="2619"/>
      <c r="P44" s="2619"/>
      <c r="Q44" s="2619"/>
      <c r="R44" s="2398"/>
      <c r="S44" s="2511"/>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2623" t="s">
        <v>331</v>
      </c>
      <c r="E45" s="2624"/>
      <c r="F45" s="2624"/>
      <c r="G45" s="2625"/>
      <c r="H45" s="2398" t="str">
        <f>BH93</f>
        <v>hr/day</v>
      </c>
      <c r="I45" s="2398"/>
      <c r="J45" s="2619">
        <f>BE93</f>
        <v>12</v>
      </c>
      <c r="K45" s="2619"/>
      <c r="L45" s="2621"/>
      <c r="M45" s="2621"/>
      <c r="N45" s="2619">
        <f>BI93</f>
        <v>8</v>
      </c>
      <c r="O45" s="2619"/>
      <c r="P45" s="2619">
        <f>BJ93</f>
        <v>24</v>
      </c>
      <c r="Q45" s="2619"/>
      <c r="R45" s="2398" t="str">
        <f>BN93</f>
        <v>Using default</v>
      </c>
      <c r="S45" s="2511"/>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2626"/>
      <c r="E46" s="2627"/>
      <c r="F46" s="2627"/>
      <c r="G46" s="2628"/>
      <c r="H46" s="2398"/>
      <c r="I46" s="2398"/>
      <c r="J46" s="2619"/>
      <c r="K46" s="2619"/>
      <c r="L46" s="2621"/>
      <c r="M46" s="2621"/>
      <c r="N46" s="2619"/>
      <c r="O46" s="2619"/>
      <c r="P46" s="2619"/>
      <c r="Q46" s="2619"/>
      <c r="R46" s="2398"/>
      <c r="S46" s="2511"/>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2626"/>
      <c r="E47" s="2627"/>
      <c r="F47" s="2627"/>
      <c r="G47" s="2628"/>
      <c r="H47" s="2398"/>
      <c r="I47" s="2398"/>
      <c r="J47" s="2619"/>
      <c r="K47" s="2619"/>
      <c r="L47" s="2621"/>
      <c r="M47" s="2621"/>
      <c r="N47" s="2619"/>
      <c r="O47" s="2619"/>
      <c r="P47" s="2619"/>
      <c r="Q47" s="2619"/>
      <c r="R47" s="2398"/>
      <c r="S47" s="2511"/>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2629"/>
      <c r="E48" s="2630"/>
      <c r="F48" s="2630"/>
      <c r="G48" s="2631"/>
      <c r="H48" s="2398"/>
      <c r="I48" s="2398"/>
      <c r="J48" s="2619"/>
      <c r="K48" s="2619"/>
      <c r="L48" s="2621"/>
      <c r="M48" s="2621"/>
      <c r="N48" s="2619"/>
      <c r="O48" s="2619"/>
      <c r="P48" s="2619"/>
      <c r="Q48" s="2619"/>
      <c r="R48" s="2398"/>
      <c r="S48" s="2511"/>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2615" t="s">
        <v>332</v>
      </c>
      <c r="E49" s="2616"/>
      <c r="F49" s="2616"/>
      <c r="G49" s="2616"/>
      <c r="H49" s="2398" t="str">
        <f>BH94</f>
        <v>hr/year</v>
      </c>
      <c r="I49" s="2398"/>
      <c r="J49" s="2619">
        <f>BE94</f>
        <v>2000</v>
      </c>
      <c r="K49" s="2619"/>
      <c r="L49" s="2621"/>
      <c r="M49" s="2621"/>
      <c r="N49" s="2619">
        <f>BI94</f>
        <v>1500</v>
      </c>
      <c r="O49" s="2619"/>
      <c r="P49" s="2619">
        <f>BJ94</f>
        <v>8760</v>
      </c>
      <c r="Q49" s="2619"/>
      <c r="R49" s="2398" t="str">
        <f>BN94</f>
        <v>Using default</v>
      </c>
      <c r="S49" s="2511"/>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2615"/>
      <c r="E50" s="2616"/>
      <c r="F50" s="2616"/>
      <c r="G50" s="2616"/>
      <c r="H50" s="2398"/>
      <c r="I50" s="2398"/>
      <c r="J50" s="2619"/>
      <c r="K50" s="2619"/>
      <c r="L50" s="2621"/>
      <c r="M50" s="2621"/>
      <c r="N50" s="2619"/>
      <c r="O50" s="2619"/>
      <c r="P50" s="2619"/>
      <c r="Q50" s="2619"/>
      <c r="R50" s="2398"/>
      <c r="S50" s="2511"/>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2615"/>
      <c r="E51" s="2616"/>
      <c r="F51" s="2616"/>
      <c r="G51" s="2616"/>
      <c r="H51" s="2398"/>
      <c r="I51" s="2398"/>
      <c r="J51" s="2619"/>
      <c r="K51" s="2619"/>
      <c r="L51" s="2621"/>
      <c r="M51" s="2621"/>
      <c r="N51" s="2619"/>
      <c r="O51" s="2619"/>
      <c r="P51" s="2619"/>
      <c r="Q51" s="2619"/>
      <c r="R51" s="2398"/>
      <c r="S51" s="2511"/>
      <c r="T51" s="963"/>
      <c r="U51" s="609"/>
      <c r="V51" s="926"/>
      <c r="W51" s="926"/>
      <c r="X51" s="926"/>
      <c r="Y51" s="926"/>
      <c r="Z51" s="926"/>
      <c r="AA51" s="926"/>
      <c r="AB51" s="926"/>
      <c r="AC51" s="926"/>
      <c r="AD51" s="926"/>
      <c r="AE51" s="926"/>
      <c r="AF51" s="926"/>
      <c r="AG51" s="926"/>
      <c r="AH51" s="926"/>
      <c r="AI51" s="926"/>
      <c r="AJ51" s="926"/>
    </row>
    <row r="52" spans="1:36" ht="15" customHeight="1" thickBot="1" x14ac:dyDescent="0.35">
      <c r="A52" s="926"/>
      <c r="B52" s="609"/>
      <c r="C52" s="962"/>
      <c r="D52" s="2617"/>
      <c r="E52" s="2618"/>
      <c r="F52" s="2618"/>
      <c r="G52" s="2618"/>
      <c r="H52" s="2510"/>
      <c r="I52" s="2510"/>
      <c r="J52" s="2620"/>
      <c r="K52" s="2620"/>
      <c r="L52" s="2622"/>
      <c r="M52" s="2622"/>
      <c r="N52" s="2620"/>
      <c r="O52" s="2620"/>
      <c r="P52" s="2620"/>
      <c r="Q52" s="2620"/>
      <c r="R52" s="2510"/>
      <c r="S52" s="2513"/>
      <c r="T52" s="963"/>
      <c r="U52" s="609"/>
      <c r="V52" s="926"/>
      <c r="W52" s="926"/>
      <c r="X52" s="926"/>
      <c r="Y52" s="926"/>
      <c r="Z52" s="926"/>
      <c r="AA52" s="926"/>
      <c r="AB52" s="926"/>
      <c r="AC52" s="926"/>
      <c r="AD52" s="926"/>
      <c r="AE52" s="926"/>
      <c r="AF52" s="926"/>
      <c r="AG52" s="926"/>
      <c r="AH52" s="926"/>
      <c r="AI52" s="926"/>
      <c r="AJ52" s="926"/>
    </row>
    <row r="53" spans="1:36" ht="15" customHeight="1" thickBot="1" x14ac:dyDescent="0.35">
      <c r="A53" s="926"/>
      <c r="B53" s="609"/>
      <c r="C53" s="962"/>
      <c r="D53" s="40"/>
      <c r="E53" s="40"/>
      <c r="F53" s="40"/>
      <c r="G53" s="40"/>
      <c r="H53" s="40"/>
      <c r="I53" s="40"/>
      <c r="J53" s="40"/>
      <c r="K53" s="40"/>
      <c r="L53" s="40"/>
      <c r="M53" s="40"/>
      <c r="N53" s="40"/>
      <c r="O53" s="40"/>
      <c r="P53" s="40"/>
      <c r="Q53" s="40"/>
      <c r="R53" s="40"/>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40"/>
      <c r="F54" s="40"/>
      <c r="G54" s="2606" t="str">
        <f>BL101</f>
        <v>You have answered all of the questions for this page. Press the "Next page" button below to move to the capital expenses page.</v>
      </c>
      <c r="H54" s="2607"/>
      <c r="I54" s="2607"/>
      <c r="J54" s="2607"/>
      <c r="K54" s="2607"/>
      <c r="L54" s="2607"/>
      <c r="M54" s="2607"/>
      <c r="N54" s="2607"/>
      <c r="O54" s="2607"/>
      <c r="P54" s="2608"/>
      <c r="Q54" s="40"/>
      <c r="R54" s="40"/>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40"/>
      <c r="F55" s="40"/>
      <c r="G55" s="2609"/>
      <c r="H55" s="2610"/>
      <c r="I55" s="2610"/>
      <c r="J55" s="2610"/>
      <c r="K55" s="2610"/>
      <c r="L55" s="2610"/>
      <c r="M55" s="2610"/>
      <c r="N55" s="2610"/>
      <c r="O55" s="2610"/>
      <c r="P55" s="2611"/>
      <c r="Q55" s="40"/>
      <c r="R55" s="40"/>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40"/>
      <c r="F56" s="40"/>
      <c r="G56" s="2609"/>
      <c r="H56" s="2610"/>
      <c r="I56" s="2610"/>
      <c r="J56" s="2610"/>
      <c r="K56" s="2610"/>
      <c r="L56" s="2610"/>
      <c r="M56" s="2610"/>
      <c r="N56" s="2610"/>
      <c r="O56" s="2610"/>
      <c r="P56" s="2611"/>
      <c r="Q56" s="40"/>
      <c r="R56" s="40"/>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2609"/>
      <c r="H57" s="2610"/>
      <c r="I57" s="2610"/>
      <c r="J57" s="2610"/>
      <c r="K57" s="2610"/>
      <c r="L57" s="2610"/>
      <c r="M57" s="2610"/>
      <c r="N57" s="2610"/>
      <c r="O57" s="2610"/>
      <c r="P57" s="2611"/>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x14ac:dyDescent="0.3">
      <c r="A58" s="926"/>
      <c r="B58" s="609"/>
      <c r="C58" s="962"/>
      <c r="D58" s="40"/>
      <c r="E58" s="40"/>
      <c r="F58" s="40"/>
      <c r="G58" s="2609"/>
      <c r="H58" s="2610"/>
      <c r="I58" s="2610"/>
      <c r="J58" s="2610"/>
      <c r="K58" s="2610"/>
      <c r="L58" s="2610"/>
      <c r="M58" s="2610"/>
      <c r="N58" s="2610"/>
      <c r="O58" s="2610"/>
      <c r="P58" s="2611"/>
      <c r="Q58" s="40"/>
      <c r="R58" s="40"/>
      <c r="S58" s="40"/>
      <c r="T58" s="963"/>
      <c r="U58" s="609"/>
      <c r="V58" s="926"/>
      <c r="W58" s="926"/>
      <c r="X58" s="926"/>
      <c r="Y58" s="926"/>
      <c r="Z58" s="926"/>
      <c r="AA58" s="926"/>
      <c r="AB58" s="926"/>
      <c r="AC58" s="926"/>
      <c r="AD58" s="926"/>
      <c r="AE58" s="926"/>
      <c r="AF58" s="926"/>
      <c r="AG58" s="926"/>
      <c r="AH58" s="926"/>
      <c r="AI58" s="926"/>
      <c r="AJ58" s="926"/>
    </row>
    <row r="59" spans="1:36" ht="15" customHeight="1" thickBot="1" x14ac:dyDescent="0.35">
      <c r="A59" s="926"/>
      <c r="B59" s="609"/>
      <c r="C59" s="962"/>
      <c r="D59" s="40"/>
      <c r="E59" s="40"/>
      <c r="F59" s="40"/>
      <c r="G59" s="2612"/>
      <c r="H59" s="2613"/>
      <c r="I59" s="2613"/>
      <c r="J59" s="2613"/>
      <c r="K59" s="2613"/>
      <c r="L59" s="2613"/>
      <c r="M59" s="2613"/>
      <c r="N59" s="2613"/>
      <c r="O59" s="2613"/>
      <c r="P59" s="2614"/>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thickBot="1" x14ac:dyDescent="0.35">
      <c r="A60" s="926"/>
      <c r="B60" s="609"/>
      <c r="C60" s="964"/>
      <c r="D60" s="965"/>
      <c r="E60" s="965"/>
      <c r="F60" s="965"/>
      <c r="G60" s="965"/>
      <c r="H60" s="965"/>
      <c r="I60" s="965"/>
      <c r="J60" s="965"/>
      <c r="K60" s="965"/>
      <c r="L60" s="965"/>
      <c r="M60" s="965"/>
      <c r="N60" s="965"/>
      <c r="O60" s="965"/>
      <c r="P60" s="965"/>
      <c r="Q60" s="965"/>
      <c r="R60" s="965"/>
      <c r="S60" s="965"/>
      <c r="T60" s="966"/>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609"/>
      <c r="D61" s="609"/>
      <c r="E61" s="609"/>
      <c r="F61" s="609"/>
      <c r="G61" s="609"/>
      <c r="H61" s="609"/>
      <c r="I61" s="609"/>
      <c r="J61" s="609"/>
      <c r="K61" s="609"/>
      <c r="L61" s="609"/>
      <c r="M61" s="609"/>
      <c r="N61" s="609"/>
      <c r="O61" s="609"/>
      <c r="P61" s="609"/>
      <c r="Q61" s="609"/>
      <c r="R61" s="609"/>
      <c r="S61" s="609"/>
      <c r="T61" s="609"/>
      <c r="U61" s="609"/>
      <c r="V61" s="926"/>
      <c r="W61" s="926"/>
      <c r="X61" s="926"/>
      <c r="Y61" s="926"/>
      <c r="Z61" s="926"/>
      <c r="AA61" s="926"/>
      <c r="AB61" s="926"/>
      <c r="AC61" s="926"/>
      <c r="AD61" s="926"/>
      <c r="AE61" s="926"/>
      <c r="AF61" s="926"/>
      <c r="AG61" s="926"/>
      <c r="AH61" s="926"/>
      <c r="AI61" s="926"/>
      <c r="AJ61" s="926"/>
    </row>
    <row r="62" spans="1:36" ht="15.75" customHeight="1" thickBot="1" x14ac:dyDescent="0.35">
      <c r="A62" s="926"/>
      <c r="B62" s="926"/>
      <c r="C62" s="923"/>
      <c r="D62" s="923"/>
      <c r="E62" s="923"/>
      <c r="F62" s="923"/>
      <c r="G62" s="923"/>
      <c r="H62" s="923"/>
      <c r="I62" s="923"/>
      <c r="J62" s="923"/>
      <c r="K62" s="923"/>
      <c r="L62" s="923"/>
      <c r="M62" s="923"/>
      <c r="N62" s="923"/>
      <c r="O62" s="923"/>
      <c r="P62" s="923"/>
      <c r="Q62" s="923"/>
      <c r="R62" s="923"/>
      <c r="S62" s="923"/>
      <c r="T62" s="923"/>
      <c r="U62" s="926"/>
      <c r="V62" s="926"/>
      <c r="W62" s="926"/>
      <c r="X62" s="926"/>
      <c r="Y62" s="926"/>
      <c r="Z62" s="926"/>
      <c r="AA62" s="926"/>
      <c r="AB62" s="926"/>
      <c r="AC62" s="926"/>
      <c r="AD62" s="926"/>
      <c r="AE62" s="926"/>
      <c r="AF62" s="926"/>
      <c r="AG62" s="926"/>
      <c r="AH62" s="926"/>
      <c r="AI62" s="926"/>
      <c r="AJ62" s="926"/>
    </row>
    <row r="63" spans="1:36" ht="15.75" customHeight="1" thickBot="1" x14ac:dyDescent="0.35">
      <c r="A63" s="926"/>
      <c r="B63" s="926"/>
      <c r="C63" s="923"/>
      <c r="D63" s="923"/>
      <c r="E63" s="923"/>
      <c r="F63" s="2345" t="s">
        <v>0</v>
      </c>
      <c r="G63" s="2346"/>
      <c r="H63" s="2345" t="s">
        <v>1</v>
      </c>
      <c r="I63" s="2346"/>
      <c r="J63" s="2345" t="s">
        <v>2</v>
      </c>
      <c r="K63" s="2346"/>
      <c r="L63" s="2345" t="s">
        <v>3</v>
      </c>
      <c r="M63" s="2346"/>
      <c r="N63" s="2345" t="s">
        <v>4</v>
      </c>
      <c r="O63" s="2346"/>
      <c r="P63" s="2362" t="s">
        <v>5</v>
      </c>
      <c r="Q63" s="2363"/>
      <c r="R63" s="1739"/>
      <c r="S63" s="926"/>
      <c r="T63" s="926"/>
      <c r="U63" s="926"/>
      <c r="V63" s="926"/>
      <c r="W63" s="926"/>
      <c r="X63" s="926"/>
      <c r="Y63" s="926"/>
      <c r="Z63" s="926"/>
      <c r="AA63" s="926"/>
      <c r="AB63" s="926"/>
      <c r="AC63" s="926"/>
      <c r="AD63" s="926"/>
      <c r="AE63" s="926"/>
      <c r="AF63" s="926"/>
      <c r="AG63" s="926"/>
      <c r="AH63" s="926"/>
      <c r="AI63" s="926"/>
      <c r="AJ63" s="926"/>
    </row>
    <row r="64" spans="1:36" ht="16.8" thickTop="1" thickBot="1" x14ac:dyDescent="0.35">
      <c r="A64" s="926"/>
      <c r="B64" s="926"/>
      <c r="C64" s="923"/>
      <c r="D64" s="923"/>
      <c r="E64" s="923"/>
      <c r="F64" s="2347"/>
      <c r="G64" s="2348"/>
      <c r="H64" s="2347"/>
      <c r="I64" s="2348"/>
      <c r="J64" s="2347"/>
      <c r="K64" s="2348"/>
      <c r="L64" s="2347"/>
      <c r="M64" s="2348"/>
      <c r="N64" s="2347"/>
      <c r="O64" s="2348"/>
      <c r="P64" s="2364"/>
      <c r="Q64" s="2365"/>
      <c r="R64" s="1739"/>
      <c r="S64" s="926"/>
      <c r="T64" s="926"/>
      <c r="U64" s="926"/>
      <c r="V64" s="926"/>
      <c r="W64" s="926"/>
      <c r="X64" s="926"/>
      <c r="Y64" s="926"/>
      <c r="Z64" s="926"/>
      <c r="AA64" s="926"/>
      <c r="AB64" s="926"/>
      <c r="AC64" s="926"/>
      <c r="AD64" s="926"/>
      <c r="AE64" s="926"/>
      <c r="AF64" s="926"/>
      <c r="AG64" s="926"/>
      <c r="AH64" s="926"/>
      <c r="AI64" s="926"/>
      <c r="AJ64" s="926"/>
    </row>
    <row r="65" spans="1:36" ht="15.75" customHeight="1" thickTop="1" thickBot="1" x14ac:dyDescent="0.35">
      <c r="A65" s="926"/>
      <c r="B65" s="926"/>
      <c r="C65" s="2345" t="s">
        <v>6</v>
      </c>
      <c r="D65" s="2351"/>
      <c r="E65" s="923"/>
      <c r="F65" s="2349"/>
      <c r="G65" s="2350"/>
      <c r="H65" s="2349"/>
      <c r="I65" s="2350"/>
      <c r="J65" s="2349"/>
      <c r="K65" s="2350"/>
      <c r="L65" s="2349"/>
      <c r="M65" s="2350"/>
      <c r="N65" s="2349"/>
      <c r="O65" s="2350"/>
      <c r="P65" s="2366"/>
      <c r="Q65" s="2367"/>
      <c r="R65" s="926"/>
      <c r="S65" s="2356" t="s">
        <v>7</v>
      </c>
      <c r="T65" s="2357"/>
      <c r="U65" s="926"/>
      <c r="V65" s="926"/>
      <c r="W65" s="926"/>
      <c r="X65" s="926"/>
      <c r="Y65" s="926"/>
      <c r="Z65" s="926"/>
      <c r="AA65" s="926"/>
      <c r="AB65" s="926"/>
      <c r="AC65" s="926"/>
      <c r="AD65" s="926"/>
      <c r="AE65" s="926"/>
      <c r="AF65" s="926"/>
      <c r="AG65" s="926"/>
      <c r="AH65" s="926"/>
      <c r="AI65" s="926"/>
      <c r="AJ65" s="926"/>
    </row>
    <row r="66" spans="1:36" ht="16.2" customHeight="1" thickTop="1" thickBot="1" x14ac:dyDescent="0.35">
      <c r="A66" s="926"/>
      <c r="B66" s="926"/>
      <c r="C66" s="2352"/>
      <c r="D66" s="2353"/>
      <c r="E66" s="923"/>
      <c r="F66" s="926"/>
      <c r="G66" s="2345" t="s">
        <v>8</v>
      </c>
      <c r="H66" s="2346"/>
      <c r="I66" s="2345" t="s">
        <v>9</v>
      </c>
      <c r="J66" s="2346"/>
      <c r="K66" s="2345" t="s">
        <v>10</v>
      </c>
      <c r="L66" s="2346"/>
      <c r="M66" s="2345" t="s">
        <v>11</v>
      </c>
      <c r="N66" s="2346"/>
      <c r="O66" s="2345" t="s">
        <v>12</v>
      </c>
      <c r="P66" s="2346"/>
      <c r="Q66" s="926"/>
      <c r="R66" s="926"/>
      <c r="S66" s="2358"/>
      <c r="T66" s="2359"/>
      <c r="U66" s="926"/>
      <c r="V66" s="926"/>
      <c r="W66" s="926"/>
      <c r="X66" s="926"/>
      <c r="Y66" s="926"/>
      <c r="Z66" s="926"/>
      <c r="AA66" s="926"/>
      <c r="AB66" s="926"/>
      <c r="AC66" s="926"/>
      <c r="AD66" s="926"/>
      <c r="AE66" s="926"/>
      <c r="AF66" s="926"/>
      <c r="AG66" s="926"/>
      <c r="AH66" s="926"/>
      <c r="AI66" s="926"/>
      <c r="AJ66" s="926"/>
    </row>
    <row r="67" spans="1:36" ht="16.8" thickTop="1" thickBot="1" x14ac:dyDescent="0.35">
      <c r="A67" s="926"/>
      <c r="B67" s="926"/>
      <c r="C67" s="2354"/>
      <c r="D67" s="2355"/>
      <c r="E67" s="923"/>
      <c r="F67" s="926"/>
      <c r="G67" s="2347"/>
      <c r="H67" s="2348"/>
      <c r="I67" s="2347"/>
      <c r="J67" s="2348"/>
      <c r="K67" s="2347"/>
      <c r="L67" s="2348"/>
      <c r="M67" s="2347"/>
      <c r="N67" s="2348"/>
      <c r="O67" s="2347"/>
      <c r="P67" s="2348"/>
      <c r="Q67" s="926"/>
      <c r="R67" s="926"/>
      <c r="S67" s="2360"/>
      <c r="T67" s="2361"/>
      <c r="U67" s="926"/>
      <c r="V67" s="926"/>
      <c r="W67" s="926"/>
      <c r="X67" s="926"/>
      <c r="Y67" s="926"/>
      <c r="Z67" s="926"/>
      <c r="AA67" s="926"/>
      <c r="AB67" s="926"/>
      <c r="AC67" s="926"/>
      <c r="AD67" s="926"/>
      <c r="AE67" s="926"/>
      <c r="AF67" s="926"/>
      <c r="AG67" s="926"/>
      <c r="AH67" s="926"/>
      <c r="AI67" s="926"/>
      <c r="AJ67" s="926"/>
    </row>
    <row r="68" spans="1:36" ht="16.8" thickTop="1" thickBot="1" x14ac:dyDescent="0.35">
      <c r="A68" s="926"/>
      <c r="B68" s="926"/>
      <c r="C68" s="923"/>
      <c r="D68" s="923"/>
      <c r="E68" s="923"/>
      <c r="F68" s="926"/>
      <c r="G68" s="2349"/>
      <c r="H68" s="2350"/>
      <c r="I68" s="2349"/>
      <c r="J68" s="2350"/>
      <c r="K68" s="2349"/>
      <c r="L68" s="2350"/>
      <c r="M68" s="2349"/>
      <c r="N68" s="2350"/>
      <c r="O68" s="2349"/>
      <c r="P68" s="2350"/>
      <c r="Q68" s="923"/>
      <c r="R68" s="923"/>
      <c r="S68" s="926"/>
      <c r="T68" s="926"/>
      <c r="U68" s="926"/>
      <c r="V68" s="926"/>
      <c r="W68" s="926"/>
      <c r="X68" s="926"/>
      <c r="Y68" s="926"/>
      <c r="Z68" s="926"/>
      <c r="AA68" s="926"/>
      <c r="AB68" s="926"/>
      <c r="AC68" s="926"/>
      <c r="AD68" s="926"/>
      <c r="AE68" s="926"/>
      <c r="AF68" s="926"/>
      <c r="AG68" s="926"/>
      <c r="AH68" s="926"/>
      <c r="AI68" s="926"/>
      <c r="AJ68" s="926"/>
    </row>
    <row r="69" spans="1:36" x14ac:dyDescent="0.3">
      <c r="A69" s="926"/>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c r="AG69" s="926"/>
      <c r="AH69" s="926"/>
      <c r="AI69" s="926"/>
      <c r="AJ69" s="926"/>
    </row>
    <row r="70" spans="1:36" x14ac:dyDescent="0.3">
      <c r="A70" s="926"/>
      <c r="B70" s="926"/>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row>
    <row r="71" spans="1:36" x14ac:dyDescent="0.3">
      <c r="A71" s="926"/>
      <c r="B71" s="926"/>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c r="AG71" s="926"/>
      <c r="AH71" s="926"/>
      <c r="AI71" s="926"/>
      <c r="AJ71" s="926"/>
    </row>
    <row r="72" spans="1:36" x14ac:dyDescent="0.3">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row>
    <row r="73" spans="1:36" x14ac:dyDescent="0.3">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row>
    <row r="74" spans="1:36"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row>
    <row r="75" spans="1:36"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row>
    <row r="76" spans="1:36"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row>
    <row r="77" spans="1:36"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row>
    <row r="78" spans="1:36"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66"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66"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66"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66" x14ac:dyDescent="0.3">
      <c r="A84" s="926"/>
      <c r="B84" s="926"/>
      <c r="C84" s="926"/>
      <c r="D84" s="926"/>
      <c r="E84" s="926"/>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row>
    <row r="85" spans="1:66" x14ac:dyDescent="0.3">
      <c r="A85" s="926"/>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row>
    <row r="86" spans="1:66" x14ac:dyDescent="0.3">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row>
    <row r="87" spans="1:66" x14ac:dyDescent="0.3">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BB87" t="s">
        <v>98</v>
      </c>
    </row>
    <row r="88" spans="1:66"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BB88" s="82" t="s">
        <v>99</v>
      </c>
      <c r="BC88" s="82" t="s">
        <v>100</v>
      </c>
      <c r="BD88" s="82" t="s">
        <v>101</v>
      </c>
      <c r="BE88" s="82" t="s">
        <v>102</v>
      </c>
      <c r="BF88" s="82" t="s">
        <v>103</v>
      </c>
      <c r="BG88" s="82" t="s">
        <v>104</v>
      </c>
      <c r="BH88" s="82" t="s">
        <v>105</v>
      </c>
      <c r="BI88" s="82" t="s">
        <v>106</v>
      </c>
      <c r="BJ88" s="82" t="s">
        <v>107</v>
      </c>
      <c r="BK88" s="82" t="s">
        <v>108</v>
      </c>
      <c r="BL88" s="82" t="s">
        <v>109</v>
      </c>
      <c r="BM88" s="82" t="s">
        <v>110</v>
      </c>
      <c r="BN88" s="82" t="s">
        <v>111</v>
      </c>
    </row>
    <row r="89" spans="1:66"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BB89" t="s">
        <v>333</v>
      </c>
      <c r="BC89">
        <f>IF(BK89=1,BD89,BE89)</f>
        <v>1</v>
      </c>
      <c r="BD89">
        <f>IF(BF89,"",L29)</f>
        <v>1</v>
      </c>
      <c r="BE89">
        <f>INDEX(UDD,MATCH($BB89,UDN,0))</f>
        <v>2</v>
      </c>
      <c r="BF89" t="b">
        <f>ISBLANK(L29)</f>
        <v>0</v>
      </c>
      <c r="BG89" t="str">
        <f t="shared" ref="BG89:BG94" si="0">INDEX(UDUnit,MATCH($BB89,UDN,0))</f>
        <v>miles</v>
      </c>
      <c r="BH89" t="str">
        <f t="shared" ref="BH89:BH94" si="1">INDEX(UDF_Unit,MATCH($BB89,UDN,0))</f>
        <v>miles</v>
      </c>
      <c r="BI89">
        <f t="shared" ref="BI89:BI94" si="2">INDEX(UDMin,MATCH($BB89,UDN,0))</f>
        <v>0.1</v>
      </c>
      <c r="BJ89">
        <f>INDEX(UDMax,MATCH($BB89,UDN,0))</f>
        <v>10</v>
      </c>
      <c r="BK89">
        <f>IF(AND(ISNUMBER(BD89),BI89&lt;=BD89,BD89&lt;=BJ89),1,0)</f>
        <v>1</v>
      </c>
      <c r="BL89" t="str">
        <f>INDEX(UD_Desc,MATCH($BB89,UDN,0))</f>
        <v>Average distance for land application of manure via drag hose or tanker</v>
      </c>
      <c r="BM89" t="str">
        <f>IF(BK89=1,"No", "Yes")</f>
        <v>No</v>
      </c>
      <c r="BN89" t="str">
        <f>IF(BF89,"Using default", IF(BK89=1,"Input accepted", "Input invalid, using default"))</f>
        <v>Input accepted</v>
      </c>
    </row>
    <row r="90" spans="1:66"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BB90" t="s">
        <v>334</v>
      </c>
      <c r="BC90">
        <f>IF(AND(BK90=1,BD90&gt;=BC89),BD90,BE90)</f>
        <v>2</v>
      </c>
      <c r="BD90">
        <f>IF(BF90,"",L33)</f>
        <v>2</v>
      </c>
      <c r="BE90">
        <f>INDEX(UDD,MATCH($BB90,UDN,0))</f>
        <v>4</v>
      </c>
      <c r="BF90" t="b">
        <f>ISBLANK(L33)</f>
        <v>0</v>
      </c>
      <c r="BG90" t="str">
        <f t="shared" ref="BG90" si="3">INDEX(UDUnit,MATCH($BB90,UDN,0))</f>
        <v>miles</v>
      </c>
      <c r="BH90" t="str">
        <f t="shared" ref="BH90" si="4">INDEX(UDF_Unit,MATCH($BB90,UDN,0))</f>
        <v>miles</v>
      </c>
      <c r="BI90">
        <f t="shared" ref="BI90" si="5">INDEX(UDMin,MATCH($BB90,UDN,0))</f>
        <v>1</v>
      </c>
      <c r="BJ90">
        <f>INDEX(UDMax,MATCH($BB90,UDN,0))</f>
        <v>10</v>
      </c>
      <c r="BK90">
        <f>IF(AND(ISNUMBER(BD90),BI90&lt;=BD90,BD90&lt;=BJ90),1,0)</f>
        <v>1</v>
      </c>
      <c r="BL90" t="str">
        <f>INDEX(UD_Desc,MATCH($BB90,UDN,0))</f>
        <v>Maximum distance for land application of manure via drag hose or tanker</v>
      </c>
      <c r="BM90" t="str">
        <f>IF(BK90=1,"No", "Yes")</f>
        <v>No</v>
      </c>
      <c r="BN90" t="str">
        <f t="shared" ref="BN90:BN94" si="6">IF(BF90,"Using default", IF(BK90=1,"Input accepted", "Input invalid, using default"))</f>
        <v>Input accepted</v>
      </c>
    </row>
    <row r="91" spans="1:66"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BB91" t="s">
        <v>335</v>
      </c>
      <c r="BC91">
        <f t="shared" ref="BC91:BC94" si="7">IF(BK91=1,BD91,BE91)</f>
        <v>6000</v>
      </c>
      <c r="BD91">
        <f>IF(BF91,"",L37)</f>
        <v>6000</v>
      </c>
      <c r="BE91">
        <f t="shared" ref="BE91:BE94" si="8">INDEX(UDD,MATCH($BB91,UDN,0))</f>
        <v>9000</v>
      </c>
      <c r="BF91" t="b">
        <f>ISBLANK(L37)</f>
        <v>0</v>
      </c>
      <c r="BG91" t="str">
        <f t="shared" si="0"/>
        <v>gal (tank size)</v>
      </c>
      <c r="BH91" t="str">
        <f t="shared" si="1"/>
        <v>gal (tank size)</v>
      </c>
      <c r="BI91">
        <f t="shared" si="2"/>
        <v>3000</v>
      </c>
      <c r="BJ91">
        <f t="shared" ref="BJ91:BJ94" si="9">INDEX(UDMax,MATCH($BB91,UDN,0))</f>
        <v>9000</v>
      </c>
      <c r="BK91">
        <f>IF(COUNTIF(DROPS.tanker.size,BD91)&gt;0,1,0)</f>
        <v>1</v>
      </c>
      <c r="BL91" t="str">
        <f t="shared" ref="BL91:BL94" si="10">INDEX(UD_Desc,MATCH($BB91,UDN,0))</f>
        <v>Volume that the tractor unloads</v>
      </c>
      <c r="BM91" t="str">
        <f t="shared" ref="BM91:BM94" si="11">IF(BK91=1,"No", "Yes")</f>
        <v>No</v>
      </c>
      <c r="BN91" t="str">
        <f t="shared" si="6"/>
        <v>Input accepted</v>
      </c>
    </row>
    <row r="92" spans="1:66" x14ac:dyDescent="0.3">
      <c r="BB92" t="s">
        <v>336</v>
      </c>
      <c r="BC92">
        <f t="shared" si="7"/>
        <v>1000</v>
      </c>
      <c r="BD92" t="str">
        <f>IF(BF92,"",L41)</f>
        <v/>
      </c>
      <c r="BE92">
        <f t="shared" si="8"/>
        <v>1000</v>
      </c>
      <c r="BF92" t="b">
        <f>ISBLANK(L41)</f>
        <v>1</v>
      </c>
      <c r="BG92" t="str">
        <f t="shared" si="0"/>
        <v>hr/year</v>
      </c>
      <c r="BH92" t="str">
        <f t="shared" si="1"/>
        <v>hr/year</v>
      </c>
      <c r="BI92">
        <f t="shared" si="2"/>
        <v>600</v>
      </c>
      <c r="BJ92">
        <f t="shared" si="9"/>
        <v>2000</v>
      </c>
      <c r="BK92">
        <f>IF(AND(ISNUMBER(BD92),BI92&lt;=BD92,BD92&lt;=BJ92),1,0)</f>
        <v>0</v>
      </c>
      <c r="BL92" t="str">
        <f t="shared" si="10"/>
        <v>Annual tractor usage for all farm activities</v>
      </c>
      <c r="BM92" t="str">
        <f t="shared" si="11"/>
        <v>Yes</v>
      </c>
      <c r="BN92" t="str">
        <f t="shared" si="6"/>
        <v>Using default</v>
      </c>
    </row>
    <row r="93" spans="1:66" x14ac:dyDescent="0.3">
      <c r="BB93" t="s">
        <v>337</v>
      </c>
      <c r="BC93">
        <f t="shared" si="7"/>
        <v>12</v>
      </c>
      <c r="BD93" t="str">
        <f>IF(BF93,"",L45)</f>
        <v/>
      </c>
      <c r="BE93">
        <f t="shared" si="8"/>
        <v>12</v>
      </c>
      <c r="BF93" t="b">
        <f>ISBLANK(L45)</f>
        <v>1</v>
      </c>
      <c r="BG93" t="str">
        <f t="shared" si="0"/>
        <v>hr/day</v>
      </c>
      <c r="BH93" t="str">
        <f t="shared" si="1"/>
        <v>hr/day</v>
      </c>
      <c r="BI93">
        <f t="shared" si="2"/>
        <v>8</v>
      </c>
      <c r="BJ93">
        <f t="shared" si="9"/>
        <v>24</v>
      </c>
      <c r="BK93">
        <f>IF(AND(ISNUMBER(BD93),BI93&lt;=BD93,BD93&lt;=BJ93),1,0)</f>
        <v>0</v>
      </c>
      <c r="BL93" t="str">
        <f t="shared" si="10"/>
        <v>Maximum tractor usage, day</v>
      </c>
      <c r="BM93" t="str">
        <f t="shared" si="11"/>
        <v>Yes</v>
      </c>
      <c r="BN93" t="str">
        <f t="shared" si="6"/>
        <v>Using default</v>
      </c>
    </row>
    <row r="94" spans="1:66" x14ac:dyDescent="0.3">
      <c r="BB94" t="s">
        <v>338</v>
      </c>
      <c r="BC94">
        <f t="shared" si="7"/>
        <v>2000</v>
      </c>
      <c r="BD94" t="str">
        <f>IF(BF94,"",L49)</f>
        <v/>
      </c>
      <c r="BE94">
        <f t="shared" si="8"/>
        <v>2000</v>
      </c>
      <c r="BF94" t="b">
        <f>ISBLANK(L49)</f>
        <v>1</v>
      </c>
      <c r="BG94" t="str">
        <f t="shared" si="0"/>
        <v>hr/year</v>
      </c>
      <c r="BH94" t="str">
        <f t="shared" si="1"/>
        <v>hr/year</v>
      </c>
      <c r="BI94">
        <f t="shared" si="2"/>
        <v>1500</v>
      </c>
      <c r="BJ94">
        <f t="shared" si="9"/>
        <v>8760</v>
      </c>
      <c r="BK94">
        <f>IF(AND(ISNUMBER(BD94),BI94&lt;=BD94,BD94&lt;=BJ94),1,0)</f>
        <v>0</v>
      </c>
      <c r="BL94" t="str">
        <f t="shared" si="10"/>
        <v>Maximum tractor usage, year</v>
      </c>
      <c r="BM94" t="str">
        <f t="shared" si="11"/>
        <v>Yes</v>
      </c>
      <c r="BN94" t="str">
        <f t="shared" si="6"/>
        <v>Using default</v>
      </c>
    </row>
    <row r="97" spans="64:66" x14ac:dyDescent="0.3">
      <c r="BL97" s="82" t="s">
        <v>127</v>
      </c>
      <c r="BN97">
        <f>COUNTIF(BN89:BN94,"Input invalid, using default")</f>
        <v>0</v>
      </c>
    </row>
    <row r="98" spans="64:66" x14ac:dyDescent="0.3">
      <c r="BL98" t="s">
        <v>339</v>
      </c>
    </row>
    <row r="99" spans="64:66" x14ac:dyDescent="0.3">
      <c r="BL99" t="s">
        <v>131</v>
      </c>
    </row>
    <row r="101" spans="64:66" x14ac:dyDescent="0.3">
      <c r="BL101" t="str">
        <f>IF(BN97&gt;0,BL99,BL98)</f>
        <v>You have answered all of the questions for this page. Press the "Next page" button below to move to the capital expenses page.</v>
      </c>
    </row>
  </sheetData>
  <mergeCells count="79">
    <mergeCell ref="C4:D6"/>
    <mergeCell ref="S4:T6"/>
    <mergeCell ref="D33:G36"/>
    <mergeCell ref="D11:S16"/>
    <mergeCell ref="G18:P22"/>
    <mergeCell ref="D24:S27"/>
    <mergeCell ref="D28:G28"/>
    <mergeCell ref="N28:O28"/>
    <mergeCell ref="P28:Q28"/>
    <mergeCell ref="L28:M28"/>
    <mergeCell ref="J28:K28"/>
    <mergeCell ref="H28:I28"/>
    <mergeCell ref="R28:S28"/>
    <mergeCell ref="D29:G32"/>
    <mergeCell ref="G5:H7"/>
    <mergeCell ref="I5:J7"/>
    <mergeCell ref="K5:L7"/>
    <mergeCell ref="M5:N7"/>
    <mergeCell ref="O5:P7"/>
    <mergeCell ref="F2:G4"/>
    <mergeCell ref="H2:I4"/>
    <mergeCell ref="J2:K4"/>
    <mergeCell ref="L2:M4"/>
    <mergeCell ref="N2:O4"/>
    <mergeCell ref="P2:Q4"/>
    <mergeCell ref="C65:D67"/>
    <mergeCell ref="R29:S32"/>
    <mergeCell ref="H37:I40"/>
    <mergeCell ref="R37:S40"/>
    <mergeCell ref="H29:I32"/>
    <mergeCell ref="J33:K36"/>
    <mergeCell ref="H33:I36"/>
    <mergeCell ref="R33:S36"/>
    <mergeCell ref="N29:O32"/>
    <mergeCell ref="P29:Q32"/>
    <mergeCell ref="L29:M32"/>
    <mergeCell ref="J29:K32"/>
    <mergeCell ref="N33:O36"/>
    <mergeCell ref="P33:Q36"/>
    <mergeCell ref="L33:M36"/>
    <mergeCell ref="D37:G40"/>
    <mergeCell ref="N37:O40"/>
    <mergeCell ref="P37:Q40"/>
    <mergeCell ref="L37:M40"/>
    <mergeCell ref="J37:K40"/>
    <mergeCell ref="R41:S44"/>
    <mergeCell ref="R45:S48"/>
    <mergeCell ref="D41:G44"/>
    <mergeCell ref="N41:O44"/>
    <mergeCell ref="P41:Q44"/>
    <mergeCell ref="L41:M44"/>
    <mergeCell ref="J41:K44"/>
    <mergeCell ref="H41:I44"/>
    <mergeCell ref="D45:G48"/>
    <mergeCell ref="N45:O48"/>
    <mergeCell ref="P45:Q48"/>
    <mergeCell ref="L45:M48"/>
    <mergeCell ref="J45:K48"/>
    <mergeCell ref="H45:I48"/>
    <mergeCell ref="R49:S52"/>
    <mergeCell ref="G54:P59"/>
    <mergeCell ref="D49:G52"/>
    <mergeCell ref="N49:O52"/>
    <mergeCell ref="P49:Q52"/>
    <mergeCell ref="L49:M52"/>
    <mergeCell ref="J49:K52"/>
    <mergeCell ref="H49:I52"/>
    <mergeCell ref="S65:T67"/>
    <mergeCell ref="F63:G65"/>
    <mergeCell ref="H63:I65"/>
    <mergeCell ref="J63:K65"/>
    <mergeCell ref="L63:M65"/>
    <mergeCell ref="N63:O65"/>
    <mergeCell ref="G66:H68"/>
    <mergeCell ref="I66:J68"/>
    <mergeCell ref="K66:L68"/>
    <mergeCell ref="M66:N68"/>
    <mergeCell ref="O66:P68"/>
    <mergeCell ref="P63:Q65"/>
  </mergeCells>
  <conditionalFormatting sqref="D29:K52 N29:S52">
    <cfRule type="expression" dxfId="4" priority="1">
      <formula>$R29="Input invalid, using default"</formula>
    </cfRule>
  </conditionalFormatting>
  <conditionalFormatting sqref="D29:M32">
    <cfRule type="expression" dxfId="3" priority="2">
      <formula>$R29="Input invalid, using default"</formula>
    </cfRule>
  </conditionalFormatting>
  <dataValidations count="1">
    <dataValidation type="list" allowBlank="1" showInputMessage="1" showErrorMessage="1" sqref="L37:M40" xr:uid="{7D36DB0C-3403-4DAB-9350-5C56342D65B8}">
      <formula1>DROPS.tanker.size</formula1>
    </dataValidation>
  </dataValidations>
  <hyperlinks>
    <hyperlink ref="F2:G4" location="UI.Welcome!A1" tooltip="Click to go to welcome page" display="Welcome Page" xr:uid="{D7416760-EC14-48BB-B20F-B91D28CAFC11}"/>
    <hyperlink ref="H2:I4" location="UI.Farm!A1" tooltip="Click to go to farm inputs page" display="Farm Info" xr:uid="{C2D63839-16B6-4699-844E-C07D467ACBBA}"/>
    <hyperlink ref="I5:J7" location="UI.OpExpenses!A1" tooltip="Click to go to operational expenses page" display="Operational Expenses" xr:uid="{C28B2A3E-EAB9-462C-957B-6EAB3A93CCE6}"/>
    <hyperlink ref="K5:L7" location="UI.Priorities!A1" tooltip="Click to go to priorities page" display="Priorities" xr:uid="{49DE4B13-FAB5-41D2-B72C-5E85D0C72C89}"/>
    <hyperlink ref="J2:K4" location="UI.Animals!A1" tooltip="Click to go to animals input page" display="Animals" xr:uid="{CFA9C680-6514-41DA-AAFF-B542A556D4F7}"/>
    <hyperlink ref="N2:O4" location="UI.Streams!A1" tooltip="Click to go to the excess manure page" display="Excess Manure Streams" xr:uid="{4B2000E0-6A49-40EF-BCFE-42829D9BBEE2}"/>
    <hyperlink ref="G5:H7" location="UI.Cap!A1" tooltip="Click to go to capital expenses page" display="Capital Expenses" xr:uid="{46E787E8-D70E-46A3-8819-6DDC783A9E47}"/>
    <hyperlink ref="L2:M4" location="UI.Manure!A1" tooltip="Click to go to the manure characteristics page" display="Manure Characteristics" xr:uid="{9DECD366-97AC-4A28-AEBD-8165AC4E54C9}"/>
    <hyperlink ref="O5:P7" location="UI.Inputs!A1" tooltip="Click to go to input results summary" display="Inputs Summary" xr:uid="{41FF1E59-C425-4E13-81EF-3CF221668D29}"/>
    <hyperlink ref="C4:D6" location="Results.Summary!A1" tooltip="Click to go to results summary page" display="Results Summary" xr:uid="{313641F1-AA39-4A25-BA71-5181CC6663BC}"/>
    <hyperlink ref="P2:Q4" location="UI.Tractor!A1" tooltip="Click to go to tractor properties" display="Tractor Properties" xr:uid="{A17FA09D-042D-4876-AA42-34F136A6D2C7}"/>
    <hyperlink ref="S4:T6" location="UI.Cap!A1" tooltip="Click to go to capital expenses page" display="Capital Expenses" xr:uid="{F51289EC-BF70-4997-BE6D-E93DAD61D27E}"/>
    <hyperlink ref="M5:N7" location="UI.Choice!A1" tooltip="Click to go to scenario choice page" display="Scenario Choices" xr:uid="{A97D5CF4-ACF8-448B-BC46-C903224BD8B0}"/>
    <hyperlink ref="F63:G65" location="UI.Welcome!A1" tooltip="Click to go to welcome page" display="Welcome Page" xr:uid="{2CC6662C-6A16-4F0A-9BA9-292822345792}"/>
    <hyperlink ref="H63:I65" location="UI.Farm!A1" tooltip="Click to go to farm inputs page" display="Farm Info" xr:uid="{9DBB2C88-0F2E-44D5-BF6A-0D49CC76213B}"/>
    <hyperlink ref="I66:J68" location="UI.OpExpenses!A1" tooltip="Click to go to operational expenses page" display="Operational Expenses" xr:uid="{1E3DBFA9-BEFA-41B1-A045-A072F70F1FDB}"/>
    <hyperlink ref="K66:L68" location="UI.Priorities!A1" tooltip="Click to go to priorities page" display="Priorities" xr:uid="{F51DB08E-4B31-4AEB-A871-EABFCE1F4FA2}"/>
    <hyperlink ref="J63:K65" location="UI.Animals!A1" tooltip="Click to go to animals input page" display="Animals" xr:uid="{60C17A1D-E3D9-4AD7-B6F0-EB510E2ADAF0}"/>
    <hyperlink ref="N63:O65" location="UI.Streams!A1" tooltip="Click to go to the excess manure page" display="Excess Manure Streams" xr:uid="{868E152A-5E0F-403E-8C72-BC09681FE231}"/>
    <hyperlink ref="G66:H68" location="UI.Cap!A1" tooltip="Click to go to capital expenses page" display="Capital Expenses" xr:uid="{78B3D109-053B-42C7-B064-197679A70CB4}"/>
    <hyperlink ref="L63:M65" location="UI.Manure!A1" tooltip="Click to go to the manure characteristics page" display="Manure Characteristics" xr:uid="{9FD52FAD-2C6D-40E3-832C-8560A968E35B}"/>
    <hyperlink ref="O66:P68" location="UI.Inputs!A1" tooltip="Click to go to input results summary" display="Inputs Summary" xr:uid="{1E1F230A-0240-4A86-8646-FC0B050C2959}"/>
    <hyperlink ref="C65:D67" location="Results.Summary!A1" tooltip="Click to go to results summary page" display="Results Summary" xr:uid="{1B324FB6-B9A2-4B28-9099-1801D3FCE581}"/>
    <hyperlink ref="P63:Q65" location="UI.Tractor!A1" tooltip="Click to go to tractor properties" display="Tractor Properties" xr:uid="{20FF309D-680B-4DCE-B48C-C619DC68DA00}"/>
    <hyperlink ref="S65:T67" location="UI.Cap!A1" tooltip="Click to go to capital expenses page" display="Capital Expenses" xr:uid="{415D985E-CCFA-409A-9217-7C9063359A83}"/>
    <hyperlink ref="M66:N68" location="UI.Choice!A1" tooltip="Click to go to scenario choice page" display="Scenario Choices" xr:uid="{C5F82B93-51AB-4C7E-A0F2-2011DB58857D}"/>
  </hyperlinks>
  <printOptions horizontalCentered="1" verticalCentered="1"/>
  <pageMargins left="0.7" right="0.7" top="0.75" bottom="0.75" header="0.3" footer="0.3"/>
  <pageSetup scale="4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B137-6BAE-4DBF-88FB-DBA515189F76}">
  <sheetPr codeName="Sheet56">
    <tabColor rgb="FF92D050"/>
  </sheetPr>
  <dimension ref="A1:Y646"/>
  <sheetViews>
    <sheetView topLeftCell="A512" workbookViewId="0">
      <selection activeCell="C2" sqref="C2:D4"/>
    </sheetView>
  </sheetViews>
  <sheetFormatPr defaultRowHeight="14.4" x14ac:dyDescent="0.3"/>
  <cols>
    <col min="1" max="1" width="20.88671875" customWidth="1"/>
    <col min="2" max="2" width="56.5546875" customWidth="1"/>
    <col min="3" max="3" width="15.6640625" customWidth="1"/>
    <col min="4" max="4" width="17.6640625" customWidth="1"/>
    <col min="5" max="5" width="17.44140625" customWidth="1"/>
    <col min="6" max="6" width="13.44140625" customWidth="1"/>
    <col min="7" max="11" width="14.44140625" customWidth="1"/>
    <col min="12" max="12" width="13.6640625" customWidth="1"/>
    <col min="13" max="13" width="13.109375" customWidth="1"/>
    <col min="14" max="14" width="14.5546875" customWidth="1"/>
    <col min="15" max="15" width="13.88671875" customWidth="1"/>
    <col min="17" max="17" width="21.88671875" customWidth="1"/>
    <col min="18" max="18" width="66.109375" customWidth="1"/>
    <col min="19" max="19" width="7.6640625" customWidth="1"/>
    <col min="20" max="20" width="12.44140625" customWidth="1"/>
    <col min="21" max="21" width="17.44140625" customWidth="1"/>
    <col min="22" max="22" width="14.88671875" customWidth="1"/>
    <col min="23" max="23" width="31.33203125" customWidth="1"/>
    <col min="24" max="24" width="56.44140625" customWidth="1"/>
    <col min="25" max="25" width="30.6640625" customWidth="1"/>
    <col min="26" max="26" width="28" customWidth="1"/>
    <col min="27" max="27" width="22.88671875" customWidth="1"/>
    <col min="29" max="33" width="32.109375" customWidth="1"/>
  </cols>
  <sheetData>
    <row r="1" spans="1:21" ht="18" x14ac:dyDescent="0.35">
      <c r="A1" s="522" t="str">
        <f>Sc.Table!J36</f>
        <v>The farm uses a scrape system for barn cleaning. The manure is scraped into a collection pit and pumped to an on-site facility for composting.</v>
      </c>
      <c r="B1" s="1"/>
      <c r="C1" s="1"/>
      <c r="D1" s="5"/>
      <c r="E1" s="5"/>
      <c r="F1" s="4"/>
      <c r="G1" s="46"/>
      <c r="H1" s="3"/>
      <c r="J1" s="36"/>
      <c r="L1" s="42"/>
      <c r="M1" s="79"/>
    </row>
    <row r="2" spans="1:21" x14ac:dyDescent="0.3">
      <c r="A2" s="2066"/>
      <c r="B2" s="1660" t="s">
        <v>6921</v>
      </c>
      <c r="C2" s="2001"/>
      <c r="D2" s="2000"/>
      <c r="E2" s="2066"/>
      <c r="F2" s="2066"/>
      <c r="G2" s="2066"/>
      <c r="H2" s="2066"/>
      <c r="I2" s="2066"/>
      <c r="J2" s="2066"/>
      <c r="K2" s="2066"/>
      <c r="L2" s="2066"/>
      <c r="M2" s="2066"/>
      <c r="N2" s="2066"/>
      <c r="O2" s="2066"/>
      <c r="P2" s="2066"/>
      <c r="Q2" s="1928" t="s">
        <v>6923</v>
      </c>
      <c r="R2" s="1923"/>
      <c r="S2" s="1929"/>
      <c r="T2" s="1930"/>
      <c r="U2" s="1931"/>
    </row>
    <row r="3" spans="1:21" x14ac:dyDescent="0.3">
      <c r="A3" s="2066"/>
      <c r="B3" s="1668" t="s">
        <v>6922</v>
      </c>
      <c r="C3" s="1670"/>
      <c r="D3" s="1670"/>
      <c r="E3" s="2066"/>
      <c r="F3" s="2066"/>
      <c r="G3" s="2066"/>
      <c r="H3" s="2066"/>
      <c r="I3" s="2066"/>
      <c r="J3" s="2066"/>
      <c r="K3" s="2066"/>
      <c r="L3" s="2066"/>
      <c r="M3" s="2066"/>
      <c r="N3" s="2066"/>
      <c r="O3" s="2066"/>
      <c r="P3" s="2066"/>
      <c r="Q3" s="49" t="s">
        <v>1901</v>
      </c>
      <c r="R3" s="602" t="s">
        <v>6925</v>
      </c>
      <c r="S3" s="49"/>
      <c r="T3" s="61">
        <f>C5*UDV.animal.total*UC.day_to_year</f>
        <v>0</v>
      </c>
      <c r="U3" s="18" t="s">
        <v>2521</v>
      </c>
    </row>
    <row r="4" spans="1:21" x14ac:dyDescent="0.3">
      <c r="A4" s="2066"/>
      <c r="B4" s="1577" t="s">
        <v>6924</v>
      </c>
      <c r="C4" s="1879">
        <f>UDV.animal.manure*UC.year_to_day/UDV.animal.total/UDV.density.manure</f>
        <v>2.0526696680080483</v>
      </c>
      <c r="D4" s="1806" t="s">
        <v>5838</v>
      </c>
      <c r="E4" s="2066"/>
      <c r="F4" s="2066"/>
      <c r="G4" s="2066"/>
      <c r="H4" s="2066"/>
      <c r="I4" s="2066"/>
      <c r="J4" s="2066"/>
      <c r="K4" s="2066"/>
      <c r="L4" s="2066"/>
      <c r="M4" s="2066"/>
      <c r="N4" s="2066"/>
      <c r="O4" s="2066"/>
      <c r="P4" s="2066"/>
      <c r="Q4" s="602" t="s">
        <v>7143</v>
      </c>
      <c r="R4" s="602" t="str">
        <f>PT.shallow_scrape!B91</f>
        <v>Total recycled water needed</v>
      </c>
      <c r="S4" s="602"/>
      <c r="T4" s="1987">
        <f>PT.shallow_scrape!H91</f>
        <v>0</v>
      </c>
      <c r="U4" s="1818" t="str">
        <f>PT.shallow_scrape!C91</f>
        <v>m3/year</v>
      </c>
    </row>
    <row r="5" spans="1:21" x14ac:dyDescent="0.3">
      <c r="A5" s="2066"/>
      <c r="B5" s="1577" t="s">
        <v>415</v>
      </c>
      <c r="C5" s="1811">
        <f>SUM(C43:C46)</f>
        <v>0</v>
      </c>
      <c r="D5" s="1806" t="s">
        <v>5838</v>
      </c>
      <c r="E5" s="2066"/>
      <c r="F5" s="2066"/>
      <c r="G5" s="2066"/>
      <c r="H5" s="2066"/>
      <c r="I5" s="2066"/>
      <c r="J5" s="2066"/>
      <c r="K5" s="2066"/>
      <c r="L5" s="2066"/>
      <c r="M5" s="2066"/>
      <c r="N5" s="2066"/>
      <c r="O5" s="2066"/>
      <c r="P5" s="2066"/>
      <c r="Q5" s="602"/>
      <c r="R5" s="602" t="str">
        <f>PT.shallow_scrape!B92</f>
        <v>Number of flushes</v>
      </c>
      <c r="S5" s="602"/>
      <c r="T5" s="1987">
        <f>PT.shallow_scrape!H92</f>
        <v>0</v>
      </c>
      <c r="U5" s="1818" t="str">
        <f>PT.shallow_scrape!C92</f>
        <v>flush/day</v>
      </c>
    </row>
    <row r="6" spans="1:21" x14ac:dyDescent="0.3">
      <c r="A6" s="2066"/>
      <c r="B6" s="1577" t="s">
        <v>409</v>
      </c>
      <c r="C6" s="1811">
        <f>SUM(C34:C41)</f>
        <v>57.540301329326212</v>
      </c>
      <c r="D6" s="1806" t="s">
        <v>5769</v>
      </c>
      <c r="E6" s="2066"/>
      <c r="F6" s="2066"/>
      <c r="G6" s="2066"/>
      <c r="H6" s="2066"/>
      <c r="I6" s="2066"/>
      <c r="J6" s="2066"/>
      <c r="K6" s="2066"/>
      <c r="L6" s="2066"/>
      <c r="M6" s="2066"/>
      <c r="N6" s="2066"/>
      <c r="O6" s="2066"/>
      <c r="P6" s="2066"/>
      <c r="Q6" s="602"/>
      <c r="R6" s="602" t="str">
        <f>PT.shallow_scrape!B93</f>
        <v>Volume of recycled water per flush</v>
      </c>
      <c r="S6" s="602"/>
      <c r="T6" s="1987">
        <f>PT.shallow_scrape!H93</f>
        <v>0</v>
      </c>
      <c r="U6" s="1818" t="str">
        <f>PT.shallow_scrape!C93</f>
        <v>m3/flush</v>
      </c>
    </row>
    <row r="7" spans="1:21" x14ac:dyDescent="0.3">
      <c r="A7" s="2066"/>
      <c r="B7" s="1577" t="s">
        <v>6926</v>
      </c>
      <c r="C7" s="1878">
        <f>C62</f>
        <v>2.6479518196259422</v>
      </c>
      <c r="D7" s="1806" t="s">
        <v>2497</v>
      </c>
      <c r="E7" s="2066"/>
      <c r="F7" s="2066"/>
      <c r="G7" s="2066"/>
      <c r="H7" s="2066"/>
      <c r="I7" s="2066"/>
      <c r="J7" s="2066"/>
      <c r="K7" s="2066"/>
      <c r="L7" s="2066"/>
      <c r="M7" s="2066"/>
      <c r="N7" s="2066"/>
      <c r="O7" s="2066"/>
      <c r="P7" s="2066"/>
      <c r="Q7" s="602"/>
      <c r="R7" s="602" t="str">
        <f>PT.shallow_scrape!B94</f>
        <v>Total flush water volume</v>
      </c>
      <c r="S7" s="602"/>
      <c r="T7" s="1987">
        <f>PT.shallow_scrape!H94</f>
        <v>0</v>
      </c>
      <c r="U7" s="1818" t="str">
        <f>PT.shallow_scrape!C94</f>
        <v>m3/day</v>
      </c>
    </row>
    <row r="8" spans="1:21" x14ac:dyDescent="0.3">
      <c r="A8" s="2066"/>
      <c r="B8" s="1577" t="s">
        <v>6928</v>
      </c>
      <c r="C8" s="1395">
        <f>SUM(C48:C55)/UDV.animal.total</f>
        <v>233.91764119137878</v>
      </c>
      <c r="D8" s="1353" t="s">
        <v>2270</v>
      </c>
      <c r="E8" s="2066"/>
      <c r="F8" s="2066"/>
      <c r="G8" s="2066"/>
      <c r="H8" s="2066"/>
      <c r="I8" s="2066"/>
      <c r="J8" s="2066"/>
      <c r="K8" s="2066"/>
      <c r="L8" s="2066"/>
      <c r="M8" s="2066"/>
      <c r="N8" s="2066"/>
      <c r="O8" s="2066"/>
      <c r="P8" s="2066"/>
      <c r="Q8" s="602"/>
      <c r="R8" s="602" t="str">
        <f>PT.shallow_scrape!B95</f>
        <v>Recycled water volume</v>
      </c>
      <c r="S8" s="602"/>
      <c r="T8" s="1987">
        <f>PT.shallow_scrape!H95</f>
        <v>0</v>
      </c>
      <c r="U8" s="1818" t="str">
        <f>PT.shallow_scrape!C95</f>
        <v>m3/day</v>
      </c>
    </row>
    <row r="9" spans="1:21" x14ac:dyDescent="0.3">
      <c r="A9" s="2066"/>
      <c r="B9" s="1810" t="s">
        <v>6929</v>
      </c>
      <c r="C9" s="1807"/>
      <c r="D9" s="1806"/>
      <c r="E9" s="2066"/>
      <c r="F9" s="2066"/>
      <c r="G9" s="2066"/>
      <c r="H9" s="2066"/>
      <c r="I9" s="2066"/>
      <c r="J9" s="2066"/>
      <c r="K9" s="2066"/>
      <c r="L9" s="2066"/>
      <c r="M9" s="2066"/>
      <c r="N9" s="2066"/>
      <c r="O9" s="2066"/>
      <c r="P9" s="2066"/>
      <c r="Q9" s="602"/>
      <c r="R9" s="602" t="str">
        <f>PT.shallow_scrape!B96</f>
        <v>Volume of water per cleaning</v>
      </c>
      <c r="S9" s="602"/>
      <c r="T9" s="1987">
        <f>PT.shallow_scrape!H96</f>
        <v>0</v>
      </c>
      <c r="U9" s="1818" t="str">
        <f>PT.shallow_scrape!C96</f>
        <v>m3/flush</v>
      </c>
    </row>
    <row r="10" spans="1:21" x14ac:dyDescent="0.3">
      <c r="A10" s="2066"/>
      <c r="B10" s="1577" t="s">
        <v>6163</v>
      </c>
      <c r="C10" s="1811">
        <f>C64</f>
        <v>0</v>
      </c>
      <c r="D10" s="1806" t="s">
        <v>2385</v>
      </c>
      <c r="E10" s="2066"/>
      <c r="F10" s="2066"/>
      <c r="G10" s="2066"/>
      <c r="H10" s="2066"/>
      <c r="I10" s="2066"/>
      <c r="J10" s="2066"/>
      <c r="K10" s="2066"/>
      <c r="L10" s="2066"/>
      <c r="M10" s="2066"/>
      <c r="N10" s="2066"/>
      <c r="O10" s="2066"/>
      <c r="P10" s="2066"/>
      <c r="Q10" s="602"/>
      <c r="R10" s="602" t="str">
        <f>PT.shallow_scrape!B97</f>
        <v>Size of motor(s) needed for pump(s)</v>
      </c>
      <c r="S10" s="602"/>
      <c r="T10" s="1987">
        <f>PT.shallow_scrape!H97</f>
        <v>0</v>
      </c>
      <c r="U10" s="1818" t="str">
        <f>PT.shallow_scrape!C97</f>
        <v>hp/pump</v>
      </c>
    </row>
    <row r="11" spans="1:21" ht="22.5" customHeight="1" x14ac:dyDescent="0.3">
      <c r="A11" s="2066"/>
      <c r="B11" s="1577" t="s">
        <v>6164</v>
      </c>
      <c r="C11" s="1811">
        <f>C65</f>
        <v>0</v>
      </c>
      <c r="D11" s="1806" t="s">
        <v>2385</v>
      </c>
      <c r="E11" s="2066"/>
      <c r="F11" s="2066"/>
      <c r="G11" s="2066"/>
      <c r="H11" s="2066"/>
      <c r="I11" s="2066"/>
      <c r="J11" s="2066"/>
      <c r="K11" s="2066"/>
      <c r="L11" s="2066"/>
      <c r="M11" s="2066"/>
      <c r="N11" s="2066"/>
      <c r="O11" s="2066"/>
      <c r="P11" s="2066"/>
      <c r="Q11" s="602"/>
      <c r="R11" s="602" t="str">
        <f>PT.shallow_scrape!B98</f>
        <v>Number of pumps needed from pond/lagoon</v>
      </c>
      <c r="S11" s="602"/>
      <c r="T11" s="1987">
        <f>PT.shallow_scrape!H98</f>
        <v>0</v>
      </c>
      <c r="U11" s="1818" t="str">
        <f>PT.shallow_scrape!C98</f>
        <v>pumps</v>
      </c>
    </row>
    <row r="12" spans="1:21" x14ac:dyDescent="0.3">
      <c r="A12" s="2066"/>
      <c r="B12" s="1577" t="s">
        <v>6165</v>
      </c>
      <c r="C12" s="1811">
        <f>C66</f>
        <v>0</v>
      </c>
      <c r="D12" s="1806" t="s">
        <v>2385</v>
      </c>
      <c r="E12" s="2066"/>
      <c r="F12" s="2066"/>
      <c r="G12" s="2066"/>
      <c r="H12" s="2066"/>
      <c r="I12" s="2066"/>
      <c r="J12" s="2066"/>
      <c r="K12" s="2066"/>
      <c r="L12" s="2066"/>
      <c r="M12" s="2066"/>
      <c r="N12" s="2066"/>
      <c r="O12" s="2066"/>
      <c r="P12" s="2066"/>
      <c r="Q12" s="602"/>
      <c r="R12" s="602" t="str">
        <f>PT.shallow_scrape!B99</f>
        <v>Operational time for pump/motor</v>
      </c>
      <c r="S12" s="602"/>
      <c r="T12" s="1987">
        <f>PT.shallow_scrape!H99</f>
        <v>0</v>
      </c>
      <c r="U12" s="1818" t="str">
        <f>PT.shallow_scrape!C99</f>
        <v>hr/day/pump</v>
      </c>
    </row>
    <row r="13" spans="1:21" ht="20.25" customHeight="1" x14ac:dyDescent="0.3">
      <c r="A13" s="2066"/>
      <c r="B13" s="1810" t="s">
        <v>6930</v>
      </c>
      <c r="C13" s="1811"/>
      <c r="D13" s="1806"/>
      <c r="E13" s="2066"/>
      <c r="F13" s="2066"/>
      <c r="G13" s="2066"/>
      <c r="H13" s="2066"/>
      <c r="I13" s="2066"/>
      <c r="J13" s="2066"/>
      <c r="K13" s="2066"/>
      <c r="L13" s="2066"/>
      <c r="M13" s="2066"/>
      <c r="N13" s="2066"/>
      <c r="O13" s="2066"/>
      <c r="P13" s="2066"/>
      <c r="Q13" s="602"/>
      <c r="R13" s="602" t="str">
        <f>PT.shallow_scrape!B100</f>
        <v>Energy needed for motor(s) for pump(s)</v>
      </c>
      <c r="S13" s="602"/>
      <c r="T13" s="1987">
        <f>PT.shallow_scrape!H100</f>
        <v>0</v>
      </c>
      <c r="U13" s="1818" t="str">
        <f>PT.shallow_scrape!C100</f>
        <v>kWh/day</v>
      </c>
    </row>
    <row r="14" spans="1:21" ht="21.75" customHeight="1" x14ac:dyDescent="0.3">
      <c r="A14" s="2066"/>
      <c r="B14" s="1577" t="s">
        <v>6163</v>
      </c>
      <c r="C14" s="1811">
        <f>C68</f>
        <v>4.8645764809032244</v>
      </c>
      <c r="D14" s="1806" t="s">
        <v>2385</v>
      </c>
      <c r="E14" s="2066"/>
      <c r="F14" s="2066"/>
      <c r="G14" s="2066"/>
      <c r="H14" s="2066"/>
      <c r="I14" s="2066"/>
      <c r="J14" s="2066"/>
      <c r="K14" s="2066"/>
      <c r="L14" s="2066"/>
      <c r="M14" s="2066"/>
      <c r="N14" s="2066"/>
      <c r="O14" s="2066"/>
      <c r="P14" s="2066"/>
      <c r="Q14" s="602"/>
      <c r="R14" s="602" t="str">
        <f>PT.shallow_scrape!B101</f>
        <v>Distance from pump to barns</v>
      </c>
      <c r="S14" s="602"/>
      <c r="T14" s="1987">
        <f>PT.shallow_scrape!H101</f>
        <v>0</v>
      </c>
      <c r="U14" s="1818" t="str">
        <f>PT.shallow_scrape!C101</f>
        <v>ft</v>
      </c>
    </row>
    <row r="15" spans="1:21" ht="21" customHeight="1" x14ac:dyDescent="0.3">
      <c r="A15" s="2066"/>
      <c r="B15" s="1577" t="s">
        <v>6164</v>
      </c>
      <c r="C15" s="1811">
        <f>C69</f>
        <v>7.1130792356163557</v>
      </c>
      <c r="D15" s="1806" t="s">
        <v>2385</v>
      </c>
      <c r="E15" s="2066"/>
      <c r="F15" s="2066"/>
      <c r="G15" s="2066"/>
      <c r="H15" s="2066"/>
      <c r="I15" s="2066"/>
      <c r="J15" s="2066"/>
      <c r="K15" s="2066"/>
      <c r="L15" s="2066"/>
      <c r="M15" s="2066"/>
      <c r="N15" s="2066"/>
      <c r="O15" s="2066"/>
      <c r="P15" s="2066"/>
      <c r="Q15" s="602"/>
      <c r="R15" s="602" t="str">
        <f>PT.shallow_scrape!B102</f>
        <v>Number of scrapes, auto</v>
      </c>
      <c r="S15" s="602"/>
      <c r="T15" s="1987">
        <f>PT.shallow_scrape!H102</f>
        <v>12</v>
      </c>
      <c r="U15" s="1818" t="str">
        <f>PT.shallow_scrape!C102</f>
        <v>quantity/day</v>
      </c>
    </row>
    <row r="16" spans="1:21" ht="20.25" customHeight="1" x14ac:dyDescent="0.3">
      <c r="A16" s="2066"/>
      <c r="B16" s="1577" t="s">
        <v>6165</v>
      </c>
      <c r="C16" s="1811">
        <f>C70</f>
        <v>8.8231643413698126</v>
      </c>
      <c r="D16" s="1806" t="s">
        <v>2385</v>
      </c>
      <c r="E16" s="2066"/>
      <c r="F16" s="2066"/>
      <c r="G16" s="2066"/>
      <c r="H16" s="2066"/>
      <c r="I16" s="2066"/>
      <c r="J16" s="2066"/>
      <c r="K16" s="2066"/>
      <c r="L16" s="2066"/>
      <c r="M16" s="2066"/>
      <c r="N16" s="2066"/>
      <c r="O16" s="2066"/>
      <c r="P16" s="2066"/>
      <c r="Q16" s="602"/>
      <c r="R16" s="602" t="str">
        <f>PT.shallow_scrape!B103</f>
        <v>Alley length, total</v>
      </c>
      <c r="S16" s="602"/>
      <c r="T16" s="1987">
        <f>PT.shallow_scrape!H103</f>
        <v>115</v>
      </c>
      <c r="U16" s="1818" t="str">
        <f>PT.shallow_scrape!C103</f>
        <v>m</v>
      </c>
    </row>
    <row r="17" spans="1:21" x14ac:dyDescent="0.3">
      <c r="A17" s="2066"/>
      <c r="B17" s="1808" t="s">
        <v>5271</v>
      </c>
      <c r="C17" s="1809"/>
      <c r="D17" s="1806"/>
      <c r="E17" s="2066"/>
      <c r="F17" s="2066"/>
      <c r="G17" s="2066"/>
      <c r="H17" s="2066"/>
      <c r="I17" s="2066"/>
      <c r="J17" s="2066"/>
      <c r="K17" s="2066"/>
      <c r="L17" s="2066"/>
      <c r="M17" s="2066"/>
      <c r="N17" s="2066"/>
      <c r="O17" s="2066"/>
      <c r="P17" s="2066"/>
      <c r="Q17" s="49"/>
      <c r="R17" s="602" t="str">
        <f>PT.shallow_scrape!B104</f>
        <v>Auto alley system number of drive units/motors</v>
      </c>
      <c r="S17" s="602"/>
      <c r="T17" s="1987">
        <f>PT.shallow_scrape!H104</f>
        <v>2</v>
      </c>
      <c r="U17" s="1818" t="str">
        <f>PT.shallow_scrape!C104</f>
        <v>quantity</v>
      </c>
    </row>
    <row r="18" spans="1:21" ht="15.6" x14ac:dyDescent="0.3">
      <c r="A18" s="2066"/>
      <c r="B18" s="1577" t="s">
        <v>6782</v>
      </c>
      <c r="C18" s="1812">
        <f>C76+C81</f>
        <v>2.6524037868914601</v>
      </c>
      <c r="D18" s="1806" t="s">
        <v>2385</v>
      </c>
      <c r="E18" s="2066"/>
      <c r="F18" s="2066"/>
      <c r="G18" s="2066"/>
      <c r="H18" s="2066"/>
      <c r="I18" s="2066"/>
      <c r="J18" s="2066"/>
      <c r="K18" s="2066"/>
      <c r="L18" s="2066"/>
      <c r="M18" s="2066"/>
      <c r="N18" s="2066"/>
      <c r="O18" s="2066"/>
      <c r="P18" s="2066"/>
      <c r="Q18" s="49"/>
      <c r="R18" s="602" t="str">
        <f>PT.shallow_scrape!B105</f>
        <v>Number of scraper blades, auto</v>
      </c>
      <c r="S18" s="602"/>
      <c r="T18" s="1987">
        <f>PT.shallow_scrape!H105</f>
        <v>2</v>
      </c>
      <c r="U18" s="1818" t="str">
        <f>PT.shallow_scrape!C105</f>
        <v>quantity</v>
      </c>
    </row>
    <row r="19" spans="1:21" ht="15.6" x14ac:dyDescent="0.3">
      <c r="A19" s="2066"/>
      <c r="B19" s="1577" t="s">
        <v>6783</v>
      </c>
      <c r="C19" s="1812">
        <f>C78+C83</f>
        <v>0.18772133518202908</v>
      </c>
      <c r="D19" s="1806" t="s">
        <v>2385</v>
      </c>
      <c r="E19" s="2066"/>
      <c r="F19" s="2066"/>
      <c r="G19" s="2066"/>
      <c r="H19" s="2066"/>
      <c r="I19" s="2066"/>
      <c r="J19" s="2066"/>
      <c r="K19" s="2066"/>
      <c r="L19" s="2066"/>
      <c r="M19" s="2066"/>
      <c r="N19" s="2066"/>
      <c r="O19" s="2066"/>
      <c r="P19" s="2066"/>
      <c r="Q19" s="49"/>
      <c r="R19" s="602" t="str">
        <f>PT.shallow_scrape!B106</f>
        <v>Auto alley system operation time</v>
      </c>
      <c r="S19" s="602"/>
      <c r="T19" s="1987">
        <f>PT.shallow_scrape!H106</f>
        <v>10.952380952380953</v>
      </c>
      <c r="U19" s="1818" t="str">
        <f>PT.shallow_scrape!C106</f>
        <v>hr/day</v>
      </c>
    </row>
    <row r="20" spans="1:21" ht="15.6" x14ac:dyDescent="0.3">
      <c r="A20" s="2066"/>
      <c r="B20" s="1577" t="s">
        <v>6784</v>
      </c>
      <c r="C20" s="1812">
        <f>C79+C84</f>
        <v>0.31659925193917693</v>
      </c>
      <c r="D20" s="1806" t="s">
        <v>2385</v>
      </c>
      <c r="E20" s="2066"/>
      <c r="F20" s="2066"/>
      <c r="G20" s="2066"/>
      <c r="H20" s="2066"/>
      <c r="I20" s="2066"/>
      <c r="J20" s="2066"/>
      <c r="K20" s="2066"/>
      <c r="L20" s="2066"/>
      <c r="M20" s="2066"/>
      <c r="N20" s="2066"/>
      <c r="O20" s="2066"/>
      <c r="P20" s="2066"/>
      <c r="Q20" s="49"/>
      <c r="R20" s="602" t="str">
        <f>PT.shallow_scrape!B107</f>
        <v>Auto alley system total electricity</v>
      </c>
      <c r="S20" s="602"/>
      <c r="T20" s="1987">
        <f>PT.shallow_scrape!H107</f>
        <v>12.250783578571429</v>
      </c>
      <c r="U20" s="1818" t="str">
        <f>PT.shallow_scrape!C107</f>
        <v>kWh/day</v>
      </c>
    </row>
    <row r="21" spans="1:21" ht="15.6" x14ac:dyDescent="0.3">
      <c r="A21" s="2066"/>
      <c r="B21" s="1577" t="s">
        <v>6785</v>
      </c>
      <c r="C21" s="1812">
        <f>C77+C82</f>
        <v>14.391136745176137</v>
      </c>
      <c r="D21" s="1806" t="s">
        <v>2385</v>
      </c>
      <c r="E21" s="2066"/>
      <c r="F21" s="2066"/>
      <c r="G21" s="2066"/>
      <c r="H21" s="2066"/>
      <c r="I21" s="2066"/>
      <c r="J21" s="2066"/>
      <c r="K21" s="2066"/>
      <c r="L21" s="2066"/>
      <c r="M21" s="2066"/>
      <c r="N21" s="2066"/>
      <c r="O21" s="2066"/>
      <c r="P21" s="2066"/>
      <c r="Q21" s="49"/>
      <c r="R21" s="49"/>
      <c r="S21" s="49"/>
      <c r="T21" s="648"/>
      <c r="U21" s="648"/>
    </row>
    <row r="22" spans="1:21" x14ac:dyDescent="0.3">
      <c r="A22" s="2066"/>
      <c r="B22" s="91" t="s">
        <v>7466</v>
      </c>
      <c r="C22" s="1380">
        <f>C80</f>
        <v>87.689205999999956</v>
      </c>
      <c r="D22" s="1806" t="s">
        <v>2385</v>
      </c>
      <c r="E22" s="2066"/>
      <c r="F22" s="2066"/>
      <c r="G22" s="2066"/>
      <c r="H22" s="2066"/>
      <c r="I22" s="2066"/>
      <c r="J22" s="2066"/>
      <c r="K22" s="2066"/>
      <c r="L22" s="2066"/>
      <c r="M22" s="2066"/>
      <c r="N22" s="2066"/>
      <c r="O22" s="2066"/>
      <c r="P22" s="2066"/>
      <c r="Q22" s="49"/>
      <c r="R22" s="49"/>
      <c r="S22" s="49"/>
      <c r="T22" s="648"/>
      <c r="U22" s="648"/>
    </row>
    <row r="23" spans="1:21" x14ac:dyDescent="0.3">
      <c r="A23" s="2066"/>
      <c r="B23" s="90"/>
      <c r="C23" s="1848"/>
      <c r="D23" s="66"/>
      <c r="E23" s="2066"/>
      <c r="F23" s="2066"/>
      <c r="G23" s="2066"/>
      <c r="H23" s="2066"/>
      <c r="I23" s="2066"/>
      <c r="J23" s="2066"/>
      <c r="K23" s="2066"/>
      <c r="L23" s="2066"/>
      <c r="M23" s="2066"/>
      <c r="N23" s="2066"/>
      <c r="O23" s="2066"/>
      <c r="P23" s="2066"/>
      <c r="Q23" s="49"/>
      <c r="R23" s="49"/>
      <c r="S23" s="49"/>
      <c r="T23" s="648"/>
      <c r="U23" s="648"/>
    </row>
    <row r="24" spans="1:21" x14ac:dyDescent="0.3">
      <c r="A24" s="2066"/>
      <c r="B24" s="1668" t="s">
        <v>6931</v>
      </c>
      <c r="C24" s="1680"/>
      <c r="D24" s="1815"/>
      <c r="E24" s="2066"/>
      <c r="F24" s="2066"/>
      <c r="G24" s="2066"/>
      <c r="H24" s="2066"/>
      <c r="I24" s="2066"/>
      <c r="J24" s="2066"/>
      <c r="K24" s="2066"/>
      <c r="L24" s="2066"/>
      <c r="M24" s="2066"/>
      <c r="N24" s="2066"/>
      <c r="O24" s="2066"/>
      <c r="P24" s="2066"/>
      <c r="Q24" s="49"/>
      <c r="R24" s="49"/>
      <c r="S24" s="49"/>
      <c r="T24" s="648"/>
      <c r="U24" s="648"/>
    </row>
    <row r="25" spans="1:21" x14ac:dyDescent="0.3">
      <c r="A25" s="2066"/>
      <c r="B25" s="510" t="s">
        <v>6932</v>
      </c>
      <c r="C25" s="1378">
        <v>0.21</v>
      </c>
      <c r="D25" s="510" t="s">
        <v>1694</v>
      </c>
      <c r="E25" s="2066"/>
      <c r="F25" s="2066"/>
      <c r="G25" s="2066"/>
      <c r="H25" s="2066"/>
      <c r="I25" s="2066"/>
      <c r="J25" s="2066"/>
      <c r="K25" s="2066"/>
      <c r="L25" s="2066"/>
      <c r="M25" s="2066"/>
      <c r="N25" s="2066"/>
      <c r="O25" s="2066"/>
      <c r="P25" s="2066"/>
      <c r="Q25" s="49"/>
      <c r="R25" s="49"/>
      <c r="S25" s="49"/>
      <c r="T25" s="648"/>
      <c r="U25" s="648"/>
    </row>
    <row r="26" spans="1:21" x14ac:dyDescent="0.3">
      <c r="A26" s="2066"/>
      <c r="B26" s="1813" t="s">
        <v>6933</v>
      </c>
      <c r="C26" s="1414">
        <v>2.1428571399999998</v>
      </c>
      <c r="D26" s="510" t="s">
        <v>6934</v>
      </c>
      <c r="E26" s="2066"/>
      <c r="F26" s="2066"/>
      <c r="G26" s="2066"/>
      <c r="H26" s="2066"/>
      <c r="I26" s="2066"/>
      <c r="J26" s="2066"/>
      <c r="K26" s="2066"/>
      <c r="L26" s="2066"/>
      <c r="M26" s="2066"/>
      <c r="N26" s="2066"/>
      <c r="O26" s="2066"/>
      <c r="P26" s="2066"/>
      <c r="Q26" s="49"/>
      <c r="R26" s="49"/>
      <c r="S26" s="49"/>
      <c r="T26" s="648"/>
      <c r="U26" s="648"/>
    </row>
    <row r="27" spans="1:21" x14ac:dyDescent="0.3">
      <c r="A27" s="2066"/>
      <c r="B27" s="91" t="s">
        <v>6935</v>
      </c>
      <c r="C27" s="1403">
        <f>(C19+C20)*(28/44)</f>
        <v>0.32093128271349469</v>
      </c>
      <c r="D27" s="510" t="s">
        <v>2358</v>
      </c>
      <c r="E27" s="2066"/>
      <c r="F27" s="2066"/>
      <c r="G27" s="2066"/>
      <c r="H27" s="2066"/>
      <c r="I27" s="2066"/>
      <c r="J27" s="2066"/>
      <c r="K27" s="2066"/>
      <c r="L27" s="2066"/>
      <c r="M27" s="2066"/>
      <c r="N27" s="2066"/>
      <c r="O27" s="2066"/>
      <c r="P27" s="2066"/>
      <c r="Q27" s="49"/>
      <c r="R27" s="49"/>
      <c r="S27" s="49"/>
      <c r="T27" s="648"/>
      <c r="U27" s="648"/>
    </row>
    <row r="28" spans="1:21" x14ac:dyDescent="0.3">
      <c r="A28" s="2066"/>
      <c r="B28" s="91" t="s">
        <v>6936</v>
      </c>
      <c r="C28" s="1380">
        <f>C21*(14/17)</f>
        <v>11.851524378380347</v>
      </c>
      <c r="D28" s="510" t="s">
        <v>2358</v>
      </c>
      <c r="E28" s="2066"/>
      <c r="F28" s="2066"/>
      <c r="G28" s="2066"/>
      <c r="H28" s="2066"/>
      <c r="I28" s="2066"/>
      <c r="J28" s="2066"/>
      <c r="K28" s="2066"/>
      <c r="L28" s="2066"/>
      <c r="M28" s="2066"/>
      <c r="N28" s="2066"/>
      <c r="O28" s="2066"/>
      <c r="P28" s="2066"/>
      <c r="Q28" s="49"/>
      <c r="R28" s="49"/>
      <c r="S28" s="49"/>
      <c r="T28" s="648"/>
      <c r="U28" s="648"/>
    </row>
    <row r="29" spans="1:21" x14ac:dyDescent="0.3">
      <c r="A29" s="2066"/>
      <c r="B29" s="91" t="s">
        <v>6937</v>
      </c>
      <c r="C29" s="1404">
        <f>C25*C27*(44/28)/C26</f>
        <v>4.9423417603776082E-2</v>
      </c>
      <c r="D29" s="510" t="s">
        <v>2358</v>
      </c>
      <c r="E29" s="2066"/>
      <c r="F29" s="2066"/>
      <c r="G29" s="2066"/>
      <c r="H29" s="2066"/>
      <c r="I29" s="2066"/>
      <c r="J29" s="2066"/>
      <c r="K29" s="2066"/>
      <c r="L29" s="2066"/>
      <c r="M29" s="2066"/>
      <c r="N29" s="2066"/>
      <c r="O29" s="2066"/>
      <c r="P29" s="2066"/>
      <c r="Q29" s="49"/>
      <c r="R29" s="49"/>
      <c r="S29" s="49"/>
      <c r="T29" s="648"/>
      <c r="U29" s="648"/>
    </row>
    <row r="30" spans="1:21" x14ac:dyDescent="0.3">
      <c r="A30" s="2066"/>
      <c r="B30" s="2024"/>
      <c r="C30" s="1390"/>
      <c r="D30" s="1352"/>
      <c r="E30" s="2066"/>
      <c r="F30" s="2066"/>
      <c r="G30" s="2066"/>
      <c r="H30" s="2066"/>
      <c r="I30" s="2066"/>
      <c r="J30" s="2066"/>
      <c r="K30" s="2066"/>
      <c r="L30" s="2066"/>
      <c r="M30" s="2066"/>
      <c r="N30" s="2066"/>
      <c r="O30" s="2066"/>
      <c r="P30" s="2066"/>
      <c r="Q30" s="49"/>
      <c r="R30" s="49"/>
      <c r="S30" s="49"/>
      <c r="T30" s="648"/>
      <c r="U30" s="648"/>
    </row>
    <row r="31" spans="1:21" x14ac:dyDescent="0.3">
      <c r="A31" s="2066"/>
      <c r="B31" s="1352"/>
      <c r="C31" s="1390"/>
      <c r="D31" s="1352"/>
      <c r="E31" s="2066"/>
      <c r="F31" s="2066"/>
      <c r="G31" s="2066"/>
      <c r="H31" s="2066"/>
      <c r="I31" s="2066"/>
      <c r="J31" s="2066"/>
      <c r="K31" s="2066"/>
      <c r="L31" s="2066"/>
      <c r="M31" s="2066"/>
      <c r="N31" s="2066"/>
      <c r="O31" s="2066"/>
      <c r="P31" s="2066"/>
      <c r="Q31" s="49"/>
      <c r="R31" s="49"/>
      <c r="S31" s="49"/>
      <c r="T31" s="648"/>
      <c r="U31" s="648"/>
    </row>
    <row r="32" spans="1:21" x14ac:dyDescent="0.3">
      <c r="A32" s="2066"/>
      <c r="B32" s="91"/>
      <c r="C32" s="1384"/>
      <c r="D32" s="52"/>
      <c r="E32" s="2066"/>
      <c r="F32" s="2066"/>
      <c r="G32" s="2066"/>
      <c r="H32" s="2066"/>
      <c r="I32" s="2066"/>
      <c r="J32" s="2066"/>
      <c r="K32" s="2066"/>
      <c r="L32" s="2066"/>
      <c r="M32" s="2066"/>
      <c r="N32" s="2066"/>
      <c r="O32" s="2066"/>
      <c r="P32" s="2066"/>
      <c r="Q32" s="49"/>
      <c r="R32" s="49"/>
      <c r="S32" s="49"/>
      <c r="T32" s="648"/>
      <c r="U32" s="648"/>
    </row>
    <row r="33" spans="1:22" x14ac:dyDescent="0.3">
      <c r="A33" s="2066"/>
      <c r="B33" s="1668" t="s">
        <v>409</v>
      </c>
      <c r="C33" s="1680"/>
      <c r="D33" s="1815"/>
      <c r="E33" s="2066"/>
      <c r="F33" s="2066"/>
      <c r="G33" s="2066"/>
      <c r="H33" s="2066"/>
      <c r="I33" s="2066"/>
      <c r="J33" s="2066"/>
      <c r="K33" s="2066"/>
      <c r="L33" s="2066"/>
      <c r="M33" s="2066"/>
      <c r="N33" s="2066"/>
      <c r="O33" s="2066"/>
      <c r="P33" s="2066"/>
      <c r="Q33" s="49"/>
      <c r="R33" s="49"/>
      <c r="S33" s="49"/>
      <c r="T33" s="648"/>
      <c r="U33" s="648"/>
    </row>
    <row r="34" spans="1:22" x14ac:dyDescent="0.3">
      <c r="A34" s="2066"/>
      <c r="B34" s="91" t="str">
        <f>PT.reception_pit!B36</f>
        <v>Electricity used by reception pit pumps</v>
      </c>
      <c r="C34" s="1878">
        <f>PT.reception_pit!N36</f>
        <v>0.27742233217176548</v>
      </c>
      <c r="D34" s="91" t="str">
        <f>PT.reception_pit!C36</f>
        <v>kWh/head/year</v>
      </c>
      <c r="E34" s="2066"/>
      <c r="F34" s="2066"/>
      <c r="G34" s="2066"/>
      <c r="H34" s="2066"/>
      <c r="I34" s="2066"/>
      <c r="J34" s="2066"/>
      <c r="K34" s="2066"/>
      <c r="L34" s="2066"/>
      <c r="M34" s="2066"/>
      <c r="N34" s="2066"/>
      <c r="O34" s="2066"/>
      <c r="P34" s="2066"/>
      <c r="Q34" s="91" t="s">
        <v>5219</v>
      </c>
      <c r="R34" s="1439" t="str">
        <f>PT.reception_pit!B26</f>
        <v>Reception pit constructed size</v>
      </c>
      <c r="S34" s="91"/>
      <c r="T34" s="1439">
        <f>PT.reception_pit!N26</f>
        <v>2893.7344524219843</v>
      </c>
      <c r="U34" s="1465" t="str">
        <f>PT.reception_pit!C26</f>
        <v>L</v>
      </c>
    </row>
    <row r="35" spans="1:22" x14ac:dyDescent="0.3">
      <c r="A35" s="2066"/>
      <c r="B35" s="1353" t="str">
        <f>PT.shallow_scrape!B117</f>
        <v>Electricity for pumping flush water into scrape system</v>
      </c>
      <c r="C35" s="1878">
        <f>PT.shallow_scrape!H117</f>
        <v>0</v>
      </c>
      <c r="D35" s="1353" t="str">
        <f>PT.shallow_scrape!C117</f>
        <v>kWh/head/year</v>
      </c>
      <c r="E35" s="2066"/>
      <c r="F35" s="2066"/>
      <c r="G35" s="2066"/>
      <c r="H35" s="2066"/>
      <c r="I35" s="2066"/>
      <c r="J35" s="2066"/>
      <c r="K35" s="2066"/>
      <c r="L35" s="2066"/>
      <c r="M35" s="2066"/>
      <c r="N35" s="2066"/>
      <c r="O35" s="2066"/>
      <c r="P35" s="2066"/>
      <c r="Q35" s="91"/>
      <c r="R35" s="1439" t="str">
        <f>PT.reception_pit!B27</f>
        <v>Size of motor(s) for agi-pump(s)</v>
      </c>
      <c r="S35" s="91"/>
      <c r="T35" s="1439">
        <f>PT.reception_pit!N27</f>
        <v>15</v>
      </c>
      <c r="U35" s="1465" t="str">
        <f>PT.reception_pit!C27</f>
        <v>hp</v>
      </c>
    </row>
    <row r="36" spans="1:22" x14ac:dyDescent="0.3">
      <c r="A36" s="2066"/>
      <c r="B36" s="1353" t="str">
        <f>PT.shallow_scrape!B118</f>
        <v>Electricity used by auto alley scrape system</v>
      </c>
      <c r="C36" s="1878">
        <f>PT.shallow_scrape!H118</f>
        <v>8.9430720123571419</v>
      </c>
      <c r="D36" s="1353" t="str">
        <f>PT.shallow_scrape!C118</f>
        <v>kWh/head/year</v>
      </c>
      <c r="E36" s="2066"/>
      <c r="F36" s="2066"/>
      <c r="G36" s="2066"/>
      <c r="H36" s="2066"/>
      <c r="I36" s="2066"/>
      <c r="J36" s="2066"/>
      <c r="K36" s="2066"/>
      <c r="L36" s="2066"/>
      <c r="M36" s="2066"/>
      <c r="N36" s="2066"/>
      <c r="O36" s="2066"/>
      <c r="P36" s="2066"/>
      <c r="Q36" s="91"/>
      <c r="R36" s="1439" t="str">
        <f>PT.reception_pit!B28</f>
        <v>Number of agi-pumps needed</v>
      </c>
      <c r="S36" s="91"/>
      <c r="T36" s="1439">
        <f>PT.reception_pit!N28</f>
        <v>1</v>
      </c>
      <c r="U36" s="1465" t="str">
        <f>PT.reception_pit!C28</f>
        <v>pumps</v>
      </c>
      <c r="V36" s="2067"/>
    </row>
    <row r="37" spans="1:22" x14ac:dyDescent="0.3">
      <c r="A37" s="2066"/>
      <c r="B37" s="1353" t="str">
        <f>PT.shallow_scrape!B119</f>
        <v>Electricity used by transfer channel in scrape system</v>
      </c>
      <c r="C37" s="1878">
        <f>PT.shallow_scrape!H119</f>
        <v>0.41604726318357144</v>
      </c>
      <c r="D37" s="1353" t="str">
        <f>PT.shallow_scrape!C119</f>
        <v>kWh/head/year</v>
      </c>
      <c r="E37" s="2066"/>
      <c r="F37" s="2066"/>
      <c r="G37" s="2066"/>
      <c r="H37" s="2066"/>
      <c r="I37" s="2066"/>
      <c r="J37" s="2066"/>
      <c r="K37" s="2066"/>
      <c r="L37" s="2066"/>
      <c r="M37" s="2066"/>
      <c r="N37" s="2066"/>
      <c r="O37" s="2066"/>
      <c r="P37" s="2066"/>
      <c r="Q37" s="91"/>
      <c r="R37" s="1439" t="str">
        <f>PT.reception_pit!B29</f>
        <v>Energy needed for motor for agi-pump</v>
      </c>
      <c r="S37" s="91"/>
      <c r="T37" s="1439">
        <f>PT.reception_pit!N29</f>
        <v>0.38003059201611716</v>
      </c>
      <c r="U37" s="1465" t="str">
        <f>PT.reception_pit!C29</f>
        <v>kWh/day</v>
      </c>
      <c r="V37" s="2067"/>
    </row>
    <row r="38" spans="1:22" x14ac:dyDescent="0.3">
      <c r="A38" s="2066"/>
      <c r="B38" s="49" t="str">
        <f>PT.composting!B265</f>
        <v>Composting machine</v>
      </c>
      <c r="C38" s="1399">
        <f>PT.composting!G265</f>
        <v>47.903759721613731</v>
      </c>
      <c r="D38" s="510" t="str">
        <f>PT.composting!C265</f>
        <v>kWh/head/year</v>
      </c>
      <c r="E38" s="2066"/>
      <c r="F38" s="2066"/>
      <c r="G38" s="2066"/>
      <c r="H38" s="2066"/>
      <c r="I38" s="2066"/>
      <c r="J38" s="2066"/>
      <c r="K38" s="2066"/>
      <c r="L38" s="2066"/>
      <c r="M38" s="2066"/>
      <c r="N38" s="2066"/>
      <c r="O38" s="2066"/>
      <c r="P38" s="2066"/>
      <c r="Q38" s="49" t="s">
        <v>7286</v>
      </c>
      <c r="R38" s="49" t="str">
        <f>PT.composting!B232</f>
        <v>Compost building area</v>
      </c>
      <c r="S38" s="49"/>
      <c r="T38" s="1209">
        <f>PT.composting!G232</f>
        <v>6812.7511739421043</v>
      </c>
      <c r="U38" s="18" t="str">
        <f>PT.composting!C232</f>
        <v>ft2</v>
      </c>
    </row>
    <row r="39" spans="1:22" x14ac:dyDescent="0.3">
      <c r="A39" s="2066"/>
      <c r="C39" s="314"/>
      <c r="D39" s="66"/>
      <c r="E39" s="2066"/>
      <c r="F39" s="2066"/>
      <c r="G39" s="2066"/>
      <c r="H39" s="2066"/>
      <c r="I39" s="2066"/>
      <c r="J39" s="2066"/>
      <c r="K39" s="2066"/>
      <c r="L39" s="2066"/>
      <c r="M39" s="2066"/>
      <c r="N39" s="2066"/>
      <c r="O39" s="2066"/>
      <c r="P39" s="2066"/>
      <c r="Q39" s="49"/>
      <c r="R39" s="49" t="str">
        <f>PT.composting!B233</f>
        <v>Mixing vessel composter, size</v>
      </c>
      <c r="S39" s="49"/>
      <c r="T39" s="1209">
        <f>PT.composting!G233</f>
        <v>20</v>
      </c>
      <c r="U39" s="18" t="str">
        <f>PT.composting!C233</f>
        <v>"9.8 ft width" or "20.0 ft width"</v>
      </c>
    </row>
    <row r="40" spans="1:22" x14ac:dyDescent="0.3">
      <c r="A40" s="2066"/>
      <c r="C40" s="314"/>
      <c r="D40" s="66"/>
      <c r="E40" s="2066"/>
      <c r="F40" s="2066"/>
      <c r="G40" s="2066"/>
      <c r="H40" s="2066"/>
      <c r="I40" s="2066"/>
      <c r="J40" s="2066"/>
      <c r="K40" s="2066"/>
      <c r="L40" s="2066"/>
      <c r="M40" s="2066"/>
      <c r="N40" s="2066"/>
      <c r="O40" s="2066"/>
      <c r="P40" s="2066"/>
      <c r="Q40" s="49"/>
      <c r="R40" s="49" t="str">
        <f>PT.composting!B234</f>
        <v>Mixing vessel composter, quantity</v>
      </c>
      <c r="S40" s="49"/>
      <c r="T40" s="1209">
        <f>PT.composting!G234</f>
        <v>1</v>
      </c>
      <c r="U40" s="18" t="str">
        <f>PT.composting!C234</f>
        <v>quantity</v>
      </c>
    </row>
    <row r="41" spans="1:22" x14ac:dyDescent="0.3">
      <c r="A41" s="2066"/>
      <c r="B41" s="91"/>
      <c r="C41" s="1878"/>
      <c r="D41" s="91"/>
      <c r="E41" s="2066"/>
      <c r="F41" s="2066"/>
      <c r="G41" s="2066"/>
      <c r="H41" s="2066"/>
      <c r="I41" s="2066"/>
      <c r="J41" s="2066"/>
      <c r="K41" s="2066"/>
      <c r="L41" s="2066"/>
      <c r="M41" s="2066"/>
      <c r="N41" s="2066"/>
      <c r="O41" s="2066"/>
      <c r="P41" s="2066"/>
      <c r="Q41" s="49"/>
      <c r="R41" s="49" t="str">
        <f>PT.composting!B235</f>
        <v>Motor, 2 hp, quantity</v>
      </c>
      <c r="S41" s="49"/>
      <c r="T41" s="1209">
        <f>PT.composting!G235</f>
        <v>2</v>
      </c>
      <c r="U41" s="18" t="str">
        <f>PT.composting!C235</f>
        <v>quantity</v>
      </c>
    </row>
    <row r="42" spans="1:22" x14ac:dyDescent="0.3">
      <c r="A42" s="2066"/>
      <c r="B42" s="1668" t="s">
        <v>415</v>
      </c>
      <c r="C42" s="1680"/>
      <c r="D42" s="1815"/>
      <c r="E42" s="2066"/>
      <c r="F42" s="2066"/>
      <c r="G42" s="2066"/>
      <c r="H42" s="2066"/>
      <c r="I42" s="2066"/>
      <c r="J42" s="2066"/>
      <c r="K42" s="2066"/>
      <c r="L42" s="2066"/>
      <c r="M42" s="2066"/>
      <c r="N42" s="2066"/>
      <c r="O42" s="2066"/>
      <c r="P42" s="2066"/>
      <c r="Q42" s="49"/>
      <c r="R42" s="49" t="str">
        <f>PT.composting!B236</f>
        <v>Motor, 10 hp, quantity</v>
      </c>
      <c r="S42" s="49"/>
      <c r="T42" s="1209">
        <f>PT.composting!G236</f>
        <v>1</v>
      </c>
      <c r="U42" s="18" t="str">
        <f>PT.composting!C236</f>
        <v>quantity</v>
      </c>
    </row>
    <row r="43" spans="1:22" x14ac:dyDescent="0.3">
      <c r="A43" s="2066"/>
      <c r="B43" s="1353" t="str">
        <f>PT.shallow_scrape!B121</f>
        <v>Fresh water used by scrape system</v>
      </c>
      <c r="C43" s="1521">
        <f>PT.shallow_scrape!H121</f>
        <v>0</v>
      </c>
      <c r="D43" s="1353" t="str">
        <f>PT.shallow_scrape!C121</f>
        <v>m3/head/year</v>
      </c>
      <c r="E43" s="2066"/>
      <c r="F43" s="2066"/>
      <c r="G43" s="2066"/>
      <c r="H43" s="2066"/>
      <c r="I43" s="2066"/>
      <c r="J43" s="2066"/>
      <c r="K43" s="2066"/>
      <c r="L43" s="2066"/>
      <c r="M43" s="2066"/>
      <c r="N43" s="2066"/>
      <c r="O43" s="2066"/>
      <c r="P43" s="2066"/>
      <c r="Q43" s="91"/>
      <c r="R43" s="49" t="str">
        <f>PT.composting!B237</f>
        <v>Electricity for vessel, total</v>
      </c>
      <c r="S43" s="49"/>
      <c r="T43" s="1209">
        <f>PT.composting!G237</f>
        <v>65.62158865974483</v>
      </c>
      <c r="U43" s="18" t="str">
        <f>PT.composting!C237</f>
        <v>kWh/d</v>
      </c>
    </row>
    <row r="44" spans="1:22" x14ac:dyDescent="0.3">
      <c r="A44" s="2066"/>
      <c r="B44" s="1353"/>
      <c r="C44" s="1390"/>
      <c r="D44" s="1353"/>
      <c r="E44" s="2066"/>
      <c r="F44" s="2066"/>
      <c r="G44" s="2066"/>
      <c r="H44" s="2066"/>
      <c r="I44" s="2066"/>
      <c r="J44" s="2066"/>
      <c r="K44" s="2066"/>
      <c r="L44" s="2066"/>
      <c r="M44" s="2066"/>
      <c r="N44" s="2066"/>
      <c r="O44" s="2066"/>
      <c r="P44" s="2066"/>
      <c r="Q44" s="49"/>
      <c r="R44" s="49" t="str">
        <f>PT.composting!B238</f>
        <v>Tractor to move wood chips/seed compost, store compost, size</v>
      </c>
      <c r="S44" s="49"/>
      <c r="T44" s="1209">
        <f>PT.composting!G238</f>
        <v>94</v>
      </c>
      <c r="U44" s="18" t="str">
        <f>PT.composting!C238</f>
        <v>pto hp</v>
      </c>
    </row>
    <row r="45" spans="1:22" x14ac:dyDescent="0.3">
      <c r="A45" s="2066"/>
      <c r="B45" s="91"/>
      <c r="C45" s="1878"/>
      <c r="D45" s="91"/>
      <c r="E45" s="2066"/>
      <c r="F45" s="2066"/>
      <c r="G45" s="2066"/>
      <c r="H45" s="2066"/>
      <c r="I45" s="2066"/>
      <c r="J45" s="2066"/>
      <c r="K45" s="2066"/>
      <c r="L45" s="2066"/>
      <c r="M45" s="2066"/>
      <c r="N45" s="2066"/>
      <c r="O45" s="2066"/>
      <c r="P45" s="2066"/>
      <c r="Q45" s="49"/>
      <c r="R45" s="49" t="str">
        <f>PT.composting!B239</f>
        <v>Operation time to move wood chips/seed compost, store compost</v>
      </c>
      <c r="S45" s="49"/>
      <c r="T45" s="1209">
        <f>PT.composting!G239</f>
        <v>0.49956288350043065</v>
      </c>
      <c r="U45" s="18" t="str">
        <f>PT.composting!C239</f>
        <v>hr/day</v>
      </c>
    </row>
    <row r="46" spans="1:22" x14ac:dyDescent="0.3">
      <c r="A46" s="2066"/>
      <c r="B46" s="91"/>
      <c r="C46" s="1878"/>
      <c r="D46" s="91"/>
      <c r="E46" s="2066"/>
      <c r="F46" s="2066"/>
      <c r="G46" s="2066"/>
      <c r="H46" s="2066"/>
      <c r="I46" s="2066"/>
      <c r="J46" s="2066"/>
      <c r="K46" s="2066"/>
      <c r="L46" s="2066"/>
      <c r="M46" s="2066"/>
      <c r="N46" s="2066"/>
      <c r="O46" s="2066"/>
      <c r="P46" s="2066"/>
      <c r="Q46" s="49"/>
      <c r="R46" s="49" t="str">
        <f>PT.composting!B240</f>
        <v>Fuel needed to move wood chips/seed compost, store compost</v>
      </c>
      <c r="S46" s="49"/>
      <c r="T46" s="1209">
        <f>PT.composting!G240</f>
        <v>2.8265266010005625</v>
      </c>
      <c r="U46" s="18" t="str">
        <f>PT.composting!C240</f>
        <v>gal/day</v>
      </c>
    </row>
    <row r="47" spans="1:22" x14ac:dyDescent="0.3">
      <c r="A47" s="2066"/>
      <c r="B47" s="1668" t="s">
        <v>447</v>
      </c>
      <c r="C47" s="1680"/>
      <c r="D47" s="1815"/>
      <c r="E47" s="2066"/>
      <c r="F47" s="2066"/>
      <c r="G47" s="2066"/>
      <c r="H47" s="2066"/>
      <c r="I47" s="2066"/>
      <c r="J47" s="2066"/>
      <c r="K47" s="2066"/>
      <c r="L47" s="2066"/>
      <c r="M47" s="2066"/>
      <c r="N47" s="2066"/>
      <c r="O47" s="2066"/>
      <c r="P47" s="2066"/>
      <c r="Q47" s="49"/>
      <c r="R47" s="49" t="str">
        <f>PT.composting!B241</f>
        <v>Amount of fresh wood chips</v>
      </c>
      <c r="S47" s="49"/>
      <c r="T47" s="1209">
        <f>PT.composting!G241</f>
        <v>0.72343361310549603</v>
      </c>
      <c r="U47" s="18" t="str">
        <f>PT.composting!C241</f>
        <v>m3/day</v>
      </c>
    </row>
    <row r="48" spans="1:22" x14ac:dyDescent="0.3">
      <c r="A48" s="2066"/>
      <c r="B48" s="1353" t="str">
        <f>PT.shallow_scrape!B115</f>
        <v>Shallow pit land footprint</v>
      </c>
      <c r="C48" s="1394">
        <f>PT.shallow_scrape!H115</f>
        <v>33.389243681792117</v>
      </c>
      <c r="D48" s="1353" t="str">
        <f>PT.shallow_scrape!C115</f>
        <v>m2</v>
      </c>
      <c r="E48" s="2066"/>
      <c r="F48" s="2066"/>
      <c r="G48" s="2066"/>
      <c r="H48" s="2066"/>
      <c r="I48" s="2066"/>
      <c r="J48" s="2066"/>
      <c r="K48" s="2066"/>
      <c r="L48" s="2066"/>
      <c r="M48" s="2066"/>
      <c r="N48" s="2066"/>
      <c r="O48" s="2066"/>
      <c r="P48" s="2066"/>
      <c r="Q48" s="49"/>
      <c r="R48" s="49"/>
      <c r="S48" s="49"/>
      <c r="T48" s="1209"/>
      <c r="U48" s="18"/>
    </row>
    <row r="49" spans="1:22" x14ac:dyDescent="0.3">
      <c r="A49" s="2066"/>
      <c r="B49" s="91" t="str">
        <f>PT.reception_pit!B38</f>
        <v>Land used by reception pit</v>
      </c>
      <c r="C49" s="1394">
        <f>PT.reception_pit!N38</f>
        <v>0.79128642396007209</v>
      </c>
      <c r="D49" s="91" t="str">
        <f>PT.reception_pit!C38</f>
        <v>m2</v>
      </c>
      <c r="E49" s="2066"/>
      <c r="F49" s="2066"/>
      <c r="G49" s="2066"/>
      <c r="H49" s="2066"/>
      <c r="I49" s="2066"/>
      <c r="J49" s="2066"/>
      <c r="K49" s="2066"/>
      <c r="L49" s="2066"/>
      <c r="M49" s="2066"/>
      <c r="N49" s="2066"/>
      <c r="O49" s="2066"/>
      <c r="P49" s="2066"/>
      <c r="Q49" s="49" t="s">
        <v>7287</v>
      </c>
      <c r="R49" s="49" t="str">
        <f>PT.composting!B243</f>
        <v>Interval to land apply or export compost</v>
      </c>
      <c r="S49" s="49"/>
      <c r="T49" s="1209">
        <f>PT.composting!G243</f>
        <v>90</v>
      </c>
      <c r="U49" s="18" t="str">
        <f>PT.composting!C243</f>
        <v>day</v>
      </c>
    </row>
    <row r="50" spans="1:22" x14ac:dyDescent="0.3">
      <c r="A50" s="2066"/>
      <c r="B50" s="91" t="str">
        <f>PT.composting!B270</f>
        <v>Footprint of composting barn</v>
      </c>
      <c r="C50" s="1394">
        <f>PT.composting!G270</f>
        <v>632.92529580533335</v>
      </c>
      <c r="D50" s="91" t="str">
        <f>PT.composting!C270</f>
        <v>m2</v>
      </c>
      <c r="E50" s="2066"/>
      <c r="F50" s="2066"/>
      <c r="G50" s="2066"/>
      <c r="H50" s="2066"/>
      <c r="I50" s="2066"/>
      <c r="J50" s="2066"/>
      <c r="K50" s="2066"/>
      <c r="L50" s="2066"/>
      <c r="M50" s="2066"/>
      <c r="N50" s="2066"/>
      <c r="O50" s="2066"/>
      <c r="P50" s="2066"/>
      <c r="Q50" s="49"/>
      <c r="R50" s="49" t="str">
        <f>PT.composting!B244</f>
        <v>Tractor with front loader to load compost into box spreader, size</v>
      </c>
      <c r="S50" s="49"/>
      <c r="T50" s="1209">
        <f>PT.composting!G244</f>
        <v>94</v>
      </c>
      <c r="U50" s="18" t="str">
        <f>PT.composting!C244</f>
        <v>pto hp</v>
      </c>
    </row>
    <row r="51" spans="1:22" x14ac:dyDescent="0.3">
      <c r="A51" s="2066"/>
      <c r="B51" s="91" t="str">
        <f>PT.composting!B271</f>
        <v>Land application of compost</v>
      </c>
      <c r="C51" s="1394">
        <f>PT.composting!G271</f>
        <v>116291.71476977831</v>
      </c>
      <c r="D51" s="91" t="str">
        <f>PT.composting!C271</f>
        <v>m3</v>
      </c>
      <c r="E51" s="2066"/>
      <c r="F51" s="2066"/>
      <c r="G51" s="2066"/>
      <c r="H51" s="2066"/>
      <c r="I51" s="2066"/>
      <c r="J51" s="2066"/>
      <c r="K51" s="2066"/>
      <c r="L51" s="2066"/>
      <c r="M51" s="2066"/>
      <c r="N51" s="2066"/>
      <c r="O51" s="2066"/>
      <c r="P51" s="2066"/>
      <c r="Q51" s="49"/>
      <c r="R51" s="49" t="str">
        <f>PT.composting!B245</f>
        <v>Operation time to load compost into box spreader</v>
      </c>
      <c r="S51" s="49"/>
      <c r="T51" s="1209">
        <f>PT.composting!G245</f>
        <v>13.120854098548548</v>
      </c>
      <c r="U51" s="18" t="str">
        <f>PT.composting!C245</f>
        <v>hr/event</v>
      </c>
    </row>
    <row r="52" spans="1:22" x14ac:dyDescent="0.3">
      <c r="A52" s="2066"/>
      <c r="B52" s="91"/>
      <c r="C52" s="1394"/>
      <c r="D52" s="91"/>
      <c r="E52" s="2066"/>
      <c r="F52" s="2066"/>
      <c r="G52" s="2066"/>
      <c r="H52" s="2066"/>
      <c r="I52" s="2066"/>
      <c r="J52" s="2066"/>
      <c r="K52" s="2066"/>
      <c r="L52" s="2066"/>
      <c r="M52" s="2066"/>
      <c r="N52" s="2066"/>
      <c r="O52" s="2066"/>
      <c r="P52" s="2066"/>
      <c r="Q52" s="49"/>
      <c r="R52" s="49" t="str">
        <f>PT.composting!B246</f>
        <v>Fuel needed to load compost into box spreader</v>
      </c>
      <c r="S52" s="49"/>
      <c r="T52" s="1209">
        <f>PT.composting!G246</f>
        <v>54.267852551596796</v>
      </c>
      <c r="U52" s="18" t="str">
        <f>PT.composting!C246</f>
        <v>gal/event</v>
      </c>
    </row>
    <row r="53" spans="1:22" x14ac:dyDescent="0.3">
      <c r="A53" s="2066"/>
      <c r="B53" s="91"/>
      <c r="C53" s="1394"/>
      <c r="D53" s="91"/>
      <c r="E53" s="2066"/>
      <c r="F53" s="2066"/>
      <c r="G53" s="2066"/>
      <c r="H53" s="2066"/>
      <c r="I53" s="2066"/>
      <c r="J53" s="2066"/>
      <c r="K53" s="2066"/>
      <c r="L53" s="2066"/>
      <c r="M53" s="2066"/>
      <c r="N53" s="2066"/>
      <c r="O53" s="2066"/>
      <c r="P53" s="2066"/>
      <c r="Q53" s="91"/>
      <c r="R53" s="49" t="str">
        <f>PT.composting!B247</f>
        <v>Tractor for pulling box spreader, size</v>
      </c>
      <c r="S53" s="49"/>
      <c r="T53" s="1209">
        <f>PT.composting!G247</f>
        <v>85</v>
      </c>
      <c r="U53" s="18" t="str">
        <f>PT.composting!C247</f>
        <v>pto hp</v>
      </c>
    </row>
    <row r="54" spans="1:22" x14ac:dyDescent="0.3">
      <c r="A54" s="2066"/>
      <c r="B54" s="1465"/>
      <c r="C54" s="1379"/>
      <c r="D54" s="1465"/>
      <c r="E54" s="2066"/>
      <c r="F54" s="2066"/>
      <c r="G54" s="2066"/>
      <c r="H54" s="2066"/>
      <c r="I54" s="2066"/>
      <c r="J54" s="2066"/>
      <c r="K54" s="2066"/>
      <c r="L54" s="2066"/>
      <c r="M54" s="2066"/>
      <c r="N54" s="2066"/>
      <c r="O54" s="2066"/>
      <c r="P54" s="2066"/>
      <c r="Q54" s="49"/>
      <c r="R54" s="49" t="str">
        <f>PT.composting!B248</f>
        <v>Tractor to pull box spreader, quantity</v>
      </c>
      <c r="S54" s="49"/>
      <c r="T54" s="1209">
        <f>PT.composting!G248</f>
        <v>0</v>
      </c>
      <c r="U54" s="18" t="str">
        <f>PT.composting!C248</f>
        <v>quantity</v>
      </c>
      <c r="V54" s="2067"/>
    </row>
    <row r="55" spans="1:22" x14ac:dyDescent="0.3">
      <c r="A55" s="2066"/>
      <c r="B55" s="1465"/>
      <c r="C55" s="1379"/>
      <c r="D55" s="1465"/>
      <c r="E55" s="2066"/>
      <c r="F55" s="2066"/>
      <c r="G55" s="2066"/>
      <c r="H55" s="2066"/>
      <c r="I55" s="2066"/>
      <c r="J55" s="2066"/>
      <c r="K55" s="2066"/>
      <c r="L55" s="2066"/>
      <c r="M55" s="2066"/>
      <c r="N55" s="2066"/>
      <c r="O55" s="2066"/>
      <c r="P55" s="2066"/>
      <c r="Q55" s="49"/>
      <c r="R55" s="49" t="str">
        <f>PT.composting!B249</f>
        <v>Box spreader, quantity</v>
      </c>
      <c r="S55" s="49"/>
      <c r="T55" s="1209">
        <f>PT.composting!G249</f>
        <v>0</v>
      </c>
      <c r="U55" s="18" t="str">
        <f>PT.composting!C249</f>
        <v>quantity</v>
      </c>
      <c r="V55" s="2067"/>
    </row>
    <row r="56" spans="1:22" x14ac:dyDescent="0.3">
      <c r="A56" s="2066"/>
      <c r="B56" s="1668" t="s">
        <v>5753</v>
      </c>
      <c r="C56" s="1680"/>
      <c r="D56" s="1815"/>
      <c r="E56" s="2066"/>
      <c r="F56" s="2066"/>
      <c r="G56" s="2066"/>
      <c r="H56" s="2066"/>
      <c r="I56" s="2066"/>
      <c r="J56" s="2066"/>
      <c r="K56" s="2066"/>
      <c r="L56" s="2066"/>
      <c r="M56" s="2066"/>
      <c r="N56" s="2066"/>
      <c r="O56" s="2066"/>
      <c r="P56" s="2066"/>
      <c r="Q56" s="49"/>
      <c r="R56" s="49" t="str">
        <f>PT.composting!B250</f>
        <v>Operation time for tractor with box spreader, compost</v>
      </c>
      <c r="S56" s="49"/>
      <c r="T56" s="1209">
        <f>PT.composting!G250</f>
        <v>4.3277994012866774</v>
      </c>
      <c r="U56" s="18" t="str">
        <f>PT.composting!C250</f>
        <v>hr/event</v>
      </c>
      <c r="V56" s="34"/>
    </row>
    <row r="57" spans="1:22" ht="18" customHeight="1" x14ac:dyDescent="0.3">
      <c r="A57" s="2066"/>
      <c r="B57" s="91" t="str">
        <f>PT.composting!B275</f>
        <v>Adding carbon and recycling compost with front end loader</v>
      </c>
      <c r="C57" s="1878">
        <f>PT.composting!G275</f>
        <v>0.3385942936979971</v>
      </c>
      <c r="D57" s="91" t="str">
        <f>PT.composting!C275</f>
        <v>gal/head/year</v>
      </c>
      <c r="E57" s="2066"/>
      <c r="F57" s="2066"/>
      <c r="G57" s="2066"/>
      <c r="H57" s="2066"/>
      <c r="I57" s="2066"/>
      <c r="J57" s="2066"/>
      <c r="K57" s="2066"/>
      <c r="L57" s="2066"/>
      <c r="M57" s="2066"/>
      <c r="N57" s="2066"/>
      <c r="O57" s="2066"/>
      <c r="P57" s="2066"/>
      <c r="Q57" s="49"/>
      <c r="R57" s="49" t="str">
        <f>PT.composting!B251</f>
        <v>Fuel needed for tractor to pull box spreader</v>
      </c>
      <c r="S57" s="49"/>
      <c r="T57" s="1209">
        <f>PT.composting!G251</f>
        <v>16.185969760812178</v>
      </c>
      <c r="U57" s="18" t="str">
        <f>PT.composting!C251</f>
        <v>gal/event</v>
      </c>
      <c r="V57" s="34"/>
    </row>
    <row r="58" spans="1:22" ht="18" customHeight="1" x14ac:dyDescent="0.3">
      <c r="A58" s="2066"/>
      <c r="B58" s="91" t="str">
        <f>PT.composting!B276</f>
        <v>Loading screening machine with front end loader</v>
      </c>
      <c r="C58" s="1878">
        <f>PT.composting!G276</f>
        <v>0.57561029928659513</v>
      </c>
      <c r="D58" s="91" t="str">
        <f>PT.composting!C276</f>
        <v>gal/head/year</v>
      </c>
      <c r="E58" s="2066"/>
      <c r="F58" s="2066"/>
      <c r="G58" s="2066"/>
      <c r="H58" s="2066"/>
      <c r="I58" s="2066"/>
      <c r="J58" s="2066"/>
      <c r="K58" s="2066"/>
      <c r="L58" s="2066"/>
      <c r="M58" s="2066"/>
      <c r="N58" s="2066"/>
      <c r="O58" s="2066"/>
      <c r="P58" s="2066"/>
      <c r="R58" s="49" t="str">
        <f>PT.composting!B252</f>
        <v>Compost available on-farm or export</v>
      </c>
      <c r="S58" s="49"/>
      <c r="T58" s="1209">
        <f>PT.composting!G252</f>
        <v>46871.842414708546</v>
      </c>
      <c r="U58" s="18" t="str">
        <f>PT.composting!C252</f>
        <v>kg/event</v>
      </c>
    </row>
    <row r="59" spans="1:22" x14ac:dyDescent="0.3">
      <c r="A59" s="2066"/>
      <c r="B59" s="91" t="str">
        <f>PT.composting!B277</f>
        <v>Screening machine operation</v>
      </c>
      <c r="C59" s="1878">
        <f>PT.composting!G277</f>
        <v>1.1491598257458184</v>
      </c>
      <c r="D59" s="91" t="str">
        <f>PT.composting!C277</f>
        <v>gal/head/year</v>
      </c>
      <c r="E59" s="2066"/>
      <c r="F59" s="2066"/>
      <c r="G59" s="2066"/>
      <c r="H59" s="2066"/>
      <c r="I59" s="2066"/>
      <c r="J59" s="2066"/>
      <c r="K59" s="2066"/>
      <c r="L59" s="2066"/>
      <c r="M59" s="2066"/>
      <c r="N59" s="2066"/>
      <c r="O59" s="2066"/>
      <c r="P59" s="2066"/>
      <c r="R59" s="49" t="str">
        <f>PT.composting!B253</f>
        <v>N removed, compost</v>
      </c>
      <c r="S59" s="49"/>
      <c r="T59" s="1209">
        <f>PT.composting!G253</f>
        <v>12.795364433416035</v>
      </c>
      <c r="U59" s="18" t="str">
        <f>PT.composting!C253</f>
        <v>g/kg</v>
      </c>
      <c r="V59" s="2067"/>
    </row>
    <row r="60" spans="1:22" x14ac:dyDescent="0.3">
      <c r="A60" s="2066"/>
      <c r="B60" s="91" t="str">
        <f>PT.composting!B278</f>
        <v>Moving from curing area to box spreader or truck</v>
      </c>
      <c r="C60" s="1878">
        <f>PT.composting!G278</f>
        <v>0.44017258180739621</v>
      </c>
      <c r="D60" s="91" t="str">
        <f>PT.composting!C278</f>
        <v>gal/head/year</v>
      </c>
      <c r="E60" s="2066"/>
      <c r="F60" s="2066"/>
      <c r="G60" s="2066"/>
      <c r="H60" s="2066"/>
      <c r="I60" s="2066"/>
      <c r="J60" s="2066"/>
      <c r="K60" s="2066"/>
      <c r="L60" s="2066"/>
      <c r="M60" s="2066"/>
      <c r="N60" s="2066"/>
      <c r="O60" s="2066"/>
      <c r="P60" s="2066"/>
      <c r="R60" s="49" t="str">
        <f>PT.composting!B254</f>
        <v>P2O5 removed, compost</v>
      </c>
      <c r="S60" s="49"/>
      <c r="T60" s="1209">
        <f>PT.composting!G254</f>
        <v>18.709633083325816</v>
      </c>
      <c r="U60" s="18" t="str">
        <f>PT.composting!C254</f>
        <v>g/kg</v>
      </c>
      <c r="V60" s="34"/>
    </row>
    <row r="61" spans="1:22" x14ac:dyDescent="0.3">
      <c r="A61" s="2066"/>
      <c r="B61" s="91" t="str">
        <f>PT.composting!B279</f>
        <v>Application of compost</v>
      </c>
      <c r="C61" s="1878">
        <f>PT.composting!G279</f>
        <v>0.14441481908813528</v>
      </c>
      <c r="D61" s="91" t="str">
        <f>PT.composting!C279</f>
        <v>gal/head/year</v>
      </c>
      <c r="E61" s="2066"/>
      <c r="F61" s="2066"/>
      <c r="G61" s="2066"/>
      <c r="H61" s="2066"/>
      <c r="I61" s="2066"/>
      <c r="J61" s="2066"/>
      <c r="K61" s="2066"/>
      <c r="L61" s="2066"/>
      <c r="M61" s="2066"/>
      <c r="N61" s="2066"/>
      <c r="O61" s="2066"/>
      <c r="P61" s="2066"/>
      <c r="R61" s="49" t="str">
        <f>PT.composting!B255</f>
        <v>K2O removed, compost</v>
      </c>
      <c r="S61" s="49"/>
      <c r="T61" s="1209">
        <f>PT.composting!G255</f>
        <v>23.207694163498104</v>
      </c>
      <c r="U61" s="18" t="str">
        <f>PT.composting!C255</f>
        <v>g/kg</v>
      </c>
      <c r="V61" s="34"/>
    </row>
    <row r="62" spans="1:22" x14ac:dyDescent="0.3">
      <c r="A62" s="2066"/>
      <c r="B62" s="91" t="s">
        <v>7288</v>
      </c>
      <c r="C62" s="1380">
        <f>SUM(C57:C61)</f>
        <v>2.6479518196259422</v>
      </c>
      <c r="D62" s="1465" t="s">
        <v>2497</v>
      </c>
      <c r="E62" s="2066"/>
      <c r="F62" s="2066"/>
      <c r="G62" s="2066"/>
      <c r="H62" s="2066"/>
      <c r="I62" s="2066"/>
      <c r="J62" s="2066"/>
      <c r="K62" s="2066"/>
      <c r="L62" s="2066"/>
      <c r="M62" s="2066"/>
      <c r="N62" s="2066"/>
      <c r="O62" s="2066"/>
      <c r="P62" s="2066"/>
      <c r="R62" s="49" t="str">
        <f>PT.composting!B256</f>
        <v>Excess amount, compost</v>
      </c>
      <c r="S62" s="49"/>
      <c r="T62" s="1209">
        <f>PT.composting!G256</f>
        <v>0</v>
      </c>
      <c r="U62" s="18" t="str">
        <f>PT.composting!C256</f>
        <v>ton/year</v>
      </c>
      <c r="V62" s="2067"/>
    </row>
    <row r="63" spans="1:22" x14ac:dyDescent="0.3">
      <c r="A63" s="2066"/>
      <c r="B63" s="1668"/>
      <c r="C63" s="1680"/>
      <c r="D63" s="1815"/>
      <c r="E63" s="2066"/>
      <c r="F63" s="2066"/>
      <c r="G63" s="2066"/>
      <c r="H63" s="2066"/>
      <c r="I63" s="2066"/>
      <c r="J63" s="2066"/>
      <c r="K63" s="2066"/>
      <c r="L63" s="2066"/>
      <c r="M63" s="2066"/>
      <c r="N63" s="2066"/>
      <c r="O63" s="2066"/>
      <c r="P63" s="2066"/>
      <c r="R63" s="49" t="str">
        <f>PT.composting!B257</f>
        <v>Fertilizer value for on-farm use, compost</v>
      </c>
      <c r="S63" s="49"/>
      <c r="T63" s="1209">
        <f>PT.composting!G257</f>
        <v>4519.4376184626626</v>
      </c>
      <c r="U63" s="18" t="str">
        <f>PT.composting!C257</f>
        <v>$/year</v>
      </c>
      <c r="V63" s="34"/>
    </row>
    <row r="64" spans="1:22" ht="26.25" customHeight="1" x14ac:dyDescent="0.3">
      <c r="A64" s="2066"/>
      <c r="B64" s="91"/>
      <c r="C64" s="1878"/>
      <c r="D64" s="91"/>
      <c r="E64" s="2066"/>
      <c r="F64" s="2066"/>
      <c r="G64" s="2066"/>
      <c r="H64" s="2066"/>
      <c r="I64" s="2066"/>
      <c r="J64" s="2066"/>
      <c r="K64" s="2066"/>
      <c r="L64" s="2066"/>
      <c r="M64" s="2066"/>
      <c r="N64" s="2066"/>
      <c r="O64" s="2066"/>
      <c r="P64" s="2066"/>
      <c r="R64" s="49"/>
      <c r="S64" s="49"/>
      <c r="T64" s="1209"/>
      <c r="U64" s="9"/>
    </row>
    <row r="65" spans="1:21" ht="20.25" customHeight="1" x14ac:dyDescent="0.3">
      <c r="A65" s="2066"/>
      <c r="B65" s="91"/>
      <c r="C65" s="1878"/>
      <c r="D65" s="91"/>
      <c r="E65" s="2066"/>
      <c r="F65" s="2066"/>
      <c r="G65" s="2066"/>
      <c r="H65" s="2066"/>
      <c r="I65" s="2066"/>
      <c r="J65" s="2066"/>
      <c r="K65" s="2066"/>
      <c r="L65" s="2066"/>
      <c r="M65" s="2066"/>
      <c r="N65" s="2066"/>
      <c r="O65" s="2066"/>
      <c r="P65" s="2066"/>
      <c r="R65" s="49"/>
      <c r="S65" s="49"/>
      <c r="T65" s="1209"/>
      <c r="U65" s="9"/>
    </row>
    <row r="66" spans="1:21" x14ac:dyDescent="0.3">
      <c r="A66" s="2066"/>
      <c r="B66" s="91"/>
      <c r="C66" s="1878"/>
      <c r="D66" s="91"/>
      <c r="E66" s="2066"/>
      <c r="F66" s="2066"/>
      <c r="G66" s="2066"/>
      <c r="H66" s="2066"/>
      <c r="I66" s="2066"/>
      <c r="J66" s="2066"/>
      <c r="K66" s="2066"/>
      <c r="L66" s="2066"/>
      <c r="M66" s="2066"/>
      <c r="N66" s="2066"/>
      <c r="O66" s="2066"/>
      <c r="P66" s="2066"/>
      <c r="R66" s="49"/>
      <c r="S66" s="49"/>
      <c r="T66" s="1209"/>
      <c r="U66" s="9"/>
    </row>
    <row r="67" spans="1:21" x14ac:dyDescent="0.3">
      <c r="A67" s="2066"/>
      <c r="B67" s="1668" t="s">
        <v>6162</v>
      </c>
      <c r="C67" s="1680"/>
      <c r="D67" s="1815"/>
      <c r="E67" s="2066"/>
      <c r="F67" s="2066"/>
      <c r="G67" s="2066"/>
      <c r="H67" s="2066"/>
      <c r="I67" s="2066"/>
      <c r="J67" s="2066"/>
      <c r="K67" s="2066"/>
      <c r="L67" s="2066"/>
      <c r="M67" s="2066"/>
      <c r="N67" s="2066"/>
      <c r="O67" s="2066"/>
      <c r="P67" s="2066"/>
    </row>
    <row r="68" spans="1:21" x14ac:dyDescent="0.3">
      <c r="A68" s="2066"/>
      <c r="B68" s="91" t="s">
        <v>6733</v>
      </c>
      <c r="C68" s="1878">
        <f>PT.composting!G288</f>
        <v>4.8645764809032244</v>
      </c>
      <c r="D68" s="91" t="str">
        <f>PT.composting!C288</f>
        <v>kg/head/year</v>
      </c>
      <c r="E68" s="2066"/>
      <c r="F68" s="2066"/>
      <c r="G68" s="2066"/>
      <c r="H68" s="2066"/>
      <c r="I68" s="2066"/>
      <c r="J68" s="2066"/>
      <c r="K68" s="2066"/>
      <c r="L68" s="2066"/>
      <c r="M68" s="2066"/>
      <c r="N68" s="2066"/>
      <c r="O68" s="2066"/>
      <c r="P68" s="2066"/>
      <c r="Q68" s="49" t="s">
        <v>5925</v>
      </c>
      <c r="R68" s="18" t="s">
        <v>5724</v>
      </c>
      <c r="S68" s="49"/>
      <c r="T68" s="1360">
        <f>PT.shallow_scrape!H16</f>
        <v>60.768423500861658</v>
      </c>
      <c r="U68" s="49" t="s">
        <v>2479</v>
      </c>
    </row>
    <row r="69" spans="1:21" x14ac:dyDescent="0.3">
      <c r="A69" s="2066"/>
      <c r="B69" s="91" t="s">
        <v>6734</v>
      </c>
      <c r="C69" s="1878">
        <f>PT.composting!G289</f>
        <v>7.1130792356163557</v>
      </c>
      <c r="D69" s="91" t="str">
        <f>PT.composting!C289</f>
        <v>kg/head/year</v>
      </c>
      <c r="E69" s="2066"/>
      <c r="F69" s="2066"/>
      <c r="G69" s="2066"/>
      <c r="H69" s="2066"/>
      <c r="I69" s="2066"/>
      <c r="J69" s="2066"/>
      <c r="K69" s="2066"/>
      <c r="L69" s="2066"/>
      <c r="M69" s="2066"/>
      <c r="N69" s="2066"/>
      <c r="O69" s="2066"/>
      <c r="P69" s="2066"/>
    </row>
    <row r="70" spans="1:21" x14ac:dyDescent="0.3">
      <c r="A70" s="2066"/>
      <c r="B70" s="91" t="s">
        <v>6735</v>
      </c>
      <c r="C70" s="1878">
        <f>PT.composting!G290</f>
        <v>8.8231643413698126</v>
      </c>
      <c r="D70" s="91" t="str">
        <f>PT.composting!C290</f>
        <v>kg/head/year</v>
      </c>
      <c r="E70" s="2066"/>
      <c r="F70" s="2066"/>
      <c r="G70" s="2066"/>
      <c r="H70" s="2066"/>
      <c r="I70" s="2066"/>
      <c r="J70" s="2066"/>
      <c r="K70" s="2066"/>
      <c r="L70" s="2066"/>
      <c r="M70" s="2066"/>
      <c r="N70" s="2066"/>
      <c r="O70" s="2066"/>
      <c r="P70" s="2066"/>
    </row>
    <row r="71" spans="1:21" x14ac:dyDescent="0.3">
      <c r="A71" s="2066"/>
      <c r="B71" s="2068" t="s">
        <v>6166</v>
      </c>
      <c r="C71" s="2070"/>
      <c r="D71" s="2069"/>
      <c r="E71" s="2066"/>
      <c r="F71" s="2066"/>
      <c r="G71" s="2066"/>
      <c r="H71" s="2066"/>
      <c r="I71" s="2066"/>
      <c r="J71" s="2066"/>
      <c r="K71" s="2066"/>
      <c r="L71" s="2066"/>
      <c r="M71" s="2066"/>
      <c r="N71" s="2066"/>
      <c r="O71" s="2066"/>
      <c r="P71" s="2066"/>
    </row>
    <row r="72" spans="1:21" x14ac:dyDescent="0.3">
      <c r="A72" s="2066"/>
      <c r="B72" s="91" t="s">
        <v>6167</v>
      </c>
      <c r="C72" s="1878">
        <f>PT.composting!G292</f>
        <v>0</v>
      </c>
      <c r="D72" s="91" t="str">
        <f>PT.composting!C292</f>
        <v>kg/head/year</v>
      </c>
      <c r="E72" s="2066"/>
      <c r="F72" s="2066"/>
      <c r="G72" s="2066"/>
      <c r="H72" s="2066"/>
      <c r="I72" s="2066"/>
      <c r="J72" s="2066"/>
      <c r="K72" s="2066"/>
      <c r="L72" s="2066"/>
      <c r="M72" s="2066"/>
      <c r="N72" s="2066"/>
      <c r="O72" s="2066"/>
      <c r="P72" s="2066"/>
    </row>
    <row r="73" spans="1:21" x14ac:dyDescent="0.3">
      <c r="A73" s="2066"/>
      <c r="B73" s="91" t="s">
        <v>6168</v>
      </c>
      <c r="C73" s="1878">
        <f>PT.composting!G293</f>
        <v>5.4539682424140326</v>
      </c>
      <c r="D73" s="91" t="str">
        <f>PT.composting!C293</f>
        <v>kg/head/year</v>
      </c>
      <c r="E73" s="2066"/>
      <c r="F73" s="2066"/>
      <c r="G73" s="2066"/>
      <c r="H73" s="2066"/>
      <c r="I73" s="2066"/>
      <c r="J73" s="2066"/>
      <c r="K73" s="2066"/>
      <c r="L73" s="2066"/>
      <c r="M73" s="2066"/>
      <c r="N73" s="2066"/>
      <c r="O73" s="2066"/>
      <c r="P73" s="2066"/>
    </row>
    <row r="74" spans="1:21" x14ac:dyDescent="0.3">
      <c r="A74" s="2066"/>
      <c r="B74" s="91" t="s">
        <v>6169</v>
      </c>
      <c r="C74" s="1878">
        <f>PT.composting!G294</f>
        <v>6.6902346535891679</v>
      </c>
      <c r="D74" s="91" t="str">
        <f>PT.composting!C294</f>
        <v>kg/head/year</v>
      </c>
      <c r="E74" s="2066"/>
      <c r="F74" s="2066"/>
      <c r="G74" s="2066"/>
      <c r="H74" s="2066"/>
      <c r="I74" s="2066"/>
      <c r="J74" s="2066"/>
      <c r="K74" s="2066"/>
      <c r="L74" s="2066"/>
      <c r="M74" s="2066"/>
      <c r="N74" s="2066"/>
      <c r="O74" s="2066"/>
      <c r="P74" s="2066"/>
    </row>
    <row r="75" spans="1:21" x14ac:dyDescent="0.3">
      <c r="A75" s="2066"/>
      <c r="B75" s="1668" t="s">
        <v>5271</v>
      </c>
      <c r="C75" s="2070"/>
      <c r="D75" s="2069"/>
      <c r="E75" s="2066"/>
      <c r="F75" s="2066"/>
      <c r="G75" s="2066"/>
      <c r="H75" s="2066"/>
      <c r="I75" s="2066"/>
      <c r="J75" s="2066"/>
      <c r="K75" s="2066"/>
      <c r="L75" s="2066"/>
      <c r="M75" s="2066"/>
      <c r="N75" s="2066"/>
      <c r="O75" s="2066"/>
      <c r="P75" s="2066"/>
    </row>
    <row r="76" spans="1:21" x14ac:dyDescent="0.3">
      <c r="A76" s="2066"/>
      <c r="B76" s="91" t="str">
        <f>PT.composting!B296</f>
        <v>CH4 from compost</v>
      </c>
      <c r="C76" s="1878">
        <f>PT.composting!G296</f>
        <v>0.25632632320799992</v>
      </c>
      <c r="D76" s="91" t="str">
        <f>PT.composting!C296</f>
        <v>kg/head/year</v>
      </c>
      <c r="E76" s="2066"/>
      <c r="F76" s="2066"/>
      <c r="G76" s="2066"/>
      <c r="H76" s="2066"/>
      <c r="I76" s="2066"/>
      <c r="J76" s="2066"/>
      <c r="K76" s="2066"/>
      <c r="L76" s="2066"/>
      <c r="M76" s="2066"/>
      <c r="N76" s="2066"/>
      <c r="O76" s="2066"/>
      <c r="P76" s="2066"/>
    </row>
    <row r="77" spans="1:21" x14ac:dyDescent="0.3">
      <c r="A77" s="2066"/>
      <c r="B77" s="91" t="str">
        <f>PT.composting!B297</f>
        <v>NH3 from compost</v>
      </c>
      <c r="C77" s="1878">
        <f>PT.composting!G297</f>
        <v>10.595071045176137</v>
      </c>
      <c r="D77" s="91" t="str">
        <f>PT.composting!C297</f>
        <v>kg/head/year</v>
      </c>
      <c r="E77" s="2066"/>
      <c r="F77" s="2066"/>
      <c r="G77" s="2066"/>
      <c r="H77" s="2066"/>
      <c r="I77" s="2066"/>
      <c r="J77" s="2066"/>
      <c r="K77" s="2066"/>
      <c r="L77" s="2066"/>
      <c r="M77" s="2066"/>
      <c r="N77" s="2066"/>
      <c r="O77" s="2066"/>
      <c r="P77" s="2066"/>
    </row>
    <row r="78" spans="1:21" x14ac:dyDescent="0.3">
      <c r="A78" s="2066"/>
      <c r="B78" s="91" t="str">
        <f>PT.composting!B298</f>
        <v>Direct N2O from compost</v>
      </c>
      <c r="C78" s="1878">
        <f>PT.composting!G298</f>
        <v>0.12806995877222907</v>
      </c>
      <c r="D78" s="91" t="str">
        <f>PT.composting!C298</f>
        <v>kg/head/year</v>
      </c>
      <c r="E78" s="2066"/>
      <c r="F78" s="2066"/>
      <c r="G78" s="2066"/>
      <c r="H78" s="2066"/>
      <c r="I78" s="2066"/>
      <c r="J78" s="2066"/>
      <c r="K78" s="2066"/>
      <c r="L78" s="2066"/>
      <c r="M78" s="2066"/>
      <c r="N78" s="2066"/>
      <c r="O78" s="2066"/>
      <c r="P78" s="2066"/>
    </row>
    <row r="79" spans="1:21" x14ac:dyDescent="0.3">
      <c r="A79" s="2066"/>
      <c r="B79" s="91" t="str">
        <f>PT.composting!B299</f>
        <v>Indirect N2O from compost</v>
      </c>
      <c r="C79" s="1878">
        <f>PT.composting!G299</f>
        <v>0.23308732496545692</v>
      </c>
      <c r="D79" s="91" t="str">
        <f>PT.composting!C299</f>
        <v>kg/head/year</v>
      </c>
      <c r="E79" s="2066"/>
      <c r="F79" s="2066"/>
      <c r="G79" s="2066"/>
      <c r="H79" s="2066"/>
      <c r="I79" s="2066"/>
      <c r="J79" s="2066"/>
      <c r="K79" s="2066"/>
      <c r="L79" s="2066"/>
      <c r="M79" s="2066"/>
      <c r="N79" s="2066"/>
      <c r="O79" s="2066"/>
      <c r="P79" s="2066"/>
    </row>
    <row r="80" spans="1:21" x14ac:dyDescent="0.3">
      <c r="A80" s="2066"/>
      <c r="B80" s="91" t="str">
        <f>PT.composting!B300</f>
        <v>CO2 from compost</v>
      </c>
      <c r="C80" s="1878">
        <f>PT.composting!G300</f>
        <v>87.689205999999956</v>
      </c>
      <c r="D80" s="91" t="str">
        <f>PT.composting!C300</f>
        <v>kg/head/year</v>
      </c>
      <c r="E80" s="2066"/>
      <c r="F80" s="2066"/>
      <c r="G80" s="2066"/>
      <c r="H80" s="2066"/>
      <c r="I80" s="2066"/>
      <c r="J80" s="2066"/>
      <c r="K80" s="2066"/>
      <c r="L80" s="2066"/>
      <c r="M80" s="2066"/>
      <c r="N80" s="2066"/>
      <c r="O80" s="2066"/>
      <c r="P80" s="2066"/>
    </row>
    <row r="81" spans="1:16" x14ac:dyDescent="0.3">
      <c r="A81" s="2066"/>
      <c r="B81" s="91" t="str">
        <f>PT.shallow_scrape!B123</f>
        <v>CH4 from shallow scrape</v>
      </c>
      <c r="C81" s="2324">
        <f>PT.shallow_scrape!H123</f>
        <v>2.3960774636834601</v>
      </c>
      <c r="D81" s="91" t="str">
        <f>PT.shallow_scrape!C123</f>
        <v>kg/head/year</v>
      </c>
      <c r="E81" s="2066"/>
      <c r="F81" s="2066"/>
      <c r="G81" s="2066"/>
      <c r="H81" s="2066"/>
      <c r="I81" s="2066"/>
      <c r="J81" s="2066"/>
      <c r="K81" s="2066"/>
      <c r="L81" s="2066"/>
      <c r="M81" s="2066"/>
      <c r="N81" s="2066"/>
      <c r="O81" s="2066"/>
      <c r="P81" s="2066"/>
    </row>
    <row r="82" spans="1:16" x14ac:dyDescent="0.3">
      <c r="A82" s="2066"/>
      <c r="B82" s="91" t="str">
        <f>PT.shallow_scrape!B124</f>
        <v>NH3 from shallow scrape</v>
      </c>
      <c r="C82" s="2324">
        <f>PT.shallow_scrape!H124</f>
        <v>3.7960656999999998</v>
      </c>
      <c r="D82" s="91" t="str">
        <f>PT.shallow_scrape!C124</f>
        <v>kg/head/year</v>
      </c>
      <c r="E82" s="2066"/>
      <c r="F82" s="2066"/>
      <c r="G82" s="2066"/>
      <c r="H82" s="2066"/>
      <c r="I82" s="2066"/>
      <c r="J82" s="2066"/>
      <c r="K82" s="2066"/>
      <c r="L82" s="2066"/>
      <c r="M82" s="2066"/>
      <c r="N82" s="2066"/>
      <c r="O82" s="2066"/>
      <c r="P82" s="2066"/>
    </row>
    <row r="83" spans="1:16" x14ac:dyDescent="0.3">
      <c r="A83" s="2066"/>
      <c r="B83" s="91" t="str">
        <f>PT.shallow_scrape!B125</f>
        <v>Direct N2O from shallow scrape</v>
      </c>
      <c r="C83" s="2324">
        <f>PT.shallow_scrape!H125</f>
        <v>5.9651376409799999E-2</v>
      </c>
      <c r="D83" s="91" t="str">
        <f>PT.shallow_scrape!C125</f>
        <v>kg/head/year</v>
      </c>
      <c r="E83" s="2066"/>
      <c r="F83" s="2066"/>
      <c r="G83" s="2066"/>
      <c r="H83" s="2066"/>
      <c r="I83" s="2066"/>
      <c r="J83" s="2066"/>
      <c r="K83" s="2066"/>
      <c r="L83" s="2066"/>
      <c r="M83" s="2066"/>
      <c r="N83" s="2066"/>
      <c r="O83" s="2066"/>
      <c r="P83" s="2066"/>
    </row>
    <row r="84" spans="1:16" x14ac:dyDescent="0.3">
      <c r="A84" s="2066"/>
      <c r="B84" s="91" t="str">
        <f>PT.shallow_scrape!B126</f>
        <v>Indirect N2O from shallow scrape</v>
      </c>
      <c r="C84" s="2324">
        <f>PT.shallow_scrape!H126</f>
        <v>8.3511926973719994E-2</v>
      </c>
      <c r="D84" s="91" t="str">
        <f>PT.shallow_scrape!C126</f>
        <v>kg/head/year</v>
      </c>
      <c r="E84" s="2066"/>
      <c r="F84" s="2066"/>
      <c r="G84" s="2066"/>
      <c r="H84" s="2066"/>
      <c r="I84" s="2066"/>
      <c r="J84" s="2066"/>
      <c r="K84" s="2066"/>
      <c r="L84" s="2066"/>
      <c r="M84" s="2066"/>
      <c r="N84" s="2066"/>
      <c r="O84" s="2066"/>
      <c r="P84" s="2066"/>
    </row>
    <row r="85" spans="1:16" x14ac:dyDescent="0.3">
      <c r="A85" s="2066"/>
      <c r="B85" s="2066"/>
      <c r="C85" s="2066"/>
      <c r="D85" s="2066"/>
      <c r="E85" s="2066"/>
      <c r="F85" s="2066"/>
      <c r="G85" s="2066"/>
      <c r="H85" s="2066"/>
      <c r="I85" s="2066"/>
      <c r="J85" s="2066"/>
      <c r="K85" s="2066"/>
      <c r="L85" s="2066"/>
      <c r="M85" s="2066"/>
      <c r="N85" s="2066"/>
      <c r="O85" s="2066"/>
      <c r="P85" s="2066"/>
    </row>
    <row r="86" spans="1:16" x14ac:dyDescent="0.3">
      <c r="A86" s="2066"/>
      <c r="B86" s="2066"/>
      <c r="C86" s="2066"/>
      <c r="D86" s="2066"/>
      <c r="E86" s="2066"/>
      <c r="F86" s="2066"/>
      <c r="G86" s="2066"/>
      <c r="H86" s="2066"/>
      <c r="I86" s="2066"/>
      <c r="J86" s="2066"/>
      <c r="K86" s="2066"/>
      <c r="L86" s="2066"/>
      <c r="M86" s="2066"/>
      <c r="N86" s="2066"/>
      <c r="O86" s="2066"/>
      <c r="P86" s="2066"/>
    </row>
    <row r="87" spans="1:16" x14ac:dyDescent="0.3">
      <c r="A87" s="2066"/>
      <c r="B87" s="2066"/>
      <c r="C87" s="2066"/>
      <c r="D87" s="2066"/>
      <c r="E87" s="2066"/>
      <c r="F87" s="2066"/>
      <c r="G87" s="2066"/>
      <c r="H87" s="2066"/>
      <c r="I87" s="2066"/>
      <c r="J87" s="2066"/>
      <c r="K87" s="2066"/>
      <c r="L87" s="2066"/>
      <c r="M87" s="2066"/>
      <c r="N87" s="2066"/>
      <c r="O87" s="2066"/>
      <c r="P87" s="2066"/>
    </row>
    <row r="88" spans="1:16" x14ac:dyDescent="0.3">
      <c r="A88" s="2066"/>
      <c r="B88" s="2066"/>
      <c r="C88" s="2066"/>
      <c r="D88" s="2066"/>
      <c r="E88" s="2066"/>
      <c r="F88" s="2066"/>
      <c r="G88" s="2066"/>
      <c r="H88" s="2066"/>
      <c r="I88" s="2066"/>
      <c r="J88" s="2066"/>
      <c r="K88" s="2066"/>
      <c r="L88" s="2066"/>
      <c r="M88" s="2066"/>
      <c r="N88" s="2066"/>
      <c r="O88" s="2066"/>
      <c r="P88" s="2066"/>
    </row>
    <row r="89" spans="1:16" x14ac:dyDescent="0.3">
      <c r="A89" s="2066"/>
      <c r="B89" s="2066"/>
      <c r="C89" s="2066"/>
      <c r="D89" s="2066"/>
      <c r="E89" s="2066"/>
      <c r="F89" s="2066"/>
      <c r="G89" s="2066"/>
      <c r="H89" s="2066"/>
      <c r="I89" s="2066"/>
      <c r="J89" s="2066"/>
      <c r="K89" s="2066"/>
      <c r="L89" s="2066"/>
      <c r="M89" s="2066"/>
      <c r="N89" s="2066"/>
      <c r="O89" s="2066"/>
      <c r="P89" s="2066"/>
    </row>
    <row r="90" spans="1:16" x14ac:dyDescent="0.3">
      <c r="A90" s="2066"/>
      <c r="B90" s="2066"/>
      <c r="C90" s="2066"/>
      <c r="D90" s="2066"/>
      <c r="E90" s="2066"/>
      <c r="F90" s="2066"/>
      <c r="G90" s="2066"/>
      <c r="H90" s="2066"/>
      <c r="I90" s="2066"/>
      <c r="J90" s="2066"/>
      <c r="K90" s="2066"/>
      <c r="L90" s="2066"/>
      <c r="M90" s="2066"/>
      <c r="N90" s="2066"/>
      <c r="O90" s="2066"/>
      <c r="P90" s="2066"/>
    </row>
    <row r="91" spans="1:16" x14ac:dyDescent="0.3">
      <c r="A91" s="2066"/>
      <c r="B91" s="2066"/>
      <c r="C91" s="2066"/>
      <c r="D91" s="2066"/>
      <c r="E91" s="2066"/>
      <c r="F91" s="2066"/>
      <c r="G91" s="2066"/>
      <c r="H91" s="2066"/>
      <c r="I91" s="2066"/>
      <c r="J91" s="2066"/>
      <c r="K91" s="2066"/>
      <c r="L91" s="2066"/>
      <c r="M91" s="2066"/>
      <c r="N91" s="2066"/>
      <c r="O91" s="2066"/>
      <c r="P91" s="2066"/>
    </row>
    <row r="92" spans="1:16" x14ac:dyDescent="0.3">
      <c r="A92" s="2066"/>
      <c r="B92" s="2066"/>
      <c r="C92" s="2066"/>
      <c r="D92" s="2066"/>
      <c r="E92" s="2066"/>
      <c r="F92" s="2066"/>
      <c r="G92" s="2066"/>
      <c r="H92" s="2066"/>
      <c r="I92" s="2066"/>
      <c r="J92" s="2066"/>
      <c r="K92" s="2066"/>
      <c r="L92" s="2066"/>
      <c r="M92" s="2066"/>
      <c r="N92" s="2066"/>
      <c r="O92" s="2066"/>
      <c r="P92" s="2066"/>
    </row>
    <row r="93" spans="1:16" x14ac:dyDescent="0.3">
      <c r="A93" s="2066"/>
      <c r="B93" s="2066"/>
      <c r="C93" s="2066"/>
      <c r="D93" s="2066"/>
      <c r="E93" s="2066"/>
      <c r="F93" s="2066"/>
      <c r="G93" s="2066"/>
      <c r="H93" s="2066"/>
      <c r="I93" s="2066"/>
      <c r="J93" s="2066"/>
      <c r="K93" s="2066"/>
      <c r="L93" s="2066"/>
      <c r="M93" s="2066"/>
      <c r="N93" s="2066"/>
      <c r="O93" s="2066"/>
      <c r="P93" s="2066"/>
    </row>
    <row r="94" spans="1:16" x14ac:dyDescent="0.3">
      <c r="A94" s="2066"/>
      <c r="B94" s="2066"/>
      <c r="C94" s="2066"/>
      <c r="D94" s="2066"/>
      <c r="E94" s="2066"/>
      <c r="F94" s="2066"/>
      <c r="G94" s="2066"/>
      <c r="H94" s="2066"/>
      <c r="I94" s="2066"/>
      <c r="J94" s="2066"/>
      <c r="K94" s="2066"/>
      <c r="L94" s="2066"/>
      <c r="M94" s="2066"/>
      <c r="N94" s="2066"/>
      <c r="O94" s="2066"/>
      <c r="P94" s="2066"/>
    </row>
    <row r="95" spans="1:16" x14ac:dyDescent="0.3">
      <c r="A95" s="2066"/>
      <c r="B95" s="2066"/>
      <c r="C95" s="2066"/>
      <c r="D95" s="2066"/>
      <c r="E95" s="2066"/>
      <c r="F95" s="2066"/>
      <c r="G95" s="2066"/>
      <c r="H95" s="2066"/>
      <c r="I95" s="2066"/>
      <c r="J95" s="2066"/>
      <c r="K95" s="2066"/>
      <c r="L95" s="2066"/>
      <c r="M95" s="2066"/>
      <c r="N95" s="2066"/>
      <c r="O95" s="2066"/>
      <c r="P95" s="2066"/>
    </row>
    <row r="96" spans="1:16" x14ac:dyDescent="0.3">
      <c r="A96" s="2066"/>
      <c r="B96" s="2066"/>
      <c r="C96" s="2066"/>
      <c r="D96" s="2066"/>
      <c r="E96" s="2066"/>
      <c r="F96" s="2066"/>
      <c r="G96" s="2066"/>
      <c r="H96" s="2066"/>
      <c r="I96" s="2066"/>
      <c r="J96" s="2066"/>
      <c r="K96" s="2066"/>
      <c r="L96" s="2066"/>
      <c r="M96" s="2066"/>
      <c r="N96" s="2066"/>
      <c r="O96" s="2066"/>
      <c r="P96" s="2066"/>
    </row>
    <row r="97" spans="1:16" x14ac:dyDescent="0.3">
      <c r="A97" s="2066"/>
      <c r="B97" s="2066"/>
      <c r="C97" s="2066"/>
      <c r="D97" s="2066"/>
      <c r="E97" s="2066"/>
      <c r="F97" s="2066"/>
      <c r="G97" s="2066"/>
      <c r="H97" s="2066"/>
      <c r="I97" s="2066"/>
      <c r="J97" s="2066"/>
      <c r="K97" s="2066"/>
      <c r="L97" s="2066"/>
      <c r="M97" s="2066"/>
      <c r="N97" s="2066"/>
      <c r="O97" s="2066"/>
      <c r="P97" s="2066"/>
    </row>
    <row r="98" spans="1:16" x14ac:dyDescent="0.3">
      <c r="A98" s="2066"/>
      <c r="B98" s="2066"/>
      <c r="C98" s="2066"/>
      <c r="D98" s="2066"/>
      <c r="E98" s="2066"/>
      <c r="F98" s="2066"/>
      <c r="G98" s="2066"/>
      <c r="H98" s="2066"/>
      <c r="I98" s="2066"/>
      <c r="J98" s="2066"/>
      <c r="K98" s="2066"/>
      <c r="L98" s="2066"/>
      <c r="M98" s="2066"/>
      <c r="N98" s="2066"/>
      <c r="O98" s="2066"/>
      <c r="P98" s="2066"/>
    </row>
    <row r="99" spans="1:16" x14ac:dyDescent="0.3">
      <c r="A99" s="2066"/>
      <c r="B99" s="2066"/>
      <c r="C99" s="2066"/>
      <c r="D99" s="2066"/>
      <c r="E99" s="2066"/>
      <c r="F99" s="2066"/>
      <c r="G99" s="2066"/>
      <c r="H99" s="2066"/>
      <c r="I99" s="2066"/>
      <c r="J99" s="2066"/>
      <c r="K99" s="2066"/>
      <c r="L99" s="2066"/>
      <c r="M99" s="2066"/>
      <c r="N99" s="2066"/>
      <c r="O99" s="2066"/>
      <c r="P99" s="2066"/>
    </row>
    <row r="100" spans="1:16" x14ac:dyDescent="0.3">
      <c r="A100" s="2066"/>
      <c r="B100" s="2066"/>
      <c r="C100" s="2066"/>
      <c r="D100" s="2066"/>
      <c r="E100" s="2066"/>
      <c r="F100" s="2066"/>
      <c r="G100" s="2066"/>
      <c r="H100" s="2066"/>
      <c r="I100" s="2066"/>
      <c r="J100" s="2066"/>
      <c r="K100" s="2066"/>
      <c r="L100" s="2066"/>
      <c r="M100" s="2066"/>
      <c r="N100" s="2066"/>
      <c r="O100" s="2066"/>
      <c r="P100" s="2066"/>
    </row>
    <row r="101" spans="1:16" x14ac:dyDescent="0.3">
      <c r="A101" s="2066"/>
      <c r="B101" s="2066"/>
      <c r="C101" s="2066"/>
      <c r="D101" s="2066"/>
      <c r="E101" s="2066"/>
      <c r="F101" s="2066"/>
      <c r="G101" s="2066"/>
      <c r="H101" s="2066"/>
      <c r="I101" s="2066"/>
      <c r="J101" s="2066"/>
      <c r="K101" s="2066"/>
      <c r="L101" s="2066"/>
      <c r="M101" s="2066"/>
      <c r="N101" s="2066"/>
      <c r="O101" s="2066"/>
      <c r="P101" s="2066"/>
    </row>
    <row r="102" spans="1:16" x14ac:dyDescent="0.3">
      <c r="A102" s="2066"/>
      <c r="B102" s="2066"/>
      <c r="C102" s="2066"/>
      <c r="D102" s="2066"/>
      <c r="E102" s="2066"/>
      <c r="F102" s="2066"/>
      <c r="G102" s="2066"/>
      <c r="H102" s="2066"/>
      <c r="I102" s="2066"/>
      <c r="J102" s="2066"/>
      <c r="K102" s="2066"/>
      <c r="L102" s="2066"/>
      <c r="M102" s="2066"/>
      <c r="N102" s="2066"/>
      <c r="O102" s="2066"/>
      <c r="P102" s="2066"/>
    </row>
    <row r="103" spans="1:16" x14ac:dyDescent="0.3">
      <c r="A103" s="2066"/>
      <c r="B103" s="2066"/>
      <c r="C103" s="2066"/>
      <c r="D103" s="2066"/>
      <c r="E103" s="2066"/>
      <c r="F103" s="2066"/>
      <c r="G103" s="2066"/>
      <c r="H103" s="2066"/>
      <c r="I103" s="2066"/>
      <c r="J103" s="2066"/>
      <c r="K103" s="2066"/>
      <c r="L103" s="2066"/>
      <c r="M103" s="2066"/>
      <c r="N103" s="2066"/>
      <c r="O103" s="2066"/>
      <c r="P103" s="2066"/>
    </row>
    <row r="104" spans="1:16" x14ac:dyDescent="0.3">
      <c r="A104" s="2066"/>
      <c r="B104" s="2066"/>
      <c r="C104" s="2066"/>
      <c r="D104" s="2066"/>
      <c r="E104" s="2066"/>
      <c r="F104" s="2066"/>
      <c r="G104" s="2066"/>
      <c r="H104" s="2066"/>
      <c r="I104" s="2066"/>
      <c r="J104" s="2066"/>
      <c r="K104" s="2066"/>
      <c r="L104" s="2066"/>
      <c r="M104" s="2066"/>
      <c r="N104" s="2066"/>
      <c r="O104" s="2066"/>
      <c r="P104" s="2066"/>
    </row>
    <row r="105" spans="1:16" x14ac:dyDescent="0.3">
      <c r="A105" s="2066"/>
      <c r="B105" s="2066"/>
      <c r="C105" s="2066"/>
      <c r="D105" s="2066"/>
      <c r="E105" s="2066"/>
      <c r="F105" s="2066"/>
      <c r="G105" s="2066"/>
      <c r="H105" s="2066"/>
      <c r="I105" s="2066"/>
      <c r="J105" s="2066"/>
      <c r="K105" s="2066"/>
      <c r="L105" s="2066"/>
      <c r="M105" s="2066"/>
      <c r="N105" s="2066"/>
      <c r="O105" s="2066"/>
      <c r="P105" s="2066"/>
    </row>
    <row r="106" spans="1:16" x14ac:dyDescent="0.3">
      <c r="A106" s="2066"/>
      <c r="B106" s="2066"/>
      <c r="C106" s="2066"/>
      <c r="D106" s="2066"/>
      <c r="E106" s="2066"/>
      <c r="F106" s="2066"/>
      <c r="G106" s="2066"/>
      <c r="H106" s="2066"/>
      <c r="I106" s="2066"/>
      <c r="J106" s="2066"/>
      <c r="K106" s="2066"/>
      <c r="L106" s="2066"/>
      <c r="M106" s="2066"/>
      <c r="N106" s="2066"/>
      <c r="O106" s="2066"/>
      <c r="P106" s="2066"/>
    </row>
    <row r="107" spans="1:16" x14ac:dyDescent="0.3">
      <c r="A107" s="2066"/>
      <c r="B107" s="2066"/>
      <c r="C107" s="2066"/>
      <c r="D107" s="2066"/>
      <c r="E107" s="2066"/>
      <c r="F107" s="2066"/>
      <c r="G107" s="2066"/>
      <c r="H107" s="2066"/>
      <c r="I107" s="2066"/>
      <c r="J107" s="2066"/>
      <c r="K107" s="2066"/>
      <c r="L107" s="2066"/>
      <c r="M107" s="2066"/>
      <c r="N107" s="2066"/>
      <c r="O107" s="2066"/>
      <c r="P107" s="2066"/>
    </row>
    <row r="108" spans="1:16" x14ac:dyDescent="0.3">
      <c r="A108" s="2066"/>
      <c r="B108" s="2066"/>
      <c r="C108" s="2066"/>
      <c r="D108" s="2066"/>
      <c r="E108" s="2066"/>
      <c r="F108" s="2066"/>
      <c r="G108" s="2066"/>
      <c r="H108" s="2066"/>
      <c r="I108" s="2066"/>
      <c r="J108" s="2066"/>
      <c r="K108" s="2066"/>
      <c r="L108" s="2066"/>
      <c r="M108" s="2066"/>
      <c r="N108" s="2066"/>
      <c r="O108" s="2066"/>
      <c r="P108" s="2066"/>
    </row>
    <row r="109" spans="1:16" x14ac:dyDescent="0.3">
      <c r="A109" s="2066"/>
      <c r="B109" s="2066"/>
      <c r="C109" s="2066"/>
      <c r="D109" s="2066"/>
      <c r="E109" s="2066"/>
      <c r="F109" s="2066"/>
      <c r="G109" s="2066"/>
      <c r="H109" s="2066"/>
      <c r="I109" s="2066"/>
      <c r="J109" s="2066"/>
      <c r="K109" s="2066"/>
      <c r="L109" s="2066"/>
      <c r="M109" s="2066"/>
      <c r="N109" s="2066"/>
      <c r="O109" s="2066"/>
      <c r="P109" s="2066"/>
    </row>
    <row r="110" spans="1:16" x14ac:dyDescent="0.3">
      <c r="A110" s="2066"/>
      <c r="B110" s="2066"/>
      <c r="C110" s="2066"/>
      <c r="D110" s="2066"/>
      <c r="E110" s="2066"/>
      <c r="F110" s="2066"/>
      <c r="G110" s="2066"/>
      <c r="H110" s="2066"/>
      <c r="I110" s="2066"/>
      <c r="J110" s="2066"/>
      <c r="K110" s="2066"/>
      <c r="L110" s="2066"/>
      <c r="M110" s="2066"/>
      <c r="N110" s="2066"/>
      <c r="O110" s="2066"/>
      <c r="P110" s="2066"/>
    </row>
    <row r="111" spans="1:16" x14ac:dyDescent="0.3">
      <c r="A111" s="2066"/>
      <c r="B111" s="2066"/>
      <c r="C111" s="2066"/>
      <c r="D111" s="2066"/>
      <c r="E111" s="2066"/>
      <c r="F111" s="2066"/>
      <c r="G111" s="2066"/>
      <c r="H111" s="2066"/>
      <c r="I111" s="2066"/>
      <c r="J111" s="2066"/>
      <c r="K111" s="2066"/>
      <c r="L111" s="2066"/>
      <c r="M111" s="2066"/>
      <c r="N111" s="2066"/>
      <c r="O111" s="2066"/>
      <c r="P111" s="2066"/>
    </row>
    <row r="112" spans="1:16" x14ac:dyDescent="0.3">
      <c r="A112" s="2066"/>
      <c r="B112" s="2066"/>
      <c r="C112" s="2066"/>
      <c r="D112" s="2066"/>
      <c r="E112" s="2066"/>
      <c r="F112" s="2066"/>
      <c r="G112" s="2066"/>
      <c r="H112" s="2066"/>
      <c r="I112" s="2066"/>
      <c r="J112" s="2066"/>
      <c r="K112" s="2066"/>
      <c r="L112" s="2066"/>
      <c r="M112" s="2066"/>
      <c r="N112" s="2066"/>
      <c r="O112" s="2066"/>
      <c r="P112" s="2066"/>
    </row>
    <row r="113" spans="1:16" x14ac:dyDescent="0.3">
      <c r="A113" s="2066"/>
      <c r="B113" s="2066"/>
      <c r="C113" s="2066"/>
      <c r="D113" s="2066"/>
      <c r="E113" s="2066"/>
      <c r="F113" s="2066"/>
      <c r="G113" s="2066"/>
      <c r="H113" s="2066"/>
      <c r="I113" s="2066"/>
      <c r="J113" s="2066"/>
      <c r="K113" s="2066"/>
      <c r="L113" s="2066"/>
      <c r="M113" s="2066"/>
      <c r="N113" s="2066"/>
      <c r="O113" s="2066"/>
      <c r="P113" s="2066"/>
    </row>
    <row r="114" spans="1:16" x14ac:dyDescent="0.3">
      <c r="A114" s="2066"/>
      <c r="B114" s="2066"/>
      <c r="C114" s="2066"/>
      <c r="D114" s="2066"/>
      <c r="E114" s="2066"/>
      <c r="F114" s="2066"/>
      <c r="G114" s="2066"/>
      <c r="H114" s="2066"/>
      <c r="I114" s="2066"/>
      <c r="J114" s="2066"/>
      <c r="K114" s="2066"/>
      <c r="L114" s="2066"/>
      <c r="M114" s="2066"/>
      <c r="N114" s="2066"/>
      <c r="O114" s="2066"/>
      <c r="P114" s="2066"/>
    </row>
    <row r="115" spans="1:16" x14ac:dyDescent="0.3">
      <c r="A115" s="2066"/>
      <c r="B115" s="2066"/>
      <c r="C115" s="2066"/>
      <c r="D115" s="2066"/>
      <c r="E115" s="2066"/>
      <c r="F115" s="2066"/>
      <c r="G115" s="2066"/>
      <c r="H115" s="2066"/>
      <c r="I115" s="2066"/>
      <c r="J115" s="2066"/>
      <c r="K115" s="2066"/>
      <c r="L115" s="2066"/>
      <c r="M115" s="2066"/>
      <c r="N115" s="2066"/>
      <c r="O115" s="2066"/>
      <c r="P115" s="2066"/>
    </row>
    <row r="116" spans="1:16" x14ac:dyDescent="0.3">
      <c r="A116" s="2066"/>
      <c r="B116" s="2066"/>
      <c r="C116" s="2066"/>
      <c r="D116" s="2066"/>
      <c r="E116" s="2066"/>
      <c r="F116" s="2066"/>
      <c r="G116" s="2066"/>
      <c r="H116" s="2066"/>
      <c r="I116" s="2066"/>
      <c r="J116" s="2066"/>
      <c r="K116" s="2066"/>
      <c r="L116" s="2066"/>
      <c r="M116" s="2066"/>
      <c r="N116" s="2066"/>
      <c r="O116" s="2066"/>
      <c r="P116" s="2066"/>
    </row>
    <row r="117" spans="1:16" x14ac:dyDescent="0.3">
      <c r="A117" s="2066"/>
      <c r="B117" s="2066"/>
      <c r="C117" s="2066"/>
      <c r="D117" s="2066"/>
      <c r="E117" s="2066"/>
      <c r="F117" s="2066"/>
      <c r="G117" s="2066"/>
      <c r="H117" s="2066"/>
      <c r="I117" s="2066"/>
      <c r="J117" s="2066"/>
      <c r="K117" s="2066"/>
      <c r="L117" s="2066"/>
      <c r="M117" s="2066"/>
      <c r="N117" s="2066"/>
      <c r="O117" s="2066"/>
      <c r="P117" s="2066"/>
    </row>
    <row r="118" spans="1:16" x14ac:dyDescent="0.3">
      <c r="A118" s="2066"/>
      <c r="B118" s="2066"/>
      <c r="C118" s="2066"/>
      <c r="D118" s="2066"/>
      <c r="E118" s="2066"/>
      <c r="F118" s="2066"/>
      <c r="G118" s="2066"/>
      <c r="H118" s="2066"/>
      <c r="I118" s="2066"/>
      <c r="J118" s="2066"/>
      <c r="K118" s="2066"/>
      <c r="L118" s="2066"/>
      <c r="M118" s="2066"/>
      <c r="N118" s="2066"/>
      <c r="O118" s="2066"/>
      <c r="P118" s="2066"/>
    </row>
    <row r="119" spans="1:16" x14ac:dyDescent="0.3">
      <c r="A119" s="2066"/>
      <c r="B119" s="2066"/>
      <c r="C119" s="2066"/>
      <c r="D119" s="2066"/>
      <c r="E119" s="2066"/>
      <c r="F119" s="2066"/>
      <c r="G119" s="2066"/>
      <c r="H119" s="2066"/>
      <c r="I119" s="2066"/>
      <c r="J119" s="2066"/>
      <c r="K119" s="2066"/>
      <c r="L119" s="2066"/>
      <c r="M119" s="2066"/>
      <c r="N119" s="2066"/>
      <c r="O119" s="2066"/>
      <c r="P119" s="2066"/>
    </row>
    <row r="120" spans="1:16" x14ac:dyDescent="0.3">
      <c r="A120" s="2066"/>
      <c r="B120" s="2066"/>
      <c r="C120" s="2066"/>
      <c r="D120" s="2066"/>
      <c r="E120" s="2066"/>
      <c r="F120" s="2066"/>
      <c r="G120" s="2066"/>
      <c r="H120" s="2066"/>
      <c r="I120" s="2066"/>
      <c r="J120" s="2066"/>
      <c r="K120" s="2066"/>
      <c r="L120" s="2066"/>
      <c r="M120" s="2066"/>
      <c r="N120" s="2066"/>
      <c r="O120" s="2066"/>
      <c r="P120" s="2066"/>
    </row>
    <row r="121" spans="1:16" x14ac:dyDescent="0.3">
      <c r="A121" s="2066"/>
      <c r="B121" s="2066"/>
      <c r="C121" s="2066"/>
      <c r="D121" s="2066"/>
      <c r="E121" s="2066"/>
      <c r="F121" s="2066"/>
      <c r="G121" s="2066"/>
      <c r="H121" s="2066"/>
      <c r="I121" s="2066"/>
      <c r="J121" s="2066"/>
      <c r="K121" s="2066"/>
      <c r="L121" s="2066"/>
      <c r="M121" s="2066"/>
      <c r="N121" s="2066"/>
      <c r="O121" s="2066"/>
      <c r="P121" s="2066"/>
    </row>
    <row r="122" spans="1:16" x14ac:dyDescent="0.3">
      <c r="A122" s="2066"/>
      <c r="B122" s="2066"/>
      <c r="C122" s="2066"/>
      <c r="D122" s="2066"/>
      <c r="E122" s="2066"/>
      <c r="F122" s="2066"/>
      <c r="G122" s="2066"/>
      <c r="H122" s="2066"/>
      <c r="I122" s="2066"/>
      <c r="J122" s="2066"/>
      <c r="K122" s="2066"/>
      <c r="L122" s="2066"/>
      <c r="M122" s="2066"/>
      <c r="N122" s="2066"/>
      <c r="O122" s="2066"/>
      <c r="P122" s="2066"/>
    </row>
    <row r="123" spans="1:16" x14ac:dyDescent="0.3">
      <c r="A123" s="2066"/>
      <c r="B123" s="2066"/>
      <c r="C123" s="2066"/>
      <c r="D123" s="2066"/>
      <c r="E123" s="2066"/>
      <c r="F123" s="2066"/>
      <c r="G123" s="2066"/>
      <c r="H123" s="2066"/>
      <c r="I123" s="2066"/>
      <c r="J123" s="2066"/>
      <c r="K123" s="2066"/>
      <c r="L123" s="2066"/>
      <c r="M123" s="2066"/>
      <c r="N123" s="2066"/>
      <c r="O123" s="2066"/>
      <c r="P123" s="2066"/>
    </row>
    <row r="124" spans="1:16" x14ac:dyDescent="0.3">
      <c r="A124" s="2066"/>
      <c r="B124" s="2066"/>
      <c r="C124" s="2066"/>
      <c r="D124" s="2066"/>
      <c r="E124" s="2066"/>
      <c r="F124" s="2066"/>
      <c r="G124" s="2066"/>
      <c r="H124" s="2066"/>
      <c r="I124" s="2066"/>
      <c r="J124" s="2066"/>
      <c r="K124" s="2066"/>
      <c r="L124" s="2066"/>
      <c r="M124" s="2066"/>
      <c r="N124" s="2066"/>
      <c r="O124" s="2066"/>
      <c r="P124" s="2066"/>
    </row>
    <row r="125" spans="1:16" x14ac:dyDescent="0.3">
      <c r="A125" s="2066"/>
      <c r="B125" s="2066"/>
      <c r="C125" s="2066"/>
      <c r="D125" s="2066"/>
      <c r="E125" s="2066"/>
      <c r="F125" s="2066"/>
      <c r="G125" s="2066"/>
      <c r="H125" s="2066"/>
      <c r="I125" s="2066"/>
      <c r="J125" s="2066"/>
      <c r="K125" s="2066"/>
      <c r="L125" s="2066"/>
      <c r="M125" s="2066"/>
      <c r="N125" s="2066"/>
      <c r="O125" s="2066"/>
      <c r="P125" s="2066"/>
    </row>
    <row r="126" spans="1:16" x14ac:dyDescent="0.3">
      <c r="A126" s="2066"/>
      <c r="B126" s="2066"/>
      <c r="C126" s="2066"/>
      <c r="D126" s="2066"/>
      <c r="E126" s="2066"/>
      <c r="F126" s="2066"/>
      <c r="G126" s="2066"/>
      <c r="H126" s="2066"/>
      <c r="I126" s="2066"/>
      <c r="J126" s="2066"/>
      <c r="K126" s="2066"/>
      <c r="L126" s="2066"/>
      <c r="M126" s="2066"/>
      <c r="N126" s="2066"/>
      <c r="O126" s="2066"/>
      <c r="P126" s="2066"/>
    </row>
    <row r="127" spans="1:16" x14ac:dyDescent="0.3">
      <c r="A127" s="2066"/>
      <c r="B127" s="2066"/>
      <c r="C127" s="2066"/>
      <c r="D127" s="2066"/>
      <c r="E127" s="2066"/>
      <c r="F127" s="2066"/>
      <c r="G127" s="2066"/>
      <c r="H127" s="2066"/>
      <c r="I127" s="2066"/>
      <c r="J127" s="2066"/>
      <c r="K127" s="2066"/>
      <c r="L127" s="2066"/>
      <c r="M127" s="2066"/>
      <c r="N127" s="2066"/>
      <c r="O127" s="2066"/>
      <c r="P127" s="2066"/>
    </row>
    <row r="128" spans="1:16" x14ac:dyDescent="0.3">
      <c r="A128" s="2066"/>
      <c r="B128" s="2066"/>
      <c r="C128" s="2066"/>
      <c r="D128" s="2066"/>
      <c r="E128" s="2066"/>
      <c r="F128" s="2066"/>
      <c r="G128" s="2066"/>
      <c r="H128" s="2066"/>
      <c r="I128" s="2066"/>
      <c r="J128" s="2066"/>
      <c r="K128" s="2066"/>
      <c r="L128" s="2066"/>
      <c r="M128" s="2066"/>
      <c r="N128" s="2066"/>
      <c r="O128" s="2066"/>
      <c r="P128" s="2066"/>
    </row>
    <row r="129" spans="1:16" x14ac:dyDescent="0.3">
      <c r="A129" s="2066"/>
      <c r="B129" s="2066"/>
      <c r="C129" s="2066"/>
      <c r="D129" s="2066"/>
      <c r="E129" s="2066"/>
      <c r="F129" s="2066"/>
      <c r="G129" s="2066"/>
      <c r="H129" s="2066"/>
      <c r="I129" s="2066"/>
      <c r="J129" s="2066"/>
      <c r="K129" s="2066"/>
      <c r="L129" s="2066"/>
      <c r="M129" s="2066"/>
      <c r="N129" s="2066"/>
      <c r="O129" s="2066"/>
      <c r="P129" s="2066"/>
    </row>
    <row r="130" spans="1:16" x14ac:dyDescent="0.3">
      <c r="A130" s="2066"/>
      <c r="B130" s="2066"/>
      <c r="C130" s="2066"/>
      <c r="D130" s="2066"/>
      <c r="E130" s="2066"/>
      <c r="F130" s="2066"/>
      <c r="G130" s="2066"/>
      <c r="H130" s="2066"/>
      <c r="I130" s="2066"/>
      <c r="J130" s="2066"/>
      <c r="K130" s="2066"/>
      <c r="L130" s="2066"/>
      <c r="M130" s="2066"/>
      <c r="N130" s="2066"/>
      <c r="O130" s="2066"/>
      <c r="P130" s="2066"/>
    </row>
    <row r="131" spans="1:16" x14ac:dyDescent="0.3">
      <c r="A131" s="2066"/>
      <c r="B131" s="2066"/>
      <c r="C131" s="2066"/>
      <c r="D131" s="2066"/>
      <c r="E131" s="2066"/>
      <c r="F131" s="2066"/>
      <c r="G131" s="2066"/>
      <c r="H131" s="2066"/>
      <c r="I131" s="2066"/>
      <c r="J131" s="2066"/>
      <c r="K131" s="2066"/>
      <c r="L131" s="2066"/>
      <c r="M131" s="2066"/>
      <c r="N131" s="2066"/>
      <c r="O131" s="2066"/>
      <c r="P131" s="2066"/>
    </row>
    <row r="132" spans="1:16" x14ac:dyDescent="0.3">
      <c r="A132" s="2066"/>
      <c r="B132" s="2066"/>
      <c r="C132" s="2066"/>
      <c r="D132" s="2066"/>
      <c r="E132" s="2066"/>
      <c r="F132" s="2066"/>
      <c r="G132" s="2066"/>
      <c r="H132" s="2066"/>
      <c r="I132" s="2066"/>
      <c r="J132" s="2066"/>
      <c r="K132" s="2066"/>
      <c r="L132" s="2066"/>
      <c r="M132" s="2066"/>
      <c r="N132" s="2066"/>
      <c r="O132" s="2066"/>
      <c r="P132" s="2066"/>
    </row>
    <row r="133" spans="1:16" x14ac:dyDescent="0.3">
      <c r="A133" s="2066"/>
      <c r="B133" s="2066"/>
      <c r="C133" s="2066"/>
      <c r="D133" s="2066"/>
      <c r="E133" s="2066"/>
      <c r="F133" s="2066"/>
      <c r="G133" s="2066"/>
      <c r="H133" s="2066"/>
      <c r="I133" s="2066"/>
      <c r="J133" s="2066"/>
      <c r="K133" s="2066"/>
      <c r="L133" s="2066"/>
      <c r="M133" s="2066"/>
      <c r="N133" s="2066"/>
      <c r="O133" s="2066"/>
      <c r="P133" s="2066"/>
    </row>
    <row r="134" spans="1:16" x14ac:dyDescent="0.3">
      <c r="A134" s="2066"/>
      <c r="B134" s="2066"/>
      <c r="C134" s="2066"/>
      <c r="D134" s="2066"/>
      <c r="E134" s="2066"/>
      <c r="F134" s="2066"/>
      <c r="G134" s="2066"/>
      <c r="H134" s="2066"/>
      <c r="I134" s="2066"/>
      <c r="J134" s="2066"/>
      <c r="K134" s="2066"/>
      <c r="L134" s="2066"/>
      <c r="M134" s="2066"/>
      <c r="N134" s="2066"/>
      <c r="O134" s="2066"/>
      <c r="P134" s="2066"/>
    </row>
    <row r="135" spans="1:16" x14ac:dyDescent="0.3">
      <c r="A135" s="2066"/>
      <c r="B135" s="2066"/>
      <c r="C135" s="2066"/>
      <c r="D135" s="2066"/>
      <c r="E135" s="2066"/>
      <c r="F135" s="2066"/>
      <c r="G135" s="2066"/>
      <c r="H135" s="2066"/>
      <c r="I135" s="2066"/>
      <c r="J135" s="2066"/>
      <c r="K135" s="2066"/>
      <c r="L135" s="2066"/>
      <c r="M135" s="2066"/>
      <c r="N135" s="2066"/>
      <c r="O135" s="2066"/>
      <c r="P135" s="2066"/>
    </row>
    <row r="136" spans="1:16" x14ac:dyDescent="0.3">
      <c r="A136" s="2066"/>
      <c r="B136" s="2066"/>
      <c r="C136" s="2066"/>
      <c r="D136" s="2066"/>
      <c r="E136" s="2066"/>
      <c r="F136" s="2066"/>
      <c r="G136" s="2066"/>
      <c r="H136" s="2066"/>
      <c r="I136" s="2066"/>
      <c r="J136" s="2066"/>
      <c r="K136" s="2066"/>
      <c r="L136" s="2066"/>
      <c r="M136" s="2066"/>
      <c r="N136" s="2066"/>
      <c r="O136" s="2066"/>
      <c r="P136" s="2066"/>
    </row>
    <row r="137" spans="1:16" x14ac:dyDescent="0.3">
      <c r="A137" s="2066"/>
      <c r="B137" s="2066"/>
      <c r="C137" s="2066"/>
      <c r="D137" s="2066"/>
      <c r="E137" s="2066"/>
      <c r="F137" s="2066"/>
      <c r="G137" s="2066"/>
      <c r="H137" s="2066"/>
      <c r="I137" s="2066"/>
      <c r="J137" s="2066"/>
      <c r="K137" s="2066"/>
      <c r="L137" s="2066"/>
      <c r="M137" s="2066"/>
      <c r="N137" s="2066"/>
      <c r="O137" s="2066"/>
      <c r="P137" s="2066"/>
    </row>
    <row r="138" spans="1:16" x14ac:dyDescent="0.3">
      <c r="A138" s="2066"/>
      <c r="B138" s="2066"/>
      <c r="C138" s="2066"/>
      <c r="D138" s="2066"/>
      <c r="E138" s="2066"/>
      <c r="F138" s="2066"/>
      <c r="G138" s="2066"/>
      <c r="H138" s="2066"/>
      <c r="I138" s="2066"/>
      <c r="J138" s="2066"/>
      <c r="K138" s="2066"/>
      <c r="L138" s="2066"/>
      <c r="M138" s="2066"/>
      <c r="N138" s="2066"/>
      <c r="O138" s="2066"/>
      <c r="P138" s="2066"/>
    </row>
    <row r="139" spans="1:16" x14ac:dyDescent="0.3">
      <c r="A139" s="2066"/>
      <c r="B139" s="2066"/>
      <c r="C139" s="2066"/>
      <c r="D139" s="2066"/>
      <c r="E139" s="2066"/>
      <c r="F139" s="2066"/>
      <c r="G139" s="2066"/>
      <c r="H139" s="2066"/>
      <c r="I139" s="2066"/>
      <c r="J139" s="2066"/>
      <c r="K139" s="2066"/>
      <c r="L139" s="2066"/>
      <c r="M139" s="2066"/>
      <c r="N139" s="2066"/>
      <c r="O139" s="2066"/>
      <c r="P139" s="2066"/>
    </row>
    <row r="140" spans="1:16" x14ac:dyDescent="0.3">
      <c r="A140" s="2066"/>
      <c r="B140" s="2066"/>
      <c r="C140" s="2066"/>
      <c r="D140" s="2066"/>
      <c r="E140" s="2066"/>
      <c r="F140" s="2066"/>
      <c r="G140" s="2066"/>
      <c r="H140" s="2066"/>
      <c r="I140" s="2066"/>
      <c r="J140" s="2066"/>
      <c r="K140" s="2066"/>
      <c r="L140" s="2066"/>
      <c r="M140" s="2066"/>
      <c r="N140" s="2066"/>
      <c r="O140" s="2066"/>
      <c r="P140" s="2066"/>
    </row>
    <row r="141" spans="1:16" x14ac:dyDescent="0.3">
      <c r="A141" s="2066"/>
      <c r="B141" s="2066"/>
      <c r="C141" s="2066"/>
      <c r="D141" s="2066"/>
      <c r="E141" s="2066"/>
      <c r="F141" s="2066"/>
      <c r="G141" s="2066"/>
      <c r="H141" s="2066"/>
      <c r="I141" s="2066"/>
      <c r="J141" s="2066"/>
      <c r="K141" s="2066"/>
      <c r="L141" s="2066"/>
      <c r="M141" s="2066"/>
      <c r="N141" s="2066"/>
      <c r="O141" s="2066"/>
      <c r="P141" s="2066"/>
    </row>
    <row r="142" spans="1:16" x14ac:dyDescent="0.3">
      <c r="A142" s="2066"/>
      <c r="B142" s="2066"/>
      <c r="C142" s="2066"/>
      <c r="D142" s="2066"/>
      <c r="E142" s="2066"/>
      <c r="F142" s="2066"/>
      <c r="G142" s="2066"/>
      <c r="H142" s="2066"/>
      <c r="I142" s="2066"/>
      <c r="J142" s="2066"/>
      <c r="K142" s="2066"/>
      <c r="L142" s="2066"/>
      <c r="M142" s="2066"/>
      <c r="N142" s="2066"/>
      <c r="O142" s="2066"/>
      <c r="P142" s="2066"/>
    </row>
    <row r="143" spans="1:16" x14ac:dyDescent="0.3">
      <c r="A143" s="2066"/>
      <c r="B143" s="2066"/>
      <c r="C143" s="2066"/>
      <c r="D143" s="2066"/>
      <c r="E143" s="2066"/>
      <c r="F143" s="2066"/>
      <c r="G143" s="2066"/>
      <c r="H143" s="2066"/>
      <c r="I143" s="2066"/>
      <c r="J143" s="2066"/>
      <c r="K143" s="2066"/>
      <c r="L143" s="2066"/>
      <c r="M143" s="2066"/>
      <c r="N143" s="2066"/>
      <c r="O143" s="2066"/>
      <c r="P143" s="2066"/>
    </row>
    <row r="144" spans="1:16" x14ac:dyDescent="0.3">
      <c r="A144" s="2066"/>
      <c r="B144" s="2066"/>
      <c r="C144" s="2066"/>
      <c r="D144" s="2066"/>
      <c r="E144" s="2066"/>
      <c r="F144" s="2066"/>
      <c r="G144" s="2066"/>
      <c r="H144" s="2066"/>
      <c r="I144" s="2066"/>
      <c r="J144" s="2066"/>
      <c r="K144" s="2066"/>
      <c r="L144" s="2066"/>
      <c r="M144" s="2066"/>
      <c r="N144" s="2066"/>
      <c r="O144" s="2066"/>
      <c r="P144" s="2066"/>
    </row>
    <row r="145" spans="1:16" x14ac:dyDescent="0.3">
      <c r="A145" s="2066"/>
      <c r="B145" s="2066"/>
      <c r="C145" s="2066"/>
      <c r="D145" s="2066"/>
      <c r="E145" s="2066"/>
      <c r="F145" s="2066"/>
      <c r="G145" s="2066"/>
      <c r="H145" s="2066"/>
      <c r="I145" s="2066"/>
      <c r="J145" s="2066"/>
      <c r="K145" s="2066"/>
      <c r="L145" s="2066"/>
      <c r="M145" s="2066"/>
      <c r="N145" s="2066"/>
      <c r="O145" s="2066"/>
      <c r="P145" s="2066"/>
    </row>
    <row r="146" spans="1:16" x14ac:dyDescent="0.3">
      <c r="A146" s="2066"/>
      <c r="B146" s="2066"/>
      <c r="C146" s="2066"/>
      <c r="D146" s="2066"/>
      <c r="E146" s="2066"/>
      <c r="F146" s="2066"/>
      <c r="G146" s="2066"/>
      <c r="H146" s="2066"/>
      <c r="I146" s="2066"/>
      <c r="J146" s="2066"/>
      <c r="K146" s="2066"/>
      <c r="L146" s="2066"/>
      <c r="M146" s="2066"/>
      <c r="N146" s="2066"/>
      <c r="O146" s="2066"/>
      <c r="P146" s="2066"/>
    </row>
    <row r="147" spans="1:16" x14ac:dyDescent="0.3">
      <c r="A147" s="2066"/>
      <c r="B147" s="2066"/>
      <c r="C147" s="2066"/>
      <c r="D147" s="2066"/>
      <c r="E147" s="2066"/>
      <c r="F147" s="2066"/>
      <c r="G147" s="2066"/>
      <c r="H147" s="2066"/>
      <c r="I147" s="2066"/>
      <c r="J147" s="2066"/>
      <c r="K147" s="2066"/>
      <c r="L147" s="2066"/>
      <c r="M147" s="2066"/>
      <c r="N147" s="2066"/>
      <c r="O147" s="2066"/>
      <c r="P147" s="2066"/>
    </row>
    <row r="148" spans="1:16" x14ac:dyDescent="0.3">
      <c r="A148" s="2066"/>
      <c r="B148" s="2066"/>
      <c r="C148" s="2066"/>
      <c r="D148" s="2066"/>
      <c r="E148" s="2066"/>
      <c r="F148" s="2066"/>
      <c r="G148" s="2066"/>
      <c r="H148" s="2066"/>
      <c r="I148" s="2066"/>
      <c r="J148" s="2066"/>
      <c r="K148" s="2066"/>
      <c r="L148" s="2066"/>
      <c r="M148" s="2066"/>
      <c r="N148" s="2066"/>
      <c r="O148" s="2066"/>
      <c r="P148" s="2066"/>
    </row>
    <row r="149" spans="1:16" x14ac:dyDescent="0.3">
      <c r="A149" s="2066"/>
      <c r="B149" s="2066"/>
      <c r="C149" s="2066"/>
      <c r="D149" s="2066"/>
      <c r="E149" s="2066"/>
      <c r="F149" s="2066"/>
      <c r="G149" s="2066"/>
      <c r="H149" s="2066"/>
      <c r="I149" s="2066"/>
      <c r="J149" s="2066"/>
      <c r="K149" s="2066"/>
      <c r="L149" s="2066"/>
      <c r="M149" s="2066"/>
      <c r="N149" s="2066"/>
      <c r="O149" s="2066"/>
      <c r="P149" s="2066"/>
    </row>
    <row r="150" spans="1:16" x14ac:dyDescent="0.3">
      <c r="A150" s="2066"/>
      <c r="B150" s="2066"/>
      <c r="C150" s="2066"/>
      <c r="D150" s="2066"/>
      <c r="E150" s="2066"/>
      <c r="F150" s="2066"/>
      <c r="G150" s="2066"/>
      <c r="H150" s="2066"/>
      <c r="I150" s="2066"/>
      <c r="J150" s="2066"/>
      <c r="K150" s="2066"/>
      <c r="L150" s="2066"/>
      <c r="M150" s="2066"/>
      <c r="N150" s="2066"/>
      <c r="O150" s="2066"/>
      <c r="P150" s="2066"/>
    </row>
    <row r="151" spans="1:16" x14ac:dyDescent="0.3">
      <c r="A151" s="2066"/>
      <c r="B151" s="2066"/>
      <c r="C151" s="2066"/>
      <c r="D151" s="2066"/>
      <c r="E151" s="2066"/>
      <c r="F151" s="2066"/>
      <c r="G151" s="2066"/>
      <c r="H151" s="2066"/>
      <c r="I151" s="2066"/>
      <c r="J151" s="2066"/>
      <c r="K151" s="2066"/>
      <c r="L151" s="2066"/>
      <c r="M151" s="2066"/>
      <c r="N151" s="2066"/>
      <c r="O151" s="2066"/>
      <c r="P151" s="2066"/>
    </row>
    <row r="152" spans="1:16" x14ac:dyDescent="0.3">
      <c r="A152" s="2066"/>
      <c r="B152" s="2066"/>
      <c r="C152" s="2066"/>
      <c r="D152" s="2066"/>
      <c r="E152" s="2066"/>
      <c r="F152" s="2066"/>
      <c r="G152" s="2066"/>
      <c r="H152" s="2066"/>
      <c r="I152" s="2066"/>
      <c r="J152" s="2066"/>
      <c r="K152" s="2066"/>
      <c r="L152" s="2066"/>
      <c r="M152" s="2066"/>
      <c r="N152" s="2066"/>
      <c r="O152" s="2066"/>
      <c r="P152" s="2066"/>
    </row>
    <row r="153" spans="1:16" x14ac:dyDescent="0.3">
      <c r="A153" s="2066"/>
      <c r="B153" s="2066"/>
      <c r="C153" s="2066"/>
      <c r="D153" s="2066"/>
      <c r="E153" s="2066"/>
      <c r="F153" s="2066"/>
      <c r="G153" s="2066"/>
      <c r="H153" s="2066"/>
      <c r="I153" s="2066"/>
      <c r="J153" s="2066"/>
      <c r="K153" s="2066"/>
      <c r="L153" s="2066"/>
      <c r="M153" s="2066"/>
      <c r="N153" s="2066"/>
      <c r="O153" s="2066"/>
      <c r="P153" s="2066"/>
    </row>
    <row r="154" spans="1:16" x14ac:dyDescent="0.3">
      <c r="A154" s="2066"/>
      <c r="B154" s="2066"/>
      <c r="C154" s="2066"/>
      <c r="D154" s="2066"/>
      <c r="E154" s="2066"/>
      <c r="F154" s="2066"/>
      <c r="G154" s="2066"/>
      <c r="H154" s="2066"/>
      <c r="I154" s="2066"/>
      <c r="J154" s="2066"/>
      <c r="K154" s="2066"/>
      <c r="L154" s="2066"/>
      <c r="M154" s="2066"/>
      <c r="N154" s="2066"/>
      <c r="O154" s="2066"/>
      <c r="P154" s="2066"/>
    </row>
    <row r="155" spans="1:16" x14ac:dyDescent="0.3">
      <c r="A155" s="2066"/>
      <c r="B155" s="2066"/>
      <c r="C155" s="2066"/>
      <c r="D155" s="2066"/>
      <c r="E155" s="2066"/>
      <c r="F155" s="2066"/>
      <c r="G155" s="2066"/>
      <c r="H155" s="2066"/>
      <c r="I155" s="2066"/>
      <c r="J155" s="2066"/>
      <c r="K155" s="2066"/>
      <c r="L155" s="2066"/>
      <c r="M155" s="2066"/>
      <c r="N155" s="2066"/>
      <c r="O155" s="2066"/>
      <c r="P155" s="2066"/>
    </row>
    <row r="156" spans="1:16" x14ac:dyDescent="0.3">
      <c r="A156" s="2066"/>
      <c r="B156" s="2066"/>
      <c r="C156" s="2066"/>
      <c r="D156" s="2066"/>
      <c r="E156" s="2066"/>
      <c r="F156" s="2066"/>
      <c r="G156" s="2066"/>
      <c r="H156" s="2066"/>
      <c r="I156" s="2066"/>
      <c r="J156" s="2066"/>
      <c r="K156" s="2066"/>
      <c r="L156" s="2066"/>
      <c r="M156" s="2066"/>
      <c r="N156" s="2066"/>
      <c r="O156" s="2066"/>
      <c r="P156" s="2066"/>
    </row>
    <row r="157" spans="1:16" x14ac:dyDescent="0.3">
      <c r="A157" s="2066"/>
      <c r="B157" s="2066"/>
      <c r="C157" s="2066"/>
      <c r="D157" s="2066"/>
      <c r="E157" s="2066"/>
      <c r="F157" s="2066"/>
      <c r="G157" s="2066"/>
      <c r="H157" s="2066"/>
      <c r="I157" s="2066"/>
      <c r="J157" s="2066"/>
      <c r="K157" s="2066"/>
      <c r="L157" s="2066"/>
      <c r="M157" s="2066"/>
      <c r="N157" s="2066"/>
      <c r="O157" s="2066"/>
      <c r="P157" s="2066"/>
    </row>
    <row r="158" spans="1:16" x14ac:dyDescent="0.3">
      <c r="A158" s="2066"/>
      <c r="B158" s="2066"/>
      <c r="C158" s="2066"/>
      <c r="D158" s="2066"/>
      <c r="E158" s="2066"/>
      <c r="F158" s="2066"/>
      <c r="G158" s="2066"/>
      <c r="H158" s="2066"/>
      <c r="I158" s="2066"/>
      <c r="J158" s="2066"/>
      <c r="K158" s="2066"/>
      <c r="L158" s="2066"/>
      <c r="M158" s="2066"/>
      <c r="N158" s="2066"/>
      <c r="O158" s="2066"/>
      <c r="P158" s="2066"/>
    </row>
    <row r="159" spans="1:16" x14ac:dyDescent="0.3">
      <c r="A159" s="2066"/>
      <c r="B159" s="2066"/>
      <c r="C159" s="2066"/>
      <c r="D159" s="2066"/>
      <c r="E159" s="2066"/>
      <c r="F159" s="2066"/>
      <c r="G159" s="2066"/>
      <c r="H159" s="2066"/>
      <c r="I159" s="2066"/>
      <c r="J159" s="2066"/>
      <c r="K159" s="2066"/>
      <c r="L159" s="2066"/>
      <c r="M159" s="2066"/>
      <c r="N159" s="2066"/>
      <c r="O159" s="2066"/>
      <c r="P159" s="2066"/>
    </row>
    <row r="160" spans="1:16" x14ac:dyDescent="0.3">
      <c r="A160" s="2066"/>
      <c r="B160" s="2066"/>
      <c r="C160" s="2066"/>
      <c r="D160" s="2066"/>
      <c r="E160" s="2066"/>
      <c r="F160" s="2066"/>
      <c r="G160" s="2066"/>
      <c r="H160" s="2066"/>
      <c r="I160" s="2066"/>
      <c r="J160" s="2066"/>
      <c r="K160" s="2066"/>
      <c r="L160" s="2066"/>
      <c r="M160" s="2066"/>
      <c r="N160" s="2066"/>
      <c r="O160" s="2066"/>
      <c r="P160" s="2066"/>
    </row>
    <row r="161" spans="1:16" x14ac:dyDescent="0.3">
      <c r="A161" s="2066"/>
      <c r="B161" s="2066"/>
      <c r="C161" s="2066"/>
      <c r="D161" s="2066"/>
      <c r="E161" s="2066"/>
      <c r="F161" s="2066"/>
      <c r="G161" s="2066"/>
      <c r="H161" s="2066"/>
      <c r="I161" s="2066"/>
      <c r="J161" s="2066"/>
      <c r="K161" s="2066"/>
      <c r="L161" s="2066"/>
      <c r="M161" s="2066"/>
      <c r="N161" s="2066"/>
      <c r="O161" s="2066"/>
      <c r="P161" s="2066"/>
    </row>
    <row r="162" spans="1:16" x14ac:dyDescent="0.3">
      <c r="A162" s="2066"/>
      <c r="B162" s="2066"/>
      <c r="C162" s="2066"/>
      <c r="D162" s="2066"/>
      <c r="E162" s="2066"/>
      <c r="F162" s="2066"/>
      <c r="G162" s="2066"/>
      <c r="H162" s="2066"/>
      <c r="I162" s="2066"/>
      <c r="J162" s="2066"/>
      <c r="K162" s="2066"/>
      <c r="L162" s="2066"/>
      <c r="M162" s="2066"/>
      <c r="N162" s="2066"/>
      <c r="O162" s="2066"/>
      <c r="P162" s="2066"/>
    </row>
    <row r="163" spans="1:16" x14ac:dyDescent="0.3">
      <c r="A163" s="2066"/>
      <c r="B163" s="2066"/>
      <c r="C163" s="2066"/>
      <c r="D163" s="2066"/>
      <c r="E163" s="2066"/>
      <c r="F163" s="2066"/>
      <c r="G163" s="2066"/>
      <c r="H163" s="2066"/>
      <c r="I163" s="2066"/>
      <c r="J163" s="2066"/>
      <c r="K163" s="2066"/>
      <c r="L163" s="2066"/>
      <c r="M163" s="2066"/>
      <c r="N163" s="2066"/>
      <c r="O163" s="2066"/>
      <c r="P163" s="2066"/>
    </row>
    <row r="164" spans="1:16" x14ac:dyDescent="0.3">
      <c r="A164" s="2066"/>
      <c r="B164" s="2066"/>
      <c r="C164" s="2066"/>
      <c r="D164" s="2066"/>
      <c r="E164" s="2066"/>
      <c r="F164" s="2066"/>
      <c r="G164" s="2066"/>
      <c r="H164" s="2066"/>
      <c r="I164" s="2066"/>
      <c r="J164" s="2066"/>
      <c r="K164" s="2066"/>
      <c r="L164" s="2066"/>
      <c r="M164" s="2066"/>
      <c r="N164" s="2066"/>
      <c r="O164" s="2066"/>
      <c r="P164" s="2066"/>
    </row>
    <row r="165" spans="1:16" x14ac:dyDescent="0.3">
      <c r="A165" s="2066"/>
      <c r="B165" s="2066"/>
      <c r="C165" s="2066"/>
      <c r="D165" s="2066"/>
      <c r="E165" s="2066"/>
      <c r="F165" s="2066"/>
      <c r="G165" s="2066"/>
      <c r="H165" s="2066"/>
      <c r="I165" s="2066"/>
      <c r="J165" s="2066"/>
      <c r="K165" s="2066"/>
      <c r="L165" s="2066"/>
      <c r="M165" s="2066"/>
      <c r="N165" s="2066"/>
      <c r="O165" s="2066"/>
      <c r="P165" s="2066"/>
    </row>
    <row r="166" spans="1:16" x14ac:dyDescent="0.3">
      <c r="A166" s="2066"/>
      <c r="B166" s="2066"/>
      <c r="C166" s="2066"/>
      <c r="D166" s="2066"/>
      <c r="E166" s="2066"/>
      <c r="F166" s="2066"/>
      <c r="G166" s="2066"/>
      <c r="H166" s="2066"/>
      <c r="I166" s="2066"/>
      <c r="J166" s="2066"/>
      <c r="K166" s="2066"/>
      <c r="L166" s="2066"/>
      <c r="M166" s="2066"/>
      <c r="N166" s="2066"/>
      <c r="O166" s="2066"/>
      <c r="P166" s="2066"/>
    </row>
    <row r="167" spans="1:16" x14ac:dyDescent="0.3">
      <c r="A167" s="2066"/>
      <c r="B167" s="2066"/>
      <c r="C167" s="2066"/>
      <c r="D167" s="2066"/>
      <c r="E167" s="2066"/>
      <c r="F167" s="2066"/>
      <c r="G167" s="2066"/>
      <c r="H167" s="2066"/>
      <c r="I167" s="2066"/>
      <c r="J167" s="2066"/>
      <c r="K167" s="2066"/>
      <c r="L167" s="2066"/>
      <c r="M167" s="2066"/>
      <c r="N167" s="2066"/>
      <c r="O167" s="2066"/>
      <c r="P167" s="2066"/>
    </row>
    <row r="168" spans="1:16" x14ac:dyDescent="0.3">
      <c r="A168" s="2066"/>
      <c r="B168" s="2066"/>
      <c r="C168" s="2066"/>
      <c r="D168" s="2066"/>
      <c r="E168" s="2066"/>
      <c r="F168" s="2066"/>
      <c r="G168" s="2066"/>
      <c r="H168" s="2066"/>
      <c r="I168" s="2066"/>
      <c r="J168" s="2066"/>
      <c r="K168" s="2066"/>
      <c r="L168" s="2066"/>
      <c r="M168" s="2066"/>
      <c r="N168" s="2066"/>
      <c r="O168" s="2066"/>
      <c r="P168" s="2066"/>
    </row>
    <row r="169" spans="1:16" x14ac:dyDescent="0.3">
      <c r="A169" s="2066"/>
      <c r="B169" s="2066"/>
      <c r="C169" s="2066"/>
      <c r="D169" s="2066"/>
      <c r="E169" s="2066"/>
      <c r="F169" s="2066"/>
      <c r="G169" s="2066"/>
      <c r="H169" s="2066"/>
      <c r="I169" s="2066"/>
      <c r="J169" s="2066"/>
      <c r="K169" s="2066"/>
      <c r="L169" s="2066"/>
      <c r="M169" s="2066"/>
      <c r="N169" s="2066"/>
      <c r="O169" s="2066"/>
      <c r="P169" s="2066"/>
    </row>
    <row r="170" spans="1:16" x14ac:dyDescent="0.3">
      <c r="A170" s="2066"/>
      <c r="B170" s="2066"/>
      <c r="C170" s="2066"/>
      <c r="D170" s="2066"/>
      <c r="E170" s="2066"/>
      <c r="F170" s="2066"/>
      <c r="G170" s="2066"/>
      <c r="H170" s="2066"/>
      <c r="I170" s="2066"/>
      <c r="J170" s="2066"/>
      <c r="K170" s="2066"/>
      <c r="L170" s="2066"/>
      <c r="M170" s="2066"/>
      <c r="N170" s="2066"/>
      <c r="O170" s="2066"/>
      <c r="P170" s="2066"/>
    </row>
    <row r="171" spans="1:16" x14ac:dyDescent="0.3">
      <c r="A171" s="2066"/>
      <c r="B171" s="2066"/>
      <c r="C171" s="2066"/>
      <c r="D171" s="2066"/>
      <c r="E171" s="2066"/>
      <c r="F171" s="2066"/>
      <c r="G171" s="2066"/>
      <c r="H171" s="2066"/>
      <c r="I171" s="2066"/>
      <c r="J171" s="2066"/>
      <c r="K171" s="2066"/>
      <c r="L171" s="2066"/>
      <c r="M171" s="2066"/>
      <c r="N171" s="2066"/>
      <c r="O171" s="2066"/>
      <c r="P171" s="2066"/>
    </row>
    <row r="172" spans="1:16" x14ac:dyDescent="0.3">
      <c r="A172" s="2066"/>
      <c r="B172" s="2066"/>
      <c r="C172" s="2066"/>
      <c r="D172" s="2066"/>
      <c r="E172" s="2066"/>
      <c r="F172" s="2066"/>
      <c r="G172" s="2066"/>
      <c r="H172" s="2066"/>
      <c r="I172" s="2066"/>
      <c r="J172" s="2066"/>
      <c r="K172" s="2066"/>
      <c r="L172" s="2066"/>
      <c r="M172" s="2066"/>
      <c r="N172" s="2066"/>
      <c r="O172" s="2066"/>
      <c r="P172" s="2066"/>
    </row>
    <row r="173" spans="1:16" x14ac:dyDescent="0.3">
      <c r="A173" s="2066"/>
      <c r="B173" s="2066"/>
      <c r="C173" s="2066"/>
      <c r="D173" s="2066"/>
      <c r="E173" s="2066"/>
      <c r="F173" s="2066"/>
      <c r="G173" s="2066"/>
      <c r="H173" s="2066"/>
      <c r="I173" s="2066"/>
      <c r="J173" s="2066"/>
      <c r="K173" s="2066"/>
      <c r="L173" s="2066"/>
      <c r="M173" s="2066"/>
      <c r="N173" s="2066"/>
      <c r="O173" s="2066"/>
      <c r="P173" s="2066"/>
    </row>
    <row r="174" spans="1:16" x14ac:dyDescent="0.3">
      <c r="A174" s="2066"/>
      <c r="B174" s="2066"/>
      <c r="C174" s="2066"/>
      <c r="D174" s="2066"/>
      <c r="E174" s="2066"/>
      <c r="F174" s="2066"/>
      <c r="G174" s="2066"/>
      <c r="H174" s="2066"/>
      <c r="I174" s="2066"/>
      <c r="J174" s="2066"/>
      <c r="K174" s="2066"/>
      <c r="L174" s="2066"/>
      <c r="M174" s="2066"/>
      <c r="N174" s="2066"/>
      <c r="O174" s="2066"/>
      <c r="P174" s="2066"/>
    </row>
    <row r="175" spans="1:16" x14ac:dyDescent="0.3">
      <c r="A175" s="2066"/>
      <c r="B175" s="2066"/>
      <c r="C175" s="2066"/>
      <c r="D175" s="2066"/>
      <c r="E175" s="2066"/>
      <c r="F175" s="2066"/>
      <c r="G175" s="2066"/>
      <c r="H175" s="2066"/>
      <c r="I175" s="2066"/>
      <c r="J175" s="2066"/>
      <c r="K175" s="2066"/>
      <c r="L175" s="2066"/>
      <c r="M175" s="2066"/>
      <c r="N175" s="2066"/>
      <c r="O175" s="2066"/>
      <c r="P175" s="2066"/>
    </row>
    <row r="176" spans="1:16" x14ac:dyDescent="0.3">
      <c r="A176" s="2066"/>
      <c r="B176" s="2066"/>
      <c r="C176" s="2066"/>
      <c r="D176" s="2066"/>
      <c r="E176" s="2066"/>
      <c r="F176" s="2066"/>
      <c r="G176" s="2066"/>
      <c r="H176" s="2066"/>
      <c r="I176" s="2066"/>
      <c r="J176" s="2066"/>
      <c r="K176" s="2066"/>
      <c r="L176" s="2066"/>
      <c r="M176" s="2066"/>
      <c r="N176" s="2066"/>
      <c r="O176" s="2066"/>
      <c r="P176" s="2066"/>
    </row>
    <row r="177" spans="1:16" x14ac:dyDescent="0.3">
      <c r="A177" s="2066"/>
      <c r="B177" s="2066"/>
      <c r="C177" s="2066"/>
      <c r="D177" s="2066"/>
      <c r="E177" s="2066"/>
      <c r="F177" s="2066"/>
      <c r="G177" s="2066"/>
      <c r="H177" s="2066"/>
      <c r="I177" s="2066"/>
      <c r="J177" s="2066"/>
      <c r="K177" s="2066"/>
      <c r="L177" s="2066"/>
      <c r="M177" s="2066"/>
      <c r="N177" s="2066"/>
      <c r="O177" s="2066"/>
      <c r="P177" s="2066"/>
    </row>
    <row r="178" spans="1:16" x14ac:dyDescent="0.3">
      <c r="A178" s="2066"/>
      <c r="B178" s="2066"/>
      <c r="C178" s="2066"/>
      <c r="D178" s="2066"/>
      <c r="E178" s="2066"/>
      <c r="F178" s="2066"/>
      <c r="G178" s="2066"/>
      <c r="H178" s="2066"/>
      <c r="I178" s="2066"/>
      <c r="J178" s="2066"/>
      <c r="K178" s="2066"/>
      <c r="L178" s="2066"/>
      <c r="M178" s="2066"/>
      <c r="N178" s="2066"/>
      <c r="O178" s="2066"/>
      <c r="P178" s="2066"/>
    </row>
    <row r="179" spans="1:16" x14ac:dyDescent="0.3">
      <c r="A179" s="2066"/>
      <c r="B179" s="2066"/>
      <c r="C179" s="2066"/>
      <c r="D179" s="2066"/>
      <c r="E179" s="2066"/>
      <c r="F179" s="2066"/>
      <c r="G179" s="2066"/>
      <c r="H179" s="2066"/>
      <c r="I179" s="2066"/>
      <c r="J179" s="2066"/>
      <c r="K179" s="2066"/>
      <c r="L179" s="2066"/>
      <c r="M179" s="2066"/>
      <c r="N179" s="2066"/>
      <c r="O179" s="2066"/>
      <c r="P179" s="2066"/>
    </row>
    <row r="180" spans="1:16" x14ac:dyDescent="0.3">
      <c r="A180" s="2066"/>
      <c r="B180" s="2066"/>
      <c r="C180" s="2066"/>
      <c r="D180" s="2066"/>
      <c r="E180" s="2066"/>
      <c r="F180" s="2066"/>
      <c r="G180" s="2066"/>
      <c r="H180" s="2066"/>
      <c r="I180" s="2066"/>
      <c r="J180" s="2066"/>
      <c r="K180" s="2066"/>
      <c r="L180" s="2066"/>
      <c r="M180" s="2066"/>
      <c r="N180" s="2066"/>
      <c r="O180" s="2066"/>
      <c r="P180" s="2066"/>
    </row>
    <row r="181" spans="1:16" x14ac:dyDescent="0.3">
      <c r="A181" s="2066"/>
      <c r="B181" s="2066"/>
      <c r="C181" s="2066"/>
      <c r="D181" s="2066"/>
      <c r="E181" s="2066"/>
      <c r="F181" s="2066"/>
      <c r="G181" s="2066"/>
      <c r="H181" s="2066"/>
      <c r="I181" s="2066"/>
      <c r="J181" s="2066"/>
      <c r="K181" s="2066"/>
      <c r="L181" s="2066"/>
      <c r="M181" s="2066"/>
      <c r="N181" s="2066"/>
      <c r="O181" s="2066"/>
      <c r="P181" s="2066"/>
    </row>
    <row r="182" spans="1:16" x14ac:dyDescent="0.3">
      <c r="A182" s="2066"/>
      <c r="B182" s="2066"/>
      <c r="C182" s="2066"/>
      <c r="D182" s="2066"/>
      <c r="E182" s="2066"/>
      <c r="F182" s="2066"/>
      <c r="G182" s="2066"/>
      <c r="H182" s="2066"/>
      <c r="I182" s="2066"/>
      <c r="J182" s="2066"/>
      <c r="K182" s="2066"/>
      <c r="L182" s="2066"/>
      <c r="M182" s="2066"/>
      <c r="N182" s="2066"/>
      <c r="O182" s="2066"/>
      <c r="P182" s="2066"/>
    </row>
    <row r="183" spans="1:16" x14ac:dyDescent="0.3">
      <c r="A183" s="2066"/>
      <c r="B183" s="2066"/>
      <c r="C183" s="2066"/>
      <c r="D183" s="2066"/>
      <c r="E183" s="2066"/>
      <c r="F183" s="2066"/>
      <c r="G183" s="2066"/>
      <c r="H183" s="2066"/>
      <c r="I183" s="2066"/>
      <c r="J183" s="2066"/>
      <c r="K183" s="2066"/>
      <c r="L183" s="2066"/>
      <c r="M183" s="2066"/>
      <c r="N183" s="2066"/>
      <c r="O183" s="2066"/>
      <c r="P183" s="2066"/>
    </row>
    <row r="184" spans="1:16" x14ac:dyDescent="0.3">
      <c r="A184" s="2066"/>
      <c r="B184" s="2066"/>
      <c r="C184" s="2066"/>
      <c r="D184" s="2066"/>
      <c r="E184" s="2066"/>
      <c r="F184" s="2066"/>
      <c r="G184" s="2066"/>
      <c r="H184" s="2066"/>
      <c r="I184" s="2066"/>
      <c r="J184" s="2066"/>
      <c r="K184" s="2066"/>
      <c r="L184" s="2066"/>
      <c r="M184" s="2066"/>
      <c r="N184" s="2066"/>
      <c r="O184" s="2066"/>
      <c r="P184" s="2066"/>
    </row>
    <row r="185" spans="1:16" x14ac:dyDescent="0.3">
      <c r="A185" s="2066"/>
      <c r="B185" s="2066"/>
      <c r="C185" s="2066"/>
      <c r="D185" s="2066"/>
      <c r="E185" s="2066"/>
      <c r="F185" s="2066"/>
      <c r="G185" s="2066"/>
      <c r="H185" s="2066"/>
      <c r="I185" s="2066"/>
      <c r="J185" s="2066"/>
      <c r="K185" s="2066"/>
      <c r="L185" s="2066"/>
      <c r="M185" s="2066"/>
      <c r="N185" s="2066"/>
      <c r="O185" s="2066"/>
      <c r="P185" s="2066"/>
    </row>
    <row r="186" spans="1:16" x14ac:dyDescent="0.3">
      <c r="A186" s="2066"/>
      <c r="B186" s="2066"/>
      <c r="C186" s="2066"/>
      <c r="D186" s="2066"/>
      <c r="E186" s="2066"/>
      <c r="F186" s="2066"/>
      <c r="G186" s="2066"/>
      <c r="H186" s="2066"/>
      <c r="I186" s="2066"/>
      <c r="J186" s="2066"/>
      <c r="K186" s="2066"/>
      <c r="L186" s="2066"/>
      <c r="M186" s="2066"/>
      <c r="N186" s="2066"/>
      <c r="O186" s="2066"/>
      <c r="P186" s="2066"/>
    </row>
    <row r="187" spans="1:16" x14ac:dyDescent="0.3">
      <c r="A187" s="2066"/>
      <c r="B187" s="2066"/>
      <c r="C187" s="2066"/>
      <c r="D187" s="2066"/>
      <c r="E187" s="2066"/>
      <c r="F187" s="2066"/>
      <c r="G187" s="2066"/>
      <c r="H187" s="2066"/>
      <c r="I187" s="2066"/>
      <c r="J187" s="2066"/>
      <c r="K187" s="2066"/>
      <c r="L187" s="2066"/>
      <c r="M187" s="2066"/>
      <c r="N187" s="2066"/>
      <c r="O187" s="2066"/>
      <c r="P187" s="2066"/>
    </row>
    <row r="188" spans="1:16" x14ac:dyDescent="0.3">
      <c r="A188" s="2066"/>
      <c r="B188" s="2066"/>
      <c r="C188" s="2066"/>
      <c r="D188" s="2066"/>
      <c r="E188" s="2066"/>
      <c r="F188" s="2066"/>
      <c r="G188" s="2066"/>
      <c r="H188" s="2066"/>
      <c r="I188" s="2066"/>
      <c r="J188" s="2066"/>
      <c r="K188" s="2066"/>
      <c r="L188" s="2066"/>
      <c r="M188" s="2066"/>
      <c r="N188" s="2066"/>
      <c r="O188" s="2066"/>
      <c r="P188" s="2066"/>
    </row>
    <row r="189" spans="1:16" x14ac:dyDescent="0.3">
      <c r="A189" s="2066"/>
      <c r="B189" s="2066"/>
      <c r="C189" s="2066"/>
      <c r="D189" s="2066"/>
      <c r="E189" s="2066"/>
      <c r="F189" s="2066"/>
      <c r="G189" s="2066"/>
      <c r="H189" s="2066"/>
      <c r="I189" s="2066"/>
      <c r="J189" s="2066"/>
      <c r="K189" s="2066"/>
      <c r="L189" s="2066"/>
      <c r="M189" s="2066"/>
      <c r="N189" s="2066"/>
      <c r="O189" s="2066"/>
      <c r="P189" s="2066"/>
    </row>
    <row r="190" spans="1:16" x14ac:dyDescent="0.3">
      <c r="A190" s="2066"/>
      <c r="B190" s="2066"/>
      <c r="C190" s="2066"/>
      <c r="D190" s="2066"/>
      <c r="E190" s="2066"/>
      <c r="F190" s="2066"/>
      <c r="G190" s="2066"/>
      <c r="H190" s="2066"/>
      <c r="I190" s="2066"/>
      <c r="J190" s="2066"/>
      <c r="K190" s="2066"/>
      <c r="L190" s="2066"/>
      <c r="M190" s="2066"/>
      <c r="N190" s="2066"/>
      <c r="O190" s="2066"/>
      <c r="P190" s="2066"/>
    </row>
    <row r="191" spans="1:16" x14ac:dyDescent="0.3">
      <c r="A191" s="2066"/>
      <c r="B191" s="2066"/>
      <c r="C191" s="2066"/>
      <c r="D191" s="2066"/>
      <c r="E191" s="2066"/>
      <c r="F191" s="2066"/>
      <c r="G191" s="2066"/>
      <c r="H191" s="2066"/>
      <c r="I191" s="2066"/>
      <c r="J191" s="2066"/>
      <c r="K191" s="2066"/>
      <c r="L191" s="2066"/>
      <c r="M191" s="2066"/>
      <c r="N191" s="2066"/>
      <c r="O191" s="2066"/>
      <c r="P191" s="2066"/>
    </row>
    <row r="192" spans="1:16" x14ac:dyDescent="0.3">
      <c r="A192" s="2066"/>
      <c r="B192" s="2066"/>
      <c r="C192" s="2066"/>
      <c r="D192" s="2066"/>
      <c r="E192" s="2066"/>
      <c r="F192" s="2066"/>
      <c r="G192" s="2066"/>
      <c r="H192" s="2066"/>
      <c r="I192" s="2066"/>
      <c r="J192" s="2066"/>
      <c r="K192" s="2066"/>
      <c r="L192" s="2066"/>
      <c r="M192" s="2066"/>
      <c r="N192" s="2066"/>
      <c r="O192" s="2066"/>
      <c r="P192" s="2066"/>
    </row>
    <row r="193" spans="1:16" x14ac:dyDescent="0.3">
      <c r="A193" s="2066"/>
      <c r="B193" s="2066"/>
      <c r="C193" s="2066"/>
      <c r="D193" s="2066"/>
      <c r="E193" s="2066"/>
      <c r="F193" s="2066"/>
      <c r="G193" s="2066"/>
      <c r="H193" s="2066"/>
      <c r="I193" s="2066"/>
      <c r="J193" s="2066"/>
      <c r="K193" s="2066"/>
      <c r="L193" s="2066"/>
      <c r="M193" s="2066"/>
      <c r="N193" s="2066"/>
      <c r="O193" s="2066"/>
      <c r="P193" s="2066"/>
    </row>
    <row r="194" spans="1:16" x14ac:dyDescent="0.3">
      <c r="A194" s="2066"/>
      <c r="B194" s="2066"/>
      <c r="C194" s="2066"/>
      <c r="D194" s="2066"/>
      <c r="E194" s="2066"/>
      <c r="F194" s="2066"/>
      <c r="G194" s="2066"/>
      <c r="H194" s="2066"/>
      <c r="I194" s="2066"/>
      <c r="J194" s="2066"/>
      <c r="K194" s="2066"/>
      <c r="L194" s="2066"/>
      <c r="M194" s="2066"/>
      <c r="N194" s="2066"/>
      <c r="O194" s="2066"/>
      <c r="P194" s="2066"/>
    </row>
    <row r="195" spans="1:16" x14ac:dyDescent="0.3">
      <c r="A195" s="2066"/>
      <c r="B195" s="2066"/>
      <c r="C195" s="2066"/>
      <c r="D195" s="2066"/>
      <c r="E195" s="2066"/>
      <c r="F195" s="2066"/>
      <c r="G195" s="2066"/>
      <c r="H195" s="2066"/>
      <c r="I195" s="2066"/>
      <c r="J195" s="2066"/>
      <c r="K195" s="2066"/>
      <c r="L195" s="2066"/>
      <c r="M195" s="2066"/>
      <c r="N195" s="2066"/>
      <c r="O195" s="2066"/>
      <c r="P195" s="2066"/>
    </row>
    <row r="196" spans="1:16" x14ac:dyDescent="0.3">
      <c r="A196" s="2066"/>
      <c r="B196" s="2066"/>
      <c r="C196" s="2066"/>
      <c r="D196" s="2066"/>
      <c r="E196" s="2066"/>
      <c r="F196" s="2066"/>
      <c r="G196" s="2066"/>
      <c r="H196" s="2066"/>
      <c r="I196" s="2066"/>
      <c r="J196" s="2066"/>
      <c r="K196" s="2066"/>
      <c r="L196" s="2066"/>
      <c r="M196" s="2066"/>
      <c r="N196" s="2066"/>
      <c r="O196" s="2066"/>
      <c r="P196" s="2066"/>
    </row>
    <row r="197" spans="1:16" x14ac:dyDescent="0.3">
      <c r="A197" s="2066"/>
      <c r="B197" s="2066"/>
      <c r="C197" s="2066"/>
      <c r="D197" s="2066"/>
      <c r="E197" s="2066"/>
      <c r="F197" s="2066"/>
      <c r="G197" s="2066"/>
      <c r="H197" s="2066"/>
      <c r="I197" s="2066"/>
      <c r="J197" s="2066"/>
      <c r="K197" s="2066"/>
      <c r="L197" s="2066"/>
      <c r="M197" s="2066"/>
      <c r="N197" s="2066"/>
      <c r="O197" s="2066"/>
      <c r="P197" s="2066"/>
    </row>
    <row r="198" spans="1:16" x14ac:dyDescent="0.3">
      <c r="A198" s="2066"/>
      <c r="B198" s="2066"/>
      <c r="C198" s="2066"/>
      <c r="D198" s="2066"/>
      <c r="E198" s="2066"/>
      <c r="F198" s="2066"/>
      <c r="G198" s="2066"/>
      <c r="H198" s="2066"/>
      <c r="I198" s="2066"/>
      <c r="J198" s="2066"/>
      <c r="K198" s="2066"/>
      <c r="L198" s="2066"/>
      <c r="M198" s="2066"/>
      <c r="N198" s="2066"/>
      <c r="O198" s="2066"/>
      <c r="P198" s="2066"/>
    </row>
    <row r="199" spans="1:16" x14ac:dyDescent="0.3">
      <c r="A199" s="2066"/>
      <c r="B199" s="2066"/>
      <c r="C199" s="2066"/>
      <c r="D199" s="2066"/>
      <c r="E199" s="2066"/>
      <c r="F199" s="2066"/>
      <c r="G199" s="2066"/>
      <c r="H199" s="2066"/>
      <c r="I199" s="2066"/>
      <c r="J199" s="2066"/>
      <c r="K199" s="2066"/>
      <c r="L199" s="2066"/>
      <c r="M199" s="2066"/>
      <c r="N199" s="2066"/>
      <c r="O199" s="2066"/>
      <c r="P199" s="2066"/>
    </row>
    <row r="200" spans="1:16" x14ac:dyDescent="0.3">
      <c r="A200" s="2066"/>
      <c r="B200" s="2066"/>
      <c r="C200" s="2066"/>
      <c r="D200" s="2066"/>
      <c r="E200" s="2066"/>
      <c r="F200" s="2066"/>
      <c r="G200" s="2066"/>
      <c r="H200" s="2066"/>
      <c r="I200" s="2066"/>
      <c r="J200" s="2066"/>
      <c r="K200" s="2066"/>
      <c r="L200" s="2066"/>
      <c r="M200" s="2066"/>
      <c r="N200" s="2066"/>
      <c r="O200" s="2066"/>
      <c r="P200" s="2066"/>
    </row>
    <row r="201" spans="1:16" x14ac:dyDescent="0.3">
      <c r="A201" s="2066"/>
      <c r="B201" s="2066"/>
      <c r="C201" s="2066"/>
      <c r="D201" s="2066"/>
      <c r="E201" s="2066"/>
      <c r="F201" s="2066"/>
      <c r="G201" s="2066"/>
      <c r="H201" s="2066"/>
      <c r="I201" s="2066"/>
      <c r="J201" s="2066"/>
      <c r="K201" s="2066"/>
      <c r="L201" s="2066"/>
      <c r="M201" s="2066"/>
      <c r="N201" s="2066"/>
      <c r="O201" s="2066"/>
      <c r="P201" s="2066"/>
    </row>
    <row r="202" spans="1:16" x14ac:dyDescent="0.3">
      <c r="A202" s="2066"/>
      <c r="B202" s="2066"/>
      <c r="C202" s="2066"/>
      <c r="D202" s="2066"/>
      <c r="E202" s="2066"/>
      <c r="F202" s="2066"/>
      <c r="G202" s="2066"/>
      <c r="H202" s="2066"/>
      <c r="I202" s="2066"/>
      <c r="J202" s="2066"/>
      <c r="K202" s="2066"/>
      <c r="L202" s="2066"/>
      <c r="M202" s="2066"/>
      <c r="N202" s="2066"/>
      <c r="O202" s="2066"/>
      <c r="P202" s="2066"/>
    </row>
    <row r="203" spans="1:16" x14ac:dyDescent="0.3">
      <c r="A203" s="2066"/>
      <c r="B203" s="2066"/>
      <c r="C203" s="2066"/>
      <c r="D203" s="2066"/>
      <c r="E203" s="2066"/>
      <c r="F203" s="2066"/>
      <c r="G203" s="2066"/>
      <c r="H203" s="2066"/>
      <c r="I203" s="2066"/>
      <c r="J203" s="2066"/>
      <c r="K203" s="2066"/>
      <c r="L203" s="2066"/>
      <c r="M203" s="2066"/>
      <c r="N203" s="2066"/>
      <c r="O203" s="2066"/>
      <c r="P203" s="2066"/>
    </row>
    <row r="204" spans="1:16" x14ac:dyDescent="0.3">
      <c r="A204" s="2066"/>
      <c r="B204" s="2066"/>
      <c r="C204" s="2066"/>
      <c r="D204" s="2066"/>
      <c r="E204" s="2066"/>
      <c r="F204" s="2066"/>
      <c r="G204" s="2066"/>
      <c r="H204" s="2066"/>
      <c r="I204" s="2066"/>
      <c r="J204" s="2066"/>
      <c r="K204" s="2066"/>
      <c r="L204" s="2066"/>
      <c r="M204" s="2066"/>
      <c r="N204" s="2066"/>
      <c r="O204" s="2066"/>
      <c r="P204" s="2066"/>
    </row>
    <row r="205" spans="1:16" x14ac:dyDescent="0.3">
      <c r="A205" s="2066"/>
      <c r="B205" s="2066"/>
      <c r="C205" s="2066"/>
      <c r="D205" s="2066"/>
      <c r="E205" s="2066"/>
      <c r="F205" s="2066"/>
      <c r="G205" s="2066"/>
      <c r="H205" s="2066"/>
      <c r="I205" s="2066"/>
      <c r="J205" s="2066"/>
      <c r="K205" s="2066"/>
      <c r="L205" s="2066"/>
      <c r="M205" s="2066"/>
      <c r="N205" s="2066"/>
      <c r="O205" s="2066"/>
      <c r="P205" s="2066"/>
    </row>
    <row r="206" spans="1:16" x14ac:dyDescent="0.3">
      <c r="A206" s="2066"/>
      <c r="B206" s="2066"/>
      <c r="C206" s="2066"/>
      <c r="D206" s="2066"/>
      <c r="E206" s="2066"/>
      <c r="F206" s="2066"/>
      <c r="G206" s="2066"/>
      <c r="H206" s="2066"/>
      <c r="I206" s="2066"/>
      <c r="J206" s="2066"/>
      <c r="K206" s="2066"/>
      <c r="L206" s="2066"/>
      <c r="M206" s="2066"/>
      <c r="N206" s="2066"/>
      <c r="O206" s="2066"/>
      <c r="P206" s="2066"/>
    </row>
    <row r="207" spans="1:16" x14ac:dyDescent="0.3">
      <c r="A207" s="2066"/>
      <c r="B207" s="2066"/>
      <c r="C207" s="2066"/>
      <c r="D207" s="2066"/>
      <c r="E207" s="2066"/>
      <c r="F207" s="2066"/>
      <c r="G207" s="2066"/>
      <c r="H207" s="2066"/>
      <c r="I207" s="2066"/>
      <c r="J207" s="2066"/>
      <c r="K207" s="2066"/>
      <c r="L207" s="2066"/>
      <c r="M207" s="2066"/>
      <c r="N207" s="2066"/>
      <c r="O207" s="2066"/>
      <c r="P207" s="2066"/>
    </row>
    <row r="208" spans="1:16" x14ac:dyDescent="0.3">
      <c r="A208" s="2066"/>
      <c r="B208" s="2066"/>
      <c r="C208" s="2066"/>
      <c r="D208" s="2066"/>
      <c r="E208" s="2066"/>
      <c r="F208" s="2066"/>
      <c r="G208" s="2066"/>
      <c r="H208" s="2066"/>
      <c r="I208" s="2066"/>
      <c r="J208" s="2066"/>
      <c r="K208" s="2066"/>
      <c r="L208" s="2066"/>
      <c r="M208" s="2066"/>
      <c r="N208" s="2066"/>
      <c r="O208" s="2066"/>
      <c r="P208" s="2066"/>
    </row>
    <row r="209" spans="1:16" x14ac:dyDescent="0.3">
      <c r="A209" s="2066"/>
      <c r="B209" s="2066"/>
      <c r="C209" s="2066"/>
      <c r="D209" s="2066"/>
      <c r="E209" s="2066"/>
      <c r="F209" s="2066"/>
      <c r="G209" s="2066"/>
      <c r="H209" s="2066"/>
      <c r="I209" s="2066"/>
      <c r="J209" s="2066"/>
      <c r="K209" s="2066"/>
      <c r="L209" s="2066"/>
      <c r="M209" s="2066"/>
      <c r="N209" s="2066"/>
      <c r="O209" s="2066"/>
      <c r="P209" s="2066"/>
    </row>
    <row r="210" spans="1:16" x14ac:dyDescent="0.3">
      <c r="A210" s="2066"/>
      <c r="B210" s="2066"/>
      <c r="C210" s="2066"/>
      <c r="D210" s="2066"/>
      <c r="E210" s="2066"/>
      <c r="F210" s="2066"/>
      <c r="G210" s="2066"/>
      <c r="H210" s="2066"/>
      <c r="I210" s="2066"/>
      <c r="J210" s="2066"/>
      <c r="K210" s="2066"/>
      <c r="L210" s="2066"/>
      <c r="M210" s="2066"/>
      <c r="N210" s="2066"/>
      <c r="O210" s="2066"/>
      <c r="P210" s="2066"/>
    </row>
    <row r="211" spans="1:16" x14ac:dyDescent="0.3">
      <c r="A211" s="2066"/>
      <c r="B211" s="2066"/>
      <c r="C211" s="2066"/>
      <c r="D211" s="2066"/>
      <c r="E211" s="2066"/>
      <c r="F211" s="2066"/>
      <c r="G211" s="2066"/>
      <c r="H211" s="2066"/>
      <c r="I211" s="2066"/>
      <c r="J211" s="2066"/>
      <c r="K211" s="2066"/>
      <c r="L211" s="2066"/>
      <c r="M211" s="2066"/>
      <c r="N211" s="2066"/>
      <c r="O211" s="2066"/>
      <c r="P211" s="2066"/>
    </row>
    <row r="212" spans="1:16" x14ac:dyDescent="0.3">
      <c r="A212" s="2066"/>
      <c r="B212" s="2066"/>
      <c r="C212" s="2066"/>
      <c r="D212" s="2066"/>
      <c r="E212" s="2066"/>
      <c r="F212" s="2066"/>
      <c r="G212" s="2066"/>
      <c r="H212" s="2066"/>
      <c r="I212" s="2066"/>
      <c r="J212" s="2066"/>
      <c r="K212" s="2066"/>
      <c r="L212" s="2066"/>
      <c r="M212" s="2066"/>
      <c r="N212" s="2066"/>
      <c r="O212" s="2066"/>
      <c r="P212" s="2066"/>
    </row>
    <row r="213" spans="1:16" x14ac:dyDescent="0.3">
      <c r="A213" s="2066"/>
      <c r="B213" s="2066"/>
      <c r="C213" s="2066"/>
      <c r="D213" s="2066"/>
      <c r="E213" s="2066"/>
      <c r="F213" s="2066"/>
      <c r="G213" s="2066"/>
      <c r="H213" s="2066"/>
      <c r="I213" s="2066"/>
      <c r="J213" s="2066"/>
      <c r="K213" s="2066"/>
      <c r="L213" s="2066"/>
      <c r="M213" s="2066"/>
      <c r="N213" s="2066"/>
      <c r="O213" s="2066"/>
      <c r="P213" s="2066"/>
    </row>
    <row r="214" spans="1:16" x14ac:dyDescent="0.3">
      <c r="A214" s="2066"/>
      <c r="B214" s="2066"/>
      <c r="C214" s="2066"/>
      <c r="D214" s="2066"/>
      <c r="E214" s="2066"/>
      <c r="F214" s="2066"/>
      <c r="G214" s="2066"/>
      <c r="H214" s="2066"/>
      <c r="I214" s="2066"/>
      <c r="J214" s="2066"/>
      <c r="K214" s="2066"/>
      <c r="L214" s="2066"/>
      <c r="M214" s="2066"/>
      <c r="N214" s="2066"/>
      <c r="O214" s="2066"/>
      <c r="P214" s="2066"/>
    </row>
    <row r="215" spans="1:16" x14ac:dyDescent="0.3">
      <c r="A215" s="2066"/>
      <c r="B215" s="2066"/>
      <c r="C215" s="2066"/>
      <c r="D215" s="2066"/>
      <c r="E215" s="2066"/>
      <c r="F215" s="2066"/>
      <c r="G215" s="2066"/>
      <c r="H215" s="2066"/>
      <c r="I215" s="2066"/>
      <c r="J215" s="2066"/>
      <c r="K215" s="2066"/>
      <c r="L215" s="2066"/>
      <c r="M215" s="2066"/>
      <c r="N215" s="2066"/>
      <c r="O215" s="2066"/>
      <c r="P215" s="2066"/>
    </row>
    <row r="216" spans="1:16" x14ac:dyDescent="0.3">
      <c r="A216" s="2066"/>
      <c r="B216" s="2066"/>
      <c r="C216" s="2066"/>
      <c r="D216" s="2066"/>
      <c r="E216" s="2066"/>
      <c r="F216" s="2066"/>
      <c r="G216" s="2066"/>
      <c r="H216" s="2066"/>
      <c r="I216" s="2066"/>
      <c r="J216" s="2066"/>
      <c r="K216" s="2066"/>
      <c r="L216" s="2066"/>
      <c r="M216" s="2066"/>
      <c r="N216" s="2066"/>
      <c r="O216" s="2066"/>
      <c r="P216" s="2066"/>
    </row>
    <row r="217" spans="1:16" x14ac:dyDescent="0.3">
      <c r="A217" s="2066"/>
      <c r="B217" s="2066"/>
      <c r="C217" s="2066"/>
      <c r="D217" s="2066"/>
      <c r="E217" s="2066"/>
      <c r="F217" s="2066"/>
      <c r="G217" s="2066"/>
      <c r="H217" s="2066"/>
      <c r="I217" s="2066"/>
      <c r="J217" s="2066"/>
      <c r="K217" s="2066"/>
      <c r="L217" s="2066"/>
      <c r="M217" s="2066"/>
      <c r="N217" s="2066"/>
      <c r="O217" s="2066"/>
      <c r="P217" s="2066"/>
    </row>
    <row r="218" spans="1:16" x14ac:dyDescent="0.3">
      <c r="A218" s="2066"/>
      <c r="B218" s="2066"/>
      <c r="C218" s="2066"/>
      <c r="D218" s="2066"/>
      <c r="E218" s="2066"/>
      <c r="F218" s="2066"/>
      <c r="G218" s="2066"/>
      <c r="H218" s="2066"/>
      <c r="I218" s="2066"/>
      <c r="J218" s="2066"/>
      <c r="K218" s="2066"/>
      <c r="L218" s="2066"/>
      <c r="M218" s="2066"/>
      <c r="N218" s="2066"/>
      <c r="O218" s="2066"/>
      <c r="P218" s="2066"/>
    </row>
    <row r="219" spans="1:16" x14ac:dyDescent="0.3">
      <c r="A219" s="2066"/>
      <c r="B219" s="2066"/>
      <c r="C219" s="2066"/>
      <c r="D219" s="2066"/>
      <c r="E219" s="2066"/>
      <c r="F219" s="2066"/>
      <c r="G219" s="2066"/>
      <c r="H219" s="2066"/>
      <c r="I219" s="2066"/>
      <c r="J219" s="2066"/>
      <c r="K219" s="2066"/>
      <c r="L219" s="2066"/>
      <c r="M219" s="2066"/>
      <c r="N219" s="2066"/>
      <c r="O219" s="2066"/>
      <c r="P219" s="2066"/>
    </row>
    <row r="220" spans="1:16" x14ac:dyDescent="0.3">
      <c r="A220" s="2066"/>
      <c r="B220" s="2066"/>
      <c r="C220" s="2066"/>
      <c r="D220" s="2066"/>
      <c r="E220" s="2066"/>
      <c r="F220" s="2066"/>
      <c r="G220" s="2066"/>
      <c r="H220" s="2066"/>
      <c r="I220" s="2066"/>
      <c r="J220" s="2066"/>
      <c r="K220" s="2066"/>
      <c r="L220" s="2066"/>
      <c r="M220" s="2066"/>
      <c r="N220" s="2066"/>
      <c r="O220" s="2066"/>
      <c r="P220" s="2066"/>
    </row>
    <row r="221" spans="1:16" x14ac:dyDescent="0.3">
      <c r="A221" s="2066"/>
      <c r="B221" s="2066"/>
      <c r="C221" s="2066"/>
      <c r="D221" s="2066"/>
      <c r="E221" s="2066"/>
      <c r="F221" s="2066"/>
      <c r="G221" s="2066"/>
      <c r="H221" s="2066"/>
      <c r="I221" s="2066"/>
      <c r="J221" s="2066"/>
      <c r="K221" s="2066"/>
      <c r="L221" s="2066"/>
      <c r="M221" s="2066"/>
      <c r="N221" s="2066"/>
      <c r="O221" s="2066"/>
      <c r="P221" s="2066"/>
    </row>
    <row r="222" spans="1:16" x14ac:dyDescent="0.3">
      <c r="A222" s="2066"/>
      <c r="B222" s="2066"/>
      <c r="C222" s="2066"/>
      <c r="D222" s="2066"/>
      <c r="E222" s="2066"/>
      <c r="F222" s="2066"/>
      <c r="G222" s="2066"/>
      <c r="H222" s="2066"/>
      <c r="I222" s="2066"/>
      <c r="J222" s="2066"/>
      <c r="K222" s="2066"/>
      <c r="L222" s="2066"/>
      <c r="M222" s="2066"/>
      <c r="N222" s="2066"/>
      <c r="O222" s="2066"/>
      <c r="P222" s="2066"/>
    </row>
    <row r="223" spans="1:16" x14ac:dyDescent="0.3">
      <c r="A223" s="2066"/>
      <c r="B223" s="2066"/>
      <c r="C223" s="2066"/>
      <c r="D223" s="2066"/>
      <c r="E223" s="2066"/>
      <c r="F223" s="2066"/>
      <c r="G223" s="2066"/>
      <c r="H223" s="2066"/>
      <c r="I223" s="2066"/>
      <c r="J223" s="2066"/>
      <c r="K223" s="2066"/>
      <c r="L223" s="2066"/>
      <c r="M223" s="2066"/>
      <c r="N223" s="2066"/>
      <c r="O223" s="2066"/>
      <c r="P223" s="2066"/>
    </row>
    <row r="224" spans="1:16" x14ac:dyDescent="0.3">
      <c r="A224" s="2066"/>
      <c r="B224" s="2066"/>
      <c r="C224" s="2066"/>
      <c r="D224" s="2066"/>
      <c r="E224" s="2066"/>
      <c r="F224" s="2066"/>
      <c r="G224" s="2066"/>
      <c r="H224" s="2066"/>
      <c r="I224" s="2066"/>
      <c r="J224" s="2066"/>
      <c r="K224" s="2066"/>
      <c r="L224" s="2066"/>
      <c r="M224" s="2066"/>
      <c r="N224" s="2066"/>
      <c r="O224" s="2066"/>
      <c r="P224" s="2066"/>
    </row>
    <row r="225" spans="1:16" x14ac:dyDescent="0.3">
      <c r="A225" s="2066"/>
      <c r="B225" s="2066"/>
      <c r="C225" s="2066"/>
      <c r="D225" s="2066"/>
      <c r="E225" s="2066"/>
      <c r="F225" s="2066"/>
      <c r="G225" s="2066"/>
      <c r="H225" s="2066"/>
      <c r="I225" s="2066"/>
      <c r="J225" s="2066"/>
      <c r="K225" s="2066"/>
      <c r="L225" s="2066"/>
      <c r="M225" s="2066"/>
      <c r="N225" s="2066"/>
      <c r="O225" s="2066"/>
      <c r="P225" s="2066"/>
    </row>
    <row r="226" spans="1:16" x14ac:dyDescent="0.3">
      <c r="A226" s="2066"/>
      <c r="B226" s="2066"/>
      <c r="C226" s="2066"/>
      <c r="D226" s="2066"/>
      <c r="E226" s="2066"/>
      <c r="F226" s="2066"/>
      <c r="G226" s="2066"/>
      <c r="H226" s="2066"/>
      <c r="I226" s="2066"/>
      <c r="J226" s="2066"/>
      <c r="K226" s="2066"/>
      <c r="L226" s="2066"/>
      <c r="M226" s="2066"/>
      <c r="N226" s="2066"/>
      <c r="O226" s="2066"/>
      <c r="P226" s="2066"/>
    </row>
    <row r="227" spans="1:16" x14ac:dyDescent="0.3">
      <c r="A227" s="2066"/>
      <c r="B227" s="2066"/>
      <c r="C227" s="2066"/>
      <c r="D227" s="2066"/>
      <c r="E227" s="2066"/>
      <c r="F227" s="2066"/>
      <c r="G227" s="2066"/>
      <c r="H227" s="2066"/>
      <c r="I227" s="2066"/>
      <c r="J227" s="2066"/>
      <c r="K227" s="2066"/>
      <c r="L227" s="2066"/>
      <c r="M227" s="2066"/>
      <c r="N227" s="2066"/>
      <c r="O227" s="2066"/>
      <c r="P227" s="2066"/>
    </row>
    <row r="228" spans="1:16" x14ac:dyDescent="0.3">
      <c r="A228" s="2066"/>
      <c r="B228" s="2066"/>
      <c r="C228" s="2066"/>
      <c r="D228" s="2066"/>
      <c r="E228" s="2066"/>
      <c r="F228" s="2066"/>
      <c r="G228" s="2066"/>
      <c r="H228" s="2066"/>
      <c r="I228" s="2066"/>
      <c r="J228" s="2066"/>
      <c r="K228" s="2066"/>
      <c r="L228" s="2066"/>
      <c r="M228" s="2066"/>
      <c r="N228" s="2066"/>
      <c r="O228" s="2066"/>
      <c r="P228" s="2066"/>
    </row>
    <row r="229" spans="1:16" x14ac:dyDescent="0.3">
      <c r="A229" s="2066"/>
      <c r="B229" s="2066"/>
      <c r="C229" s="2066"/>
      <c r="D229" s="2066"/>
      <c r="E229" s="2066"/>
      <c r="F229" s="2066"/>
      <c r="G229" s="2066"/>
      <c r="H229" s="2066"/>
      <c r="I229" s="2066"/>
      <c r="J229" s="2066"/>
      <c r="K229" s="2066"/>
      <c r="L229" s="2066"/>
      <c r="M229" s="2066"/>
      <c r="N229" s="2066"/>
      <c r="O229" s="2066"/>
      <c r="P229" s="2066"/>
    </row>
    <row r="230" spans="1:16" x14ac:dyDescent="0.3">
      <c r="A230" s="2066"/>
      <c r="B230" s="2066"/>
      <c r="C230" s="2066"/>
      <c r="D230" s="2066"/>
      <c r="E230" s="2066"/>
      <c r="F230" s="2066"/>
      <c r="G230" s="2066"/>
      <c r="H230" s="2066"/>
      <c r="I230" s="2066"/>
      <c r="J230" s="2066"/>
      <c r="K230" s="2066"/>
      <c r="L230" s="2066"/>
      <c r="M230" s="2066"/>
      <c r="N230" s="2066"/>
      <c r="O230" s="2066"/>
      <c r="P230" s="2066"/>
    </row>
    <row r="231" spans="1:16" x14ac:dyDescent="0.3">
      <c r="A231" s="2066"/>
      <c r="B231" s="2066"/>
      <c r="C231" s="2066"/>
      <c r="D231" s="2066"/>
      <c r="E231" s="2066"/>
      <c r="F231" s="2066"/>
      <c r="G231" s="2066"/>
      <c r="H231" s="2066"/>
      <c r="I231" s="2066"/>
      <c r="J231" s="2066"/>
      <c r="K231" s="2066"/>
      <c r="L231" s="2066"/>
      <c r="M231" s="2066"/>
      <c r="N231" s="2066"/>
      <c r="O231" s="2066"/>
      <c r="P231" s="2066"/>
    </row>
    <row r="232" spans="1:16" x14ac:dyDescent="0.3">
      <c r="A232" s="2066"/>
      <c r="B232" s="2066"/>
      <c r="C232" s="2066"/>
      <c r="D232" s="2066"/>
      <c r="E232" s="2066"/>
      <c r="F232" s="2066"/>
      <c r="G232" s="2066"/>
      <c r="H232" s="2066"/>
      <c r="I232" s="2066"/>
      <c r="J232" s="2066"/>
      <c r="K232" s="2066"/>
      <c r="L232" s="2066"/>
      <c r="M232" s="2066"/>
      <c r="N232" s="2066"/>
      <c r="O232" s="2066"/>
      <c r="P232" s="2066"/>
    </row>
    <row r="233" spans="1:16" x14ac:dyDescent="0.3">
      <c r="A233" s="2066"/>
      <c r="B233" s="2066"/>
      <c r="C233" s="2066"/>
      <c r="D233" s="2066"/>
      <c r="E233" s="2066"/>
      <c r="F233" s="2066"/>
      <c r="G233" s="2066"/>
      <c r="H233" s="2066"/>
      <c r="I233" s="2066"/>
      <c r="J233" s="2066"/>
      <c r="K233" s="2066"/>
      <c r="L233" s="2066"/>
      <c r="M233" s="2066"/>
      <c r="N233" s="2066"/>
      <c r="O233" s="2066"/>
      <c r="P233" s="2066"/>
    </row>
    <row r="234" spans="1:16" x14ac:dyDescent="0.3">
      <c r="A234" s="2066"/>
      <c r="B234" s="2066"/>
      <c r="C234" s="2066"/>
      <c r="D234" s="2066"/>
      <c r="E234" s="2066"/>
      <c r="F234" s="2066"/>
      <c r="G234" s="2066"/>
      <c r="H234" s="2066"/>
      <c r="I234" s="2066"/>
      <c r="J234" s="2066"/>
      <c r="K234" s="2066"/>
      <c r="L234" s="2066"/>
      <c r="M234" s="2066"/>
      <c r="N234" s="2066"/>
      <c r="O234" s="2066"/>
      <c r="P234" s="2066"/>
    </row>
    <row r="235" spans="1:16" x14ac:dyDescent="0.3">
      <c r="A235" s="2066"/>
      <c r="B235" s="2066"/>
      <c r="C235" s="2066"/>
      <c r="D235" s="2066"/>
      <c r="E235" s="2066"/>
      <c r="F235" s="2066"/>
      <c r="G235" s="2066"/>
      <c r="H235" s="2066"/>
      <c r="I235" s="2066"/>
      <c r="J235" s="2066"/>
      <c r="K235" s="2066"/>
      <c r="L235" s="2066"/>
      <c r="M235" s="2066"/>
      <c r="N235" s="2066"/>
      <c r="O235" s="2066"/>
      <c r="P235" s="2066"/>
    </row>
    <row r="236" spans="1:16" x14ac:dyDescent="0.3">
      <c r="A236" s="2066"/>
      <c r="B236" s="2066"/>
      <c r="C236" s="2066"/>
      <c r="D236" s="2066"/>
      <c r="E236" s="2066"/>
      <c r="F236" s="2066"/>
      <c r="G236" s="2066"/>
      <c r="H236" s="2066"/>
      <c r="I236" s="2066"/>
      <c r="J236" s="2066"/>
      <c r="K236" s="2066"/>
      <c r="L236" s="2066"/>
      <c r="M236" s="2066"/>
      <c r="N236" s="2066"/>
      <c r="O236" s="2066"/>
      <c r="P236" s="2066"/>
    </row>
    <row r="237" spans="1:16" x14ac:dyDescent="0.3">
      <c r="A237" s="2066"/>
      <c r="B237" s="2066"/>
      <c r="C237" s="2066"/>
      <c r="D237" s="2066"/>
      <c r="E237" s="2066"/>
      <c r="F237" s="2066"/>
      <c r="G237" s="2066"/>
      <c r="H237" s="2066"/>
      <c r="I237" s="2066"/>
      <c r="J237" s="2066"/>
      <c r="K237" s="2066"/>
      <c r="L237" s="2066"/>
      <c r="M237" s="2066"/>
      <c r="N237" s="2066"/>
      <c r="O237" s="2066"/>
      <c r="P237" s="2066"/>
    </row>
    <row r="238" spans="1:16" x14ac:dyDescent="0.3">
      <c r="A238" s="2066"/>
      <c r="B238" s="2066"/>
      <c r="C238" s="2066"/>
      <c r="D238" s="2066"/>
      <c r="E238" s="2066"/>
      <c r="F238" s="2066"/>
      <c r="G238" s="2066"/>
      <c r="H238" s="2066"/>
      <c r="I238" s="2066"/>
      <c r="J238" s="2066"/>
      <c r="K238" s="2066"/>
      <c r="L238" s="2066"/>
      <c r="M238" s="2066"/>
      <c r="N238" s="2066"/>
      <c r="O238" s="2066"/>
      <c r="P238" s="2066"/>
    </row>
    <row r="239" spans="1:16" x14ac:dyDescent="0.3">
      <c r="A239" s="2066"/>
      <c r="B239" s="2066"/>
      <c r="C239" s="2066"/>
      <c r="D239" s="2066"/>
      <c r="E239" s="2066"/>
      <c r="F239" s="2066"/>
      <c r="G239" s="2066"/>
      <c r="H239" s="2066"/>
      <c r="I239" s="2066"/>
      <c r="J239" s="2066"/>
      <c r="K239" s="2066"/>
      <c r="L239" s="2066"/>
      <c r="M239" s="2066"/>
      <c r="N239" s="2066"/>
      <c r="O239" s="2066"/>
      <c r="P239" s="2066"/>
    </row>
    <row r="240" spans="1:16" x14ac:dyDescent="0.3">
      <c r="A240" s="2066"/>
      <c r="B240" s="2066"/>
      <c r="C240" s="2066"/>
      <c r="D240" s="2066"/>
      <c r="E240" s="2066"/>
      <c r="F240" s="2066"/>
      <c r="G240" s="2066"/>
      <c r="H240" s="2066"/>
      <c r="I240" s="2066"/>
      <c r="J240" s="2066"/>
      <c r="K240" s="2066"/>
      <c r="L240" s="2066"/>
      <c r="M240" s="2066"/>
      <c r="N240" s="2066"/>
      <c r="O240" s="2066"/>
      <c r="P240" s="2066"/>
    </row>
    <row r="241" spans="1:16" x14ac:dyDescent="0.3">
      <c r="A241" s="2066"/>
      <c r="B241" s="2066"/>
      <c r="C241" s="2066"/>
      <c r="D241" s="2066"/>
      <c r="E241" s="2066"/>
      <c r="F241" s="2066"/>
      <c r="G241" s="2066"/>
      <c r="H241" s="2066"/>
      <c r="I241" s="2066"/>
      <c r="J241" s="2066"/>
      <c r="K241" s="2066"/>
      <c r="L241" s="2066"/>
      <c r="M241" s="2066"/>
      <c r="N241" s="2066"/>
      <c r="O241" s="2066"/>
      <c r="P241" s="2066"/>
    </row>
    <row r="242" spans="1:16" x14ac:dyDescent="0.3">
      <c r="A242" s="2066"/>
      <c r="B242" s="2066"/>
      <c r="C242" s="2066"/>
      <c r="D242" s="2066"/>
      <c r="E242" s="2066"/>
      <c r="F242" s="2066"/>
      <c r="G242" s="2066"/>
      <c r="H242" s="2066"/>
      <c r="I242" s="2066"/>
      <c r="J242" s="2066"/>
      <c r="K242" s="2066"/>
      <c r="L242" s="2066"/>
      <c r="M242" s="2066"/>
      <c r="N242" s="2066"/>
      <c r="O242" s="2066"/>
      <c r="P242" s="2066"/>
    </row>
    <row r="243" spans="1:16" x14ac:dyDescent="0.3">
      <c r="A243" s="2066"/>
      <c r="B243" s="2066"/>
      <c r="C243" s="2066"/>
      <c r="D243" s="2066"/>
      <c r="E243" s="2066"/>
      <c r="F243" s="2066"/>
      <c r="G243" s="2066"/>
      <c r="H243" s="2066"/>
      <c r="I243" s="2066"/>
      <c r="J243" s="2066"/>
      <c r="K243" s="2066"/>
      <c r="L243" s="2066"/>
      <c r="M243" s="2066"/>
      <c r="N243" s="2066"/>
      <c r="O243" s="2066"/>
      <c r="P243" s="2066"/>
    </row>
    <row r="244" spans="1:16" x14ac:dyDescent="0.3">
      <c r="A244" s="2066"/>
      <c r="B244" s="2066"/>
      <c r="C244" s="2066"/>
      <c r="D244" s="2066"/>
      <c r="E244" s="2066"/>
      <c r="F244" s="2066"/>
      <c r="G244" s="2066"/>
      <c r="H244" s="2066"/>
      <c r="I244" s="2066"/>
      <c r="J244" s="2066"/>
      <c r="K244" s="2066"/>
      <c r="L244" s="2066"/>
      <c r="M244" s="2066"/>
      <c r="N244" s="2066"/>
      <c r="O244" s="2066"/>
      <c r="P244" s="2066"/>
    </row>
    <row r="245" spans="1:16" x14ac:dyDescent="0.3">
      <c r="A245" s="2066"/>
      <c r="B245" s="2066"/>
      <c r="C245" s="2066"/>
      <c r="D245" s="2066"/>
      <c r="E245" s="2066"/>
      <c r="F245" s="2066"/>
      <c r="G245" s="2066"/>
      <c r="H245" s="2066"/>
      <c r="I245" s="2066"/>
      <c r="J245" s="2066"/>
      <c r="K245" s="2066"/>
      <c r="L245" s="2066"/>
      <c r="M245" s="2066"/>
      <c r="N245" s="2066"/>
      <c r="O245" s="2066"/>
      <c r="P245" s="2066"/>
    </row>
    <row r="246" spans="1:16" x14ac:dyDescent="0.3">
      <c r="A246" s="2066"/>
      <c r="B246" s="2066"/>
      <c r="C246" s="2066"/>
      <c r="D246" s="2066"/>
      <c r="E246" s="2066"/>
      <c r="F246" s="2066"/>
      <c r="G246" s="2066"/>
      <c r="H246" s="2066"/>
      <c r="I246" s="2066"/>
      <c r="J246" s="2066"/>
      <c r="K246" s="2066"/>
      <c r="L246" s="2066"/>
      <c r="M246" s="2066"/>
      <c r="N246" s="2066"/>
      <c r="O246" s="2066"/>
      <c r="P246" s="2066"/>
    </row>
    <row r="247" spans="1:16" x14ac:dyDescent="0.3">
      <c r="A247" s="2066"/>
      <c r="B247" s="2066"/>
      <c r="C247" s="2066"/>
      <c r="D247" s="2066"/>
      <c r="E247" s="2066"/>
      <c r="F247" s="2066"/>
      <c r="G247" s="2066"/>
      <c r="H247" s="2066"/>
      <c r="I247" s="2066"/>
      <c r="J247" s="2066"/>
      <c r="K247" s="2066"/>
      <c r="L247" s="2066"/>
      <c r="M247" s="2066"/>
      <c r="N247" s="2066"/>
      <c r="O247" s="2066"/>
      <c r="P247" s="2066"/>
    </row>
    <row r="248" spans="1:16" x14ac:dyDescent="0.3">
      <c r="A248" s="2066"/>
      <c r="B248" s="2066"/>
      <c r="C248" s="2066"/>
      <c r="D248" s="2066"/>
      <c r="E248" s="2066"/>
      <c r="F248" s="2066"/>
      <c r="G248" s="2066"/>
      <c r="H248" s="2066"/>
      <c r="I248" s="2066"/>
      <c r="J248" s="2066"/>
      <c r="K248" s="2066"/>
      <c r="L248" s="2066"/>
      <c r="M248" s="2066"/>
      <c r="N248" s="2066"/>
      <c r="O248" s="2066"/>
      <c r="P248" s="2066"/>
    </row>
    <row r="249" spans="1:16" x14ac:dyDescent="0.3">
      <c r="A249" s="2066"/>
      <c r="B249" s="2066"/>
      <c r="C249" s="2066"/>
      <c r="D249" s="2066"/>
      <c r="E249" s="2066"/>
      <c r="F249" s="2066"/>
      <c r="G249" s="2066"/>
      <c r="H249" s="2066"/>
      <c r="I249" s="2066"/>
      <c r="J249" s="2066"/>
      <c r="K249" s="2066"/>
      <c r="L249" s="2066"/>
      <c r="M249" s="2066"/>
      <c r="N249" s="2066"/>
      <c r="O249" s="2066"/>
      <c r="P249" s="2066"/>
    </row>
    <row r="250" spans="1:16" x14ac:dyDescent="0.3">
      <c r="A250" s="2066"/>
      <c r="B250" s="2066"/>
      <c r="C250" s="2066"/>
      <c r="D250" s="2066"/>
      <c r="E250" s="2066"/>
      <c r="F250" s="2066"/>
      <c r="G250" s="2066"/>
      <c r="H250" s="2066"/>
      <c r="I250" s="2066"/>
      <c r="J250" s="2066"/>
      <c r="K250" s="2066"/>
      <c r="L250" s="2066"/>
      <c r="M250" s="2066"/>
      <c r="N250" s="2066"/>
      <c r="O250" s="2066"/>
      <c r="P250" s="2066"/>
    </row>
    <row r="251" spans="1:16" x14ac:dyDescent="0.3">
      <c r="A251" s="2066"/>
      <c r="B251" s="2066"/>
      <c r="C251" s="2066"/>
      <c r="D251" s="2066"/>
      <c r="E251" s="2066"/>
      <c r="F251" s="2066"/>
      <c r="G251" s="2066"/>
      <c r="H251" s="2066"/>
      <c r="I251" s="2066"/>
      <c r="J251" s="2066"/>
      <c r="K251" s="2066"/>
      <c r="L251" s="2066"/>
      <c r="M251" s="2066"/>
      <c r="N251" s="2066"/>
      <c r="O251" s="2066"/>
      <c r="P251" s="2066"/>
    </row>
    <row r="252" spans="1:16" x14ac:dyDescent="0.3">
      <c r="A252" s="2066"/>
      <c r="B252" s="2066"/>
      <c r="C252" s="2066"/>
      <c r="D252" s="2066"/>
      <c r="E252" s="2066"/>
      <c r="F252" s="2066"/>
      <c r="G252" s="2066"/>
      <c r="H252" s="2066"/>
      <c r="I252" s="2066"/>
      <c r="J252" s="2066"/>
      <c r="K252" s="2066"/>
      <c r="L252" s="2066"/>
      <c r="M252" s="2066"/>
      <c r="N252" s="2066"/>
      <c r="O252" s="2066"/>
      <c r="P252" s="2066"/>
    </row>
    <row r="253" spans="1:16" x14ac:dyDescent="0.3">
      <c r="A253" s="2066"/>
      <c r="B253" s="2066"/>
      <c r="C253" s="2066"/>
      <c r="D253" s="2066"/>
      <c r="E253" s="2066"/>
      <c r="F253" s="2066"/>
      <c r="G253" s="2066"/>
      <c r="H253" s="2066"/>
      <c r="I253" s="2066"/>
      <c r="J253" s="2066"/>
      <c r="K253" s="2066"/>
      <c r="L253" s="2066"/>
      <c r="M253" s="2066"/>
      <c r="N253" s="2066"/>
      <c r="O253" s="2066"/>
      <c r="P253" s="2066"/>
    </row>
    <row r="254" spans="1:16" x14ac:dyDescent="0.3">
      <c r="A254" s="2066"/>
      <c r="B254" s="2066"/>
      <c r="C254" s="2066"/>
      <c r="D254" s="2066"/>
      <c r="E254" s="2066"/>
      <c r="F254" s="2066"/>
      <c r="G254" s="2066"/>
      <c r="H254" s="2066"/>
      <c r="I254" s="2066"/>
      <c r="J254" s="2066"/>
      <c r="K254" s="2066"/>
      <c r="L254" s="2066"/>
      <c r="M254" s="2066"/>
      <c r="N254" s="2066"/>
      <c r="O254" s="2066"/>
      <c r="P254" s="2066"/>
    </row>
    <row r="255" spans="1:16" x14ac:dyDescent="0.3">
      <c r="A255" s="2066"/>
      <c r="B255" s="2066"/>
      <c r="C255" s="2066"/>
      <c r="D255" s="2066"/>
      <c r="E255" s="2066"/>
      <c r="F255" s="2066"/>
      <c r="G255" s="2066"/>
      <c r="H255" s="2066"/>
      <c r="I255" s="2066"/>
      <c r="J255" s="2066"/>
      <c r="K255" s="2066"/>
      <c r="L255" s="2066"/>
      <c r="M255" s="2066"/>
      <c r="N255" s="2066"/>
      <c r="O255" s="2066"/>
      <c r="P255" s="2066"/>
    </row>
    <row r="256" spans="1:16" x14ac:dyDescent="0.3">
      <c r="A256" s="2066"/>
      <c r="B256" s="2066"/>
      <c r="C256" s="2066"/>
      <c r="D256" s="2066"/>
      <c r="E256" s="2066"/>
      <c r="F256" s="2066"/>
      <c r="G256" s="2066"/>
      <c r="H256" s="2066"/>
      <c r="I256" s="2066"/>
      <c r="J256" s="2066"/>
      <c r="K256" s="2066"/>
      <c r="L256" s="2066"/>
      <c r="M256" s="2066"/>
      <c r="N256" s="2066"/>
      <c r="O256" s="2066"/>
      <c r="P256" s="2066"/>
    </row>
    <row r="257" spans="1:16" x14ac:dyDescent="0.3">
      <c r="A257" s="2066"/>
      <c r="B257" s="2066"/>
      <c r="C257" s="2066"/>
      <c r="D257" s="2066"/>
      <c r="E257" s="2066"/>
      <c r="F257" s="2066"/>
      <c r="G257" s="2066"/>
      <c r="H257" s="2066"/>
      <c r="I257" s="2066"/>
      <c r="J257" s="2066"/>
      <c r="K257" s="2066"/>
      <c r="L257" s="2066"/>
      <c r="M257" s="2066"/>
      <c r="N257" s="2066"/>
      <c r="O257" s="2066"/>
      <c r="P257" s="2066"/>
    </row>
    <row r="258" spans="1:16" x14ac:dyDescent="0.3">
      <c r="A258" s="2066"/>
      <c r="B258" s="2066"/>
      <c r="C258" s="2066"/>
      <c r="D258" s="2066"/>
      <c r="E258" s="2066"/>
      <c r="F258" s="2066"/>
      <c r="G258" s="2066"/>
      <c r="H258" s="2066"/>
      <c r="I258" s="2066"/>
      <c r="J258" s="2066"/>
      <c r="K258" s="2066"/>
      <c r="L258" s="2066"/>
      <c r="M258" s="2066"/>
      <c r="N258" s="2066"/>
      <c r="O258" s="2066"/>
      <c r="P258" s="2066"/>
    </row>
    <row r="259" spans="1:16" x14ac:dyDescent="0.3">
      <c r="A259" s="2066"/>
      <c r="B259" s="2066"/>
      <c r="C259" s="2066"/>
      <c r="D259" s="2066"/>
      <c r="E259" s="2066"/>
      <c r="F259" s="2066"/>
      <c r="G259" s="2066"/>
      <c r="H259" s="2066"/>
      <c r="I259" s="2066"/>
      <c r="J259" s="2066"/>
      <c r="K259" s="2066"/>
      <c r="L259" s="2066"/>
      <c r="M259" s="2066"/>
      <c r="N259" s="2066"/>
      <c r="O259" s="2066"/>
      <c r="P259" s="2066"/>
    </row>
    <row r="260" spans="1:16" x14ac:dyDescent="0.3">
      <c r="A260" s="2066"/>
      <c r="B260" s="2066"/>
      <c r="C260" s="2066"/>
      <c r="D260" s="2066"/>
      <c r="E260" s="2066"/>
      <c r="F260" s="2066"/>
      <c r="G260" s="2066"/>
      <c r="H260" s="2066"/>
      <c r="I260" s="2066"/>
      <c r="J260" s="2066"/>
      <c r="K260" s="2066"/>
      <c r="L260" s="2066"/>
      <c r="M260" s="2066"/>
      <c r="N260" s="2066"/>
      <c r="O260" s="2066"/>
      <c r="P260" s="2066"/>
    </row>
    <row r="261" spans="1:16" x14ac:dyDescent="0.3">
      <c r="A261" s="2066"/>
      <c r="B261" s="2066"/>
      <c r="C261" s="2066"/>
      <c r="D261" s="2066"/>
      <c r="E261" s="2066"/>
      <c r="F261" s="2066"/>
      <c r="G261" s="2066"/>
      <c r="H261" s="2066"/>
      <c r="I261" s="2066"/>
      <c r="J261" s="2066"/>
      <c r="K261" s="2066"/>
      <c r="L261" s="2066"/>
      <c r="M261" s="2066"/>
      <c r="N261" s="2066"/>
      <c r="O261" s="2066"/>
      <c r="P261" s="2066"/>
    </row>
    <row r="262" spans="1:16" x14ac:dyDescent="0.3">
      <c r="A262" s="2066"/>
      <c r="B262" s="2066"/>
      <c r="C262" s="2066"/>
      <c r="D262" s="2066"/>
      <c r="E262" s="2066"/>
      <c r="F262" s="2066"/>
      <c r="G262" s="2066"/>
      <c r="H262" s="2066"/>
      <c r="I262" s="2066"/>
      <c r="J262" s="2066"/>
      <c r="K262" s="2066"/>
      <c r="L262" s="2066"/>
      <c r="M262" s="2066"/>
      <c r="N262" s="2066"/>
      <c r="O262" s="2066"/>
      <c r="P262" s="2066"/>
    </row>
    <row r="263" spans="1:16" x14ac:dyDescent="0.3">
      <c r="A263" s="2066"/>
      <c r="B263" s="2066"/>
      <c r="C263" s="2066"/>
      <c r="D263" s="2066"/>
      <c r="E263" s="2066"/>
      <c r="F263" s="2066"/>
      <c r="G263" s="2066"/>
      <c r="H263" s="2066"/>
      <c r="I263" s="2066"/>
      <c r="J263" s="2066"/>
      <c r="K263" s="2066"/>
      <c r="L263" s="2066"/>
      <c r="M263" s="2066"/>
      <c r="N263" s="2066"/>
      <c r="O263" s="2066"/>
      <c r="P263" s="2066"/>
    </row>
    <row r="264" spans="1:16" x14ac:dyDescent="0.3">
      <c r="A264" s="2066"/>
      <c r="B264" s="2066"/>
      <c r="C264" s="2066"/>
      <c r="D264" s="2066"/>
      <c r="E264" s="2066"/>
      <c r="F264" s="2066"/>
      <c r="G264" s="2066"/>
      <c r="H264" s="2066"/>
      <c r="I264" s="2066"/>
      <c r="J264" s="2066"/>
      <c r="K264" s="2066"/>
      <c r="L264" s="2066"/>
      <c r="M264" s="2066"/>
      <c r="N264" s="2066"/>
      <c r="O264" s="2066"/>
      <c r="P264" s="2066"/>
    </row>
    <row r="265" spans="1:16" x14ac:dyDescent="0.3">
      <c r="A265" s="2066"/>
      <c r="B265" s="2066"/>
      <c r="C265" s="2066"/>
      <c r="D265" s="2066"/>
      <c r="E265" s="2066"/>
      <c r="F265" s="2066"/>
      <c r="G265" s="2066"/>
      <c r="H265" s="2066"/>
      <c r="I265" s="2066"/>
      <c r="J265" s="2066"/>
      <c r="K265" s="2066"/>
      <c r="L265" s="2066"/>
      <c r="M265" s="2066"/>
      <c r="N265" s="2066"/>
      <c r="O265" s="2066"/>
      <c r="P265" s="2066"/>
    </row>
    <row r="266" spans="1:16" x14ac:dyDescent="0.3">
      <c r="A266" s="2066"/>
      <c r="B266" s="2066"/>
      <c r="C266" s="2066"/>
      <c r="D266" s="2066"/>
      <c r="E266" s="2066"/>
      <c r="F266" s="2066"/>
      <c r="G266" s="2066"/>
      <c r="H266" s="2066"/>
      <c r="I266" s="2066"/>
      <c r="J266" s="2066"/>
      <c r="K266" s="2066"/>
      <c r="L266" s="2066"/>
      <c r="M266" s="2066"/>
      <c r="N266" s="2066"/>
      <c r="O266" s="2066"/>
      <c r="P266" s="2066"/>
    </row>
    <row r="267" spans="1:16" x14ac:dyDescent="0.3">
      <c r="A267" s="2066"/>
      <c r="B267" s="2066"/>
      <c r="C267" s="2066"/>
      <c r="D267" s="2066"/>
      <c r="E267" s="2066"/>
      <c r="F267" s="2066"/>
      <c r="G267" s="2066"/>
      <c r="H267" s="2066"/>
      <c r="I267" s="2066"/>
      <c r="J267" s="2066"/>
      <c r="K267" s="2066"/>
      <c r="L267" s="2066"/>
      <c r="M267" s="2066"/>
      <c r="N267" s="2066"/>
      <c r="O267" s="2066"/>
      <c r="P267" s="2066"/>
    </row>
    <row r="268" spans="1:16" x14ac:dyDescent="0.3">
      <c r="A268" s="2066"/>
      <c r="B268" s="2066"/>
      <c r="C268" s="2066"/>
      <c r="D268" s="2066"/>
      <c r="E268" s="2066"/>
      <c r="F268" s="2066"/>
      <c r="G268" s="2066"/>
      <c r="H268" s="2066"/>
      <c r="I268" s="2066"/>
      <c r="J268" s="2066"/>
      <c r="K268" s="2066"/>
      <c r="L268" s="2066"/>
      <c r="M268" s="2066"/>
      <c r="N268" s="2066"/>
      <c r="O268" s="2066"/>
      <c r="P268" s="2066"/>
    </row>
    <row r="269" spans="1:16" x14ac:dyDescent="0.3">
      <c r="A269" s="2066"/>
      <c r="B269" s="2066"/>
      <c r="C269" s="2066"/>
      <c r="D269" s="2066"/>
      <c r="E269" s="2066"/>
      <c r="F269" s="2066"/>
      <c r="G269" s="2066"/>
      <c r="H269" s="2066"/>
      <c r="I269" s="2066"/>
      <c r="J269" s="2066"/>
      <c r="K269" s="2066"/>
      <c r="L269" s="2066"/>
      <c r="M269" s="2066"/>
      <c r="N269" s="2066"/>
      <c r="O269" s="2066"/>
      <c r="P269" s="2066"/>
    </row>
    <row r="270" spans="1:16" x14ac:dyDescent="0.3">
      <c r="A270" s="2066"/>
      <c r="B270" s="2066"/>
      <c r="C270" s="2066"/>
      <c r="D270" s="2066"/>
      <c r="E270" s="2066"/>
      <c r="F270" s="2066"/>
      <c r="G270" s="2066"/>
      <c r="H270" s="2066"/>
      <c r="I270" s="2066"/>
      <c r="J270" s="2066"/>
      <c r="K270" s="2066"/>
      <c r="L270" s="2066"/>
      <c r="M270" s="2066"/>
      <c r="N270" s="2066"/>
      <c r="O270" s="2066"/>
      <c r="P270" s="2066"/>
    </row>
    <row r="271" spans="1:16" x14ac:dyDescent="0.3">
      <c r="A271" s="2066"/>
      <c r="B271" s="2066"/>
      <c r="C271" s="2066"/>
      <c r="D271" s="2066"/>
      <c r="E271" s="2066"/>
      <c r="F271" s="2066"/>
      <c r="G271" s="2066"/>
      <c r="H271" s="2066"/>
      <c r="I271" s="2066"/>
      <c r="J271" s="2066"/>
      <c r="K271" s="2066"/>
      <c r="L271" s="2066"/>
      <c r="M271" s="2066"/>
      <c r="N271" s="2066"/>
      <c r="O271" s="2066"/>
      <c r="P271" s="2066"/>
    </row>
    <row r="272" spans="1:16" x14ac:dyDescent="0.3">
      <c r="A272" s="2066"/>
      <c r="B272" s="2066"/>
      <c r="C272" s="2066"/>
      <c r="D272" s="2066"/>
      <c r="E272" s="2066"/>
      <c r="F272" s="2066"/>
      <c r="G272" s="2066"/>
      <c r="H272" s="2066"/>
      <c r="I272" s="2066"/>
      <c r="J272" s="2066"/>
      <c r="K272" s="2066"/>
      <c r="L272" s="2066"/>
      <c r="M272" s="2066"/>
      <c r="N272" s="2066"/>
      <c r="O272" s="2066"/>
      <c r="P272" s="2066"/>
    </row>
    <row r="273" spans="1:16" x14ac:dyDescent="0.3">
      <c r="A273" s="2066"/>
      <c r="B273" s="2066"/>
      <c r="C273" s="2066"/>
      <c r="D273" s="2066"/>
      <c r="E273" s="2066"/>
      <c r="F273" s="2066"/>
      <c r="G273" s="2066"/>
      <c r="H273" s="2066"/>
      <c r="I273" s="2066"/>
      <c r="J273" s="2066"/>
      <c r="K273" s="2066"/>
      <c r="L273" s="2066"/>
      <c r="M273" s="2066"/>
      <c r="N273" s="2066"/>
      <c r="O273" s="2066"/>
      <c r="P273" s="2066"/>
    </row>
    <row r="274" spans="1:16" x14ac:dyDescent="0.3">
      <c r="A274" s="2066"/>
      <c r="B274" s="2066"/>
      <c r="C274" s="2066"/>
      <c r="D274" s="2066"/>
      <c r="E274" s="2066"/>
      <c r="F274" s="2066"/>
      <c r="G274" s="2066"/>
      <c r="H274" s="2066"/>
      <c r="I274" s="2066"/>
      <c r="J274" s="2066"/>
      <c r="K274" s="2066"/>
      <c r="L274" s="2066"/>
      <c r="M274" s="2066"/>
      <c r="N274" s="2066"/>
      <c r="O274" s="2066"/>
      <c r="P274" s="2066"/>
    </row>
    <row r="275" spans="1:16" x14ac:dyDescent="0.3">
      <c r="A275" s="2066"/>
      <c r="B275" s="2066"/>
      <c r="C275" s="2066"/>
      <c r="D275" s="2066"/>
      <c r="E275" s="2066"/>
      <c r="F275" s="2066"/>
      <c r="G275" s="2066"/>
      <c r="H275" s="2066"/>
      <c r="I275" s="2066"/>
      <c r="J275" s="2066"/>
      <c r="K275" s="2066"/>
      <c r="L275" s="2066"/>
      <c r="M275" s="2066"/>
      <c r="N275" s="2066"/>
      <c r="O275" s="2066"/>
      <c r="P275" s="2066"/>
    </row>
    <row r="276" spans="1:16" x14ac:dyDescent="0.3">
      <c r="A276" s="2066"/>
      <c r="B276" s="2066"/>
      <c r="C276" s="2066"/>
      <c r="D276" s="2066"/>
      <c r="E276" s="2066"/>
      <c r="F276" s="2066"/>
      <c r="G276" s="2066"/>
      <c r="H276" s="2066"/>
      <c r="I276" s="2066"/>
      <c r="J276" s="2066"/>
      <c r="K276" s="2066"/>
      <c r="L276" s="2066"/>
      <c r="M276" s="2066"/>
      <c r="N276" s="2066"/>
      <c r="O276" s="2066"/>
      <c r="P276" s="2066"/>
    </row>
    <row r="277" spans="1:16" x14ac:dyDescent="0.3">
      <c r="A277" s="2066"/>
      <c r="B277" s="2066"/>
      <c r="C277" s="2066"/>
      <c r="D277" s="2066"/>
      <c r="E277" s="2066"/>
      <c r="F277" s="2066"/>
      <c r="G277" s="2066"/>
      <c r="H277" s="2066"/>
      <c r="I277" s="2066"/>
      <c r="J277" s="2066"/>
      <c r="K277" s="2066"/>
      <c r="L277" s="2066"/>
      <c r="M277" s="2066"/>
      <c r="N277" s="2066"/>
      <c r="O277" s="2066"/>
      <c r="P277" s="2066"/>
    </row>
    <row r="278" spans="1:16" x14ac:dyDescent="0.3">
      <c r="A278" s="2066"/>
      <c r="B278" s="2066"/>
      <c r="C278" s="2066"/>
      <c r="D278" s="2066"/>
      <c r="E278" s="2066"/>
      <c r="F278" s="2066"/>
      <c r="G278" s="2066"/>
      <c r="H278" s="2066"/>
      <c r="I278" s="2066"/>
      <c r="J278" s="2066"/>
      <c r="K278" s="2066"/>
      <c r="L278" s="2066"/>
      <c r="M278" s="2066"/>
      <c r="N278" s="2066"/>
      <c r="O278" s="2066"/>
      <c r="P278" s="2066"/>
    </row>
    <row r="279" spans="1:16" x14ac:dyDescent="0.3">
      <c r="A279" s="2066"/>
      <c r="B279" s="2066"/>
      <c r="C279" s="2066"/>
      <c r="D279" s="2066"/>
      <c r="E279" s="2066"/>
      <c r="F279" s="2066"/>
      <c r="G279" s="2066"/>
      <c r="H279" s="2066"/>
      <c r="I279" s="2066"/>
      <c r="J279" s="2066"/>
      <c r="K279" s="2066"/>
      <c r="L279" s="2066"/>
      <c r="M279" s="2066"/>
      <c r="N279" s="2066"/>
      <c r="O279" s="2066"/>
      <c r="P279" s="2066"/>
    </row>
    <row r="280" spans="1:16" x14ac:dyDescent="0.3">
      <c r="A280" s="2066"/>
      <c r="B280" s="2066"/>
      <c r="C280" s="2066"/>
      <c r="D280" s="2066"/>
      <c r="E280" s="2066"/>
      <c r="F280" s="2066"/>
      <c r="G280" s="2066"/>
      <c r="H280" s="2066"/>
      <c r="I280" s="2066"/>
      <c r="J280" s="2066"/>
      <c r="K280" s="2066"/>
      <c r="L280" s="2066"/>
      <c r="M280" s="2066"/>
      <c r="N280" s="2066"/>
      <c r="O280" s="2066"/>
      <c r="P280" s="2066"/>
    </row>
    <row r="281" spans="1:16" x14ac:dyDescent="0.3">
      <c r="A281" s="2066"/>
      <c r="B281" s="2066"/>
      <c r="C281" s="2066"/>
      <c r="D281" s="2066"/>
      <c r="E281" s="2066"/>
      <c r="F281" s="2066"/>
      <c r="G281" s="2066"/>
      <c r="H281" s="2066"/>
      <c r="I281" s="2066"/>
      <c r="J281" s="2066"/>
      <c r="K281" s="2066"/>
      <c r="L281" s="2066"/>
      <c r="M281" s="2066"/>
      <c r="N281" s="2066"/>
      <c r="O281" s="2066"/>
      <c r="P281" s="2066"/>
    </row>
    <row r="282" spans="1:16" x14ac:dyDescent="0.3">
      <c r="A282" s="2066"/>
      <c r="B282" s="2066"/>
      <c r="C282" s="2066"/>
      <c r="D282" s="2066"/>
      <c r="E282" s="2066"/>
      <c r="F282" s="2066"/>
      <c r="G282" s="2066"/>
      <c r="H282" s="2066"/>
      <c r="I282" s="2066"/>
      <c r="J282" s="2066"/>
      <c r="K282" s="2066"/>
      <c r="L282" s="2066"/>
      <c r="M282" s="2066"/>
      <c r="N282" s="2066"/>
      <c r="O282" s="2066"/>
      <c r="P282" s="2066"/>
    </row>
    <row r="283" spans="1:16" x14ac:dyDescent="0.3">
      <c r="A283" s="2066"/>
      <c r="B283" s="2066"/>
      <c r="C283" s="2066"/>
      <c r="D283" s="2066"/>
      <c r="E283" s="2066"/>
      <c r="F283" s="2066"/>
      <c r="G283" s="2066"/>
      <c r="H283" s="2066"/>
      <c r="I283" s="2066"/>
      <c r="J283" s="2066"/>
      <c r="K283" s="2066"/>
      <c r="L283" s="2066"/>
      <c r="M283" s="2066"/>
      <c r="N283" s="2066"/>
      <c r="O283" s="2066"/>
      <c r="P283" s="2066"/>
    </row>
    <row r="284" spans="1:16" x14ac:dyDescent="0.3">
      <c r="A284" s="2066"/>
      <c r="B284" s="2066"/>
      <c r="C284" s="2066"/>
      <c r="D284" s="2066"/>
      <c r="E284" s="2066"/>
      <c r="F284" s="2066"/>
      <c r="G284" s="2066"/>
      <c r="H284" s="2066"/>
      <c r="I284" s="2066"/>
      <c r="J284" s="2066"/>
      <c r="K284" s="2066"/>
      <c r="L284" s="2066"/>
      <c r="M284" s="2066"/>
      <c r="N284" s="2066"/>
      <c r="O284" s="2066"/>
      <c r="P284" s="2066"/>
    </row>
    <row r="285" spans="1:16" x14ac:dyDescent="0.3">
      <c r="A285" s="2066"/>
      <c r="B285" s="2066"/>
      <c r="C285" s="2066"/>
      <c r="D285" s="2066"/>
      <c r="E285" s="2066"/>
      <c r="F285" s="2066"/>
      <c r="G285" s="2066"/>
      <c r="H285" s="2066"/>
      <c r="I285" s="2066"/>
      <c r="J285" s="2066"/>
      <c r="K285" s="2066"/>
      <c r="L285" s="2066"/>
      <c r="M285" s="2066"/>
      <c r="N285" s="2066"/>
      <c r="O285" s="2066"/>
      <c r="P285" s="2066"/>
    </row>
    <row r="286" spans="1:16" x14ac:dyDescent="0.3">
      <c r="A286" s="2066"/>
      <c r="B286" s="2066"/>
      <c r="C286" s="2066"/>
      <c r="D286" s="2066"/>
      <c r="E286" s="2066"/>
      <c r="F286" s="2066"/>
      <c r="G286" s="2066"/>
      <c r="H286" s="2066"/>
      <c r="I286" s="2066"/>
      <c r="J286" s="2066"/>
      <c r="K286" s="2066"/>
      <c r="L286" s="2066"/>
      <c r="M286" s="2066"/>
      <c r="N286" s="2066"/>
      <c r="O286" s="2066"/>
      <c r="P286" s="2066"/>
    </row>
    <row r="287" spans="1:16" x14ac:dyDescent="0.3">
      <c r="A287" s="2066"/>
      <c r="B287" s="2066"/>
      <c r="C287" s="2066"/>
      <c r="D287" s="2066"/>
      <c r="E287" s="2066"/>
      <c r="F287" s="2066"/>
      <c r="G287" s="2066"/>
      <c r="H287" s="2066"/>
      <c r="I287" s="2066"/>
      <c r="J287" s="2066"/>
      <c r="K287" s="2066"/>
      <c r="L287" s="2066"/>
      <c r="M287" s="2066"/>
      <c r="N287" s="2066"/>
      <c r="O287" s="2066"/>
      <c r="P287" s="2066"/>
    </row>
    <row r="288" spans="1:16" x14ac:dyDescent="0.3">
      <c r="A288" s="2066"/>
      <c r="B288" s="2066"/>
      <c r="C288" s="2066"/>
      <c r="D288" s="2066"/>
      <c r="E288" s="2066"/>
      <c r="F288" s="2066"/>
      <c r="G288" s="2066"/>
      <c r="H288" s="2066"/>
      <c r="I288" s="2066"/>
      <c r="J288" s="2066"/>
      <c r="K288" s="2066"/>
      <c r="L288" s="2066"/>
      <c r="M288" s="2066"/>
      <c r="N288" s="2066"/>
      <c r="O288" s="2066"/>
      <c r="P288" s="2066"/>
    </row>
    <row r="289" spans="1:17" x14ac:dyDescent="0.3">
      <c r="A289" s="2066"/>
      <c r="B289" s="2066"/>
      <c r="C289" s="2066"/>
      <c r="D289" s="2066"/>
      <c r="E289" s="2066"/>
      <c r="F289" s="2066"/>
      <c r="G289" s="2066"/>
      <c r="H289" s="2066"/>
      <c r="I289" s="2066"/>
      <c r="J289" s="2066"/>
      <c r="K289" s="2066"/>
      <c r="L289" s="2066"/>
      <c r="M289" s="2066"/>
      <c r="N289" s="2066"/>
      <c r="O289" s="2066"/>
      <c r="P289" s="2066"/>
    </row>
    <row r="290" spans="1:17" x14ac:dyDescent="0.3">
      <c r="A290" s="2066"/>
      <c r="B290" s="2066"/>
      <c r="C290" s="2066"/>
      <c r="D290" s="2066"/>
      <c r="E290" s="2066"/>
      <c r="F290" s="2066"/>
      <c r="G290" s="2066"/>
      <c r="H290" s="2066"/>
      <c r="I290" s="2066"/>
      <c r="J290" s="2066"/>
      <c r="K290" s="2066"/>
      <c r="L290" s="2066"/>
      <c r="M290" s="2066"/>
      <c r="N290" s="2066"/>
      <c r="O290" s="2066"/>
      <c r="P290" s="2066"/>
    </row>
    <row r="291" spans="1:17" x14ac:dyDescent="0.3">
      <c r="A291" s="2066"/>
      <c r="B291" s="2066"/>
      <c r="C291" s="2066"/>
      <c r="D291" s="2066"/>
      <c r="E291" s="2066"/>
      <c r="F291" s="2066"/>
      <c r="G291" s="2066"/>
      <c r="H291" s="2066"/>
      <c r="I291" s="2066"/>
      <c r="J291" s="2066"/>
      <c r="K291" s="2066"/>
      <c r="L291" s="2066"/>
      <c r="M291" s="2066"/>
      <c r="N291" s="2066"/>
      <c r="O291" s="2066"/>
      <c r="P291" s="2066"/>
    </row>
    <row r="292" spans="1:17" x14ac:dyDescent="0.3">
      <c r="A292" s="2066"/>
      <c r="B292" s="2066"/>
      <c r="C292" s="2066"/>
      <c r="D292" s="2066"/>
      <c r="E292" s="2066"/>
      <c r="F292" s="2066"/>
      <c r="G292" s="2066"/>
      <c r="H292" s="2066"/>
      <c r="I292" s="2066"/>
      <c r="J292" s="2066"/>
      <c r="K292" s="2066"/>
      <c r="L292" s="2066"/>
      <c r="M292" s="2066"/>
      <c r="N292" s="2066"/>
      <c r="O292" s="2066"/>
      <c r="P292" s="2066"/>
    </row>
    <row r="293" spans="1:17" x14ac:dyDescent="0.3">
      <c r="A293" s="2066"/>
      <c r="B293" s="2066"/>
      <c r="C293" s="2066"/>
      <c r="D293" s="2066"/>
      <c r="E293" s="2066"/>
      <c r="F293" s="2066"/>
      <c r="G293" s="2066"/>
      <c r="H293" s="2066"/>
      <c r="I293" s="2066"/>
      <c r="J293" s="2066"/>
      <c r="K293" s="2066"/>
      <c r="L293" s="2066"/>
      <c r="M293" s="2066"/>
      <c r="N293" s="2066"/>
      <c r="O293" s="2066"/>
      <c r="P293" s="2066"/>
    </row>
    <row r="299" spans="1:17" ht="15" thickBot="1" x14ac:dyDescent="0.35">
      <c r="A299" s="137"/>
      <c r="B299" s="137"/>
      <c r="C299" s="137"/>
      <c r="D299" s="137"/>
      <c r="E299" s="137"/>
      <c r="F299" s="137"/>
      <c r="G299" s="137"/>
      <c r="H299" s="137"/>
      <c r="I299" s="137"/>
      <c r="J299" s="137"/>
      <c r="K299" s="137"/>
      <c r="L299" s="137"/>
      <c r="M299" s="137"/>
      <c r="N299" s="137"/>
      <c r="O299" s="137"/>
      <c r="P299" s="137"/>
      <c r="Q299" s="137"/>
    </row>
    <row r="301" spans="1:17" x14ac:dyDescent="0.3">
      <c r="B301" s="82" t="s">
        <v>6938</v>
      </c>
    </row>
    <row r="302" spans="1:17" x14ac:dyDescent="0.3">
      <c r="B302" t="s">
        <v>5209</v>
      </c>
      <c r="C302" t="s">
        <v>7289</v>
      </c>
    </row>
    <row r="303" spans="1:17" x14ac:dyDescent="0.3">
      <c r="B303" t="s">
        <v>5223</v>
      </c>
      <c r="C303" t="s">
        <v>7290</v>
      </c>
    </row>
    <row r="304" spans="1:17" x14ac:dyDescent="0.3">
      <c r="B304" t="s">
        <v>5219</v>
      </c>
    </row>
    <row r="305" spans="1:25" x14ac:dyDescent="0.3">
      <c r="B305" t="s">
        <v>7286</v>
      </c>
    </row>
    <row r="306" spans="1:25" ht="15" thickBot="1" x14ac:dyDescent="0.35">
      <c r="A306" s="137"/>
      <c r="B306" s="137"/>
      <c r="C306" s="137"/>
      <c r="D306" s="137"/>
      <c r="E306" s="137"/>
      <c r="F306" s="137"/>
      <c r="G306" s="137"/>
      <c r="H306" s="137"/>
      <c r="I306" s="137"/>
      <c r="J306" s="137"/>
      <c r="K306" s="137"/>
      <c r="L306" s="137"/>
      <c r="M306" s="137"/>
      <c r="N306" s="137"/>
      <c r="O306" s="137"/>
      <c r="R306" s="20"/>
      <c r="W306" s="42"/>
      <c r="Y306" s="36"/>
    </row>
    <row r="307" spans="1:25" x14ac:dyDescent="0.3">
      <c r="R307" s="20"/>
      <c r="W307" s="42"/>
      <c r="Y307" s="36"/>
    </row>
    <row r="308" spans="1:25" ht="18" x14ac:dyDescent="0.35">
      <c r="B308" s="138" t="s">
        <v>6941</v>
      </c>
      <c r="C308" s="34"/>
      <c r="H308" s="355"/>
      <c r="R308" s="20"/>
      <c r="W308" s="42"/>
      <c r="Y308" s="36"/>
    </row>
    <row r="309" spans="1:25" x14ac:dyDescent="0.3">
      <c r="R309" s="20"/>
      <c r="W309" s="42"/>
      <c r="Y309" s="36"/>
    </row>
    <row r="310" spans="1:25" x14ac:dyDescent="0.3">
      <c r="B310" s="139" t="s">
        <v>6942</v>
      </c>
      <c r="C310" s="140"/>
      <c r="D310" s="140"/>
      <c r="E310" s="139"/>
      <c r="F310" s="141"/>
      <c r="R310" s="20"/>
      <c r="W310" s="42"/>
      <c r="Y310" s="36"/>
    </row>
    <row r="311" spans="1:25" x14ac:dyDescent="0.3">
      <c r="B311" s="143" t="s">
        <v>2663</v>
      </c>
      <c r="C311" s="144" t="s">
        <v>565</v>
      </c>
      <c r="D311" s="144" t="s">
        <v>6943</v>
      </c>
      <c r="E311" s="143" t="s">
        <v>565</v>
      </c>
      <c r="F311" s="145" t="s">
        <v>6944</v>
      </c>
      <c r="R311" s="20"/>
      <c r="W311" s="42"/>
      <c r="Y311" s="36"/>
    </row>
    <row r="312" spans="1:25" x14ac:dyDescent="0.3">
      <c r="A312" t="s">
        <v>6945</v>
      </c>
      <c r="B312" s="149" t="s">
        <v>5724</v>
      </c>
      <c r="C312" s="295">
        <f>VLOOKUP(B312,R4:U303,3,FALSE)</f>
        <v>60.768423500861658</v>
      </c>
      <c r="D312" s="151" t="s">
        <v>2478</v>
      </c>
      <c r="E312" s="359">
        <f>CONVERT(C312,"m^3","ft^3")</f>
        <v>2146.0166231232042</v>
      </c>
      <c r="F312" s="151" t="s">
        <v>2479</v>
      </c>
      <c r="R312" s="20"/>
      <c r="W312" s="42"/>
      <c r="Y312" s="36"/>
    </row>
    <row r="313" spans="1:25" x14ac:dyDescent="0.3">
      <c r="R313" s="20"/>
      <c r="W313" s="42"/>
      <c r="Y313" s="36"/>
    </row>
    <row r="314" spans="1:25" s="369" customFormat="1" ht="43.2" x14ac:dyDescent="0.3">
      <c r="B314" s="370" t="s">
        <v>6946</v>
      </c>
      <c r="C314" s="362" t="s">
        <v>6947</v>
      </c>
      <c r="D314" s="371" t="s">
        <v>6948</v>
      </c>
      <c r="E314" s="362" t="s">
        <v>6949</v>
      </c>
      <c r="F314" s="362" t="s">
        <v>6950</v>
      </c>
      <c r="G314" s="362" t="s">
        <v>6951</v>
      </c>
      <c r="H314" s="362" t="s">
        <v>6952</v>
      </c>
      <c r="I314" s="371" t="s">
        <v>6953</v>
      </c>
      <c r="J314" s="371" t="s">
        <v>6954</v>
      </c>
      <c r="K314" s="362" t="s">
        <v>6955</v>
      </c>
      <c r="L314" s="362" t="s">
        <v>6956</v>
      </c>
      <c r="M314" s="362" t="s">
        <v>6957</v>
      </c>
      <c r="N314" s="362" t="s">
        <v>6958</v>
      </c>
      <c r="O314" s="363" t="s">
        <v>6959</v>
      </c>
    </row>
    <row r="315" spans="1:25" x14ac:dyDescent="0.3">
      <c r="A315" t="s">
        <v>6960</v>
      </c>
      <c r="B315" s="99" t="s">
        <v>6961</v>
      </c>
      <c r="C315" s="153">
        <f>VLOOKUP("Deep and shallow pit constructiona",Econ.Equations!C:E,2,FALSE)*E312^VLOOKUP("Deep and shallow pit constructionb",Econ.Equations!$C:$E,2,FALSE)*E312</f>
        <v>15769.987297781166</v>
      </c>
      <c r="D315">
        <f>VLOOKUP("CAPEXLifetimeBuildings and constructionDefault",Econ.inputsTable!$E:$I,2,FALSE)</f>
        <v>20</v>
      </c>
      <c r="E315" t="s">
        <v>2852</v>
      </c>
      <c r="F315" t="s">
        <v>2852</v>
      </c>
      <c r="G315" s="154">
        <f>VLOOKUP("CAPEXAnnual usage on activityItems that are used only on the given activityDefault",Econ.inputsTable!$E:$I,2,FALSE)</f>
        <v>1</v>
      </c>
      <c r="H315" s="503">
        <f>UDV.econ_capital.interest_rate</f>
        <v>5.0999999999999997E-2</v>
      </c>
      <c r="I315" s="155">
        <f>VLOOKUP("CAPEXSalvageBuildings and constructionDefault",Econ.inputsTable!$E:$J,2,FALSE)</f>
        <v>0</v>
      </c>
      <c r="J315" s="156">
        <f>C315*I315</f>
        <v>0</v>
      </c>
      <c r="K315" s="154">
        <f>VLOOKUP("CAPEXFinanced amountNADefault",Econ.inputsTable!$E:$G,2,FALSE)</f>
        <v>1</v>
      </c>
      <c r="L315" s="364">
        <f>H315*K315</f>
        <v>5.0999999999999997E-2</v>
      </c>
      <c r="M315" s="351">
        <f>L315/(1-(1+L315)^-D315)</f>
        <v>8.0924368970045152E-2</v>
      </c>
      <c r="N315" s="153">
        <f>((C315-J315)*M315)+(J315*L315)</f>
        <v>1276.1762707385685</v>
      </c>
      <c r="O315" s="372">
        <f>N315*G315</f>
        <v>1276.1762707385685</v>
      </c>
      <c r="R315" s="20"/>
      <c r="W315" s="42"/>
      <c r="Y315" s="36"/>
    </row>
    <row r="316" spans="1:25" x14ac:dyDescent="0.3">
      <c r="B316" s="99"/>
      <c r="O316" s="146"/>
      <c r="R316" s="20"/>
      <c r="W316" s="42"/>
      <c r="Y316" s="36"/>
    </row>
    <row r="317" spans="1:25" x14ac:dyDescent="0.3">
      <c r="B317" s="99"/>
      <c r="C317" s="82" t="s">
        <v>6962</v>
      </c>
      <c r="D317" s="82" t="s">
        <v>6963</v>
      </c>
      <c r="O317" s="146"/>
      <c r="R317" s="20"/>
      <c r="W317" s="42"/>
      <c r="Y317" s="36"/>
    </row>
    <row r="318" spans="1:25" x14ac:dyDescent="0.3">
      <c r="A318" t="s">
        <v>6945</v>
      </c>
      <c r="B318" s="99" t="s">
        <v>6964</v>
      </c>
      <c r="C318" s="153">
        <f>SUM(C315:C315)</f>
        <v>15769.987297781166</v>
      </c>
      <c r="D318" s="158">
        <f>SUMPRODUCT(C315:C315,G315:G315)</f>
        <v>15769.987297781166</v>
      </c>
      <c r="O318" s="146"/>
      <c r="R318" s="20"/>
      <c r="W318" s="42"/>
      <c r="Y318" s="36"/>
    </row>
    <row r="319" spans="1:25" x14ac:dyDescent="0.3">
      <c r="A319" t="s">
        <v>6945</v>
      </c>
      <c r="B319" s="149" t="s">
        <v>6965</v>
      </c>
      <c r="C319" s="159">
        <f>SUM(N315:N315)</f>
        <v>1276.1762707385685</v>
      </c>
      <c r="D319" s="159">
        <f>SUMPRODUCT(N315:N315,G315:G315)</f>
        <v>1276.1762707385685</v>
      </c>
      <c r="E319" s="150"/>
      <c r="F319" s="150"/>
      <c r="G319" s="150"/>
      <c r="H319" s="150"/>
      <c r="I319" s="150"/>
      <c r="J319" s="150"/>
      <c r="K319" s="150"/>
      <c r="L319" s="150"/>
      <c r="M319" s="150"/>
      <c r="N319" s="150"/>
      <c r="O319" s="151"/>
      <c r="R319" s="20"/>
      <c r="W319" s="42"/>
      <c r="Y319" s="36"/>
    </row>
    <row r="320" spans="1:25" x14ac:dyDescent="0.3">
      <c r="B320" s="262"/>
      <c r="C320" s="142"/>
      <c r="D320" s="142"/>
      <c r="E320" s="142"/>
      <c r="F320" s="142"/>
      <c r="G320" s="142"/>
      <c r="H320" s="142"/>
      <c r="I320" s="142"/>
      <c r="J320" s="142"/>
      <c r="K320" s="142"/>
      <c r="L320" s="142"/>
      <c r="M320" s="142"/>
      <c r="N320" s="142"/>
      <c r="O320" s="141"/>
      <c r="R320" s="20"/>
      <c r="W320" s="42"/>
      <c r="Y320" s="36"/>
    </row>
    <row r="321" spans="1:25" ht="43.2" x14ac:dyDescent="0.3">
      <c r="B321" s="160" t="s">
        <v>6966</v>
      </c>
      <c r="C321" s="152" t="s">
        <v>6967</v>
      </c>
      <c r="D321" s="152" t="s">
        <v>6968</v>
      </c>
      <c r="E321" s="152" t="s">
        <v>6969</v>
      </c>
      <c r="F321" s="152" t="s">
        <v>6970</v>
      </c>
      <c r="G321" s="152" t="s">
        <v>6971</v>
      </c>
      <c r="H321" s="152" t="s">
        <v>6972</v>
      </c>
      <c r="I321" s="152" t="s">
        <v>6973</v>
      </c>
      <c r="J321" s="152" t="s">
        <v>6974</v>
      </c>
      <c r="K321" s="152" t="s">
        <v>6975</v>
      </c>
      <c r="L321" s="152" t="s">
        <v>6976</v>
      </c>
      <c r="M321" s="152" t="s">
        <v>6977</v>
      </c>
      <c r="N321" s="152" t="s">
        <v>6978</v>
      </c>
      <c r="O321" s="161" t="s">
        <v>6979</v>
      </c>
      <c r="R321" s="20"/>
      <c r="W321" s="42"/>
      <c r="Y321" s="36"/>
    </row>
    <row r="322" spans="1:25" x14ac:dyDescent="0.3">
      <c r="B322" s="99" t="s">
        <v>6945</v>
      </c>
      <c r="C322" s="155">
        <f>VLOOKUP("OPEXInsuranceEverythingDefault",Econ.inputsTable!$E$1:$J$213,2,FALSE)</f>
        <v>5.0000000000000001E-3</v>
      </c>
      <c r="D322" s="155">
        <f>VLOOKUP("OPEXRepair and maintenanceBuildings and constructionDefault",Econ.inputsTable!$E$1:$J$503,2,FALSE)</f>
        <v>0.01</v>
      </c>
      <c r="O322" s="157">
        <f>(SUM(C322:D322)*SUMPRODUCT(C315:C315,G315:G315))+SUM(E322,G322,I322,J322,L322,N322)</f>
        <v>236.54980946671748</v>
      </c>
      <c r="R322" s="20"/>
      <c r="W322" s="42"/>
      <c r="Y322" s="36"/>
    </row>
    <row r="323" spans="1:25" x14ac:dyDescent="0.3">
      <c r="A323" t="s">
        <v>6945</v>
      </c>
      <c r="B323" s="162" t="s">
        <v>5203</v>
      </c>
      <c r="C323" s="241"/>
      <c r="D323" s="241"/>
      <c r="E323" s="367">
        <f t="shared" ref="E323:O323" si="0">SUM(E322)</f>
        <v>0</v>
      </c>
      <c r="F323" s="537">
        <f t="shared" si="0"/>
        <v>0</v>
      </c>
      <c r="G323" s="367">
        <f t="shared" si="0"/>
        <v>0</v>
      </c>
      <c r="H323" s="537">
        <f t="shared" si="0"/>
        <v>0</v>
      </c>
      <c r="I323" s="367">
        <f t="shared" si="0"/>
        <v>0</v>
      </c>
      <c r="J323" s="367">
        <f t="shared" si="0"/>
        <v>0</v>
      </c>
      <c r="K323" s="537">
        <f t="shared" si="0"/>
        <v>0</v>
      </c>
      <c r="L323" s="367">
        <f t="shared" si="0"/>
        <v>0</v>
      </c>
      <c r="M323" s="537">
        <f t="shared" si="0"/>
        <v>0</v>
      </c>
      <c r="N323" s="367">
        <f t="shared" si="0"/>
        <v>0</v>
      </c>
      <c r="O323" s="169">
        <f t="shared" si="0"/>
        <v>236.54980946671748</v>
      </c>
      <c r="R323" s="20"/>
      <c r="W323" s="42"/>
      <c r="Y323" s="36"/>
    </row>
    <row r="324" spans="1:25" x14ac:dyDescent="0.3">
      <c r="B324" s="99"/>
      <c r="C324" s="155"/>
      <c r="D324" s="155"/>
      <c r="E324" s="155"/>
      <c r="F324" s="158"/>
      <c r="G324" s="154"/>
      <c r="H324" s="156"/>
      <c r="I324" s="153"/>
      <c r="O324" s="146"/>
      <c r="R324" s="20"/>
      <c r="W324" s="42"/>
      <c r="Y324" s="36"/>
    </row>
    <row r="325" spans="1:25" x14ac:dyDescent="0.3">
      <c r="A325" t="s">
        <v>6945</v>
      </c>
      <c r="B325" s="149" t="s">
        <v>6980</v>
      </c>
      <c r="C325" s="159">
        <f>O323</f>
        <v>236.54980946671748</v>
      </c>
      <c r="D325" s="150"/>
      <c r="E325" s="150"/>
      <c r="F325" s="150"/>
      <c r="G325" s="150"/>
      <c r="H325" s="150"/>
      <c r="I325" s="150"/>
      <c r="J325" s="150"/>
      <c r="K325" s="150"/>
      <c r="L325" s="150"/>
      <c r="M325" s="150"/>
      <c r="N325" s="150"/>
      <c r="O325" s="151"/>
      <c r="R325" s="20"/>
      <c r="W325" s="42"/>
      <c r="Y325" s="36"/>
    </row>
    <row r="326" spans="1:25" ht="15" thickBot="1" x14ac:dyDescent="0.35">
      <c r="A326" s="137"/>
      <c r="B326" s="137"/>
      <c r="C326" s="137"/>
      <c r="D326" s="137"/>
      <c r="E326" s="137"/>
      <c r="F326" s="137"/>
      <c r="G326" s="137"/>
      <c r="H326" s="137"/>
      <c r="I326" s="137"/>
      <c r="J326" s="137"/>
      <c r="K326" s="137"/>
      <c r="L326" s="137"/>
      <c r="M326" s="137"/>
      <c r="N326" s="137"/>
      <c r="O326" s="137"/>
      <c r="R326" s="20"/>
      <c r="W326" s="42"/>
      <c r="Y326" s="36"/>
    </row>
    <row r="328" spans="1:25" ht="15.6" x14ac:dyDescent="0.3">
      <c r="A328" s="82" t="s">
        <v>7088</v>
      </c>
      <c r="B328" s="138" t="s">
        <v>7089</v>
      </c>
    </row>
    <row r="330" spans="1:25" x14ac:dyDescent="0.3">
      <c r="B330" s="139" t="s">
        <v>6942</v>
      </c>
      <c r="C330" s="140"/>
      <c r="D330" s="140"/>
      <c r="E330" s="139" t="s">
        <v>6988</v>
      </c>
      <c r="F330" s="141"/>
    </row>
    <row r="331" spans="1:25" x14ac:dyDescent="0.3">
      <c r="B331" s="143" t="s">
        <v>2663</v>
      </c>
      <c r="C331" s="144" t="s">
        <v>565</v>
      </c>
      <c r="D331" s="144" t="s">
        <v>6943</v>
      </c>
      <c r="E331" s="143" t="s">
        <v>565</v>
      </c>
      <c r="F331" s="145" t="s">
        <v>6944</v>
      </c>
    </row>
    <row r="332" spans="1:25" x14ac:dyDescent="0.3">
      <c r="B332" s="99" t="s">
        <v>6925</v>
      </c>
      <c r="C332" s="205">
        <f>VLOOKUP(B332,$R:$U,3,FALSE)</f>
        <v>0</v>
      </c>
      <c r="D332" t="s">
        <v>7090</v>
      </c>
      <c r="E332" s="164">
        <f>CONVERT(C332,"m^3","gal")*365</f>
        <v>0</v>
      </c>
      <c r="F332" s="146" t="s">
        <v>5324</v>
      </c>
    </row>
    <row r="333" spans="1:25" x14ac:dyDescent="0.3">
      <c r="B333" s="99" t="s">
        <v>5829</v>
      </c>
      <c r="C333" s="205">
        <f>VLOOKUP(B333,$R:$U,3,FALSE)</f>
        <v>0</v>
      </c>
      <c r="D333" t="s">
        <v>7090</v>
      </c>
      <c r="E333" s="164">
        <f>CONVERT(C333,"m^3","gal")*365</f>
        <v>0</v>
      </c>
      <c r="F333" s="146" t="s">
        <v>5324</v>
      </c>
    </row>
    <row r="334" spans="1:25" x14ac:dyDescent="0.3">
      <c r="B334" s="99"/>
      <c r="D334" s="146"/>
      <c r="F334" s="146"/>
    </row>
    <row r="335" spans="1:25" x14ac:dyDescent="0.3">
      <c r="B335" s="92" t="s">
        <v>6996</v>
      </c>
      <c r="E335" s="143" t="s">
        <v>565</v>
      </c>
      <c r="F335" s="145" t="s">
        <v>6944</v>
      </c>
    </row>
    <row r="336" spans="1:25" x14ac:dyDescent="0.3">
      <c r="B336" s="149" t="s">
        <v>7091</v>
      </c>
      <c r="C336" s="150"/>
      <c r="D336" s="150"/>
      <c r="E336" s="497">
        <f>UDV.water.avg_cost/1000</f>
        <v>3.858144828221536E-3</v>
      </c>
      <c r="F336" s="151" t="s">
        <v>2315</v>
      </c>
    </row>
    <row r="338" spans="1:17" ht="28.8" x14ac:dyDescent="0.3">
      <c r="B338" s="498" t="s">
        <v>6966</v>
      </c>
      <c r="C338" s="362" t="s">
        <v>6979</v>
      </c>
      <c r="D338" s="362"/>
      <c r="E338" s="362"/>
      <c r="F338" s="363"/>
    </row>
    <row r="339" spans="1:17" x14ac:dyDescent="0.3">
      <c r="B339" s="99" t="s">
        <v>7092</v>
      </c>
      <c r="C339" s="153">
        <f>E332*E336</f>
        <v>0</v>
      </c>
      <c r="D339" s="236"/>
      <c r="E339" s="236"/>
      <c r="F339" s="146"/>
    </row>
    <row r="340" spans="1:17" x14ac:dyDescent="0.3">
      <c r="B340" s="99"/>
      <c r="F340" s="146"/>
    </row>
    <row r="341" spans="1:17" x14ac:dyDescent="0.3">
      <c r="A341" t="s">
        <v>5209</v>
      </c>
      <c r="B341" s="149" t="s">
        <v>6980</v>
      </c>
      <c r="C341" s="159">
        <f>SUM(C339:C339)</f>
        <v>0</v>
      </c>
      <c r="D341" s="150"/>
      <c r="E341" s="150"/>
      <c r="F341" s="151"/>
    </row>
    <row r="342" spans="1:17" ht="15" thickBot="1" x14ac:dyDescent="0.35">
      <c r="A342" s="137"/>
      <c r="B342" s="137"/>
      <c r="C342" s="137"/>
      <c r="D342" s="137"/>
      <c r="E342" s="137"/>
      <c r="F342" s="137"/>
      <c r="G342" s="137"/>
      <c r="H342" s="137"/>
      <c r="I342" s="137"/>
      <c r="J342" s="137"/>
      <c r="K342" s="137"/>
      <c r="L342" s="137"/>
      <c r="M342" s="137"/>
      <c r="N342" s="137"/>
      <c r="O342" s="137"/>
      <c r="P342" s="137"/>
      <c r="Q342" s="137"/>
    </row>
    <row r="344" spans="1:17" ht="18" x14ac:dyDescent="0.35">
      <c r="A344" s="502"/>
      <c r="B344" s="138" t="s">
        <v>7146</v>
      </c>
      <c r="H344" s="355"/>
    </row>
    <row r="346" spans="1:17" x14ac:dyDescent="0.3">
      <c r="B346" s="139" t="s">
        <v>6942</v>
      </c>
      <c r="C346" s="140"/>
      <c r="D346" s="140"/>
      <c r="E346" s="139" t="s">
        <v>6988</v>
      </c>
      <c r="F346" s="141"/>
      <c r="H346" s="139" t="s">
        <v>7033</v>
      </c>
      <c r="I346" s="141"/>
    </row>
    <row r="347" spans="1:17" x14ac:dyDescent="0.3">
      <c r="B347" s="143" t="s">
        <v>2663</v>
      </c>
      <c r="C347" s="144" t="s">
        <v>565</v>
      </c>
      <c r="D347" s="144" t="s">
        <v>6943</v>
      </c>
      <c r="E347" s="143" t="s">
        <v>565</v>
      </c>
      <c r="F347" s="145" t="s">
        <v>6944</v>
      </c>
      <c r="H347" s="99" t="s">
        <v>1236</v>
      </c>
      <c r="I347" s="146"/>
    </row>
    <row r="348" spans="1:17" x14ac:dyDescent="0.3">
      <c r="B348" s="99" t="s">
        <v>5893</v>
      </c>
      <c r="C348" s="147">
        <f t="shared" ref="C348:C353" si="1">VLOOKUP(B348,$R:$U,3,FALSE)</f>
        <v>12</v>
      </c>
      <c r="D348" t="s">
        <v>7097</v>
      </c>
      <c r="E348" s="99">
        <f>C348</f>
        <v>12</v>
      </c>
      <c r="F348" s="146" t="s">
        <v>7097</v>
      </c>
      <c r="H348" s="99" t="s">
        <v>7147</v>
      </c>
      <c r="I348" s="146"/>
    </row>
    <row r="349" spans="1:17" x14ac:dyDescent="0.3">
      <c r="A349" s="321"/>
      <c r="B349" s="99" t="s">
        <v>5894</v>
      </c>
      <c r="C349" s="147">
        <f t="shared" si="1"/>
        <v>115</v>
      </c>
      <c r="D349" t="s">
        <v>2337</v>
      </c>
      <c r="E349" s="178">
        <f>CONVERT(C349,"m","ft")</f>
        <v>377.29658792650918</v>
      </c>
      <c r="F349" s="146" t="s">
        <v>2340</v>
      </c>
      <c r="H349" s="99" t="s">
        <v>7148</v>
      </c>
      <c r="I349" s="146"/>
    </row>
    <row r="350" spans="1:17" x14ac:dyDescent="0.3">
      <c r="A350" s="199"/>
      <c r="B350" s="99" t="s">
        <v>5895</v>
      </c>
      <c r="C350" s="147">
        <f t="shared" si="1"/>
        <v>2</v>
      </c>
      <c r="D350" t="s">
        <v>2442</v>
      </c>
      <c r="E350" s="99">
        <f>C350</f>
        <v>2</v>
      </c>
      <c r="F350" s="146" t="s">
        <v>2442</v>
      </c>
      <c r="H350" s="149" t="s">
        <v>1239</v>
      </c>
      <c r="I350" s="151"/>
    </row>
    <row r="351" spans="1:17" x14ac:dyDescent="0.3">
      <c r="B351" s="99" t="s">
        <v>5898</v>
      </c>
      <c r="C351" s="147">
        <f t="shared" si="1"/>
        <v>12.250783578571429</v>
      </c>
      <c r="D351" t="s">
        <v>6704</v>
      </c>
      <c r="E351" s="178">
        <f>C351*365</f>
        <v>4471.5360061785714</v>
      </c>
      <c r="F351" s="146" t="s">
        <v>5323</v>
      </c>
    </row>
    <row r="352" spans="1:17" x14ac:dyDescent="0.3">
      <c r="B352" s="235" t="s">
        <v>5897</v>
      </c>
      <c r="C352" s="147">
        <f t="shared" si="1"/>
        <v>10.952380952380953</v>
      </c>
      <c r="D352" t="s">
        <v>7075</v>
      </c>
      <c r="E352" s="178">
        <f>C352*365</f>
        <v>3997.6190476190477</v>
      </c>
      <c r="F352" s="146" t="s">
        <v>2710</v>
      </c>
    </row>
    <row r="353" spans="1:15" x14ac:dyDescent="0.3">
      <c r="B353" s="235" t="s">
        <v>5896</v>
      </c>
      <c r="C353" s="147">
        <f t="shared" si="1"/>
        <v>2</v>
      </c>
      <c r="D353" t="s">
        <v>2442</v>
      </c>
      <c r="E353" s="178">
        <f>C353</f>
        <v>2</v>
      </c>
      <c r="F353" s="146" t="s">
        <v>2442</v>
      </c>
    </row>
    <row r="354" spans="1:15" x14ac:dyDescent="0.3">
      <c r="B354" s="99"/>
      <c r="E354" s="200"/>
      <c r="F354" s="146"/>
    </row>
    <row r="355" spans="1:15" x14ac:dyDescent="0.3">
      <c r="B355" s="92" t="s">
        <v>6996</v>
      </c>
      <c r="E355" s="99"/>
      <c r="F355" s="146"/>
    </row>
    <row r="356" spans="1:15" x14ac:dyDescent="0.3">
      <c r="B356" s="143" t="s">
        <v>2663</v>
      </c>
      <c r="E356" s="143" t="s">
        <v>565</v>
      </c>
      <c r="F356" s="145" t="s">
        <v>6944</v>
      </c>
    </row>
    <row r="357" spans="1:15" x14ac:dyDescent="0.3">
      <c r="B357" s="99" t="s">
        <v>7076</v>
      </c>
      <c r="E357" s="357">
        <f>UDV.electricity.avg_cost</f>
        <v>6.8591666666666662E-2</v>
      </c>
      <c r="F357" s="146" t="s">
        <v>2306</v>
      </c>
    </row>
    <row r="358" spans="1:15" x14ac:dyDescent="0.3">
      <c r="B358" s="149" t="s">
        <v>6998</v>
      </c>
      <c r="C358" s="150"/>
      <c r="D358" s="150"/>
      <c r="E358" s="349">
        <f>UDV.labor.non_specialized_cost</f>
        <v>23.66</v>
      </c>
      <c r="F358" s="151" t="s">
        <v>3659</v>
      </c>
    </row>
    <row r="359" spans="1:15" x14ac:dyDescent="0.3">
      <c r="B359" s="90"/>
      <c r="C359" s="82"/>
      <c r="E359" s="82"/>
      <c r="F359" s="82"/>
      <c r="H359" s="82"/>
      <c r="I359" s="82"/>
      <c r="O359" s="82"/>
    </row>
    <row r="360" spans="1:15" ht="43.2" x14ac:dyDescent="0.3">
      <c r="B360" s="361" t="s">
        <v>6946</v>
      </c>
      <c r="C360" s="362" t="s">
        <v>6947</v>
      </c>
      <c r="D360" s="362" t="s">
        <v>6948</v>
      </c>
      <c r="E360" s="362" t="s">
        <v>6949</v>
      </c>
      <c r="F360" s="362" t="s">
        <v>6950</v>
      </c>
      <c r="G360" s="362" t="s">
        <v>6951</v>
      </c>
      <c r="H360" s="362" t="s">
        <v>6952</v>
      </c>
      <c r="I360" s="362" t="s">
        <v>6953</v>
      </c>
      <c r="J360" s="362" t="s">
        <v>6954</v>
      </c>
      <c r="K360" s="362" t="s">
        <v>6955</v>
      </c>
      <c r="L360" s="362" t="s">
        <v>6956</v>
      </c>
      <c r="M360" s="140" t="s">
        <v>6957</v>
      </c>
      <c r="N360" s="140" t="s">
        <v>6958</v>
      </c>
      <c r="O360" s="363"/>
    </row>
    <row r="361" spans="1:15" x14ac:dyDescent="0.3">
      <c r="A361" t="s">
        <v>7149</v>
      </c>
      <c r="B361" s="99" t="s">
        <v>1236</v>
      </c>
      <c r="C361" s="153">
        <f>VLOOKUP("Auto alley system chain and accessoriesDefault",Econ.Tables!$C:$E,2,FALSE)*E349</f>
        <v>4263.4514435695537</v>
      </c>
      <c r="D361">
        <f>VLOOKUP("CAPEXLifetimeEquipmentDefault",Econ.inputsTable!$E:$I,2,FALSE)</f>
        <v>10</v>
      </c>
      <c r="E361" t="s">
        <v>2852</v>
      </c>
      <c r="F361" s="147">
        <f>E352</f>
        <v>3997.6190476190477</v>
      </c>
      <c r="G361" s="154">
        <f>VLOOKUP("CAPEXAnnual usage on activityItems that are used only on the given activityDefault",Econ.inputsTable!$E:$G,2,FALSE)</f>
        <v>1</v>
      </c>
      <c r="H361" s="503">
        <f>UDV.econ_capital.interest_rate</f>
        <v>5.0999999999999997E-2</v>
      </c>
      <c r="I361" s="503">
        <f>VLOOKUP("CAPEXSalvageBuildings and constructionDefault",Econ.inputsTable!$E:$G,2,FALSE)</f>
        <v>0</v>
      </c>
      <c r="J361" s="153">
        <f>C361*I361</f>
        <v>0</v>
      </c>
      <c r="K361" s="154">
        <f>VLOOKUP("CAPEXFinanced amountNADefault",Econ.inputsTable!$E:$G,2,FALSE)</f>
        <v>1</v>
      </c>
      <c r="L361" s="364">
        <f>H361*K361</f>
        <v>5.0999999999999997E-2</v>
      </c>
      <c r="M361" s="351">
        <f>L361/(1-(1+L361)^-D361)</f>
        <v>0.13013423257204779</v>
      </c>
      <c r="N361" s="153">
        <f>((C361-J361)*M361)+(J361*L361)</f>
        <v>554.82098171711323</v>
      </c>
      <c r="O361" s="157"/>
    </row>
    <row r="362" spans="1:15" x14ac:dyDescent="0.3">
      <c r="A362" t="s">
        <v>7149</v>
      </c>
      <c r="B362" s="99" t="s">
        <v>7147</v>
      </c>
      <c r="C362" s="153">
        <f>VLOOKUP("Scraper bladeDefault",Econ.Tables!$C:$E,2,FALSE)*E353</f>
        <v>2800</v>
      </c>
      <c r="D362">
        <f>VLOOKUP("CAPEXLifetimeScraper bladeDefault",Econ.inputsTable!$E:$I,2,FALSE)</f>
        <v>1</v>
      </c>
      <c r="E362" t="s">
        <v>2852</v>
      </c>
      <c r="F362" s="147">
        <f>E352</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C362*I362</f>
        <v>0</v>
      </c>
      <c r="K362" s="154">
        <f>VLOOKUP("CAPEXFinanced amountNADefault",Econ.inputsTable!$E:$G,2,FALSE)</f>
        <v>1</v>
      </c>
      <c r="L362" s="364">
        <f>H362*K362</f>
        <v>5.0999999999999997E-2</v>
      </c>
      <c r="M362" s="351">
        <f>L362/(1-(1+L362)^-D362)</f>
        <v>1.0510000000000017</v>
      </c>
      <c r="N362" s="153">
        <f>((C362-J362)*M362)+(J362*L362)</f>
        <v>2942.8000000000047</v>
      </c>
      <c r="O362" s="157"/>
    </row>
    <row r="363" spans="1:15" x14ac:dyDescent="0.3">
      <c r="A363" t="s">
        <v>7149</v>
      </c>
      <c r="B363" s="99" t="s">
        <v>7148</v>
      </c>
      <c r="C363" s="153">
        <f>VLOOKUP("Drive unit, motor, controls, ancillariesDefault",Econ.Tables!$C:$E,2,FALSE)*E350</f>
        <v>24800</v>
      </c>
      <c r="D363">
        <f>VLOOKUP("CAPEXLifetimeDrive units for auto scraper, transfer channelDefault",Econ.inputsTable!$E:$I,2,FALSE)</f>
        <v>18</v>
      </c>
      <c r="E363" t="s">
        <v>2852</v>
      </c>
      <c r="F363" s="147">
        <f>E352</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C363*I363</f>
        <v>0</v>
      </c>
      <c r="K363" s="154">
        <f>VLOOKUP("CAPEXFinanced amountNADefault",Econ.inputsTable!$E:$G,2,FALSE)</f>
        <v>1</v>
      </c>
      <c r="L363" s="364">
        <f>H363*K363</f>
        <v>5.0999999999999997E-2</v>
      </c>
      <c r="M363" s="351">
        <f>L363/(1-(1+L363)^-D363)</f>
        <v>8.6215856907131391E-2</v>
      </c>
      <c r="N363" s="153">
        <f>((C363-J363)*M363)+(J363*L363)</f>
        <v>2138.1532512968583</v>
      </c>
      <c r="O363" s="501"/>
    </row>
    <row r="364" spans="1:15" x14ac:dyDescent="0.3">
      <c r="A364" t="s">
        <v>7150</v>
      </c>
      <c r="B364" s="99" t="s">
        <v>1239</v>
      </c>
      <c r="C364" s="153">
        <f>VLOOKUP("Auto alley system installation and electricalDefault",Econ.Tables!$C:$E,2,FALSE)*SUM(C361:C363)</f>
        <v>12426.746062992126</v>
      </c>
      <c r="D364">
        <f>VLOOKUP("CAPEXLifetimeDrive units for auto scraper, transfer channelDefault",Econ.inputsTable!$E:$I,2,FALSE)</f>
        <v>18</v>
      </c>
      <c r="E364" t="s">
        <v>2852</v>
      </c>
      <c r="F364" s="147">
        <f>E352</f>
        <v>3997.6190476190477</v>
      </c>
      <c r="G364" s="154">
        <f>VLOOKUP("CAPEXAnnual usage on activityItems that are used only on the given activityDefault",Econ.inputsTable!$E:$G,2,FALSE)</f>
        <v>1</v>
      </c>
      <c r="H364" s="503">
        <f>UDV.econ_capital.interest_rate</f>
        <v>5.0999999999999997E-2</v>
      </c>
      <c r="I364" s="503">
        <f>VLOOKUP("CAPEXSalvageBuildings and constructionDefault",Econ.inputsTable!$E:$G,2,FALSE)</f>
        <v>0</v>
      </c>
      <c r="J364" s="153">
        <f>C364*I364</f>
        <v>0</v>
      </c>
      <c r="K364" s="154">
        <f>VLOOKUP("CAPEXFinanced amountNADefault",Econ.inputsTable!$E:$G,2,FALSE)</f>
        <v>1</v>
      </c>
      <c r="L364" s="364">
        <f>H364*K364</f>
        <v>5.0999999999999997E-2</v>
      </c>
      <c r="M364" s="351">
        <f>L364/(1-(1+L364)^-D364)</f>
        <v>8.6215856907131391E-2</v>
      </c>
      <c r="N364" s="153">
        <f>((C364-J364)*M364)+(J364*L364)</f>
        <v>1071.3825603881876</v>
      </c>
      <c r="O364" s="501"/>
    </row>
    <row r="365" spans="1:15" x14ac:dyDescent="0.3">
      <c r="B365" s="99"/>
      <c r="C365" s="153"/>
      <c r="K365" s="166"/>
      <c r="L365" s="154"/>
      <c r="M365" s="503"/>
      <c r="N365" s="154"/>
      <c r="O365" s="501"/>
    </row>
    <row r="366" spans="1:15" ht="28.8" x14ac:dyDescent="0.3">
      <c r="B366" s="99"/>
      <c r="C366" s="152" t="s">
        <v>7009</v>
      </c>
      <c r="D366" s="152" t="s">
        <v>6963</v>
      </c>
      <c r="O366" s="146"/>
    </row>
    <row r="367" spans="1:15" x14ac:dyDescent="0.3">
      <c r="A367" t="s">
        <v>5223</v>
      </c>
      <c r="B367" s="99" t="s">
        <v>6964</v>
      </c>
      <c r="C367" s="153">
        <f>SUM(C361:C364)</f>
        <v>44290.197506561679</v>
      </c>
      <c r="D367" s="153">
        <f>SUMPRODUCT(C361:C364,G361:G364)</f>
        <v>44290.197506561679</v>
      </c>
      <c r="O367" s="146"/>
    </row>
    <row r="368" spans="1:15" x14ac:dyDescent="0.3">
      <c r="A368" t="s">
        <v>5223</v>
      </c>
      <c r="B368" s="149" t="s">
        <v>6965</v>
      </c>
      <c r="C368" s="159">
        <f>SUM(N361:N364)</f>
        <v>6707.1567934021641</v>
      </c>
      <c r="D368" s="159">
        <f>SUMPRODUCT(G361:G364,N361:N364)</f>
        <v>6707.1567934021641</v>
      </c>
      <c r="E368" s="150"/>
      <c r="F368" s="150"/>
      <c r="G368" s="150"/>
      <c r="H368" s="150"/>
      <c r="I368" s="150"/>
      <c r="J368" s="150"/>
      <c r="K368" s="150"/>
      <c r="L368" s="150"/>
      <c r="M368" s="150"/>
      <c r="N368" s="150"/>
      <c r="O368" s="151"/>
    </row>
    <row r="369" spans="1:15" x14ac:dyDescent="0.3">
      <c r="B369" s="99"/>
      <c r="O369" s="146"/>
    </row>
    <row r="370" spans="1:15" ht="43.2" x14ac:dyDescent="0.3">
      <c r="B370" s="160" t="s">
        <v>6966</v>
      </c>
      <c r="C370" s="152" t="s">
        <v>6967</v>
      </c>
      <c r="D370" s="152" t="s">
        <v>6968</v>
      </c>
      <c r="E370" s="152" t="s">
        <v>6969</v>
      </c>
      <c r="F370" s="152" t="s">
        <v>6970</v>
      </c>
      <c r="G370" s="152" t="s">
        <v>6971</v>
      </c>
      <c r="H370" s="152" t="s">
        <v>6972</v>
      </c>
      <c r="I370" s="152" t="s">
        <v>6973</v>
      </c>
      <c r="J370" s="152" t="s">
        <v>6974</v>
      </c>
      <c r="K370" s="152" t="s">
        <v>6975</v>
      </c>
      <c r="L370" s="152" t="s">
        <v>6976</v>
      </c>
      <c r="M370" s="152" t="s">
        <v>6977</v>
      </c>
      <c r="N370" s="152" t="s">
        <v>6978</v>
      </c>
      <c r="O370" s="161" t="s">
        <v>6979</v>
      </c>
    </row>
    <row r="371" spans="1:15" x14ac:dyDescent="0.3">
      <c r="B371" s="99" t="s">
        <v>7151</v>
      </c>
      <c r="C371" s="155">
        <f>VLOOKUP("OPEXInsuranceEverythingDefault",Econ.inputsTable!$E:$G,2,FALSE)</f>
        <v>5.0000000000000001E-3</v>
      </c>
      <c r="D371" s="155">
        <f>VLOOKUP("OPEXRepair and maintenanceEquipmentDefault",Econ.inputsTable!$E:$G,2,FALSE)</f>
        <v>0.03</v>
      </c>
      <c r="I371" s="504"/>
      <c r="K371" s="504"/>
      <c r="L371" s="158"/>
      <c r="O371" s="157">
        <f>(SUM(C371:D371)*C363*G363)+SUM(E371,G371,I371,J371,L371,N371)</f>
        <v>867.99999999999989</v>
      </c>
    </row>
    <row r="372" spans="1:15" x14ac:dyDescent="0.3">
      <c r="B372" s="99" t="s">
        <v>7152</v>
      </c>
      <c r="C372" s="155">
        <f>VLOOKUP("OPEXInsuranceEverythingDefault",Econ.inputsTable!$E:$G,2,FALSE)</f>
        <v>5.0000000000000001E-3</v>
      </c>
      <c r="D372" s="155">
        <f>VLOOKUP("OPEXRepair and maintenanceAuto scraper systemDefault",Econ.inputsTable!$E:$G,2,FALSE)</f>
        <v>0.06</v>
      </c>
      <c r="E372" s="504"/>
      <c r="F372" s="147">
        <f>E351</f>
        <v>4471.5360061785714</v>
      </c>
      <c r="G372" s="504">
        <f>F372*E357</f>
        <v>306.7101072237985</v>
      </c>
      <c r="H372" s="158"/>
      <c r="I372" s="504"/>
      <c r="J372" s="504"/>
      <c r="O372" s="157">
        <f>(SUM(C372:D372)*SUM(C361:C363)*G363)+SUM(E372,G372,I372,J372,L372,N372)</f>
        <v>2377.8344510558195</v>
      </c>
    </row>
    <row r="373" spans="1:15" x14ac:dyDescent="0.3">
      <c r="A373" t="s">
        <v>5223</v>
      </c>
      <c r="B373" s="162" t="s">
        <v>5203</v>
      </c>
      <c r="C373" s="505"/>
      <c r="D373" s="505"/>
      <c r="E373" s="506">
        <f t="shared" ref="E373:O373" si="2">SUM(E371:E372)</f>
        <v>0</v>
      </c>
      <c r="F373" s="507">
        <f t="shared" si="2"/>
        <v>4471.5360061785714</v>
      </c>
      <c r="G373" s="506">
        <f t="shared" si="2"/>
        <v>306.7101072237985</v>
      </c>
      <c r="H373" s="508">
        <f t="shared" si="2"/>
        <v>0</v>
      </c>
      <c r="I373" s="506">
        <f t="shared" si="2"/>
        <v>0</v>
      </c>
      <c r="J373" s="506">
        <f t="shared" si="2"/>
        <v>0</v>
      </c>
      <c r="K373" s="508">
        <f t="shared" si="2"/>
        <v>0</v>
      </c>
      <c r="L373" s="506">
        <f t="shared" si="2"/>
        <v>0</v>
      </c>
      <c r="M373" s="508">
        <f t="shared" si="2"/>
        <v>0</v>
      </c>
      <c r="N373" s="506">
        <f t="shared" si="2"/>
        <v>0</v>
      </c>
      <c r="O373" s="509">
        <f t="shared" si="2"/>
        <v>3245.8344510558195</v>
      </c>
    </row>
    <row r="374" spans="1:15" x14ac:dyDescent="0.3">
      <c r="B374" s="99"/>
      <c r="O374" s="146"/>
    </row>
    <row r="375" spans="1:15" x14ac:dyDescent="0.3">
      <c r="A375" t="s">
        <v>5223</v>
      </c>
      <c r="B375" s="149" t="s">
        <v>6980</v>
      </c>
      <c r="C375" s="159">
        <f>SUM(O371:O372)</f>
        <v>3245.8344510558195</v>
      </c>
      <c r="D375" s="150"/>
      <c r="E375" s="150"/>
      <c r="F375" s="150"/>
      <c r="G375" s="150"/>
      <c r="H375" s="150"/>
      <c r="I375" s="150"/>
      <c r="J375" s="150"/>
      <c r="K375" s="150"/>
      <c r="L375" s="150"/>
      <c r="M375" s="150"/>
      <c r="N375" s="150"/>
      <c r="O375" s="151"/>
    </row>
    <row r="376" spans="1:15" ht="15" thickBot="1" x14ac:dyDescent="0.35">
      <c r="A376" s="137"/>
      <c r="B376" s="137"/>
      <c r="C376" s="137"/>
      <c r="D376" s="137"/>
      <c r="E376" s="137"/>
      <c r="F376" s="137"/>
      <c r="G376" s="137"/>
      <c r="H376" s="137"/>
      <c r="I376" s="137"/>
      <c r="J376" s="137"/>
      <c r="K376" s="137"/>
      <c r="L376" s="137"/>
      <c r="M376" s="137"/>
      <c r="N376" s="137"/>
      <c r="O376" s="137"/>
    </row>
    <row r="378" spans="1:15" ht="18" x14ac:dyDescent="0.35">
      <c r="B378" s="138" t="s">
        <v>7187</v>
      </c>
      <c r="G378" s="797"/>
      <c r="H378" s="355"/>
    </row>
    <row r="380" spans="1:15" x14ac:dyDescent="0.3">
      <c r="B380" s="139" t="s">
        <v>6942</v>
      </c>
      <c r="C380" s="140"/>
      <c r="D380" s="140"/>
      <c r="E380" s="139" t="s">
        <v>6988</v>
      </c>
      <c r="F380" s="141"/>
    </row>
    <row r="381" spans="1:15" x14ac:dyDescent="0.3">
      <c r="B381" s="143" t="s">
        <v>2663</v>
      </c>
      <c r="C381" s="144" t="s">
        <v>565</v>
      </c>
      <c r="D381" s="144" t="s">
        <v>6943</v>
      </c>
      <c r="E381" s="143" t="s">
        <v>565</v>
      </c>
      <c r="F381" s="145" t="s">
        <v>6944</v>
      </c>
      <c r="H381" s="139" t="s">
        <v>7189</v>
      </c>
      <c r="I381" s="142"/>
      <c r="J381" s="142"/>
      <c r="K381" s="141"/>
    </row>
    <row r="382" spans="1:15" x14ac:dyDescent="0.3">
      <c r="B382" s="99" t="s">
        <v>5951</v>
      </c>
      <c r="C382" s="147">
        <f>VLOOKUP(B382,$R:$U,3,FALSE)</f>
        <v>2893.7344524219843</v>
      </c>
      <c r="D382" t="s">
        <v>2481</v>
      </c>
      <c r="E382" s="164">
        <f>CONVERT(C382,"l","gal")</f>
        <v>764.44376927579845</v>
      </c>
      <c r="F382" s="146" t="s">
        <v>2480</v>
      </c>
      <c r="H382" s="99" t="s">
        <v>2787</v>
      </c>
      <c r="K382" s="146"/>
    </row>
    <row r="383" spans="1:15" x14ac:dyDescent="0.3">
      <c r="B383" s="99" t="s">
        <v>5953</v>
      </c>
      <c r="C383" s="297">
        <f>VLOOKUP(B383,$R:$U,3,FALSE)</f>
        <v>1</v>
      </c>
      <c r="D383" t="s">
        <v>2442</v>
      </c>
      <c r="E383" s="523">
        <f>C383</f>
        <v>1</v>
      </c>
      <c r="F383" s="146" t="s">
        <v>2442</v>
      </c>
      <c r="H383" s="99" t="s">
        <v>1228</v>
      </c>
      <c r="K383" s="146"/>
    </row>
    <row r="384" spans="1:15" x14ac:dyDescent="0.3">
      <c r="B384" s="99" t="s">
        <v>5952</v>
      </c>
      <c r="C384" s="147">
        <f>VLOOKUP(B384,$R:$U,3,FALSE)</f>
        <v>15</v>
      </c>
      <c r="D384" t="s">
        <v>971</v>
      </c>
      <c r="E384" s="524">
        <f>ROUNDUP(C384,0.1)</f>
        <v>15</v>
      </c>
      <c r="F384" s="146" t="s">
        <v>971</v>
      </c>
      <c r="H384" s="149" t="s">
        <v>7190</v>
      </c>
      <c r="I384" s="150"/>
      <c r="J384" s="150"/>
      <c r="K384" s="151"/>
    </row>
    <row r="385" spans="1:15" x14ac:dyDescent="0.3">
      <c r="B385" s="99" t="s">
        <v>5954</v>
      </c>
      <c r="C385" s="147">
        <f>VLOOKUP(B385,$R:$U,3,FALSE)</f>
        <v>0.38003059201611716</v>
      </c>
      <c r="D385" t="s">
        <v>6704</v>
      </c>
      <c r="E385" s="164">
        <f>C385*365</f>
        <v>138.71116608588275</v>
      </c>
      <c r="F385" s="146" t="s">
        <v>5323</v>
      </c>
    </row>
    <row r="386" spans="1:15" x14ac:dyDescent="0.3">
      <c r="B386" s="99"/>
      <c r="E386" s="99"/>
      <c r="F386" s="146"/>
    </row>
    <row r="387" spans="1:15" x14ac:dyDescent="0.3">
      <c r="B387" s="92" t="s">
        <v>6942</v>
      </c>
      <c r="C387" s="82"/>
      <c r="D387" s="82"/>
      <c r="E387" s="92"/>
      <c r="F387" s="146"/>
    </row>
    <row r="388" spans="1:15" x14ac:dyDescent="0.3">
      <c r="B388" s="143" t="s">
        <v>2663</v>
      </c>
      <c r="C388" s="144" t="s">
        <v>565</v>
      </c>
      <c r="D388" s="144" t="s">
        <v>6943</v>
      </c>
      <c r="E388" s="143" t="s">
        <v>565</v>
      </c>
      <c r="F388" s="145" t="s">
        <v>6944</v>
      </c>
    </row>
    <row r="389" spans="1:15" x14ac:dyDescent="0.3">
      <c r="B389" s="99" t="s">
        <v>7076</v>
      </c>
      <c r="D389" s="146"/>
      <c r="E389" s="798">
        <f>UDV.electricity.avg_cost</f>
        <v>6.8591666666666662E-2</v>
      </c>
      <c r="F389" s="146" t="s">
        <v>2306</v>
      </c>
    </row>
    <row r="390" spans="1:15" x14ac:dyDescent="0.3">
      <c r="B390" s="149" t="s">
        <v>6998</v>
      </c>
      <c r="C390" s="150"/>
      <c r="D390" s="151"/>
      <c r="E390" s="799">
        <f>UDV.labor.non_specialized_cost</f>
        <v>23.66</v>
      </c>
      <c r="F390" s="151" t="s">
        <v>3659</v>
      </c>
    </row>
    <row r="392" spans="1:15" ht="43.2" x14ac:dyDescent="0.3">
      <c r="B392" s="361" t="s">
        <v>6946</v>
      </c>
      <c r="C392" s="362" t="s">
        <v>6947</v>
      </c>
      <c r="D392" s="371" t="s">
        <v>6948</v>
      </c>
      <c r="E392" s="362" t="s">
        <v>6949</v>
      </c>
      <c r="F392" s="362" t="s">
        <v>6950</v>
      </c>
      <c r="G392" s="362" t="s">
        <v>6951</v>
      </c>
      <c r="H392" s="362" t="s">
        <v>6952</v>
      </c>
      <c r="I392" s="371" t="s">
        <v>6953</v>
      </c>
      <c r="J392" s="371" t="s">
        <v>6954</v>
      </c>
      <c r="K392" s="362" t="s">
        <v>6955</v>
      </c>
      <c r="L392" s="362" t="s">
        <v>6956</v>
      </c>
      <c r="M392" s="362" t="s">
        <v>6957</v>
      </c>
      <c r="N392" s="362" t="s">
        <v>6958</v>
      </c>
      <c r="O392" s="363" t="s">
        <v>6959</v>
      </c>
    </row>
    <row r="393" spans="1:15" x14ac:dyDescent="0.3">
      <c r="A393" t="s">
        <v>7191</v>
      </c>
      <c r="B393" s="99" t="s">
        <v>2787</v>
      </c>
      <c r="C393" s="153">
        <f>VLOOKUP("Reception pit constructiona",Econ.Equations!$C:$E,2,FALSE)*E382^VLOOKUP("Reception pit constructionb",Econ.Equations!$C:$E,2,FALSE)*E382</f>
        <v>8018.7932118545777</v>
      </c>
      <c r="D393">
        <f>VLOOKUP("CAPEXLifetimeBuildings and constructionDefault",Econ.inputsTable!$E:$H,2,FALSE)</f>
        <v>20</v>
      </c>
      <c r="E393" t="s">
        <v>2852</v>
      </c>
      <c r="F393" t="s">
        <v>2852</v>
      </c>
      <c r="G393" s="154">
        <v>1</v>
      </c>
      <c r="H393" s="503">
        <f>UDV.econ_capital.interest_rate</f>
        <v>5.0999999999999997E-2</v>
      </c>
      <c r="I393" s="154">
        <f>VLOOKUP("CAPEXSalvageBuildings and constructionDefault",Econ.inputsTable!$E:$J,2,FALSE)</f>
        <v>0</v>
      </c>
      <c r="J393" s="153">
        <f>$C393*I393</f>
        <v>0</v>
      </c>
      <c r="K393" s="154">
        <f>VLOOKUP("CAPEXFinanced amountNADefault", Econ.inputsTable!$E:$I,2,FALSE)</f>
        <v>1</v>
      </c>
      <c r="L393" s="364">
        <f>H393*K393</f>
        <v>5.0999999999999997E-2</v>
      </c>
      <c r="M393" s="351">
        <f>L393/(1-(1+L393)^-D393)</f>
        <v>8.0924368970045152E-2</v>
      </c>
      <c r="N393" s="153">
        <f>((C393-J393)*M393)+(J393*L393)</f>
        <v>648.91578057061326</v>
      </c>
      <c r="O393" s="157">
        <f>G393*N393</f>
        <v>648.91578057061326</v>
      </c>
    </row>
    <row r="394" spans="1:15" x14ac:dyDescent="0.3">
      <c r="A394" t="s">
        <v>7192</v>
      </c>
      <c r="B394" s="99" t="s">
        <v>1228</v>
      </c>
      <c r="C394" s="153">
        <f>UDV.econ_agi.electric_pump*E383</f>
        <v>12100</v>
      </c>
      <c r="D394">
        <f>VLOOKUP("CAPEXLifetimeAgi-pump, electricDefault",Econ.inputsTable!$E:$H,2,FALSE)</f>
        <v>15</v>
      </c>
      <c r="E394" t="s">
        <v>2852</v>
      </c>
      <c r="F394" t="s">
        <v>2852</v>
      </c>
      <c r="G394" s="154">
        <v>1</v>
      </c>
      <c r="H394" s="503">
        <f>UDV.econ_capital.interest_rate</f>
        <v>5.0999999999999997E-2</v>
      </c>
      <c r="I394" s="154">
        <f>VLOOKUP("CAPEXSalvageEquipmentDefault",Econ.inputsTable!$E:$J,2,FALSE)</f>
        <v>0.2</v>
      </c>
      <c r="J394" s="153">
        <f>$C394*I394</f>
        <v>2420</v>
      </c>
      <c r="K394" s="154">
        <f>VLOOKUP("CAPEXFinanced amountNADefault", Econ.inputsTable!$E:$I,2,FALSE)</f>
        <v>1</v>
      </c>
      <c r="L394" s="364">
        <f>H394*K394</f>
        <v>5.0999999999999997E-2</v>
      </c>
      <c r="M394" s="351">
        <f>L394/(1-(1+L394)^-D394)</f>
        <v>9.6994593888520206E-2</v>
      </c>
      <c r="N394" s="153">
        <f>((C394-J394)*M394)+(J394*L394)</f>
        <v>1062.3276688408755</v>
      </c>
      <c r="O394" s="157">
        <f>G394*N394</f>
        <v>1062.3276688408755</v>
      </c>
    </row>
    <row r="395" spans="1:15" x14ac:dyDescent="0.3">
      <c r="A395" t="s">
        <v>7192</v>
      </c>
      <c r="B395" s="99" t="s">
        <v>7193</v>
      </c>
      <c r="C395" s="153">
        <f>VLOOKUP(_xlfn.CONCAT("Motor, ", E384, " hpDefault"), Econ.Tables!C:E, 2, FALSE)*E383</f>
        <v>1470</v>
      </c>
      <c r="D395">
        <f>VLOOKUP("CAPEXLifetimeMotorDefault",Econ.inputsTable!$E:$H,2,FALSE)</f>
        <v>20</v>
      </c>
      <c r="E395" t="s">
        <v>2852</v>
      </c>
      <c r="F395" t="s">
        <v>2852</v>
      </c>
      <c r="G395" s="154">
        <v>1</v>
      </c>
      <c r="H395" s="503">
        <f>UDV.econ_capital.interest_rate</f>
        <v>5.0999999999999997E-2</v>
      </c>
      <c r="I395" s="154">
        <f>VLOOKUP("CAPEXSalvageEquipmentDefault",Econ.inputsTable!$E:$I,2,FALSE)</f>
        <v>0.2</v>
      </c>
      <c r="J395" s="153">
        <f>$C395*I395</f>
        <v>294</v>
      </c>
      <c r="K395" s="154">
        <f>VLOOKUP("CAPEXFinanced amountNADefault", Econ.inputsTable!$E:$I,2,FALSE)</f>
        <v>1</v>
      </c>
      <c r="L395" s="364">
        <f>H395*K395</f>
        <v>5.0999999999999997E-2</v>
      </c>
      <c r="M395" s="351">
        <f>L395/(1-(1+L395)^-D395)</f>
        <v>8.0924368970045152E-2</v>
      </c>
      <c r="N395" s="153">
        <f>((C395-J395)*M395)+(J395*L395)</f>
        <v>110.1610579087731</v>
      </c>
      <c r="O395" s="157">
        <f>G395*N395</f>
        <v>110.1610579087731</v>
      </c>
    </row>
    <row r="396" spans="1:15" x14ac:dyDescent="0.3">
      <c r="B396" s="99"/>
      <c r="C396" s="153"/>
      <c r="L396" s="154"/>
      <c r="M396" s="155"/>
      <c r="N396" s="154"/>
      <c r="O396" s="501"/>
    </row>
    <row r="397" spans="1:15" x14ac:dyDescent="0.3">
      <c r="B397" s="99"/>
      <c r="C397" s="82" t="s">
        <v>7009</v>
      </c>
      <c r="D397" s="82" t="s">
        <v>6963</v>
      </c>
      <c r="O397" s="146"/>
    </row>
    <row r="398" spans="1:15" x14ac:dyDescent="0.3">
      <c r="A398" t="s">
        <v>5219</v>
      </c>
      <c r="B398" s="99" t="s">
        <v>6964</v>
      </c>
      <c r="C398" s="153">
        <f>SUM(C393:C395)</f>
        <v>21588.79321185458</v>
      </c>
      <c r="D398" s="153">
        <f>SUMPRODUCT(C393:C395,G393:G395)</f>
        <v>21588.79321185458</v>
      </c>
      <c r="O398" s="146"/>
    </row>
    <row r="399" spans="1:15" x14ac:dyDescent="0.3">
      <c r="A399" t="s">
        <v>5219</v>
      </c>
      <c r="B399" s="149" t="s">
        <v>6965</v>
      </c>
      <c r="C399" s="159">
        <f>SUM(N393:N395)</f>
        <v>1821.4045073202617</v>
      </c>
      <c r="D399" s="159">
        <f>SUMPRODUCT(N393:N395,G393:G395)</f>
        <v>1821.4045073202617</v>
      </c>
      <c r="E399" s="150"/>
      <c r="F399" s="150"/>
      <c r="G399" s="150"/>
      <c r="H399" s="150"/>
      <c r="I399" s="150"/>
      <c r="J399" s="150"/>
      <c r="K399" s="150"/>
      <c r="L399" s="150"/>
      <c r="M399" s="150"/>
      <c r="N399" s="150"/>
      <c r="O399" s="151"/>
    </row>
    <row r="400" spans="1:15" x14ac:dyDescent="0.3">
      <c r="B400" s="262"/>
      <c r="C400" s="142"/>
      <c r="D400" s="142"/>
      <c r="E400" s="142"/>
      <c r="F400" s="142"/>
      <c r="G400" s="142"/>
      <c r="H400" s="142"/>
      <c r="I400" s="142"/>
      <c r="J400" s="142"/>
      <c r="K400" s="142"/>
      <c r="L400" s="142"/>
      <c r="M400" s="142"/>
      <c r="N400" s="142"/>
      <c r="O400" s="141"/>
    </row>
    <row r="401" spans="1:15" ht="43.2" x14ac:dyDescent="0.3">
      <c r="B401" s="160" t="s">
        <v>6966</v>
      </c>
      <c r="C401" s="152" t="s">
        <v>6967</v>
      </c>
      <c r="D401" s="152" t="s">
        <v>6968</v>
      </c>
      <c r="E401" s="152" t="s">
        <v>6969</v>
      </c>
      <c r="F401" s="152" t="s">
        <v>6970</v>
      </c>
      <c r="G401" s="152" t="s">
        <v>6971</v>
      </c>
      <c r="H401" s="152" t="s">
        <v>6972</v>
      </c>
      <c r="I401" s="152" t="s">
        <v>6973</v>
      </c>
      <c r="J401" s="152" t="s">
        <v>6974</v>
      </c>
      <c r="K401" s="152" t="s">
        <v>6975</v>
      </c>
      <c r="L401" s="152" t="s">
        <v>6976</v>
      </c>
      <c r="M401" s="152" t="s">
        <v>6977</v>
      </c>
      <c r="N401" s="152" t="s">
        <v>6978</v>
      </c>
      <c r="O401" s="161" t="s">
        <v>6979</v>
      </c>
    </row>
    <row r="402" spans="1:15" x14ac:dyDescent="0.3">
      <c r="B402" s="99" t="s">
        <v>5219</v>
      </c>
      <c r="C402" s="155">
        <f>VLOOKUP("OPEXInsuranceEverythingDefault",Econ.inputsTable!$E$1:$J$93,2,FALSE)</f>
        <v>5.0000000000000001E-3</v>
      </c>
      <c r="D402" s="155">
        <f>VLOOKUP("OPEXRepair and maintenanceBuildings and constructionDefault",Econ.inputsTable!$E:$I,2,FALSE)</f>
        <v>0.01</v>
      </c>
      <c r="G402" s="504"/>
      <c r="O402" s="157">
        <f>(SUM(C402:D402)*C393*G393)+SUM(G402,I402,J402,L402,N402)</f>
        <v>120.28189817781866</v>
      </c>
    </row>
    <row r="403" spans="1:15" x14ac:dyDescent="0.3">
      <c r="B403" s="99" t="s">
        <v>1228</v>
      </c>
      <c r="C403" s="155">
        <f>VLOOKUP("OPEXInsuranceEverythingDefault",Econ.inputsTable!$E$1:$J$93,2,FALSE)</f>
        <v>5.0000000000000001E-3</v>
      </c>
      <c r="D403" s="155">
        <f>VLOOKUP("OPEXRepair and maintenanceAgi-pump, electricDefault",Econ.inputsTable!$E:$I,2,FALSE)</f>
        <v>0.11</v>
      </c>
      <c r="G403" s="504"/>
      <c r="O403" s="157">
        <f>(SUM(C403:D403)*C394*G394)+SUM(G403,I403,J403,L403,N403)</f>
        <v>1391.5</v>
      </c>
    </row>
    <row r="404" spans="1:15" x14ac:dyDescent="0.3">
      <c r="B404" s="99" t="s">
        <v>7190</v>
      </c>
      <c r="C404" s="155">
        <f>VLOOKUP("OPEXInsuranceEverythingDefault",Econ.inputsTable!$E$1:$J$93,2,FALSE)</f>
        <v>5.0000000000000001E-3</v>
      </c>
      <c r="D404" s="155">
        <f>VLOOKUP("OPEXRepair and maintenanceEquipmentDefault",Econ.inputsTable!$E:$I,2,FALSE)</f>
        <v>0.03</v>
      </c>
      <c r="F404" s="166">
        <f>E385</f>
        <v>138.71116608588275</v>
      </c>
      <c r="G404" s="158">
        <f>F404*E389</f>
        <v>9.5144300671075079</v>
      </c>
      <c r="O404" s="157">
        <f>(SUM(C404:D404)*C395*G395)+SUM(G404,I404,J404,L404,N404)</f>
        <v>60.9644300671075</v>
      </c>
    </row>
    <row r="405" spans="1:15" x14ac:dyDescent="0.3">
      <c r="A405" t="s">
        <v>5219</v>
      </c>
      <c r="B405" s="162" t="s">
        <v>5203</v>
      </c>
      <c r="C405" s="505"/>
      <c r="D405" s="505"/>
      <c r="E405" s="367">
        <f t="shared" ref="E405:O405" si="3">SUM(E402:E404)</f>
        <v>0</v>
      </c>
      <c r="F405" s="526">
        <f t="shared" si="3"/>
        <v>138.71116608588275</v>
      </c>
      <c r="G405" s="367">
        <f t="shared" si="3"/>
        <v>9.5144300671075079</v>
      </c>
      <c r="H405" s="526">
        <f t="shared" si="3"/>
        <v>0</v>
      </c>
      <c r="I405" s="367">
        <f t="shared" si="3"/>
        <v>0</v>
      </c>
      <c r="J405" s="367">
        <f t="shared" si="3"/>
        <v>0</v>
      </c>
      <c r="K405" s="526">
        <f t="shared" si="3"/>
        <v>0</v>
      </c>
      <c r="L405" s="367">
        <f t="shared" si="3"/>
        <v>0</v>
      </c>
      <c r="M405" s="526">
        <f t="shared" si="3"/>
        <v>0</v>
      </c>
      <c r="N405" s="367">
        <f t="shared" si="3"/>
        <v>0</v>
      </c>
      <c r="O405" s="169">
        <f t="shared" si="3"/>
        <v>1572.7463282449262</v>
      </c>
    </row>
    <row r="406" spans="1:15" x14ac:dyDescent="0.3">
      <c r="B406" s="99"/>
      <c r="O406" s="146"/>
    </row>
    <row r="407" spans="1:15" x14ac:dyDescent="0.3">
      <c r="A407" t="s">
        <v>5219</v>
      </c>
      <c r="B407" s="149" t="s">
        <v>6980</v>
      </c>
      <c r="C407" s="159">
        <f>O405</f>
        <v>1572.7463282449262</v>
      </c>
      <c r="D407" s="150"/>
      <c r="E407" s="150"/>
      <c r="F407" s="150"/>
      <c r="G407" s="150"/>
      <c r="H407" s="150"/>
      <c r="I407" s="150"/>
      <c r="J407" s="150"/>
      <c r="K407" s="150"/>
      <c r="L407" s="150"/>
      <c r="M407" s="150"/>
      <c r="N407" s="150"/>
      <c r="O407" s="151"/>
    </row>
    <row r="408" spans="1:15" ht="15" thickBot="1" x14ac:dyDescent="0.35">
      <c r="A408" s="137"/>
      <c r="B408" s="137"/>
      <c r="C408" s="137"/>
      <c r="D408" s="137"/>
      <c r="E408" s="137"/>
      <c r="F408" s="137"/>
      <c r="G408" s="137"/>
      <c r="H408" s="137"/>
      <c r="I408" s="137"/>
      <c r="J408" s="137"/>
      <c r="K408" s="137"/>
      <c r="L408" s="137"/>
      <c r="M408" s="137"/>
      <c r="N408" s="137"/>
      <c r="O408" s="137"/>
    </row>
    <row r="410" spans="1:15" x14ac:dyDescent="0.3">
      <c r="B410" s="82" t="s">
        <v>7291</v>
      </c>
      <c r="C410" s="657"/>
      <c r="D410" s="34"/>
    </row>
    <row r="412" spans="1:15" x14ac:dyDescent="0.3">
      <c r="B412" s="139" t="s">
        <v>6942</v>
      </c>
      <c r="C412" s="140"/>
      <c r="D412" s="140"/>
      <c r="E412" s="139"/>
      <c r="F412" s="141"/>
      <c r="H412" t="s">
        <v>7292</v>
      </c>
    </row>
    <row r="413" spans="1:15" x14ac:dyDescent="0.3">
      <c r="B413" s="143" t="s">
        <v>2663</v>
      </c>
      <c r="C413" s="144" t="s">
        <v>565</v>
      </c>
      <c r="D413" s="144" t="s">
        <v>6943</v>
      </c>
      <c r="E413" s="143" t="s">
        <v>565</v>
      </c>
      <c r="F413" s="145" t="s">
        <v>6944</v>
      </c>
      <c r="H413" t="s">
        <v>7293</v>
      </c>
    </row>
    <row r="414" spans="1:15" x14ac:dyDescent="0.3">
      <c r="B414" s="99" t="s">
        <v>6699</v>
      </c>
      <c r="C414" s="147">
        <f t="shared" ref="C414:C420" si="4">VLOOKUP(B414,$R:$U,3,FALSE)</f>
        <v>6812.7511739421043</v>
      </c>
      <c r="D414" t="s">
        <v>2267</v>
      </c>
      <c r="E414" s="164">
        <f>C414</f>
        <v>6812.7511739421043</v>
      </c>
      <c r="F414" s="146" t="s">
        <v>2267</v>
      </c>
    </row>
    <row r="415" spans="1:15" x14ac:dyDescent="0.3">
      <c r="B415" s="99" t="s">
        <v>6666</v>
      </c>
      <c r="C415" s="147">
        <f t="shared" si="4"/>
        <v>20</v>
      </c>
      <c r="D415" t="s">
        <v>6700</v>
      </c>
      <c r="E415" s="178">
        <f>C415</f>
        <v>20</v>
      </c>
      <c r="F415" s="146" t="s">
        <v>7294</v>
      </c>
      <c r="G415" s="34"/>
    </row>
    <row r="416" spans="1:15" x14ac:dyDescent="0.3">
      <c r="B416" s="99" t="s">
        <v>6701</v>
      </c>
      <c r="C416" s="147">
        <f t="shared" si="4"/>
        <v>1</v>
      </c>
      <c r="D416" t="s">
        <v>2442</v>
      </c>
      <c r="E416" s="178">
        <f>C416</f>
        <v>1</v>
      </c>
      <c r="F416" s="146" t="s">
        <v>2442</v>
      </c>
    </row>
    <row r="417" spans="2:7" x14ac:dyDescent="0.3">
      <c r="B417" s="99" t="s">
        <v>6702</v>
      </c>
      <c r="C417" s="147">
        <f t="shared" si="4"/>
        <v>2</v>
      </c>
      <c r="E417" s="178">
        <f>C417</f>
        <v>2</v>
      </c>
      <c r="F417" s="146" t="s">
        <v>2442</v>
      </c>
    </row>
    <row r="418" spans="2:7" x14ac:dyDescent="0.3">
      <c r="B418" s="99" t="s">
        <v>6703</v>
      </c>
      <c r="C418" s="147">
        <f t="shared" si="4"/>
        <v>1</v>
      </c>
      <c r="E418" s="178">
        <f>C418</f>
        <v>1</v>
      </c>
      <c r="F418" s="146" t="s">
        <v>2442</v>
      </c>
    </row>
    <row r="419" spans="2:7" x14ac:dyDescent="0.3">
      <c r="B419" s="99" t="s">
        <v>6668</v>
      </c>
      <c r="C419" s="147">
        <f t="shared" si="4"/>
        <v>65.62158865974483</v>
      </c>
      <c r="D419" t="s">
        <v>6704</v>
      </c>
      <c r="E419" s="178">
        <f>C419*365</f>
        <v>23951.879860806865</v>
      </c>
      <c r="F419" s="146" t="s">
        <v>5323</v>
      </c>
    </row>
    <row r="420" spans="2:7" x14ac:dyDescent="0.3">
      <c r="B420" s="262" t="s">
        <v>6705</v>
      </c>
      <c r="C420" s="294">
        <f t="shared" si="4"/>
        <v>94</v>
      </c>
      <c r="D420" s="142" t="s">
        <v>5689</v>
      </c>
      <c r="E420" s="812">
        <f>C420</f>
        <v>94</v>
      </c>
      <c r="F420" s="141" t="s">
        <v>5689</v>
      </c>
      <c r="G420" s="712" t="s">
        <v>7295</v>
      </c>
    </row>
    <row r="421" spans="2:7" x14ac:dyDescent="0.3">
      <c r="B421" s="99" t="s">
        <v>7296</v>
      </c>
      <c r="C421" s="2138" t="s">
        <v>7297</v>
      </c>
      <c r="D421" t="s">
        <v>2442</v>
      </c>
      <c r="E421" s="99"/>
      <c r="F421" s="146" t="s">
        <v>2442</v>
      </c>
    </row>
    <row r="422" spans="2:7" x14ac:dyDescent="0.3">
      <c r="B422" s="99" t="s">
        <v>6706</v>
      </c>
      <c r="C422" s="147">
        <f>VLOOKUP(B422,$R:$U,3,FALSE)</f>
        <v>0.49956288350043065</v>
      </c>
      <c r="D422" t="s">
        <v>7075</v>
      </c>
      <c r="E422" s="99">
        <f>C422*365</f>
        <v>182.34045247765718</v>
      </c>
      <c r="F422" s="146" t="s">
        <v>2710</v>
      </c>
    </row>
    <row r="423" spans="2:7" x14ac:dyDescent="0.3">
      <c r="B423" s="99" t="s">
        <v>6707</v>
      </c>
      <c r="C423" s="147">
        <f>VLOOKUP(B423,$R:$U,3,FALSE)</f>
        <v>2.8265266010005625</v>
      </c>
      <c r="D423" t="s">
        <v>5400</v>
      </c>
      <c r="E423" s="99">
        <f>C423*365</f>
        <v>1031.6822093652054</v>
      </c>
      <c r="F423" s="146" t="s">
        <v>5324</v>
      </c>
    </row>
    <row r="424" spans="2:7" x14ac:dyDescent="0.3">
      <c r="B424" s="99" t="s">
        <v>6708</v>
      </c>
      <c r="C424" s="205">
        <f>VLOOKUP(B424,$R:$U,3,FALSE)</f>
        <v>0.72343361310549603</v>
      </c>
      <c r="D424" t="s">
        <v>7090</v>
      </c>
      <c r="E424" s="164">
        <f>CONVERT(C424,"m^3","yd^3")*365</f>
        <v>345.36863643737644</v>
      </c>
      <c r="F424" s="146" t="s">
        <v>7298</v>
      </c>
    </row>
    <row r="425" spans="2:7" x14ac:dyDescent="0.3">
      <c r="B425" s="99" t="s">
        <v>6710</v>
      </c>
      <c r="C425" s="147">
        <f>VLOOKUP(B425,$R:$U,3,FALSE)</f>
        <v>90</v>
      </c>
      <c r="D425" t="s">
        <v>5121</v>
      </c>
      <c r="E425" s="201">
        <f>365/C425</f>
        <v>4.0555555555555554</v>
      </c>
      <c r="F425" s="146" t="s">
        <v>7043</v>
      </c>
      <c r="G425" s="34" t="s">
        <v>7299</v>
      </c>
    </row>
    <row r="426" spans="2:7" x14ac:dyDescent="0.3">
      <c r="B426" s="99" t="s">
        <v>6711</v>
      </c>
      <c r="C426" s="147">
        <f>VLOOKUP(B426,$R:$U,3,FALSE)</f>
        <v>94</v>
      </c>
      <c r="D426" t="s">
        <v>5689</v>
      </c>
      <c r="E426" s="178">
        <f>C426</f>
        <v>94</v>
      </c>
      <c r="F426" s="146" t="s">
        <v>5689</v>
      </c>
    </row>
    <row r="427" spans="2:7" x14ac:dyDescent="0.3">
      <c r="B427" s="99" t="s">
        <v>7300</v>
      </c>
      <c r="C427" s="2138" t="s">
        <v>7297</v>
      </c>
      <c r="D427" t="s">
        <v>2442</v>
      </c>
      <c r="E427" s="99"/>
      <c r="F427" s="146" t="s">
        <v>2442</v>
      </c>
    </row>
    <row r="428" spans="2:7" x14ac:dyDescent="0.3">
      <c r="B428" s="99" t="s">
        <v>6712</v>
      </c>
      <c r="C428" s="205">
        <f>VLOOKUP(B428,$R:$U,3,FALSE)</f>
        <v>13.120854098548548</v>
      </c>
      <c r="D428" t="s">
        <v>6085</v>
      </c>
      <c r="E428" s="178">
        <f>C428*E425</f>
        <v>53.212352733002447</v>
      </c>
      <c r="F428" s="146" t="s">
        <v>2710</v>
      </c>
    </row>
    <row r="429" spans="2:7" x14ac:dyDescent="0.3">
      <c r="B429" s="99" t="s">
        <v>6713</v>
      </c>
      <c r="C429" s="147">
        <f>VLOOKUP(B429,$R:$U,3,FALSE)</f>
        <v>54.267852551596796</v>
      </c>
      <c r="D429" t="s">
        <v>2489</v>
      </c>
      <c r="E429" s="178">
        <f>C429*E425</f>
        <v>220.08629090369811</v>
      </c>
      <c r="F429" s="146" t="s">
        <v>5324</v>
      </c>
    </row>
    <row r="430" spans="2:7" x14ac:dyDescent="0.3">
      <c r="B430" s="99" t="s">
        <v>6714</v>
      </c>
      <c r="C430" s="147">
        <f>VLOOKUP(B430,$R:$U,3,FALSE)</f>
        <v>85</v>
      </c>
      <c r="D430" t="s">
        <v>5689</v>
      </c>
      <c r="E430" s="178">
        <f>C430</f>
        <v>85</v>
      </c>
      <c r="F430" s="146" t="s">
        <v>5689</v>
      </c>
    </row>
    <row r="431" spans="2:7" x14ac:dyDescent="0.3">
      <c r="B431" s="99" t="s">
        <v>6715</v>
      </c>
      <c r="C431" s="2138" t="s">
        <v>7297</v>
      </c>
      <c r="D431" t="s">
        <v>2442</v>
      </c>
      <c r="E431" s="99"/>
      <c r="F431" s="146" t="s">
        <v>2442</v>
      </c>
    </row>
    <row r="432" spans="2:7" x14ac:dyDescent="0.3">
      <c r="B432" s="99" t="s">
        <v>6716</v>
      </c>
      <c r="C432" s="2138" t="s">
        <v>7297</v>
      </c>
      <c r="E432" s="99"/>
      <c r="F432" s="146" t="s">
        <v>2442</v>
      </c>
    </row>
    <row r="433" spans="2:15" x14ac:dyDescent="0.3">
      <c r="B433" s="99" t="s">
        <v>6717</v>
      </c>
      <c r="C433" s="147">
        <f>VLOOKUP(B433,$R:$U,3,FALSE)</f>
        <v>4.3277994012866774</v>
      </c>
      <c r="D433" t="s">
        <v>6085</v>
      </c>
      <c r="E433" s="178">
        <f>C433*E425</f>
        <v>17.55163090521819</v>
      </c>
      <c r="F433" s="146" t="s">
        <v>2710</v>
      </c>
    </row>
    <row r="434" spans="2:15" x14ac:dyDescent="0.3">
      <c r="B434" s="149" t="s">
        <v>6718</v>
      </c>
      <c r="C434" s="295">
        <f>VLOOKUP(B434,$R:$U,3,FALSE)</f>
        <v>16.185969760812178</v>
      </c>
      <c r="D434" s="150" t="s">
        <v>2489</v>
      </c>
      <c r="E434" s="718">
        <f>C434*E425</f>
        <v>65.643099585516055</v>
      </c>
      <c r="F434" s="151" t="s">
        <v>5324</v>
      </c>
    </row>
    <row r="435" spans="2:15" x14ac:dyDescent="0.3">
      <c r="B435" s="262"/>
      <c r="C435" s="142"/>
      <c r="D435" s="141"/>
      <c r="E435" s="262"/>
      <c r="F435" s="141"/>
    </row>
    <row r="436" spans="2:15" x14ac:dyDescent="0.3">
      <c r="B436" s="92" t="s">
        <v>6996</v>
      </c>
      <c r="C436" s="78"/>
      <c r="D436" s="146"/>
      <c r="E436" s="143" t="s">
        <v>565</v>
      </c>
      <c r="F436" s="145" t="s">
        <v>6944</v>
      </c>
    </row>
    <row r="437" spans="2:15" x14ac:dyDescent="0.3">
      <c r="B437" s="99" t="s">
        <v>7076</v>
      </c>
      <c r="D437" s="146"/>
      <c r="E437" s="358">
        <f>UDV.electricity.avg_cost</f>
        <v>6.8591666666666662E-2</v>
      </c>
      <c r="F437" s="146" t="s">
        <v>2306</v>
      </c>
    </row>
    <row r="438" spans="2:15" s="90" customFormat="1" x14ac:dyDescent="0.3">
      <c r="B438" s="99" t="s">
        <v>6997</v>
      </c>
      <c r="C438"/>
      <c r="D438" s="146"/>
      <c r="E438" s="813">
        <f>UDV.fuel.diesel_avg_cost</f>
        <v>3.6964905660377356</v>
      </c>
      <c r="F438" s="146" t="s">
        <v>2315</v>
      </c>
    </row>
    <row r="439" spans="2:15" x14ac:dyDescent="0.3">
      <c r="B439" s="99" t="s">
        <v>6998</v>
      </c>
      <c r="D439" s="146"/>
      <c r="E439" s="658">
        <f>UDV.labor.non_specialized_cost</f>
        <v>23.66</v>
      </c>
      <c r="F439" s="146" t="s">
        <v>3659</v>
      </c>
    </row>
    <row r="440" spans="2:15" x14ac:dyDescent="0.3">
      <c r="B440" s="149" t="s">
        <v>7077</v>
      </c>
      <c r="C440" s="150"/>
      <c r="D440" s="151"/>
      <c r="E440" s="659">
        <f>UDV.labor.specialized_cost</f>
        <v>48.82</v>
      </c>
      <c r="F440" s="151" t="s">
        <v>3659</v>
      </c>
    </row>
    <row r="442" spans="2:15" ht="43.2" x14ac:dyDescent="0.3">
      <c r="B442" s="361" t="s">
        <v>6946</v>
      </c>
      <c r="C442" s="362" t="s">
        <v>6947</v>
      </c>
      <c r="D442" s="362" t="s">
        <v>6948</v>
      </c>
      <c r="E442" s="362" t="s">
        <v>6949</v>
      </c>
      <c r="F442" s="362" t="s">
        <v>6950</v>
      </c>
      <c r="G442" s="362" t="s">
        <v>6951</v>
      </c>
      <c r="H442" s="362" t="s">
        <v>6952</v>
      </c>
      <c r="I442" s="362" t="s">
        <v>6953</v>
      </c>
      <c r="J442" s="362" t="s">
        <v>6954</v>
      </c>
      <c r="K442" s="362" t="s">
        <v>6955</v>
      </c>
      <c r="L442" s="362" t="s">
        <v>6956</v>
      </c>
      <c r="M442" s="140" t="s">
        <v>6957</v>
      </c>
      <c r="N442" s="140" t="s">
        <v>6958</v>
      </c>
      <c r="O442" s="363" t="s">
        <v>6959</v>
      </c>
    </row>
    <row r="443" spans="2:15" x14ac:dyDescent="0.3">
      <c r="B443" s="99" t="s">
        <v>7301</v>
      </c>
      <c r="C443" s="233">
        <f>VLOOKUP("Compost building, concrete and metal buildingDefault",Econ.Tables!$C:$E,2,FALSE)*E414</f>
        <v>286135.54930556839</v>
      </c>
      <c r="D443">
        <f>VLOOKUP("CAPEXLifetimeBuildings and constructionDefault",Econ.inputsTable!$E:$I,2,FALSE)</f>
        <v>20</v>
      </c>
      <c r="E443" s="278" t="s">
        <v>2852</v>
      </c>
      <c r="F443" s="42" t="s">
        <v>2852</v>
      </c>
      <c r="G443" s="257">
        <f>VLOOKUP("CAPEXAnnual usage on activityItems that are used only on the given activityDefault",Econ.inputsTable!$E:$I,2,FALSE)</f>
        <v>1</v>
      </c>
      <c r="H443" s="503">
        <f>UDV.econ_capital.interest_rate</f>
        <v>5.0999999999999997E-2</v>
      </c>
      <c r="I443" s="257">
        <f>VLOOKUP("CAPEXSalvageBuildings and constructionDefault", Econ.inputsTable!$E:$G,2,FALSE)</f>
        <v>0</v>
      </c>
      <c r="J443" s="153">
        <f>$C443*I443</f>
        <v>0</v>
      </c>
      <c r="K443" s="257">
        <f>VLOOKUP("CAPEXFinanced amountNADefault", Econ.inputsTable!$E:$I,2,FALSE)</f>
        <v>1</v>
      </c>
      <c r="L443" s="364">
        <f>H443*K443</f>
        <v>5.0999999999999997E-2</v>
      </c>
      <c r="M443" s="351">
        <f>L443/(1-(1+L443)^-D443)</f>
        <v>8.0924368970045152E-2</v>
      </c>
      <c r="N443" s="153">
        <f>((C443-J443)*M443)+(J443*L443)</f>
        <v>23155.338767450365</v>
      </c>
      <c r="O443" s="157">
        <f>G443*N443</f>
        <v>23155.338767450365</v>
      </c>
    </row>
    <row r="444" spans="2:15" x14ac:dyDescent="0.3">
      <c r="B444" s="99" t="s">
        <v>7302</v>
      </c>
      <c r="C444" s="233" cm="1">
        <f t="array" ref="C444">_xlfn.IFS(E415=9.8,VLOOKUP("Compost mixing vessel, 9.8 ftDefault",Econ.Tables!$C:$E,2,FALSE),E415=20,VLOOKUP("Compost mixing vessel, 20 ftDefault",Econ.Tables!$C:$E,2,FALSE))*E416</f>
        <v>191700</v>
      </c>
      <c r="D444">
        <f>VLOOKUP("CAPEXLifetimeEquipmentDefault",Econ.inputsTable!$E:$I,2,FALSE)</f>
        <v>10</v>
      </c>
      <c r="E444" s="278" t="s">
        <v>2852</v>
      </c>
      <c r="F444" s="42" t="s">
        <v>2852</v>
      </c>
      <c r="G444" s="257">
        <f>VLOOKUP("CAPEXAnnual usage on activityItems that are used only on the given activityDefault",Econ.inputsTable!$E:$I,2,FALSE)</f>
        <v>1</v>
      </c>
      <c r="H444" s="503">
        <f>UDV.econ_capital.interest_rate</f>
        <v>5.0999999999999997E-2</v>
      </c>
      <c r="I444" s="257">
        <f>VLOOKUP("CAPEXSalvageEquipmentDefault", Econ.inputsTable!$E:$G,2,FALSE)</f>
        <v>0.2</v>
      </c>
      <c r="J444" s="153">
        <f>$C444*I444</f>
        <v>38340</v>
      </c>
      <c r="K444" s="257">
        <f>VLOOKUP("CAPEXFinanced amountNADefault", Econ.inputsTable!$E:$I,2,FALSE)</f>
        <v>1</v>
      </c>
      <c r="L444" s="364">
        <f>H444*K444</f>
        <v>5.0999999999999997E-2</v>
      </c>
      <c r="M444" s="351">
        <f>L444/(1-(1+L444)^-D444)</f>
        <v>0.13013423257204779</v>
      </c>
      <c r="N444" s="153">
        <f>((C444-J444)*M444)+(J444*L444)</f>
        <v>21912.725907249249</v>
      </c>
      <c r="O444" s="157">
        <f>G444*N444</f>
        <v>21912.725907249249</v>
      </c>
    </row>
    <row r="445" spans="2:15" x14ac:dyDescent="0.3">
      <c r="B445" s="99" t="s">
        <v>7303</v>
      </c>
      <c r="C445" s="811" cm="1">
        <f t="array" ref="C445">_xlfn.IFS(E415=9.8,VLOOKUP("Transfer trolley for compost building, 9.8 ftDefault",Econ.Tables!$C:$E,2,FALSE),E415=20,VLOOKUP("Transfer trolley for compost building, 20.0 ftDefault",Econ.Tables!$C:$E,2,FALSE))</f>
        <v>32000</v>
      </c>
      <c r="D445">
        <f>VLOOKUP("CAPEXLifetimeEquipmentDefault",Econ.inputsTable!$E:$I,2,FALSE)</f>
        <v>10</v>
      </c>
      <c r="E445" s="278" t="s">
        <v>2852</v>
      </c>
      <c r="F445" s="42" t="s">
        <v>2852</v>
      </c>
      <c r="G445" s="257">
        <f>VLOOKUP("CAPEXAnnual usage on activityItems that are used only on the given activityDefault",Econ.inputsTable!$E:$I,2,FALSE)</f>
        <v>1</v>
      </c>
      <c r="H445" s="503">
        <f>UDV.econ_capital.interest_rate</f>
        <v>5.0999999999999997E-2</v>
      </c>
      <c r="I445" s="257">
        <f>VLOOKUP("CAPEXSalvageEquipmentDefault", Econ.inputsTable!$E:$G,2,FALSE)</f>
        <v>0.2</v>
      </c>
      <c r="J445" s="153">
        <f>$C445*I445</f>
        <v>6400</v>
      </c>
      <c r="K445" s="257">
        <f>VLOOKUP("CAPEXFinanced amountNADefault", Econ.inputsTable!$E:$I,2,FALSE)</f>
        <v>1</v>
      </c>
      <c r="L445" s="364">
        <f>H445*K445</f>
        <v>5.0999999999999997E-2</v>
      </c>
      <c r="M445" s="351">
        <f>L445/(1-(1+L445)^-D445)</f>
        <v>0.13013423257204779</v>
      </c>
      <c r="N445" s="153">
        <f>((C445-J445)*M445)+(J445*L445)</f>
        <v>3657.8363538444232</v>
      </c>
      <c r="O445" s="157">
        <f>G445*N445</f>
        <v>3657.8363538444232</v>
      </c>
    </row>
    <row r="446" spans="2:15" x14ac:dyDescent="0.3">
      <c r="B446" s="99" t="s">
        <v>7304</v>
      </c>
      <c r="C446" s="153">
        <f>(VLOOKUP("Motor, 2 hpDefault", Econ.Tables!C:E, 2, FALSE)*E417)+(VLOOKUP("Motor, 10 hpDefault",Econ.Tables!C:E,2,FALSE)*E418)</f>
        <v>2520</v>
      </c>
      <c r="D446">
        <f>VLOOKUP("CAPEXLifetimeMotorDefault",Econ.inputsTable!$E:$H,2,FALSE)</f>
        <v>20</v>
      </c>
      <c r="E446" s="278" t="s">
        <v>2852</v>
      </c>
      <c r="F446" s="42" t="s">
        <v>2852</v>
      </c>
      <c r="G446" s="257">
        <f>VLOOKUP("CAPEXAnnual usage on activityItems that are used only on the given activityDefault",Econ.inputsTable!$E:$I,2,FALSE)</f>
        <v>1</v>
      </c>
      <c r="H446" s="503">
        <f>UDV.econ_capital.interest_rate</f>
        <v>5.0999999999999997E-2</v>
      </c>
      <c r="I446" s="257">
        <f>VLOOKUP("CAPEXSalvageEquipmentDefault",Econ.inputsTable!$E:$I,2,FALSE)</f>
        <v>0.2</v>
      </c>
      <c r="J446" s="153">
        <f t="shared" ref="J446" si="5">C446*I446</f>
        <v>504</v>
      </c>
      <c r="K446" s="257">
        <f>VLOOKUP("CAPEXFinanced amountNADefault",Econ.inputsTable!$E:$I,2,FALSE)</f>
        <v>1</v>
      </c>
      <c r="L446" s="364">
        <f t="shared" ref="L446" si="6">H446*K446</f>
        <v>5.0999999999999997E-2</v>
      </c>
      <c r="M446" s="351">
        <f t="shared" ref="M446" si="7">L446/(1-(1+L446)^-D446)</f>
        <v>8.0924368970045152E-2</v>
      </c>
      <c r="N446" s="153">
        <f t="shared" ref="N446" si="8">((C446-J446)*M446)+(J446*L446)</f>
        <v>188.84752784361103</v>
      </c>
      <c r="O446" s="157">
        <f t="shared" ref="O446" si="9">G446*N446</f>
        <v>188.84752784361103</v>
      </c>
    </row>
    <row r="447" spans="2:15" x14ac:dyDescent="0.3">
      <c r="B447" s="99" t="s">
        <v>7305</v>
      </c>
      <c r="C447" s="807" t="s">
        <v>7306</v>
      </c>
      <c r="E447" s="278"/>
      <c r="F447" s="42"/>
      <c r="G447" s="257"/>
      <c r="H447" s="256"/>
      <c r="I447" s="257"/>
      <c r="J447" s="153"/>
      <c r="K447" s="257"/>
      <c r="L447" s="364"/>
      <c r="M447" s="351"/>
      <c r="N447" s="153"/>
      <c r="O447" s="157"/>
    </row>
    <row r="448" spans="2:15" x14ac:dyDescent="0.3">
      <c r="B448" s="99"/>
      <c r="O448" s="146"/>
    </row>
    <row r="449" spans="1:15" x14ac:dyDescent="0.3">
      <c r="B449" s="99"/>
      <c r="C449" s="82" t="s">
        <v>7009</v>
      </c>
      <c r="D449" s="82" t="s">
        <v>6963</v>
      </c>
      <c r="O449" s="146"/>
    </row>
    <row r="450" spans="1:15" x14ac:dyDescent="0.3">
      <c r="A450" t="s">
        <v>5236</v>
      </c>
      <c r="B450" s="99" t="s">
        <v>6964</v>
      </c>
      <c r="C450" s="373">
        <f>SUM(C443:C446)</f>
        <v>512355.54930556839</v>
      </c>
      <c r="D450" s="233">
        <f>SUMPRODUCT(C443:C446,G443:G446)</f>
        <v>512355.54930556839</v>
      </c>
      <c r="O450" s="146"/>
    </row>
    <row r="451" spans="1:15" x14ac:dyDescent="0.3">
      <c r="A451" t="s">
        <v>5236</v>
      </c>
      <c r="B451" s="149" t="s">
        <v>6965</v>
      </c>
      <c r="C451" s="159">
        <f>SUM(N443:N446)</f>
        <v>48914.748556387647</v>
      </c>
      <c r="D451" s="159">
        <f>SUMPRODUCT(N443:N446,G443:G446)</f>
        <v>48914.748556387647</v>
      </c>
      <c r="E451" s="150"/>
      <c r="F451" s="150"/>
      <c r="G451" s="150"/>
      <c r="H451" s="150"/>
      <c r="I451" s="150"/>
      <c r="J451" s="150"/>
      <c r="K451" s="150"/>
      <c r="L451" s="150"/>
      <c r="M451" s="150"/>
      <c r="N451" s="150"/>
      <c r="O451" s="151"/>
    </row>
    <row r="452" spans="1:15" x14ac:dyDescent="0.3">
      <c r="B452" s="99"/>
      <c r="O452" s="146"/>
    </row>
    <row r="453" spans="1:15" ht="43.2" x14ac:dyDescent="0.3">
      <c r="B453" s="160" t="s">
        <v>6966</v>
      </c>
      <c r="C453" s="152" t="s">
        <v>6967</v>
      </c>
      <c r="D453" s="152" t="s">
        <v>6968</v>
      </c>
      <c r="E453" s="152" t="s">
        <v>6969</v>
      </c>
      <c r="F453" s="152" t="s">
        <v>6970</v>
      </c>
      <c r="G453" s="152" t="s">
        <v>6971</v>
      </c>
      <c r="H453" s="152" t="s">
        <v>6972</v>
      </c>
      <c r="I453" s="152" t="s">
        <v>6973</v>
      </c>
      <c r="J453" s="152" t="s">
        <v>6974</v>
      </c>
      <c r="K453" s="152" t="s">
        <v>6975</v>
      </c>
      <c r="L453" s="152" t="s">
        <v>6976</v>
      </c>
      <c r="M453" s="152" t="s">
        <v>6977</v>
      </c>
      <c r="N453" s="152" t="s">
        <v>6978</v>
      </c>
      <c r="O453" s="161" t="s">
        <v>6979</v>
      </c>
    </row>
    <row r="454" spans="1:15" x14ac:dyDescent="0.3">
      <c r="B454" s="99" t="s">
        <v>7301</v>
      </c>
      <c r="C454" s="236">
        <f>VLOOKUP("OPEXInsuranceEverythingDefault",Econ.inputsTable!$E:$I,2,FALSE)</f>
        <v>5.0000000000000001E-3</v>
      </c>
      <c r="D454" s="236">
        <f>VLOOKUP("OPEXRepair and maintenanceBuildings and constructionDefault",Econ.inputsTable!$E:$I,2,FALSE)</f>
        <v>0.01</v>
      </c>
      <c r="E454" s="153"/>
      <c r="G454" s="153"/>
      <c r="L454" s="156"/>
      <c r="O454" s="167">
        <f>(SUM(C454:D454)*C443*G443)+SUM(E454,G454,I454,J454,L454,N454)</f>
        <v>4292.0332395835258</v>
      </c>
    </row>
    <row r="455" spans="1:15" x14ac:dyDescent="0.3">
      <c r="B455" s="99" t="s">
        <v>7302</v>
      </c>
      <c r="C455" s="236">
        <f>VLOOKUP("OPEXInsuranceEverythingDefault",Econ.inputsTable!$E:$I,2,FALSE)</f>
        <v>5.0000000000000001E-3</v>
      </c>
      <c r="D455" s="236">
        <f>VLOOKUP("OPEXRepair and maintenanceEquipmentDefault",Econ.inputsTable!$E:$I,2,FALSE)</f>
        <v>0.03</v>
      </c>
      <c r="E455" s="808"/>
      <c r="F455" s="148"/>
      <c r="G455" s="233"/>
      <c r="O455" s="167">
        <f>(SUM(C455:D455)*C444*G444)+SUM(E455,G455,I455,J455,L455,N455)</f>
        <v>6709.4999999999991</v>
      </c>
    </row>
    <row r="456" spans="1:15" x14ac:dyDescent="0.3">
      <c r="B456" s="99" t="s">
        <v>7303</v>
      </c>
      <c r="C456" s="236">
        <f>VLOOKUP("OPEXInsuranceEverythingDefault",Econ.inputsTable!$E:$I,2,FALSE)</f>
        <v>5.0000000000000001E-3</v>
      </c>
      <c r="D456" s="236">
        <f>VLOOKUP("OPEXRepair and maintenanceEquipmentDefault",Econ.inputsTable!$E:$I,2,FALSE)</f>
        <v>0.03</v>
      </c>
      <c r="E456" s="808"/>
      <c r="F456" s="148"/>
      <c r="G456" s="233"/>
      <c r="O456" s="167">
        <f>(SUM(C456:D456)*C445*G445)+SUM(E456,G456,I456,J456,L456,N456)</f>
        <v>1119.9999999999998</v>
      </c>
    </row>
    <row r="457" spans="1:15" x14ac:dyDescent="0.3">
      <c r="B457" s="99" t="s">
        <v>3570</v>
      </c>
      <c r="C457" s="236">
        <f>VLOOKUP("OPEXInsuranceEverythingDefault",Econ.inputsTable!$E:$I,2,FALSE)</f>
        <v>5.0000000000000001E-3</v>
      </c>
      <c r="D457" s="236">
        <f>VLOOKUP("OPEXRepair and maintenanceEquipmentDefault",Econ.inputsTable!$E:$I,2,FALSE)</f>
        <v>0.03</v>
      </c>
      <c r="E457" s="808"/>
      <c r="F457" s="148">
        <f>E419</f>
        <v>23951.879860806865</v>
      </c>
      <c r="G457" s="233">
        <f>F457*E437</f>
        <v>1642.8993594525107</v>
      </c>
      <c r="O457" s="167">
        <f>(SUM(C457:D457)*C446*G446)+SUM(E457,G457,I457,J457,L457,N457)</f>
        <v>1731.0993594525107</v>
      </c>
    </row>
    <row r="458" spans="1:15" x14ac:dyDescent="0.3">
      <c r="B458" s="99" t="s">
        <v>3629</v>
      </c>
      <c r="C458" s="236">
        <v>0</v>
      </c>
      <c r="D458" s="236">
        <v>0</v>
      </c>
      <c r="E458" s="808"/>
      <c r="F458" s="148"/>
      <c r="G458" s="233"/>
      <c r="O458" s="167">
        <f>UDV.econ_compost.wood_chips*E424</f>
        <v>7943.4786380596579</v>
      </c>
    </row>
    <row r="459" spans="1:15" x14ac:dyDescent="0.3">
      <c r="B459" s="99" t="s">
        <v>7307</v>
      </c>
      <c r="C459" s="809" t="s">
        <v>7308</v>
      </c>
      <c r="D459" s="810"/>
      <c r="E459" s="153"/>
      <c r="G459" s="153"/>
      <c r="H459" s="148">
        <f>E423</f>
        <v>1031.6822093652054</v>
      </c>
      <c r="I459" s="153">
        <f>H459*E438</f>
        <v>3813.6035540674497</v>
      </c>
      <c r="J459" s="238">
        <f>I459*VLOOKUP("OPEXLubeLubeDefault",Econ.inputsTable!$E:$H,2,FALSE)</f>
        <v>381.36035540674499</v>
      </c>
      <c r="K459" s="148">
        <f>E422</f>
        <v>182.34045247765718</v>
      </c>
      <c r="L459" s="153">
        <f>K459*E439</f>
        <v>4314.1751056213689</v>
      </c>
      <c r="O459" s="167">
        <f>SUM(G459,I459,J459,L459,N459)</f>
        <v>8509.1390150955631</v>
      </c>
    </row>
    <row r="460" spans="1:15" x14ac:dyDescent="0.3">
      <c r="B460" s="99"/>
      <c r="C460" s="236"/>
      <c r="D460" s="236"/>
      <c r="E460" s="153"/>
      <c r="G460" s="153"/>
      <c r="L460" s="156"/>
      <c r="O460" s="167"/>
    </row>
    <row r="461" spans="1:15" x14ac:dyDescent="0.3">
      <c r="A461" t="s">
        <v>5236</v>
      </c>
      <c r="B461" s="162" t="s">
        <v>5203</v>
      </c>
      <c r="C461" s="241"/>
      <c r="D461" s="241"/>
      <c r="E461" s="242">
        <f>SUM(E454:E459)</f>
        <v>0</v>
      </c>
      <c r="F461" s="286">
        <f>SUM(F454:F460)</f>
        <v>23951.879860806865</v>
      </c>
      <c r="G461" s="242">
        <f>SUM(G454:G459)</f>
        <v>1642.8993594525107</v>
      </c>
      <c r="H461" s="286">
        <f>SUM(H454:H460)</f>
        <v>1031.6822093652054</v>
      </c>
      <c r="I461" s="242">
        <f>SUM(I454:I459)</f>
        <v>3813.6035540674497</v>
      </c>
      <c r="J461" s="242">
        <f>SUM(J454:J459)</f>
        <v>381.36035540674499</v>
      </c>
      <c r="K461" s="286">
        <f>SUM(K454:K460)</f>
        <v>182.34045247765718</v>
      </c>
      <c r="L461" s="242">
        <f>SUM(L454:L459)</f>
        <v>4314.1751056213689</v>
      </c>
      <c r="M461" s="541">
        <f>SUM(M454:M460)</f>
        <v>0</v>
      </c>
      <c r="N461" s="242">
        <f>SUM(N454:N459)</f>
        <v>0</v>
      </c>
      <c r="O461" s="169">
        <f>SUM(O454:O459)</f>
        <v>30305.250252191254</v>
      </c>
    </row>
    <row r="462" spans="1:15" x14ac:dyDescent="0.3">
      <c r="B462" s="99"/>
      <c r="C462" s="278"/>
      <c r="D462" s="236"/>
      <c r="E462" s="236"/>
      <c r="F462" s="233"/>
      <c r="G462" s="257"/>
      <c r="H462" s="156"/>
      <c r="I462" s="153"/>
      <c r="O462" s="146"/>
    </row>
    <row r="463" spans="1:15" x14ac:dyDescent="0.3">
      <c r="A463" t="s">
        <v>5236</v>
      </c>
      <c r="B463" s="149" t="s">
        <v>6980</v>
      </c>
      <c r="C463" s="234">
        <f>O461</f>
        <v>30305.250252191254</v>
      </c>
      <c r="D463" s="150"/>
      <c r="E463" s="150"/>
      <c r="F463" s="150"/>
      <c r="G463" s="150"/>
      <c r="H463" s="150"/>
      <c r="I463" s="150"/>
      <c r="J463" s="150"/>
      <c r="K463" s="150"/>
      <c r="L463" s="150"/>
      <c r="M463" s="150"/>
      <c r="N463" s="150"/>
      <c r="O463" s="151"/>
    </row>
    <row r="464" spans="1:15" ht="15" thickBot="1" x14ac:dyDescent="0.35">
      <c r="A464" s="137"/>
      <c r="B464" s="137"/>
      <c r="C464" s="137"/>
      <c r="D464" s="137"/>
      <c r="E464" s="137"/>
      <c r="F464" s="137"/>
      <c r="G464" s="137"/>
      <c r="H464" s="137"/>
      <c r="I464" s="137"/>
      <c r="J464" s="137"/>
      <c r="K464" s="137"/>
      <c r="L464" s="137"/>
      <c r="M464" s="137"/>
      <c r="N464" s="137"/>
      <c r="O464" s="137"/>
    </row>
    <row r="466" spans="2:15" s="90" customFormat="1" ht="15.6" x14ac:dyDescent="0.3">
      <c r="B466" s="723" t="s">
        <v>7309</v>
      </c>
    </row>
    <row r="468" spans="2:15" s="90" customFormat="1" x14ac:dyDescent="0.3">
      <c r="B468" s="171" t="s">
        <v>6942</v>
      </c>
      <c r="C468" s="724"/>
      <c r="D468" s="724"/>
      <c r="E468" s="171" t="s">
        <v>6988</v>
      </c>
      <c r="F468" s="725"/>
    </row>
    <row r="469" spans="2:15" s="90" customFormat="1" x14ac:dyDescent="0.3">
      <c r="B469" s="726" t="s">
        <v>2663</v>
      </c>
      <c r="C469" s="727" t="s">
        <v>565</v>
      </c>
      <c r="D469" s="727" t="s">
        <v>6943</v>
      </c>
      <c r="E469" s="726" t="s">
        <v>565</v>
      </c>
      <c r="F469" s="728" t="s">
        <v>6944</v>
      </c>
    </row>
    <row r="470" spans="2:15" s="90" customFormat="1" x14ac:dyDescent="0.3">
      <c r="B470" s="235" t="s">
        <v>7310</v>
      </c>
      <c r="E470" s="235">
        <v>94</v>
      </c>
      <c r="F470" s="280" t="s">
        <v>5689</v>
      </c>
    </row>
    <row r="471" spans="2:15" s="90" customFormat="1" x14ac:dyDescent="0.3">
      <c r="B471" s="235" t="s">
        <v>7311</v>
      </c>
      <c r="E471" s="729">
        <f>C622</f>
        <v>1</v>
      </c>
      <c r="F471" s="280" t="s">
        <v>2442</v>
      </c>
    </row>
    <row r="472" spans="2:15" s="90" customFormat="1" x14ac:dyDescent="0.3">
      <c r="B472" s="235" t="s">
        <v>7312</v>
      </c>
      <c r="E472" s="729">
        <f>C623</f>
        <v>235.55280521065964</v>
      </c>
      <c r="F472" s="280" t="s">
        <v>2710</v>
      </c>
    </row>
    <row r="473" spans="2:15" s="90" customFormat="1" x14ac:dyDescent="0.3">
      <c r="B473" s="253" t="s">
        <v>7313</v>
      </c>
      <c r="C473" s="730"/>
      <c r="D473" s="730"/>
      <c r="E473" s="731">
        <f>E472/E471</f>
        <v>235.55280521065964</v>
      </c>
      <c r="F473" s="732" t="s">
        <v>7314</v>
      </c>
    </row>
    <row r="474" spans="2:15" s="90" customFormat="1" x14ac:dyDescent="0.3">
      <c r="B474" s="235" t="s">
        <v>7310</v>
      </c>
      <c r="E474" s="235">
        <v>85</v>
      </c>
      <c r="F474" s="280" t="s">
        <v>5689</v>
      </c>
      <c r="H474"/>
    </row>
    <row r="475" spans="2:15" s="90" customFormat="1" x14ac:dyDescent="0.3">
      <c r="B475" s="235" t="s">
        <v>7315</v>
      </c>
      <c r="E475" s="729">
        <f>C643</f>
        <v>1</v>
      </c>
      <c r="F475" s="280" t="s">
        <v>2442</v>
      </c>
      <c r="H475"/>
    </row>
    <row r="476" spans="2:15" s="90" customFormat="1" x14ac:dyDescent="0.3">
      <c r="B476" s="235" t="s">
        <v>7316</v>
      </c>
      <c r="E476" s="729">
        <f>C644</f>
        <v>17.55163090521819</v>
      </c>
      <c r="F476" s="280" t="s">
        <v>2710</v>
      </c>
      <c r="H476"/>
    </row>
    <row r="477" spans="2:15" s="90" customFormat="1" x14ac:dyDescent="0.3">
      <c r="B477" s="253" t="s">
        <v>7317</v>
      </c>
      <c r="C477" s="730"/>
      <c r="D477" s="730"/>
      <c r="E477" s="731">
        <f>IF(E475&gt;0,E476/E475,0)</f>
        <v>17.55163090521819</v>
      </c>
      <c r="F477" s="732" t="s">
        <v>7314</v>
      </c>
      <c r="G477"/>
      <c r="H477"/>
    </row>
    <row r="478" spans="2:15" s="90" customFormat="1" x14ac:dyDescent="0.3">
      <c r="B478" s="733" t="s">
        <v>6716</v>
      </c>
      <c r="C478" s="734"/>
      <c r="D478" s="734"/>
      <c r="E478" s="805">
        <f>E475</f>
        <v>1</v>
      </c>
      <c r="F478" s="735" t="s">
        <v>2442</v>
      </c>
    </row>
    <row r="479" spans="2:15" s="90" customFormat="1" x14ac:dyDescent="0.3">
      <c r="E479" s="418"/>
    </row>
    <row r="480" spans="2:15" s="90" customFormat="1" ht="63.6" customHeight="1" x14ac:dyDescent="0.3">
      <c r="B480" s="736" t="s">
        <v>6946</v>
      </c>
      <c r="C480" s="724" t="s">
        <v>6947</v>
      </c>
      <c r="D480" s="724" t="s">
        <v>7318</v>
      </c>
      <c r="E480" s="737" t="s">
        <v>7319</v>
      </c>
      <c r="F480" s="737" t="s">
        <v>7320</v>
      </c>
      <c r="G480" s="737" t="s">
        <v>6951</v>
      </c>
      <c r="H480" s="737" t="s">
        <v>6952</v>
      </c>
      <c r="I480" s="737" t="s">
        <v>6953</v>
      </c>
      <c r="J480" s="737" t="s">
        <v>6954</v>
      </c>
      <c r="K480" s="737" t="s">
        <v>6955</v>
      </c>
      <c r="L480" s="737" t="s">
        <v>6956</v>
      </c>
      <c r="M480" s="724" t="s">
        <v>6957</v>
      </c>
      <c r="N480" s="737" t="s">
        <v>7002</v>
      </c>
      <c r="O480" s="2139" t="s">
        <v>6959</v>
      </c>
    </row>
    <row r="481" spans="1:19" s="90" customFormat="1" x14ac:dyDescent="0.3">
      <c r="A481" s="90" t="s">
        <v>7321</v>
      </c>
      <c r="B481" s="235" t="s">
        <v>7322</v>
      </c>
      <c r="C481" s="373">
        <f>VLOOKUP(_xlfn.CONCAT("Tractor",E470, " hp"),Econ.Tables!C:E,2,FALSE)*E471</f>
        <v>136600</v>
      </c>
      <c r="D481" s="213">
        <f>VLOOKUP("CAPEXLifetimeTractor, 4 wheel drive and crawlerDefault",Econ.inputsTable!$E:$H,2,FALSE)/E481</f>
        <v>16</v>
      </c>
      <c r="E481" s="213">
        <f>IF(F481&gt;UDV.tractor.min_usage_yearly,F481,UDV.tractor.min_usage_yearly)</f>
        <v>1000</v>
      </c>
      <c r="F481" s="213">
        <f>E473</f>
        <v>235.55280521065964</v>
      </c>
      <c r="G481" s="2140">
        <f>F481/E481</f>
        <v>0.23555280521065963</v>
      </c>
      <c r="H481" s="256">
        <f>UDV.econ_capital.interest_rate</f>
        <v>5.0999999999999997E-2</v>
      </c>
      <c r="I481" s="2141">
        <f>VLOOKUP("CAPEXSalvageEquipmentDefault",Econ.inputsTable!$E:$I,2,FALSE)</f>
        <v>0.2</v>
      </c>
      <c r="J481" s="373">
        <f>C481*I481</f>
        <v>27320</v>
      </c>
      <c r="K481" s="2140">
        <f>VLOOKUP("CAPEXFinanced amountNADefault",Econ.inputsTable!$E:$I,2,FALSE)</f>
        <v>1</v>
      </c>
      <c r="L481" s="2142">
        <f>H481*K481</f>
        <v>5.0999999999999997E-2</v>
      </c>
      <c r="M481" s="90">
        <f>L481/(1-(1+L481)^-D481)</f>
        <v>9.2927821836826949E-2</v>
      </c>
      <c r="N481" s="373">
        <f>((C481-J481)*M481)+(J481*L481)</f>
        <v>11548.472370328449</v>
      </c>
      <c r="O481" s="742">
        <f>N481*G481</f>
        <v>2720.2750627286619</v>
      </c>
    </row>
    <row r="482" spans="1:19" s="90" customFormat="1" x14ac:dyDescent="0.3">
      <c r="A482" s="90" t="s">
        <v>7321</v>
      </c>
      <c r="B482" s="235" t="s">
        <v>7323</v>
      </c>
      <c r="C482" s="373">
        <f>VLOOKUP(_xlfn.CONCAT("Tractor",E474, " hp"),Econ.Tables!C:E,2,FALSE)*E475</f>
        <v>111300</v>
      </c>
      <c r="D482" s="213">
        <f>VLOOKUP("CAPEXLifetimeTractor, 4 wheel drive and crawlerDefault",Econ.inputsTable!$E:$H,2,FALSE)/E482</f>
        <v>16</v>
      </c>
      <c r="E482" s="213">
        <f>IF(F482&gt;UDV.tractor.min_usage_yearly,F482,UDV.tractor.min_usage_yearly)</f>
        <v>1000</v>
      </c>
      <c r="F482" s="213">
        <f>E477</f>
        <v>17.55163090521819</v>
      </c>
      <c r="G482" s="2140">
        <f>F482/E482</f>
        <v>1.7551630905218191E-2</v>
      </c>
      <c r="H482" s="256">
        <f>UDV.econ_capital.interest_rate</f>
        <v>5.0999999999999997E-2</v>
      </c>
      <c r="I482" s="2141">
        <f>VLOOKUP("CAPEXSalvageEquipmentDefault",Econ.inputsTable!$E:$I,2,FALSE)</f>
        <v>0.2</v>
      </c>
      <c r="J482" s="373">
        <f>C482*I482</f>
        <v>22260</v>
      </c>
      <c r="K482" s="2140">
        <f>VLOOKUP("CAPEXFinanced amountNADefault",Econ.inputsTable!$E:$I,2,FALSE)</f>
        <v>1</v>
      </c>
      <c r="L482" s="2142">
        <f>H482*K482</f>
        <v>5.0999999999999997E-2</v>
      </c>
      <c r="M482" s="90">
        <f>L482/(1-(1+L482)^-D482)</f>
        <v>9.2927821836826949E-2</v>
      </c>
      <c r="N482" s="373">
        <f>((C482-J482)*M482)+(J482*L482)</f>
        <v>9409.5532563510715</v>
      </c>
      <c r="O482" s="742">
        <f>N482*G482</f>
        <v>165.15300573846793</v>
      </c>
    </row>
    <row r="483" spans="1:19" s="90" customFormat="1" x14ac:dyDescent="0.3">
      <c r="A483" s="90" t="s">
        <v>7321</v>
      </c>
      <c r="B483" s="235" t="s">
        <v>1243</v>
      </c>
      <c r="C483" s="260">
        <f>VLOOKUP("Box spreaderDefault",Econ.Tables!$C:$E,2,FALSE)*E478</f>
        <v>65800</v>
      </c>
      <c r="D483" s="66">
        <f>VLOOKUP("CAPEXLifetimeEquipmentDefault",Econ.inputsTable!$E:$H,2,FALSE)</f>
        <v>10</v>
      </c>
      <c r="E483" s="213">
        <f>E477</f>
        <v>17.55163090521819</v>
      </c>
      <c r="F483" s="213">
        <f>E477</f>
        <v>17.55163090521819</v>
      </c>
      <c r="G483" s="2143">
        <f>IF(E478&gt;0,F483/E483,0)</f>
        <v>1</v>
      </c>
      <c r="H483" s="256">
        <f>UDV.econ_capital.interest_rate</f>
        <v>5.0999999999999997E-2</v>
      </c>
      <c r="I483" s="2141">
        <f>VLOOKUP("CAPEXSalvageEquipmentDefault",Econ.inputsTable!$E:$H,2,FALSE)</f>
        <v>0.2</v>
      </c>
      <c r="J483" s="373">
        <f>C483*I483</f>
        <v>13160</v>
      </c>
      <c r="K483" s="2140">
        <f>VLOOKUP("CAPEXFinanced amountNADefault",Econ.inputsTable!$E:$H,2,FALSE)</f>
        <v>1</v>
      </c>
      <c r="L483" s="2142">
        <f>H483*K483</f>
        <v>5.0999999999999997E-2</v>
      </c>
      <c r="M483" s="90">
        <f>L483/(1-(1+L483)^-D483)</f>
        <v>0.13013423257204779</v>
      </c>
      <c r="N483" s="373">
        <f>((C483-J483)*M483)+(J483*L483)</f>
        <v>7521.4260025925951</v>
      </c>
      <c r="O483" s="742">
        <f>N483*G483</f>
        <v>7521.4260025925951</v>
      </c>
    </row>
    <row r="484" spans="1:19" s="90" customFormat="1" x14ac:dyDescent="0.3">
      <c r="B484" s="235"/>
      <c r="O484" s="280"/>
    </row>
    <row r="485" spans="1:19" s="90" customFormat="1" x14ac:dyDescent="0.3">
      <c r="B485" s="235"/>
      <c r="C485" s="325" t="s">
        <v>7009</v>
      </c>
      <c r="D485" s="325" t="s">
        <v>6963</v>
      </c>
      <c r="G485"/>
      <c r="H485"/>
      <c r="O485" s="742"/>
    </row>
    <row r="486" spans="1:19" s="90" customFormat="1" x14ac:dyDescent="0.3">
      <c r="A486" s="90" t="s">
        <v>3204</v>
      </c>
      <c r="B486" s="235" t="s">
        <v>6964</v>
      </c>
      <c r="C486" s="373">
        <f>SUM(C481:C483)</f>
        <v>313700</v>
      </c>
      <c r="D486" s="784">
        <f>SUMPRODUCT(C481:C483,G481:G483)</f>
        <v>99930.009711526887</v>
      </c>
      <c r="O486" s="280"/>
    </row>
    <row r="487" spans="1:19" s="90" customFormat="1" x14ac:dyDescent="0.3">
      <c r="A487" s="90" t="s">
        <v>3204</v>
      </c>
      <c r="B487" s="253" t="s">
        <v>6965</v>
      </c>
      <c r="C487" s="744">
        <f>SUM(N481:N483)</f>
        <v>28479.451629272113</v>
      </c>
      <c r="D487" s="745">
        <f>SUMPRODUCT(G481:G483,N481:N483)</f>
        <v>10406.854071059724</v>
      </c>
      <c r="E487" s="730"/>
      <c r="F487" s="730"/>
      <c r="G487" s="730"/>
      <c r="H487" s="730"/>
      <c r="I487" s="730"/>
      <c r="J487" s="730"/>
      <c r="K487" s="730"/>
      <c r="L487" s="730"/>
      <c r="M487" s="730"/>
      <c r="N487" s="730"/>
      <c r="O487" s="732"/>
    </row>
    <row r="488" spans="1:19" s="90" customFormat="1" ht="43.2" x14ac:dyDescent="0.3">
      <c r="B488" s="746" t="s">
        <v>6966</v>
      </c>
      <c r="C488" s="281" t="s">
        <v>6967</v>
      </c>
      <c r="D488" s="281" t="s">
        <v>6968</v>
      </c>
      <c r="E488" s="281" t="s">
        <v>6969</v>
      </c>
      <c r="F488" s="281" t="s">
        <v>6970</v>
      </c>
      <c r="G488" s="281" t="s">
        <v>6971</v>
      </c>
      <c r="H488" s="281" t="s">
        <v>6972</v>
      </c>
      <c r="I488" s="281" t="s">
        <v>6973</v>
      </c>
      <c r="J488" s="281" t="s">
        <v>6974</v>
      </c>
      <c r="K488" s="281" t="s">
        <v>6975</v>
      </c>
      <c r="L488" s="281" t="s">
        <v>6976</v>
      </c>
      <c r="M488" s="281" t="s">
        <v>6977</v>
      </c>
      <c r="N488" s="281" t="s">
        <v>6978</v>
      </c>
      <c r="O488" s="281" t="s">
        <v>6979</v>
      </c>
      <c r="P488" s="738"/>
    </row>
    <row r="489" spans="1:19" s="90" customFormat="1" x14ac:dyDescent="0.3">
      <c r="A489" s="90" t="s">
        <v>3204</v>
      </c>
      <c r="B489" s="235" t="s">
        <v>7322</v>
      </c>
      <c r="C489" s="740">
        <f>VLOOKUP("OPEXInsuranceEverythingDefault",Econ.inputsTable!$E:$I,2,FALSE)</f>
        <v>5.0000000000000001E-3</v>
      </c>
      <c r="D489" s="747">
        <f>VLOOKUP("OPEXRepair and maintenanceEquipmentDefault",Econ.inputsTable!$E:$I,2,FALSE)</f>
        <v>0.03</v>
      </c>
      <c r="F489" s="712" t="s">
        <v>7324</v>
      </c>
      <c r="H489" s="748"/>
      <c r="I489" s="373"/>
      <c r="J489" s="543"/>
      <c r="K489" s="418"/>
      <c r="L489" s="743"/>
      <c r="O489" s="743">
        <f>SUM(C489:D489)*(C481*G481)</f>
        <v>1126.1779617121636</v>
      </c>
      <c r="P489" s="741"/>
      <c r="R489" s="749"/>
      <c r="S489" s="743"/>
    </row>
    <row r="490" spans="1:19" s="90" customFormat="1" x14ac:dyDescent="0.3">
      <c r="A490" s="90" t="s">
        <v>3204</v>
      </c>
      <c r="B490" s="235" t="s">
        <v>7323</v>
      </c>
      <c r="C490" s="740">
        <f>VLOOKUP("OPEXInsuranceEverythingDefault",Econ.inputsTable!$E:$I,2,FALSE)</f>
        <v>5.0000000000000001E-3</v>
      </c>
      <c r="D490" s="747">
        <f>VLOOKUP("OPEXRepair and maintenanceEquipmentDefault",Econ.inputsTable!$E:$I,2,FALSE)</f>
        <v>0.03</v>
      </c>
      <c r="F490" s="712" t="s">
        <v>7324</v>
      </c>
      <c r="H490" s="748"/>
      <c r="I490" s="373"/>
      <c r="J490" s="543"/>
      <c r="K490" s="418"/>
      <c r="L490" s="743"/>
      <c r="O490" s="743">
        <f>SUM(C490:D490)*(C482*G482)</f>
        <v>68.372378191277463</v>
      </c>
      <c r="P490" s="741"/>
      <c r="R490" s="749"/>
      <c r="S490" s="743"/>
    </row>
    <row r="491" spans="1:19" s="90" customFormat="1" x14ac:dyDescent="0.3">
      <c r="A491" s="90" t="s">
        <v>3204</v>
      </c>
      <c r="B491" s="235" t="s">
        <v>1243</v>
      </c>
      <c r="C491" s="740">
        <f>VLOOKUP("OPEXInsuranceEverythingDefault",Econ.inputsTable!$E:$H,2,FALSE)</f>
        <v>5.0000000000000001E-3</v>
      </c>
      <c r="D491" s="747">
        <f>VLOOKUP("OPEXRepair and maintenanceBox spreaderDefault",Econ.inputsTable!$E:$H,2,FALSE)</f>
        <v>0.08</v>
      </c>
      <c r="F491" s="712" t="s">
        <v>7324</v>
      </c>
      <c r="O491" s="750">
        <f>(SUM(C491:D491)*C483*G483)</f>
        <v>5593</v>
      </c>
    </row>
    <row r="492" spans="1:19" s="90" customFormat="1" x14ac:dyDescent="0.3">
      <c r="A492" s="90" t="s">
        <v>3204</v>
      </c>
      <c r="B492" s="751" t="s">
        <v>5203</v>
      </c>
      <c r="C492" s="752"/>
      <c r="D492" s="752"/>
      <c r="E492" s="753"/>
      <c r="F492" s="754"/>
      <c r="G492" s="753"/>
      <c r="H492" s="754"/>
      <c r="I492" s="753"/>
      <c r="J492" s="753"/>
      <c r="K492" s="754"/>
      <c r="L492" s="753"/>
      <c r="M492" s="754"/>
      <c r="N492" s="753"/>
      <c r="O492" s="753">
        <f>SUM(O489:O491)</f>
        <v>6787.5503399034405</v>
      </c>
      <c r="P492" s="741"/>
      <c r="R492" s="755"/>
      <c r="S492" s="373"/>
    </row>
    <row r="493" spans="1:19" s="90" customFormat="1" x14ac:dyDescent="0.3">
      <c r="B493" s="235"/>
      <c r="P493" s="235"/>
    </row>
    <row r="494" spans="1:19" s="90" customFormat="1" x14ac:dyDescent="0.3">
      <c r="A494" s="90" t="s">
        <v>3204</v>
      </c>
      <c r="B494" s="253" t="s">
        <v>6980</v>
      </c>
      <c r="C494" s="744">
        <f>O492</f>
        <v>6787.5503399034405</v>
      </c>
      <c r="D494" s="730"/>
      <c r="E494" s="730"/>
      <c r="F494" s="730"/>
      <c r="G494" s="730"/>
      <c r="H494" s="730"/>
      <c r="I494" s="730"/>
      <c r="J494" s="730"/>
      <c r="K494" s="730"/>
      <c r="L494" s="730"/>
      <c r="M494" s="730"/>
      <c r="N494" s="730"/>
      <c r="O494" s="730"/>
      <c r="P494" s="235"/>
    </row>
    <row r="495" spans="1:19" s="90" customFormat="1" ht="15" thickBot="1" x14ac:dyDescent="0.35">
      <c r="A495" s="806"/>
      <c r="B495" s="806"/>
      <c r="C495" s="806"/>
      <c r="D495" s="806"/>
      <c r="E495" s="806"/>
      <c r="F495" s="806"/>
      <c r="G495" s="806"/>
      <c r="H495" s="806"/>
      <c r="I495" s="806"/>
      <c r="J495" s="806"/>
      <c r="K495" s="806"/>
      <c r="L495" s="806"/>
      <c r="M495" s="806"/>
      <c r="N495" s="806"/>
      <c r="O495" s="806"/>
      <c r="P495" s="806"/>
      <c r="Q495" s="806"/>
    </row>
    <row r="496" spans="1:19" s="90" customFormat="1" ht="13.5" customHeight="1" x14ac:dyDescent="0.3"/>
    <row r="497" spans="2:10" ht="15.6" x14ac:dyDescent="0.3">
      <c r="B497" s="138" t="s">
        <v>7325</v>
      </c>
      <c r="C497" s="776" t="s">
        <v>7326</v>
      </c>
    </row>
    <row r="499" spans="2:10" x14ac:dyDescent="0.3">
      <c r="B499" s="139" t="s">
        <v>7327</v>
      </c>
      <c r="C499" s="142"/>
      <c r="D499" s="142"/>
      <c r="E499" s="142"/>
      <c r="F499" s="141"/>
    </row>
    <row r="500" spans="2:10" x14ac:dyDescent="0.3">
      <c r="B500" s="99" t="s">
        <v>7328</v>
      </c>
      <c r="C500" s="166">
        <f>UDV.econ_manure.compost_sell_pct*VLOOKUP("Excess amount, compost",$R$1:$T$300, 3, FALSE)</f>
        <v>0</v>
      </c>
      <c r="D500" t="s">
        <v>5250</v>
      </c>
      <c r="F500" s="146"/>
    </row>
    <row r="501" spans="2:10" x14ac:dyDescent="0.3">
      <c r="B501" s="99" t="s">
        <v>7329</v>
      </c>
      <c r="C501" s="166">
        <f>UDV.econ_manure.compost_give_pct*VLOOKUP("Excess amount, compost",$R$1:$T$300, 3, FALSE)</f>
        <v>0</v>
      </c>
      <c r="D501" t="s">
        <v>5250</v>
      </c>
      <c r="F501" s="146"/>
    </row>
    <row r="502" spans="2:10" x14ac:dyDescent="0.3">
      <c r="B502" s="149" t="s">
        <v>7330</v>
      </c>
      <c r="C502" s="757">
        <f>UDV.econ_manure.compost_export_pct*VLOOKUP("Excess amount, compost",$R$1:$T$300, 3, FALSE)</f>
        <v>0</v>
      </c>
      <c r="D502" s="150" t="s">
        <v>5250</v>
      </c>
      <c r="E502" s="150"/>
      <c r="F502" s="151"/>
    </row>
    <row r="504" spans="2:10" x14ac:dyDescent="0.3">
      <c r="B504" s="139" t="s">
        <v>6942</v>
      </c>
      <c r="C504" s="142"/>
      <c r="D504" s="141"/>
      <c r="E504" s="139" t="s">
        <v>6988</v>
      </c>
      <c r="F504" s="141"/>
    </row>
    <row r="505" spans="2:10" x14ac:dyDescent="0.3">
      <c r="B505" s="143" t="s">
        <v>2663</v>
      </c>
      <c r="C505" s="144" t="s">
        <v>565</v>
      </c>
      <c r="D505" s="145" t="s">
        <v>6943</v>
      </c>
      <c r="E505" s="143" t="s">
        <v>565</v>
      </c>
      <c r="F505" s="145" t="s">
        <v>6944</v>
      </c>
      <c r="G505" s="144" t="s">
        <v>1243</v>
      </c>
      <c r="H505" s="1215" t="s">
        <v>6993</v>
      </c>
      <c r="I505" s="142"/>
      <c r="J505" s="141"/>
    </row>
    <row r="506" spans="2:10" x14ac:dyDescent="0.3">
      <c r="B506" s="99" t="s">
        <v>6710</v>
      </c>
      <c r="C506" s="147">
        <f t="shared" ref="C506:C516" si="10">VLOOKUP(B506,$R:$U,3,FALSE)</f>
        <v>90</v>
      </c>
      <c r="D506" s="146" t="s">
        <v>5121</v>
      </c>
      <c r="E506" s="164">
        <f>365/C506</f>
        <v>4.0555555555555554</v>
      </c>
      <c r="F506" s="146" t="s">
        <v>7043</v>
      </c>
      <c r="G506" t="str">
        <f>_xlfn.CONCAT($G$505," ",H506)</f>
        <v>Box spreader Non-sludge year labor</v>
      </c>
      <c r="H506" s="92" t="s">
        <v>5443</v>
      </c>
      <c r="I506" s="1216" t="s">
        <v>2710</v>
      </c>
      <c r="J506" s="285">
        <f>SUM(E511:E512)*VLOOKUP("OPEXLaborTractorDefault",Econ.inputsTable!$E:$H,2,FALSE)</f>
        <v>77.840382002042702</v>
      </c>
    </row>
    <row r="507" spans="2:10" x14ac:dyDescent="0.3">
      <c r="B507" s="99" t="s">
        <v>6711</v>
      </c>
      <c r="C507" s="147">
        <f t="shared" si="10"/>
        <v>94</v>
      </c>
      <c r="D507" s="146" t="s">
        <v>971</v>
      </c>
      <c r="E507" s="800">
        <f>C507</f>
        <v>94</v>
      </c>
      <c r="F507" s="146" t="s">
        <v>971</v>
      </c>
      <c r="G507" t="str">
        <f>_xlfn.CONCAT($G$505," ",H507)</f>
        <v>Box spreader Sludge labor</v>
      </c>
      <c r="H507" s="1217" t="s">
        <v>5444</v>
      </c>
      <c r="I507" s="1216" t="s">
        <v>6085</v>
      </c>
      <c r="J507" s="285"/>
    </row>
    <row r="508" spans="2:10" x14ac:dyDescent="0.3">
      <c r="B508" s="99" t="s">
        <v>6714</v>
      </c>
      <c r="C508" s="147">
        <f t="shared" si="10"/>
        <v>85</v>
      </c>
      <c r="D508" s="146" t="s">
        <v>971</v>
      </c>
      <c r="E508" s="800">
        <f>C508</f>
        <v>85</v>
      </c>
      <c r="F508" s="146" t="s">
        <v>971</v>
      </c>
      <c r="G508" t="str">
        <f>_xlfn.CONCAT($G$505," ",H508)</f>
        <v>Box spreader Sum non-sludge + sludge year labor</v>
      </c>
      <c r="H508" s="1218" t="s">
        <v>5445</v>
      </c>
      <c r="I508" s="1216" t="s">
        <v>6995</v>
      </c>
      <c r="J508" s="285">
        <f>SUM(J506:J507)</f>
        <v>77.840382002042702</v>
      </c>
    </row>
    <row r="509" spans="2:10" x14ac:dyDescent="0.3">
      <c r="B509" s="99" t="s">
        <v>6713</v>
      </c>
      <c r="C509" s="147">
        <f t="shared" si="10"/>
        <v>54.267852551596796</v>
      </c>
      <c r="D509" s="146" t="s">
        <v>6087</v>
      </c>
      <c r="E509" s="524">
        <f>C509*E506</f>
        <v>220.08629090369811</v>
      </c>
      <c r="F509" s="146" t="s">
        <v>7135</v>
      </c>
      <c r="G509" t="str">
        <f>_xlfn.CONCAT($G$505," ",H509)</f>
        <v>Box spreader Average non-sludge + sludge labor</v>
      </c>
      <c r="H509" s="1219" t="s">
        <v>5446</v>
      </c>
      <c r="I509" s="1220" t="s">
        <v>5447</v>
      </c>
      <c r="J509" s="1221">
        <f>J506+(J507/UDV.anaer_lagoon.sludge_time)</f>
        <v>77.840382002042702</v>
      </c>
    </row>
    <row r="510" spans="2:10" x14ac:dyDescent="0.3">
      <c r="B510" s="99" t="s">
        <v>6718</v>
      </c>
      <c r="C510" s="147">
        <f t="shared" si="10"/>
        <v>16.185969760812178</v>
      </c>
      <c r="D510" s="146" t="s">
        <v>6087</v>
      </c>
      <c r="E510" s="524">
        <f>C510*E506</f>
        <v>65.643099585516055</v>
      </c>
      <c r="F510" s="146" t="s">
        <v>7135</v>
      </c>
    </row>
    <row r="511" spans="2:10" x14ac:dyDescent="0.3">
      <c r="B511" s="99" t="s">
        <v>6712</v>
      </c>
      <c r="C511" s="147">
        <f t="shared" si="10"/>
        <v>13.120854098548548</v>
      </c>
      <c r="D511" s="146" t="s">
        <v>6085</v>
      </c>
      <c r="E511" s="524">
        <f>C511*E506</f>
        <v>53.212352733002447</v>
      </c>
      <c r="F511" s="146" t="s">
        <v>2710</v>
      </c>
    </row>
    <row r="512" spans="2:10" x14ac:dyDescent="0.3">
      <c r="B512" s="99" t="s">
        <v>6717</v>
      </c>
      <c r="C512" s="147">
        <f t="shared" si="10"/>
        <v>4.3277994012866774</v>
      </c>
      <c r="D512" s="146" t="s">
        <v>6085</v>
      </c>
      <c r="E512" s="524">
        <f>C512*E506</f>
        <v>17.55163090521819</v>
      </c>
      <c r="F512" s="146" t="s">
        <v>2710</v>
      </c>
    </row>
    <row r="513" spans="1:15" x14ac:dyDescent="0.3">
      <c r="B513" s="99" t="s">
        <v>6719</v>
      </c>
      <c r="C513" s="147">
        <f t="shared" si="10"/>
        <v>46871.842414708546</v>
      </c>
      <c r="D513" s="801" t="s">
        <v>6056</v>
      </c>
      <c r="E513" s="164">
        <f>CONVERT(C513,"kg","ton")*E506</f>
        <v>209.53985723359472</v>
      </c>
      <c r="F513" s="146" t="s">
        <v>5250</v>
      </c>
    </row>
    <row r="514" spans="1:15" x14ac:dyDescent="0.3">
      <c r="A514" t="str">
        <f>_xlfn.CONCAT("Compost",B514)</f>
        <v>CompostN removed, compost</v>
      </c>
      <c r="B514" s="99" t="s">
        <v>6720</v>
      </c>
      <c r="C514" s="147">
        <f t="shared" si="10"/>
        <v>12.795364433416035</v>
      </c>
      <c r="D514" s="146" t="s">
        <v>6031</v>
      </c>
      <c r="E514" s="401">
        <f>C514*UC.g_to_lb/UC.kg_to_lb*2000</f>
        <v>25.590728888292215</v>
      </c>
      <c r="F514" s="146" t="s">
        <v>4892</v>
      </c>
    </row>
    <row r="515" spans="1:15" x14ac:dyDescent="0.3">
      <c r="A515" t="str">
        <f t="shared" ref="A515:A516" si="11">_xlfn.CONCAT("Compost",B515)</f>
        <v>CompostP2O5 removed, compost</v>
      </c>
      <c r="B515" s="99" t="s">
        <v>6721</v>
      </c>
      <c r="C515" s="147">
        <f t="shared" si="10"/>
        <v>18.709633083325816</v>
      </c>
      <c r="D515" s="146" t="s">
        <v>6031</v>
      </c>
      <c r="E515" s="401">
        <f>C515*UC.g_to_lb/UC.kg_to_lb*2000</f>
        <v>37.419266198031075</v>
      </c>
      <c r="F515" s="146" t="s">
        <v>4892</v>
      </c>
    </row>
    <row r="516" spans="1:15" x14ac:dyDescent="0.3">
      <c r="A516" t="str">
        <f t="shared" si="11"/>
        <v>CompostK2O removed, compost</v>
      </c>
      <c r="B516" s="99" t="s">
        <v>6722</v>
      </c>
      <c r="C516" s="147">
        <f t="shared" si="10"/>
        <v>23.207694163498104</v>
      </c>
      <c r="D516" s="146" t="s">
        <v>6031</v>
      </c>
      <c r="E516" s="401">
        <f>C516*UC.g_to_lb/UC.kg_to_lb*2000</f>
        <v>46.415388365919718</v>
      </c>
      <c r="F516" s="146" t="s">
        <v>4892</v>
      </c>
    </row>
    <row r="517" spans="1:15" x14ac:dyDescent="0.3">
      <c r="B517" s="99"/>
      <c r="C517" s="147"/>
      <c r="D517" s="146"/>
      <c r="E517" s="99"/>
      <c r="F517" s="146"/>
    </row>
    <row r="518" spans="1:15" x14ac:dyDescent="0.3">
      <c r="B518" s="92" t="s">
        <v>6996</v>
      </c>
      <c r="C518" s="78"/>
      <c r="D518" s="146"/>
      <c r="E518" s="99"/>
      <c r="F518" s="146"/>
    </row>
    <row r="519" spans="1:15" x14ac:dyDescent="0.3">
      <c r="B519" s="143" t="s">
        <v>2663</v>
      </c>
      <c r="C519" s="144"/>
      <c r="D519" s="145"/>
      <c r="E519" s="143" t="s">
        <v>565</v>
      </c>
      <c r="F519" s="145" t="s">
        <v>6944</v>
      </c>
    </row>
    <row r="520" spans="1:15" x14ac:dyDescent="0.3">
      <c r="B520" s="99" t="s">
        <v>6998</v>
      </c>
      <c r="D520" s="146"/>
      <c r="E520" s="348">
        <f>UDV.labor.non_specialized_cost</f>
        <v>23.66</v>
      </c>
      <c r="F520" s="146" t="s">
        <v>3659</v>
      </c>
    </row>
    <row r="521" spans="1:15" x14ac:dyDescent="0.3">
      <c r="B521" s="149" t="s">
        <v>6997</v>
      </c>
      <c r="C521" s="150"/>
      <c r="D521" s="151"/>
      <c r="E521" s="497">
        <f>UDV.fuel.diesel_avg_cost</f>
        <v>3.6964905660377356</v>
      </c>
      <c r="F521" s="151" t="s">
        <v>2315</v>
      </c>
    </row>
    <row r="523" spans="1:15" x14ac:dyDescent="0.3">
      <c r="B523" s="781" t="s">
        <v>7326</v>
      </c>
      <c r="C523" s="142"/>
      <c r="D523" s="142"/>
      <c r="E523" s="142"/>
      <c r="F523" s="142"/>
      <c r="G523" s="142"/>
      <c r="H523" s="142"/>
      <c r="I523" s="142"/>
      <c r="J523" s="142"/>
      <c r="K523" s="142"/>
      <c r="L523" s="142"/>
      <c r="M523" s="142"/>
      <c r="N523" s="142"/>
      <c r="O523" s="141"/>
    </row>
    <row r="524" spans="1:15" ht="43.2" x14ac:dyDescent="0.3">
      <c r="B524" s="210" t="s">
        <v>6946</v>
      </c>
      <c r="C524" s="82" t="s">
        <v>6947</v>
      </c>
      <c r="D524" s="82" t="s">
        <v>7331</v>
      </c>
      <c r="E524" s="152" t="s">
        <v>6949</v>
      </c>
      <c r="F524" s="152" t="s">
        <v>6950</v>
      </c>
      <c r="G524" s="152" t="s">
        <v>6951</v>
      </c>
      <c r="H524" s="152" t="s">
        <v>6952</v>
      </c>
      <c r="I524" s="82" t="s">
        <v>6953</v>
      </c>
      <c r="J524" s="82" t="s">
        <v>6954</v>
      </c>
      <c r="K524" s="152" t="s">
        <v>6955</v>
      </c>
      <c r="L524" s="152" t="s">
        <v>6956</v>
      </c>
      <c r="M524" s="82" t="s">
        <v>6957</v>
      </c>
      <c r="N524" s="152" t="s">
        <v>7002</v>
      </c>
      <c r="O524" s="161" t="s">
        <v>6959</v>
      </c>
    </row>
    <row r="525" spans="1:15" x14ac:dyDescent="0.3">
      <c r="A525" t="s">
        <v>7003</v>
      </c>
      <c r="B525" s="99" t="s">
        <v>7332</v>
      </c>
      <c r="C525" s="802" t="s">
        <v>7333</v>
      </c>
      <c r="D525" s="42"/>
      <c r="E525" s="42"/>
      <c r="F525" s="803"/>
      <c r="G525" s="154"/>
      <c r="H525" s="503"/>
      <c r="I525" s="503"/>
      <c r="J525" s="153"/>
      <c r="K525" s="154"/>
      <c r="L525" s="155"/>
      <c r="N525" s="153"/>
      <c r="O525" s="157"/>
    </row>
    <row r="526" spans="1:15" x14ac:dyDescent="0.3">
      <c r="A526" t="s">
        <v>7003</v>
      </c>
      <c r="B526" s="99" t="s">
        <v>7334</v>
      </c>
      <c r="C526" s="802" t="s">
        <v>7333</v>
      </c>
      <c r="D526" s="42"/>
      <c r="E526" s="42"/>
      <c r="F526" s="803"/>
      <c r="G526" s="154"/>
      <c r="H526" s="503"/>
      <c r="I526" s="503"/>
      <c r="J526" s="153"/>
      <c r="K526" s="154"/>
      <c r="L526" s="155"/>
      <c r="N526" s="153"/>
      <c r="O526" s="157"/>
    </row>
    <row r="527" spans="1:15" x14ac:dyDescent="0.3">
      <c r="A527" t="s">
        <v>7003</v>
      </c>
      <c r="B527" s="99" t="s">
        <v>7335</v>
      </c>
      <c r="C527" s="802" t="s">
        <v>7333</v>
      </c>
      <c r="D527" s="42"/>
      <c r="E527" s="42"/>
      <c r="F527" s="803"/>
      <c r="G527" s="154"/>
      <c r="H527" s="503"/>
      <c r="I527" s="503"/>
      <c r="J527" s="153"/>
      <c r="K527" s="154"/>
      <c r="L527" s="155"/>
      <c r="N527" s="153"/>
      <c r="O527" s="157"/>
    </row>
    <row r="528" spans="1:15" x14ac:dyDescent="0.3">
      <c r="A528" t="s">
        <v>7003</v>
      </c>
      <c r="B528" s="99" t="s">
        <v>1243</v>
      </c>
      <c r="C528" s="802" t="s">
        <v>7333</v>
      </c>
      <c r="D528" s="42"/>
      <c r="E528" s="79"/>
      <c r="F528" s="79"/>
      <c r="G528" s="154"/>
      <c r="H528" s="503"/>
      <c r="I528" s="503"/>
      <c r="J528" s="153"/>
      <c r="K528" s="154"/>
      <c r="L528" s="155"/>
      <c r="N528" s="153"/>
      <c r="O528" s="157"/>
    </row>
    <row r="529" spans="1:15" x14ac:dyDescent="0.3">
      <c r="A529" s="99"/>
      <c r="B529" s="99"/>
      <c r="O529" s="146"/>
    </row>
    <row r="530" spans="1:15" x14ac:dyDescent="0.3">
      <c r="B530" s="99"/>
      <c r="C530" s="82" t="s">
        <v>7009</v>
      </c>
      <c r="D530" s="82" t="s">
        <v>6963</v>
      </c>
      <c r="O530" s="157"/>
    </row>
    <row r="531" spans="1:15" x14ac:dyDescent="0.3">
      <c r="A531" t="s">
        <v>5202</v>
      </c>
      <c r="B531" s="99" t="s">
        <v>6964</v>
      </c>
      <c r="C531" s="153"/>
      <c r="D531" s="158"/>
      <c r="O531" s="146"/>
    </row>
    <row r="532" spans="1:15" x14ac:dyDescent="0.3">
      <c r="A532" t="s">
        <v>5202</v>
      </c>
      <c r="B532" s="99" t="s">
        <v>6965</v>
      </c>
      <c r="C532" s="153"/>
      <c r="D532" s="158"/>
      <c r="O532" s="146"/>
    </row>
    <row r="533" spans="1:15" x14ac:dyDescent="0.3">
      <c r="B533" s="99"/>
      <c r="C533" s="153"/>
      <c r="D533" s="158"/>
      <c r="O533" s="146"/>
    </row>
    <row r="534" spans="1:15" ht="43.2" x14ac:dyDescent="0.3">
      <c r="B534" s="160" t="s">
        <v>6966</v>
      </c>
      <c r="C534" s="152" t="s">
        <v>6967</v>
      </c>
      <c r="D534" s="152" t="s">
        <v>6968</v>
      </c>
      <c r="E534" s="152" t="s">
        <v>6969</v>
      </c>
      <c r="F534" s="152" t="s">
        <v>6970</v>
      </c>
      <c r="G534" s="152" t="s">
        <v>6971</v>
      </c>
      <c r="H534" s="152" t="s">
        <v>6972</v>
      </c>
      <c r="I534" s="152" t="s">
        <v>6973</v>
      </c>
      <c r="J534" s="152" t="s">
        <v>6974</v>
      </c>
      <c r="K534" s="152" t="s">
        <v>6975</v>
      </c>
      <c r="L534" s="152" t="s">
        <v>6976</v>
      </c>
      <c r="M534" s="152" t="s">
        <v>6977</v>
      </c>
      <c r="N534" s="152" t="s">
        <v>6978</v>
      </c>
      <c r="O534" s="161" t="s">
        <v>6979</v>
      </c>
    </row>
    <row r="535" spans="1:15" x14ac:dyDescent="0.3">
      <c r="B535" s="99" t="s">
        <v>7332</v>
      </c>
      <c r="C535" s="802" t="s">
        <v>7333</v>
      </c>
      <c r="D535" s="802" t="s">
        <v>7333</v>
      </c>
      <c r="H535" s="166">
        <f>E509</f>
        <v>220.08629090369811</v>
      </c>
      <c r="I535" s="153">
        <f>H535*E521</f>
        <v>813.5468980397568</v>
      </c>
      <c r="J535" s="238">
        <f>I535*VLOOKUP("OPEXLubeLubeDefault",Econ.inputsTable!$E:$I,2,FALSE)</f>
        <v>81.354689803975688</v>
      </c>
      <c r="K535" s="147">
        <f>VLOOKUP("OPEXLaborTractorDefault",Econ.inputsTable!$E:$I,2,FALSE)*E511</f>
        <v>58.533588006302693</v>
      </c>
      <c r="L535" s="158">
        <f>K535*E520</f>
        <v>1384.9046922291218</v>
      </c>
      <c r="O535" s="264">
        <f>SUM(E535,G535,I535,J535,L535,N535)</f>
        <v>2279.8062800728544</v>
      </c>
    </row>
    <row r="536" spans="1:15" x14ac:dyDescent="0.3">
      <c r="B536" s="99" t="s">
        <v>7334</v>
      </c>
      <c r="C536" s="802" t="s">
        <v>7333</v>
      </c>
      <c r="D536" s="802" t="s">
        <v>7333</v>
      </c>
      <c r="H536" s="166">
        <f>E510</f>
        <v>65.643099585516055</v>
      </c>
      <c r="I536" s="153">
        <f>H536*E521</f>
        <v>242.64909834333568</v>
      </c>
      <c r="J536" s="238">
        <f>I536*VLOOKUP("OPEXLubeLubeDefault",Econ.inputsTable!$E:$H,2,FALSE)</f>
        <v>24.264909834333569</v>
      </c>
      <c r="K536" s="147">
        <f>VLOOKUP("OPEXLaborTractorDefault",Econ.inputsTable!$E:$H,2,FALSE)*E512</f>
        <v>19.306793995740009</v>
      </c>
      <c r="L536" s="158">
        <f>K536*E520</f>
        <v>456.79874593920863</v>
      </c>
      <c r="O536" s="264">
        <f>SUM(E536,G536,I536,J536,L536,N536)</f>
        <v>723.71275411687793</v>
      </c>
    </row>
    <row r="537" spans="1:15" x14ac:dyDescent="0.3">
      <c r="B537" s="99" t="s">
        <v>7335</v>
      </c>
      <c r="C537" s="802" t="s">
        <v>7333</v>
      </c>
      <c r="D537" s="802" t="s">
        <v>7333</v>
      </c>
      <c r="H537" s="166"/>
      <c r="I537" s="153"/>
      <c r="J537" s="238"/>
      <c r="K537" s="147"/>
      <c r="L537" s="158"/>
      <c r="O537" s="264"/>
    </row>
    <row r="538" spans="1:15" x14ac:dyDescent="0.3">
      <c r="B538" s="99" t="s">
        <v>1243</v>
      </c>
      <c r="C538" s="802" t="s">
        <v>7333</v>
      </c>
      <c r="D538" s="802" t="s">
        <v>7333</v>
      </c>
      <c r="O538" s="264">
        <f>SUM(E538,G538,I538,J538,L538,N538)</f>
        <v>0</v>
      </c>
    </row>
    <row r="539" spans="1:15" x14ac:dyDescent="0.3">
      <c r="A539" t="s">
        <v>5202</v>
      </c>
      <c r="B539" s="162" t="s">
        <v>5203</v>
      </c>
      <c r="C539" s="163"/>
      <c r="D539" s="163"/>
      <c r="E539" s="529">
        <f t="shared" ref="E539:O539" si="12">SUM(E535:E538)</f>
        <v>0</v>
      </c>
      <c r="F539" s="168">
        <f t="shared" si="12"/>
        <v>0</v>
      </c>
      <c r="G539" s="529">
        <f t="shared" si="12"/>
        <v>0</v>
      </c>
      <c r="H539" s="168">
        <f t="shared" si="12"/>
        <v>285.72939048921415</v>
      </c>
      <c r="I539" s="529">
        <f t="shared" si="12"/>
        <v>1056.1959963830925</v>
      </c>
      <c r="J539" s="529">
        <f t="shared" si="12"/>
        <v>105.61959963830925</v>
      </c>
      <c r="K539" s="168">
        <f t="shared" si="12"/>
        <v>77.840382002042702</v>
      </c>
      <c r="L539" s="529">
        <f t="shared" si="12"/>
        <v>1841.7034381683304</v>
      </c>
      <c r="M539" s="168">
        <f t="shared" si="12"/>
        <v>0</v>
      </c>
      <c r="N539" s="529">
        <f t="shared" si="12"/>
        <v>0</v>
      </c>
      <c r="O539" s="530">
        <f t="shared" si="12"/>
        <v>3003.5190341897323</v>
      </c>
    </row>
    <row r="540" spans="1:15" x14ac:dyDescent="0.3">
      <c r="B540" s="99"/>
      <c r="O540" s="146"/>
    </row>
    <row r="541" spans="1:15" x14ac:dyDescent="0.3">
      <c r="A541" t="s">
        <v>5202</v>
      </c>
      <c r="B541" s="149" t="s">
        <v>6980</v>
      </c>
      <c r="C541" s="159">
        <f>SUM(O535:O538)</f>
        <v>3003.5190341897323</v>
      </c>
      <c r="D541" s="150"/>
      <c r="E541" s="150"/>
      <c r="F541" s="150"/>
      <c r="G541" s="150"/>
      <c r="H541" s="150"/>
      <c r="I541" s="150"/>
      <c r="J541" s="150"/>
      <c r="K541" s="150"/>
      <c r="L541" s="150"/>
      <c r="M541" s="150"/>
      <c r="N541" s="150"/>
      <c r="O541" s="151"/>
    </row>
    <row r="543" spans="1:15" x14ac:dyDescent="0.3">
      <c r="B543" s="244" t="s">
        <v>7123</v>
      </c>
      <c r="C543" s="208" t="s">
        <v>265</v>
      </c>
    </row>
    <row r="544" spans="1:15" x14ac:dyDescent="0.3">
      <c r="B544" s="246" t="s">
        <v>7012</v>
      </c>
      <c r="C544" s="173" t="s">
        <v>5181</v>
      </c>
    </row>
    <row r="545" spans="1:3" x14ac:dyDescent="0.3">
      <c r="A545" t="s">
        <v>5202</v>
      </c>
      <c r="B545" s="99" t="s">
        <v>7013</v>
      </c>
      <c r="C545" s="167">
        <f>VLOOKUP("Fertilizer value for on-farm use, compost",$R$1:$T$300,3, FALSE)</f>
        <v>4519.4376184626626</v>
      </c>
    </row>
    <row r="546" spans="1:3" x14ac:dyDescent="0.3">
      <c r="A546" t="s">
        <v>5202</v>
      </c>
      <c r="B546" s="99" t="s">
        <v>7014</v>
      </c>
      <c r="C546" s="157">
        <f>SUM(C545)</f>
        <v>4519.4376184626626</v>
      </c>
    </row>
    <row r="547" spans="1:3" x14ac:dyDescent="0.3">
      <c r="B547" s="99"/>
      <c r="C547" s="146"/>
    </row>
    <row r="548" spans="1:3" x14ac:dyDescent="0.3">
      <c r="B548" s="247" t="s">
        <v>7015</v>
      </c>
      <c r="C548" s="173" t="s">
        <v>5181</v>
      </c>
    </row>
    <row r="549" spans="1:3" x14ac:dyDescent="0.3">
      <c r="A549" t="s">
        <v>5202</v>
      </c>
      <c r="B549" s="99" t="s">
        <v>7016</v>
      </c>
      <c r="C549" s="167">
        <f>UDV.econ_manure.liquid_sell_price*C500</f>
        <v>0</v>
      </c>
    </row>
    <row r="550" spans="1:3" x14ac:dyDescent="0.3">
      <c r="A550" t="s">
        <v>5202</v>
      </c>
      <c r="B550" s="99" t="s">
        <v>7017</v>
      </c>
      <c r="C550" s="157">
        <f>SUM(C549)</f>
        <v>0</v>
      </c>
    </row>
    <row r="551" spans="1:3" x14ac:dyDescent="0.3">
      <c r="B551" s="99"/>
      <c r="C551" s="248"/>
    </row>
    <row r="552" spans="1:3" x14ac:dyDescent="0.3">
      <c r="B552" s="249" t="s">
        <v>7018</v>
      </c>
      <c r="C552" s="173" t="s">
        <v>5181</v>
      </c>
    </row>
    <row r="553" spans="1:3" x14ac:dyDescent="0.3">
      <c r="A553" t="s">
        <v>5202</v>
      </c>
      <c r="B553" s="99" t="s">
        <v>7019</v>
      </c>
      <c r="C553" s="167">
        <f>UDV.econ_manure.liquid_sell_price*C501</f>
        <v>0</v>
      </c>
    </row>
    <row r="554" spans="1:3" x14ac:dyDescent="0.3">
      <c r="A554" t="s">
        <v>5202</v>
      </c>
      <c r="B554" s="99" t="s">
        <v>7020</v>
      </c>
      <c r="C554" s="157">
        <f>SUM(C553)</f>
        <v>0</v>
      </c>
    </row>
    <row r="555" spans="1:3" x14ac:dyDescent="0.3">
      <c r="B555" s="99"/>
      <c r="C555" s="146"/>
    </row>
    <row r="556" spans="1:3" x14ac:dyDescent="0.3">
      <c r="B556" s="250" t="s">
        <v>7021</v>
      </c>
      <c r="C556" s="173" t="s">
        <v>5181</v>
      </c>
    </row>
    <row r="557" spans="1:3" x14ac:dyDescent="0.3">
      <c r="A557" t="s">
        <v>5202</v>
      </c>
      <c r="B557" s="99" t="s">
        <v>7022</v>
      </c>
      <c r="C557" s="167">
        <f>UDV.econ_manure.liquid_export_cost*C502</f>
        <v>0</v>
      </c>
    </row>
    <row r="558" spans="1:3" x14ac:dyDescent="0.3">
      <c r="A558" t="s">
        <v>5202</v>
      </c>
      <c r="B558" s="99" t="s">
        <v>7023</v>
      </c>
      <c r="C558" s="157">
        <f>SUM(C557)</f>
        <v>0</v>
      </c>
    </row>
    <row r="559" spans="1:3" x14ac:dyDescent="0.3">
      <c r="B559" s="99"/>
      <c r="C559" s="146"/>
    </row>
    <row r="560" spans="1:3" x14ac:dyDescent="0.3">
      <c r="B560" s="92" t="s">
        <v>7024</v>
      </c>
      <c r="C560" s="173" t="s">
        <v>7336</v>
      </c>
    </row>
    <row r="561" spans="1:25" x14ac:dyDescent="0.3">
      <c r="A561" t="s">
        <v>5202</v>
      </c>
      <c r="B561" s="149" t="s">
        <v>7026</v>
      </c>
      <c r="C561" s="251"/>
    </row>
    <row r="562" spans="1:25" ht="15" thickBot="1" x14ac:dyDescent="0.35">
      <c r="A562" s="137"/>
      <c r="B562" s="137"/>
      <c r="C562" s="137"/>
      <c r="D562" s="137"/>
      <c r="E562" s="137"/>
      <c r="F562" s="137"/>
      <c r="G562" s="137"/>
      <c r="H562" s="137"/>
      <c r="I562" s="137"/>
      <c r="J562" s="137"/>
      <c r="K562" s="137"/>
      <c r="L562" s="137"/>
      <c r="M562" s="137"/>
      <c r="N562" s="137"/>
      <c r="O562" s="137"/>
      <c r="P562" s="137"/>
      <c r="Q562" s="137"/>
      <c r="W562" s="42"/>
      <c r="Y562" s="36"/>
    </row>
    <row r="563" spans="1:25" x14ac:dyDescent="0.3">
      <c r="W563" s="42"/>
      <c r="Y563" s="36"/>
    </row>
    <row r="564" spans="1:25" x14ac:dyDescent="0.3">
      <c r="B564" s="139" t="s">
        <v>7050</v>
      </c>
      <c r="C564" s="142"/>
      <c r="D564" s="142"/>
      <c r="E564" s="267"/>
      <c r="F564" s="142"/>
      <c r="G564" s="142"/>
      <c r="H564" s="142"/>
      <c r="I564" s="142"/>
      <c r="J564" s="142"/>
      <c r="K564" s="142"/>
      <c r="L564" s="142"/>
      <c r="M564" s="142"/>
      <c r="N564" s="142"/>
      <c r="O564" s="142"/>
      <c r="P564" s="142"/>
      <c r="Q564" s="142"/>
      <c r="R564" s="142"/>
      <c r="S564" s="142"/>
      <c r="T564" s="142"/>
      <c r="U564" s="142"/>
      <c r="V564" s="142"/>
      <c r="W564" s="141"/>
    </row>
    <row r="565" spans="1:25" x14ac:dyDescent="0.3">
      <c r="B565" s="92" t="s">
        <v>7337</v>
      </c>
      <c r="E565" s="66"/>
      <c r="W565" s="146"/>
    </row>
    <row r="566" spans="1:25" x14ac:dyDescent="0.3">
      <c r="B566" s="99"/>
      <c r="D566" s="66"/>
      <c r="E566" s="66"/>
      <c r="W566" s="146"/>
    </row>
    <row r="567" spans="1:25" x14ac:dyDescent="0.3">
      <c r="B567" s="92" t="s">
        <v>7052</v>
      </c>
      <c r="C567" s="82" t="s">
        <v>565</v>
      </c>
      <c r="D567" s="82" t="s">
        <v>38</v>
      </c>
      <c r="E567" s="66"/>
      <c r="W567" s="146"/>
    </row>
    <row r="568" spans="1:25" x14ac:dyDescent="0.3">
      <c r="B568" s="99" t="s">
        <v>5859</v>
      </c>
      <c r="C568">
        <f>UDV.animal.total</f>
        <v>500</v>
      </c>
      <c r="D568" t="s">
        <v>2442</v>
      </c>
      <c r="E568" s="66"/>
      <c r="W568" s="146"/>
    </row>
    <row r="569" spans="1:25" x14ac:dyDescent="0.3">
      <c r="B569" s="174" t="s">
        <v>5386</v>
      </c>
      <c r="C569">
        <f>UDV.crops.acres_available</f>
        <v>100</v>
      </c>
      <c r="D569" t="s">
        <v>7029</v>
      </c>
      <c r="E569" s="66"/>
      <c r="W569" s="146"/>
    </row>
    <row r="570" spans="1:25" x14ac:dyDescent="0.3">
      <c r="B570" s="99" t="s">
        <v>5114</v>
      </c>
      <c r="C570" t="str">
        <f>UDV.u.state</f>
        <v>Iowa</v>
      </c>
      <c r="D570" t="s">
        <v>2852</v>
      </c>
      <c r="E570" s="66"/>
      <c r="W570" s="146"/>
    </row>
    <row r="571" spans="1:25" x14ac:dyDescent="0.3">
      <c r="B571" s="99"/>
      <c r="D571" s="66"/>
      <c r="E571" s="66"/>
      <c r="W571" s="146"/>
    </row>
    <row r="572" spans="1:25" x14ac:dyDescent="0.3">
      <c r="A572" t="s">
        <v>4912</v>
      </c>
      <c r="B572" s="92" t="s">
        <v>7053</v>
      </c>
      <c r="C572" s="82" t="s">
        <v>5181</v>
      </c>
      <c r="D572" s="82" t="s">
        <v>7140</v>
      </c>
      <c r="E572" s="66"/>
      <c r="W572" s="146"/>
    </row>
    <row r="573" spans="1:25" x14ac:dyDescent="0.3">
      <c r="A573" t="s">
        <v>4912</v>
      </c>
      <c r="B573" s="275" t="s">
        <v>2585</v>
      </c>
      <c r="C573" s="276">
        <f>F593</f>
        <v>69126.340198908365</v>
      </c>
      <c r="D573" s="153">
        <f>C573/C568</f>
        <v>138.25268039781673</v>
      </c>
      <c r="E573" s="66"/>
      <c r="W573" s="146"/>
    </row>
    <row r="574" spans="1:25" x14ac:dyDescent="0.3">
      <c r="A574" t="s">
        <v>4912</v>
      </c>
      <c r="B574" s="275" t="s">
        <v>2588</v>
      </c>
      <c r="C574" s="276">
        <f>G593+L593</f>
        <v>45151.450215051889</v>
      </c>
      <c r="D574" s="153">
        <f>C574/C568</f>
        <v>90.302900430103776</v>
      </c>
      <c r="E574" s="66"/>
      <c r="W574" s="146"/>
    </row>
    <row r="575" spans="1:25" x14ac:dyDescent="0.3">
      <c r="A575" t="s">
        <v>4912</v>
      </c>
      <c r="B575" s="275" t="s">
        <v>441</v>
      </c>
      <c r="C575" s="276">
        <f>I593</f>
        <v>0</v>
      </c>
      <c r="D575" s="153">
        <f>C575/C568</f>
        <v>0</v>
      </c>
      <c r="E575" s="66"/>
      <c r="W575" s="146"/>
    </row>
    <row r="576" spans="1:25" x14ac:dyDescent="0.3">
      <c r="A576" t="s">
        <v>4912</v>
      </c>
      <c r="B576" s="275" t="s">
        <v>440</v>
      </c>
      <c r="C576" s="276">
        <f>J593</f>
        <v>4519.4376184626626</v>
      </c>
      <c r="D576" s="153">
        <f>C576/C568</f>
        <v>9.0388752369253247</v>
      </c>
      <c r="E576" s="66"/>
      <c r="F576" s="66"/>
      <c r="G576" s="66"/>
      <c r="I576" s="42"/>
      <c r="J576" s="3"/>
      <c r="L576" s="42"/>
      <c r="M576" s="146"/>
      <c r="T576" s="20"/>
      <c r="W576" s="113"/>
    </row>
    <row r="577" spans="1:25" x14ac:dyDescent="0.3">
      <c r="A577" t="s">
        <v>4912</v>
      </c>
      <c r="B577" s="275" t="s">
        <v>442</v>
      </c>
      <c r="C577" s="276">
        <f>K593</f>
        <v>0</v>
      </c>
      <c r="D577" s="153">
        <f>C577/C568</f>
        <v>0</v>
      </c>
      <c r="E577" s="66"/>
      <c r="F577" s="66"/>
      <c r="G577" s="66"/>
      <c r="I577" s="42"/>
      <c r="J577" s="3"/>
      <c r="L577" s="42"/>
      <c r="M577" s="146"/>
      <c r="T577" s="20"/>
      <c r="W577" s="113"/>
    </row>
    <row r="578" spans="1:25" x14ac:dyDescent="0.3">
      <c r="A578" t="s">
        <v>4912</v>
      </c>
      <c r="B578" s="2270" t="s">
        <v>439</v>
      </c>
      <c r="C578" s="2271">
        <f>M593</f>
        <v>-114277.79041396026</v>
      </c>
      <c r="D578" s="159">
        <f>C578/C568</f>
        <v>-228.55558082792052</v>
      </c>
      <c r="E578" s="288"/>
      <c r="F578" s="66"/>
      <c r="G578" s="66"/>
      <c r="I578" s="42"/>
      <c r="J578" s="3"/>
      <c r="L578" s="42"/>
      <c r="M578" s="146"/>
      <c r="T578" s="20"/>
      <c r="W578" s="113"/>
    </row>
    <row r="579" spans="1:25" x14ac:dyDescent="0.3">
      <c r="A579" t="s">
        <v>4912</v>
      </c>
      <c r="B579" s="99" t="s">
        <v>5395</v>
      </c>
      <c r="C579" s="276">
        <f>L593</f>
        <v>0</v>
      </c>
      <c r="D579" s="153">
        <f>C579/C568</f>
        <v>0</v>
      </c>
      <c r="E579" s="279" t="s">
        <v>7056</v>
      </c>
      <c r="W579" s="146"/>
    </row>
    <row r="580" spans="1:25" x14ac:dyDescent="0.3">
      <c r="A580" t="s">
        <v>4912</v>
      </c>
      <c r="B580" s="149" t="s">
        <v>7057</v>
      </c>
      <c r="C580" s="159">
        <f>C573+C574</f>
        <v>114277.79041396026</v>
      </c>
      <c r="D580" s="159">
        <f>C580/C568</f>
        <v>228.55558082792052</v>
      </c>
      <c r="E580" s="288"/>
      <c r="W580" s="146"/>
    </row>
    <row r="581" spans="1:25" x14ac:dyDescent="0.3">
      <c r="A581" t="s">
        <v>4912</v>
      </c>
      <c r="B581" s="852" t="s">
        <v>5392</v>
      </c>
      <c r="D581" s="274">
        <f>E593</f>
        <v>395348.97801619745</v>
      </c>
      <c r="E581" s="20" t="s">
        <v>2284</v>
      </c>
      <c r="F581" s="66"/>
      <c r="G581" s="66"/>
      <c r="I581" s="42"/>
      <c r="J581" s="3"/>
      <c r="L581" s="42"/>
      <c r="T581" s="20"/>
      <c r="W581" s="113"/>
    </row>
    <row r="582" spans="1:25" x14ac:dyDescent="0.3">
      <c r="A582" t="s">
        <v>4912</v>
      </c>
      <c r="B582" s="852" t="s">
        <v>5393</v>
      </c>
      <c r="D582" s="274">
        <f>E593/C568</f>
        <v>790.69795603239493</v>
      </c>
      <c r="E582" s="20" t="s">
        <v>7058</v>
      </c>
      <c r="F582" s="66"/>
      <c r="G582" s="66"/>
      <c r="I582" s="42"/>
      <c r="J582" s="3"/>
      <c r="L582" s="42"/>
      <c r="T582" s="20"/>
      <c r="W582" s="113"/>
    </row>
    <row r="583" spans="1:25" x14ac:dyDescent="0.3">
      <c r="B583" s="99"/>
      <c r="E583" s="66"/>
      <c r="H583" s="42"/>
      <c r="I583" s="3"/>
      <c r="K583" s="42"/>
      <c r="M583" s="146"/>
      <c r="N583" s="273" t="s">
        <v>7059</v>
      </c>
      <c r="O583" s="90"/>
      <c r="P583" s="90"/>
      <c r="Q583" s="90"/>
      <c r="R583" s="90"/>
      <c r="S583" s="279"/>
      <c r="T583" s="90"/>
      <c r="U583" s="90"/>
      <c r="V583" s="42"/>
      <c r="W583" s="146"/>
    </row>
    <row r="584" spans="1:25" x14ac:dyDescent="0.3">
      <c r="B584" s="92" t="s">
        <v>7060</v>
      </c>
      <c r="E584" s="66"/>
      <c r="M584" s="113"/>
      <c r="N584" s="90" t="s">
        <v>5323</v>
      </c>
      <c r="O584" s="90" t="s">
        <v>5181</v>
      </c>
      <c r="P584" s="90" t="s">
        <v>5324</v>
      </c>
      <c r="Q584" s="90" t="s">
        <v>5181</v>
      </c>
      <c r="R584" s="90" t="s">
        <v>2710</v>
      </c>
      <c r="S584" s="90" t="s">
        <v>5181</v>
      </c>
      <c r="T584" s="90" t="s">
        <v>2710</v>
      </c>
      <c r="U584" s="90" t="s">
        <v>5181</v>
      </c>
      <c r="V584" s="90" t="s">
        <v>2710</v>
      </c>
      <c r="W584" s="280" t="s">
        <v>5181</v>
      </c>
    </row>
    <row r="585" spans="1:25" ht="57.6" x14ac:dyDescent="0.3">
      <c r="B585" s="92" t="s">
        <v>5187</v>
      </c>
      <c r="C585" s="82" t="s">
        <v>7061</v>
      </c>
      <c r="D585" s="82" t="s">
        <v>7062</v>
      </c>
      <c r="E585" s="277" t="s">
        <v>7063</v>
      </c>
      <c r="F585" s="152" t="s">
        <v>7064</v>
      </c>
      <c r="G585" s="277" t="s">
        <v>2588</v>
      </c>
      <c r="H585" s="82" t="s">
        <v>5188</v>
      </c>
      <c r="I585" s="82" t="s">
        <v>5189</v>
      </c>
      <c r="J585" s="82" t="s">
        <v>5190</v>
      </c>
      <c r="K585" s="82" t="s">
        <v>442</v>
      </c>
      <c r="L585" s="82" t="s">
        <v>5191</v>
      </c>
      <c r="M585" s="173" t="s">
        <v>439</v>
      </c>
      <c r="N585" s="281" t="s">
        <v>5192</v>
      </c>
      <c r="O585" s="281" t="s">
        <v>5193</v>
      </c>
      <c r="P585" s="281" t="s">
        <v>5194</v>
      </c>
      <c r="Q585" s="281" t="s">
        <v>5195</v>
      </c>
      <c r="R585" s="281" t="s">
        <v>5196</v>
      </c>
      <c r="S585" s="281" t="s">
        <v>5197</v>
      </c>
      <c r="T585" s="281" t="s">
        <v>5198</v>
      </c>
      <c r="U585" s="281" t="s">
        <v>5199</v>
      </c>
      <c r="V585" s="281" t="s">
        <v>5200</v>
      </c>
      <c r="W585" s="282" t="s">
        <v>5201</v>
      </c>
    </row>
    <row r="586" spans="1:25" x14ac:dyDescent="0.3">
      <c r="A586" t="s">
        <v>7066</v>
      </c>
      <c r="B586" s="99" t="s">
        <v>6945</v>
      </c>
      <c r="C586" s="158">
        <f>SUMIFS($C$300:$C$766,$A$300:$A$766,_xlfn.CONCAT(B586,"_construction"))</f>
        <v>15769.987297781166</v>
      </c>
      <c r="D586" s="158">
        <f>SUMIFS($C$300:$C$766,$A$300:$A$766,_xlfn.CONCAT(B586,"_equipment"))</f>
        <v>0</v>
      </c>
      <c r="E586" s="274">
        <f>SUM(C586:D586)</f>
        <v>15769.987297781166</v>
      </c>
      <c r="F586" s="158">
        <f>SUMIFS($D$300:$D$766,$A$300:$A$766,$B586,$B$300:$B$766,"Total capital recovery value")</f>
        <v>1276.1762707385685</v>
      </c>
      <c r="G586" s="158">
        <f>SUMIFS($C$300:$C$766,$A$300:$A$766,$B586,$B$300:$B$766,"Annual operational costs")</f>
        <v>236.54980946671748</v>
      </c>
      <c r="H586" s="153">
        <f>SUM(F586:G586)</f>
        <v>1512.7260802052861</v>
      </c>
      <c r="I586" s="158">
        <f>SUMIFS($C$300:$C$766,$A$300:$A$766,$B586,$B$300:$B$766,"Annual cost savings")</f>
        <v>0</v>
      </c>
      <c r="J586" s="158">
        <f>SUMIFS($C$300:$C$766,$A$300:$A$766,$B586,$B$300:$B$766,"Annual fertilizer value for on-farm use")</f>
        <v>0</v>
      </c>
      <c r="K586" s="158">
        <f>SUMIFS($C$300:$C$766,$A$300:$A$766,$B586,$B$300:$B$766,"Annual revenues")</f>
        <v>0</v>
      </c>
      <c r="L586" s="158">
        <f>SUMIFS($C$300:$C$766,$A$300:$A$766,$B586,$B$300:$B$766,"Annual cost to export excess")</f>
        <v>0</v>
      </c>
      <c r="M586" s="283">
        <f>K586-F586-G586</f>
        <v>-1512.7260802052861</v>
      </c>
      <c r="N586">
        <f>SUMIFS($F$300:$F$766,$A$300:$A$766,$B586,$B$300:$B$766,"Totals")</f>
        <v>0</v>
      </c>
      <c r="O586">
        <f>SUMIFS($G$300:$G$766,$A$300:$A$766,$B586,$B$300:$B$766,"Totals")</f>
        <v>0</v>
      </c>
      <c r="P586" s="147">
        <f>SUMIFS($H$300:$H$766,$A$300:$A$766,$B586,$B$300:$B$766,"Totals")</f>
        <v>0</v>
      </c>
      <c r="Q586" s="147">
        <f>SUMIFS($I$300:$I$766,$A$300:$A$766,$B586,$B$300:$B$766,"Totals")</f>
        <v>0</v>
      </c>
      <c r="R586" s="2315">
        <f>SUMIFS($K$300:$K$766,$A$300:$A$766,$B586,$B$300:$B$766,"Totals")</f>
        <v>0</v>
      </c>
      <c r="S586" s="2315">
        <f>SUMIFS($L$300:$L$766,$A$300:$A$766,$B586,$B$300:$B$766,"Totals")</f>
        <v>0</v>
      </c>
      <c r="T586" s="2315">
        <f>SUMIFS($M$300:$M$766,$A$300:$A$766,$B586,$B$300:$B$766,"Totals")</f>
        <v>0</v>
      </c>
      <c r="U586" s="2315">
        <f>SUMIFS($N$300:$N$766,$A$300:$A$766,$B586,$B$300:$B$766,"Totals")</f>
        <v>0</v>
      </c>
      <c r="V586" s="147">
        <f>R586+T586</f>
        <v>0</v>
      </c>
      <c r="W586" s="285">
        <f>S586+U586</f>
        <v>0</v>
      </c>
      <c r="Y586" s="36"/>
    </row>
    <row r="587" spans="1:25" ht="13.5" customHeight="1" x14ac:dyDescent="0.3">
      <c r="A587" t="str">
        <f t="shared" ref="A587:A593" si="13">_xlfn.CONCAT("TL",B587)</f>
        <v>TLBarn and parlor</v>
      </c>
      <c r="B587" s="99" t="s">
        <v>5209</v>
      </c>
      <c r="C587" s="233">
        <f t="shared" ref="C587:C592" si="14">SUMIFS($C:$C,$A:$A,_xlfn.CONCAT(B587,"_construction"))</f>
        <v>0</v>
      </c>
      <c r="D587" s="233">
        <f t="shared" ref="D587:D592" si="15">SUMIFS($C:$C,$A:$A,_xlfn.CONCAT(B587,"_equipment"))</f>
        <v>0</v>
      </c>
      <c r="E587" s="274">
        <f>SUM(C587:D587)</f>
        <v>0</v>
      </c>
      <c r="F587" s="233">
        <f t="shared" ref="F587:F592" si="16">SUMIFS($D:$D,$A:$A,$B587,$B:$B,"Total capital recovery value")</f>
        <v>0</v>
      </c>
      <c r="G587" s="233">
        <f t="shared" ref="G587:G592" si="17">SUMIFS($C:$C,$A:$A,$B587,$B:$B,"Annual operational costs")</f>
        <v>0</v>
      </c>
      <c r="H587" s="153">
        <f t="shared" ref="H587:H592" si="18">SUM(F587:G587)</f>
        <v>0</v>
      </c>
      <c r="I587" s="233">
        <f t="shared" ref="I587:I592" si="19">SUMIFS($C:$C,$A:$A,$B587,$B:$B,"Annual cost savings")</f>
        <v>0</v>
      </c>
      <c r="J587" s="233">
        <f t="shared" ref="J587:J592" si="20">SUMIFS($C:$C,$A:$A,$B587,$B:$B,"Annual fertilizer value for on-farm use")</f>
        <v>0</v>
      </c>
      <c r="K587" s="233">
        <f t="shared" ref="K587:K592" si="21">SUMIFS($C:$C,$A:$A,$B587,$B:$B,"Annual revenues")</f>
        <v>0</v>
      </c>
      <c r="L587" s="233">
        <f t="shared" ref="L587:L592" si="22">SUMIFS($C:$C,$A:$A,$B587,$B:$B,"Annual cost to export excess")</f>
        <v>0</v>
      </c>
      <c r="M587" s="283">
        <f>K587-F587-G587</f>
        <v>0</v>
      </c>
      <c r="N587">
        <f t="shared" ref="N587:N592" si="23">SUMIFS($F:$F,$A:$A,$B587,$B:$B,"Totals")</f>
        <v>0</v>
      </c>
      <c r="O587">
        <f t="shared" ref="O587:O592" si="24">SUMIFS($G:$G,$A:$A,$B587,$B:$B,"Totals")</f>
        <v>0</v>
      </c>
      <c r="P587" s="147">
        <f t="shared" ref="P587:P592" si="25">SUMIFS($H:$H,$A:$A,$B587,$B:$B,"Totals")</f>
        <v>0</v>
      </c>
      <c r="Q587" s="147">
        <f t="shared" ref="Q587:Q592" si="26">SUMIFS($I:$I,$A:$A,$B587,$B:$B,"Totals")</f>
        <v>0</v>
      </c>
      <c r="R587" s="284">
        <f t="shared" ref="R587:R592" si="27">SUMIFS($K:$K,$A:$A,$B587,$B:$B,"Totals")</f>
        <v>0</v>
      </c>
      <c r="S587" s="284">
        <f t="shared" ref="S587:S592" si="28">SUMIFS($L:$L,$A:$A,$B587,$B:$B,"Totals")</f>
        <v>0</v>
      </c>
      <c r="T587" s="284">
        <f t="shared" ref="T587:T592" si="29">SUMIFS($M:$M,$A:$A,$B587,$B:$B,"Totals")</f>
        <v>0</v>
      </c>
      <c r="U587" s="284">
        <f t="shared" ref="U587:U592" si="30">SUMIFS($N:$N,$A:$A,$B587,$B:$B,"Totals")</f>
        <v>0</v>
      </c>
      <c r="V587" s="147">
        <f t="shared" ref="V587:W592" si="31">R587+T587</f>
        <v>0</v>
      </c>
      <c r="W587" s="285">
        <f t="shared" si="31"/>
        <v>0</v>
      </c>
    </row>
    <row r="588" spans="1:25" ht="13.5" customHeight="1" x14ac:dyDescent="0.3">
      <c r="A588" t="str">
        <f t="shared" si="13"/>
        <v>TLScrape auto</v>
      </c>
      <c r="B588" s="99" t="s">
        <v>5223</v>
      </c>
      <c r="C588" s="233">
        <f t="shared" si="14"/>
        <v>12426.746062992126</v>
      </c>
      <c r="D588" s="233">
        <f t="shared" si="15"/>
        <v>31863.451443569553</v>
      </c>
      <c r="E588" s="274">
        <f t="shared" ref="E588:E592" si="32">SUM(C588:D588)</f>
        <v>44290.197506561679</v>
      </c>
      <c r="F588" s="233">
        <f t="shared" si="16"/>
        <v>6707.1567934021641</v>
      </c>
      <c r="G588" s="233">
        <f t="shared" si="17"/>
        <v>3245.8344510558195</v>
      </c>
      <c r="H588" s="153">
        <f t="shared" si="18"/>
        <v>9952.9912444579841</v>
      </c>
      <c r="I588" s="233">
        <f t="shared" si="19"/>
        <v>0</v>
      </c>
      <c r="J588" s="233">
        <f t="shared" si="20"/>
        <v>0</v>
      </c>
      <c r="K588" s="233">
        <f t="shared" si="21"/>
        <v>0</v>
      </c>
      <c r="L588" s="233">
        <f t="shared" si="22"/>
        <v>0</v>
      </c>
      <c r="M588" s="283">
        <f t="shared" ref="M588:M592" si="33">K588-F588-G588</f>
        <v>-9952.9912444579841</v>
      </c>
      <c r="N588">
        <f t="shared" si="23"/>
        <v>4471.5360061785714</v>
      </c>
      <c r="O588">
        <f t="shared" si="24"/>
        <v>306.7101072237985</v>
      </c>
      <c r="P588" s="147">
        <f t="shared" si="25"/>
        <v>0</v>
      </c>
      <c r="Q588" s="147">
        <f t="shared" si="26"/>
        <v>0</v>
      </c>
      <c r="R588" s="284">
        <f t="shared" si="27"/>
        <v>0</v>
      </c>
      <c r="S588" s="284">
        <f t="shared" si="28"/>
        <v>0</v>
      </c>
      <c r="T588" s="284">
        <f t="shared" si="29"/>
        <v>0</v>
      </c>
      <c r="U588" s="284">
        <f t="shared" si="30"/>
        <v>0</v>
      </c>
      <c r="V588" s="147">
        <f t="shared" si="31"/>
        <v>0</v>
      </c>
      <c r="W588" s="285">
        <f t="shared" si="31"/>
        <v>0</v>
      </c>
    </row>
    <row r="589" spans="1:25" ht="13.5" customHeight="1" x14ac:dyDescent="0.3">
      <c r="A589" t="str">
        <f t="shared" si="13"/>
        <v>TLReception pit</v>
      </c>
      <c r="B589" s="99" t="s">
        <v>5219</v>
      </c>
      <c r="C589" s="233">
        <f t="shared" si="14"/>
        <v>8018.7932118545777</v>
      </c>
      <c r="D589" s="233">
        <f t="shared" si="15"/>
        <v>13570</v>
      </c>
      <c r="E589" s="274">
        <f t="shared" si="32"/>
        <v>21588.79321185458</v>
      </c>
      <c r="F589" s="233">
        <f t="shared" si="16"/>
        <v>1821.4045073202617</v>
      </c>
      <c r="G589" s="233">
        <f t="shared" si="17"/>
        <v>1572.7463282449262</v>
      </c>
      <c r="H589" s="153">
        <f t="shared" si="18"/>
        <v>3394.1508355651877</v>
      </c>
      <c r="I589" s="233">
        <f t="shared" si="19"/>
        <v>0</v>
      </c>
      <c r="J589" s="233">
        <f t="shared" si="20"/>
        <v>0</v>
      </c>
      <c r="K589" s="233">
        <f t="shared" si="21"/>
        <v>0</v>
      </c>
      <c r="L589" s="233">
        <f t="shared" si="22"/>
        <v>0</v>
      </c>
      <c r="M589" s="283">
        <f t="shared" si="33"/>
        <v>-3394.1508355651877</v>
      </c>
      <c r="N589">
        <f t="shared" si="23"/>
        <v>138.71116608588275</v>
      </c>
      <c r="O589">
        <f t="shared" si="24"/>
        <v>9.5144300671075079</v>
      </c>
      <c r="P589" s="147">
        <f t="shared" si="25"/>
        <v>0</v>
      </c>
      <c r="Q589" s="147">
        <f t="shared" si="26"/>
        <v>0</v>
      </c>
      <c r="R589" s="284">
        <f t="shared" si="27"/>
        <v>0</v>
      </c>
      <c r="S589" s="284">
        <f t="shared" si="28"/>
        <v>0</v>
      </c>
      <c r="T589" s="284">
        <f t="shared" si="29"/>
        <v>0</v>
      </c>
      <c r="U589" s="284">
        <f t="shared" si="30"/>
        <v>0</v>
      </c>
      <c r="V589" s="147">
        <f t="shared" si="31"/>
        <v>0</v>
      </c>
      <c r="W589" s="285">
        <f t="shared" si="31"/>
        <v>0</v>
      </c>
    </row>
    <row r="590" spans="1:25" ht="13.5" customHeight="1" x14ac:dyDescent="0.3">
      <c r="A590" t="str">
        <f t="shared" si="13"/>
        <v>TLCompost mixing vessel</v>
      </c>
      <c r="B590" s="99" t="s">
        <v>5236</v>
      </c>
      <c r="C590" s="233">
        <f t="shared" si="14"/>
        <v>0</v>
      </c>
      <c r="D590" s="233">
        <f t="shared" si="15"/>
        <v>0</v>
      </c>
      <c r="E590" s="274">
        <f t="shared" si="32"/>
        <v>0</v>
      </c>
      <c r="F590" s="233">
        <f t="shared" si="16"/>
        <v>48914.748556387647</v>
      </c>
      <c r="G590" s="233">
        <f t="shared" si="17"/>
        <v>30305.250252191254</v>
      </c>
      <c r="H590" s="153">
        <f t="shared" si="18"/>
        <v>79219.998808578908</v>
      </c>
      <c r="I590" s="233">
        <f t="shared" si="19"/>
        <v>0</v>
      </c>
      <c r="J590" s="233">
        <f t="shared" si="20"/>
        <v>0</v>
      </c>
      <c r="K590" s="233">
        <f t="shared" si="21"/>
        <v>0</v>
      </c>
      <c r="L590" s="233">
        <f t="shared" si="22"/>
        <v>0</v>
      </c>
      <c r="M590" s="283">
        <f t="shared" si="33"/>
        <v>-79219.998808578908</v>
      </c>
      <c r="N590" s="783">
        <f t="shared" si="23"/>
        <v>23951.879860806865</v>
      </c>
      <c r="O590" s="147">
        <f t="shared" si="24"/>
        <v>1642.8993594525107</v>
      </c>
      <c r="P590" s="147">
        <f t="shared" si="25"/>
        <v>1031.6822093652054</v>
      </c>
      <c r="Q590" s="147">
        <f t="shared" si="26"/>
        <v>3813.6035540674497</v>
      </c>
      <c r="R590" s="284">
        <f t="shared" si="27"/>
        <v>182.34045247765718</v>
      </c>
      <c r="S590" s="284">
        <f t="shared" si="28"/>
        <v>4314.1751056213689</v>
      </c>
      <c r="T590" s="284">
        <f t="shared" si="29"/>
        <v>0</v>
      </c>
      <c r="U590" s="284">
        <f t="shared" si="30"/>
        <v>0</v>
      </c>
      <c r="V590" s="147">
        <f t="shared" si="31"/>
        <v>182.34045247765718</v>
      </c>
      <c r="W590" s="285">
        <f t="shared" si="31"/>
        <v>4314.1751056213689</v>
      </c>
    </row>
    <row r="591" spans="1:25" ht="13.5" customHeight="1" x14ac:dyDescent="0.3">
      <c r="A591" t="str">
        <f t="shared" si="13"/>
        <v>TLTractors</v>
      </c>
      <c r="B591" s="99" t="s">
        <v>3204</v>
      </c>
      <c r="C591" s="233">
        <f t="shared" si="14"/>
        <v>0</v>
      </c>
      <c r="D591" s="233">
        <f t="shared" si="15"/>
        <v>313700</v>
      </c>
      <c r="E591" s="274">
        <f t="shared" si="32"/>
        <v>313700</v>
      </c>
      <c r="F591" s="233">
        <f t="shared" si="16"/>
        <v>10406.854071059724</v>
      </c>
      <c r="G591" s="233">
        <f t="shared" si="17"/>
        <v>6787.5503399034405</v>
      </c>
      <c r="H591" s="153">
        <f t="shared" si="18"/>
        <v>17194.404410963165</v>
      </c>
      <c r="I591" s="233">
        <f t="shared" si="19"/>
        <v>0</v>
      </c>
      <c r="J591" s="233">
        <f t="shared" si="20"/>
        <v>0</v>
      </c>
      <c r="K591" s="233">
        <f t="shared" si="21"/>
        <v>0</v>
      </c>
      <c r="L591" s="233">
        <f t="shared" si="22"/>
        <v>0</v>
      </c>
      <c r="M591" s="283">
        <f t="shared" si="33"/>
        <v>-17194.404410963165</v>
      </c>
      <c r="N591" s="783">
        <f t="shared" si="23"/>
        <v>0</v>
      </c>
      <c r="O591" s="147">
        <f t="shared" si="24"/>
        <v>0</v>
      </c>
      <c r="P591" s="147">
        <f t="shared" si="25"/>
        <v>0</v>
      </c>
      <c r="Q591" s="147">
        <f t="shared" si="26"/>
        <v>0</v>
      </c>
      <c r="R591" s="284">
        <f t="shared" si="27"/>
        <v>0</v>
      </c>
      <c r="S591" s="284">
        <f t="shared" si="28"/>
        <v>0</v>
      </c>
      <c r="T591" s="284">
        <f t="shared" si="29"/>
        <v>0</v>
      </c>
      <c r="U591" s="284">
        <f t="shared" si="30"/>
        <v>0</v>
      </c>
      <c r="V591" s="147">
        <f t="shared" si="31"/>
        <v>0</v>
      </c>
      <c r="W591" s="285">
        <f t="shared" si="31"/>
        <v>0</v>
      </c>
    </row>
    <row r="592" spans="1:25" ht="13.5" customHeight="1" x14ac:dyDescent="0.3">
      <c r="A592" t="str">
        <f t="shared" si="13"/>
        <v>TLEnd use tanker</v>
      </c>
      <c r="B592" s="99" t="s">
        <v>5202</v>
      </c>
      <c r="C592" s="233">
        <f t="shared" si="14"/>
        <v>0</v>
      </c>
      <c r="D592" s="233">
        <f t="shared" si="15"/>
        <v>0</v>
      </c>
      <c r="E592" s="274">
        <f t="shared" si="32"/>
        <v>0</v>
      </c>
      <c r="F592" s="233">
        <f t="shared" si="16"/>
        <v>0</v>
      </c>
      <c r="G592" s="233">
        <f t="shared" si="17"/>
        <v>3003.5190341897323</v>
      </c>
      <c r="H592" s="153">
        <f t="shared" si="18"/>
        <v>3003.5190341897323</v>
      </c>
      <c r="I592" s="233">
        <f t="shared" si="19"/>
        <v>0</v>
      </c>
      <c r="J592" s="233">
        <f t="shared" si="20"/>
        <v>4519.4376184626626</v>
      </c>
      <c r="K592" s="233">
        <f t="shared" si="21"/>
        <v>0</v>
      </c>
      <c r="L592" s="233">
        <f t="shared" si="22"/>
        <v>0</v>
      </c>
      <c r="M592" s="283">
        <f t="shared" si="33"/>
        <v>-3003.5190341897323</v>
      </c>
      <c r="N592" s="147">
        <f t="shared" si="23"/>
        <v>0</v>
      </c>
      <c r="O592" s="147">
        <f t="shared" si="24"/>
        <v>0</v>
      </c>
      <c r="P592" s="147">
        <f t="shared" si="25"/>
        <v>285.72939048921415</v>
      </c>
      <c r="Q592" s="147">
        <f t="shared" si="26"/>
        <v>1056.1959963830925</v>
      </c>
      <c r="R592" s="284">
        <f t="shared" si="27"/>
        <v>77.840382002042702</v>
      </c>
      <c r="S592" s="284">
        <f t="shared" si="28"/>
        <v>1841.7034381683304</v>
      </c>
      <c r="T592" s="284">
        <f t="shared" si="29"/>
        <v>0</v>
      </c>
      <c r="U592" s="284">
        <f t="shared" si="30"/>
        <v>0</v>
      </c>
      <c r="V592" s="147">
        <f t="shared" si="31"/>
        <v>77.840382002042702</v>
      </c>
      <c r="W592" s="285">
        <f t="shared" si="31"/>
        <v>1841.7034381683304</v>
      </c>
    </row>
    <row r="593" spans="1:23" ht="13.5" customHeight="1" x14ac:dyDescent="0.3">
      <c r="A593" t="str">
        <f t="shared" si="13"/>
        <v>TLTotals</v>
      </c>
      <c r="B593" s="162" t="s">
        <v>5203</v>
      </c>
      <c r="C593" s="242">
        <f>SUM(C586:C592)</f>
        <v>36215.526572627874</v>
      </c>
      <c r="D593" s="242">
        <f t="shared" ref="D593:M593" si="34">SUM(D586:D592)</f>
        <v>359133.45144356956</v>
      </c>
      <c r="E593" s="242">
        <f t="shared" si="34"/>
        <v>395348.97801619745</v>
      </c>
      <c r="F593" s="242">
        <f t="shared" si="34"/>
        <v>69126.340198908365</v>
      </c>
      <c r="G593" s="242">
        <f t="shared" si="34"/>
        <v>45151.450215051889</v>
      </c>
      <c r="H593" s="242">
        <f t="shared" si="34"/>
        <v>114277.79041396026</v>
      </c>
      <c r="I593" s="242">
        <f t="shared" si="34"/>
        <v>0</v>
      </c>
      <c r="J593" s="242">
        <f t="shared" si="34"/>
        <v>4519.4376184626626</v>
      </c>
      <c r="K593" s="242">
        <f t="shared" si="34"/>
        <v>0</v>
      </c>
      <c r="L593" s="242">
        <f t="shared" si="34"/>
        <v>0</v>
      </c>
      <c r="M593" s="242">
        <f t="shared" si="34"/>
        <v>-114277.79041396026</v>
      </c>
      <c r="N593" s="286">
        <f>SUM(N586:N592)</f>
        <v>28562.12703307132</v>
      </c>
      <c r="O593" s="286">
        <f t="shared" ref="O593:W593" si="35">SUM(O586:O592)</f>
        <v>1959.1238967434167</v>
      </c>
      <c r="P593" s="286">
        <f t="shared" si="35"/>
        <v>1317.4115998544196</v>
      </c>
      <c r="Q593" s="286">
        <f t="shared" si="35"/>
        <v>4869.7995504505425</v>
      </c>
      <c r="R593" s="286">
        <f t="shared" si="35"/>
        <v>260.18083447969991</v>
      </c>
      <c r="S593" s="286">
        <f t="shared" si="35"/>
        <v>6155.8785437896995</v>
      </c>
      <c r="T593" s="286">
        <f t="shared" si="35"/>
        <v>0</v>
      </c>
      <c r="U593" s="286">
        <f t="shared" si="35"/>
        <v>0</v>
      </c>
      <c r="V593" s="286">
        <f t="shared" si="35"/>
        <v>260.18083447969991</v>
      </c>
      <c r="W593" s="286">
        <f t="shared" si="35"/>
        <v>6155.8785437896995</v>
      </c>
    </row>
    <row r="594" spans="1:23" x14ac:dyDescent="0.3">
      <c r="A594" s="82"/>
      <c r="B594" s="287" t="s">
        <v>7069</v>
      </c>
      <c r="C594" s="150"/>
      <c r="D594" s="150"/>
      <c r="E594" s="288"/>
      <c r="F594" s="150"/>
      <c r="G594" s="150"/>
      <c r="H594" s="150"/>
      <c r="I594" s="150"/>
      <c r="J594" s="150"/>
      <c r="K594" s="150"/>
      <c r="L594" s="150"/>
      <c r="M594" s="289"/>
      <c r="N594" s="150"/>
      <c r="O594" s="150"/>
      <c r="P594" s="150"/>
      <c r="Q594" s="150"/>
      <c r="R594" s="290"/>
      <c r="S594" s="291"/>
      <c r="T594" s="150"/>
      <c r="U594" s="150"/>
      <c r="V594" s="150"/>
      <c r="W594" s="151"/>
    </row>
    <row r="595" spans="1:23" ht="15" thickBot="1" x14ac:dyDescent="0.35">
      <c r="A595" s="137"/>
      <c r="B595" s="137"/>
      <c r="C595" s="137"/>
      <c r="D595" s="137"/>
      <c r="E595" s="137"/>
      <c r="F595" s="137"/>
      <c r="G595" s="137"/>
      <c r="H595" s="137"/>
      <c r="I595" s="137"/>
      <c r="J595" s="137"/>
      <c r="K595" s="137"/>
      <c r="L595" s="137"/>
      <c r="M595" s="137"/>
      <c r="N595" s="137"/>
      <c r="O595" s="137"/>
      <c r="P595" s="137"/>
      <c r="Q595" s="137"/>
    </row>
    <row r="596" spans="1:23" x14ac:dyDescent="0.3">
      <c r="K596" s="42"/>
    </row>
    <row r="597" spans="1:23" x14ac:dyDescent="0.3">
      <c r="B597" s="82" t="s">
        <v>7338</v>
      </c>
      <c r="K597" s="42"/>
    </row>
    <row r="598" spans="1:23" x14ac:dyDescent="0.3">
      <c r="B598" s="20"/>
      <c r="K598" s="42"/>
    </row>
    <row r="599" spans="1:23" s="90" customFormat="1" ht="13.5" customHeight="1" thickBot="1" x14ac:dyDescent="0.35">
      <c r="A599" s="325" t="s">
        <v>7339</v>
      </c>
      <c r="B599" s="279"/>
      <c r="K599" s="66"/>
    </row>
    <row r="600" spans="1:23" s="90" customFormat="1" ht="13.5" customHeight="1" x14ac:dyDescent="0.3">
      <c r="A600" s="90" t="s">
        <v>7340</v>
      </c>
      <c r="B600" s="758" t="s">
        <v>7341</v>
      </c>
      <c r="C600" s="409" t="s">
        <v>7342</v>
      </c>
      <c r="D600" s="410"/>
      <c r="F600" s="325" t="s">
        <v>7343</v>
      </c>
    </row>
    <row r="601" spans="1:23" s="90" customFormat="1" ht="13.5" customHeight="1" x14ac:dyDescent="0.3">
      <c r="A601" s="90" t="s">
        <v>7344</v>
      </c>
      <c r="B601" s="411" t="s">
        <v>2663</v>
      </c>
      <c r="C601" s="325" t="s">
        <v>565</v>
      </c>
      <c r="D601" s="412" t="s">
        <v>38</v>
      </c>
      <c r="F601" s="325" t="s">
        <v>2663</v>
      </c>
      <c r="G601" s="325" t="s">
        <v>565</v>
      </c>
      <c r="H601" s="325" t="s">
        <v>38</v>
      </c>
    </row>
    <row r="602" spans="1:23" s="90" customFormat="1" ht="13.5" customHeight="1" x14ac:dyDescent="0.3">
      <c r="B602" s="417" t="s">
        <v>6148</v>
      </c>
      <c r="C602" s="90">
        <v>1</v>
      </c>
      <c r="D602" s="419" t="s">
        <v>5121</v>
      </c>
      <c r="F602" s="90" t="s">
        <v>2162</v>
      </c>
      <c r="G602" s="90">
        <f>UDV.tractor.max_usage_yearly</f>
        <v>2000</v>
      </c>
      <c r="H602" s="90" t="s">
        <v>2710</v>
      </c>
    </row>
    <row r="603" spans="1:23" s="90" customFormat="1" ht="13.5" customHeight="1" x14ac:dyDescent="0.3">
      <c r="B603" s="417" t="s">
        <v>7345</v>
      </c>
      <c r="C603" s="90">
        <f>365/C602</f>
        <v>365</v>
      </c>
      <c r="D603" s="419" t="s">
        <v>7346</v>
      </c>
      <c r="F603" t="s">
        <v>5629</v>
      </c>
      <c r="G603">
        <f>UDV.tractor.application_time_non_sludge</f>
        <v>50</v>
      </c>
      <c r="H603" t="s">
        <v>7347</v>
      </c>
      <c r="I603"/>
    </row>
    <row r="604" spans="1:23" s="90" customFormat="1" ht="13.5" customHeight="1" x14ac:dyDescent="0.3">
      <c r="B604" s="417" t="s">
        <v>6705</v>
      </c>
      <c r="C604" s="90">
        <f>VLOOKUP(B604,$R:$U,3, FALSE)</f>
        <v>94</v>
      </c>
      <c r="D604" s="419" t="s">
        <v>7348</v>
      </c>
      <c r="F604" s="90" t="s">
        <v>2160</v>
      </c>
      <c r="G604" s="759">
        <f>UDV.tractor.max_usage_daily</f>
        <v>12</v>
      </c>
      <c r="H604" s="90" t="s">
        <v>7075</v>
      </c>
    </row>
    <row r="605" spans="1:23" s="90" customFormat="1" ht="13.5" customHeight="1" x14ac:dyDescent="0.3">
      <c r="B605" s="760" t="s">
        <v>6706</v>
      </c>
      <c r="C605" s="761">
        <f>VLOOKUP(B605,$R:$U,3, FALSE)</f>
        <v>0.49956288350043065</v>
      </c>
      <c r="D605" s="762" t="s">
        <v>7075</v>
      </c>
      <c r="E605" s="763" t="s">
        <v>7349</v>
      </c>
      <c r="F605" s="90" t="s">
        <v>2164</v>
      </c>
      <c r="G605" s="90">
        <f>UDV.tractor.min_usage_yearly</f>
        <v>1000</v>
      </c>
      <c r="H605" s="90" t="s">
        <v>2710</v>
      </c>
    </row>
    <row r="606" spans="1:23" s="90" customFormat="1" ht="13.5" customHeight="1" thickBot="1" x14ac:dyDescent="0.35">
      <c r="B606" s="474" t="s">
        <v>6706</v>
      </c>
      <c r="C606" s="764">
        <f>C605*C603</f>
        <v>182.34045247765718</v>
      </c>
      <c r="D606" s="476" t="s">
        <v>2710</v>
      </c>
      <c r="E606" s="90" t="s">
        <v>7350</v>
      </c>
      <c r="F606" s="66"/>
      <c r="G606" s="66"/>
      <c r="H606" s="6"/>
    </row>
    <row r="607" spans="1:23" s="90" customFormat="1" ht="13.5" customHeight="1" thickBot="1" x14ac:dyDescent="0.35">
      <c r="F607" s="325"/>
    </row>
    <row r="608" spans="1:23" s="90" customFormat="1" ht="13.5" customHeight="1" x14ac:dyDescent="0.3">
      <c r="A608" s="90" t="s">
        <v>7351</v>
      </c>
      <c r="B608" s="408" t="s">
        <v>7351</v>
      </c>
      <c r="C608" s="409"/>
      <c r="D608" s="410"/>
      <c r="E608" s="66"/>
      <c r="F608" s="66"/>
      <c r="G608" s="66"/>
      <c r="H608" s="6"/>
    </row>
    <row r="609" spans="1:8" s="90" customFormat="1" ht="13.5" customHeight="1" x14ac:dyDescent="0.3">
      <c r="A609" s="90" t="s">
        <v>7352</v>
      </c>
      <c r="B609" s="411" t="s">
        <v>2663</v>
      </c>
      <c r="C609" s="325" t="s">
        <v>565</v>
      </c>
      <c r="D609" s="412" t="s">
        <v>38</v>
      </c>
      <c r="E609" s="66"/>
      <c r="F609" s="66"/>
      <c r="G609" s="66"/>
      <c r="H609" s="6"/>
    </row>
    <row r="610" spans="1:8" s="90" customFormat="1" ht="13.5" customHeight="1" x14ac:dyDescent="0.3">
      <c r="B610" s="458" t="s">
        <v>6710</v>
      </c>
      <c r="C610" s="414">
        <f>VLOOKUP(B610,$R:$U,3,FALSE)</f>
        <v>90</v>
      </c>
      <c r="D610" s="415" t="s">
        <v>5121</v>
      </c>
      <c r="E610" s="66"/>
      <c r="F610" s="66"/>
      <c r="G610" s="66"/>
      <c r="H610" s="6"/>
    </row>
    <row r="611" spans="1:8" s="90" customFormat="1" ht="13.5" customHeight="1" x14ac:dyDescent="0.3">
      <c r="B611" s="417" t="s">
        <v>7345</v>
      </c>
      <c r="C611" s="418">
        <f>365/C610</f>
        <v>4.0555555555555554</v>
      </c>
      <c r="D611" s="419" t="s">
        <v>2442</v>
      </c>
      <c r="E611" s="66"/>
      <c r="F611" s="66"/>
      <c r="G611" s="66"/>
      <c r="H611" s="6"/>
    </row>
    <row r="612" spans="1:8" s="90" customFormat="1" ht="13.5" customHeight="1" x14ac:dyDescent="0.3">
      <c r="B612" s="417" t="s">
        <v>6711</v>
      </c>
      <c r="C612" s="418">
        <f>VLOOKUP(B612,$R:$U,3,FALSE)</f>
        <v>94</v>
      </c>
      <c r="D612" s="419" t="s">
        <v>7348</v>
      </c>
      <c r="E612" s="66"/>
      <c r="F612" s="66"/>
      <c r="G612" s="66"/>
      <c r="H612" s="6"/>
    </row>
    <row r="613" spans="1:8" s="90" customFormat="1" ht="13.5" customHeight="1" x14ac:dyDescent="0.3">
      <c r="B613" s="417" t="s">
        <v>6712</v>
      </c>
      <c r="C613" s="418">
        <f>VLOOKUP(B613,$R:$U,3,FALSE)</f>
        <v>13.120854098548548</v>
      </c>
      <c r="D613" s="419" t="s">
        <v>6085</v>
      </c>
      <c r="E613" s="279" t="s">
        <v>6711</v>
      </c>
      <c r="F613" s="66"/>
      <c r="G613" s="66"/>
      <c r="H613" s="6"/>
    </row>
    <row r="614" spans="1:8" s="90" customFormat="1" ht="13.5" customHeight="1" x14ac:dyDescent="0.3">
      <c r="B614" s="760" t="s">
        <v>6084</v>
      </c>
      <c r="C614" s="765">
        <f>C613*C611/G603</f>
        <v>1.0642470546600489</v>
      </c>
      <c r="D614" s="762" t="s">
        <v>7075</v>
      </c>
      <c r="E614" s="90" t="s">
        <v>7353</v>
      </c>
      <c r="F614" s="66"/>
      <c r="G614" s="66"/>
      <c r="H614" s="6"/>
    </row>
    <row r="615" spans="1:8" s="90" customFormat="1" ht="13.5" customHeight="1" thickBot="1" x14ac:dyDescent="0.35">
      <c r="B615" s="474" t="s">
        <v>6084</v>
      </c>
      <c r="C615" s="764">
        <f>C613*C611</f>
        <v>53.212352733002447</v>
      </c>
      <c r="D615" s="476" t="s">
        <v>2710</v>
      </c>
      <c r="E615" s="90" t="s">
        <v>7350</v>
      </c>
      <c r="F615" s="66"/>
      <c r="G615" s="66"/>
      <c r="H615" s="6"/>
    </row>
    <row r="616" spans="1:8" s="90" customFormat="1" ht="13.5" customHeight="1" thickBot="1" x14ac:dyDescent="0.35">
      <c r="E616" s="712"/>
      <c r="F616" s="66"/>
      <c r="G616" s="66"/>
      <c r="H616" s="6"/>
    </row>
    <row r="617" spans="1:8" s="90" customFormat="1" ht="13.5" customHeight="1" x14ac:dyDescent="0.3">
      <c r="A617" s="90" t="s">
        <v>7354</v>
      </c>
      <c r="B617" s="766" t="s">
        <v>7355</v>
      </c>
      <c r="C617" s="767">
        <f>SUM(C605,C614)</f>
        <v>1.5638099381604795</v>
      </c>
      <c r="D617" s="410" t="s">
        <v>7356</v>
      </c>
      <c r="E617" s="90" t="s">
        <v>7357</v>
      </c>
    </row>
    <row r="618" spans="1:8" s="90" customFormat="1" ht="13.5" customHeight="1" x14ac:dyDescent="0.3">
      <c r="B618" s="417" t="s">
        <v>7358</v>
      </c>
      <c r="C618" s="755">
        <f>C617/G604</f>
        <v>0.13031749484670663</v>
      </c>
      <c r="D618" s="419" t="s">
        <v>2442</v>
      </c>
      <c r="E618" s="90" t="s">
        <v>7359</v>
      </c>
    </row>
    <row r="619" spans="1:8" s="90" customFormat="1" ht="13.5" customHeight="1" x14ac:dyDescent="0.3">
      <c r="B619" s="417" t="s">
        <v>7360</v>
      </c>
      <c r="C619" s="418">
        <f>ROUNDUP(C618, 0.1)</f>
        <v>1</v>
      </c>
      <c r="D619" s="419" t="s">
        <v>2442</v>
      </c>
      <c r="E619" s="90" t="s">
        <v>7359</v>
      </c>
    </row>
    <row r="620" spans="1:8" s="90" customFormat="1" ht="13.5" customHeight="1" x14ac:dyDescent="0.3">
      <c r="B620" s="417" t="s">
        <v>7361</v>
      </c>
      <c r="C620" s="759">
        <f>C623/G602</f>
        <v>0.11777640260532982</v>
      </c>
      <c r="D620" s="768" t="s">
        <v>7314</v>
      </c>
      <c r="E620" s="279" t="s">
        <v>7362</v>
      </c>
    </row>
    <row r="621" spans="1:8" s="90" customFormat="1" ht="13.5" customHeight="1" x14ac:dyDescent="0.3">
      <c r="B621" s="417" t="s">
        <v>7363</v>
      </c>
      <c r="C621" s="418">
        <f>ROUNDUP(C620,0.1)</f>
        <v>1</v>
      </c>
      <c r="D621" s="768" t="s">
        <v>7314</v>
      </c>
      <c r="E621" s="279" t="s">
        <v>7362</v>
      </c>
    </row>
    <row r="622" spans="1:8" s="90" customFormat="1" ht="13.5" customHeight="1" x14ac:dyDescent="0.3">
      <c r="B622" s="465" t="s">
        <v>7364</v>
      </c>
      <c r="C622" s="769">
        <f>MAX(C619,C621)</f>
        <v>1</v>
      </c>
      <c r="D622" s="770" t="s">
        <v>2442</v>
      </c>
      <c r="E622" s="66"/>
      <c r="F622" s="66"/>
      <c r="G622" s="66"/>
      <c r="H622" s="6"/>
    </row>
    <row r="623" spans="1:8" s="90" customFormat="1" ht="13.5" customHeight="1" x14ac:dyDescent="0.3">
      <c r="B623" s="469" t="s">
        <v>7365</v>
      </c>
      <c r="C623" s="470">
        <f>SUM(C606,C615)</f>
        <v>235.55280521065964</v>
      </c>
      <c r="D623" s="471" t="s">
        <v>2710</v>
      </c>
      <c r="E623" s="66"/>
      <c r="F623" s="66"/>
      <c r="G623" s="66"/>
      <c r="H623" s="6"/>
    </row>
    <row r="624" spans="1:8" s="90" customFormat="1" ht="13.5" customHeight="1" x14ac:dyDescent="0.3">
      <c r="B624" s="465" t="s">
        <v>7366</v>
      </c>
      <c r="C624" s="769">
        <f>C623/C622</f>
        <v>235.55280521065964</v>
      </c>
      <c r="D624" s="770" t="s">
        <v>7314</v>
      </c>
      <c r="E624" s="66"/>
      <c r="F624" s="66"/>
      <c r="G624" s="66"/>
      <c r="H624" s="6"/>
    </row>
    <row r="625" spans="1:8" s="90" customFormat="1" ht="13.5" customHeight="1" x14ac:dyDescent="0.3">
      <c r="B625" s="469" t="s">
        <v>7367</v>
      </c>
      <c r="C625" s="473">
        <f>C606/C623</f>
        <v>0.77409586489359117</v>
      </c>
      <c r="D625" s="471" t="s">
        <v>188</v>
      </c>
      <c r="E625" s="90" t="s">
        <v>7368</v>
      </c>
      <c r="F625" s="66"/>
      <c r="G625" s="66"/>
      <c r="H625" s="6"/>
    </row>
    <row r="626" spans="1:8" s="90" customFormat="1" ht="13.5" customHeight="1" thickBot="1" x14ac:dyDescent="0.35">
      <c r="B626" s="474" t="s">
        <v>7369</v>
      </c>
      <c r="C626" s="491">
        <f>C615/C623</f>
        <v>0.22590413510640878</v>
      </c>
      <c r="D626" s="476" t="s">
        <v>188</v>
      </c>
      <c r="E626" s="90" t="s">
        <v>7368</v>
      </c>
      <c r="F626" s="66"/>
      <c r="G626" s="66"/>
      <c r="H626" s="6"/>
    </row>
    <row r="627" spans="1:8" s="90" customFormat="1" ht="13.5" customHeight="1" x14ac:dyDescent="0.3">
      <c r="C627" s="739"/>
      <c r="F627" s="66"/>
      <c r="G627" s="66"/>
      <c r="H627" s="6"/>
    </row>
    <row r="628" spans="1:8" s="90" customFormat="1" ht="13.5" customHeight="1" thickBot="1" x14ac:dyDescent="0.35">
      <c r="A628" s="325" t="s">
        <v>7370</v>
      </c>
      <c r="C628" s="739"/>
      <c r="F628" s="66"/>
      <c r="G628" s="66"/>
      <c r="H628" s="6"/>
    </row>
    <row r="629" spans="1:8" s="90" customFormat="1" ht="13.5" customHeight="1" x14ac:dyDescent="0.3">
      <c r="A629" s="90" t="s">
        <v>7371</v>
      </c>
      <c r="B629" s="408" t="s">
        <v>7372</v>
      </c>
      <c r="C629" s="409"/>
      <c r="D629" s="410"/>
      <c r="F629" s="325" t="s">
        <v>7343</v>
      </c>
      <c r="G629"/>
    </row>
    <row r="630" spans="1:8" s="90" customFormat="1" ht="13.5" customHeight="1" x14ac:dyDescent="0.3">
      <c r="A630" s="90" t="s">
        <v>7352</v>
      </c>
      <c r="B630" s="411" t="s">
        <v>2663</v>
      </c>
      <c r="C630" s="325" t="s">
        <v>565</v>
      </c>
      <c r="D630" s="412" t="s">
        <v>38</v>
      </c>
      <c r="F630" s="325" t="s">
        <v>2663</v>
      </c>
      <c r="G630" s="325" t="s">
        <v>565</v>
      </c>
      <c r="H630" s="325" t="s">
        <v>38</v>
      </c>
    </row>
    <row r="631" spans="1:8" s="90" customFormat="1" ht="13.5" customHeight="1" x14ac:dyDescent="0.3">
      <c r="B631" s="458" t="s">
        <v>6710</v>
      </c>
      <c r="C631" s="414">
        <f>VLOOKUP(B631,$R:$U,3,FALSE)</f>
        <v>90</v>
      </c>
      <c r="D631" s="415" t="s">
        <v>5121</v>
      </c>
      <c r="F631" s="90" t="s">
        <v>2162</v>
      </c>
      <c r="G631" s="90">
        <f>UDV.tractor.max_usage_yearly</f>
        <v>2000</v>
      </c>
      <c r="H631" s="90" t="s">
        <v>2710</v>
      </c>
    </row>
    <row r="632" spans="1:8" s="90" customFormat="1" ht="13.5" customHeight="1" x14ac:dyDescent="0.3">
      <c r="B632" s="417" t="s">
        <v>7345</v>
      </c>
      <c r="C632" s="418">
        <f>365/C631</f>
        <v>4.0555555555555554</v>
      </c>
      <c r="D632" s="419" t="s">
        <v>2442</v>
      </c>
      <c r="F632" t="s">
        <v>5629</v>
      </c>
      <c r="G632">
        <f>UDV.tractor.application_time_non_sludge</f>
        <v>50</v>
      </c>
      <c r="H632" t="s">
        <v>7347</v>
      </c>
    </row>
    <row r="633" spans="1:8" s="90" customFormat="1" ht="13.5" customHeight="1" x14ac:dyDescent="0.3">
      <c r="B633" s="417" t="s">
        <v>6714</v>
      </c>
      <c r="C633" s="418">
        <f>VLOOKUP(B633,$R:$U,3,FALSE)</f>
        <v>85</v>
      </c>
      <c r="D633" s="419" t="s">
        <v>7348</v>
      </c>
      <c r="F633" s="90" t="s">
        <v>2160</v>
      </c>
      <c r="G633" s="90">
        <f>UDV.tractor.max_usage_daily</f>
        <v>12</v>
      </c>
      <c r="H633" s="90" t="s">
        <v>7075</v>
      </c>
    </row>
    <row r="634" spans="1:8" s="90" customFormat="1" ht="13.5" customHeight="1" x14ac:dyDescent="0.3">
      <c r="B634" s="417" t="s">
        <v>6717</v>
      </c>
      <c r="C634" s="418">
        <f>VLOOKUP(B634,$R:$U,3,FALSE)</f>
        <v>4.3277994012866774</v>
      </c>
      <c r="D634" s="419" t="s">
        <v>6085</v>
      </c>
      <c r="F634" s="90" t="s">
        <v>2164</v>
      </c>
      <c r="G634" s="90">
        <f>UDV.tractor.min_usage_yearly</f>
        <v>1000</v>
      </c>
      <c r="H634" s="90" t="s">
        <v>2710</v>
      </c>
    </row>
    <row r="635" spans="1:8" s="90" customFormat="1" ht="13.5" customHeight="1" x14ac:dyDescent="0.3">
      <c r="A635" s="325"/>
      <c r="B635" s="760" t="s">
        <v>7373</v>
      </c>
      <c r="C635" s="765">
        <f>C634*C632/G632</f>
        <v>0.35103261810436381</v>
      </c>
      <c r="D635" s="762" t="s">
        <v>7075</v>
      </c>
      <c r="E635" s="90" t="s">
        <v>7353</v>
      </c>
      <c r="F635" s="66"/>
      <c r="G635" s="66"/>
      <c r="H635" s="6"/>
    </row>
    <row r="636" spans="1:8" s="90" customFormat="1" ht="13.5" customHeight="1" thickBot="1" x14ac:dyDescent="0.35">
      <c r="B636" s="474" t="s">
        <v>7373</v>
      </c>
      <c r="C636" s="764">
        <f>C634*C632</f>
        <v>17.55163090521819</v>
      </c>
      <c r="D636" s="476" t="s">
        <v>2710</v>
      </c>
      <c r="E636" s="90" t="s">
        <v>7350</v>
      </c>
      <c r="F636" s="66"/>
      <c r="G636" s="66"/>
      <c r="H636" s="6"/>
    </row>
    <row r="637" spans="1:8" s="90" customFormat="1" ht="13.5" customHeight="1" thickBot="1" x14ac:dyDescent="0.35">
      <c r="C637" s="418"/>
      <c r="F637" s="66"/>
      <c r="G637" s="66"/>
      <c r="H637" s="6"/>
    </row>
    <row r="638" spans="1:8" s="90" customFormat="1" ht="13.5" customHeight="1" x14ac:dyDescent="0.3">
      <c r="A638" s="90" t="s">
        <v>7374</v>
      </c>
      <c r="B638" s="766" t="s">
        <v>7375</v>
      </c>
      <c r="C638" s="767">
        <f>SUM(C635)</f>
        <v>0.35103261810436381</v>
      </c>
      <c r="D638" s="410" t="s">
        <v>7356</v>
      </c>
      <c r="E638" s="90" t="s">
        <v>7376</v>
      </c>
    </row>
    <row r="639" spans="1:8" s="90" customFormat="1" ht="13.5" customHeight="1" x14ac:dyDescent="0.3">
      <c r="B639" s="417" t="s">
        <v>7377</v>
      </c>
      <c r="C639" s="759">
        <f>C638/G633</f>
        <v>2.9252718175363651E-2</v>
      </c>
      <c r="D639" s="419" t="s">
        <v>2442</v>
      </c>
      <c r="E639" s="90" t="s">
        <v>7359</v>
      </c>
    </row>
    <row r="640" spans="1:8" s="90" customFormat="1" ht="13.5" customHeight="1" x14ac:dyDescent="0.3">
      <c r="B640" s="417" t="s">
        <v>7378</v>
      </c>
      <c r="C640" s="759">
        <f>ROUNDUP(C639, 0.1)</f>
        <v>1</v>
      </c>
      <c r="D640" s="419" t="s">
        <v>2442</v>
      </c>
      <c r="E640" s="90" t="s">
        <v>7359</v>
      </c>
    </row>
    <row r="641" spans="2:8" s="90" customFormat="1" ht="13.5" customHeight="1" x14ac:dyDescent="0.3">
      <c r="B641" s="417" t="s">
        <v>7379</v>
      </c>
      <c r="C641" s="759">
        <f>C644/G631</f>
        <v>8.7758154526090953E-3</v>
      </c>
      <c r="D641" s="419" t="s">
        <v>2442</v>
      </c>
      <c r="E641" s="279" t="s">
        <v>7362</v>
      </c>
    </row>
    <row r="642" spans="2:8" s="90" customFormat="1" ht="13.5" customHeight="1" x14ac:dyDescent="0.3">
      <c r="B642" s="417" t="s">
        <v>7380</v>
      </c>
      <c r="C642" s="759">
        <f>ROUNDUP(C641,0.1)</f>
        <v>1</v>
      </c>
      <c r="D642" s="419" t="s">
        <v>2442</v>
      </c>
      <c r="E642" s="279" t="s">
        <v>7362</v>
      </c>
    </row>
    <row r="643" spans="2:8" s="90" customFormat="1" ht="13.5" customHeight="1" x14ac:dyDescent="0.3">
      <c r="B643" s="465" t="s">
        <v>7381</v>
      </c>
      <c r="C643" s="771">
        <f>MAX(C640,C642)</f>
        <v>1</v>
      </c>
      <c r="D643" s="770" t="s">
        <v>2442</v>
      </c>
      <c r="E643" s="66"/>
      <c r="F643" s="66"/>
      <c r="G643" s="66"/>
      <c r="H643" s="6"/>
    </row>
    <row r="644" spans="2:8" s="90" customFormat="1" ht="13.5" customHeight="1" x14ac:dyDescent="0.3">
      <c r="B644" s="469" t="s">
        <v>7382</v>
      </c>
      <c r="C644" s="470">
        <f>SUM(C636)</f>
        <v>17.55163090521819</v>
      </c>
      <c r="D644" s="471" t="s">
        <v>2710</v>
      </c>
      <c r="E644" s="66"/>
      <c r="F644" s="66"/>
      <c r="G644" s="66"/>
      <c r="H644" s="6"/>
    </row>
    <row r="645" spans="2:8" s="90" customFormat="1" ht="13.5" customHeight="1" x14ac:dyDescent="0.3">
      <c r="B645" s="465" t="s">
        <v>7383</v>
      </c>
      <c r="C645" s="769">
        <f>IF(C636=0,0,C644/C643)</f>
        <v>17.55163090521819</v>
      </c>
      <c r="D645" s="770" t="s">
        <v>7314</v>
      </c>
      <c r="E645" s="66"/>
      <c r="F645" s="66"/>
      <c r="G645" s="66"/>
      <c r="H645" s="6"/>
    </row>
    <row r="646" spans="2:8" s="90" customFormat="1" ht="13.5" customHeight="1" thickBot="1" x14ac:dyDescent="0.35">
      <c r="B646" s="474" t="s">
        <v>7384</v>
      </c>
      <c r="C646" s="491">
        <f>IF(C636=0,0,C636/C644)</f>
        <v>1</v>
      </c>
      <c r="D646" s="476" t="s">
        <v>188</v>
      </c>
      <c r="E646" s="90" t="s">
        <v>7368</v>
      </c>
      <c r="F646" s="66"/>
      <c r="G646" s="66"/>
      <c r="H646" s="6"/>
    </row>
  </sheetData>
  <phoneticPr fontId="51" type="noConversion"/>
  <pageMargins left="0.7" right="0.7" top="0.75" bottom="0.75" header="0.3" footer="0.3"/>
  <pageSetup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A0D4-9D5D-4C44-9C22-361C49B39D74}">
  <sheetPr codeName="Sheet57">
    <tabColor rgb="FF92D050"/>
  </sheetPr>
  <dimension ref="A1:AR1054"/>
  <sheetViews>
    <sheetView topLeftCell="A699" workbookViewId="0">
      <selection activeCell="C2" sqref="C2:D4"/>
    </sheetView>
  </sheetViews>
  <sheetFormatPr defaultRowHeight="14.4" x14ac:dyDescent="0.3"/>
  <cols>
    <col min="1" max="1" width="29.88671875" customWidth="1"/>
    <col min="2" max="2" width="57.109375" customWidth="1"/>
    <col min="3" max="7" width="16.5546875" customWidth="1"/>
    <col min="8" max="8" width="23" customWidth="1"/>
    <col min="9" max="9" width="13.109375" customWidth="1"/>
    <col min="10" max="12" width="14.109375" customWidth="1"/>
    <col min="13" max="15" width="12.6640625" customWidth="1"/>
    <col min="16" max="16" width="12.88671875" customWidth="1"/>
    <col min="17" max="17" width="29.44140625" customWidth="1"/>
    <col min="18" max="18" width="47.6640625" customWidth="1"/>
    <col min="19" max="19" width="7.5546875" customWidth="1"/>
    <col min="20" max="20" width="10.109375" customWidth="1"/>
    <col min="21" max="21" width="14.33203125" customWidth="1"/>
    <col min="22" max="22" width="7.88671875" customWidth="1"/>
    <col min="23" max="23" width="22.33203125" customWidth="1"/>
    <col min="24" max="24" width="50.88671875" customWidth="1"/>
    <col min="25" max="25" width="10.6640625" customWidth="1"/>
    <col min="26" max="26" width="15.33203125" customWidth="1"/>
    <col min="27" max="27" width="16" customWidth="1"/>
    <col min="28" max="28" width="14.33203125" customWidth="1"/>
    <col min="29" max="29" width="64.109375" customWidth="1"/>
    <col min="30" max="30" width="15.33203125" bestFit="1" customWidth="1"/>
    <col min="31" max="31" width="16.6640625" customWidth="1"/>
    <col min="32" max="32" width="31.109375" customWidth="1"/>
    <col min="33" max="33" width="15.88671875" customWidth="1"/>
    <col min="34" max="34" width="16.88671875" customWidth="1"/>
    <col min="35" max="35" width="17.88671875" customWidth="1"/>
    <col min="36" max="36" width="16.33203125" customWidth="1"/>
    <col min="37" max="37" width="15" customWidth="1"/>
    <col min="38" max="38" width="15.6640625" customWidth="1"/>
    <col min="39" max="39" width="13.44140625" customWidth="1"/>
    <col min="40" max="40" width="13.33203125" customWidth="1"/>
  </cols>
  <sheetData>
    <row r="1" spans="1:27" ht="18" x14ac:dyDescent="0.35">
      <c r="A1" s="522" t="str">
        <f>Sc.Table!J37</f>
        <v>The farm uses a scrape system for barn cleaning. The scraped manure flows to a reception pit and pumped to a solid-Liquid separator. The separated liquid flows to a lagoon and is stored for a period of time before it is emptied. Liquids are land applied via irrigation while the accumulated sludge is removed after a longer storage period and land applied via agitation and tractor-pulled tanker.</v>
      </c>
      <c r="B1" s="1"/>
      <c r="C1" s="1"/>
      <c r="D1" s="5"/>
      <c r="E1" s="5"/>
      <c r="F1" s="4"/>
      <c r="G1" s="46"/>
      <c r="H1" s="3"/>
      <c r="J1" s="36"/>
      <c r="K1" s="36"/>
      <c r="L1" s="36"/>
      <c r="N1" s="36"/>
      <c r="O1" s="36"/>
    </row>
    <row r="2" spans="1:27" x14ac:dyDescent="0.3">
      <c r="A2" s="1945"/>
      <c r="B2" s="1660" t="s">
        <v>6921</v>
      </c>
      <c r="C2" s="2001"/>
      <c r="D2" s="2000"/>
      <c r="E2" s="1945"/>
      <c r="F2" s="1945"/>
      <c r="G2" s="1945"/>
      <c r="H2" s="1945"/>
      <c r="I2" s="1914"/>
      <c r="J2" s="1946"/>
      <c r="K2" s="1946"/>
      <c r="L2" s="1946"/>
      <c r="M2" s="1946"/>
      <c r="N2" s="1946"/>
      <c r="O2" s="1946"/>
      <c r="P2" s="1946"/>
      <c r="Q2" s="1667" t="s">
        <v>6923</v>
      </c>
      <c r="R2" s="2010"/>
      <c r="S2" s="2011"/>
      <c r="T2" s="2055"/>
      <c r="U2" s="2011"/>
      <c r="V2" s="90"/>
      <c r="W2" s="1928" t="s">
        <v>7141</v>
      </c>
      <c r="X2" s="2005"/>
      <c r="Y2" s="2006"/>
      <c r="Z2" s="2036"/>
      <c r="AA2" s="2006"/>
    </row>
    <row r="3" spans="1:27" x14ac:dyDescent="0.3">
      <c r="A3" s="1945"/>
      <c r="B3" s="1668" t="s">
        <v>6922</v>
      </c>
      <c r="C3" s="1670"/>
      <c r="D3" s="1670"/>
      <c r="E3" s="1611"/>
      <c r="F3" s="1935"/>
      <c r="G3" s="1947"/>
      <c r="H3" s="1945"/>
      <c r="I3" s="1914"/>
      <c r="J3" s="1946"/>
      <c r="K3" s="1946"/>
      <c r="L3" s="1946"/>
      <c r="M3" s="1946"/>
      <c r="N3" s="1946"/>
      <c r="O3" s="1946"/>
      <c r="P3" s="1946"/>
      <c r="Q3" s="91" t="s">
        <v>1901</v>
      </c>
      <c r="R3" s="1546" t="s">
        <v>6925</v>
      </c>
      <c r="S3" s="91"/>
      <c r="T3" s="1376">
        <f>C5*UDV.animal.total*UC.day_to_year</f>
        <v>5.3259335994317407</v>
      </c>
      <c r="U3" s="510" t="s">
        <v>2521</v>
      </c>
      <c r="V3" s="90"/>
      <c r="W3" s="52" t="s">
        <v>7142</v>
      </c>
      <c r="X3" s="91" t="str">
        <f>PT.anaer_lagoon!B305</f>
        <v>Interval between sludge removal</v>
      </c>
      <c r="Y3" s="91"/>
      <c r="Z3" s="1379">
        <f>PT.anaer_lagoon!AR305</f>
        <v>10</v>
      </c>
      <c r="AA3" s="1465" t="str">
        <f>PT.anaer_lagoon!F305</f>
        <v>year</v>
      </c>
    </row>
    <row r="4" spans="1:27" x14ac:dyDescent="0.3">
      <c r="A4" s="1945"/>
      <c r="B4" s="1577" t="s">
        <v>6924</v>
      </c>
      <c r="C4" s="1879">
        <f>UDV.animal.manure*UC.year_to_day/UDV.animal.total/UDV.density.manure</f>
        <v>2.0526696680080483</v>
      </c>
      <c r="D4" s="1806" t="s">
        <v>5838</v>
      </c>
      <c r="E4" s="1914"/>
      <c r="F4" s="1914"/>
      <c r="G4" s="1914"/>
      <c r="H4" s="1914"/>
      <c r="I4" s="1914"/>
      <c r="J4" s="1946"/>
      <c r="K4" s="1946"/>
      <c r="L4" s="1946"/>
      <c r="M4" s="1946"/>
      <c r="N4" s="1946"/>
      <c r="O4" s="1946"/>
      <c r="P4" s="1946"/>
      <c r="Q4" s="2033" t="s">
        <v>7143</v>
      </c>
      <c r="R4" s="1439" t="str">
        <f>PT.shallow_scrape!B91</f>
        <v>Total recycled water needed</v>
      </c>
      <c r="S4" s="91"/>
      <c r="T4" s="1439">
        <f>PT.shallow_scrape!G91</f>
        <v>0</v>
      </c>
      <c r="U4" s="1465" t="str">
        <f>PT.shallow_scrape!C91</f>
        <v>m3/year</v>
      </c>
      <c r="V4" s="90"/>
      <c r="W4" s="52"/>
      <c r="X4" s="91" t="str">
        <f>PT.anaer_lagoon!B306</f>
        <v>Manure sludge removed, lagoon</v>
      </c>
      <c r="Y4" s="91"/>
      <c r="Z4" s="1379">
        <f>PT.anaer_lagoon!AR306</f>
        <v>1227.3412979465452</v>
      </c>
      <c r="AA4" s="1465" t="str">
        <f>PT.anaer_lagoon!F306</f>
        <v>m3/event</v>
      </c>
    </row>
    <row r="5" spans="1:27" x14ac:dyDescent="0.3">
      <c r="A5" s="1945"/>
      <c r="B5" s="1577" t="s">
        <v>415</v>
      </c>
      <c r="C5" s="1811">
        <f>SUM(C43:C46)</f>
        <v>3.8879315275851707</v>
      </c>
      <c r="D5" s="1806" t="s">
        <v>5838</v>
      </c>
      <c r="E5" s="1914"/>
      <c r="F5" s="1914"/>
      <c r="G5" s="1914"/>
      <c r="H5" s="1914"/>
      <c r="I5" s="1945"/>
      <c r="J5" s="1945"/>
      <c r="K5" s="1945"/>
      <c r="L5" s="1945"/>
      <c r="M5" s="1945"/>
      <c r="N5" s="1946"/>
      <c r="O5" s="2071"/>
      <c r="P5" s="2071"/>
      <c r="Q5" s="654"/>
      <c r="R5" s="1439" t="str">
        <f>PT.shallow_scrape!B92</f>
        <v>Number of flushes</v>
      </c>
      <c r="S5" s="91"/>
      <c r="T5" s="1439">
        <f>PT.shallow_scrape!G92</f>
        <v>3</v>
      </c>
      <c r="U5" s="1465" t="str">
        <f>PT.shallow_scrape!C92</f>
        <v>flush/day</v>
      </c>
      <c r="V5" s="90"/>
      <c r="W5" s="52"/>
      <c r="X5" s="91" t="str">
        <f>PT.anaer_lagoon!B307</f>
        <v>Lagoon surface area</v>
      </c>
      <c r="Y5" s="91"/>
      <c r="Z5" s="1379">
        <f>PT.anaer_lagoon!AR307</f>
        <v>1937.2131954110769</v>
      </c>
      <c r="AA5" s="1465" t="str">
        <f>PT.anaer_lagoon!F307</f>
        <v>m3</v>
      </c>
    </row>
    <row r="6" spans="1:27" x14ac:dyDescent="0.3">
      <c r="A6" s="1945"/>
      <c r="B6" s="1577" t="s">
        <v>409</v>
      </c>
      <c r="C6" s="1811">
        <f>SUM(C34:C41)</f>
        <v>12.529848027425757</v>
      </c>
      <c r="D6" s="1806" t="s">
        <v>5769</v>
      </c>
      <c r="E6" s="1918"/>
      <c r="F6" s="1936"/>
      <c r="G6" s="1932"/>
      <c r="H6" s="1914"/>
      <c r="I6" s="1945"/>
      <c r="J6" s="1945"/>
      <c r="K6" s="1945"/>
      <c r="L6" s="1945"/>
      <c r="M6" s="1945"/>
      <c r="N6" s="1946"/>
      <c r="O6" s="2071"/>
      <c r="P6" s="2071"/>
      <c r="Q6" s="654"/>
      <c r="R6" s="1439" t="str">
        <f>PT.shallow_scrape!B93</f>
        <v>Volume of recycled water per flush</v>
      </c>
      <c r="S6" s="91"/>
      <c r="T6" s="1439">
        <f>PT.shallow_scrape!G93</f>
        <v>0</v>
      </c>
      <c r="U6" s="1465" t="str">
        <f>PT.shallow_scrape!C93</f>
        <v>m3/flush</v>
      </c>
      <c r="V6" s="90"/>
      <c r="W6" s="52"/>
      <c r="X6" s="91" t="str">
        <f>PT.anaer_lagoon!B308</f>
        <v>Lagoon constructed size</v>
      </c>
      <c r="Y6" s="91"/>
      <c r="Z6" s="1379">
        <f>PT.anaer_lagoon!AR308</f>
        <v>3434.4068159132703</v>
      </c>
      <c r="AA6" s="1465" t="str">
        <f>PT.anaer_lagoon!F308</f>
        <v>m2</v>
      </c>
    </row>
    <row r="7" spans="1:27" x14ac:dyDescent="0.3">
      <c r="A7" s="1945"/>
      <c r="B7" s="1577" t="s">
        <v>6926</v>
      </c>
      <c r="C7" s="1390" t="s">
        <v>6927</v>
      </c>
      <c r="D7" s="1806"/>
      <c r="E7" s="1945"/>
      <c r="F7" s="1611"/>
      <c r="G7" s="1611"/>
      <c r="H7" s="1945"/>
      <c r="I7" s="1945"/>
      <c r="J7" s="1945"/>
      <c r="K7" s="1945"/>
      <c r="L7" s="1945"/>
      <c r="M7" s="1945"/>
      <c r="N7" s="1945"/>
      <c r="O7" s="1945"/>
      <c r="P7" s="2072"/>
      <c r="Q7" s="2034"/>
      <c r="R7" s="1439" t="str">
        <f>PT.shallow_scrape!B94</f>
        <v>Total flush water volume</v>
      </c>
      <c r="S7" s="91"/>
      <c r="T7" s="1439">
        <f>PT.shallow_scrape!G94</f>
        <v>0</v>
      </c>
      <c r="U7" s="1465" t="str">
        <f>PT.shallow_scrape!C94</f>
        <v>m3/day</v>
      </c>
      <c r="V7" s="90"/>
      <c r="W7" s="52"/>
      <c r="X7" s="91" t="str">
        <f>PT.anaer_lagoon!B309</f>
        <v>N removed, lagoon</v>
      </c>
      <c r="Y7" s="91"/>
      <c r="Z7" s="1379">
        <f>PT.anaer_lagoon!AR309</f>
        <v>4.9447311714113011</v>
      </c>
      <c r="AA7" s="1465" t="str">
        <f>PT.anaer_lagoon!F309</f>
        <v>g/L</v>
      </c>
    </row>
    <row r="8" spans="1:27" x14ac:dyDescent="0.3">
      <c r="A8" s="1945"/>
      <c r="B8" s="1577" t="s">
        <v>6928</v>
      </c>
      <c r="C8" s="1395">
        <f>SUM(C48:C54)/UDV.animal.total</f>
        <v>77.5651499050621</v>
      </c>
      <c r="D8" s="1353" t="s">
        <v>2270</v>
      </c>
      <c r="E8" s="1945"/>
      <c r="F8" s="1611"/>
      <c r="G8" s="1850"/>
      <c r="H8" s="1945"/>
      <c r="I8" s="1945"/>
      <c r="J8" s="1945"/>
      <c r="K8" s="1945"/>
      <c r="L8" s="1945"/>
      <c r="M8" s="1945"/>
      <c r="N8" s="1945"/>
      <c r="O8" s="1945"/>
      <c r="P8" s="2071"/>
      <c r="Q8" s="654"/>
      <c r="R8" s="1439" t="str">
        <f>PT.shallow_scrape!B95</f>
        <v>Recycled water volume</v>
      </c>
      <c r="S8" s="91"/>
      <c r="T8" s="1439">
        <f>PT.shallow_scrape!G95</f>
        <v>0</v>
      </c>
      <c r="U8" s="1465" t="str">
        <f>PT.shallow_scrape!C95</f>
        <v>m3/day</v>
      </c>
      <c r="V8" s="90"/>
      <c r="W8" s="52"/>
      <c r="X8" s="91" t="str">
        <f>PT.anaer_lagoon!B310</f>
        <v>P2O5 removed, lagoon</v>
      </c>
      <c r="Y8" s="91"/>
      <c r="Z8" s="1379">
        <f>PT.anaer_lagoon!AR310</f>
        <v>7.9159298721594418</v>
      </c>
      <c r="AA8" s="1465" t="str">
        <f>PT.anaer_lagoon!F310</f>
        <v>g/L</v>
      </c>
    </row>
    <row r="9" spans="1:27" x14ac:dyDescent="0.3">
      <c r="A9" s="1945"/>
      <c r="B9" s="1810" t="s">
        <v>6929</v>
      </c>
      <c r="C9" s="1807"/>
      <c r="D9" s="1806"/>
      <c r="E9" s="1945"/>
      <c r="F9" s="1611"/>
      <c r="G9" s="1850"/>
      <c r="H9" s="1945"/>
      <c r="I9" s="1945"/>
      <c r="J9" s="1953"/>
      <c r="K9" s="1953"/>
      <c r="L9" s="1953"/>
      <c r="M9" s="1953"/>
      <c r="N9" s="1945"/>
      <c r="O9" s="1945"/>
      <c r="P9" s="2071"/>
      <c r="Q9" s="654"/>
      <c r="R9" s="1439" t="str">
        <f>PT.shallow_scrape!B96</f>
        <v>Volume of water per cleaning</v>
      </c>
      <c r="S9" s="91"/>
      <c r="T9" s="1439">
        <f>PT.shallow_scrape!G96</f>
        <v>0</v>
      </c>
      <c r="U9" s="1465" t="str">
        <f>PT.shallow_scrape!C96</f>
        <v>m3/flush</v>
      </c>
      <c r="V9" s="90"/>
      <c r="W9" s="91"/>
      <c r="X9" s="91" t="str">
        <f>PT.anaer_lagoon!B311</f>
        <v>K2O removed, lagoon</v>
      </c>
      <c r="Y9" s="91"/>
      <c r="Z9" s="1379">
        <f>PT.anaer_lagoon!AR311</f>
        <v>8.5248891893440497</v>
      </c>
      <c r="AA9" s="1465" t="str">
        <f>PT.anaer_lagoon!F311</f>
        <v>g/L</v>
      </c>
    </row>
    <row r="10" spans="1:27" x14ac:dyDescent="0.3">
      <c r="A10" s="1945"/>
      <c r="B10" s="1577" t="s">
        <v>6163</v>
      </c>
      <c r="C10" s="1811">
        <f>C72</f>
        <v>4.8550982191333514</v>
      </c>
      <c r="D10" s="1806" t="s">
        <v>2385</v>
      </c>
      <c r="E10" s="1945"/>
      <c r="F10" s="1611"/>
      <c r="G10" s="1850"/>
      <c r="H10" s="1945"/>
      <c r="I10" s="1945"/>
      <c r="J10" s="1953"/>
      <c r="K10" s="1953"/>
      <c r="L10" s="1953"/>
      <c r="M10" s="1953"/>
      <c r="N10" s="1945"/>
      <c r="O10" s="1945"/>
      <c r="P10" s="2071"/>
      <c r="Q10" s="654"/>
      <c r="R10" s="1439" t="str">
        <f>PT.shallow_scrape!B97</f>
        <v>Size of motor(s) needed for pump(s)</v>
      </c>
      <c r="S10" s="91"/>
      <c r="T10" s="1439">
        <f>PT.shallow_scrape!G97</f>
        <v>4.9783549783549788</v>
      </c>
      <c r="U10" s="1465" t="str">
        <f>PT.shallow_scrape!C97</f>
        <v>hp/pump</v>
      </c>
      <c r="V10" s="90"/>
      <c r="W10" s="91"/>
      <c r="X10" s="91" t="str">
        <f>PT.anaer_lagoon!B312</f>
        <v>Tanker, size</v>
      </c>
      <c r="Y10" s="91"/>
      <c r="Z10" s="1379">
        <f>PT.anaer_lagoon!AR312</f>
        <v>6000</v>
      </c>
      <c r="AA10" s="1465" t="str">
        <f>PT.anaer_lagoon!F312</f>
        <v>gal</v>
      </c>
    </row>
    <row r="11" spans="1:27" x14ac:dyDescent="0.3">
      <c r="A11" s="1945"/>
      <c r="B11" s="1577" t="s">
        <v>6164</v>
      </c>
      <c r="C11" s="1811">
        <f>C73</f>
        <v>2.3749116462500002</v>
      </c>
      <c r="D11" s="1806" t="s">
        <v>2385</v>
      </c>
      <c r="E11" s="1945"/>
      <c r="F11" s="1611"/>
      <c r="G11" s="1850"/>
      <c r="H11" s="1945"/>
      <c r="I11" s="1947"/>
      <c r="J11" s="1954"/>
      <c r="K11" s="1955"/>
      <c r="L11" s="1955"/>
      <c r="M11" s="1955"/>
      <c r="N11" s="1955"/>
      <c r="O11" s="1914"/>
      <c r="P11" s="1945"/>
      <c r="Q11" s="91"/>
      <c r="R11" s="1439" t="str">
        <f>PT.shallow_scrape!B98</f>
        <v>Number of pumps needed from pond/lagoon</v>
      </c>
      <c r="S11" s="91"/>
      <c r="T11" s="1439">
        <f>PT.shallow_scrape!G98</f>
        <v>0</v>
      </c>
      <c r="U11" s="1465" t="str">
        <f>PT.shallow_scrape!C98</f>
        <v>pumps</v>
      </c>
      <c r="V11" s="90"/>
      <c r="W11" s="91"/>
      <c r="X11" s="91" t="str">
        <f>PT.anaer_lagoon!B313</f>
        <v>Tractor for tanker, size</v>
      </c>
      <c r="Y11" s="91"/>
      <c r="Z11" s="1379">
        <f>PT.anaer_lagoon!AR313</f>
        <v>250</v>
      </c>
      <c r="AA11" s="1465" t="str">
        <f>PT.anaer_lagoon!F313</f>
        <v>PTO hp</v>
      </c>
    </row>
    <row r="12" spans="1:27" x14ac:dyDescent="0.3">
      <c r="A12" s="1945"/>
      <c r="B12" s="1577" t="s">
        <v>6165</v>
      </c>
      <c r="C12" s="1811">
        <f>C74</f>
        <v>3.8862380375000001</v>
      </c>
      <c r="D12" s="1806" t="s">
        <v>2385</v>
      </c>
      <c r="E12" s="1945"/>
      <c r="F12" s="1611"/>
      <c r="G12" s="1850"/>
      <c r="H12" s="1945"/>
      <c r="I12" s="1947"/>
      <c r="J12" s="1955"/>
      <c r="K12" s="1956"/>
      <c r="L12" s="1954"/>
      <c r="M12" s="1945"/>
      <c r="N12" s="1945"/>
      <c r="O12" s="1945"/>
      <c r="P12" s="1945"/>
      <c r="R12" s="1439" t="str">
        <f>PT.shallow_scrape!B99</f>
        <v>Operational time for pump/motor</v>
      </c>
      <c r="S12" s="91"/>
      <c r="T12" s="1439">
        <f>PT.shallow_scrape!G99</f>
        <v>0</v>
      </c>
      <c r="U12" s="1465" t="str">
        <f>PT.shallow_scrape!C99</f>
        <v>hr/day/pump</v>
      </c>
      <c r="V12" s="90"/>
      <c r="W12" s="91"/>
      <c r="X12" s="91" t="str">
        <f>PT.anaer_lagoon!B314</f>
        <v>Application by broadcast or injection?</v>
      </c>
      <c r="Y12" s="91"/>
      <c r="Z12" s="1379" t="str">
        <f>PT.anaer_lagoon!AR314</f>
        <v>Injection</v>
      </c>
      <c r="AA12" s="1465" t="str">
        <f>PT.anaer_lagoon!F314</f>
        <v>type</v>
      </c>
    </row>
    <row r="13" spans="1:27" x14ac:dyDescent="0.3">
      <c r="A13" s="1945"/>
      <c r="B13" s="1810" t="s">
        <v>6930</v>
      </c>
      <c r="C13" s="1811"/>
      <c r="D13" s="1806"/>
      <c r="E13" s="1945"/>
      <c r="F13" s="1611"/>
      <c r="G13" s="1850"/>
      <c r="H13" s="1945"/>
      <c r="I13" s="1947"/>
      <c r="J13" s="1957"/>
      <c r="K13" s="1954"/>
      <c r="L13" s="2037"/>
      <c r="M13" s="1957"/>
      <c r="N13" s="1933"/>
      <c r="O13" s="1945"/>
      <c r="P13" s="1945"/>
      <c r="R13" s="1439" t="str">
        <f>PT.shallow_scrape!B100</f>
        <v>Energy needed for motor(s) for pump(s)</v>
      </c>
      <c r="S13" s="91"/>
      <c r="T13" s="1439">
        <f>PT.shallow_scrape!G100</f>
        <v>0</v>
      </c>
      <c r="U13" s="1465" t="str">
        <f>PT.shallow_scrape!C100</f>
        <v>kWh/day</v>
      </c>
      <c r="V13" s="90"/>
      <c r="W13" s="91"/>
      <c r="X13" s="91" t="str">
        <f>PT.anaer_lagoon!B315</f>
        <v>Operation time for tractor with tanker</v>
      </c>
      <c r="Y13" s="91"/>
      <c r="Z13" s="1379">
        <f>PT.anaer_lagoon!AR315</f>
        <v>20.652063097678251</v>
      </c>
      <c r="AA13" s="1465" t="str">
        <f>PT.anaer_lagoon!F315</f>
        <v>hrs/event</v>
      </c>
    </row>
    <row r="14" spans="1:27" x14ac:dyDescent="0.3">
      <c r="A14" s="1947"/>
      <c r="B14" s="1577" t="s">
        <v>6163</v>
      </c>
      <c r="C14" s="1811">
        <f>C76</f>
        <v>1.2137745547833374</v>
      </c>
      <c r="D14" s="1806" t="s">
        <v>2385</v>
      </c>
      <c r="E14" s="1945"/>
      <c r="F14" s="1611"/>
      <c r="G14" s="1850"/>
      <c r="H14" s="1945"/>
      <c r="I14" s="1947"/>
      <c r="J14" s="1954"/>
      <c r="K14" s="1954"/>
      <c r="L14" s="1959"/>
      <c r="M14" s="1959"/>
      <c r="N14" s="1947"/>
      <c r="O14" s="1945"/>
      <c r="P14" s="1945"/>
      <c r="R14" s="1439" t="str">
        <f>PT.shallow_scrape!B101</f>
        <v>Distance from pump to barns</v>
      </c>
      <c r="S14" s="91"/>
      <c r="T14" s="1439">
        <f>PT.shallow_scrape!G101</f>
        <v>800</v>
      </c>
      <c r="U14" s="1465" t="str">
        <f>PT.shallow_scrape!C101</f>
        <v>ft</v>
      </c>
      <c r="V14" s="90"/>
      <c r="W14" s="91"/>
      <c r="X14" s="91" t="str">
        <f>PT.anaer_lagoon!B316</f>
        <v>Fuel needed for tractor with tank and applicator</v>
      </c>
      <c r="Y14" s="91"/>
      <c r="Z14" s="1379">
        <f>PT.anaer_lagoon!AR316</f>
        <v>227.17269407446076</v>
      </c>
      <c r="AA14" s="1465" t="str">
        <f>PT.anaer_lagoon!F316</f>
        <v>gal/event</v>
      </c>
    </row>
    <row r="15" spans="1:27" x14ac:dyDescent="0.3">
      <c r="A15" s="1947"/>
      <c r="B15" s="1577" t="s">
        <v>6164</v>
      </c>
      <c r="C15" s="1811">
        <f>C77</f>
        <v>1.9431095287499998</v>
      </c>
      <c r="D15" s="1806" t="s">
        <v>2385</v>
      </c>
      <c r="E15" s="1945"/>
      <c r="F15" s="1611"/>
      <c r="G15" s="1611"/>
      <c r="H15" s="1945"/>
      <c r="I15" s="1947"/>
      <c r="J15" s="1954"/>
      <c r="K15" s="1954"/>
      <c r="L15" s="1959"/>
      <c r="M15" s="1959"/>
      <c r="N15" s="1947"/>
      <c r="O15" s="1945"/>
      <c r="P15" s="1945"/>
      <c r="R15" s="1439" t="str">
        <f>PT.shallow_scrape!B102</f>
        <v>Number of scrapes, auto</v>
      </c>
      <c r="S15" s="91"/>
      <c r="T15" s="1439">
        <f>PT.shallow_scrape!G102</f>
        <v>12</v>
      </c>
      <c r="U15" s="1465" t="str">
        <f>PT.shallow_scrape!C102</f>
        <v>quantity/day</v>
      </c>
      <c r="V15" s="90"/>
      <c r="W15" s="91"/>
      <c r="X15" s="91" t="str">
        <f>PT.anaer_lagoon!B317</f>
        <v>Number of tractors with tanker needed</v>
      </c>
      <c r="Y15" s="91"/>
      <c r="Z15" s="1379">
        <f>PT.anaer_lagoon!AR317</f>
        <v>1</v>
      </c>
      <c r="AA15" s="1465" t="str">
        <f>PT.anaer_lagoon!F317</f>
        <v>quantity</v>
      </c>
    </row>
    <row r="16" spans="1:27" x14ac:dyDescent="0.3">
      <c r="A16" s="1947"/>
      <c r="B16" s="1577" t="s">
        <v>6165</v>
      </c>
      <c r="C16" s="1811">
        <f>C78</f>
        <v>2.0925897124999997</v>
      </c>
      <c r="D16" s="1806" t="s">
        <v>2385</v>
      </c>
      <c r="E16" s="1611"/>
      <c r="F16" s="1611"/>
      <c r="G16" s="1948"/>
      <c r="H16" s="1945"/>
      <c r="I16" s="1947"/>
      <c r="J16" s="1955"/>
      <c r="K16" s="1954"/>
      <c r="L16" s="1959"/>
      <c r="M16" s="1959"/>
      <c r="N16" s="1947"/>
      <c r="O16" s="1945"/>
      <c r="P16" s="1945"/>
      <c r="R16" s="1439" t="str">
        <f>PT.shallow_scrape!B103</f>
        <v>Alley length, total</v>
      </c>
      <c r="S16" s="91"/>
      <c r="T16" s="1439">
        <f>PT.shallow_scrape!G103</f>
        <v>115</v>
      </c>
      <c r="U16" s="1465" t="str">
        <f>PT.shallow_scrape!C103</f>
        <v>m</v>
      </c>
      <c r="V16" s="90"/>
      <c r="W16" s="91"/>
      <c r="X16" s="91" t="str">
        <f>PT.anaer_lagoon!B318</f>
        <v>Tractor for agitator, size</v>
      </c>
      <c r="Y16" s="91"/>
      <c r="Z16" s="1379">
        <f>PT.anaer_lagoon!AR318</f>
        <v>160</v>
      </c>
      <c r="AA16" s="1465" t="str">
        <f>PT.anaer_lagoon!F318</f>
        <v>PTO hp</v>
      </c>
    </row>
    <row r="17" spans="1:27" x14ac:dyDescent="0.3">
      <c r="A17" s="1945"/>
      <c r="B17" s="1808" t="s">
        <v>5271</v>
      </c>
      <c r="C17" s="1809"/>
      <c r="D17" s="1806"/>
      <c r="E17" s="1945"/>
      <c r="F17" s="1611"/>
      <c r="G17" s="1946"/>
      <c r="H17" s="1945"/>
      <c r="I17" s="1945"/>
      <c r="J17" s="1955"/>
      <c r="K17" s="1954"/>
      <c r="L17" s="1958"/>
      <c r="M17" s="1959"/>
      <c r="N17" s="1947"/>
      <c r="O17" s="1945"/>
      <c r="P17" s="1949"/>
      <c r="R17" s="1439" t="str">
        <f>PT.shallow_scrape!B104</f>
        <v>Auto alley system number of drive units/motors</v>
      </c>
      <c r="S17" s="91"/>
      <c r="T17" s="1439">
        <f>PT.shallow_scrape!G104</f>
        <v>2</v>
      </c>
      <c r="U17" s="1465" t="str">
        <f>PT.shallow_scrape!C104</f>
        <v>quantity</v>
      </c>
      <c r="V17" s="90"/>
      <c r="W17" s="91"/>
      <c r="X17" s="91" t="str">
        <f>PT.anaer_lagoon!B319</f>
        <v>Number of tractors for agitating needed</v>
      </c>
      <c r="Y17" s="91"/>
      <c r="Z17" s="1379">
        <f>PT.anaer_lagoon!AR319</f>
        <v>1</v>
      </c>
      <c r="AA17" s="1465" t="str">
        <f>PT.anaer_lagoon!F319</f>
        <v>quantity</v>
      </c>
    </row>
    <row r="18" spans="1:27" ht="15.6" x14ac:dyDescent="0.3">
      <c r="A18" s="1945"/>
      <c r="B18" s="1577" t="s">
        <v>6782</v>
      </c>
      <c r="C18" s="1812">
        <f>C96+C100+C104</f>
        <v>26.038722902465697</v>
      </c>
      <c r="D18" s="1806" t="s">
        <v>2385</v>
      </c>
      <c r="E18" s="1945"/>
      <c r="F18" s="1611"/>
      <c r="G18" s="1946"/>
      <c r="H18" s="1945"/>
      <c r="I18" s="1945"/>
      <c r="J18" s="1955"/>
      <c r="K18" s="1954"/>
      <c r="L18" s="1958"/>
      <c r="M18" s="1959"/>
      <c r="N18" s="1947"/>
      <c r="O18" s="1945"/>
      <c r="P18" s="1949"/>
      <c r="R18" s="1439" t="str">
        <f>PT.shallow_scrape!B105</f>
        <v>Number of scraper blades, auto</v>
      </c>
      <c r="S18" s="91"/>
      <c r="T18" s="1439">
        <f>PT.shallow_scrape!G105</f>
        <v>2</v>
      </c>
      <c r="U18" s="1465" t="str">
        <f>PT.shallow_scrape!C105</f>
        <v>quantity</v>
      </c>
      <c r="V18" s="90"/>
      <c r="W18" s="91"/>
      <c r="X18" s="91" t="str">
        <f>PT.anaer_lagoon!B320</f>
        <v>Operation time for tractor agitating</v>
      </c>
      <c r="Y18" s="91"/>
      <c r="Z18" s="1379">
        <f>PT.anaer_lagoon!AR320</f>
        <v>25.815078872097814</v>
      </c>
      <c r="AA18" s="1465" t="str">
        <f>PT.anaer_lagoon!F320</f>
        <v>hr/year</v>
      </c>
    </row>
    <row r="19" spans="1:27" ht="15.6" x14ac:dyDescent="0.3">
      <c r="A19" s="1947"/>
      <c r="B19" s="1577" t="s">
        <v>6783</v>
      </c>
      <c r="C19" s="1812">
        <f>C98+C102+C106</f>
        <v>0.10733450979446343</v>
      </c>
      <c r="D19" s="1806" t="s">
        <v>2385</v>
      </c>
      <c r="E19" s="1611"/>
      <c r="F19" s="1935"/>
      <c r="G19" s="1945"/>
      <c r="H19" s="1945"/>
      <c r="I19" s="1945"/>
      <c r="J19" s="1955"/>
      <c r="K19" s="1954"/>
      <c r="L19" s="1954"/>
      <c r="M19" s="1959"/>
      <c r="N19" s="1947"/>
      <c r="O19" s="1945"/>
      <c r="P19" s="1945"/>
      <c r="R19" s="1439" t="str">
        <f>PT.shallow_scrape!B106</f>
        <v>Auto alley system operation time</v>
      </c>
      <c r="S19" s="91"/>
      <c r="T19" s="1439">
        <f>PT.shallow_scrape!G106</f>
        <v>10.952380952380953</v>
      </c>
      <c r="U19" s="1465" t="str">
        <f>PT.shallow_scrape!C106</f>
        <v>hr/day</v>
      </c>
      <c r="V19" s="90"/>
      <c r="W19" s="2034"/>
      <c r="X19" s="91" t="str">
        <f>PT.anaer_lagoon!B321</f>
        <v>Fuel needed for tractor for agitating</v>
      </c>
      <c r="Y19" s="91"/>
      <c r="Z19" s="1379">
        <f>PT.anaer_lagoon!AR321</f>
        <v>181.7381552595686</v>
      </c>
      <c r="AA19" s="1465" t="str">
        <f>PT.anaer_lagoon!F321</f>
        <v>gal/event</v>
      </c>
    </row>
    <row r="20" spans="1:27" ht="15.6" x14ac:dyDescent="0.3">
      <c r="A20" s="1947"/>
      <c r="B20" s="1577" t="s">
        <v>6784</v>
      </c>
      <c r="C20" s="1812">
        <f>C99+C103+C107</f>
        <v>0.24706507448311554</v>
      </c>
      <c r="D20" s="1806" t="s">
        <v>2385</v>
      </c>
      <c r="E20" s="1944"/>
      <c r="F20" s="1944"/>
      <c r="G20" s="1944"/>
      <c r="H20" s="1944"/>
      <c r="I20" s="1945"/>
      <c r="J20" s="1954"/>
      <c r="K20" s="1954"/>
      <c r="L20" s="1954"/>
      <c r="M20" s="1959"/>
      <c r="N20" s="1947"/>
      <c r="O20" s="1945"/>
      <c r="P20" s="1949"/>
      <c r="R20" s="1439" t="str">
        <f>PT.shallow_scrape!B107</f>
        <v>Auto alley system total electricity</v>
      </c>
      <c r="S20" s="91"/>
      <c r="T20" s="1439">
        <f>PT.shallow_scrape!G107</f>
        <v>12.250783578571429</v>
      </c>
      <c r="U20" s="1465" t="str">
        <f>PT.shallow_scrape!C107</f>
        <v>kWh/day</v>
      </c>
      <c r="V20" s="90"/>
      <c r="W20" s="91"/>
      <c r="X20" s="91" t="str">
        <f>PT.anaer_lagoon!B322</f>
        <v>Number of tractors for pumping needed</v>
      </c>
      <c r="Y20" s="91"/>
      <c r="Z20" s="1379">
        <f>PT.anaer_lagoon!AR322</f>
        <v>1</v>
      </c>
      <c r="AA20" s="1465" t="str">
        <f>PT.anaer_lagoon!F322</f>
        <v>quantity</v>
      </c>
    </row>
    <row r="21" spans="1:27" ht="15.6" x14ac:dyDescent="0.3">
      <c r="A21" s="1945"/>
      <c r="B21" s="1577" t="s">
        <v>6785</v>
      </c>
      <c r="C21" s="1812">
        <f>C97+C101+C105</f>
        <v>11.230434848047944</v>
      </c>
      <c r="D21" s="1806" t="s">
        <v>2385</v>
      </c>
      <c r="E21" s="1944"/>
      <c r="F21" s="1944"/>
      <c r="G21" s="1944"/>
      <c r="H21" s="1944"/>
      <c r="I21" s="1945"/>
      <c r="J21" s="1954"/>
      <c r="K21" s="1954"/>
      <c r="L21" s="1954"/>
      <c r="M21" s="1959"/>
      <c r="N21" s="1947"/>
      <c r="O21" s="1945"/>
      <c r="P21" s="1945"/>
      <c r="R21" s="1439"/>
      <c r="S21" s="91"/>
      <c r="T21" s="1439"/>
      <c r="U21" s="1465"/>
      <c r="V21" s="90"/>
      <c r="W21" s="91"/>
      <c r="X21" s="91" t="str">
        <f>PT.anaer_lagoon!B323</f>
        <v>Tractor for pumping, size</v>
      </c>
      <c r="Y21" s="91"/>
      <c r="Z21" s="1379">
        <f>PT.anaer_lagoon!AR323</f>
        <v>180</v>
      </c>
      <c r="AA21" s="1465" t="str">
        <f>PT.anaer_lagoon!F323</f>
        <v>PTO hp</v>
      </c>
    </row>
    <row r="22" spans="1:27" x14ac:dyDescent="0.3">
      <c r="A22" s="1945"/>
      <c r="B22" s="90"/>
      <c r="C22" s="1848"/>
      <c r="D22" s="66"/>
      <c r="E22" s="1960"/>
      <c r="F22" s="1936"/>
      <c r="G22" s="1943"/>
      <c r="H22" s="1945"/>
      <c r="I22" s="1947"/>
      <c r="J22" s="1955"/>
      <c r="K22" s="1954"/>
      <c r="L22" s="1954"/>
      <c r="M22" s="1959"/>
      <c r="N22" s="1947"/>
      <c r="O22" s="1945"/>
      <c r="P22" s="1945"/>
      <c r="R22" s="1439"/>
      <c r="S22" s="91"/>
      <c r="T22" s="1439"/>
      <c r="U22" s="1465"/>
      <c r="V22" s="90"/>
      <c r="W22" s="91"/>
      <c r="X22" s="91" t="str">
        <f>PT.anaer_lagoon!B324</f>
        <v>Operation time for tractor pumping</v>
      </c>
      <c r="Y22" s="91"/>
      <c r="Z22" s="1379">
        <f>PT.anaer_lagoon!AR324</f>
        <v>2.7019105765240186</v>
      </c>
      <c r="AA22" s="1465" t="str">
        <f>PT.anaer_lagoon!F324</f>
        <v>hr/event</v>
      </c>
    </row>
    <row r="23" spans="1:27" x14ac:dyDescent="0.3">
      <c r="A23" s="1945"/>
      <c r="B23" s="90"/>
      <c r="C23" s="1848"/>
      <c r="D23" s="66"/>
      <c r="E23" s="1611"/>
      <c r="F23" s="1935"/>
      <c r="G23" s="1945"/>
      <c r="H23" s="1945"/>
      <c r="I23" s="1945"/>
      <c r="J23" s="1955"/>
      <c r="K23" s="1954"/>
      <c r="L23" s="1958"/>
      <c r="M23" s="1959"/>
      <c r="N23" s="1947"/>
      <c r="O23" s="1945"/>
      <c r="P23" s="1945"/>
      <c r="R23" s="1439"/>
      <c r="S23" s="91"/>
      <c r="T23" s="1439"/>
      <c r="U23" s="1465"/>
      <c r="V23" s="90"/>
      <c r="W23" s="91"/>
      <c r="X23" s="91" t="str">
        <f>PT.anaer_lagoon!B325</f>
        <v>Fuel needed for tractor for pumping</v>
      </c>
      <c r="Y23" s="91"/>
      <c r="Z23" s="1379">
        <f>PT.anaer_lagoon!AR325</f>
        <v>21.399131766070226</v>
      </c>
      <c r="AA23" s="1465" t="str">
        <f>PT.anaer_lagoon!F325</f>
        <v>gal/event</v>
      </c>
    </row>
    <row r="24" spans="1:27" x14ac:dyDescent="0.3">
      <c r="A24" s="1945"/>
      <c r="B24" s="1668" t="s">
        <v>6931</v>
      </c>
      <c r="C24" s="1680"/>
      <c r="D24" s="1815"/>
      <c r="E24" s="1944"/>
      <c r="F24" s="1944"/>
      <c r="G24" s="1944"/>
      <c r="H24" s="1944"/>
      <c r="I24" s="2073"/>
      <c r="J24" s="1954"/>
      <c r="K24" s="1954"/>
      <c r="L24" s="1959"/>
      <c r="M24" s="1959"/>
      <c r="N24" s="1947"/>
      <c r="O24" s="1945"/>
      <c r="P24" s="1945"/>
      <c r="R24" s="1439"/>
      <c r="S24" s="91"/>
      <c r="T24" s="1439"/>
      <c r="U24" s="1465"/>
      <c r="V24" s="90"/>
      <c r="W24" s="91"/>
      <c r="X24" s="91" t="str">
        <f>PT.anaer_lagoon!B326</f>
        <v>Size of tractor for pulling hose reel and applicator toolbar</v>
      </c>
      <c r="Y24" s="91"/>
      <c r="Z24" s="1379">
        <f>PT.anaer_lagoon!AR326</f>
        <v>580</v>
      </c>
      <c r="AA24" s="1465" t="str">
        <f>PT.anaer_lagoon!F326</f>
        <v>PTO hp</v>
      </c>
    </row>
    <row r="25" spans="1:27" x14ac:dyDescent="0.3">
      <c r="A25" s="1945"/>
      <c r="B25" s="510" t="s">
        <v>6932</v>
      </c>
      <c r="C25" s="1378">
        <v>0.21</v>
      </c>
      <c r="D25" s="510" t="s">
        <v>1694</v>
      </c>
      <c r="E25" s="1944"/>
      <c r="F25" s="1944"/>
      <c r="G25" s="1944"/>
      <c r="H25" s="1944"/>
      <c r="I25" s="2073"/>
      <c r="J25" s="1954"/>
      <c r="K25" s="1954"/>
      <c r="L25" s="1959"/>
      <c r="M25" s="1959"/>
      <c r="N25" s="1947"/>
      <c r="O25" s="1945"/>
      <c r="P25" s="1945"/>
      <c r="R25" s="1439"/>
      <c r="S25" s="91"/>
      <c r="T25" s="1439"/>
      <c r="U25" s="1465"/>
      <c r="V25" s="90"/>
      <c r="W25" s="91"/>
      <c r="X25" s="91" t="str">
        <f>PT.anaer_lagoon!B327</f>
        <v>Number of tractors for pulling hose reel and applicator</v>
      </c>
      <c r="Y25" s="91"/>
      <c r="Z25" s="1379">
        <f>PT.anaer_lagoon!AR327</f>
        <v>1</v>
      </c>
      <c r="AA25" s="1465" t="str">
        <f>PT.anaer_lagoon!F327</f>
        <v>quantity</v>
      </c>
    </row>
    <row r="26" spans="1:27" x14ac:dyDescent="0.3">
      <c r="A26" s="1945"/>
      <c r="B26" s="1813" t="s">
        <v>6933</v>
      </c>
      <c r="C26" s="1414">
        <v>2.1428571399999998</v>
      </c>
      <c r="D26" s="510" t="s">
        <v>6934</v>
      </c>
      <c r="E26" s="1960"/>
      <c r="F26" s="1936"/>
      <c r="G26" s="1946"/>
      <c r="H26" s="1945"/>
      <c r="I26" s="2073"/>
      <c r="J26" s="1954"/>
      <c r="K26" s="1954"/>
      <c r="L26" s="1959"/>
      <c r="M26" s="1959"/>
      <c r="N26" s="1947"/>
      <c r="O26" s="1945"/>
      <c r="P26" s="1945"/>
      <c r="R26" s="1439"/>
      <c r="S26" s="91"/>
      <c r="T26" s="1439"/>
      <c r="U26" s="1465"/>
      <c r="V26" s="90"/>
      <c r="W26" s="91"/>
      <c r="X26" s="91" t="str">
        <f>PT.anaer_lagoon!B328</f>
        <v>Size of tractor for support with hose pulley</v>
      </c>
      <c r="Y26" s="91"/>
      <c r="Z26" s="1379">
        <f>PT.anaer_lagoon!AR328</f>
        <v>340</v>
      </c>
      <c r="AA26" s="1465" t="str">
        <f>PT.anaer_lagoon!F328</f>
        <v>PTO hp</v>
      </c>
    </row>
    <row r="27" spans="1:27" x14ac:dyDescent="0.3">
      <c r="A27" s="1945"/>
      <c r="B27" s="91" t="s">
        <v>6935</v>
      </c>
      <c r="C27" s="1403">
        <f>(C19+C20)*(28/44)</f>
        <v>0.22552700817664117</v>
      </c>
      <c r="D27" s="510" t="s">
        <v>2358</v>
      </c>
      <c r="E27" s="1611"/>
      <c r="F27" s="1935"/>
      <c r="G27" s="1945"/>
      <c r="H27" s="1945"/>
      <c r="I27" s="1945"/>
      <c r="J27" s="1955"/>
      <c r="K27" s="1954"/>
      <c r="L27" s="1959"/>
      <c r="M27" s="1959"/>
      <c r="N27" s="1947"/>
      <c r="O27" s="1945"/>
      <c r="P27" s="1945"/>
      <c r="R27" s="1439"/>
      <c r="S27" s="91"/>
      <c r="T27" s="1439"/>
      <c r="U27" s="1465"/>
      <c r="V27" s="90"/>
      <c r="W27" s="91"/>
      <c r="X27" s="91" t="str">
        <f>PT.anaer_lagoon!B329</f>
        <v>Distance from storage to field</v>
      </c>
      <c r="Y27" s="91"/>
      <c r="Z27" s="1379">
        <f>PT.anaer_lagoon!AR329</f>
        <v>2</v>
      </c>
      <c r="AA27" s="1465" t="str">
        <f>PT.anaer_lagoon!F329</f>
        <v>miles</v>
      </c>
    </row>
    <row r="28" spans="1:27" x14ac:dyDescent="0.3">
      <c r="A28" s="1945"/>
      <c r="B28" s="91" t="s">
        <v>6936</v>
      </c>
      <c r="C28" s="1380">
        <f>C21*(14/17)</f>
        <v>9.2485934042747768</v>
      </c>
      <c r="D28" s="510" t="s">
        <v>2358</v>
      </c>
      <c r="E28" s="1944"/>
      <c r="F28" s="1944"/>
      <c r="G28" s="1944"/>
      <c r="H28" s="1944"/>
      <c r="I28" s="1934"/>
      <c r="J28" s="1954"/>
      <c r="K28" s="1954"/>
      <c r="L28" s="1959"/>
      <c r="M28" s="1959"/>
      <c r="N28" s="1947"/>
      <c r="O28" s="1945"/>
      <c r="P28" s="1945"/>
      <c r="R28" s="1439"/>
      <c r="S28" s="91"/>
      <c r="T28" s="1439"/>
      <c r="U28" s="1465"/>
      <c r="V28" s="90"/>
      <c r="W28" s="91"/>
      <c r="X28" s="91" t="str">
        <f>PT.anaer_lagoon!B330</f>
        <v>Application by broadcast or injection?</v>
      </c>
      <c r="Y28" s="91"/>
      <c r="Z28" s="1379" t="str">
        <f>PT.anaer_lagoon!AR330</f>
        <v>Injection</v>
      </c>
      <c r="AA28" s="1465" t="str">
        <f>PT.anaer_lagoon!F330</f>
        <v>type</v>
      </c>
    </row>
    <row r="29" spans="1:27" x14ac:dyDescent="0.3">
      <c r="A29" s="1945"/>
      <c r="B29" s="91" t="s">
        <v>6937</v>
      </c>
      <c r="C29" s="1404">
        <f>C25*C27*(44/28)/C26</f>
        <v>3.4731159305510954E-2</v>
      </c>
      <c r="D29" s="510" t="s">
        <v>2358</v>
      </c>
      <c r="E29" s="1944"/>
      <c r="F29" s="1944"/>
      <c r="G29" s="1944"/>
      <c r="H29" s="1944"/>
      <c r="I29" s="1934"/>
      <c r="J29" s="1954"/>
      <c r="K29" s="1954"/>
      <c r="L29" s="1959"/>
      <c r="M29" s="1959"/>
      <c r="N29" s="1947"/>
      <c r="O29" s="1945"/>
      <c r="P29" s="1945"/>
      <c r="R29" s="1439"/>
      <c r="S29" s="91"/>
      <c r="T29" s="1439"/>
      <c r="U29" s="1465"/>
      <c r="V29" s="90"/>
      <c r="W29" s="91"/>
      <c r="X29" s="91" t="str">
        <f>PT.anaer_lagoon!B331</f>
        <v>Fuel needed for tractor for pulling hose reel and applicator</v>
      </c>
      <c r="Y29" s="91"/>
      <c r="Z29" s="1379">
        <f>PT.anaer_lagoon!AR331</f>
        <v>25.52</v>
      </c>
      <c r="AA29" s="1465" t="str">
        <f>PT.anaer_lagoon!F331</f>
        <v>gal/hr</v>
      </c>
    </row>
    <row r="30" spans="1:27" x14ac:dyDescent="0.3">
      <c r="A30" s="1945"/>
      <c r="B30" s="2024"/>
      <c r="C30" s="1390"/>
      <c r="D30" s="1352"/>
      <c r="E30" s="1611"/>
      <c r="F30" s="1935"/>
      <c r="G30" s="1946"/>
      <c r="H30" s="1945"/>
      <c r="I30" s="1934"/>
      <c r="J30" s="1954"/>
      <c r="K30" s="1954"/>
      <c r="L30" s="1959"/>
      <c r="M30" s="1959"/>
      <c r="N30" s="1947"/>
      <c r="O30" s="1945"/>
      <c r="P30" s="1945"/>
      <c r="R30" s="1439"/>
      <c r="S30" s="91"/>
      <c r="T30" s="1439"/>
      <c r="U30" s="1465"/>
      <c r="V30" s="90"/>
      <c r="W30" s="91"/>
      <c r="X30" s="91" t="str">
        <f>PT.anaer_lagoon!B332</f>
        <v>Fuel needed for support tractor with hose pulley</v>
      </c>
      <c r="Y30" s="91"/>
      <c r="Z30" s="1379">
        <f>PT.anaer_lagoon!AR332</f>
        <v>14.959999999999999</v>
      </c>
      <c r="AA30" s="1465" t="str">
        <f>PT.anaer_lagoon!F332</f>
        <v>gal/hr</v>
      </c>
    </row>
    <row r="31" spans="1:27" x14ac:dyDescent="0.3">
      <c r="A31" s="1945"/>
      <c r="B31" s="1352"/>
      <c r="C31" s="1390"/>
      <c r="D31" s="1352"/>
      <c r="E31" s="1611"/>
      <c r="F31" s="1935"/>
      <c r="G31" s="1946"/>
      <c r="H31" s="1945"/>
      <c r="I31" s="1945"/>
      <c r="J31" s="1955"/>
      <c r="K31" s="1954"/>
      <c r="L31" s="1954"/>
      <c r="M31" s="1959"/>
      <c r="N31" s="1947"/>
      <c r="O31" s="1945"/>
      <c r="P31" s="1945"/>
      <c r="R31" s="1439"/>
      <c r="S31" s="91"/>
      <c r="T31" s="1439"/>
      <c r="U31" s="1465"/>
      <c r="V31" s="90"/>
      <c r="W31" s="91"/>
      <c r="X31" s="91" t="str">
        <f>PT.anaer_lagoon!B333</f>
        <v>Diesel powered pump(s), size</v>
      </c>
      <c r="Y31" s="91"/>
      <c r="Z31" s="1379">
        <f>PT.anaer_lagoon!AR333</f>
        <v>3000</v>
      </c>
      <c r="AA31" s="1465" t="str">
        <f>PT.anaer_lagoon!F333</f>
        <v>gal/min</v>
      </c>
    </row>
    <row r="32" spans="1:27" x14ac:dyDescent="0.3">
      <c r="A32" s="1945"/>
      <c r="B32" s="91"/>
      <c r="C32" s="1384"/>
      <c r="D32" s="52"/>
      <c r="E32" s="1960"/>
      <c r="F32" s="1935"/>
      <c r="G32" s="1945"/>
      <c r="H32" s="1945"/>
      <c r="I32" s="1945"/>
      <c r="J32" s="1955"/>
      <c r="K32" s="1954"/>
      <c r="L32" s="1959"/>
      <c r="M32" s="1959"/>
      <c r="N32" s="1947"/>
      <c r="O32" s="1945"/>
      <c r="P32" s="1945"/>
      <c r="Q32" s="91" t="s">
        <v>5219</v>
      </c>
      <c r="R32" s="1439" t="str">
        <f>PT.reception_pit!B26</f>
        <v>Reception pit constructed size</v>
      </c>
      <c r="S32" s="91"/>
      <c r="T32" s="1439">
        <f>PT.reception_pit!O26</f>
        <v>2893.7344524219843</v>
      </c>
      <c r="U32" s="1465" t="str">
        <f>PT.reception_pit!C26</f>
        <v>L</v>
      </c>
      <c r="V32" s="2035"/>
      <c r="W32" s="91"/>
      <c r="X32" s="91" t="str">
        <f>PT.anaer_lagoon!B334</f>
        <v>Number of diesel powered lead pumps needed</v>
      </c>
      <c r="Y32" s="91"/>
      <c r="Z32" s="1379">
        <f>PT.anaer_lagoon!AR334</f>
        <v>1</v>
      </c>
      <c r="AA32" s="1465" t="str">
        <f>PT.anaer_lagoon!F334</f>
        <v>quantity</v>
      </c>
    </row>
    <row r="33" spans="1:27" x14ac:dyDescent="0.3">
      <c r="A33" s="1945"/>
      <c r="B33" s="1668" t="s">
        <v>409</v>
      </c>
      <c r="C33" s="1680"/>
      <c r="D33" s="1815"/>
      <c r="E33" s="1611"/>
      <c r="F33" s="1935"/>
      <c r="G33" s="1945"/>
      <c r="H33" s="1945"/>
      <c r="I33" s="1945"/>
      <c r="J33" s="1955"/>
      <c r="K33" s="1954"/>
      <c r="L33" s="1959"/>
      <c r="M33" s="1959"/>
      <c r="N33" s="1947"/>
      <c r="O33" s="1945"/>
      <c r="P33" s="1945"/>
      <c r="Q33" s="91"/>
      <c r="R33" s="1439" t="str">
        <f>PT.reception_pit!B27</f>
        <v>Size of motor(s) for agi-pump(s)</v>
      </c>
      <c r="S33" s="91"/>
      <c r="T33" s="1439">
        <f>PT.reception_pit!O27</f>
        <v>15</v>
      </c>
      <c r="U33" s="1465" t="str">
        <f>PT.reception_pit!C27</f>
        <v>hp</v>
      </c>
      <c r="V33" s="90"/>
      <c r="W33" s="91"/>
      <c r="X33" s="91" t="str">
        <f>PT.anaer_lagoon!B335</f>
        <v>Number of diesel powered agitation trailers needed</v>
      </c>
      <c r="Y33" s="91"/>
      <c r="Z33" s="1379">
        <f>PT.anaer_lagoon!AR335</f>
        <v>1</v>
      </c>
      <c r="AA33" s="1465" t="str">
        <f>PT.anaer_lagoon!F335</f>
        <v>quantity</v>
      </c>
    </row>
    <row r="34" spans="1:27" x14ac:dyDescent="0.3">
      <c r="A34" s="1945"/>
      <c r="B34" s="91" t="str">
        <f>PT.reception_pit!B36</f>
        <v>Electricity used by reception pit pumps</v>
      </c>
      <c r="C34" s="1878">
        <f>PT.reception_pit!O36</f>
        <v>0.27742233217176548</v>
      </c>
      <c r="D34" s="91" t="str">
        <f>PT.reception_pit!C36</f>
        <v>kWh/head/year</v>
      </c>
      <c r="E34" s="1944"/>
      <c r="F34" s="1944"/>
      <c r="G34" s="1944"/>
      <c r="H34" s="1944"/>
      <c r="I34" s="1945"/>
      <c r="J34" s="1955"/>
      <c r="K34" s="1954"/>
      <c r="L34" s="1959"/>
      <c r="M34" s="1959"/>
      <c r="N34" s="1947"/>
      <c r="O34" s="1945"/>
      <c r="P34" s="1945"/>
      <c r="Q34" s="91"/>
      <c r="R34" s="1439" t="str">
        <f>PT.reception_pit!B28</f>
        <v>Number of agi-pumps needed</v>
      </c>
      <c r="S34" s="91"/>
      <c r="T34" s="1439">
        <f>PT.reception_pit!O28</f>
        <v>1</v>
      </c>
      <c r="U34" s="1465" t="str">
        <f>PT.reception_pit!C28</f>
        <v>pumps</v>
      </c>
      <c r="V34" s="90"/>
      <c r="W34" s="91"/>
      <c r="X34" s="91" t="str">
        <f>PT.anaer_lagoon!B336</f>
        <v>Number of booster pumps needed</v>
      </c>
      <c r="Y34" s="91"/>
      <c r="Z34" s="1379">
        <f>PT.anaer_lagoon!AR336</f>
        <v>1</v>
      </c>
      <c r="AA34" s="1465" t="str">
        <f>PT.anaer_lagoon!F336</f>
        <v>quantity</v>
      </c>
    </row>
    <row r="35" spans="1:27" x14ac:dyDescent="0.3">
      <c r="A35" s="1947"/>
      <c r="B35" s="1353" t="str">
        <f>PT.shallow_scrape!B117</f>
        <v>Electricity for pumping flush water into scrape system</v>
      </c>
      <c r="C35" s="1878">
        <f>PT.shallow_scrape!G117</f>
        <v>0</v>
      </c>
      <c r="D35" s="1353" t="str">
        <f>PT.shallow_scrape!C117</f>
        <v>kWh/head/year</v>
      </c>
      <c r="E35" s="1944"/>
      <c r="F35" s="1944"/>
      <c r="G35" s="1944"/>
      <c r="H35" s="1944"/>
      <c r="I35" s="1945"/>
      <c r="J35" s="1955"/>
      <c r="K35" s="1954"/>
      <c r="L35" s="1959"/>
      <c r="M35" s="1959"/>
      <c r="N35" s="1947"/>
      <c r="O35" s="1945"/>
      <c r="P35" s="1945"/>
      <c r="Q35" s="91"/>
      <c r="R35" s="1439" t="str">
        <f>PT.reception_pit!B29</f>
        <v>Energy needed for motor for agi-pump</v>
      </c>
      <c r="S35" s="91"/>
      <c r="T35" s="1439">
        <f>PT.reception_pit!O29</f>
        <v>0.38003059201611716</v>
      </c>
      <c r="U35" s="1465" t="str">
        <f>PT.reception_pit!C29</f>
        <v>kWh/day</v>
      </c>
      <c r="V35" s="90"/>
      <c r="W35" s="91"/>
      <c r="X35" s="91" t="str">
        <f>PT.anaer_lagoon!B337</f>
        <v>Operation time for pumping</v>
      </c>
      <c r="Y35" s="91"/>
      <c r="Z35" s="1379">
        <f>PT.anaer_lagoon!AR337</f>
        <v>5.3775596737092108</v>
      </c>
      <c r="AA35" s="1465" t="str">
        <f>PT.anaer_lagoon!F337</f>
        <v>hr</v>
      </c>
    </row>
    <row r="36" spans="1:27" x14ac:dyDescent="0.3">
      <c r="A36" s="1947"/>
      <c r="B36" s="1353" t="str">
        <f>PT.shallow_scrape!B118</f>
        <v>Electricity used by auto alley scrape system</v>
      </c>
      <c r="C36" s="1878">
        <f>PT.shallow_scrape!G118</f>
        <v>8.9430720123571419</v>
      </c>
      <c r="D36" s="1353" t="str">
        <f>PT.shallow_scrape!C118</f>
        <v>kWh/head/year</v>
      </c>
      <c r="E36" s="1936"/>
      <c r="F36" s="1611"/>
      <c r="G36" s="1946"/>
      <c r="H36" s="1945"/>
      <c r="I36" s="1945"/>
      <c r="J36" s="1955"/>
      <c r="K36" s="1954"/>
      <c r="L36" s="1959"/>
      <c r="M36" s="1959"/>
      <c r="N36" s="1947"/>
      <c r="O36" s="1945"/>
      <c r="P36" s="1945"/>
      <c r="Q36" s="91" t="s">
        <v>7241</v>
      </c>
      <c r="R36" s="91" t="str">
        <f>PT.anaer_lagoon!B260</f>
        <v>Interval between liquids removal</v>
      </c>
      <c r="S36" s="91"/>
      <c r="T36" s="1439">
        <f>PT.anaer_lagoon!AR260</f>
        <v>182.5</v>
      </c>
      <c r="U36" s="1465" t="str">
        <f>PT.anaer_lagoon!F260</f>
        <v>days</v>
      </c>
      <c r="V36" s="90"/>
      <c r="W36" s="91"/>
      <c r="X36" s="91" t="str">
        <f>PT.anaer_lagoon!B338</f>
        <v>Fuel needed for diesel powered lead pump</v>
      </c>
      <c r="Y36" s="91"/>
      <c r="Z36" s="1379">
        <f>PT.anaer_lagoon!AR338</f>
        <v>96.796074126765802</v>
      </c>
      <c r="AA36" s="1465" t="str">
        <f>PT.anaer_lagoon!F338</f>
        <v>gal/event</v>
      </c>
    </row>
    <row r="37" spans="1:27" x14ac:dyDescent="0.3">
      <c r="A37" s="1947"/>
      <c r="B37" s="1353" t="str">
        <f>PT.shallow_scrape!B119</f>
        <v>Electricity used by transfer channel in scrape system</v>
      </c>
      <c r="C37" s="1878">
        <f>PT.shallow_scrape!G119</f>
        <v>0.41604726318357144</v>
      </c>
      <c r="D37" s="1353" t="str">
        <f>PT.shallow_scrape!C119</f>
        <v>kWh/head/year</v>
      </c>
      <c r="E37" s="1960"/>
      <c r="F37" s="1936"/>
      <c r="G37" s="1946"/>
      <c r="H37" s="1945"/>
      <c r="I37" s="1945"/>
      <c r="J37" s="1955"/>
      <c r="K37" s="1954"/>
      <c r="L37" s="1954"/>
      <c r="M37" s="1959"/>
      <c r="N37" s="1947"/>
      <c r="O37" s="1945"/>
      <c r="P37" s="1945"/>
      <c r="Q37" s="91"/>
      <c r="R37" s="91" t="str">
        <f>PT.anaer_lagoon!B261</f>
        <v>Manure liquids removed, lagoon</v>
      </c>
      <c r="S37" s="91"/>
      <c r="T37" s="1439">
        <f>PT.anaer_lagoon!AR261</f>
        <v>1824.9123110817213</v>
      </c>
      <c r="U37" s="1465" t="str">
        <f>PT.anaer_lagoon!F261</f>
        <v>m3/event</v>
      </c>
      <c r="V37" s="90"/>
      <c r="W37" s="91"/>
      <c r="X37" s="91" t="str">
        <f>PT.anaer_lagoon!B339</f>
        <v>Fuel needed for diesel powered booster pump</v>
      </c>
      <c r="Y37" s="91"/>
      <c r="Z37" s="1379">
        <f>PT.anaer_lagoon!AR339</f>
        <v>40.33169755281908</v>
      </c>
      <c r="AA37" s="1465" t="str">
        <f>PT.anaer_lagoon!F339</f>
        <v>gal/event</v>
      </c>
    </row>
    <row r="38" spans="1:27" x14ac:dyDescent="0.3">
      <c r="A38" s="1945"/>
      <c r="B38" t="str">
        <f>PT.slope_screen!B235</f>
        <v>Electricity used by slope screen</v>
      </c>
      <c r="C38" s="314">
        <f>PT.slope_screen!G235</f>
        <v>1.7345866006503296E-2</v>
      </c>
      <c r="D38" s="66" t="str">
        <f>PT.slope_screen!C235</f>
        <v>kWh/head/year</v>
      </c>
      <c r="E38" s="1939"/>
      <c r="F38" s="1936"/>
      <c r="G38" s="1947"/>
      <c r="H38" s="1945"/>
      <c r="I38" s="1945"/>
      <c r="J38" s="1954"/>
      <c r="K38" s="1954"/>
      <c r="L38" s="1954"/>
      <c r="M38" s="1959"/>
      <c r="N38" s="1946"/>
      <c r="O38" s="1945"/>
      <c r="P38" s="1945"/>
      <c r="Q38" s="91"/>
      <c r="R38" s="91" t="str">
        <f>PT.anaer_lagoon!B262</f>
        <v>Lagoon surface area</v>
      </c>
      <c r="S38" s="91"/>
      <c r="T38" s="1439">
        <f>PT.anaer_lagoon!AR262</f>
        <v>1937.2131954110769</v>
      </c>
      <c r="U38" s="1465" t="str">
        <f>PT.anaer_lagoon!F262</f>
        <v>m2</v>
      </c>
      <c r="V38" s="90"/>
      <c r="W38" s="91"/>
      <c r="X38" s="91" t="str">
        <f>PT.anaer_lagoon!B340</f>
        <v>Fuel needed for diesel powered agitation trailer</v>
      </c>
      <c r="Y38" s="91"/>
      <c r="Z38" s="1379">
        <f>PT.anaer_lagoon!AR340</f>
        <v>32.265358042255265</v>
      </c>
      <c r="AA38" s="1465" t="str">
        <f>PT.anaer_lagoon!F340</f>
        <v>gal/event</v>
      </c>
    </row>
    <row r="39" spans="1:27" x14ac:dyDescent="0.3">
      <c r="A39" s="1945"/>
      <c r="C39" s="314"/>
      <c r="D39" s="66"/>
      <c r="E39" s="1611"/>
      <c r="F39" s="1936"/>
      <c r="G39" s="1946"/>
      <c r="H39" s="1945"/>
      <c r="I39" s="1945"/>
      <c r="J39" s="1945"/>
      <c r="K39" s="1945"/>
      <c r="L39" s="1914"/>
      <c r="M39" s="1932"/>
      <c r="N39" s="1932"/>
      <c r="O39" s="1932"/>
      <c r="P39" s="1945"/>
      <c r="Q39" s="91"/>
      <c r="R39" s="91" t="str">
        <f>PT.anaer_lagoon!B263</f>
        <v>Lagoon constructed size</v>
      </c>
      <c r="S39" s="91"/>
      <c r="T39" s="1439">
        <f>PT.anaer_lagoon!AR263</f>
        <v>3434.4068159132703</v>
      </c>
      <c r="U39" s="1465" t="str">
        <f>PT.anaer_lagoon!F263</f>
        <v>m3</v>
      </c>
      <c r="V39" s="90"/>
      <c r="W39" s="91"/>
      <c r="X39" s="91" t="str">
        <f>PT.anaer_lagoon!B341</f>
        <v>Fuel needed for pickup truck</v>
      </c>
      <c r="Y39" s="91"/>
      <c r="Z39" s="1379">
        <f>PT.anaer_lagoon!AR341</f>
        <v>4.839803706338289</v>
      </c>
      <c r="AA39" s="1465" t="str">
        <f>PT.anaer_lagoon!F341</f>
        <v>gal/event</v>
      </c>
    </row>
    <row r="40" spans="1:27" x14ac:dyDescent="0.3">
      <c r="A40" s="1945"/>
      <c r="C40" s="314"/>
      <c r="D40" s="66"/>
      <c r="E40" s="1939"/>
      <c r="F40" s="1936"/>
      <c r="G40" s="1947"/>
      <c r="H40" s="1945"/>
      <c r="I40" s="1945"/>
      <c r="J40" s="1945"/>
      <c r="K40" s="1945"/>
      <c r="L40" s="1945"/>
      <c r="M40" s="1945"/>
      <c r="N40" s="1914"/>
      <c r="O40" s="1945"/>
      <c r="P40" s="1945"/>
      <c r="Q40" s="91"/>
      <c r="R40" s="91" t="str">
        <f>PT.anaer_lagoon!B264</f>
        <v>N removed, lagoon</v>
      </c>
      <c r="S40" s="91"/>
      <c r="T40" s="1439">
        <f>PT.anaer_lagoon!AR264</f>
        <v>0.66511390569986895</v>
      </c>
      <c r="U40" s="1465" t="str">
        <f>PT.anaer_lagoon!F264</f>
        <v>g/L</v>
      </c>
      <c r="V40" s="90"/>
      <c r="W40" s="90"/>
      <c r="X40" s="91" t="str">
        <f>PT.anaer_lagoon!B342</f>
        <v>Number of tractors for support with hose pulley</v>
      </c>
      <c r="Y40" s="91"/>
      <c r="Z40" s="1379">
        <f>PT.anaer_lagoon!AR342</f>
        <v>1</v>
      </c>
      <c r="AA40" s="1465" t="str">
        <f>PT.anaer_lagoon!F342</f>
        <v>quantity</v>
      </c>
    </row>
    <row r="41" spans="1:27" x14ac:dyDescent="0.3">
      <c r="A41" s="1945"/>
      <c r="B41" s="91" t="str">
        <f>PT.anaer_lagoon!B348</f>
        <v>Electricity for irrigation pump</v>
      </c>
      <c r="C41" s="1878">
        <f>PT.anaer_lagoon!AR348</f>
        <v>2.8759605537067761</v>
      </c>
      <c r="D41" s="91" t="str">
        <f>PT.anaer_lagoon!F348</f>
        <v>kWh/head/year</v>
      </c>
      <c r="E41" s="1939"/>
      <c r="F41" s="1936"/>
      <c r="G41" s="1947"/>
      <c r="H41" s="1945"/>
      <c r="I41" s="1945"/>
      <c r="J41" s="1945"/>
      <c r="K41" s="1945"/>
      <c r="L41" s="1945"/>
      <c r="M41" s="1945"/>
      <c r="N41" s="1945"/>
      <c r="O41" s="1945"/>
      <c r="P41" s="1945"/>
      <c r="Q41" s="91"/>
      <c r="R41" s="91" t="str">
        <f>PT.anaer_lagoon!B265</f>
        <v>P2O5 removed, lagoon</v>
      </c>
      <c r="S41" s="91"/>
      <c r="T41" s="1439">
        <f>PT.anaer_lagoon!AR265</f>
        <v>0.32534599495937772</v>
      </c>
      <c r="U41" s="1465" t="str">
        <f>PT.anaer_lagoon!F265</f>
        <v>g/L</v>
      </c>
      <c r="V41" s="90"/>
      <c r="W41" s="90"/>
      <c r="X41" s="90"/>
      <c r="Y41" s="90"/>
      <c r="Z41" s="90"/>
      <c r="AA41" s="90"/>
    </row>
    <row r="42" spans="1:27" x14ac:dyDescent="0.3">
      <c r="A42" s="1945"/>
      <c r="B42" s="1668" t="s">
        <v>415</v>
      </c>
      <c r="C42" s="1680"/>
      <c r="D42" s="1815"/>
      <c r="E42" s="1939"/>
      <c r="F42" s="1936"/>
      <c r="G42" s="1947"/>
      <c r="H42" s="1945"/>
      <c r="I42" s="1945"/>
      <c r="J42" s="1945"/>
      <c r="K42" s="1945"/>
      <c r="L42" s="1945"/>
      <c r="M42" s="1945"/>
      <c r="N42" s="1945"/>
      <c r="O42" s="1945"/>
      <c r="P42" s="1945"/>
      <c r="Q42" s="91"/>
      <c r="R42" s="91" t="str">
        <f>PT.anaer_lagoon!B266</f>
        <v>K2O removed, lagoon</v>
      </c>
      <c r="S42" s="91"/>
      <c r="T42" s="1439">
        <f>PT.anaer_lagoon!AR266</f>
        <v>0.5323869555130053</v>
      </c>
      <c r="U42" s="1465" t="str">
        <f>PT.anaer_lagoon!F266</f>
        <v>g/L</v>
      </c>
      <c r="V42" s="90"/>
      <c r="W42" s="90"/>
      <c r="X42" s="90"/>
      <c r="Y42" s="90"/>
      <c r="Z42" s="90"/>
      <c r="AA42" s="90"/>
    </row>
    <row r="43" spans="1:27" x14ac:dyDescent="0.3">
      <c r="A43" s="1945"/>
      <c r="B43" s="1353" t="str">
        <f>PT.shallow_scrape!B121</f>
        <v>Fresh water used by scrape system</v>
      </c>
      <c r="C43" s="1521">
        <f>PT.shallow_scrape!G121</f>
        <v>0</v>
      </c>
      <c r="D43" s="1353" t="str">
        <f>PT.shallow_scrape!C121</f>
        <v>m3/head/year</v>
      </c>
      <c r="E43" s="1939"/>
      <c r="F43" s="1936"/>
      <c r="G43" s="1947"/>
      <c r="H43" s="1945"/>
      <c r="I43" s="1945"/>
      <c r="J43" s="1914"/>
      <c r="K43" s="1914"/>
      <c r="L43" s="1914"/>
      <c r="M43" s="1945"/>
      <c r="N43" s="1945"/>
      <c r="O43" s="1945"/>
      <c r="P43" s="1945"/>
      <c r="Q43" s="91"/>
      <c r="R43" s="91" t="str">
        <f>PT.anaer_lagoon!B267</f>
        <v>Field area applied by lagoon liquids</v>
      </c>
      <c r="S43" s="91"/>
      <c r="T43" s="1439">
        <f>PT.anaer_lagoon!AR267</f>
        <v>23.465714939822032</v>
      </c>
      <c r="U43" s="1465" t="str">
        <f>PT.anaer_lagoon!F267</f>
        <v>ac/y</v>
      </c>
      <c r="V43" s="90"/>
      <c r="W43" s="90"/>
      <c r="X43" s="90"/>
      <c r="Y43" s="90"/>
      <c r="Z43" s="90"/>
      <c r="AA43" s="90"/>
    </row>
    <row r="44" spans="1:27" x14ac:dyDescent="0.3">
      <c r="A44" s="1945"/>
      <c r="B44" s="1353"/>
      <c r="C44" s="1390"/>
      <c r="D44" s="1353"/>
      <c r="E44" s="1611"/>
      <c r="F44" s="1936"/>
      <c r="G44" s="1947"/>
      <c r="H44" s="1945"/>
      <c r="I44" s="1945"/>
      <c r="J44" s="1950"/>
      <c r="K44" s="1950"/>
      <c r="L44" s="1950"/>
      <c r="M44" s="1945"/>
      <c r="N44" s="1914"/>
      <c r="O44" s="1945"/>
      <c r="P44" s="1945"/>
      <c r="Q44" s="91"/>
      <c r="R44" s="91" t="str">
        <f>PT.anaer_lagoon!B268</f>
        <v>Energy needed to pump lagoon liquids</v>
      </c>
      <c r="S44" s="91"/>
      <c r="T44" s="1439">
        <f>PT.anaer_lagoon!AR268</f>
        <v>1437.980276853388</v>
      </c>
      <c r="U44" s="1465" t="str">
        <f>PT.anaer_lagoon!F268</f>
        <v>kWh/y</v>
      </c>
      <c r="V44" s="90"/>
      <c r="W44" s="90"/>
      <c r="X44" s="90"/>
      <c r="Y44" s="90"/>
      <c r="Z44" s="90"/>
      <c r="AA44" s="90"/>
    </row>
    <row r="45" spans="1:27" ht="27" customHeight="1" x14ac:dyDescent="0.3">
      <c r="A45" s="1945"/>
      <c r="B45" s="91" t="str">
        <f>PT.anaer_lagoon!B359</f>
        <v>Fresh water used to supplement flow into storage structure</v>
      </c>
      <c r="C45" s="1878">
        <f>PT.anaer_lagoon!AR359</f>
        <v>0</v>
      </c>
      <c r="D45" s="91" t="str">
        <f>PT.anaer_lagoon!F359</f>
        <v>m3/head/year</v>
      </c>
      <c r="E45" s="1611"/>
      <c r="F45" s="1936"/>
      <c r="G45" s="1947"/>
      <c r="H45" s="1945"/>
      <c r="I45" s="1945"/>
      <c r="J45" s="1945"/>
      <c r="K45" s="1951"/>
      <c r="L45" s="1945"/>
      <c r="M45" s="1945"/>
      <c r="N45" s="1946"/>
      <c r="O45" s="1945"/>
      <c r="P45" s="1945"/>
      <c r="Q45" s="91"/>
      <c r="R45" s="91" t="str">
        <f>PT.anaer_lagoon!B269</f>
        <v>Total labor time required for irrigation</v>
      </c>
      <c r="S45" s="91"/>
      <c r="T45" s="1439">
        <f>PT.anaer_lagoon!AR269</f>
        <v>9.3862859759288124</v>
      </c>
      <c r="U45" s="1465" t="str">
        <f>PT.anaer_lagoon!F269</f>
        <v>hr/year</v>
      </c>
      <c r="V45" s="90"/>
      <c r="W45" s="277"/>
      <c r="X45" s="90"/>
      <c r="Y45" s="90"/>
      <c r="Z45" s="90"/>
      <c r="AA45" s="90"/>
    </row>
    <row r="46" spans="1:27" x14ac:dyDescent="0.3">
      <c r="A46" s="1945"/>
      <c r="B46" s="91" t="str">
        <f>PT.anaer_lagoon!B360</f>
        <v>Fresh water used to supplement application liquid volume</v>
      </c>
      <c r="C46" s="1878">
        <f>PT.anaer_lagoon!AR360</f>
        <v>3.8879315275851707</v>
      </c>
      <c r="D46" s="91" t="str">
        <f>PT.anaer_lagoon!F360</f>
        <v>m3/head/year</v>
      </c>
      <c r="E46" s="1611"/>
      <c r="F46" s="1936"/>
      <c r="G46" s="1943"/>
      <c r="H46" s="1945"/>
      <c r="I46" s="1945"/>
      <c r="J46" s="1961"/>
      <c r="K46" s="1951"/>
      <c r="L46" s="1945"/>
      <c r="M46" s="1945"/>
      <c r="N46" s="1946"/>
      <c r="O46" s="1945"/>
      <c r="P46" s="1945"/>
      <c r="Q46" s="91"/>
      <c r="R46" s="91" t="str">
        <f>PT.anaer_lagoon!B270</f>
        <v>Tanker, size</v>
      </c>
      <c r="S46" s="91"/>
      <c r="T46" s="1439">
        <f>PT.anaer_lagoon!AR270</f>
        <v>6000</v>
      </c>
      <c r="U46" s="1465" t="str">
        <f>PT.anaer_lagoon!F270</f>
        <v>gal</v>
      </c>
      <c r="V46" s="90"/>
      <c r="W46" s="277"/>
      <c r="X46" s="90"/>
      <c r="Y46" s="90"/>
      <c r="Z46" s="90"/>
      <c r="AA46" s="90"/>
    </row>
    <row r="47" spans="1:27" x14ac:dyDescent="0.3">
      <c r="A47" s="1945"/>
      <c r="B47" s="1668" t="s">
        <v>447</v>
      </c>
      <c r="C47" s="1680"/>
      <c r="D47" s="1815"/>
      <c r="E47" s="1611"/>
      <c r="F47" s="1936"/>
      <c r="G47" s="1943"/>
      <c r="H47" s="1945"/>
      <c r="I47" s="1945"/>
      <c r="J47" s="1961"/>
      <c r="K47" s="1951"/>
      <c r="L47" s="1945"/>
      <c r="M47" s="1945"/>
      <c r="N47" s="1946"/>
      <c r="O47" s="1945"/>
      <c r="P47" s="1945"/>
      <c r="Q47" s="91"/>
      <c r="R47" s="91" t="str">
        <f>PT.anaer_lagoon!B271</f>
        <v>Tractor for tanker, size</v>
      </c>
      <c r="S47" s="91"/>
      <c r="T47" s="1439">
        <f>PT.anaer_lagoon!AR271</f>
        <v>250</v>
      </c>
      <c r="U47" s="1465" t="str">
        <f>PT.anaer_lagoon!F271</f>
        <v>PTO hp</v>
      </c>
      <c r="V47" s="90"/>
      <c r="W47" s="277"/>
      <c r="X47" s="90"/>
      <c r="Y47" s="90"/>
      <c r="Z47" s="90"/>
      <c r="AA47" s="90"/>
    </row>
    <row r="48" spans="1:27" x14ac:dyDescent="0.3">
      <c r="A48" s="1945"/>
      <c r="B48" s="1353" t="str">
        <f>PT.shallow_scrape!B115</f>
        <v>Shallow pit land footprint</v>
      </c>
      <c r="C48" s="1394">
        <f>PT.shallow_scrape!G115</f>
        <v>11.129747893930706</v>
      </c>
      <c r="D48" s="1353" t="str">
        <f>PT.shallow_scrape!C115</f>
        <v>m2</v>
      </c>
      <c r="E48" s="1611"/>
      <c r="F48" s="1936"/>
      <c r="G48" s="1947"/>
      <c r="H48" s="1945"/>
      <c r="I48" s="1945"/>
      <c r="J48" s="1961"/>
      <c r="K48" s="1951"/>
      <c r="L48" s="1945"/>
      <c r="M48" s="1945"/>
      <c r="N48" s="1946"/>
      <c r="O48" s="1945"/>
      <c r="P48" s="1945"/>
      <c r="Q48" s="91"/>
      <c r="R48" s="91" t="str">
        <f>PT.anaer_lagoon!B272</f>
        <v>Application by broadcast or injection?</v>
      </c>
      <c r="S48" s="91"/>
      <c r="T48" s="1439" t="str">
        <f>PT.anaer_lagoon!AR272</f>
        <v>Injection</v>
      </c>
      <c r="U48" s="1465" t="str">
        <f>PT.anaer_lagoon!F272</f>
        <v>type</v>
      </c>
      <c r="V48" s="90"/>
      <c r="W48" s="277"/>
      <c r="X48" s="90"/>
      <c r="Y48" s="90"/>
      <c r="Z48" s="90"/>
      <c r="AA48" s="90"/>
    </row>
    <row r="49" spans="1:25" x14ac:dyDescent="0.3">
      <c r="A49" s="1947"/>
      <c r="B49" s="91" t="str">
        <f>PT.reception_pit!B38</f>
        <v>Land used by reception pit</v>
      </c>
      <c r="C49" s="1394">
        <f>PT.reception_pit!O38</f>
        <v>0.79128642396007209</v>
      </c>
      <c r="D49" s="91" t="str">
        <f>PT.reception_pit!C38</f>
        <v>m2</v>
      </c>
      <c r="E49" s="1611"/>
      <c r="F49" s="1936"/>
      <c r="G49" s="1946"/>
      <c r="H49" s="1945"/>
      <c r="I49" s="1946"/>
      <c r="J49" s="1945"/>
      <c r="K49" s="1945"/>
      <c r="L49" s="1945"/>
      <c r="M49" s="1945"/>
      <c r="N49" s="1933"/>
      <c r="O49" s="1936"/>
      <c r="P49" s="1945"/>
      <c r="Q49" s="91"/>
      <c r="R49" s="91" t="str">
        <f>PT.anaer_lagoon!B273</f>
        <v>Operation time for tractor with tanker</v>
      </c>
      <c r="S49" s="91"/>
      <c r="T49" s="1439">
        <f>PT.anaer_lagoon!AR273</f>
        <v>3.0707191438310901</v>
      </c>
      <c r="U49" s="1465" t="str">
        <f>PT.anaer_lagoon!F273</f>
        <v>hrs/event</v>
      </c>
      <c r="W49" s="42"/>
      <c r="Y49" s="36"/>
    </row>
    <row r="50" spans="1:25" x14ac:dyDescent="0.3">
      <c r="A50" s="1947"/>
      <c r="B50" s="91" t="str">
        <f>PT.slope_screen!B238</f>
        <v>Solids drying pile storage</v>
      </c>
      <c r="C50" s="1394">
        <f>PT.slope_screen!G238</f>
        <v>43.729975885638247</v>
      </c>
      <c r="D50" s="91" t="str">
        <f>PT.slope_screen!C238</f>
        <v>m2</v>
      </c>
      <c r="E50" s="1611"/>
      <c r="F50" s="1936"/>
      <c r="G50" s="1948"/>
      <c r="H50" s="1945"/>
      <c r="I50" s="1948"/>
      <c r="J50" s="1945"/>
      <c r="K50" s="1945"/>
      <c r="L50" s="1945"/>
      <c r="M50" s="1945"/>
      <c r="N50" s="1945"/>
      <c r="O50" s="1945"/>
      <c r="P50" s="1945"/>
      <c r="Q50" s="91"/>
      <c r="R50" s="91" t="str">
        <f>PT.anaer_lagoon!B274</f>
        <v>Fuel needed for tractor with tank and applicator</v>
      </c>
      <c r="S50" s="91"/>
      <c r="T50" s="1439">
        <f>PT.anaer_lagoon!AR274</f>
        <v>33.777910582141992</v>
      </c>
      <c r="U50" s="1465" t="str">
        <f>PT.anaer_lagoon!F274</f>
        <v>gal/event</v>
      </c>
      <c r="W50" s="42"/>
      <c r="Y50" s="36"/>
    </row>
    <row r="51" spans="1:25" x14ac:dyDescent="0.3">
      <c r="A51" s="1947"/>
      <c r="B51" s="91" t="str">
        <f>PT.slope_screen!B239</f>
        <v>Solids export area storage</v>
      </c>
      <c r="C51" s="1394">
        <f>PT.slope_screen!G239</f>
        <v>23.507279843444223</v>
      </c>
      <c r="D51" s="91" t="str">
        <f>PT.slope_screen!C239</f>
        <v>m2</v>
      </c>
      <c r="E51" s="1611"/>
      <c r="F51" s="1936"/>
      <c r="G51" s="1948"/>
      <c r="H51" s="1945"/>
      <c r="I51" s="1948"/>
      <c r="J51" s="1945"/>
      <c r="K51" s="1945"/>
      <c r="L51" s="1945"/>
      <c r="M51" s="1945"/>
      <c r="N51" s="1945"/>
      <c r="O51" s="1945"/>
      <c r="P51" s="1945"/>
      <c r="Q51" s="91"/>
      <c r="R51" s="91" t="str">
        <f>PT.anaer_lagoon!B275</f>
        <v>Number of tractors with tanker needed</v>
      </c>
      <c r="S51" s="91"/>
      <c r="T51" s="1439">
        <f>PT.anaer_lagoon!AR275</f>
        <v>1</v>
      </c>
      <c r="U51" s="1465" t="str">
        <f>PT.anaer_lagoon!F275</f>
        <v>quantity</v>
      </c>
      <c r="W51" s="42"/>
      <c r="Y51" s="36"/>
    </row>
    <row r="52" spans="1:25" x14ac:dyDescent="0.3">
      <c r="A52" s="1945"/>
      <c r="B52" s="91" t="str">
        <f>PT.slope_screen!B240</f>
        <v>Solids manure application</v>
      </c>
      <c r="C52" s="1394">
        <f>PT.slope_screen!G240</f>
        <v>38703.41666248408</v>
      </c>
      <c r="D52" s="91" t="str">
        <f>PT.slope_screen!C240</f>
        <v>m2</v>
      </c>
      <c r="E52" s="1611"/>
      <c r="F52" s="1936"/>
      <c r="G52" s="1947"/>
      <c r="H52" s="1945"/>
      <c r="I52" s="1947"/>
      <c r="J52" s="1945"/>
      <c r="K52" s="1945"/>
      <c r="L52" s="1945"/>
      <c r="M52" s="1945"/>
      <c r="N52" s="1945"/>
      <c r="O52" s="1945"/>
      <c r="P52" s="1945"/>
      <c r="Q52" s="91"/>
      <c r="R52" s="91" t="str">
        <f>PT.anaer_lagoon!B276</f>
        <v>Tractor for agitator, size</v>
      </c>
      <c r="S52" s="91"/>
      <c r="T52" s="1439">
        <f>PT.anaer_lagoon!AR276</f>
        <v>160</v>
      </c>
      <c r="U52" s="1465" t="str">
        <f>PT.anaer_lagoon!F276</f>
        <v>PTO hp</v>
      </c>
      <c r="W52" s="42"/>
      <c r="Y52" s="36"/>
    </row>
    <row r="53" spans="1:25" x14ac:dyDescent="0.3">
      <c r="A53" s="1945"/>
      <c r="B53" s="91"/>
      <c r="C53" s="1394"/>
      <c r="D53" s="91"/>
      <c r="E53" s="1611"/>
      <c r="F53" s="1936"/>
      <c r="G53" s="1947"/>
      <c r="H53" s="1945"/>
      <c r="I53" s="1947"/>
      <c r="J53" s="1945"/>
      <c r="K53" s="1945"/>
      <c r="L53" s="1945"/>
      <c r="M53" s="1945"/>
      <c r="N53" s="1945"/>
      <c r="O53" s="2074"/>
      <c r="P53" s="1945"/>
      <c r="Q53" s="91"/>
      <c r="R53" s="91" t="str">
        <f>PT.anaer_lagoon!B277</f>
        <v>Number of tractors for agitating needed</v>
      </c>
      <c r="S53" s="91"/>
      <c r="T53" s="1439">
        <f>PT.anaer_lagoon!AR277</f>
        <v>1</v>
      </c>
      <c r="U53" s="1465" t="str">
        <f>PT.anaer_lagoon!F277</f>
        <v>quantity</v>
      </c>
      <c r="W53" s="42"/>
      <c r="Y53" s="36"/>
    </row>
    <row r="54" spans="1:25" x14ac:dyDescent="0.3">
      <c r="A54" s="1945"/>
      <c r="B54" s="1465"/>
      <c r="C54" s="1379"/>
      <c r="D54" s="1465"/>
      <c r="E54" s="1611"/>
      <c r="F54" s="1936"/>
      <c r="G54" s="1947"/>
      <c r="H54" s="1945"/>
      <c r="I54" s="1947"/>
      <c r="J54" s="1945"/>
      <c r="K54" s="1945"/>
      <c r="L54" s="1945"/>
      <c r="M54" s="1945"/>
      <c r="N54" s="1945"/>
      <c r="O54" s="1938"/>
      <c r="P54" s="1945"/>
      <c r="Q54" s="91"/>
      <c r="R54" s="91" t="str">
        <f>PT.anaer_lagoon!B278</f>
        <v>Operation time for tractor agitating</v>
      </c>
      <c r="S54" s="91"/>
      <c r="T54" s="1439">
        <f>PT.anaer_lagoon!AR278</f>
        <v>3.8383989297888625</v>
      </c>
      <c r="U54" s="1465" t="str">
        <f>PT.anaer_lagoon!F278</f>
        <v>hr/year</v>
      </c>
      <c r="W54" s="42"/>
      <c r="Y54" s="36"/>
    </row>
    <row r="55" spans="1:25" x14ac:dyDescent="0.3">
      <c r="A55" s="1945"/>
      <c r="B55" s="91" t="str">
        <f>PT.anaer_lagoon!B350</f>
        <v>Land for lagoon surface area</v>
      </c>
      <c r="C55" s="1394">
        <f>PT.anaer_lagoon!AR350</f>
        <v>1937.2131954110769</v>
      </c>
      <c r="D55" s="91" t="str">
        <f>PT.anaer_lagoon!F350</f>
        <v>m2</v>
      </c>
      <c r="E55" s="1611"/>
      <c r="F55" s="1936"/>
      <c r="G55" s="1947"/>
      <c r="H55" s="1945"/>
      <c r="I55" s="1947"/>
      <c r="J55" s="1945"/>
      <c r="K55" s="1945"/>
      <c r="L55" s="1945"/>
      <c r="M55" s="1945"/>
      <c r="N55" s="1945"/>
      <c r="O55" s="1952"/>
      <c r="P55" s="1945"/>
      <c r="Q55" s="91"/>
      <c r="R55" s="91" t="str">
        <f>PT.anaer_lagoon!B279</f>
        <v>Fuel needed for tractor for agitating</v>
      </c>
      <c r="S55" s="91"/>
      <c r="T55" s="1439">
        <f>PT.anaer_lagoon!AR279</f>
        <v>27.022328465713588</v>
      </c>
      <c r="U55" s="1465" t="str">
        <f>PT.anaer_lagoon!F279</f>
        <v>gal/event</v>
      </c>
      <c r="W55" s="42"/>
      <c r="Y55" s="36"/>
    </row>
    <row r="56" spans="1:25" ht="15.6" customHeight="1" x14ac:dyDescent="0.3">
      <c r="A56" s="1945"/>
      <c r="B56" s="91" t="str">
        <f>PT.anaer_lagoon!B351</f>
        <v>Land for liquid application</v>
      </c>
      <c r="C56" s="1394">
        <f>PT.anaer_lagoon!AR351</f>
        <v>114471.90285570701</v>
      </c>
      <c r="D56" s="91" t="str">
        <f>PT.anaer_lagoon!F351</f>
        <v>m2</v>
      </c>
      <c r="E56" s="1611"/>
      <c r="F56" s="1935"/>
      <c r="G56" s="1945"/>
      <c r="H56" s="1945"/>
      <c r="I56" s="1945"/>
      <c r="J56" s="1961"/>
      <c r="K56" s="1951"/>
      <c r="L56" s="1945"/>
      <c r="M56" s="1945"/>
      <c r="N56" s="1945"/>
      <c r="O56" s="2074"/>
      <c r="P56" s="1945"/>
      <c r="Q56" s="91"/>
      <c r="R56" s="91" t="str">
        <f>PT.anaer_lagoon!B280</f>
        <v>Number of tractors for pumping needed</v>
      </c>
      <c r="S56" s="91"/>
      <c r="T56" s="1439">
        <f>PT.anaer_lagoon!AR280</f>
        <v>1</v>
      </c>
      <c r="U56" s="1465" t="str">
        <f>PT.anaer_lagoon!F280</f>
        <v>quantity</v>
      </c>
      <c r="W56" s="42"/>
      <c r="Y56" s="36"/>
    </row>
    <row r="57" spans="1:25" ht="15.6" customHeight="1" x14ac:dyDescent="0.3">
      <c r="A57" s="1947"/>
      <c r="B57" s="91" t="str">
        <f>PT.anaer_lagoon!B352</f>
        <v>Land for sludge application</v>
      </c>
      <c r="C57" s="1394">
        <f>PT.anaer_lagoon!AR352</f>
        <v>26378.43865391906</v>
      </c>
      <c r="D57" s="91" t="str">
        <f>PT.anaer_lagoon!F352</f>
        <v>m2</v>
      </c>
      <c r="E57" s="1914"/>
      <c r="F57" s="1914"/>
      <c r="G57" s="1914"/>
      <c r="H57" s="1914"/>
      <c r="I57" s="1945"/>
      <c r="J57" s="1961"/>
      <c r="K57" s="1951"/>
      <c r="L57" s="1945"/>
      <c r="M57" s="1945"/>
      <c r="N57" s="1945"/>
      <c r="O57" s="1945"/>
      <c r="P57" s="1945"/>
      <c r="Q57" s="494"/>
      <c r="R57" s="91" t="str">
        <f>PT.anaer_lagoon!B281</f>
        <v>Tractor for pumping, size</v>
      </c>
      <c r="S57" s="91"/>
      <c r="T57" s="1439">
        <f>PT.anaer_lagoon!AR281</f>
        <v>180</v>
      </c>
      <c r="U57" s="1465" t="str">
        <f>PT.anaer_lagoon!F281</f>
        <v>PTO hp</v>
      </c>
      <c r="W57" s="42"/>
      <c r="Y57" s="36"/>
    </row>
    <row r="58" spans="1:25" ht="15.6" customHeight="1" x14ac:dyDescent="0.3">
      <c r="A58" s="1947"/>
      <c r="E58" s="1914"/>
      <c r="F58" s="1914"/>
      <c r="G58" s="1914"/>
      <c r="H58" s="1914"/>
      <c r="I58" s="1945"/>
      <c r="J58" s="1961"/>
      <c r="K58" s="1951"/>
      <c r="L58" s="1945"/>
      <c r="M58" s="1945"/>
      <c r="N58" s="1945"/>
      <c r="O58" s="1945"/>
      <c r="P58" s="1945"/>
      <c r="Q58" s="494"/>
      <c r="R58" s="91" t="str">
        <f>PT.anaer_lagoon!B282</f>
        <v>Operation time for tractor pumping</v>
      </c>
      <c r="S58" s="91"/>
      <c r="T58" s="1439">
        <f>PT.anaer_lagoon!AR282</f>
        <v>0.40174235828210048</v>
      </c>
      <c r="U58" s="1465" t="str">
        <f>PT.anaer_lagoon!F282</f>
        <v>hr/event</v>
      </c>
      <c r="W58" s="42"/>
      <c r="Y58" s="36"/>
    </row>
    <row r="59" spans="1:25" x14ac:dyDescent="0.3">
      <c r="A59" s="1947"/>
      <c r="E59" s="1914"/>
      <c r="F59" s="1914"/>
      <c r="G59" s="1914"/>
      <c r="H59" s="1914"/>
      <c r="I59" s="1945"/>
      <c r="J59" s="1945"/>
      <c r="K59" s="1945"/>
      <c r="L59" s="1945"/>
      <c r="M59" s="1945"/>
      <c r="N59" s="1945"/>
      <c r="O59" s="1945"/>
      <c r="P59" s="1945"/>
      <c r="Q59" s="494"/>
      <c r="R59" s="91" t="str">
        <f>PT.anaer_lagoon!B283</f>
        <v>Fuel needed for tractor for pumping</v>
      </c>
      <c r="S59" s="91"/>
      <c r="T59" s="1439">
        <f>PT.anaer_lagoon!AR283</f>
        <v>3.1817994775942355</v>
      </c>
      <c r="U59" s="1465" t="str">
        <f>PT.anaer_lagoon!F283</f>
        <v>gal/event</v>
      </c>
      <c r="W59" s="42"/>
      <c r="Y59" s="36"/>
    </row>
    <row r="60" spans="1:25" x14ac:dyDescent="0.3">
      <c r="A60" s="1947"/>
      <c r="B60" s="1668" t="s">
        <v>5753</v>
      </c>
      <c r="C60" s="1680"/>
      <c r="D60" s="1815"/>
      <c r="E60" s="1914"/>
      <c r="F60" s="1936"/>
      <c r="G60" s="1932"/>
      <c r="H60" s="1914"/>
      <c r="I60" s="1945"/>
      <c r="J60" s="1914"/>
      <c r="K60" s="1945"/>
      <c r="L60" s="1945"/>
      <c r="M60" s="1945"/>
      <c r="N60" s="1945"/>
      <c r="O60" s="1945"/>
      <c r="P60" s="1945"/>
      <c r="Q60" s="494"/>
      <c r="R60" s="91" t="str">
        <f>PT.anaer_lagoon!B284</f>
        <v>Size of tractor for pulling hose reel and applicator</v>
      </c>
      <c r="S60" s="91"/>
      <c r="T60" s="1439">
        <f>PT.anaer_lagoon!AR284</f>
        <v>580</v>
      </c>
      <c r="U60" s="1465" t="str">
        <f>PT.anaer_lagoon!F284</f>
        <v>PTO hp</v>
      </c>
      <c r="W60" s="42"/>
      <c r="Y60" s="36"/>
    </row>
    <row r="61" spans="1:25" x14ac:dyDescent="0.3">
      <c r="A61" s="1947"/>
      <c r="B61" s="91" t="str">
        <f>PT.anaer_lagoon!B354</f>
        <v>Diesel fuel used for tanker land application of liquids</v>
      </c>
      <c r="C61" s="1878">
        <f>PT.anaer_lagoon!AR354</f>
        <v>0.25592815410179925</v>
      </c>
      <c r="D61" s="91" t="str">
        <f>PT.anaer_lagoon!F354</f>
        <v>gal/head/year</v>
      </c>
      <c r="E61" s="1914"/>
      <c r="F61" s="1936"/>
      <c r="G61" s="1944"/>
      <c r="H61" s="1945"/>
      <c r="I61" s="1945"/>
      <c r="J61" s="1945"/>
      <c r="K61" s="1945"/>
      <c r="L61" s="1952"/>
      <c r="M61" s="1945"/>
      <c r="N61" s="1945"/>
      <c r="O61" s="1945"/>
      <c r="P61" s="1945"/>
      <c r="Q61" s="91"/>
      <c r="R61" s="91" t="str">
        <f>PT.anaer_lagoon!B285</f>
        <v>Number of tractors for pulling hose reel and applicator</v>
      </c>
      <c r="S61" s="91"/>
      <c r="T61" s="1439">
        <f>PT.anaer_lagoon!AR285</f>
        <v>1</v>
      </c>
      <c r="U61" s="1465" t="str">
        <f>PT.anaer_lagoon!F285</f>
        <v>quantity</v>
      </c>
      <c r="W61" s="42"/>
      <c r="Y61" s="36"/>
    </row>
    <row r="62" spans="1:25" ht="16.95" customHeight="1" x14ac:dyDescent="0.3">
      <c r="A62" s="1947"/>
      <c r="B62" s="91" t="str">
        <f>PT.anaer_lagoon!B355</f>
        <v>Diesel fuel used for tanker land application of sludge</v>
      </c>
      <c r="C62" s="1878">
        <f>PT.anaer_lagoon!AR355</f>
        <v>8.6061996220019921E-2</v>
      </c>
      <c r="D62" s="91" t="str">
        <f>PT.anaer_lagoon!F355</f>
        <v>gal/head/year</v>
      </c>
      <c r="E62" s="1914"/>
      <c r="F62" s="1936"/>
      <c r="G62" s="1932"/>
      <c r="H62" s="1945"/>
      <c r="I62" s="1945"/>
      <c r="J62" s="1945"/>
      <c r="K62" s="1945"/>
      <c r="L62" s="1952"/>
      <c r="M62" s="1945"/>
      <c r="N62" s="1945"/>
      <c r="O62" s="1945"/>
      <c r="P62" s="1945"/>
      <c r="Q62" s="91"/>
      <c r="R62" s="91" t="str">
        <f>PT.anaer_lagoon!B286</f>
        <v>Number of tractors for support with hose pulley</v>
      </c>
      <c r="S62" s="91"/>
      <c r="T62" s="1439">
        <f>PT.anaer_lagoon!AR286</f>
        <v>1</v>
      </c>
      <c r="U62" s="1465" t="str">
        <f>PT.anaer_lagoon!F286</f>
        <v>quantity</v>
      </c>
      <c r="W62" s="42"/>
      <c r="Y62" s="36"/>
    </row>
    <row r="63" spans="1:25" x14ac:dyDescent="0.3">
      <c r="A63" s="1947"/>
      <c r="B63" s="91" t="str">
        <f>PT.anaer_lagoon!B356</f>
        <v>Diesel fuel used for drag hose land application of liquids</v>
      </c>
      <c r="C63" s="1878">
        <f>PT.anaer_lagoon!AR356</f>
        <v>8.4582300456235715E-2</v>
      </c>
      <c r="D63" s="91" t="str">
        <f>PT.anaer_lagoon!F356</f>
        <v>gal/head/year</v>
      </c>
      <c r="E63" s="2081"/>
      <c r="F63" s="1936"/>
      <c r="G63" s="1932"/>
      <c r="H63" s="1945"/>
      <c r="I63" s="1945"/>
      <c r="J63" s="1945"/>
      <c r="K63" s="1945"/>
      <c r="L63" s="1952"/>
      <c r="M63" s="1949"/>
      <c r="N63" s="1945"/>
      <c r="O63" s="1945"/>
      <c r="P63" s="1945"/>
      <c r="Q63" s="91"/>
      <c r="R63" s="91" t="str">
        <f>PT.anaer_lagoon!B287</f>
        <v>Size of tractor for support with hose pulley</v>
      </c>
      <c r="S63" s="91"/>
      <c r="T63" s="1439">
        <f>PT.anaer_lagoon!AR287</f>
        <v>340</v>
      </c>
      <c r="U63" s="1465" t="str">
        <f>PT.anaer_lagoon!F287</f>
        <v>PTO hp</v>
      </c>
      <c r="W63" s="42"/>
      <c r="Y63" s="36"/>
    </row>
    <row r="64" spans="1:25" ht="21.75" customHeight="1" x14ac:dyDescent="0.3">
      <c r="A64" s="1947"/>
      <c r="B64" s="91" t="str">
        <f>PT.anaer_lagoon!B357</f>
        <v>Diesel fuel used for drag hose land application of sludge</v>
      </c>
      <c r="C64" s="1878">
        <f>PT.anaer_lagoon!AR357</f>
        <v>8.4913818271737912E-2</v>
      </c>
      <c r="D64" s="91" t="str">
        <f>PT.anaer_lagoon!F357</f>
        <v>gal/head/year</v>
      </c>
      <c r="E64" s="1914"/>
      <c r="F64" s="1936"/>
      <c r="G64" s="1944"/>
      <c r="H64" s="1945"/>
      <c r="I64" s="1945"/>
      <c r="J64" s="1945"/>
      <c r="K64" s="1945"/>
      <c r="L64" s="1952"/>
      <c r="M64" s="1945"/>
      <c r="N64" s="1945"/>
      <c r="O64" s="1945"/>
      <c r="P64" s="1945"/>
      <c r="Q64" s="91"/>
      <c r="R64" s="91" t="str">
        <f>PT.anaer_lagoon!B288</f>
        <v>Distance from storage to field</v>
      </c>
      <c r="S64" s="91"/>
      <c r="T64" s="1439">
        <f>PT.anaer_lagoon!AR288</f>
        <v>2</v>
      </c>
      <c r="U64" s="1465" t="str">
        <f>PT.anaer_lagoon!F288</f>
        <v>miles</v>
      </c>
      <c r="W64" s="42"/>
      <c r="Y64" s="36"/>
    </row>
    <row r="65" spans="1:25" x14ac:dyDescent="0.3">
      <c r="A65" s="1947"/>
      <c r="B65" s="49" t="str">
        <f>PT.slope_screen!B243</f>
        <v>Fuel needed for tractor with front end loader, for drying</v>
      </c>
      <c r="C65" s="1402">
        <f>PT.slope_screen!G243</f>
        <v>9.1269047138974338E-2</v>
      </c>
      <c r="D65" s="49" t="str">
        <f>PT.slope_screen!C243</f>
        <v>gal/head/year</v>
      </c>
      <c r="E65" s="2081"/>
      <c r="F65" s="1936"/>
      <c r="G65" s="1932"/>
      <c r="H65" s="1945"/>
      <c r="I65" s="1945"/>
      <c r="J65" s="1945"/>
      <c r="K65" s="1945"/>
      <c r="L65" s="1952"/>
      <c r="M65" s="1945"/>
      <c r="N65" s="1945"/>
      <c r="O65" s="1945"/>
      <c r="P65" s="1945"/>
      <c r="Q65" s="91"/>
      <c r="R65" s="91" t="str">
        <f>PT.anaer_lagoon!B289</f>
        <v>Fuel needed for tractor for pulling hose reel and applicator</v>
      </c>
      <c r="S65" s="91"/>
      <c r="T65" s="1439">
        <f>PT.anaer_lagoon!AR289</f>
        <v>25.52</v>
      </c>
      <c r="U65" s="1465" t="str">
        <f>PT.anaer_lagoon!F289</f>
        <v>gal/hr</v>
      </c>
      <c r="W65" s="42"/>
      <c r="Y65" s="36"/>
    </row>
    <row r="66" spans="1:25" x14ac:dyDescent="0.3">
      <c r="A66" s="1947"/>
      <c r="B66" s="49" t="str">
        <f>PT.slope_screen!B244</f>
        <v>Fuel needed for tractor with front end loader, to box spreader</v>
      </c>
      <c r="C66" s="1402">
        <f>PT.slope_screen!G244</f>
        <v>0.76057539282478626</v>
      </c>
      <c r="D66" s="49" t="str">
        <f>PT.slope_screen!C244</f>
        <v>gal/head/year</v>
      </c>
      <c r="E66" s="2081"/>
      <c r="F66" s="1936"/>
      <c r="G66" s="1932"/>
      <c r="H66" s="1945"/>
      <c r="I66" s="1945"/>
      <c r="J66" s="1945"/>
      <c r="K66" s="1945"/>
      <c r="L66" s="1940"/>
      <c r="M66" s="1945"/>
      <c r="N66" s="1945"/>
      <c r="O66" s="1945"/>
      <c r="P66" s="1945"/>
      <c r="Q66" s="91"/>
      <c r="R66" s="91" t="str">
        <f>PT.anaer_lagoon!B290</f>
        <v>Fuel needed for support tractor with hose pulley</v>
      </c>
      <c r="S66" s="91"/>
      <c r="T66" s="1439">
        <f>PT.anaer_lagoon!AR290</f>
        <v>14.959999999999999</v>
      </c>
      <c r="U66" s="1465" t="str">
        <f>PT.anaer_lagoon!F290</f>
        <v>gal/hr</v>
      </c>
      <c r="W66" s="42"/>
      <c r="Y66" s="36"/>
    </row>
    <row r="67" spans="1:25" x14ac:dyDescent="0.3">
      <c r="A67" s="1947"/>
      <c r="B67" s="49" t="str">
        <f>PT.slope_screen!B245</f>
        <v>Fuel needed for tractor with box spreader</v>
      </c>
      <c r="C67" s="1402">
        <f>PT.slope_screen!G245</f>
        <v>1.0821155200124499E-2</v>
      </c>
      <c r="D67" s="49" t="str">
        <f>PT.slope_screen!C245</f>
        <v>gal/head/year</v>
      </c>
      <c r="E67" s="2081"/>
      <c r="F67" s="1936"/>
      <c r="G67" s="1932"/>
      <c r="H67" s="1945"/>
      <c r="I67" s="1945"/>
      <c r="J67" s="1941"/>
      <c r="K67" s="1945"/>
      <c r="L67" s="1937"/>
      <c r="M67" s="1945"/>
      <c r="N67" s="1945"/>
      <c r="O67" s="1945"/>
      <c r="P67" s="1945"/>
      <c r="Q67" s="91"/>
      <c r="R67" s="91" t="str">
        <f>PT.anaer_lagoon!B291</f>
        <v>Diesel powered pump(s), size</v>
      </c>
      <c r="S67" s="91"/>
      <c r="T67" s="1439">
        <f>PT.anaer_lagoon!AR291</f>
        <v>3000</v>
      </c>
      <c r="U67" s="1465" t="str">
        <f>PT.anaer_lagoon!F291</f>
        <v>gal/min</v>
      </c>
      <c r="W67" s="42"/>
      <c r="Y67" s="36"/>
    </row>
    <row r="68" spans="1:25" x14ac:dyDescent="0.3">
      <c r="A68" s="1947"/>
      <c r="B68" s="49"/>
      <c r="C68" s="1085"/>
      <c r="D68" s="49"/>
      <c r="E68" s="2081"/>
      <c r="F68" s="1936"/>
      <c r="G68" s="1932"/>
      <c r="H68" s="1945"/>
      <c r="I68" s="1945"/>
      <c r="J68" s="1945"/>
      <c r="K68" s="1945"/>
      <c r="L68" s="1945"/>
      <c r="M68" s="1945"/>
      <c r="N68" s="1945"/>
      <c r="O68" s="1945"/>
      <c r="P68" s="1945"/>
      <c r="Q68" s="91"/>
      <c r="R68" s="91" t="str">
        <f>PT.anaer_lagoon!B292</f>
        <v>Number of diesel powered lead pumps needed</v>
      </c>
      <c r="S68" s="91"/>
      <c r="T68" s="1439">
        <f>PT.anaer_lagoon!AR292</f>
        <v>1</v>
      </c>
      <c r="U68" s="1465" t="str">
        <f>PT.anaer_lagoon!F292</f>
        <v>quantity</v>
      </c>
      <c r="W68" s="42"/>
      <c r="Y68" s="36"/>
    </row>
    <row r="69" spans="1:25" x14ac:dyDescent="0.3">
      <c r="A69" s="1947"/>
      <c r="B69" s="1465" t="s">
        <v>7144</v>
      </c>
      <c r="C69" s="1379">
        <f>C61+C62+C65+C66+C67</f>
        <v>1.2046557454857043</v>
      </c>
      <c r="D69" s="1465" t="s">
        <v>2497</v>
      </c>
      <c r="E69" s="2081"/>
      <c r="F69" s="1936"/>
      <c r="G69" s="1932"/>
      <c r="H69" s="1945"/>
      <c r="I69" s="1945"/>
      <c r="J69" s="1950"/>
      <c r="K69" s="1950"/>
      <c r="L69" s="1950"/>
      <c r="M69" s="1945"/>
      <c r="N69" s="1945"/>
      <c r="O69" s="1945"/>
      <c r="P69" s="1945"/>
      <c r="Q69" s="91"/>
      <c r="R69" s="91" t="str">
        <f>PT.anaer_lagoon!B293</f>
        <v>Number of diesel powered agitation trailers needed</v>
      </c>
      <c r="S69" s="91"/>
      <c r="T69" s="1439">
        <f>PT.anaer_lagoon!AR293</f>
        <v>1</v>
      </c>
      <c r="U69" s="1465" t="str">
        <f>PT.anaer_lagoon!F293</f>
        <v>quantity</v>
      </c>
      <c r="W69" s="42"/>
      <c r="Y69" s="36"/>
    </row>
    <row r="70" spans="1:25" x14ac:dyDescent="0.3">
      <c r="A70" s="1947"/>
      <c r="B70" s="91" t="s">
        <v>7145</v>
      </c>
      <c r="C70" s="1379">
        <f>C63+C64+C65+C66+C67</f>
        <v>1.0321617138918586</v>
      </c>
      <c r="D70" s="1465" t="s">
        <v>2497</v>
      </c>
      <c r="E70" s="1945"/>
      <c r="F70" s="1945"/>
      <c r="G70" s="1945"/>
      <c r="H70" s="1945"/>
      <c r="I70" s="1945"/>
      <c r="J70" s="1945"/>
      <c r="K70" s="1945"/>
      <c r="L70" s="1945"/>
      <c r="M70" s="1945"/>
      <c r="N70" s="1945"/>
      <c r="O70" s="1945"/>
      <c r="P70" s="1945"/>
      <c r="Q70" s="91"/>
      <c r="R70" s="91" t="str">
        <f>PT.anaer_lagoon!B294</f>
        <v>Number of booster pumps needed</v>
      </c>
      <c r="S70" s="91"/>
      <c r="T70" s="1439">
        <f>PT.anaer_lagoon!AR294</f>
        <v>1</v>
      </c>
      <c r="U70" s="1465" t="str">
        <f>PT.anaer_lagoon!F294</f>
        <v>quantity</v>
      </c>
      <c r="W70" s="42"/>
      <c r="Y70" s="36"/>
    </row>
    <row r="71" spans="1:25" x14ac:dyDescent="0.3">
      <c r="A71" s="1945"/>
      <c r="B71" s="1668" t="s">
        <v>5756</v>
      </c>
      <c r="C71" s="1680"/>
      <c r="D71" s="1815"/>
      <c r="E71" s="1914"/>
      <c r="F71" s="1914"/>
      <c r="G71" s="1914"/>
      <c r="H71" s="1914"/>
      <c r="I71" s="1945"/>
      <c r="J71" s="1945"/>
      <c r="K71" s="1945"/>
      <c r="L71" s="1945"/>
      <c r="M71" s="1945"/>
      <c r="N71" s="1945"/>
      <c r="O71" s="1945"/>
      <c r="P71" s="1945"/>
      <c r="Q71" s="91"/>
      <c r="R71" s="91" t="str">
        <f>PT.anaer_lagoon!B295</f>
        <v>Operation time for pumping</v>
      </c>
      <c r="S71" s="91"/>
      <c r="T71" s="1439">
        <f>PT.anaer_lagoon!AR295</f>
        <v>0.26782823885473367</v>
      </c>
      <c r="U71" s="1465" t="str">
        <f>PT.anaer_lagoon!F295</f>
        <v>hr</v>
      </c>
      <c r="W71" s="42"/>
      <c r="Y71" s="36"/>
    </row>
    <row r="72" spans="1:25" x14ac:dyDescent="0.3">
      <c r="A72" s="1945"/>
      <c r="B72" s="91" t="str">
        <f>PT.anaer_lagoon!B362</f>
        <v>Total N accumulated in liquids</v>
      </c>
      <c r="C72" s="1878">
        <f>PT.anaer_lagoon!AR362</f>
        <v>4.8550982191333514</v>
      </c>
      <c r="D72" s="91" t="str">
        <f>PT.anaer_lagoon!F362</f>
        <v>kg/head/year</v>
      </c>
      <c r="E72" s="1945"/>
      <c r="F72" s="1960"/>
      <c r="G72" s="1947"/>
      <c r="H72" s="1945"/>
      <c r="I72" s="1945"/>
      <c r="J72" s="1945"/>
      <c r="K72" s="1945"/>
      <c r="L72" s="1945"/>
      <c r="M72" s="1945"/>
      <c r="N72" s="1945"/>
      <c r="O72" s="1945"/>
      <c r="P72" s="1945"/>
      <c r="Q72" s="91"/>
      <c r="R72" s="91" t="str">
        <f>PT.anaer_lagoon!B296</f>
        <v>Fuel needed for diesel powered lead pump</v>
      </c>
      <c r="S72" s="91"/>
      <c r="T72" s="1439">
        <f>PT.anaer_lagoon!AR296</f>
        <v>4.8209082993852057</v>
      </c>
      <c r="U72" s="1465" t="str">
        <f>PT.anaer_lagoon!F296</f>
        <v>gal/event</v>
      </c>
      <c r="W72" s="42"/>
      <c r="Y72" s="36"/>
    </row>
    <row r="73" spans="1:25" x14ac:dyDescent="0.3">
      <c r="A73" s="1945"/>
      <c r="B73" s="91" t="str">
        <f>PT.anaer_lagoon!B363</f>
        <v>Total P2O5 accumulated in liquids</v>
      </c>
      <c r="C73" s="1878">
        <f>PT.anaer_lagoon!AR363</f>
        <v>2.3749116462500002</v>
      </c>
      <c r="D73" s="91" t="str">
        <f>PT.anaer_lagoon!F363</f>
        <v>kg/head/year</v>
      </c>
      <c r="E73" s="1945"/>
      <c r="F73" s="1945"/>
      <c r="G73" s="1947"/>
      <c r="H73" s="1945"/>
      <c r="I73" s="1945"/>
      <c r="J73" s="1945"/>
      <c r="K73" s="1945"/>
      <c r="L73" s="1945"/>
      <c r="M73" s="1945"/>
      <c r="N73" s="1945"/>
      <c r="O73" s="1945"/>
      <c r="P73" s="1945"/>
      <c r="Q73" s="91"/>
      <c r="R73" s="91" t="str">
        <f>PT.anaer_lagoon!B297</f>
        <v>Fuel needed for diesel powered booster pump</v>
      </c>
      <c r="S73" s="91"/>
      <c r="T73" s="1439">
        <f>PT.anaer_lagoon!AR297</f>
        <v>2.0087117914105024</v>
      </c>
      <c r="U73" s="1465" t="str">
        <f>PT.anaer_lagoon!F297</f>
        <v>gal/event</v>
      </c>
      <c r="W73" s="42"/>
      <c r="Y73" s="36"/>
    </row>
    <row r="74" spans="1:25" x14ac:dyDescent="0.3">
      <c r="A74" s="1945"/>
      <c r="B74" s="91" t="str">
        <f>PT.anaer_lagoon!B364</f>
        <v>Total K2O accumulated in liquids</v>
      </c>
      <c r="C74" s="1878">
        <f>PT.anaer_lagoon!AR364</f>
        <v>3.8862380375000001</v>
      </c>
      <c r="D74" s="91" t="str">
        <f>PT.anaer_lagoon!F364</f>
        <v>kg/head/year</v>
      </c>
      <c r="E74" s="1945"/>
      <c r="F74" s="1934"/>
      <c r="G74" s="1947"/>
      <c r="H74" s="1945"/>
      <c r="I74" s="1945"/>
      <c r="J74" s="1945"/>
      <c r="K74" s="1952"/>
      <c r="L74" s="1952"/>
      <c r="M74" s="1945"/>
      <c r="N74" s="1945"/>
      <c r="O74" s="1945"/>
      <c r="P74" s="1945"/>
      <c r="Q74" s="91"/>
      <c r="R74" s="91" t="str">
        <f>PT.anaer_lagoon!B298</f>
        <v>Fuel needed for diesel powered agitation trailer</v>
      </c>
      <c r="S74" s="91"/>
      <c r="T74" s="1439">
        <f>PT.anaer_lagoon!AR298</f>
        <v>1.6069694331284019</v>
      </c>
      <c r="U74" s="1465" t="str">
        <f>PT.anaer_lagoon!F298</f>
        <v>gal/event</v>
      </c>
      <c r="W74" s="42"/>
      <c r="Y74" s="36"/>
    </row>
    <row r="75" spans="1:25" x14ac:dyDescent="0.3">
      <c r="A75" s="1945"/>
      <c r="B75" s="1668" t="s">
        <v>6432</v>
      </c>
      <c r="C75" s="2254"/>
      <c r="D75" s="1815"/>
      <c r="E75" s="1945"/>
      <c r="F75" s="1934"/>
      <c r="G75" s="1947"/>
      <c r="H75" s="1945"/>
      <c r="I75" s="1945"/>
      <c r="J75" s="1945"/>
      <c r="K75" s="1945"/>
      <c r="L75" s="1945"/>
      <c r="M75" s="1945"/>
      <c r="N75" s="1945"/>
      <c r="O75" s="1945"/>
      <c r="P75" s="1945"/>
      <c r="Q75" s="91"/>
      <c r="R75" s="91" t="str">
        <f>PT.anaer_lagoon!B299</f>
        <v>Fuel needed for pickup truck</v>
      </c>
      <c r="S75" s="91"/>
      <c r="T75" s="1439">
        <f>PT.anaer_lagoon!AR299</f>
        <v>0.24104541496926027</v>
      </c>
      <c r="U75" s="1465" t="str">
        <f>PT.anaer_lagoon!F299</f>
        <v>gal/event</v>
      </c>
      <c r="W75" s="42"/>
      <c r="Y75" s="36"/>
    </row>
    <row r="76" spans="1:25" x14ac:dyDescent="0.3">
      <c r="A76" s="1945"/>
      <c r="B76" s="91" t="str">
        <f>PT.anaer_lagoon!B366</f>
        <v>Total N accumulated in sludge</v>
      </c>
      <c r="C76" s="1878">
        <f>PT.anaer_lagoon!AR366</f>
        <v>1.2137745547833374</v>
      </c>
      <c r="D76" s="91" t="str">
        <f>PT.anaer_lagoon!F366</f>
        <v>kg/head/year</v>
      </c>
      <c r="E76" s="1945"/>
      <c r="F76" s="1934"/>
      <c r="G76" s="1947"/>
      <c r="H76" s="1945"/>
      <c r="I76" s="1945"/>
      <c r="J76" s="1914"/>
      <c r="K76" s="1945"/>
      <c r="L76" s="1945"/>
      <c r="M76" s="1945"/>
      <c r="N76" s="1945"/>
      <c r="O76" s="1945"/>
      <c r="P76" s="1945"/>
      <c r="Q76" s="91"/>
      <c r="R76" s="91" t="str">
        <f>PT.anaer_lagoon!B300</f>
        <v>Excess volume, lagoon liquid manure</v>
      </c>
      <c r="S76" s="91"/>
      <c r="T76" s="1439">
        <f>PT.anaer_lagoon!AR300</f>
        <v>0</v>
      </c>
      <c r="U76" s="1465" t="str">
        <f>PT.anaer_lagoon!F300</f>
        <v>1000 gal/year</v>
      </c>
      <c r="W76" s="42"/>
      <c r="Y76" s="36"/>
    </row>
    <row r="77" spans="1:25" x14ac:dyDescent="0.3">
      <c r="A77" s="1945"/>
      <c r="B77" s="91" t="str">
        <f>PT.anaer_lagoon!B367</f>
        <v>Total P2O5 accumulated in sludge</v>
      </c>
      <c r="C77" s="1878">
        <f>PT.anaer_lagoon!AR367</f>
        <v>1.9431095287499998</v>
      </c>
      <c r="D77" s="91" t="str">
        <f>PT.anaer_lagoon!F367</f>
        <v>kg/head/year</v>
      </c>
      <c r="E77" s="1945"/>
      <c r="F77" s="1934"/>
      <c r="G77" s="1947"/>
      <c r="H77" s="1945"/>
      <c r="I77" s="1945"/>
      <c r="J77" s="1953"/>
      <c r="K77" s="1953"/>
      <c r="L77" s="1953"/>
      <c r="M77" s="1953"/>
      <c r="N77" s="1945"/>
      <c r="O77" s="1945"/>
      <c r="P77" s="1945"/>
      <c r="Q77" s="91"/>
      <c r="R77" s="91" t="str">
        <f>PT.anaer_lagoon!B301</f>
        <v>Excess volume, lagoon sludge manure</v>
      </c>
      <c r="S77" s="91"/>
      <c r="T77" s="1439">
        <f>PT.anaer_lagoon!AR301</f>
        <v>0</v>
      </c>
      <c r="U77" s="1465" t="str">
        <f>PT.anaer_lagoon!F301</f>
        <v>1000 gal/event</v>
      </c>
      <c r="W77" s="42"/>
      <c r="Y77" s="36"/>
    </row>
    <row r="78" spans="1:25" x14ac:dyDescent="0.3">
      <c r="A78" s="1945"/>
      <c r="B78" s="91" t="str">
        <f>PT.anaer_lagoon!B368</f>
        <v>Total K2O accumulated in sludge</v>
      </c>
      <c r="C78" s="1878">
        <f>PT.anaer_lagoon!AR368</f>
        <v>2.0925897124999997</v>
      </c>
      <c r="D78" s="91" t="str">
        <f>PT.anaer_lagoon!F368</f>
        <v>kg/head/year</v>
      </c>
      <c r="E78" s="1945"/>
      <c r="F78" s="1934"/>
      <c r="G78" s="1947"/>
      <c r="H78" s="1945"/>
      <c r="I78" s="1945"/>
      <c r="J78" s="1953"/>
      <c r="K78" s="1953"/>
      <c r="L78" s="1953"/>
      <c r="M78" s="1953"/>
      <c r="N78" s="1945"/>
      <c r="O78" s="1945"/>
      <c r="P78" s="1945"/>
      <c r="Q78" s="91"/>
      <c r="R78" s="91" t="str">
        <f>PT.anaer_lagoon!B302</f>
        <v>Fertilizer value for on-farm use, liquids</v>
      </c>
      <c r="S78" s="91"/>
      <c r="T78" s="1439">
        <f>PT.anaer_lagoon!AR302</f>
        <v>4653.6171608560817</v>
      </c>
      <c r="U78" s="1465" t="str">
        <f>PT.anaer_lagoon!F302</f>
        <v>$/year</v>
      </c>
      <c r="W78" s="42"/>
      <c r="Y78" s="36"/>
    </row>
    <row r="79" spans="1:25" x14ac:dyDescent="0.3">
      <c r="A79" s="1945"/>
      <c r="B79" s="1668" t="s">
        <v>5760</v>
      </c>
      <c r="C79" s="2254"/>
      <c r="D79" s="1815"/>
      <c r="E79" s="1945"/>
      <c r="F79" s="1934"/>
      <c r="G79" s="1947"/>
      <c r="H79" s="1945"/>
      <c r="I79" s="1945"/>
      <c r="J79" s="1954"/>
      <c r="K79" s="1955"/>
      <c r="L79" s="1955"/>
      <c r="M79" s="1955"/>
      <c r="N79" s="1955"/>
      <c r="O79" s="1914"/>
      <c r="P79" s="1945"/>
      <c r="Q79" s="1612"/>
      <c r="R79" s="1612" t="str">
        <f>PT.anaer_lagoon!B303</f>
        <v>Fertilizer value for on-farm use, sludge</v>
      </c>
      <c r="S79" s="1612"/>
      <c r="T79" s="2082">
        <f>PT.anaer_lagoon!AR303</f>
        <v>11276.579679414468</v>
      </c>
      <c r="U79" s="2083" t="str">
        <f>PT.anaer_lagoon!F303</f>
        <v>$/event</v>
      </c>
      <c r="W79" s="42"/>
      <c r="Y79" s="36"/>
    </row>
    <row r="80" spans="1:25" x14ac:dyDescent="0.3">
      <c r="A80" s="1945"/>
      <c r="B80" s="91" t="str">
        <f>PT.anaer_lagoon!B370</f>
        <v>Excess N from liquids</v>
      </c>
      <c r="C80" s="1878">
        <f>PT.anaer_lagoon!AR370</f>
        <v>0</v>
      </c>
      <c r="D80" s="91" t="str">
        <f>PT.anaer_lagoon!F370</f>
        <v>kg/head/year</v>
      </c>
      <c r="E80" s="1945"/>
      <c r="F80" s="1934"/>
      <c r="G80" s="1947"/>
      <c r="H80" s="1945"/>
      <c r="I80" s="1945"/>
      <c r="J80" s="1955"/>
      <c r="K80" s="1956"/>
      <c r="L80" s="1954"/>
      <c r="M80" s="1945"/>
      <c r="N80" s="1945"/>
      <c r="O80" s="1945"/>
      <c r="P80" s="1945"/>
      <c r="Q80" s="49" t="s">
        <v>2847</v>
      </c>
      <c r="R80" s="49" t="str">
        <f>PT.slope_screen!B203</f>
        <v>Fertilizer value for on-farm use, solids (non-sludge year)</v>
      </c>
      <c r="S80" s="49"/>
      <c r="T80" s="1209">
        <f>PT.slope_screen!G203</f>
        <v>1541.5578501155414</v>
      </c>
      <c r="U80" s="49" t="str">
        <f>PT.slope_screen!C203</f>
        <v>$/year</v>
      </c>
      <c r="W80" s="42"/>
      <c r="Y80" s="36"/>
    </row>
    <row r="81" spans="1:44" x14ac:dyDescent="0.3">
      <c r="A81" s="1947"/>
      <c r="B81" s="91" t="str">
        <f>PT.anaer_lagoon!B371</f>
        <v>Excess P2O5 from liquids</v>
      </c>
      <c r="C81" s="1878">
        <f>PT.anaer_lagoon!AR371</f>
        <v>0.85972385577482757</v>
      </c>
      <c r="D81" s="91" t="str">
        <f>PT.anaer_lagoon!F371</f>
        <v>kg/head/year</v>
      </c>
      <c r="E81" s="1945"/>
      <c r="F81" s="1945"/>
      <c r="G81" s="1945"/>
      <c r="H81" s="1945"/>
      <c r="I81" s="1945"/>
      <c r="J81" s="1957"/>
      <c r="K81" s="1957"/>
      <c r="L81" s="2037"/>
      <c r="M81" s="1957"/>
      <c r="N81" s="1933"/>
      <c r="O81" s="1945"/>
      <c r="P81" s="1945"/>
      <c r="Q81" s="49"/>
      <c r="R81" s="49" t="str">
        <f>PT.slope_screen!B204</f>
        <v>Fertilizer value for on-farm use, solids (sludge year)</v>
      </c>
      <c r="S81" s="49"/>
      <c r="T81" s="1209">
        <f>PT.slope_screen!G204</f>
        <v>1129.8345002026797</v>
      </c>
      <c r="U81" s="49" t="str">
        <f>PT.slope_screen!C204</f>
        <v>$/year</v>
      </c>
      <c r="W81" s="42"/>
      <c r="Y81" s="36"/>
    </row>
    <row r="82" spans="1:44" x14ac:dyDescent="0.3">
      <c r="A82" s="1947"/>
      <c r="B82" s="91" t="str">
        <f>PT.anaer_lagoon!B372</f>
        <v>Excess K2O from liquids</v>
      </c>
      <c r="C82" s="1878">
        <f>PT.anaer_lagoon!AR372</f>
        <v>1.5817177959625441</v>
      </c>
      <c r="D82" s="91" t="str">
        <f>PT.anaer_lagoon!F372</f>
        <v>kg/head/year</v>
      </c>
      <c r="E82" s="1914"/>
      <c r="F82" s="1914"/>
      <c r="G82" s="1914"/>
      <c r="H82" s="1914"/>
      <c r="I82" s="1945"/>
      <c r="J82" s="1954"/>
      <c r="K82" s="1954"/>
      <c r="L82" s="1959"/>
      <c r="M82" s="1959"/>
      <c r="N82" s="1947"/>
      <c r="O82" s="1945"/>
      <c r="P82" s="1945"/>
      <c r="Q82" s="49"/>
      <c r="R82" s="49" t="str">
        <f>PT.slope_screen!B205</f>
        <v>Number of SS units needed</v>
      </c>
      <c r="S82" s="49"/>
      <c r="T82" s="1209">
        <f>PT.slope_screen!G205</f>
        <v>1</v>
      </c>
      <c r="U82" s="49" t="str">
        <f>PT.slope_screen!C205</f>
        <v>quantity</v>
      </c>
      <c r="W82" s="42"/>
      <c r="Y82" s="36"/>
    </row>
    <row r="83" spans="1:44" x14ac:dyDescent="0.3">
      <c r="A83" s="1947"/>
      <c r="B83" s="1668" t="s">
        <v>6439</v>
      </c>
      <c r="C83" s="2254"/>
      <c r="D83" s="1815"/>
      <c r="E83" s="1945"/>
      <c r="F83" s="1935"/>
      <c r="G83" s="1947"/>
      <c r="H83" s="1945"/>
      <c r="I83" s="1945"/>
      <c r="J83" s="1954"/>
      <c r="K83" s="1954"/>
      <c r="L83" s="1959"/>
      <c r="M83" s="1959"/>
      <c r="N83" s="1947"/>
      <c r="O83" s="1945"/>
      <c r="P83" s="1945"/>
      <c r="Q83" s="49"/>
      <c r="R83" s="49" t="str">
        <f>PT.slope_screen!B206</f>
        <v>Size of slope screen needed</v>
      </c>
      <c r="S83" s="49"/>
      <c r="T83" s="1209">
        <f>PT.slope_screen!G206</f>
        <v>32</v>
      </c>
      <c r="U83" s="49" t="str">
        <f>PT.slope_screen!C206</f>
        <v>ft2</v>
      </c>
      <c r="W83" s="42"/>
      <c r="Y83" s="36"/>
    </row>
    <row r="84" spans="1:44" x14ac:dyDescent="0.3">
      <c r="A84" s="1947"/>
      <c r="B84" s="91" t="str">
        <f>PT.anaer_lagoon!B374</f>
        <v>Excess N from sludge</v>
      </c>
      <c r="C84" s="1878">
        <f>PT.anaer_lagoon!AR374</f>
        <v>0</v>
      </c>
      <c r="D84" s="91" t="str">
        <f>PT.anaer_lagoon!F374</f>
        <v>kg/head/year</v>
      </c>
      <c r="E84" s="1945"/>
      <c r="F84" s="1960"/>
      <c r="G84" s="1947"/>
      <c r="H84" s="1945"/>
      <c r="I84" s="1945"/>
      <c r="J84" s="1955"/>
      <c r="K84" s="1954"/>
      <c r="L84" s="1959"/>
      <c r="M84" s="1959"/>
      <c r="N84" s="1947"/>
      <c r="O84" s="1945"/>
      <c r="P84" s="1945"/>
      <c r="Q84" s="49"/>
      <c r="R84" s="49" t="str">
        <f>PT.slope_screen!B207</f>
        <v>Number of motors for SS</v>
      </c>
      <c r="S84" s="49"/>
      <c r="T84" s="1209">
        <f>PT.slope_screen!G207</f>
        <v>1</v>
      </c>
      <c r="U84" s="49" t="str">
        <f>PT.slope_screen!C207</f>
        <v>quantity</v>
      </c>
      <c r="W84" s="42"/>
      <c r="Y84" s="36"/>
    </row>
    <row r="85" spans="1:44" x14ac:dyDescent="0.3">
      <c r="A85" s="1947"/>
      <c r="B85" s="91" t="str">
        <f>PT.anaer_lagoon!B375</f>
        <v>Excess P2O5 from sludge</v>
      </c>
      <c r="C85" s="1878">
        <f>PT.anaer_lagoon!AR375</f>
        <v>1.5207247292679327</v>
      </c>
      <c r="D85" s="91" t="str">
        <f>PT.anaer_lagoon!F375</f>
        <v>kg/head/year</v>
      </c>
      <c r="E85" s="1943"/>
      <c r="F85" s="1943"/>
      <c r="G85" s="1947"/>
      <c r="H85" s="1945"/>
      <c r="I85" s="1945"/>
      <c r="J85" s="1955"/>
      <c r="K85" s="1954"/>
      <c r="L85" s="1959"/>
      <c r="M85" s="1959"/>
      <c r="N85" s="1947"/>
      <c r="O85" s="1945"/>
      <c r="P85" s="1945"/>
      <c r="Q85" s="49"/>
      <c r="R85" s="49" t="str">
        <f>PT.slope_screen!B208</f>
        <v>Size of motor for SS</v>
      </c>
      <c r="S85" s="49"/>
      <c r="T85" s="1209">
        <f>PT.slope_screen!G208</f>
        <v>2</v>
      </c>
      <c r="U85" s="49" t="str">
        <f>PT.slope_screen!C208</f>
        <v>hp</v>
      </c>
      <c r="W85" s="36"/>
    </row>
    <row r="86" spans="1:44" x14ac:dyDescent="0.3">
      <c r="A86" s="1947"/>
      <c r="B86" s="91" t="str">
        <f>PT.anaer_lagoon!B376</f>
        <v>Excess K2O from sludge</v>
      </c>
      <c r="C86" s="1878">
        <f>PT.anaer_lagoon!AR376</f>
        <v>1.5603962669862474</v>
      </c>
      <c r="D86" s="91" t="str">
        <f>PT.anaer_lagoon!F376</f>
        <v>kg/head/year</v>
      </c>
      <c r="E86" s="1943"/>
      <c r="F86" s="1943"/>
      <c r="G86" s="1947"/>
      <c r="H86" s="1945"/>
      <c r="I86" s="1945"/>
      <c r="J86" s="1955"/>
      <c r="K86" s="1954"/>
      <c r="L86" s="1958"/>
      <c r="M86" s="1959"/>
      <c r="N86" s="1947"/>
      <c r="O86" s="1945"/>
      <c r="P86" s="1945"/>
      <c r="Q86" s="49"/>
      <c r="R86" s="49" t="str">
        <f>PT.slope_screen!B209</f>
        <v>SS operation time</v>
      </c>
      <c r="S86" s="49"/>
      <c r="T86" s="1209">
        <f>PT.slope_screen!G209</f>
        <v>3.1851823435497625E-2</v>
      </c>
      <c r="U86" s="49" t="str">
        <f>PT.slope_screen!C209</f>
        <v>hr/day</v>
      </c>
      <c r="W86" s="36"/>
    </row>
    <row r="87" spans="1:44" x14ac:dyDescent="0.3">
      <c r="A87" s="1947"/>
      <c r="B87" s="2068" t="s">
        <v>6162</v>
      </c>
      <c r="C87" s="2255"/>
      <c r="D87" s="2084"/>
      <c r="E87" s="1943"/>
      <c r="F87" s="1943"/>
      <c r="G87" s="1946"/>
      <c r="H87" s="1945"/>
      <c r="I87" s="1945"/>
      <c r="J87" s="1955"/>
      <c r="K87" s="1954"/>
      <c r="L87" s="1954"/>
      <c r="M87" s="1959"/>
      <c r="N87" s="1947"/>
      <c r="O87" s="1945"/>
      <c r="P87" s="1945"/>
      <c r="Q87" s="49"/>
      <c r="R87" s="49" t="str">
        <f>PT.slope_screen!B210</f>
        <v>Energy needed for SS motor(s)</v>
      </c>
      <c r="S87" s="49"/>
      <c r="T87" s="1209">
        <f>PT.slope_screen!G210</f>
        <v>2.3761460282881227E-2</v>
      </c>
      <c r="U87" s="49" t="str">
        <f>PT.slope_screen!C210</f>
        <v>kWh/day</v>
      </c>
    </row>
    <row r="88" spans="1:44" x14ac:dyDescent="0.3">
      <c r="A88" s="1947"/>
      <c r="B88" s="1577" t="s">
        <v>6163</v>
      </c>
      <c r="C88" s="1877">
        <f>PT.slope_screen!G248</f>
        <v>1.659283011450146</v>
      </c>
      <c r="D88" s="2085" t="str">
        <f>PT.slope_screen!C248</f>
        <v>kg/head/year</v>
      </c>
      <c r="E88" s="1943"/>
      <c r="F88" s="1945"/>
      <c r="G88" s="1947"/>
      <c r="H88" s="1945"/>
      <c r="I88" s="1945"/>
      <c r="J88" s="1954"/>
      <c r="K88" s="1954"/>
      <c r="L88" s="1954"/>
      <c r="M88" s="1959"/>
      <c r="N88" s="1947"/>
      <c r="O88" s="1945"/>
      <c r="P88" s="1945"/>
      <c r="Q88" s="49"/>
      <c r="R88" s="49" t="str">
        <f>PT.slope_screen!B211</f>
        <v>Concrete storage slab for separated solids</v>
      </c>
      <c r="S88" s="49"/>
      <c r="T88" s="1209">
        <f>PT.slope_screen!G211</f>
        <v>43.729975885638247</v>
      </c>
      <c r="U88" s="49" t="str">
        <f>PT.slope_screen!C211</f>
        <v>m2</v>
      </c>
    </row>
    <row r="89" spans="1:44" x14ac:dyDescent="0.3">
      <c r="A89" s="1947"/>
      <c r="B89" s="1577" t="s">
        <v>6164</v>
      </c>
      <c r="C89" s="1877">
        <f>PT.slope_screen!G249</f>
        <v>2.3250883269497966</v>
      </c>
      <c r="D89" s="2085" t="str">
        <f>PT.slope_screen!C249</f>
        <v>kg/head/year</v>
      </c>
      <c r="E89" s="1943"/>
      <c r="F89" s="1943"/>
      <c r="G89" s="1947"/>
      <c r="H89" s="1945"/>
      <c r="I89" s="1945"/>
      <c r="J89" s="1954"/>
      <c r="K89" s="1954"/>
      <c r="L89" s="1954"/>
      <c r="M89" s="1959"/>
      <c r="N89" s="1947"/>
      <c r="O89" s="1945"/>
      <c r="P89" s="1945"/>
      <c r="Q89" s="49"/>
      <c r="R89" s="49" t="str">
        <f>PT.slope_screen!B212</f>
        <v>Fibers recovered from SS</v>
      </c>
      <c r="S89" s="49"/>
      <c r="T89" s="1209">
        <f>PT.slope_screen!G212</f>
        <v>60.667777777777751</v>
      </c>
      <c r="U89" s="49" t="str">
        <f>PT.slope_screen!C212</f>
        <v>kg/day</v>
      </c>
    </row>
    <row r="90" spans="1:44" x14ac:dyDescent="0.3">
      <c r="A90" s="1947"/>
      <c r="B90" s="1577" t="s">
        <v>6165</v>
      </c>
      <c r="C90" s="1877">
        <f>PT.slope_screen!G250</f>
        <v>2.5623547521487668</v>
      </c>
      <c r="D90" s="2085" t="str">
        <f>PT.slope_screen!C250</f>
        <v>kg/head/year</v>
      </c>
      <c r="E90" s="1943"/>
      <c r="F90" s="1943"/>
      <c r="G90" s="1947"/>
      <c r="H90" s="1945"/>
      <c r="I90" s="1945"/>
      <c r="J90" s="1955"/>
      <c r="K90" s="1954"/>
      <c r="L90" s="1954"/>
      <c r="M90" s="1959"/>
      <c r="N90" s="1947"/>
      <c r="O90" s="1945"/>
      <c r="P90" s="1945"/>
      <c r="Q90" s="49"/>
      <c r="R90" s="49" t="str">
        <f>PT.slope_screen!B213</f>
        <v>Total organic bedding needed</v>
      </c>
      <c r="S90" s="49"/>
      <c r="T90" s="1209">
        <f>PT.slope_screen!G213</f>
        <v>0</v>
      </c>
      <c r="U90" s="49" t="str">
        <f>PT.slope_screen!C213</f>
        <v>kg/day</v>
      </c>
    </row>
    <row r="91" spans="1:44" x14ac:dyDescent="0.3">
      <c r="A91" s="1947"/>
      <c r="B91" s="2068" t="s">
        <v>6166</v>
      </c>
      <c r="C91" s="2255"/>
      <c r="D91" s="2084"/>
      <c r="E91" s="1943"/>
      <c r="F91" s="1943"/>
      <c r="G91" s="1947"/>
      <c r="H91" s="1945"/>
      <c r="I91" s="1945"/>
      <c r="J91" s="1955"/>
      <c r="K91" s="1954"/>
      <c r="L91" s="1958"/>
      <c r="M91" s="1959"/>
      <c r="N91" s="1947"/>
      <c r="O91" s="1945"/>
      <c r="P91" s="1945"/>
      <c r="Q91" s="49"/>
      <c r="R91" s="49" t="str">
        <f>PT.slope_screen!B214</f>
        <v>Interval between moving solids for drying</v>
      </c>
      <c r="S91" s="49"/>
      <c r="T91" s="1209">
        <f>PT.slope_screen!G214</f>
        <v>14</v>
      </c>
      <c r="U91" s="49" t="str">
        <f>PT.slope_screen!C214</f>
        <v>day</v>
      </c>
      <c r="AQ91" s="67" t="s">
        <v>7385</v>
      </c>
      <c r="AR91" s="76" t="s">
        <v>7386</v>
      </c>
    </row>
    <row r="92" spans="1:44" x14ac:dyDescent="0.3">
      <c r="A92" s="1947"/>
      <c r="B92" s="49" t="s">
        <v>6167</v>
      </c>
      <c r="C92" s="1877">
        <f>PT.slope_screen!G252</f>
        <v>0</v>
      </c>
      <c r="D92" s="2085" t="str">
        <f>PT.slope_screen!C252</f>
        <v>kg/head/year</v>
      </c>
      <c r="E92" s="1943"/>
      <c r="F92" s="1943"/>
      <c r="G92" s="1947"/>
      <c r="H92" s="1945"/>
      <c r="I92" s="1945"/>
      <c r="J92" s="1954"/>
      <c r="K92" s="1954"/>
      <c r="L92" s="1958"/>
      <c r="M92" s="1959"/>
      <c r="N92" s="1947"/>
      <c r="O92" s="1945"/>
      <c r="P92" s="1945"/>
      <c r="Q92" s="49"/>
      <c r="R92" s="49" t="str">
        <f>PT.slope_screen!B215</f>
        <v>Tractor with front end loader, size</v>
      </c>
      <c r="S92" s="49"/>
      <c r="T92" s="1209">
        <f>PT.slope_screen!G215</f>
        <v>94</v>
      </c>
      <c r="U92" s="49" t="str">
        <f>PT.slope_screen!C215</f>
        <v>pto hp</v>
      </c>
      <c r="AQ92" s="9" t="e" cm="1" vm="1">
        <f t="array" aca="1" ref="AQ92" ca="1">IFERROR(INDEX($AB$86:$AN$88,$AE92,COLUMNS($AO86:AZ$86)),"")</f>
        <v>#VALUE!</v>
      </c>
      <c r="AR92" s="9" t="e" cm="1" vm="1">
        <f t="array" aca="1" ref="AR92" ca="1">IFERROR(INDEX($AB$86:$AN$88,$AE92,COLUMNS($AO67:BA$67)),"")</f>
        <v>#VALUE!</v>
      </c>
    </row>
    <row r="93" spans="1:44" x14ac:dyDescent="0.3">
      <c r="A93" s="1947"/>
      <c r="B93" s="49" t="s">
        <v>6168</v>
      </c>
      <c r="C93" s="1877">
        <f>PT.slope_screen!G253</f>
        <v>1.7171116024285138</v>
      </c>
      <c r="D93" s="2085" t="str">
        <f>PT.slope_screen!C253</f>
        <v>kg/head/year</v>
      </c>
      <c r="E93" s="1945"/>
      <c r="F93" s="1945"/>
      <c r="G93" s="1945"/>
      <c r="H93" s="1945"/>
      <c r="I93" s="1945"/>
      <c r="J93" s="1954"/>
      <c r="K93" s="1954"/>
      <c r="L93" s="1959"/>
      <c r="M93" s="1959"/>
      <c r="N93" s="1947"/>
      <c r="O93" s="1945"/>
      <c r="P93" s="1945"/>
      <c r="Q93" s="49"/>
      <c r="R93" s="49" t="str">
        <f>PT.slope_screen!B216</f>
        <v>Fuel needed for tractor with front end loader, for drying</v>
      </c>
      <c r="S93" s="49"/>
      <c r="T93" s="1209">
        <f>PT.slope_screen!G216</f>
        <v>0.12502609197119774</v>
      </c>
      <c r="U93" s="49" t="str">
        <f>PT.slope_screen!C216</f>
        <v>gal diesel/event</v>
      </c>
      <c r="X93" s="20"/>
      <c r="AQ93" s="9" t="e" cm="1" vm="2">
        <f t="array" aca="1" ref="AQ93" ca="1">IFERROR(INDEX($AB$115:$AN$118,$AE93,COLUMNS($AO87:AZ$115)),"")</f>
        <v>#VALUE!</v>
      </c>
      <c r="AR93" s="9" t="e" cm="1" vm="2">
        <f t="array" aca="1" ref="AR93" ca="1">IFERROR(INDEX($AB$115:$AN$118,$AE93,COLUMNS($AO68:BA$96)),"")</f>
        <v>#VALUE!</v>
      </c>
    </row>
    <row r="94" spans="1:44" x14ac:dyDescent="0.3">
      <c r="A94" s="1947"/>
      <c r="B94" s="49" t="s">
        <v>6169</v>
      </c>
      <c r="C94" s="1877">
        <f>PT.slope_screen!G254</f>
        <v>1.7858180327821436</v>
      </c>
      <c r="D94" s="2085" t="str">
        <f>PT.slope_screen!C254</f>
        <v>kg/head/year</v>
      </c>
      <c r="E94" s="1914"/>
      <c r="F94" s="1914"/>
      <c r="G94" s="1914"/>
      <c r="H94" s="1914"/>
      <c r="I94" s="1945"/>
      <c r="J94" s="1954"/>
      <c r="K94" s="1954"/>
      <c r="L94" s="1959"/>
      <c r="M94" s="1959"/>
      <c r="N94" s="1947"/>
      <c r="O94" s="1945"/>
      <c r="P94" s="1945"/>
      <c r="Q94" s="49"/>
      <c r="R94" s="49" t="str">
        <f>PT.slope_screen!B217</f>
        <v>Operation time for tractor with front end loader, for drying</v>
      </c>
      <c r="S94" s="49"/>
      <c r="T94" s="1209">
        <f>PT.slope_screen!G217</f>
        <v>3.0228745641005257E-2</v>
      </c>
      <c r="U94" s="49" t="str">
        <f>PT.slope_screen!C217</f>
        <v>hr/event</v>
      </c>
      <c r="AA94" s="42"/>
      <c r="AQ94" s="9" cm="1">
        <f t="array" ref="AQ94:AQ97">IFERROR(INDEX($AB$115:$AN$118,$AE94,COLUMNS($AO88:AZ$115)),"")</f>
        <v>0</v>
      </c>
      <c r="AR94" s="9" cm="1">
        <f t="array" ref="AR94:AR97">IFERROR(INDEX($AB$115:$AN$118,$AE94,COLUMNS($AO69:BA$96)),"")</f>
        <v>0</v>
      </c>
    </row>
    <row r="95" spans="1:44" x14ac:dyDescent="0.3">
      <c r="A95" s="1947"/>
      <c r="B95" s="2068" t="s">
        <v>5271</v>
      </c>
      <c r="C95" s="2255"/>
      <c r="D95" s="2084"/>
      <c r="E95" s="1945"/>
      <c r="F95" s="1935"/>
      <c r="G95" s="1946"/>
      <c r="H95" s="1945"/>
      <c r="I95" s="1945"/>
      <c r="J95" s="1955"/>
      <c r="K95" s="1954"/>
      <c r="L95" s="1959"/>
      <c r="M95" s="1959"/>
      <c r="N95" s="1947"/>
      <c r="O95" s="1945"/>
      <c r="P95" s="1945"/>
      <c r="Q95" s="49"/>
      <c r="R95" s="49" t="str">
        <f>PT.slope_screen!B218</f>
        <v>Interval between land app or export separted solids</v>
      </c>
      <c r="S95" s="49"/>
      <c r="T95" s="1209">
        <f>PT.slope_screen!G218</f>
        <v>90</v>
      </c>
      <c r="U95" s="49" t="str">
        <f>PT.slope_screen!C218</f>
        <v>day</v>
      </c>
      <c r="AA95" s="42"/>
      <c r="AQ95" s="9">
        <v>0</v>
      </c>
      <c r="AR95" s="9">
        <v>0</v>
      </c>
    </row>
    <row r="96" spans="1:44" x14ac:dyDescent="0.3">
      <c r="A96" s="1947"/>
      <c r="B96" s="95" t="str">
        <f>PT.shallow_scrape!B123</f>
        <v>CH4 from shallow scrape</v>
      </c>
      <c r="C96" s="1877">
        <f>PT.shallow_scrape!G123</f>
        <v>1.5236605695921037</v>
      </c>
      <c r="D96" s="95" t="str">
        <f>PT.shallow_scrape!C123</f>
        <v>kg/head/year</v>
      </c>
      <c r="E96" s="1945"/>
      <c r="F96" s="1935"/>
      <c r="G96" s="1947"/>
      <c r="H96" s="1945"/>
      <c r="I96" s="1945"/>
      <c r="J96" s="1954"/>
      <c r="K96" s="1954"/>
      <c r="L96" s="1959"/>
      <c r="M96" s="1959"/>
      <c r="N96" s="1947"/>
      <c r="O96" s="1945"/>
      <c r="P96" s="1945"/>
      <c r="Q96" s="49"/>
      <c r="R96" s="49" t="str">
        <f>PT.slope_screen!B219</f>
        <v>Fuel needed for tractor with front end loader, to box spreader</v>
      </c>
      <c r="S96" s="49"/>
      <c r="T96" s="1209">
        <f>PT.slope_screen!G219</f>
        <v>1.0418840997599812</v>
      </c>
      <c r="U96" s="49" t="str">
        <f>PT.slope_screen!C219</f>
        <v>gal diesel/event</v>
      </c>
      <c r="AA96" s="42"/>
      <c r="AQ96">
        <v>0</v>
      </c>
      <c r="AR96">
        <v>0</v>
      </c>
    </row>
    <row r="97" spans="1:44" x14ac:dyDescent="0.3">
      <c r="A97" s="1947"/>
      <c r="B97" s="95" t="str">
        <f>PT.shallow_scrape!B124</f>
        <v>NH3 from shallow scrape</v>
      </c>
      <c r="C97" s="1877">
        <f>PT.shallow_scrape!G124</f>
        <v>3.7960656999999998</v>
      </c>
      <c r="D97" s="95" t="str">
        <f>PT.shallow_scrape!C124</f>
        <v>kg/head/year</v>
      </c>
      <c r="E97" s="1945"/>
      <c r="F97" s="1935"/>
      <c r="G97" s="1947"/>
      <c r="H97" s="1945"/>
      <c r="I97" s="1945"/>
      <c r="J97" s="1954"/>
      <c r="K97" s="1954"/>
      <c r="L97" s="1959"/>
      <c r="M97" s="1959"/>
      <c r="N97" s="1947"/>
      <c r="O97" s="1945"/>
      <c r="P97" s="1945"/>
      <c r="Q97" s="49"/>
      <c r="R97" s="49" t="str">
        <f>PT.slope_screen!B220</f>
        <v>Operation time for tractor with front end loader, to box spreader</v>
      </c>
      <c r="S97" s="49"/>
      <c r="T97" s="1209">
        <f>PT.slope_screen!G220</f>
        <v>0.25190621367504379</v>
      </c>
      <c r="U97" s="49" t="str">
        <f>PT.slope_screen!C220</f>
        <v>hr/event</v>
      </c>
      <c r="AA97" s="42"/>
      <c r="AQ97">
        <v>0</v>
      </c>
      <c r="AR97">
        <v>0</v>
      </c>
    </row>
    <row r="98" spans="1:44" x14ac:dyDescent="0.3">
      <c r="A98" s="1947"/>
      <c r="B98" s="95" t="str">
        <f>PT.shallow_scrape!B125</f>
        <v>Direct N2O from shallow scrape</v>
      </c>
      <c r="C98" s="1877">
        <f>PT.shallow_scrape!G125</f>
        <v>5.9651376409799999E-2</v>
      </c>
      <c r="D98" s="95" t="str">
        <f>PT.shallow_scrape!C125</f>
        <v>kg/head/year</v>
      </c>
      <c r="E98" s="1945"/>
      <c r="F98" s="1935"/>
      <c r="G98" s="1947"/>
      <c r="H98" s="1945"/>
      <c r="I98" s="1945"/>
      <c r="J98" s="1954"/>
      <c r="K98" s="1954"/>
      <c r="L98" s="1959"/>
      <c r="M98" s="1959"/>
      <c r="N98" s="1947"/>
      <c r="O98" s="1945"/>
      <c r="P98" s="1945"/>
      <c r="Q98" s="49"/>
      <c r="R98" s="49" t="str">
        <f>PT.slope_screen!B221</f>
        <v>Tractor with solids box spreader, size</v>
      </c>
      <c r="S98" s="49"/>
      <c r="T98" s="1209">
        <f>PT.slope_screen!G221</f>
        <v>85</v>
      </c>
      <c r="U98" s="49" t="str">
        <f>PT.slope_screen!C221</f>
        <v>pto hp</v>
      </c>
      <c r="AA98" s="42"/>
    </row>
    <row r="99" spans="1:44" x14ac:dyDescent="0.3">
      <c r="A99" s="1947"/>
      <c r="B99" s="95" t="str">
        <f>PT.shallow_scrape!B126</f>
        <v>Indirect N2O from shallow scrape</v>
      </c>
      <c r="C99" s="1877">
        <f>PT.shallow_scrape!G126</f>
        <v>8.3511926973719994E-2</v>
      </c>
      <c r="D99" s="95" t="str">
        <f>PT.shallow_scrape!C126</f>
        <v>kg/head/year</v>
      </c>
      <c r="E99" s="1945"/>
      <c r="F99" s="1935"/>
      <c r="G99" s="1947"/>
      <c r="H99" s="1945"/>
      <c r="I99" s="1945"/>
      <c r="J99" s="1955"/>
      <c r="K99" s="1954"/>
      <c r="L99" s="1954"/>
      <c r="M99" s="1959"/>
      <c r="N99" s="1947"/>
      <c r="O99" s="1945"/>
      <c r="P99" s="1945"/>
      <c r="Q99" s="49"/>
      <c r="R99" s="49" t="str">
        <f>PT.slope_screen!B222</f>
        <v>Fuel needed for tractor with box spreader</v>
      </c>
      <c r="S99" s="49"/>
      <c r="T99" s="1209">
        <f>PT.slope_screen!G222</f>
        <v>1.2098137764010659</v>
      </c>
      <c r="U99" s="49" t="str">
        <f>PT.slope_screen!C222</f>
        <v>gal diesel/event (average bt non sludge and sludge year)</v>
      </c>
      <c r="AA99" s="42"/>
    </row>
    <row r="100" spans="1:44" x14ac:dyDescent="0.3">
      <c r="A100" s="1947"/>
      <c r="B100" s="95" t="str">
        <f>PT.slope_screen!B256</f>
        <v>CH4 from slope screen solids pile</v>
      </c>
      <c r="C100" s="1877">
        <f>PT.slope_screen!G256</f>
        <v>0.21531367076159988</v>
      </c>
      <c r="D100" s="95" t="str">
        <f>PT.slope_screen!C256</f>
        <v>kg/head/year</v>
      </c>
      <c r="E100" s="1945"/>
      <c r="F100" s="1935"/>
      <c r="G100" s="1947"/>
      <c r="H100" s="1945"/>
      <c r="I100" s="1945"/>
      <c r="J100" s="1955"/>
      <c r="K100" s="1954"/>
      <c r="L100" s="1959"/>
      <c r="M100" s="1959"/>
      <c r="N100" s="1947"/>
      <c r="O100" s="1945"/>
      <c r="P100" s="1945"/>
      <c r="Q100" s="49"/>
      <c r="R100" s="49" t="str">
        <f>PT.slope_screen!B223</f>
        <v>Operation time for tractor with box spreader</v>
      </c>
      <c r="S100" s="49"/>
      <c r="T100" s="1209">
        <f>PT.slope_screen!G223</f>
        <v>0.32347961935857383</v>
      </c>
      <c r="U100" s="49" t="str">
        <f>PT.slope_screen!C223</f>
        <v>hr/event (average bt non sludge and sludge year)</v>
      </c>
      <c r="AA100" s="42"/>
    </row>
    <row r="101" spans="1:44" x14ac:dyDescent="0.3">
      <c r="A101" s="1936"/>
      <c r="B101" s="95" t="str">
        <f>PT.slope_screen!B257</f>
        <v>NH3 from slope screen solids pile</v>
      </c>
      <c r="C101" s="1877">
        <f>PT.slope_screen!G257</f>
        <v>1.3654963741312551</v>
      </c>
      <c r="D101" s="95" t="str">
        <f>PT.slope_screen!C257</f>
        <v>kg/head/year</v>
      </c>
      <c r="E101" s="1936"/>
      <c r="F101" s="2075"/>
      <c r="G101" s="2074"/>
      <c r="H101" s="1936"/>
      <c r="I101" s="1945"/>
      <c r="J101" s="1955"/>
      <c r="K101" s="1954"/>
      <c r="L101" s="1959"/>
      <c r="M101" s="1959"/>
      <c r="N101" s="1947"/>
      <c r="O101" s="1945"/>
      <c r="P101" s="1945"/>
      <c r="Q101" s="49"/>
      <c r="R101" s="49" t="str">
        <f>PT.slope_screen!B224</f>
        <v>Separated solids available on-farm or export</v>
      </c>
      <c r="S101" s="49"/>
      <c r="T101" s="1209">
        <f>PT.slope_screen!G224</f>
        <v>60.667777777777751</v>
      </c>
      <c r="U101" s="49" t="str">
        <f>PT.slope_screen!C224</f>
        <v>kg/day</v>
      </c>
      <c r="AA101" s="42"/>
    </row>
    <row r="102" spans="1:44" x14ac:dyDescent="0.3">
      <c r="A102" s="1947"/>
      <c r="B102" s="95" t="str">
        <f>PT.slope_screen!B258</f>
        <v>N2O direct from slope screen solids pile</v>
      </c>
      <c r="C102" s="1877">
        <f>PT.slope_screen!G258</f>
        <v>4.7683133384663429E-2</v>
      </c>
      <c r="D102" s="95" t="str">
        <f>PT.slope_screen!C258</f>
        <v>kg/head/year</v>
      </c>
      <c r="E102" s="1944"/>
      <c r="F102" s="1944"/>
      <c r="G102" s="1944"/>
      <c r="H102" s="1944"/>
      <c r="I102" s="1945"/>
      <c r="J102" s="1955"/>
      <c r="K102" s="1954"/>
      <c r="L102" s="1959"/>
      <c r="M102" s="1959"/>
      <c r="N102" s="1947"/>
      <c r="O102" s="1945"/>
      <c r="P102" s="1945"/>
      <c r="Q102" s="49"/>
      <c r="R102" s="49" t="str">
        <f>PT.slope_screen!B225</f>
        <v>N removed, SS</v>
      </c>
      <c r="S102" s="49"/>
      <c r="T102" s="1209">
        <f>PT.slope_screen!G225</f>
        <v>37.466188939106154</v>
      </c>
      <c r="U102" s="49" t="str">
        <f>PT.slope_screen!C225</f>
        <v>g/kg</v>
      </c>
      <c r="AA102" s="42"/>
    </row>
    <row r="103" spans="1:44" x14ac:dyDescent="0.3">
      <c r="A103" s="1947"/>
      <c r="B103" s="95" t="str">
        <f>PT.slope_screen!B259</f>
        <v>N2O indirect from slope screen solids pile</v>
      </c>
      <c r="C103" s="1877">
        <f>PT.slope_screen!G259</f>
        <v>3.004037403233796E-2</v>
      </c>
      <c r="D103" s="95" t="str">
        <f>PT.slope_screen!C259</f>
        <v>kg/head/year</v>
      </c>
      <c r="E103" s="1611"/>
      <c r="F103" s="1611"/>
      <c r="G103" s="1947"/>
      <c r="H103" s="1945"/>
      <c r="I103" s="1947"/>
      <c r="J103" s="1955"/>
      <c r="K103" s="1954"/>
      <c r="L103" s="1959"/>
      <c r="M103" s="1959"/>
      <c r="N103" s="1947"/>
      <c r="O103" s="1945"/>
      <c r="P103" s="1945"/>
      <c r="Q103" s="49"/>
      <c r="R103" s="49" t="str">
        <f>PT.slope_screen!B226</f>
        <v>P2O5 removed, SS</v>
      </c>
      <c r="S103" s="49"/>
      <c r="T103" s="1209">
        <f>PT.slope_screen!G226</f>
        <v>52.499903847914887</v>
      </c>
      <c r="U103" s="49" t="str">
        <f>PT.slope_screen!C226</f>
        <v>g/kg</v>
      </c>
      <c r="AA103" s="42"/>
    </row>
    <row r="104" spans="1:44" x14ac:dyDescent="0.3">
      <c r="A104" s="1947"/>
      <c r="B104" s="2325" t="str">
        <f>PT.anaer_lagoon!B378</f>
        <v>CH4 from lagoon</v>
      </c>
      <c r="C104" s="1877">
        <f>PT.anaer_lagoon!AR378</f>
        <v>24.299748662111995</v>
      </c>
      <c r="D104" s="95" t="str">
        <f>PT.anaer_lagoon!F378</f>
        <v>kg/head/year</v>
      </c>
      <c r="E104" s="1938"/>
      <c r="F104" s="1611"/>
      <c r="G104" s="1947"/>
      <c r="H104" s="1945"/>
      <c r="I104" s="1947"/>
      <c r="J104" s="1955"/>
      <c r="K104" s="1954"/>
      <c r="L104" s="1959"/>
      <c r="M104" s="1959"/>
      <c r="N104" s="1947"/>
      <c r="O104" s="1945"/>
      <c r="P104" s="1945"/>
      <c r="Q104" s="49"/>
      <c r="R104" s="49" t="str">
        <f>PT.slope_screen!B227</f>
        <v>K2O removed, SS</v>
      </c>
      <c r="S104" s="49"/>
      <c r="T104" s="1209">
        <f>PT.slope_screen!G227</f>
        <v>57.857319463013518</v>
      </c>
      <c r="U104" s="49" t="str">
        <f>PT.slope_screen!C227</f>
        <v>g/kg</v>
      </c>
      <c r="AA104" s="42"/>
    </row>
    <row r="105" spans="1:44" x14ac:dyDescent="0.3">
      <c r="A105" s="1947"/>
      <c r="B105" s="2325" t="str">
        <f>PT.anaer_lagoon!B379</f>
        <v>NH3 from lagoon</v>
      </c>
      <c r="C105" s="1877">
        <f>PT.anaer_lagoon!AR379</f>
        <v>6.0688727739166888</v>
      </c>
      <c r="D105" s="95" t="str">
        <f>PT.anaer_lagoon!F379</f>
        <v>kg/head/year</v>
      </c>
      <c r="E105" s="1611"/>
      <c r="F105" s="1611"/>
      <c r="G105" s="1947"/>
      <c r="H105" s="1945"/>
      <c r="I105" s="1947"/>
      <c r="J105" s="1955"/>
      <c r="K105" s="1954"/>
      <c r="L105" s="1954"/>
      <c r="M105" s="1959"/>
      <c r="N105" s="1947"/>
      <c r="O105" s="1945"/>
      <c r="P105" s="1945"/>
      <c r="Q105" s="49"/>
      <c r="R105" s="49" t="str">
        <f>PT.slope_screen!B228</f>
        <v>Excess amount, separated solids (non-sludge year)</v>
      </c>
      <c r="S105" s="49"/>
      <c r="T105" s="1209">
        <f>PT.slope_screen!G228</f>
        <v>0</v>
      </c>
      <c r="U105" s="49" t="str">
        <f>PT.slope_screen!C228</f>
        <v>ton/year</v>
      </c>
      <c r="AA105" s="42"/>
    </row>
    <row r="106" spans="1:44" x14ac:dyDescent="0.3">
      <c r="A106" s="1947"/>
      <c r="B106" s="2325" t="str">
        <f>PT.anaer_lagoon!B380</f>
        <v>N2O direct from lagoon</v>
      </c>
      <c r="C106" s="1877">
        <f>PT.anaer_lagoon!AR380</f>
        <v>0</v>
      </c>
      <c r="D106" s="95" t="str">
        <f>PT.anaer_lagoon!F380</f>
        <v>kg/head/year</v>
      </c>
      <c r="E106" s="1611"/>
      <c r="F106" s="1935"/>
      <c r="G106" s="1946"/>
      <c r="H106" s="1945"/>
      <c r="I106" s="1947"/>
      <c r="J106" s="1954"/>
      <c r="K106" s="1954"/>
      <c r="L106" s="1954"/>
      <c r="M106" s="1959"/>
      <c r="N106" s="1946"/>
      <c r="O106" s="1945"/>
      <c r="P106" s="1945"/>
      <c r="Q106" s="49"/>
      <c r="R106" s="49" t="str">
        <f>PT.slope_screen!B229</f>
        <v>Excess amount, separated solids (sludge year)</v>
      </c>
      <c r="S106" s="49"/>
      <c r="T106" s="1209">
        <f>PT.slope_screen!G229</f>
        <v>6.5192987866282035</v>
      </c>
      <c r="U106" s="49" t="str">
        <f>PT.slope_screen!C229</f>
        <v>ton/event</v>
      </c>
      <c r="AA106" s="42"/>
    </row>
    <row r="107" spans="1:44" x14ac:dyDescent="0.3">
      <c r="A107" s="1947"/>
      <c r="B107" s="2325" t="str">
        <f>PT.anaer_lagoon!B381</f>
        <v>N2O indirect from lagoon</v>
      </c>
      <c r="C107" s="1877">
        <f>PT.anaer_lagoon!AR381</f>
        <v>0.13351277347705759</v>
      </c>
      <c r="D107" s="95" t="str">
        <f>PT.anaer_lagoon!F381</f>
        <v>kg/head/year</v>
      </c>
      <c r="E107" s="1939"/>
      <c r="F107" s="1935"/>
      <c r="G107" s="1947"/>
      <c r="H107" s="1945"/>
      <c r="I107" s="1947"/>
      <c r="J107" s="1945"/>
      <c r="K107" s="1945"/>
      <c r="L107" s="1914"/>
      <c r="M107" s="1932"/>
      <c r="N107" s="1932"/>
      <c r="O107" s="1932"/>
      <c r="P107" s="1945"/>
      <c r="Q107" s="90"/>
      <c r="T107" s="78"/>
    </row>
    <row r="108" spans="1:44" x14ac:dyDescent="0.3">
      <c r="A108" s="1947"/>
      <c r="B108" s="1945"/>
      <c r="C108" s="1945"/>
      <c r="D108" s="1939"/>
      <c r="E108" s="1939"/>
      <c r="F108" s="1935"/>
      <c r="G108" s="1947"/>
      <c r="H108" s="1945"/>
      <c r="I108" s="1947"/>
      <c r="J108" s="1945"/>
      <c r="K108" s="1945"/>
      <c r="L108" s="1945"/>
      <c r="M108" s="1945"/>
      <c r="N108" s="1914"/>
      <c r="O108" s="1945"/>
      <c r="P108" s="1945"/>
      <c r="Q108" s="49" t="s">
        <v>5925</v>
      </c>
      <c r="R108" s="18" t="s">
        <v>5724</v>
      </c>
      <c r="S108" s="49"/>
      <c r="T108" s="1360">
        <f>PT.shallow_scrape!G16</f>
        <v>20.256141166953888</v>
      </c>
      <c r="U108" s="49" t="s">
        <v>2479</v>
      </c>
      <c r="V108" s="2067"/>
    </row>
    <row r="109" spans="1:44" x14ac:dyDescent="0.3">
      <c r="A109" s="1947"/>
      <c r="B109" s="1945"/>
      <c r="C109" s="1945"/>
      <c r="D109" s="1611"/>
      <c r="E109" s="1611"/>
      <c r="F109" s="1935"/>
      <c r="G109" s="1947"/>
      <c r="H109" s="1945"/>
      <c r="I109" s="1947"/>
      <c r="J109" s="1945"/>
      <c r="K109" s="1945"/>
      <c r="L109" s="1945"/>
      <c r="M109" s="1945"/>
      <c r="N109" s="1945"/>
      <c r="O109" s="1945"/>
      <c r="P109" s="1945"/>
      <c r="T109" s="78"/>
      <c r="V109" s="2067"/>
    </row>
    <row r="110" spans="1:44" x14ac:dyDescent="0.3">
      <c r="A110" s="1947"/>
      <c r="B110" s="1945"/>
      <c r="C110" s="1945"/>
      <c r="D110" s="1611"/>
      <c r="E110" s="1611"/>
      <c r="F110" s="1935"/>
      <c r="G110" s="1946"/>
      <c r="H110" s="1945"/>
      <c r="I110" s="1947"/>
      <c r="J110" s="1945"/>
      <c r="K110" s="1945"/>
      <c r="L110" s="1945"/>
      <c r="M110" s="1945"/>
      <c r="N110" s="1945"/>
      <c r="O110" s="1945"/>
      <c r="P110" s="1945"/>
      <c r="T110" s="78"/>
      <c r="V110" s="34"/>
    </row>
    <row r="111" spans="1:44" x14ac:dyDescent="0.3">
      <c r="A111" s="1947"/>
      <c r="B111" s="1945"/>
      <c r="C111" s="1945"/>
      <c r="D111" s="1611"/>
      <c r="E111" s="1935"/>
      <c r="F111" s="1632"/>
      <c r="G111" s="1946"/>
      <c r="H111" s="1945"/>
      <c r="I111" s="1947"/>
      <c r="J111" s="1945"/>
      <c r="K111" s="1945"/>
      <c r="L111" s="1945"/>
      <c r="M111" s="1945"/>
      <c r="N111" s="1945"/>
      <c r="O111" s="1945"/>
      <c r="P111" s="1945"/>
      <c r="T111" s="78"/>
      <c r="V111" s="34"/>
    </row>
    <row r="112" spans="1:44" x14ac:dyDescent="0.3">
      <c r="A112" s="1947"/>
      <c r="B112" s="1945"/>
      <c r="C112" s="1945"/>
      <c r="D112" s="1611"/>
      <c r="E112" s="1611"/>
      <c r="F112" s="1935"/>
      <c r="G112" s="1945"/>
      <c r="H112" s="1945"/>
      <c r="I112" s="1947"/>
      <c r="J112" s="1945"/>
      <c r="K112" s="1945"/>
      <c r="L112" s="1945"/>
      <c r="M112" s="1945"/>
      <c r="N112" s="1945"/>
      <c r="O112" s="1945"/>
      <c r="P112" s="1945"/>
      <c r="T112" s="78"/>
      <c r="V112" s="2067"/>
    </row>
    <row r="113" spans="1:22" x14ac:dyDescent="0.3">
      <c r="A113" s="1947"/>
      <c r="B113" s="1945"/>
      <c r="C113" s="1945"/>
      <c r="D113" s="1611"/>
      <c r="E113" s="1611"/>
      <c r="F113" s="1935"/>
      <c r="G113" s="1945"/>
      <c r="H113" s="1945"/>
      <c r="I113" s="1945"/>
      <c r="J113" s="1945"/>
      <c r="K113" s="1945"/>
      <c r="L113" s="1945"/>
      <c r="M113" s="1945"/>
      <c r="N113" s="1945"/>
      <c r="O113" s="1945"/>
      <c r="P113" s="1945"/>
      <c r="T113" s="78"/>
      <c r="V113" s="2067"/>
    </row>
    <row r="114" spans="1:22" x14ac:dyDescent="0.3">
      <c r="A114" s="1947"/>
      <c r="B114" s="1945"/>
      <c r="C114" s="1945"/>
      <c r="D114" s="1611"/>
      <c r="E114" s="1611"/>
      <c r="F114" s="1935"/>
      <c r="G114" s="1946"/>
      <c r="H114" s="1945"/>
      <c r="I114" s="1945"/>
      <c r="J114" s="1945"/>
      <c r="K114" s="1945"/>
      <c r="L114" s="1945"/>
      <c r="M114" s="1945"/>
      <c r="N114" s="1945"/>
      <c r="O114" s="1945"/>
      <c r="P114" s="1945"/>
      <c r="T114" s="78"/>
      <c r="V114" s="34"/>
    </row>
    <row r="115" spans="1:22" x14ac:dyDescent="0.3">
      <c r="A115" s="1947"/>
      <c r="B115" s="1945"/>
      <c r="C115" s="1945"/>
      <c r="D115" s="1611"/>
      <c r="E115" s="1611"/>
      <c r="F115" s="1935"/>
      <c r="G115" s="1947"/>
      <c r="H115" s="1945"/>
      <c r="I115" s="1945"/>
      <c r="J115" s="1945"/>
      <c r="K115" s="1945"/>
      <c r="L115" s="1945"/>
      <c r="M115" s="1945"/>
      <c r="N115" s="1945"/>
      <c r="O115" s="1945"/>
      <c r="P115" s="1945"/>
      <c r="T115" s="78"/>
      <c r="V115" s="34"/>
    </row>
    <row r="116" spans="1:22" x14ac:dyDescent="0.3">
      <c r="A116" s="1947"/>
      <c r="B116" s="1945"/>
      <c r="C116" s="1945"/>
      <c r="D116" s="1611"/>
      <c r="E116" s="1611"/>
      <c r="F116" s="1935"/>
      <c r="G116" s="1932"/>
      <c r="H116" s="1945"/>
      <c r="I116" s="1945"/>
      <c r="J116" s="1945"/>
      <c r="K116" s="1945"/>
      <c r="L116" s="1945"/>
      <c r="M116" s="1945"/>
      <c r="N116" s="1945"/>
      <c r="O116" s="1945"/>
      <c r="P116" s="1945"/>
      <c r="T116" s="78"/>
      <c r="V116" s="2067"/>
    </row>
    <row r="117" spans="1:22" x14ac:dyDescent="0.3">
      <c r="A117" s="1947"/>
      <c r="B117" s="1945"/>
      <c r="C117" s="1945"/>
      <c r="D117" s="1945"/>
      <c r="E117" s="1945"/>
      <c r="F117" s="1945"/>
      <c r="G117" s="1932"/>
      <c r="H117" s="1945"/>
      <c r="I117" s="1945"/>
      <c r="J117" s="1945"/>
      <c r="K117" s="1945"/>
      <c r="L117" s="1945"/>
      <c r="M117" s="1945"/>
      <c r="N117" s="1945"/>
      <c r="O117" s="1945"/>
      <c r="P117" s="1945"/>
      <c r="Q117" s="90"/>
      <c r="T117" s="78"/>
    </row>
    <row r="118" spans="1:22" x14ac:dyDescent="0.3">
      <c r="A118" s="1947"/>
      <c r="B118" s="1914"/>
      <c r="C118" s="1945"/>
      <c r="D118" s="1611"/>
      <c r="E118" s="1611"/>
      <c r="F118" s="1935"/>
      <c r="G118" s="1932"/>
      <c r="H118" s="1945"/>
      <c r="I118" s="1945"/>
      <c r="J118" s="1945"/>
      <c r="K118" s="1945"/>
      <c r="L118" s="1952"/>
      <c r="M118" s="1945"/>
      <c r="N118" s="1945"/>
      <c r="O118" s="1945"/>
      <c r="P118" s="1945"/>
      <c r="T118" s="78"/>
    </row>
    <row r="119" spans="1:22" x14ac:dyDescent="0.3">
      <c r="A119" s="1947"/>
      <c r="B119" s="1945"/>
      <c r="C119" s="1945"/>
      <c r="D119" s="1611"/>
      <c r="E119" s="1611"/>
      <c r="F119" s="1935"/>
      <c r="G119" s="1932"/>
      <c r="H119" s="1945"/>
      <c r="I119" s="1945"/>
      <c r="J119" s="1945"/>
      <c r="K119" s="1914"/>
      <c r="L119" s="1914"/>
      <c r="M119" s="1945"/>
      <c r="N119" s="1945"/>
      <c r="O119" s="1945"/>
      <c r="P119" s="1945"/>
      <c r="T119" s="78"/>
    </row>
    <row r="120" spans="1:22" x14ac:dyDescent="0.3">
      <c r="A120" s="1947"/>
      <c r="B120" s="1914"/>
      <c r="C120" s="1945"/>
      <c r="D120" s="1945"/>
      <c r="E120" s="1945"/>
      <c r="F120" s="1945"/>
      <c r="G120" s="1932"/>
      <c r="H120" s="1945"/>
      <c r="I120" s="1945"/>
      <c r="J120" s="1945"/>
      <c r="K120" s="1952"/>
      <c r="L120" s="1952"/>
      <c r="M120" s="1945"/>
      <c r="N120" s="1945"/>
      <c r="O120" s="1945"/>
      <c r="P120" s="1945"/>
      <c r="T120" s="78"/>
    </row>
    <row r="121" spans="1:22" x14ac:dyDescent="0.3">
      <c r="A121" s="1947"/>
      <c r="B121" s="1945"/>
      <c r="C121" s="1945"/>
      <c r="D121" s="1945"/>
      <c r="E121" s="1945"/>
      <c r="F121" s="1945"/>
      <c r="G121" s="1932"/>
      <c r="H121" s="1945"/>
      <c r="I121" s="1945"/>
      <c r="J121" s="1945"/>
      <c r="K121" s="1952"/>
      <c r="L121" s="1952"/>
      <c r="M121" s="1945"/>
      <c r="N121" s="1945"/>
      <c r="O121" s="1945"/>
      <c r="P121" s="1945"/>
      <c r="T121" s="78"/>
    </row>
    <row r="122" spans="1:22" x14ac:dyDescent="0.3">
      <c r="A122" s="1947"/>
      <c r="B122" s="1914"/>
      <c r="C122" s="1945"/>
      <c r="D122" s="1945"/>
      <c r="E122" s="1945"/>
      <c r="F122" s="1945"/>
      <c r="G122" s="1932"/>
      <c r="H122" s="1945"/>
      <c r="I122" s="1945"/>
      <c r="J122" s="1945"/>
      <c r="K122" s="1952"/>
      <c r="L122" s="1952"/>
      <c r="M122" s="1945"/>
      <c r="N122" s="1945"/>
      <c r="O122" s="1945"/>
      <c r="P122" s="1945"/>
      <c r="T122" s="78"/>
    </row>
    <row r="123" spans="1:22" x14ac:dyDescent="0.3">
      <c r="A123" s="1947"/>
      <c r="B123" s="1945"/>
      <c r="C123" s="1945"/>
      <c r="D123" s="1945"/>
      <c r="E123" s="1945"/>
      <c r="F123" s="1945"/>
      <c r="G123" s="1932"/>
      <c r="H123" s="1945"/>
      <c r="I123" s="1945"/>
      <c r="J123" s="1945"/>
      <c r="K123" s="1952"/>
      <c r="L123" s="1952"/>
      <c r="M123" s="1945"/>
      <c r="N123" s="1945"/>
      <c r="O123" s="1945"/>
      <c r="P123" s="1945"/>
      <c r="T123" s="78"/>
    </row>
    <row r="124" spans="1:22" x14ac:dyDescent="0.3">
      <c r="A124" s="1947"/>
      <c r="B124" s="1945"/>
      <c r="C124" s="1945"/>
      <c r="D124" s="1945"/>
      <c r="E124" s="1945"/>
      <c r="F124" s="1945"/>
      <c r="G124" s="1945"/>
      <c r="H124" s="1945"/>
      <c r="I124" s="1945"/>
      <c r="J124" s="1945"/>
      <c r="K124" s="1945"/>
      <c r="L124" s="1945"/>
      <c r="M124" s="1945"/>
      <c r="N124" s="1945"/>
      <c r="O124" s="1945"/>
      <c r="P124" s="1945"/>
      <c r="T124" s="78"/>
    </row>
    <row r="125" spans="1:22" x14ac:dyDescent="0.3">
      <c r="A125" s="1947"/>
      <c r="B125" s="1944"/>
      <c r="C125" s="1944"/>
      <c r="D125" s="1944"/>
      <c r="E125" s="1944"/>
      <c r="F125" s="1944"/>
      <c r="G125" s="1944"/>
      <c r="H125" s="1944"/>
      <c r="I125" s="1945"/>
      <c r="J125" s="1945"/>
      <c r="K125" s="1914"/>
      <c r="L125" s="1914"/>
      <c r="M125" s="1945"/>
      <c r="N125" s="1945"/>
      <c r="O125" s="1945"/>
      <c r="P125" s="1945"/>
      <c r="T125" s="78"/>
    </row>
    <row r="126" spans="1:22" x14ac:dyDescent="0.3">
      <c r="A126" s="1947"/>
      <c r="B126" s="1945"/>
      <c r="C126" s="1945"/>
      <c r="D126" s="1945"/>
      <c r="E126" s="1947"/>
      <c r="F126" s="1960"/>
      <c r="G126" s="1946"/>
      <c r="H126" s="1945"/>
      <c r="I126" s="1947"/>
      <c r="J126" s="1952"/>
      <c r="K126" s="1952"/>
      <c r="L126" s="1952"/>
      <c r="M126" s="1945"/>
      <c r="N126" s="1945"/>
      <c r="O126" s="1945"/>
      <c r="P126" s="1945"/>
      <c r="T126" s="78"/>
    </row>
    <row r="127" spans="1:22" x14ac:dyDescent="0.3">
      <c r="A127" s="1947"/>
      <c r="B127" s="1945"/>
      <c r="C127" s="1945"/>
      <c r="D127" s="1949"/>
      <c r="E127" s="1949"/>
      <c r="F127" s="1943"/>
      <c r="G127" s="1947"/>
      <c r="H127" s="1945"/>
      <c r="I127" s="1947"/>
      <c r="J127" s="1952"/>
      <c r="K127" s="1952"/>
      <c r="L127" s="1952"/>
      <c r="M127" s="1945"/>
      <c r="N127" s="1945"/>
      <c r="O127" s="1945"/>
      <c r="P127" s="1945"/>
      <c r="T127" s="78"/>
    </row>
    <row r="128" spans="1:22" x14ac:dyDescent="0.3">
      <c r="A128" s="1947"/>
      <c r="B128" s="1945"/>
      <c r="C128" s="1945"/>
      <c r="D128" s="1960"/>
      <c r="E128" s="1960"/>
      <c r="F128" s="1943"/>
      <c r="G128" s="1947"/>
      <c r="H128" s="1945"/>
      <c r="I128" s="1947"/>
      <c r="J128" s="1952"/>
      <c r="K128" s="1952"/>
      <c r="L128" s="1952"/>
      <c r="M128" s="1945"/>
      <c r="N128" s="1945"/>
      <c r="O128" s="1945"/>
      <c r="P128" s="1945"/>
      <c r="T128" s="78"/>
    </row>
    <row r="129" spans="1:20" x14ac:dyDescent="0.3">
      <c r="A129" s="1947"/>
      <c r="B129" s="1945"/>
      <c r="C129" s="1945"/>
      <c r="D129" s="1949"/>
      <c r="E129" s="1943"/>
      <c r="F129" s="1943"/>
      <c r="G129" s="1947"/>
      <c r="H129" s="1945"/>
      <c r="I129" s="1947"/>
      <c r="J129" s="1952"/>
      <c r="K129" s="1952"/>
      <c r="L129" s="1952"/>
      <c r="M129" s="1945"/>
      <c r="N129" s="1945"/>
      <c r="O129" s="1945"/>
      <c r="P129" s="1945"/>
      <c r="T129" s="78"/>
    </row>
    <row r="130" spans="1:20" x14ac:dyDescent="0.3">
      <c r="A130" s="1947"/>
      <c r="B130" s="1945"/>
      <c r="C130" s="1945"/>
      <c r="D130" s="1949"/>
      <c r="E130" s="1943"/>
      <c r="F130" s="1943"/>
      <c r="G130" s="1947"/>
      <c r="H130" s="1945"/>
      <c r="I130" s="1945"/>
      <c r="J130" s="1945"/>
      <c r="K130" s="1945"/>
      <c r="L130" s="1945"/>
      <c r="M130" s="1945"/>
      <c r="N130" s="1945"/>
      <c r="O130" s="1945"/>
      <c r="P130" s="1945"/>
      <c r="T130" s="78"/>
    </row>
    <row r="131" spans="1:20" x14ac:dyDescent="0.3">
      <c r="A131" s="1947"/>
      <c r="B131" s="1945"/>
      <c r="C131" s="1945"/>
      <c r="D131" s="1949"/>
      <c r="E131" s="1943"/>
      <c r="F131" s="1943"/>
      <c r="G131" s="1947"/>
      <c r="H131" s="1945"/>
      <c r="I131" s="1947"/>
      <c r="J131" s="1945"/>
      <c r="K131" s="1945"/>
      <c r="L131" s="1945"/>
      <c r="M131" s="1945"/>
      <c r="N131" s="1945"/>
      <c r="O131" s="1945"/>
      <c r="P131" s="1945"/>
      <c r="T131" s="78"/>
    </row>
    <row r="132" spans="1:20" x14ac:dyDescent="0.3">
      <c r="A132" s="1947"/>
      <c r="B132" s="1945"/>
      <c r="C132" s="1945"/>
      <c r="D132" s="1949"/>
      <c r="E132" s="1943"/>
      <c r="F132" s="1943"/>
      <c r="G132" s="1947"/>
      <c r="H132" s="1945"/>
      <c r="I132" s="1947"/>
      <c r="J132" s="1945"/>
      <c r="K132" s="1914"/>
      <c r="L132" s="1914"/>
      <c r="M132" s="1945"/>
      <c r="N132" s="1945"/>
      <c r="O132" s="1945"/>
      <c r="P132" s="1945"/>
      <c r="T132" s="78"/>
    </row>
    <row r="133" spans="1:20" x14ac:dyDescent="0.3">
      <c r="A133" s="1947"/>
      <c r="B133" s="1945"/>
      <c r="C133" s="1945"/>
      <c r="D133" s="1945"/>
      <c r="E133" s="1945"/>
      <c r="F133" s="1945"/>
      <c r="G133" s="1945"/>
      <c r="H133" s="1945"/>
      <c r="I133" s="1945"/>
      <c r="J133" s="1952"/>
      <c r="K133" s="1952"/>
      <c r="L133" s="1952"/>
      <c r="M133" s="1945"/>
      <c r="N133" s="1945"/>
      <c r="O133" s="1945"/>
      <c r="P133" s="1945"/>
      <c r="T133" s="78"/>
    </row>
    <row r="134" spans="1:20" x14ac:dyDescent="0.3">
      <c r="A134" s="1947"/>
      <c r="B134" s="1944"/>
      <c r="C134" s="1944"/>
      <c r="D134" s="1944"/>
      <c r="E134" s="1944"/>
      <c r="F134" s="1944"/>
      <c r="G134" s="1944"/>
      <c r="H134" s="1944"/>
      <c r="I134" s="1945"/>
      <c r="J134" s="1952"/>
      <c r="K134" s="1952"/>
      <c r="L134" s="1952"/>
      <c r="M134" s="1945"/>
      <c r="N134" s="1945"/>
      <c r="O134" s="1945"/>
      <c r="P134" s="1945"/>
      <c r="T134" s="78"/>
    </row>
    <row r="135" spans="1:20" x14ac:dyDescent="0.3">
      <c r="A135" s="1947"/>
      <c r="B135" s="1945"/>
      <c r="C135" s="1945"/>
      <c r="D135" s="1945"/>
      <c r="E135" s="1945"/>
      <c r="F135" s="1945"/>
      <c r="G135" s="1947"/>
      <c r="H135" s="1945"/>
      <c r="I135" s="1947"/>
      <c r="J135" s="1952"/>
      <c r="K135" s="1952"/>
      <c r="L135" s="1952"/>
      <c r="M135" s="1945"/>
      <c r="N135" s="1945"/>
      <c r="O135" s="1945"/>
      <c r="P135" s="1945"/>
      <c r="T135" s="78"/>
    </row>
    <row r="136" spans="1:20" x14ac:dyDescent="0.3">
      <c r="A136" s="1947"/>
      <c r="B136" s="1945"/>
      <c r="C136" s="1945"/>
      <c r="D136" s="1945"/>
      <c r="E136" s="1945"/>
      <c r="F136" s="1935"/>
      <c r="G136" s="1946"/>
      <c r="H136" s="1945"/>
      <c r="I136" s="1947"/>
      <c r="J136" s="1952"/>
      <c r="K136" s="1952"/>
      <c r="L136" s="1952"/>
      <c r="M136" s="1945"/>
      <c r="N136" s="1945"/>
      <c r="O136" s="1945"/>
      <c r="P136" s="1945"/>
      <c r="T136" s="78"/>
    </row>
    <row r="137" spans="1:20" x14ac:dyDescent="0.3">
      <c r="A137" s="1947"/>
      <c r="B137" s="1945"/>
      <c r="C137" s="1948"/>
      <c r="D137" s="2076"/>
      <c r="E137" s="1943"/>
      <c r="F137" s="1943"/>
      <c r="G137" s="1946"/>
      <c r="H137" s="1945"/>
      <c r="I137" s="1938"/>
      <c r="J137" s="1945"/>
      <c r="K137" s="1945"/>
      <c r="L137" s="1945"/>
      <c r="M137" s="1945"/>
      <c r="N137" s="1945"/>
      <c r="O137" s="1945"/>
      <c r="P137" s="1945"/>
      <c r="T137" s="78"/>
    </row>
    <row r="138" spans="1:20" x14ac:dyDescent="0.3">
      <c r="A138" s="1947"/>
      <c r="B138" s="1945"/>
      <c r="C138" s="1948"/>
      <c r="D138" s="2076"/>
      <c r="E138" s="1943"/>
      <c r="F138" s="1943"/>
      <c r="G138" s="1946"/>
      <c r="H138" s="1945"/>
      <c r="I138" s="1938"/>
      <c r="J138" s="1945"/>
      <c r="K138" s="1945"/>
      <c r="L138" s="1945"/>
      <c r="M138" s="1945"/>
      <c r="N138" s="1945"/>
      <c r="O138" s="1945"/>
      <c r="P138" s="1945"/>
      <c r="T138" s="78"/>
    </row>
    <row r="139" spans="1:20" x14ac:dyDescent="0.3">
      <c r="A139" s="1947"/>
      <c r="B139" s="1945"/>
      <c r="C139" s="1948"/>
      <c r="D139" s="2076"/>
      <c r="E139" s="1943"/>
      <c r="F139" s="1943"/>
      <c r="G139" s="1946"/>
      <c r="H139" s="1945"/>
      <c r="I139" s="1938"/>
      <c r="J139" s="1945"/>
      <c r="K139" s="1945"/>
      <c r="L139" s="1945"/>
      <c r="M139" s="1945"/>
      <c r="N139" s="1945"/>
      <c r="O139" s="1945"/>
      <c r="P139" s="1945"/>
      <c r="T139" s="78"/>
    </row>
    <row r="140" spans="1:20" x14ac:dyDescent="0.3">
      <c r="A140" s="1947"/>
      <c r="B140" s="1945"/>
      <c r="C140" s="1945"/>
      <c r="D140" s="1945"/>
      <c r="E140" s="1945"/>
      <c r="F140" s="1914"/>
      <c r="G140" s="1946"/>
      <c r="H140" s="1945"/>
      <c r="I140" s="1945"/>
      <c r="J140" s="1945"/>
      <c r="K140" s="1945"/>
      <c r="L140" s="1945"/>
      <c r="M140" s="1945"/>
      <c r="N140" s="1945"/>
      <c r="O140" s="1945"/>
      <c r="P140" s="1945"/>
      <c r="T140" s="78"/>
    </row>
    <row r="141" spans="1:20" x14ac:dyDescent="0.3">
      <c r="A141" s="1947"/>
      <c r="B141" s="1945"/>
      <c r="C141" s="1945"/>
      <c r="D141" s="1945"/>
      <c r="E141" s="1945"/>
      <c r="F141" s="1945"/>
      <c r="G141" s="1945"/>
      <c r="H141" s="1945"/>
      <c r="I141" s="1945"/>
      <c r="J141" s="1945"/>
      <c r="K141" s="1945"/>
      <c r="L141" s="1945"/>
      <c r="M141" s="1945"/>
      <c r="N141" s="1945"/>
      <c r="O141" s="1945"/>
      <c r="P141" s="1945"/>
      <c r="T141" s="78"/>
    </row>
    <row r="142" spans="1:20" x14ac:dyDescent="0.3">
      <c r="A142" s="1947"/>
      <c r="B142" s="1914"/>
      <c r="C142" s="1914"/>
      <c r="D142" s="1914"/>
      <c r="E142" s="1918"/>
      <c r="F142" s="1935"/>
      <c r="G142" s="1914"/>
      <c r="H142" s="1945"/>
      <c r="I142" s="1945"/>
      <c r="J142" s="1945"/>
      <c r="K142" s="1945"/>
      <c r="L142" s="1945"/>
      <c r="M142" s="1945"/>
      <c r="N142" s="1945"/>
      <c r="O142" s="1945"/>
      <c r="P142" s="1945"/>
      <c r="T142" s="78"/>
    </row>
    <row r="143" spans="1:20" x14ac:dyDescent="0.3">
      <c r="A143" s="1947"/>
      <c r="B143" s="1945"/>
      <c r="C143" s="1946"/>
      <c r="D143" s="1945"/>
      <c r="E143" s="1946"/>
      <c r="F143" s="1945"/>
      <c r="G143" s="1947"/>
      <c r="H143" s="1945"/>
      <c r="I143" s="1945"/>
      <c r="J143" s="1945"/>
      <c r="K143" s="1945"/>
      <c r="L143" s="1945"/>
      <c r="M143" s="1945"/>
      <c r="N143" s="1945"/>
      <c r="O143" s="1945"/>
      <c r="P143" s="1945"/>
      <c r="T143" s="78"/>
    </row>
    <row r="144" spans="1:20" x14ac:dyDescent="0.3">
      <c r="A144" s="1947"/>
      <c r="B144" s="1945"/>
      <c r="C144" s="1945"/>
      <c r="D144" s="1945"/>
      <c r="E144" s="1945"/>
      <c r="F144" s="1945"/>
      <c r="G144" s="1947"/>
      <c r="H144" s="1945"/>
      <c r="I144" s="1945"/>
      <c r="J144" s="1945"/>
      <c r="K144" s="1945"/>
      <c r="L144" s="1945"/>
      <c r="M144" s="1945"/>
      <c r="N144" s="1945"/>
      <c r="O144" s="1945"/>
      <c r="P144" s="1945"/>
      <c r="T144" s="78"/>
    </row>
    <row r="145" spans="1:20" x14ac:dyDescent="0.3">
      <c r="A145" s="1945"/>
      <c r="B145" s="1945"/>
      <c r="C145" s="1945"/>
      <c r="D145" s="1945"/>
      <c r="E145" s="1945"/>
      <c r="F145" s="1945"/>
      <c r="G145" s="1945"/>
      <c r="H145" s="1945"/>
      <c r="I145" s="1945"/>
      <c r="J145" s="1945"/>
      <c r="K145" s="1945"/>
      <c r="L145" s="1945"/>
      <c r="M145" s="1945"/>
      <c r="N145" s="1945"/>
      <c r="O145" s="1945"/>
      <c r="P145" s="1945"/>
      <c r="T145" s="78"/>
    </row>
    <row r="146" spans="1:20" x14ac:dyDescent="0.3">
      <c r="A146" s="1945"/>
      <c r="B146" s="1945"/>
      <c r="C146" s="1611"/>
      <c r="D146" s="1611"/>
      <c r="E146" s="1611"/>
      <c r="F146" s="1945"/>
      <c r="G146" s="1946"/>
      <c r="H146" s="1945"/>
      <c r="I146" s="1945"/>
      <c r="J146" s="1945"/>
      <c r="K146" s="1945"/>
      <c r="L146" s="1945"/>
      <c r="M146" s="1945"/>
      <c r="N146" s="1945"/>
      <c r="O146" s="1945"/>
      <c r="P146" s="1945"/>
      <c r="T146" s="78"/>
    </row>
    <row r="147" spans="1:20" x14ac:dyDescent="0.3">
      <c r="A147" s="1945"/>
      <c r="B147" s="1945"/>
      <c r="C147" s="1945"/>
      <c r="D147" s="1945"/>
      <c r="E147" s="1945"/>
      <c r="F147" s="1945"/>
      <c r="G147" s="1945"/>
      <c r="H147" s="1945"/>
      <c r="I147" s="1945"/>
      <c r="J147" s="1945"/>
      <c r="K147" s="1945"/>
      <c r="L147" s="1945"/>
      <c r="M147" s="1945"/>
      <c r="N147" s="1945"/>
      <c r="O147" s="1945"/>
      <c r="P147" s="1945"/>
      <c r="T147" s="78"/>
    </row>
    <row r="148" spans="1:20" x14ac:dyDescent="0.3">
      <c r="A148" s="1945"/>
      <c r="B148" s="1945"/>
      <c r="C148" s="1945"/>
      <c r="D148" s="1945"/>
      <c r="E148" s="1947"/>
      <c r="F148" s="1945"/>
      <c r="G148" s="1947"/>
      <c r="H148" s="1945"/>
      <c r="I148" s="1945"/>
      <c r="J148" s="1945"/>
      <c r="K148" s="1945"/>
      <c r="L148" s="1945"/>
      <c r="M148" s="1945"/>
      <c r="N148" s="1945"/>
      <c r="O148" s="1945"/>
      <c r="P148" s="1945"/>
      <c r="T148" s="78"/>
    </row>
    <row r="149" spans="1:20" x14ac:dyDescent="0.3">
      <c r="A149" s="1945"/>
      <c r="B149" s="1945"/>
      <c r="C149" s="1945"/>
      <c r="D149" s="1945"/>
      <c r="E149" s="1947"/>
      <c r="F149" s="1945"/>
      <c r="G149" s="1946"/>
      <c r="H149" s="1945"/>
      <c r="I149" s="1945"/>
      <c r="J149" s="1945"/>
      <c r="K149" s="1945"/>
      <c r="L149" s="1945"/>
      <c r="M149" s="1945"/>
      <c r="N149" s="1945"/>
      <c r="O149" s="1945"/>
      <c r="P149" s="1945"/>
      <c r="T149" s="78"/>
    </row>
    <row r="150" spans="1:20" x14ac:dyDescent="0.3">
      <c r="A150" s="1945"/>
      <c r="B150" s="1945"/>
      <c r="C150" s="1945"/>
      <c r="D150" s="1611"/>
      <c r="E150" s="1945"/>
      <c r="F150" s="1914"/>
      <c r="G150" s="1914"/>
      <c r="H150" s="1914"/>
      <c r="I150" s="1945"/>
      <c r="J150" s="1945"/>
      <c r="K150" s="1945"/>
      <c r="L150" s="1945"/>
      <c r="M150" s="1945"/>
      <c r="N150" s="1945"/>
      <c r="O150" s="1945"/>
      <c r="P150" s="1945"/>
      <c r="T150" s="78"/>
    </row>
    <row r="151" spans="1:20" x14ac:dyDescent="0.3">
      <c r="A151" s="1945"/>
      <c r="B151" s="1945"/>
      <c r="C151" s="1945"/>
      <c r="D151" s="1945"/>
      <c r="E151" s="1945"/>
      <c r="F151" s="1914"/>
      <c r="G151" s="1914"/>
      <c r="H151" s="1946"/>
      <c r="I151" s="1945"/>
      <c r="J151" s="1945"/>
      <c r="K151" s="1945"/>
      <c r="L151" s="1945"/>
      <c r="M151" s="1945"/>
      <c r="N151" s="1945"/>
      <c r="O151" s="1945"/>
      <c r="P151" s="1945"/>
      <c r="T151" s="78"/>
    </row>
    <row r="152" spans="1:20" x14ac:dyDescent="0.3">
      <c r="A152" s="1945"/>
      <c r="B152" s="1945"/>
      <c r="C152" s="1945"/>
      <c r="D152" s="1945"/>
      <c r="E152" s="1945"/>
      <c r="F152" s="1945"/>
      <c r="G152" s="1951"/>
      <c r="H152" s="1946"/>
      <c r="I152" s="1945"/>
      <c r="J152" s="1945"/>
      <c r="K152" s="1945"/>
      <c r="L152" s="1945"/>
      <c r="M152" s="1945"/>
      <c r="N152" s="1945"/>
      <c r="O152" s="1945"/>
      <c r="P152" s="1945"/>
      <c r="T152" s="78"/>
    </row>
    <row r="153" spans="1:20" x14ac:dyDescent="0.3">
      <c r="A153" s="1945"/>
      <c r="B153" s="1945"/>
      <c r="C153" s="1945"/>
      <c r="D153" s="1945"/>
      <c r="E153" s="1945"/>
      <c r="F153" s="1945"/>
      <c r="G153" s="1951"/>
      <c r="H153" s="1946"/>
      <c r="I153" s="1945"/>
      <c r="J153" s="1945"/>
      <c r="K153" s="1945"/>
      <c r="L153" s="1945"/>
      <c r="M153" s="1945"/>
      <c r="N153" s="1945"/>
      <c r="O153" s="1945"/>
      <c r="P153" s="1945"/>
      <c r="T153" s="78"/>
    </row>
    <row r="154" spans="1:20" x14ac:dyDescent="0.3">
      <c r="A154" s="1945"/>
      <c r="B154" s="1945"/>
      <c r="C154" s="1945"/>
      <c r="D154" s="1945"/>
      <c r="E154" s="1945"/>
      <c r="F154" s="1945"/>
      <c r="G154" s="1951"/>
      <c r="H154" s="1946"/>
      <c r="I154" s="1945"/>
      <c r="J154" s="1945"/>
      <c r="K154" s="1945"/>
      <c r="L154" s="1945"/>
      <c r="M154" s="1945"/>
      <c r="N154" s="1945"/>
      <c r="O154" s="1945"/>
      <c r="P154" s="1945"/>
      <c r="T154" s="78"/>
    </row>
    <row r="155" spans="1:20" x14ac:dyDescent="0.3">
      <c r="A155" s="1945"/>
      <c r="B155" s="1945"/>
      <c r="C155" s="1945"/>
      <c r="D155" s="1945"/>
      <c r="E155" s="1945"/>
      <c r="F155" s="1945"/>
      <c r="G155" s="1951"/>
      <c r="H155" s="1946"/>
      <c r="I155" s="1945"/>
      <c r="J155" s="1945"/>
      <c r="K155" s="1945"/>
      <c r="L155" s="1945"/>
      <c r="M155" s="1945"/>
      <c r="N155" s="1945"/>
      <c r="O155" s="1945"/>
      <c r="P155" s="1945"/>
      <c r="T155" s="78"/>
    </row>
    <row r="156" spans="1:20" x14ac:dyDescent="0.3">
      <c r="A156" s="1945"/>
      <c r="B156" s="1945"/>
      <c r="C156" s="1945"/>
      <c r="D156" s="1945"/>
      <c r="E156" s="1945"/>
      <c r="F156" s="1945"/>
      <c r="G156" s="1945"/>
      <c r="H156" s="1945"/>
      <c r="I156" s="1945"/>
      <c r="J156" s="1945"/>
      <c r="K156" s="1945"/>
      <c r="L156" s="1945"/>
      <c r="M156" s="1945"/>
      <c r="N156" s="1945"/>
      <c r="O156" s="1945"/>
      <c r="P156" s="1945"/>
      <c r="T156" s="78"/>
    </row>
    <row r="157" spans="1:20" x14ac:dyDescent="0.3">
      <c r="A157" s="1945"/>
      <c r="B157" s="1945"/>
      <c r="C157" s="1945"/>
      <c r="D157" s="1611"/>
      <c r="E157" s="1945"/>
      <c r="F157" s="1914"/>
      <c r="G157" s="1914"/>
      <c r="H157" s="1914"/>
      <c r="I157" s="1945"/>
      <c r="J157" s="1945"/>
      <c r="K157" s="1945"/>
      <c r="L157" s="1945"/>
      <c r="M157" s="1945"/>
      <c r="N157" s="1945"/>
      <c r="O157" s="1945"/>
      <c r="P157" s="1945"/>
      <c r="T157" s="78"/>
    </row>
    <row r="158" spans="1:20" x14ac:dyDescent="0.3">
      <c r="A158" s="1945"/>
      <c r="B158" s="1945"/>
      <c r="C158" s="1945"/>
      <c r="D158" s="1611"/>
      <c r="E158" s="1945"/>
      <c r="F158" s="1945"/>
      <c r="G158" s="1945"/>
      <c r="H158" s="1945"/>
      <c r="I158" s="1945"/>
      <c r="J158" s="1945"/>
      <c r="K158" s="1945"/>
      <c r="L158" s="1945"/>
      <c r="M158" s="1945"/>
      <c r="N158" s="1945"/>
      <c r="O158" s="1945"/>
      <c r="P158" s="1945"/>
    </row>
    <row r="159" spans="1:20" x14ac:dyDescent="0.3">
      <c r="A159" s="1945"/>
      <c r="B159" s="1945"/>
      <c r="C159" s="1945"/>
      <c r="D159" s="1945"/>
      <c r="E159" s="1945"/>
      <c r="F159" s="1945"/>
      <c r="G159" s="1945"/>
      <c r="H159" s="1945"/>
      <c r="I159" s="1945"/>
      <c r="J159" s="1945"/>
      <c r="K159" s="1945"/>
      <c r="L159" s="1945"/>
      <c r="M159" s="1945"/>
      <c r="N159" s="1945"/>
      <c r="O159" s="1945"/>
      <c r="P159" s="1945"/>
    </row>
    <row r="160" spans="1:20" x14ac:dyDescent="0.3">
      <c r="A160" s="1945"/>
      <c r="B160" s="1945"/>
      <c r="C160" s="1945"/>
      <c r="D160" s="1945"/>
      <c r="E160" s="1945"/>
      <c r="F160" s="1945"/>
      <c r="G160" s="1945"/>
      <c r="H160" s="1945"/>
      <c r="I160" s="1945"/>
      <c r="J160" s="1945"/>
      <c r="K160" s="1945"/>
      <c r="L160" s="1945"/>
      <c r="M160" s="1945"/>
      <c r="N160" s="1945"/>
      <c r="O160" s="1945"/>
      <c r="P160" s="1945"/>
    </row>
    <row r="161" spans="1:16" x14ac:dyDescent="0.3">
      <c r="A161" s="1945"/>
      <c r="B161" s="1945"/>
      <c r="C161" s="1945"/>
      <c r="D161" s="1945"/>
      <c r="E161" s="1945"/>
      <c r="F161" s="1945"/>
      <c r="G161" s="1945"/>
      <c r="H161" s="1945"/>
      <c r="I161" s="1945"/>
      <c r="J161" s="1945"/>
      <c r="K161" s="1945"/>
      <c r="L161" s="1945"/>
      <c r="M161" s="1945"/>
      <c r="N161" s="1945"/>
      <c r="O161" s="1945"/>
      <c r="P161" s="1945"/>
    </row>
    <row r="162" spans="1:16" x14ac:dyDescent="0.3">
      <c r="A162" s="1945"/>
      <c r="B162" s="1914"/>
      <c r="C162" s="1914"/>
      <c r="D162" s="1918"/>
      <c r="E162" s="1611"/>
      <c r="F162" s="1945"/>
      <c r="G162" s="1946"/>
      <c r="H162" s="1945"/>
      <c r="I162" s="1945"/>
      <c r="J162" s="1945"/>
      <c r="K162" s="1945"/>
      <c r="L162" s="1945"/>
      <c r="M162" s="1945"/>
      <c r="N162" s="1945"/>
      <c r="O162" s="1945"/>
      <c r="P162" s="1945"/>
    </row>
    <row r="163" spans="1:16" x14ac:dyDescent="0.3">
      <c r="A163" s="1945"/>
      <c r="B163" s="1945"/>
      <c r="C163" s="1945"/>
      <c r="D163" s="1611"/>
      <c r="E163" s="1611"/>
      <c r="F163" s="1945"/>
      <c r="G163" s="1945"/>
      <c r="H163" s="1945"/>
      <c r="I163" s="1945"/>
      <c r="J163" s="1945"/>
      <c r="K163" s="1945"/>
      <c r="L163" s="1945"/>
      <c r="M163" s="1945"/>
      <c r="N163" s="1945"/>
      <c r="O163" s="1945"/>
      <c r="P163" s="1945"/>
    </row>
    <row r="164" spans="1:16" x14ac:dyDescent="0.3">
      <c r="A164" s="1945"/>
      <c r="B164" s="1945"/>
      <c r="C164" s="1945"/>
      <c r="D164" s="1611"/>
      <c r="E164" s="1611"/>
      <c r="F164" s="1945"/>
      <c r="G164" s="1947"/>
      <c r="H164" s="1945"/>
      <c r="I164" s="1945"/>
      <c r="J164" s="1945"/>
      <c r="K164" s="1945"/>
      <c r="L164" s="1945"/>
      <c r="M164" s="1945"/>
      <c r="N164" s="1945"/>
      <c r="O164" s="1945"/>
      <c r="P164" s="1945"/>
    </row>
    <row r="165" spans="1:16" x14ac:dyDescent="0.3">
      <c r="A165" s="1945"/>
      <c r="B165" s="1945"/>
      <c r="C165" s="1945"/>
      <c r="D165" s="1611"/>
      <c r="E165" s="1611"/>
      <c r="F165" s="1611"/>
      <c r="G165" s="1611"/>
      <c r="H165" s="1945"/>
      <c r="I165" s="1945"/>
      <c r="J165" s="1945"/>
      <c r="K165" s="1945"/>
      <c r="L165" s="1945"/>
      <c r="M165" s="1945"/>
      <c r="N165" s="1945"/>
      <c r="O165" s="1945"/>
      <c r="P165" s="1945"/>
    </row>
    <row r="166" spans="1:16" x14ac:dyDescent="0.3">
      <c r="A166" s="1945"/>
      <c r="B166" s="1945"/>
      <c r="C166" s="1945"/>
      <c r="D166" s="1611"/>
      <c r="E166" s="1611"/>
      <c r="F166" s="1945"/>
      <c r="G166" s="1945"/>
      <c r="H166" s="1945"/>
      <c r="I166" s="1945"/>
      <c r="J166" s="1945"/>
      <c r="K166" s="1945"/>
      <c r="L166" s="1945"/>
      <c r="M166" s="1945"/>
      <c r="N166" s="1945"/>
      <c r="O166" s="1945"/>
      <c r="P166" s="1945"/>
    </row>
    <row r="167" spans="1:16" x14ac:dyDescent="0.3">
      <c r="A167" s="1945"/>
      <c r="B167" s="1945"/>
      <c r="C167" s="1945"/>
      <c r="D167" s="1611"/>
      <c r="E167" s="1611"/>
      <c r="F167" s="1945"/>
      <c r="G167" s="1947"/>
      <c r="H167" s="1945"/>
      <c r="I167" s="1945"/>
      <c r="J167" s="1945"/>
      <c r="K167" s="1945"/>
      <c r="L167" s="1945"/>
      <c r="M167" s="1945"/>
      <c r="N167" s="1945"/>
      <c r="O167" s="1945"/>
      <c r="P167" s="1945"/>
    </row>
    <row r="168" spans="1:16" x14ac:dyDescent="0.3">
      <c r="A168" s="1945"/>
      <c r="B168" s="1945"/>
      <c r="C168" s="1945"/>
      <c r="D168" s="1611"/>
      <c r="E168" s="1611"/>
      <c r="F168" s="1945"/>
      <c r="G168" s="1947"/>
      <c r="H168" s="1945"/>
      <c r="I168" s="1945"/>
      <c r="J168" s="1945"/>
      <c r="K168" s="1945"/>
      <c r="L168" s="1945"/>
      <c r="M168" s="1945"/>
      <c r="N168" s="1945"/>
      <c r="O168" s="1945"/>
      <c r="P168" s="1945"/>
    </row>
    <row r="169" spans="1:16" x14ac:dyDescent="0.3">
      <c r="A169" s="1945"/>
      <c r="B169" s="1945"/>
      <c r="C169" s="1945"/>
      <c r="D169" s="1611"/>
      <c r="E169" s="1611"/>
      <c r="F169" s="1935"/>
      <c r="G169" s="1945"/>
      <c r="H169" s="1945"/>
      <c r="I169" s="1945"/>
      <c r="J169" s="1945"/>
      <c r="K169" s="1945"/>
      <c r="L169" s="1945"/>
      <c r="M169" s="1945"/>
      <c r="N169" s="1945"/>
      <c r="O169" s="1945"/>
      <c r="P169" s="1945"/>
    </row>
    <row r="170" spans="1:16" x14ac:dyDescent="0.3">
      <c r="A170" s="1945"/>
      <c r="B170" s="1945"/>
      <c r="C170" s="1945"/>
      <c r="D170" s="1611"/>
      <c r="E170" s="1611"/>
      <c r="F170" s="1945"/>
      <c r="G170" s="1947"/>
      <c r="H170" s="1945"/>
      <c r="I170" s="1945"/>
      <c r="J170" s="1945"/>
      <c r="K170" s="1945"/>
      <c r="L170" s="1945"/>
      <c r="M170" s="1945"/>
      <c r="N170" s="1945"/>
      <c r="O170" s="1945"/>
      <c r="P170" s="1945"/>
    </row>
    <row r="171" spans="1:16" x14ac:dyDescent="0.3">
      <c r="A171" s="1945"/>
      <c r="B171" s="1945"/>
      <c r="C171" s="1945"/>
      <c r="D171" s="1611"/>
      <c r="E171" s="1611"/>
      <c r="F171" s="1945"/>
      <c r="G171" s="1947"/>
      <c r="H171" s="1945"/>
      <c r="I171" s="1945"/>
      <c r="J171" s="1945"/>
      <c r="K171" s="1945"/>
      <c r="L171" s="1945"/>
      <c r="M171" s="1945"/>
      <c r="N171" s="1945"/>
      <c r="O171" s="1945"/>
      <c r="P171" s="1945"/>
    </row>
    <row r="172" spans="1:16" x14ac:dyDescent="0.3">
      <c r="A172" s="1945"/>
      <c r="B172" s="1945"/>
      <c r="C172" s="1945"/>
      <c r="D172" s="1611"/>
      <c r="E172" s="1611"/>
      <c r="F172" s="1945"/>
      <c r="G172" s="1945"/>
      <c r="H172" s="1945"/>
      <c r="I172" s="1945"/>
      <c r="J172" s="1945"/>
      <c r="K172" s="1945"/>
      <c r="L172" s="1945"/>
      <c r="M172" s="1945"/>
      <c r="N172" s="1945"/>
      <c r="O172" s="1945"/>
      <c r="P172" s="1945"/>
    </row>
    <row r="173" spans="1:16" x14ac:dyDescent="0.3">
      <c r="A173" s="1945"/>
      <c r="B173" s="1945"/>
      <c r="C173" s="1945"/>
      <c r="D173" s="1611"/>
      <c r="E173" s="1611"/>
      <c r="F173" s="1945"/>
      <c r="G173" s="1946"/>
      <c r="H173" s="1945"/>
      <c r="I173" s="1945"/>
      <c r="J173" s="1945"/>
      <c r="K173" s="1945"/>
      <c r="L173" s="1945"/>
      <c r="M173" s="1945"/>
      <c r="N173" s="1945"/>
      <c r="O173" s="1945"/>
      <c r="P173" s="1945"/>
    </row>
    <row r="174" spans="1:16" x14ac:dyDescent="0.3">
      <c r="A174" s="1945"/>
      <c r="B174" s="1945"/>
      <c r="C174" s="1945"/>
      <c r="D174" s="1611"/>
      <c r="E174" s="1611"/>
      <c r="F174" s="1945"/>
      <c r="G174" s="1946"/>
      <c r="H174" s="1945"/>
      <c r="I174" s="1945"/>
      <c r="J174" s="1945"/>
      <c r="K174" s="1945"/>
      <c r="L174" s="1945"/>
      <c r="M174" s="1945"/>
      <c r="N174" s="1945"/>
      <c r="O174" s="1945"/>
      <c r="P174" s="1945"/>
    </row>
    <row r="175" spans="1:16" x14ac:dyDescent="0.3">
      <c r="A175" s="1945"/>
      <c r="B175" s="1945"/>
      <c r="C175" s="1945"/>
      <c r="D175" s="1611"/>
      <c r="E175" s="1611"/>
      <c r="F175" s="1945"/>
      <c r="G175" s="1947"/>
      <c r="H175" s="1945"/>
      <c r="I175" s="1945"/>
      <c r="J175" s="1945"/>
      <c r="K175" s="1945"/>
      <c r="L175" s="1945"/>
      <c r="M175" s="1945"/>
      <c r="N175" s="1945"/>
      <c r="O175" s="1945"/>
      <c r="P175" s="1945"/>
    </row>
    <row r="176" spans="1:16" x14ac:dyDescent="0.3">
      <c r="A176" s="1945"/>
      <c r="B176" s="1945"/>
      <c r="C176" s="1945"/>
      <c r="D176" s="1945"/>
      <c r="E176" s="1945"/>
      <c r="F176" s="1945"/>
      <c r="G176" s="1945"/>
      <c r="H176" s="1945"/>
      <c r="I176" s="1945"/>
      <c r="J176" s="1945"/>
      <c r="K176" s="1945"/>
      <c r="L176" s="1945"/>
      <c r="M176" s="1945"/>
      <c r="N176" s="1945"/>
      <c r="O176" s="1945"/>
      <c r="P176" s="1945"/>
    </row>
    <row r="177" spans="1:16" x14ac:dyDescent="0.3">
      <c r="A177" s="1945"/>
      <c r="B177" s="1945"/>
      <c r="C177" s="1945"/>
      <c r="D177" s="1945"/>
      <c r="E177" s="1945"/>
      <c r="F177" s="1945"/>
      <c r="G177" s="1945"/>
      <c r="H177" s="1945"/>
      <c r="I177" s="1945"/>
      <c r="J177" s="1945"/>
      <c r="K177" s="1945"/>
      <c r="L177" s="1945"/>
      <c r="M177" s="1945"/>
      <c r="N177" s="1945"/>
      <c r="O177" s="1945"/>
      <c r="P177" s="1945"/>
    </row>
    <row r="178" spans="1:16" x14ac:dyDescent="0.3">
      <c r="A178" s="1945"/>
      <c r="B178" s="1945"/>
      <c r="C178" s="1945"/>
      <c r="D178" s="1945"/>
      <c r="E178" s="1945"/>
      <c r="F178" s="1945"/>
      <c r="G178" s="1945"/>
      <c r="H178" s="1945"/>
      <c r="I178" s="1945"/>
      <c r="J178" s="1945"/>
      <c r="K178" s="1945"/>
      <c r="L178" s="1945"/>
      <c r="M178" s="1945"/>
      <c r="N178" s="1945"/>
      <c r="O178" s="1945"/>
      <c r="P178" s="1945"/>
    </row>
    <row r="179" spans="1:16" x14ac:dyDescent="0.3">
      <c r="A179" s="1945"/>
      <c r="B179" s="1914"/>
      <c r="C179" s="1945"/>
      <c r="D179" s="1945"/>
      <c r="E179" s="1945"/>
      <c r="F179" s="1945"/>
      <c r="G179" s="1945"/>
      <c r="H179" s="1945"/>
      <c r="I179" s="1947"/>
      <c r="J179" s="1945"/>
      <c r="K179" s="1945"/>
      <c r="L179" s="1945"/>
      <c r="M179" s="1945"/>
      <c r="N179" s="1945"/>
      <c r="O179" s="1945"/>
      <c r="P179" s="1945"/>
    </row>
    <row r="180" spans="1:16" x14ac:dyDescent="0.3">
      <c r="A180" s="1945"/>
      <c r="B180" s="1945"/>
      <c r="C180" s="1945"/>
      <c r="D180" s="1914"/>
      <c r="E180" s="1945"/>
      <c r="F180" s="1945"/>
      <c r="G180" s="1947"/>
      <c r="H180" s="1945"/>
      <c r="I180" s="1947"/>
      <c r="J180" s="1945"/>
      <c r="K180" s="1945"/>
      <c r="L180" s="1945"/>
      <c r="M180" s="1945"/>
      <c r="N180" s="1945"/>
      <c r="O180" s="1945"/>
      <c r="P180" s="1945"/>
    </row>
    <row r="181" spans="1:16" x14ac:dyDescent="0.3">
      <c r="A181" s="1945"/>
      <c r="B181" s="1945"/>
      <c r="C181" s="1945"/>
      <c r="D181" s="1914"/>
      <c r="E181" s="1935"/>
      <c r="F181" s="1935"/>
      <c r="G181" s="1947"/>
      <c r="H181" s="1945"/>
      <c r="I181" s="1947"/>
      <c r="J181" s="1945"/>
      <c r="K181" s="1945"/>
      <c r="L181" s="1945"/>
      <c r="M181" s="1945"/>
      <c r="N181" s="1945"/>
      <c r="O181" s="1945"/>
      <c r="P181" s="1945"/>
    </row>
    <row r="182" spans="1:16" x14ac:dyDescent="0.3">
      <c r="A182" s="1945"/>
      <c r="B182" s="1945"/>
      <c r="C182" s="1945"/>
      <c r="D182" s="1914"/>
      <c r="E182" s="1935"/>
      <c r="F182" s="1935"/>
      <c r="G182" s="1947"/>
      <c r="H182" s="1945"/>
      <c r="I182" s="1947"/>
      <c r="J182" s="1945"/>
      <c r="K182" s="1945"/>
      <c r="L182" s="1945"/>
      <c r="M182" s="1945"/>
      <c r="N182" s="1945"/>
      <c r="O182" s="1945"/>
      <c r="P182" s="1945"/>
    </row>
    <row r="183" spans="1:16" x14ac:dyDescent="0.3">
      <c r="A183" s="1945"/>
      <c r="B183" s="1945"/>
      <c r="C183" s="1945"/>
      <c r="D183" s="1914"/>
      <c r="E183" s="1935"/>
      <c r="F183" s="1935"/>
      <c r="G183" s="1947"/>
      <c r="H183" s="1945"/>
      <c r="I183" s="1947"/>
      <c r="J183" s="1945"/>
      <c r="K183" s="1945"/>
      <c r="L183" s="1945"/>
      <c r="M183" s="1945"/>
      <c r="N183" s="1945"/>
      <c r="O183" s="1945"/>
      <c r="P183" s="1945"/>
    </row>
    <row r="184" spans="1:16" x14ac:dyDescent="0.3">
      <c r="A184" s="1945"/>
      <c r="B184" s="1945"/>
      <c r="C184" s="1945"/>
      <c r="D184" s="1914"/>
      <c r="E184" s="1935"/>
      <c r="F184" s="1935"/>
      <c r="G184" s="1947"/>
      <c r="H184" s="1945"/>
      <c r="I184" s="1947"/>
      <c r="J184" s="1945"/>
      <c r="K184" s="1945"/>
      <c r="L184" s="1945"/>
      <c r="M184" s="1945"/>
      <c r="N184" s="1945"/>
      <c r="O184" s="1945"/>
      <c r="P184" s="1945"/>
    </row>
    <row r="185" spans="1:16" x14ac:dyDescent="0.3">
      <c r="A185" s="1945"/>
      <c r="B185" s="1945"/>
      <c r="C185" s="1945"/>
      <c r="D185" s="1914"/>
      <c r="E185" s="1935"/>
      <c r="F185" s="1935"/>
      <c r="G185" s="1947"/>
      <c r="H185" s="1945"/>
      <c r="I185" s="1947"/>
      <c r="J185" s="1945"/>
      <c r="K185" s="1945"/>
      <c r="L185" s="1945"/>
      <c r="M185" s="1945"/>
      <c r="N185" s="1945"/>
      <c r="O185" s="1945"/>
      <c r="P185" s="1945"/>
    </row>
    <row r="186" spans="1:16" x14ac:dyDescent="0.3">
      <c r="A186" s="1945"/>
      <c r="B186" s="1945"/>
      <c r="C186" s="1945"/>
      <c r="D186" s="1914"/>
      <c r="E186" s="1935"/>
      <c r="F186" s="1935"/>
      <c r="G186" s="1947"/>
      <c r="H186" s="1945"/>
      <c r="I186" s="1947"/>
      <c r="J186" s="1945"/>
      <c r="K186" s="1945"/>
      <c r="L186" s="1945"/>
      <c r="M186" s="1945"/>
      <c r="N186" s="1945"/>
      <c r="O186" s="1945"/>
      <c r="P186" s="1945"/>
    </row>
    <row r="187" spans="1:16" x14ac:dyDescent="0.3">
      <c r="A187" s="1945"/>
      <c r="B187" s="1945"/>
      <c r="C187" s="1945"/>
      <c r="D187" s="1914"/>
      <c r="E187" s="1935"/>
      <c r="F187" s="1935"/>
      <c r="G187" s="1947"/>
      <c r="H187" s="1945"/>
      <c r="I187" s="1947"/>
      <c r="J187" s="1945"/>
      <c r="K187" s="1945"/>
      <c r="L187" s="1945"/>
      <c r="M187" s="1945"/>
      <c r="N187" s="1945"/>
      <c r="O187" s="1945"/>
      <c r="P187" s="1945"/>
    </row>
    <row r="188" spans="1:16" x14ac:dyDescent="0.3">
      <c r="A188" s="1945"/>
      <c r="B188" s="1945"/>
      <c r="C188" s="1945"/>
      <c r="D188" s="1914"/>
      <c r="E188" s="1935"/>
      <c r="F188" s="1935"/>
      <c r="G188" s="1932"/>
      <c r="H188" s="1945"/>
      <c r="I188" s="1947"/>
      <c r="J188" s="1945"/>
      <c r="K188" s="1945"/>
      <c r="L188" s="1945"/>
      <c r="M188" s="1945"/>
      <c r="N188" s="1945"/>
      <c r="O188" s="1945"/>
      <c r="P188" s="1945"/>
    </row>
    <row r="189" spans="1:16" x14ac:dyDescent="0.3">
      <c r="A189" s="1945"/>
      <c r="B189" s="1945"/>
      <c r="C189" s="1945"/>
      <c r="D189" s="1914"/>
      <c r="E189" s="1935"/>
      <c r="F189" s="1935"/>
      <c r="G189" s="1947"/>
      <c r="H189" s="1945"/>
      <c r="I189" s="1947"/>
      <c r="J189" s="1945"/>
      <c r="K189" s="1945"/>
      <c r="L189" s="1945"/>
      <c r="M189" s="1945"/>
      <c r="N189" s="1945"/>
      <c r="O189" s="1945"/>
      <c r="P189" s="1945"/>
    </row>
    <row r="190" spans="1:16" x14ac:dyDescent="0.3">
      <c r="A190" s="1945"/>
      <c r="B190" s="1945"/>
      <c r="C190" s="1945"/>
      <c r="D190" s="1945"/>
      <c r="E190" s="1935"/>
      <c r="F190" s="1935"/>
      <c r="G190" s="1947"/>
      <c r="H190" s="1945"/>
      <c r="I190" s="1947"/>
      <c r="J190" s="1945"/>
      <c r="K190" s="1945"/>
      <c r="L190" s="1945"/>
      <c r="M190" s="1945"/>
      <c r="N190" s="1945"/>
      <c r="O190" s="1945"/>
      <c r="P190" s="1945"/>
    </row>
    <row r="191" spans="1:16" x14ac:dyDescent="0.3">
      <c r="A191" s="1945"/>
      <c r="B191" s="1945"/>
      <c r="C191" s="1945"/>
      <c r="D191" s="1951"/>
      <c r="E191" s="1935"/>
      <c r="F191" s="1935"/>
      <c r="G191" s="1947"/>
      <c r="H191" s="1945"/>
      <c r="I191" s="1947"/>
      <c r="J191" s="1945"/>
      <c r="K191" s="1945"/>
      <c r="L191" s="1945"/>
      <c r="M191" s="1945"/>
      <c r="N191" s="1945"/>
      <c r="O191" s="1945"/>
      <c r="P191" s="1945"/>
    </row>
    <row r="192" spans="1:16" x14ac:dyDescent="0.3">
      <c r="A192" s="1945"/>
      <c r="B192" s="1945"/>
      <c r="C192" s="1945"/>
      <c r="D192" s="1951"/>
      <c r="E192" s="1935"/>
      <c r="F192" s="1935"/>
      <c r="G192" s="1947"/>
      <c r="H192" s="1945"/>
      <c r="I192" s="1947"/>
      <c r="J192" s="1945"/>
      <c r="K192" s="1945"/>
      <c r="L192" s="1945"/>
      <c r="M192" s="1945"/>
      <c r="N192" s="1945"/>
      <c r="O192" s="1945"/>
      <c r="P192" s="1945"/>
    </row>
    <row r="193" spans="1:16" x14ac:dyDescent="0.3">
      <c r="A193" s="1945"/>
      <c r="B193" s="1945"/>
      <c r="C193" s="1945"/>
      <c r="D193" s="1951"/>
      <c r="E193" s="1935"/>
      <c r="F193" s="1935"/>
      <c r="G193" s="1947"/>
      <c r="H193" s="1945"/>
      <c r="I193" s="1947"/>
      <c r="J193" s="1945"/>
      <c r="K193" s="1945"/>
      <c r="L193" s="1945"/>
      <c r="M193" s="1945"/>
      <c r="N193" s="1945"/>
      <c r="O193" s="1945"/>
      <c r="P193" s="1945"/>
    </row>
    <row r="194" spans="1:16" x14ac:dyDescent="0.3">
      <c r="A194" s="1945"/>
      <c r="B194" s="1945"/>
      <c r="C194" s="1945"/>
      <c r="D194" s="1951"/>
      <c r="E194" s="1935"/>
      <c r="F194" s="1935"/>
      <c r="G194" s="1951"/>
      <c r="H194" s="1945"/>
      <c r="I194" s="1947"/>
      <c r="J194" s="1945"/>
      <c r="K194" s="1945"/>
      <c r="L194" s="1945"/>
      <c r="M194" s="1945"/>
      <c r="N194" s="1945"/>
      <c r="O194" s="1945"/>
      <c r="P194" s="1945"/>
    </row>
    <row r="195" spans="1:16" x14ac:dyDescent="0.3">
      <c r="A195" s="1945"/>
      <c r="B195" s="1945"/>
      <c r="C195" s="1945"/>
      <c r="D195" s="1945"/>
      <c r="E195" s="1935"/>
      <c r="F195" s="1935"/>
      <c r="G195" s="1947"/>
      <c r="H195" s="1945"/>
      <c r="I195" s="1947"/>
      <c r="J195" s="1945"/>
      <c r="K195" s="1945"/>
      <c r="L195" s="1945"/>
      <c r="M195" s="1945"/>
      <c r="N195" s="1945"/>
      <c r="O195" s="1945"/>
      <c r="P195" s="1945"/>
    </row>
    <row r="196" spans="1:16" x14ac:dyDescent="0.3">
      <c r="A196" s="1945"/>
      <c r="B196" s="1914"/>
      <c r="C196" s="1945"/>
      <c r="D196" s="2060"/>
      <c r="E196" s="1935"/>
      <c r="F196" s="1935"/>
      <c r="G196" s="1932"/>
      <c r="H196" s="1945"/>
      <c r="I196" s="1947"/>
      <c r="J196" s="1945"/>
      <c r="K196" s="1945"/>
      <c r="L196" s="1945"/>
      <c r="M196" s="1945"/>
      <c r="N196" s="1945"/>
      <c r="O196" s="1945"/>
      <c r="P196" s="1945"/>
    </row>
    <row r="197" spans="1:16" x14ac:dyDescent="0.3">
      <c r="A197" s="1945"/>
      <c r="B197" s="1914"/>
      <c r="C197" s="1945"/>
      <c r="D197" s="1944"/>
      <c r="E197" s="1935"/>
      <c r="F197" s="1935"/>
      <c r="G197" s="1947"/>
      <c r="H197" s="1945"/>
      <c r="I197" s="1947"/>
      <c r="J197" s="1945"/>
      <c r="K197" s="1945"/>
      <c r="L197" s="1945"/>
      <c r="M197" s="1945"/>
      <c r="N197" s="1945"/>
      <c r="O197" s="1945"/>
      <c r="P197" s="1945"/>
    </row>
    <row r="198" spans="1:16" x14ac:dyDescent="0.3">
      <c r="A198" s="1945"/>
      <c r="B198" s="1945"/>
      <c r="C198" s="1945"/>
      <c r="D198" s="1935"/>
      <c r="E198" s="1935"/>
      <c r="F198" s="1935"/>
      <c r="G198" s="1945"/>
      <c r="H198" s="1945"/>
      <c r="I198" s="1947"/>
      <c r="J198" s="1945"/>
      <c r="K198" s="1945"/>
      <c r="L198" s="1945"/>
      <c r="M198" s="1945"/>
      <c r="N198" s="1945"/>
      <c r="O198" s="1945"/>
      <c r="P198" s="1945"/>
    </row>
    <row r="199" spans="1:16" x14ac:dyDescent="0.3">
      <c r="A199" s="1945"/>
      <c r="B199" s="1945"/>
      <c r="C199" s="1945"/>
      <c r="D199" s="1951"/>
      <c r="E199" s="1935"/>
      <c r="F199" s="1935"/>
      <c r="G199" s="1947"/>
      <c r="H199" s="1945"/>
      <c r="I199" s="1947"/>
      <c r="J199" s="1945"/>
      <c r="K199" s="1945"/>
      <c r="L199" s="1945"/>
      <c r="M199" s="1945"/>
      <c r="N199" s="1945"/>
      <c r="O199" s="1945"/>
      <c r="P199" s="1945"/>
    </row>
    <row r="200" spans="1:16" x14ac:dyDescent="0.3">
      <c r="A200" s="1945"/>
      <c r="B200" s="1945"/>
      <c r="C200" s="1945"/>
      <c r="D200" s="1951"/>
      <c r="E200" s="1935"/>
      <c r="F200" s="1935"/>
      <c r="G200" s="1947"/>
      <c r="H200" s="1945"/>
      <c r="I200" s="1947"/>
      <c r="J200" s="1945"/>
      <c r="K200" s="1945"/>
      <c r="L200" s="1945"/>
      <c r="M200" s="1945"/>
      <c r="N200" s="1945"/>
      <c r="O200" s="1945"/>
      <c r="P200" s="1945"/>
    </row>
    <row r="201" spans="1:16" x14ac:dyDescent="0.3">
      <c r="A201" s="1945"/>
      <c r="B201" s="1945"/>
      <c r="C201" s="1945"/>
      <c r="D201" s="1951"/>
      <c r="E201" s="1935"/>
      <c r="F201" s="1935"/>
      <c r="G201" s="1947"/>
      <c r="H201" s="1945"/>
      <c r="I201" s="1947"/>
      <c r="J201" s="1945"/>
      <c r="K201" s="1945"/>
      <c r="L201" s="1945"/>
      <c r="M201" s="1945"/>
      <c r="N201" s="1945"/>
      <c r="O201" s="1945"/>
      <c r="P201" s="1945"/>
    </row>
    <row r="202" spans="1:16" x14ac:dyDescent="0.3">
      <c r="A202" s="1945"/>
      <c r="B202" s="1945"/>
      <c r="C202" s="1945"/>
      <c r="D202" s="1951"/>
      <c r="E202" s="1935"/>
      <c r="F202" s="1935"/>
      <c r="G202" s="1947"/>
      <c r="H202" s="1945"/>
      <c r="I202" s="1947"/>
      <c r="J202" s="1945"/>
      <c r="K202" s="1945"/>
      <c r="L202" s="1945"/>
      <c r="M202" s="1945"/>
      <c r="N202" s="1945"/>
      <c r="O202" s="1945"/>
      <c r="P202" s="1945"/>
    </row>
    <row r="203" spans="1:16" x14ac:dyDescent="0.3">
      <c r="A203" s="1945"/>
      <c r="B203" s="1945"/>
      <c r="C203" s="1945"/>
      <c r="D203" s="1945"/>
      <c r="E203" s="1935"/>
      <c r="F203" s="1935"/>
      <c r="G203" s="1947"/>
      <c r="H203" s="1945"/>
      <c r="I203" s="1947"/>
      <c r="J203" s="1945"/>
      <c r="K203" s="1945"/>
      <c r="L203" s="1945"/>
      <c r="M203" s="1945"/>
      <c r="N203" s="1945"/>
      <c r="O203" s="1945"/>
      <c r="P203" s="1945"/>
    </row>
    <row r="204" spans="1:16" x14ac:dyDescent="0.3">
      <c r="A204" s="1945"/>
      <c r="B204" s="1914"/>
      <c r="C204" s="1945"/>
      <c r="D204" s="1944"/>
      <c r="E204" s="1935"/>
      <c r="F204" s="1935"/>
      <c r="G204" s="1932"/>
      <c r="H204" s="1945"/>
      <c r="I204" s="1947"/>
      <c r="J204" s="1945"/>
      <c r="K204" s="1945"/>
      <c r="L204" s="1945"/>
      <c r="M204" s="1945"/>
      <c r="N204" s="1945"/>
      <c r="O204" s="1945"/>
      <c r="P204" s="1945"/>
    </row>
    <row r="205" spans="1:16" x14ac:dyDescent="0.3">
      <c r="A205" s="1945"/>
      <c r="B205" s="1914"/>
      <c r="C205" s="1945"/>
      <c r="D205" s="1944"/>
      <c r="E205" s="1935"/>
      <c r="F205" s="1935"/>
      <c r="G205" s="1947"/>
      <c r="H205" s="1945"/>
      <c r="I205" s="1947"/>
      <c r="J205" s="1945"/>
      <c r="K205" s="1945"/>
      <c r="L205" s="1945"/>
      <c r="M205" s="1945"/>
      <c r="N205" s="1945"/>
      <c r="O205" s="1945"/>
      <c r="P205" s="1945"/>
    </row>
    <row r="206" spans="1:16" x14ac:dyDescent="0.3">
      <c r="A206" s="1945"/>
      <c r="B206" s="1945"/>
      <c r="C206" s="1945"/>
      <c r="D206" s="1611"/>
      <c r="E206" s="1935"/>
      <c r="F206" s="1935"/>
      <c r="G206" s="1945"/>
      <c r="H206" s="1945"/>
      <c r="I206" s="1947"/>
      <c r="J206" s="1945"/>
      <c r="K206" s="1945"/>
      <c r="L206" s="1945"/>
      <c r="M206" s="1945"/>
      <c r="N206" s="1945"/>
      <c r="O206" s="1945"/>
      <c r="P206" s="1945"/>
    </row>
    <row r="207" spans="1:16" x14ac:dyDescent="0.3">
      <c r="A207" s="1945"/>
      <c r="B207" s="1945"/>
      <c r="C207" s="1945"/>
      <c r="D207" s="1611"/>
      <c r="E207" s="1935"/>
      <c r="F207" s="1935"/>
      <c r="G207" s="1947"/>
      <c r="H207" s="1945"/>
      <c r="I207" s="1938"/>
      <c r="J207" s="1945"/>
      <c r="K207" s="1945"/>
      <c r="L207" s="1945"/>
      <c r="M207" s="1945"/>
      <c r="N207" s="1945"/>
      <c r="O207" s="1945"/>
      <c r="P207" s="1945"/>
    </row>
    <row r="208" spans="1:16" x14ac:dyDescent="0.3">
      <c r="A208" s="1945"/>
      <c r="B208" s="1945"/>
      <c r="C208" s="1945"/>
      <c r="D208" s="1611"/>
      <c r="E208" s="1935"/>
      <c r="F208" s="1935"/>
      <c r="G208" s="1946"/>
      <c r="H208" s="1945"/>
      <c r="I208" s="1943"/>
      <c r="J208" s="1945"/>
      <c r="K208" s="1945"/>
      <c r="L208" s="1945"/>
      <c r="M208" s="1945"/>
      <c r="N208" s="1945"/>
      <c r="O208" s="1945"/>
      <c r="P208" s="1945"/>
    </row>
    <row r="209" spans="1:16" x14ac:dyDescent="0.3">
      <c r="A209" s="1945"/>
      <c r="B209" s="1945"/>
      <c r="C209" s="1945"/>
      <c r="D209" s="1945"/>
      <c r="E209" s="1945"/>
      <c r="F209" s="1945"/>
      <c r="G209" s="1945"/>
      <c r="H209" s="1945"/>
      <c r="I209" s="1945"/>
      <c r="J209" s="1945"/>
      <c r="K209" s="1945"/>
      <c r="L209" s="1945"/>
      <c r="M209" s="1945"/>
      <c r="N209" s="1945"/>
      <c r="O209" s="1945"/>
      <c r="P209" s="1945"/>
    </row>
    <row r="210" spans="1:16" x14ac:dyDescent="0.3">
      <c r="A210" s="1945"/>
      <c r="B210" s="1945"/>
      <c r="C210" s="1945"/>
      <c r="D210" s="1945"/>
      <c r="E210" s="1945"/>
      <c r="F210" s="1945"/>
      <c r="G210" s="1945"/>
      <c r="H210" s="1945"/>
      <c r="I210" s="1945"/>
      <c r="J210" s="1945"/>
      <c r="K210" s="1945"/>
      <c r="L210" s="1945"/>
      <c r="M210" s="1945"/>
      <c r="N210" s="1945"/>
      <c r="O210" s="1945"/>
      <c r="P210" s="1945"/>
    </row>
    <row r="211" spans="1:16" x14ac:dyDescent="0.3">
      <c r="A211" s="1945"/>
      <c r="B211" s="1914"/>
      <c r="C211" s="1914"/>
      <c r="D211" s="1918"/>
      <c r="E211" s="1936"/>
      <c r="F211" s="1936"/>
      <c r="G211" s="1932"/>
      <c r="H211" s="1914"/>
      <c r="I211" s="1938"/>
      <c r="J211" s="1945"/>
      <c r="K211" s="1945"/>
      <c r="L211" s="1945"/>
      <c r="M211" s="1945"/>
      <c r="N211" s="1945"/>
      <c r="O211" s="1945"/>
      <c r="P211" s="1945"/>
    </row>
    <row r="212" spans="1:16" x14ac:dyDescent="0.3">
      <c r="A212" s="1945"/>
      <c r="B212" s="1914"/>
      <c r="C212" s="1914"/>
      <c r="D212" s="1918"/>
      <c r="E212" s="1936"/>
      <c r="F212" s="1936"/>
      <c r="G212" s="1932"/>
      <c r="H212" s="1914"/>
      <c r="I212" s="1935"/>
      <c r="J212" s="1945"/>
      <c r="K212" s="1945"/>
      <c r="L212" s="1945"/>
      <c r="M212" s="1945"/>
      <c r="N212" s="1945"/>
      <c r="O212" s="1945"/>
      <c r="P212" s="1945"/>
    </row>
    <row r="213" spans="1:16" x14ac:dyDescent="0.3">
      <c r="A213" s="1945"/>
      <c r="B213" s="1945"/>
      <c r="C213" s="1945"/>
      <c r="D213" s="1945"/>
      <c r="E213" s="1945"/>
      <c r="F213" s="1945"/>
      <c r="G213" s="1945"/>
      <c r="H213" s="1945"/>
      <c r="I213" s="1945"/>
      <c r="J213" s="1945"/>
      <c r="K213" s="1945"/>
      <c r="L213" s="1945"/>
      <c r="M213" s="1945"/>
      <c r="N213" s="1945"/>
      <c r="O213" s="1945"/>
      <c r="P213" s="1945"/>
    </row>
    <row r="214" spans="1:16" x14ac:dyDescent="0.3">
      <c r="A214" s="1945"/>
      <c r="B214" s="1945"/>
      <c r="C214" s="1945"/>
      <c r="D214" s="1936"/>
      <c r="E214" s="1914"/>
      <c r="F214" s="1935"/>
      <c r="G214" s="1946"/>
      <c r="H214" s="1945"/>
      <c r="I214" s="1945"/>
      <c r="J214" s="1945"/>
      <c r="K214" s="1945"/>
      <c r="L214" s="1945"/>
      <c r="M214" s="1945"/>
      <c r="N214" s="1945"/>
      <c r="O214" s="1945"/>
      <c r="P214" s="1945"/>
    </row>
    <row r="215" spans="1:16" x14ac:dyDescent="0.3">
      <c r="A215" s="1945"/>
      <c r="B215" s="1945"/>
      <c r="C215" s="1945"/>
      <c r="D215" s="1611"/>
      <c r="E215" s="1611"/>
      <c r="F215" s="1935"/>
      <c r="G215" s="1946"/>
      <c r="H215" s="1945"/>
      <c r="I215" s="1945"/>
      <c r="J215" s="1945"/>
      <c r="K215" s="1945"/>
      <c r="L215" s="1945"/>
      <c r="M215" s="1945"/>
      <c r="N215" s="1945"/>
      <c r="O215" s="1945"/>
      <c r="P215" s="1945"/>
    </row>
    <row r="216" spans="1:16" x14ac:dyDescent="0.3">
      <c r="A216" s="1945"/>
      <c r="B216" s="1945"/>
      <c r="C216" s="1945"/>
      <c r="D216" s="1611"/>
      <c r="E216" s="1611"/>
      <c r="F216" s="1935"/>
      <c r="G216" s="1948"/>
      <c r="H216" s="1945"/>
      <c r="I216" s="1945"/>
      <c r="J216" s="1945"/>
      <c r="K216" s="1945"/>
      <c r="L216" s="1945"/>
      <c r="M216" s="1945"/>
      <c r="N216" s="1945"/>
      <c r="O216" s="1945"/>
      <c r="P216" s="1945"/>
    </row>
    <row r="217" spans="1:16" x14ac:dyDescent="0.3">
      <c r="A217" s="1945"/>
      <c r="B217" s="1945"/>
      <c r="C217" s="1945"/>
      <c r="D217" s="1611"/>
      <c r="E217" s="1611"/>
      <c r="F217" s="1935"/>
      <c r="G217" s="1946"/>
      <c r="H217" s="1945"/>
      <c r="I217" s="1945"/>
      <c r="J217" s="1945"/>
      <c r="K217" s="1945"/>
      <c r="L217" s="1945"/>
      <c r="M217" s="1945"/>
      <c r="N217" s="1945"/>
      <c r="O217" s="1945"/>
      <c r="P217" s="1945"/>
    </row>
    <row r="218" spans="1:16" x14ac:dyDescent="0.3">
      <c r="A218" s="1945"/>
      <c r="B218" s="1945"/>
      <c r="C218" s="1945"/>
      <c r="D218" s="1611"/>
      <c r="E218" s="1935"/>
      <c r="F218" s="1945"/>
      <c r="G218" s="1947"/>
      <c r="H218" s="1945"/>
      <c r="I218" s="1945"/>
      <c r="J218" s="1945"/>
      <c r="K218" s="1945"/>
      <c r="L218" s="1945"/>
      <c r="M218" s="1945"/>
      <c r="N218" s="1945"/>
      <c r="O218" s="1945"/>
      <c r="P218" s="1945"/>
    </row>
    <row r="219" spans="1:16" x14ac:dyDescent="0.3">
      <c r="A219" s="1945"/>
      <c r="B219" s="1945"/>
      <c r="C219" s="1945"/>
      <c r="D219" s="1611"/>
      <c r="E219" s="1914"/>
      <c r="F219" s="2077"/>
      <c r="G219" s="1948"/>
      <c r="H219" s="1945"/>
      <c r="I219" s="1945"/>
      <c r="J219" s="1945"/>
      <c r="K219" s="1945"/>
      <c r="L219" s="1945"/>
      <c r="M219" s="1945"/>
      <c r="N219" s="1945"/>
      <c r="O219" s="1945"/>
      <c r="P219" s="1945"/>
    </row>
    <row r="220" spans="1:16" x14ac:dyDescent="0.3">
      <c r="A220" s="1945"/>
      <c r="B220" s="1945"/>
      <c r="C220" s="1945"/>
      <c r="D220" s="1611"/>
      <c r="E220" s="1611"/>
      <c r="F220" s="1935"/>
      <c r="G220" s="1945"/>
      <c r="H220" s="1945"/>
      <c r="I220" s="1945"/>
      <c r="J220" s="1945"/>
      <c r="K220" s="1945"/>
      <c r="L220" s="1945"/>
      <c r="M220" s="1945"/>
      <c r="N220" s="1945"/>
      <c r="O220" s="1945"/>
      <c r="P220" s="1945"/>
    </row>
    <row r="221" spans="1:16" x14ac:dyDescent="0.3">
      <c r="A221" s="1945"/>
      <c r="B221" s="1945"/>
      <c r="C221" s="1945"/>
      <c r="D221" s="1935"/>
      <c r="E221" s="1936"/>
      <c r="F221" s="1935"/>
      <c r="G221" s="1935"/>
      <c r="H221" s="1935"/>
      <c r="I221" s="1935"/>
      <c r="J221" s="1945"/>
      <c r="K221" s="1945"/>
      <c r="L221" s="1945"/>
      <c r="M221" s="1945"/>
      <c r="N221" s="1945"/>
      <c r="O221" s="1945"/>
      <c r="P221" s="1945"/>
    </row>
    <row r="222" spans="1:16" x14ac:dyDescent="0.3">
      <c r="A222" s="1945"/>
      <c r="B222" s="1945"/>
      <c r="C222" s="1945"/>
      <c r="D222" s="1935"/>
      <c r="E222" s="1935"/>
      <c r="F222" s="1935"/>
      <c r="G222" s="1943"/>
      <c r="H222" s="1935"/>
      <c r="I222" s="1935"/>
      <c r="J222" s="1945"/>
      <c r="K222" s="1945"/>
      <c r="L222" s="1945"/>
      <c r="M222" s="1945"/>
      <c r="N222" s="1945"/>
      <c r="O222" s="1945"/>
      <c r="P222" s="1945"/>
    </row>
    <row r="223" spans="1:16" x14ac:dyDescent="0.3">
      <c r="A223" s="1945"/>
      <c r="B223" s="1945"/>
      <c r="C223" s="1945"/>
      <c r="D223" s="1935"/>
      <c r="E223" s="1935"/>
      <c r="F223" s="1935"/>
      <c r="G223" s="1935"/>
      <c r="H223" s="1935"/>
      <c r="I223" s="1935"/>
      <c r="J223" s="1945"/>
      <c r="K223" s="1945"/>
      <c r="L223" s="1945"/>
      <c r="M223" s="1945"/>
      <c r="N223" s="1945"/>
      <c r="O223" s="1945"/>
      <c r="P223" s="1945"/>
    </row>
    <row r="224" spans="1:16" x14ac:dyDescent="0.3">
      <c r="A224" s="1945"/>
      <c r="B224" s="1945"/>
      <c r="C224" s="1945"/>
      <c r="D224" s="1935"/>
      <c r="E224" s="1935"/>
      <c r="F224" s="1935"/>
      <c r="G224" s="1938"/>
      <c r="H224" s="1935"/>
      <c r="I224" s="1935"/>
      <c r="J224" s="1945"/>
      <c r="K224" s="1945"/>
      <c r="L224" s="1945"/>
      <c r="M224" s="1945"/>
      <c r="N224" s="1945"/>
      <c r="O224" s="1945"/>
      <c r="P224" s="1945"/>
    </row>
    <row r="225" spans="1:16" x14ac:dyDescent="0.3">
      <c r="A225" s="1945"/>
      <c r="B225" s="1945"/>
      <c r="C225" s="1945"/>
      <c r="D225" s="1935"/>
      <c r="E225" s="1935"/>
      <c r="F225" s="1935"/>
      <c r="G225" s="1938"/>
      <c r="H225" s="1935"/>
      <c r="I225" s="1935"/>
      <c r="J225" s="1945"/>
      <c r="K225" s="1945"/>
      <c r="L225" s="1945"/>
      <c r="M225" s="1945"/>
      <c r="N225" s="1945"/>
      <c r="O225" s="1945"/>
      <c r="P225" s="1945"/>
    </row>
    <row r="226" spans="1:16" x14ac:dyDescent="0.3">
      <c r="A226" s="1945"/>
      <c r="B226" s="1945"/>
      <c r="C226" s="1945"/>
      <c r="D226" s="1935"/>
      <c r="E226" s="1935"/>
      <c r="F226" s="1935"/>
      <c r="G226" s="2077"/>
      <c r="H226" s="1935"/>
      <c r="I226" s="1935"/>
      <c r="J226" s="1945"/>
      <c r="K226" s="1945"/>
      <c r="L226" s="1945"/>
      <c r="M226" s="1945"/>
      <c r="N226" s="1945"/>
      <c r="O226" s="1945"/>
      <c r="P226" s="1945"/>
    </row>
    <row r="227" spans="1:16" x14ac:dyDescent="0.3">
      <c r="A227" s="1945"/>
      <c r="B227" s="1945"/>
      <c r="C227" s="1945"/>
      <c r="D227" s="1935"/>
      <c r="E227" s="1935"/>
      <c r="F227" s="1935"/>
      <c r="G227" s="2077"/>
      <c r="H227" s="1935"/>
      <c r="I227" s="1935"/>
      <c r="J227" s="1945"/>
      <c r="K227" s="1945"/>
      <c r="L227" s="1945"/>
      <c r="M227" s="1945"/>
      <c r="N227" s="1945"/>
      <c r="O227" s="1945"/>
      <c r="P227" s="1945"/>
    </row>
    <row r="228" spans="1:16" x14ac:dyDescent="0.3">
      <c r="A228" s="1945"/>
      <c r="B228" s="1945"/>
      <c r="C228" s="1945"/>
      <c r="D228" s="1935"/>
      <c r="E228" s="1935"/>
      <c r="F228" s="1935"/>
      <c r="G228" s="1935"/>
      <c r="H228" s="1935"/>
      <c r="I228" s="1935"/>
      <c r="J228" s="1945"/>
      <c r="K228" s="1945"/>
      <c r="L228" s="1945"/>
      <c r="M228" s="1945"/>
      <c r="N228" s="1945"/>
      <c r="O228" s="1945"/>
      <c r="P228" s="1945"/>
    </row>
    <row r="229" spans="1:16" x14ac:dyDescent="0.3">
      <c r="A229" s="1945"/>
      <c r="B229" s="1945"/>
      <c r="C229" s="1945"/>
      <c r="D229" s="1935"/>
      <c r="E229" s="1935"/>
      <c r="F229" s="1935"/>
      <c r="G229" s="1938"/>
      <c r="H229" s="1935"/>
      <c r="I229" s="1935"/>
      <c r="J229" s="1945"/>
      <c r="K229" s="1945"/>
      <c r="L229" s="1945"/>
      <c r="M229" s="1945"/>
      <c r="N229" s="1945"/>
      <c r="O229" s="1945"/>
      <c r="P229" s="1945"/>
    </row>
    <row r="230" spans="1:16" x14ac:dyDescent="0.3">
      <c r="A230" s="1945"/>
      <c r="B230" s="1945"/>
      <c r="C230" s="1945"/>
      <c r="D230" s="1935"/>
      <c r="E230" s="1935"/>
      <c r="F230" s="1935"/>
      <c r="G230" s="1938"/>
      <c r="H230" s="1935"/>
      <c r="I230" s="1935"/>
      <c r="J230" s="1945"/>
      <c r="K230" s="1945"/>
      <c r="L230" s="1945"/>
      <c r="M230" s="1945"/>
      <c r="N230" s="1945"/>
      <c r="O230" s="1945"/>
      <c r="P230" s="1945"/>
    </row>
    <row r="231" spans="1:16" x14ac:dyDescent="0.3">
      <c r="A231" s="1945"/>
      <c r="B231" s="1945"/>
      <c r="C231" s="1945"/>
      <c r="D231" s="1935"/>
      <c r="E231" s="1935"/>
      <c r="F231" s="1935"/>
      <c r="G231" s="1935"/>
      <c r="H231" s="1935"/>
      <c r="I231" s="1935"/>
      <c r="J231" s="1945"/>
      <c r="K231" s="1945"/>
      <c r="L231" s="1945"/>
      <c r="M231" s="1945"/>
      <c r="N231" s="1945"/>
      <c r="O231" s="1945"/>
      <c r="P231" s="1945"/>
    </row>
    <row r="232" spans="1:16" x14ac:dyDescent="0.3">
      <c r="A232" s="1945"/>
      <c r="B232" s="1945"/>
      <c r="C232" s="1945"/>
      <c r="D232" s="1935"/>
      <c r="E232" s="1935"/>
      <c r="F232" s="1935"/>
      <c r="G232" s="1938"/>
      <c r="H232" s="1935"/>
      <c r="I232" s="1935"/>
      <c r="J232" s="1945"/>
      <c r="K232" s="1945"/>
      <c r="L232" s="1945"/>
      <c r="M232" s="1945"/>
      <c r="N232" s="1945"/>
      <c r="O232" s="1945"/>
      <c r="P232" s="1945"/>
    </row>
    <row r="233" spans="1:16" x14ac:dyDescent="0.3">
      <c r="A233" s="1945"/>
      <c r="B233" s="1945"/>
      <c r="C233" s="1945"/>
      <c r="D233" s="1935"/>
      <c r="E233" s="1935"/>
      <c r="F233" s="1935"/>
      <c r="G233" s="1938"/>
      <c r="H233" s="1935"/>
      <c r="I233" s="1935"/>
      <c r="J233" s="1945"/>
      <c r="K233" s="1945"/>
      <c r="L233" s="1945"/>
      <c r="M233" s="1945"/>
      <c r="N233" s="1945"/>
      <c r="O233" s="1945"/>
      <c r="P233" s="1945"/>
    </row>
    <row r="234" spans="1:16" x14ac:dyDescent="0.3">
      <c r="A234" s="1945"/>
      <c r="B234" s="1945"/>
      <c r="C234" s="1945"/>
      <c r="D234" s="1935"/>
      <c r="E234" s="1935"/>
      <c r="F234" s="1935"/>
      <c r="G234" s="1938"/>
      <c r="H234" s="1935"/>
      <c r="I234" s="1935"/>
      <c r="J234" s="1945"/>
      <c r="K234" s="1945"/>
      <c r="L234" s="1945"/>
      <c r="M234" s="1945"/>
      <c r="N234" s="1945"/>
      <c r="O234" s="1945"/>
      <c r="P234" s="1945"/>
    </row>
    <row r="235" spans="1:16" x14ac:dyDescent="0.3">
      <c r="A235" s="1945"/>
      <c r="B235" s="1945"/>
      <c r="C235" s="1945"/>
      <c r="D235" s="1945"/>
      <c r="E235" s="1945"/>
      <c r="F235" s="1945"/>
      <c r="G235" s="1945"/>
      <c r="H235" s="1945"/>
      <c r="I235" s="1945"/>
      <c r="J235" s="1945"/>
      <c r="K235" s="1945"/>
      <c r="L235" s="1945"/>
      <c r="M235" s="1945"/>
      <c r="N235" s="1945"/>
      <c r="O235" s="1945"/>
      <c r="P235" s="1945"/>
    </row>
    <row r="236" spans="1:16" x14ac:dyDescent="0.3">
      <c r="A236" s="1945"/>
      <c r="B236" s="1945"/>
      <c r="C236" s="1945"/>
      <c r="D236" s="1945"/>
      <c r="E236" s="1945"/>
      <c r="F236" s="1945"/>
      <c r="G236" s="1945"/>
      <c r="H236" s="1945"/>
      <c r="I236" s="1945"/>
      <c r="J236" s="1945"/>
      <c r="K236" s="1945"/>
      <c r="L236" s="1945"/>
      <c r="M236" s="1945"/>
      <c r="N236" s="1945"/>
      <c r="O236" s="1945"/>
      <c r="P236" s="1945"/>
    </row>
    <row r="237" spans="1:16" x14ac:dyDescent="0.3">
      <c r="A237" s="1945"/>
      <c r="B237" s="1945"/>
      <c r="C237" s="1945"/>
      <c r="D237" s="1936"/>
      <c r="E237" s="1936"/>
      <c r="F237" s="1935"/>
      <c r="G237" s="1945"/>
      <c r="H237" s="1945"/>
      <c r="I237" s="1945"/>
      <c r="J237" s="1945"/>
      <c r="K237" s="1945"/>
      <c r="L237" s="1945"/>
      <c r="M237" s="1945"/>
      <c r="N237" s="1945"/>
      <c r="O237" s="1945"/>
      <c r="P237" s="1945"/>
    </row>
    <row r="238" spans="1:16" x14ac:dyDescent="0.3">
      <c r="A238" s="1945"/>
      <c r="B238" s="1945"/>
      <c r="C238" s="1945"/>
      <c r="D238" s="1936"/>
      <c r="E238" s="1611"/>
      <c r="F238" s="1935"/>
      <c r="G238" s="1947"/>
      <c r="H238" s="1945"/>
      <c r="I238" s="1945"/>
      <c r="J238" s="1945"/>
      <c r="K238" s="1945"/>
      <c r="L238" s="1945"/>
      <c r="M238" s="1945"/>
      <c r="N238" s="1945"/>
      <c r="O238" s="1945"/>
      <c r="P238" s="1945"/>
    </row>
    <row r="239" spans="1:16" x14ac:dyDescent="0.3">
      <c r="A239" s="1945"/>
      <c r="B239" s="1945"/>
      <c r="C239" s="1945"/>
      <c r="D239" s="1914"/>
      <c r="E239" s="1611"/>
      <c r="F239" s="1935"/>
      <c r="G239" s="1947"/>
      <c r="H239" s="1945"/>
      <c r="I239" s="1945"/>
      <c r="J239" s="1945"/>
      <c r="K239" s="1945"/>
      <c r="L239" s="1945"/>
      <c r="M239" s="1945"/>
      <c r="N239" s="1945"/>
      <c r="O239" s="1945"/>
      <c r="P239" s="1945"/>
    </row>
    <row r="240" spans="1:16" x14ac:dyDescent="0.3">
      <c r="A240" s="1945"/>
      <c r="B240" s="1945"/>
      <c r="C240" s="1945"/>
      <c r="D240" s="1611"/>
      <c r="E240" s="1611"/>
      <c r="F240" s="2077"/>
      <c r="G240" s="1948"/>
      <c r="H240" s="1945"/>
      <c r="I240" s="1945"/>
      <c r="J240" s="1945"/>
      <c r="K240" s="1945"/>
      <c r="L240" s="1945"/>
      <c r="M240" s="1945"/>
      <c r="N240" s="1945"/>
      <c r="O240" s="1945"/>
      <c r="P240" s="1945"/>
    </row>
    <row r="241" spans="1:16" x14ac:dyDescent="0.3">
      <c r="A241" s="1945"/>
      <c r="B241" s="1945"/>
      <c r="C241" s="1945"/>
      <c r="D241" s="1611"/>
      <c r="E241" s="1611"/>
      <c r="F241" s="1935"/>
      <c r="G241" s="1935"/>
      <c r="H241" s="1945"/>
      <c r="I241" s="1945"/>
      <c r="J241" s="1945"/>
      <c r="K241" s="1945"/>
      <c r="L241" s="1945"/>
      <c r="M241" s="1945"/>
      <c r="N241" s="1945"/>
      <c r="O241" s="1945"/>
      <c r="P241" s="1945"/>
    </row>
    <row r="242" spans="1:16" x14ac:dyDescent="0.3">
      <c r="A242" s="1945"/>
      <c r="B242" s="1945"/>
      <c r="C242" s="1945"/>
      <c r="D242" s="1611"/>
      <c r="E242" s="1945"/>
      <c r="F242" s="1945"/>
      <c r="G242" s="1945"/>
      <c r="H242" s="1945"/>
      <c r="I242" s="1945"/>
      <c r="J242" s="1945"/>
      <c r="K242" s="1945"/>
      <c r="L242" s="1945"/>
      <c r="M242" s="1945"/>
      <c r="N242" s="1945"/>
      <c r="O242" s="1945"/>
      <c r="P242" s="1945"/>
    </row>
    <row r="243" spans="1:16" x14ac:dyDescent="0.3">
      <c r="A243" s="1945"/>
      <c r="B243" s="1945"/>
      <c r="C243" s="1945"/>
      <c r="D243" s="1611"/>
      <c r="E243" s="1945"/>
      <c r="F243" s="1935"/>
      <c r="G243" s="1945"/>
      <c r="H243" s="1945"/>
      <c r="I243" s="1945"/>
      <c r="J243" s="1945"/>
      <c r="K243" s="1945"/>
      <c r="L243" s="1945"/>
      <c r="M243" s="1945"/>
      <c r="N243" s="1945"/>
      <c r="O243" s="1945"/>
      <c r="P243" s="1945"/>
    </row>
    <row r="244" spans="1:16" x14ac:dyDescent="0.3">
      <c r="A244" s="1945"/>
      <c r="B244" s="1945"/>
      <c r="C244" s="1945"/>
      <c r="D244" s="1611"/>
      <c r="E244" s="1945"/>
      <c r="F244" s="1945"/>
      <c r="G244" s="1949"/>
      <c r="H244" s="1945"/>
      <c r="I244" s="1945"/>
      <c r="J244" s="1945"/>
      <c r="K244" s="1945"/>
      <c r="L244" s="1945"/>
      <c r="M244" s="1945"/>
      <c r="N244" s="1945"/>
      <c r="O244" s="1945"/>
      <c r="P244" s="1945"/>
    </row>
    <row r="245" spans="1:16" x14ac:dyDescent="0.3">
      <c r="A245" s="1945"/>
      <c r="B245" s="1945"/>
      <c r="C245" s="1945"/>
      <c r="D245" s="1611"/>
      <c r="E245" s="1611"/>
      <c r="F245" s="1945"/>
      <c r="G245" s="1947"/>
      <c r="H245" s="1945"/>
      <c r="I245" s="1945"/>
      <c r="J245" s="1945"/>
      <c r="K245" s="1945"/>
      <c r="L245" s="1945"/>
      <c r="M245" s="1945"/>
      <c r="N245" s="1945"/>
      <c r="O245" s="1945"/>
      <c r="P245" s="1945"/>
    </row>
    <row r="246" spans="1:16" x14ac:dyDescent="0.3">
      <c r="A246" s="1945"/>
      <c r="B246" s="1945"/>
      <c r="C246" s="1945"/>
      <c r="D246" s="1611"/>
      <c r="E246" s="1945"/>
      <c r="F246" s="1945"/>
      <c r="G246" s="1935"/>
      <c r="H246" s="1945"/>
      <c r="I246" s="1935"/>
      <c r="J246" s="1945"/>
      <c r="K246" s="1945"/>
      <c r="L246" s="1945"/>
      <c r="M246" s="1945"/>
      <c r="N246" s="1945"/>
      <c r="O246" s="1945"/>
      <c r="P246" s="1945"/>
    </row>
    <row r="247" spans="1:16" x14ac:dyDescent="0.3">
      <c r="A247" s="1945"/>
      <c r="B247" s="1945"/>
      <c r="C247" s="1945"/>
      <c r="D247" s="1611"/>
      <c r="E247" s="1611"/>
      <c r="F247" s="1945"/>
      <c r="G247" s="1947"/>
      <c r="H247" s="1945"/>
      <c r="I247" s="1945"/>
      <c r="J247" s="1945"/>
      <c r="K247" s="1945"/>
      <c r="L247" s="1945"/>
      <c r="M247" s="1945"/>
      <c r="N247" s="1945"/>
      <c r="O247" s="1945"/>
      <c r="P247" s="1945"/>
    </row>
    <row r="248" spans="1:16" x14ac:dyDescent="0.3">
      <c r="A248" s="1945"/>
      <c r="B248" s="1945"/>
      <c r="C248" s="1945"/>
      <c r="D248" s="1611"/>
      <c r="E248" s="2078"/>
      <c r="F248" s="1945"/>
      <c r="G248" s="1938"/>
      <c r="H248" s="1945"/>
      <c r="I248" s="1945"/>
      <c r="J248" s="1945"/>
      <c r="K248" s="1945"/>
      <c r="L248" s="1945"/>
      <c r="M248" s="1945"/>
      <c r="N248" s="1945"/>
      <c r="O248" s="1945"/>
      <c r="P248" s="1945"/>
    </row>
    <row r="249" spans="1:16" x14ac:dyDescent="0.3">
      <c r="A249" s="1945"/>
      <c r="B249" s="1945"/>
      <c r="C249" s="1945"/>
      <c r="D249" s="1611"/>
      <c r="E249" s="1945"/>
      <c r="F249" s="1935"/>
      <c r="G249" s="1938"/>
      <c r="H249" s="1945"/>
      <c r="I249" s="1945"/>
      <c r="J249" s="1945"/>
      <c r="K249" s="1945"/>
      <c r="L249" s="1945"/>
      <c r="M249" s="1945"/>
      <c r="N249" s="1945"/>
      <c r="O249" s="1945"/>
      <c r="P249" s="1945"/>
    </row>
    <row r="250" spans="1:16" x14ac:dyDescent="0.3">
      <c r="A250" s="1945"/>
      <c r="B250" s="1945"/>
      <c r="C250" s="1945"/>
      <c r="D250" s="1611"/>
      <c r="E250" s="1611"/>
      <c r="F250" s="1935"/>
      <c r="G250" s="1945"/>
      <c r="H250" s="1945"/>
      <c r="I250" s="1945"/>
      <c r="J250" s="1945"/>
      <c r="K250" s="1945"/>
      <c r="L250" s="1945"/>
      <c r="M250" s="1945"/>
      <c r="N250" s="1945"/>
      <c r="O250" s="1945"/>
      <c r="P250" s="1945"/>
    </row>
    <row r="251" spans="1:16" x14ac:dyDescent="0.3">
      <c r="A251" s="1945"/>
      <c r="B251" s="1945"/>
      <c r="C251" s="1945"/>
      <c r="D251" s="1945"/>
      <c r="E251" s="1945"/>
      <c r="F251" s="1945"/>
      <c r="G251" s="1945"/>
      <c r="H251" s="1945"/>
      <c r="I251" s="1945"/>
      <c r="J251" s="1945"/>
      <c r="K251" s="1945"/>
      <c r="L251" s="1945"/>
      <c r="M251" s="1945"/>
      <c r="N251" s="1945"/>
      <c r="O251" s="1945"/>
      <c r="P251" s="1945"/>
    </row>
    <row r="252" spans="1:16" x14ac:dyDescent="0.3">
      <c r="A252" s="1945"/>
      <c r="B252" s="1945"/>
      <c r="C252" s="1945"/>
      <c r="D252" s="1945"/>
      <c r="E252" s="1945"/>
      <c r="F252" s="1945"/>
      <c r="G252" s="1945"/>
      <c r="H252" s="1945"/>
      <c r="I252" s="1945"/>
      <c r="J252" s="1945"/>
      <c r="K252" s="1945"/>
      <c r="L252" s="1945"/>
      <c r="M252" s="1945"/>
      <c r="N252" s="1945"/>
      <c r="O252" s="1945"/>
      <c r="P252" s="1945"/>
    </row>
    <row r="253" spans="1:16" x14ac:dyDescent="0.3">
      <c r="A253" s="1945"/>
      <c r="B253" s="1945"/>
      <c r="C253" s="1945"/>
      <c r="D253" s="1936"/>
      <c r="E253" s="1914"/>
      <c r="F253" s="1945"/>
      <c r="G253" s="1946"/>
      <c r="H253" s="1945"/>
      <c r="I253" s="1945"/>
      <c r="J253" s="1945"/>
      <c r="K253" s="1945"/>
      <c r="L253" s="1945"/>
      <c r="M253" s="1945"/>
      <c r="N253" s="1945"/>
      <c r="O253" s="1945"/>
      <c r="P253" s="1945"/>
    </row>
    <row r="254" spans="1:16" x14ac:dyDescent="0.3">
      <c r="A254" s="1945"/>
      <c r="B254" s="1945"/>
      <c r="C254" s="1945"/>
      <c r="D254" s="1611"/>
      <c r="E254" s="1611"/>
      <c r="F254" s="1935"/>
      <c r="G254" s="1935"/>
      <c r="H254" s="1945"/>
      <c r="I254" s="1935"/>
      <c r="J254" s="1945"/>
      <c r="K254" s="1945"/>
      <c r="L254" s="1945"/>
      <c r="M254" s="1945"/>
      <c r="N254" s="1945"/>
      <c r="O254" s="1945"/>
      <c r="P254" s="1945"/>
    </row>
    <row r="255" spans="1:16" x14ac:dyDescent="0.3">
      <c r="A255" s="1945"/>
      <c r="B255" s="1945"/>
      <c r="C255" s="1945"/>
      <c r="D255" s="1611"/>
      <c r="E255" s="1945"/>
      <c r="F255" s="1945"/>
      <c r="G255" s="1945"/>
      <c r="H255" s="1945"/>
      <c r="I255" s="1945"/>
      <c r="J255" s="1945"/>
      <c r="K255" s="1945"/>
      <c r="L255" s="1945"/>
      <c r="M255" s="1945"/>
      <c r="N255" s="1945"/>
      <c r="O255" s="1945"/>
      <c r="P255" s="1945"/>
    </row>
    <row r="256" spans="1:16" x14ac:dyDescent="0.3">
      <c r="A256" s="1945"/>
      <c r="B256" s="1945"/>
      <c r="C256" s="1945"/>
      <c r="D256" s="1611"/>
      <c r="E256" s="1945"/>
      <c r="F256" s="1945"/>
      <c r="G256" s="1945"/>
      <c r="H256" s="1945"/>
      <c r="I256" s="1945"/>
      <c r="J256" s="1945"/>
      <c r="K256" s="1945"/>
      <c r="L256" s="1945"/>
      <c r="M256" s="1945"/>
      <c r="N256" s="1945"/>
      <c r="O256" s="1945"/>
      <c r="P256" s="1945"/>
    </row>
    <row r="257" spans="1:16" x14ac:dyDescent="0.3">
      <c r="A257" s="1945"/>
      <c r="B257" s="1945"/>
      <c r="C257" s="1945"/>
      <c r="D257" s="1945"/>
      <c r="E257" s="1945"/>
      <c r="F257" s="1945"/>
      <c r="G257" s="1949"/>
      <c r="H257" s="1945"/>
      <c r="I257" s="1945"/>
      <c r="J257" s="1945"/>
      <c r="K257" s="1945"/>
      <c r="L257" s="1945"/>
      <c r="M257" s="1945"/>
      <c r="N257" s="1945"/>
      <c r="O257" s="1945"/>
      <c r="P257" s="1945"/>
    </row>
    <row r="258" spans="1:16" x14ac:dyDescent="0.3">
      <c r="A258" s="1945"/>
      <c r="B258" s="1945"/>
      <c r="C258" s="1945"/>
      <c r="D258" s="1945"/>
      <c r="E258" s="1611"/>
      <c r="F258" s="1935"/>
      <c r="G258" s="1945"/>
      <c r="H258" s="1945"/>
      <c r="I258" s="1945"/>
      <c r="J258" s="1945"/>
      <c r="K258" s="1945"/>
      <c r="L258" s="1945"/>
      <c r="M258" s="1945"/>
      <c r="N258" s="1945"/>
      <c r="O258" s="1945"/>
      <c r="P258" s="1945"/>
    </row>
    <row r="259" spans="1:16" x14ac:dyDescent="0.3">
      <c r="A259" s="1945"/>
      <c r="B259" s="1945"/>
      <c r="C259" s="1945"/>
      <c r="D259" s="1945"/>
      <c r="E259" s="1611"/>
      <c r="F259" s="1945"/>
      <c r="G259" s="1947"/>
      <c r="H259" s="1945"/>
      <c r="I259" s="1945"/>
      <c r="J259" s="1945"/>
      <c r="K259" s="1945"/>
      <c r="L259" s="1945"/>
      <c r="M259" s="1945"/>
      <c r="N259" s="1945"/>
      <c r="O259" s="1945"/>
      <c r="P259" s="1945"/>
    </row>
    <row r="260" spans="1:16" x14ac:dyDescent="0.3">
      <c r="A260" s="1945"/>
      <c r="B260" s="1945"/>
      <c r="C260" s="1945"/>
      <c r="D260" s="1945"/>
      <c r="E260" s="1945"/>
      <c r="F260" s="1945"/>
      <c r="G260" s="1935"/>
      <c r="H260" s="1945"/>
      <c r="I260" s="1945"/>
      <c r="J260" s="1945"/>
      <c r="K260" s="1945"/>
      <c r="L260" s="1945"/>
      <c r="M260" s="1945"/>
      <c r="N260" s="1945"/>
      <c r="O260" s="1945"/>
      <c r="P260" s="1945"/>
    </row>
    <row r="261" spans="1:16" x14ac:dyDescent="0.3">
      <c r="A261" s="1945"/>
      <c r="B261" s="1945"/>
      <c r="C261" s="1945"/>
      <c r="D261" s="1945"/>
      <c r="E261" s="1611"/>
      <c r="F261" s="1945"/>
      <c r="G261" s="1947"/>
      <c r="H261" s="1945"/>
      <c r="I261" s="1945"/>
      <c r="J261" s="1945"/>
      <c r="K261" s="1945"/>
      <c r="L261" s="1945"/>
      <c r="M261" s="1945"/>
      <c r="N261" s="1945"/>
      <c r="O261" s="1945"/>
      <c r="P261" s="1945"/>
    </row>
    <row r="262" spans="1:16" x14ac:dyDescent="0.3">
      <c r="A262" s="1945"/>
      <c r="B262" s="1945"/>
      <c r="C262" s="1945"/>
      <c r="D262" s="1945"/>
      <c r="E262" s="2078"/>
      <c r="F262" s="1945"/>
      <c r="G262" s="1938"/>
      <c r="H262" s="1945"/>
      <c r="I262" s="1945"/>
      <c r="J262" s="1945"/>
      <c r="K262" s="1945"/>
      <c r="L262" s="1945"/>
      <c r="M262" s="1945"/>
      <c r="N262" s="1945"/>
      <c r="O262" s="1945"/>
      <c r="P262" s="1945"/>
    </row>
    <row r="263" spans="1:16" x14ac:dyDescent="0.3">
      <c r="A263" s="1945"/>
      <c r="B263" s="1945"/>
      <c r="C263" s="1945"/>
      <c r="D263" s="1945"/>
      <c r="E263" s="1945"/>
      <c r="F263" s="1935"/>
      <c r="G263" s="1938"/>
      <c r="H263" s="1945"/>
      <c r="I263" s="1945"/>
      <c r="J263" s="1945"/>
      <c r="K263" s="1945"/>
      <c r="L263" s="1945"/>
      <c r="M263" s="1945"/>
      <c r="N263" s="1945"/>
      <c r="O263" s="1945"/>
      <c r="P263" s="1945"/>
    </row>
    <row r="264" spans="1:16" x14ac:dyDescent="0.3">
      <c r="A264" s="1945"/>
      <c r="B264" s="1945"/>
      <c r="C264" s="1945"/>
      <c r="D264" s="1945"/>
      <c r="E264" s="1611"/>
      <c r="F264" s="1935"/>
      <c r="G264" s="1945"/>
      <c r="H264" s="1945"/>
      <c r="I264" s="1945"/>
      <c r="J264" s="1945"/>
      <c r="K264" s="1945"/>
      <c r="L264" s="1945"/>
      <c r="M264" s="1945"/>
      <c r="N264" s="1945"/>
      <c r="O264" s="1945"/>
      <c r="P264" s="1945"/>
    </row>
    <row r="265" spans="1:16" x14ac:dyDescent="0.3">
      <c r="A265" s="1945"/>
      <c r="B265" s="1945"/>
      <c r="C265" s="1945"/>
      <c r="D265" s="1945"/>
      <c r="E265" s="1918"/>
      <c r="F265" s="1935"/>
      <c r="G265" s="1945"/>
      <c r="H265" s="1945"/>
      <c r="I265" s="2079"/>
      <c r="J265" s="1945"/>
      <c r="K265" s="1945"/>
      <c r="L265" s="1945"/>
      <c r="M265" s="1945"/>
      <c r="N265" s="1945"/>
      <c r="O265" s="1945"/>
      <c r="P265" s="1945"/>
    </row>
    <row r="266" spans="1:16" x14ac:dyDescent="0.3">
      <c r="A266" s="1945"/>
      <c r="B266" s="1945"/>
      <c r="C266" s="1945"/>
      <c r="D266" s="1945"/>
      <c r="E266" s="1611"/>
      <c r="F266" s="1935"/>
      <c r="G266" s="1935"/>
      <c r="H266" s="1945"/>
      <c r="I266" s="2079"/>
      <c r="J266" s="1945"/>
      <c r="K266" s="1945"/>
      <c r="L266" s="1945"/>
      <c r="M266" s="1945"/>
      <c r="N266" s="1945"/>
      <c r="O266" s="1945"/>
      <c r="P266" s="1945"/>
    </row>
    <row r="267" spans="1:16" x14ac:dyDescent="0.3">
      <c r="A267" s="1945"/>
      <c r="B267" s="1945"/>
      <c r="C267" s="1945"/>
      <c r="D267" s="1945"/>
      <c r="E267" s="1611"/>
      <c r="F267" s="1935"/>
      <c r="G267" s="1945"/>
      <c r="H267" s="1945"/>
      <c r="I267" s="1945"/>
      <c r="J267" s="1945"/>
      <c r="K267" s="1945"/>
      <c r="L267" s="1945"/>
      <c r="M267" s="1945"/>
      <c r="N267" s="1945"/>
      <c r="O267" s="1945"/>
      <c r="P267" s="1945"/>
    </row>
    <row r="268" spans="1:16" x14ac:dyDescent="0.3">
      <c r="A268" s="1945"/>
      <c r="B268" s="1945"/>
      <c r="C268" s="1945"/>
      <c r="D268" s="1945"/>
      <c r="E268" s="1611"/>
      <c r="F268" s="1935"/>
      <c r="G268" s="1947"/>
      <c r="H268" s="1945"/>
      <c r="I268" s="1945"/>
      <c r="J268" s="1945"/>
      <c r="K268" s="1945"/>
      <c r="L268" s="1945"/>
      <c r="M268" s="1945"/>
      <c r="N268" s="1945"/>
      <c r="O268" s="1945"/>
      <c r="P268" s="1945"/>
    </row>
    <row r="269" spans="1:16" x14ac:dyDescent="0.3">
      <c r="A269" s="1945"/>
      <c r="B269" s="1945"/>
      <c r="C269" s="1945"/>
      <c r="D269" s="1945"/>
      <c r="E269" s="1611"/>
      <c r="F269" s="1935"/>
      <c r="G269" s="1947"/>
      <c r="H269" s="1945"/>
      <c r="I269" s="1935"/>
      <c r="J269" s="1945"/>
      <c r="K269" s="1945"/>
      <c r="L269" s="1945"/>
      <c r="M269" s="1945"/>
      <c r="N269" s="1945"/>
      <c r="O269" s="1945"/>
      <c r="P269" s="1945"/>
    </row>
    <row r="270" spans="1:16" x14ac:dyDescent="0.3">
      <c r="A270" s="1945"/>
      <c r="B270" s="1945"/>
      <c r="C270" s="1945"/>
      <c r="D270" s="1945"/>
      <c r="E270" s="1945"/>
      <c r="F270" s="1945"/>
      <c r="G270" s="1935"/>
      <c r="H270" s="1945"/>
      <c r="I270" s="1945"/>
      <c r="J270" s="1945"/>
      <c r="K270" s="1945"/>
      <c r="L270" s="1945"/>
      <c r="M270" s="1945"/>
      <c r="N270" s="1945"/>
      <c r="O270" s="1945"/>
      <c r="P270" s="1945"/>
    </row>
    <row r="271" spans="1:16" x14ac:dyDescent="0.3">
      <c r="A271" s="1945"/>
      <c r="B271" s="1945"/>
      <c r="C271" s="1945"/>
      <c r="D271" s="1945"/>
      <c r="E271" s="1611"/>
      <c r="F271" s="1935"/>
      <c r="G271" s="1947"/>
      <c r="H271" s="1945"/>
      <c r="I271" s="1945"/>
      <c r="J271" s="1945"/>
      <c r="K271" s="1945"/>
      <c r="L271" s="1945"/>
      <c r="M271" s="1945"/>
      <c r="N271" s="1945"/>
      <c r="O271" s="1945"/>
      <c r="P271" s="1945"/>
    </row>
    <row r="272" spans="1:16" x14ac:dyDescent="0.3">
      <c r="A272" s="1945"/>
      <c r="B272" s="1945"/>
      <c r="C272" s="1945"/>
      <c r="D272" s="1945"/>
      <c r="E272" s="2078"/>
      <c r="F272" s="1935"/>
      <c r="G272" s="1938"/>
      <c r="H272" s="1945"/>
      <c r="I272" s="1945"/>
      <c r="J272" s="1945"/>
      <c r="K272" s="1945"/>
      <c r="L272" s="1945"/>
      <c r="M272" s="1945"/>
      <c r="N272" s="1945"/>
      <c r="O272" s="1945"/>
      <c r="P272" s="1945"/>
    </row>
    <row r="273" spans="1:16" x14ac:dyDescent="0.3">
      <c r="A273" s="1945"/>
      <c r="B273" s="1945"/>
      <c r="C273" s="1945"/>
      <c r="D273" s="1945"/>
      <c r="E273" s="1945"/>
      <c r="F273" s="1935"/>
      <c r="G273" s="1938"/>
      <c r="H273" s="1945"/>
      <c r="I273" s="1945"/>
      <c r="J273" s="1945"/>
      <c r="K273" s="1945"/>
      <c r="L273" s="1945"/>
      <c r="M273" s="1945"/>
      <c r="N273" s="1945"/>
      <c r="O273" s="1945"/>
      <c r="P273" s="1945"/>
    </row>
    <row r="274" spans="1:16" x14ac:dyDescent="0.3">
      <c r="A274" s="1945"/>
      <c r="B274" s="1945"/>
      <c r="C274" s="1945"/>
      <c r="D274" s="1945"/>
      <c r="E274" s="1611"/>
      <c r="F274" s="1935"/>
      <c r="G274" s="1945"/>
      <c r="H274" s="1945"/>
      <c r="I274" s="1945"/>
      <c r="J274" s="1945"/>
      <c r="K274" s="1945"/>
      <c r="L274" s="1945"/>
      <c r="M274" s="1945"/>
      <c r="N274" s="1945"/>
      <c r="O274" s="1945"/>
      <c r="P274" s="1945"/>
    </row>
    <row r="275" spans="1:16" x14ac:dyDescent="0.3">
      <c r="A275" s="1945"/>
      <c r="B275" s="1945"/>
      <c r="C275" s="1945"/>
      <c r="D275" s="1945"/>
      <c r="E275" s="1611"/>
      <c r="F275" s="1935"/>
      <c r="G275" s="1946"/>
      <c r="H275" s="1945"/>
      <c r="I275" s="1945"/>
      <c r="J275" s="1945"/>
      <c r="K275" s="1945"/>
      <c r="L275" s="1945"/>
      <c r="M275" s="1945"/>
      <c r="N275" s="1945"/>
      <c r="O275" s="1945"/>
      <c r="P275" s="1945"/>
    </row>
    <row r="276" spans="1:16" x14ac:dyDescent="0.3">
      <c r="A276" s="1945"/>
      <c r="B276" s="1945"/>
      <c r="C276" s="1945"/>
      <c r="D276" s="1945"/>
      <c r="E276" s="1935"/>
      <c r="F276" s="1935"/>
      <c r="G276" s="1938"/>
      <c r="H276" s="1935"/>
      <c r="I276" s="1945"/>
      <c r="J276" s="1945"/>
      <c r="K276" s="1945"/>
      <c r="L276" s="1945"/>
      <c r="M276" s="1945"/>
      <c r="N276" s="1945"/>
      <c r="O276" s="1945"/>
      <c r="P276" s="1945"/>
    </row>
    <row r="277" spans="1:16" x14ac:dyDescent="0.3">
      <c r="A277" s="1945"/>
      <c r="B277" s="1945"/>
      <c r="C277" s="1945"/>
      <c r="D277" s="1945"/>
      <c r="E277" s="1935"/>
      <c r="F277" s="1935"/>
      <c r="G277" s="1938"/>
      <c r="H277" s="1935"/>
      <c r="I277" s="1945"/>
      <c r="J277" s="1945"/>
      <c r="K277" s="1945"/>
      <c r="L277" s="1945"/>
      <c r="M277" s="1945"/>
      <c r="N277" s="1945"/>
      <c r="O277" s="1945"/>
      <c r="P277" s="1945"/>
    </row>
    <row r="278" spans="1:16" x14ac:dyDescent="0.3">
      <c r="A278" s="1945"/>
      <c r="B278" s="1945"/>
      <c r="C278" s="1945"/>
      <c r="D278" s="1945"/>
      <c r="E278" s="1935"/>
      <c r="F278" s="1935"/>
      <c r="G278" s="1938"/>
      <c r="H278" s="1935"/>
      <c r="I278" s="1945"/>
      <c r="J278" s="1945"/>
      <c r="K278" s="1935"/>
      <c r="L278" s="1945"/>
      <c r="M278" s="1945"/>
      <c r="N278" s="1945"/>
      <c r="O278" s="1945"/>
      <c r="P278" s="1945"/>
    </row>
    <row r="279" spans="1:16" x14ac:dyDescent="0.3">
      <c r="A279" s="1945"/>
      <c r="B279" s="1945"/>
      <c r="C279" s="1945"/>
      <c r="D279" s="1945"/>
      <c r="E279" s="1611"/>
      <c r="F279" s="1935"/>
      <c r="G279" s="1947"/>
      <c r="H279" s="1945"/>
      <c r="I279" s="1952"/>
      <c r="J279" s="2080"/>
      <c r="K279" s="1943"/>
      <c r="L279" s="1945"/>
      <c r="M279" s="1945"/>
      <c r="N279" s="1945"/>
      <c r="O279" s="1945"/>
      <c r="P279" s="1945"/>
    </row>
    <row r="280" spans="1:16" x14ac:dyDescent="0.3">
      <c r="A280" s="1945"/>
      <c r="B280" s="1945"/>
      <c r="C280" s="1945"/>
      <c r="D280" s="1945"/>
      <c r="E280" s="1611"/>
      <c r="F280" s="1935"/>
      <c r="G280" s="1947"/>
      <c r="H280" s="1945"/>
      <c r="I280" s="1952"/>
      <c r="J280" s="2080"/>
      <c r="K280" s="1943"/>
      <c r="L280" s="1945"/>
      <c r="M280" s="1945"/>
      <c r="N280" s="1945"/>
      <c r="O280" s="1945"/>
      <c r="P280" s="1945"/>
    </row>
    <row r="281" spans="1:16" x14ac:dyDescent="0.3">
      <c r="A281" s="1945"/>
      <c r="B281" s="1945"/>
      <c r="C281" s="1945"/>
      <c r="D281" s="1945"/>
      <c r="E281" s="1611"/>
      <c r="F281" s="1935"/>
      <c r="G281" s="1947"/>
      <c r="H281" s="1945"/>
      <c r="I281" s="1952"/>
      <c r="J281" s="2080"/>
      <c r="K281" s="1943"/>
      <c r="L281" s="1945"/>
      <c r="M281" s="1945"/>
      <c r="N281" s="1945"/>
      <c r="O281" s="1945"/>
      <c r="P281" s="1945"/>
    </row>
    <row r="282" spans="1:16" x14ac:dyDescent="0.3">
      <c r="A282" s="1945"/>
      <c r="B282" s="1945"/>
      <c r="C282" s="1945"/>
      <c r="D282" s="1945"/>
      <c r="E282" s="1945"/>
      <c r="F282" s="1945"/>
      <c r="G282" s="1945"/>
      <c r="H282" s="1945"/>
      <c r="I282" s="1945"/>
      <c r="J282" s="1945"/>
      <c r="K282" s="1945"/>
      <c r="L282" s="1945"/>
      <c r="M282" s="1945"/>
      <c r="N282" s="1945"/>
      <c r="O282" s="1945"/>
      <c r="P282" s="1945"/>
    </row>
    <row r="283" spans="1:16" ht="16.8" x14ac:dyDescent="0.3">
      <c r="A283" s="1945"/>
      <c r="B283" s="1945"/>
      <c r="C283" s="1945"/>
      <c r="D283" s="1945"/>
      <c r="E283" s="2061"/>
      <c r="F283" s="1945"/>
      <c r="G283" s="1611"/>
      <c r="H283" s="1945"/>
      <c r="I283" s="1946"/>
      <c r="J283" s="1945"/>
      <c r="K283" s="1945"/>
      <c r="L283" s="1945"/>
      <c r="M283" s="1945"/>
      <c r="N283" s="1945"/>
      <c r="O283" s="1945"/>
      <c r="P283" s="1945"/>
    </row>
    <row r="284" spans="1:16" x14ac:dyDescent="0.3">
      <c r="A284" s="1945"/>
      <c r="B284" s="1945"/>
      <c r="C284" s="1945"/>
      <c r="D284" s="1945"/>
      <c r="E284" s="1945"/>
      <c r="F284" s="1946"/>
      <c r="G284" s="1611"/>
      <c r="H284" s="1945"/>
      <c r="I284" s="1946"/>
      <c r="J284" s="1945"/>
      <c r="K284" s="1945"/>
      <c r="L284" s="1945"/>
      <c r="M284" s="1945"/>
      <c r="N284" s="1945"/>
      <c r="O284" s="1945"/>
      <c r="P284" s="1945"/>
    </row>
    <row r="285" spans="1:16" x14ac:dyDescent="0.3">
      <c r="A285" s="1945"/>
      <c r="B285" s="1945"/>
      <c r="C285" s="1945"/>
      <c r="D285" s="1945"/>
      <c r="E285" s="1945"/>
      <c r="F285" s="1947"/>
      <c r="G285" s="1611"/>
      <c r="H285" s="1945"/>
      <c r="I285" s="1946"/>
      <c r="J285" s="1945"/>
      <c r="K285" s="1945"/>
      <c r="L285" s="1945"/>
      <c r="M285" s="1945"/>
      <c r="N285" s="1945"/>
      <c r="O285" s="1945"/>
      <c r="P285" s="1945"/>
    </row>
    <row r="286" spans="1:16" x14ac:dyDescent="0.3">
      <c r="A286" s="1945"/>
      <c r="B286" s="1945"/>
      <c r="C286" s="1945"/>
      <c r="D286" s="1945"/>
      <c r="E286" s="1945"/>
      <c r="F286" s="1946"/>
      <c r="G286" s="1611"/>
      <c r="H286" s="1945"/>
      <c r="I286" s="1946"/>
      <c r="J286" s="1945"/>
      <c r="K286" s="1945"/>
      <c r="L286" s="1945"/>
      <c r="M286" s="1945"/>
      <c r="N286" s="1945"/>
      <c r="O286" s="1945"/>
      <c r="P286" s="1945"/>
    </row>
    <row r="287" spans="1:16" x14ac:dyDescent="0.3">
      <c r="A287" s="1945"/>
      <c r="B287" s="1945"/>
      <c r="C287" s="1945"/>
      <c r="D287" s="1945"/>
      <c r="E287" s="1945"/>
      <c r="F287" s="1947"/>
      <c r="G287" s="1611"/>
      <c r="H287" s="1945"/>
      <c r="I287" s="1945"/>
      <c r="J287" s="1945"/>
      <c r="K287" s="1945"/>
      <c r="L287" s="1945"/>
      <c r="M287" s="1945"/>
      <c r="N287" s="1945"/>
      <c r="O287" s="1945"/>
      <c r="P287" s="1945"/>
    </row>
    <row r="288" spans="1:16" x14ac:dyDescent="0.3">
      <c r="A288" s="1945"/>
      <c r="B288" s="1945"/>
      <c r="C288" s="1945"/>
      <c r="D288" s="1945"/>
      <c r="E288" s="1945"/>
      <c r="F288" s="1946"/>
      <c r="G288" s="1611"/>
      <c r="H288" s="1945"/>
      <c r="I288" s="1945"/>
      <c r="J288" s="1945"/>
      <c r="K288" s="1945"/>
      <c r="L288" s="1945"/>
      <c r="M288" s="1945"/>
      <c r="N288" s="1945"/>
      <c r="O288" s="1945"/>
      <c r="P288" s="1945"/>
    </row>
    <row r="289" spans="1:16" x14ac:dyDescent="0.3">
      <c r="A289" s="1945"/>
      <c r="B289" s="1945"/>
      <c r="C289" s="1945"/>
      <c r="D289" s="1945"/>
      <c r="E289" s="1945"/>
      <c r="F289" s="1944"/>
      <c r="G289" s="1611"/>
      <c r="H289" s="1945"/>
      <c r="I289" s="1945"/>
      <c r="J289" s="1945"/>
      <c r="K289" s="1945"/>
      <c r="L289" s="1945"/>
      <c r="M289" s="1945"/>
      <c r="N289" s="1945"/>
      <c r="O289" s="1945"/>
      <c r="P289" s="1945"/>
    </row>
    <row r="290" spans="1:16" x14ac:dyDescent="0.3">
      <c r="A290" s="1945"/>
      <c r="B290" s="1945"/>
      <c r="C290" s="1945"/>
      <c r="D290" s="1945"/>
      <c r="E290" s="1945"/>
      <c r="F290" s="1945"/>
      <c r="G290" s="1945"/>
      <c r="H290" s="1945"/>
      <c r="I290" s="1945"/>
      <c r="J290" s="1945"/>
      <c r="K290" s="1945"/>
      <c r="L290" s="1945"/>
      <c r="M290" s="1945"/>
      <c r="N290" s="1945"/>
      <c r="O290" s="1945"/>
      <c r="P290" s="1945"/>
    </row>
    <row r="291" spans="1:16" x14ac:dyDescent="0.3">
      <c r="A291" s="1945"/>
      <c r="B291" s="1945"/>
      <c r="C291" s="1945"/>
      <c r="D291" s="1945"/>
      <c r="E291" s="1945"/>
      <c r="F291" s="1945"/>
      <c r="G291" s="1945"/>
      <c r="H291" s="1945"/>
      <c r="I291" s="1945"/>
      <c r="J291" s="1945"/>
      <c r="K291" s="1945"/>
      <c r="L291" s="1945"/>
      <c r="M291" s="1945"/>
      <c r="N291" s="1945"/>
      <c r="O291" s="1945"/>
      <c r="P291" s="1945"/>
    </row>
    <row r="292" spans="1:16" x14ac:dyDescent="0.3">
      <c r="A292" s="1945"/>
      <c r="B292" s="1945"/>
      <c r="C292" s="1945"/>
      <c r="D292" s="1945"/>
      <c r="E292" s="1945"/>
      <c r="F292" s="1945"/>
      <c r="G292" s="1945"/>
      <c r="H292" s="1945"/>
      <c r="I292" s="1945"/>
      <c r="J292" s="1945"/>
      <c r="K292" s="1945"/>
      <c r="L292" s="1945"/>
      <c r="M292" s="1945"/>
      <c r="N292" s="1945"/>
      <c r="O292" s="1945"/>
      <c r="P292" s="1945"/>
    </row>
    <row r="293" spans="1:16" x14ac:dyDescent="0.3">
      <c r="A293" s="1945"/>
      <c r="B293" s="1945"/>
      <c r="C293" s="1945"/>
      <c r="D293" s="1945"/>
      <c r="E293" s="1945"/>
      <c r="F293" s="1945"/>
      <c r="G293" s="1945"/>
      <c r="H293" s="1945"/>
      <c r="I293" s="1945"/>
      <c r="J293" s="1945"/>
      <c r="K293" s="1945"/>
      <c r="L293" s="1945"/>
      <c r="M293" s="1945"/>
      <c r="N293" s="1945"/>
      <c r="O293" s="1945"/>
      <c r="P293" s="1945"/>
    </row>
    <row r="294" spans="1:16" x14ac:dyDescent="0.3">
      <c r="A294" s="1945"/>
      <c r="B294" s="1945"/>
      <c r="C294" s="1945"/>
      <c r="D294" s="1945"/>
      <c r="E294" s="1945"/>
      <c r="F294" s="1945"/>
      <c r="G294" s="1945"/>
      <c r="H294" s="1945"/>
      <c r="I294" s="1945"/>
      <c r="J294" s="1945"/>
      <c r="K294" s="1945"/>
      <c r="L294" s="1945"/>
      <c r="M294" s="1945"/>
      <c r="N294" s="1945"/>
      <c r="O294" s="1945"/>
      <c r="P294" s="1945"/>
    </row>
    <row r="295" spans="1:16" x14ac:dyDescent="0.3">
      <c r="A295" s="1945"/>
      <c r="B295" s="1945"/>
      <c r="C295" s="1945"/>
      <c r="D295" s="1945"/>
      <c r="E295" s="1945"/>
      <c r="F295" s="1945"/>
      <c r="G295" s="1945"/>
      <c r="H295" s="1945"/>
      <c r="I295" s="1945"/>
      <c r="J295" s="1945"/>
      <c r="K295" s="1945"/>
      <c r="L295" s="1945"/>
      <c r="M295" s="1945"/>
      <c r="N295" s="1945"/>
      <c r="O295" s="1945"/>
      <c r="P295" s="1945"/>
    </row>
    <row r="296" spans="1:16" x14ac:dyDescent="0.3">
      <c r="A296" s="1945"/>
      <c r="B296" s="1945"/>
      <c r="C296" s="1945"/>
      <c r="D296" s="1945"/>
      <c r="E296" s="1945"/>
      <c r="F296" s="1945"/>
      <c r="G296" s="1945"/>
      <c r="H296" s="1945"/>
      <c r="I296" s="1945"/>
      <c r="J296" s="1945"/>
      <c r="K296" s="1945"/>
      <c r="L296" s="1945"/>
      <c r="M296" s="1945"/>
      <c r="N296" s="1945"/>
      <c r="O296" s="1945"/>
      <c r="P296" s="1945"/>
    </row>
    <row r="297" spans="1:16" x14ac:dyDescent="0.3">
      <c r="A297" s="1945"/>
      <c r="B297" s="1945"/>
      <c r="C297" s="1945"/>
      <c r="D297" s="1945"/>
      <c r="E297" s="1945"/>
      <c r="F297" s="1945"/>
      <c r="G297" s="1945"/>
      <c r="H297" s="1945"/>
      <c r="I297" s="1945"/>
      <c r="J297" s="1945"/>
      <c r="K297" s="1945"/>
      <c r="L297" s="1945"/>
      <c r="M297" s="1945"/>
      <c r="N297" s="1945"/>
      <c r="O297" s="1945"/>
      <c r="P297" s="1945"/>
    </row>
    <row r="299" spans="1:16" s="132" customFormat="1" x14ac:dyDescent="0.3">
      <c r="D299" s="133"/>
      <c r="E299" s="133"/>
      <c r="F299" s="134"/>
      <c r="G299" s="135"/>
      <c r="H299" s="136"/>
    </row>
    <row r="300" spans="1:16" x14ac:dyDescent="0.3">
      <c r="B300" s="82" t="s">
        <v>6938</v>
      </c>
      <c r="D300" s="66"/>
      <c r="E300" s="66"/>
      <c r="F300" s="19"/>
      <c r="G300" s="42"/>
      <c r="H300" s="3"/>
    </row>
    <row r="301" spans="1:16" x14ac:dyDescent="0.3">
      <c r="B301" t="s">
        <v>5209</v>
      </c>
      <c r="D301" s="66"/>
      <c r="E301" s="66"/>
      <c r="G301" s="42"/>
      <c r="H301" s="3"/>
    </row>
    <row r="302" spans="1:16" x14ac:dyDescent="0.3">
      <c r="B302" t="s">
        <v>7087</v>
      </c>
      <c r="D302" s="66"/>
      <c r="E302" s="66"/>
      <c r="F302" s="19"/>
      <c r="G302" s="42"/>
      <c r="H302" s="3"/>
    </row>
    <row r="303" spans="1:16" x14ac:dyDescent="0.3">
      <c r="B303" t="s">
        <v>5210</v>
      </c>
      <c r="D303" s="66"/>
      <c r="E303" s="66"/>
      <c r="F303" s="19"/>
      <c r="G303" s="42"/>
      <c r="H303" s="3"/>
    </row>
    <row r="304" spans="1:16" x14ac:dyDescent="0.3">
      <c r="B304" t="s">
        <v>7074</v>
      </c>
      <c r="C304" t="s">
        <v>5205</v>
      </c>
      <c r="D304" s="66"/>
      <c r="E304" s="66"/>
      <c r="F304" s="19"/>
      <c r="G304" s="42"/>
      <c r="H304" s="3"/>
    </row>
    <row r="305" spans="1:25" ht="15" thickBot="1" x14ac:dyDescent="0.35">
      <c r="A305" s="137"/>
      <c r="B305" s="137"/>
      <c r="C305" s="137"/>
      <c r="D305" s="137"/>
      <c r="E305" s="137"/>
      <c r="F305" s="137"/>
      <c r="G305" s="137"/>
      <c r="H305" s="137"/>
      <c r="I305" s="137"/>
      <c r="J305" s="137"/>
      <c r="K305" s="137"/>
      <c r="L305" s="137"/>
      <c r="M305" s="137"/>
      <c r="N305" s="137"/>
      <c r="O305" s="137"/>
      <c r="R305" s="20"/>
      <c r="W305" s="42"/>
      <c r="Y305" s="36"/>
    </row>
    <row r="306" spans="1:25" x14ac:dyDescent="0.3">
      <c r="R306" s="20"/>
      <c r="W306" s="42"/>
      <c r="Y306" s="36"/>
    </row>
    <row r="307" spans="1:25" ht="18" x14ac:dyDescent="0.35">
      <c r="B307" s="138" t="s">
        <v>6941</v>
      </c>
      <c r="C307" s="34"/>
      <c r="H307" s="355"/>
      <c r="R307" s="20"/>
      <c r="W307" s="42"/>
      <c r="Y307" s="36"/>
    </row>
    <row r="308" spans="1:25" x14ac:dyDescent="0.3">
      <c r="R308" s="20"/>
      <c r="W308" s="42"/>
      <c r="Y308" s="36"/>
    </row>
    <row r="309" spans="1:25" x14ac:dyDescent="0.3">
      <c r="B309" s="139" t="s">
        <v>6942</v>
      </c>
      <c r="C309" s="140"/>
      <c r="D309" s="140"/>
      <c r="E309" s="139"/>
      <c r="F309" s="141"/>
      <c r="R309" s="20"/>
      <c r="W309" s="42"/>
      <c r="Y309" s="36"/>
    </row>
    <row r="310" spans="1:25" x14ac:dyDescent="0.3">
      <c r="B310" s="143" t="s">
        <v>2663</v>
      </c>
      <c r="C310" s="144" t="s">
        <v>565</v>
      </c>
      <c r="D310" s="144" t="s">
        <v>6943</v>
      </c>
      <c r="E310" s="143" t="s">
        <v>565</v>
      </c>
      <c r="F310" s="145" t="s">
        <v>6944</v>
      </c>
      <c r="R310" s="20"/>
      <c r="W310" s="42"/>
      <c r="Y310" s="36"/>
    </row>
    <row r="311" spans="1:25" x14ac:dyDescent="0.3">
      <c r="A311" t="s">
        <v>6945</v>
      </c>
      <c r="B311" s="149" t="s">
        <v>5724</v>
      </c>
      <c r="C311" s="295">
        <f>VLOOKUP(B311,R3:U302,3,FALSE)</f>
        <v>20.256141166953888</v>
      </c>
      <c r="D311" s="151" t="s">
        <v>2478</v>
      </c>
      <c r="E311" s="359">
        <f>CONVERT(C311,"m^3","ft^3")</f>
        <v>715.3388743744016</v>
      </c>
      <c r="F311" s="151" t="s">
        <v>2479</v>
      </c>
      <c r="R311" s="20"/>
      <c r="W311" s="42"/>
      <c r="Y311" s="36"/>
    </row>
    <row r="312" spans="1:25" x14ac:dyDescent="0.3">
      <c r="R312" s="20"/>
      <c r="W312" s="42"/>
      <c r="Y312" s="36"/>
    </row>
    <row r="313" spans="1:25" s="369" customFormat="1" ht="43.2" x14ac:dyDescent="0.3">
      <c r="B313" s="370" t="s">
        <v>6946</v>
      </c>
      <c r="C313" s="362" t="s">
        <v>6947</v>
      </c>
      <c r="D313" s="371" t="s">
        <v>6948</v>
      </c>
      <c r="E313" s="362" t="s">
        <v>6949</v>
      </c>
      <c r="F313" s="362" t="s">
        <v>6950</v>
      </c>
      <c r="G313" s="362" t="s">
        <v>6951</v>
      </c>
      <c r="H313" s="362" t="s">
        <v>6952</v>
      </c>
      <c r="I313" s="371" t="s">
        <v>6953</v>
      </c>
      <c r="J313" s="371" t="s">
        <v>6954</v>
      </c>
      <c r="K313" s="362" t="s">
        <v>6955</v>
      </c>
      <c r="L313" s="362" t="s">
        <v>6956</v>
      </c>
      <c r="M313" s="362" t="s">
        <v>6957</v>
      </c>
      <c r="N313" s="362" t="s">
        <v>6958</v>
      </c>
      <c r="O313" s="363" t="s">
        <v>6959</v>
      </c>
    </row>
    <row r="314" spans="1:25" x14ac:dyDescent="0.3">
      <c r="A314" t="s">
        <v>6960</v>
      </c>
      <c r="B314" s="99" t="s">
        <v>6961</v>
      </c>
      <c r="C314" s="153">
        <f>VLOOKUP("Deep and shallow pit constructiona",Econ.Equations!C:E,2,FALSE)*E311^VLOOKUP("Deep and shallow pit constructionb",Econ.Equations!$C:$E,2,FALSE)*E311</f>
        <v>7858.4422870541339</v>
      </c>
      <c r="D314">
        <f>VLOOKUP("CAPEXLifetimeBuildings and constructionDefault",Econ.inputsTable!$E:$I,2,FALSE)</f>
        <v>20</v>
      </c>
      <c r="E314" t="s">
        <v>2852</v>
      </c>
      <c r="F314" t="s">
        <v>2852</v>
      </c>
      <c r="G314" s="154">
        <f>VLOOKUP("CAPEXAnnual usage on activityItems that are used only on the given activityDefault",Econ.inputsTable!$E:$I,2,FALSE)</f>
        <v>1</v>
      </c>
      <c r="H314" s="503">
        <f>UDV.econ_capital.interest_rate</f>
        <v>5.0999999999999997E-2</v>
      </c>
      <c r="I314" s="155">
        <f>VLOOKUP("CAPEXSalvageBuildings and constructionDefault",Econ.inputsTable!$E:$J,2,FALSE)</f>
        <v>0</v>
      </c>
      <c r="J314" s="156">
        <f>C314*I314</f>
        <v>0</v>
      </c>
      <c r="K314" s="154">
        <f>VLOOKUP("CAPEXFinanced amountNADefault",Econ.inputsTable!$E:$G,2,FALSE)</f>
        <v>1</v>
      </c>
      <c r="L314" s="364">
        <f>H314*K314</f>
        <v>5.0999999999999997E-2</v>
      </c>
      <c r="M314" s="351">
        <f>L314/(1-(1+L314)^-D314)</f>
        <v>8.0924368970045152E-2</v>
      </c>
      <c r="N314" s="153">
        <f>((C314-J314)*M314)+(J314*L314)</f>
        <v>635.93948316737419</v>
      </c>
      <c r="O314" s="372">
        <f>N314*G314</f>
        <v>635.93948316737419</v>
      </c>
      <c r="R314" s="20"/>
      <c r="W314" s="42"/>
      <c r="Y314" s="36"/>
    </row>
    <row r="315" spans="1:25" x14ac:dyDescent="0.3">
      <c r="B315" s="99"/>
      <c r="O315" s="146"/>
      <c r="R315" s="20"/>
      <c r="W315" s="42"/>
      <c r="Y315" s="36"/>
    </row>
    <row r="316" spans="1:25" x14ac:dyDescent="0.3">
      <c r="B316" s="99"/>
      <c r="C316" s="82" t="s">
        <v>6962</v>
      </c>
      <c r="D316" s="82" t="s">
        <v>6963</v>
      </c>
      <c r="O316" s="146"/>
      <c r="R316" s="20"/>
      <c r="W316" s="42"/>
      <c r="Y316" s="36"/>
    </row>
    <row r="317" spans="1:25" x14ac:dyDescent="0.3">
      <c r="A317" t="s">
        <v>6945</v>
      </c>
      <c r="B317" s="99" t="s">
        <v>6964</v>
      </c>
      <c r="C317" s="153">
        <f>SUM(C314:C314)</f>
        <v>7858.4422870541339</v>
      </c>
      <c r="D317" s="158">
        <f>SUMPRODUCT(C314:C314,G314:G314)</f>
        <v>7858.4422870541339</v>
      </c>
      <c r="O317" s="146"/>
      <c r="R317" s="20"/>
      <c r="W317" s="42"/>
      <c r="Y317" s="36"/>
    </row>
    <row r="318" spans="1:25" x14ac:dyDescent="0.3">
      <c r="A318" t="s">
        <v>6945</v>
      </c>
      <c r="B318" s="149" t="s">
        <v>6965</v>
      </c>
      <c r="C318" s="159">
        <f>SUM(N314:N314)</f>
        <v>635.93948316737419</v>
      </c>
      <c r="D318" s="159">
        <f>SUMPRODUCT(N314:N314,G314:G314)</f>
        <v>635.93948316737419</v>
      </c>
      <c r="E318" s="150"/>
      <c r="F318" s="150"/>
      <c r="G318" s="150"/>
      <c r="H318" s="150"/>
      <c r="I318" s="150"/>
      <c r="J318" s="150"/>
      <c r="K318" s="150"/>
      <c r="L318" s="150"/>
      <c r="M318" s="150"/>
      <c r="N318" s="150"/>
      <c r="O318" s="151"/>
      <c r="R318" s="20"/>
      <c r="W318" s="42"/>
      <c r="Y318" s="36"/>
    </row>
    <row r="319" spans="1:25" x14ac:dyDescent="0.3">
      <c r="B319" s="262"/>
      <c r="C319" s="142"/>
      <c r="D319" s="142"/>
      <c r="E319" s="142"/>
      <c r="F319" s="142"/>
      <c r="G319" s="142"/>
      <c r="H319" s="142"/>
      <c r="I319" s="142"/>
      <c r="J319" s="142"/>
      <c r="K319" s="142"/>
      <c r="L319" s="142"/>
      <c r="M319" s="142"/>
      <c r="N319" s="142"/>
      <c r="O319" s="141"/>
      <c r="R319" s="20"/>
      <c r="W319" s="42"/>
      <c r="Y319" s="36"/>
    </row>
    <row r="320" spans="1:25" ht="43.2" x14ac:dyDescent="0.3">
      <c r="B320" s="160" t="s">
        <v>6966</v>
      </c>
      <c r="C320" s="152" t="s">
        <v>6967</v>
      </c>
      <c r="D320" s="152" t="s">
        <v>6968</v>
      </c>
      <c r="E320" s="152" t="s">
        <v>6969</v>
      </c>
      <c r="F320" s="152" t="s">
        <v>6970</v>
      </c>
      <c r="G320" s="152" t="s">
        <v>6971</v>
      </c>
      <c r="H320" s="152" t="s">
        <v>6972</v>
      </c>
      <c r="I320" s="152" t="s">
        <v>6973</v>
      </c>
      <c r="J320" s="152" t="s">
        <v>6974</v>
      </c>
      <c r="K320" s="152" t="s">
        <v>6975</v>
      </c>
      <c r="L320" s="152" t="s">
        <v>6976</v>
      </c>
      <c r="M320" s="152" t="s">
        <v>6977</v>
      </c>
      <c r="N320" s="152" t="s">
        <v>6978</v>
      </c>
      <c r="O320" s="161" t="s">
        <v>6979</v>
      </c>
      <c r="R320" s="20"/>
      <c r="W320" s="42"/>
      <c r="Y320" s="36"/>
    </row>
    <row r="321" spans="1:25" x14ac:dyDescent="0.3">
      <c r="B321" s="99" t="s">
        <v>6945</v>
      </c>
      <c r="C321" s="155">
        <f>VLOOKUP("OPEXInsuranceEverythingDefault",Econ.inputsTable!$E$1:$J$213,2,FALSE)</f>
        <v>5.0000000000000001E-3</v>
      </c>
      <c r="D321" s="155">
        <f>VLOOKUP("OPEXRepair and maintenanceBuildings and constructionDefault",Econ.inputsTable!$E$1:$J$503,2,FALSE)</f>
        <v>0.01</v>
      </c>
      <c r="O321" s="157">
        <f>(SUM(C321:D321)*SUMPRODUCT(C314:C314,G314:G314))+SUM(E321,G321,I321,J321,L321,N321)</f>
        <v>117.876634305812</v>
      </c>
      <c r="R321" s="20"/>
      <c r="W321" s="42"/>
      <c r="Y321" s="36"/>
    </row>
    <row r="322" spans="1:25" x14ac:dyDescent="0.3">
      <c r="A322" t="s">
        <v>6945</v>
      </c>
      <c r="B322" s="162" t="s">
        <v>5203</v>
      </c>
      <c r="C322" s="241"/>
      <c r="D322" s="241"/>
      <c r="E322" s="367">
        <f t="shared" ref="E322:O322" si="0">SUM(E321)</f>
        <v>0</v>
      </c>
      <c r="F322" s="537">
        <f t="shared" si="0"/>
        <v>0</v>
      </c>
      <c r="G322" s="367">
        <f t="shared" si="0"/>
        <v>0</v>
      </c>
      <c r="H322" s="537">
        <f t="shared" si="0"/>
        <v>0</v>
      </c>
      <c r="I322" s="367">
        <f t="shared" si="0"/>
        <v>0</v>
      </c>
      <c r="J322" s="367">
        <f t="shared" si="0"/>
        <v>0</v>
      </c>
      <c r="K322" s="537">
        <f t="shared" si="0"/>
        <v>0</v>
      </c>
      <c r="L322" s="367">
        <f t="shared" si="0"/>
        <v>0</v>
      </c>
      <c r="M322" s="537">
        <f t="shared" si="0"/>
        <v>0</v>
      </c>
      <c r="N322" s="367">
        <f t="shared" si="0"/>
        <v>0</v>
      </c>
      <c r="O322" s="169">
        <f t="shared" si="0"/>
        <v>117.876634305812</v>
      </c>
      <c r="R322" s="20"/>
      <c r="W322" s="42"/>
      <c r="Y322" s="36"/>
    </row>
    <row r="323" spans="1:25" x14ac:dyDescent="0.3">
      <c r="B323" s="99"/>
      <c r="C323" s="155"/>
      <c r="D323" s="155"/>
      <c r="E323" s="155"/>
      <c r="F323" s="158"/>
      <c r="G323" s="154"/>
      <c r="H323" s="156"/>
      <c r="I323" s="153"/>
      <c r="O323" s="146"/>
      <c r="R323" s="20"/>
      <c r="W323" s="42"/>
      <c r="Y323" s="36"/>
    </row>
    <row r="324" spans="1:25" x14ac:dyDescent="0.3">
      <c r="A324" t="s">
        <v>6945</v>
      </c>
      <c r="B324" s="149" t="s">
        <v>6980</v>
      </c>
      <c r="C324" s="159">
        <f>O322</f>
        <v>117.876634305812</v>
      </c>
      <c r="D324" s="150"/>
      <c r="E324" s="150"/>
      <c r="F324" s="150"/>
      <c r="G324" s="150"/>
      <c r="H324" s="150"/>
      <c r="I324" s="150"/>
      <c r="J324" s="150"/>
      <c r="K324" s="150"/>
      <c r="L324" s="150"/>
      <c r="M324" s="150"/>
      <c r="N324" s="150"/>
      <c r="O324" s="151"/>
      <c r="R324" s="20"/>
      <c r="W324" s="42"/>
      <c r="Y324" s="36"/>
    </row>
    <row r="325" spans="1:25" ht="15" thickBot="1" x14ac:dyDescent="0.35">
      <c r="A325" s="137"/>
      <c r="B325" s="137"/>
      <c r="C325" s="137"/>
      <c r="D325" s="137"/>
      <c r="E325" s="137"/>
      <c r="F325" s="137"/>
      <c r="G325" s="137"/>
      <c r="H325" s="137"/>
      <c r="I325" s="137"/>
      <c r="J325" s="137"/>
      <c r="K325" s="137"/>
      <c r="L325" s="137"/>
      <c r="M325" s="137"/>
      <c r="N325" s="137"/>
      <c r="O325" s="137"/>
      <c r="R325" s="20"/>
      <c r="W325" s="42"/>
      <c r="Y325" s="36"/>
    </row>
    <row r="327" spans="1:25" ht="15.6" x14ac:dyDescent="0.3">
      <c r="A327" s="82" t="s">
        <v>7088</v>
      </c>
      <c r="B327" s="138" t="s">
        <v>7089</v>
      </c>
    </row>
    <row r="329" spans="1:25" x14ac:dyDescent="0.3">
      <c r="B329" s="139" t="s">
        <v>6942</v>
      </c>
      <c r="C329" s="140"/>
      <c r="D329" s="140"/>
      <c r="E329" s="139" t="s">
        <v>6988</v>
      </c>
      <c r="F329" s="141"/>
    </row>
    <row r="330" spans="1:25" x14ac:dyDescent="0.3">
      <c r="B330" s="143" t="s">
        <v>2663</v>
      </c>
      <c r="C330" s="144" t="s">
        <v>565</v>
      </c>
      <c r="D330" s="144" t="s">
        <v>6943</v>
      </c>
      <c r="E330" s="143" t="s">
        <v>565</v>
      </c>
      <c r="F330" s="145" t="s">
        <v>6944</v>
      </c>
    </row>
    <row r="331" spans="1:25" x14ac:dyDescent="0.3">
      <c r="B331" s="99" t="s">
        <v>6925</v>
      </c>
      <c r="C331" s="205">
        <f>VLOOKUP(B331,$R:$U,3,FALSE)</f>
        <v>5.3259335994317407</v>
      </c>
      <c r="D331" t="s">
        <v>7090</v>
      </c>
      <c r="E331" s="164">
        <f>CONVERT(C331,"m^3","gal")*365</f>
        <v>513541.42553506279</v>
      </c>
      <c r="F331" s="146" t="s">
        <v>5324</v>
      </c>
    </row>
    <row r="332" spans="1:25" x14ac:dyDescent="0.3">
      <c r="B332" s="99" t="s">
        <v>5829</v>
      </c>
      <c r="C332" s="205">
        <f>VLOOKUP(B332,$R:$U,3,FALSE)</f>
        <v>0</v>
      </c>
      <c r="D332" t="s">
        <v>7090</v>
      </c>
      <c r="E332" s="164">
        <f>CONVERT(C332,"m^3","gal")*365</f>
        <v>0</v>
      </c>
      <c r="F332" s="146" t="s">
        <v>5324</v>
      </c>
    </row>
    <row r="333" spans="1:25" x14ac:dyDescent="0.3">
      <c r="B333" s="99"/>
      <c r="D333" s="146"/>
      <c r="F333" s="146"/>
    </row>
    <row r="334" spans="1:25" x14ac:dyDescent="0.3">
      <c r="B334" s="92" t="s">
        <v>6996</v>
      </c>
      <c r="E334" s="143" t="s">
        <v>565</v>
      </c>
      <c r="F334" s="145" t="s">
        <v>6944</v>
      </c>
    </row>
    <row r="335" spans="1:25" x14ac:dyDescent="0.3">
      <c r="B335" s="149" t="s">
        <v>7091</v>
      </c>
      <c r="C335" s="150"/>
      <c r="D335" s="150"/>
      <c r="E335" s="497">
        <f>UDV.water.avg_cost/1000</f>
        <v>3.858144828221536E-3</v>
      </c>
      <c r="F335" s="151" t="s">
        <v>2315</v>
      </c>
    </row>
    <row r="337" spans="1:8" x14ac:dyDescent="0.3">
      <c r="B337" s="498" t="s">
        <v>6966</v>
      </c>
      <c r="C337" s="362" t="s">
        <v>6979</v>
      </c>
      <c r="D337" s="362"/>
      <c r="E337" s="362"/>
      <c r="F337" s="363"/>
    </row>
    <row r="338" spans="1:8" x14ac:dyDescent="0.3">
      <c r="B338" s="99" t="s">
        <v>7092</v>
      </c>
      <c r="C338" s="153">
        <f>E331*E335</f>
        <v>1981.3171950056176</v>
      </c>
      <c r="D338" s="236"/>
      <c r="E338" s="236"/>
      <c r="F338" s="146"/>
    </row>
    <row r="339" spans="1:8" x14ac:dyDescent="0.3">
      <c r="B339" s="99"/>
      <c r="F339" s="146"/>
    </row>
    <row r="340" spans="1:8" x14ac:dyDescent="0.3">
      <c r="A340" t="s">
        <v>5209</v>
      </c>
      <c r="B340" s="149" t="s">
        <v>6980</v>
      </c>
      <c r="C340" s="159">
        <f>SUM(C338:C338)</f>
        <v>1981.3171950056176</v>
      </c>
      <c r="D340" s="150"/>
      <c r="E340" s="150"/>
      <c r="F340" s="151"/>
    </row>
    <row r="341" spans="1:8" ht="15" thickBot="1" x14ac:dyDescent="0.35">
      <c r="A341" s="137"/>
      <c r="B341" s="137"/>
      <c r="C341" s="137"/>
      <c r="D341" s="137"/>
      <c r="E341" s="137"/>
      <c r="F341" s="137"/>
      <c r="G341" s="137"/>
      <c r="H341" s="137"/>
    </row>
    <row r="343" spans="1:8" ht="18" x14ac:dyDescent="0.35">
      <c r="A343" s="502"/>
      <c r="B343" s="138" t="s">
        <v>7146</v>
      </c>
      <c r="H343" s="355"/>
    </row>
    <row r="345" spans="1:8" x14ac:dyDescent="0.3">
      <c r="B345" s="139" t="s">
        <v>6942</v>
      </c>
      <c r="C345" s="140"/>
      <c r="D345" s="140"/>
      <c r="E345" s="139" t="s">
        <v>6988</v>
      </c>
      <c r="F345" s="141"/>
      <c r="H345" s="139" t="s">
        <v>7033</v>
      </c>
    </row>
    <row r="346" spans="1:8" x14ac:dyDescent="0.3">
      <c r="B346" s="143" t="s">
        <v>2663</v>
      </c>
      <c r="C346" s="144" t="s">
        <v>565</v>
      </c>
      <c r="D346" s="144" t="s">
        <v>6943</v>
      </c>
      <c r="E346" s="143" t="s">
        <v>565</v>
      </c>
      <c r="F346" s="145" t="s">
        <v>6944</v>
      </c>
      <c r="H346" s="99" t="s">
        <v>1236</v>
      </c>
    </row>
    <row r="347" spans="1:8" x14ac:dyDescent="0.3">
      <c r="B347" s="99" t="s">
        <v>5893</v>
      </c>
      <c r="C347" s="147">
        <f t="shared" ref="C347:C352" si="1">VLOOKUP(B347,$R:$U,3,FALSE)</f>
        <v>12</v>
      </c>
      <c r="D347" t="s">
        <v>7097</v>
      </c>
      <c r="E347" s="99">
        <f>C347</f>
        <v>12</v>
      </c>
      <c r="F347" s="146" t="s">
        <v>7097</v>
      </c>
      <c r="H347" s="99" t="s">
        <v>7147</v>
      </c>
    </row>
    <row r="348" spans="1:8" x14ac:dyDescent="0.3">
      <c r="A348" s="321"/>
      <c r="B348" s="99" t="s">
        <v>5894</v>
      </c>
      <c r="C348" s="147">
        <f t="shared" si="1"/>
        <v>115</v>
      </c>
      <c r="D348" t="s">
        <v>2337</v>
      </c>
      <c r="E348" s="178">
        <f>CONVERT(C348,"m","ft")</f>
        <v>377.29658792650918</v>
      </c>
      <c r="F348" s="146" t="s">
        <v>2340</v>
      </c>
      <c r="H348" s="99" t="s">
        <v>7148</v>
      </c>
    </row>
    <row r="349" spans="1:8" x14ac:dyDescent="0.3">
      <c r="A349" s="199"/>
      <c r="B349" s="99" t="s">
        <v>5895</v>
      </c>
      <c r="C349" s="147">
        <f t="shared" si="1"/>
        <v>2</v>
      </c>
      <c r="D349" t="s">
        <v>2442</v>
      </c>
      <c r="E349" s="99">
        <f>C349</f>
        <v>2</v>
      </c>
      <c r="F349" s="146" t="s">
        <v>2442</v>
      </c>
      <c r="H349" s="149" t="s">
        <v>1239</v>
      </c>
    </row>
    <row r="350" spans="1:8" x14ac:dyDescent="0.3">
      <c r="B350" s="99" t="s">
        <v>5898</v>
      </c>
      <c r="C350" s="147">
        <f t="shared" si="1"/>
        <v>12.250783578571429</v>
      </c>
      <c r="D350" t="s">
        <v>6704</v>
      </c>
      <c r="E350" s="178">
        <f>C350*365</f>
        <v>4471.5360061785714</v>
      </c>
      <c r="F350" s="146" t="s">
        <v>5323</v>
      </c>
    </row>
    <row r="351" spans="1:8" x14ac:dyDescent="0.3">
      <c r="B351" s="235" t="s">
        <v>5897</v>
      </c>
      <c r="C351" s="205">
        <f t="shared" si="1"/>
        <v>10.952380952380953</v>
      </c>
      <c r="D351" t="s">
        <v>7075</v>
      </c>
      <c r="E351" s="178">
        <f>C351*365</f>
        <v>3997.6190476190477</v>
      </c>
      <c r="F351" s="146" t="s">
        <v>2710</v>
      </c>
    </row>
    <row r="352" spans="1:8" x14ac:dyDescent="0.3">
      <c r="B352" s="235" t="s">
        <v>5896</v>
      </c>
      <c r="C352" s="147">
        <f t="shared" si="1"/>
        <v>2</v>
      </c>
      <c r="D352" t="s">
        <v>2442</v>
      </c>
      <c r="E352" s="178">
        <f>C352</f>
        <v>2</v>
      </c>
      <c r="F352" s="146" t="s">
        <v>2442</v>
      </c>
    </row>
    <row r="353" spans="1:15" x14ac:dyDescent="0.3">
      <c r="B353" s="99"/>
      <c r="E353" s="200"/>
      <c r="F353" s="146"/>
    </row>
    <row r="354" spans="1:15" x14ac:dyDescent="0.3">
      <c r="B354" s="92" t="s">
        <v>6996</v>
      </c>
      <c r="E354" s="99"/>
      <c r="F354" s="146"/>
    </row>
    <row r="355" spans="1:15" x14ac:dyDescent="0.3">
      <c r="B355" s="143" t="s">
        <v>2663</v>
      </c>
      <c r="E355" s="143" t="s">
        <v>565</v>
      </c>
      <c r="F355" s="145" t="s">
        <v>6944</v>
      </c>
    </row>
    <row r="356" spans="1:15" x14ac:dyDescent="0.3">
      <c r="B356" s="99" t="s">
        <v>7076</v>
      </c>
      <c r="E356" s="357">
        <f>UDV.electricity.avg_cost</f>
        <v>6.8591666666666662E-2</v>
      </c>
      <c r="F356" s="146" t="s">
        <v>2306</v>
      </c>
    </row>
    <row r="357" spans="1:15" x14ac:dyDescent="0.3">
      <c r="B357" s="149" t="s">
        <v>6998</v>
      </c>
      <c r="C357" s="150"/>
      <c r="D357" s="150"/>
      <c r="E357" s="349">
        <f>UDV.labor.non_specialized_cost</f>
        <v>23.66</v>
      </c>
      <c r="F357" s="151" t="s">
        <v>3659</v>
      </c>
    </row>
    <row r="358" spans="1:15" x14ac:dyDescent="0.3">
      <c r="B358" s="90"/>
      <c r="C358" s="82"/>
      <c r="E358" s="82"/>
      <c r="F358" s="82"/>
      <c r="H358" s="82"/>
      <c r="I358" s="82"/>
      <c r="O358" s="82"/>
    </row>
    <row r="359" spans="1:15" ht="43.2" x14ac:dyDescent="0.3">
      <c r="B359" s="361" t="s">
        <v>6946</v>
      </c>
      <c r="C359" s="362" t="s">
        <v>6947</v>
      </c>
      <c r="D359" s="362" t="s">
        <v>6948</v>
      </c>
      <c r="E359" s="362" t="s">
        <v>6949</v>
      </c>
      <c r="F359" s="362" t="s">
        <v>6950</v>
      </c>
      <c r="G359" s="362" t="s">
        <v>6951</v>
      </c>
      <c r="H359" s="362" t="s">
        <v>6952</v>
      </c>
      <c r="I359" s="362" t="s">
        <v>6953</v>
      </c>
      <c r="J359" s="362" t="s">
        <v>6954</v>
      </c>
      <c r="K359" s="362" t="s">
        <v>6955</v>
      </c>
      <c r="L359" s="362" t="s">
        <v>6956</v>
      </c>
      <c r="M359" s="140" t="s">
        <v>6957</v>
      </c>
      <c r="N359" s="140" t="s">
        <v>6958</v>
      </c>
      <c r="O359" s="363"/>
    </row>
    <row r="360" spans="1:15" x14ac:dyDescent="0.3">
      <c r="A360" t="s">
        <v>7149</v>
      </c>
      <c r="B360" s="99" t="s">
        <v>1236</v>
      </c>
      <c r="C360" s="153">
        <f>VLOOKUP("Auto alley system chain and accessoriesDefault",Econ.Tables!$C:$E,2,FALSE)*E348</f>
        <v>4263.4514435695537</v>
      </c>
      <c r="D360">
        <f>VLOOKUP("CAPEXLifetimeEquipmentDefault",Econ.inputsTable!$E:$I,2,FALSE)</f>
        <v>10</v>
      </c>
      <c r="E360" t="s">
        <v>2852</v>
      </c>
      <c r="F360" s="147">
        <f>E351</f>
        <v>3997.6190476190477</v>
      </c>
      <c r="G360" s="154">
        <f>VLOOKUP("CAPEXAnnual usage on activityItems that are used only on the given activityDefault",Econ.inputsTable!$E:$G,2,FALSE)</f>
        <v>1</v>
      </c>
      <c r="H360" s="503">
        <f>UDV.econ_capital.interest_rate</f>
        <v>5.0999999999999997E-2</v>
      </c>
      <c r="I360" s="503">
        <f>VLOOKUP("CAPEXSalvageBuildings and constructionDefault",Econ.inputsTable!$E:$G,2,FALSE)</f>
        <v>0</v>
      </c>
      <c r="J360" s="153">
        <f t="shared" ref="J360:J363" si="2">C360*I360</f>
        <v>0</v>
      </c>
      <c r="K360" s="154">
        <f>VLOOKUP("CAPEXFinanced amountNADefault",Econ.inputsTable!$E:$G,2,FALSE)</f>
        <v>1</v>
      </c>
      <c r="L360" s="364">
        <f t="shared" ref="L360:L363" si="3">H360*K360</f>
        <v>5.0999999999999997E-2</v>
      </c>
      <c r="M360" s="351">
        <f t="shared" ref="M360:M363" si="4">L360/(1-(1+L360)^-D360)</f>
        <v>0.13013423257204779</v>
      </c>
      <c r="N360" s="153">
        <f t="shared" ref="N360:N363" si="5">((C360-J360)*M360)+(J360*L360)</f>
        <v>554.82098171711323</v>
      </c>
      <c r="O360" s="157"/>
    </row>
    <row r="361" spans="1:15" x14ac:dyDescent="0.3">
      <c r="A361" t="s">
        <v>7149</v>
      </c>
      <c r="B361" s="99" t="s">
        <v>7147</v>
      </c>
      <c r="C361" s="153">
        <f>VLOOKUP("Scraper bladeDefault",Econ.Tables!$C:$E,2,FALSE)*E352</f>
        <v>2800</v>
      </c>
      <c r="D361">
        <f>VLOOKUP("CAPEXLifetimeScraper bladeDefault",Econ.inputsTable!$E:$I,2,FALSE)</f>
        <v>1</v>
      </c>
      <c r="E361" t="s">
        <v>2852</v>
      </c>
      <c r="F361" s="147">
        <f>E351</f>
        <v>3997.6190476190477</v>
      </c>
      <c r="G361" s="154">
        <f>VLOOKUP("CAPEXAnnual usage on activityItems that are used only on the given activityDefault",Econ.inputsTable!$E:$G,2,FALSE)</f>
        <v>1</v>
      </c>
      <c r="H361" s="503">
        <f>UDV.econ_capital.interest_rate</f>
        <v>5.0999999999999997E-2</v>
      </c>
      <c r="I361" s="503">
        <f>VLOOKUP("CAPEXSalvageBuildings and constructionDefault",Econ.inputsTable!$E:$G,2,FALSE)</f>
        <v>0</v>
      </c>
      <c r="J361" s="153">
        <f t="shared" si="2"/>
        <v>0</v>
      </c>
      <c r="K361" s="154">
        <f>VLOOKUP("CAPEXFinanced amountNADefault",Econ.inputsTable!$E:$G,2,FALSE)</f>
        <v>1</v>
      </c>
      <c r="L361" s="364">
        <f t="shared" si="3"/>
        <v>5.0999999999999997E-2</v>
      </c>
      <c r="M361" s="351">
        <f t="shared" si="4"/>
        <v>1.0510000000000017</v>
      </c>
      <c r="N361" s="153">
        <f t="shared" si="5"/>
        <v>2942.8000000000047</v>
      </c>
      <c r="O361" s="157"/>
    </row>
    <row r="362" spans="1:15" x14ac:dyDescent="0.3">
      <c r="A362" t="s">
        <v>7149</v>
      </c>
      <c r="B362" s="99" t="s">
        <v>7148</v>
      </c>
      <c r="C362" s="153">
        <f>VLOOKUP("Drive unit, motor, controls, ancillariesDefault",Econ.Tables!$C:$E,2,FALSE)*E349</f>
        <v>24800</v>
      </c>
      <c r="D362">
        <f>VLOOKUP("CAPEXLifetimeDrive units for auto scraper, transfer channelDefault",Econ.inputsTable!$E:$I,2,FALSE)</f>
        <v>18</v>
      </c>
      <c r="E362" t="s">
        <v>2852</v>
      </c>
      <c r="F362" s="147">
        <f>E351</f>
        <v>3997.6190476190477</v>
      </c>
      <c r="G362" s="154">
        <f>VLOOKUP("CAPEXAnnual usage on activityItems that are used only on the given activityDefault",Econ.inputsTable!$E:$G,2,FALSE)</f>
        <v>1</v>
      </c>
      <c r="H362" s="503">
        <f>UDV.econ_capital.interest_rate</f>
        <v>5.0999999999999997E-2</v>
      </c>
      <c r="I362" s="503">
        <f>VLOOKUP("CAPEXSalvageBuildings and constructionDefault",Econ.inputsTable!$E:$G,2,FALSE)</f>
        <v>0</v>
      </c>
      <c r="J362" s="153">
        <f t="shared" si="2"/>
        <v>0</v>
      </c>
      <c r="K362" s="154">
        <f>VLOOKUP("CAPEXFinanced amountNADefault",Econ.inputsTable!$E:$G,2,FALSE)</f>
        <v>1</v>
      </c>
      <c r="L362" s="364">
        <f t="shared" si="3"/>
        <v>5.0999999999999997E-2</v>
      </c>
      <c r="M362" s="351">
        <f t="shared" si="4"/>
        <v>8.6215856907131391E-2</v>
      </c>
      <c r="N362" s="153">
        <f t="shared" si="5"/>
        <v>2138.1532512968583</v>
      </c>
      <c r="O362" s="501"/>
    </row>
    <row r="363" spans="1:15" x14ac:dyDescent="0.3">
      <c r="A363" t="s">
        <v>7150</v>
      </c>
      <c r="B363" s="99" t="s">
        <v>1239</v>
      </c>
      <c r="C363" s="153">
        <f>VLOOKUP("Auto alley system installation and electricalDefault",Econ.Tables!$C:$E,2,FALSE)*SUM(C360:C362)</f>
        <v>12426.746062992126</v>
      </c>
      <c r="D363">
        <f>VLOOKUP("CAPEXLifetimeDrive units for auto scraper, transfer channelDefault",Econ.inputsTable!$E:$I,2,FALSE)</f>
        <v>18</v>
      </c>
      <c r="E363" t="s">
        <v>2852</v>
      </c>
      <c r="F363" s="147">
        <f>E351</f>
        <v>3997.6190476190477</v>
      </c>
      <c r="G363" s="154">
        <f>VLOOKUP("CAPEXAnnual usage on activityItems that are used only on the given activityDefault",Econ.inputsTable!$E:$G,2,FALSE)</f>
        <v>1</v>
      </c>
      <c r="H363" s="503">
        <f>UDV.econ_capital.interest_rate</f>
        <v>5.0999999999999997E-2</v>
      </c>
      <c r="I363" s="503">
        <f>VLOOKUP("CAPEXSalvageBuildings and constructionDefault",Econ.inputsTable!$E:$G,2,FALSE)</f>
        <v>0</v>
      </c>
      <c r="J363" s="153">
        <f t="shared" si="2"/>
        <v>0</v>
      </c>
      <c r="K363" s="154">
        <f>VLOOKUP("CAPEXFinanced amountNADefault",Econ.inputsTable!$E:$G,2,FALSE)</f>
        <v>1</v>
      </c>
      <c r="L363" s="364">
        <f t="shared" si="3"/>
        <v>5.0999999999999997E-2</v>
      </c>
      <c r="M363" s="351">
        <f t="shared" si="4"/>
        <v>8.6215856907131391E-2</v>
      </c>
      <c r="N363" s="153">
        <f t="shared" si="5"/>
        <v>1071.3825603881876</v>
      </c>
      <c r="O363" s="501"/>
    </row>
    <row r="364" spans="1:15" x14ac:dyDescent="0.3">
      <c r="B364" s="99"/>
      <c r="C364" s="153"/>
      <c r="K364" s="166"/>
      <c r="L364" s="154"/>
      <c r="M364" s="503"/>
      <c r="N364" s="154"/>
      <c r="O364" s="501"/>
    </row>
    <row r="365" spans="1:15" ht="28.8" x14ac:dyDescent="0.3">
      <c r="B365" s="99"/>
      <c r="C365" s="152" t="s">
        <v>7009</v>
      </c>
      <c r="D365" s="152" t="s">
        <v>6963</v>
      </c>
      <c r="O365" s="146"/>
    </row>
    <row r="366" spans="1:15" x14ac:dyDescent="0.3">
      <c r="A366" t="s">
        <v>5223</v>
      </c>
      <c r="B366" s="99" t="s">
        <v>6964</v>
      </c>
      <c r="C366" s="153">
        <f>SUM(C360:C363)</f>
        <v>44290.197506561679</v>
      </c>
      <c r="D366" s="153">
        <f>SUMPRODUCT(C360:C363,G360:G363)</f>
        <v>44290.197506561679</v>
      </c>
      <c r="O366" s="146"/>
    </row>
    <row r="367" spans="1:15" x14ac:dyDescent="0.3">
      <c r="A367" t="s">
        <v>5223</v>
      </c>
      <c r="B367" s="149" t="s">
        <v>6965</v>
      </c>
      <c r="C367" s="159">
        <f>SUM(N360:N363)</f>
        <v>6707.1567934021641</v>
      </c>
      <c r="D367" s="159">
        <f>SUMPRODUCT(G360:G363,N360:N363)</f>
        <v>6707.1567934021641</v>
      </c>
      <c r="E367" s="150"/>
      <c r="F367" s="150"/>
      <c r="G367" s="150"/>
      <c r="H367" s="150"/>
      <c r="I367" s="150"/>
      <c r="J367" s="150"/>
      <c r="K367" s="150"/>
      <c r="L367" s="150"/>
      <c r="M367" s="150"/>
      <c r="N367" s="150"/>
      <c r="O367" s="151"/>
    </row>
    <row r="368" spans="1:15" x14ac:dyDescent="0.3">
      <c r="B368" s="99"/>
      <c r="O368" s="146"/>
    </row>
    <row r="369" spans="1:15" ht="43.2" x14ac:dyDescent="0.3">
      <c r="B369" s="160" t="s">
        <v>6966</v>
      </c>
      <c r="C369" s="152" t="s">
        <v>6967</v>
      </c>
      <c r="D369" s="152" t="s">
        <v>6968</v>
      </c>
      <c r="E369" s="152" t="s">
        <v>6969</v>
      </c>
      <c r="F369" s="152" t="s">
        <v>6970</v>
      </c>
      <c r="G369" s="152" t="s">
        <v>6971</v>
      </c>
      <c r="H369" s="152" t="s">
        <v>6972</v>
      </c>
      <c r="I369" s="152" t="s">
        <v>6973</v>
      </c>
      <c r="J369" s="152" t="s">
        <v>6974</v>
      </c>
      <c r="K369" s="152" t="s">
        <v>6975</v>
      </c>
      <c r="L369" s="152" t="s">
        <v>6976</v>
      </c>
      <c r="M369" s="152" t="s">
        <v>6977</v>
      </c>
      <c r="N369" s="152" t="s">
        <v>6978</v>
      </c>
      <c r="O369" s="161" t="s">
        <v>6979</v>
      </c>
    </row>
    <row r="370" spans="1:15" x14ac:dyDescent="0.3">
      <c r="B370" s="99" t="s">
        <v>7151</v>
      </c>
      <c r="C370" s="155">
        <f>VLOOKUP("OPEXInsuranceEverythingDefault",Econ.inputsTable!$E:$G,2,FALSE)</f>
        <v>5.0000000000000001E-3</v>
      </c>
      <c r="D370" s="155">
        <f>VLOOKUP("OPEXRepair and maintenanceEquipmentDefault",Econ.inputsTable!$E:$G,2,FALSE)</f>
        <v>0.03</v>
      </c>
      <c r="I370" s="504"/>
      <c r="K370" s="504"/>
      <c r="L370" s="158"/>
      <c r="O370" s="157">
        <f>(SUM(C370:D370)*C362*G362)+SUM(E370,G370,I370,J370,L370,N370)</f>
        <v>867.99999999999989</v>
      </c>
    </row>
    <row r="371" spans="1:15" x14ac:dyDescent="0.3">
      <c r="B371" s="99" t="s">
        <v>7152</v>
      </c>
      <c r="C371" s="155">
        <f>VLOOKUP("OPEXInsuranceEverythingDefault",Econ.inputsTable!$E:$G,2,FALSE)</f>
        <v>5.0000000000000001E-3</v>
      </c>
      <c r="D371" s="155">
        <f>VLOOKUP("OPEXRepair and maintenanceAuto scraper systemDefault",Econ.inputsTable!$E:$G,2,FALSE)</f>
        <v>0.06</v>
      </c>
      <c r="E371" s="504"/>
      <c r="F371" s="147">
        <f>E350</f>
        <v>4471.5360061785714</v>
      </c>
      <c r="G371" s="504">
        <f>F371*E356</f>
        <v>306.7101072237985</v>
      </c>
      <c r="H371" s="158"/>
      <c r="I371" s="504"/>
      <c r="J371" s="504"/>
      <c r="O371" s="157">
        <f>(SUM(C371:D371)*SUM(C360:C362)*G362)+SUM(E371,G371,I371,J371,L371,N371)</f>
        <v>2377.8344510558195</v>
      </c>
    </row>
    <row r="372" spans="1:15" x14ac:dyDescent="0.3">
      <c r="A372" t="s">
        <v>5223</v>
      </c>
      <c r="B372" s="162" t="s">
        <v>5203</v>
      </c>
      <c r="C372" s="505"/>
      <c r="D372" s="505"/>
      <c r="E372" s="506">
        <f t="shared" ref="E372:O372" si="6">SUM(E370:E371)</f>
        <v>0</v>
      </c>
      <c r="F372" s="507">
        <f t="shared" si="6"/>
        <v>4471.5360061785714</v>
      </c>
      <c r="G372" s="506">
        <f t="shared" si="6"/>
        <v>306.7101072237985</v>
      </c>
      <c r="H372" s="508">
        <f t="shared" si="6"/>
        <v>0</v>
      </c>
      <c r="I372" s="506">
        <f t="shared" si="6"/>
        <v>0</v>
      </c>
      <c r="J372" s="506">
        <f t="shared" si="6"/>
        <v>0</v>
      </c>
      <c r="K372" s="508">
        <f t="shared" si="6"/>
        <v>0</v>
      </c>
      <c r="L372" s="506">
        <f t="shared" si="6"/>
        <v>0</v>
      </c>
      <c r="M372" s="508">
        <f t="shared" si="6"/>
        <v>0</v>
      </c>
      <c r="N372" s="506">
        <f t="shared" si="6"/>
        <v>0</v>
      </c>
      <c r="O372" s="509">
        <f t="shared" si="6"/>
        <v>3245.8344510558195</v>
      </c>
    </row>
    <row r="373" spans="1:15" x14ac:dyDescent="0.3">
      <c r="B373" s="99"/>
      <c r="O373" s="146"/>
    </row>
    <row r="374" spans="1:15" x14ac:dyDescent="0.3">
      <c r="A374" t="s">
        <v>5223</v>
      </c>
      <c r="B374" s="149" t="s">
        <v>6980</v>
      </c>
      <c r="C374" s="159">
        <f>O372</f>
        <v>3245.8344510558195</v>
      </c>
      <c r="D374" s="150"/>
      <c r="E374" s="150"/>
      <c r="F374" s="150"/>
      <c r="G374" s="150"/>
      <c r="H374" s="150"/>
      <c r="I374" s="150"/>
      <c r="J374" s="150"/>
      <c r="K374" s="150"/>
      <c r="L374" s="150"/>
      <c r="M374" s="150"/>
      <c r="N374" s="150"/>
      <c r="O374" s="151"/>
    </row>
    <row r="375" spans="1:15" ht="15" thickBot="1" x14ac:dyDescent="0.35">
      <c r="A375" s="137"/>
      <c r="B375" s="137"/>
      <c r="C375" s="137"/>
      <c r="D375" s="137"/>
      <c r="E375" s="137"/>
      <c r="F375" s="137"/>
      <c r="G375" s="137"/>
      <c r="H375" s="137"/>
      <c r="I375" s="137"/>
      <c r="J375" s="137"/>
      <c r="K375" s="137"/>
      <c r="L375" s="137"/>
      <c r="M375" s="137"/>
      <c r="N375" s="137"/>
      <c r="O375" s="137"/>
    </row>
    <row r="377" spans="1:15" ht="18" x14ac:dyDescent="0.35">
      <c r="B377" s="138" t="s">
        <v>7187</v>
      </c>
      <c r="H377" s="355"/>
    </row>
    <row r="379" spans="1:15" x14ac:dyDescent="0.3">
      <c r="B379" s="139" t="s">
        <v>6942</v>
      </c>
      <c r="C379" s="140"/>
      <c r="D379" s="140"/>
      <c r="E379" s="139" t="s">
        <v>6988</v>
      </c>
      <c r="F379" s="141"/>
    </row>
    <row r="380" spans="1:15" x14ac:dyDescent="0.3">
      <c r="B380" s="143" t="s">
        <v>2663</v>
      </c>
      <c r="C380" s="144" t="s">
        <v>565</v>
      </c>
      <c r="D380" s="144" t="s">
        <v>6943</v>
      </c>
      <c r="E380" s="143" t="s">
        <v>565</v>
      </c>
      <c r="F380" s="145" t="s">
        <v>6944</v>
      </c>
      <c r="H380" s="139" t="s">
        <v>7189</v>
      </c>
      <c r="I380" s="142"/>
      <c r="J380" s="142"/>
      <c r="K380" s="141"/>
    </row>
    <row r="381" spans="1:15" x14ac:dyDescent="0.3">
      <c r="B381" s="99" t="s">
        <v>5951</v>
      </c>
      <c r="C381" s="148">
        <f>VLOOKUP(B381,$R:$U,3,FALSE)</f>
        <v>2893.7344524219843</v>
      </c>
      <c r="D381" t="s">
        <v>2481</v>
      </c>
      <c r="E381" s="164">
        <f>CONVERT(C381,"l","gal")</f>
        <v>764.44376927579845</v>
      </c>
      <c r="F381" s="146" t="s">
        <v>2480</v>
      </c>
      <c r="H381" s="99" t="s">
        <v>2787</v>
      </c>
      <c r="K381" s="146"/>
    </row>
    <row r="382" spans="1:15" x14ac:dyDescent="0.3">
      <c r="B382" s="99" t="s">
        <v>5953</v>
      </c>
      <c r="C382" s="796">
        <f>VLOOKUP(B382,$R:$U,3,FALSE)</f>
        <v>1</v>
      </c>
      <c r="D382" t="s">
        <v>2442</v>
      </c>
      <c r="E382" s="523">
        <f>C382</f>
        <v>1</v>
      </c>
      <c r="F382" s="146" t="s">
        <v>2442</v>
      </c>
      <c r="H382" s="99" t="s">
        <v>1228</v>
      </c>
      <c r="K382" s="146"/>
    </row>
    <row r="383" spans="1:15" x14ac:dyDescent="0.3">
      <c r="B383" s="99" t="s">
        <v>5952</v>
      </c>
      <c r="C383" s="148">
        <f>VLOOKUP(B383,$R:$U,3,FALSE)</f>
        <v>15</v>
      </c>
      <c r="D383" t="s">
        <v>971</v>
      </c>
      <c r="E383" s="524">
        <f>ROUNDUP(C383,0.1)</f>
        <v>15</v>
      </c>
      <c r="F383" s="146" t="s">
        <v>971</v>
      </c>
      <c r="H383" s="149" t="s">
        <v>7190</v>
      </c>
      <c r="I383" s="150"/>
      <c r="J383" s="150"/>
      <c r="K383" s="151"/>
    </row>
    <row r="384" spans="1:15" x14ac:dyDescent="0.3">
      <c r="B384" s="99" t="s">
        <v>5954</v>
      </c>
      <c r="C384" s="148">
        <f>VLOOKUP(B384,$R:$U,3,FALSE)</f>
        <v>0.38003059201611716</v>
      </c>
      <c r="D384" t="s">
        <v>6704</v>
      </c>
      <c r="E384" s="164">
        <f>C384*365</f>
        <v>138.71116608588275</v>
      </c>
      <c r="F384" s="146" t="s">
        <v>5323</v>
      </c>
    </row>
    <row r="385" spans="1:15" x14ac:dyDescent="0.3">
      <c r="B385" s="99"/>
      <c r="E385" s="99"/>
      <c r="F385" s="146"/>
    </row>
    <row r="386" spans="1:15" x14ac:dyDescent="0.3">
      <c r="B386" s="92" t="s">
        <v>6942</v>
      </c>
      <c r="C386" s="82"/>
      <c r="D386" s="82"/>
      <c r="E386" s="92"/>
      <c r="F386" s="146"/>
    </row>
    <row r="387" spans="1:15" x14ac:dyDescent="0.3">
      <c r="B387" s="143" t="s">
        <v>2663</v>
      </c>
      <c r="C387" s="144" t="s">
        <v>565</v>
      </c>
      <c r="D387" s="144" t="s">
        <v>6943</v>
      </c>
      <c r="E387" s="143" t="s">
        <v>565</v>
      </c>
      <c r="F387" s="145" t="s">
        <v>6944</v>
      </c>
    </row>
    <row r="388" spans="1:15" x14ac:dyDescent="0.3">
      <c r="B388" s="99" t="s">
        <v>7076</v>
      </c>
      <c r="D388" s="146"/>
      <c r="E388" s="525">
        <f>UDV.electricity.avg_cost</f>
        <v>6.8591666666666662E-2</v>
      </c>
      <c r="F388" s="146" t="s">
        <v>2306</v>
      </c>
    </row>
    <row r="389" spans="1:15" x14ac:dyDescent="0.3">
      <c r="B389" s="149" t="s">
        <v>6998</v>
      </c>
      <c r="C389" s="150"/>
      <c r="D389" s="151"/>
      <c r="E389" s="497">
        <f>UDV.labor.non_specialized_cost</f>
        <v>23.66</v>
      </c>
      <c r="F389" s="151" t="s">
        <v>3659</v>
      </c>
    </row>
    <row r="391" spans="1:15" ht="43.2" x14ac:dyDescent="0.3">
      <c r="B391" s="361" t="s">
        <v>6946</v>
      </c>
      <c r="C391" s="362" t="s">
        <v>6947</v>
      </c>
      <c r="D391" s="371" t="s">
        <v>6948</v>
      </c>
      <c r="E391" s="362" t="s">
        <v>6949</v>
      </c>
      <c r="F391" s="362" t="s">
        <v>6950</v>
      </c>
      <c r="G391" s="362" t="s">
        <v>6951</v>
      </c>
      <c r="H391" s="362" t="s">
        <v>6952</v>
      </c>
      <c r="I391" s="371" t="s">
        <v>6953</v>
      </c>
      <c r="J391" s="371" t="s">
        <v>6954</v>
      </c>
      <c r="K391" s="362" t="s">
        <v>6955</v>
      </c>
      <c r="L391" s="362" t="s">
        <v>6956</v>
      </c>
      <c r="M391" s="362" t="s">
        <v>6957</v>
      </c>
      <c r="N391" s="362" t="s">
        <v>6958</v>
      </c>
      <c r="O391" s="363" t="s">
        <v>6959</v>
      </c>
    </row>
    <row r="392" spans="1:15" x14ac:dyDescent="0.3">
      <c r="A392" t="s">
        <v>7191</v>
      </c>
      <c r="B392" s="99" t="s">
        <v>2787</v>
      </c>
      <c r="C392" s="153">
        <f>VLOOKUP("Reception pit constructiona",Econ.Equations!$C:$E,2,FALSE)*E381^VLOOKUP("Reception pit constructionb",Econ.Equations!$C:$E,2,FALSE)*E381</f>
        <v>8018.7932118545777</v>
      </c>
      <c r="D392">
        <f>VLOOKUP("CAPEXLifetimeBuildings and constructionDefault",Econ.inputsTable!$E:$H,2,FALSE)</f>
        <v>20</v>
      </c>
      <c r="E392" t="s">
        <v>2852</v>
      </c>
      <c r="F392" t="s">
        <v>2852</v>
      </c>
      <c r="G392" s="154">
        <v>1</v>
      </c>
      <c r="H392" s="503">
        <f>UDV.econ_capital.interest_rate</f>
        <v>5.0999999999999997E-2</v>
      </c>
      <c r="I392" s="154">
        <f>VLOOKUP("CAPEXSalvageBuildings and constructionDefault",Econ.inputsTable!$E:$J,2,FALSE)</f>
        <v>0</v>
      </c>
      <c r="J392" s="153">
        <f>$C392*I392</f>
        <v>0</v>
      </c>
      <c r="K392" s="154">
        <f>VLOOKUP("CAPEXFinanced amountNADefault", Econ.inputsTable!$E:$I,2,FALSE)</f>
        <v>1</v>
      </c>
      <c r="L392" s="364">
        <f>H392*K392</f>
        <v>5.0999999999999997E-2</v>
      </c>
      <c r="M392" s="351">
        <f>L392/(1-(1+L392)^-D392)</f>
        <v>8.0924368970045152E-2</v>
      </c>
      <c r="N392" s="153">
        <f>((C392-J392)*M392)+(J392*L392)</f>
        <v>648.91578057061326</v>
      </c>
      <c r="O392" s="157">
        <f>G392*N392</f>
        <v>648.91578057061326</v>
      </c>
    </row>
    <row r="393" spans="1:15" x14ac:dyDescent="0.3">
      <c r="A393" t="s">
        <v>7192</v>
      </c>
      <c r="B393" s="99" t="s">
        <v>1228</v>
      </c>
      <c r="C393" s="153">
        <f>UDV.econ_agi.electric_pump*E382</f>
        <v>12100</v>
      </c>
      <c r="D393">
        <f>VLOOKUP("CAPEXLifetimeAgi-pump, electricDefault",Econ.inputsTable!$E:$H,2,FALSE)</f>
        <v>15</v>
      </c>
      <c r="E393" t="s">
        <v>2852</v>
      </c>
      <c r="F393" t="s">
        <v>2852</v>
      </c>
      <c r="G393" s="154">
        <v>1</v>
      </c>
      <c r="H393" s="503">
        <f>UDV.econ_capital.interest_rate</f>
        <v>5.0999999999999997E-2</v>
      </c>
      <c r="I393" s="154">
        <f>VLOOKUP("CAPEXSalvageEquipmentDefault",Econ.inputsTable!$E:$J,2,FALSE)</f>
        <v>0.2</v>
      </c>
      <c r="J393" s="153">
        <f>$C393*I393</f>
        <v>2420</v>
      </c>
      <c r="K393" s="154">
        <f>VLOOKUP("CAPEXFinanced amountNADefault", Econ.inputsTable!$E:$I,2,FALSE)</f>
        <v>1</v>
      </c>
      <c r="L393" s="364">
        <f>H393*K393</f>
        <v>5.0999999999999997E-2</v>
      </c>
      <c r="M393" s="351">
        <f>L393/(1-(1+L393)^-D393)</f>
        <v>9.6994593888520206E-2</v>
      </c>
      <c r="N393" s="153">
        <f>((C393-J393)*M393)+(J393*L393)</f>
        <v>1062.3276688408755</v>
      </c>
      <c r="O393" s="157">
        <f>G393*N393</f>
        <v>1062.3276688408755</v>
      </c>
    </row>
    <row r="394" spans="1:15" x14ac:dyDescent="0.3">
      <c r="A394" t="s">
        <v>7192</v>
      </c>
      <c r="B394" s="99" t="s">
        <v>7193</v>
      </c>
      <c r="C394" s="153">
        <f>VLOOKUP(_xlfn.CONCAT("Motor, ", E383, " hpDefault"), Econ.Tables!C:E, 2, FALSE)*E382</f>
        <v>1470</v>
      </c>
      <c r="D394">
        <f>VLOOKUP("CAPEXLifetimeMotorDefault",Econ.inputsTable!$E:$H,2,FALSE)</f>
        <v>20</v>
      </c>
      <c r="E394" t="s">
        <v>2852</v>
      </c>
      <c r="F394" t="s">
        <v>2852</v>
      </c>
      <c r="G394" s="154">
        <v>1</v>
      </c>
      <c r="H394" s="503">
        <f>UDV.econ_capital.interest_rate</f>
        <v>5.0999999999999997E-2</v>
      </c>
      <c r="I394" s="154">
        <f>VLOOKUP("CAPEXSalvageEquipmentDefault",Econ.inputsTable!$E:$I,2,FALSE)</f>
        <v>0.2</v>
      </c>
      <c r="J394" s="153">
        <f>$C394*I394</f>
        <v>294</v>
      </c>
      <c r="K394" s="154">
        <f>VLOOKUP("CAPEXFinanced amountNADefault", Econ.inputsTable!$E:$I,2,FALSE)</f>
        <v>1</v>
      </c>
      <c r="L394" s="364">
        <f>H394*K394</f>
        <v>5.0999999999999997E-2</v>
      </c>
      <c r="M394" s="351">
        <f>L394/(1-(1+L394)^-D394)</f>
        <v>8.0924368970045152E-2</v>
      </c>
      <c r="N394" s="153">
        <f>((C394-J394)*M394)+(J394*L394)</f>
        <v>110.1610579087731</v>
      </c>
      <c r="O394" s="157">
        <f>G394*N394</f>
        <v>110.1610579087731</v>
      </c>
    </row>
    <row r="395" spans="1:15" x14ac:dyDescent="0.3">
      <c r="B395" s="99"/>
      <c r="C395" s="153"/>
      <c r="L395" s="154"/>
      <c r="M395" s="155"/>
      <c r="N395" s="154"/>
      <c r="O395" s="501"/>
    </row>
    <row r="396" spans="1:15" x14ac:dyDescent="0.3">
      <c r="B396" s="99"/>
      <c r="C396" s="82" t="s">
        <v>7009</v>
      </c>
      <c r="D396" s="82" t="s">
        <v>6963</v>
      </c>
      <c r="O396" s="146"/>
    </row>
    <row r="397" spans="1:15" x14ac:dyDescent="0.3">
      <c r="A397" t="s">
        <v>5219</v>
      </c>
      <c r="B397" s="99" t="s">
        <v>6964</v>
      </c>
      <c r="C397" s="153">
        <f>SUM(C392:C394)</f>
        <v>21588.79321185458</v>
      </c>
      <c r="D397" s="153">
        <f>SUMPRODUCT(C392:C394,G392:G394)</f>
        <v>21588.79321185458</v>
      </c>
      <c r="O397" s="146"/>
    </row>
    <row r="398" spans="1:15" x14ac:dyDescent="0.3">
      <c r="A398" t="s">
        <v>5219</v>
      </c>
      <c r="B398" s="149" t="s">
        <v>6965</v>
      </c>
      <c r="C398" s="159">
        <f>SUM(N392:N394)</f>
        <v>1821.4045073202617</v>
      </c>
      <c r="D398" s="159">
        <f>SUMPRODUCT(N392:N394,G392:G394)</f>
        <v>1821.4045073202617</v>
      </c>
      <c r="E398" s="150"/>
      <c r="F398" s="150"/>
      <c r="G398" s="150"/>
      <c r="H398" s="150"/>
      <c r="I398" s="150"/>
      <c r="J398" s="150"/>
      <c r="K398" s="150"/>
      <c r="L398" s="150"/>
      <c r="M398" s="150"/>
      <c r="N398" s="150"/>
      <c r="O398" s="151"/>
    </row>
    <row r="399" spans="1:15" x14ac:dyDescent="0.3">
      <c r="B399" s="262"/>
      <c r="C399" s="142"/>
      <c r="D399" s="142"/>
      <c r="E399" s="142"/>
      <c r="F399" s="142"/>
      <c r="G399" s="142"/>
      <c r="H399" s="142"/>
      <c r="I399" s="142"/>
      <c r="J399" s="142"/>
      <c r="K399" s="142"/>
      <c r="L399" s="142"/>
      <c r="M399" s="142"/>
      <c r="N399" s="142"/>
      <c r="O399" s="141"/>
    </row>
    <row r="400" spans="1:15" ht="43.2" x14ac:dyDescent="0.3">
      <c r="B400" s="160" t="s">
        <v>6966</v>
      </c>
      <c r="C400" s="152" t="s">
        <v>6967</v>
      </c>
      <c r="D400" s="152" t="s">
        <v>6968</v>
      </c>
      <c r="E400" s="152" t="s">
        <v>6969</v>
      </c>
      <c r="F400" s="152" t="s">
        <v>6970</v>
      </c>
      <c r="G400" s="152" t="s">
        <v>6971</v>
      </c>
      <c r="H400" s="152" t="s">
        <v>6972</v>
      </c>
      <c r="I400" s="152" t="s">
        <v>6973</v>
      </c>
      <c r="J400" s="152" t="s">
        <v>6974</v>
      </c>
      <c r="K400" s="152" t="s">
        <v>6975</v>
      </c>
      <c r="L400" s="152" t="s">
        <v>6976</v>
      </c>
      <c r="M400" s="152" t="s">
        <v>6977</v>
      </c>
      <c r="N400" s="152" t="s">
        <v>6978</v>
      </c>
      <c r="O400" s="161" t="s">
        <v>6979</v>
      </c>
    </row>
    <row r="401" spans="1:15" x14ac:dyDescent="0.3">
      <c r="B401" s="99" t="s">
        <v>5219</v>
      </c>
      <c r="C401" s="155">
        <f>VLOOKUP("OPEXInsuranceEverythingDefault",Econ.inputsTable!$E$1:$J$93,2,FALSE)</f>
        <v>5.0000000000000001E-3</v>
      </c>
      <c r="D401" s="155">
        <f>VLOOKUP("OPEXRepair and maintenanceBuildings and constructionDefault",Econ.inputsTable!$E:$I,2,FALSE)</f>
        <v>0.01</v>
      </c>
      <c r="G401" s="504"/>
      <c r="O401" s="157">
        <f>(SUM(C401:D401)*C392*G392)+SUM(G401,I401,J401,L401,N401)</f>
        <v>120.28189817781866</v>
      </c>
    </row>
    <row r="402" spans="1:15" x14ac:dyDescent="0.3">
      <c r="B402" s="99" t="s">
        <v>1228</v>
      </c>
      <c r="C402" s="155">
        <f>VLOOKUP("OPEXInsuranceEverythingDefault",Econ.inputsTable!$E$1:$J$93,2,FALSE)</f>
        <v>5.0000000000000001E-3</v>
      </c>
      <c r="D402" s="155">
        <f>VLOOKUP("OPEXRepair and maintenanceAgi-pump, electricDefault",Econ.inputsTable!$E:$I,2,FALSE)</f>
        <v>0.11</v>
      </c>
      <c r="G402" s="504"/>
      <c r="O402" s="157">
        <f>(SUM(C402:D402)*C393*G393)+SUM(G402,I402,J402,L402,N402)</f>
        <v>1391.5</v>
      </c>
    </row>
    <row r="403" spans="1:15" x14ac:dyDescent="0.3">
      <c r="B403" s="99" t="s">
        <v>7190</v>
      </c>
      <c r="C403" s="155">
        <f>VLOOKUP("OPEXInsuranceEverythingDefault",Econ.inputsTable!$E$1:$J$93,2,FALSE)</f>
        <v>5.0000000000000001E-3</v>
      </c>
      <c r="D403" s="155">
        <f>VLOOKUP("OPEXRepair and maintenanceEquipmentDefault",Econ.inputsTable!$E:$I,2,FALSE)</f>
        <v>0.03</v>
      </c>
      <c r="F403" s="166">
        <f>E384</f>
        <v>138.71116608588275</v>
      </c>
      <c r="G403" s="158">
        <f>F403*E388</f>
        <v>9.5144300671075079</v>
      </c>
      <c r="O403" s="157">
        <f>(SUM(C403:D403)*C394*G394)+SUM(G403,I403,J403,L403,N403)</f>
        <v>60.9644300671075</v>
      </c>
    </row>
    <row r="404" spans="1:15" x14ac:dyDescent="0.3">
      <c r="A404" t="s">
        <v>5219</v>
      </c>
      <c r="B404" s="162" t="s">
        <v>5203</v>
      </c>
      <c r="C404" s="505"/>
      <c r="D404" s="505"/>
      <c r="E404" s="367">
        <f t="shared" ref="E404:O404" si="7">SUM(E401:E403)</f>
        <v>0</v>
      </c>
      <c r="F404" s="526">
        <f t="shared" si="7"/>
        <v>138.71116608588275</v>
      </c>
      <c r="G404" s="367">
        <f t="shared" si="7"/>
        <v>9.5144300671075079</v>
      </c>
      <c r="H404" s="526">
        <f t="shared" si="7"/>
        <v>0</v>
      </c>
      <c r="I404" s="367">
        <f t="shared" si="7"/>
        <v>0</v>
      </c>
      <c r="J404" s="367">
        <f t="shared" si="7"/>
        <v>0</v>
      </c>
      <c r="K404" s="526">
        <f t="shared" si="7"/>
        <v>0</v>
      </c>
      <c r="L404" s="367">
        <f t="shared" si="7"/>
        <v>0</v>
      </c>
      <c r="M404" s="526">
        <f t="shared" si="7"/>
        <v>0</v>
      </c>
      <c r="N404" s="367">
        <f t="shared" si="7"/>
        <v>0</v>
      </c>
      <c r="O404" s="169">
        <f t="shared" si="7"/>
        <v>1572.7463282449262</v>
      </c>
    </row>
    <row r="405" spans="1:15" x14ac:dyDescent="0.3">
      <c r="B405" s="99"/>
      <c r="O405" s="146"/>
    </row>
    <row r="406" spans="1:15" x14ac:dyDescent="0.3">
      <c r="A406" t="s">
        <v>5219</v>
      </c>
      <c r="B406" s="149" t="s">
        <v>6980</v>
      </c>
      <c r="C406" s="159">
        <f>O404</f>
        <v>1572.7463282449262</v>
      </c>
      <c r="D406" s="150"/>
      <c r="E406" s="150"/>
      <c r="F406" s="150"/>
      <c r="G406" s="150"/>
      <c r="H406" s="150"/>
      <c r="I406" s="150"/>
      <c r="J406" s="150"/>
      <c r="K406" s="150"/>
      <c r="L406" s="150"/>
      <c r="M406" s="150"/>
      <c r="N406" s="150"/>
      <c r="O406" s="151"/>
    </row>
    <row r="407" spans="1:15" ht="15" thickBot="1" x14ac:dyDescent="0.35">
      <c r="A407" s="137"/>
      <c r="B407" s="137"/>
      <c r="C407" s="137"/>
      <c r="D407" s="137"/>
      <c r="E407" s="137"/>
      <c r="F407" s="137"/>
      <c r="G407" s="137"/>
      <c r="H407" s="137"/>
      <c r="I407" s="137"/>
      <c r="J407" s="137"/>
      <c r="K407" s="137"/>
      <c r="L407" s="137"/>
      <c r="M407" s="137"/>
      <c r="N407" s="137"/>
      <c r="O407" s="137"/>
    </row>
    <row r="409" spans="1:15" ht="18" x14ac:dyDescent="0.35">
      <c r="B409" s="82" t="s">
        <v>2847</v>
      </c>
      <c r="F409" s="355"/>
    </row>
    <row r="410" spans="1:15" x14ac:dyDescent="0.3">
      <c r="I410" s="199"/>
    </row>
    <row r="411" spans="1:15" x14ac:dyDescent="0.3">
      <c r="B411" s="139" t="s">
        <v>6942</v>
      </c>
      <c r="C411" s="140"/>
      <c r="D411" s="140"/>
      <c r="E411" s="139" t="s">
        <v>6988</v>
      </c>
      <c r="F411" s="141"/>
    </row>
    <row r="412" spans="1:15" x14ac:dyDescent="0.3">
      <c r="B412" s="143" t="s">
        <v>2663</v>
      </c>
      <c r="C412" s="144" t="s">
        <v>565</v>
      </c>
      <c r="D412" s="144" t="s">
        <v>6943</v>
      </c>
      <c r="E412" s="143" t="s">
        <v>565</v>
      </c>
      <c r="F412" s="145" t="s">
        <v>6944</v>
      </c>
      <c r="H412" s="139" t="s">
        <v>7033</v>
      </c>
      <c r="I412" s="142"/>
      <c r="J412" s="142"/>
      <c r="K412" s="141"/>
    </row>
    <row r="413" spans="1:15" x14ac:dyDescent="0.3">
      <c r="B413" s="99" t="s">
        <v>6140</v>
      </c>
      <c r="C413" s="148">
        <f>VLOOKUP(B413,$R:$U,3,FALSE)</f>
        <v>32</v>
      </c>
      <c r="D413" s="146" t="s">
        <v>7387</v>
      </c>
      <c r="E413" s="99">
        <f t="shared" ref="E413:E418" si="8">C413</f>
        <v>32</v>
      </c>
      <c r="F413" s="146" t="s">
        <v>7387</v>
      </c>
      <c r="H413" s="99" t="s">
        <v>7388</v>
      </c>
      <c r="K413" s="146"/>
    </row>
    <row r="414" spans="1:15" x14ac:dyDescent="0.3">
      <c r="B414" s="99" t="s">
        <v>6139</v>
      </c>
      <c r="C414" s="148">
        <f>VLOOKUP(B414,$R:$U,3,FALSE)</f>
        <v>1</v>
      </c>
      <c r="D414" t="s">
        <v>2443</v>
      </c>
      <c r="E414" s="165">
        <f t="shared" si="8"/>
        <v>1</v>
      </c>
      <c r="F414" s="146" t="s">
        <v>2443</v>
      </c>
      <c r="H414" s="99" t="s">
        <v>7389</v>
      </c>
      <c r="K414" s="146"/>
    </row>
    <row r="415" spans="1:15" x14ac:dyDescent="0.3">
      <c r="B415" s="99" t="s">
        <v>6142</v>
      </c>
      <c r="C415" s="148">
        <f>VLOOKUP(B415,$R:$U,3,FALSE)</f>
        <v>2</v>
      </c>
      <c r="D415" t="s">
        <v>971</v>
      </c>
      <c r="E415" s="524">
        <f>ROUNDUP(C415,0.1)</f>
        <v>2</v>
      </c>
      <c r="F415" s="146" t="s">
        <v>971</v>
      </c>
      <c r="H415" s="99" t="s">
        <v>2835</v>
      </c>
      <c r="I415" t="s">
        <v>7390</v>
      </c>
      <c r="K415" s="146"/>
    </row>
    <row r="416" spans="1:15" x14ac:dyDescent="0.3">
      <c r="B416" s="99" t="s">
        <v>6141</v>
      </c>
      <c r="C416" s="148">
        <f>VLOOKUP(B416,$R:$U,3,FALSE)</f>
        <v>1</v>
      </c>
      <c r="D416" t="s">
        <v>2443</v>
      </c>
      <c r="E416" s="99">
        <f t="shared" si="8"/>
        <v>1</v>
      </c>
      <c r="F416" s="146" t="s">
        <v>2443</v>
      </c>
      <c r="H416" s="99" t="s">
        <v>2910</v>
      </c>
      <c r="I416" t="s">
        <v>7391</v>
      </c>
      <c r="K416" s="146"/>
    </row>
    <row r="417" spans="2:11" x14ac:dyDescent="0.3">
      <c r="B417" s="99" t="s">
        <v>7392</v>
      </c>
      <c r="C417" s="148">
        <v>0</v>
      </c>
      <c r="D417" t="s">
        <v>971</v>
      </c>
      <c r="E417" s="99">
        <f t="shared" si="8"/>
        <v>0</v>
      </c>
      <c r="F417" s="146" t="s">
        <v>971</v>
      </c>
      <c r="H417" s="99" t="s">
        <v>7393</v>
      </c>
      <c r="K417" s="146"/>
    </row>
    <row r="418" spans="2:11" x14ac:dyDescent="0.3">
      <c r="B418" s="99" t="s">
        <v>7394</v>
      </c>
      <c r="C418" s="148">
        <v>0</v>
      </c>
      <c r="D418" t="s">
        <v>2443</v>
      </c>
      <c r="E418" s="99">
        <f t="shared" si="8"/>
        <v>0</v>
      </c>
      <c r="F418" s="146" t="s">
        <v>2443</v>
      </c>
      <c r="H418" s="99" t="s">
        <v>7395</v>
      </c>
      <c r="K418" s="146"/>
    </row>
    <row r="419" spans="2:11" x14ac:dyDescent="0.3">
      <c r="B419" s="99" t="s">
        <v>6143</v>
      </c>
      <c r="C419" s="148">
        <f>VLOOKUP(B419,$R:$U,3,FALSE)</f>
        <v>3.1851823435497625E-2</v>
      </c>
      <c r="D419" t="s">
        <v>7075</v>
      </c>
      <c r="E419" s="178">
        <f>C419*365</f>
        <v>11.625915553956633</v>
      </c>
      <c r="F419" s="146" t="s">
        <v>2710</v>
      </c>
      <c r="H419" s="547" t="s">
        <v>7396</v>
      </c>
      <c r="I419" t="s">
        <v>7397</v>
      </c>
      <c r="K419" s="146"/>
    </row>
    <row r="420" spans="2:11" x14ac:dyDescent="0.3">
      <c r="B420" s="99" t="s">
        <v>6144</v>
      </c>
      <c r="C420" s="148">
        <f>VLOOKUP(B420,$R:$U,3,FALSE)</f>
        <v>2.3761460282881227E-2</v>
      </c>
      <c r="D420" t="s">
        <v>6704</v>
      </c>
      <c r="E420" s="178">
        <f>C420*365</f>
        <v>8.6729330032516483</v>
      </c>
      <c r="F420" s="146" t="s">
        <v>5323</v>
      </c>
      <c r="H420" s="547" t="s">
        <v>7398</v>
      </c>
      <c r="I420" t="s">
        <v>7397</v>
      </c>
      <c r="K420" s="146"/>
    </row>
    <row r="421" spans="2:11" x14ac:dyDescent="0.3">
      <c r="B421" s="99" t="s">
        <v>7399</v>
      </c>
      <c r="C421" s="148">
        <v>0</v>
      </c>
      <c r="D421" t="s">
        <v>6704</v>
      </c>
      <c r="E421" s="99">
        <f>C421*365</f>
        <v>0</v>
      </c>
      <c r="F421" s="146" t="s">
        <v>5323</v>
      </c>
      <c r="H421" s="99" t="s">
        <v>2897</v>
      </c>
      <c r="K421" s="146"/>
    </row>
    <row r="422" spans="2:11" x14ac:dyDescent="0.3">
      <c r="B422" s="99" t="s">
        <v>6145</v>
      </c>
      <c r="C422" s="148">
        <f t="shared" ref="C422:C428" si="9">VLOOKUP(B422,$R:$U,3,FALSE)</f>
        <v>43.729975885638247</v>
      </c>
      <c r="D422" t="s">
        <v>2268</v>
      </c>
      <c r="E422" s="164">
        <f>CONVERT(C422,"m^2","ft^2")</f>
        <v>470.70554295788645</v>
      </c>
      <c r="F422" s="146" t="s">
        <v>2267</v>
      </c>
      <c r="H422" s="149" t="s">
        <v>7400</v>
      </c>
      <c r="I422" s="150"/>
      <c r="J422" s="150"/>
      <c r="K422" s="151"/>
    </row>
    <row r="423" spans="2:11" x14ac:dyDescent="0.3">
      <c r="B423" s="99" t="s">
        <v>6146</v>
      </c>
      <c r="C423" s="148">
        <f t="shared" si="9"/>
        <v>60.667777777777751</v>
      </c>
      <c r="D423" t="s">
        <v>7401</v>
      </c>
      <c r="E423" s="178">
        <f>CONVERT(C423,"kg","ton")*365</f>
        <v>24.40929384337845</v>
      </c>
      <c r="F423" s="146" t="s">
        <v>5250</v>
      </c>
    </row>
    <row r="424" spans="2:11" x14ac:dyDescent="0.3">
      <c r="B424" s="149" t="s">
        <v>6147</v>
      </c>
      <c r="C424" s="359">
        <f t="shared" si="9"/>
        <v>0</v>
      </c>
      <c r="D424" s="150" t="s">
        <v>7401</v>
      </c>
      <c r="E424" s="718">
        <f>CONVERT(C424,"kg","ton")*365</f>
        <v>0</v>
      </c>
      <c r="F424" s="151" t="s">
        <v>5250</v>
      </c>
      <c r="G424" s="147"/>
      <c r="H424" s="171" t="s">
        <v>7153</v>
      </c>
      <c r="I424" s="142"/>
      <c r="J424" s="142"/>
      <c r="K424" s="141"/>
    </row>
    <row r="425" spans="2:11" x14ac:dyDescent="0.3">
      <c r="B425" s="99" t="s">
        <v>6148</v>
      </c>
      <c r="C425" s="148">
        <f t="shared" si="9"/>
        <v>14</v>
      </c>
      <c r="D425" s="146" t="s">
        <v>5121</v>
      </c>
      <c r="E425" s="147">
        <f>365/C425</f>
        <v>26.071428571428573</v>
      </c>
      <c r="F425" s="141" t="s">
        <v>7043</v>
      </c>
      <c r="H425" s="172" t="s">
        <v>565</v>
      </c>
      <c r="I425" s="82" t="s">
        <v>38</v>
      </c>
      <c r="J425" s="82" t="s">
        <v>565</v>
      </c>
      <c r="K425" s="173" t="s">
        <v>38</v>
      </c>
    </row>
    <row r="426" spans="2:11" x14ac:dyDescent="0.3">
      <c r="B426" s="99" t="s">
        <v>6149</v>
      </c>
      <c r="C426" s="148">
        <f t="shared" si="9"/>
        <v>94</v>
      </c>
      <c r="D426" s="146" t="s">
        <v>5689</v>
      </c>
      <c r="E426" s="166">
        <f>C426</f>
        <v>94</v>
      </c>
      <c r="F426" s="146" t="s">
        <v>5689</v>
      </c>
      <c r="H426" s="99">
        <v>1</v>
      </c>
      <c r="I426" t="s">
        <v>2358</v>
      </c>
      <c r="J426">
        <v>1.10231E-3</v>
      </c>
      <c r="K426" s="146" t="s">
        <v>2537</v>
      </c>
    </row>
    <row r="427" spans="2:11" x14ac:dyDescent="0.3">
      <c r="B427" s="99" t="s">
        <v>6077</v>
      </c>
      <c r="C427" s="148">
        <f t="shared" si="9"/>
        <v>0.12502609197119774</v>
      </c>
      <c r="D427" s="146" t="s">
        <v>6087</v>
      </c>
      <c r="E427" s="166">
        <f>C427*E425</f>
        <v>3.2596088263919412</v>
      </c>
      <c r="F427" s="146" t="s">
        <v>7135</v>
      </c>
      <c r="H427" s="99"/>
      <c r="K427" s="146"/>
    </row>
    <row r="428" spans="2:11" x14ac:dyDescent="0.3">
      <c r="B428" s="149" t="s">
        <v>6075</v>
      </c>
      <c r="C428" s="756">
        <f t="shared" si="9"/>
        <v>3.0228745641005257E-2</v>
      </c>
      <c r="D428" s="151" t="s">
        <v>6085</v>
      </c>
      <c r="E428" s="757">
        <f>C428*E425</f>
        <v>0.78810658278335144</v>
      </c>
      <c r="F428" s="151" t="s">
        <v>2710</v>
      </c>
      <c r="H428" s="149"/>
      <c r="I428" s="150"/>
      <c r="J428" s="150"/>
      <c r="K428" s="151"/>
    </row>
    <row r="429" spans="2:11" x14ac:dyDescent="0.3">
      <c r="B429" s="99"/>
      <c r="C429" s="78"/>
      <c r="E429" s="99"/>
      <c r="F429" s="146"/>
    </row>
    <row r="430" spans="2:11" x14ac:dyDescent="0.3">
      <c r="B430" s="92" t="s">
        <v>6996</v>
      </c>
      <c r="C430" s="78"/>
      <c r="E430" s="99"/>
      <c r="F430" s="146"/>
    </row>
    <row r="431" spans="2:11" x14ac:dyDescent="0.3">
      <c r="B431" s="143" t="s">
        <v>2663</v>
      </c>
      <c r="C431" s="144"/>
      <c r="D431" s="144"/>
      <c r="E431" s="143" t="s">
        <v>565</v>
      </c>
      <c r="F431" s="145" t="s">
        <v>6944</v>
      </c>
    </row>
    <row r="432" spans="2:11" x14ac:dyDescent="0.3">
      <c r="B432" s="99" t="s">
        <v>7393</v>
      </c>
      <c r="D432" s="146"/>
      <c r="E432">
        <v>0</v>
      </c>
      <c r="F432" s="146" t="s">
        <v>7208</v>
      </c>
    </row>
    <row r="433" spans="1:15" x14ac:dyDescent="0.3">
      <c r="B433" s="99" t="s">
        <v>7076</v>
      </c>
      <c r="D433" s="146"/>
      <c r="E433" s="525">
        <f>UDV.electricity.avg_cost</f>
        <v>6.8591666666666662E-2</v>
      </c>
      <c r="F433" s="146" t="s">
        <v>2306</v>
      </c>
    </row>
    <row r="434" spans="1:15" x14ac:dyDescent="0.3">
      <c r="B434" s="99" t="s">
        <v>6997</v>
      </c>
      <c r="D434" s="146"/>
      <c r="E434" s="346">
        <f>UDV.fuel.diesel_avg_cost</f>
        <v>3.6964905660377356</v>
      </c>
      <c r="F434" s="146" t="s">
        <v>2315</v>
      </c>
    </row>
    <row r="435" spans="1:15" x14ac:dyDescent="0.3">
      <c r="B435" s="99" t="s">
        <v>6998</v>
      </c>
      <c r="D435" s="146"/>
      <c r="E435" s="156">
        <f>UDV.labor.non_specialized_cost</f>
        <v>23.66</v>
      </c>
      <c r="F435" s="146" t="s">
        <v>3659</v>
      </c>
    </row>
    <row r="436" spans="1:15" x14ac:dyDescent="0.3">
      <c r="B436" s="149" t="s">
        <v>7077</v>
      </c>
      <c r="C436" s="150"/>
      <c r="D436" s="151"/>
      <c r="E436" s="349">
        <f>UDV.labor.specialized_cost</f>
        <v>48.82</v>
      </c>
      <c r="F436" s="151" t="s">
        <v>3659</v>
      </c>
    </row>
    <row r="437" spans="1:15" x14ac:dyDescent="0.3">
      <c r="D437" s="199"/>
    </row>
    <row r="438" spans="1:15" ht="43.2" x14ac:dyDescent="0.3">
      <c r="B438" s="361" t="s">
        <v>6946</v>
      </c>
      <c r="C438" s="362" t="s">
        <v>6947</v>
      </c>
      <c r="D438" s="362" t="s">
        <v>6948</v>
      </c>
      <c r="E438" s="362" t="s">
        <v>6949</v>
      </c>
      <c r="F438" s="362" t="s">
        <v>6950</v>
      </c>
      <c r="G438" s="362" t="s">
        <v>6951</v>
      </c>
      <c r="H438" s="362" t="s">
        <v>6952</v>
      </c>
      <c r="I438" s="362" t="s">
        <v>6953</v>
      </c>
      <c r="J438" s="362" t="s">
        <v>6954</v>
      </c>
      <c r="K438" s="362" t="s">
        <v>6955</v>
      </c>
      <c r="L438" s="362" t="s">
        <v>6956</v>
      </c>
      <c r="M438" s="140" t="s">
        <v>6957</v>
      </c>
      <c r="N438" s="140" t="s">
        <v>6958</v>
      </c>
      <c r="O438" s="363" t="s">
        <v>6959</v>
      </c>
    </row>
    <row r="439" spans="1:15" x14ac:dyDescent="0.3">
      <c r="A439" t="s">
        <v>7402</v>
      </c>
      <c r="B439" s="99" t="s">
        <v>7388</v>
      </c>
      <c r="C439" s="158" cm="1">
        <f t="array" ref="C439">_xlfn.IFS(E413=32,VLOOKUP("Slope screen, 32 ft2Default",Econ.Tables!$C:$F,2,FALSE),E413=64,VLOOKUP("Slope screen, 64 ft2Default",Econ.Tables!$C:$F,2,FALSE),E413=96,VLOOKUP("Slope screen, 96 ft2Default",Econ.Tables!$C:$F,2,FALSE))*E414</f>
        <v>24400</v>
      </c>
      <c r="D439">
        <f>VLOOKUP("CAPEXLifetimeSlope screenDefault",Econ.inputsTable!$E:$I,2,FALSE)</f>
        <v>15</v>
      </c>
      <c r="E439" s="148">
        <f>E419</f>
        <v>11.625915553956633</v>
      </c>
      <c r="F439" s="42" t="s">
        <v>2852</v>
      </c>
      <c r="G439" s="154">
        <f>VLOOKUP("CAPEXAnnual usage on activityItems that are used only on the given activityDefault",Econ.inputsTable!$E:$I,2,FALSE)</f>
        <v>1</v>
      </c>
      <c r="H439" s="503">
        <f t="shared" ref="H439:H447" si="10">UDV.econ_capital.interest_rate</f>
        <v>5.0999999999999997E-2</v>
      </c>
      <c r="I439" s="154">
        <f>VLOOKUP("CAPEXSalvageSlope screenDefault", Econ.inputsTable!$E:$I,2,FALSE)</f>
        <v>0.03</v>
      </c>
      <c r="J439" s="153">
        <f t="shared" ref="J439:J447" si="11">C439*I439</f>
        <v>732</v>
      </c>
      <c r="K439" s="154">
        <f>VLOOKUP("CAPEXFinanced amountNADefault", Econ.inputsTable!$E:$I,2,FALSE)</f>
        <v>1</v>
      </c>
      <c r="L439" s="364">
        <f t="shared" ref="L439:L447" si="12">H439*K439</f>
        <v>5.0999999999999997E-2</v>
      </c>
      <c r="M439" s="351">
        <f t="shared" ref="M439:M447" si="13">L439/(1-(1+L439)^-D439)</f>
        <v>9.6994593888520206E-2</v>
      </c>
      <c r="N439" s="153">
        <f t="shared" ref="N439:N447" si="14">((C439-J439)*M439)+(J439*L439)</f>
        <v>2333.0000481534962</v>
      </c>
      <c r="O439" s="157">
        <f t="shared" ref="O439:O447" si="15">G439*N439</f>
        <v>2333.0000481534962</v>
      </c>
    </row>
    <row r="440" spans="1:15" x14ac:dyDescent="0.3">
      <c r="A440" t="s">
        <v>7402</v>
      </c>
      <c r="B440" s="99" t="s">
        <v>7389</v>
      </c>
      <c r="C440" s="153">
        <f>VLOOKUP(_xlfn.CONCAT("Motor, ", E415, " hpDefault"), Econ.Tables!C:E, 2, FALSE)*E416</f>
        <v>680</v>
      </c>
      <c r="D440">
        <f>VLOOKUP("CAPEXLifetimeMotorDefault",Econ.inputsTable!$E:$H,2,FALSE)</f>
        <v>20</v>
      </c>
      <c r="E440" s="148">
        <f>E419</f>
        <v>11.625915553956633</v>
      </c>
      <c r="F440" s="42" t="s">
        <v>2852</v>
      </c>
      <c r="G440" s="154">
        <f>VLOOKUP("CAPEXAnnual usage on activityItems that are used only on the given activityDefault",Econ.inputsTable!$E:$I,2,FALSE)</f>
        <v>1</v>
      </c>
      <c r="H440" s="503">
        <f t="shared" si="10"/>
        <v>5.0999999999999997E-2</v>
      </c>
      <c r="I440" s="154">
        <f>VLOOKUP("CAPEXSalvageEquipmentDefault",Econ.inputsTable!$E:$I,2,FALSE)</f>
        <v>0.2</v>
      </c>
      <c r="J440" s="153">
        <f t="shared" si="11"/>
        <v>136</v>
      </c>
      <c r="K440" s="154">
        <f>VLOOKUP("CAPEXFinanced amountNADefault", Econ.inputsTable!$E:$I,2,FALSE)</f>
        <v>1</v>
      </c>
      <c r="L440" s="364">
        <f t="shared" si="12"/>
        <v>5.0999999999999997E-2</v>
      </c>
      <c r="M440" s="351">
        <f t="shared" si="13"/>
        <v>8.0924368970045152E-2</v>
      </c>
      <c r="N440" s="153">
        <f t="shared" si="14"/>
        <v>50.958856719704563</v>
      </c>
      <c r="O440" s="157">
        <f t="shared" si="15"/>
        <v>50.958856719704563</v>
      </c>
    </row>
    <row r="441" spans="1:15" x14ac:dyDescent="0.3">
      <c r="A441" t="s">
        <v>7402</v>
      </c>
      <c r="B441" s="99" t="s">
        <v>2835</v>
      </c>
      <c r="C441" s="158">
        <f>VLOOKUP("CAPEXAccessory equipmentSlope screenDefault",Econ.inputsTable!$E:$G,2,FALSE)*C439</f>
        <v>26840.000000000004</v>
      </c>
      <c r="D441">
        <f>VLOOKUP("CAPEXLifetimeEquipmentDefault",Econ.inputsTable!$E:$I,2,FALSE)</f>
        <v>10</v>
      </c>
      <c r="E441" s="42" t="s">
        <v>2852</v>
      </c>
      <c r="F441" s="42" t="s">
        <v>2852</v>
      </c>
      <c r="G441" s="154">
        <f>VLOOKUP("CAPEXAnnual usage on activityItems that are used only on the given activityDefault",Econ.inputsTable!$E:$I,2,FALSE)</f>
        <v>1</v>
      </c>
      <c r="H441" s="503">
        <f t="shared" si="10"/>
        <v>5.0999999999999997E-2</v>
      </c>
      <c r="I441" s="154">
        <f>VLOOKUP("CAPEXSalvageEquipmentDefault", Econ.inputsTable!$E:$I,2,FALSE)</f>
        <v>0.2</v>
      </c>
      <c r="J441" s="153">
        <f t="shared" si="11"/>
        <v>5368.0000000000009</v>
      </c>
      <c r="K441" s="154">
        <f>VLOOKUP("CAPEXFinanced amountNADefault", Econ.inputsTable!$E:$I,2,FALSE)</f>
        <v>1</v>
      </c>
      <c r="L441" s="364">
        <f t="shared" si="12"/>
        <v>5.0999999999999997E-2</v>
      </c>
      <c r="M441" s="351">
        <f t="shared" si="13"/>
        <v>0.13013423257204779</v>
      </c>
      <c r="N441" s="153">
        <f t="shared" si="14"/>
        <v>3068.0102417870107</v>
      </c>
      <c r="O441" s="157">
        <f t="shared" si="15"/>
        <v>3068.0102417870107</v>
      </c>
    </row>
    <row r="442" spans="1:15" x14ac:dyDescent="0.3">
      <c r="A442" t="s">
        <v>7402</v>
      </c>
      <c r="B442" s="99" t="s">
        <v>2910</v>
      </c>
      <c r="C442" s="153">
        <f>(VLOOKUP("CAPEXInstallationSlope screenDefault", Econ.inputsTable!$E:$G,2,FALSE))*C439</f>
        <v>1708.0000000000002</v>
      </c>
      <c r="D442">
        <f>VLOOKUP("CAPEXLifetimeBuildings and constructionDefault",Econ.inputsTable!$E:$I,2,FALSE)</f>
        <v>20</v>
      </c>
      <c r="E442" s="42" t="s">
        <v>2852</v>
      </c>
      <c r="F442" s="42" t="s">
        <v>2852</v>
      </c>
      <c r="G442" s="154">
        <f>VLOOKUP("CAPEXAnnual usage on activityItems that are used only on the given activityDefault",Econ.inputsTable!$E:$I,2,FALSE)</f>
        <v>1</v>
      </c>
      <c r="H442" s="503">
        <f t="shared" si="10"/>
        <v>5.0999999999999997E-2</v>
      </c>
      <c r="I442" s="154">
        <f>VLOOKUP("CAPEXSalvageBuildings and constructionDefault", Econ.inputsTable!$E:$I,2,FALSE)</f>
        <v>0</v>
      </c>
      <c r="J442" s="153">
        <f t="shared" si="11"/>
        <v>0</v>
      </c>
      <c r="K442" s="154">
        <f>VLOOKUP("CAPEXFinanced amountNADefault", Econ.inputsTable!$E:$I,2,FALSE)</f>
        <v>1</v>
      </c>
      <c r="L442" s="364">
        <f t="shared" si="12"/>
        <v>5.0999999999999997E-2</v>
      </c>
      <c r="M442" s="351">
        <f t="shared" si="13"/>
        <v>8.0924368970045152E-2</v>
      </c>
      <c r="N442" s="153">
        <f t="shared" si="14"/>
        <v>138.21882220083714</v>
      </c>
      <c r="O442" s="157">
        <f t="shared" si="15"/>
        <v>138.21882220083714</v>
      </c>
    </row>
    <row r="443" spans="1:15" x14ac:dyDescent="0.3">
      <c r="A443" t="s">
        <v>7403</v>
      </c>
      <c r="B443" s="99" t="s">
        <v>7393</v>
      </c>
      <c r="C443" s="153">
        <f>IF(E432=1,UDV.econ_build.covered_building_cost*UDV.econ_build.covered_building_size,0)</f>
        <v>0</v>
      </c>
      <c r="D443">
        <f>VLOOKUP("CAPEXLifetimeBuildings and constructionDefault",Econ.inputsTable!$E:$I,2,FALSE)</f>
        <v>20</v>
      </c>
      <c r="E443" s="42" t="s">
        <v>2852</v>
      </c>
      <c r="F443" s="42" t="s">
        <v>2852</v>
      </c>
      <c r="G443" s="154">
        <f>VLOOKUP("CAPEXAnnual usage on activityItems that are used only on the given activityDefault",Econ.inputsTable!$E:$I,2,FALSE)</f>
        <v>1</v>
      </c>
      <c r="H443" s="503">
        <f t="shared" si="10"/>
        <v>5.0999999999999997E-2</v>
      </c>
      <c r="I443" s="154">
        <f>VLOOKUP("CAPEXSalvageBuildings and constructionDefault", Econ.inputsTable!$E:$I,2,FALSE)</f>
        <v>0</v>
      </c>
      <c r="J443" s="153">
        <f t="shared" si="11"/>
        <v>0</v>
      </c>
      <c r="K443" s="154">
        <f>VLOOKUP("CAPEXFinanced amountNADefault", Econ.inputsTable!$E:$I,2,FALSE)</f>
        <v>1</v>
      </c>
      <c r="L443" s="364">
        <f t="shared" si="12"/>
        <v>5.0999999999999997E-2</v>
      </c>
      <c r="M443" s="351">
        <f t="shared" si="13"/>
        <v>8.0924368970045152E-2</v>
      </c>
      <c r="N443" s="153">
        <f t="shared" si="14"/>
        <v>0</v>
      </c>
      <c r="O443" s="157">
        <f t="shared" si="15"/>
        <v>0</v>
      </c>
    </row>
    <row r="444" spans="1:15" x14ac:dyDescent="0.3">
      <c r="A444" t="s">
        <v>7403</v>
      </c>
      <c r="B444" s="99" t="s">
        <v>7395</v>
      </c>
      <c r="C444" s="153">
        <f>VLOOKUP("Concrete slab, no side wallsDefault",Econ.Tables!$C:$E,2,FALSE)*E422</f>
        <v>4471.7026580999209</v>
      </c>
      <c r="D444">
        <f>VLOOKUP("CAPEXLifetimeBuildings and constructionDefault",Econ.inputsTable!$E:$I,2,FALSE)</f>
        <v>20</v>
      </c>
      <c r="E444" s="42" t="s">
        <v>2852</v>
      </c>
      <c r="F444" s="42" t="s">
        <v>2852</v>
      </c>
      <c r="G444" s="154">
        <f>VLOOKUP("CAPEXAnnual usage on activityItems that are used only on the given activityDefault",Econ.inputsTable!$E:$I,2,FALSE)</f>
        <v>1</v>
      </c>
      <c r="H444" s="503">
        <f t="shared" si="10"/>
        <v>5.0999999999999997E-2</v>
      </c>
      <c r="I444" s="154">
        <f>VLOOKUP("CAPEXSalvageBuildings and constructionDefault", Econ.inputsTable!$E:$I,2,FALSE)</f>
        <v>0</v>
      </c>
      <c r="J444" s="153">
        <f t="shared" si="11"/>
        <v>0</v>
      </c>
      <c r="K444" s="154">
        <f>VLOOKUP("CAPEXFinanced amountNADefault", Econ.inputsTable!$E:$I,2,FALSE)</f>
        <v>1</v>
      </c>
      <c r="L444" s="364">
        <f t="shared" si="12"/>
        <v>5.0999999999999997E-2</v>
      </c>
      <c r="M444" s="351">
        <f t="shared" si="13"/>
        <v>8.0924368970045152E-2</v>
      </c>
      <c r="N444" s="153">
        <f t="shared" si="14"/>
        <v>361.86971582840965</v>
      </c>
      <c r="O444" s="157">
        <f t="shared" si="15"/>
        <v>361.86971582840965</v>
      </c>
    </row>
    <row r="445" spans="1:15" x14ac:dyDescent="0.3">
      <c r="A445" t="s">
        <v>7402</v>
      </c>
      <c r="B445" s="99" t="s">
        <v>7396</v>
      </c>
      <c r="C445" s="153">
        <f>VLOOKUP("ConveyorDefault",Econ.Tables!$C:$E,2,FALSE)*E418</f>
        <v>0</v>
      </c>
      <c r="D445">
        <f>VLOOKUP("CAPEXLifetimeConveyorDefault",Econ.inputsTable!$E:$I,2,FALSE)</f>
        <v>20</v>
      </c>
      <c r="E445" s="148">
        <f>E419</f>
        <v>11.625915553956633</v>
      </c>
      <c r="F445" s="42" t="s">
        <v>2852</v>
      </c>
      <c r="G445" s="154">
        <f>VLOOKUP("CAPEXAnnual usage on activityItems that are used only on the given activityDefault",Econ.inputsTable!$E:$I,2,FALSE)</f>
        <v>1</v>
      </c>
      <c r="H445" s="503">
        <f t="shared" si="10"/>
        <v>5.0999999999999997E-2</v>
      </c>
      <c r="I445" s="154">
        <f>VLOOKUP("CAPEXSalvageEquipmentDefault",Econ.inputsTable!$E:$I,2,FALSE)</f>
        <v>0.2</v>
      </c>
      <c r="J445" s="153">
        <f t="shared" si="11"/>
        <v>0</v>
      </c>
      <c r="K445" s="154">
        <f>VLOOKUP("CAPEXFinanced amountNADefault", Econ.inputsTable!$E:$I,2,FALSE)</f>
        <v>1</v>
      </c>
      <c r="L445" s="364">
        <f t="shared" si="12"/>
        <v>5.0999999999999997E-2</v>
      </c>
      <c r="M445" s="351">
        <f t="shared" si="13"/>
        <v>8.0924368970045152E-2</v>
      </c>
      <c r="N445" s="153">
        <f t="shared" si="14"/>
        <v>0</v>
      </c>
      <c r="O445" s="157">
        <f t="shared" si="15"/>
        <v>0</v>
      </c>
    </row>
    <row r="446" spans="1:15" x14ac:dyDescent="0.3">
      <c r="A446" t="s">
        <v>7402</v>
      </c>
      <c r="B446" s="99" t="s">
        <v>7404</v>
      </c>
      <c r="C446" s="153">
        <v>0</v>
      </c>
      <c r="D446">
        <f>VLOOKUP("CAPEXLifetimeMotorDefault",Econ.inputsTable!$E:$H,2,FALSE)</f>
        <v>20</v>
      </c>
      <c r="E446" s="148">
        <f>E419</f>
        <v>11.625915553956633</v>
      </c>
      <c r="F446" s="42" t="s">
        <v>2852</v>
      </c>
      <c r="G446" s="154">
        <f>VLOOKUP("CAPEXAnnual usage on activityItems that are used only on the given activityDefault",Econ.inputsTable!$E:$I,2,FALSE)</f>
        <v>1</v>
      </c>
      <c r="H446" s="503">
        <f t="shared" si="10"/>
        <v>5.0999999999999997E-2</v>
      </c>
      <c r="I446" s="154">
        <f>VLOOKUP("CAPEXSalvageEquipmentDefault",Econ.inputsTable!$E:$I,2,FALSE)</f>
        <v>0.2</v>
      </c>
      <c r="J446" s="153">
        <f t="shared" si="11"/>
        <v>0</v>
      </c>
      <c r="K446" s="154">
        <f>VLOOKUP("CAPEXFinanced amountNADefault", Econ.inputsTable!$E:$I,2,FALSE)</f>
        <v>1</v>
      </c>
      <c r="L446" s="364">
        <f t="shared" si="12"/>
        <v>5.0999999999999997E-2</v>
      </c>
      <c r="M446" s="351">
        <f t="shared" si="13"/>
        <v>8.0924368970045152E-2</v>
      </c>
      <c r="N446" s="153">
        <f t="shared" si="14"/>
        <v>0</v>
      </c>
      <c r="O446" s="157">
        <f t="shared" si="15"/>
        <v>0</v>
      </c>
    </row>
    <row r="447" spans="1:15" x14ac:dyDescent="0.3">
      <c r="A447" t="s">
        <v>7402</v>
      </c>
      <c r="B447" s="99" t="s">
        <v>2897</v>
      </c>
      <c r="C447" s="153">
        <f>VLOOKUP("CAPEXEngineering designTechnologiesDefault",Econ.inputsTable!$E:$I,2,FALSE)*SUM(C439:C446)</f>
        <v>8714.9553987149884</v>
      </c>
      <c r="D447">
        <f>VLOOKUP("CAPEXLifetimeBuildings and constructionDefault",Econ.inputsTable!$E:$I,2,FALSE)</f>
        <v>20</v>
      </c>
      <c r="E447" s="42" t="s">
        <v>2852</v>
      </c>
      <c r="F447" s="42" t="s">
        <v>2852</v>
      </c>
      <c r="G447" s="154">
        <f>VLOOKUP("CAPEXAnnual usage on activityItems that are used only on the given activityDefault",Econ.inputsTable!$E:$I,2,FALSE)</f>
        <v>1</v>
      </c>
      <c r="H447" s="503">
        <f t="shared" si="10"/>
        <v>5.0999999999999997E-2</v>
      </c>
      <c r="I447" s="154">
        <f>VLOOKUP("CAPEXSalvageBuildings and constructionDefault", Econ.inputsTable!$E:$I,2,FALSE)</f>
        <v>0</v>
      </c>
      <c r="J447" s="153">
        <f t="shared" si="11"/>
        <v>0</v>
      </c>
      <c r="K447" s="154">
        <f>VLOOKUP("CAPEXFinanced amountNADefault", Econ.inputsTable!$E:$I,2,FALSE)</f>
        <v>1</v>
      </c>
      <c r="L447" s="364">
        <f t="shared" si="12"/>
        <v>5.0999999999999997E-2</v>
      </c>
      <c r="M447" s="351">
        <f t="shared" si="13"/>
        <v>8.0924368970045152E-2</v>
      </c>
      <c r="N447" s="153">
        <f t="shared" si="14"/>
        <v>705.25226624309869</v>
      </c>
      <c r="O447" s="157">
        <f t="shared" si="15"/>
        <v>705.25226624309869</v>
      </c>
    </row>
    <row r="448" spans="1:15" s="90" customFormat="1" x14ac:dyDescent="0.3">
      <c r="A448" t="s">
        <v>7402</v>
      </c>
      <c r="B448" s="235" t="s">
        <v>7405</v>
      </c>
      <c r="C448" s="199" t="s">
        <v>7406</v>
      </c>
      <c r="D448" s="42"/>
      <c r="E448" s="42"/>
      <c r="F448" s="214"/>
      <c r="G448" s="538"/>
      <c r="H448" s="503"/>
      <c r="I448" s="503"/>
      <c r="J448" s="153"/>
      <c r="K448" s="154"/>
      <c r="L448" s="719"/>
      <c r="M448" s="351"/>
      <c r="N448" s="153"/>
      <c r="O448" s="157"/>
    </row>
    <row r="449" spans="1:15" x14ac:dyDescent="0.3">
      <c r="B449" s="99"/>
      <c r="O449" s="146"/>
    </row>
    <row r="450" spans="1:15" x14ac:dyDescent="0.3">
      <c r="B450" s="99"/>
      <c r="C450" s="82" t="s">
        <v>7009</v>
      </c>
      <c r="D450" s="82" t="s">
        <v>6963</v>
      </c>
      <c r="O450" s="146"/>
    </row>
    <row r="451" spans="1:15" x14ac:dyDescent="0.3">
      <c r="A451" t="s">
        <v>2847</v>
      </c>
      <c r="B451" s="99" t="s">
        <v>6964</v>
      </c>
      <c r="C451" s="153">
        <f>SUM(C439:C447)</f>
        <v>66814.658056814907</v>
      </c>
      <c r="D451" s="153">
        <f>SUMPRODUCT(C439:C447,G439:G447)</f>
        <v>66814.658056814907</v>
      </c>
      <c r="O451" s="146"/>
    </row>
    <row r="452" spans="1:15" x14ac:dyDescent="0.3">
      <c r="A452" t="s">
        <v>2847</v>
      </c>
      <c r="B452" s="149" t="s">
        <v>6965</v>
      </c>
      <c r="C452" s="159">
        <f>SUM(N439:N447)</f>
        <v>6657.3099509325566</v>
      </c>
      <c r="D452" s="159">
        <f>SUMPRODUCT(N439:N447,G439:G447)</f>
        <v>6657.3099509325566</v>
      </c>
      <c r="E452" s="150"/>
      <c r="F452" s="150"/>
      <c r="G452" s="150"/>
      <c r="H452" s="150"/>
      <c r="I452" s="150"/>
      <c r="J452" s="150"/>
      <c r="K452" s="150"/>
      <c r="L452" s="150"/>
      <c r="M452" s="150"/>
      <c r="N452" s="150"/>
      <c r="O452" s="151"/>
    </row>
    <row r="453" spans="1:15" x14ac:dyDescent="0.3">
      <c r="B453" s="99"/>
      <c r="O453" s="146"/>
    </row>
    <row r="454" spans="1:15" ht="43.2" x14ac:dyDescent="0.3">
      <c r="B454" s="160" t="s">
        <v>6966</v>
      </c>
      <c r="C454" s="152" t="s">
        <v>6967</v>
      </c>
      <c r="D454" s="152" t="s">
        <v>6968</v>
      </c>
      <c r="E454" s="152" t="s">
        <v>6969</v>
      </c>
      <c r="F454" s="152" t="s">
        <v>6970</v>
      </c>
      <c r="G454" s="152" t="s">
        <v>6971</v>
      </c>
      <c r="H454" s="152" t="s">
        <v>6972</v>
      </c>
      <c r="I454" s="152" t="s">
        <v>6973</v>
      </c>
      <c r="J454" s="152" t="s">
        <v>6974</v>
      </c>
      <c r="K454" s="152" t="s">
        <v>6975</v>
      </c>
      <c r="L454" s="152" t="s">
        <v>6976</v>
      </c>
      <c r="M454" s="152" t="s">
        <v>6977</v>
      </c>
      <c r="N454" s="152" t="s">
        <v>6978</v>
      </c>
      <c r="O454" s="161" t="s">
        <v>6979</v>
      </c>
    </row>
    <row r="455" spans="1:15" x14ac:dyDescent="0.3">
      <c r="B455" s="99" t="s">
        <v>7388</v>
      </c>
      <c r="C455" s="155">
        <f>VLOOKUP("OPEXInsuranceEverythingDefault",Econ.inputsTable!$E:$I,2,FALSE)</f>
        <v>5.0000000000000001E-3</v>
      </c>
      <c r="D455" s="155">
        <f>VLOOKUP("OPEXRepair and maintenanceSlope screenDefault",Econ.inputsTable!$E:$I,2,FALSE)</f>
        <v>0.03</v>
      </c>
      <c r="E455" s="153"/>
      <c r="K455">
        <f>VLOOKUP("OPEXLaborSlope screenDefault",Econ.inputsTable!$E:$G,2,FALSE)*E414</f>
        <v>5</v>
      </c>
      <c r="L455" s="153">
        <f>K455*E435</f>
        <v>118.3</v>
      </c>
      <c r="O455" s="167">
        <f>(SUM(C455:D455)*C439*G439)+SUM(E455,I455,K455)</f>
        <v>858.99999999999989</v>
      </c>
    </row>
    <row r="456" spans="1:15" x14ac:dyDescent="0.3">
      <c r="B456" s="99" t="s">
        <v>7389</v>
      </c>
      <c r="C456" s="155">
        <f>VLOOKUP("OPEXInsuranceEverythingDefault",Econ.inputsTable!$E:$I,2,FALSE)</f>
        <v>5.0000000000000001E-3</v>
      </c>
      <c r="D456" s="155">
        <f>VLOOKUP("OPEXRepair and maintenanceEquipmentDefault",Econ.inputsTable!$E:$I,2,FALSE)</f>
        <v>0.03</v>
      </c>
      <c r="E456" s="720"/>
      <c r="F456" s="147">
        <f>E420</f>
        <v>8.6729330032516483</v>
      </c>
      <c r="G456" s="156">
        <f>F456*E433</f>
        <v>0.59489092958136924</v>
      </c>
      <c r="O456" s="167">
        <f>(SUM(C456:D456)*C440*G440)+SUM(E456,I456,K456)</f>
        <v>23.799999999999997</v>
      </c>
    </row>
    <row r="457" spans="1:15" x14ac:dyDescent="0.3">
      <c r="B457" s="99" t="s">
        <v>7395</v>
      </c>
      <c r="C457" s="155">
        <f>VLOOKUP("OPEXInsuranceEverythingDefault",Econ.inputsTable!$E:$I,2,FALSE)</f>
        <v>5.0000000000000001E-3</v>
      </c>
      <c r="D457" s="155">
        <f>VLOOKUP("OPEXRepair and maintenanceBuildings and constructionDefault",Econ.inputsTable!$E:$I,2,FALSE)</f>
        <v>0.01</v>
      </c>
      <c r="F457" s="147"/>
      <c r="O457" s="167">
        <f>(SUM(C457:D457)*C444*G444)+SUM(E457,I457,K457)</f>
        <v>67.075539871498805</v>
      </c>
    </row>
    <row r="458" spans="1:15" x14ac:dyDescent="0.3">
      <c r="B458" s="99" t="s">
        <v>7396</v>
      </c>
      <c r="C458" s="155">
        <f>VLOOKUP("OPEXInsuranceEverythingDefault",Econ.inputsTable!$E:$I,2,FALSE)</f>
        <v>5.0000000000000001E-3</v>
      </c>
      <c r="D458" s="155">
        <f>VLOOKUP("OPEXRepair and maintenanceEquipmentDefault",Econ.inputsTable!$E:$I,2,FALSE)</f>
        <v>0.03</v>
      </c>
      <c r="E458" s="153"/>
      <c r="F458" s="147"/>
      <c r="O458" s="167">
        <f>(SUM(C458:D458)*C445*G445)+SUM(E458,I458,K458)</f>
        <v>0</v>
      </c>
    </row>
    <row r="459" spans="1:15" x14ac:dyDescent="0.3">
      <c r="B459" s="99" t="s">
        <v>7404</v>
      </c>
      <c r="C459" s="155">
        <f>VLOOKUP("OPEXInsuranceEverythingDefault",Econ.inputsTable!$E:$I,2,FALSE)</f>
        <v>5.0000000000000001E-3</v>
      </c>
      <c r="D459" s="155">
        <f>VLOOKUP("OPEXRepair and maintenanceEquipmentDefault",Econ.inputsTable!$E:$I,2,FALSE)</f>
        <v>0.03</v>
      </c>
      <c r="E459" s="720"/>
      <c r="F459" s="147"/>
      <c r="O459" s="167">
        <f>(SUM(C459:D459)*C446*G446)+SUM(E459,I459,K459)</f>
        <v>0</v>
      </c>
    </row>
    <row r="460" spans="1:15" s="90" customFormat="1" x14ac:dyDescent="0.3">
      <c r="A460" t="s">
        <v>2847</v>
      </c>
      <c r="B460" s="235" t="s">
        <v>7405</v>
      </c>
      <c r="C460" s="721" t="s">
        <v>7407</v>
      </c>
      <c r="D460" s="263"/>
      <c r="F460" s="418"/>
      <c r="G460"/>
      <c r="H460" s="418">
        <f>E427</f>
        <v>3.2596088263919412</v>
      </c>
      <c r="I460" s="722">
        <f>H460*E434</f>
        <v>12.049113275731147</v>
      </c>
      <c r="J460" s="229">
        <f>I460*VLOOKUP("OPEXLubeLubeDefault",Econ.inputsTable!$E:$H,2,FALSE)</f>
        <v>1.2049113275731147</v>
      </c>
      <c r="K460" s="418">
        <f>E428</f>
        <v>0.78810658278335144</v>
      </c>
      <c r="L460" s="373">
        <f>K460*E435</f>
        <v>18.646601748654096</v>
      </c>
      <c r="O460" s="167">
        <f>SUM(I460,J460,L460,N460)</f>
        <v>31.900626351958358</v>
      </c>
    </row>
    <row r="461" spans="1:15" x14ac:dyDescent="0.3">
      <c r="A461" t="s">
        <v>2847</v>
      </c>
      <c r="B461" s="162" t="s">
        <v>5203</v>
      </c>
      <c r="C461" s="241"/>
      <c r="D461" s="241"/>
      <c r="E461" s="367">
        <f t="shared" ref="E461:O461" si="16">SUM(E455:E460)</f>
        <v>0</v>
      </c>
      <c r="F461" s="541">
        <f t="shared" si="16"/>
        <v>8.6729330032516483</v>
      </c>
      <c r="G461" s="367">
        <f t="shared" si="16"/>
        <v>0.59489092958136924</v>
      </c>
      <c r="H461" s="541">
        <f t="shared" si="16"/>
        <v>3.2596088263919412</v>
      </c>
      <c r="I461" s="367">
        <f t="shared" si="16"/>
        <v>12.049113275731147</v>
      </c>
      <c r="J461" s="367">
        <f t="shared" si="16"/>
        <v>1.2049113275731147</v>
      </c>
      <c r="K461" s="541">
        <f t="shared" si="16"/>
        <v>5.7881065827833513</v>
      </c>
      <c r="L461" s="367">
        <f t="shared" si="16"/>
        <v>136.9466017486541</v>
      </c>
      <c r="M461" s="537">
        <f t="shared" si="16"/>
        <v>0</v>
      </c>
      <c r="N461" s="367">
        <f t="shared" si="16"/>
        <v>0</v>
      </c>
      <c r="O461" s="169">
        <f t="shared" si="16"/>
        <v>981.77616622345704</v>
      </c>
    </row>
    <row r="462" spans="1:15" x14ac:dyDescent="0.3">
      <c r="B462" s="99"/>
      <c r="C462" s="148"/>
      <c r="D462" s="155"/>
      <c r="E462" s="155"/>
      <c r="F462" s="158"/>
      <c r="G462" s="154"/>
      <c r="H462" s="156"/>
      <c r="I462" s="153"/>
      <c r="O462" s="146"/>
    </row>
    <row r="463" spans="1:15" x14ac:dyDescent="0.3">
      <c r="A463" t="s">
        <v>2847</v>
      </c>
      <c r="B463" s="149" t="s">
        <v>6980</v>
      </c>
      <c r="C463" s="234">
        <f>O461</f>
        <v>981.77616622345704</v>
      </c>
      <c r="D463" s="150"/>
      <c r="E463" s="150"/>
      <c r="F463" s="150"/>
      <c r="G463" s="150"/>
      <c r="H463" s="150"/>
      <c r="I463" s="150"/>
      <c r="J463" s="150"/>
      <c r="K463" s="150"/>
      <c r="L463" s="150"/>
      <c r="M463" s="150"/>
      <c r="N463" s="150"/>
      <c r="O463" s="151"/>
    </row>
    <row r="464" spans="1:15" ht="15" thickBot="1" x14ac:dyDescent="0.35">
      <c r="A464" s="137"/>
      <c r="B464" s="137"/>
      <c r="C464" s="137"/>
      <c r="D464" s="137"/>
      <c r="E464" s="137"/>
      <c r="F464" s="137"/>
      <c r="G464" s="137"/>
      <c r="H464" s="137"/>
      <c r="I464" s="137"/>
      <c r="J464" s="137"/>
      <c r="K464" s="137"/>
      <c r="L464" s="137"/>
      <c r="M464" s="137"/>
      <c r="N464" s="137"/>
      <c r="O464" s="137"/>
    </row>
    <row r="466" spans="1:15" ht="18" x14ac:dyDescent="0.35">
      <c r="B466" s="138" t="s">
        <v>5210</v>
      </c>
      <c r="C466" s="34"/>
      <c r="H466" s="355"/>
    </row>
    <row r="468" spans="1:15" x14ac:dyDescent="0.3">
      <c r="B468" s="139" t="s">
        <v>6942</v>
      </c>
      <c r="C468" s="140"/>
      <c r="D468" s="140"/>
      <c r="E468" s="139"/>
      <c r="F468" s="141"/>
    </row>
    <row r="469" spans="1:15" x14ac:dyDescent="0.3">
      <c r="B469" s="143" t="s">
        <v>2663</v>
      </c>
      <c r="C469" s="144" t="s">
        <v>565</v>
      </c>
      <c r="D469" s="144" t="s">
        <v>6943</v>
      </c>
      <c r="E469" s="143" t="s">
        <v>565</v>
      </c>
      <c r="F469" s="145" t="s">
        <v>6944</v>
      </c>
    </row>
    <row r="470" spans="1:15" x14ac:dyDescent="0.3">
      <c r="B470" s="99" t="s">
        <v>5437</v>
      </c>
      <c r="C470" s="147">
        <f>VLOOKUP(B470,$R:$U,3,FALSE)</f>
        <v>3434.4068159132703</v>
      </c>
      <c r="D470" s="146" t="s">
        <v>2478</v>
      </c>
      <c r="E470" s="278">
        <f>CONVERT(C470,"m^3","ft^3")</f>
        <v>121284.93208998594</v>
      </c>
      <c r="F470" s="146" t="s">
        <v>2479</v>
      </c>
    </row>
    <row r="471" spans="1:15" x14ac:dyDescent="0.3">
      <c r="B471" s="149" t="s">
        <v>6343</v>
      </c>
      <c r="C471" s="295">
        <f>VLOOKUP(B471,$R:$U,3,FALSE)</f>
        <v>1937.2131954110769</v>
      </c>
      <c r="D471" s="151" t="s">
        <v>2268</v>
      </c>
      <c r="E471" s="359">
        <f>CONVERT(C471,"m^2","ft^2")</f>
        <v>20851.989293472816</v>
      </c>
      <c r="F471" s="151" t="s">
        <v>2267</v>
      </c>
    </row>
    <row r="473" spans="1:15" s="369" customFormat="1" ht="43.2" x14ac:dyDescent="0.3">
      <c r="B473" s="370" t="s">
        <v>6946</v>
      </c>
      <c r="C473" s="362" t="s">
        <v>6947</v>
      </c>
      <c r="D473" s="371" t="s">
        <v>6948</v>
      </c>
      <c r="E473" s="362" t="s">
        <v>6949</v>
      </c>
      <c r="F473" s="362" t="s">
        <v>6950</v>
      </c>
      <c r="G473" s="362" t="s">
        <v>6951</v>
      </c>
      <c r="H473" s="362" t="s">
        <v>6952</v>
      </c>
      <c r="I473" s="371" t="s">
        <v>6953</v>
      </c>
      <c r="J473" s="371" t="s">
        <v>6954</v>
      </c>
      <c r="K473" s="362" t="s">
        <v>6955</v>
      </c>
      <c r="L473" s="362" t="s">
        <v>6956</v>
      </c>
      <c r="M473" s="362" t="s">
        <v>6957</v>
      </c>
      <c r="N473" s="362" t="s">
        <v>6958</v>
      </c>
      <c r="O473" s="363" t="s">
        <v>6959</v>
      </c>
    </row>
    <row r="474" spans="1:15" x14ac:dyDescent="0.3">
      <c r="A474" t="s">
        <v>7093</v>
      </c>
      <c r="B474" s="99" t="s">
        <v>7094</v>
      </c>
      <c r="C474" s="153">
        <f>VLOOKUP("Lagoon constructiona",Econ.Equations!C:E,2,FALSE)*E470^VLOOKUP("Lagoon constructionb",Econ.Equations!$C:$E,2,FALSE)*E470</f>
        <v>38175.572543604554</v>
      </c>
      <c r="D474">
        <f>VLOOKUP("CAPEXLifetimeBuildings and constructionDefault",Econ.inputsTable!$E:$I,2,FALSE)</f>
        <v>20</v>
      </c>
      <c r="E474" t="s">
        <v>2852</v>
      </c>
      <c r="F474" t="s">
        <v>2852</v>
      </c>
      <c r="G474" s="257">
        <f>VLOOKUP("CAPEXAnnual usage on activityItems that are used only on the given activityDefault",Econ.inputsTable!$E:$I,2,FALSE)</f>
        <v>1</v>
      </c>
      <c r="H474" s="256">
        <f>UDV.econ_capital.interest_rate</f>
        <v>5.0999999999999997E-2</v>
      </c>
      <c r="I474" s="236">
        <f>VLOOKUP("CAPEXSalvageBuildings and constructionDefault",Econ.inputsTable!$E:$J,2,FALSE)</f>
        <v>0</v>
      </c>
      <c r="J474" s="156">
        <f>C474*I474</f>
        <v>0</v>
      </c>
      <c r="K474" s="257">
        <f>VLOOKUP("CAPEXFinanced amountNADefault",Econ.inputsTable!$E:$G,2,FALSE)</f>
        <v>1</v>
      </c>
      <c r="L474" s="364">
        <f>H474*K474</f>
        <v>5.0999999999999997E-2</v>
      </c>
      <c r="M474" s="351">
        <f>L474/(1-(1+L474)^-D474)</f>
        <v>8.0924368970045152E-2</v>
      </c>
      <c r="N474" s="153">
        <f>((C474-J474)*M474)+(J474*L474)</f>
        <v>3089.33411816138</v>
      </c>
      <c r="O474" s="372">
        <f>N474*G474</f>
        <v>3089.33411816138</v>
      </c>
    </row>
    <row r="475" spans="1:15" x14ac:dyDescent="0.3">
      <c r="A475" t="s">
        <v>7093</v>
      </c>
      <c r="B475" s="99" t="s">
        <v>7095</v>
      </c>
      <c r="C475" s="373">
        <f>UDV.econ_liner.lagoon_geomembrane*E471</f>
        <v>52129.973233682038</v>
      </c>
      <c r="D475">
        <f>VLOOKUP("CAPEXLifetimeBuildings and constructionDefault",Econ.inputsTable!$E:$I,2,FALSE)</f>
        <v>20</v>
      </c>
      <c r="E475" t="s">
        <v>2852</v>
      </c>
      <c r="F475" t="s">
        <v>2852</v>
      </c>
      <c r="G475" s="257">
        <f>VLOOKUP("CAPEXAnnual usage on activityItems that are used only on the given activityDefault",Econ.inputsTable!E:G,2,FALSE)</f>
        <v>1</v>
      </c>
      <c r="H475" s="256">
        <f>UDV.econ_capital.interest_rate</f>
        <v>5.0999999999999997E-2</v>
      </c>
      <c r="I475" s="236">
        <f>VLOOKUP("CAPEXSalvageBuildings and constructionDefault",Econ.inputsTable!$E:$J,2,FALSE)</f>
        <v>0</v>
      </c>
      <c r="J475" s="156">
        <f>C475*I475</f>
        <v>0</v>
      </c>
      <c r="K475" s="257">
        <f>VLOOKUP("CAPEXFinanced amountNADefault",Econ.inputsTable!$E:$G,2,FALSE)</f>
        <v>1</v>
      </c>
      <c r="L475" s="364">
        <f>H475*K475</f>
        <v>5.0999999999999997E-2</v>
      </c>
      <c r="M475" s="351">
        <f>L475/(1-(1+L475)^-D475)</f>
        <v>8.0924368970045152E-2</v>
      </c>
      <c r="N475" s="153">
        <f>((C475-J475)*M475)+(J475*L475)</f>
        <v>4218.585188361063</v>
      </c>
      <c r="O475" s="372">
        <f>N475*G475</f>
        <v>4218.585188361063</v>
      </c>
    </row>
    <row r="476" spans="1:15" x14ac:dyDescent="0.3">
      <c r="B476" s="99"/>
      <c r="O476" s="146"/>
    </row>
    <row r="477" spans="1:15" x14ac:dyDescent="0.3">
      <c r="B477" s="99"/>
      <c r="C477" s="82" t="s">
        <v>6962</v>
      </c>
      <c r="D477" s="82" t="s">
        <v>6963</v>
      </c>
      <c r="O477" s="146"/>
    </row>
    <row r="478" spans="1:15" x14ac:dyDescent="0.3">
      <c r="A478" t="s">
        <v>5210</v>
      </c>
      <c r="B478" s="99" t="s">
        <v>6964</v>
      </c>
      <c r="C478" s="153">
        <f>SUM(C474:C475)</f>
        <v>90305.545777286592</v>
      </c>
      <c r="D478" s="233">
        <f>SUMPRODUCT(C474:C475,G474:G475)</f>
        <v>90305.545777286592</v>
      </c>
      <c r="O478" s="146"/>
    </row>
    <row r="479" spans="1:15" x14ac:dyDescent="0.3">
      <c r="A479" t="s">
        <v>5210</v>
      </c>
      <c r="B479" s="149" t="s">
        <v>6965</v>
      </c>
      <c r="C479" s="159">
        <f>SUM(N474:N475)</f>
        <v>7307.9193065224426</v>
      </c>
      <c r="D479" s="159">
        <f>SUMPRODUCT(N474:N475,G474:G475)</f>
        <v>7307.9193065224426</v>
      </c>
      <c r="E479" s="150"/>
      <c r="F479" s="150"/>
      <c r="G479" s="150"/>
      <c r="H479" s="150"/>
      <c r="I479" s="150"/>
      <c r="J479" s="150"/>
      <c r="K479" s="150"/>
      <c r="L479" s="150"/>
      <c r="M479" s="150"/>
      <c r="N479" s="150"/>
      <c r="O479" s="151"/>
    </row>
    <row r="480" spans="1:15" x14ac:dyDescent="0.3">
      <c r="O480" s="146"/>
    </row>
    <row r="481" spans="1:15" ht="43.2" x14ac:dyDescent="0.3">
      <c r="B481" s="498" t="s">
        <v>6966</v>
      </c>
      <c r="C481" s="362" t="s">
        <v>6967</v>
      </c>
      <c r="D481" s="362" t="s">
        <v>6968</v>
      </c>
      <c r="E481" s="362" t="s">
        <v>6969</v>
      </c>
      <c r="F481" s="362" t="s">
        <v>6970</v>
      </c>
      <c r="G481" s="362" t="s">
        <v>6971</v>
      </c>
      <c r="H481" s="362" t="s">
        <v>6972</v>
      </c>
      <c r="I481" s="362" t="s">
        <v>6973</v>
      </c>
      <c r="J481" s="362" t="s">
        <v>6974</v>
      </c>
      <c r="K481" s="362" t="s">
        <v>6975</v>
      </c>
      <c r="L481" s="362" t="s">
        <v>6976</v>
      </c>
      <c r="M481" s="362" t="s">
        <v>6977</v>
      </c>
      <c r="N481" s="362" t="s">
        <v>6978</v>
      </c>
      <c r="O481" s="363" t="s">
        <v>6979</v>
      </c>
    </row>
    <row r="482" spans="1:15" x14ac:dyDescent="0.3">
      <c r="B482" s="99" t="s">
        <v>5210</v>
      </c>
      <c r="C482" s="236">
        <f>VLOOKUP("OPEXInsuranceEverythingDefault",Econ.inputsTable!$E$1:$J$213,2,FALSE)</f>
        <v>5.0000000000000001E-3</v>
      </c>
      <c r="D482" s="236">
        <f>VLOOKUP("OPEXRepair and maintenanceBuildings and constructionDefault",Econ.inputsTable!$E$1:$J$503,2,FALSE)</f>
        <v>0.01</v>
      </c>
      <c r="O482" s="157">
        <f>(SUM(C482:D482)*SUMPRODUCT(C474:C475,G474:G475))+SUM(E482,G482,I482,J482,L482,N482)</f>
        <v>1354.5831866592989</v>
      </c>
    </row>
    <row r="483" spans="1:15" x14ac:dyDescent="0.3">
      <c r="A483" t="s">
        <v>5210</v>
      </c>
      <c r="B483" s="162" t="s">
        <v>5203</v>
      </c>
      <c r="C483" s="241"/>
      <c r="D483" s="241"/>
      <c r="E483" s="242">
        <f>SUM(E482)</f>
        <v>0</v>
      </c>
      <c r="F483" s="374">
        <f t="shared" ref="F483:M483" si="17">SUM(F482)</f>
        <v>0</v>
      </c>
      <c r="G483" s="242">
        <f t="shared" si="17"/>
        <v>0</v>
      </c>
      <c r="H483" s="374">
        <f t="shared" si="17"/>
        <v>0</v>
      </c>
      <c r="I483" s="242">
        <f t="shared" si="17"/>
        <v>0</v>
      </c>
      <c r="J483" s="242">
        <f t="shared" si="17"/>
        <v>0</v>
      </c>
      <c r="K483" s="374">
        <f t="shared" si="17"/>
        <v>0</v>
      </c>
      <c r="L483" s="242">
        <f t="shared" si="17"/>
        <v>0</v>
      </c>
      <c r="M483" s="374">
        <f t="shared" si="17"/>
        <v>0</v>
      </c>
      <c r="N483" s="242">
        <f>SUM(N482)</f>
        <v>0</v>
      </c>
      <c r="O483" s="169">
        <f>SUM(O482)</f>
        <v>1354.5831866592989</v>
      </c>
    </row>
    <row r="484" spans="1:15" x14ac:dyDescent="0.3">
      <c r="B484" s="99"/>
      <c r="O484" s="146"/>
    </row>
    <row r="485" spans="1:15" x14ac:dyDescent="0.3">
      <c r="A485" t="s">
        <v>5210</v>
      </c>
      <c r="B485" s="149" t="s">
        <v>6980</v>
      </c>
      <c r="C485" s="159">
        <f>O483</f>
        <v>1354.5831866592989</v>
      </c>
      <c r="D485" s="150"/>
      <c r="E485" s="150"/>
      <c r="F485" s="150"/>
      <c r="G485" s="150"/>
      <c r="H485" s="150"/>
      <c r="I485" s="150"/>
      <c r="J485" s="150"/>
      <c r="K485" s="150"/>
      <c r="L485" s="150"/>
      <c r="M485" s="150"/>
      <c r="N485" s="150"/>
      <c r="O485" s="151"/>
    </row>
    <row r="486" spans="1:15" ht="15" thickBot="1" x14ac:dyDescent="0.35">
      <c r="A486" s="137"/>
      <c r="B486" s="137"/>
      <c r="C486" s="137"/>
      <c r="D486" s="137"/>
      <c r="E486" s="137"/>
      <c r="F486" s="137"/>
      <c r="G486" s="137"/>
      <c r="H486" s="137"/>
      <c r="I486" s="137"/>
      <c r="J486" s="137"/>
      <c r="K486" s="137"/>
      <c r="L486" s="137"/>
      <c r="M486" s="137"/>
      <c r="N486" s="137"/>
      <c r="O486" s="137"/>
    </row>
    <row r="488" spans="1:15" s="90" customFormat="1" ht="15.6" x14ac:dyDescent="0.3">
      <c r="B488" s="723" t="s">
        <v>7309</v>
      </c>
    </row>
    <row r="489" spans="1:15" s="90" customFormat="1" x14ac:dyDescent="0.3"/>
    <row r="490" spans="1:15" s="90" customFormat="1" x14ac:dyDescent="0.3">
      <c r="B490" s="171" t="s">
        <v>6942</v>
      </c>
      <c r="C490" s="724"/>
      <c r="D490" s="724"/>
      <c r="E490" s="171" t="s">
        <v>6988</v>
      </c>
      <c r="F490" s="725"/>
    </row>
    <row r="491" spans="1:15" s="90" customFormat="1" x14ac:dyDescent="0.3">
      <c r="B491" s="726" t="s">
        <v>2663</v>
      </c>
      <c r="C491" s="727" t="s">
        <v>565</v>
      </c>
      <c r="D491" s="727" t="s">
        <v>6943</v>
      </c>
      <c r="E491" s="726" t="s">
        <v>565</v>
      </c>
      <c r="F491" s="728" t="s">
        <v>6944</v>
      </c>
    </row>
    <row r="492" spans="1:15" s="90" customFormat="1" x14ac:dyDescent="0.3">
      <c r="B492" s="235" t="s">
        <v>7310</v>
      </c>
      <c r="E492" s="235">
        <v>94</v>
      </c>
      <c r="F492" s="280" t="s">
        <v>5689</v>
      </c>
    </row>
    <row r="493" spans="1:15" s="90" customFormat="1" x14ac:dyDescent="0.3">
      <c r="B493" s="235" t="s">
        <v>7311</v>
      </c>
      <c r="E493" s="729">
        <f>C910</f>
        <v>1</v>
      </c>
      <c r="F493" s="280" t="s">
        <v>2442</v>
      </c>
    </row>
    <row r="494" spans="1:15" s="90" customFormat="1" x14ac:dyDescent="0.3">
      <c r="B494" s="235" t="s">
        <v>7312</v>
      </c>
      <c r="E494" s="729">
        <f>C912</f>
        <v>1.8097262271321402</v>
      </c>
      <c r="F494" s="280" t="s">
        <v>2710</v>
      </c>
    </row>
    <row r="495" spans="1:15" s="90" customFormat="1" x14ac:dyDescent="0.3">
      <c r="B495" s="253" t="s">
        <v>7313</v>
      </c>
      <c r="C495" s="730"/>
      <c r="D495" s="730"/>
      <c r="E495" s="731">
        <f>E494/E493</f>
        <v>1.8097262271321402</v>
      </c>
      <c r="F495" s="732" t="s">
        <v>7314</v>
      </c>
    </row>
    <row r="496" spans="1:15" s="90" customFormat="1" x14ac:dyDescent="0.3">
      <c r="B496" s="235" t="s">
        <v>7310</v>
      </c>
      <c r="E496" s="235">
        <v>85</v>
      </c>
      <c r="F496" s="280" t="s">
        <v>5689</v>
      </c>
    </row>
    <row r="497" spans="1:15" s="90" customFormat="1" x14ac:dyDescent="0.3">
      <c r="B497" s="235" t="s">
        <v>7315</v>
      </c>
      <c r="E497" s="773">
        <f>C931</f>
        <v>1</v>
      </c>
      <c r="F497" s="280" t="s">
        <v>2442</v>
      </c>
    </row>
    <row r="498" spans="1:15" s="90" customFormat="1" x14ac:dyDescent="0.3">
      <c r="B498" s="235" t="s">
        <v>7316</v>
      </c>
      <c r="E498" s="773">
        <f>C933</f>
        <v>1.3118895673986606</v>
      </c>
      <c r="F498" s="280" t="s">
        <v>2710</v>
      </c>
    </row>
    <row r="499" spans="1:15" s="90" customFormat="1" x14ac:dyDescent="0.3">
      <c r="B499" s="253" t="s">
        <v>7317</v>
      </c>
      <c r="C499" s="730"/>
      <c r="D499" s="730"/>
      <c r="E499" s="774">
        <f>IF(E497&gt;0,E498/E497,0)</f>
        <v>1.3118895673986606</v>
      </c>
      <c r="F499" s="732" t="s">
        <v>7314</v>
      </c>
    </row>
    <row r="500" spans="1:15" s="90" customFormat="1" x14ac:dyDescent="0.3">
      <c r="B500" s="733" t="s">
        <v>6716</v>
      </c>
      <c r="C500" s="734"/>
      <c r="D500" s="734"/>
      <c r="E500" s="775">
        <f>E497</f>
        <v>1</v>
      </c>
      <c r="F500" s="735" t="s">
        <v>2442</v>
      </c>
    </row>
    <row r="501" spans="1:15" s="90" customFormat="1" x14ac:dyDescent="0.3">
      <c r="E501" s="418"/>
    </row>
    <row r="502" spans="1:15" s="90" customFormat="1" ht="43.2" x14ac:dyDescent="0.3">
      <c r="B502" s="736" t="s">
        <v>6946</v>
      </c>
      <c r="C502" s="724" t="s">
        <v>6947</v>
      </c>
      <c r="D502" s="724" t="s">
        <v>7318</v>
      </c>
      <c r="E502" s="737" t="s">
        <v>7319</v>
      </c>
      <c r="F502" s="737" t="s">
        <v>7320</v>
      </c>
      <c r="G502" s="737" t="s">
        <v>6951</v>
      </c>
      <c r="H502" s="737" t="s">
        <v>6952</v>
      </c>
      <c r="I502" s="737" t="s">
        <v>6953</v>
      </c>
      <c r="J502" s="737" t="s">
        <v>6954</v>
      </c>
      <c r="K502" s="737" t="s">
        <v>6955</v>
      </c>
      <c r="L502" s="737" t="s">
        <v>6956</v>
      </c>
      <c r="M502" s="724" t="s">
        <v>6957</v>
      </c>
      <c r="N502" s="737" t="s">
        <v>7002</v>
      </c>
      <c r="O502" s="2139" t="s">
        <v>6959</v>
      </c>
    </row>
    <row r="503" spans="1:15" s="90" customFormat="1" x14ac:dyDescent="0.3">
      <c r="A503" s="90" t="s">
        <v>7321</v>
      </c>
      <c r="B503" s="235" t="s">
        <v>7322</v>
      </c>
      <c r="C503" s="373">
        <f>VLOOKUP(_xlfn.CONCAT("Tractor",E492, " hp"),Econ.Tables!C:E,2,FALSE)*E493</f>
        <v>136600</v>
      </c>
      <c r="D503" s="213">
        <f>VLOOKUP("CAPEXLifetimeTractor, 4 wheel drive and crawlerDefault",Econ.inputsTable!$E:$H,2,FALSE)/E503</f>
        <v>16</v>
      </c>
      <c r="E503" s="213">
        <f>IF(F503&gt;UDV.tractor.min_usage_yearly,F503,UDV.tractor.min_usage_yearly)</f>
        <v>1000</v>
      </c>
      <c r="F503" s="213">
        <f>E495</f>
        <v>1.8097262271321402</v>
      </c>
      <c r="G503" s="2140">
        <f>F503/E503</f>
        <v>1.8097262271321401E-3</v>
      </c>
      <c r="H503" s="256">
        <f>UDV.econ_capital.interest_rate</f>
        <v>5.0999999999999997E-2</v>
      </c>
      <c r="I503" s="2141">
        <f>VLOOKUP("CAPEXSalvageEquipmentDefault",Econ.inputsTable!$E:$I,2,FALSE)</f>
        <v>0.2</v>
      </c>
      <c r="J503" s="373">
        <f>C503*I503</f>
        <v>27320</v>
      </c>
      <c r="K503" s="2140">
        <f>VLOOKUP("CAPEXFinanced amountNADefault",Econ.inputsTable!$E:$I,2,FALSE)</f>
        <v>1</v>
      </c>
      <c r="L503" s="2142">
        <f>H503*K503</f>
        <v>5.0999999999999997E-2</v>
      </c>
      <c r="M503" s="90">
        <f>L503/(1-(1+L503)^-D503)</f>
        <v>9.2927821836826949E-2</v>
      </c>
      <c r="N503" s="373">
        <f>((C503-J503)*M503)+(J503*L503)</f>
        <v>11548.472370328449</v>
      </c>
      <c r="O503" s="742">
        <f>N503*G503</f>
        <v>20.899573331894267</v>
      </c>
    </row>
    <row r="504" spans="1:15" s="90" customFormat="1" x14ac:dyDescent="0.3">
      <c r="A504" s="90" t="s">
        <v>7321</v>
      </c>
      <c r="B504" s="235" t="s">
        <v>7323</v>
      </c>
      <c r="C504" s="373">
        <f>VLOOKUP(_xlfn.CONCAT("Tractor",E496, " hp"),Econ.Tables!C:E,2,FALSE)*E497</f>
        <v>111300</v>
      </c>
      <c r="D504" s="213">
        <f>VLOOKUP("CAPEXLifetimeTractor, 4 wheel drive and crawlerDefault",Econ.inputsTable!$E:$H,2,FALSE)/E504</f>
        <v>16</v>
      </c>
      <c r="E504" s="213">
        <f>IF(F504&gt;UDV.tractor.min_usage_yearly,F504,UDV.tractor.min_usage_yearly)</f>
        <v>1000</v>
      </c>
      <c r="F504" s="213">
        <f>E499</f>
        <v>1.3118895673986606</v>
      </c>
      <c r="G504" s="2140">
        <f>F504/E504</f>
        <v>1.3118895673986605E-3</v>
      </c>
      <c r="H504" s="256">
        <f>UDV.econ_capital.interest_rate</f>
        <v>5.0999999999999997E-2</v>
      </c>
      <c r="I504" s="2141">
        <f>VLOOKUP("CAPEXSalvageEquipmentDefault",Econ.inputsTable!$E:$I,2,FALSE)</f>
        <v>0.2</v>
      </c>
      <c r="J504" s="373">
        <f>C504*I504</f>
        <v>22260</v>
      </c>
      <c r="K504" s="2140">
        <f>VLOOKUP("CAPEXFinanced amountNADefault",Econ.inputsTable!$E:$I,2,FALSE)</f>
        <v>1</v>
      </c>
      <c r="L504" s="2142">
        <f>H504*K504</f>
        <v>5.0999999999999997E-2</v>
      </c>
      <c r="M504" s="90">
        <f>L504/(1-(1+L504)^-D504)</f>
        <v>9.2927821836826949E-2</v>
      </c>
      <c r="N504" s="373">
        <f>((C504-J504)*M504)+(J504*L504)</f>
        <v>9409.5532563510715</v>
      </c>
      <c r="O504" s="742">
        <f>N504*G504</f>
        <v>12.344294750889064</v>
      </c>
    </row>
    <row r="505" spans="1:15" s="90" customFormat="1" x14ac:dyDescent="0.3">
      <c r="A505" s="90" t="s">
        <v>7321</v>
      </c>
      <c r="B505" s="235" t="s">
        <v>1243</v>
      </c>
      <c r="C505" s="260">
        <f>VLOOKUP("Box spreaderDefault",Econ.Tables!$C:$E,2,FALSE)*E500</f>
        <v>65800</v>
      </c>
      <c r="D505" s="66">
        <f>VLOOKUP("CAPEXLifetimeEquipmentDefault",Econ.inputsTable!$E:$H,2,FALSE)</f>
        <v>10</v>
      </c>
      <c r="E505" s="213">
        <f>E499</f>
        <v>1.3118895673986606</v>
      </c>
      <c r="F505" s="213">
        <f>E499</f>
        <v>1.3118895673986606</v>
      </c>
      <c r="G505" s="2140">
        <f>IF(E500&gt;0,F505/E505,0)</f>
        <v>1</v>
      </c>
      <c r="H505" s="256">
        <f>UDV.econ_capital.interest_rate</f>
        <v>5.0999999999999997E-2</v>
      </c>
      <c r="I505" s="2141">
        <f>VLOOKUP("CAPEXSalvageEquipmentDefault",Econ.inputsTable!$E:$H,2,FALSE)</f>
        <v>0.2</v>
      </c>
      <c r="J505" s="373">
        <f>C505*I505</f>
        <v>13160</v>
      </c>
      <c r="K505" s="2140">
        <f>VLOOKUP("CAPEXFinanced amountNADefault",Econ.inputsTable!$E:$H,2,FALSE)</f>
        <v>1</v>
      </c>
      <c r="L505" s="2142">
        <f>H505*K505</f>
        <v>5.0999999999999997E-2</v>
      </c>
      <c r="M505" s="90">
        <f>L505/(1-(1+L505)^-D505)</f>
        <v>0.13013423257204779</v>
      </c>
      <c r="N505" s="373">
        <f>((C505-J505)*M505)+(J505*L505)</f>
        <v>7521.4260025925951</v>
      </c>
      <c r="O505" s="742">
        <f>N505*G505</f>
        <v>7521.4260025925951</v>
      </c>
    </row>
    <row r="506" spans="1:15" s="90" customFormat="1" x14ac:dyDescent="0.3">
      <c r="B506" s="235"/>
      <c r="O506" s="280"/>
    </row>
    <row r="507" spans="1:15" s="90" customFormat="1" x14ac:dyDescent="0.3">
      <c r="B507" s="235"/>
      <c r="C507" s="325" t="s">
        <v>7009</v>
      </c>
      <c r="D507" s="325" t="s">
        <v>6963</v>
      </c>
      <c r="O507" s="742"/>
    </row>
    <row r="508" spans="1:15" s="90" customFormat="1" x14ac:dyDescent="0.3">
      <c r="A508" s="90" t="s">
        <v>3204</v>
      </c>
      <c r="B508" s="235" t="s">
        <v>6964</v>
      </c>
      <c r="C508" s="373">
        <f>SUM(C503:C505)</f>
        <v>313700</v>
      </c>
      <c r="D508" s="784">
        <f>SUMPRODUCT(C503:C505,G503:G505)</f>
        <v>66193.221911477725</v>
      </c>
      <c r="O508" s="280"/>
    </row>
    <row r="509" spans="1:15" s="90" customFormat="1" x14ac:dyDescent="0.3">
      <c r="A509" s="90" t="s">
        <v>3204</v>
      </c>
      <c r="B509" s="253" t="s">
        <v>6965</v>
      </c>
      <c r="C509" s="744">
        <f>SUM(N503:N505)</f>
        <v>28479.451629272113</v>
      </c>
      <c r="D509" s="745">
        <f>SUMPRODUCT(G503:G505,N503:N505)</f>
        <v>7554.6698706753787</v>
      </c>
      <c r="E509" s="730"/>
      <c r="F509" s="730"/>
      <c r="G509" s="730"/>
      <c r="H509" s="730"/>
      <c r="I509" s="730"/>
      <c r="J509" s="730"/>
      <c r="K509" s="730"/>
      <c r="L509" s="730"/>
      <c r="M509" s="730"/>
      <c r="N509" s="730"/>
      <c r="O509" s="732"/>
    </row>
    <row r="510" spans="1:15" s="90" customFormat="1" x14ac:dyDescent="0.3">
      <c r="C510" s="373"/>
      <c r="D510" s="784"/>
    </row>
    <row r="511" spans="1:15" s="90" customFormat="1" ht="43.2" x14ac:dyDescent="0.3">
      <c r="B511" s="2144" t="s">
        <v>6966</v>
      </c>
      <c r="C511" s="737" t="s">
        <v>6967</v>
      </c>
      <c r="D511" s="737" t="s">
        <v>6968</v>
      </c>
      <c r="E511" s="737" t="s">
        <v>6969</v>
      </c>
      <c r="F511" s="737" t="s">
        <v>6970</v>
      </c>
      <c r="G511" s="737" t="s">
        <v>6971</v>
      </c>
      <c r="H511" s="737" t="s">
        <v>6972</v>
      </c>
      <c r="I511" s="737" t="s">
        <v>6973</v>
      </c>
      <c r="J511" s="737" t="s">
        <v>6974</v>
      </c>
      <c r="K511" s="737" t="s">
        <v>6975</v>
      </c>
      <c r="L511" s="737" t="s">
        <v>6976</v>
      </c>
      <c r="M511" s="737" t="s">
        <v>6977</v>
      </c>
      <c r="N511" s="737" t="s">
        <v>6978</v>
      </c>
      <c r="O511" s="2139" t="s">
        <v>6979</v>
      </c>
    </row>
    <row r="512" spans="1:15" s="90" customFormat="1" x14ac:dyDescent="0.3">
      <c r="A512" s="90" t="s">
        <v>3204</v>
      </c>
      <c r="B512" s="235" t="s">
        <v>7322</v>
      </c>
      <c r="C512" s="2142">
        <f>VLOOKUP("OPEXInsuranceEverythingDefault",Econ.inputsTable!$E:$I,2,FALSE)</f>
        <v>5.0000000000000001E-3</v>
      </c>
      <c r="D512" s="747">
        <f>VLOOKUP("OPEXRepair and maintenanceEquipmentDefault",Econ.inputsTable!$E:$I,2,FALSE)</f>
        <v>0.03</v>
      </c>
      <c r="F512" s="712" t="s">
        <v>7324</v>
      </c>
      <c r="H512" s="748"/>
      <c r="I512" s="373"/>
      <c r="J512" s="260"/>
      <c r="K512" s="418"/>
      <c r="L512" s="784"/>
      <c r="O512" s="2145">
        <f>SUM(C512:D512)*(C503*G503)</f>
        <v>8.652301091918762</v>
      </c>
    </row>
    <row r="513" spans="1:17" s="90" customFormat="1" x14ac:dyDescent="0.3">
      <c r="A513" s="90" t="s">
        <v>3204</v>
      </c>
      <c r="B513" s="235" t="s">
        <v>7323</v>
      </c>
      <c r="C513" s="2142">
        <f>VLOOKUP("OPEXInsuranceEverythingDefault",Econ.inputsTable!$E:$I,2,FALSE)</f>
        <v>5.0000000000000001E-3</v>
      </c>
      <c r="D513" s="747">
        <f>VLOOKUP("OPEXRepair and maintenanceEquipmentDefault",Econ.inputsTable!$E:$I,2,FALSE)</f>
        <v>0.03</v>
      </c>
      <c r="F513" s="712" t="s">
        <v>7324</v>
      </c>
      <c r="H513" s="748"/>
      <c r="I513" s="373"/>
      <c r="J513" s="260"/>
      <c r="K513" s="418"/>
      <c r="L513" s="784"/>
      <c r="O513" s="2145">
        <f>SUM(C513:D513)*(C504*G504)</f>
        <v>5.1104658098014815</v>
      </c>
    </row>
    <row r="514" spans="1:17" s="90" customFormat="1" x14ac:dyDescent="0.3">
      <c r="A514" s="90" t="s">
        <v>3204</v>
      </c>
      <c r="B514" s="235" t="s">
        <v>1243</v>
      </c>
      <c r="C514" s="2142">
        <f>VLOOKUP("OPEXInsuranceEverythingDefault",Econ.inputsTable!$E:$H,2,FALSE)</f>
        <v>5.0000000000000001E-3</v>
      </c>
      <c r="D514" s="747">
        <f>VLOOKUP("OPEXRepair and maintenanceBox spreaderDefault",Econ.inputsTable!$E:$H,2,FALSE)</f>
        <v>0.08</v>
      </c>
      <c r="F514" s="712" t="s">
        <v>7324</v>
      </c>
      <c r="O514" s="750">
        <f>(SUM(C514:D514)*C505*G505)</f>
        <v>5593</v>
      </c>
    </row>
    <row r="515" spans="1:17" s="90" customFormat="1" x14ac:dyDescent="0.3">
      <c r="A515" s="90" t="s">
        <v>3204</v>
      </c>
      <c r="B515" s="751" t="s">
        <v>5203</v>
      </c>
      <c r="C515" s="752"/>
      <c r="D515" s="752"/>
      <c r="E515" s="753"/>
      <c r="F515" s="754"/>
      <c r="G515" s="753"/>
      <c r="H515" s="754"/>
      <c r="I515" s="753"/>
      <c r="J515" s="753"/>
      <c r="K515" s="754"/>
      <c r="L515" s="753"/>
      <c r="M515" s="754"/>
      <c r="N515" s="753"/>
      <c r="O515" s="2146">
        <f>SUM(O512:O514)</f>
        <v>5606.7627669017202</v>
      </c>
    </row>
    <row r="516" spans="1:17" x14ac:dyDescent="0.3">
      <c r="B516" s="99"/>
      <c r="O516" s="146"/>
    </row>
    <row r="517" spans="1:17" s="90" customFormat="1" x14ac:dyDescent="0.3">
      <c r="A517" s="90" t="s">
        <v>3204</v>
      </c>
      <c r="B517" s="253" t="s">
        <v>6980</v>
      </c>
      <c r="C517" s="744">
        <f>O515</f>
        <v>5606.7627669017202</v>
      </c>
      <c r="D517" s="730"/>
      <c r="E517" s="730"/>
      <c r="F517" s="730"/>
      <c r="G517" s="730"/>
      <c r="H517" s="730"/>
      <c r="I517" s="730"/>
      <c r="J517" s="730"/>
      <c r="K517" s="730"/>
      <c r="L517" s="730"/>
      <c r="M517" s="730"/>
      <c r="N517" s="730"/>
      <c r="O517" s="732"/>
    </row>
    <row r="518" spans="1:17" ht="15" thickBot="1" x14ac:dyDescent="0.35">
      <c r="A518" s="137"/>
      <c r="B518" s="137"/>
      <c r="C518" s="137"/>
      <c r="D518" s="137"/>
      <c r="E518" s="137"/>
      <c r="F518" s="137"/>
      <c r="G518" s="137"/>
      <c r="H518" s="137"/>
      <c r="I518" s="137"/>
      <c r="J518" s="137"/>
      <c r="K518" s="137"/>
      <c r="L518" s="137"/>
      <c r="M518" s="137"/>
      <c r="N518" s="137"/>
      <c r="O518" s="137"/>
      <c r="P518" s="137"/>
      <c r="Q518" s="137"/>
    </row>
    <row r="520" spans="1:17" ht="15.6" x14ac:dyDescent="0.3">
      <c r="B520" s="138" t="s">
        <v>6981</v>
      </c>
      <c r="C520" s="170" t="s">
        <v>7108</v>
      </c>
      <c r="H520" s="138" t="s">
        <v>6981</v>
      </c>
      <c r="I520" s="776" t="s">
        <v>7408</v>
      </c>
    </row>
    <row r="521" spans="1:17" ht="15.6" x14ac:dyDescent="0.3">
      <c r="B521" s="138"/>
    </row>
    <row r="522" spans="1:17" x14ac:dyDescent="0.3">
      <c r="B522" s="139" t="s">
        <v>6983</v>
      </c>
      <c r="C522" s="140" t="s">
        <v>565</v>
      </c>
      <c r="D522" s="140" t="s">
        <v>38</v>
      </c>
      <c r="E522" s="142"/>
      <c r="F522" s="141"/>
      <c r="H522" s="139" t="s">
        <v>7327</v>
      </c>
      <c r="I522" s="142"/>
      <c r="J522" s="142"/>
      <c r="K522" s="142"/>
      <c r="L522" s="141"/>
    </row>
    <row r="523" spans="1:17" x14ac:dyDescent="0.3">
      <c r="B523" s="99" t="s">
        <v>6984</v>
      </c>
      <c r="C523">
        <f>UDV.crops.acres_available</f>
        <v>100</v>
      </c>
      <c r="D523" t="s">
        <v>5385</v>
      </c>
      <c r="E523" s="34"/>
      <c r="F523" s="146"/>
      <c r="H523" s="99" t="s">
        <v>7409</v>
      </c>
      <c r="I523" s="166">
        <f>UDV.econ_manure.sep_solids_sell_pct*VLOOKUP("Excess amount, separated solids (non-sludge year)",$R$1:$T$327, 3, FALSE)</f>
        <v>0</v>
      </c>
      <c r="J523" t="s">
        <v>5250</v>
      </c>
      <c r="L523" s="146"/>
    </row>
    <row r="524" spans="1:17" x14ac:dyDescent="0.3">
      <c r="B524" s="99" t="s">
        <v>7109</v>
      </c>
      <c r="C524" s="166">
        <f>UDV.econ_manure.liquid_sell_pct*VLOOKUP("Excess volume, lagoon liquid manure",$R$1:$T$327, 3, FALSE)</f>
        <v>0</v>
      </c>
      <c r="D524" t="s">
        <v>5246</v>
      </c>
      <c r="F524" s="146"/>
      <c r="H524" s="99" t="s">
        <v>7410</v>
      </c>
      <c r="I524" s="166">
        <f>UDV.econ_manure.sep_solids_give_pct*VLOOKUP("Excess amount, separated solids (non-sludge year)",$R$1:$T$327, 3, FALSE)</f>
        <v>0</v>
      </c>
      <c r="J524" t="s">
        <v>5250</v>
      </c>
      <c r="L524" s="146"/>
    </row>
    <row r="525" spans="1:17" x14ac:dyDescent="0.3">
      <c r="B525" s="99" t="s">
        <v>7110</v>
      </c>
      <c r="C525" s="166">
        <f>UDV.econ_manure.liquid_give_pct*VLOOKUP("Excess volume, lagoon liquid manure",$R$1:$T$327, 3, FALSE)</f>
        <v>0</v>
      </c>
      <c r="D525" t="s">
        <v>5246</v>
      </c>
      <c r="F525" s="146"/>
      <c r="H525" s="99" t="s">
        <v>7411</v>
      </c>
      <c r="I525" s="166">
        <f>UDV.econ_manure.sep_solids_export_pct*VLOOKUP("Excess amount, separated solids (non-sludge year)",$R$1:$T$327, 3, FALSE)</f>
        <v>0</v>
      </c>
      <c r="J525" t="s">
        <v>5250</v>
      </c>
      <c r="L525" s="146"/>
    </row>
    <row r="526" spans="1:17" x14ac:dyDescent="0.3">
      <c r="B526" s="99" t="s">
        <v>7111</v>
      </c>
      <c r="C526" s="166">
        <f>UDV.econ_manure.liquid_export_pct*VLOOKUP("Excess volume, lagoon liquid manure",$R$1:$T$327, 3, FALSE)</f>
        <v>0</v>
      </c>
      <c r="D526" t="s">
        <v>5246</v>
      </c>
      <c r="F526" s="146"/>
      <c r="H526" s="99"/>
      <c r="L526" s="146"/>
    </row>
    <row r="527" spans="1:17" x14ac:dyDescent="0.3">
      <c r="B527" s="99" t="s">
        <v>7112</v>
      </c>
      <c r="C527" s="166">
        <f>UDV.econ_manure.sludge_sell_pct*VLOOKUP("Excess volume, lagoon sludge manure",$R$1:$T$327, 3, FALSE)</f>
        <v>0</v>
      </c>
      <c r="D527" t="s">
        <v>5246</v>
      </c>
      <c r="F527" s="146"/>
      <c r="H527" s="92" t="s">
        <v>7412</v>
      </c>
      <c r="L527" s="146"/>
    </row>
    <row r="528" spans="1:17" x14ac:dyDescent="0.3">
      <c r="B528" s="99" t="s">
        <v>7113</v>
      </c>
      <c r="C528" s="166">
        <f>UDV.econ_manure.sludge_give_pct*VLOOKUP("Excess volume, lagoon sludge manure",$R$1:$T$327, 3, FALSE)</f>
        <v>0</v>
      </c>
      <c r="D528" t="s">
        <v>5246</v>
      </c>
      <c r="F528" s="146"/>
      <c r="H528" s="99" t="s">
        <v>7409</v>
      </c>
      <c r="I528" s="166">
        <f>UDV.econ_manure.sep_solids_sell_pct*VLOOKUP("Excess amount, separated solids (sludge year)",$R$1:$T$327, 3, FALSE)</f>
        <v>6.5192987866282035</v>
      </c>
      <c r="J528" t="s">
        <v>5250</v>
      </c>
      <c r="L528" s="146"/>
    </row>
    <row r="529" spans="2:12" x14ac:dyDescent="0.3">
      <c r="B529" s="99" t="s">
        <v>7114</v>
      </c>
      <c r="C529" s="166">
        <f>UDV.econ_manure.sludge_export_pct*VLOOKUP("Excess volume, lagoon sludge manure",$R$1:$T$327, 3, FALSE)</f>
        <v>0</v>
      </c>
      <c r="D529" t="s">
        <v>5246</v>
      </c>
      <c r="F529" s="146"/>
      <c r="H529" s="99" t="s">
        <v>7410</v>
      </c>
      <c r="I529" s="166">
        <f>UDV.econ_manure.sep_solids_give_pct*VLOOKUP("Excess amount, separated solids (sludge year)",$R$1:$T$327, 3, FALSE)</f>
        <v>0</v>
      </c>
      <c r="J529" t="s">
        <v>5250</v>
      </c>
      <c r="L529" s="146"/>
    </row>
    <row r="530" spans="2:12" x14ac:dyDescent="0.3">
      <c r="B530" s="99"/>
      <c r="F530" s="151"/>
      <c r="H530" s="149" t="s">
        <v>7411</v>
      </c>
      <c r="I530" s="757">
        <f>UDV.econ_manure.sep_solids_export_pct*VLOOKUP("Excess amount, separated solids (sludge year)",$R$1:$T$327, 3, FALSE)</f>
        <v>0</v>
      </c>
      <c r="J530" s="150" t="s">
        <v>5250</v>
      </c>
      <c r="K530" s="150"/>
      <c r="L530" s="151"/>
    </row>
    <row r="531" spans="2:12" x14ac:dyDescent="0.3">
      <c r="B531" s="92" t="s">
        <v>6942</v>
      </c>
      <c r="E531" s="139" t="s">
        <v>6988</v>
      </c>
      <c r="F531" s="141"/>
    </row>
    <row r="532" spans="2:12" x14ac:dyDescent="0.3">
      <c r="B532" s="175" t="s">
        <v>2908</v>
      </c>
      <c r="E532" s="99"/>
      <c r="F532" s="146"/>
      <c r="H532" s="139" t="s">
        <v>6942</v>
      </c>
      <c r="I532" s="142"/>
      <c r="J532" s="141"/>
      <c r="K532" s="139" t="s">
        <v>6988</v>
      </c>
      <c r="L532" s="141"/>
    </row>
    <row r="533" spans="2:12" x14ac:dyDescent="0.3">
      <c r="B533" s="143" t="s">
        <v>2663</v>
      </c>
      <c r="C533" s="144" t="s">
        <v>565</v>
      </c>
      <c r="D533" s="144" t="s">
        <v>6943</v>
      </c>
      <c r="E533" s="143" t="s">
        <v>565</v>
      </c>
      <c r="F533" s="145" t="s">
        <v>6944</v>
      </c>
      <c r="H533" s="143" t="s">
        <v>2663</v>
      </c>
      <c r="I533" s="144" t="s">
        <v>565</v>
      </c>
      <c r="J533" s="145" t="s">
        <v>6943</v>
      </c>
      <c r="K533" s="143" t="s">
        <v>565</v>
      </c>
      <c r="L533" s="145" t="s">
        <v>6944</v>
      </c>
    </row>
    <row r="534" spans="2:12" x14ac:dyDescent="0.3">
      <c r="B534" s="99" t="s">
        <v>5676</v>
      </c>
      <c r="C534" s="147">
        <f>VLOOKUP(B534,$R:$U,3,FALSE)</f>
        <v>160</v>
      </c>
      <c r="D534" t="s">
        <v>5689</v>
      </c>
      <c r="E534" s="99">
        <f>C534</f>
        <v>160</v>
      </c>
      <c r="F534" s="146" t="s">
        <v>5689</v>
      </c>
      <c r="H534" s="99" t="s">
        <v>6150</v>
      </c>
      <c r="I534" s="382">
        <f>VLOOKUP(H534,$R:$U,3,FALSE)</f>
        <v>90</v>
      </c>
      <c r="J534" s="146" t="s">
        <v>5121</v>
      </c>
      <c r="K534" s="99">
        <f>365/I534</f>
        <v>4.0555555555555554</v>
      </c>
      <c r="L534" s="146" t="s">
        <v>7043</v>
      </c>
    </row>
    <row r="535" spans="2:12" x14ac:dyDescent="0.3">
      <c r="B535" s="99" t="s">
        <v>6989</v>
      </c>
      <c r="D535" t="s">
        <v>2442</v>
      </c>
      <c r="E535" s="99">
        <f>E536</f>
        <v>1</v>
      </c>
      <c r="F535" s="146" t="s">
        <v>2442</v>
      </c>
      <c r="H535" s="99" t="s">
        <v>6149</v>
      </c>
      <c r="I535" s="382">
        <f>VLOOKUP(H535,$R:$U,3,FALSE)</f>
        <v>94</v>
      </c>
      <c r="J535" s="146" t="s">
        <v>5689</v>
      </c>
      <c r="K535" s="99">
        <f>I535</f>
        <v>94</v>
      </c>
      <c r="L535" s="146" t="s">
        <v>5689</v>
      </c>
    </row>
    <row r="536" spans="2:12" x14ac:dyDescent="0.3">
      <c r="B536" s="99" t="s">
        <v>6534</v>
      </c>
      <c r="D536" t="s">
        <v>2442</v>
      </c>
      <c r="E536" s="178">
        <f>C995</f>
        <v>1</v>
      </c>
      <c r="F536" s="146" t="s">
        <v>2442</v>
      </c>
      <c r="H536" s="99" t="s">
        <v>6151</v>
      </c>
      <c r="I536" s="382">
        <f>VLOOKUP(H536,$R:$U,3,FALSE)</f>
        <v>85</v>
      </c>
      <c r="J536" s="146" t="s">
        <v>5689</v>
      </c>
      <c r="K536" s="99">
        <f>I536</f>
        <v>85</v>
      </c>
      <c r="L536" s="146" t="s">
        <v>5689</v>
      </c>
    </row>
    <row r="537" spans="2:12" x14ac:dyDescent="0.3">
      <c r="B537" s="99" t="s">
        <v>5663</v>
      </c>
      <c r="C537" s="147">
        <f>VLOOKUP(B537,$R:$U,3,FALSE)</f>
        <v>180</v>
      </c>
      <c r="D537" t="s">
        <v>5689</v>
      </c>
      <c r="E537" s="99">
        <f>C537</f>
        <v>180</v>
      </c>
      <c r="F537" s="146" t="s">
        <v>5689</v>
      </c>
      <c r="H537" s="222" t="s">
        <v>7413</v>
      </c>
      <c r="I537" s="199" t="s">
        <v>7414</v>
      </c>
      <c r="J537" s="113"/>
      <c r="L537" s="146" t="s">
        <v>2442</v>
      </c>
    </row>
    <row r="538" spans="2:12" x14ac:dyDescent="0.3">
      <c r="B538" s="99" t="s">
        <v>6990</v>
      </c>
      <c r="C538" s="297"/>
      <c r="D538" t="s">
        <v>2442</v>
      </c>
      <c r="E538" s="99">
        <f>E539</f>
        <v>1</v>
      </c>
      <c r="F538" s="146" t="s">
        <v>2442</v>
      </c>
      <c r="H538" s="222" t="s">
        <v>7415</v>
      </c>
      <c r="I538" s="199" t="s">
        <v>7414</v>
      </c>
      <c r="J538" s="113"/>
      <c r="L538" s="146" t="s">
        <v>2442</v>
      </c>
    </row>
    <row r="539" spans="2:12" x14ac:dyDescent="0.3">
      <c r="B539" s="99" t="s">
        <v>6535</v>
      </c>
      <c r="D539" t="s">
        <v>2442</v>
      </c>
      <c r="E539" s="178">
        <f>C996</f>
        <v>1</v>
      </c>
      <c r="F539" s="146" t="s">
        <v>2442</v>
      </c>
      <c r="H539" s="99" t="s">
        <v>6084</v>
      </c>
      <c r="I539" s="382">
        <f t="shared" ref="I539:I546" si="18">VLOOKUP(H539,$R:$U,3,FALSE)</f>
        <v>0.25190621367504379</v>
      </c>
      <c r="J539" s="146" t="s">
        <v>6085</v>
      </c>
      <c r="K539" s="178">
        <f>I539*K534</f>
        <v>1.0216196443487886</v>
      </c>
      <c r="L539" s="146" t="s">
        <v>2710</v>
      </c>
    </row>
    <row r="540" spans="2:12" x14ac:dyDescent="0.3">
      <c r="B540" s="99" t="s">
        <v>5638</v>
      </c>
      <c r="C540" s="147">
        <f>VLOOKUP(B540,$R:$U,3,FALSE)</f>
        <v>250</v>
      </c>
      <c r="D540" t="s">
        <v>5689</v>
      </c>
      <c r="E540" s="99">
        <f>C540</f>
        <v>250</v>
      </c>
      <c r="F540" s="146" t="s">
        <v>5689</v>
      </c>
      <c r="H540" s="99" t="s">
        <v>6121</v>
      </c>
      <c r="I540" s="382">
        <f t="shared" si="18"/>
        <v>0.32347961935857383</v>
      </c>
      <c r="J540" s="146" t="s">
        <v>6085</v>
      </c>
      <c r="K540" s="178">
        <f>I540*K534</f>
        <v>1.3118895673986606</v>
      </c>
      <c r="L540" s="146" t="s">
        <v>2710</v>
      </c>
    </row>
    <row r="541" spans="2:12" x14ac:dyDescent="0.3">
      <c r="B541" s="99" t="s">
        <v>5637</v>
      </c>
      <c r="C541" s="147">
        <f>VLOOKUP(B541,$R:$U,3,FALSE)</f>
        <v>6000</v>
      </c>
      <c r="D541" t="s">
        <v>2480</v>
      </c>
      <c r="E541" s="99">
        <f>C541</f>
        <v>6000</v>
      </c>
      <c r="F541" s="146" t="s">
        <v>2480</v>
      </c>
      <c r="H541" s="99" t="s">
        <v>6086</v>
      </c>
      <c r="I541" s="382">
        <f t="shared" si="18"/>
        <v>1.0418840997599812</v>
      </c>
      <c r="J541" s="146" t="s">
        <v>6087</v>
      </c>
      <c r="K541" s="178">
        <f>I541*K534</f>
        <v>4.2254188490265898</v>
      </c>
      <c r="L541" s="146" t="s">
        <v>7135</v>
      </c>
    </row>
    <row r="542" spans="2:12" x14ac:dyDescent="0.3">
      <c r="B542" s="99" t="s">
        <v>6991</v>
      </c>
      <c r="D542" s="146" t="s">
        <v>2442</v>
      </c>
      <c r="E542">
        <f>E543</f>
        <v>1</v>
      </c>
      <c r="F542" s="146" t="s">
        <v>2442</v>
      </c>
      <c r="H542" s="99" t="s">
        <v>6123</v>
      </c>
      <c r="I542" s="382">
        <f t="shared" si="18"/>
        <v>1.2098137764010659</v>
      </c>
      <c r="J542" s="146" t="s">
        <v>6087</v>
      </c>
      <c r="K542" s="178">
        <f>I542*K534</f>
        <v>4.906466982070989</v>
      </c>
      <c r="L542" s="146" t="s">
        <v>7135</v>
      </c>
    </row>
    <row r="543" spans="2:12" x14ac:dyDescent="0.3">
      <c r="B543" s="99" t="s">
        <v>6536</v>
      </c>
      <c r="D543" t="s">
        <v>2442</v>
      </c>
      <c r="E543" s="178">
        <f>C997</f>
        <v>1</v>
      </c>
      <c r="F543" s="146" t="s">
        <v>2442</v>
      </c>
      <c r="H543" s="99" t="s">
        <v>6154</v>
      </c>
      <c r="I543" s="382">
        <f t="shared" si="18"/>
        <v>60.667777777777751</v>
      </c>
      <c r="J543" s="146" t="s">
        <v>7401</v>
      </c>
      <c r="K543" s="401">
        <f>CONVERT(I543,"kg","ton")*365</f>
        <v>24.40929384337845</v>
      </c>
      <c r="L543" s="146" t="s">
        <v>5250</v>
      </c>
    </row>
    <row r="544" spans="2:12" x14ac:dyDescent="0.3">
      <c r="B544" s="99" t="s">
        <v>5732</v>
      </c>
      <c r="C544" s="147" t="str">
        <f>VLOOKUP(B544,$R:$U,3,FALSE)</f>
        <v>Injection</v>
      </c>
      <c r="D544" t="s">
        <v>6992</v>
      </c>
      <c r="E544" s="99" t="str">
        <f>C544</f>
        <v>Injection</v>
      </c>
      <c r="F544" s="146" t="s">
        <v>6992</v>
      </c>
      <c r="G544" t="str">
        <f>_xlfn.CONCAT("Separated solids",H544)</f>
        <v>Separated solidsN removed, SS</v>
      </c>
      <c r="H544" s="99" t="s">
        <v>6155</v>
      </c>
      <c r="I544" s="382">
        <f t="shared" si="18"/>
        <v>37.466188939106154</v>
      </c>
      <c r="J544" s="146" t="s">
        <v>6031</v>
      </c>
      <c r="K544" s="401">
        <f>I544*UC.g_to_lb/UC.kg_to_lb*2000</f>
        <v>74.932377941049907</v>
      </c>
      <c r="L544" s="146" t="s">
        <v>4892</v>
      </c>
    </row>
    <row r="545" spans="2:13" x14ac:dyDescent="0.3">
      <c r="B545" s="99"/>
      <c r="E545" s="99"/>
      <c r="F545" s="146"/>
      <c r="G545" t="str">
        <f>_xlfn.CONCAT("Separated solids",H545)</f>
        <v>Separated solidsP2O5 removed, SS</v>
      </c>
      <c r="H545" s="99" t="s">
        <v>6156</v>
      </c>
      <c r="I545" s="382">
        <f t="shared" si="18"/>
        <v>52.499903847914887</v>
      </c>
      <c r="J545" s="146" t="s">
        <v>6031</v>
      </c>
      <c r="K545" s="401">
        <f>I545*UC.g_to_lb/UC.kg_to_lb*2000</f>
        <v>104.99980778388162</v>
      </c>
      <c r="L545" s="146" t="s">
        <v>4892</v>
      </c>
    </row>
    <row r="546" spans="2:13" x14ac:dyDescent="0.3">
      <c r="B546" s="175" t="s">
        <v>7115</v>
      </c>
      <c r="C546" s="147"/>
      <c r="E546" s="99"/>
      <c r="F546" s="146"/>
      <c r="G546" t="str">
        <f>_xlfn.CONCAT("Separated solids",H546)</f>
        <v>Separated solidsK2O removed, SS</v>
      </c>
      <c r="H546" s="99" t="s">
        <v>6157</v>
      </c>
      <c r="I546" s="382">
        <f t="shared" si="18"/>
        <v>57.857319463013518</v>
      </c>
      <c r="J546" s="146" t="s">
        <v>6031</v>
      </c>
      <c r="K546" s="401">
        <f>I546*UC.g_to_lb/UC.kg_to_lb*2000</f>
        <v>115.71463902306427</v>
      </c>
      <c r="L546" s="151" t="s">
        <v>4892</v>
      </c>
    </row>
    <row r="547" spans="2:13" x14ac:dyDescent="0.3">
      <c r="B547" s="143" t="s">
        <v>2663</v>
      </c>
      <c r="C547" s="147"/>
      <c r="E547" s="99"/>
      <c r="F547" s="146"/>
      <c r="H547" s="99" t="s">
        <v>6030</v>
      </c>
      <c r="J547" s="146"/>
      <c r="K547" s="147">
        <f>K544*K543</f>
        <v>1829.0464315461766</v>
      </c>
      <c r="L547" s="146" t="s">
        <v>5346</v>
      </c>
      <c r="M547" s="148"/>
    </row>
    <row r="548" spans="2:13" x14ac:dyDescent="0.3">
      <c r="B548" s="99" t="s">
        <v>6407</v>
      </c>
      <c r="C548" s="147">
        <f>VLOOKUP(B548,$R:$U,3,FALSE)</f>
        <v>23.465714939822032</v>
      </c>
      <c r="D548" t="s">
        <v>5385</v>
      </c>
      <c r="E548" s="178">
        <f>C548</f>
        <v>23.465714939822032</v>
      </c>
      <c r="F548" s="146" t="s">
        <v>5385</v>
      </c>
      <c r="H548" s="99" t="s">
        <v>6032</v>
      </c>
      <c r="J548" s="146"/>
      <c r="K548" s="147">
        <f>K545*K543</f>
        <v>2562.9711616950221</v>
      </c>
      <c r="L548" s="146" t="s">
        <v>5346</v>
      </c>
      <c r="M548" s="148"/>
    </row>
    <row r="549" spans="2:13" x14ac:dyDescent="0.3">
      <c r="B549" s="99" t="s">
        <v>6409</v>
      </c>
      <c r="C549" s="147">
        <f>VLOOKUP(B549,$R:$U,3,FALSE)</f>
        <v>1437.980276853388</v>
      </c>
      <c r="D549" t="s">
        <v>5323</v>
      </c>
      <c r="E549" s="178">
        <f>C549</f>
        <v>1437.980276853388</v>
      </c>
      <c r="F549" s="146" t="s">
        <v>5323</v>
      </c>
      <c r="H549" s="99" t="s">
        <v>6033</v>
      </c>
      <c r="J549" s="146"/>
      <c r="K549" s="295">
        <f>K546*K543</f>
        <v>2824.5126258944424</v>
      </c>
      <c r="L549" s="151" t="s">
        <v>5346</v>
      </c>
      <c r="M549" s="148"/>
    </row>
    <row r="550" spans="2:13" x14ac:dyDescent="0.3">
      <c r="B550" s="99" t="s">
        <v>6390</v>
      </c>
      <c r="C550" s="205">
        <f>VLOOKUP(B550,$R:$U, 3, FALSE)</f>
        <v>9.3862859759288124</v>
      </c>
      <c r="D550" t="s">
        <v>2472</v>
      </c>
      <c r="E550" s="178">
        <f>C550</f>
        <v>9.3862859759288124</v>
      </c>
      <c r="F550" s="146" t="s">
        <v>2710</v>
      </c>
      <c r="H550" s="99"/>
      <c r="J550" s="146"/>
      <c r="L550" s="146"/>
    </row>
    <row r="551" spans="2:13" x14ac:dyDescent="0.3">
      <c r="B551" s="99"/>
      <c r="E551" s="99"/>
      <c r="F551" s="146"/>
      <c r="H551" s="779"/>
      <c r="J551" s="113"/>
      <c r="L551" s="146"/>
    </row>
    <row r="552" spans="2:13" x14ac:dyDescent="0.3">
      <c r="B552" s="175" t="s">
        <v>6380</v>
      </c>
      <c r="E552" s="99"/>
      <c r="F552" s="146"/>
      <c r="H552" s="92" t="s">
        <v>6996</v>
      </c>
      <c r="I552" s="78"/>
      <c r="J552" s="146"/>
      <c r="L552" s="146"/>
    </row>
    <row r="553" spans="2:13" x14ac:dyDescent="0.3">
      <c r="B553" s="143" t="s">
        <v>2663</v>
      </c>
      <c r="C553" s="144" t="s">
        <v>565</v>
      </c>
      <c r="D553" s="144" t="s">
        <v>6943</v>
      </c>
      <c r="E553" s="143" t="s">
        <v>565</v>
      </c>
      <c r="F553" s="145" t="s">
        <v>6944</v>
      </c>
      <c r="H553" s="143" t="s">
        <v>2663</v>
      </c>
      <c r="I553" s="144"/>
      <c r="J553" s="145"/>
      <c r="K553" s="144" t="s">
        <v>565</v>
      </c>
      <c r="L553" s="145" t="s">
        <v>6944</v>
      </c>
    </row>
    <row r="554" spans="2:13" x14ac:dyDescent="0.3">
      <c r="B554" s="99" t="s">
        <v>6401</v>
      </c>
      <c r="C554" s="147">
        <f t="shared" ref="C554:C564" si="19">VLOOKUP(B554,$R:$U,3,FALSE)</f>
        <v>182.5</v>
      </c>
      <c r="D554" t="s">
        <v>5121</v>
      </c>
      <c r="E554" s="201">
        <f>UC.year_to_day/C554</f>
        <v>2</v>
      </c>
      <c r="F554" s="146" t="s">
        <v>6994</v>
      </c>
      <c r="H554" s="99" t="s">
        <v>6998</v>
      </c>
      <c r="J554" s="146"/>
      <c r="K554" s="156">
        <f>UDV.labor.non_specialized_cost</f>
        <v>23.66</v>
      </c>
      <c r="L554" s="146" t="s">
        <v>3659</v>
      </c>
    </row>
    <row r="555" spans="2:13" x14ac:dyDescent="0.3">
      <c r="B555" s="99" t="s">
        <v>5679</v>
      </c>
      <c r="C555" s="147">
        <f t="shared" si="19"/>
        <v>3.8383989297888625</v>
      </c>
      <c r="D555" t="s">
        <v>6085</v>
      </c>
      <c r="E555" s="178">
        <f>C555*E554</f>
        <v>7.6767978595777251</v>
      </c>
      <c r="F555" s="146" t="s">
        <v>2710</v>
      </c>
      <c r="H555" s="149" t="s">
        <v>6997</v>
      </c>
      <c r="I555" s="150"/>
      <c r="J555" s="151"/>
      <c r="K555" s="780">
        <f>UDV.fuel.diesel_avg_cost</f>
        <v>3.6964905660377356</v>
      </c>
      <c r="L555" s="151" t="s">
        <v>2315</v>
      </c>
    </row>
    <row r="556" spans="2:13" x14ac:dyDescent="0.3">
      <c r="B556" s="99" t="s">
        <v>5667</v>
      </c>
      <c r="C556" s="147">
        <f t="shared" si="19"/>
        <v>0.40174235828210048</v>
      </c>
      <c r="D556" t="s">
        <v>6085</v>
      </c>
      <c r="E556" s="178">
        <f>C556*E554</f>
        <v>0.80348471656420095</v>
      </c>
      <c r="F556" s="146" t="s">
        <v>2710</v>
      </c>
    </row>
    <row r="557" spans="2:13" x14ac:dyDescent="0.3">
      <c r="B557" s="99" t="s">
        <v>5654</v>
      </c>
      <c r="C557" s="147">
        <f t="shared" si="19"/>
        <v>3.0707191438310901</v>
      </c>
      <c r="D557" t="s">
        <v>6085</v>
      </c>
      <c r="E557" s="178">
        <f>C557*E554</f>
        <v>6.1414382876621803</v>
      </c>
      <c r="F557" s="146" t="s">
        <v>2710</v>
      </c>
    </row>
    <row r="558" spans="2:13" x14ac:dyDescent="0.3">
      <c r="B558" s="99" t="s">
        <v>5682</v>
      </c>
      <c r="C558" s="147">
        <f t="shared" si="19"/>
        <v>27.022328465713588</v>
      </c>
      <c r="D558" t="s">
        <v>2489</v>
      </c>
      <c r="E558" s="178">
        <f>C558*E554</f>
        <v>54.044656931427177</v>
      </c>
      <c r="F558" s="146" t="s">
        <v>5324</v>
      </c>
    </row>
    <row r="559" spans="2:13" x14ac:dyDescent="0.3">
      <c r="B559" s="99" t="s">
        <v>5672</v>
      </c>
      <c r="C559" s="147">
        <f t="shared" si="19"/>
        <v>3.1817994775942355</v>
      </c>
      <c r="D559" t="s">
        <v>2489</v>
      </c>
      <c r="E559" s="178">
        <f>C559*E554</f>
        <v>6.3635989551884711</v>
      </c>
      <c r="F559" s="146" t="s">
        <v>5324</v>
      </c>
    </row>
    <row r="560" spans="2:13" x14ac:dyDescent="0.3">
      <c r="B560" s="99" t="s">
        <v>5660</v>
      </c>
      <c r="C560" s="147">
        <f t="shared" si="19"/>
        <v>33.777910582141992</v>
      </c>
      <c r="D560" t="s">
        <v>2489</v>
      </c>
      <c r="E560" s="178">
        <f>C560*E554</f>
        <v>67.555821164283984</v>
      </c>
      <c r="F560" s="146" t="s">
        <v>5324</v>
      </c>
    </row>
    <row r="561" spans="1:10" x14ac:dyDescent="0.3">
      <c r="B561" s="99" t="s">
        <v>6403</v>
      </c>
      <c r="C561" s="147">
        <f t="shared" si="19"/>
        <v>1824.9123110817213</v>
      </c>
      <c r="D561" t="s">
        <v>5910</v>
      </c>
      <c r="E561" s="164">
        <f>CONVERT(C561,"m^3","gal")*E554</f>
        <v>964181.66118422023</v>
      </c>
      <c r="F561" s="146" t="s">
        <v>5324</v>
      </c>
      <c r="G561" s="1222" t="s">
        <v>6392</v>
      </c>
      <c r="H561" s="1215" t="s">
        <v>6993</v>
      </c>
      <c r="I561" s="142"/>
      <c r="J561" s="141"/>
    </row>
    <row r="562" spans="1:10" x14ac:dyDescent="0.3">
      <c r="A562" t="str">
        <f>_xlfn.CONCAT("Liquids",B562)</f>
        <v>LiquidsN removed, lagoon</v>
      </c>
      <c r="B562" s="99" t="s">
        <v>6404</v>
      </c>
      <c r="C562" s="78">
        <f t="shared" si="19"/>
        <v>0.66511390569986895</v>
      </c>
      <c r="D562" t="s">
        <v>2413</v>
      </c>
      <c r="E562" s="201">
        <f>C562*UC.g_to_lb/UC.L_to_gal*1000</f>
        <v>5.5506445992758309</v>
      </c>
      <c r="F562" s="146" t="s">
        <v>2414</v>
      </c>
      <c r="G562" s="42" t="s">
        <v>7117</v>
      </c>
      <c r="H562" s="92" t="s">
        <v>5443</v>
      </c>
      <c r="I562" s="1216" t="s">
        <v>2710</v>
      </c>
      <c r="J562" s="285">
        <f>(SUM(E555:E556)*UDV.OPEX_labor.tractor_stationary)+(SUM(E557,K539:K540)*UDV.OPEX_labor.tractor_active)+E550</f>
        <v>19.556756482893597</v>
      </c>
    </row>
    <row r="563" spans="1:10" x14ac:dyDescent="0.3">
      <c r="A563" t="str">
        <f t="shared" ref="A563:A564" si="20">_xlfn.CONCAT("Liquids",B563)</f>
        <v>LiquidsP2O5 removed, lagoon</v>
      </c>
      <c r="B563" s="99" t="s">
        <v>6405</v>
      </c>
      <c r="C563" s="78">
        <f t="shared" si="19"/>
        <v>0.32534599495937772</v>
      </c>
      <c r="D563" t="s">
        <v>2413</v>
      </c>
      <c r="E563" s="201">
        <f>C563*UC.g_to_lb/UC.L_to_gal*1000</f>
        <v>2.7151439390175529</v>
      </c>
      <c r="F563" s="146" t="s">
        <v>2414</v>
      </c>
      <c r="G563" s="42" t="s">
        <v>7118</v>
      </c>
      <c r="H563" s="1217" t="s">
        <v>5444</v>
      </c>
      <c r="I563" s="1216" t="s">
        <v>6085</v>
      </c>
      <c r="J563" s="285">
        <f>(SUM(E569:E570)*UDV.OPEX_labor.tractor_stationary)+(E571*UDV.OPEX_labor.tractor_active)</f>
        <v>25.568968352308261</v>
      </c>
    </row>
    <row r="564" spans="1:10" x14ac:dyDescent="0.3">
      <c r="A564" t="str">
        <f t="shared" si="20"/>
        <v>LiquidsK2O removed, lagoon</v>
      </c>
      <c r="B564" s="99" t="s">
        <v>6406</v>
      </c>
      <c r="C564" s="78">
        <f t="shared" si="19"/>
        <v>0.5323869555130053</v>
      </c>
      <c r="D564" t="s">
        <v>2413</v>
      </c>
      <c r="E564" s="201">
        <f>C564*UC.g_to_lb/UC.L_to_gal*1000</f>
        <v>4.442984508395833</v>
      </c>
      <c r="F564" s="146" t="s">
        <v>2414</v>
      </c>
      <c r="G564" s="42" t="s">
        <v>7119</v>
      </c>
      <c r="H564" s="1218" t="s">
        <v>5445</v>
      </c>
      <c r="I564" s="1216" t="s">
        <v>6995</v>
      </c>
      <c r="J564" s="285">
        <f>SUM(J562:J563)</f>
        <v>45.125724835201858</v>
      </c>
    </row>
    <row r="565" spans="1:10" x14ac:dyDescent="0.3">
      <c r="B565" s="99"/>
      <c r="E565" s="99"/>
      <c r="F565" s="146"/>
      <c r="G565" s="42" t="s">
        <v>7120</v>
      </c>
      <c r="H565" s="1219" t="s">
        <v>5446</v>
      </c>
      <c r="I565" s="1220" t="s">
        <v>5447</v>
      </c>
      <c r="J565" s="1221">
        <f>J562+(J563/UDV.anaer_lagoon.sludge_time)</f>
        <v>22.113653318124424</v>
      </c>
    </row>
    <row r="566" spans="1:10" x14ac:dyDescent="0.3">
      <c r="B566" s="175" t="s">
        <v>263</v>
      </c>
      <c r="E566" s="99"/>
      <c r="F566" s="146"/>
    </row>
    <row r="567" spans="1:10" x14ac:dyDescent="0.3">
      <c r="B567" s="143" t="s">
        <v>2663</v>
      </c>
      <c r="C567" s="144" t="s">
        <v>565</v>
      </c>
      <c r="D567" s="144" t="s">
        <v>6943</v>
      </c>
      <c r="E567" s="143" t="s">
        <v>565</v>
      </c>
      <c r="F567" s="145" t="s">
        <v>6944</v>
      </c>
    </row>
    <row r="568" spans="1:10" x14ac:dyDescent="0.3">
      <c r="B568" s="99" t="s">
        <v>6416</v>
      </c>
      <c r="C568" s="382">
        <f t="shared" ref="C568:C578" si="21">VLOOKUP(B568,$X:$AA,3,FALSE)</f>
        <v>10</v>
      </c>
      <c r="D568" t="s">
        <v>2669</v>
      </c>
      <c r="E568" s="99">
        <f t="shared" ref="E568:E574" si="22">C568</f>
        <v>10</v>
      </c>
      <c r="F568" s="146" t="s">
        <v>2669</v>
      </c>
    </row>
    <row r="569" spans="1:10" x14ac:dyDescent="0.3">
      <c r="B569" s="99" t="s">
        <v>5679</v>
      </c>
      <c r="C569" s="382">
        <f t="shared" si="21"/>
        <v>25.815078872097814</v>
      </c>
      <c r="D569" t="s">
        <v>6085</v>
      </c>
      <c r="E569" s="178">
        <f t="shared" si="22"/>
        <v>25.815078872097814</v>
      </c>
      <c r="F569" s="146" t="s">
        <v>6085</v>
      </c>
    </row>
    <row r="570" spans="1:10" x14ac:dyDescent="0.3">
      <c r="B570" s="99" t="s">
        <v>5667</v>
      </c>
      <c r="C570" s="382">
        <f t="shared" si="21"/>
        <v>2.7019105765240186</v>
      </c>
      <c r="D570" t="s">
        <v>6085</v>
      </c>
      <c r="E570" s="178">
        <f t="shared" si="22"/>
        <v>2.7019105765240186</v>
      </c>
      <c r="F570" s="146" t="s">
        <v>6085</v>
      </c>
    </row>
    <row r="571" spans="1:10" x14ac:dyDescent="0.3">
      <c r="B571" s="99" t="s">
        <v>5654</v>
      </c>
      <c r="C571" s="382">
        <f t="shared" si="21"/>
        <v>20.652063097678251</v>
      </c>
      <c r="D571" t="s">
        <v>6085</v>
      </c>
      <c r="E571" s="178">
        <f t="shared" si="22"/>
        <v>20.652063097678251</v>
      </c>
      <c r="F571" s="146" t="s">
        <v>6085</v>
      </c>
    </row>
    <row r="572" spans="1:10" x14ac:dyDescent="0.3">
      <c r="B572" s="99" t="s">
        <v>5682</v>
      </c>
      <c r="C572" s="382">
        <f t="shared" si="21"/>
        <v>181.7381552595686</v>
      </c>
      <c r="D572" t="s">
        <v>2489</v>
      </c>
      <c r="E572" s="178">
        <f t="shared" si="22"/>
        <v>181.7381552595686</v>
      </c>
      <c r="F572" s="146" t="s">
        <v>2489</v>
      </c>
    </row>
    <row r="573" spans="1:10" x14ac:dyDescent="0.3">
      <c r="B573" s="99" t="s">
        <v>5672</v>
      </c>
      <c r="C573" s="382">
        <f t="shared" si="21"/>
        <v>21.399131766070226</v>
      </c>
      <c r="D573" t="s">
        <v>2489</v>
      </c>
      <c r="E573" s="178">
        <f t="shared" si="22"/>
        <v>21.399131766070226</v>
      </c>
      <c r="F573" s="146" t="s">
        <v>2489</v>
      </c>
    </row>
    <row r="574" spans="1:10" x14ac:dyDescent="0.3">
      <c r="B574" s="99" t="s">
        <v>5660</v>
      </c>
      <c r="C574" s="382">
        <f t="shared" si="21"/>
        <v>227.17269407446076</v>
      </c>
      <c r="D574" t="s">
        <v>2489</v>
      </c>
      <c r="E574" s="178">
        <f t="shared" si="22"/>
        <v>227.17269407446076</v>
      </c>
      <c r="F574" s="146" t="s">
        <v>2489</v>
      </c>
    </row>
    <row r="575" spans="1:10" x14ac:dyDescent="0.3">
      <c r="B575" s="99" t="s">
        <v>6418</v>
      </c>
      <c r="C575" s="382">
        <f t="shared" si="21"/>
        <v>1227.3412979465452</v>
      </c>
      <c r="D575" t="s">
        <v>5910</v>
      </c>
      <c r="E575" s="164">
        <f>CONVERT(C575,"m^3","gal")</f>
        <v>324229.26962245262</v>
      </c>
      <c r="F575" s="146" t="s">
        <v>2489</v>
      </c>
    </row>
    <row r="576" spans="1:10" x14ac:dyDescent="0.3">
      <c r="A576" t="str">
        <f>_xlfn.CONCAT("Sludge",B576)</f>
        <v>SludgeN removed, lagoon</v>
      </c>
      <c r="B576" s="99" t="s">
        <v>6404</v>
      </c>
      <c r="C576" s="382">
        <f t="shared" si="21"/>
        <v>4.9447311714113011</v>
      </c>
      <c r="D576" t="s">
        <v>2413</v>
      </c>
      <c r="E576" s="201">
        <f>C576*UC.g_to_lb/UC.L_to_gal*1000</f>
        <v>41.265781900296233</v>
      </c>
      <c r="F576" s="146" t="s">
        <v>2414</v>
      </c>
    </row>
    <row r="577" spans="1:35" x14ac:dyDescent="0.3">
      <c r="A577" t="str">
        <f t="shared" ref="A577:A578" si="23">_xlfn.CONCAT("Sludge",B577)</f>
        <v>SludgeP2O5 removed, lagoon</v>
      </c>
      <c r="B577" s="99" t="s">
        <v>6405</v>
      </c>
      <c r="C577" s="382">
        <f t="shared" si="21"/>
        <v>7.9159298721594418</v>
      </c>
      <c r="D577" t="s">
        <v>2413</v>
      </c>
      <c r="E577" s="201">
        <f>C577*UC.g_to_lb/UC.L_to_gal*1000</f>
        <v>66.061636986695575</v>
      </c>
      <c r="F577" s="146" t="s">
        <v>2414</v>
      </c>
    </row>
    <row r="578" spans="1:35" x14ac:dyDescent="0.3">
      <c r="A578" t="str">
        <f t="shared" si="23"/>
        <v>SludgeK2O removed, lagoon</v>
      </c>
      <c r="B578" s="99" t="s">
        <v>6406</v>
      </c>
      <c r="C578" s="382">
        <f t="shared" si="21"/>
        <v>8.5248891893440497</v>
      </c>
      <c r="D578" t="s">
        <v>2413</v>
      </c>
      <c r="E578" s="201">
        <f>C578*UC.g_to_lb/UC.L_to_gal*1000</f>
        <v>71.143648828791569</v>
      </c>
      <c r="F578" s="146" t="s">
        <v>2414</v>
      </c>
    </row>
    <row r="579" spans="1:35" x14ac:dyDescent="0.3">
      <c r="B579" s="99"/>
      <c r="E579" s="99"/>
      <c r="F579" s="146"/>
    </row>
    <row r="580" spans="1:35" x14ac:dyDescent="0.3">
      <c r="B580" s="92" t="s">
        <v>6996</v>
      </c>
      <c r="E580" s="99"/>
      <c r="F580" s="146"/>
    </row>
    <row r="581" spans="1:35" x14ac:dyDescent="0.3">
      <c r="B581" s="143" t="s">
        <v>2663</v>
      </c>
      <c r="C581" s="144" t="s">
        <v>565</v>
      </c>
      <c r="D581" s="144" t="s">
        <v>6943</v>
      </c>
      <c r="E581" s="143" t="s">
        <v>565</v>
      </c>
      <c r="F581" s="145" t="s">
        <v>6944</v>
      </c>
    </row>
    <row r="582" spans="1:35" x14ac:dyDescent="0.3">
      <c r="B582" s="99" t="s">
        <v>7076</v>
      </c>
      <c r="E582" s="357">
        <f>UDV.electricity.avg_cost</f>
        <v>6.8591666666666662E-2</v>
      </c>
      <c r="F582" s="146" t="s">
        <v>2306</v>
      </c>
    </row>
    <row r="583" spans="1:35" x14ac:dyDescent="0.3">
      <c r="B583" s="99" t="s">
        <v>6997</v>
      </c>
      <c r="D583" s="146"/>
      <c r="E583" s="346">
        <f>UDV.fuel.diesel_avg_cost</f>
        <v>3.6964905660377356</v>
      </c>
      <c r="F583" s="146" t="s">
        <v>2315</v>
      </c>
    </row>
    <row r="584" spans="1:35" x14ac:dyDescent="0.3">
      <c r="B584" s="149" t="s">
        <v>6998</v>
      </c>
      <c r="C584" s="150"/>
      <c r="D584" s="151"/>
      <c r="E584" s="347">
        <f>UDV.labor.non_specialized_cost</f>
        <v>23.66</v>
      </c>
      <c r="F584" s="151" t="s">
        <v>3659</v>
      </c>
    </row>
    <row r="586" spans="1:35" x14ac:dyDescent="0.3">
      <c r="B586" s="206" t="s">
        <v>7108</v>
      </c>
      <c r="C586" s="140"/>
      <c r="D586" s="3057"/>
      <c r="E586" s="3057"/>
      <c r="F586" s="3057"/>
      <c r="G586" s="207"/>
      <c r="H586" s="207"/>
      <c r="I586" s="207"/>
      <c r="J586" s="142"/>
      <c r="K586" s="142"/>
      <c r="L586" s="142"/>
      <c r="M586" s="142"/>
      <c r="N586" s="142"/>
      <c r="O586" s="208"/>
    </row>
    <row r="587" spans="1:35" ht="43.2" x14ac:dyDescent="0.3">
      <c r="B587" s="210" t="s">
        <v>6946</v>
      </c>
      <c r="C587" s="152" t="s">
        <v>6947</v>
      </c>
      <c r="D587" s="152" t="s">
        <v>6948</v>
      </c>
      <c r="E587" s="152" t="s">
        <v>6949</v>
      </c>
      <c r="F587" s="152" t="s">
        <v>7000</v>
      </c>
      <c r="G587" s="152" t="s">
        <v>6951</v>
      </c>
      <c r="H587" s="152" t="s">
        <v>6952</v>
      </c>
      <c r="I587" s="152" t="s">
        <v>7001</v>
      </c>
      <c r="J587" s="152" t="s">
        <v>6954</v>
      </c>
      <c r="K587" s="152" t="s">
        <v>6955</v>
      </c>
      <c r="L587" s="152" t="s">
        <v>6956</v>
      </c>
      <c r="M587" s="82" t="s">
        <v>6957</v>
      </c>
      <c r="N587" s="152" t="s">
        <v>7002</v>
      </c>
      <c r="O587" s="161" t="s">
        <v>6959</v>
      </c>
    </row>
    <row r="588" spans="1:35" x14ac:dyDescent="0.3">
      <c r="A588" t="s">
        <v>7122</v>
      </c>
      <c r="B588" s="99" t="s">
        <v>2808</v>
      </c>
      <c r="C588" s="153">
        <f>IF(E548=0,0,(VLOOKUP("Irrigation systema",Econ.Equations!$C:$E,2,FALSE)*E548^VLOOKUP("Irrigation systemb",Econ.Equations!$C:$E,2,FALSE))*E548)</f>
        <v>49595.645856243704</v>
      </c>
      <c r="D588" s="42">
        <f>VLOOKUP("CAPEXLifetimeBuildings and constructionDefault",Econ.inputsTable!$E:$G,2,FALSE)</f>
        <v>20</v>
      </c>
      <c r="E588" s="42" t="s">
        <v>2852</v>
      </c>
      <c r="F588" s="42" t="s">
        <v>2852</v>
      </c>
      <c r="G588" s="539">
        <f>VLOOKUP("CAPEXAnnual usage on activityItems that are used only on the given activityDefault",Econ.inputsTable!$E:$J,2,FALSE)</f>
        <v>1</v>
      </c>
      <c r="H588" s="503">
        <f>UDV.econ_capital.interest_rate</f>
        <v>5.0999999999999997E-2</v>
      </c>
      <c r="I588" s="2091">
        <f>VLOOKUP("CAPEXSalvageBuildings and constructionDefault",Econ.inputsTable!$E:$K,2,FALSE)</f>
        <v>0</v>
      </c>
      <c r="J588" s="153">
        <f>C588*I588</f>
        <v>0</v>
      </c>
      <c r="K588" s="154">
        <f>VLOOKUP("CAPEXFinanced amountNADefault",Econ.inputsTable!$E:$J,2,FALSE)</f>
        <v>1</v>
      </c>
      <c r="L588" s="2092">
        <f>H588*K588</f>
        <v>5.0999999999999997E-2</v>
      </c>
      <c r="M588" s="351">
        <f>L588/(1-(1+L588)^-D588)</f>
        <v>8.0924368970045152E-2</v>
      </c>
      <c r="N588" s="153">
        <f>((C588-J588)*M588)+(J588*L588)</f>
        <v>4013.4963445783565</v>
      </c>
      <c r="O588" s="372">
        <f>N588*G588</f>
        <v>4013.4963445783565</v>
      </c>
    </row>
    <row r="589" spans="1:35" x14ac:dyDescent="0.3">
      <c r="A589" t="s">
        <v>7003</v>
      </c>
      <c r="B589" s="99" t="s">
        <v>7004</v>
      </c>
      <c r="C589" s="153">
        <f>VLOOKUP(_xlfn.CONCAT("Tractor",E534, " hp"),Econ.Tables!C:E,2,FALSE)*E536</f>
        <v>283300</v>
      </c>
      <c r="D589" s="79">
        <f>VLOOKUP("CAPEXLifetimeTractor, 4 wheel drive and crawlerDefault",Econ.inputsTable!$E:$H,2,FALSE)/E589</f>
        <v>16</v>
      </c>
      <c r="E589" s="213">
        <f>IF(F589&gt;UDV.tractor.min_usage_yearly,F589,UDV.tractor.min_usage_yearly)</f>
        <v>1000</v>
      </c>
      <c r="F589" s="214">
        <f>IF(E536=0,0,(E555+(E569/E568))/E536)</f>
        <v>10.258305746787507</v>
      </c>
      <c r="G589" s="538">
        <f>F589/E589</f>
        <v>1.0258305746787506E-2</v>
      </c>
      <c r="H589" s="503">
        <f t="shared" ref="H589:H596" si="24">UDV.econ_capital.interest_rate</f>
        <v>5.0999999999999997E-2</v>
      </c>
      <c r="I589" s="503">
        <f>VLOOKUP("CAPEXSalvageEquipmentDefault",Econ.inputsTable!$E:$H,2,FALSE)</f>
        <v>0.2</v>
      </c>
      <c r="J589" s="153">
        <f t="shared" ref="J589:J596" si="25">C589*I589</f>
        <v>56660</v>
      </c>
      <c r="K589" s="154">
        <f>VLOOKUP("CAPEXFinanced amountNADefault",Econ.inputsTable!$E:$H,2,FALSE)</f>
        <v>1</v>
      </c>
      <c r="L589" s="155">
        <f t="shared" ref="L589:L596" si="26">H589*K589</f>
        <v>5.0999999999999997E-2</v>
      </c>
      <c r="M589">
        <f t="shared" ref="M589:M596" si="27">L589/(1-(1+L589)^-D589)</f>
        <v>9.2927821836826949E-2</v>
      </c>
      <c r="N589" s="153">
        <f t="shared" ref="N589:N596" si="28">((C589-J589)*M589)+(J589*L589)</f>
        <v>23950.821541098459</v>
      </c>
      <c r="O589" s="157">
        <f t="shared" ref="O589:O596" si="29">N589*G589</f>
        <v>245.69485025533231</v>
      </c>
    </row>
    <row r="590" spans="1:35" x14ac:dyDescent="0.3">
      <c r="A590" t="s">
        <v>7003</v>
      </c>
      <c r="B590" s="99" t="s">
        <v>1226</v>
      </c>
      <c r="C590" s="153">
        <f>VLOOKUP("Agitator, ptoDefault",Econ.Tables!$C:$E,2,FALSE)*E535</f>
        <v>43500</v>
      </c>
      <c r="D590" s="42">
        <f>VLOOKUP("CAPEXLifetimeAgitator, ptoDefault",Econ.inputsTable!$E:$H,2,FALSE)</f>
        <v>15</v>
      </c>
      <c r="F590" s="214">
        <f>F589</f>
        <v>10.258305746787507</v>
      </c>
      <c r="G590" s="539">
        <f>VLOOKUP("CAPEXAnnual usage on activityItems that are used only on the given activityDefault",Econ.inputsTable!$E:$H,2,FALSE)</f>
        <v>1</v>
      </c>
      <c r="H590" s="503">
        <f t="shared" si="24"/>
        <v>5.0999999999999997E-2</v>
      </c>
      <c r="I590" s="503">
        <f>VLOOKUP("CAPEXSalvageEquipmentDefault",Econ.inputsTable!$E:$H,2,FALSE)</f>
        <v>0.2</v>
      </c>
      <c r="J590" s="153">
        <f t="shared" si="25"/>
        <v>8700</v>
      </c>
      <c r="K590" s="154">
        <f>VLOOKUP("CAPEXFinanced amountNADefault",Econ.inputsTable!$E:$H,2,FALSE)</f>
        <v>1</v>
      </c>
      <c r="L590" s="155">
        <f t="shared" si="26"/>
        <v>5.0999999999999997E-2</v>
      </c>
      <c r="M590">
        <f t="shared" si="27"/>
        <v>9.6994593888520206E-2</v>
      </c>
      <c r="N590" s="153">
        <f t="shared" si="28"/>
        <v>3819.1118673205028</v>
      </c>
      <c r="O590" s="157">
        <f t="shared" si="29"/>
        <v>3819.1118673205028</v>
      </c>
    </row>
    <row r="591" spans="1:35" x14ac:dyDescent="0.3">
      <c r="A591" t="s">
        <v>7003</v>
      </c>
      <c r="B591" s="99" t="s">
        <v>7005</v>
      </c>
      <c r="C591" s="153">
        <f>VLOOKUP(_xlfn.CONCAT("Tractor",E537, " hp"),Econ.Tables!C:E,2,FALSE)*E539</f>
        <v>313600</v>
      </c>
      <c r="D591" s="79">
        <f>VLOOKUP("CAPEXLifetimeTractor, 4 wheel drive and crawlerDefault",Econ.inputsTable!$E:$H,2,FALSE)/E591</f>
        <v>16</v>
      </c>
      <c r="E591" s="213">
        <f>IF(F591&gt;UDV.tractor.min_usage_yearly,F591,UDV.tractor.min_usage_yearly)</f>
        <v>1000</v>
      </c>
      <c r="F591" s="214">
        <f>IF(E538=0,0,(E556+(E570/E568))/E538)</f>
        <v>1.0736757742166028</v>
      </c>
      <c r="G591" s="538">
        <f>F591/E591</f>
        <v>1.0736757742166028E-3</v>
      </c>
      <c r="H591" s="503">
        <f t="shared" si="24"/>
        <v>5.0999999999999997E-2</v>
      </c>
      <c r="I591" s="503">
        <f>VLOOKUP("CAPEXSalvageEquipmentDefault",Econ.inputsTable!$E:$H,2,FALSE)</f>
        <v>0.2</v>
      </c>
      <c r="J591" s="153">
        <f t="shared" si="25"/>
        <v>62720</v>
      </c>
      <c r="K591" s="154">
        <f>VLOOKUP("CAPEXFinanced amountNADefault",Econ.inputsTable!$E:$H,2,FALSE)</f>
        <v>1</v>
      </c>
      <c r="L591" s="155">
        <f t="shared" si="26"/>
        <v>5.0999999999999997E-2</v>
      </c>
      <c r="M591">
        <f t="shared" si="27"/>
        <v>9.2927821836826949E-2</v>
      </c>
      <c r="N591" s="153">
        <f t="shared" si="28"/>
        <v>26512.451942423148</v>
      </c>
      <c r="O591" s="157">
        <f t="shared" si="29"/>
        <v>28.465777365661648</v>
      </c>
    </row>
    <row r="592" spans="1:35" s="42" customFormat="1" x14ac:dyDescent="0.3">
      <c r="A592" t="s">
        <v>7003</v>
      </c>
      <c r="B592" s="222" t="s">
        <v>3021</v>
      </c>
      <c r="C592" s="223">
        <f>VLOOKUP("Pump, tractor ptoDefault",Econ.Tables!$C:$E,2,FALSE)*E538</f>
        <v>26500</v>
      </c>
      <c r="D592" s="42">
        <f>VLOOKUP("CAPEXLifetimePump, tractor ptoDefault",Econ.inputsTable!$E:$H,2,FALSE)</f>
        <v>15</v>
      </c>
      <c r="F592" s="214">
        <f>F591</f>
        <v>1.0736757742166028</v>
      </c>
      <c r="G592" s="539">
        <f>VLOOKUP("CAPEXAnnual usage on activityItems that are used only on the given activityDefault",Econ.inputsTable!$E:$H,2,FALSE)</f>
        <v>1</v>
      </c>
      <c r="H592" s="503">
        <f t="shared" si="24"/>
        <v>5.0999999999999997E-2</v>
      </c>
      <c r="I592" s="503">
        <f>VLOOKUP("CAPEXSalvageEquipmentDefault",Econ.inputsTable!$E:$H,2,FALSE)</f>
        <v>0.2</v>
      </c>
      <c r="J592" s="153">
        <f t="shared" si="25"/>
        <v>5300</v>
      </c>
      <c r="K592" s="154">
        <f>VLOOKUP("CAPEXFinanced amountNADefault",Econ.inputsTable!$E:$H,2,FALSE)</f>
        <v>1</v>
      </c>
      <c r="L592" s="155">
        <f t="shared" si="26"/>
        <v>5.0999999999999997E-2</v>
      </c>
      <c r="M592">
        <f t="shared" si="27"/>
        <v>9.6994593888520206E-2</v>
      </c>
      <c r="N592" s="153">
        <f t="shared" si="28"/>
        <v>2326.5853904366286</v>
      </c>
      <c r="O592" s="157">
        <f t="shared" si="29"/>
        <v>2326.5853904366286</v>
      </c>
      <c r="P592"/>
      <c r="Q592"/>
      <c r="R592"/>
      <c r="S592"/>
      <c r="T592"/>
      <c r="U592"/>
      <c r="V592"/>
      <c r="W592"/>
      <c r="X592"/>
      <c r="Y592"/>
      <c r="Z592"/>
      <c r="AA592"/>
      <c r="AB592"/>
      <c r="AC592"/>
      <c r="AD592"/>
      <c r="AE592"/>
      <c r="AF592"/>
      <c r="AG592"/>
      <c r="AH592"/>
      <c r="AI592"/>
    </row>
    <row r="593" spans="1:15" x14ac:dyDescent="0.3">
      <c r="A593" t="s">
        <v>7003</v>
      </c>
      <c r="B593" s="99" t="s">
        <v>7006</v>
      </c>
      <c r="C593" s="153">
        <f>VLOOKUP(_xlfn.CONCAT("Tractor",E540, " hp"),Econ.Tables!C:E,2,FALSE)*E543</f>
        <v>404700</v>
      </c>
      <c r="D593" s="79">
        <f>VLOOKUP("CAPEXLifetimeTractor, 4 wheel drive and crawlerDefault",Econ.inputsTable!$E:$H,2,FALSE)/E593</f>
        <v>16</v>
      </c>
      <c r="E593" s="213">
        <f>IF(F593&gt;UDV.tractor.min_usage_yearly,F593,UDV.tractor.min_usage_yearly)</f>
        <v>1000</v>
      </c>
      <c r="F593" s="214">
        <f>IF(E543=0,0,(E557+(E571/E568))/E543)</f>
        <v>8.2066445974300049</v>
      </c>
      <c r="G593" s="538">
        <f>F593/E593</f>
        <v>8.2066445974300056E-3</v>
      </c>
      <c r="H593" s="503">
        <f t="shared" si="24"/>
        <v>5.0999999999999997E-2</v>
      </c>
      <c r="I593" s="503">
        <f>VLOOKUP("CAPEXSalvageEquipmentDefault",Econ.inputsTable!$E:$H,2,FALSE)</f>
        <v>0.2</v>
      </c>
      <c r="J593" s="153">
        <f t="shared" si="25"/>
        <v>80940</v>
      </c>
      <c r="K593" s="154">
        <f>VLOOKUP("CAPEXFinanced amountNADefault",Econ.inputsTable!$E:$H,2,FALSE)</f>
        <v>1</v>
      </c>
      <c r="L593" s="155">
        <f t="shared" si="26"/>
        <v>5.0999999999999997E-2</v>
      </c>
      <c r="M593">
        <f t="shared" si="27"/>
        <v>9.2927821836826949E-2</v>
      </c>
      <c r="N593" s="153">
        <f t="shared" si="28"/>
        <v>34214.251597891096</v>
      </c>
      <c r="O593" s="157">
        <f t="shared" si="29"/>
        <v>280.7842030309439</v>
      </c>
    </row>
    <row r="594" spans="1:15" x14ac:dyDescent="0.3">
      <c r="A594" t="s">
        <v>7003</v>
      </c>
      <c r="B594" s="99" t="s">
        <v>6392</v>
      </c>
      <c r="C594" s="153">
        <f>UDV.econ_tanker.cost*E542</f>
        <v>136600</v>
      </c>
      <c r="D594" s="42">
        <f>VLOOKUP("CAPEXLifetimeEquipmentDefault",Econ.inputsTable!$E:$H,2,FALSE)</f>
        <v>10</v>
      </c>
      <c r="F594" s="214">
        <f>F593</f>
        <v>8.2066445974300049</v>
      </c>
      <c r="G594" s="539">
        <f>VLOOKUP("CAPEXAnnual usage on activityItems that are used only on the given activityDefault",Econ.inputsTable!$E:$H,2,FALSE)</f>
        <v>1</v>
      </c>
      <c r="H594" s="503">
        <f t="shared" si="24"/>
        <v>5.0999999999999997E-2</v>
      </c>
      <c r="I594" s="503">
        <f>VLOOKUP("CAPEXSalvageEquipmentDefault", Econ.inputsTable!$E:$H,2,FALSE)</f>
        <v>0.2</v>
      </c>
      <c r="J594" s="153">
        <f t="shared" si="25"/>
        <v>27320</v>
      </c>
      <c r="K594" s="154">
        <f>VLOOKUP("CAPEXFinanced amountNADefault",Econ.inputsTable!$E:$H,2,FALSE)</f>
        <v>1</v>
      </c>
      <c r="L594" s="155">
        <f t="shared" si="26"/>
        <v>5.0999999999999997E-2</v>
      </c>
      <c r="M594">
        <f t="shared" si="27"/>
        <v>0.13013423257204779</v>
      </c>
      <c r="N594" s="153">
        <f t="shared" si="28"/>
        <v>15614.388935473382</v>
      </c>
      <c r="O594" s="157">
        <f t="shared" si="29"/>
        <v>15614.388935473382</v>
      </c>
    </row>
    <row r="595" spans="1:15" x14ac:dyDescent="0.3">
      <c r="A595" t="s">
        <v>7003</v>
      </c>
      <c r="B595" s="99" t="s">
        <v>7007</v>
      </c>
      <c r="C595" s="238">
        <f>(IF(E544="Broadcast",VLOOKUP("BoomDefault", Econ.Tables!$C:$E,2,FALSE),0))*E542</f>
        <v>0</v>
      </c>
      <c r="D595" s="42">
        <f>VLOOKUP("CAPEXLifetimeEquipmentDefault",Econ.inputsTable!$E:$H,2,FALSE)</f>
        <v>10</v>
      </c>
      <c r="E595" s="152"/>
      <c r="F595" s="231">
        <f>IF(C544="Broadcast",F593,0)</f>
        <v>0</v>
      </c>
      <c r="G595" s="539">
        <f>VLOOKUP("CAPEXAnnual usage on activityItems that are used only on the given activityDefault",Econ.inputsTable!$E:$H,2,FALSE)</f>
        <v>1</v>
      </c>
      <c r="H595" s="503">
        <f t="shared" si="24"/>
        <v>5.0999999999999997E-2</v>
      </c>
      <c r="I595" s="503">
        <f>VLOOKUP("CAPEXSalvageEquipmentDefault",Econ.inputsTable!$E:$H,2,FALSE)</f>
        <v>0.2</v>
      </c>
      <c r="J595" s="153">
        <f t="shared" si="25"/>
        <v>0</v>
      </c>
      <c r="K595" s="154">
        <f>VLOOKUP("CAPEXFinanced amountNADefault",Econ.inputsTable!$E:$H,2,FALSE)</f>
        <v>1</v>
      </c>
      <c r="L595" s="155">
        <f t="shared" si="26"/>
        <v>5.0999999999999997E-2</v>
      </c>
      <c r="M595">
        <f t="shared" si="27"/>
        <v>0.13013423257204779</v>
      </c>
      <c r="N595" s="153">
        <f t="shared" si="28"/>
        <v>0</v>
      </c>
      <c r="O595" s="157">
        <f t="shared" si="29"/>
        <v>0</v>
      </c>
    </row>
    <row r="596" spans="1:15" x14ac:dyDescent="0.3">
      <c r="A596" t="s">
        <v>7003</v>
      </c>
      <c r="B596" s="99" t="s">
        <v>7008</v>
      </c>
      <c r="C596" s="238">
        <f>(IF(E544="Injection",VLOOKUP("InjectionDefault",Econ.Tables!$C:$E,2,FALSE),0))*E542</f>
        <v>80900</v>
      </c>
      <c r="D596" s="42">
        <f>VLOOKUP("CAPEXLifetimeEquipmentDefault",Econ.inputsTable!$E:$H,2,FALSE)</f>
        <v>10</v>
      </c>
      <c r="E596" s="152"/>
      <c r="F596" s="231">
        <f>IF(C544="Injection",F594,0)</f>
        <v>8.2066445974300049</v>
      </c>
      <c r="G596" s="539">
        <f>VLOOKUP("CAPEXAnnual usage on activityItems that are used only on the given activityDefault",Econ.inputsTable!$E:$H,2,FALSE)</f>
        <v>1</v>
      </c>
      <c r="H596" s="503">
        <f t="shared" si="24"/>
        <v>5.0999999999999997E-2</v>
      </c>
      <c r="I596" s="503">
        <f>VLOOKUP("CAPEXSalvageEquipmentDefault",Econ.inputsTable!$E:$H,2,FALSE)</f>
        <v>0.2</v>
      </c>
      <c r="J596" s="153">
        <f t="shared" si="25"/>
        <v>16180</v>
      </c>
      <c r="K596" s="154">
        <f>VLOOKUP("CAPEXFinanced amountNADefault",Econ.inputsTable!$E:$H,2,FALSE)</f>
        <v>1</v>
      </c>
      <c r="L596" s="155">
        <f t="shared" si="26"/>
        <v>5.0999999999999997E-2</v>
      </c>
      <c r="M596">
        <f t="shared" si="27"/>
        <v>0.13013423257204779</v>
      </c>
      <c r="N596" s="153">
        <f t="shared" si="28"/>
        <v>9247.4675320629322</v>
      </c>
      <c r="O596" s="157">
        <f t="shared" si="29"/>
        <v>9247.4675320629322</v>
      </c>
    </row>
    <row r="597" spans="1:15" x14ac:dyDescent="0.3">
      <c r="B597" s="99"/>
      <c r="C597" s="238"/>
      <c r="D597" s="42"/>
      <c r="E597" s="42"/>
      <c r="F597" s="42"/>
      <c r="G597" s="42"/>
      <c r="H597" s="42"/>
      <c r="I597" s="152"/>
      <c r="J597" s="231"/>
      <c r="K597" s="539"/>
      <c r="L597" s="503"/>
      <c r="M597" s="503"/>
      <c r="N597" s="503"/>
      <c r="O597" s="540"/>
    </row>
    <row r="598" spans="1:15" x14ac:dyDescent="0.3">
      <c r="B598" s="99"/>
      <c r="C598" s="82" t="s">
        <v>7009</v>
      </c>
      <c r="D598" s="82" t="s">
        <v>6963</v>
      </c>
      <c r="O598" s="146"/>
    </row>
    <row r="599" spans="1:15" x14ac:dyDescent="0.3">
      <c r="A599" t="s">
        <v>5202</v>
      </c>
      <c r="B599" s="99" t="s">
        <v>6964</v>
      </c>
      <c r="C599" s="153">
        <f>SUM(C588:C596)</f>
        <v>1338695.6458562436</v>
      </c>
      <c r="D599" s="158">
        <f>SUMPRODUCT(C588:C596,G588:G596)</f>
        <v>343659.75766568288</v>
      </c>
      <c r="O599" s="146"/>
    </row>
    <row r="600" spans="1:15" x14ac:dyDescent="0.3">
      <c r="A600" t="s">
        <v>5202</v>
      </c>
      <c r="B600" s="149" t="s">
        <v>6965</v>
      </c>
      <c r="C600" s="159">
        <f>SUM(N588:N596)</f>
        <v>119698.5751512845</v>
      </c>
      <c r="D600" s="234">
        <f>SUMPRODUCT(N588:N596,G588:G596)</f>
        <v>35575.994900523743</v>
      </c>
      <c r="E600" s="159"/>
      <c r="F600" s="150"/>
      <c r="G600" s="150"/>
      <c r="H600" s="150"/>
      <c r="I600" s="150"/>
      <c r="J600" s="150"/>
      <c r="K600" s="150"/>
      <c r="L600" s="150"/>
      <c r="M600" s="150"/>
      <c r="N600" s="150"/>
      <c r="O600" s="151"/>
    </row>
    <row r="601" spans="1:15" x14ac:dyDescent="0.3">
      <c r="B601" s="262"/>
      <c r="C601" s="142"/>
      <c r="D601" s="142"/>
      <c r="E601" s="142"/>
      <c r="F601" s="142"/>
      <c r="G601" s="142"/>
      <c r="H601" s="142"/>
      <c r="I601" s="142"/>
      <c r="J601" s="142"/>
      <c r="K601" s="142"/>
      <c r="L601" s="142"/>
      <c r="M601" s="142"/>
      <c r="N601" s="142"/>
      <c r="O601" s="141"/>
    </row>
    <row r="602" spans="1:15" ht="43.2" x14ac:dyDescent="0.3">
      <c r="B602" s="160" t="s">
        <v>6966</v>
      </c>
      <c r="C602" s="152" t="s">
        <v>6967</v>
      </c>
      <c r="D602" s="152" t="s">
        <v>6968</v>
      </c>
      <c r="E602" s="152" t="s">
        <v>6969</v>
      </c>
      <c r="F602" s="152" t="s">
        <v>6970</v>
      </c>
      <c r="G602" s="152" t="s">
        <v>6971</v>
      </c>
      <c r="H602" s="152" t="s">
        <v>6972</v>
      </c>
      <c r="I602" s="152" t="s">
        <v>6973</v>
      </c>
      <c r="J602" s="152" t="s">
        <v>6974</v>
      </c>
      <c r="K602" s="152" t="s">
        <v>6975</v>
      </c>
      <c r="L602" s="152" t="s">
        <v>6976</v>
      </c>
      <c r="M602" s="152" t="s">
        <v>6977</v>
      </c>
      <c r="N602" s="152" t="s">
        <v>6978</v>
      </c>
      <c r="O602" s="161" t="s">
        <v>6979</v>
      </c>
    </row>
    <row r="603" spans="1:15" x14ac:dyDescent="0.3">
      <c r="B603" s="99" t="s">
        <v>2808</v>
      </c>
      <c r="C603" s="155">
        <f>VLOOKUP("OPEXInsuranceEverythingDefault",Econ.inputsTable!$E:$K,2,FALSE)</f>
        <v>5.0000000000000001E-3</v>
      </c>
      <c r="D603" s="154">
        <f>VLOOKUP("OPEXRepair and maintenanceEquipmentDefault",Econ.inputsTable!$E:$K,2,FALSE)</f>
        <v>0.03</v>
      </c>
      <c r="F603" s="2124">
        <f>E549</f>
        <v>1437.980276853388</v>
      </c>
      <c r="G603" s="504">
        <f>F603*E582</f>
        <v>98.633463823168626</v>
      </c>
      <c r="I603" s="504"/>
      <c r="J603" s="504"/>
      <c r="K603" s="147">
        <f>E550</f>
        <v>9.3862859759288124</v>
      </c>
      <c r="L603" s="156">
        <f>K603*E584</f>
        <v>222.07952619047569</v>
      </c>
      <c r="O603" s="167">
        <f t="shared" ref="O603:O611" si="30">(SUM(C603:D603)*C588*G588)+SUM(E603,G603,I603,J603,L603,N603)</f>
        <v>2056.5605949821738</v>
      </c>
    </row>
    <row r="604" spans="1:15" x14ac:dyDescent="0.3">
      <c r="B604" s="235" t="s">
        <v>7004</v>
      </c>
      <c r="C604" s="155">
        <f>VLOOKUP("OPEXInsuranceEverythingDefault",Econ.inputsTable!$E:$H,2,FALSE)</f>
        <v>5.0000000000000001E-3</v>
      </c>
      <c r="D604" s="237">
        <f>VLOOKUP("OPEXRepair and maintenanceEquipmentDefault",Econ.inputsTable!$E:$H,2,FALSE)</f>
        <v>0.03</v>
      </c>
      <c r="H604" s="147">
        <f>E558+(E572/E568)</f>
        <v>72.218472457384038</v>
      </c>
      <c r="I604" s="158">
        <f>H604*E583</f>
        <v>266.95490213237616</v>
      </c>
      <c r="J604" s="238">
        <f>I604*VLOOKUP("OPEXLubeLubeDefault",Econ.inputsTable!$E:$H,2,FALSE)</f>
        <v>26.695490213237619</v>
      </c>
      <c r="K604" s="205">
        <f>(E555+(E569/E568))*VLOOKUP("OPEXLaborTractorDefault",Econ.inputsTable!$E:$H,2,FALSE)</f>
        <v>11.284136321466258</v>
      </c>
      <c r="L604" s="158">
        <f>K604*E584</f>
        <v>266.98266536589165</v>
      </c>
      <c r="O604" s="264">
        <f t="shared" si="30"/>
        <v>662.34928834377695</v>
      </c>
    </row>
    <row r="605" spans="1:15" x14ac:dyDescent="0.3">
      <c r="B605" s="99" t="s">
        <v>1226</v>
      </c>
      <c r="C605" s="155">
        <f>VLOOKUP("OPEXInsuranceEverythingDefault",Econ.inputsTable!$E:$H,2,FALSE)</f>
        <v>5.0000000000000001E-3</v>
      </c>
      <c r="D605" s="237">
        <f>VLOOKUP("OPEXRepair and maintenanceEquipmentDefault",Econ.inputsTable!$E:$H,2,FALSE)</f>
        <v>0.03</v>
      </c>
      <c r="H605" s="147"/>
      <c r="I605" s="158"/>
      <c r="J605" s="158"/>
      <c r="L605" s="153"/>
      <c r="O605" s="264">
        <f t="shared" si="30"/>
        <v>1522.4999999999998</v>
      </c>
    </row>
    <row r="606" spans="1:15" x14ac:dyDescent="0.3">
      <c r="B606" s="99" t="s">
        <v>7005</v>
      </c>
      <c r="C606" s="155">
        <f>VLOOKUP("OPEXInsuranceEverythingDefault",Econ.inputsTable!$E:$H,2,FALSE)</f>
        <v>5.0000000000000001E-3</v>
      </c>
      <c r="D606" s="237">
        <f>VLOOKUP("OPEXRepair and maintenanceEquipmentDefault",Econ.inputsTable!$E:$H,2,FALSE)</f>
        <v>0.03</v>
      </c>
      <c r="H606" s="147">
        <f>E559+(E573/E568)</f>
        <v>8.5035121317954943</v>
      </c>
      <c r="I606" s="158">
        <f>H606*E583</f>
        <v>31.433152373369477</v>
      </c>
      <c r="J606" s="238">
        <f>I606*VLOOKUP("OPEXLubeLubeDefault",Econ.inputsTable!$E:$H,2,FALSE)</f>
        <v>3.1433152373369477</v>
      </c>
      <c r="K606" s="205">
        <f>(E556+(E570/E568))*VLOOKUP("OPEXLaborTractorDefault",Econ.inputsTable!$E:$H,2,FALSE)</f>
        <v>1.1810433516382632</v>
      </c>
      <c r="L606" s="158">
        <f>K606*E584</f>
        <v>27.943485699761307</v>
      </c>
      <c r="O606" s="264">
        <f t="shared" si="30"/>
        <v>74.304618608269152</v>
      </c>
    </row>
    <row r="607" spans="1:15" x14ac:dyDescent="0.3">
      <c r="B607" s="222" t="s">
        <v>3021</v>
      </c>
      <c r="C607" s="155">
        <f>VLOOKUP("OPEXInsuranceEverythingDefault",Econ.inputsTable!$E:$H,2,FALSE)</f>
        <v>5.0000000000000001E-3</v>
      </c>
      <c r="D607" s="237">
        <f>VLOOKUP("OPEXRepair and maintenancePump, tractor ptoDefault",Econ.inputsTable!$E:$H,2,FALSE)</f>
        <v>0.05</v>
      </c>
      <c r="I607" s="158"/>
      <c r="J607" s="158"/>
      <c r="L607" s="153"/>
      <c r="O607" s="264">
        <f t="shared" si="30"/>
        <v>1457.5</v>
      </c>
    </row>
    <row r="608" spans="1:15" x14ac:dyDescent="0.3">
      <c r="B608" s="99" t="s">
        <v>7006</v>
      </c>
      <c r="C608" s="155">
        <f>VLOOKUP("OPEXInsuranceEverythingDefault",Econ.inputsTable!$E:$H,2,FALSE)</f>
        <v>5.0000000000000001E-3</v>
      </c>
      <c r="D608" s="237">
        <f>VLOOKUP("OPEXRepair and maintenanceEquipmentDefault",Econ.inputsTable!$E:$H,2,FALSE)</f>
        <v>0.03</v>
      </c>
      <c r="H608" s="147">
        <f>E560+(E574/E568)</f>
        <v>90.273090571730052</v>
      </c>
      <c r="I608" s="158">
        <f>H608*E583</f>
        <v>333.69362766547022</v>
      </c>
      <c r="J608" s="238">
        <f>I608*VLOOKUP("OPEXLubeLubeDefault",Econ.inputsTable!$E:$H,2,FALSE)</f>
        <v>33.36936276654702</v>
      </c>
      <c r="K608" s="205">
        <f>(E557+(E571/E568))*VLOOKUP("OPEXLaborTractorDefault",Econ.inputsTable!$E:$H,2,FALSE)</f>
        <v>9.0273090571730066</v>
      </c>
      <c r="L608" s="158">
        <f>K608*E584</f>
        <v>213.58613229271333</v>
      </c>
      <c r="O608" s="264">
        <f t="shared" si="30"/>
        <v>696.89214012502782</v>
      </c>
    </row>
    <row r="609" spans="1:15" x14ac:dyDescent="0.3">
      <c r="B609" s="99" t="s">
        <v>6392</v>
      </c>
      <c r="C609" s="155">
        <f>VLOOKUP("OPEXInsuranceEverythingDefault",Econ.inputsTable!$E:$H,2,FALSE)</f>
        <v>5.0000000000000001E-3</v>
      </c>
      <c r="D609" s="237">
        <f>VLOOKUP("OPEXRepair and maintenanceEquipmentDefault",Econ.inputsTable!$E:$H,2,FALSE)</f>
        <v>0.03</v>
      </c>
      <c r="H609" s="147"/>
      <c r="I609" s="158"/>
      <c r="J609" s="158"/>
      <c r="L609" s="153"/>
      <c r="O609" s="264">
        <f t="shared" si="30"/>
        <v>4780.9999999999991</v>
      </c>
    </row>
    <row r="610" spans="1:15" x14ac:dyDescent="0.3">
      <c r="B610" s="99" t="s">
        <v>7007</v>
      </c>
      <c r="C610" s="155">
        <f>VLOOKUP("OPEXInsuranceEverythingDefault",Econ.inputsTable!$E:$H,2,FALSE)</f>
        <v>5.0000000000000001E-3</v>
      </c>
      <c r="D610" s="237">
        <f>VLOOKUP("OPEXRepair and maintenanceEquipmentDefault",Econ.inputsTable!$E:$H,2,FALSE)</f>
        <v>0.03</v>
      </c>
      <c r="H610" s="147"/>
      <c r="I610" s="158"/>
      <c r="J610" s="158"/>
      <c r="L610" s="153"/>
      <c r="O610" s="264">
        <f t="shared" si="30"/>
        <v>0</v>
      </c>
    </row>
    <row r="611" spans="1:15" x14ac:dyDescent="0.3">
      <c r="B611" s="99" t="s">
        <v>7008</v>
      </c>
      <c r="C611" s="155">
        <f>VLOOKUP("OPEXInsuranceEverythingDefault",Econ.inputsTable!$E:$H,2,FALSE)</f>
        <v>5.0000000000000001E-3</v>
      </c>
      <c r="D611" s="237">
        <f>VLOOKUP("OPEXRepair and maintenanceEquipmentDefault",Econ.inputsTable!$E:$H,2,FALSE)</f>
        <v>0.03</v>
      </c>
      <c r="H611" s="147"/>
      <c r="I611" s="158"/>
      <c r="J611" s="158"/>
      <c r="L611" s="153"/>
      <c r="O611" s="264">
        <f t="shared" si="30"/>
        <v>2831.4999999999995</v>
      </c>
    </row>
    <row r="612" spans="1:15" x14ac:dyDescent="0.3">
      <c r="A612" t="s">
        <v>5202</v>
      </c>
      <c r="B612" s="162" t="s">
        <v>5203</v>
      </c>
      <c r="C612" s="241"/>
      <c r="D612" s="241"/>
      <c r="E612" s="367">
        <f t="shared" ref="E612:O612" si="31">SUM(E603:E611)</f>
        <v>0</v>
      </c>
      <c r="F612" s="2147">
        <f t="shared" si="31"/>
        <v>1437.980276853388</v>
      </c>
      <c r="G612" s="367">
        <f t="shared" si="31"/>
        <v>98.633463823168626</v>
      </c>
      <c r="H612" s="541">
        <f t="shared" si="31"/>
        <v>170.99507516090958</v>
      </c>
      <c r="I612" s="367">
        <f t="shared" si="31"/>
        <v>632.08168217121579</v>
      </c>
      <c r="J612" s="367">
        <f t="shared" si="31"/>
        <v>63.208168217121589</v>
      </c>
      <c r="K612" s="542">
        <f t="shared" si="31"/>
        <v>30.87877470620634</v>
      </c>
      <c r="L612" s="367">
        <f t="shared" si="31"/>
        <v>730.59180954884187</v>
      </c>
      <c r="M612" s="537">
        <f t="shared" si="31"/>
        <v>0</v>
      </c>
      <c r="N612" s="367">
        <f t="shared" si="31"/>
        <v>0</v>
      </c>
      <c r="O612" s="169">
        <f t="shared" si="31"/>
        <v>14082.606642059247</v>
      </c>
    </row>
    <row r="613" spans="1:15" x14ac:dyDescent="0.3">
      <c r="B613" s="99"/>
      <c r="O613" s="146"/>
    </row>
    <row r="614" spans="1:15" x14ac:dyDescent="0.3">
      <c r="A614" t="s">
        <v>5202</v>
      </c>
      <c r="B614" s="149" t="s">
        <v>6980</v>
      </c>
      <c r="C614" s="159">
        <f>O612</f>
        <v>14082.606642059247</v>
      </c>
      <c r="D614" s="150"/>
      <c r="E614" s="150"/>
      <c r="F614" s="150"/>
      <c r="G614" s="150"/>
      <c r="H614" s="150"/>
      <c r="I614" s="150"/>
      <c r="J614" s="150"/>
      <c r="K614" s="150"/>
      <c r="L614" s="150"/>
      <c r="M614" s="150"/>
      <c r="N614" s="150"/>
      <c r="O614" s="151"/>
    </row>
    <row r="616" spans="1:15" x14ac:dyDescent="0.3">
      <c r="B616" s="781" t="s">
        <v>7408</v>
      </c>
      <c r="C616" s="142"/>
      <c r="D616" s="142"/>
      <c r="E616" s="142"/>
      <c r="F616" s="142"/>
      <c r="G616" s="142"/>
      <c r="H616" s="142"/>
      <c r="I616" s="142"/>
      <c r="J616" s="142"/>
      <c r="K616" s="142"/>
      <c r="L616" s="142"/>
      <c r="M616" s="142"/>
      <c r="N616" s="142"/>
      <c r="O616" s="141"/>
    </row>
    <row r="617" spans="1:15" ht="43.2" x14ac:dyDescent="0.3">
      <c r="B617" s="210" t="s">
        <v>6946</v>
      </c>
      <c r="C617" s="82" t="s">
        <v>6947</v>
      </c>
      <c r="D617" s="82" t="s">
        <v>7331</v>
      </c>
      <c r="E617" s="152" t="s">
        <v>6949</v>
      </c>
      <c r="F617" s="152" t="s">
        <v>7000</v>
      </c>
      <c r="G617" s="152" t="s">
        <v>6951</v>
      </c>
      <c r="H617" s="152" t="s">
        <v>6952</v>
      </c>
      <c r="I617" s="82" t="s">
        <v>6953</v>
      </c>
      <c r="J617" s="82" t="s">
        <v>6954</v>
      </c>
      <c r="K617" s="152" t="s">
        <v>6955</v>
      </c>
      <c r="L617" s="152" t="s">
        <v>6956</v>
      </c>
      <c r="M617" s="82" t="s">
        <v>6957</v>
      </c>
      <c r="N617" s="152" t="s">
        <v>7002</v>
      </c>
      <c r="O617" s="161" t="s">
        <v>6959</v>
      </c>
    </row>
    <row r="618" spans="1:15" x14ac:dyDescent="0.3">
      <c r="A618" t="s">
        <v>7003</v>
      </c>
      <c r="B618" s="99" t="s">
        <v>7416</v>
      </c>
      <c r="C618" s="782" t="s">
        <v>7333</v>
      </c>
      <c r="O618" s="146"/>
    </row>
    <row r="619" spans="1:15" x14ac:dyDescent="0.3">
      <c r="A619" t="s">
        <v>7003</v>
      </c>
      <c r="B619" s="99" t="s">
        <v>7417</v>
      </c>
      <c r="C619" s="782" t="s">
        <v>7333</v>
      </c>
      <c r="O619" s="146"/>
    </row>
    <row r="620" spans="1:15" x14ac:dyDescent="0.3">
      <c r="A620" t="s">
        <v>7003</v>
      </c>
      <c r="B620" s="99" t="s">
        <v>1243</v>
      </c>
      <c r="C620" s="782" t="s">
        <v>7333</v>
      </c>
      <c r="O620" s="146"/>
    </row>
    <row r="622" spans="1:15" x14ac:dyDescent="0.3">
      <c r="B622" s="99"/>
      <c r="C622" s="82" t="s">
        <v>7009</v>
      </c>
      <c r="D622" s="82" t="s">
        <v>6963</v>
      </c>
      <c r="O622" s="157"/>
    </row>
    <row r="623" spans="1:15" x14ac:dyDescent="0.3">
      <c r="A623" t="s">
        <v>5202</v>
      </c>
      <c r="B623" s="99" t="s">
        <v>6964</v>
      </c>
      <c r="O623" s="146"/>
    </row>
    <row r="624" spans="1:15" x14ac:dyDescent="0.3">
      <c r="A624" t="s">
        <v>5202</v>
      </c>
      <c r="B624" s="149" t="s">
        <v>6965</v>
      </c>
      <c r="C624" s="150"/>
      <c r="D624" s="150"/>
      <c r="E624" s="150"/>
      <c r="F624" s="150"/>
      <c r="G624" s="150"/>
      <c r="H624" s="150"/>
      <c r="I624" s="150"/>
      <c r="J624" s="150"/>
      <c r="K624" s="150"/>
      <c r="L624" s="150"/>
      <c r="M624" s="150"/>
      <c r="N624" s="150"/>
      <c r="O624" s="151"/>
    </row>
    <row r="625" spans="1:15" x14ac:dyDescent="0.3">
      <c r="B625" s="99"/>
      <c r="C625" s="153"/>
      <c r="D625" s="158"/>
      <c r="O625" s="146"/>
    </row>
    <row r="626" spans="1:15" ht="43.2" x14ac:dyDescent="0.3">
      <c r="B626" s="160" t="s">
        <v>6966</v>
      </c>
      <c r="C626" s="152" t="s">
        <v>6967</v>
      </c>
      <c r="D626" s="152" t="s">
        <v>6968</v>
      </c>
      <c r="E626" s="152" t="s">
        <v>6969</v>
      </c>
      <c r="F626" s="152" t="s">
        <v>6970</v>
      </c>
      <c r="G626" s="152" t="s">
        <v>6971</v>
      </c>
      <c r="H626" s="152" t="s">
        <v>6972</v>
      </c>
      <c r="I626" s="152" t="s">
        <v>6973</v>
      </c>
      <c r="J626" s="152" t="s">
        <v>6974</v>
      </c>
      <c r="K626" s="152" t="s">
        <v>6975</v>
      </c>
      <c r="L626" s="152" t="s">
        <v>6976</v>
      </c>
      <c r="M626" s="152" t="s">
        <v>6977</v>
      </c>
      <c r="N626" s="152" t="s">
        <v>6978</v>
      </c>
      <c r="O626" s="161" t="s">
        <v>6979</v>
      </c>
    </row>
    <row r="627" spans="1:15" x14ac:dyDescent="0.3">
      <c r="B627" s="99" t="s">
        <v>7416</v>
      </c>
      <c r="C627" s="782" t="s">
        <v>7333</v>
      </c>
      <c r="D627" s="782" t="s">
        <v>7333</v>
      </c>
      <c r="H627" s="147">
        <f>K541</f>
        <v>4.2254188490265898</v>
      </c>
      <c r="I627" s="153">
        <f>H627*K555</f>
        <v>15.619220912984817</v>
      </c>
      <c r="J627" s="238">
        <f>I627*VLOOKUP("OPEXLubeLubeDefault",Econ.inputsTable!$E:$I,2,FALSE)</f>
        <v>1.5619220912984817</v>
      </c>
      <c r="K627" s="147">
        <f>VLOOKUP("OPEXLaborTractorDefault",Econ.inputsTable!$E:$I,2,FALSE)*K539</f>
        <v>1.1237816087836676</v>
      </c>
      <c r="L627" s="158">
        <f>K627*K554</f>
        <v>26.588672863821575</v>
      </c>
      <c r="O627" s="750">
        <f>SUM(G627,I627,J627,L627,N627)</f>
        <v>43.769815868104871</v>
      </c>
    </row>
    <row r="628" spans="1:15" x14ac:dyDescent="0.3">
      <c r="B628" s="99" t="s">
        <v>7417</v>
      </c>
      <c r="C628" s="782" t="s">
        <v>7333</v>
      </c>
      <c r="D628" s="782" t="s">
        <v>7333</v>
      </c>
      <c r="H628" s="147">
        <f>K542</f>
        <v>4.906466982070989</v>
      </c>
      <c r="I628" s="153">
        <f>H628*K555</f>
        <v>18.136708911801051</v>
      </c>
      <c r="J628" s="238">
        <f>I628*VLOOKUP("OPEXLubeLubeDefault",Econ.inputsTable!$E:$H,2,FALSE)</f>
        <v>1.8136708911801052</v>
      </c>
      <c r="K628" s="147">
        <f>K540*VLOOKUP("OPEXLaborTractorDefault",Econ.inputsTable!$E:$H,2,FALSE)</f>
        <v>1.4430785241385267</v>
      </c>
      <c r="L628" s="158">
        <f>K628*K554</f>
        <v>34.143237881117543</v>
      </c>
      <c r="O628" s="750">
        <f t="shared" ref="O628:O629" si="32">SUM(G628,I628,J628,L628,N628)</f>
        <v>54.093617684098703</v>
      </c>
    </row>
    <row r="629" spans="1:15" x14ac:dyDescent="0.3">
      <c r="B629" s="99" t="s">
        <v>1243</v>
      </c>
      <c r="C629" s="782" t="s">
        <v>7333</v>
      </c>
      <c r="D629" s="782" t="s">
        <v>7333</v>
      </c>
      <c r="O629" s="750">
        <f t="shared" si="32"/>
        <v>0</v>
      </c>
    </row>
    <row r="630" spans="1:15" x14ac:dyDescent="0.3">
      <c r="A630" t="s">
        <v>5202</v>
      </c>
      <c r="B630" s="162" t="s">
        <v>5203</v>
      </c>
      <c r="C630" s="241"/>
      <c r="D630" s="241"/>
      <c r="E630" s="367">
        <f t="shared" ref="E630:O630" si="33">SUM(E627:E629)</f>
        <v>0</v>
      </c>
      <c r="F630" s="367">
        <f t="shared" si="33"/>
        <v>0</v>
      </c>
      <c r="G630" s="367">
        <f t="shared" si="33"/>
        <v>0</v>
      </c>
      <c r="H630" s="367">
        <f t="shared" si="33"/>
        <v>9.1318858310975788</v>
      </c>
      <c r="I630" s="367">
        <f t="shared" si="33"/>
        <v>33.755929824785866</v>
      </c>
      <c r="J630" s="367">
        <f t="shared" si="33"/>
        <v>3.3755929824785866</v>
      </c>
      <c r="K630" s="367">
        <f t="shared" si="33"/>
        <v>2.5668601329221943</v>
      </c>
      <c r="L630" s="367">
        <f t="shared" si="33"/>
        <v>60.731910744939114</v>
      </c>
      <c r="M630" s="367">
        <f t="shared" si="33"/>
        <v>0</v>
      </c>
      <c r="N630" s="367">
        <f t="shared" si="33"/>
        <v>0</v>
      </c>
      <c r="O630" s="169">
        <f t="shared" si="33"/>
        <v>97.863433552203574</v>
      </c>
    </row>
    <row r="631" spans="1:15" x14ac:dyDescent="0.3">
      <c r="B631" s="99"/>
      <c r="O631" s="146"/>
    </row>
    <row r="632" spans="1:15" x14ac:dyDescent="0.3">
      <c r="A632" t="s">
        <v>5202</v>
      </c>
      <c r="B632" s="149" t="s">
        <v>6980</v>
      </c>
      <c r="C632" s="159">
        <f>O630</f>
        <v>97.863433552203574</v>
      </c>
      <c r="D632" s="150"/>
      <c r="E632" s="150"/>
      <c r="F632" s="150"/>
      <c r="G632" s="150"/>
      <c r="H632" s="150"/>
      <c r="I632" s="150"/>
      <c r="J632" s="150"/>
      <c r="K632" s="150"/>
      <c r="L632" s="150"/>
      <c r="M632" s="150"/>
      <c r="N632" s="150"/>
      <c r="O632" s="151"/>
    </row>
    <row r="633" spans="1:15" x14ac:dyDescent="0.3">
      <c r="C633" s="153"/>
    </row>
    <row r="634" spans="1:15" x14ac:dyDescent="0.3">
      <c r="B634" s="384" t="s">
        <v>7123</v>
      </c>
      <c r="C634" s="2997" t="s">
        <v>6402</v>
      </c>
      <c r="D634" s="2999"/>
      <c r="E634" s="3059" t="s">
        <v>6417</v>
      </c>
      <c r="F634" s="3058"/>
      <c r="G634" s="3059" t="s">
        <v>7418</v>
      </c>
      <c r="H634" s="3058"/>
    </row>
    <row r="635" spans="1:15" x14ac:dyDescent="0.3">
      <c r="B635" s="385" t="s">
        <v>7012</v>
      </c>
      <c r="C635" s="139" t="s">
        <v>7124</v>
      </c>
      <c r="D635" s="245" t="s">
        <v>7125</v>
      </c>
      <c r="E635" s="139" t="s">
        <v>7124</v>
      </c>
      <c r="F635" s="245" t="s">
        <v>7125</v>
      </c>
      <c r="G635" s="139" t="s">
        <v>7124</v>
      </c>
      <c r="H635" s="245" t="s">
        <v>7125</v>
      </c>
    </row>
    <row r="636" spans="1:15" x14ac:dyDescent="0.3">
      <c r="A636" t="s">
        <v>5202</v>
      </c>
      <c r="B636" s="386" t="s">
        <v>7013</v>
      </c>
      <c r="C636" s="387">
        <f xml:space="preserve"> VLOOKUP("Fertilizer value for on-farm use, liquids",$R$1:$T$332,3, FALSE)</f>
        <v>4653.6171608560817</v>
      </c>
      <c r="D636" s="388">
        <f>VLOOKUP("Fertilizer value for on-farm use, liquids",$R$1:$T$332,3, FALSE)</f>
        <v>4653.6171608560817</v>
      </c>
      <c r="E636" s="387"/>
      <c r="F636" s="389">
        <f>VLOOKUP("Fertilizer value for on-farm use, sludge",$R$1:$T$332,3, FALSE)</f>
        <v>11276.579679414468</v>
      </c>
      <c r="G636" s="387">
        <f xml:space="preserve"> VLOOKUP("Fertilizer value for on-farm use, solids (non-sludge year)",$R$1:$T$332,3, FALSE)</f>
        <v>1541.5578501155414</v>
      </c>
      <c r="H636" s="389">
        <f xml:space="preserve"> VLOOKUP("Fertilizer value for on-farm use, solids (sludge year)",$R$1:$T$332,3, FALSE)</f>
        <v>1129.8345002026797</v>
      </c>
    </row>
    <row r="637" spans="1:15" x14ac:dyDescent="0.3">
      <c r="A637" t="s">
        <v>5202</v>
      </c>
      <c r="B637" s="386" t="s">
        <v>7126</v>
      </c>
      <c r="C637" s="390">
        <f>C636</f>
        <v>4653.6171608560817</v>
      </c>
      <c r="D637" s="391"/>
      <c r="E637" s="390">
        <f>(F636/UDV.anaer_lagoon.sludge_time)</f>
        <v>1127.6579679414467</v>
      </c>
      <c r="F637" s="391"/>
      <c r="G637" s="392">
        <f>((G636*(E568-1))+H636)/E568</f>
        <v>1500.3855151242553</v>
      </c>
      <c r="H637" s="391"/>
    </row>
    <row r="638" spans="1:15" x14ac:dyDescent="0.3">
      <c r="A638" t="s">
        <v>5202</v>
      </c>
      <c r="B638" s="386" t="s">
        <v>7014</v>
      </c>
      <c r="C638" s="393">
        <f>SUM(C637,E637,G637)</f>
        <v>7281.660643921783</v>
      </c>
      <c r="D638" s="146"/>
      <c r="E638" s="99"/>
      <c r="F638" s="146"/>
      <c r="G638" s="99"/>
      <c r="H638" s="146"/>
    </row>
    <row r="639" spans="1:15" x14ac:dyDescent="0.3">
      <c r="B639" s="386"/>
      <c r="D639" s="146"/>
      <c r="E639" s="99"/>
      <c r="F639" s="146"/>
      <c r="G639" s="99"/>
      <c r="H639" s="146"/>
    </row>
    <row r="640" spans="1:15" x14ac:dyDescent="0.3">
      <c r="B640" s="394" t="s">
        <v>7015</v>
      </c>
      <c r="C640" s="139" t="s">
        <v>7124</v>
      </c>
      <c r="D640" s="245" t="s">
        <v>7125</v>
      </c>
      <c r="E640" s="139" t="s">
        <v>7124</v>
      </c>
      <c r="F640" s="245" t="s">
        <v>7125</v>
      </c>
      <c r="G640" s="139" t="s">
        <v>7124</v>
      </c>
      <c r="H640" s="245" t="s">
        <v>7125</v>
      </c>
    </row>
    <row r="641" spans="1:8" x14ac:dyDescent="0.3">
      <c r="A641" t="s">
        <v>5202</v>
      </c>
      <c r="B641" s="386" t="s">
        <v>7016</v>
      </c>
      <c r="C641" s="387">
        <f>UDV.econ_manure.liquid_sell_price*C524</f>
        <v>0</v>
      </c>
      <c r="D641" s="389">
        <f>UDV.econ_manure.liquid_sell_price*C524</f>
        <v>0</v>
      </c>
      <c r="E641" s="387"/>
      <c r="F641" s="389">
        <f>UDV.econ_manure.sludge_sell_price*C527</f>
        <v>0</v>
      </c>
      <c r="G641" s="387">
        <f>UDV.econ_manure.sep_solids_sell_price*I523</f>
        <v>0</v>
      </c>
      <c r="H641" s="389">
        <f>UDV.econ_manure.sep_solids_sell_price*I528</f>
        <v>172.7614178456474</v>
      </c>
    </row>
    <row r="642" spans="1:8" x14ac:dyDescent="0.3">
      <c r="A642" t="s">
        <v>5202</v>
      </c>
      <c r="B642" s="386" t="s">
        <v>7127</v>
      </c>
      <c r="C642" s="390">
        <f>C641</f>
        <v>0</v>
      </c>
      <c r="D642" s="391"/>
      <c r="E642" s="390">
        <f>(F641/UDV.anaer_lagoon.sludge_time)</f>
        <v>0</v>
      </c>
      <c r="F642" s="391"/>
      <c r="G642" s="390">
        <f>((G641*(E568-1))+H641)/E568</f>
        <v>17.276141784564739</v>
      </c>
      <c r="H642" s="391"/>
    </row>
    <row r="643" spans="1:8" x14ac:dyDescent="0.3">
      <c r="A643" t="s">
        <v>5202</v>
      </c>
      <c r="B643" s="386" t="s">
        <v>7017</v>
      </c>
      <c r="C643" s="393">
        <f>SUM(C642,E642,G642)</f>
        <v>17.276141784564739</v>
      </c>
      <c r="D643" s="146"/>
      <c r="E643" s="99"/>
      <c r="F643" s="146"/>
      <c r="G643" s="99"/>
      <c r="H643" s="146"/>
    </row>
    <row r="644" spans="1:8" x14ac:dyDescent="0.3">
      <c r="B644" s="386"/>
      <c r="C644" s="166"/>
      <c r="D644" s="146"/>
      <c r="E644" s="395"/>
      <c r="F644" s="396"/>
      <c r="G644" s="99"/>
      <c r="H644" s="146"/>
    </row>
    <row r="645" spans="1:8" x14ac:dyDescent="0.3">
      <c r="B645" s="397" t="s">
        <v>7018</v>
      </c>
      <c r="C645" s="139" t="s">
        <v>7124</v>
      </c>
      <c r="D645" s="245" t="s">
        <v>7125</v>
      </c>
      <c r="E645" s="139" t="s">
        <v>7124</v>
      </c>
      <c r="F645" s="245" t="s">
        <v>7125</v>
      </c>
      <c r="G645" s="139" t="s">
        <v>7124</v>
      </c>
      <c r="H645" s="245" t="s">
        <v>7125</v>
      </c>
    </row>
    <row r="646" spans="1:8" x14ac:dyDescent="0.3">
      <c r="A646" t="s">
        <v>5202</v>
      </c>
      <c r="B646" s="386" t="s">
        <v>7019</v>
      </c>
      <c r="C646" s="387">
        <f>UDV.econ_manure.liquid_sell_price*C525</f>
        <v>0</v>
      </c>
      <c r="D646" s="389">
        <f>UDV.econ_manure.liquid_sell_price*C525</f>
        <v>0</v>
      </c>
      <c r="E646" s="387"/>
      <c r="F646" s="389">
        <f>UDV.econ_manure.sludge_sell_price*C528</f>
        <v>0</v>
      </c>
      <c r="G646" s="387">
        <f>UDV.econ_manure.sep_solids_sell_price*I524</f>
        <v>0</v>
      </c>
      <c r="H646" s="389">
        <f>UDV.econ_manure.sep_solids_sell_price*I529</f>
        <v>0</v>
      </c>
    </row>
    <row r="647" spans="1:8" x14ac:dyDescent="0.3">
      <c r="A647" t="s">
        <v>5202</v>
      </c>
      <c r="B647" s="386" t="s">
        <v>7128</v>
      </c>
      <c r="C647" s="390">
        <f>C646</f>
        <v>0</v>
      </c>
      <c r="D647" s="391"/>
      <c r="E647" s="390">
        <f>(F646/UDV.anaer_lagoon.sludge_time)</f>
        <v>0</v>
      </c>
      <c r="F647" s="391"/>
      <c r="G647" s="390">
        <f>((G646*(E568-1))+H646)/E568</f>
        <v>0</v>
      </c>
      <c r="H647" s="391"/>
    </row>
    <row r="648" spans="1:8" x14ac:dyDescent="0.3">
      <c r="A648" t="s">
        <v>5202</v>
      </c>
      <c r="B648" s="386" t="s">
        <v>7020</v>
      </c>
      <c r="C648" s="393">
        <f>SUM(C647,E647,G647)</f>
        <v>0</v>
      </c>
      <c r="D648" s="146"/>
      <c r="E648" s="99"/>
      <c r="F648" s="146"/>
      <c r="G648" s="99"/>
      <c r="H648" s="146"/>
    </row>
    <row r="649" spans="1:8" x14ac:dyDescent="0.3">
      <c r="B649" s="386"/>
      <c r="D649" s="146"/>
      <c r="E649" s="99"/>
      <c r="F649" s="146"/>
      <c r="G649" s="99"/>
      <c r="H649" s="146"/>
    </row>
    <row r="650" spans="1:8" x14ac:dyDescent="0.3">
      <c r="B650" s="398" t="s">
        <v>7021</v>
      </c>
      <c r="C650" s="139" t="s">
        <v>7124</v>
      </c>
      <c r="D650" s="245" t="s">
        <v>7125</v>
      </c>
      <c r="E650" s="139" t="s">
        <v>7124</v>
      </c>
      <c r="F650" s="245" t="s">
        <v>7125</v>
      </c>
      <c r="G650" s="139" t="s">
        <v>7124</v>
      </c>
      <c r="H650" s="245" t="s">
        <v>7125</v>
      </c>
    </row>
    <row r="651" spans="1:8" x14ac:dyDescent="0.3">
      <c r="A651" t="s">
        <v>5202</v>
      </c>
      <c r="B651" s="386" t="s">
        <v>7022</v>
      </c>
      <c r="C651" s="387">
        <f>UDV.econ_manure.liquid_export_cost*C526</f>
        <v>0</v>
      </c>
      <c r="D651" s="389">
        <f>UDV.econ_manure.liquid_export_cost*C526</f>
        <v>0</v>
      </c>
      <c r="E651" s="387"/>
      <c r="F651" s="389">
        <f>UDV.econ_manure.sludge_export_cost*C529</f>
        <v>0</v>
      </c>
      <c r="G651" s="387">
        <f>UDV.econ_manure.sep_solids_export_cost*I525</f>
        <v>0</v>
      </c>
      <c r="H651" s="389">
        <f>UDV.econ_manure.sep_solids_export_cost*I530</f>
        <v>0</v>
      </c>
    </row>
    <row r="652" spans="1:8" x14ac:dyDescent="0.3">
      <c r="A652" t="s">
        <v>5202</v>
      </c>
      <c r="B652" s="386" t="s">
        <v>7129</v>
      </c>
      <c r="C652" s="390">
        <f>C651</f>
        <v>0</v>
      </c>
      <c r="D652" s="391"/>
      <c r="E652" s="390">
        <f>(F651/UDV.anaer_lagoon.sludge_time)</f>
        <v>0</v>
      </c>
      <c r="F652" s="391"/>
      <c r="G652" s="390">
        <f>((G651*(E568-1))+H651)/E568</f>
        <v>0</v>
      </c>
      <c r="H652" s="391"/>
    </row>
    <row r="653" spans="1:8" x14ac:dyDescent="0.3">
      <c r="A653" t="s">
        <v>5202</v>
      </c>
      <c r="B653" s="386" t="s">
        <v>7023</v>
      </c>
      <c r="C653" s="393">
        <f>SUM(C652,E652,G652)</f>
        <v>0</v>
      </c>
      <c r="D653" s="146"/>
      <c r="E653" s="99"/>
      <c r="F653" s="146"/>
      <c r="G653" s="99"/>
      <c r="H653" s="146"/>
    </row>
    <row r="654" spans="1:8" x14ac:dyDescent="0.3">
      <c r="D654" s="146"/>
      <c r="E654" s="99"/>
      <c r="F654" s="146"/>
    </row>
    <row r="655" spans="1:8" x14ac:dyDescent="0.3">
      <c r="B655" s="303" t="s">
        <v>7138</v>
      </c>
      <c r="C655" s="173" t="s">
        <v>7025</v>
      </c>
      <c r="D655" s="173"/>
      <c r="E655" s="99"/>
      <c r="F655" s="146"/>
      <c r="G655" s="99"/>
      <c r="H655" s="146"/>
    </row>
    <row r="656" spans="1:8" x14ac:dyDescent="0.3">
      <c r="B656" s="70" t="s">
        <v>7139</v>
      </c>
      <c r="C656" s="265"/>
      <c r="D656" s="151"/>
      <c r="E656" s="149"/>
      <c r="F656" s="151"/>
      <c r="G656" s="149"/>
      <c r="H656" s="151"/>
    </row>
    <row r="657" spans="1:18" ht="15" thickBot="1" x14ac:dyDescent="0.35">
      <c r="A657" s="137"/>
      <c r="B657" s="137"/>
      <c r="C657" s="137"/>
      <c r="D657" s="137"/>
      <c r="E657" s="137"/>
      <c r="F657" s="137"/>
      <c r="G657" s="137"/>
      <c r="H657" s="137"/>
      <c r="I657" s="137"/>
      <c r="J657" s="137"/>
      <c r="K657" s="137"/>
      <c r="L657" s="137"/>
      <c r="M657" s="137"/>
      <c r="N657" s="137"/>
      <c r="O657" s="137"/>
      <c r="P657" s="137"/>
      <c r="Q657" s="137"/>
    </row>
    <row r="658" spans="1:18" x14ac:dyDescent="0.3">
      <c r="D658" s="66"/>
      <c r="E658" s="66"/>
      <c r="F658" s="19"/>
      <c r="G658" s="42"/>
      <c r="H658" s="3"/>
      <c r="J658" s="42"/>
      <c r="R658" s="20"/>
    </row>
    <row r="659" spans="1:18" ht="15.6" x14ac:dyDescent="0.3">
      <c r="B659" s="82" t="s">
        <v>7130</v>
      </c>
      <c r="H659" s="138" t="s">
        <v>7325</v>
      </c>
      <c r="I659" s="776" t="s">
        <v>7408</v>
      </c>
    </row>
    <row r="661" spans="1:18" x14ac:dyDescent="0.3">
      <c r="B661" s="139" t="s">
        <v>6983</v>
      </c>
      <c r="C661" s="140" t="s">
        <v>565</v>
      </c>
      <c r="D661" s="140" t="s">
        <v>38</v>
      </c>
      <c r="E661" s="142"/>
      <c r="F661" s="141"/>
      <c r="H661" s="139" t="s">
        <v>7327</v>
      </c>
      <c r="I661" s="142"/>
      <c r="J661" s="142"/>
      <c r="K661" s="142"/>
      <c r="L661" s="141"/>
    </row>
    <row r="662" spans="1:18" x14ac:dyDescent="0.3">
      <c r="B662" s="99" t="s">
        <v>7028</v>
      </c>
      <c r="C662">
        <f>UDV.crops.acres_available</f>
        <v>100</v>
      </c>
      <c r="D662" t="s">
        <v>7029</v>
      </c>
      <c r="E662" s="34"/>
      <c r="F662" s="146"/>
      <c r="H662" s="99" t="s">
        <v>7409</v>
      </c>
      <c r="I662" s="166">
        <f>UDV.econ_manure.sep_solids_sell_pct*VLOOKUP("Excess amount, separated solids (non-sludge year)",$R$1:$T$327, 3, FALSE)</f>
        <v>0</v>
      </c>
      <c r="J662" t="s">
        <v>5250</v>
      </c>
      <c r="L662" s="146"/>
    </row>
    <row r="663" spans="1:18" x14ac:dyDescent="0.3">
      <c r="B663" s="99" t="s">
        <v>7109</v>
      </c>
      <c r="C663" s="166">
        <f>UDV.econ_manure.liquid_sell_pct*VLOOKUP("Excess volume, lagoon liquid manure",$R$1:$T$327, 3, FALSE)</f>
        <v>0</v>
      </c>
      <c r="D663" t="s">
        <v>5246</v>
      </c>
      <c r="F663" s="146"/>
      <c r="H663" s="99" t="s">
        <v>7410</v>
      </c>
      <c r="I663" s="166">
        <f>UDV.econ_manure.sep_solids_give_pct*VLOOKUP("Excess amount, separated solids (non-sludge year)",$R$1:$T$327, 3, FALSE)</f>
        <v>0</v>
      </c>
      <c r="J663" t="s">
        <v>5250</v>
      </c>
      <c r="L663" s="146"/>
    </row>
    <row r="664" spans="1:18" x14ac:dyDescent="0.3">
      <c r="B664" s="99" t="s">
        <v>7110</v>
      </c>
      <c r="C664" s="166">
        <f>UDV.econ_manure.liquid_give_pct*VLOOKUP("Excess volume, lagoon liquid manure",$R$1:$T$327, 3, FALSE)</f>
        <v>0</v>
      </c>
      <c r="D664" t="s">
        <v>5246</v>
      </c>
      <c r="F664" s="146"/>
      <c r="H664" s="99" t="s">
        <v>7411</v>
      </c>
      <c r="I664" s="166">
        <f>UDV.econ_manure.sep_solids_export_pct*VLOOKUP("Excess amount, separated solids (non-sludge year)",$R$1:$T$327, 3, FALSE)</f>
        <v>0</v>
      </c>
      <c r="J664" t="s">
        <v>5250</v>
      </c>
      <c r="L664" s="146"/>
    </row>
    <row r="665" spans="1:18" x14ac:dyDescent="0.3">
      <c r="B665" s="99" t="s">
        <v>7111</v>
      </c>
      <c r="C665" s="166">
        <f>UDV.econ_manure.liquid_export_pct*VLOOKUP("Excess volume, lagoon liquid manure",$R$1:$T$327, 3, FALSE)</f>
        <v>0</v>
      </c>
      <c r="D665" t="s">
        <v>5246</v>
      </c>
      <c r="F665" s="146"/>
      <c r="H665" s="99"/>
      <c r="L665" s="146"/>
    </row>
    <row r="666" spans="1:18" x14ac:dyDescent="0.3">
      <c r="B666" s="99" t="s">
        <v>7112</v>
      </c>
      <c r="C666" s="166">
        <f>UDV.econ_manure.sludge_sell_pct*VLOOKUP("Excess volume, lagoon sludge manure",$R$1:$T$327, 3, FALSE)</f>
        <v>0</v>
      </c>
      <c r="D666" t="s">
        <v>5249</v>
      </c>
      <c r="F666" s="146"/>
      <c r="H666" s="92" t="s">
        <v>7412</v>
      </c>
      <c r="L666" s="146"/>
    </row>
    <row r="667" spans="1:18" x14ac:dyDescent="0.3">
      <c r="B667" s="99" t="s">
        <v>7113</v>
      </c>
      <c r="C667" s="166">
        <f>UDV.econ_manure.sludge_give_pct*VLOOKUP("Excess volume, lagoon sludge manure",$R$1:$T$327, 3, FALSE)</f>
        <v>0</v>
      </c>
      <c r="D667" t="s">
        <v>5249</v>
      </c>
      <c r="F667" s="146"/>
      <c r="H667" s="99" t="s">
        <v>7409</v>
      </c>
      <c r="I667" s="166">
        <f>UDV.econ_manure.sep_solids_sell_pct*VLOOKUP("Excess amount, separated solids (sludge year)",$R$1:$T$327, 3, FALSE)</f>
        <v>6.5192987866282035</v>
      </c>
      <c r="J667" t="s">
        <v>5250</v>
      </c>
      <c r="L667" s="146"/>
    </row>
    <row r="668" spans="1:18" x14ac:dyDescent="0.3">
      <c r="B668" s="99" t="s">
        <v>7114</v>
      </c>
      <c r="C668" s="166">
        <f>UDV.econ_manure.sludge_export_pct*VLOOKUP("Excess volume, lagoon sludge manure",$R$1:$T$327, 3, FALSE)</f>
        <v>0</v>
      </c>
      <c r="D668" t="s">
        <v>5249</v>
      </c>
      <c r="F668" s="146"/>
      <c r="H668" s="99" t="s">
        <v>7410</v>
      </c>
      <c r="I668" s="166">
        <f>UDV.econ_manure.sep_solids_give_pct*VLOOKUP("Excess amount, separated solids (sludge year)",$R$1:$T$327, 3, FALSE)</f>
        <v>0</v>
      </c>
      <c r="J668" t="s">
        <v>5250</v>
      </c>
      <c r="L668" s="146"/>
    </row>
    <row r="669" spans="1:18" x14ac:dyDescent="0.3">
      <c r="B669" s="99"/>
      <c r="F669" s="151"/>
      <c r="H669" s="149" t="s">
        <v>7411</v>
      </c>
      <c r="I669" s="757">
        <f>UDV.econ_manure.sep_solids_export_pct*VLOOKUP("Excess amount, separated solids (sludge year)",$R$1:$T$327, 3, FALSE)</f>
        <v>0</v>
      </c>
      <c r="J669" s="150" t="s">
        <v>5250</v>
      </c>
      <c r="K669" s="150"/>
      <c r="L669" s="151"/>
    </row>
    <row r="670" spans="1:18" x14ac:dyDescent="0.3">
      <c r="B670" s="92" t="s">
        <v>6942</v>
      </c>
      <c r="C670" s="82"/>
      <c r="D670" s="82"/>
      <c r="E670" s="139" t="s">
        <v>6988</v>
      </c>
      <c r="F670" s="141"/>
    </row>
    <row r="671" spans="1:18" x14ac:dyDescent="0.3">
      <c r="B671" s="175" t="s">
        <v>2908</v>
      </c>
      <c r="C671" s="82"/>
      <c r="D671" s="82"/>
      <c r="E671" s="92"/>
      <c r="F671" s="146"/>
      <c r="H671" s="139" t="s">
        <v>6942</v>
      </c>
      <c r="I671" s="142"/>
      <c r="J671" s="141"/>
      <c r="K671" s="139" t="s">
        <v>6988</v>
      </c>
      <c r="L671" s="141"/>
    </row>
    <row r="672" spans="1:18" x14ac:dyDescent="0.3">
      <c r="B672" s="143" t="s">
        <v>2663</v>
      </c>
      <c r="C672" s="144" t="s">
        <v>565</v>
      </c>
      <c r="D672" s="144" t="s">
        <v>6943</v>
      </c>
      <c r="E672" s="143" t="s">
        <v>565</v>
      </c>
      <c r="F672" s="145" t="s">
        <v>6944</v>
      </c>
      <c r="H672" s="143" t="s">
        <v>2663</v>
      </c>
      <c r="I672" s="144" t="s">
        <v>565</v>
      </c>
      <c r="J672" s="145" t="s">
        <v>6943</v>
      </c>
      <c r="K672" s="143" t="s">
        <v>565</v>
      </c>
      <c r="L672" s="145" t="s">
        <v>6944</v>
      </c>
    </row>
    <row r="673" spans="2:13" x14ac:dyDescent="0.3">
      <c r="B673" s="99" t="s">
        <v>5708</v>
      </c>
      <c r="C673" s="147">
        <f>VLOOKUP(B673,$R:$U,3,FALSE)</f>
        <v>3000</v>
      </c>
      <c r="D673" t="s">
        <v>2514</v>
      </c>
      <c r="E673" s="99">
        <f>C673</f>
        <v>3000</v>
      </c>
      <c r="F673" s="146" t="s">
        <v>2514</v>
      </c>
      <c r="H673" s="99" t="s">
        <v>6150</v>
      </c>
      <c r="I673" s="382">
        <f>VLOOKUP(H673,$R:$U,3,FALSE)</f>
        <v>90</v>
      </c>
      <c r="J673" s="146" t="s">
        <v>5121</v>
      </c>
      <c r="K673" s="99">
        <f>365/I673</f>
        <v>4.0555555555555554</v>
      </c>
      <c r="L673" s="146" t="s">
        <v>7043</v>
      </c>
    </row>
    <row r="674" spans="2:13" x14ac:dyDescent="0.3">
      <c r="B674" s="99" t="s">
        <v>5709</v>
      </c>
      <c r="C674" s="147">
        <f>VLOOKUP(B674,$R:$U,3,FALSE)</f>
        <v>1</v>
      </c>
      <c r="D674" t="s">
        <v>2442</v>
      </c>
      <c r="E674" s="99">
        <f>IF(C692=0,0,C674)</f>
        <v>1</v>
      </c>
      <c r="F674" s="146" t="s">
        <v>2442</v>
      </c>
      <c r="H674" s="99" t="s">
        <v>6149</v>
      </c>
      <c r="I674" s="382">
        <f>VLOOKUP(H674,$R:$U,3,FALSE)</f>
        <v>94</v>
      </c>
      <c r="J674" s="146" t="s">
        <v>5689</v>
      </c>
      <c r="K674" s="99">
        <f>I674</f>
        <v>94</v>
      </c>
      <c r="L674" s="146" t="s">
        <v>5689</v>
      </c>
    </row>
    <row r="675" spans="2:13" x14ac:dyDescent="0.3">
      <c r="B675" s="99" t="s">
        <v>5710</v>
      </c>
      <c r="C675" s="147">
        <f>VLOOKUP(B675,$R:$U,3,FALSE)</f>
        <v>1</v>
      </c>
      <c r="D675" t="s">
        <v>2442</v>
      </c>
      <c r="E675" s="99">
        <f>IF(C692=0,0,C675)</f>
        <v>1</v>
      </c>
      <c r="F675" s="146" t="s">
        <v>2442</v>
      </c>
      <c r="H675" s="99" t="s">
        <v>6151</v>
      </c>
      <c r="I675" s="382">
        <f>VLOOKUP(H675,$R:$U,3,FALSE)</f>
        <v>85</v>
      </c>
      <c r="J675" s="146" t="s">
        <v>5689</v>
      </c>
      <c r="K675" s="99">
        <f>I675</f>
        <v>85</v>
      </c>
      <c r="L675" s="146" t="s">
        <v>5689</v>
      </c>
    </row>
    <row r="676" spans="2:13" x14ac:dyDescent="0.3">
      <c r="B676" s="99" t="s">
        <v>5688</v>
      </c>
      <c r="C676" s="147">
        <f>VLOOKUP(B676,$R:$U,3,FALSE)</f>
        <v>580</v>
      </c>
      <c r="D676" t="s">
        <v>5689</v>
      </c>
      <c r="E676" s="99">
        <f>C676</f>
        <v>580</v>
      </c>
      <c r="F676" s="146" t="s">
        <v>5689</v>
      </c>
      <c r="H676" s="222" t="s">
        <v>7413</v>
      </c>
      <c r="J676" s="113"/>
      <c r="L676" s="146" t="s">
        <v>2442</v>
      </c>
      <c r="M676" t="s">
        <v>7419</v>
      </c>
    </row>
    <row r="677" spans="2:13" x14ac:dyDescent="0.3">
      <c r="B677" s="99" t="s">
        <v>5701</v>
      </c>
      <c r="C677" s="147">
        <f>VLOOKUP(B677,$R:$U,3,FALSE)</f>
        <v>340</v>
      </c>
      <c r="D677" t="s">
        <v>971</v>
      </c>
      <c r="E677" s="99">
        <f>C677</f>
        <v>340</v>
      </c>
      <c r="F677" s="146" t="s">
        <v>971</v>
      </c>
      <c r="H677" s="222" t="s">
        <v>7415</v>
      </c>
      <c r="J677" s="113"/>
      <c r="L677" s="146" t="s">
        <v>2442</v>
      </c>
    </row>
    <row r="678" spans="2:13" x14ac:dyDescent="0.3">
      <c r="B678" s="99" t="s">
        <v>6539</v>
      </c>
      <c r="E678" s="178">
        <f>C1049</f>
        <v>1</v>
      </c>
      <c r="F678" s="146" t="s">
        <v>2442</v>
      </c>
      <c r="H678" s="99" t="s">
        <v>6084</v>
      </c>
      <c r="I678" s="382">
        <f t="shared" ref="I678:I685" si="34">VLOOKUP(H678,$R:$U,3,FALSE)</f>
        <v>0.25190621367504379</v>
      </c>
      <c r="J678" s="146" t="s">
        <v>6085</v>
      </c>
      <c r="K678" s="178">
        <f>I678*K673</f>
        <v>1.0216196443487886</v>
      </c>
      <c r="L678" s="146" t="s">
        <v>2710</v>
      </c>
    </row>
    <row r="679" spans="2:13" x14ac:dyDescent="0.3">
      <c r="B679" s="99" t="s">
        <v>6540</v>
      </c>
      <c r="E679" s="178">
        <f>C1050</f>
        <v>1</v>
      </c>
      <c r="F679" s="146" t="s">
        <v>2442</v>
      </c>
      <c r="H679" s="99" t="s">
        <v>6121</v>
      </c>
      <c r="I679" s="382">
        <f t="shared" si="34"/>
        <v>0.32347961935857383</v>
      </c>
      <c r="J679" s="146" t="s">
        <v>6085</v>
      </c>
      <c r="K679" s="178">
        <f>I679*K673</f>
        <v>1.3118895673986606</v>
      </c>
      <c r="L679" s="146" t="s">
        <v>2710</v>
      </c>
    </row>
    <row r="680" spans="2:13" x14ac:dyDescent="0.3">
      <c r="B680" s="99" t="s">
        <v>5739</v>
      </c>
      <c r="C680" s="147">
        <f>VLOOKUP(B680,$R:$U,3,FALSE)</f>
        <v>2</v>
      </c>
      <c r="D680" t="s">
        <v>2971</v>
      </c>
      <c r="E680" s="401">
        <f>C680</f>
        <v>2</v>
      </c>
      <c r="F680" s="146" t="s">
        <v>2971</v>
      </c>
      <c r="H680" s="99" t="s">
        <v>6086</v>
      </c>
      <c r="I680" s="382">
        <f t="shared" si="34"/>
        <v>1.0418840997599812</v>
      </c>
      <c r="J680" s="146" t="s">
        <v>6087</v>
      </c>
      <c r="K680" s="178">
        <f>I680*K673</f>
        <v>4.2254188490265898</v>
      </c>
      <c r="L680" s="146" t="s">
        <v>7135</v>
      </c>
    </row>
    <row r="681" spans="2:13" x14ac:dyDescent="0.3">
      <c r="B681" s="99" t="s">
        <v>5732</v>
      </c>
      <c r="C681" s="147" t="str">
        <f>VLOOKUP(B681,$R:$U,3,FALSE)</f>
        <v>Injection</v>
      </c>
      <c r="D681" t="s">
        <v>7042</v>
      </c>
      <c r="E681" s="165" t="str">
        <f>C681</f>
        <v>Injection</v>
      </c>
      <c r="F681" s="146" t="s">
        <v>7042</v>
      </c>
      <c r="H681" s="99" t="s">
        <v>6123</v>
      </c>
      <c r="I681" s="382">
        <f t="shared" si="34"/>
        <v>1.2098137764010659</v>
      </c>
      <c r="J681" s="146" t="s">
        <v>6087</v>
      </c>
      <c r="K681" s="178">
        <f>I681*K673</f>
        <v>4.906466982070989</v>
      </c>
      <c r="L681" s="146" t="s">
        <v>7135</v>
      </c>
    </row>
    <row r="682" spans="2:13" x14ac:dyDescent="0.3">
      <c r="B682" s="99"/>
      <c r="C682" s="82"/>
      <c r="D682" s="82"/>
      <c r="E682" s="92"/>
      <c r="F682" s="146"/>
      <c r="H682" s="99" t="s">
        <v>6154</v>
      </c>
      <c r="I682" s="382">
        <f t="shared" si="34"/>
        <v>60.667777777777751</v>
      </c>
      <c r="J682" s="146" t="s">
        <v>7401</v>
      </c>
      <c r="K682" s="401">
        <f>CONVERT(I682,"kg","ton")*365</f>
        <v>24.40929384337845</v>
      </c>
      <c r="L682" s="146" t="s">
        <v>5250</v>
      </c>
    </row>
    <row r="683" spans="2:13" x14ac:dyDescent="0.3">
      <c r="B683" s="175" t="s">
        <v>7115</v>
      </c>
      <c r="C683" s="147"/>
      <c r="E683" s="99"/>
      <c r="F683" s="146"/>
      <c r="H683" s="99" t="s">
        <v>6155</v>
      </c>
      <c r="I683" s="382">
        <f t="shared" si="34"/>
        <v>37.466188939106154</v>
      </c>
      <c r="J683" s="146" t="s">
        <v>6031</v>
      </c>
      <c r="K683" s="401">
        <f>I683*UC.g_to_lb/UC.kg_to_lb*2000</f>
        <v>74.932377941049907</v>
      </c>
      <c r="L683" s="146" t="s">
        <v>4892</v>
      </c>
    </row>
    <row r="684" spans="2:13" x14ac:dyDescent="0.3">
      <c r="B684" s="143" t="s">
        <v>2663</v>
      </c>
      <c r="C684" s="147"/>
      <c r="E684" s="99"/>
      <c r="F684" s="146"/>
      <c r="G684" s="99"/>
      <c r="H684" s="99" t="s">
        <v>6156</v>
      </c>
      <c r="I684" s="382">
        <f t="shared" si="34"/>
        <v>52.499903847914887</v>
      </c>
      <c r="J684" s="146" t="s">
        <v>6031</v>
      </c>
      <c r="K684" s="401">
        <f>I684*UC.g_to_lb/UC.kg_to_lb*2000</f>
        <v>104.99980778388162</v>
      </c>
      <c r="L684" s="146" t="s">
        <v>4892</v>
      </c>
    </row>
    <row r="685" spans="2:13" x14ac:dyDescent="0.3">
      <c r="B685" s="99" t="s">
        <v>6407</v>
      </c>
      <c r="C685" s="147">
        <f>VLOOKUP(B685,$R:$U,3,FALSE)</f>
        <v>23.465714939822032</v>
      </c>
      <c r="D685" t="s">
        <v>5385</v>
      </c>
      <c r="E685" s="178">
        <f>C685</f>
        <v>23.465714939822032</v>
      </c>
      <c r="F685" s="146" t="s">
        <v>5385</v>
      </c>
      <c r="G685" s="99"/>
      <c r="H685" s="99" t="s">
        <v>6157</v>
      </c>
      <c r="I685" s="382">
        <f t="shared" si="34"/>
        <v>57.857319463013518</v>
      </c>
      <c r="J685" s="146" t="s">
        <v>6031</v>
      </c>
      <c r="K685" s="401">
        <f>I685*UC.g_to_lb/UC.kg_to_lb*2000</f>
        <v>115.71463902306427</v>
      </c>
      <c r="L685" s="151" t="s">
        <v>4892</v>
      </c>
    </row>
    <row r="686" spans="2:13" x14ac:dyDescent="0.3">
      <c r="B686" s="99" t="s">
        <v>6409</v>
      </c>
      <c r="C686" s="147">
        <f>VLOOKUP(B686,$R:$U,3,FALSE)</f>
        <v>1437.980276853388</v>
      </c>
      <c r="D686" t="s">
        <v>5323</v>
      </c>
      <c r="E686" s="178">
        <f>C686</f>
        <v>1437.980276853388</v>
      </c>
      <c r="F686" s="146" t="s">
        <v>5323</v>
      </c>
      <c r="G686" s="99"/>
      <c r="H686" s="99" t="s">
        <v>6030</v>
      </c>
      <c r="J686" s="146"/>
      <c r="K686" s="147">
        <f>K683*K682</f>
        <v>1829.0464315461766</v>
      </c>
      <c r="L686" s="146" t="s">
        <v>5346</v>
      </c>
    </row>
    <row r="687" spans="2:13" x14ac:dyDescent="0.3">
      <c r="B687" s="99" t="s">
        <v>6390</v>
      </c>
      <c r="C687" s="205">
        <f>VLOOKUP(B687,$R:$U, 3, FALSE)</f>
        <v>9.3862859759288124</v>
      </c>
      <c r="D687" t="s">
        <v>2472</v>
      </c>
      <c r="E687" s="178">
        <f>C687</f>
        <v>9.3862859759288124</v>
      </c>
      <c r="F687" s="146" t="s">
        <v>2710</v>
      </c>
      <c r="G687" s="99"/>
      <c r="H687" s="99" t="s">
        <v>6032</v>
      </c>
      <c r="J687" s="146"/>
      <c r="K687" s="147">
        <f>K684*K682</f>
        <v>2562.9711616950221</v>
      </c>
      <c r="L687" s="146" t="s">
        <v>5346</v>
      </c>
    </row>
    <row r="688" spans="2:13" x14ac:dyDescent="0.3">
      <c r="B688" s="99"/>
      <c r="E688" s="99"/>
      <c r="F688" s="146"/>
      <c r="G688" s="99"/>
      <c r="H688" s="99" t="s">
        <v>6033</v>
      </c>
      <c r="J688" s="146"/>
      <c r="K688" s="295">
        <f>K685*K682</f>
        <v>2824.5126258944424</v>
      </c>
      <c r="L688" s="151" t="s">
        <v>5346</v>
      </c>
    </row>
    <row r="689" spans="2:12" x14ac:dyDescent="0.3">
      <c r="B689" s="175" t="s">
        <v>6380</v>
      </c>
      <c r="E689" s="99"/>
      <c r="F689" s="146"/>
      <c r="G689" s="99"/>
      <c r="H689" s="99"/>
      <c r="J689" s="146"/>
      <c r="L689" s="146"/>
    </row>
    <row r="690" spans="2:12" x14ac:dyDescent="0.3">
      <c r="B690" s="143" t="s">
        <v>2663</v>
      </c>
      <c r="C690" s="144" t="s">
        <v>565</v>
      </c>
      <c r="D690" s="144" t="s">
        <v>6943</v>
      </c>
      <c r="E690" s="143" t="s">
        <v>565</v>
      </c>
      <c r="F690" s="145" t="s">
        <v>6944</v>
      </c>
      <c r="G690" s="99"/>
      <c r="H690" s="779"/>
      <c r="J690" s="113"/>
      <c r="L690" s="146"/>
    </row>
    <row r="691" spans="2:12" x14ac:dyDescent="0.3">
      <c r="B691" s="99" t="s">
        <v>6401</v>
      </c>
      <c r="C691" s="147">
        <f>VLOOKUP(B691,$R:$U,3,FALSE)</f>
        <v>182.5</v>
      </c>
      <c r="D691" t="s">
        <v>5121</v>
      </c>
      <c r="E691" s="201">
        <f>UC.year_to_day/C691</f>
        <v>2</v>
      </c>
      <c r="F691" s="146" t="s">
        <v>7043</v>
      </c>
      <c r="G691" s="99"/>
      <c r="H691" s="92" t="s">
        <v>6996</v>
      </c>
      <c r="I691" s="78"/>
      <c r="J691" s="146"/>
      <c r="L691" s="146"/>
    </row>
    <row r="692" spans="2:12" x14ac:dyDescent="0.3">
      <c r="B692" s="99" t="s">
        <v>5713</v>
      </c>
      <c r="C692" s="147">
        <f>VLOOKUP(B692,$R:$U,3,FALSE)</f>
        <v>0.26782823885473367</v>
      </c>
      <c r="D692" s="146" t="s">
        <v>6085</v>
      </c>
      <c r="E692" s="147">
        <f>C692*E691</f>
        <v>0.53565647770946734</v>
      </c>
      <c r="F692" s="146" t="s">
        <v>2710</v>
      </c>
      <c r="G692" s="99"/>
      <c r="H692" s="143" t="s">
        <v>2663</v>
      </c>
      <c r="I692" s="144"/>
      <c r="J692" s="145"/>
      <c r="K692" s="144" t="s">
        <v>565</v>
      </c>
      <c r="L692" s="145" t="s">
        <v>6944</v>
      </c>
    </row>
    <row r="693" spans="2:12" x14ac:dyDescent="0.3">
      <c r="B693" s="99" t="s">
        <v>6543</v>
      </c>
      <c r="C693" s="204">
        <f>C692</f>
        <v>0.26782823885473367</v>
      </c>
      <c r="D693" s="141" t="s">
        <v>6085</v>
      </c>
      <c r="E693" s="178">
        <f>C693*E691</f>
        <v>0.53565647770946734</v>
      </c>
      <c r="F693" s="146" t="s">
        <v>2710</v>
      </c>
      <c r="G693" s="99"/>
      <c r="H693" s="99" t="s">
        <v>6998</v>
      </c>
      <c r="J693" s="146"/>
      <c r="K693" s="156">
        <f>UDV.labor.non_specialized_cost</f>
        <v>23.66</v>
      </c>
      <c r="L693" s="146" t="s">
        <v>3659</v>
      </c>
    </row>
    <row r="694" spans="2:12" x14ac:dyDescent="0.3">
      <c r="B694" s="99" t="s">
        <v>6544</v>
      </c>
      <c r="C694" s="205">
        <f>C692</f>
        <v>0.26782823885473367</v>
      </c>
      <c r="D694" s="146" t="s">
        <v>6085</v>
      </c>
      <c r="E694" s="178">
        <f>C694*E691</f>
        <v>0.53565647770946734</v>
      </c>
      <c r="F694" s="146" t="s">
        <v>2710</v>
      </c>
      <c r="G694" s="99"/>
      <c r="H694" s="149" t="s">
        <v>6997</v>
      </c>
      <c r="I694" s="150"/>
      <c r="J694" s="151"/>
      <c r="K694" s="780">
        <f>UDV.fuel.diesel_avg_cost</f>
        <v>3.6964905660377356</v>
      </c>
      <c r="L694" s="151" t="s">
        <v>2315</v>
      </c>
    </row>
    <row r="695" spans="2:12" x14ac:dyDescent="0.3">
      <c r="B695" s="99" t="s">
        <v>6545</v>
      </c>
      <c r="C695" s="205">
        <f>C692</f>
        <v>0.26782823885473367</v>
      </c>
      <c r="D695" s="146" t="s">
        <v>6085</v>
      </c>
      <c r="E695" s="178">
        <f>C695*E691</f>
        <v>0.53565647770946734</v>
      </c>
      <c r="F695" s="146" t="s">
        <v>2710</v>
      </c>
      <c r="G695" s="99"/>
    </row>
    <row r="696" spans="2:12" x14ac:dyDescent="0.3">
      <c r="B696" s="99" t="s">
        <v>6546</v>
      </c>
      <c r="C696" s="205">
        <f>C692*UDV.dhl.application_maneuver_factor</f>
        <v>0.30800247468294367</v>
      </c>
      <c r="D696" s="146" t="s">
        <v>6085</v>
      </c>
      <c r="E696" s="178">
        <f>C696*E691</f>
        <v>0.61600494936588734</v>
      </c>
      <c r="F696" s="146" t="s">
        <v>2710</v>
      </c>
      <c r="G696" s="99"/>
    </row>
    <row r="697" spans="2:12" x14ac:dyDescent="0.3">
      <c r="B697" s="99" t="s">
        <v>6547</v>
      </c>
      <c r="C697" s="205">
        <f>C692*UDV.dhl.hose_mover_utilization</f>
        <v>0.20087117914105024</v>
      </c>
      <c r="D697" s="146" t="s">
        <v>6085</v>
      </c>
      <c r="E697" s="178">
        <f>C697*E691</f>
        <v>0.40174235828210048</v>
      </c>
      <c r="F697" s="146" t="s">
        <v>2710</v>
      </c>
      <c r="G697" s="99"/>
    </row>
    <row r="698" spans="2:12" x14ac:dyDescent="0.3">
      <c r="B698" s="99" t="s">
        <v>6548</v>
      </c>
      <c r="C698" s="209">
        <f>C692*UDV.dhl.pickup_utilization</f>
        <v>4.0174235828210052E-2</v>
      </c>
      <c r="D698" s="151" t="s">
        <v>6085</v>
      </c>
      <c r="E698" s="178">
        <f>C698*E691</f>
        <v>8.0348471656420103E-2</v>
      </c>
      <c r="F698" s="146" t="s">
        <v>2710</v>
      </c>
      <c r="G698" s="1222" t="s">
        <v>3007</v>
      </c>
      <c r="H698" s="1215" t="s">
        <v>6993</v>
      </c>
      <c r="I698" s="142"/>
      <c r="J698" s="141"/>
    </row>
    <row r="699" spans="2:12" x14ac:dyDescent="0.3">
      <c r="B699" s="99" t="s">
        <v>5714</v>
      </c>
      <c r="C699" s="147">
        <f t="shared" ref="C699:C708" si="35">VLOOKUP(B699,$R:$U,3,FALSE)</f>
        <v>4.8209082993852057</v>
      </c>
      <c r="D699" t="s">
        <v>2489</v>
      </c>
      <c r="E699" s="178">
        <f>C699*E691</f>
        <v>9.6418165987704114</v>
      </c>
      <c r="F699" s="146" t="s">
        <v>7135</v>
      </c>
      <c r="G699" s="42" t="s">
        <v>7131</v>
      </c>
      <c r="H699" s="92" t="s">
        <v>5443</v>
      </c>
      <c r="I699" s="1216" t="s">
        <v>2710</v>
      </c>
      <c r="J699" s="285">
        <f>(SUM(E693:E695)*UDV.OPEX_labor.tractor_stationary)+(SUM(E696:E698,K678:K679)*UDV.OPEX_labor.tractor_active)+E687</f>
        <v>13.321748409398694</v>
      </c>
    </row>
    <row r="700" spans="2:12" x14ac:dyDescent="0.3">
      <c r="B700" s="99" t="s">
        <v>5715</v>
      </c>
      <c r="C700" s="147">
        <f t="shared" si="35"/>
        <v>2.0087117914105024</v>
      </c>
      <c r="D700" t="s">
        <v>2489</v>
      </c>
      <c r="E700" s="178">
        <f>C700*E691</f>
        <v>4.0174235828210048</v>
      </c>
      <c r="F700" s="146" t="s">
        <v>7135</v>
      </c>
      <c r="G700" s="42" t="s">
        <v>7132</v>
      </c>
      <c r="H700" s="1217" t="s">
        <v>5444</v>
      </c>
      <c r="I700" s="1216" t="s">
        <v>6085</v>
      </c>
      <c r="J700" s="285">
        <f>(SUM(E714:E716)*UDV.OPEX_labor.tractor_stationary)+(SUM(E717:E719)*UDV.OPEX_labor.tractor_active)</f>
        <v>13.739664966327034</v>
      </c>
    </row>
    <row r="701" spans="2:12" x14ac:dyDescent="0.3">
      <c r="B701" s="99" t="s">
        <v>5716</v>
      </c>
      <c r="C701" s="147">
        <f t="shared" si="35"/>
        <v>1.6069694331284019</v>
      </c>
      <c r="D701" t="s">
        <v>2489</v>
      </c>
      <c r="E701" s="178">
        <f>C701*E691</f>
        <v>3.2139388662568038</v>
      </c>
      <c r="F701" s="146" t="s">
        <v>7135</v>
      </c>
      <c r="G701" s="42" t="s">
        <v>7133</v>
      </c>
      <c r="H701" s="1218" t="s">
        <v>5445</v>
      </c>
      <c r="I701" s="1216" t="s">
        <v>6995</v>
      </c>
      <c r="J701" s="285">
        <f>SUM(J699:J700)</f>
        <v>27.061413375725728</v>
      </c>
    </row>
    <row r="702" spans="2:12" x14ac:dyDescent="0.3">
      <c r="B702" s="99" t="s">
        <v>5740</v>
      </c>
      <c r="C702" s="147">
        <f t="shared" si="35"/>
        <v>25.52</v>
      </c>
      <c r="D702" t="s">
        <v>6549</v>
      </c>
      <c r="E702" s="178">
        <f>C702*E696</f>
        <v>15.720446307817445</v>
      </c>
      <c r="F702" s="146" t="s">
        <v>7135</v>
      </c>
      <c r="G702" s="42" t="s">
        <v>7134</v>
      </c>
      <c r="H702" s="1219" t="s">
        <v>5446</v>
      </c>
      <c r="I702" s="1220" t="s">
        <v>5447</v>
      </c>
      <c r="J702" s="1221">
        <f>J699+(J700/UDV.anaer_lagoon.sludge_time)</f>
        <v>14.695714906031398</v>
      </c>
    </row>
    <row r="703" spans="2:12" x14ac:dyDescent="0.3">
      <c r="B703" s="99" t="s">
        <v>5741</v>
      </c>
      <c r="C703" s="147">
        <f t="shared" si="35"/>
        <v>14.959999999999999</v>
      </c>
      <c r="D703" t="s">
        <v>6549</v>
      </c>
      <c r="E703" s="178">
        <f>C703*E697</f>
        <v>6.0100656799002223</v>
      </c>
      <c r="F703" s="146" t="s">
        <v>7135</v>
      </c>
    </row>
    <row r="704" spans="2:12" x14ac:dyDescent="0.3">
      <c r="B704" s="99" t="s">
        <v>5717</v>
      </c>
      <c r="C704" s="147">
        <f t="shared" si="35"/>
        <v>0.24104541496926027</v>
      </c>
      <c r="D704" t="s">
        <v>2489</v>
      </c>
      <c r="E704" s="178">
        <f>C704*E691</f>
        <v>0.48209082993852054</v>
      </c>
      <c r="F704" s="146" t="s">
        <v>7135</v>
      </c>
    </row>
    <row r="705" spans="2:11" x14ac:dyDescent="0.3">
      <c r="B705" s="99" t="s">
        <v>6403</v>
      </c>
      <c r="C705" s="147">
        <f t="shared" si="35"/>
        <v>1824.9123110817213</v>
      </c>
      <c r="D705" t="s">
        <v>5910</v>
      </c>
      <c r="E705" s="164">
        <f>CONVERT(C705,"m^3","gal")*E691</f>
        <v>964181.66118422023</v>
      </c>
      <c r="F705" s="146" t="s">
        <v>5324</v>
      </c>
    </row>
    <row r="706" spans="2:11" x14ac:dyDescent="0.3">
      <c r="B706" s="99" t="s">
        <v>6404</v>
      </c>
      <c r="C706" s="78">
        <f t="shared" si="35"/>
        <v>0.66511390569986895</v>
      </c>
      <c r="D706" s="146" t="s">
        <v>2413</v>
      </c>
      <c r="E706" s="201">
        <f>C706*UC.g_to_lb/UC.L_to_gal*1000</f>
        <v>5.5506445992758309</v>
      </c>
      <c r="F706" s="146" t="s">
        <v>2414</v>
      </c>
    </row>
    <row r="707" spans="2:11" x14ac:dyDescent="0.3">
      <c r="B707" s="99" t="s">
        <v>6405</v>
      </c>
      <c r="C707" s="78">
        <f t="shared" si="35"/>
        <v>0.32534599495937772</v>
      </c>
      <c r="D707" s="146" t="s">
        <v>2413</v>
      </c>
      <c r="E707" s="201">
        <f>C707*UC.g_to_lb/UC.L_to_gal*1000</f>
        <v>2.7151439390175529</v>
      </c>
      <c r="F707" s="146" t="s">
        <v>2414</v>
      </c>
    </row>
    <row r="708" spans="2:11" x14ac:dyDescent="0.3">
      <c r="B708" s="99" t="s">
        <v>6406</v>
      </c>
      <c r="C708" s="78">
        <f t="shared" si="35"/>
        <v>0.5323869555130053</v>
      </c>
      <c r="D708" s="146" t="s">
        <v>2413</v>
      </c>
      <c r="E708" s="201">
        <f>C708*UC.g_to_lb/UC.L_to_gal*1000</f>
        <v>4.442984508395833</v>
      </c>
      <c r="F708" s="146" t="s">
        <v>2414</v>
      </c>
    </row>
    <row r="709" spans="2:11" x14ac:dyDescent="0.3">
      <c r="B709" s="99"/>
      <c r="E709" s="99"/>
      <c r="F709" s="146"/>
    </row>
    <row r="710" spans="2:11" x14ac:dyDescent="0.3">
      <c r="B710" s="175" t="s">
        <v>263</v>
      </c>
      <c r="E710" s="99"/>
      <c r="F710" s="146"/>
      <c r="H710" s="139" t="s">
        <v>7033</v>
      </c>
      <c r="I710" s="142"/>
      <c r="J710" s="142"/>
      <c r="K710" s="141"/>
    </row>
    <row r="711" spans="2:11" x14ac:dyDescent="0.3">
      <c r="B711" s="143" t="s">
        <v>2663</v>
      </c>
      <c r="C711" s="144" t="s">
        <v>565</v>
      </c>
      <c r="D711" s="144" t="s">
        <v>6943</v>
      </c>
      <c r="E711" s="143" t="s">
        <v>565</v>
      </c>
      <c r="F711" s="145" t="s">
        <v>6944</v>
      </c>
      <c r="H711" s="99" t="s">
        <v>7034</v>
      </c>
      <c r="K711" s="146"/>
    </row>
    <row r="712" spans="2:11" x14ac:dyDescent="0.3">
      <c r="B712" s="99" t="s">
        <v>6416</v>
      </c>
      <c r="C712" s="382">
        <f>VLOOKUP(B712,$X:$AA,3,FALSE)</f>
        <v>10</v>
      </c>
      <c r="D712" t="s">
        <v>2669</v>
      </c>
      <c r="E712" s="99">
        <f>C712</f>
        <v>10</v>
      </c>
      <c r="F712" s="146" t="s">
        <v>2669</v>
      </c>
      <c r="H712" s="99" t="s">
        <v>7035</v>
      </c>
      <c r="K712" s="146"/>
    </row>
    <row r="713" spans="2:11" x14ac:dyDescent="0.3">
      <c r="B713" s="99" t="s">
        <v>5713</v>
      </c>
      <c r="C713" s="382">
        <f>VLOOKUP(B713,$X:$AA,3,FALSE)</f>
        <v>5.3775596737092108</v>
      </c>
      <c r="D713" s="146" t="s">
        <v>6085</v>
      </c>
      <c r="E713" s="311">
        <f>C713</f>
        <v>5.3775596737092108</v>
      </c>
      <c r="F713" s="146" t="s">
        <v>6085</v>
      </c>
      <c r="H713" s="235" t="s">
        <v>7047</v>
      </c>
      <c r="K713" s="146"/>
    </row>
    <row r="714" spans="2:11" x14ac:dyDescent="0.3">
      <c r="B714" s="99" t="s">
        <v>6543</v>
      </c>
      <c r="C714" s="400">
        <f>C713</f>
        <v>5.3775596737092108</v>
      </c>
      <c r="D714" s="141" t="s">
        <v>6085</v>
      </c>
      <c r="E714" s="401">
        <f>E713</f>
        <v>5.3775596737092108</v>
      </c>
      <c r="F714" s="146" t="s">
        <v>6085</v>
      </c>
      <c r="H714" s="235" t="s">
        <v>7037</v>
      </c>
      <c r="K714" s="146"/>
    </row>
    <row r="715" spans="2:11" x14ac:dyDescent="0.3">
      <c r="B715" s="99" t="s">
        <v>6544</v>
      </c>
      <c r="C715" s="78">
        <f>C713</f>
        <v>5.3775596737092108</v>
      </c>
      <c r="D715" t="s">
        <v>6085</v>
      </c>
      <c r="E715" s="401">
        <f>E713</f>
        <v>5.3775596737092108</v>
      </c>
      <c r="F715" s="146" t="s">
        <v>6085</v>
      </c>
      <c r="H715" s="235" t="s">
        <v>7038</v>
      </c>
      <c r="K715" s="146"/>
    </row>
    <row r="716" spans="2:11" x14ac:dyDescent="0.3">
      <c r="B716" s="99" t="s">
        <v>6545</v>
      </c>
      <c r="C716" s="78">
        <f>C713</f>
        <v>5.3775596737092108</v>
      </c>
      <c r="D716" t="s">
        <v>6085</v>
      </c>
      <c r="E716" s="401">
        <f>E713</f>
        <v>5.3775596737092108</v>
      </c>
      <c r="F716" s="146" t="s">
        <v>6085</v>
      </c>
      <c r="H716" s="235" t="s">
        <v>7007</v>
      </c>
      <c r="K716" s="146"/>
    </row>
    <row r="717" spans="2:11" x14ac:dyDescent="0.3">
      <c r="B717" s="99" t="s">
        <v>7136</v>
      </c>
      <c r="C717" s="78">
        <f>C713*UDV.dhl.application_maneuver_factor</f>
        <v>6.1841936247655918</v>
      </c>
      <c r="D717" t="s">
        <v>6085</v>
      </c>
      <c r="E717" s="401">
        <f>E713*VLOOKUP("NAPercent time for useApplicator tractor for drag hose land applicationDefault",Econ.inputsTable!$E:$G,2,FALSE)</f>
        <v>6.1841936247655918</v>
      </c>
      <c r="F717" s="146" t="s">
        <v>6085</v>
      </c>
      <c r="H717" s="235" t="s">
        <v>7008</v>
      </c>
      <c r="K717" s="146"/>
    </row>
    <row r="718" spans="2:11" x14ac:dyDescent="0.3">
      <c r="B718" s="99" t="s">
        <v>7137</v>
      </c>
      <c r="C718" s="78">
        <f>C713*UDV.dhl.hose_mover_utilization</f>
        <v>4.0331697552819081</v>
      </c>
      <c r="D718" t="s">
        <v>6085</v>
      </c>
      <c r="E718" s="401">
        <f>E713*VLOOKUP("NAPercent time for useHose mover tractor for drag hose land applicationDefault",Econ.inputsTable!$E:$G,2,FALSE)</f>
        <v>4.0331697552819081</v>
      </c>
      <c r="F718" s="146" t="s">
        <v>6085</v>
      </c>
      <c r="H718" s="235" t="s">
        <v>7039</v>
      </c>
      <c r="K718" s="146"/>
    </row>
    <row r="719" spans="2:11" x14ac:dyDescent="0.3">
      <c r="B719" s="99" t="s">
        <v>6548</v>
      </c>
      <c r="C719" s="312">
        <f>C713*UDV.dhl.pickup_utilization</f>
        <v>0.80663395105638158</v>
      </c>
      <c r="D719" s="151" t="s">
        <v>6085</v>
      </c>
      <c r="E719" s="311">
        <f>E713*VLOOKUP("NAPercent time for usePickup truck for drag hose land applicationDefault",Econ.inputsTable!$E:$G,2,FALSE)</f>
        <v>0.80663395105638158</v>
      </c>
      <c r="F719" s="146" t="s">
        <v>6085</v>
      </c>
      <c r="H719" s="235" t="s">
        <v>1325</v>
      </c>
      <c r="K719" s="146"/>
    </row>
    <row r="720" spans="2:11" x14ac:dyDescent="0.3">
      <c r="B720" s="99" t="s">
        <v>5714</v>
      </c>
      <c r="C720" s="382">
        <f t="shared" ref="C720:C729" si="36">VLOOKUP(B720,$X:$AA,3,FALSE)</f>
        <v>96.796074126765802</v>
      </c>
      <c r="D720" t="s">
        <v>2489</v>
      </c>
      <c r="E720" s="178">
        <f>C720</f>
        <v>96.796074126765802</v>
      </c>
      <c r="F720" s="146" t="s">
        <v>6087</v>
      </c>
      <c r="H720" s="235" t="s">
        <v>7040</v>
      </c>
      <c r="K720" s="146"/>
    </row>
    <row r="721" spans="2:11" x14ac:dyDescent="0.3">
      <c r="B721" s="99" t="s">
        <v>5715</v>
      </c>
      <c r="C721" s="382">
        <f t="shared" si="36"/>
        <v>40.33169755281908</v>
      </c>
      <c r="D721" t="s">
        <v>2489</v>
      </c>
      <c r="E721" s="178">
        <f>C721</f>
        <v>40.33169755281908</v>
      </c>
      <c r="F721" s="146" t="s">
        <v>6087</v>
      </c>
      <c r="H721" s="235" t="s">
        <v>7041</v>
      </c>
      <c r="K721" s="146"/>
    </row>
    <row r="722" spans="2:11" x14ac:dyDescent="0.3">
      <c r="B722" s="99" t="s">
        <v>5716</v>
      </c>
      <c r="C722" s="382">
        <f t="shared" si="36"/>
        <v>32.265358042255265</v>
      </c>
      <c r="D722" t="s">
        <v>2489</v>
      </c>
      <c r="E722" s="178">
        <f>C722</f>
        <v>32.265358042255265</v>
      </c>
      <c r="F722" s="146" t="s">
        <v>6087</v>
      </c>
      <c r="H722" s="253" t="s">
        <v>349</v>
      </c>
      <c r="I722" s="150"/>
      <c r="J722" s="150"/>
      <c r="K722" s="151"/>
    </row>
    <row r="723" spans="2:11" x14ac:dyDescent="0.3">
      <c r="B723" s="99" t="s">
        <v>5740</v>
      </c>
      <c r="C723" s="382">
        <f t="shared" si="36"/>
        <v>25.52</v>
      </c>
      <c r="D723" t="s">
        <v>6549</v>
      </c>
      <c r="E723" s="178">
        <f>C723*E717</f>
        <v>157.82062130401789</v>
      </c>
      <c r="F723" s="146" t="s">
        <v>6087</v>
      </c>
    </row>
    <row r="724" spans="2:11" x14ac:dyDescent="0.3">
      <c r="B724" s="99" t="s">
        <v>5741</v>
      </c>
      <c r="C724" s="382">
        <f t="shared" si="36"/>
        <v>14.959999999999999</v>
      </c>
      <c r="D724" t="s">
        <v>6549</v>
      </c>
      <c r="E724" s="178">
        <f>C724*E718</f>
        <v>60.336219539017343</v>
      </c>
      <c r="F724" s="146" t="s">
        <v>6087</v>
      </c>
    </row>
    <row r="725" spans="2:11" x14ac:dyDescent="0.3">
      <c r="B725" s="99" t="s">
        <v>5717</v>
      </c>
      <c r="C725" s="382">
        <f t="shared" si="36"/>
        <v>4.839803706338289</v>
      </c>
      <c r="D725" t="s">
        <v>2489</v>
      </c>
      <c r="E725" s="178">
        <f>C725</f>
        <v>4.839803706338289</v>
      </c>
      <c r="F725" s="146" t="s">
        <v>6087</v>
      </c>
    </row>
    <row r="726" spans="2:11" x14ac:dyDescent="0.3">
      <c r="B726" s="99" t="s">
        <v>6418</v>
      </c>
      <c r="C726" s="382">
        <f t="shared" si="36"/>
        <v>1227.3412979465452</v>
      </c>
      <c r="D726" t="s">
        <v>5910</v>
      </c>
      <c r="E726" s="164">
        <f>CONVERT(C726,"m^3","gal")</f>
        <v>324229.26962245262</v>
      </c>
      <c r="F726" s="146" t="s">
        <v>2489</v>
      </c>
    </row>
    <row r="727" spans="2:11" x14ac:dyDescent="0.3">
      <c r="B727" s="99" t="s">
        <v>6404</v>
      </c>
      <c r="C727" s="499">
        <f t="shared" si="36"/>
        <v>4.9447311714113011</v>
      </c>
      <c r="D727" s="146" t="s">
        <v>2413</v>
      </c>
      <c r="E727" s="201">
        <f>C727*UC.g_to_lb/UC.L_to_gal*1000</f>
        <v>41.265781900296233</v>
      </c>
      <c r="F727" s="146" t="s">
        <v>2414</v>
      </c>
    </row>
    <row r="728" spans="2:11" x14ac:dyDescent="0.3">
      <c r="B728" s="99" t="s">
        <v>6405</v>
      </c>
      <c r="C728" s="499">
        <f t="shared" si="36"/>
        <v>7.9159298721594418</v>
      </c>
      <c r="D728" s="146" t="s">
        <v>2413</v>
      </c>
      <c r="E728" s="201">
        <f>C728*UC.g_to_lb/UC.L_to_gal*1000</f>
        <v>66.061636986695575</v>
      </c>
      <c r="F728" s="146" t="s">
        <v>2414</v>
      </c>
      <c r="G728" s="254"/>
    </row>
    <row r="729" spans="2:11" x14ac:dyDescent="0.3">
      <c r="B729" s="99" t="s">
        <v>6406</v>
      </c>
      <c r="C729" s="499">
        <f t="shared" si="36"/>
        <v>8.5248891893440497</v>
      </c>
      <c r="D729" s="146" t="s">
        <v>2413</v>
      </c>
      <c r="E729" s="201">
        <f>C729*UC.g_to_lb/UC.L_to_gal*1000</f>
        <v>71.143648828791569</v>
      </c>
      <c r="F729" s="146" t="s">
        <v>2414</v>
      </c>
    </row>
    <row r="730" spans="2:11" x14ac:dyDescent="0.3">
      <c r="B730" s="99"/>
      <c r="E730" s="99"/>
      <c r="F730" s="146"/>
    </row>
    <row r="731" spans="2:11" x14ac:dyDescent="0.3">
      <c r="B731" s="92" t="s">
        <v>6996</v>
      </c>
      <c r="E731" s="99"/>
      <c r="F731" s="146"/>
    </row>
    <row r="732" spans="2:11" x14ac:dyDescent="0.3">
      <c r="B732" s="143" t="s">
        <v>2663</v>
      </c>
      <c r="C732" s="144" t="s">
        <v>565</v>
      </c>
      <c r="D732" s="144" t="s">
        <v>6943</v>
      </c>
      <c r="E732" s="143" t="s">
        <v>565</v>
      </c>
      <c r="F732" s="145" t="s">
        <v>6944</v>
      </c>
    </row>
    <row r="733" spans="2:11" x14ac:dyDescent="0.3">
      <c r="B733" s="99" t="s">
        <v>7076</v>
      </c>
      <c r="E733" s="357">
        <f>UDV.electricity.avg_cost</f>
        <v>6.8591666666666662E-2</v>
      </c>
      <c r="F733" s="146" t="s">
        <v>2306</v>
      </c>
    </row>
    <row r="734" spans="2:11" x14ac:dyDescent="0.3">
      <c r="B734" s="99" t="s">
        <v>6997</v>
      </c>
      <c r="E734" s="348">
        <f>UDV.fuel.diesel_avg_cost</f>
        <v>3.6964905660377356</v>
      </c>
      <c r="F734" s="146" t="s">
        <v>2315</v>
      </c>
    </row>
    <row r="735" spans="2:11" x14ac:dyDescent="0.3">
      <c r="B735" s="99" t="s">
        <v>7044</v>
      </c>
      <c r="C735">
        <f>UDV.land_application.max_distance</f>
        <v>2</v>
      </c>
      <c r="D735" t="s">
        <v>2971</v>
      </c>
      <c r="E735" s="178">
        <f>IF(E674=0,0,CONVERT(C735,"mi","ft"))</f>
        <v>10560</v>
      </c>
      <c r="F735" s="146" t="s">
        <v>2340</v>
      </c>
    </row>
    <row r="736" spans="2:11" x14ac:dyDescent="0.3">
      <c r="B736" s="99" t="s">
        <v>5712</v>
      </c>
      <c r="C736" s="382">
        <f>VLOOKUP(B736,$X:$AA,3,FALSE)</f>
        <v>1</v>
      </c>
      <c r="E736" s="201">
        <f>C736</f>
        <v>1</v>
      </c>
      <c r="F736" s="146" t="s">
        <v>2442</v>
      </c>
    </row>
    <row r="737" spans="1:16" x14ac:dyDescent="0.3">
      <c r="B737" s="149" t="s">
        <v>6998</v>
      </c>
      <c r="C737" s="150"/>
      <c r="D737" s="151"/>
      <c r="E737" s="349">
        <f>UDV.labor.non_specialized_cost</f>
        <v>23.66</v>
      </c>
      <c r="F737" s="151" t="s">
        <v>3659</v>
      </c>
    </row>
    <row r="738" spans="1:16" x14ac:dyDescent="0.3">
      <c r="C738" s="82"/>
      <c r="E738" s="82"/>
      <c r="F738" s="82"/>
      <c r="H738" s="82"/>
      <c r="I738" s="82"/>
      <c r="O738" s="82"/>
      <c r="P738" s="82"/>
    </row>
    <row r="739" spans="1:16" x14ac:dyDescent="0.3">
      <c r="B739" s="206" t="s">
        <v>7108</v>
      </c>
      <c r="C739" s="142"/>
      <c r="D739" s="142"/>
      <c r="E739" s="142"/>
      <c r="F739" s="142"/>
      <c r="G739" s="142"/>
      <c r="H739" s="142"/>
      <c r="I739" s="142"/>
      <c r="J739" s="142"/>
      <c r="K739" s="142"/>
      <c r="L739" s="142"/>
      <c r="M739" s="142"/>
      <c r="N739" s="142"/>
      <c r="O739" s="141"/>
    </row>
    <row r="740" spans="1:16" ht="43.2" x14ac:dyDescent="0.3">
      <c r="B740" s="210" t="s">
        <v>6946</v>
      </c>
      <c r="C740" s="152" t="s">
        <v>6947</v>
      </c>
      <c r="D740" s="152" t="s">
        <v>6948</v>
      </c>
      <c r="E740" s="152" t="s">
        <v>6999</v>
      </c>
      <c r="F740" s="152" t="s">
        <v>7045</v>
      </c>
      <c r="G740" s="152" t="s">
        <v>6951</v>
      </c>
      <c r="H740" s="152" t="s">
        <v>6952</v>
      </c>
      <c r="I740" s="152" t="s">
        <v>6953</v>
      </c>
      <c r="J740" s="152" t="s">
        <v>6954</v>
      </c>
      <c r="K740" s="152" t="s">
        <v>6955</v>
      </c>
      <c r="L740" s="152" t="s">
        <v>6956</v>
      </c>
      <c r="M740" s="152" t="s">
        <v>6957</v>
      </c>
      <c r="N740" s="152" t="s">
        <v>7002</v>
      </c>
      <c r="O740" s="161" t="s">
        <v>6959</v>
      </c>
    </row>
    <row r="741" spans="1:16" x14ac:dyDescent="0.3">
      <c r="A741" t="s">
        <v>7122</v>
      </c>
      <c r="B741" s="99" t="s">
        <v>2808</v>
      </c>
      <c r="C741" s="153">
        <f>IF(E685=0,0,(VLOOKUP("Irrigation systema",Econ.Equations!$C:$E,2,FALSE)*E685^VLOOKUP("Irrigation systemb",Econ.Equations!$C:$E,2,FALSE))*E685)</f>
        <v>49595.645856243704</v>
      </c>
      <c r="D741" s="42">
        <f>VLOOKUP("CAPEXLifetimeBuildings and constructionDefault",Econ.inputsTable!$E:$G,2,FALSE)</f>
        <v>20</v>
      </c>
      <c r="E741" s="42" t="s">
        <v>2852</v>
      </c>
      <c r="F741" s="42" t="s">
        <v>2852</v>
      </c>
      <c r="G741" s="539">
        <f>VLOOKUP("CAPEXAnnual usage on activityItems that are used only on the given activityDefault",Econ.inputsTable!$E:$J,2,FALSE)</f>
        <v>1</v>
      </c>
      <c r="H741" s="503">
        <f>UDV.econ_capital.interest_rate</f>
        <v>5.0999999999999997E-2</v>
      </c>
      <c r="I741" s="2091">
        <f>VLOOKUP("CAPEXSalvageBuildings and constructionDefault",Econ.inputsTable!$E:$K,2,FALSE)</f>
        <v>0</v>
      </c>
      <c r="J741" s="153">
        <f>C741*I741</f>
        <v>0</v>
      </c>
      <c r="K741" s="154">
        <f>VLOOKUP("CAPEXFinanced amountNADefault",Econ.inputsTable!$E:$J,2,FALSE)</f>
        <v>1</v>
      </c>
      <c r="L741" s="2092">
        <f>H741*K741</f>
        <v>5.0999999999999997E-2</v>
      </c>
      <c r="M741" s="351">
        <f>L741/(1-(1+L741)^-D741)</f>
        <v>8.0924368970045152E-2</v>
      </c>
      <c r="N741" s="153">
        <f>((C741-J741)*M741)+(J741*L741)</f>
        <v>4013.4963445783565</v>
      </c>
      <c r="O741" s="372">
        <f>N741*G741</f>
        <v>4013.4963445783565</v>
      </c>
    </row>
    <row r="742" spans="1:16" x14ac:dyDescent="0.3">
      <c r="A742" t="s">
        <v>7046</v>
      </c>
      <c r="B742" s="99" t="s">
        <v>7034</v>
      </c>
      <c r="C742" s="153">
        <f>VLOOKUP("Diesel powered lead pumpDefault", Econ.Tables!$C:$E,2,FALSE)*E674</f>
        <v>293400</v>
      </c>
      <c r="D742" s="42">
        <f>VLOOKUP("CAPEXLifetimeDiesel-powered pump set package (at lagoon)Default",Econ.inputsTable!$E:$G,2,FALSE)</f>
        <v>17</v>
      </c>
      <c r="F742" s="147">
        <f>IF(E674=0,0,(E693+(E714/E712))/E674)</f>
        <v>1.0734124450803884</v>
      </c>
      <c r="G742" s="539">
        <f>VLOOKUP("CAPEXAnnual usage on activityItems that are used only on the given activityDefault",Econ.inputsTable!$E:$G,2,FALSE)</f>
        <v>1</v>
      </c>
      <c r="H742" s="503">
        <f t="shared" ref="H742:H753" si="37">UDV.econ_capital.interest_rate</f>
        <v>5.0999999999999997E-2</v>
      </c>
      <c r="I742" s="155">
        <f>VLOOKUP("CAPEXSalvageEquipmentDefault", Econ.inputsTable!$E:$G,2,FALSE)</f>
        <v>0.2</v>
      </c>
      <c r="J742" s="153">
        <f t="shared" ref="J742:J753" si="38">$C742*I742</f>
        <v>58680</v>
      </c>
      <c r="K742" s="154">
        <f>VLOOKUP("CAPEXFinanced amountNADefault", Econ.inputsTable!$E:$G,2,FALSE)</f>
        <v>1</v>
      </c>
      <c r="L742" s="155">
        <f t="shared" ref="L742:L753" si="39">H742*K742</f>
        <v>5.0999999999999997E-2</v>
      </c>
      <c r="M742">
        <f t="shared" ref="M742:M753" si="40">L742/(1-(1+L742)^-D742)</f>
        <v>8.9362846108502439E-2</v>
      </c>
      <c r="N742" s="153">
        <f t="shared" ref="N742:N753" si="41">((C742-J742)*M742)+(J742*L742)</f>
        <v>23967.927238587694</v>
      </c>
      <c r="O742" s="157">
        <f t="shared" ref="O742:O753" si="42">N742*G742</f>
        <v>23967.927238587694</v>
      </c>
    </row>
    <row r="743" spans="1:16" x14ac:dyDescent="0.3">
      <c r="A743" t="s">
        <v>7046</v>
      </c>
      <c r="B743" s="99" t="s">
        <v>7035</v>
      </c>
      <c r="C743" s="153">
        <f>VLOOKUP("Diesel powered booster pumpDefault",Econ.Tables!$C:$E,2,FALSE)*E736</f>
        <v>197300</v>
      </c>
      <c r="D743" s="42">
        <f>VLOOKUP("CAPEXLifetimeDiesel-powered pump set package (at lagoon)Default",Econ.inputsTable!$E:$G,2,FALSE)</f>
        <v>17</v>
      </c>
      <c r="F743" s="147">
        <f>IF(E736=0,0,(E694+(E715/E712))/E736)</f>
        <v>1.0734124450803884</v>
      </c>
      <c r="G743" s="539">
        <f>VLOOKUP("CAPEXAnnual usage on activityItems that are used only on the given activityDefault",Econ.inputsTable!$E:$G,2,FALSE)</f>
        <v>1</v>
      </c>
      <c r="H743" s="503">
        <f t="shared" si="37"/>
        <v>5.0999999999999997E-2</v>
      </c>
      <c r="I743" s="155">
        <f>VLOOKUP("CAPEXSalvageEquipmentDefault", Econ.inputsTable!$E:$G,2,FALSE)</f>
        <v>0.2</v>
      </c>
      <c r="J743" s="153">
        <f t="shared" si="38"/>
        <v>39460</v>
      </c>
      <c r="K743" s="154">
        <f>VLOOKUP("CAPEXFinanced amountNADefault", Econ.inputsTable!$E:$G,2,FALSE)</f>
        <v>1</v>
      </c>
      <c r="L743" s="155">
        <f t="shared" si="39"/>
        <v>5.0999999999999997E-2</v>
      </c>
      <c r="M743">
        <f t="shared" si="40"/>
        <v>8.9362846108502439E-2</v>
      </c>
      <c r="N743" s="153">
        <f t="shared" si="41"/>
        <v>16117.491629766024</v>
      </c>
      <c r="O743" s="157">
        <f t="shared" si="42"/>
        <v>16117.491629766024</v>
      </c>
    </row>
    <row r="744" spans="1:16" x14ac:dyDescent="0.3">
      <c r="A744" t="s">
        <v>7046</v>
      </c>
      <c r="B744" s="99" t="s">
        <v>7047</v>
      </c>
      <c r="C744" s="153">
        <f>VLOOKUP("Diesel powered agitation trailerDefault",Econ.Tables!$C:$E,2,FALSE)*E675</f>
        <v>131500</v>
      </c>
      <c r="D744" s="42">
        <f>VLOOKUP("CAPEXLifetimeEquipmentDefault",Econ.inputsTable!$E:$G,2,FALSE)</f>
        <v>10</v>
      </c>
      <c r="F744" s="147">
        <f>IF(E675=0,0,(E695+(E716/E712))/E675)</f>
        <v>1.0734124450803884</v>
      </c>
      <c r="G744" s="539">
        <f>VLOOKUP("CAPEXAnnual usage on activityItems that are used only on the given activityDefault",Econ.inputsTable!$E:$G,2,FALSE)</f>
        <v>1</v>
      </c>
      <c r="H744" s="503">
        <f t="shared" si="37"/>
        <v>5.0999999999999997E-2</v>
      </c>
      <c r="I744" s="155">
        <f>VLOOKUP("CAPEXSalvageEquipmentDefault",Econ.inputsTable!$E:$G,2,FALSE)</f>
        <v>0.2</v>
      </c>
      <c r="J744" s="153">
        <f t="shared" si="38"/>
        <v>26300</v>
      </c>
      <c r="K744" s="154">
        <f>VLOOKUP("CAPEXFinanced amountNADefault", Econ.inputsTable!$E:$G,2,FALSE)</f>
        <v>1</v>
      </c>
      <c r="L744" s="155">
        <f t="shared" si="39"/>
        <v>5.0999999999999997E-2</v>
      </c>
      <c r="M744">
        <f t="shared" si="40"/>
        <v>0.13013423257204779</v>
      </c>
      <c r="N744" s="153">
        <f t="shared" si="41"/>
        <v>15031.421266579426</v>
      </c>
      <c r="O744" s="157">
        <f t="shared" si="42"/>
        <v>15031.421266579426</v>
      </c>
    </row>
    <row r="745" spans="1:16" x14ac:dyDescent="0.3">
      <c r="A745" t="s">
        <v>7046</v>
      </c>
      <c r="B745" s="99" t="s">
        <v>7037</v>
      </c>
      <c r="C745" s="153">
        <f>VLOOKUP(_xlfn.CONCAT("Tractor",E676, " hp"),Econ.Tables!C:E,2,FALSE)*E678</f>
        <v>637400</v>
      </c>
      <c r="D745" s="79">
        <f>VLOOKUP("CAPEXLifetimeTractor, 4 wheel drive and crawlerDefault",Econ.inputsTable!$E:$H,2,FALSE)/E745</f>
        <v>16</v>
      </c>
      <c r="E745" s="213">
        <f>IF(F745&gt;UDV.tractor.min_usage_yearly,F745,UDV.tractor.min_usage_yearly)</f>
        <v>1000</v>
      </c>
      <c r="F745" s="147">
        <f>C1051</f>
        <v>1.2344243118424465</v>
      </c>
      <c r="G745" s="155">
        <f>F745/E745</f>
        <v>1.2344243118424464E-3</v>
      </c>
      <c r="H745" s="503">
        <f t="shared" si="37"/>
        <v>5.0999999999999997E-2</v>
      </c>
      <c r="I745" s="155">
        <f>VLOOKUP("CAPEXSalvageEquipmentDefault", Econ.inputsTable!$E:$G,2,FALSE)</f>
        <v>0.2</v>
      </c>
      <c r="J745" s="153">
        <f t="shared" si="38"/>
        <v>127480</v>
      </c>
      <c r="K745" s="154">
        <f>VLOOKUP("CAPEXFinanced amountNADefault", Econ.inputsTable!$E:$G,2,FALSE)</f>
        <v>1</v>
      </c>
      <c r="L745" s="155">
        <f t="shared" si="39"/>
        <v>5.0999999999999997E-2</v>
      </c>
      <c r="M745">
        <f t="shared" si="40"/>
        <v>9.2927821836826949E-2</v>
      </c>
      <c r="N745" s="153">
        <f t="shared" si="41"/>
        <v>53887.2349110348</v>
      </c>
      <c r="O745" s="157">
        <f t="shared" si="42"/>
        <v>66.519712872146386</v>
      </c>
    </row>
    <row r="746" spans="1:16" x14ac:dyDescent="0.3">
      <c r="A746" t="s">
        <v>7046</v>
      </c>
      <c r="B746" s="99" t="s">
        <v>7048</v>
      </c>
      <c r="C746" s="238">
        <f>VLOOKUP("Hose reel, hydraulic,no specific sizeDefault",Econ.Tables!$C:$E,2,FALSE)*E678</f>
        <v>44500</v>
      </c>
      <c r="D746" s="42">
        <f>VLOOKUP("CAPEXLifetimeEquipmentDefault",Econ.inputsTable!$E:$G,2,FALSE)</f>
        <v>10</v>
      </c>
      <c r="E746" s="152"/>
      <c r="F746" s="259">
        <f>F745</f>
        <v>1.2344243118424465</v>
      </c>
      <c r="G746" s="539">
        <f>VLOOKUP("CAPEXAnnual usage on activityItems that are used only on the given activityDefault",Econ.inputsTable!$E:$G,2,FALSE)</f>
        <v>1</v>
      </c>
      <c r="H746" s="503">
        <f t="shared" si="37"/>
        <v>5.0999999999999997E-2</v>
      </c>
      <c r="I746" s="155">
        <f>VLOOKUP("CAPEXSalvageEquipmentDefault", Econ.inputsTable!$E:$G,2,FALSE)</f>
        <v>0.2</v>
      </c>
      <c r="J746" s="153">
        <f t="shared" si="38"/>
        <v>8900</v>
      </c>
      <c r="K746" s="154">
        <f>VLOOKUP("CAPEXFinanced amountNADefault", Econ.inputsTable!$E:$G,2,FALSE)</f>
        <v>1</v>
      </c>
      <c r="L746" s="155">
        <f t="shared" si="39"/>
        <v>5.0999999999999997E-2</v>
      </c>
      <c r="M746">
        <f t="shared" si="40"/>
        <v>0.13013423257204779</v>
      </c>
      <c r="N746" s="153">
        <f t="shared" si="41"/>
        <v>5086.6786795649004</v>
      </c>
      <c r="O746" s="157">
        <f t="shared" si="42"/>
        <v>5086.6786795649004</v>
      </c>
    </row>
    <row r="747" spans="1:16" x14ac:dyDescent="0.3">
      <c r="A747" t="s">
        <v>7046</v>
      </c>
      <c r="B747" s="99" t="s">
        <v>7007</v>
      </c>
      <c r="C747" s="238">
        <f>IF(E681="Broadcast",VLOOKUP("BoomDefault", Econ.Tables!$C:$E,2,FALSE),0)*E678</f>
        <v>0</v>
      </c>
      <c r="D747" s="42">
        <f>VLOOKUP("CAPEXLifetimeEquipmentDefault",Econ.inputsTable!$E:$G,2,FALSE)</f>
        <v>10</v>
      </c>
      <c r="E747" s="152"/>
      <c r="F747" s="259">
        <f>IF(C681="Broadcast",F745,0)*VLOOKUP("NAPercent time for useApplication toolbar usage per unit tractor pulling it usageDefault", Econ.inputsTable!$E:$G,2,FALSE)</f>
        <v>0</v>
      </c>
      <c r="G747" s="539">
        <f>VLOOKUP("CAPEXAnnual usage on activityItems that are used only on the given activityDefault",Econ.inputsTable!$E:$G,2,FALSE)</f>
        <v>1</v>
      </c>
      <c r="H747" s="503">
        <f t="shared" si="37"/>
        <v>5.0999999999999997E-2</v>
      </c>
      <c r="I747" s="155">
        <f>VLOOKUP("CAPEXSalvageEquipmentDefault", Econ.inputsTable!$E:$G,2,FALSE)</f>
        <v>0.2</v>
      </c>
      <c r="J747" s="153">
        <f t="shared" si="38"/>
        <v>0</v>
      </c>
      <c r="K747" s="154">
        <f>VLOOKUP("CAPEXFinanced amountNADefault", Econ.inputsTable!$E:$G,2,FALSE)</f>
        <v>1</v>
      </c>
      <c r="L747" s="155">
        <f t="shared" si="39"/>
        <v>5.0999999999999997E-2</v>
      </c>
      <c r="M747">
        <f t="shared" si="40"/>
        <v>0.13013423257204779</v>
      </c>
      <c r="N747" s="153">
        <f t="shared" si="41"/>
        <v>0</v>
      </c>
      <c r="O747" s="157">
        <f t="shared" si="42"/>
        <v>0</v>
      </c>
    </row>
    <row r="748" spans="1:16" x14ac:dyDescent="0.3">
      <c r="A748" t="s">
        <v>7046</v>
      </c>
      <c r="B748" s="99" t="s">
        <v>7008</v>
      </c>
      <c r="C748" s="238">
        <f>IF(E681="Injection",VLOOKUP("InjectionDefault",Econ.Tables!$C:$E,2,FALSE),0)*E678</f>
        <v>80900</v>
      </c>
      <c r="D748" s="42">
        <f>VLOOKUP("CAPEXLifetimeEquipmentDefault",Econ.inputsTable!$E:$G,2,FALSE)</f>
        <v>10</v>
      </c>
      <c r="E748" s="152"/>
      <c r="F748" s="259">
        <f>IF(C681="Injection",F745,0)*VLOOKUP("NAPercent time for useApplication toolbar usage per unit tractor pulling it usageDefault", Econ.inputsTable!$E:$G,2,FALSE)</f>
        <v>0.49376972473697861</v>
      </c>
      <c r="G748" s="539">
        <f>VLOOKUP("CAPEXAnnual usage on activityItems that are used only on the given activityDefault",Econ.inputsTable!$E:$G,2,FALSE)</f>
        <v>1</v>
      </c>
      <c r="H748" s="503">
        <f t="shared" si="37"/>
        <v>5.0999999999999997E-2</v>
      </c>
      <c r="I748" s="155">
        <f>VLOOKUP("CAPEXSalvageEquipmentDefault", Econ.inputsTable!$E:$G,2,FALSE)</f>
        <v>0.2</v>
      </c>
      <c r="J748" s="153">
        <f t="shared" si="38"/>
        <v>16180</v>
      </c>
      <c r="K748" s="154">
        <f>VLOOKUP("CAPEXFinanced amountNADefault", Econ.inputsTable!$E:$G,2,FALSE)</f>
        <v>1</v>
      </c>
      <c r="L748" s="155">
        <f t="shared" si="39"/>
        <v>5.0999999999999997E-2</v>
      </c>
      <c r="M748">
        <f t="shared" si="40"/>
        <v>0.13013423257204779</v>
      </c>
      <c r="N748" s="153">
        <f t="shared" si="41"/>
        <v>9247.4675320629322</v>
      </c>
      <c r="O748" s="157">
        <f t="shared" si="42"/>
        <v>9247.4675320629322</v>
      </c>
    </row>
    <row r="749" spans="1:16" x14ac:dyDescent="0.3">
      <c r="A749" t="s">
        <v>7046</v>
      </c>
      <c r="B749" s="99" t="s">
        <v>7039</v>
      </c>
      <c r="C749" s="153">
        <f>VLOOKUP(_xlfn.CONCAT("Tractor",E677, " hp"),Econ.Tables!C:E,2,FALSE)*E679</f>
        <v>490700</v>
      </c>
      <c r="D749" s="79">
        <f>VLOOKUP("CAPEXLifetimeTractor, 4 wheel drive and crawlerDefault",Econ.inputsTable!$E:$H,2,FALSE)/E749</f>
        <v>16</v>
      </c>
      <c r="E749" s="213">
        <f>IF(F749&gt;UDV.tractor.min_usage_yearly,F749,UDV.tractor.min_usage_yearly)</f>
        <v>1000</v>
      </c>
      <c r="F749" s="147">
        <f>C1052</f>
        <v>0.80505933381029127</v>
      </c>
      <c r="G749" s="155">
        <f>F749/E749</f>
        <v>8.0505933381029126E-4</v>
      </c>
      <c r="H749" s="503">
        <f t="shared" si="37"/>
        <v>5.0999999999999997E-2</v>
      </c>
      <c r="I749" s="155">
        <f>VLOOKUP("CAPEXSalvageEquipmentDefault", Econ.inputsTable!$E:$G,2,FALSE)</f>
        <v>0.2</v>
      </c>
      <c r="J749" s="153">
        <f t="shared" si="38"/>
        <v>98140</v>
      </c>
      <c r="K749" s="154">
        <f>VLOOKUP("CAPEXFinanced amountNADefault", Econ.inputsTable!$E:$G,2,FALSE)</f>
        <v>1</v>
      </c>
      <c r="L749" s="155">
        <f t="shared" si="39"/>
        <v>5.0999999999999997E-2</v>
      </c>
      <c r="M749">
        <f t="shared" si="40"/>
        <v>9.2927821836826949E-2</v>
      </c>
      <c r="N749" s="153">
        <f t="shared" si="41"/>
        <v>41484.885740264785</v>
      </c>
      <c r="O749" s="157">
        <f t="shared" si="42"/>
        <v>33.397794477253619</v>
      </c>
    </row>
    <row r="750" spans="1:16" x14ac:dyDescent="0.3">
      <c r="A750" t="s">
        <v>7046</v>
      </c>
      <c r="B750" s="99" t="s">
        <v>1325</v>
      </c>
      <c r="C750" s="238">
        <f>VLOOKUP("Hose pulleyDefault",Econ.Tables!$C:$E,2,FALSE)*E679</f>
        <v>13200</v>
      </c>
      <c r="D750" s="42">
        <f>VLOOKUP("CAPEXLifetimeEquipmentDefault",Econ.inputsTable!$E:$G,2,FALSE)</f>
        <v>10</v>
      </c>
      <c r="E750" s="152"/>
      <c r="F750" s="259">
        <f>F749</f>
        <v>0.80505933381029127</v>
      </c>
      <c r="G750" s="539">
        <f>VLOOKUP("CAPEXAnnual usage on activityItems that are used only on the given activityDefault",Econ.inputsTable!$E:$G,2,FALSE)</f>
        <v>1</v>
      </c>
      <c r="H750" s="503">
        <f t="shared" si="37"/>
        <v>5.0999999999999997E-2</v>
      </c>
      <c r="I750" s="155">
        <f>VLOOKUP("CAPEXSalvageEquipmentDefault", Econ.inputsTable!$E:$G,2,FALSE)</f>
        <v>0.2</v>
      </c>
      <c r="J750" s="153">
        <f t="shared" si="38"/>
        <v>2640</v>
      </c>
      <c r="K750" s="154">
        <f>VLOOKUP("CAPEXFinanced amountNADefault", Econ.inputsTable!$E:$G,2,FALSE)</f>
        <v>1</v>
      </c>
      <c r="L750" s="155">
        <f t="shared" si="39"/>
        <v>5.0999999999999997E-2</v>
      </c>
      <c r="M750">
        <f t="shared" si="40"/>
        <v>0.13013423257204779</v>
      </c>
      <c r="N750" s="153">
        <f t="shared" si="41"/>
        <v>1508.8574959608245</v>
      </c>
      <c r="O750" s="157">
        <f t="shared" si="42"/>
        <v>1508.8574959608245</v>
      </c>
    </row>
    <row r="751" spans="1:16" x14ac:dyDescent="0.3">
      <c r="A751" t="s">
        <v>7046</v>
      </c>
      <c r="B751" s="235" t="s">
        <v>3007</v>
      </c>
      <c r="C751" s="543">
        <f>VLOOKUP("Flexible drag hose, 6in 660 ftDefault",Econ.Tables!$C:$E,2,FALSE)*E678</f>
        <v>15200</v>
      </c>
      <c r="D751" s="42">
        <f>VLOOKUP("CAPEXLifetimeDrag hoseDefault",Econ.inputsTable!$E:$G,2,FALSE)</f>
        <v>2.5</v>
      </c>
      <c r="E751" s="152"/>
      <c r="F751" s="259">
        <f>F745</f>
        <v>1.2344243118424465</v>
      </c>
      <c r="G751" s="539">
        <f>VLOOKUP("CAPEXAnnual usage on activityItems that are used only on the given activityDefault",Econ.inputsTable!$E:$G,2,FALSE)</f>
        <v>1</v>
      </c>
      <c r="H751" s="503">
        <f t="shared" si="37"/>
        <v>5.0999999999999997E-2</v>
      </c>
      <c r="I751" s="155">
        <f>VLOOKUP("CAPEXSalvageBuildings and constructionDefault", Econ.inputsTable!$E:$G,2,FALSE)</f>
        <v>0</v>
      </c>
      <c r="J751" s="153">
        <f t="shared" si="38"/>
        <v>0</v>
      </c>
      <c r="K751" s="154">
        <f>VLOOKUP("CAPEXFinanced amountNADefault", Econ.inputsTable!$E:$G,2,FALSE)</f>
        <v>1</v>
      </c>
      <c r="L751" s="155">
        <f t="shared" si="39"/>
        <v>5.0999999999999997E-2</v>
      </c>
      <c r="M751">
        <f t="shared" si="40"/>
        <v>0.43614381549069553</v>
      </c>
      <c r="N751" s="153">
        <f t="shared" si="41"/>
        <v>6629.3859954585723</v>
      </c>
      <c r="O751" s="157">
        <f t="shared" si="42"/>
        <v>6629.3859954585723</v>
      </c>
    </row>
    <row r="752" spans="1:16" x14ac:dyDescent="0.3">
      <c r="A752" t="s">
        <v>7046</v>
      </c>
      <c r="B752" s="235" t="s">
        <v>3465</v>
      </c>
      <c r="C752" s="543">
        <f>VLOOKUP("Manure piping to fieldDefault",Econ.Tables!$C:$E,2,FALSE)*E735</f>
        <v>95040</v>
      </c>
      <c r="D752" s="42">
        <f>VLOOKUP("CAPEXLifetimeBuildings and constructionDefault",Econ.inputsTable!$E:$G,2,FALSE)</f>
        <v>20</v>
      </c>
      <c r="E752" s="152"/>
      <c r="F752" s="259">
        <f>F745</f>
        <v>1.2344243118424465</v>
      </c>
      <c r="G752" s="539">
        <f>VLOOKUP("CAPEXAnnual usage on activityItems that are used only on the given activityDefault",Econ.inputsTable!$E:$G,2,FALSE)</f>
        <v>1</v>
      </c>
      <c r="H752" s="503">
        <f t="shared" si="37"/>
        <v>5.0999999999999997E-2</v>
      </c>
      <c r="I752" s="155">
        <f>VLOOKUP("CAPEXSalvageBuildings and constructionDefault", Econ.inputsTable!$E:$G,2,FALSE)</f>
        <v>0</v>
      </c>
      <c r="J752" s="153">
        <f t="shared" si="38"/>
        <v>0</v>
      </c>
      <c r="K752" s="154">
        <f>VLOOKUP("CAPEXFinanced amountNADefault", Econ.inputsTable!$E:$G,2,FALSE)</f>
        <v>1</v>
      </c>
      <c r="L752" s="155">
        <f t="shared" si="39"/>
        <v>5.0999999999999997E-2</v>
      </c>
      <c r="M752">
        <f t="shared" si="40"/>
        <v>8.0924368970045152E-2</v>
      </c>
      <c r="N752" s="153">
        <f t="shared" si="41"/>
        <v>7691.0520269130911</v>
      </c>
      <c r="O752" s="157">
        <f t="shared" si="42"/>
        <v>7691.0520269130911</v>
      </c>
    </row>
    <row r="753" spans="1:15" x14ac:dyDescent="0.3">
      <c r="A753" t="s">
        <v>7046</v>
      </c>
      <c r="B753" s="235" t="s">
        <v>349</v>
      </c>
      <c r="C753" s="153">
        <f>IF(C692=0,0,VLOOKUP("Pick up truckDefault",Econ.Tables!$C:$E,2,FALSE))</f>
        <v>58700</v>
      </c>
      <c r="D753" s="42">
        <f>VLOOKUP("CAPEXLifetimeTruck, pickupDefault",Econ.inputsTable!$E:$G,2,FALSE)</f>
        <v>8</v>
      </c>
      <c r="E753" s="42">
        <f>VLOOKUP("CAPEXAnnual usage on farmTruck, pickupDefault",Econ.inputsTable!$E:$G,2,FALSE)</f>
        <v>250</v>
      </c>
      <c r="F753" s="259">
        <f>(E698+(E719/E712))</f>
        <v>0.16101186676205825</v>
      </c>
      <c r="G753" s="538">
        <f>F753/E753</f>
        <v>6.4404746704823301E-4</v>
      </c>
      <c r="H753" s="503">
        <f t="shared" si="37"/>
        <v>5.0999999999999997E-2</v>
      </c>
      <c r="I753" s="155">
        <f>VLOOKUP("CAPEXSalvageEquipmentDefault", Econ.inputsTable!$E:$G,2,FALSE)</f>
        <v>0.2</v>
      </c>
      <c r="J753" s="153">
        <f t="shared" si="38"/>
        <v>11740</v>
      </c>
      <c r="K753" s="154">
        <f>VLOOKUP("CAPEXFinanced amountNADefault", Econ.inputsTable!$E:$G,2,FALSE)</f>
        <v>1</v>
      </c>
      <c r="L753" s="155">
        <f t="shared" si="39"/>
        <v>5.0999999999999997E-2</v>
      </c>
      <c r="M753">
        <f t="shared" si="40"/>
        <v>0.1553478599468672</v>
      </c>
      <c r="N753" s="153">
        <f t="shared" si="41"/>
        <v>7893.8755031048831</v>
      </c>
      <c r="O753" s="157">
        <f t="shared" si="42"/>
        <v>5.0840305229687957</v>
      </c>
    </row>
    <row r="754" spans="1:15" x14ac:dyDescent="0.3">
      <c r="B754" s="99"/>
      <c r="C754" s="152"/>
      <c r="D754" s="82"/>
      <c r="E754" s="82"/>
      <c r="F754" s="82"/>
      <c r="G754" s="82"/>
      <c r="H754" s="82"/>
      <c r="I754" s="82"/>
      <c r="J754" s="152"/>
      <c r="K754" s="152"/>
      <c r="L754" s="152"/>
      <c r="M754" s="152"/>
      <c r="N754" s="82"/>
      <c r="O754" s="173"/>
    </row>
    <row r="755" spans="1:15" x14ac:dyDescent="0.3">
      <c r="B755" s="99"/>
      <c r="C755" s="82" t="s">
        <v>7009</v>
      </c>
      <c r="D755" s="82" t="s">
        <v>6963</v>
      </c>
      <c r="O755" s="146"/>
    </row>
    <row r="756" spans="1:15" x14ac:dyDescent="0.3">
      <c r="A756" t="s">
        <v>5205</v>
      </c>
      <c r="B756" s="99" t="s">
        <v>6964</v>
      </c>
      <c r="C756" s="153">
        <f>SUM(C741:C753)</f>
        <v>2107435.6458562436</v>
      </c>
      <c r="D756" s="158">
        <f>SUMPRODUCT(C741:C753,G741:G753)</f>
        <v>921855.31611402845</v>
      </c>
      <c r="O756" s="146"/>
    </row>
    <row r="757" spans="1:15" x14ac:dyDescent="0.3">
      <c r="A757" t="s">
        <v>5205</v>
      </c>
      <c r="B757" s="149" t="s">
        <v>6965</v>
      </c>
      <c r="C757" s="159">
        <f>SUM(N741:N753)</f>
        <v>192559.77436387632</v>
      </c>
      <c r="D757" s="234">
        <f>SUMPRODUCT(N741:N753,G741:G753)</f>
        <v>89398.77974734419</v>
      </c>
      <c r="E757" s="150"/>
      <c r="F757" s="150"/>
      <c r="G757" s="261"/>
      <c r="H757" s="150"/>
      <c r="I757" s="150"/>
      <c r="J757" s="150"/>
      <c r="K757" s="150"/>
      <c r="L757" s="150"/>
      <c r="M757" s="150"/>
      <c r="N757" s="150"/>
      <c r="O757" s="151"/>
    </row>
    <row r="759" spans="1:15" ht="43.2" x14ac:dyDescent="0.3">
      <c r="B759" s="160" t="s">
        <v>6966</v>
      </c>
      <c r="C759" s="152" t="s">
        <v>6967</v>
      </c>
      <c r="D759" s="152" t="s">
        <v>6968</v>
      </c>
      <c r="E759" s="152" t="s">
        <v>6969</v>
      </c>
      <c r="F759" s="152" t="s">
        <v>6970</v>
      </c>
      <c r="G759" s="152" t="s">
        <v>6971</v>
      </c>
      <c r="H759" s="152" t="s">
        <v>6972</v>
      </c>
      <c r="I759" s="152" t="s">
        <v>6973</v>
      </c>
      <c r="J759" s="152" t="s">
        <v>6974</v>
      </c>
      <c r="K759" s="152" t="s">
        <v>6975</v>
      </c>
      <c r="L759" s="152" t="s">
        <v>6976</v>
      </c>
      <c r="M759" s="152" t="s">
        <v>6977</v>
      </c>
      <c r="N759" s="152" t="s">
        <v>6978</v>
      </c>
      <c r="O759" s="161" t="s">
        <v>6979</v>
      </c>
    </row>
    <row r="760" spans="1:15" x14ac:dyDescent="0.3">
      <c r="B760" s="99" t="s">
        <v>2808</v>
      </c>
      <c r="C760" s="155">
        <f>VLOOKUP("OPEXInsuranceEverythingDefault",Econ.inputsTable!$E:$K,2,FALSE)</f>
        <v>5.0000000000000001E-3</v>
      </c>
      <c r="D760" s="154">
        <f>VLOOKUP("OPEXRepair and maintenanceEquipmentDefault",Econ.inputsTable!$E:$K,2,FALSE)</f>
        <v>0.03</v>
      </c>
      <c r="F760" s="2124">
        <f>E686</f>
        <v>1437.980276853388</v>
      </c>
      <c r="G760" s="504">
        <f>F760*E733</f>
        <v>98.633463823168626</v>
      </c>
      <c r="I760" s="504"/>
      <c r="J760" s="504"/>
      <c r="K760" s="147">
        <f>E687</f>
        <v>9.3862859759288124</v>
      </c>
      <c r="L760" s="156">
        <f>K760*E737</f>
        <v>222.07952619047569</v>
      </c>
      <c r="O760" s="167">
        <f t="shared" ref="O760:O772" si="43">(SUM(C760:D760)*C741*G741)+SUM(E760,G760,I760,J760,L760,N760)</f>
        <v>2056.5605949821738</v>
      </c>
    </row>
    <row r="761" spans="1:15" x14ac:dyDescent="0.3">
      <c r="B761" s="99" t="s">
        <v>3003</v>
      </c>
      <c r="C761" s="263">
        <f>VLOOKUP("OPEXInsuranceEverythingDefault", Econ.inputsTable!$E:$G,2,FALSE)</f>
        <v>5.0000000000000001E-3</v>
      </c>
      <c r="D761" s="237">
        <f>VLOOKUP("OPEXRepair and maintenanceEquipmentDefault",Econ.inputsTable!$E:$G,2,FALSE)</f>
        <v>0.03</v>
      </c>
      <c r="H761" s="147">
        <f>E699+(E720/E712)</f>
        <v>19.321424011446993</v>
      </c>
      <c r="I761" s="238">
        <f>H761*E734</f>
        <v>71.421461580728788</v>
      </c>
      <c r="J761" s="238">
        <f>I761*VLOOKUP("OPEXLubeLubeDefault",Econ.inputsTable!$E:$G,2,FALSE)</f>
        <v>7.1421461580728796</v>
      </c>
      <c r="L761" s="158"/>
      <c r="O761" s="264">
        <f t="shared" si="43"/>
        <v>10347.563607738799</v>
      </c>
    </row>
    <row r="762" spans="1:15" x14ac:dyDescent="0.3">
      <c r="B762" s="99" t="s">
        <v>3005</v>
      </c>
      <c r="C762" s="263">
        <f>VLOOKUP("OPEXInsuranceEverythingDefault", Econ.inputsTable!$E:$G,2,FALSE)</f>
        <v>5.0000000000000001E-3</v>
      </c>
      <c r="D762" s="237">
        <f>VLOOKUP("OPEXRepair and maintenanceEquipmentDefault",Econ.inputsTable!$E:$G,2,FALSE)</f>
        <v>0.03</v>
      </c>
      <c r="H762" s="147">
        <f>E700+(E721/E712)</f>
        <v>8.0505933381029138</v>
      </c>
      <c r="I762" s="238">
        <f>H762*E734</f>
        <v>29.758942325303664</v>
      </c>
      <c r="J762" s="238">
        <f>I762*VLOOKUP("OPEXLubeLubeDefault",Econ.inputsTable!$E:$G,2,FALSE)</f>
        <v>2.9758942325303668</v>
      </c>
      <c r="L762" s="158"/>
      <c r="O762" s="264">
        <f t="shared" si="43"/>
        <v>6938.2348365578328</v>
      </c>
    </row>
    <row r="763" spans="1:15" x14ac:dyDescent="0.3">
      <c r="B763" s="99" t="s">
        <v>7047</v>
      </c>
      <c r="C763" s="263">
        <f>VLOOKUP("OPEXInsuranceEverythingDefault", Econ.inputsTable!$E:$G,2,FALSE)</f>
        <v>5.0000000000000001E-3</v>
      </c>
      <c r="D763" s="237">
        <f>VLOOKUP("OPEXRepair and maintenanceEquipmentDefault",Econ.inputsTable!$E:$G,2,FALSE)</f>
        <v>0.03</v>
      </c>
      <c r="H763" s="147">
        <f>E701+(E722/E712)</f>
        <v>6.4404746704823301</v>
      </c>
      <c r="I763" s="238">
        <f>H763*E734</f>
        <v>23.807153860242927</v>
      </c>
      <c r="J763" s="238">
        <f>I763*VLOOKUP("OPEXLubeLubeDefault",Econ.inputsTable!$E:$G,2,FALSE)</f>
        <v>2.3807153860242929</v>
      </c>
      <c r="L763" s="158"/>
      <c r="O763" s="264">
        <f t="shared" si="43"/>
        <v>4628.687869246266</v>
      </c>
    </row>
    <row r="764" spans="1:15" x14ac:dyDescent="0.3">
      <c r="B764" s="99" t="s">
        <v>7037</v>
      </c>
      <c r="C764" s="263">
        <f>VLOOKUP("OPEXInsuranceEverythingDefault", Econ.inputsTable!$E:$G,2,FALSE)</f>
        <v>5.0000000000000001E-3</v>
      </c>
      <c r="D764" s="237">
        <f>VLOOKUP("OPEXRepair and maintenanceEquipmentDefault",Econ.inputsTable!$E:$G,2,FALSE)</f>
        <v>0.03</v>
      </c>
      <c r="H764" s="147">
        <f>E702+(E723/E712)</f>
        <v>31.502508438219234</v>
      </c>
      <c r="I764" s="238">
        <f>H764*E734</f>
        <v>116.44872524840156</v>
      </c>
      <c r="J764" s="238">
        <f>I764*VLOOKUP("OPEXLubeLubeDefault",Econ.inputsTable!$E:$G,2,FALSE)</f>
        <v>11.644872524840157</v>
      </c>
      <c r="K764" s="147">
        <f>VLOOKUP("OPEXLaborTractorDefault",Econ.inputsTable!$E:$G,2,FALSE)*(E696+(E717/E712))</f>
        <v>1.3578667430266913</v>
      </c>
      <c r="L764" s="158">
        <f>K764*E737</f>
        <v>32.127127140011517</v>
      </c>
      <c r="O764" s="264">
        <f t="shared" si="43"/>
        <v>187.75949688614637</v>
      </c>
    </row>
    <row r="765" spans="1:15" x14ac:dyDescent="0.3">
      <c r="B765" s="99" t="s">
        <v>7048</v>
      </c>
      <c r="C765" s="263">
        <f>VLOOKUP("OPEXInsuranceEverythingDefault", Econ.inputsTable!$E:$G,2,FALSE)</f>
        <v>5.0000000000000001E-3</v>
      </c>
      <c r="D765" s="237">
        <f>VLOOKUP("OPEXRepair and maintenanceEquipmentDefault",Econ.inputsTable!$E:$G,2,FALSE)</f>
        <v>0.03</v>
      </c>
      <c r="H765" s="147"/>
      <c r="I765" s="238"/>
      <c r="J765" s="238"/>
      <c r="K765" s="205"/>
      <c r="L765" s="158"/>
      <c r="O765" s="264">
        <f t="shared" si="43"/>
        <v>1557.4999999999998</v>
      </c>
    </row>
    <row r="766" spans="1:15" x14ac:dyDescent="0.3">
      <c r="B766" s="99" t="s">
        <v>7007</v>
      </c>
      <c r="C766" s="263">
        <f>VLOOKUP("OPEXInsuranceEverythingDefault", Econ.inputsTable!$E:$G,2,FALSE)</f>
        <v>5.0000000000000001E-3</v>
      </c>
      <c r="D766" s="237">
        <f>VLOOKUP("OPEXRepair and maintenanceEquipmentDefault",Econ.inputsTable!$E:$G,2,FALSE)</f>
        <v>0.03</v>
      </c>
      <c r="H766" s="147"/>
      <c r="I766" s="238"/>
      <c r="J766" s="238"/>
      <c r="K766" s="205"/>
      <c r="L766" s="158"/>
      <c r="O766" s="264">
        <f t="shared" si="43"/>
        <v>0</v>
      </c>
    </row>
    <row r="767" spans="1:15" x14ac:dyDescent="0.3">
      <c r="B767" s="99" t="s">
        <v>7008</v>
      </c>
      <c r="C767" s="263">
        <f>VLOOKUP("OPEXInsuranceEverythingDefault", Econ.inputsTable!$E:$G,2,FALSE)</f>
        <v>5.0000000000000001E-3</v>
      </c>
      <c r="D767" s="237">
        <f>VLOOKUP("OPEXRepair and maintenanceEquipmentDefault",Econ.inputsTable!$E:$G,2,FALSE)</f>
        <v>0.03</v>
      </c>
      <c r="H767" s="147"/>
      <c r="I767" s="238"/>
      <c r="J767" s="238"/>
      <c r="K767" s="205"/>
      <c r="L767" s="158"/>
      <c r="O767" s="264">
        <f t="shared" si="43"/>
        <v>2831.4999999999995</v>
      </c>
    </row>
    <row r="768" spans="1:15" x14ac:dyDescent="0.3">
      <c r="B768" s="99" t="s">
        <v>7039</v>
      </c>
      <c r="C768" s="263">
        <f>VLOOKUP("OPEXInsuranceEverythingDefault", Econ.inputsTable!$E:$G,2,FALSE)</f>
        <v>5.0000000000000001E-3</v>
      </c>
      <c r="D768" s="237">
        <f>VLOOKUP("OPEXRepair and maintenanceEquipmentDefault",Econ.inputsTable!$E:$G,2,FALSE)</f>
        <v>0.03</v>
      </c>
      <c r="H768" s="147">
        <f>E703+(E724/E712)</f>
        <v>12.043687633801957</v>
      </c>
      <c r="I768" s="238">
        <f>H768*E734</f>
        <v>44.519377718654276</v>
      </c>
      <c r="J768" s="238">
        <f>I768*VLOOKUP("OPEXLubeLubeDefault",Econ.inputsTable!$E:$G,2,FALSE)</f>
        <v>4.4519377718654276</v>
      </c>
      <c r="K768" s="205">
        <f>VLOOKUP("OPEXLaborTractorDefault",Econ.inputsTable!$E:$G,2,FALSE)*(E697+(E718/E712))</f>
        <v>0.88556526719132045</v>
      </c>
      <c r="L768" s="158">
        <f>K768*E737</f>
        <v>20.952474221746641</v>
      </c>
      <c r="O768" s="264">
        <f t="shared" si="43"/>
        <v>83.750281240791196</v>
      </c>
    </row>
    <row r="769" spans="1:15" x14ac:dyDescent="0.3">
      <c r="B769" s="99" t="s">
        <v>1325</v>
      </c>
      <c r="C769" s="263">
        <f>VLOOKUP("OPEXInsuranceEverythingDefault", Econ.inputsTable!$E:$G,2,FALSE)</f>
        <v>5.0000000000000001E-3</v>
      </c>
      <c r="D769" s="237">
        <f>VLOOKUP("OPEXRepair and maintenanceEquipmentDefault",Econ.inputsTable!$E:$G,2,FALSE)</f>
        <v>0.03</v>
      </c>
      <c r="H769" s="147"/>
      <c r="I769" s="238"/>
      <c r="J769" s="238"/>
      <c r="K769" s="205"/>
      <c r="L769" s="158"/>
      <c r="O769" s="264">
        <f t="shared" si="43"/>
        <v>461.99999999999994</v>
      </c>
    </row>
    <row r="770" spans="1:15" x14ac:dyDescent="0.3">
      <c r="B770" s="99" t="s">
        <v>3007</v>
      </c>
      <c r="C770" s="263">
        <f>VLOOKUP("OPEXInsuranceEverythingDefault", Econ.inputsTable!$E:$G,2,FALSE)</f>
        <v>5.0000000000000001E-3</v>
      </c>
      <c r="D770" s="237">
        <f>VLOOKUP("OPEXRepair and maintenanceEquipmentDefault",Econ.inputsTable!$E:$G,2,FALSE)</f>
        <v>0.03</v>
      </c>
      <c r="H770" s="147"/>
      <c r="I770" s="238"/>
      <c r="J770" s="238"/>
      <c r="K770" s="205"/>
      <c r="L770" s="158"/>
      <c r="O770" s="264">
        <f t="shared" si="43"/>
        <v>532</v>
      </c>
    </row>
    <row r="771" spans="1:15" x14ac:dyDescent="0.3">
      <c r="B771" s="235" t="s">
        <v>3465</v>
      </c>
      <c r="C771" s="263">
        <f>VLOOKUP("OPEXInsuranceEverythingDefault", Econ.inputsTable!$E:$G,2,FALSE)</f>
        <v>5.0000000000000001E-3</v>
      </c>
      <c r="D771" s="237">
        <f>VLOOKUP("OPEXRepair and maintenanceBuildings and constructionDefault",Econ.inputsTable!$E:$G,2,FALSE)</f>
        <v>0.01</v>
      </c>
      <c r="H771" s="147"/>
      <c r="I771" s="238"/>
      <c r="J771" s="238"/>
      <c r="K771" s="205"/>
      <c r="L771" s="158"/>
      <c r="O771" s="264">
        <f t="shared" si="43"/>
        <v>1425.6</v>
      </c>
    </row>
    <row r="772" spans="1:15" x14ac:dyDescent="0.3">
      <c r="B772" s="99" t="s">
        <v>349</v>
      </c>
      <c r="C772" s="263">
        <f>VLOOKUP("OPEXInsuranceEverythingDefault", Econ.inputsTable!$E:$G,2,FALSE)</f>
        <v>5.0000000000000001E-3</v>
      </c>
      <c r="D772" s="237">
        <f>VLOOKUP("OPEXRepair and maintenanceEquipmentDefault",Econ.inputsTable!$E:$G,2,FALSE)</f>
        <v>0.03</v>
      </c>
      <c r="H772" s="147">
        <f>E704+(E725/E712)</f>
        <v>0.96607120057234952</v>
      </c>
      <c r="I772" s="238">
        <f>H772*E734</f>
        <v>3.5710730790364389</v>
      </c>
      <c r="J772" s="238">
        <f>I772*VLOOKUP("OPEXLubeLubeDefault",Econ.inputsTable!$E:$G,2,FALSE)</f>
        <v>0.35710730790364392</v>
      </c>
      <c r="K772" s="205">
        <f>VLOOKUP("OPEXLaborTractorDefault",Econ.inputsTable!$E:$G,2,FALSE)*(E698+(E719/E712))</f>
        <v>0.17711305343826408</v>
      </c>
      <c r="L772" s="158">
        <f>K772*E737</f>
        <v>4.1904948443493284</v>
      </c>
      <c r="O772" s="264">
        <f t="shared" si="43"/>
        <v>9.4418707523400069</v>
      </c>
    </row>
    <row r="773" spans="1:15" x14ac:dyDescent="0.3">
      <c r="A773" t="s">
        <v>5205</v>
      </c>
      <c r="B773" s="162" t="s">
        <v>5203</v>
      </c>
      <c r="C773" s="241"/>
      <c r="D773" s="241"/>
      <c r="E773" s="367">
        <f t="shared" ref="E773:O773" si="44">SUM(E760:E772)</f>
        <v>0</v>
      </c>
      <c r="F773" s="541">
        <f t="shared" si="44"/>
        <v>1437.980276853388</v>
      </c>
      <c r="G773" s="367">
        <f t="shared" si="44"/>
        <v>98.633463823168626</v>
      </c>
      <c r="H773" s="541">
        <f t="shared" si="44"/>
        <v>78.324759292625771</v>
      </c>
      <c r="I773" s="367">
        <f t="shared" si="44"/>
        <v>289.5267338123677</v>
      </c>
      <c r="J773" s="367">
        <f t="shared" si="44"/>
        <v>28.952673381236767</v>
      </c>
      <c r="K773" s="544">
        <f t="shared" si="44"/>
        <v>11.80683103958509</v>
      </c>
      <c r="L773" s="367">
        <f t="shared" si="44"/>
        <v>279.34962239658313</v>
      </c>
      <c r="M773" s="537">
        <f t="shared" si="44"/>
        <v>0</v>
      </c>
      <c r="N773" s="367">
        <f t="shared" si="44"/>
        <v>0</v>
      </c>
      <c r="O773" s="169">
        <f t="shared" si="44"/>
        <v>31060.598557404348</v>
      </c>
    </row>
    <row r="774" spans="1:15" x14ac:dyDescent="0.3">
      <c r="B774" s="99"/>
      <c r="O774" s="146"/>
    </row>
    <row r="775" spans="1:15" x14ac:dyDescent="0.3">
      <c r="A775" t="s">
        <v>5205</v>
      </c>
      <c r="B775" s="149" t="s">
        <v>6980</v>
      </c>
      <c r="C775" s="159">
        <f>O773</f>
        <v>31060.598557404348</v>
      </c>
      <c r="D775" s="150" t="s">
        <v>5181</v>
      </c>
      <c r="E775" s="150"/>
      <c r="F775" s="150"/>
      <c r="G775" s="150"/>
      <c r="H775" s="150"/>
      <c r="I775" s="150"/>
      <c r="J775" s="150"/>
      <c r="K775" s="150"/>
      <c r="L775" s="150"/>
      <c r="M775" s="150"/>
      <c r="N775" s="150"/>
      <c r="O775" s="151"/>
    </row>
    <row r="777" spans="1:15" x14ac:dyDescent="0.3">
      <c r="B777" s="781" t="s">
        <v>7408</v>
      </c>
      <c r="C777" s="142"/>
      <c r="D777" s="142"/>
      <c r="E777" s="142"/>
      <c r="F777" s="142"/>
      <c r="G777" s="142"/>
      <c r="H777" s="142"/>
      <c r="I777" s="142"/>
      <c r="J777" s="142"/>
      <c r="K777" s="142"/>
      <c r="L777" s="142"/>
      <c r="M777" s="142"/>
      <c r="N777" s="142"/>
      <c r="O777" s="141"/>
    </row>
    <row r="778" spans="1:15" ht="43.2" x14ac:dyDescent="0.3">
      <c r="B778" s="210" t="s">
        <v>6946</v>
      </c>
      <c r="C778" s="82" t="s">
        <v>6947</v>
      </c>
      <c r="D778" s="82" t="s">
        <v>7331</v>
      </c>
      <c r="E778" s="152" t="s">
        <v>6949</v>
      </c>
      <c r="F778" s="152" t="s">
        <v>7000</v>
      </c>
      <c r="G778" s="152" t="s">
        <v>6951</v>
      </c>
      <c r="H778" s="152" t="s">
        <v>6952</v>
      </c>
      <c r="I778" s="82" t="s">
        <v>6953</v>
      </c>
      <c r="J778" s="82" t="s">
        <v>6954</v>
      </c>
      <c r="K778" s="152" t="s">
        <v>6955</v>
      </c>
      <c r="L778" s="152" t="s">
        <v>6956</v>
      </c>
      <c r="M778" s="82" t="s">
        <v>6957</v>
      </c>
      <c r="N778" s="152" t="s">
        <v>7002</v>
      </c>
      <c r="O778" s="161" t="s">
        <v>6959</v>
      </c>
    </row>
    <row r="779" spans="1:15" x14ac:dyDescent="0.3">
      <c r="A779" t="s">
        <v>7046</v>
      </c>
      <c r="B779" s="99" t="s">
        <v>7416</v>
      </c>
      <c r="C779" s="782" t="s">
        <v>7333</v>
      </c>
    </row>
    <row r="780" spans="1:15" x14ac:dyDescent="0.3">
      <c r="A780" t="s">
        <v>7046</v>
      </c>
      <c r="B780" s="99" t="s">
        <v>7417</v>
      </c>
      <c r="C780" s="782" t="s">
        <v>7333</v>
      </c>
    </row>
    <row r="781" spans="1:15" x14ac:dyDescent="0.3">
      <c r="A781" t="s">
        <v>7046</v>
      </c>
      <c r="B781" s="99" t="s">
        <v>1243</v>
      </c>
      <c r="C781" s="782" t="s">
        <v>7333</v>
      </c>
    </row>
    <row r="782" spans="1:15" x14ac:dyDescent="0.3">
      <c r="A782" s="99"/>
      <c r="B782" s="99"/>
      <c r="O782" s="146"/>
    </row>
    <row r="783" spans="1:15" x14ac:dyDescent="0.3">
      <c r="B783" s="99"/>
      <c r="C783" s="82" t="s">
        <v>7009</v>
      </c>
      <c r="D783" s="82" t="s">
        <v>6963</v>
      </c>
      <c r="O783" s="157"/>
    </row>
    <row r="784" spans="1:15" x14ac:dyDescent="0.3">
      <c r="A784" t="s">
        <v>5205</v>
      </c>
      <c r="B784" s="99" t="s">
        <v>6964</v>
      </c>
      <c r="O784" s="146"/>
    </row>
    <row r="785" spans="1:15" x14ac:dyDescent="0.3">
      <c r="A785" t="s">
        <v>5205</v>
      </c>
      <c r="B785" s="149" t="s">
        <v>6965</v>
      </c>
      <c r="C785" s="150"/>
      <c r="D785" s="150"/>
      <c r="E785" s="150"/>
      <c r="F785" s="150"/>
      <c r="G785" s="150"/>
      <c r="H785" s="150"/>
      <c r="I785" s="150"/>
      <c r="J785" s="150"/>
      <c r="K785" s="150"/>
      <c r="L785" s="150"/>
      <c r="M785" s="150"/>
      <c r="N785" s="150"/>
      <c r="O785" s="151"/>
    </row>
    <row r="786" spans="1:15" x14ac:dyDescent="0.3">
      <c r="B786" s="99"/>
      <c r="C786" s="153"/>
      <c r="D786" s="158"/>
      <c r="O786" s="146"/>
    </row>
    <row r="787" spans="1:15" ht="43.2" x14ac:dyDescent="0.3">
      <c r="B787" s="160" t="s">
        <v>6966</v>
      </c>
      <c r="C787" s="152" t="s">
        <v>6967</v>
      </c>
      <c r="D787" s="152" t="s">
        <v>6968</v>
      </c>
      <c r="E787" s="152" t="s">
        <v>6969</v>
      </c>
      <c r="F787" s="152" t="s">
        <v>6970</v>
      </c>
      <c r="G787" s="152" t="s">
        <v>6971</v>
      </c>
      <c r="H787" s="152" t="s">
        <v>6972</v>
      </c>
      <c r="I787" s="152" t="s">
        <v>6973</v>
      </c>
      <c r="J787" s="152" t="s">
        <v>6974</v>
      </c>
      <c r="K787" s="152" t="s">
        <v>6975</v>
      </c>
      <c r="L787" s="152" t="s">
        <v>6976</v>
      </c>
      <c r="M787" s="152" t="s">
        <v>6977</v>
      </c>
      <c r="N787" s="152" t="s">
        <v>6978</v>
      </c>
      <c r="O787" s="161" t="s">
        <v>6979</v>
      </c>
    </row>
    <row r="788" spans="1:15" x14ac:dyDescent="0.3">
      <c r="B788" s="99" t="s">
        <v>7416</v>
      </c>
      <c r="C788" s="782" t="s">
        <v>7333</v>
      </c>
      <c r="D788" s="782" t="s">
        <v>7333</v>
      </c>
      <c r="H788" s="147">
        <f>K680</f>
        <v>4.2254188490265898</v>
      </c>
      <c r="I788" s="153">
        <f>H788*K694</f>
        <v>15.619220912984817</v>
      </c>
      <c r="J788" s="238">
        <f>I788*VLOOKUP("OPEXLubeLubeDefault",Econ.inputsTable!$E:$I,2,FALSE)</f>
        <v>1.5619220912984817</v>
      </c>
      <c r="K788" s="147">
        <f>VLOOKUP("OPEXLaborTractorDefault",Econ.inputsTable!$E:$I,2,FALSE)*K678</f>
        <v>1.1237816087836676</v>
      </c>
      <c r="L788" s="158">
        <f>K788*K693</f>
        <v>26.588672863821575</v>
      </c>
      <c r="O788" s="750">
        <f>SUM(E788,G788,I788,J788,L788,N788)</f>
        <v>43.769815868104871</v>
      </c>
    </row>
    <row r="789" spans="1:15" x14ac:dyDescent="0.3">
      <c r="B789" s="99" t="s">
        <v>7417</v>
      </c>
      <c r="C789" s="782" t="s">
        <v>7333</v>
      </c>
      <c r="D789" s="782" t="s">
        <v>7333</v>
      </c>
      <c r="H789" s="147">
        <f>K681</f>
        <v>4.906466982070989</v>
      </c>
      <c r="I789" s="153">
        <f>H789*K694</f>
        <v>18.136708911801051</v>
      </c>
      <c r="J789" s="238">
        <f>I789*VLOOKUP("OPEXLubeLubeDefault",Econ.inputsTable!$E:$H,2,FALSE)</f>
        <v>1.8136708911801052</v>
      </c>
      <c r="K789" s="147">
        <f>VLOOKUP("OPEXLaborTractorDefault",Econ.inputsTable!$E:$H,2,FALSE)*K679</f>
        <v>1.4430785241385267</v>
      </c>
      <c r="L789" s="158">
        <f>K789*K693</f>
        <v>34.143237881117543</v>
      </c>
      <c r="O789" s="750">
        <f t="shared" ref="O789:O790" si="45">SUM(E789,G789,I789,J789,L789,N789)</f>
        <v>54.093617684098703</v>
      </c>
    </row>
    <row r="790" spans="1:15" x14ac:dyDescent="0.3">
      <c r="B790" s="99" t="s">
        <v>1243</v>
      </c>
      <c r="C790" s="782" t="s">
        <v>7333</v>
      </c>
      <c r="D790" s="782" t="s">
        <v>7333</v>
      </c>
      <c r="O790" s="750">
        <f t="shared" si="45"/>
        <v>0</v>
      </c>
    </row>
    <row r="791" spans="1:15" x14ac:dyDescent="0.3">
      <c r="A791" t="s">
        <v>5205</v>
      </c>
      <c r="B791" s="162" t="s">
        <v>5203</v>
      </c>
      <c r="C791" s="241"/>
      <c r="D791" s="241"/>
      <c r="E791" s="367">
        <f t="shared" ref="E791:O791" si="46">SUM(E788:E790)</f>
        <v>0</v>
      </c>
      <c r="F791" s="367">
        <f t="shared" si="46"/>
        <v>0</v>
      </c>
      <c r="G791" s="367">
        <f t="shared" si="46"/>
        <v>0</v>
      </c>
      <c r="H791" s="367">
        <f t="shared" si="46"/>
        <v>9.1318858310975788</v>
      </c>
      <c r="I791" s="367">
        <f t="shared" si="46"/>
        <v>33.755929824785866</v>
      </c>
      <c r="J791" s="367">
        <f t="shared" si="46"/>
        <v>3.3755929824785866</v>
      </c>
      <c r="K791" s="367">
        <f t="shared" si="46"/>
        <v>2.5668601329221943</v>
      </c>
      <c r="L791" s="367">
        <f t="shared" si="46"/>
        <v>60.731910744939114</v>
      </c>
      <c r="M791" s="367">
        <f t="shared" si="46"/>
        <v>0</v>
      </c>
      <c r="N791" s="367">
        <f t="shared" si="46"/>
        <v>0</v>
      </c>
      <c r="O791" s="169">
        <f t="shared" si="46"/>
        <v>97.863433552203574</v>
      </c>
    </row>
    <row r="792" spans="1:15" x14ac:dyDescent="0.3">
      <c r="B792" s="99"/>
      <c r="O792" s="146"/>
    </row>
    <row r="793" spans="1:15" x14ac:dyDescent="0.3">
      <c r="A793" t="s">
        <v>5205</v>
      </c>
      <c r="B793" s="149" t="s">
        <v>6980</v>
      </c>
      <c r="C793" s="159">
        <f>O791</f>
        <v>97.863433552203574</v>
      </c>
      <c r="D793" s="150"/>
      <c r="E793" s="150"/>
      <c r="F793" s="150"/>
      <c r="G793" s="150"/>
      <c r="H793" s="150"/>
      <c r="I793" s="150"/>
      <c r="J793" s="150"/>
      <c r="K793" s="150"/>
      <c r="L793" s="150"/>
      <c r="M793" s="150"/>
      <c r="N793" s="150"/>
      <c r="O793" s="151"/>
    </row>
    <row r="794" spans="1:15" x14ac:dyDescent="0.3">
      <c r="C794" s="153"/>
    </row>
    <row r="795" spans="1:15" x14ac:dyDescent="0.3">
      <c r="B795" s="384" t="s">
        <v>7123</v>
      </c>
      <c r="C795" s="3057" t="s">
        <v>6402</v>
      </c>
      <c r="D795" s="3058"/>
      <c r="E795" s="3059" t="s">
        <v>6417</v>
      </c>
      <c r="F795" s="3058"/>
      <c r="G795" s="3059" t="s">
        <v>7418</v>
      </c>
      <c r="H795" s="3058"/>
    </row>
    <row r="796" spans="1:15" x14ac:dyDescent="0.3">
      <c r="B796" s="385" t="s">
        <v>7012</v>
      </c>
      <c r="C796" s="139" t="s">
        <v>7124</v>
      </c>
      <c r="D796" s="245" t="s">
        <v>7125</v>
      </c>
      <c r="E796" s="139" t="s">
        <v>7124</v>
      </c>
      <c r="F796" s="245" t="s">
        <v>7125</v>
      </c>
      <c r="G796" s="139" t="s">
        <v>7124</v>
      </c>
      <c r="H796" s="245" t="s">
        <v>7125</v>
      </c>
    </row>
    <row r="797" spans="1:15" x14ac:dyDescent="0.3">
      <c r="A797" t="s">
        <v>5205</v>
      </c>
      <c r="B797" s="386" t="s">
        <v>7013</v>
      </c>
      <c r="C797" s="387">
        <f xml:space="preserve"> VLOOKUP("Fertilizer value for on-farm use, liquids",$R$1:$T$332,3, FALSE)</f>
        <v>4653.6171608560817</v>
      </c>
      <c r="D797" s="388">
        <f>VLOOKUP("Fertilizer value for on-farm use, liquids",$R$1:$T$332,3, FALSE)</f>
        <v>4653.6171608560817</v>
      </c>
      <c r="E797" s="387">
        <v>0</v>
      </c>
      <c r="F797" s="389">
        <f>VLOOKUP("Fertilizer value for on-farm use, sludge",$R$1:$T$332,3, FALSE)</f>
        <v>11276.579679414468</v>
      </c>
      <c r="G797" s="387">
        <f>VLOOKUP("Fertilizer value for on-farm use, solids (non-sludge year)",$R$1:$T$332,3, FALSE)</f>
        <v>1541.5578501155414</v>
      </c>
      <c r="H797" s="389">
        <f>VLOOKUP("Fertilizer value for on-farm use, solids (sludge year)",$R$1:$T$332,3, FALSE)</f>
        <v>1129.8345002026797</v>
      </c>
    </row>
    <row r="798" spans="1:15" x14ac:dyDescent="0.3">
      <c r="A798" t="s">
        <v>5205</v>
      </c>
      <c r="B798" s="386" t="s">
        <v>7126</v>
      </c>
      <c r="C798" s="390">
        <f>C797</f>
        <v>4653.6171608560817</v>
      </c>
      <c r="D798" s="391"/>
      <c r="E798" s="390">
        <f>(F797/UDV.anaer_lagoon.sludge_time)</f>
        <v>1127.6579679414467</v>
      </c>
      <c r="F798" s="391"/>
      <c r="G798" s="392">
        <f>((G797*(E712-1))+H797)/E712</f>
        <v>1500.3855151242553</v>
      </c>
      <c r="H798" s="391"/>
    </row>
    <row r="799" spans="1:15" x14ac:dyDescent="0.3">
      <c r="A799" t="s">
        <v>5205</v>
      </c>
      <c r="B799" s="386" t="s">
        <v>7014</v>
      </c>
      <c r="C799" s="393">
        <f>SUM(C798,E798,G798)</f>
        <v>7281.660643921783</v>
      </c>
      <c r="D799" s="146"/>
      <c r="E799" s="99"/>
      <c r="F799" s="146"/>
      <c r="G799" s="99"/>
      <c r="H799" s="146"/>
    </row>
    <row r="800" spans="1:15" x14ac:dyDescent="0.3">
      <c r="B800" s="386"/>
      <c r="D800" s="146"/>
      <c r="E800" s="99"/>
      <c r="F800" s="146"/>
      <c r="G800" s="99"/>
      <c r="H800" s="146"/>
    </row>
    <row r="801" spans="1:8" x14ac:dyDescent="0.3">
      <c r="B801" s="394" t="s">
        <v>7015</v>
      </c>
      <c r="C801" s="139" t="s">
        <v>7124</v>
      </c>
      <c r="D801" s="245" t="s">
        <v>7125</v>
      </c>
      <c r="E801" s="139" t="s">
        <v>7124</v>
      </c>
      <c r="F801" s="245" t="s">
        <v>7125</v>
      </c>
      <c r="G801" s="139" t="s">
        <v>7124</v>
      </c>
      <c r="H801" s="245" t="s">
        <v>7125</v>
      </c>
    </row>
    <row r="802" spans="1:8" x14ac:dyDescent="0.3">
      <c r="A802" t="s">
        <v>5205</v>
      </c>
      <c r="B802" s="386" t="s">
        <v>7016</v>
      </c>
      <c r="C802" s="387">
        <f>UDV.econ_manure.liquid_sell_price*C663</f>
        <v>0</v>
      </c>
      <c r="D802" s="389">
        <f>UDV.econ_manure.liquid_sell_price*C663</f>
        <v>0</v>
      </c>
      <c r="E802" s="387"/>
      <c r="F802" s="389">
        <f>UDV.econ_manure.sludge_sell_price*C666</f>
        <v>0</v>
      </c>
      <c r="G802" s="387">
        <f>UDV.econ_manure.sep_solids_sell_price*I662</f>
        <v>0</v>
      </c>
      <c r="H802" s="389">
        <f>UDV.econ_manure.sep_solids_sell_price*I667</f>
        <v>172.7614178456474</v>
      </c>
    </row>
    <row r="803" spans="1:8" x14ac:dyDescent="0.3">
      <c r="A803" t="s">
        <v>5205</v>
      </c>
      <c r="B803" s="386" t="s">
        <v>7127</v>
      </c>
      <c r="C803" s="390">
        <f>C802</f>
        <v>0</v>
      </c>
      <c r="D803" s="391"/>
      <c r="E803" s="390">
        <f>(F802/UDV.anaer_lagoon.sludge_time)</f>
        <v>0</v>
      </c>
      <c r="F803" s="391"/>
      <c r="G803" s="390">
        <f>((G802*(E712-1))+H802)/E712</f>
        <v>17.276141784564739</v>
      </c>
      <c r="H803" s="391"/>
    </row>
    <row r="804" spans="1:8" x14ac:dyDescent="0.3">
      <c r="A804" t="s">
        <v>5205</v>
      </c>
      <c r="B804" s="386" t="s">
        <v>7017</v>
      </c>
      <c r="C804" s="393">
        <f>SUM(C803,E803,G803)</f>
        <v>17.276141784564739</v>
      </c>
      <c r="D804" s="146"/>
      <c r="E804" s="99"/>
      <c r="F804" s="146"/>
      <c r="G804" s="99"/>
      <c r="H804" s="146"/>
    </row>
    <row r="805" spans="1:8" x14ac:dyDescent="0.3">
      <c r="B805" s="386"/>
      <c r="C805" s="166"/>
      <c r="D805" s="146"/>
      <c r="E805" s="395"/>
      <c r="F805" s="396"/>
      <c r="G805" s="99"/>
      <c r="H805" s="146"/>
    </row>
    <row r="806" spans="1:8" x14ac:dyDescent="0.3">
      <c r="B806" s="397" t="s">
        <v>7018</v>
      </c>
      <c r="C806" s="139" t="s">
        <v>7124</v>
      </c>
      <c r="D806" s="245" t="s">
        <v>7125</v>
      </c>
      <c r="E806" s="139" t="s">
        <v>7124</v>
      </c>
      <c r="F806" s="245" t="s">
        <v>7125</v>
      </c>
      <c r="G806" s="139" t="s">
        <v>7124</v>
      </c>
      <c r="H806" s="245" t="s">
        <v>7125</v>
      </c>
    </row>
    <row r="807" spans="1:8" x14ac:dyDescent="0.3">
      <c r="A807" t="s">
        <v>5205</v>
      </c>
      <c r="B807" s="386" t="s">
        <v>7019</v>
      </c>
      <c r="C807" s="387">
        <f>UDV.econ_manure.liquid_sell_price*C682</f>
        <v>0</v>
      </c>
      <c r="D807" s="389">
        <f>UDV.econ_manure.liquid_sell_price*C682</f>
        <v>0</v>
      </c>
      <c r="E807" s="387"/>
      <c r="F807" s="389">
        <f>UDV.econ_manure.sludge_sell_price*C685</f>
        <v>938.62859759288131</v>
      </c>
      <c r="G807" s="387">
        <f>UDV.econ_manure.sep_solids_sell_price*I663</f>
        <v>0</v>
      </c>
      <c r="H807" s="389">
        <f>UDV.econ_manure.sep_solids_sell_price*I668</f>
        <v>0</v>
      </c>
    </row>
    <row r="808" spans="1:8" x14ac:dyDescent="0.3">
      <c r="A808" t="s">
        <v>5205</v>
      </c>
      <c r="B808" s="386" t="s">
        <v>7128</v>
      </c>
      <c r="C808" s="390">
        <f>C807</f>
        <v>0</v>
      </c>
      <c r="D808" s="391"/>
      <c r="E808" s="390">
        <f>(F807/UDV.anaer_lagoon.sludge_time)</f>
        <v>93.862859759288128</v>
      </c>
      <c r="F808" s="391"/>
      <c r="G808" s="390">
        <f>((G807*(E712-1))+H807)/E712</f>
        <v>0</v>
      </c>
      <c r="H808" s="391"/>
    </row>
    <row r="809" spans="1:8" x14ac:dyDescent="0.3">
      <c r="A809" t="s">
        <v>5205</v>
      </c>
      <c r="B809" s="386" t="s">
        <v>7020</v>
      </c>
      <c r="C809" s="393">
        <f>SUM(C808,E808,G808)</f>
        <v>93.862859759288128</v>
      </c>
      <c r="D809" s="146"/>
      <c r="E809" s="99"/>
      <c r="F809" s="146"/>
      <c r="G809" s="99"/>
      <c r="H809" s="146"/>
    </row>
    <row r="810" spans="1:8" x14ac:dyDescent="0.3">
      <c r="B810" s="386"/>
      <c r="D810" s="146"/>
      <c r="E810" s="99"/>
      <c r="F810" s="146"/>
      <c r="G810" s="99"/>
      <c r="H810" s="146"/>
    </row>
    <row r="811" spans="1:8" x14ac:dyDescent="0.3">
      <c r="B811" s="398" t="s">
        <v>7021</v>
      </c>
      <c r="C811" s="139" t="s">
        <v>7124</v>
      </c>
      <c r="D811" s="245" t="s">
        <v>7125</v>
      </c>
      <c r="E811" s="139" t="s">
        <v>7124</v>
      </c>
      <c r="F811" s="245" t="s">
        <v>7125</v>
      </c>
      <c r="G811" s="139" t="s">
        <v>7124</v>
      </c>
      <c r="H811" s="245" t="s">
        <v>7125</v>
      </c>
    </row>
    <row r="812" spans="1:8" x14ac:dyDescent="0.3">
      <c r="A812" t="s">
        <v>5205</v>
      </c>
      <c r="B812" s="386" t="s">
        <v>7022</v>
      </c>
      <c r="C812" s="387">
        <f>UDV.econ_manure.liquid_export_cost*C683</f>
        <v>0</v>
      </c>
      <c r="D812" s="389">
        <f>UDV.econ_manure.liquid_export_cost*C683</f>
        <v>0</v>
      </c>
      <c r="E812" s="387"/>
      <c r="F812" s="389">
        <f>UDV.econ_manure.sludge_export_cost*C686</f>
        <v>24014.270623451579</v>
      </c>
      <c r="G812" s="387">
        <f>UDV.econ_manure.sep_solids_export_cost*I664</f>
        <v>0</v>
      </c>
      <c r="H812" s="389">
        <f>UDV.econ_manure.sep_solids_export_cost*I669</f>
        <v>0</v>
      </c>
    </row>
    <row r="813" spans="1:8" x14ac:dyDescent="0.3">
      <c r="A813" t="s">
        <v>5205</v>
      </c>
      <c r="B813" s="386" t="s">
        <v>7129</v>
      </c>
      <c r="C813" s="390">
        <f>C812</f>
        <v>0</v>
      </c>
      <c r="D813" s="391"/>
      <c r="E813" s="390">
        <f>(F812/UDV.anaer_lagoon.sludge_time)</f>
        <v>2401.427062345158</v>
      </c>
      <c r="F813" s="391"/>
      <c r="G813" s="390">
        <f>((G812*(E712-1))+H812)/E712</f>
        <v>0</v>
      </c>
      <c r="H813" s="391"/>
    </row>
    <row r="814" spans="1:8" x14ac:dyDescent="0.3">
      <c r="A814" t="s">
        <v>5205</v>
      </c>
      <c r="B814" s="386" t="s">
        <v>7023</v>
      </c>
      <c r="C814" s="393">
        <f>SUM(C813,E813,G813)</f>
        <v>2401.427062345158</v>
      </c>
      <c r="D814" s="146"/>
      <c r="E814" s="99"/>
      <c r="F814" s="146"/>
      <c r="G814" s="99"/>
      <c r="H814" s="146"/>
    </row>
    <row r="815" spans="1:8" x14ac:dyDescent="0.3">
      <c r="B815" s="386"/>
      <c r="D815" s="146"/>
      <c r="E815" s="99"/>
      <c r="F815" s="146"/>
      <c r="G815" s="99"/>
      <c r="H815" s="146"/>
    </row>
    <row r="816" spans="1:8" x14ac:dyDescent="0.3">
      <c r="B816" s="303" t="s">
        <v>7138</v>
      </c>
      <c r="C816" s="82" t="s">
        <v>5181</v>
      </c>
      <c r="D816" s="173"/>
      <c r="E816" s="99"/>
      <c r="F816" s="146"/>
      <c r="G816" s="99"/>
      <c r="H816" s="146"/>
    </row>
    <row r="817" spans="1:23" x14ac:dyDescent="0.3">
      <c r="B817" s="70" t="s">
        <v>7139</v>
      </c>
      <c r="C817" s="265"/>
      <c r="D817" s="151"/>
      <c r="E817" s="149"/>
      <c r="F817" s="151"/>
      <c r="G817" s="149"/>
      <c r="H817" s="151"/>
    </row>
    <row r="818" spans="1:23" ht="15" thickBot="1" x14ac:dyDescent="0.35">
      <c r="A818" s="137"/>
      <c r="B818" s="137"/>
      <c r="C818" s="137"/>
      <c r="D818" s="137"/>
      <c r="E818" s="137"/>
      <c r="F818" s="137"/>
      <c r="G818" s="137"/>
      <c r="H818" s="137"/>
      <c r="I818" s="137"/>
      <c r="J818" s="137"/>
      <c r="K818" s="137"/>
      <c r="L818" s="137"/>
      <c r="M818" s="137"/>
      <c r="N818" s="137"/>
      <c r="O818" s="137"/>
      <c r="P818" s="137"/>
      <c r="Q818" s="137"/>
    </row>
    <row r="819" spans="1:23" x14ac:dyDescent="0.3">
      <c r="D819" s="66"/>
      <c r="E819" s="66"/>
      <c r="F819" s="19"/>
      <c r="G819" s="42"/>
      <c r="H819" s="3"/>
      <c r="J819" s="42"/>
      <c r="R819" s="20"/>
    </row>
    <row r="820" spans="1:23" x14ac:dyDescent="0.3">
      <c r="B820" s="139" t="s">
        <v>7050</v>
      </c>
      <c r="C820" s="142"/>
      <c r="D820" s="142"/>
      <c r="E820" s="267"/>
      <c r="F820" s="267"/>
      <c r="G820" s="267"/>
      <c r="H820" s="268"/>
      <c r="I820" s="142"/>
      <c r="J820" s="142"/>
      <c r="K820" s="142"/>
      <c r="L820" s="142"/>
      <c r="M820" s="142"/>
      <c r="N820" s="142"/>
      <c r="O820" s="142"/>
      <c r="P820" s="142"/>
      <c r="Q820" s="142"/>
      <c r="R820" s="142"/>
      <c r="S820" s="142"/>
      <c r="T820" s="142"/>
      <c r="U820" s="142"/>
      <c r="V820" s="142"/>
      <c r="W820" s="141"/>
    </row>
    <row r="821" spans="1:23" x14ac:dyDescent="0.3">
      <c r="B821" s="92" t="s">
        <v>7337</v>
      </c>
      <c r="E821" s="66"/>
      <c r="F821" s="66"/>
      <c r="G821" s="66"/>
      <c r="H821" s="19"/>
      <c r="W821" s="146"/>
    </row>
    <row r="822" spans="1:23" x14ac:dyDescent="0.3">
      <c r="B822" s="99"/>
      <c r="W822" s="146"/>
    </row>
    <row r="823" spans="1:23" x14ac:dyDescent="0.3">
      <c r="B823" s="92" t="s">
        <v>7052</v>
      </c>
      <c r="C823" s="82" t="s">
        <v>565</v>
      </c>
      <c r="D823" s="82" t="s">
        <v>38</v>
      </c>
      <c r="E823" s="66"/>
      <c r="W823" s="146"/>
    </row>
    <row r="824" spans="1:23" x14ac:dyDescent="0.3">
      <c r="B824" s="99" t="s">
        <v>5859</v>
      </c>
      <c r="C824">
        <f>UDV.animal.total</f>
        <v>500</v>
      </c>
      <c r="D824" t="s">
        <v>2442</v>
      </c>
      <c r="E824" s="66"/>
      <c r="W824" s="146"/>
    </row>
    <row r="825" spans="1:23" x14ac:dyDescent="0.3">
      <c r="B825" s="174" t="s">
        <v>5386</v>
      </c>
      <c r="C825">
        <f>UDV.crops.acres_available</f>
        <v>100</v>
      </c>
      <c r="D825" t="s">
        <v>7029</v>
      </c>
      <c r="E825" s="66"/>
      <c r="W825" s="146"/>
    </row>
    <row r="826" spans="1:23" x14ac:dyDescent="0.3">
      <c r="B826" s="99" t="s">
        <v>5114</v>
      </c>
      <c r="C826" t="str">
        <f>UDV.u.state</f>
        <v>Iowa</v>
      </c>
      <c r="D826" t="s">
        <v>2852</v>
      </c>
      <c r="E826" s="66"/>
      <c r="W826" s="146"/>
    </row>
    <row r="827" spans="1:23" x14ac:dyDescent="0.3">
      <c r="B827" s="99"/>
      <c r="D827" s="66"/>
      <c r="E827" s="66"/>
      <c r="W827" s="146"/>
    </row>
    <row r="828" spans="1:23" x14ac:dyDescent="0.3">
      <c r="A828" t="s">
        <v>4912</v>
      </c>
      <c r="B828" s="92" t="s">
        <v>7053</v>
      </c>
      <c r="C828" s="82" t="s">
        <v>5181</v>
      </c>
      <c r="D828" s="82" t="s">
        <v>7140</v>
      </c>
      <c r="E828" s="66"/>
      <c r="W828" s="146"/>
    </row>
    <row r="829" spans="1:23" x14ac:dyDescent="0.3">
      <c r="A829" t="s">
        <v>4912</v>
      </c>
      <c r="B829" s="275" t="s">
        <v>2585</v>
      </c>
      <c r="C829" s="276">
        <f>F849</f>
        <v>59553.238019141761</v>
      </c>
      <c r="D829" s="153">
        <f>C829/C824</f>
        <v>119.10647603828352</v>
      </c>
      <c r="E829" s="66"/>
      <c r="W829" s="146"/>
    </row>
    <row r="830" spans="1:23" x14ac:dyDescent="0.3">
      <c r="A830" t="s">
        <v>4912</v>
      </c>
      <c r="B830" s="275" t="s">
        <v>2588</v>
      </c>
      <c r="C830" s="276">
        <f>G849+L849</f>
        <v>25795.532352952283</v>
      </c>
      <c r="D830" s="153">
        <f>C830/C824</f>
        <v>51.591064705904564</v>
      </c>
      <c r="E830" s="66"/>
      <c r="W830" s="146"/>
    </row>
    <row r="831" spans="1:23" x14ac:dyDescent="0.3">
      <c r="A831" t="s">
        <v>4912</v>
      </c>
      <c r="B831" s="275" t="s">
        <v>441</v>
      </c>
      <c r="C831" s="276">
        <f>I849</f>
        <v>0</v>
      </c>
      <c r="D831" s="153">
        <f>C831/C824</f>
        <v>0</v>
      </c>
      <c r="E831" s="66"/>
      <c r="W831" s="146"/>
    </row>
    <row r="832" spans="1:23" x14ac:dyDescent="0.3">
      <c r="A832" t="s">
        <v>4912</v>
      </c>
      <c r="B832" s="275" t="s">
        <v>440</v>
      </c>
      <c r="C832" s="276">
        <f>J849</f>
        <v>7281.660643921783</v>
      </c>
      <c r="D832" s="153">
        <f>C832/C824</f>
        <v>14.563321287843566</v>
      </c>
      <c r="E832" s="66"/>
      <c r="W832" s="146"/>
    </row>
    <row r="833" spans="1:25" x14ac:dyDescent="0.3">
      <c r="A833" t="s">
        <v>4912</v>
      </c>
      <c r="B833" s="275" t="s">
        <v>442</v>
      </c>
      <c r="C833" s="276">
        <f>K849</f>
        <v>17.276141784564739</v>
      </c>
      <c r="D833" s="153">
        <f>C833/C824</f>
        <v>3.4552283569129476E-2</v>
      </c>
      <c r="E833" s="66"/>
      <c r="W833" s="146"/>
    </row>
    <row r="834" spans="1:25" x14ac:dyDescent="0.3">
      <c r="A834" t="s">
        <v>4912</v>
      </c>
      <c r="B834" s="2270" t="s">
        <v>439</v>
      </c>
      <c r="C834" s="2271">
        <f>M849</f>
        <v>-85331.494230309472</v>
      </c>
      <c r="D834" s="159">
        <f>C834/C824</f>
        <v>-170.66298846061895</v>
      </c>
      <c r="E834" s="288"/>
      <c r="W834" s="146"/>
    </row>
    <row r="835" spans="1:25" x14ac:dyDescent="0.3">
      <c r="A835" t="s">
        <v>4912</v>
      </c>
      <c r="B835" s="99" t="s">
        <v>7055</v>
      </c>
      <c r="C835" s="276">
        <f>L849</f>
        <v>0</v>
      </c>
      <c r="D835" s="153">
        <f>C835/C824</f>
        <v>0</v>
      </c>
      <c r="E835" s="279" t="s">
        <v>7056</v>
      </c>
      <c r="W835" s="146"/>
    </row>
    <row r="836" spans="1:25" x14ac:dyDescent="0.3">
      <c r="A836" t="s">
        <v>4912</v>
      </c>
      <c r="B836" s="99" t="s">
        <v>7057</v>
      </c>
      <c r="C836" s="153">
        <f>C829+C830</f>
        <v>85348.770372094048</v>
      </c>
      <c r="D836" s="153">
        <f>C836/C824</f>
        <v>170.6975407441881</v>
      </c>
      <c r="E836" s="66"/>
      <c r="W836" s="146"/>
    </row>
    <row r="837" spans="1:25" ht="13.5" customHeight="1" x14ac:dyDescent="0.3">
      <c r="A837" t="s">
        <v>4912</v>
      </c>
      <c r="B837" s="853" t="s">
        <v>5392</v>
      </c>
      <c r="C837" s="142"/>
      <c r="D837" s="854">
        <f>E849</f>
        <v>1789367.4393330102</v>
      </c>
      <c r="E837" s="271" t="s">
        <v>2284</v>
      </c>
      <c r="W837" s="146"/>
    </row>
    <row r="838" spans="1:25" ht="13.5" customHeight="1" x14ac:dyDescent="0.3">
      <c r="A838" t="s">
        <v>4912</v>
      </c>
      <c r="B838" s="852" t="s">
        <v>5393</v>
      </c>
      <c r="D838" s="274">
        <f>E849/C824</f>
        <v>3578.7348786660204</v>
      </c>
      <c r="E838" s="20" t="s">
        <v>7058</v>
      </c>
      <c r="W838" s="146"/>
    </row>
    <row r="839" spans="1:25" x14ac:dyDescent="0.3">
      <c r="B839" s="99"/>
      <c r="E839" s="66"/>
      <c r="H839" s="42"/>
      <c r="I839" s="3"/>
      <c r="K839" s="42"/>
      <c r="M839" s="146"/>
      <c r="N839" s="273" t="s">
        <v>7059</v>
      </c>
      <c r="O839" s="90"/>
      <c r="P839" s="90"/>
      <c r="Q839" s="90"/>
      <c r="R839" s="90"/>
      <c r="S839" s="279"/>
      <c r="T839" s="90"/>
      <c r="U839" s="90"/>
      <c r="V839" s="42"/>
      <c r="W839" s="146"/>
    </row>
    <row r="840" spans="1:25" x14ac:dyDescent="0.3">
      <c r="B840" s="92" t="s">
        <v>7060</v>
      </c>
      <c r="E840" s="66"/>
      <c r="M840" s="113"/>
      <c r="N840" s="90" t="s">
        <v>5323</v>
      </c>
      <c r="O840" s="90" t="s">
        <v>5181</v>
      </c>
      <c r="P840" s="90" t="s">
        <v>5324</v>
      </c>
      <c r="Q840" s="90" t="s">
        <v>5181</v>
      </c>
      <c r="R840" s="90" t="s">
        <v>2710</v>
      </c>
      <c r="S840" s="90" t="s">
        <v>5181</v>
      </c>
      <c r="T840" s="90" t="s">
        <v>2710</v>
      </c>
      <c r="U840" s="90" t="s">
        <v>5181</v>
      </c>
      <c r="V840" s="90" t="s">
        <v>2710</v>
      </c>
      <c r="W840" s="280" t="s">
        <v>5181</v>
      </c>
    </row>
    <row r="841" spans="1:25" ht="57.6" x14ac:dyDescent="0.3">
      <c r="B841" s="92" t="s">
        <v>5187</v>
      </c>
      <c r="C841" s="82" t="s">
        <v>7061</v>
      </c>
      <c r="D841" s="82" t="s">
        <v>7062</v>
      </c>
      <c r="E841" s="277" t="s">
        <v>7063</v>
      </c>
      <c r="F841" s="82" t="s">
        <v>7064</v>
      </c>
      <c r="G841" s="277" t="s">
        <v>2588</v>
      </c>
      <c r="H841" s="82" t="s">
        <v>5188</v>
      </c>
      <c r="I841" s="82" t="s">
        <v>5189</v>
      </c>
      <c r="J841" s="82" t="s">
        <v>5190</v>
      </c>
      <c r="K841" s="82" t="s">
        <v>442</v>
      </c>
      <c r="L841" s="82" t="s">
        <v>5191</v>
      </c>
      <c r="M841" s="173" t="s">
        <v>439</v>
      </c>
      <c r="N841" s="281" t="s">
        <v>5192</v>
      </c>
      <c r="O841" s="281" t="s">
        <v>5193</v>
      </c>
      <c r="P841" s="281" t="s">
        <v>5194</v>
      </c>
      <c r="Q841" s="281" t="s">
        <v>5195</v>
      </c>
      <c r="R841" s="281" t="s">
        <v>5196</v>
      </c>
      <c r="S841" s="281" t="s">
        <v>5197</v>
      </c>
      <c r="T841" s="281" t="s">
        <v>5198</v>
      </c>
      <c r="U841" s="281" t="s">
        <v>5199</v>
      </c>
      <c r="V841" s="281" t="s">
        <v>5200</v>
      </c>
      <c r="W841" s="282" t="s">
        <v>5201</v>
      </c>
    </row>
    <row r="842" spans="1:25" x14ac:dyDescent="0.3">
      <c r="A842" t="s">
        <v>7066</v>
      </c>
      <c r="B842" s="99" t="s">
        <v>6945</v>
      </c>
      <c r="C842" s="158">
        <f>SUMIFS($C$300:$C$766,$A$300:$A$766,_xlfn.CONCAT(B842,"_construction"))</f>
        <v>7858.4422870541339</v>
      </c>
      <c r="D842" s="158">
        <f>SUMIFS($C$300:$C$766,$A$300:$A$766,_xlfn.CONCAT(B842,"_equipment"))</f>
        <v>0</v>
      </c>
      <c r="E842" s="274">
        <f>SUM(C842:D842)</f>
        <v>7858.4422870541339</v>
      </c>
      <c r="F842" s="158">
        <f>SUMIFS($D$300:$D$766,$A$300:$A$766,$B842,$B$300:$B$766,"Total capital recovery value")</f>
        <v>635.93948316737419</v>
      </c>
      <c r="G842" s="158">
        <f>SUMIFS($C$300:$C$766,$A$300:$A$766,$B842,$B$300:$B$766,"Annual operational costs")</f>
        <v>117.876634305812</v>
      </c>
      <c r="H842" s="153">
        <f>SUM(F842:G842)</f>
        <v>753.81611747318618</v>
      </c>
      <c r="I842" s="158">
        <f>SUMIFS($C$300:$C$766,$A$300:$A$766,$B842,$B$300:$B$766,"Annual cost savings")</f>
        <v>0</v>
      </c>
      <c r="J842" s="158">
        <f>SUMIFS($C$300:$C$766,$A$300:$A$766,$B842,$B$300:$B$766,"Annual fertilizer value for on-farm use")</f>
        <v>0</v>
      </c>
      <c r="K842" s="158">
        <f>SUMIFS($C$300:$C$766,$A$300:$A$766,$B842,$B$300:$B$766,"Annual revenues")</f>
        <v>0</v>
      </c>
      <c r="L842" s="158">
        <f>SUMIFS($C$300:$C$766,$A$300:$A$766,$B842,$B$300:$B$766,"Annual cost to export excess")</f>
        <v>0</v>
      </c>
      <c r="M842" s="283">
        <f>K842-F842-G842</f>
        <v>-753.81611747318618</v>
      </c>
      <c r="N842">
        <f>SUMIFS($F$300:$F$766,$A$300:$A$766,$B842,$B$300:$B$766,"Totals")</f>
        <v>0</v>
      </c>
      <c r="O842">
        <f>SUMIFS($G$300:$G$766,$A$300:$A$766,$B842,$B$300:$B$766,"Totals")</f>
        <v>0</v>
      </c>
      <c r="P842" s="147">
        <f>SUMIFS($H$300:$H$766,$A$300:$A$766,$B842,$B$300:$B$766,"Totals")</f>
        <v>0</v>
      </c>
      <c r="Q842" s="147">
        <f>SUMIFS($I$300:$I$766,$A$300:$A$766,$B842,$B$300:$B$766,"Totals")</f>
        <v>0</v>
      </c>
      <c r="R842" s="2315">
        <f>SUMIFS($K$300:$K$766,$A$300:$A$766,$B842,$B$300:$B$766,"Totals")</f>
        <v>0</v>
      </c>
      <c r="S842" s="2315">
        <f>SUMIFS($L$300:$L$766,$A$300:$A$766,$B842,$B$300:$B$766,"Totals")</f>
        <v>0</v>
      </c>
      <c r="T842" s="2315">
        <f>SUMIFS($M$300:$M$766,$A$300:$A$766,$B842,$B$300:$B$766,"Totals")</f>
        <v>0</v>
      </c>
      <c r="U842" s="2315">
        <f>SUMIFS($N$300:$N$766,$A$300:$A$766,$B842,$B$300:$B$766,"Totals")</f>
        <v>0</v>
      </c>
      <c r="V842" s="147">
        <f>R842+T842</f>
        <v>0</v>
      </c>
      <c r="W842" s="285">
        <f>S842+U842</f>
        <v>0</v>
      </c>
      <c r="Y842" s="36"/>
    </row>
    <row r="843" spans="1:25" ht="13.5" customHeight="1" x14ac:dyDescent="0.3">
      <c r="A843" t="str">
        <f t="shared" ref="A843:A849" si="47">_xlfn.CONCAT("TL",B843)</f>
        <v>TLBarn and parlor</v>
      </c>
      <c r="B843" s="99" t="s">
        <v>5209</v>
      </c>
      <c r="C843" s="233">
        <f t="shared" ref="C843:C848" si="48">SUMIFS($C:$C,$A:$A,_xlfn.CONCAT(B843,"_construction"))</f>
        <v>0</v>
      </c>
      <c r="D843" s="233">
        <f t="shared" ref="D843:D848" si="49">SUMIFS($C:$C,$A:$A,_xlfn.CONCAT(B843,"_equipment"))</f>
        <v>0</v>
      </c>
      <c r="E843" s="274">
        <f>SUM(C843:D843)</f>
        <v>0</v>
      </c>
      <c r="F843" s="233">
        <f t="shared" ref="F843:F848" si="50">SUMIFS($D:$D,$A:$A,$B843,$B:$B,"Total capital recovery value")</f>
        <v>0</v>
      </c>
      <c r="G843" s="233">
        <f t="shared" ref="G843:G848" si="51">SUMIFS($C:$C,$A:$A,$B843,$B:$B,"Annual operational costs")</f>
        <v>1981.3171950056176</v>
      </c>
      <c r="H843" s="153">
        <f t="shared" ref="H843:H848" si="52">SUM(F843:G843)</f>
        <v>1981.3171950056176</v>
      </c>
      <c r="I843" s="233">
        <f t="shared" ref="I843:I848" si="53">SUMIFS($C:$C,$A:$A,$B843,$B:$B,"Annual cost savings")</f>
        <v>0</v>
      </c>
      <c r="J843" s="233">
        <f t="shared" ref="J843:J848" si="54">SUMIFS($C:$C,$A:$A,$B843,$B:$B,"Annual fertilizer value for on-farm use")</f>
        <v>0</v>
      </c>
      <c r="K843" s="233">
        <f t="shared" ref="K843:K848" si="55">SUMIFS($C:$C,$A:$A,$B843,$B:$B,"Annual revenues")</f>
        <v>0</v>
      </c>
      <c r="L843" s="233">
        <f t="shared" ref="L843:L848" si="56">SUMIFS($C:$C,$A:$A,$B843,$B:$B,"Annual cost to export excess")</f>
        <v>0</v>
      </c>
      <c r="M843" s="283">
        <f>K843-F843-G843</f>
        <v>-1981.3171950056176</v>
      </c>
      <c r="N843">
        <f t="shared" ref="N843:N848" si="57">SUMIFS($F:$F,$A:$A,$B843,$B:$B,"Totals")</f>
        <v>0</v>
      </c>
      <c r="O843">
        <f t="shared" ref="O843:O848" si="58">SUMIFS($G:$G,$A:$A,$B843,$B:$B,"Totals")</f>
        <v>0</v>
      </c>
      <c r="P843" s="147">
        <f t="shared" ref="P843:P848" si="59">SUMIFS($H:$H,$A:$A,$B843,$B:$B,"Totals")</f>
        <v>0</v>
      </c>
      <c r="Q843" s="147">
        <f t="shared" ref="Q843:Q848" si="60">SUMIFS($I:$I,$A:$A,$B843,$B:$B,"Totals")</f>
        <v>0</v>
      </c>
      <c r="R843" s="284">
        <f t="shared" ref="R843:R848" si="61">SUMIFS($K:$K,$A:$A,$B843,$B:$B,"Totals")</f>
        <v>0</v>
      </c>
      <c r="S843" s="284">
        <f t="shared" ref="S843:S848" si="62">SUMIFS($L:$L,$A:$A,$B843,$B:$B,"Totals")</f>
        <v>0</v>
      </c>
      <c r="T843" s="284">
        <f t="shared" ref="T843:T848" si="63">SUMIFS($M:$M,$A:$A,$B843,$B:$B,"Totals")</f>
        <v>0</v>
      </c>
      <c r="U843" s="284">
        <f t="shared" ref="U843:U848" si="64">SUMIFS($N:$N,$A:$A,$B843,$B:$B,"Totals")</f>
        <v>0</v>
      </c>
      <c r="V843" s="147">
        <f t="shared" ref="V843:W848" si="65">R843+T843</f>
        <v>0</v>
      </c>
      <c r="W843" s="285">
        <f t="shared" si="65"/>
        <v>0</v>
      </c>
    </row>
    <row r="844" spans="1:25" ht="13.5" customHeight="1" x14ac:dyDescent="0.3">
      <c r="A844" t="str">
        <f t="shared" si="47"/>
        <v>TLReception pit</v>
      </c>
      <c r="B844" s="99" t="s">
        <v>5219</v>
      </c>
      <c r="C844" s="233">
        <f t="shared" si="48"/>
        <v>8018.7932118545777</v>
      </c>
      <c r="D844" s="233">
        <f t="shared" si="49"/>
        <v>13570</v>
      </c>
      <c r="E844" s="274">
        <f t="shared" ref="E844:E848" si="66">SUM(C844:D844)</f>
        <v>21588.79321185458</v>
      </c>
      <c r="F844" s="233">
        <f t="shared" si="50"/>
        <v>1821.4045073202617</v>
      </c>
      <c r="G844" s="233">
        <f t="shared" si="51"/>
        <v>1572.7463282449262</v>
      </c>
      <c r="H844" s="153">
        <f t="shared" si="52"/>
        <v>3394.1508355651877</v>
      </c>
      <c r="I844" s="233">
        <f t="shared" si="53"/>
        <v>0</v>
      </c>
      <c r="J844" s="233">
        <f t="shared" si="54"/>
        <v>0</v>
      </c>
      <c r="K844" s="233">
        <f t="shared" si="55"/>
        <v>0</v>
      </c>
      <c r="L844" s="233">
        <f t="shared" si="56"/>
        <v>0</v>
      </c>
      <c r="M844" s="283">
        <f t="shared" ref="M844:M848" si="67">K844-F844-G844</f>
        <v>-3394.1508355651877</v>
      </c>
      <c r="N844">
        <f t="shared" si="57"/>
        <v>138.71116608588275</v>
      </c>
      <c r="O844">
        <f t="shared" si="58"/>
        <v>9.5144300671075079</v>
      </c>
      <c r="P844" s="147">
        <f t="shared" si="59"/>
        <v>0</v>
      </c>
      <c r="Q844" s="147">
        <f t="shared" si="60"/>
        <v>0</v>
      </c>
      <c r="R844" s="284">
        <f t="shared" si="61"/>
        <v>0</v>
      </c>
      <c r="S844" s="284">
        <f t="shared" si="62"/>
        <v>0</v>
      </c>
      <c r="T844" s="284">
        <f t="shared" si="63"/>
        <v>0</v>
      </c>
      <c r="U844" s="284">
        <f t="shared" si="64"/>
        <v>0</v>
      </c>
      <c r="V844" s="147">
        <f t="shared" si="65"/>
        <v>0</v>
      </c>
      <c r="W844" s="285">
        <f t="shared" si="65"/>
        <v>0</v>
      </c>
    </row>
    <row r="845" spans="1:25" ht="13.5" customHeight="1" x14ac:dyDescent="0.3">
      <c r="A845" t="str">
        <f t="shared" si="47"/>
        <v>TLSlope screen</v>
      </c>
      <c r="B845" s="99" t="s">
        <v>2847</v>
      </c>
      <c r="C845" s="233">
        <f t="shared" si="48"/>
        <v>4471.7026580999209</v>
      </c>
      <c r="D845" s="233">
        <f t="shared" si="49"/>
        <v>62342.955398714985</v>
      </c>
      <c r="E845" s="274">
        <f t="shared" si="66"/>
        <v>66814.658056814907</v>
      </c>
      <c r="F845" s="233">
        <f t="shared" si="50"/>
        <v>6657.3099509325566</v>
      </c>
      <c r="G845" s="233">
        <f t="shared" si="51"/>
        <v>981.77616622345704</v>
      </c>
      <c r="H845" s="153">
        <f t="shared" si="52"/>
        <v>7639.0861171560136</v>
      </c>
      <c r="I845" s="233">
        <f t="shared" si="53"/>
        <v>0</v>
      </c>
      <c r="J845" s="233">
        <f t="shared" si="54"/>
        <v>0</v>
      </c>
      <c r="K845" s="233">
        <f t="shared" si="55"/>
        <v>0</v>
      </c>
      <c r="L845" s="233">
        <f t="shared" si="56"/>
        <v>0</v>
      </c>
      <c r="M845" s="283">
        <f t="shared" si="67"/>
        <v>-7639.0861171560136</v>
      </c>
      <c r="N845">
        <f t="shared" si="57"/>
        <v>8.6729330032516483</v>
      </c>
      <c r="O845">
        <f t="shared" si="58"/>
        <v>0.59489092958136924</v>
      </c>
      <c r="P845" s="147">
        <f t="shared" si="59"/>
        <v>3.2596088263919412</v>
      </c>
      <c r="Q845" s="147">
        <f t="shared" si="60"/>
        <v>12.049113275731147</v>
      </c>
      <c r="R845" s="284">
        <f t="shared" si="61"/>
        <v>5.7881065827833513</v>
      </c>
      <c r="S845" s="284">
        <f t="shared" si="62"/>
        <v>136.9466017486541</v>
      </c>
      <c r="T845" s="284">
        <f t="shared" si="63"/>
        <v>0</v>
      </c>
      <c r="U845" s="284">
        <f t="shared" si="64"/>
        <v>0</v>
      </c>
      <c r="V845" s="147">
        <f t="shared" si="65"/>
        <v>5.7881065827833513</v>
      </c>
      <c r="W845" s="285">
        <f t="shared" si="65"/>
        <v>136.9466017486541</v>
      </c>
    </row>
    <row r="846" spans="1:25" ht="13.5" customHeight="1" x14ac:dyDescent="0.3">
      <c r="A846" t="str">
        <f t="shared" si="47"/>
        <v>TLLagoon</v>
      </c>
      <c r="B846" s="99" t="s">
        <v>5210</v>
      </c>
      <c r="C846" s="233">
        <f t="shared" si="48"/>
        <v>90305.545777286592</v>
      </c>
      <c r="D846" s="233">
        <f t="shared" si="49"/>
        <v>0</v>
      </c>
      <c r="E846" s="274">
        <f t="shared" si="66"/>
        <v>90305.545777286592</v>
      </c>
      <c r="F846" s="233">
        <f t="shared" si="50"/>
        <v>7307.9193065224426</v>
      </c>
      <c r="G846" s="233">
        <f t="shared" si="51"/>
        <v>1354.5831866592989</v>
      </c>
      <c r="H846" s="153">
        <f t="shared" si="52"/>
        <v>8662.5024931817425</v>
      </c>
      <c r="I846" s="233">
        <f t="shared" si="53"/>
        <v>0</v>
      </c>
      <c r="J846" s="233">
        <f t="shared" si="54"/>
        <v>0</v>
      </c>
      <c r="K846" s="233">
        <f t="shared" si="55"/>
        <v>0</v>
      </c>
      <c r="L846" s="233">
        <f t="shared" si="56"/>
        <v>0</v>
      </c>
      <c r="M846" s="283">
        <f t="shared" si="67"/>
        <v>-8662.5024931817425</v>
      </c>
      <c r="N846" s="783">
        <f t="shared" si="57"/>
        <v>0</v>
      </c>
      <c r="O846" s="147">
        <f t="shared" si="58"/>
        <v>0</v>
      </c>
      <c r="P846" s="147">
        <f t="shared" si="59"/>
        <v>0</v>
      </c>
      <c r="Q846" s="147">
        <f t="shared" si="60"/>
        <v>0</v>
      </c>
      <c r="R846" s="284">
        <f t="shared" si="61"/>
        <v>0</v>
      </c>
      <c r="S846" s="284">
        <f t="shared" si="62"/>
        <v>0</v>
      </c>
      <c r="T846" s="284">
        <f t="shared" si="63"/>
        <v>0</v>
      </c>
      <c r="U846" s="284">
        <f t="shared" si="64"/>
        <v>0</v>
      </c>
      <c r="V846" s="147">
        <f t="shared" si="65"/>
        <v>0</v>
      </c>
      <c r="W846" s="285">
        <f t="shared" si="65"/>
        <v>0</v>
      </c>
    </row>
    <row r="847" spans="1:25" s="90" customFormat="1" ht="13.5" customHeight="1" x14ac:dyDescent="0.3">
      <c r="A847" t="str">
        <f t="shared" si="47"/>
        <v>TLTractors</v>
      </c>
      <c r="B847" s="235" t="s">
        <v>3204</v>
      </c>
      <c r="C847" s="784">
        <f t="shared" si="48"/>
        <v>0</v>
      </c>
      <c r="D847" s="784">
        <f t="shared" si="49"/>
        <v>313700</v>
      </c>
      <c r="E847" s="274">
        <f t="shared" si="66"/>
        <v>313700</v>
      </c>
      <c r="F847" s="784">
        <f t="shared" si="50"/>
        <v>7554.6698706753787</v>
      </c>
      <c r="G847" s="784">
        <f t="shared" si="51"/>
        <v>5606.7627669017202</v>
      </c>
      <c r="H847" s="373">
        <f t="shared" si="52"/>
        <v>13161.432637577098</v>
      </c>
      <c r="I847" s="784">
        <f t="shared" si="53"/>
        <v>0</v>
      </c>
      <c r="J847" s="784">
        <f t="shared" si="54"/>
        <v>0</v>
      </c>
      <c r="K847" s="784">
        <f t="shared" si="55"/>
        <v>0</v>
      </c>
      <c r="L847" s="784">
        <f t="shared" si="56"/>
        <v>0</v>
      </c>
      <c r="M847" s="283">
        <f t="shared" si="67"/>
        <v>-13161.432637577098</v>
      </c>
      <c r="N847" s="785">
        <f t="shared" si="57"/>
        <v>0</v>
      </c>
      <c r="O847" s="418">
        <f t="shared" si="58"/>
        <v>0</v>
      </c>
      <c r="P847" s="418">
        <f t="shared" si="59"/>
        <v>0</v>
      </c>
      <c r="Q847" s="418">
        <f t="shared" si="60"/>
        <v>0</v>
      </c>
      <c r="R847" s="786">
        <f t="shared" si="61"/>
        <v>0</v>
      </c>
      <c r="S847" s="786">
        <f t="shared" si="62"/>
        <v>0</v>
      </c>
      <c r="T847" s="786">
        <f t="shared" si="63"/>
        <v>0</v>
      </c>
      <c r="U847" s="786">
        <f t="shared" si="64"/>
        <v>0</v>
      </c>
      <c r="V847" s="418">
        <f t="shared" si="65"/>
        <v>0</v>
      </c>
      <c r="W847" s="787">
        <f t="shared" si="65"/>
        <v>0</v>
      </c>
    </row>
    <row r="848" spans="1:25" ht="13.5" customHeight="1" x14ac:dyDescent="0.3">
      <c r="A848" t="str">
        <f t="shared" si="47"/>
        <v>TLEnd use tanker</v>
      </c>
      <c r="B848" s="99" t="s">
        <v>5202</v>
      </c>
      <c r="C848" s="233">
        <f t="shared" si="48"/>
        <v>0</v>
      </c>
      <c r="D848" s="233">
        <f t="shared" si="49"/>
        <v>1289100</v>
      </c>
      <c r="E848" s="274">
        <f t="shared" si="66"/>
        <v>1289100</v>
      </c>
      <c r="F848" s="233">
        <f t="shared" si="50"/>
        <v>35575.994900523743</v>
      </c>
      <c r="G848" s="233">
        <f t="shared" si="51"/>
        <v>14180.470075611451</v>
      </c>
      <c r="H848" s="153">
        <f t="shared" si="52"/>
        <v>49756.46497613519</v>
      </c>
      <c r="I848" s="233">
        <f t="shared" si="53"/>
        <v>0</v>
      </c>
      <c r="J848" s="233">
        <f t="shared" si="54"/>
        <v>7281.660643921783</v>
      </c>
      <c r="K848" s="233">
        <f t="shared" si="55"/>
        <v>17.276141784564739</v>
      </c>
      <c r="L848" s="233">
        <f t="shared" si="56"/>
        <v>0</v>
      </c>
      <c r="M848" s="283">
        <f t="shared" si="67"/>
        <v>-49739.188834350629</v>
      </c>
      <c r="N848" s="147">
        <f t="shared" si="57"/>
        <v>1437.980276853388</v>
      </c>
      <c r="O848" s="147">
        <f t="shared" si="58"/>
        <v>98.633463823168626</v>
      </c>
      <c r="P848" s="147">
        <f t="shared" si="59"/>
        <v>180.12696099200716</v>
      </c>
      <c r="Q848" s="147">
        <f t="shared" si="60"/>
        <v>665.83761199600167</v>
      </c>
      <c r="R848" s="284">
        <f t="shared" si="61"/>
        <v>33.44563483912853</v>
      </c>
      <c r="S848" s="284">
        <f t="shared" si="62"/>
        <v>791.32372029378098</v>
      </c>
      <c r="T848" s="284">
        <f t="shared" si="63"/>
        <v>0</v>
      </c>
      <c r="U848" s="284">
        <f t="shared" si="64"/>
        <v>0</v>
      </c>
      <c r="V848" s="147">
        <f t="shared" si="65"/>
        <v>33.44563483912853</v>
      </c>
      <c r="W848" s="285">
        <f t="shared" si="65"/>
        <v>791.32372029378098</v>
      </c>
    </row>
    <row r="849" spans="1:23" ht="13.5" customHeight="1" x14ac:dyDescent="0.3">
      <c r="A849" t="str">
        <f t="shared" si="47"/>
        <v>TLTotals</v>
      </c>
      <c r="B849" s="162" t="s">
        <v>5203</v>
      </c>
      <c r="C849" s="242">
        <f>SUM(C842:C848)</f>
        <v>110654.48393429522</v>
      </c>
      <c r="D849" s="242">
        <f t="shared" ref="D849:M849" si="68">SUM(D842:D848)</f>
        <v>1678712.9553987151</v>
      </c>
      <c r="E849" s="242">
        <f t="shared" si="68"/>
        <v>1789367.4393330102</v>
      </c>
      <c r="F849" s="242">
        <f t="shared" si="68"/>
        <v>59553.238019141761</v>
      </c>
      <c r="G849" s="242">
        <f t="shared" si="68"/>
        <v>25795.532352952283</v>
      </c>
      <c r="H849" s="242">
        <f t="shared" si="68"/>
        <v>85348.770372094034</v>
      </c>
      <c r="I849" s="242">
        <f t="shared" si="68"/>
        <v>0</v>
      </c>
      <c r="J849" s="242">
        <f t="shared" si="68"/>
        <v>7281.660643921783</v>
      </c>
      <c r="K849" s="242">
        <f t="shared" si="68"/>
        <v>17.276141784564739</v>
      </c>
      <c r="L849" s="242">
        <f t="shared" si="68"/>
        <v>0</v>
      </c>
      <c r="M849" s="242">
        <f t="shared" si="68"/>
        <v>-85331.494230309472</v>
      </c>
      <c r="N849" s="286">
        <f>SUM(N842:N848)</f>
        <v>1585.3643759425224</v>
      </c>
      <c r="O849" s="286">
        <f t="shared" ref="O849:W849" si="69">SUM(O842:O848)</f>
        <v>108.7427848198575</v>
      </c>
      <c r="P849" s="286">
        <f t="shared" si="69"/>
        <v>183.3865698183991</v>
      </c>
      <c r="Q849" s="286">
        <f t="shared" si="69"/>
        <v>677.88672527173287</v>
      </c>
      <c r="R849" s="286">
        <f t="shared" si="69"/>
        <v>39.23374142191188</v>
      </c>
      <c r="S849" s="286">
        <f t="shared" si="69"/>
        <v>928.27032204243505</v>
      </c>
      <c r="T849" s="286">
        <f t="shared" si="69"/>
        <v>0</v>
      </c>
      <c r="U849" s="286">
        <f t="shared" si="69"/>
        <v>0</v>
      </c>
      <c r="V849" s="286">
        <f t="shared" si="69"/>
        <v>39.23374142191188</v>
      </c>
      <c r="W849" s="286">
        <f t="shared" si="69"/>
        <v>928.27032204243505</v>
      </c>
    </row>
    <row r="850" spans="1:23" x14ac:dyDescent="0.3">
      <c r="A850" s="82"/>
      <c r="B850" s="287" t="s">
        <v>7069</v>
      </c>
      <c r="C850" s="150"/>
      <c r="D850" s="150"/>
      <c r="E850" s="288"/>
      <c r="F850" s="150"/>
      <c r="G850" s="150"/>
      <c r="H850" s="150"/>
      <c r="I850" s="150"/>
      <c r="J850" s="150"/>
      <c r="K850" s="150"/>
      <c r="L850" s="150"/>
      <c r="M850" s="289"/>
      <c r="N850" s="150"/>
      <c r="O850" s="150"/>
      <c r="P850" s="150"/>
      <c r="Q850" s="150"/>
      <c r="R850" s="290"/>
      <c r="S850" s="291"/>
      <c r="T850" s="150"/>
      <c r="U850" s="150"/>
      <c r="V850" s="150"/>
      <c r="W850" s="151"/>
    </row>
    <row r="851" spans="1:23" x14ac:dyDescent="0.3">
      <c r="E851" s="66"/>
    </row>
    <row r="852" spans="1:23" x14ac:dyDescent="0.3">
      <c r="B852" s="139" t="s">
        <v>7050</v>
      </c>
      <c r="C852" s="142"/>
      <c r="D852" s="142"/>
      <c r="E852" s="267"/>
      <c r="F852" s="267"/>
      <c r="G852" s="267"/>
      <c r="H852" s="268"/>
      <c r="I852" s="269"/>
      <c r="J852" s="270"/>
      <c r="K852" s="142"/>
      <c r="L852" s="269"/>
      <c r="M852" s="142"/>
      <c r="N852" s="142"/>
      <c r="O852" s="142"/>
      <c r="P852" s="142"/>
      <c r="Q852" s="142"/>
      <c r="R852" s="142"/>
      <c r="S852" s="142"/>
      <c r="T852" s="271"/>
      <c r="U852" s="142"/>
      <c r="V852" s="142"/>
      <c r="W852" s="272"/>
    </row>
    <row r="853" spans="1:23" x14ac:dyDescent="0.3">
      <c r="B853" s="92" t="s">
        <v>7070</v>
      </c>
      <c r="E853" s="66"/>
      <c r="F853" s="66"/>
      <c r="G853" s="66"/>
      <c r="H853" s="19"/>
      <c r="I853" s="42"/>
      <c r="J853" s="3"/>
      <c r="L853" s="42"/>
      <c r="T853" s="20"/>
      <c r="W853" s="113"/>
    </row>
    <row r="854" spans="1:23" x14ac:dyDescent="0.3">
      <c r="B854" s="99"/>
      <c r="D854" s="66"/>
      <c r="E854" s="66"/>
      <c r="F854" s="66"/>
      <c r="G854" s="19"/>
      <c r="H854" s="19"/>
      <c r="I854" s="42"/>
      <c r="J854" s="3"/>
      <c r="L854" s="42"/>
      <c r="T854" s="20"/>
      <c r="W854" s="113"/>
    </row>
    <row r="855" spans="1:23" x14ac:dyDescent="0.3">
      <c r="B855" s="92" t="s">
        <v>7052</v>
      </c>
      <c r="C855" s="82" t="s">
        <v>565</v>
      </c>
      <c r="D855" s="82" t="s">
        <v>38</v>
      </c>
      <c r="E855" s="66"/>
      <c r="H855" s="19"/>
      <c r="I855" s="42"/>
      <c r="J855" s="3"/>
      <c r="L855" s="42"/>
      <c r="T855" s="20"/>
      <c r="W855" s="113"/>
    </row>
    <row r="856" spans="1:23" x14ac:dyDescent="0.3">
      <c r="B856" s="99" t="s">
        <v>5859</v>
      </c>
      <c r="C856">
        <f>UDV.animal.total</f>
        <v>500</v>
      </c>
      <c r="D856" t="s">
        <v>2442</v>
      </c>
      <c r="E856" s="66"/>
      <c r="H856" s="19"/>
      <c r="I856" s="42"/>
      <c r="J856" s="3"/>
      <c r="L856" s="42"/>
      <c r="T856" s="20"/>
      <c r="W856" s="113"/>
    </row>
    <row r="857" spans="1:23" x14ac:dyDescent="0.3">
      <c r="B857" s="174" t="s">
        <v>5386</v>
      </c>
      <c r="C857">
        <f>UDV.crops.acres_available</f>
        <v>100</v>
      </c>
      <c r="D857" t="s">
        <v>7029</v>
      </c>
      <c r="E857" s="66"/>
      <c r="H857" s="19"/>
      <c r="I857" s="42"/>
      <c r="J857" s="3"/>
      <c r="L857" s="42"/>
      <c r="T857" s="20"/>
      <c r="W857" s="113"/>
    </row>
    <row r="858" spans="1:23" x14ac:dyDescent="0.3">
      <c r="B858" s="99" t="s">
        <v>5114</v>
      </c>
      <c r="C858" t="str">
        <f>UDV.u.state</f>
        <v>Iowa</v>
      </c>
      <c r="D858" t="s">
        <v>2852</v>
      </c>
      <c r="E858" s="66"/>
      <c r="H858" s="19"/>
      <c r="I858" s="42"/>
      <c r="J858" s="3"/>
      <c r="L858" s="42"/>
      <c r="T858" s="20"/>
      <c r="W858" s="113"/>
    </row>
    <row r="859" spans="1:23" x14ac:dyDescent="0.3">
      <c r="B859" s="99"/>
      <c r="W859" s="146"/>
    </row>
    <row r="860" spans="1:23" x14ac:dyDescent="0.3">
      <c r="A860" t="s">
        <v>4917</v>
      </c>
      <c r="B860" s="92" t="s">
        <v>7053</v>
      </c>
      <c r="C860" s="82" t="s">
        <v>5181</v>
      </c>
      <c r="D860" s="82" t="s">
        <v>7140</v>
      </c>
      <c r="E860" s="66"/>
      <c r="I860" s="42"/>
      <c r="J860" s="3"/>
      <c r="L860" s="42"/>
      <c r="T860" s="20"/>
      <c r="W860" s="113"/>
    </row>
    <row r="861" spans="1:23" x14ac:dyDescent="0.3">
      <c r="A861" t="s">
        <v>4917</v>
      </c>
      <c r="B861" s="275" t="s">
        <v>2585</v>
      </c>
      <c r="C861" s="276">
        <f>F881</f>
        <v>113376.02286596221</v>
      </c>
      <c r="D861" s="153">
        <f>C861/C856</f>
        <v>226.75204573192443</v>
      </c>
      <c r="E861" s="66"/>
      <c r="F861" s="66"/>
      <c r="G861" s="66"/>
      <c r="T861" s="20"/>
      <c r="W861" s="113"/>
    </row>
    <row r="862" spans="1:23" x14ac:dyDescent="0.3">
      <c r="A862" t="s">
        <v>4917</v>
      </c>
      <c r="B862" s="275" t="s">
        <v>2588</v>
      </c>
      <c r="C862" s="276">
        <f>G881+L881</f>
        <v>45174.951330642543</v>
      </c>
      <c r="D862" s="153">
        <f>C862/C856</f>
        <v>90.349902661285086</v>
      </c>
      <c r="E862" s="66"/>
      <c r="F862" s="66"/>
      <c r="G862" s="66"/>
      <c r="H862" s="19"/>
      <c r="I862" s="42"/>
      <c r="J862" s="3"/>
      <c r="L862" s="42"/>
      <c r="T862" s="20"/>
      <c r="W862" s="113"/>
    </row>
    <row r="863" spans="1:23" x14ac:dyDescent="0.3">
      <c r="A863" t="s">
        <v>4917</v>
      </c>
      <c r="B863" s="275" t="s">
        <v>441</v>
      </c>
      <c r="C863" s="276">
        <f>I881</f>
        <v>0</v>
      </c>
      <c r="D863" s="153">
        <f>C863/C856</f>
        <v>0</v>
      </c>
      <c r="E863" s="66"/>
      <c r="F863" s="66"/>
      <c r="G863" s="66"/>
      <c r="I863" s="42"/>
      <c r="J863" s="3"/>
      <c r="L863" s="42"/>
      <c r="T863" s="20"/>
      <c r="W863" s="113"/>
    </row>
    <row r="864" spans="1:23" x14ac:dyDescent="0.3">
      <c r="A864" t="s">
        <v>4917</v>
      </c>
      <c r="B864" s="275" t="s">
        <v>440</v>
      </c>
      <c r="C864" s="276">
        <f>J881</f>
        <v>7281.660643921783</v>
      </c>
      <c r="D864" s="153">
        <f>C864/C856</f>
        <v>14.563321287843566</v>
      </c>
      <c r="E864" s="66"/>
      <c r="F864" s="66"/>
      <c r="G864" s="66"/>
      <c r="I864" s="42"/>
      <c r="J864" s="3"/>
      <c r="L864" s="42"/>
      <c r="T864" s="20"/>
      <c r="W864" s="113"/>
    </row>
    <row r="865" spans="1:25" x14ac:dyDescent="0.3">
      <c r="A865" t="s">
        <v>4917</v>
      </c>
      <c r="B865" s="275" t="s">
        <v>442</v>
      </c>
      <c r="C865" s="276">
        <f>K881</f>
        <v>17.276141784564739</v>
      </c>
      <c r="D865" s="153">
        <f>C865/C856</f>
        <v>3.4552283569129476E-2</v>
      </c>
      <c r="E865" s="66"/>
      <c r="F865" s="66"/>
      <c r="G865" s="66"/>
      <c r="I865" s="42"/>
      <c r="J865" s="3"/>
      <c r="L865" s="42"/>
      <c r="P865" s="277"/>
      <c r="T865" s="20"/>
      <c r="W865" s="113"/>
    </row>
    <row r="866" spans="1:25" x14ac:dyDescent="0.3">
      <c r="A866" t="s">
        <v>4917</v>
      </c>
      <c r="B866" s="2270" t="s">
        <v>439</v>
      </c>
      <c r="C866" s="2271">
        <f>M881</f>
        <v>-156132.27099247504</v>
      </c>
      <c r="D866" s="159">
        <f>C866/C856</f>
        <v>-312.26454198495009</v>
      </c>
      <c r="E866" s="288"/>
      <c r="F866" s="66"/>
      <c r="G866" s="66"/>
      <c r="I866" s="42"/>
      <c r="J866" s="3"/>
      <c r="L866" s="42"/>
      <c r="T866" s="20"/>
      <c r="W866" s="113"/>
    </row>
    <row r="867" spans="1:25" x14ac:dyDescent="0.3">
      <c r="A867" t="s">
        <v>4917</v>
      </c>
      <c r="B867" s="99" t="s">
        <v>7055</v>
      </c>
      <c r="C867" s="276">
        <f>L881</f>
        <v>2401.427062345158</v>
      </c>
      <c r="D867" s="153">
        <f>C867/C856</f>
        <v>4.8028541246903158</v>
      </c>
      <c r="E867" s="279" t="s">
        <v>7056</v>
      </c>
      <c r="F867" s="66"/>
      <c r="G867" s="66"/>
      <c r="I867" s="42"/>
      <c r="J867" s="3"/>
      <c r="L867" s="42"/>
      <c r="T867" s="20"/>
      <c r="W867" s="113"/>
    </row>
    <row r="868" spans="1:25" x14ac:dyDescent="0.3">
      <c r="A868" t="s">
        <v>4917</v>
      </c>
      <c r="B868" s="99" t="s">
        <v>7057</v>
      </c>
      <c r="C868" s="153">
        <f>C861+C862</f>
        <v>158550.97419660474</v>
      </c>
      <c r="D868" s="153">
        <f>C868/C856</f>
        <v>317.10194839320951</v>
      </c>
      <c r="E868" s="66"/>
      <c r="F868" s="66"/>
      <c r="G868" s="66"/>
      <c r="I868" s="42"/>
      <c r="J868" s="3"/>
      <c r="L868" s="42"/>
      <c r="T868" s="20"/>
      <c r="W868" s="113"/>
    </row>
    <row r="869" spans="1:25" ht="13.5" customHeight="1" x14ac:dyDescent="0.3">
      <c r="A869" t="s">
        <v>4917</v>
      </c>
      <c r="B869" s="853" t="s">
        <v>5392</v>
      </c>
      <c r="C869" s="142"/>
      <c r="D869" s="854">
        <f>E881</f>
        <v>2558107.4393330105</v>
      </c>
      <c r="E869" s="271" t="s">
        <v>2284</v>
      </c>
      <c r="G869" s="66"/>
      <c r="I869" s="42"/>
      <c r="J869" s="3"/>
      <c r="L869" s="42"/>
      <c r="T869" s="20"/>
      <c r="W869" s="113"/>
    </row>
    <row r="870" spans="1:25" ht="13.5" customHeight="1" x14ac:dyDescent="0.3">
      <c r="A870" t="s">
        <v>4917</v>
      </c>
      <c r="B870" s="852" t="s">
        <v>5393</v>
      </c>
      <c r="D870" s="274">
        <f>E881/C856</f>
        <v>5116.2148786660209</v>
      </c>
      <c r="E870" s="20" t="s">
        <v>7058</v>
      </c>
      <c r="G870" s="66"/>
      <c r="I870" s="42"/>
      <c r="J870" s="3"/>
      <c r="L870" s="42"/>
      <c r="T870" s="20"/>
      <c r="W870" s="113"/>
    </row>
    <row r="871" spans="1:25" x14ac:dyDescent="0.3">
      <c r="B871" s="99"/>
      <c r="E871" s="66"/>
      <c r="H871" s="42"/>
      <c r="I871" s="3"/>
      <c r="K871" s="42"/>
      <c r="N871" s="273" t="s">
        <v>7059</v>
      </c>
      <c r="O871" s="90"/>
      <c r="P871" s="90"/>
      <c r="Q871" s="90"/>
      <c r="R871" s="90"/>
      <c r="S871" s="279"/>
      <c r="T871" s="90"/>
      <c r="U871" s="90"/>
      <c r="V871" s="42"/>
      <c r="W871" s="146"/>
    </row>
    <row r="872" spans="1:25" x14ac:dyDescent="0.3">
      <c r="B872" s="92" t="s">
        <v>7060</v>
      </c>
      <c r="E872" s="66"/>
      <c r="M872" s="113"/>
      <c r="N872" s="90" t="s">
        <v>5323</v>
      </c>
      <c r="O872" s="90" t="s">
        <v>5181</v>
      </c>
      <c r="P872" s="90" t="s">
        <v>5324</v>
      </c>
      <c r="Q872" s="90" t="s">
        <v>5181</v>
      </c>
      <c r="R872" s="90" t="s">
        <v>2710</v>
      </c>
      <c r="S872" s="90" t="s">
        <v>5181</v>
      </c>
      <c r="T872" s="90" t="s">
        <v>2710</v>
      </c>
      <c r="U872" s="90" t="s">
        <v>5181</v>
      </c>
      <c r="V872" s="90" t="s">
        <v>2710</v>
      </c>
      <c r="W872" s="280" t="s">
        <v>5181</v>
      </c>
    </row>
    <row r="873" spans="1:25" ht="57.6" x14ac:dyDescent="0.3">
      <c r="B873" s="92" t="s">
        <v>5187</v>
      </c>
      <c r="C873" s="82" t="s">
        <v>7061</v>
      </c>
      <c r="D873" s="82" t="s">
        <v>7062</v>
      </c>
      <c r="E873" s="277" t="s">
        <v>7063</v>
      </c>
      <c r="F873" s="82" t="s">
        <v>7064</v>
      </c>
      <c r="G873" s="277" t="s">
        <v>2588</v>
      </c>
      <c r="H873" s="82" t="s">
        <v>5188</v>
      </c>
      <c r="I873" s="82" t="s">
        <v>5189</v>
      </c>
      <c r="J873" s="82" t="s">
        <v>5190</v>
      </c>
      <c r="K873" s="82" t="s">
        <v>442</v>
      </c>
      <c r="L873" s="82" t="s">
        <v>5191</v>
      </c>
      <c r="M873" s="173" t="s">
        <v>439</v>
      </c>
      <c r="N873" s="281" t="s">
        <v>5192</v>
      </c>
      <c r="O873" s="281" t="s">
        <v>5193</v>
      </c>
      <c r="P873" s="281" t="s">
        <v>5194</v>
      </c>
      <c r="Q873" s="281" t="s">
        <v>5195</v>
      </c>
      <c r="R873" s="281" t="s">
        <v>5196</v>
      </c>
      <c r="S873" s="281" t="s">
        <v>5197</v>
      </c>
      <c r="T873" s="281" t="s">
        <v>5198</v>
      </c>
      <c r="U873" s="281" t="s">
        <v>5199</v>
      </c>
      <c r="V873" s="281" t="s">
        <v>5200</v>
      </c>
      <c r="W873" s="282" t="s">
        <v>5201</v>
      </c>
    </row>
    <row r="874" spans="1:25" x14ac:dyDescent="0.3">
      <c r="A874" t="s">
        <v>7071</v>
      </c>
      <c r="B874" s="99" t="s">
        <v>6945</v>
      </c>
      <c r="C874" s="158">
        <f>SUMIFS($C$300:$C$765,$A$300:$A$765,_xlfn.CONCAT(B874,"_construction"))</f>
        <v>7858.4422870541339</v>
      </c>
      <c r="D874" s="158">
        <f>SUMIFS($C$300:$C$765,$A$300:$A$765,_xlfn.CONCAT(B874,"_equipment"))</f>
        <v>0</v>
      </c>
      <c r="E874" s="274">
        <f>SUM(C874:D874)</f>
        <v>7858.4422870541339</v>
      </c>
      <c r="F874" s="158">
        <f>SUMIFS($D$300:$D$765,$A$300:$A$765,$B874,$B$300:$B$765,"Total capital recovery value")</f>
        <v>635.93948316737419</v>
      </c>
      <c r="G874" s="158">
        <f>SUMIFS($C$300:$C$765,$A$300:$A$765,$B874,$B$300:$B$765,"Annual operational costs")</f>
        <v>117.876634305812</v>
      </c>
      <c r="H874" s="153">
        <f>SUM(F874:G874)</f>
        <v>753.81611747318618</v>
      </c>
      <c r="I874" s="158">
        <f>SUMIFS($C$300:$C$765,$A$300:$A$765,$B874,$B$300:$B$765,"Annual cost savings")</f>
        <v>0</v>
      </c>
      <c r="J874" s="158">
        <f>SUMIFS($C$300:$C$765,$A$300:$A$765,$B874,$B$300:$B$765,"Annual fertilizer value for on-farm use")</f>
        <v>0</v>
      </c>
      <c r="K874" s="158">
        <f>SUMIFS($C$300:$C$765,$A$300:$A$765,$B874,$B$300:$B$765,"Annual revenues")</f>
        <v>0</v>
      </c>
      <c r="L874" s="158">
        <f>SUMIFS($C$300:$C$765,$A$300:$A$765,$B874,$B$300:$B$765,"Annual cost to export excess")</f>
        <v>0</v>
      </c>
      <c r="M874" s="283">
        <f>K874-F874-G874</f>
        <v>-753.81611747318618</v>
      </c>
      <c r="N874">
        <f>SUMIFS($F$300:$F$765,$A$300:$A$765,$B874,$B$300:$B$765,"Totals")</f>
        <v>0</v>
      </c>
      <c r="O874">
        <f>SUMIFS($G$300:$G$765,$A$300:$A$765,$B874,$B$300:$B$765,"Totals")</f>
        <v>0</v>
      </c>
      <c r="P874" s="147">
        <f>SUMIFS($H$300:$H$765,$A$300:$A$765,$B874,$B$300:$B$765,"Totals")</f>
        <v>0</v>
      </c>
      <c r="Q874" s="147">
        <f>SUMIFS($I$300:$I$765,$A$300:$A$765,$B874,$B$300:$B$765,"Totals")</f>
        <v>0</v>
      </c>
      <c r="R874" s="2315">
        <f>SUMIFS($K$300:$K$765,$A$300:$A$765,$B874,$B$300:$B$765,"Totals")</f>
        <v>0</v>
      </c>
      <c r="S874" s="2315">
        <f>SUMIFS($L$300:$L$765,$A$300:$A$765,$B874,$B$300:$B$765,"Totals")</f>
        <v>0</v>
      </c>
      <c r="T874" s="2315">
        <f>SUMIFS($M$300:$M$765,$A$300:$A$765,$B874,$B$300:$B$765,"Totals")</f>
        <v>0</v>
      </c>
      <c r="U874" s="2315">
        <f>SUMIFS($N$300:$N$765,$A$300:$A$765,$B874,$B$300:$B$765,"Totals")</f>
        <v>0</v>
      </c>
      <c r="V874" s="147">
        <f>R874+T874</f>
        <v>0</v>
      </c>
      <c r="W874" s="285">
        <f>S874+U874</f>
        <v>0</v>
      </c>
      <c r="Y874" s="36"/>
    </row>
    <row r="875" spans="1:25" ht="13.5" customHeight="1" x14ac:dyDescent="0.3">
      <c r="A875" t="str">
        <f t="shared" ref="A875:A881" si="70">_xlfn.CONCAT("DHL",B875)</f>
        <v>DHLBarn and parlor</v>
      </c>
      <c r="B875" s="99" t="s">
        <v>5209</v>
      </c>
      <c r="C875" s="233">
        <f t="shared" ref="C875:C880" si="71">SUMIFS($C:$C,$A:$A,_xlfn.CONCAT(B875,"_construction"))</f>
        <v>0</v>
      </c>
      <c r="D875" s="233">
        <f t="shared" ref="D875:D880" si="72">SUMIFS($C:$C,$A:$A,_xlfn.CONCAT(B875,"_equipment"))</f>
        <v>0</v>
      </c>
      <c r="E875" s="274">
        <f>SUM(C875:D875)</f>
        <v>0</v>
      </c>
      <c r="F875" s="233">
        <f t="shared" ref="F875:F880" si="73">SUMIFS($D:$D,$A:$A,$B875,$B:$B,"Total capital recovery value")</f>
        <v>0</v>
      </c>
      <c r="G875" s="233">
        <f t="shared" ref="G875:G880" si="74">SUMIFS($C:$C,$A:$A,$B875,$B:$B,"Annual operational costs")</f>
        <v>1981.3171950056176</v>
      </c>
      <c r="H875" s="153">
        <f t="shared" ref="H875:H880" si="75">SUM(F875:G875)</f>
        <v>1981.3171950056176</v>
      </c>
      <c r="I875" s="233">
        <f t="shared" ref="I875:I880" si="76">SUMIFS($C:$C,$A:$A,$B875,$B:$B,"Annual cost savings")</f>
        <v>0</v>
      </c>
      <c r="J875" s="233">
        <f t="shared" ref="J875:J880" si="77">SUMIFS($C:$C,$A:$A,$B875,$B:$B,"Annual fertilizer value for on-farm use")</f>
        <v>0</v>
      </c>
      <c r="K875" s="233">
        <f t="shared" ref="K875:K880" si="78">SUMIFS($C:$C,$A:$A,$B875,$B:$B,"Annual revenues")</f>
        <v>0</v>
      </c>
      <c r="L875" s="233">
        <f t="shared" ref="L875:L880" si="79">SUMIFS($C:$C,$A:$A,$B875,$B:$B,"Annual cost to export excess")</f>
        <v>0</v>
      </c>
      <c r="M875" s="283">
        <f>K875-F875-G875</f>
        <v>-1981.3171950056176</v>
      </c>
      <c r="N875">
        <f t="shared" ref="N875:N880" si="80">SUMIFS($F:$F,$A:$A,$B875,$B:$B,"Totals")</f>
        <v>0</v>
      </c>
      <c r="O875">
        <f t="shared" ref="O875:O880" si="81">SUMIFS($G:$G,$A:$A,$B875,$B:$B,"Totals")</f>
        <v>0</v>
      </c>
      <c r="P875" s="147">
        <f t="shared" ref="P875:P880" si="82">SUMIFS($H:$H,$A:$A,$B875,$B:$B,"Totals")</f>
        <v>0</v>
      </c>
      <c r="Q875" s="147">
        <f t="shared" ref="Q875:Q880" si="83">SUMIFS($I:$I,$A:$A,$B875,$B:$B,"Totals")</f>
        <v>0</v>
      </c>
      <c r="R875" s="284">
        <f t="shared" ref="R875:R880" si="84">SUMIFS($K:$K,$A:$A,$B875,$B:$B,"Totals")</f>
        <v>0</v>
      </c>
      <c r="S875" s="284">
        <f t="shared" ref="S875:S880" si="85">SUMIFS($L:$L,$A:$A,$B875,$B:$B,"Totals")</f>
        <v>0</v>
      </c>
      <c r="T875" s="284">
        <f t="shared" ref="T875:T880" si="86">SUMIFS($M:$M,$A:$A,$B875,$B:$B,"Totals")</f>
        <v>0</v>
      </c>
      <c r="U875" s="284">
        <f t="shared" ref="U875:U880" si="87">SUMIFS($N:$N,$A:$A,$B875,$B:$B,"Totals")</f>
        <v>0</v>
      </c>
      <c r="V875" s="147">
        <f t="shared" ref="V875:W880" si="88">R875+T875</f>
        <v>0</v>
      </c>
      <c r="W875" s="285">
        <f t="shared" si="88"/>
        <v>0</v>
      </c>
    </row>
    <row r="876" spans="1:25" ht="13.5" customHeight="1" x14ac:dyDescent="0.3">
      <c r="A876" t="str">
        <f t="shared" si="70"/>
        <v>DHLReception pit</v>
      </c>
      <c r="B876" s="99" t="s">
        <v>5219</v>
      </c>
      <c r="C876" s="233">
        <f t="shared" si="71"/>
        <v>8018.7932118545777</v>
      </c>
      <c r="D876" s="233">
        <f t="shared" si="72"/>
        <v>13570</v>
      </c>
      <c r="E876" s="274">
        <f t="shared" ref="E876:E880" si="89">SUM(C876:D876)</f>
        <v>21588.79321185458</v>
      </c>
      <c r="F876" s="233">
        <f t="shared" si="73"/>
        <v>1821.4045073202617</v>
      </c>
      <c r="G876" s="233">
        <f t="shared" si="74"/>
        <v>1572.7463282449262</v>
      </c>
      <c r="H876" s="153">
        <f t="shared" si="75"/>
        <v>3394.1508355651877</v>
      </c>
      <c r="I876" s="233">
        <f t="shared" si="76"/>
        <v>0</v>
      </c>
      <c r="J876" s="233">
        <f t="shared" si="77"/>
        <v>0</v>
      </c>
      <c r="K876" s="233">
        <f t="shared" si="78"/>
        <v>0</v>
      </c>
      <c r="L876" s="233">
        <f t="shared" si="79"/>
        <v>0</v>
      </c>
      <c r="M876" s="283">
        <f t="shared" ref="M876:M880" si="90">K876-F876-G876</f>
        <v>-3394.1508355651877</v>
      </c>
      <c r="N876">
        <f t="shared" si="80"/>
        <v>138.71116608588275</v>
      </c>
      <c r="O876">
        <f t="shared" si="81"/>
        <v>9.5144300671075079</v>
      </c>
      <c r="P876" s="147">
        <f t="shared" si="82"/>
        <v>0</v>
      </c>
      <c r="Q876" s="147">
        <f t="shared" si="83"/>
        <v>0</v>
      </c>
      <c r="R876" s="284">
        <f t="shared" si="84"/>
        <v>0</v>
      </c>
      <c r="S876" s="284">
        <f t="shared" si="85"/>
        <v>0</v>
      </c>
      <c r="T876" s="284">
        <f t="shared" si="86"/>
        <v>0</v>
      </c>
      <c r="U876" s="284">
        <f t="shared" si="87"/>
        <v>0</v>
      </c>
      <c r="V876" s="147">
        <f t="shared" si="88"/>
        <v>0</v>
      </c>
      <c r="W876" s="285">
        <f t="shared" si="88"/>
        <v>0</v>
      </c>
    </row>
    <row r="877" spans="1:25" ht="13.5" customHeight="1" x14ac:dyDescent="0.3">
      <c r="A877" t="str">
        <f t="shared" si="70"/>
        <v>DHLSlope screen</v>
      </c>
      <c r="B877" s="99" t="s">
        <v>2847</v>
      </c>
      <c r="C877" s="233">
        <f t="shared" si="71"/>
        <v>4471.7026580999209</v>
      </c>
      <c r="D877" s="233">
        <f t="shared" si="72"/>
        <v>62342.955398714985</v>
      </c>
      <c r="E877" s="274">
        <f t="shared" si="89"/>
        <v>66814.658056814907</v>
      </c>
      <c r="F877" s="233">
        <f t="shared" si="73"/>
        <v>6657.3099509325566</v>
      </c>
      <c r="G877" s="233">
        <f t="shared" si="74"/>
        <v>981.77616622345704</v>
      </c>
      <c r="H877" s="153">
        <f t="shared" si="75"/>
        <v>7639.0861171560136</v>
      </c>
      <c r="I877" s="233">
        <f t="shared" si="76"/>
        <v>0</v>
      </c>
      <c r="J877" s="233">
        <f t="shared" si="77"/>
        <v>0</v>
      </c>
      <c r="K877" s="233">
        <f t="shared" si="78"/>
        <v>0</v>
      </c>
      <c r="L877" s="233">
        <f t="shared" si="79"/>
        <v>0</v>
      </c>
      <c r="M877" s="283">
        <f t="shared" si="90"/>
        <v>-7639.0861171560136</v>
      </c>
      <c r="N877">
        <f t="shared" si="80"/>
        <v>8.6729330032516483</v>
      </c>
      <c r="O877">
        <f t="shared" si="81"/>
        <v>0.59489092958136924</v>
      </c>
      <c r="P877" s="147">
        <f t="shared" si="82"/>
        <v>3.2596088263919412</v>
      </c>
      <c r="Q877" s="147">
        <f t="shared" si="83"/>
        <v>12.049113275731147</v>
      </c>
      <c r="R877" s="284">
        <f t="shared" si="84"/>
        <v>5.7881065827833513</v>
      </c>
      <c r="S877" s="284">
        <f t="shared" si="85"/>
        <v>136.9466017486541</v>
      </c>
      <c r="T877" s="284">
        <f t="shared" si="86"/>
        <v>0</v>
      </c>
      <c r="U877" s="284">
        <f t="shared" si="87"/>
        <v>0</v>
      </c>
      <c r="V877" s="147">
        <f t="shared" si="88"/>
        <v>5.7881065827833513</v>
      </c>
      <c r="W877" s="285">
        <f t="shared" si="88"/>
        <v>136.9466017486541</v>
      </c>
    </row>
    <row r="878" spans="1:25" ht="13.5" customHeight="1" x14ac:dyDescent="0.3">
      <c r="A878" t="str">
        <f t="shared" si="70"/>
        <v>DHLLagoon</v>
      </c>
      <c r="B878" s="99" t="s">
        <v>5210</v>
      </c>
      <c r="C878" s="233">
        <f t="shared" si="71"/>
        <v>90305.545777286592</v>
      </c>
      <c r="D878" s="233">
        <f t="shared" si="72"/>
        <v>0</v>
      </c>
      <c r="E878" s="274">
        <f t="shared" si="89"/>
        <v>90305.545777286592</v>
      </c>
      <c r="F878" s="233">
        <f t="shared" si="73"/>
        <v>7307.9193065224426</v>
      </c>
      <c r="G878" s="233">
        <f t="shared" si="74"/>
        <v>1354.5831866592989</v>
      </c>
      <c r="H878" s="153">
        <f t="shared" si="75"/>
        <v>8662.5024931817425</v>
      </c>
      <c r="I878" s="233">
        <f t="shared" si="76"/>
        <v>0</v>
      </c>
      <c r="J878" s="233">
        <f t="shared" si="77"/>
        <v>0</v>
      </c>
      <c r="K878" s="233">
        <f t="shared" si="78"/>
        <v>0</v>
      </c>
      <c r="L878" s="233">
        <f t="shared" si="79"/>
        <v>0</v>
      </c>
      <c r="M878" s="283">
        <f t="shared" si="90"/>
        <v>-8662.5024931817425</v>
      </c>
      <c r="N878" s="278">
        <f t="shared" si="80"/>
        <v>0</v>
      </c>
      <c r="O878" s="147">
        <f t="shared" si="81"/>
        <v>0</v>
      </c>
      <c r="P878" s="147">
        <f t="shared" si="82"/>
        <v>0</v>
      </c>
      <c r="Q878" s="147">
        <f t="shared" si="83"/>
        <v>0</v>
      </c>
      <c r="R878" s="284">
        <f t="shared" si="84"/>
        <v>0</v>
      </c>
      <c r="S878" s="284">
        <f t="shared" si="85"/>
        <v>0</v>
      </c>
      <c r="T878" s="284">
        <f t="shared" si="86"/>
        <v>0</v>
      </c>
      <c r="U878" s="284">
        <f t="shared" si="87"/>
        <v>0</v>
      </c>
      <c r="V878" s="147">
        <f t="shared" si="88"/>
        <v>0</v>
      </c>
      <c r="W878" s="285">
        <f t="shared" si="88"/>
        <v>0</v>
      </c>
    </row>
    <row r="879" spans="1:25" s="90" customFormat="1" ht="13.5" customHeight="1" x14ac:dyDescent="0.3">
      <c r="A879" t="str">
        <f t="shared" si="70"/>
        <v>DHLTractors</v>
      </c>
      <c r="B879" s="235" t="s">
        <v>3204</v>
      </c>
      <c r="C879" s="784">
        <f t="shared" si="71"/>
        <v>0</v>
      </c>
      <c r="D879" s="784">
        <f t="shared" si="72"/>
        <v>313700</v>
      </c>
      <c r="E879" s="274">
        <f t="shared" si="89"/>
        <v>313700</v>
      </c>
      <c r="F879" s="784">
        <f t="shared" si="73"/>
        <v>7554.6698706753787</v>
      </c>
      <c r="G879" s="784">
        <f t="shared" si="74"/>
        <v>5606.7627669017202</v>
      </c>
      <c r="H879" s="373">
        <f t="shared" si="75"/>
        <v>13161.432637577098</v>
      </c>
      <c r="I879" s="784">
        <f t="shared" si="76"/>
        <v>0</v>
      </c>
      <c r="J879" s="784">
        <f t="shared" si="77"/>
        <v>0</v>
      </c>
      <c r="K879" s="784">
        <f t="shared" si="78"/>
        <v>0</v>
      </c>
      <c r="L879" s="784">
        <f t="shared" si="79"/>
        <v>0</v>
      </c>
      <c r="M879" s="283">
        <f t="shared" si="90"/>
        <v>-13161.432637577098</v>
      </c>
      <c r="N879" s="785">
        <f t="shared" si="80"/>
        <v>0</v>
      </c>
      <c r="O879" s="418">
        <f t="shared" si="81"/>
        <v>0</v>
      </c>
      <c r="P879" s="418">
        <f t="shared" si="82"/>
        <v>0</v>
      </c>
      <c r="Q879" s="418">
        <f t="shared" si="83"/>
        <v>0</v>
      </c>
      <c r="R879" s="786">
        <f t="shared" si="84"/>
        <v>0</v>
      </c>
      <c r="S879" s="786">
        <f t="shared" si="85"/>
        <v>0</v>
      </c>
      <c r="T879" s="786">
        <f t="shared" si="86"/>
        <v>0</v>
      </c>
      <c r="U879" s="786">
        <f t="shared" si="87"/>
        <v>0</v>
      </c>
      <c r="V879" s="418">
        <f t="shared" si="88"/>
        <v>0</v>
      </c>
      <c r="W879" s="787">
        <f t="shared" si="88"/>
        <v>0</v>
      </c>
    </row>
    <row r="880" spans="1:25" ht="13.5" customHeight="1" x14ac:dyDescent="0.3">
      <c r="A880" t="str">
        <f t="shared" si="70"/>
        <v>DHLEnd use drag hose</v>
      </c>
      <c r="B880" s="99" t="s">
        <v>5205</v>
      </c>
      <c r="C880" s="233">
        <f t="shared" si="71"/>
        <v>0</v>
      </c>
      <c r="D880" s="233">
        <f t="shared" si="72"/>
        <v>2057840</v>
      </c>
      <c r="E880" s="274">
        <f t="shared" si="89"/>
        <v>2057840</v>
      </c>
      <c r="F880" s="233">
        <f t="shared" si="73"/>
        <v>89398.77974734419</v>
      </c>
      <c r="G880" s="233">
        <f t="shared" si="74"/>
        <v>31158.461990956552</v>
      </c>
      <c r="H880" s="153">
        <f t="shared" si="75"/>
        <v>120557.24173830074</v>
      </c>
      <c r="I880" s="233">
        <f t="shared" si="76"/>
        <v>0</v>
      </c>
      <c r="J880" s="233">
        <f t="shared" si="77"/>
        <v>7281.660643921783</v>
      </c>
      <c r="K880" s="233">
        <f t="shared" si="78"/>
        <v>17.276141784564739</v>
      </c>
      <c r="L880" s="233">
        <f t="shared" si="79"/>
        <v>2401.427062345158</v>
      </c>
      <c r="M880" s="283">
        <f t="shared" si="90"/>
        <v>-120539.96559651618</v>
      </c>
      <c r="N880">
        <f t="shared" si="80"/>
        <v>1437.980276853388</v>
      </c>
      <c r="O880">
        <f t="shared" si="81"/>
        <v>98.633463823168626</v>
      </c>
      <c r="P880" s="147">
        <f t="shared" si="82"/>
        <v>87.456645123723348</v>
      </c>
      <c r="Q880" s="147">
        <f t="shared" si="83"/>
        <v>323.28266363715358</v>
      </c>
      <c r="R880" s="284">
        <f t="shared" si="84"/>
        <v>14.373691172507284</v>
      </c>
      <c r="S880" s="284">
        <f t="shared" si="85"/>
        <v>340.08153314152224</v>
      </c>
      <c r="T880" s="284">
        <f t="shared" si="86"/>
        <v>0</v>
      </c>
      <c r="U880" s="284">
        <f t="shared" si="87"/>
        <v>0</v>
      </c>
      <c r="V880" s="147">
        <f t="shared" si="88"/>
        <v>14.373691172507284</v>
      </c>
      <c r="W880" s="285">
        <f t="shared" si="88"/>
        <v>340.08153314152224</v>
      </c>
    </row>
    <row r="881" spans="1:23" ht="13.5" customHeight="1" x14ac:dyDescent="0.3">
      <c r="A881" t="str">
        <f t="shared" si="70"/>
        <v>DHLTotals</v>
      </c>
      <c r="B881" s="162" t="s">
        <v>5203</v>
      </c>
      <c r="C881" s="242">
        <f>SUM(C874:C880)</f>
        <v>110654.48393429522</v>
      </c>
      <c r="D881" s="242">
        <f t="shared" ref="D881:M881" si="91">SUM(D874:D880)</f>
        <v>2447452.9553987151</v>
      </c>
      <c r="E881" s="242">
        <f t="shared" si="91"/>
        <v>2558107.4393330105</v>
      </c>
      <c r="F881" s="242">
        <f t="shared" si="91"/>
        <v>113376.02286596221</v>
      </c>
      <c r="G881" s="242">
        <f t="shared" si="91"/>
        <v>42773.524268297384</v>
      </c>
      <c r="H881" s="242">
        <f t="shared" si="91"/>
        <v>156149.5471342596</v>
      </c>
      <c r="I881" s="242">
        <f t="shared" si="91"/>
        <v>0</v>
      </c>
      <c r="J881" s="242">
        <f t="shared" si="91"/>
        <v>7281.660643921783</v>
      </c>
      <c r="K881" s="242">
        <f t="shared" si="91"/>
        <v>17.276141784564739</v>
      </c>
      <c r="L881" s="242">
        <f t="shared" si="91"/>
        <v>2401.427062345158</v>
      </c>
      <c r="M881" s="242">
        <f t="shared" si="91"/>
        <v>-156132.27099247504</v>
      </c>
      <c r="N881" s="286">
        <f>SUM(N874:N880)</f>
        <v>1585.3643759425224</v>
      </c>
      <c r="O881" s="286">
        <f t="shared" ref="O881:W881" si="92">SUM(O874:O880)</f>
        <v>108.7427848198575</v>
      </c>
      <c r="P881" s="286">
        <f t="shared" si="92"/>
        <v>90.716253950115288</v>
      </c>
      <c r="Q881" s="286">
        <f t="shared" si="92"/>
        <v>335.33177691288472</v>
      </c>
      <c r="R881" s="286">
        <f t="shared" si="92"/>
        <v>20.161797755290635</v>
      </c>
      <c r="S881" s="286">
        <f t="shared" si="92"/>
        <v>477.02813489017637</v>
      </c>
      <c r="T881" s="286">
        <f t="shared" si="92"/>
        <v>0</v>
      </c>
      <c r="U881" s="286">
        <f t="shared" si="92"/>
        <v>0</v>
      </c>
      <c r="V881" s="286">
        <f t="shared" si="92"/>
        <v>20.161797755290635</v>
      </c>
      <c r="W881" s="286">
        <f t="shared" si="92"/>
        <v>477.02813489017637</v>
      </c>
    </row>
    <row r="882" spans="1:23" x14ac:dyDescent="0.3">
      <c r="A882" s="82"/>
      <c r="B882" s="287" t="s">
        <v>7069</v>
      </c>
      <c r="C882" s="150"/>
      <c r="D882" s="150"/>
      <c r="E882" s="288"/>
      <c r="F882" s="150"/>
      <c r="G882" s="150"/>
      <c r="H882" s="150"/>
      <c r="I882" s="150"/>
      <c r="J882" s="150"/>
      <c r="K882" s="150"/>
      <c r="L882" s="150"/>
      <c r="M882" s="289"/>
      <c r="N882" s="150"/>
      <c r="O882" s="150"/>
      <c r="P882" s="150"/>
      <c r="Q882" s="150"/>
      <c r="R882" s="290"/>
      <c r="S882" s="291"/>
      <c r="T882" s="150"/>
      <c r="U882" s="150"/>
      <c r="V882" s="150"/>
      <c r="W882" s="151"/>
    </row>
    <row r="883" spans="1:23" ht="15" thickBot="1" x14ac:dyDescent="0.35">
      <c r="A883" s="137"/>
      <c r="B883" s="137"/>
      <c r="C883" s="137"/>
      <c r="D883" s="137"/>
      <c r="E883" s="137"/>
      <c r="F883" s="137"/>
      <c r="G883" s="137"/>
      <c r="H883" s="137"/>
      <c r="I883" s="137"/>
      <c r="J883" s="137"/>
      <c r="K883" s="137"/>
      <c r="L883" s="137"/>
      <c r="M883" s="137"/>
      <c r="N883" s="137"/>
      <c r="O883" s="137"/>
      <c r="P883" s="137"/>
      <c r="Q883" s="137"/>
    </row>
    <row r="884" spans="1:23" x14ac:dyDescent="0.3">
      <c r="K884" s="42"/>
    </row>
    <row r="885" spans="1:23" x14ac:dyDescent="0.3">
      <c r="B885" s="82" t="s">
        <v>7338</v>
      </c>
      <c r="K885" s="42"/>
    </row>
    <row r="886" spans="1:23" x14ac:dyDescent="0.3">
      <c r="B886" s="20"/>
      <c r="K886" s="42"/>
    </row>
    <row r="887" spans="1:23" s="90" customFormat="1" ht="13.5" customHeight="1" thickBot="1" x14ac:dyDescent="0.35">
      <c r="A887" s="325" t="s">
        <v>7339</v>
      </c>
      <c r="B887" s="279"/>
      <c r="K887" s="66"/>
    </row>
    <row r="888" spans="1:23" s="90" customFormat="1" ht="13.5" customHeight="1" x14ac:dyDescent="0.3">
      <c r="A888" s="90" t="s">
        <v>7420</v>
      </c>
      <c r="B888" s="758" t="s">
        <v>7420</v>
      </c>
      <c r="C888" s="409" t="s">
        <v>7342</v>
      </c>
      <c r="D888" s="410"/>
      <c r="F888" s="325" t="s">
        <v>7343</v>
      </c>
    </row>
    <row r="889" spans="1:23" s="90" customFormat="1" ht="13.5" customHeight="1" x14ac:dyDescent="0.3">
      <c r="A889" s="90" t="s">
        <v>7421</v>
      </c>
      <c r="B889" s="411" t="s">
        <v>2663</v>
      </c>
      <c r="C889" s="325" t="s">
        <v>565</v>
      </c>
      <c r="D889" s="412" t="s">
        <v>38</v>
      </c>
      <c r="F889" s="325" t="s">
        <v>2663</v>
      </c>
      <c r="G889" s="325" t="s">
        <v>565</v>
      </c>
      <c r="H889" s="325" t="s">
        <v>38</v>
      </c>
    </row>
    <row r="890" spans="1:23" s="90" customFormat="1" ht="13.5" customHeight="1" x14ac:dyDescent="0.3">
      <c r="A890" s="90" t="s">
        <v>7422</v>
      </c>
      <c r="B890" s="417" t="s">
        <v>6148</v>
      </c>
      <c r="C890" s="90">
        <f>VLOOKUP(B890,$R:$U,3,FALSE)</f>
        <v>14</v>
      </c>
      <c r="D890" s="419" t="s">
        <v>5121</v>
      </c>
      <c r="F890" s="90" t="s">
        <v>2162</v>
      </c>
      <c r="G890" s="90">
        <f>UDV.tractor.max_usage_yearly</f>
        <v>2000</v>
      </c>
      <c r="H890" s="90" t="s">
        <v>2710</v>
      </c>
    </row>
    <row r="891" spans="1:23" s="90" customFormat="1" ht="13.5" customHeight="1" x14ac:dyDescent="0.3">
      <c r="B891" s="417" t="s">
        <v>7345</v>
      </c>
      <c r="C891" s="90">
        <f>365/C890</f>
        <v>26.071428571428573</v>
      </c>
      <c r="D891" s="419" t="s">
        <v>7346</v>
      </c>
      <c r="F891" t="s">
        <v>5629</v>
      </c>
      <c r="G891">
        <f>UDV.tractor.application_time_non_sludge</f>
        <v>50</v>
      </c>
      <c r="H891" s="90" t="s">
        <v>5121</v>
      </c>
    </row>
    <row r="892" spans="1:23" s="90" customFormat="1" ht="13.5" customHeight="1" x14ac:dyDescent="0.3">
      <c r="B892" s="417" t="s">
        <v>6149</v>
      </c>
      <c r="C892" s="90">
        <f>VLOOKUP(B892,$R:$U,3, FALSE)</f>
        <v>94</v>
      </c>
      <c r="D892" s="419" t="s">
        <v>7348</v>
      </c>
      <c r="F892" s="90" t="s">
        <v>2160</v>
      </c>
      <c r="G892" s="759">
        <f>UDV.tractor.max_usage_daily</f>
        <v>12</v>
      </c>
      <c r="H892" s="90" t="s">
        <v>7075</v>
      </c>
    </row>
    <row r="893" spans="1:23" s="90" customFormat="1" ht="13.5" customHeight="1" x14ac:dyDescent="0.3">
      <c r="B893" s="760" t="s">
        <v>6075</v>
      </c>
      <c r="C893" s="761">
        <f>VLOOKUP(B893,$R:$U,3, FALSE)</f>
        <v>3.0228745641005257E-2</v>
      </c>
      <c r="D893" s="762" t="s">
        <v>7075</v>
      </c>
      <c r="E893" s="763" t="s">
        <v>7349</v>
      </c>
      <c r="F893" s="90" t="s">
        <v>2164</v>
      </c>
      <c r="G893" s="90">
        <f>UDV.tractor.min_usage_yearly</f>
        <v>1000</v>
      </c>
      <c r="H893" s="90" t="s">
        <v>2710</v>
      </c>
    </row>
    <row r="894" spans="1:23" s="90" customFormat="1" ht="13.5" customHeight="1" thickBot="1" x14ac:dyDescent="0.35">
      <c r="B894" s="474" t="s">
        <v>6075</v>
      </c>
      <c r="C894" s="764">
        <f>C893*C891</f>
        <v>0.78810658278335144</v>
      </c>
      <c r="D894" s="476" t="s">
        <v>2710</v>
      </c>
      <c r="E894" s="90" t="s">
        <v>7350</v>
      </c>
      <c r="F894" s="66"/>
      <c r="G894" s="66"/>
      <c r="H894" s="6"/>
    </row>
    <row r="895" spans="1:23" s="90" customFormat="1" ht="13.5" customHeight="1" thickBot="1" x14ac:dyDescent="0.35">
      <c r="F895" s="325"/>
    </row>
    <row r="896" spans="1:23" s="90" customFormat="1" ht="13.5" customHeight="1" x14ac:dyDescent="0.3">
      <c r="A896" s="90" t="s">
        <v>7423</v>
      </c>
      <c r="B896" s="408" t="s">
        <v>7424</v>
      </c>
      <c r="C896" s="409"/>
      <c r="D896" s="410"/>
      <c r="E896" s="66"/>
      <c r="F896" s="66"/>
      <c r="G896" s="66"/>
      <c r="H896" s="6"/>
      <c r="J896" s="66"/>
    </row>
    <row r="897" spans="1:5" s="90" customFormat="1" ht="13.5" customHeight="1" x14ac:dyDescent="0.3">
      <c r="A897" s="90" t="s">
        <v>7352</v>
      </c>
      <c r="B897" s="411" t="s">
        <v>2663</v>
      </c>
      <c r="C897" s="325" t="s">
        <v>565</v>
      </c>
      <c r="D897" s="412" t="s">
        <v>38</v>
      </c>
      <c r="E897" s="66"/>
    </row>
    <row r="898" spans="1:5" s="90" customFormat="1" ht="13.5" customHeight="1" x14ac:dyDescent="0.3">
      <c r="A898" s="90" t="s">
        <v>7425</v>
      </c>
      <c r="B898" s="458" t="s">
        <v>6150</v>
      </c>
      <c r="C898" s="414">
        <f>VLOOKUP(B898,$R:$U,3,FALSE)</f>
        <v>90</v>
      </c>
      <c r="D898" s="415" t="s">
        <v>5121</v>
      </c>
      <c r="E898" s="66"/>
    </row>
    <row r="899" spans="1:5" s="90" customFormat="1" ht="13.5" customHeight="1" x14ac:dyDescent="0.3">
      <c r="B899" s="417" t="s">
        <v>7345</v>
      </c>
      <c r="C899" s="418">
        <f>365/C898</f>
        <v>4.0555555555555554</v>
      </c>
      <c r="D899" s="419" t="s">
        <v>2442</v>
      </c>
      <c r="E899" s="66"/>
    </row>
    <row r="900" spans="1:5" s="90" customFormat="1" ht="13.5" customHeight="1" x14ac:dyDescent="0.3">
      <c r="B900" s="417" t="s">
        <v>6149</v>
      </c>
      <c r="C900" s="418">
        <f>VLOOKUP(B900,$R:$U,3,FALSE)</f>
        <v>94</v>
      </c>
      <c r="D900" s="419" t="s">
        <v>7348</v>
      </c>
      <c r="E900" s="66"/>
    </row>
    <row r="901" spans="1:5" s="90" customFormat="1" ht="13.5" customHeight="1" x14ac:dyDescent="0.3">
      <c r="B901" s="417" t="s">
        <v>6084</v>
      </c>
      <c r="C901" s="418">
        <f>VLOOKUP(B901,$R:$U,3,FALSE)</f>
        <v>0.25190621367504379</v>
      </c>
      <c r="D901" s="419" t="s">
        <v>6085</v>
      </c>
      <c r="E901" s="66"/>
    </row>
    <row r="902" spans="1:5" s="90" customFormat="1" ht="13.5" customHeight="1" x14ac:dyDescent="0.3">
      <c r="B902" s="760" t="s">
        <v>6084</v>
      </c>
      <c r="C902" s="765">
        <f>C901*C899/G891</f>
        <v>2.0432392886975771E-2</v>
      </c>
      <c r="D902" s="762" t="s">
        <v>7075</v>
      </c>
      <c r="E902" s="90" t="s">
        <v>7353</v>
      </c>
    </row>
    <row r="903" spans="1:5" s="90" customFormat="1" ht="13.5" customHeight="1" thickBot="1" x14ac:dyDescent="0.35">
      <c r="B903" s="474" t="s">
        <v>6084</v>
      </c>
      <c r="C903" s="764">
        <f>C901*C899</f>
        <v>1.0216196443487886</v>
      </c>
      <c r="D903" s="476" t="s">
        <v>2710</v>
      </c>
      <c r="E903" s="90" t="s">
        <v>7350</v>
      </c>
    </row>
    <row r="904" spans="1:5" s="90" customFormat="1" ht="13.5" customHeight="1" thickBot="1" x14ac:dyDescent="0.35">
      <c r="E904" s="712"/>
    </row>
    <row r="905" spans="1:5" s="90" customFormat="1" ht="13.5" customHeight="1" x14ac:dyDescent="0.3">
      <c r="A905" s="90" t="s">
        <v>7354</v>
      </c>
      <c r="B905" s="766" t="s">
        <v>7355</v>
      </c>
      <c r="C905" s="767">
        <f>SUM(C893,C902)</f>
        <v>5.0661138527981028E-2</v>
      </c>
      <c r="D905" s="410" t="s">
        <v>7356</v>
      </c>
      <c r="E905" s="90" t="s">
        <v>7357</v>
      </c>
    </row>
    <row r="906" spans="1:5" s="90" customFormat="1" ht="13.5" customHeight="1" x14ac:dyDescent="0.3">
      <c r="B906" s="417" t="s">
        <v>7358</v>
      </c>
      <c r="C906" s="755">
        <f>C905/G892</f>
        <v>4.2217615439984193E-3</v>
      </c>
      <c r="D906" s="419" t="s">
        <v>2442</v>
      </c>
      <c r="E906" s="90" t="s">
        <v>7359</v>
      </c>
    </row>
    <row r="907" spans="1:5" s="90" customFormat="1" ht="13.5" customHeight="1" x14ac:dyDescent="0.3">
      <c r="B907" s="417" t="s">
        <v>7360</v>
      </c>
      <c r="C907" s="418">
        <f>ROUNDUP(C906, 0.1)</f>
        <v>1</v>
      </c>
      <c r="D907" s="419" t="s">
        <v>2442</v>
      </c>
      <c r="E907" s="90" t="s">
        <v>7359</v>
      </c>
    </row>
    <row r="908" spans="1:5" s="90" customFormat="1" ht="13.5" customHeight="1" x14ac:dyDescent="0.3">
      <c r="B908" s="417" t="s">
        <v>7361</v>
      </c>
      <c r="C908" s="759">
        <f>C911/G890</f>
        <v>9.0486311356607007E-4</v>
      </c>
      <c r="D908" s="768" t="s">
        <v>7314</v>
      </c>
      <c r="E908" s="279" t="s">
        <v>7362</v>
      </c>
    </row>
    <row r="909" spans="1:5" s="90" customFormat="1" ht="13.5" customHeight="1" x14ac:dyDescent="0.3">
      <c r="B909" s="417" t="s">
        <v>7363</v>
      </c>
      <c r="C909" s="418">
        <f>ROUNDUP(C908,0.1)</f>
        <v>1</v>
      </c>
      <c r="D909" s="768" t="s">
        <v>7314</v>
      </c>
      <c r="E909" s="279" t="s">
        <v>7362</v>
      </c>
    </row>
    <row r="910" spans="1:5" s="90" customFormat="1" ht="13.5" customHeight="1" x14ac:dyDescent="0.3">
      <c r="B910" s="465" t="s">
        <v>7364</v>
      </c>
      <c r="C910" s="769">
        <f>MAX(C907,C909)</f>
        <v>1</v>
      </c>
      <c r="D910" s="770" t="s">
        <v>2442</v>
      </c>
      <c r="E910" s="66"/>
    </row>
    <row r="911" spans="1:5" s="90" customFormat="1" ht="13.5" customHeight="1" x14ac:dyDescent="0.3">
      <c r="B911" s="469" t="s">
        <v>7365</v>
      </c>
      <c r="C911" s="470">
        <f>SUM(C894,C903)</f>
        <v>1.8097262271321402</v>
      </c>
      <c r="D911" s="471" t="s">
        <v>2710</v>
      </c>
      <c r="E911" s="66"/>
    </row>
    <row r="912" spans="1:5" s="90" customFormat="1" ht="13.5" customHeight="1" x14ac:dyDescent="0.3">
      <c r="B912" s="465" t="s">
        <v>7366</v>
      </c>
      <c r="C912" s="769">
        <f>C911/C910</f>
        <v>1.8097262271321402</v>
      </c>
      <c r="D912" s="770" t="s">
        <v>7314</v>
      </c>
      <c r="E912" s="66"/>
    </row>
    <row r="913" spans="1:8" s="90" customFormat="1" ht="13.5" customHeight="1" x14ac:dyDescent="0.3">
      <c r="B913" s="469" t="s">
        <v>7367</v>
      </c>
      <c r="C913" s="473">
        <f>C894/C911</f>
        <v>0.43548387096774199</v>
      </c>
      <c r="D913" s="471" t="s">
        <v>188</v>
      </c>
      <c r="E913" s="90" t="s">
        <v>7368</v>
      </c>
      <c r="F913" s="66"/>
      <c r="G913" s="66"/>
      <c r="H913" s="6"/>
    </row>
    <row r="914" spans="1:8" s="90" customFormat="1" ht="13.5" customHeight="1" thickBot="1" x14ac:dyDescent="0.35">
      <c r="B914" s="474" t="s">
        <v>7369</v>
      </c>
      <c r="C914" s="491">
        <f>C903/C911</f>
        <v>0.56451612903225801</v>
      </c>
      <c r="D914" s="476" t="s">
        <v>188</v>
      </c>
      <c r="E914" s="90" t="s">
        <v>7368</v>
      </c>
      <c r="F914" s="66"/>
      <c r="G914" s="66"/>
      <c r="H914" s="6"/>
    </row>
    <row r="915" spans="1:8" s="90" customFormat="1" ht="13.5" customHeight="1" x14ac:dyDescent="0.3">
      <c r="C915" s="739"/>
      <c r="F915" s="66"/>
      <c r="G915" s="66"/>
      <c r="H915" s="6"/>
    </row>
    <row r="916" spans="1:8" s="90" customFormat="1" ht="13.5" customHeight="1" thickBot="1" x14ac:dyDescent="0.35">
      <c r="A916" s="325" t="s">
        <v>7370</v>
      </c>
      <c r="C916" s="739"/>
      <c r="F916" s="66"/>
      <c r="G916" s="66"/>
      <c r="H916" s="6"/>
    </row>
    <row r="917" spans="1:8" s="90" customFormat="1" ht="13.5" customHeight="1" x14ac:dyDescent="0.3">
      <c r="A917" s="90" t="s">
        <v>7426</v>
      </c>
      <c r="B917" s="408" t="s">
        <v>7372</v>
      </c>
      <c r="C917" s="409"/>
      <c r="D917" s="410"/>
      <c r="F917" s="325" t="s">
        <v>7343</v>
      </c>
    </row>
    <row r="918" spans="1:8" s="90" customFormat="1" ht="13.5" customHeight="1" x14ac:dyDescent="0.3">
      <c r="A918" s="90" t="s">
        <v>7352</v>
      </c>
      <c r="B918" s="411" t="s">
        <v>2663</v>
      </c>
      <c r="C918" s="325" t="s">
        <v>565</v>
      </c>
      <c r="D918" s="412" t="s">
        <v>38</v>
      </c>
      <c r="F918" s="325" t="s">
        <v>2663</v>
      </c>
      <c r="G918" s="325" t="s">
        <v>565</v>
      </c>
      <c r="H918" s="325" t="s">
        <v>38</v>
      </c>
    </row>
    <row r="919" spans="1:8" s="90" customFormat="1" ht="13.5" customHeight="1" x14ac:dyDescent="0.3">
      <c r="A919" s="90" t="s">
        <v>7425</v>
      </c>
      <c r="B919" s="458" t="s">
        <v>6150</v>
      </c>
      <c r="C919" s="414">
        <f>VLOOKUP(B919,$R:$U,3,FALSE)</f>
        <v>90</v>
      </c>
      <c r="D919" s="415" t="s">
        <v>5121</v>
      </c>
      <c r="F919" s="90" t="s">
        <v>2162</v>
      </c>
      <c r="G919" s="90">
        <f>UDV.tractor.max_usage_yearly</f>
        <v>2000</v>
      </c>
      <c r="H919" s="90" t="s">
        <v>2710</v>
      </c>
    </row>
    <row r="920" spans="1:8" s="90" customFormat="1" ht="13.5" customHeight="1" x14ac:dyDescent="0.3">
      <c r="B920" s="417" t="s">
        <v>7345</v>
      </c>
      <c r="C920" s="418">
        <f>365/C919</f>
        <v>4.0555555555555554</v>
      </c>
      <c r="D920" s="419" t="s">
        <v>2442</v>
      </c>
      <c r="F920" t="s">
        <v>5629</v>
      </c>
      <c r="G920">
        <f>UDV.tractor.application_time_non_sludge</f>
        <v>50</v>
      </c>
      <c r="H920" s="90" t="s">
        <v>5121</v>
      </c>
    </row>
    <row r="921" spans="1:8" s="90" customFormat="1" ht="13.5" customHeight="1" x14ac:dyDescent="0.3">
      <c r="B921" s="417" t="s">
        <v>6151</v>
      </c>
      <c r="C921" s="418">
        <f>VLOOKUP(B921,$R:$U,3,FALSE)</f>
        <v>85</v>
      </c>
      <c r="D921" s="419" t="s">
        <v>7348</v>
      </c>
      <c r="F921" s="90" t="s">
        <v>2160</v>
      </c>
      <c r="G921" s="90">
        <f>UDV.tractor.max_usage_daily</f>
        <v>12</v>
      </c>
      <c r="H921" s="90" t="s">
        <v>7075</v>
      </c>
    </row>
    <row r="922" spans="1:8" s="90" customFormat="1" ht="13.5" customHeight="1" x14ac:dyDescent="0.3">
      <c r="B922" s="417" t="s">
        <v>6121</v>
      </c>
      <c r="C922" s="418">
        <f>VLOOKUP(B922,$R:$U,3,FALSE)</f>
        <v>0.32347961935857383</v>
      </c>
      <c r="D922" s="419" t="s">
        <v>6085</v>
      </c>
      <c r="F922" s="90" t="s">
        <v>2164</v>
      </c>
      <c r="G922" s="90" cm="1">
        <f t="array" ref="G922">UDV.tractor.min_usage_yearly</f>
        <v>1000</v>
      </c>
      <c r="H922" s="90" t="s">
        <v>2710</v>
      </c>
    </row>
    <row r="923" spans="1:8" s="90" customFormat="1" ht="13.5" customHeight="1" x14ac:dyDescent="0.3">
      <c r="A923" s="325"/>
      <c r="B923" s="760" t="s">
        <v>7373</v>
      </c>
      <c r="C923" s="765">
        <f>C922*C920/G920</f>
        <v>2.6237791347973213E-2</v>
      </c>
      <c r="D923" s="762" t="s">
        <v>7075</v>
      </c>
      <c r="E923" s="90" t="s">
        <v>7353</v>
      </c>
      <c r="F923" s="66"/>
      <c r="G923" s="66"/>
      <c r="H923" s="6"/>
    </row>
    <row r="924" spans="1:8" s="90" customFormat="1" ht="13.5" customHeight="1" thickBot="1" x14ac:dyDescent="0.35">
      <c r="B924" s="474" t="s">
        <v>7373</v>
      </c>
      <c r="C924" s="764">
        <f>C922*C920</f>
        <v>1.3118895673986606</v>
      </c>
      <c r="D924" s="476" t="s">
        <v>2710</v>
      </c>
      <c r="E924" s="90" t="s">
        <v>7350</v>
      </c>
      <c r="F924" s="66"/>
      <c r="G924" s="66"/>
      <c r="H924" s="6"/>
    </row>
    <row r="925" spans="1:8" s="90" customFormat="1" ht="13.5" customHeight="1" thickBot="1" x14ac:dyDescent="0.35">
      <c r="C925" s="418"/>
      <c r="F925" s="66"/>
      <c r="G925" s="66"/>
      <c r="H925" s="6"/>
    </row>
    <row r="926" spans="1:8" s="90" customFormat="1" ht="13.5" customHeight="1" x14ac:dyDescent="0.3">
      <c r="A926" s="90" t="s">
        <v>7374</v>
      </c>
      <c r="B926" s="766" t="s">
        <v>7375</v>
      </c>
      <c r="C926" s="767">
        <f>SUM(C923)</f>
        <v>2.6237791347973213E-2</v>
      </c>
      <c r="D926" s="410" t="s">
        <v>7356</v>
      </c>
      <c r="E926" s="90" t="s">
        <v>7376</v>
      </c>
    </row>
    <row r="927" spans="1:8" s="90" customFormat="1" ht="13.5" customHeight="1" x14ac:dyDescent="0.3">
      <c r="B927" s="417" t="s">
        <v>7377</v>
      </c>
      <c r="C927" s="759">
        <f>C926/G921</f>
        <v>2.1864826123311012E-3</v>
      </c>
      <c r="D927" s="419" t="s">
        <v>2442</v>
      </c>
      <c r="E927" s="90" t="s">
        <v>7359</v>
      </c>
    </row>
    <row r="928" spans="1:8" s="90" customFormat="1" ht="13.5" customHeight="1" x14ac:dyDescent="0.3">
      <c r="B928" s="417" t="s">
        <v>7378</v>
      </c>
      <c r="C928" s="759">
        <f>ROUNDUP(C927, 0.1)</f>
        <v>1</v>
      </c>
      <c r="D928" s="419" t="s">
        <v>2442</v>
      </c>
      <c r="E928" s="90" t="s">
        <v>7359</v>
      </c>
    </row>
    <row r="929" spans="1:8" s="90" customFormat="1" ht="13.5" customHeight="1" x14ac:dyDescent="0.3">
      <c r="B929" s="417" t="s">
        <v>7379</v>
      </c>
      <c r="C929" s="759">
        <f>C932/G919</f>
        <v>6.5594478369933025E-4</v>
      </c>
      <c r="D929" s="419" t="s">
        <v>2442</v>
      </c>
      <c r="E929" s="279" t="s">
        <v>7362</v>
      </c>
    </row>
    <row r="930" spans="1:8" s="90" customFormat="1" ht="13.5" customHeight="1" x14ac:dyDescent="0.3">
      <c r="B930" s="417" t="s">
        <v>7380</v>
      </c>
      <c r="C930" s="759">
        <f>ROUNDUP(C929,0.1)</f>
        <v>1</v>
      </c>
      <c r="D930" s="419" t="s">
        <v>2442</v>
      </c>
      <c r="E930" s="279" t="s">
        <v>7362</v>
      </c>
    </row>
    <row r="931" spans="1:8" s="90" customFormat="1" ht="13.5" customHeight="1" x14ac:dyDescent="0.3">
      <c r="B931" s="465" t="s">
        <v>7381</v>
      </c>
      <c r="C931" s="771">
        <f>MAX(C928,C930)</f>
        <v>1</v>
      </c>
      <c r="D931" s="770" t="s">
        <v>2442</v>
      </c>
      <c r="E931" s="66"/>
      <c r="F931" s="66"/>
      <c r="G931" s="66"/>
      <c r="H931" s="6"/>
    </row>
    <row r="932" spans="1:8" s="90" customFormat="1" ht="13.5" customHeight="1" x14ac:dyDescent="0.3">
      <c r="B932" s="469" t="s">
        <v>7382</v>
      </c>
      <c r="C932" s="470">
        <f>SUM(C924)</f>
        <v>1.3118895673986606</v>
      </c>
      <c r="D932" s="471" t="s">
        <v>2710</v>
      </c>
      <c r="E932" s="66"/>
      <c r="F932" s="66"/>
      <c r="G932" s="66"/>
      <c r="H932" s="6"/>
    </row>
    <row r="933" spans="1:8" s="90" customFormat="1" ht="13.5" customHeight="1" x14ac:dyDescent="0.3">
      <c r="A933" s="772" t="s">
        <v>7427</v>
      </c>
      <c r="B933" s="465" t="s">
        <v>7383</v>
      </c>
      <c r="C933" s="769">
        <f>IF(C932=0,0,C932/C931)</f>
        <v>1.3118895673986606</v>
      </c>
      <c r="D933" s="770" t="s">
        <v>7314</v>
      </c>
      <c r="E933" s="66"/>
      <c r="F933" s="66"/>
      <c r="G933" s="66"/>
      <c r="H933" s="6"/>
    </row>
    <row r="934" spans="1:8" s="90" customFormat="1" ht="13.5" customHeight="1" thickBot="1" x14ac:dyDescent="0.35">
      <c r="A934" s="772" t="s">
        <v>7427</v>
      </c>
      <c r="B934" s="474" t="s">
        <v>7384</v>
      </c>
      <c r="C934" s="491">
        <f>IF(C924=0,0,C924/C932)</f>
        <v>1</v>
      </c>
      <c r="D934" s="476" t="s">
        <v>188</v>
      </c>
      <c r="E934" s="90" t="s">
        <v>7368</v>
      </c>
      <c r="F934" s="66"/>
      <c r="G934" s="66"/>
      <c r="H934" s="6"/>
    </row>
    <row r="935" spans="1:8" s="90" customFormat="1" ht="13.5" customHeight="1" thickBot="1" x14ac:dyDescent="0.35"/>
    <row r="936" spans="1:8" x14ac:dyDescent="0.3">
      <c r="A936" s="82" t="s">
        <v>5202</v>
      </c>
      <c r="B936" s="408" t="s">
        <v>7428</v>
      </c>
      <c r="C936" s="409"/>
      <c r="D936" s="410"/>
      <c r="F936" s="82" t="s">
        <v>7343</v>
      </c>
    </row>
    <row r="937" spans="1:8" x14ac:dyDescent="0.3">
      <c r="B937" s="411" t="s">
        <v>2663</v>
      </c>
      <c r="C937" s="325" t="s">
        <v>565</v>
      </c>
      <c r="D937" s="412" t="s">
        <v>38</v>
      </c>
      <c r="F937" s="82" t="s">
        <v>2663</v>
      </c>
      <c r="G937" s="82" t="s">
        <v>565</v>
      </c>
      <c r="H937" s="82" t="s">
        <v>38</v>
      </c>
    </row>
    <row r="938" spans="1:8" x14ac:dyDescent="0.3">
      <c r="B938" s="413" t="s">
        <v>6401</v>
      </c>
      <c r="C938" s="414">
        <f>VLOOKUP(B938,$R:$U,3,FALSE)</f>
        <v>182.5</v>
      </c>
      <c r="D938" s="415" t="s">
        <v>5121</v>
      </c>
      <c r="F938" t="s">
        <v>5629</v>
      </c>
      <c r="G938">
        <f>UDV.tractor.application_time_non_sludge</f>
        <v>50</v>
      </c>
      <c r="H938" t="s">
        <v>5121</v>
      </c>
    </row>
    <row r="939" spans="1:8" x14ac:dyDescent="0.3">
      <c r="B939" s="416" t="s">
        <v>7345</v>
      </c>
      <c r="C939">
        <f>365/C938</f>
        <v>2</v>
      </c>
      <c r="D939" s="72" t="s">
        <v>2442</v>
      </c>
      <c r="F939" t="s">
        <v>2160</v>
      </c>
      <c r="G939">
        <f>UDV.tractor.max_usage_daily</f>
        <v>12</v>
      </c>
      <c r="H939" t="s">
        <v>7075</v>
      </c>
    </row>
    <row r="940" spans="1:8" x14ac:dyDescent="0.3">
      <c r="B940" s="417" t="s">
        <v>5676</v>
      </c>
      <c r="C940" s="418">
        <f t="shared" ref="C940:C945" si="93">VLOOKUP(B940,$R:$U,3,FALSE)</f>
        <v>160</v>
      </c>
      <c r="D940" s="419" t="s">
        <v>7348</v>
      </c>
      <c r="F940" t="s">
        <v>2164</v>
      </c>
      <c r="G940" cm="1">
        <f t="array" ref="G940">UDV.tractor.min_usage_yearly</f>
        <v>1000</v>
      </c>
      <c r="H940" t="s">
        <v>2710</v>
      </c>
    </row>
    <row r="941" spans="1:8" x14ac:dyDescent="0.3">
      <c r="B941" s="417" t="s">
        <v>5663</v>
      </c>
      <c r="C941" s="418">
        <f t="shared" si="93"/>
        <v>180</v>
      </c>
      <c r="D941" s="419" t="s">
        <v>7348</v>
      </c>
    </row>
    <row r="942" spans="1:8" x14ac:dyDescent="0.3">
      <c r="B942" s="417" t="s">
        <v>5638</v>
      </c>
      <c r="C942" s="418">
        <f t="shared" si="93"/>
        <v>250</v>
      </c>
      <c r="D942" s="419" t="s">
        <v>7348</v>
      </c>
    </row>
    <row r="943" spans="1:8" x14ac:dyDescent="0.3">
      <c r="B943" s="417" t="s">
        <v>5679</v>
      </c>
      <c r="C943" s="418">
        <f t="shared" si="93"/>
        <v>3.8383989297888625</v>
      </c>
      <c r="D943" s="419" t="s">
        <v>6085</v>
      </c>
    </row>
    <row r="944" spans="1:8" x14ac:dyDescent="0.3">
      <c r="B944" s="417" t="s">
        <v>5667</v>
      </c>
      <c r="C944" s="418">
        <f t="shared" si="93"/>
        <v>0.40174235828210048</v>
      </c>
      <c r="D944" s="419" t="s">
        <v>6085</v>
      </c>
    </row>
    <row r="945" spans="1:5" x14ac:dyDescent="0.3">
      <c r="B945" s="420" t="s">
        <v>5654</v>
      </c>
      <c r="C945" s="421">
        <f t="shared" si="93"/>
        <v>3.0707191438310901</v>
      </c>
      <c r="D945" s="422" t="s">
        <v>6085</v>
      </c>
    </row>
    <row r="946" spans="1:5" x14ac:dyDescent="0.3">
      <c r="B946" s="423" t="s">
        <v>7429</v>
      </c>
      <c r="C946" s="424">
        <f>C943*C939/G938</f>
        <v>0.1535359571915545</v>
      </c>
      <c r="D946" s="425" t="s">
        <v>7075</v>
      </c>
    </row>
    <row r="947" spans="1:5" x14ac:dyDescent="0.3">
      <c r="B947" s="426" t="s">
        <v>5713</v>
      </c>
      <c r="C947" s="427">
        <f>C944*C939/G938</f>
        <v>1.606969433128402E-2</v>
      </c>
      <c r="D947" s="428" t="s">
        <v>7075</v>
      </c>
    </row>
    <row r="948" spans="1:5" x14ac:dyDescent="0.3">
      <c r="B948" s="426" t="s">
        <v>7430</v>
      </c>
      <c r="C948" s="427">
        <f>C945*C939/G938</f>
        <v>0.1228287657532436</v>
      </c>
      <c r="D948" s="428" t="s">
        <v>7075</v>
      </c>
    </row>
    <row r="949" spans="1:5" x14ac:dyDescent="0.3">
      <c r="B949" s="429" t="s">
        <v>5735</v>
      </c>
      <c r="C949" s="430">
        <f>C946/G939</f>
        <v>1.2794663099296208E-2</v>
      </c>
      <c r="D949" s="431" t="s">
        <v>7431</v>
      </c>
      <c r="E949" s="199" t="s">
        <v>7432</v>
      </c>
    </row>
    <row r="950" spans="1:5" x14ac:dyDescent="0.3">
      <c r="B950" s="432" t="s">
        <v>5736</v>
      </c>
      <c r="C950" s="433">
        <f>C947/G939</f>
        <v>1.3391411942736684E-3</v>
      </c>
      <c r="D950" s="434" t="s">
        <v>7431</v>
      </c>
      <c r="E950" s="199" t="s">
        <v>7432</v>
      </c>
    </row>
    <row r="951" spans="1:5" x14ac:dyDescent="0.3">
      <c r="B951" s="435" t="s">
        <v>5734</v>
      </c>
      <c r="C951" s="433">
        <f>C948/G939</f>
        <v>1.0235730479436966E-2</v>
      </c>
      <c r="D951" s="434" t="s">
        <v>7431</v>
      </c>
      <c r="E951" s="199" t="s">
        <v>7432</v>
      </c>
    </row>
    <row r="952" spans="1:5" x14ac:dyDescent="0.3">
      <c r="B952" s="436" t="s">
        <v>5735</v>
      </c>
      <c r="C952" s="437">
        <f>ROUNDUP(C949,0.1)</f>
        <v>1</v>
      </c>
      <c r="D952" s="438" t="s">
        <v>7431</v>
      </c>
    </row>
    <row r="953" spans="1:5" x14ac:dyDescent="0.3">
      <c r="B953" s="439" t="s">
        <v>5736</v>
      </c>
      <c r="C953" s="440">
        <f>ROUNDUP(C950,0.1)</f>
        <v>1</v>
      </c>
      <c r="D953" s="441" t="s">
        <v>7431</v>
      </c>
    </row>
    <row r="954" spans="1:5" x14ac:dyDescent="0.3">
      <c r="B954" s="442" t="s">
        <v>5734</v>
      </c>
      <c r="C954" s="443">
        <f>ROUNDUP(C951,0.1)</f>
        <v>1</v>
      </c>
      <c r="D954" s="444" t="s">
        <v>7431</v>
      </c>
    </row>
    <row r="955" spans="1:5" x14ac:dyDescent="0.3">
      <c r="A955" s="772" t="s">
        <v>7427</v>
      </c>
      <c r="B955" s="445" t="s">
        <v>7433</v>
      </c>
      <c r="C955" s="446">
        <f>IF(C943=0,0,C943/C952)</f>
        <v>3.8383989297888625</v>
      </c>
      <c r="D955" s="447" t="s">
        <v>7434</v>
      </c>
    </row>
    <row r="956" spans="1:5" x14ac:dyDescent="0.3">
      <c r="A956" s="772" t="s">
        <v>7427</v>
      </c>
      <c r="B956" s="426" t="s">
        <v>7435</v>
      </c>
      <c r="C956" s="448">
        <f>IF(C944=0,0,C944/C953)</f>
        <v>0.40174235828210048</v>
      </c>
      <c r="D956" s="449" t="s">
        <v>7434</v>
      </c>
    </row>
    <row r="957" spans="1:5" x14ac:dyDescent="0.3">
      <c r="A957" s="772" t="s">
        <v>7427</v>
      </c>
      <c r="B957" s="450" t="s">
        <v>7436</v>
      </c>
      <c r="C957" s="451">
        <f>IF(C945=0,0,C945/C954)</f>
        <v>3.0707191438310901</v>
      </c>
      <c r="D957" s="452" t="s">
        <v>7434</v>
      </c>
    </row>
    <row r="958" spans="1:5" x14ac:dyDescent="0.3">
      <c r="B958" s="453" t="s">
        <v>7429</v>
      </c>
      <c r="C958" s="454">
        <f>C955*C939</f>
        <v>7.6767978595777251</v>
      </c>
      <c r="D958" s="441" t="s">
        <v>7437</v>
      </c>
    </row>
    <row r="959" spans="1:5" x14ac:dyDescent="0.3">
      <c r="B959" s="453" t="s">
        <v>5713</v>
      </c>
      <c r="C959" s="454">
        <f>C956*C939</f>
        <v>0.80348471656420095</v>
      </c>
      <c r="D959" s="441" t="s">
        <v>7437</v>
      </c>
    </row>
    <row r="960" spans="1:5" x14ac:dyDescent="0.3">
      <c r="B960" s="453" t="s">
        <v>7438</v>
      </c>
      <c r="C960" s="454">
        <f>C957*C939</f>
        <v>6.1414382876621803</v>
      </c>
      <c r="D960" s="441" t="s">
        <v>7437</v>
      </c>
    </row>
    <row r="961" spans="2:8" x14ac:dyDescent="0.3">
      <c r="B961" s="423" t="s">
        <v>7439</v>
      </c>
      <c r="C961" s="455">
        <f>C958/G940</f>
        <v>7.6767978595777249E-3</v>
      </c>
      <c r="D961" s="447" t="s">
        <v>7440</v>
      </c>
      <c r="E961" s="199" t="s">
        <v>7441</v>
      </c>
    </row>
    <row r="962" spans="2:8" x14ac:dyDescent="0.3">
      <c r="B962" s="426" t="s">
        <v>7442</v>
      </c>
      <c r="C962" s="545">
        <f>C959/G940</f>
        <v>8.0348471656420091E-4</v>
      </c>
      <c r="D962" s="428" t="s">
        <v>7440</v>
      </c>
      <c r="E962" s="199" t="s">
        <v>7441</v>
      </c>
    </row>
    <row r="963" spans="2:8" x14ac:dyDescent="0.3">
      <c r="B963" s="450" t="s">
        <v>7443</v>
      </c>
      <c r="C963" s="456">
        <f>C960/G940</f>
        <v>6.1414382876621805E-3</v>
      </c>
      <c r="D963" s="457" t="s">
        <v>7440</v>
      </c>
      <c r="E963" s="199" t="s">
        <v>7441</v>
      </c>
    </row>
    <row r="964" spans="2:8" x14ac:dyDescent="0.3">
      <c r="B964" s="416"/>
      <c r="D964" s="72"/>
    </row>
    <row r="965" spans="2:8" x14ac:dyDescent="0.3">
      <c r="B965" s="411" t="s">
        <v>7444</v>
      </c>
      <c r="C965" s="90"/>
      <c r="D965" s="419"/>
      <c r="F965" s="82" t="s">
        <v>7343</v>
      </c>
    </row>
    <row r="966" spans="2:8" x14ac:dyDescent="0.3">
      <c r="B966" s="411" t="s">
        <v>2663</v>
      </c>
      <c r="C966" s="325" t="s">
        <v>565</v>
      </c>
      <c r="D966" s="412" t="s">
        <v>38</v>
      </c>
      <c r="F966" s="82" t="s">
        <v>2663</v>
      </c>
      <c r="G966" s="82" t="s">
        <v>565</v>
      </c>
      <c r="H966" s="82" t="s">
        <v>38</v>
      </c>
    </row>
    <row r="967" spans="2:8" x14ac:dyDescent="0.3">
      <c r="B967" s="458" t="s">
        <v>6416</v>
      </c>
      <c r="C967" s="459">
        <f>VLOOKUP(B967,$X:$AA,3,FALSE)</f>
        <v>10</v>
      </c>
      <c r="D967" s="415" t="s">
        <v>2669</v>
      </c>
      <c r="F967" t="s">
        <v>7445</v>
      </c>
      <c r="G967">
        <f>UDV.tractor.application_time_sludge</f>
        <v>15</v>
      </c>
      <c r="H967" t="s">
        <v>5121</v>
      </c>
    </row>
    <row r="968" spans="2:8" x14ac:dyDescent="0.3">
      <c r="B968" s="417" t="s">
        <v>5676</v>
      </c>
      <c r="C968" s="418">
        <f>VLOOKUP(B968,$R:$U,3,FALSE)</f>
        <v>160</v>
      </c>
      <c r="D968" s="419" t="s">
        <v>7348</v>
      </c>
      <c r="F968" t="s">
        <v>2160</v>
      </c>
      <c r="G968">
        <f>UDV.tractor.max_usage_daily</f>
        <v>12</v>
      </c>
      <c r="H968" t="s">
        <v>7075</v>
      </c>
    </row>
    <row r="969" spans="2:8" x14ac:dyDescent="0.3">
      <c r="B969" s="417" t="s">
        <v>5663</v>
      </c>
      <c r="C969" s="418">
        <f>VLOOKUP(B969,$R:$U,3,FALSE)</f>
        <v>180</v>
      </c>
      <c r="D969" s="419" t="s">
        <v>7348</v>
      </c>
      <c r="F969" t="s">
        <v>2164</v>
      </c>
      <c r="G969" cm="1">
        <f t="array" ref="G969">UDV.tractor.min_usage_yearly</f>
        <v>1000</v>
      </c>
      <c r="H969" t="s">
        <v>2710</v>
      </c>
    </row>
    <row r="970" spans="2:8" x14ac:dyDescent="0.3">
      <c r="B970" s="417" t="s">
        <v>5638</v>
      </c>
      <c r="C970" s="418">
        <f>VLOOKUP(B970,$R:$U,3,FALSE)</f>
        <v>250</v>
      </c>
      <c r="D970" s="419" t="s">
        <v>7348</v>
      </c>
    </row>
    <row r="971" spans="2:8" x14ac:dyDescent="0.3">
      <c r="B971" s="417" t="s">
        <v>5679</v>
      </c>
      <c r="C971" s="418">
        <f>VLOOKUP(B971,$X:$AA,3,FALSE)</f>
        <v>25.815078872097814</v>
      </c>
      <c r="D971" s="419" t="s">
        <v>6085</v>
      </c>
    </row>
    <row r="972" spans="2:8" x14ac:dyDescent="0.3">
      <c r="B972" s="417" t="s">
        <v>5667</v>
      </c>
      <c r="C972" s="418">
        <f>VLOOKUP(B972,$X:$AA,3,FALSE)</f>
        <v>2.7019105765240186</v>
      </c>
      <c r="D972" s="419" t="s">
        <v>6085</v>
      </c>
    </row>
    <row r="973" spans="2:8" x14ac:dyDescent="0.3">
      <c r="B973" s="420" t="s">
        <v>5654</v>
      </c>
      <c r="C973" s="421">
        <f>VLOOKUP(B973,$X:$AA,3,FALSE)</f>
        <v>20.652063097678251</v>
      </c>
      <c r="D973" s="422" t="s">
        <v>6085</v>
      </c>
    </row>
    <row r="974" spans="2:8" x14ac:dyDescent="0.3">
      <c r="B974" s="423" t="s">
        <v>7429</v>
      </c>
      <c r="C974" s="424">
        <f>C971/G967</f>
        <v>1.7210052581398543</v>
      </c>
      <c r="D974" s="425" t="s">
        <v>7075</v>
      </c>
    </row>
    <row r="975" spans="2:8" x14ac:dyDescent="0.3">
      <c r="B975" s="426" t="s">
        <v>5713</v>
      </c>
      <c r="C975" s="427">
        <f>C972/G967</f>
        <v>0.1801273717682679</v>
      </c>
      <c r="D975" s="428" t="s">
        <v>7075</v>
      </c>
    </row>
    <row r="976" spans="2:8" x14ac:dyDescent="0.3">
      <c r="B976" s="426" t="s">
        <v>7430</v>
      </c>
      <c r="C976" s="427">
        <f>C973/G967</f>
        <v>1.3768042065118835</v>
      </c>
      <c r="D976" s="428" t="s">
        <v>7075</v>
      </c>
    </row>
    <row r="977" spans="1:5" x14ac:dyDescent="0.3">
      <c r="B977" s="429" t="s">
        <v>5735</v>
      </c>
      <c r="C977" s="430">
        <f>C974/G968</f>
        <v>0.14341710484498785</v>
      </c>
      <c r="D977" s="431" t="s">
        <v>7431</v>
      </c>
      <c r="E977" s="199" t="s">
        <v>7432</v>
      </c>
    </row>
    <row r="978" spans="1:5" x14ac:dyDescent="0.3">
      <c r="B978" s="432" t="s">
        <v>5736</v>
      </c>
      <c r="C978" s="433">
        <f>C975/G968</f>
        <v>1.5010614314022326E-2</v>
      </c>
      <c r="D978" s="434" t="s">
        <v>7431</v>
      </c>
      <c r="E978" s="199" t="s">
        <v>7432</v>
      </c>
    </row>
    <row r="979" spans="1:5" x14ac:dyDescent="0.3">
      <c r="B979" s="435" t="s">
        <v>5734</v>
      </c>
      <c r="C979" s="433">
        <f>C976/G968</f>
        <v>0.1147336838759903</v>
      </c>
      <c r="D979" s="434" t="s">
        <v>7431</v>
      </c>
      <c r="E979" s="199" t="s">
        <v>7432</v>
      </c>
    </row>
    <row r="980" spans="1:5" x14ac:dyDescent="0.3">
      <c r="B980" s="436" t="s">
        <v>5735</v>
      </c>
      <c r="C980" s="437">
        <f>ROUNDUP(C977,0.1)</f>
        <v>1</v>
      </c>
      <c r="D980" s="438" t="s">
        <v>7431</v>
      </c>
    </row>
    <row r="981" spans="1:5" x14ac:dyDescent="0.3">
      <c r="B981" s="439" t="s">
        <v>5736</v>
      </c>
      <c r="C981" s="440">
        <f>ROUNDUP(C978,0.1)</f>
        <v>1</v>
      </c>
      <c r="D981" s="441" t="s">
        <v>7431</v>
      </c>
    </row>
    <row r="982" spans="1:5" x14ac:dyDescent="0.3">
      <c r="B982" s="442" t="s">
        <v>5734</v>
      </c>
      <c r="C982" s="443">
        <f>ROUNDUP(C979,0.1)</f>
        <v>1</v>
      </c>
      <c r="D982" s="444" t="s">
        <v>7431</v>
      </c>
    </row>
    <row r="983" spans="1:5" x14ac:dyDescent="0.3">
      <c r="A983" s="772" t="s">
        <v>7427</v>
      </c>
      <c r="B983" s="460" t="s">
        <v>7433</v>
      </c>
      <c r="C983" s="448">
        <f>IF(C971=0,0,C971/C980)</f>
        <v>25.815078872097814</v>
      </c>
      <c r="D983" s="428" t="s">
        <v>7434</v>
      </c>
    </row>
    <row r="984" spans="1:5" x14ac:dyDescent="0.3">
      <c r="A984" s="772" t="s">
        <v>7427</v>
      </c>
      <c r="B984" s="426" t="s">
        <v>7435</v>
      </c>
      <c r="C984" s="448">
        <f>IF(C972=0,0,C972/C981)</f>
        <v>2.7019105765240186</v>
      </c>
      <c r="D984" s="428" t="s">
        <v>7434</v>
      </c>
    </row>
    <row r="985" spans="1:5" x14ac:dyDescent="0.3">
      <c r="A985" s="772" t="s">
        <v>7427</v>
      </c>
      <c r="B985" s="450" t="s">
        <v>7436</v>
      </c>
      <c r="C985" s="451">
        <f>IF(C973=0,0,C973/C982)</f>
        <v>20.652063097678251</v>
      </c>
      <c r="D985" s="457" t="s">
        <v>7434</v>
      </c>
    </row>
    <row r="986" spans="1:5" x14ac:dyDescent="0.3">
      <c r="B986" s="453" t="s">
        <v>7429</v>
      </c>
      <c r="C986" s="461">
        <f>C983/C967</f>
        <v>2.5815078872097814</v>
      </c>
      <c r="D986" s="441" t="s">
        <v>7446</v>
      </c>
    </row>
    <row r="987" spans="1:5" x14ac:dyDescent="0.3">
      <c r="B987" s="453" t="s">
        <v>5713</v>
      </c>
      <c r="C987" s="440">
        <f>C984/C967</f>
        <v>0.27019105765240187</v>
      </c>
      <c r="D987" s="441" t="s">
        <v>7446</v>
      </c>
    </row>
    <row r="988" spans="1:5" x14ac:dyDescent="0.3">
      <c r="B988" s="453" t="s">
        <v>7438</v>
      </c>
      <c r="C988" s="461">
        <f>C985/C967</f>
        <v>2.065206309767825</v>
      </c>
      <c r="D988" s="441" t="s">
        <v>7446</v>
      </c>
    </row>
    <row r="989" spans="1:5" x14ac:dyDescent="0.3">
      <c r="B989" s="423" t="s">
        <v>7439</v>
      </c>
      <c r="C989" s="455">
        <f>C986/G969</f>
        <v>2.5815078872097816E-3</v>
      </c>
      <c r="D989" s="425" t="s">
        <v>7447</v>
      </c>
      <c r="E989" s="199" t="s">
        <v>7441</v>
      </c>
    </row>
    <row r="990" spans="1:5" x14ac:dyDescent="0.3">
      <c r="B990" s="426" t="s">
        <v>7442</v>
      </c>
      <c r="C990" s="545">
        <f>C987/G969</f>
        <v>2.7019105765240187E-4</v>
      </c>
      <c r="D990" s="428" t="s">
        <v>7447</v>
      </c>
      <c r="E990" s="199" t="s">
        <v>7441</v>
      </c>
    </row>
    <row r="991" spans="1:5" x14ac:dyDescent="0.3">
      <c r="B991" s="450" t="s">
        <v>7443</v>
      </c>
      <c r="C991" s="456">
        <f>C988/G969</f>
        <v>2.0652063097678251E-3</v>
      </c>
      <c r="D991" s="457" t="s">
        <v>7447</v>
      </c>
      <c r="E991" s="199" t="s">
        <v>7441</v>
      </c>
    </row>
    <row r="993" spans="1:8" x14ac:dyDescent="0.3">
      <c r="B993" s="462" t="s">
        <v>7448</v>
      </c>
      <c r="C993" s="463"/>
      <c r="D993" s="464"/>
    </row>
    <row r="994" spans="1:8" x14ac:dyDescent="0.3">
      <c r="B994" s="465" t="s">
        <v>2663</v>
      </c>
      <c r="C994" s="466" t="s">
        <v>565</v>
      </c>
      <c r="D994" s="467" t="s">
        <v>38</v>
      </c>
    </row>
    <row r="995" spans="1:8" x14ac:dyDescent="0.3">
      <c r="B995" s="788" t="s">
        <v>5735</v>
      </c>
      <c r="C995" s="789">
        <f>MAX(C952,C980)</f>
        <v>1</v>
      </c>
      <c r="D995" s="790" t="s">
        <v>7431</v>
      </c>
    </row>
    <row r="996" spans="1:8" x14ac:dyDescent="0.3">
      <c r="B996" s="791" t="s">
        <v>5736</v>
      </c>
      <c r="C996" s="769">
        <f>MAX(C953,C981)</f>
        <v>1</v>
      </c>
      <c r="D996" s="467" t="s">
        <v>7431</v>
      </c>
    </row>
    <row r="997" spans="1:8" x14ac:dyDescent="0.3">
      <c r="B997" s="792" t="s">
        <v>5734</v>
      </c>
      <c r="C997" s="793">
        <f>MAX(C954,C982)</f>
        <v>1</v>
      </c>
      <c r="D997" s="794" t="s">
        <v>7431</v>
      </c>
    </row>
    <row r="998" spans="1:8" x14ac:dyDescent="0.3">
      <c r="A998" s="772" t="s">
        <v>7427</v>
      </c>
      <c r="B998" s="462" t="s">
        <v>7429</v>
      </c>
      <c r="C998" s="789">
        <f>IF(C995=0,0,((C943*C939)+(C971/C967))/C995)</f>
        <v>10.258305746787507</v>
      </c>
      <c r="D998" s="790" t="s">
        <v>7446</v>
      </c>
    </row>
    <row r="999" spans="1:8" x14ac:dyDescent="0.3">
      <c r="A999" s="772" t="s">
        <v>7427</v>
      </c>
      <c r="B999" s="465" t="s">
        <v>5713</v>
      </c>
      <c r="C999" s="769">
        <f>IF(C996=0,0,((C944*C939)+(C972/C967))/C996)</f>
        <v>1.0736757742166028</v>
      </c>
      <c r="D999" s="467" t="s">
        <v>7446</v>
      </c>
    </row>
    <row r="1000" spans="1:8" x14ac:dyDescent="0.3">
      <c r="A1000" s="772" t="s">
        <v>7427</v>
      </c>
      <c r="B1000" s="792" t="s">
        <v>7438</v>
      </c>
      <c r="C1000" s="793">
        <f>IF(C997=0,0,((C945*C939)+(C973/C967))/C997)</f>
        <v>8.2066445974300049</v>
      </c>
      <c r="D1000" s="794" t="s">
        <v>7446</v>
      </c>
    </row>
    <row r="1001" spans="1:8" x14ac:dyDescent="0.3">
      <c r="B1001" s="468" t="s">
        <v>7439</v>
      </c>
      <c r="C1001" s="472">
        <f>C998/G969</f>
        <v>1.0258305746787506E-2</v>
      </c>
      <c r="D1001" s="464" t="s">
        <v>7447</v>
      </c>
    </row>
    <row r="1002" spans="1:8" x14ac:dyDescent="0.3">
      <c r="B1002" s="469" t="s">
        <v>7442</v>
      </c>
      <c r="C1002" s="546">
        <f>C999/G969</f>
        <v>1.0736757742166028E-3</v>
      </c>
      <c r="D1002" s="471" t="s">
        <v>7447</v>
      </c>
      <c r="E1002" s="369"/>
    </row>
    <row r="1003" spans="1:8" ht="15" thickBot="1" x14ac:dyDescent="0.35">
      <c r="B1003" s="474" t="s">
        <v>7443</v>
      </c>
      <c r="C1003" s="475">
        <f>C1000/G969</f>
        <v>8.2066445974300056E-3</v>
      </c>
      <c r="D1003" s="476" t="s">
        <v>7447</v>
      </c>
      <c r="F1003" s="369"/>
      <c r="G1003" s="369"/>
      <c r="H1003" s="369"/>
    </row>
    <row r="1005" spans="1:8" ht="15" thickBot="1" x14ac:dyDescent="0.35">
      <c r="D1005" s="66"/>
      <c r="E1005" s="66"/>
    </row>
    <row r="1006" spans="1:8" x14ac:dyDescent="0.3">
      <c r="A1006" s="82" t="s">
        <v>7449</v>
      </c>
      <c r="B1006" s="408" t="s">
        <v>7450</v>
      </c>
      <c r="C1006" s="477"/>
      <c r="D1006" s="478"/>
      <c r="F1006" s="82" t="s">
        <v>7343</v>
      </c>
    </row>
    <row r="1007" spans="1:8" x14ac:dyDescent="0.3">
      <c r="B1007" s="411" t="s">
        <v>2663</v>
      </c>
      <c r="C1007" s="82" t="s">
        <v>565</v>
      </c>
      <c r="D1007" s="412" t="s">
        <v>38</v>
      </c>
      <c r="F1007" s="82" t="s">
        <v>2663</v>
      </c>
      <c r="G1007" s="82" t="s">
        <v>565</v>
      </c>
      <c r="H1007" s="82" t="s">
        <v>38</v>
      </c>
    </row>
    <row r="1008" spans="1:8" x14ac:dyDescent="0.3">
      <c r="B1008" s="406" t="s">
        <v>6401</v>
      </c>
      <c r="C1008" s="142">
        <f>VLOOKUP(B938,$R:$U,3,FALSE)</f>
        <v>182.5</v>
      </c>
      <c r="D1008" s="407" t="s">
        <v>5121</v>
      </c>
      <c r="F1008" t="s">
        <v>5629</v>
      </c>
      <c r="G1008">
        <f>UDV.tractor.application_time_non_sludge</f>
        <v>50</v>
      </c>
      <c r="H1008" t="s">
        <v>5121</v>
      </c>
    </row>
    <row r="1009" spans="1:8" x14ac:dyDescent="0.3">
      <c r="B1009" s="74" t="s">
        <v>7345</v>
      </c>
      <c r="C1009">
        <f>365/C1008</f>
        <v>2</v>
      </c>
      <c r="D1009" s="72" t="s">
        <v>2442</v>
      </c>
      <c r="F1009" t="s">
        <v>2160</v>
      </c>
      <c r="G1009">
        <f>UDV.tractor.max_usage_daily</f>
        <v>12</v>
      </c>
      <c r="H1009" t="s">
        <v>7075</v>
      </c>
    </row>
    <row r="1010" spans="1:8" x14ac:dyDescent="0.3">
      <c r="B1010" s="74" t="s">
        <v>5688</v>
      </c>
      <c r="C1010" s="418">
        <f>VLOOKUP(B1010,$R:$U,3,FALSE)</f>
        <v>580</v>
      </c>
      <c r="D1010" s="72" t="s">
        <v>5689</v>
      </c>
      <c r="F1010" t="s">
        <v>2164</v>
      </c>
      <c r="G1010" cm="1">
        <f t="array" ref="G1010">UDV.tractor.min_usage_yearly</f>
        <v>1000</v>
      </c>
      <c r="H1010" t="s">
        <v>2710</v>
      </c>
    </row>
    <row r="1011" spans="1:8" x14ac:dyDescent="0.3">
      <c r="B1011" s="74" t="s">
        <v>5701</v>
      </c>
      <c r="C1011" s="418">
        <f>VLOOKUP(B1011,$R:$U,3,FALSE)</f>
        <v>340</v>
      </c>
      <c r="D1011" s="72" t="s">
        <v>5689</v>
      </c>
    </row>
    <row r="1012" spans="1:8" x14ac:dyDescent="0.3">
      <c r="B1012" s="417" t="s">
        <v>6546</v>
      </c>
      <c r="C1012" s="418">
        <f>VLOOKUP(B1012,$B:$F,2,FALSE)</f>
        <v>0.30800247468294367</v>
      </c>
      <c r="D1012" s="419" t="s">
        <v>6085</v>
      </c>
    </row>
    <row r="1013" spans="1:8" x14ac:dyDescent="0.3">
      <c r="B1013" s="417" t="s">
        <v>6547</v>
      </c>
      <c r="C1013" s="418">
        <f>VLOOKUP(B1013,$B:$F,2,FALSE)</f>
        <v>0.20087117914105024</v>
      </c>
      <c r="D1013" s="419" t="s">
        <v>6085</v>
      </c>
    </row>
    <row r="1014" spans="1:8" x14ac:dyDescent="0.3">
      <c r="B1014" s="423" t="s">
        <v>7451</v>
      </c>
      <c r="C1014" s="424">
        <f>C1012*C1009/G1008</f>
        <v>1.2320098987317746E-2</v>
      </c>
      <c r="D1014" s="425" t="s">
        <v>7075</v>
      </c>
    </row>
    <row r="1015" spans="1:8" x14ac:dyDescent="0.3">
      <c r="B1015" s="479" t="s">
        <v>7452</v>
      </c>
      <c r="C1015" s="480">
        <f>C1013*C1009/G1008</f>
        <v>8.03484716564201E-3</v>
      </c>
      <c r="D1015" s="457" t="s">
        <v>7075</v>
      </c>
    </row>
    <row r="1016" spans="1:8" x14ac:dyDescent="0.3">
      <c r="B1016" s="429" t="s">
        <v>5738</v>
      </c>
      <c r="C1016" s="430">
        <f>C1014/G1009</f>
        <v>1.0266749156098121E-3</v>
      </c>
      <c r="D1016" s="431" t="s">
        <v>7431</v>
      </c>
    </row>
    <row r="1017" spans="1:8" x14ac:dyDescent="0.3">
      <c r="B1017" s="481" t="s">
        <v>5702</v>
      </c>
      <c r="C1017" s="482">
        <f>C1015/G1009</f>
        <v>6.695705971368342E-4</v>
      </c>
      <c r="D1017" s="483" t="s">
        <v>7431</v>
      </c>
    </row>
    <row r="1018" spans="1:8" x14ac:dyDescent="0.3">
      <c r="B1018" s="436" t="s">
        <v>5738</v>
      </c>
      <c r="C1018" s="437">
        <f>ROUNDUP(C1016,0.1)</f>
        <v>1</v>
      </c>
      <c r="D1018" s="438" t="s">
        <v>7431</v>
      </c>
    </row>
    <row r="1019" spans="1:8" x14ac:dyDescent="0.3">
      <c r="B1019" s="484" t="s">
        <v>5702</v>
      </c>
      <c r="C1019" s="443">
        <f>C1018</f>
        <v>1</v>
      </c>
      <c r="D1019" s="444" t="s">
        <v>7431</v>
      </c>
      <c r="E1019" s="199" t="s">
        <v>7453</v>
      </c>
    </row>
    <row r="1020" spans="1:8" x14ac:dyDescent="0.3">
      <c r="A1020" s="772" t="s">
        <v>7427</v>
      </c>
      <c r="B1020" s="445" t="s">
        <v>7454</v>
      </c>
      <c r="C1020" s="446">
        <f>IF(C1012=0,0,C1012/C1018)</f>
        <v>0.30800247468294367</v>
      </c>
      <c r="D1020" s="447" t="s">
        <v>7434</v>
      </c>
    </row>
    <row r="1021" spans="1:8" x14ac:dyDescent="0.3">
      <c r="A1021" s="772" t="s">
        <v>7427</v>
      </c>
      <c r="B1021" s="485" t="s">
        <v>7455</v>
      </c>
      <c r="C1021" s="451">
        <f>IF(C1013=0,0,C1013/C1019)</f>
        <v>0.20087117914105024</v>
      </c>
      <c r="D1021" s="452" t="s">
        <v>7434</v>
      </c>
    </row>
    <row r="1022" spans="1:8" x14ac:dyDescent="0.3">
      <c r="B1022" s="486" t="s">
        <v>7451</v>
      </c>
      <c r="C1022" s="487">
        <f>C1020*C1009</f>
        <v>0.61600494936588734</v>
      </c>
      <c r="D1022" s="438" t="s">
        <v>7437</v>
      </c>
    </row>
    <row r="1023" spans="1:8" x14ac:dyDescent="0.3">
      <c r="B1023" s="442" t="s">
        <v>7456</v>
      </c>
      <c r="C1023" s="488">
        <f>C1021*C1009</f>
        <v>0.40174235828210048</v>
      </c>
      <c r="D1023" s="444" t="s">
        <v>7437</v>
      </c>
    </row>
    <row r="1024" spans="1:8" x14ac:dyDescent="0.3">
      <c r="B1024" s="423" t="s">
        <v>7457</v>
      </c>
      <c r="C1024" s="455">
        <f>C1022/G1010</f>
        <v>6.160049493658873E-4</v>
      </c>
      <c r="D1024" s="447" t="s">
        <v>7440</v>
      </c>
      <c r="E1024" s="199" t="s">
        <v>7441</v>
      </c>
    </row>
    <row r="1025" spans="1:8" x14ac:dyDescent="0.3">
      <c r="B1025" s="450" t="s">
        <v>7458</v>
      </c>
      <c r="C1025" s="456">
        <f>C1023/G1010</f>
        <v>4.0174235828210046E-4</v>
      </c>
      <c r="D1025" s="452" t="s">
        <v>7440</v>
      </c>
    </row>
    <row r="1026" spans="1:8" x14ac:dyDescent="0.3">
      <c r="B1026" s="74"/>
      <c r="D1026" s="72"/>
    </row>
    <row r="1027" spans="1:8" x14ac:dyDescent="0.3">
      <c r="B1027" s="411" t="s">
        <v>7459</v>
      </c>
      <c r="C1027" s="90"/>
      <c r="D1027" s="419"/>
      <c r="F1027" s="82" t="s">
        <v>7343</v>
      </c>
    </row>
    <row r="1028" spans="1:8" x14ac:dyDescent="0.3">
      <c r="B1028" s="411" t="s">
        <v>2663</v>
      </c>
      <c r="C1028" s="325" t="s">
        <v>565</v>
      </c>
      <c r="D1028" s="412" t="s">
        <v>38</v>
      </c>
      <c r="F1028" s="82" t="s">
        <v>2663</v>
      </c>
      <c r="G1028" s="82" t="s">
        <v>565</v>
      </c>
      <c r="H1028" s="82" t="s">
        <v>38</v>
      </c>
    </row>
    <row r="1029" spans="1:8" x14ac:dyDescent="0.3">
      <c r="B1029" s="458" t="s">
        <v>6416</v>
      </c>
      <c r="C1029" s="459">
        <f>VLOOKUP(B1029,$X:$AA,3,FALSE)</f>
        <v>10</v>
      </c>
      <c r="D1029" s="415" t="s">
        <v>2669</v>
      </c>
      <c r="F1029" t="s">
        <v>7445</v>
      </c>
      <c r="G1029">
        <f>UDV.tractor.application_time_sludge</f>
        <v>15</v>
      </c>
      <c r="H1029" t="s">
        <v>5121</v>
      </c>
    </row>
    <row r="1030" spans="1:8" x14ac:dyDescent="0.3">
      <c r="B1030" s="74" t="s">
        <v>5688</v>
      </c>
      <c r="C1030" s="418">
        <f>VLOOKUP(B1030,$R:$U,3,FALSE)</f>
        <v>580</v>
      </c>
      <c r="D1030" s="419" t="s">
        <v>7348</v>
      </c>
      <c r="F1030" t="s">
        <v>2160</v>
      </c>
      <c r="G1030">
        <f>UDV.tractor.max_usage_daily</f>
        <v>12</v>
      </c>
      <c r="H1030" t="s">
        <v>7075</v>
      </c>
    </row>
    <row r="1031" spans="1:8" x14ac:dyDescent="0.3">
      <c r="B1031" s="74" t="s">
        <v>5701</v>
      </c>
      <c r="C1031" s="418">
        <f>VLOOKUP(B1031,$R:$U,3,FALSE)</f>
        <v>340</v>
      </c>
      <c r="D1031" s="419" t="s">
        <v>7348</v>
      </c>
      <c r="F1031" t="s">
        <v>2164</v>
      </c>
      <c r="G1031" cm="1">
        <f t="array" ref="G1031">UDV.tractor.min_usage_yearly</f>
        <v>1000</v>
      </c>
      <c r="H1031" t="s">
        <v>2710</v>
      </c>
    </row>
    <row r="1032" spans="1:8" x14ac:dyDescent="0.3">
      <c r="B1032" s="417" t="s">
        <v>7136</v>
      </c>
      <c r="C1032" s="418">
        <f>VLOOKUP(B1032,$B:$F,2,FALSE)</f>
        <v>6.1841936247655918</v>
      </c>
      <c r="D1032" s="419" t="s">
        <v>6085</v>
      </c>
    </row>
    <row r="1033" spans="1:8" x14ac:dyDescent="0.3">
      <c r="B1033" s="417" t="s">
        <v>7137</v>
      </c>
      <c r="C1033" s="418">
        <f>VLOOKUP(B1033,$B:$E,2,FALSE)</f>
        <v>4.0331697552819081</v>
      </c>
      <c r="D1033" s="419" t="s">
        <v>6085</v>
      </c>
    </row>
    <row r="1034" spans="1:8" x14ac:dyDescent="0.3">
      <c r="B1034" s="423" t="s">
        <v>7451</v>
      </c>
      <c r="C1034" s="424">
        <f>C1032/G1029</f>
        <v>0.41227957498437279</v>
      </c>
      <c r="D1034" s="425" t="s">
        <v>7075</v>
      </c>
    </row>
    <row r="1035" spans="1:8" x14ac:dyDescent="0.3">
      <c r="B1035" s="479" t="s">
        <v>7452</v>
      </c>
      <c r="C1035" s="480">
        <f>C1033/G1029</f>
        <v>0.26887798368546056</v>
      </c>
      <c r="D1035" s="457" t="s">
        <v>7075</v>
      </c>
    </row>
    <row r="1036" spans="1:8" x14ac:dyDescent="0.3">
      <c r="B1036" s="429" t="s">
        <v>5738</v>
      </c>
      <c r="C1036" s="430">
        <f>C1034/G1009</f>
        <v>3.4356631248697735E-2</v>
      </c>
      <c r="D1036" s="431" t="s">
        <v>7431</v>
      </c>
    </row>
    <row r="1037" spans="1:8" x14ac:dyDescent="0.3">
      <c r="B1037" s="481" t="s">
        <v>5702</v>
      </c>
      <c r="C1037" s="482">
        <f>C1035/G1009</f>
        <v>2.2406498640455047E-2</v>
      </c>
      <c r="D1037" s="483" t="s">
        <v>7431</v>
      </c>
    </row>
    <row r="1038" spans="1:8" x14ac:dyDescent="0.3">
      <c r="B1038" s="436" t="s">
        <v>5738</v>
      </c>
      <c r="C1038" s="437">
        <f>ROUNDUP(C1036,0.1)</f>
        <v>1</v>
      </c>
      <c r="D1038" s="438" t="s">
        <v>7431</v>
      </c>
    </row>
    <row r="1039" spans="1:8" x14ac:dyDescent="0.3">
      <c r="B1039" s="484" t="s">
        <v>5702</v>
      </c>
      <c r="C1039" s="443">
        <f>C1038</f>
        <v>1</v>
      </c>
      <c r="D1039" s="444" t="s">
        <v>7431</v>
      </c>
    </row>
    <row r="1040" spans="1:8" x14ac:dyDescent="0.3">
      <c r="A1040" s="772" t="s">
        <v>7427</v>
      </c>
      <c r="B1040" s="445" t="s">
        <v>7454</v>
      </c>
      <c r="C1040" s="446">
        <f>IF(C1032=0,0,C1032/C1038)</f>
        <v>6.1841936247655918</v>
      </c>
      <c r="D1040" s="447" t="s">
        <v>7434</v>
      </c>
    </row>
    <row r="1041" spans="1:5" x14ac:dyDescent="0.3">
      <c r="A1041" s="772" t="s">
        <v>7427</v>
      </c>
      <c r="B1041" s="485" t="s">
        <v>7455</v>
      </c>
      <c r="C1041" s="451">
        <f>IF(C1033=0,0,C1033/C1039)</f>
        <v>4.0331697552819081</v>
      </c>
      <c r="D1041" s="452" t="s">
        <v>7434</v>
      </c>
    </row>
    <row r="1042" spans="1:5" x14ac:dyDescent="0.3">
      <c r="B1042" s="486" t="s">
        <v>7451</v>
      </c>
      <c r="C1042" s="487">
        <f>C1040/C1029</f>
        <v>0.61841936247655915</v>
      </c>
      <c r="D1042" s="438" t="s">
        <v>7446</v>
      </c>
    </row>
    <row r="1043" spans="1:5" x14ac:dyDescent="0.3">
      <c r="B1043" s="442" t="s">
        <v>7456</v>
      </c>
      <c r="C1043" s="488">
        <f>C1041/C1029</f>
        <v>0.40331697552819079</v>
      </c>
      <c r="D1043" s="444" t="s">
        <v>7446</v>
      </c>
    </row>
    <row r="1044" spans="1:5" x14ac:dyDescent="0.3">
      <c r="B1044" s="423" t="s">
        <v>7460</v>
      </c>
      <c r="C1044" s="455">
        <f>C1041/G1010</f>
        <v>4.0331697552819078E-3</v>
      </c>
      <c r="D1044" s="425" t="s">
        <v>7447</v>
      </c>
      <c r="E1044" s="199" t="s">
        <v>7441</v>
      </c>
    </row>
    <row r="1045" spans="1:5" x14ac:dyDescent="0.3">
      <c r="B1045" s="450" t="s">
        <v>7461</v>
      </c>
      <c r="C1045" s="456">
        <f>C1042/G1010</f>
        <v>6.1841936247655912E-4</v>
      </c>
      <c r="D1045" s="457" t="s">
        <v>7447</v>
      </c>
      <c r="E1045" s="199" t="s">
        <v>7441</v>
      </c>
    </row>
    <row r="1046" spans="1:5" x14ac:dyDescent="0.3">
      <c r="B1046" s="74"/>
      <c r="D1046" s="489"/>
    </row>
    <row r="1047" spans="1:5" x14ac:dyDescent="0.3">
      <c r="B1047" s="465" t="s">
        <v>7448</v>
      </c>
      <c r="C1047" s="490"/>
      <c r="D1047" s="471"/>
    </row>
    <row r="1048" spans="1:5" x14ac:dyDescent="0.3">
      <c r="B1048" s="465" t="s">
        <v>2663</v>
      </c>
      <c r="C1048" s="466" t="s">
        <v>565</v>
      </c>
      <c r="D1048" s="467" t="s">
        <v>38</v>
      </c>
    </row>
    <row r="1049" spans="1:5" x14ac:dyDescent="0.3">
      <c r="B1049" s="788" t="s">
        <v>5738</v>
      </c>
      <c r="C1049" s="789">
        <f>MAX(C1018,C1038)</f>
        <v>1</v>
      </c>
      <c r="D1049" s="790" t="s">
        <v>7431</v>
      </c>
    </row>
    <row r="1050" spans="1:5" x14ac:dyDescent="0.3">
      <c r="B1050" s="795" t="s">
        <v>5702</v>
      </c>
      <c r="C1050" s="793">
        <f>MAX(C1019,C1039)</f>
        <v>1</v>
      </c>
      <c r="D1050" s="794" t="s">
        <v>7431</v>
      </c>
    </row>
    <row r="1051" spans="1:5" x14ac:dyDescent="0.3">
      <c r="B1051" s="462" t="s">
        <v>7451</v>
      </c>
      <c r="C1051" s="789">
        <f>SUM(C1022,C1042)</f>
        <v>1.2344243118424465</v>
      </c>
      <c r="D1051" s="790" t="s">
        <v>7446</v>
      </c>
    </row>
    <row r="1052" spans="1:5" x14ac:dyDescent="0.3">
      <c r="B1052" s="792" t="s">
        <v>7462</v>
      </c>
      <c r="C1052" s="793">
        <f>SUM(C1023,C1043)</f>
        <v>0.80505933381029127</v>
      </c>
      <c r="D1052" s="794" t="s">
        <v>7446</v>
      </c>
    </row>
    <row r="1053" spans="1:5" x14ac:dyDescent="0.3">
      <c r="B1053" s="468" t="s">
        <v>7463</v>
      </c>
      <c r="C1053" s="472">
        <f>C1051/G1010</f>
        <v>1.2344243118424464E-3</v>
      </c>
      <c r="D1053" s="464" t="s">
        <v>7447</v>
      </c>
    </row>
    <row r="1054" spans="1:5" ht="15" thickBot="1" x14ac:dyDescent="0.35">
      <c r="B1054" s="474" t="s">
        <v>7458</v>
      </c>
      <c r="C1054" s="491">
        <f>C1052/G1010</f>
        <v>8.0505933381029126E-4</v>
      </c>
      <c r="D1054" s="476" t="s">
        <v>7447</v>
      </c>
    </row>
  </sheetData>
  <mergeCells count="7">
    <mergeCell ref="C795:D795"/>
    <mergeCell ref="E795:F795"/>
    <mergeCell ref="G795:H795"/>
    <mergeCell ref="D586:F586"/>
    <mergeCell ref="C634:D634"/>
    <mergeCell ref="E634:F634"/>
    <mergeCell ref="G634:H634"/>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B2D2-09F8-4E76-94BD-9746E1EADC90}">
  <sheetPr codeName="Sheet38">
    <tabColor rgb="FF00B0F0"/>
  </sheetPr>
  <dimension ref="A1:BZ145"/>
  <sheetViews>
    <sheetView workbookViewId="0">
      <selection activeCell="I5" sqref="I5:J7"/>
    </sheetView>
  </sheetViews>
  <sheetFormatPr defaultColWidth="9.44140625" defaultRowHeight="14.4" x14ac:dyDescent="0.3"/>
  <cols>
    <col min="2" max="2" width="2.5546875" customWidth="1"/>
    <col min="13" max="13" width="9.44140625" customWidth="1"/>
    <col min="21" max="21" width="2.5546875" customWidth="1"/>
    <col min="54" max="54" width="32.88671875" bestFit="1" customWidth="1"/>
    <col min="55" max="55" width="12.5546875" bestFit="1" customWidth="1"/>
    <col min="56" max="56" width="10.88671875" bestFit="1" customWidth="1"/>
    <col min="57" max="57" width="13.88671875" bestFit="1" customWidth="1"/>
    <col min="58" max="58" width="13.88671875" customWidth="1"/>
    <col min="59" max="59" width="10.88671875" bestFit="1" customWidth="1"/>
    <col min="60" max="60" width="11" bestFit="1" customWidth="1"/>
    <col min="61" max="61" width="10.33203125" bestFit="1" customWidth="1"/>
    <col min="62" max="62" width="10.5546875" bestFit="1" customWidth="1"/>
    <col min="63" max="63" width="18.44140625" bestFit="1" customWidth="1"/>
    <col min="64" max="64" width="42.5546875" customWidth="1"/>
    <col min="65" max="65" width="13.33203125" bestFit="1" customWidth="1"/>
    <col min="71" max="71" width="32.88671875" bestFit="1" customWidth="1"/>
    <col min="72" max="72" width="16.5546875"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49"/>
      <c r="Q4" s="2350"/>
      <c r="R4" s="926"/>
      <c r="S4" s="2356" t="s">
        <v>7</v>
      </c>
      <c r="T4" s="2357"/>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62" t="s">
        <v>8</v>
      </c>
      <c r="H5" s="2363"/>
      <c r="I5" s="2345" t="s">
        <v>9</v>
      </c>
      <c r="J5" s="2346"/>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64"/>
      <c r="H6" s="2365"/>
      <c r="I6" s="2347"/>
      <c r="J6" s="2348"/>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66"/>
      <c r="H7" s="2367"/>
      <c r="I7" s="2349"/>
      <c r="J7" s="2350"/>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597" t="s">
        <v>340</v>
      </c>
      <c r="E11" s="2598"/>
      <c r="F11" s="2598"/>
      <c r="G11" s="2598"/>
      <c r="H11" s="2598"/>
      <c r="I11" s="2598"/>
      <c r="J11" s="2598"/>
      <c r="K11" s="2598"/>
      <c r="L11" s="2598"/>
      <c r="M11" s="2598"/>
      <c r="N11" s="2598"/>
      <c r="O11" s="2598"/>
      <c r="P11" s="2598"/>
      <c r="Q11" s="2598"/>
      <c r="R11" s="2598"/>
      <c r="S11" s="2599"/>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600"/>
      <c r="E12" s="2601"/>
      <c r="F12" s="2601"/>
      <c r="G12" s="2601"/>
      <c r="H12" s="2601"/>
      <c r="I12" s="2601"/>
      <c r="J12" s="2601"/>
      <c r="K12" s="2601"/>
      <c r="L12" s="2601"/>
      <c r="M12" s="2601"/>
      <c r="N12" s="2601"/>
      <c r="O12" s="2601"/>
      <c r="P12" s="2601"/>
      <c r="Q12" s="2601"/>
      <c r="R12" s="2601"/>
      <c r="S12" s="2602"/>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600"/>
      <c r="E13" s="2601"/>
      <c r="F13" s="2601"/>
      <c r="G13" s="2601"/>
      <c r="H13" s="2601"/>
      <c r="I13" s="2601"/>
      <c r="J13" s="2601"/>
      <c r="K13" s="2601"/>
      <c r="L13" s="2601"/>
      <c r="M13" s="2601"/>
      <c r="N13" s="2601"/>
      <c r="O13" s="2601"/>
      <c r="P13" s="2601"/>
      <c r="Q13" s="2601"/>
      <c r="R13" s="2601"/>
      <c r="S13" s="260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600"/>
      <c r="E14" s="2601"/>
      <c r="F14" s="2601"/>
      <c r="G14" s="2601"/>
      <c r="H14" s="2601"/>
      <c r="I14" s="2601"/>
      <c r="J14" s="2601"/>
      <c r="K14" s="2601"/>
      <c r="L14" s="2601"/>
      <c r="M14" s="2601"/>
      <c r="N14" s="2601"/>
      <c r="O14" s="2601"/>
      <c r="P14" s="2601"/>
      <c r="Q14" s="2601"/>
      <c r="R14" s="2601"/>
      <c r="S14" s="2602"/>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600"/>
      <c r="E15" s="2601"/>
      <c r="F15" s="2601"/>
      <c r="G15" s="2601"/>
      <c r="H15" s="2601"/>
      <c r="I15" s="2601"/>
      <c r="J15" s="2601"/>
      <c r="K15" s="2601"/>
      <c r="L15" s="2601"/>
      <c r="M15" s="2601"/>
      <c r="N15" s="2601"/>
      <c r="O15" s="2601"/>
      <c r="P15" s="2601"/>
      <c r="Q15" s="2601"/>
      <c r="R15" s="2601"/>
      <c r="S15" s="2602"/>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603"/>
      <c r="E16" s="2604"/>
      <c r="F16" s="2604"/>
      <c r="G16" s="2604"/>
      <c r="H16" s="2604"/>
      <c r="I16" s="2604"/>
      <c r="J16" s="2604"/>
      <c r="K16" s="2604"/>
      <c r="L16" s="2604"/>
      <c r="M16" s="2604"/>
      <c r="N16" s="2604"/>
      <c r="O16" s="2604"/>
      <c r="P16" s="2604"/>
      <c r="Q16" s="2604"/>
      <c r="R16" s="2604"/>
      <c r="S16" s="2605"/>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thickTop="1" x14ac:dyDescent="0.3">
      <c r="A18" s="926"/>
      <c r="B18" s="609"/>
      <c r="C18" s="962"/>
      <c r="D18" s="1160"/>
      <c r="E18" s="1160"/>
      <c r="F18" s="1160"/>
      <c r="G18" s="2376" t="s">
        <v>341</v>
      </c>
      <c r="H18" s="2377"/>
      <c r="I18" s="2377"/>
      <c r="J18" s="2377"/>
      <c r="K18" s="2377"/>
      <c r="L18" s="2377"/>
      <c r="M18" s="2377"/>
      <c r="N18" s="2377"/>
      <c r="O18" s="2377"/>
      <c r="P18" s="2378"/>
      <c r="Q18" s="1160"/>
      <c r="R18" s="1160"/>
      <c r="S18" s="116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1160"/>
      <c r="E19" s="1160"/>
      <c r="F19" s="1160"/>
      <c r="G19" s="2379"/>
      <c r="H19" s="2380"/>
      <c r="I19" s="2380"/>
      <c r="J19" s="2380"/>
      <c r="K19" s="2380"/>
      <c r="L19" s="2380"/>
      <c r="M19" s="2380"/>
      <c r="N19" s="2380"/>
      <c r="O19" s="2380"/>
      <c r="P19" s="2381"/>
      <c r="Q19" s="1160"/>
      <c r="R19" s="1160"/>
      <c r="S19" s="116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1160"/>
      <c r="E20" s="1160"/>
      <c r="F20" s="1160"/>
      <c r="G20" s="2379"/>
      <c r="H20" s="2380"/>
      <c r="I20" s="2380"/>
      <c r="J20" s="2380"/>
      <c r="K20" s="2380"/>
      <c r="L20" s="2380"/>
      <c r="M20" s="2380"/>
      <c r="N20" s="2380"/>
      <c r="O20" s="2380"/>
      <c r="P20" s="2381"/>
      <c r="Q20" s="1160"/>
      <c r="R20" s="1160"/>
      <c r="S20" s="116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1160"/>
      <c r="E21" s="1160"/>
      <c r="F21" s="1160"/>
      <c r="G21" s="2379"/>
      <c r="H21" s="2380"/>
      <c r="I21" s="2380"/>
      <c r="J21" s="2380"/>
      <c r="K21" s="2380"/>
      <c r="L21" s="2380"/>
      <c r="M21" s="2380"/>
      <c r="N21" s="2380"/>
      <c r="O21" s="2380"/>
      <c r="P21" s="2381"/>
      <c r="Q21" s="1160"/>
      <c r="R21" s="1160"/>
      <c r="S21" s="116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1160"/>
      <c r="E22" s="1160"/>
      <c r="F22" s="1160"/>
      <c r="G22" s="2379"/>
      <c r="H22" s="2380"/>
      <c r="I22" s="2380"/>
      <c r="J22" s="2380"/>
      <c r="K22" s="2380"/>
      <c r="L22" s="2380"/>
      <c r="M22" s="2380"/>
      <c r="N22" s="2380"/>
      <c r="O22" s="2380"/>
      <c r="P22" s="2381"/>
      <c r="Q22" s="1160"/>
      <c r="R22" s="1160"/>
      <c r="S22" s="1160"/>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1160"/>
      <c r="E23" s="1160"/>
      <c r="F23" s="1160"/>
      <c r="G23" s="2379"/>
      <c r="H23" s="2380"/>
      <c r="I23" s="2380"/>
      <c r="J23" s="2380"/>
      <c r="K23" s="2380"/>
      <c r="L23" s="2380"/>
      <c r="M23" s="2380"/>
      <c r="N23" s="2380"/>
      <c r="O23" s="2380"/>
      <c r="P23" s="2381"/>
      <c r="Q23" s="1160"/>
      <c r="R23" s="1160"/>
      <c r="S23" s="1160"/>
      <c r="T23" s="963"/>
      <c r="U23" s="609"/>
      <c r="V23" s="926"/>
      <c r="W23" s="926"/>
      <c r="X23" s="926"/>
      <c r="Y23" s="926"/>
      <c r="Z23" s="926"/>
      <c r="AA23" s="926"/>
      <c r="AB23" s="926"/>
      <c r="AC23" s="926"/>
      <c r="AD23" s="926"/>
      <c r="AE23" s="926"/>
      <c r="AF23" s="926"/>
      <c r="AG23" s="926"/>
      <c r="AH23" s="926"/>
      <c r="AI23" s="926"/>
      <c r="AJ23" s="926"/>
    </row>
    <row r="24" spans="1:36" ht="15" customHeight="1" thickBot="1" x14ac:dyDescent="0.35">
      <c r="A24" s="926"/>
      <c r="B24" s="609"/>
      <c r="C24" s="962"/>
      <c r="D24" s="1160"/>
      <c r="E24" s="1160"/>
      <c r="F24" s="1160"/>
      <c r="G24" s="2382"/>
      <c r="H24" s="2383"/>
      <c r="I24" s="2383"/>
      <c r="J24" s="2383"/>
      <c r="K24" s="2383"/>
      <c r="L24" s="2383"/>
      <c r="M24" s="2383"/>
      <c r="N24" s="2383"/>
      <c r="O24" s="2383"/>
      <c r="P24" s="2384"/>
      <c r="Q24" s="1160"/>
      <c r="R24" s="1160"/>
      <c r="S24" s="1160"/>
      <c r="T24" s="963"/>
      <c r="U24" s="609"/>
      <c r="V24" s="926"/>
      <c r="W24" s="926"/>
      <c r="X24" s="926"/>
      <c r="Y24" s="926"/>
      <c r="Z24" s="926"/>
      <c r="AA24" s="926"/>
      <c r="AB24" s="926"/>
      <c r="AC24" s="926"/>
      <c r="AD24" s="926"/>
      <c r="AE24" s="926"/>
      <c r="AF24" s="926"/>
      <c r="AG24" s="926"/>
      <c r="AH24" s="926"/>
      <c r="AI24" s="926"/>
      <c r="AJ24" s="926"/>
    </row>
    <row r="25" spans="1:36" ht="15" customHeight="1" thickTop="1" thickBot="1" x14ac:dyDescent="0.35">
      <c r="A25" s="926"/>
      <c r="B25" s="609"/>
      <c r="C25" s="962"/>
      <c r="D25" s="1160"/>
      <c r="E25" s="1160"/>
      <c r="F25" s="1160"/>
      <c r="G25" s="1160"/>
      <c r="H25" s="1160"/>
      <c r="I25" s="1160"/>
      <c r="J25" s="1160"/>
      <c r="K25" s="1160"/>
      <c r="L25" s="1160"/>
      <c r="M25" s="1160"/>
      <c r="N25" s="1160"/>
      <c r="O25" s="1160"/>
      <c r="P25" s="1160"/>
      <c r="Q25" s="1160"/>
      <c r="R25" s="1160"/>
      <c r="S25" s="1160"/>
      <c r="T25" s="963"/>
      <c r="U25" s="609"/>
      <c r="V25" s="926"/>
      <c r="W25" s="926"/>
      <c r="X25" s="926"/>
      <c r="Y25" s="926"/>
      <c r="Z25" s="926"/>
      <c r="AA25" s="926"/>
      <c r="AB25" s="926"/>
      <c r="AC25" s="926"/>
      <c r="AD25" s="926"/>
      <c r="AE25" s="926"/>
      <c r="AF25" s="926"/>
      <c r="AG25" s="926"/>
      <c r="AH25" s="926"/>
      <c r="AI25" s="926"/>
      <c r="AJ25" s="926"/>
    </row>
    <row r="26" spans="1:36" ht="15" customHeight="1" x14ac:dyDescent="0.3">
      <c r="A26" s="926"/>
      <c r="B26" s="609"/>
      <c r="C26" s="962"/>
      <c r="D26" s="2639" t="str">
        <f>_xlfn.CONCAT("This is an example of the prices you would pay for various types of equipment with your current equipment multiplier setting of ", UDV.adj.routine_equip_cost, ". If these prices don't reflect listed prices in your area, please adjust the equipment cost multiplier.")</f>
        <v>This is an example of the prices you would pay for various types of equipment with your current equipment multiplier setting of 1. If these prices don't reflect listed prices in your area, please adjust the equipment cost multiplier.</v>
      </c>
      <c r="E26" s="2640"/>
      <c r="F26" s="2640"/>
      <c r="G26" s="2640"/>
      <c r="H26" s="2640"/>
      <c r="I26" s="2640"/>
      <c r="J26" s="2640"/>
      <c r="K26" s="2640"/>
      <c r="L26" s="2640"/>
      <c r="M26" s="2640"/>
      <c r="N26" s="2640"/>
      <c r="O26" s="2640"/>
      <c r="P26" s="2640"/>
      <c r="Q26" s="2640"/>
      <c r="R26" s="2640"/>
      <c r="S26" s="2641"/>
      <c r="T26" s="963"/>
      <c r="U26" s="609"/>
      <c r="V26" s="926"/>
      <c r="W26" s="926"/>
      <c r="X26" s="926"/>
      <c r="Y26" s="926"/>
      <c r="Z26" s="926"/>
      <c r="AA26" s="926"/>
      <c r="AB26" s="926"/>
      <c r="AC26" s="926"/>
      <c r="AD26" s="926"/>
      <c r="AE26" s="926"/>
      <c r="AF26" s="926"/>
      <c r="AG26" s="926"/>
      <c r="AH26" s="926"/>
      <c r="AI26" s="926"/>
      <c r="AJ26" s="926"/>
    </row>
    <row r="27" spans="1:36" ht="15" customHeight="1" x14ac:dyDescent="0.3">
      <c r="A27" s="926"/>
      <c r="B27" s="609"/>
      <c r="C27" s="962"/>
      <c r="D27" s="2642"/>
      <c r="E27" s="2402"/>
      <c r="F27" s="2402"/>
      <c r="G27" s="2402"/>
      <c r="H27" s="2402"/>
      <c r="I27" s="2402"/>
      <c r="J27" s="2402"/>
      <c r="K27" s="2402"/>
      <c r="L27" s="2402"/>
      <c r="M27" s="2402"/>
      <c r="N27" s="2402"/>
      <c r="O27" s="2402"/>
      <c r="P27" s="2402"/>
      <c r="Q27" s="2402"/>
      <c r="R27" s="2402"/>
      <c r="S27" s="2643"/>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2642"/>
      <c r="E28" s="2402"/>
      <c r="F28" s="2402"/>
      <c r="G28" s="2402"/>
      <c r="H28" s="2402"/>
      <c r="I28" s="2402"/>
      <c r="J28" s="2402"/>
      <c r="K28" s="2402"/>
      <c r="L28" s="2402"/>
      <c r="M28" s="2402"/>
      <c r="N28" s="2402"/>
      <c r="O28" s="2402"/>
      <c r="P28" s="2402"/>
      <c r="Q28" s="2402"/>
      <c r="R28" s="2402"/>
      <c r="S28" s="2643"/>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2642"/>
      <c r="E29" s="2402"/>
      <c r="F29" s="2402"/>
      <c r="G29" s="2402"/>
      <c r="H29" s="2402"/>
      <c r="I29" s="2402"/>
      <c r="J29" s="2402"/>
      <c r="K29" s="2402"/>
      <c r="L29" s="2402"/>
      <c r="M29" s="2402"/>
      <c r="N29" s="2402"/>
      <c r="O29" s="2402"/>
      <c r="P29" s="2402"/>
      <c r="Q29" s="2402"/>
      <c r="R29" s="2402"/>
      <c r="S29" s="2643"/>
      <c r="T29" s="963"/>
      <c r="U29" s="609"/>
      <c r="V29" s="926"/>
      <c r="W29" s="926"/>
      <c r="X29" s="926"/>
      <c r="Y29" s="926"/>
      <c r="Z29" s="926"/>
      <c r="AA29" s="926"/>
      <c r="AB29" s="926"/>
      <c r="AC29" s="926"/>
      <c r="AD29" s="926"/>
      <c r="AE29" s="926"/>
      <c r="AF29" s="926"/>
      <c r="AG29" s="926"/>
      <c r="AH29" s="926"/>
      <c r="AI29" s="926"/>
      <c r="AJ29" s="926"/>
    </row>
    <row r="30" spans="1:36" ht="15" customHeight="1" thickBot="1" x14ac:dyDescent="0.35">
      <c r="A30" s="926"/>
      <c r="B30" s="609"/>
      <c r="C30" s="962"/>
      <c r="D30" s="2644"/>
      <c r="E30" s="2645"/>
      <c r="F30" s="2645"/>
      <c r="G30" s="2645"/>
      <c r="H30" s="2645"/>
      <c r="I30" s="2645"/>
      <c r="J30" s="2645"/>
      <c r="K30" s="2645"/>
      <c r="L30" s="2645"/>
      <c r="M30" s="2645"/>
      <c r="N30" s="2645"/>
      <c r="O30" s="2645"/>
      <c r="P30" s="2645"/>
      <c r="Q30" s="2645"/>
      <c r="R30" s="2645"/>
      <c r="S30" s="2646"/>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2647" t="s">
        <v>342</v>
      </c>
      <c r="E31" s="2531"/>
      <c r="F31" s="2531"/>
      <c r="G31" s="2531"/>
      <c r="H31" s="2531"/>
      <c r="I31" s="2531"/>
      <c r="J31" s="2531"/>
      <c r="K31" s="2531"/>
      <c r="L31" s="2531"/>
      <c r="M31" s="2648" t="s">
        <v>343</v>
      </c>
      <c r="N31" s="2649"/>
      <c r="O31" s="2650"/>
      <c r="P31" s="2648" t="s">
        <v>344</v>
      </c>
      <c r="Q31" s="2649"/>
      <c r="R31" s="2649"/>
      <c r="S31" s="2651"/>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2500" t="s">
        <v>345</v>
      </c>
      <c r="E32" s="2410"/>
      <c r="F32" s="2410"/>
      <c r="G32" s="2410"/>
      <c r="H32" s="2410"/>
      <c r="I32" s="2410"/>
      <c r="J32" s="2410"/>
      <c r="K32" s="2410"/>
      <c r="L32" s="2410"/>
      <c r="M32" s="2652">
        <f>BP123</f>
        <v>111300</v>
      </c>
      <c r="N32" s="2653"/>
      <c r="O32" s="2654"/>
      <c r="P32" s="2652">
        <f>BE123</f>
        <v>111300</v>
      </c>
      <c r="Q32" s="2653"/>
      <c r="R32" s="2653"/>
      <c r="S32" s="2661"/>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2500"/>
      <c r="E33" s="2410"/>
      <c r="F33" s="2410"/>
      <c r="G33" s="2410"/>
      <c r="H33" s="2410"/>
      <c r="I33" s="2410"/>
      <c r="J33" s="2410"/>
      <c r="K33" s="2410"/>
      <c r="L33" s="2410"/>
      <c r="M33" s="2655"/>
      <c r="N33" s="2656"/>
      <c r="O33" s="2657"/>
      <c r="P33" s="2655"/>
      <c r="Q33" s="2656"/>
      <c r="R33" s="2656"/>
      <c r="S33" s="2662"/>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2500"/>
      <c r="E34" s="2410"/>
      <c r="F34" s="2410"/>
      <c r="G34" s="2410"/>
      <c r="H34" s="2410"/>
      <c r="I34" s="2410"/>
      <c r="J34" s="2410"/>
      <c r="K34" s="2410"/>
      <c r="L34" s="2410"/>
      <c r="M34" s="2655"/>
      <c r="N34" s="2656"/>
      <c r="O34" s="2657"/>
      <c r="P34" s="2655"/>
      <c r="Q34" s="2656"/>
      <c r="R34" s="2656"/>
      <c r="S34" s="2662"/>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2500"/>
      <c r="E35" s="2410"/>
      <c r="F35" s="2410"/>
      <c r="G35" s="2410"/>
      <c r="H35" s="2410"/>
      <c r="I35" s="2410"/>
      <c r="J35" s="2410"/>
      <c r="K35" s="2410"/>
      <c r="L35" s="2410"/>
      <c r="M35" s="2658"/>
      <c r="N35" s="2659"/>
      <c r="O35" s="2660"/>
      <c r="P35" s="2658"/>
      <c r="Q35" s="2659"/>
      <c r="R35" s="2659"/>
      <c r="S35" s="2663"/>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2500" t="s">
        <v>346</v>
      </c>
      <c r="E36" s="2410"/>
      <c r="F36" s="2410"/>
      <c r="G36" s="2410"/>
      <c r="H36" s="2410"/>
      <c r="I36" s="2410"/>
      <c r="J36" s="2410"/>
      <c r="K36" s="2410"/>
      <c r="L36" s="2410"/>
      <c r="M36" s="2652">
        <f>BP129</f>
        <v>637400</v>
      </c>
      <c r="N36" s="2653"/>
      <c r="O36" s="2654"/>
      <c r="P36" s="2652">
        <f>BE129</f>
        <v>637400</v>
      </c>
      <c r="Q36" s="2653"/>
      <c r="R36" s="2653"/>
      <c r="S36" s="2661"/>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2500"/>
      <c r="E37" s="2410"/>
      <c r="F37" s="2410"/>
      <c r="G37" s="2410"/>
      <c r="H37" s="2410"/>
      <c r="I37" s="2410"/>
      <c r="J37" s="2410"/>
      <c r="K37" s="2410"/>
      <c r="L37" s="2410"/>
      <c r="M37" s="2655"/>
      <c r="N37" s="2656"/>
      <c r="O37" s="2657"/>
      <c r="P37" s="2655"/>
      <c r="Q37" s="2656"/>
      <c r="R37" s="2656"/>
      <c r="S37" s="2662"/>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2500"/>
      <c r="E38" s="2410"/>
      <c r="F38" s="2410"/>
      <c r="G38" s="2410"/>
      <c r="H38" s="2410"/>
      <c r="I38" s="2410"/>
      <c r="J38" s="2410"/>
      <c r="K38" s="2410"/>
      <c r="L38" s="2410"/>
      <c r="M38" s="2655"/>
      <c r="N38" s="2656"/>
      <c r="O38" s="2657"/>
      <c r="P38" s="2655"/>
      <c r="Q38" s="2656"/>
      <c r="R38" s="2656"/>
      <c r="S38" s="2662"/>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2500"/>
      <c r="E39" s="2410"/>
      <c r="F39" s="2410"/>
      <c r="G39" s="2410"/>
      <c r="H39" s="2410"/>
      <c r="I39" s="2410"/>
      <c r="J39" s="2410"/>
      <c r="K39" s="2410"/>
      <c r="L39" s="2410"/>
      <c r="M39" s="2658"/>
      <c r="N39" s="2659"/>
      <c r="O39" s="2660"/>
      <c r="P39" s="2658"/>
      <c r="Q39" s="2659"/>
      <c r="R39" s="2659"/>
      <c r="S39" s="2663"/>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2500" t="s">
        <v>347</v>
      </c>
      <c r="E40" s="2410"/>
      <c r="F40" s="2410"/>
      <c r="G40" s="2410"/>
      <c r="H40" s="2410"/>
      <c r="I40" s="2410"/>
      <c r="J40" s="2410"/>
      <c r="K40" s="2410"/>
      <c r="L40" s="2410"/>
      <c r="M40" s="2652">
        <f>BP132</f>
        <v>136600</v>
      </c>
      <c r="N40" s="2653"/>
      <c r="O40" s="2654"/>
      <c r="P40" s="2652">
        <f>BE132</f>
        <v>136600</v>
      </c>
      <c r="Q40" s="2653"/>
      <c r="R40" s="2653"/>
      <c r="S40" s="2661"/>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2500"/>
      <c r="E41" s="2410"/>
      <c r="F41" s="2410"/>
      <c r="G41" s="2410"/>
      <c r="H41" s="2410"/>
      <c r="I41" s="2410"/>
      <c r="J41" s="2410"/>
      <c r="K41" s="2410"/>
      <c r="L41" s="2410"/>
      <c r="M41" s="2655"/>
      <c r="N41" s="2656"/>
      <c r="O41" s="2657"/>
      <c r="P41" s="2655"/>
      <c r="Q41" s="2656"/>
      <c r="R41" s="2656"/>
      <c r="S41" s="2662"/>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2500"/>
      <c r="E42" s="2410"/>
      <c r="F42" s="2410"/>
      <c r="G42" s="2410"/>
      <c r="H42" s="2410"/>
      <c r="I42" s="2410"/>
      <c r="J42" s="2410"/>
      <c r="K42" s="2410"/>
      <c r="L42" s="2410"/>
      <c r="M42" s="2655"/>
      <c r="N42" s="2656"/>
      <c r="O42" s="2657"/>
      <c r="P42" s="2655"/>
      <c r="Q42" s="2656"/>
      <c r="R42" s="2656"/>
      <c r="S42" s="2662"/>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2500"/>
      <c r="E43" s="2410"/>
      <c r="F43" s="2410"/>
      <c r="G43" s="2410"/>
      <c r="H43" s="2410"/>
      <c r="I43" s="2410"/>
      <c r="J43" s="2410"/>
      <c r="K43" s="2410"/>
      <c r="L43" s="2410"/>
      <c r="M43" s="2658"/>
      <c r="N43" s="2659"/>
      <c r="O43" s="2660"/>
      <c r="P43" s="2658"/>
      <c r="Q43" s="2659"/>
      <c r="R43" s="2659"/>
      <c r="S43" s="2663"/>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2500" t="s">
        <v>348</v>
      </c>
      <c r="E44" s="2410"/>
      <c r="F44" s="2410"/>
      <c r="G44" s="2410"/>
      <c r="H44" s="2410"/>
      <c r="I44" s="2410"/>
      <c r="J44" s="2410"/>
      <c r="K44" s="2410"/>
      <c r="L44" s="2410"/>
      <c r="M44" s="2652">
        <f>BP130</f>
        <v>59700</v>
      </c>
      <c r="N44" s="2653"/>
      <c r="O44" s="2654"/>
      <c r="P44" s="2652">
        <f>BE130</f>
        <v>59700</v>
      </c>
      <c r="Q44" s="2653"/>
      <c r="R44" s="2653"/>
      <c r="S44" s="2661"/>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2500"/>
      <c r="E45" s="2410"/>
      <c r="F45" s="2410"/>
      <c r="G45" s="2410"/>
      <c r="H45" s="2410"/>
      <c r="I45" s="2410"/>
      <c r="J45" s="2410"/>
      <c r="K45" s="2410"/>
      <c r="L45" s="2410"/>
      <c r="M45" s="2655"/>
      <c r="N45" s="2656"/>
      <c r="O45" s="2657"/>
      <c r="P45" s="2655"/>
      <c r="Q45" s="2656"/>
      <c r="R45" s="2656"/>
      <c r="S45" s="2662"/>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2500"/>
      <c r="E46" s="2410"/>
      <c r="F46" s="2410"/>
      <c r="G46" s="2410"/>
      <c r="H46" s="2410"/>
      <c r="I46" s="2410"/>
      <c r="J46" s="2410"/>
      <c r="K46" s="2410"/>
      <c r="L46" s="2410"/>
      <c r="M46" s="2655"/>
      <c r="N46" s="2656"/>
      <c r="O46" s="2657"/>
      <c r="P46" s="2655"/>
      <c r="Q46" s="2656"/>
      <c r="R46" s="2656"/>
      <c r="S46" s="2662"/>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2500"/>
      <c r="E47" s="2410"/>
      <c r="F47" s="2410"/>
      <c r="G47" s="2410"/>
      <c r="H47" s="2410"/>
      <c r="I47" s="2410"/>
      <c r="J47" s="2410"/>
      <c r="K47" s="2410"/>
      <c r="L47" s="2410"/>
      <c r="M47" s="2658"/>
      <c r="N47" s="2659"/>
      <c r="O47" s="2660"/>
      <c r="P47" s="2658"/>
      <c r="Q47" s="2659"/>
      <c r="R47" s="2659"/>
      <c r="S47" s="2663"/>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2500" t="s">
        <v>349</v>
      </c>
      <c r="E48" s="2410"/>
      <c r="F48" s="2410"/>
      <c r="G48" s="2410"/>
      <c r="H48" s="2410"/>
      <c r="I48" s="2410"/>
      <c r="J48" s="2410"/>
      <c r="K48" s="2410"/>
      <c r="L48" s="2410"/>
      <c r="M48" s="2652">
        <f>BP131</f>
        <v>58700</v>
      </c>
      <c r="N48" s="2653"/>
      <c r="O48" s="2654"/>
      <c r="P48" s="2652">
        <f>BE131</f>
        <v>58700</v>
      </c>
      <c r="Q48" s="2653"/>
      <c r="R48" s="2653"/>
      <c r="S48" s="2661"/>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2500"/>
      <c r="E49" s="2410"/>
      <c r="F49" s="2410"/>
      <c r="G49" s="2410"/>
      <c r="H49" s="2410"/>
      <c r="I49" s="2410"/>
      <c r="J49" s="2410"/>
      <c r="K49" s="2410"/>
      <c r="L49" s="2410"/>
      <c r="M49" s="2655"/>
      <c r="N49" s="2656"/>
      <c r="O49" s="2657"/>
      <c r="P49" s="2655"/>
      <c r="Q49" s="2656"/>
      <c r="R49" s="2656"/>
      <c r="S49" s="2662"/>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2500"/>
      <c r="E50" s="2410"/>
      <c r="F50" s="2410"/>
      <c r="G50" s="2410"/>
      <c r="H50" s="2410"/>
      <c r="I50" s="2410"/>
      <c r="J50" s="2410"/>
      <c r="K50" s="2410"/>
      <c r="L50" s="2410"/>
      <c r="M50" s="2655"/>
      <c r="N50" s="2656"/>
      <c r="O50" s="2657"/>
      <c r="P50" s="2655"/>
      <c r="Q50" s="2656"/>
      <c r="R50" s="2656"/>
      <c r="S50" s="2662"/>
      <c r="T50" s="963"/>
      <c r="U50" s="609"/>
      <c r="V50" s="926"/>
      <c r="W50" s="926"/>
      <c r="X50" s="926"/>
      <c r="Y50" s="926"/>
      <c r="Z50" s="926"/>
      <c r="AA50" s="926"/>
      <c r="AB50" s="926"/>
      <c r="AC50" s="926"/>
      <c r="AD50" s="926"/>
      <c r="AE50" s="926"/>
      <c r="AF50" s="926"/>
      <c r="AG50" s="926"/>
      <c r="AH50" s="926"/>
      <c r="AI50" s="926"/>
      <c r="AJ50" s="926"/>
    </row>
    <row r="51" spans="1:36" ht="15" customHeight="1" thickBot="1" x14ac:dyDescent="0.35">
      <c r="A51" s="926"/>
      <c r="B51" s="609"/>
      <c r="C51" s="962"/>
      <c r="D51" s="2501"/>
      <c r="E51" s="2502"/>
      <c r="F51" s="2502"/>
      <c r="G51" s="2502"/>
      <c r="H51" s="2502"/>
      <c r="I51" s="2502"/>
      <c r="J51" s="2502"/>
      <c r="K51" s="2502"/>
      <c r="L51" s="2502"/>
      <c r="M51" s="2672"/>
      <c r="N51" s="2673"/>
      <c r="O51" s="2674"/>
      <c r="P51" s="2672"/>
      <c r="Q51" s="2673"/>
      <c r="R51" s="2673"/>
      <c r="S51" s="2675"/>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1968"/>
      <c r="E52" s="1968"/>
      <c r="F52" s="1968"/>
      <c r="G52" s="1968"/>
      <c r="H52" s="1744"/>
      <c r="I52" s="1744"/>
      <c r="J52" s="1744"/>
      <c r="K52" s="1744"/>
      <c r="L52" s="1969"/>
      <c r="M52" s="1969"/>
      <c r="N52" s="1744"/>
      <c r="O52" s="1744"/>
      <c r="P52" s="1970"/>
      <c r="Q52" s="1970"/>
      <c r="R52" s="1970"/>
      <c r="S52" s="1970"/>
      <c r="T52" s="963"/>
      <c r="U52" s="609"/>
      <c r="V52" s="926"/>
      <c r="W52" s="926"/>
      <c r="X52" s="926"/>
      <c r="Y52" s="926"/>
      <c r="Z52" s="926"/>
      <c r="AA52" s="926"/>
      <c r="AB52" s="926"/>
      <c r="AC52" s="926"/>
      <c r="AD52" s="926"/>
      <c r="AE52" s="926"/>
      <c r="AF52" s="926"/>
      <c r="AG52" s="926"/>
      <c r="AH52" s="926"/>
      <c r="AI52" s="926"/>
      <c r="AJ52" s="926"/>
    </row>
    <row r="53" spans="1:36" ht="15" customHeight="1" thickBot="1" x14ac:dyDescent="0.35">
      <c r="A53" s="926"/>
      <c r="B53" s="609"/>
      <c r="C53" s="962"/>
      <c r="D53" s="1968"/>
      <c r="E53" s="1968"/>
      <c r="F53" s="1968"/>
      <c r="G53" s="1968"/>
      <c r="H53" s="1744"/>
      <c r="I53" s="1744"/>
      <c r="J53" s="1744"/>
      <c r="K53" s="1744"/>
      <c r="L53" s="1969"/>
      <c r="M53" s="1969"/>
      <c r="N53" s="1744"/>
      <c r="O53" s="1744"/>
      <c r="P53" s="1970"/>
      <c r="Q53" s="1970"/>
      <c r="R53" s="1970"/>
      <c r="S53" s="1970"/>
      <c r="T53" s="963"/>
      <c r="U53" s="609"/>
      <c r="V53" s="926"/>
      <c r="W53" s="926"/>
      <c r="X53" s="926"/>
      <c r="Y53" s="926"/>
      <c r="Z53" s="926"/>
      <c r="AA53" s="926"/>
      <c r="AB53" s="926"/>
      <c r="AC53" s="926"/>
      <c r="AD53" s="926"/>
      <c r="AE53" s="926"/>
      <c r="AF53" s="926"/>
      <c r="AG53" s="926"/>
      <c r="AH53" s="926"/>
      <c r="AI53" s="926"/>
      <c r="AJ53" s="926"/>
    </row>
    <row r="54" spans="1:36" ht="15" customHeight="1" thickTop="1" x14ac:dyDescent="0.3">
      <c r="A54" s="926"/>
      <c r="B54" s="609"/>
      <c r="C54" s="962"/>
      <c r="D54" s="1968"/>
      <c r="E54" s="40"/>
      <c r="F54" s="40"/>
      <c r="G54" s="2376" t="s">
        <v>350</v>
      </c>
      <c r="H54" s="2377"/>
      <c r="I54" s="2377"/>
      <c r="J54" s="2377"/>
      <c r="K54" s="2377"/>
      <c r="L54" s="2377"/>
      <c r="M54" s="2377"/>
      <c r="N54" s="2377"/>
      <c r="O54" s="2377"/>
      <c r="P54" s="2378"/>
      <c r="Q54" s="40"/>
      <c r="R54" s="40"/>
      <c r="S54" s="197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1968"/>
      <c r="E55" s="40"/>
      <c r="F55" s="40"/>
      <c r="G55" s="2379"/>
      <c r="H55" s="2380"/>
      <c r="I55" s="2380"/>
      <c r="J55" s="2380"/>
      <c r="K55" s="2380"/>
      <c r="L55" s="2380"/>
      <c r="M55" s="2380"/>
      <c r="N55" s="2380"/>
      <c r="O55" s="2380"/>
      <c r="P55" s="2381"/>
      <c r="Q55" s="40"/>
      <c r="R55" s="40"/>
      <c r="S55" s="197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1968"/>
      <c r="E56" s="40"/>
      <c r="F56" s="40"/>
      <c r="G56" s="2379"/>
      <c r="H56" s="2380"/>
      <c r="I56" s="2380"/>
      <c r="J56" s="2380"/>
      <c r="K56" s="2380"/>
      <c r="L56" s="2380"/>
      <c r="M56" s="2380"/>
      <c r="N56" s="2380"/>
      <c r="O56" s="2380"/>
      <c r="P56" s="2381"/>
      <c r="Q56" s="40"/>
      <c r="R56" s="40"/>
      <c r="S56" s="197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1968"/>
      <c r="E57" s="40"/>
      <c r="F57" s="40"/>
      <c r="G57" s="2379"/>
      <c r="H57" s="2380"/>
      <c r="I57" s="2380"/>
      <c r="J57" s="2380"/>
      <c r="K57" s="2380"/>
      <c r="L57" s="2380"/>
      <c r="M57" s="2380"/>
      <c r="N57" s="2380"/>
      <c r="O57" s="2380"/>
      <c r="P57" s="2381"/>
      <c r="Q57" s="40"/>
      <c r="R57" s="40"/>
      <c r="S57" s="1970"/>
      <c r="T57" s="963"/>
      <c r="U57" s="609"/>
      <c r="V57" s="926"/>
      <c r="W57" s="926"/>
      <c r="X57" s="926"/>
      <c r="Y57" s="926"/>
      <c r="Z57" s="926"/>
      <c r="AA57" s="926"/>
      <c r="AB57" s="926"/>
      <c r="AC57" s="926"/>
      <c r="AD57" s="926"/>
      <c r="AE57" s="926"/>
      <c r="AF57" s="926"/>
      <c r="AG57" s="926"/>
      <c r="AH57" s="926"/>
      <c r="AI57" s="926"/>
      <c r="AJ57" s="926"/>
    </row>
    <row r="58" spans="1:36" ht="15" customHeight="1" thickBot="1" x14ac:dyDescent="0.35">
      <c r="A58" s="926"/>
      <c r="B58" s="609"/>
      <c r="C58" s="962"/>
      <c r="D58" s="1968"/>
      <c r="E58" s="40"/>
      <c r="F58" s="40"/>
      <c r="G58" s="2382"/>
      <c r="H58" s="2383"/>
      <c r="I58" s="2383"/>
      <c r="J58" s="2383"/>
      <c r="K58" s="2383"/>
      <c r="L58" s="2383"/>
      <c r="M58" s="2383"/>
      <c r="N58" s="2383"/>
      <c r="O58" s="2383"/>
      <c r="P58" s="2384"/>
      <c r="Q58" s="40"/>
      <c r="R58" s="40"/>
      <c r="S58" s="1970"/>
      <c r="T58" s="963"/>
      <c r="U58" s="609"/>
      <c r="V58" s="926"/>
      <c r="W58" s="926"/>
      <c r="X58" s="926"/>
      <c r="Y58" s="926"/>
      <c r="Z58" s="926"/>
      <c r="AA58" s="926"/>
      <c r="AB58" s="926"/>
      <c r="AC58" s="926"/>
      <c r="AD58" s="926"/>
      <c r="AE58" s="926"/>
      <c r="AF58" s="926"/>
      <c r="AG58" s="926"/>
      <c r="AH58" s="926"/>
      <c r="AI58" s="926"/>
      <c r="AJ58" s="926"/>
    </row>
    <row r="59" spans="1:36" ht="15" customHeight="1" thickTop="1" thickBot="1" x14ac:dyDescent="0.35">
      <c r="A59" s="926"/>
      <c r="B59" s="609"/>
      <c r="C59" s="962"/>
      <c r="D59" s="1968"/>
      <c r="E59" s="40"/>
      <c r="F59" s="40"/>
      <c r="G59" s="40"/>
      <c r="H59" s="40"/>
      <c r="I59" s="40"/>
      <c r="J59" s="40"/>
      <c r="K59" s="40"/>
      <c r="L59" s="40"/>
      <c r="M59" s="40"/>
      <c r="N59" s="40"/>
      <c r="O59" s="40"/>
      <c r="P59" s="40"/>
      <c r="Q59" s="40"/>
      <c r="R59" s="40"/>
      <c r="S59" s="197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1968"/>
      <c r="E60" s="2664" t="s">
        <v>351</v>
      </c>
      <c r="F60" s="2665"/>
      <c r="G60" s="2665"/>
      <c r="H60" s="2665"/>
      <c r="I60" s="2665"/>
      <c r="J60" s="2665"/>
      <c r="K60" s="2665"/>
      <c r="L60" s="2665"/>
      <c r="M60" s="2665"/>
      <c r="N60" s="2665"/>
      <c r="O60" s="2665"/>
      <c r="P60" s="2665"/>
      <c r="Q60" s="2665"/>
      <c r="R60" s="2666"/>
      <c r="S60" s="197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1968"/>
      <c r="E61" s="2667"/>
      <c r="F61" s="2436"/>
      <c r="G61" s="2436"/>
      <c r="H61" s="2436"/>
      <c r="I61" s="2436"/>
      <c r="J61" s="2436"/>
      <c r="K61" s="2436"/>
      <c r="L61" s="2436"/>
      <c r="M61" s="2436"/>
      <c r="N61" s="2436"/>
      <c r="O61" s="2436"/>
      <c r="P61" s="2436"/>
      <c r="Q61" s="2436"/>
      <c r="R61" s="2668"/>
      <c r="S61" s="1970"/>
      <c r="T61" s="963"/>
      <c r="U61" s="609"/>
      <c r="V61" s="926"/>
      <c r="W61" s="926"/>
      <c r="X61" s="926"/>
      <c r="Y61" s="926"/>
      <c r="Z61" s="926"/>
      <c r="AA61" s="926"/>
      <c r="AB61" s="926"/>
      <c r="AC61" s="926"/>
      <c r="AD61" s="926"/>
      <c r="AE61" s="926"/>
      <c r="AF61" s="926"/>
      <c r="AG61" s="926"/>
      <c r="AH61" s="926"/>
      <c r="AI61" s="926"/>
      <c r="AJ61" s="926"/>
    </row>
    <row r="62" spans="1:36" ht="15" customHeight="1" x14ac:dyDescent="0.3">
      <c r="A62" s="926"/>
      <c r="B62" s="609"/>
      <c r="C62" s="962"/>
      <c r="D62" s="1968"/>
      <c r="E62" s="2667"/>
      <c r="F62" s="2436"/>
      <c r="G62" s="2436"/>
      <c r="H62" s="2436"/>
      <c r="I62" s="2436"/>
      <c r="J62" s="2436"/>
      <c r="K62" s="2436"/>
      <c r="L62" s="2436"/>
      <c r="M62" s="2436"/>
      <c r="N62" s="2436"/>
      <c r="O62" s="2436"/>
      <c r="P62" s="2436"/>
      <c r="Q62" s="2436"/>
      <c r="R62" s="2668"/>
      <c r="S62" s="1970"/>
      <c r="T62" s="963"/>
      <c r="U62" s="609"/>
      <c r="V62" s="926"/>
      <c r="W62" s="926"/>
      <c r="X62" s="926"/>
      <c r="Y62" s="926"/>
      <c r="Z62" s="926"/>
      <c r="AA62" s="926"/>
      <c r="AB62" s="926"/>
      <c r="AC62" s="926"/>
      <c r="AD62" s="926"/>
      <c r="AE62" s="926"/>
      <c r="AF62" s="926"/>
      <c r="AG62" s="926"/>
      <c r="AH62" s="926"/>
      <c r="AI62" s="926"/>
      <c r="AJ62" s="926"/>
    </row>
    <row r="63" spans="1:36" ht="15" customHeight="1" thickBot="1" x14ac:dyDescent="0.35">
      <c r="A63" s="926"/>
      <c r="B63" s="609"/>
      <c r="C63" s="962"/>
      <c r="D63" s="1968"/>
      <c r="E63" s="2669"/>
      <c r="F63" s="2670"/>
      <c r="G63" s="2670"/>
      <c r="H63" s="2670"/>
      <c r="I63" s="2670"/>
      <c r="J63" s="2670"/>
      <c r="K63" s="2670"/>
      <c r="L63" s="2670"/>
      <c r="M63" s="2670"/>
      <c r="N63" s="2670"/>
      <c r="O63" s="2670"/>
      <c r="P63" s="2670"/>
      <c r="Q63" s="2670"/>
      <c r="R63" s="2671"/>
      <c r="S63" s="1970"/>
      <c r="T63" s="963"/>
      <c r="U63" s="609"/>
      <c r="V63" s="926"/>
      <c r="W63" s="926"/>
      <c r="X63" s="926"/>
      <c r="Y63" s="926"/>
      <c r="Z63" s="926"/>
      <c r="AA63" s="926"/>
      <c r="AB63" s="926"/>
      <c r="AC63" s="926"/>
      <c r="AD63" s="926"/>
      <c r="AE63" s="926"/>
      <c r="AF63" s="926"/>
      <c r="AG63" s="926"/>
      <c r="AH63" s="926"/>
      <c r="AI63" s="926"/>
      <c r="AJ63" s="926"/>
    </row>
    <row r="64" spans="1:36" ht="15" customHeight="1" x14ac:dyDescent="0.3">
      <c r="A64" s="926"/>
      <c r="B64" s="609"/>
      <c r="C64" s="962"/>
      <c r="D64" s="1968"/>
      <c r="E64" s="2571" t="s">
        <v>352</v>
      </c>
      <c r="F64" s="2572"/>
      <c r="G64" s="2572" t="s">
        <v>38</v>
      </c>
      <c r="H64" s="2572"/>
      <c r="I64" s="2572" t="s">
        <v>39</v>
      </c>
      <c r="J64" s="2572"/>
      <c r="K64" s="2572" t="s">
        <v>40</v>
      </c>
      <c r="L64" s="2572"/>
      <c r="M64" s="2572" t="s">
        <v>41</v>
      </c>
      <c r="N64" s="2572"/>
      <c r="O64" s="2572" t="s">
        <v>42</v>
      </c>
      <c r="P64" s="2572"/>
      <c r="Q64" s="2572" t="s">
        <v>43</v>
      </c>
      <c r="R64" s="2573"/>
      <c r="S64" s="1970"/>
      <c r="T64" s="963"/>
      <c r="U64" s="609"/>
      <c r="V64" s="926"/>
      <c r="W64" s="926"/>
      <c r="X64" s="926"/>
      <c r="Y64" s="926"/>
      <c r="Z64" s="926"/>
      <c r="AA64" s="926"/>
      <c r="AB64" s="926"/>
      <c r="AC64" s="926"/>
      <c r="AD64" s="926"/>
      <c r="AE64" s="926"/>
      <c r="AF64" s="926"/>
      <c r="AG64" s="926"/>
      <c r="AH64" s="926"/>
      <c r="AI64" s="926"/>
      <c r="AJ64" s="926"/>
    </row>
    <row r="65" spans="1:36" ht="15" customHeight="1" x14ac:dyDescent="0.3">
      <c r="A65" s="926"/>
      <c r="B65" s="609"/>
      <c r="C65" s="962"/>
      <c r="D65" s="1968"/>
      <c r="E65" s="2500" t="s">
        <v>353</v>
      </c>
      <c r="F65" s="2410"/>
      <c r="G65" s="2398" t="str">
        <f>BG122</f>
        <v>multiplier</v>
      </c>
      <c r="H65" s="2398"/>
      <c r="I65" s="2542">
        <f>BE122</f>
        <v>1</v>
      </c>
      <c r="J65" s="2542"/>
      <c r="K65" s="2543"/>
      <c r="L65" s="2544"/>
      <c r="M65" s="2542">
        <f>BI122</f>
        <v>0.1</v>
      </c>
      <c r="N65" s="2542"/>
      <c r="O65" s="2542">
        <f>BJ122</f>
        <v>3</v>
      </c>
      <c r="P65" s="2542"/>
      <c r="Q65" s="2409" t="str">
        <f>BN121</f>
        <v>Using default</v>
      </c>
      <c r="R65" s="2633"/>
      <c r="S65" s="1970"/>
      <c r="T65" s="963"/>
      <c r="U65" s="609"/>
      <c r="V65" s="926"/>
      <c r="W65" s="926"/>
      <c r="X65" s="926"/>
      <c r="Y65" s="926"/>
      <c r="Z65" s="926"/>
      <c r="AA65" s="926"/>
      <c r="AB65" s="926"/>
      <c r="AC65" s="926"/>
      <c r="AD65" s="926"/>
      <c r="AE65" s="926"/>
      <c r="AF65" s="926"/>
      <c r="AG65" s="926"/>
      <c r="AH65" s="926"/>
      <c r="AI65" s="926"/>
      <c r="AJ65" s="926"/>
    </row>
    <row r="66" spans="1:36" ht="15" customHeight="1" x14ac:dyDescent="0.3">
      <c r="A66" s="926"/>
      <c r="B66" s="609"/>
      <c r="C66" s="962"/>
      <c r="D66" s="1968"/>
      <c r="E66" s="2500"/>
      <c r="F66" s="2410"/>
      <c r="G66" s="2398"/>
      <c r="H66" s="2398"/>
      <c r="I66" s="2542"/>
      <c r="J66" s="2542"/>
      <c r="K66" s="2545"/>
      <c r="L66" s="2546"/>
      <c r="M66" s="2542"/>
      <c r="N66" s="2542"/>
      <c r="O66" s="2542"/>
      <c r="P66" s="2542"/>
      <c r="Q66" s="2409"/>
      <c r="R66" s="2633"/>
      <c r="S66" s="1970"/>
      <c r="T66" s="963"/>
      <c r="U66" s="609"/>
      <c r="V66" s="926"/>
      <c r="W66" s="926"/>
      <c r="X66" s="926"/>
      <c r="Y66" s="926"/>
      <c r="Z66" s="926"/>
      <c r="AA66" s="926"/>
      <c r="AB66" s="926"/>
      <c r="AC66" s="926"/>
      <c r="AD66" s="926"/>
      <c r="AE66" s="926"/>
      <c r="AF66" s="926"/>
      <c r="AG66" s="926"/>
      <c r="AH66" s="926"/>
      <c r="AI66" s="926"/>
      <c r="AJ66" s="926"/>
    </row>
    <row r="67" spans="1:36" ht="15" customHeight="1" x14ac:dyDescent="0.3">
      <c r="A67" s="926"/>
      <c r="B67" s="609"/>
      <c r="C67" s="962"/>
      <c r="D67" s="1968"/>
      <c r="E67" s="2500"/>
      <c r="F67" s="2410"/>
      <c r="G67" s="2398"/>
      <c r="H67" s="2398"/>
      <c r="I67" s="2542"/>
      <c r="J67" s="2542"/>
      <c r="K67" s="2547"/>
      <c r="L67" s="2548"/>
      <c r="M67" s="2542"/>
      <c r="N67" s="2542"/>
      <c r="O67" s="2542"/>
      <c r="P67" s="2542"/>
      <c r="Q67" s="2409"/>
      <c r="R67" s="2633"/>
      <c r="S67" s="1970"/>
      <c r="T67" s="963"/>
      <c r="U67" s="609"/>
      <c r="V67" s="926"/>
      <c r="W67" s="926"/>
      <c r="X67" s="926"/>
      <c r="Y67" s="926"/>
      <c r="Z67" s="926"/>
      <c r="AA67" s="926"/>
      <c r="AB67" s="926"/>
      <c r="AC67" s="926"/>
      <c r="AD67" s="926"/>
      <c r="AE67" s="926"/>
      <c r="AF67" s="926"/>
      <c r="AG67" s="926"/>
      <c r="AH67" s="926"/>
      <c r="AI67" s="926"/>
      <c r="AJ67" s="926"/>
    </row>
    <row r="68" spans="1:36" ht="15" customHeight="1" x14ac:dyDescent="0.3">
      <c r="A68" s="926"/>
      <c r="B68" s="609"/>
      <c r="C68" s="962"/>
      <c r="D68" s="1968"/>
      <c r="E68" s="2500" t="s">
        <v>354</v>
      </c>
      <c r="F68" s="2410"/>
      <c r="G68" s="2398" t="str">
        <f>BG121</f>
        <v>multiplier</v>
      </c>
      <c r="H68" s="2398"/>
      <c r="I68" s="2542">
        <f>BE121</f>
        <v>1</v>
      </c>
      <c r="J68" s="2542"/>
      <c r="K68" s="2543"/>
      <c r="L68" s="2544"/>
      <c r="M68" s="2542">
        <f>BI121</f>
        <v>0.1</v>
      </c>
      <c r="N68" s="2542"/>
      <c r="O68" s="2542">
        <f>BJ121</f>
        <v>3</v>
      </c>
      <c r="P68" s="2542"/>
      <c r="Q68" s="2409" t="str">
        <f>BN122</f>
        <v>Using default</v>
      </c>
      <c r="R68" s="2633"/>
      <c r="S68" s="1970"/>
      <c r="T68" s="963"/>
      <c r="U68" s="609"/>
      <c r="V68" s="926"/>
      <c r="W68" s="926"/>
      <c r="X68" s="926"/>
      <c r="Y68" s="926"/>
      <c r="Z68" s="926"/>
      <c r="AA68" s="926"/>
      <c r="AB68" s="926"/>
      <c r="AC68" s="926"/>
      <c r="AD68" s="926"/>
      <c r="AE68" s="926"/>
      <c r="AF68" s="926"/>
      <c r="AG68" s="926"/>
      <c r="AH68" s="926"/>
      <c r="AI68" s="926"/>
      <c r="AJ68" s="926"/>
    </row>
    <row r="69" spans="1:36" ht="15" customHeight="1" x14ac:dyDescent="0.3">
      <c r="A69" s="926"/>
      <c r="B69" s="609"/>
      <c r="C69" s="962"/>
      <c r="D69" s="1968"/>
      <c r="E69" s="2500"/>
      <c r="F69" s="2410"/>
      <c r="G69" s="2398"/>
      <c r="H69" s="2398"/>
      <c r="I69" s="2542"/>
      <c r="J69" s="2542"/>
      <c r="K69" s="2545"/>
      <c r="L69" s="2546"/>
      <c r="M69" s="2542"/>
      <c r="N69" s="2542"/>
      <c r="O69" s="2542"/>
      <c r="P69" s="2542"/>
      <c r="Q69" s="2409"/>
      <c r="R69" s="2633"/>
      <c r="S69" s="1970"/>
      <c r="T69" s="963"/>
      <c r="U69" s="609"/>
      <c r="V69" s="926"/>
      <c r="W69" s="926"/>
      <c r="X69" s="926"/>
      <c r="Y69" s="926"/>
      <c r="Z69" s="926"/>
      <c r="AA69" s="926"/>
      <c r="AB69" s="926"/>
      <c r="AC69" s="926"/>
      <c r="AD69" s="926"/>
      <c r="AE69" s="926"/>
      <c r="AF69" s="926"/>
      <c r="AG69" s="926"/>
      <c r="AH69" s="926"/>
      <c r="AI69" s="926"/>
      <c r="AJ69" s="926"/>
    </row>
    <row r="70" spans="1:36" ht="15" customHeight="1" thickBot="1" x14ac:dyDescent="0.35">
      <c r="A70" s="926"/>
      <c r="B70" s="609"/>
      <c r="C70" s="962"/>
      <c r="D70" s="1968"/>
      <c r="E70" s="2501"/>
      <c r="F70" s="2502"/>
      <c r="G70" s="2510"/>
      <c r="H70" s="2510"/>
      <c r="I70" s="2634"/>
      <c r="J70" s="2634"/>
      <c r="K70" s="2635"/>
      <c r="L70" s="2636"/>
      <c r="M70" s="2634"/>
      <c r="N70" s="2634"/>
      <c r="O70" s="2634"/>
      <c r="P70" s="2634"/>
      <c r="Q70" s="2637"/>
      <c r="R70" s="2638"/>
      <c r="S70" s="1970"/>
      <c r="T70" s="963"/>
      <c r="U70" s="609"/>
      <c r="V70" s="926"/>
      <c r="W70" s="926"/>
      <c r="X70" s="926"/>
      <c r="Y70" s="926"/>
      <c r="Z70" s="926"/>
      <c r="AA70" s="926"/>
      <c r="AB70" s="926"/>
      <c r="AC70" s="926"/>
      <c r="AD70" s="926"/>
      <c r="AE70" s="926"/>
      <c r="AF70" s="926"/>
      <c r="AG70" s="926"/>
      <c r="AH70" s="926"/>
      <c r="AI70" s="926"/>
      <c r="AJ70" s="926"/>
    </row>
    <row r="71" spans="1:36" ht="15" customHeight="1" x14ac:dyDescent="0.3">
      <c r="A71" s="926"/>
      <c r="B71" s="609"/>
      <c r="C71" s="962"/>
      <c r="D71" s="1968"/>
      <c r="E71" s="1968"/>
      <c r="F71" s="1968"/>
      <c r="G71" s="1968"/>
      <c r="H71" s="1744"/>
      <c r="I71" s="1744"/>
      <c r="J71" s="1744"/>
      <c r="K71" s="1744"/>
      <c r="L71" s="1969"/>
      <c r="M71" s="1969"/>
      <c r="N71" s="1744"/>
      <c r="O71" s="1744"/>
      <c r="P71" s="1970"/>
      <c r="Q71" s="1970"/>
      <c r="R71" s="1970"/>
      <c r="S71" s="1970"/>
      <c r="T71" s="980"/>
      <c r="U71" s="609"/>
      <c r="V71" s="926"/>
      <c r="W71" s="926"/>
      <c r="X71" s="926"/>
      <c r="Y71" s="926"/>
      <c r="Z71" s="926"/>
      <c r="AA71" s="926"/>
      <c r="AB71" s="926"/>
      <c r="AC71" s="926"/>
      <c r="AD71" s="926"/>
      <c r="AE71" s="926"/>
      <c r="AF71" s="926"/>
      <c r="AG71" s="926"/>
      <c r="AH71" s="926"/>
      <c r="AI71" s="926"/>
      <c r="AJ71" s="926"/>
    </row>
    <row r="72" spans="1:36" ht="15" customHeight="1" thickBot="1" x14ac:dyDescent="0.35">
      <c r="A72" s="926"/>
      <c r="B72" s="609"/>
      <c r="C72" s="962"/>
      <c r="D72" s="1968"/>
      <c r="E72" s="1968"/>
      <c r="F72" s="1968"/>
      <c r="G72" s="1968"/>
      <c r="H72" s="1744"/>
      <c r="I72" s="1744"/>
      <c r="J72" s="1744"/>
      <c r="K72" s="1744"/>
      <c r="L72" s="1969"/>
      <c r="M72" s="1969"/>
      <c r="N72" s="1744"/>
      <c r="O72" s="1744"/>
      <c r="P72" s="1970"/>
      <c r="Q72" s="1970"/>
      <c r="R72" s="1970"/>
      <c r="S72" s="1970"/>
      <c r="T72" s="980"/>
      <c r="U72" s="609"/>
      <c r="V72" s="926"/>
      <c r="W72" s="926"/>
      <c r="X72" s="926"/>
      <c r="Y72" s="926"/>
      <c r="Z72" s="926"/>
      <c r="AA72" s="926"/>
      <c r="AB72" s="926"/>
      <c r="AC72" s="926"/>
      <c r="AD72" s="926"/>
      <c r="AE72" s="926"/>
      <c r="AF72" s="926"/>
      <c r="AG72" s="926"/>
      <c r="AH72" s="926"/>
      <c r="AI72" s="926"/>
      <c r="AJ72" s="926"/>
    </row>
    <row r="73" spans="1:36" ht="15" customHeight="1" x14ac:dyDescent="0.3">
      <c r="A73" s="926"/>
      <c r="B73" s="609"/>
      <c r="C73" s="962"/>
      <c r="D73" s="1968"/>
      <c r="E73" s="1968"/>
      <c r="F73" s="1968"/>
      <c r="G73" s="2441" t="str">
        <f>BL143</f>
        <v>You have answered all of the questions for this page. Press the "Next page" button below to move to the operational expenses page.</v>
      </c>
      <c r="H73" s="2442"/>
      <c r="I73" s="2442"/>
      <c r="J73" s="2442"/>
      <c r="K73" s="2442"/>
      <c r="L73" s="2442"/>
      <c r="M73" s="2442"/>
      <c r="N73" s="2442"/>
      <c r="O73" s="2442"/>
      <c r="P73" s="2443"/>
      <c r="Q73" s="1970"/>
      <c r="R73" s="1970"/>
      <c r="S73" s="1970"/>
      <c r="T73" s="980"/>
      <c r="U73" s="609"/>
      <c r="V73" s="926"/>
      <c r="W73" s="926"/>
      <c r="X73" s="926"/>
      <c r="Y73" s="926"/>
      <c r="Z73" s="926"/>
      <c r="AA73" s="926"/>
      <c r="AB73" s="926"/>
      <c r="AC73" s="926"/>
      <c r="AD73" s="926"/>
      <c r="AE73" s="926"/>
      <c r="AF73" s="926"/>
      <c r="AG73" s="926"/>
      <c r="AH73" s="926"/>
      <c r="AI73" s="926"/>
      <c r="AJ73" s="926"/>
    </row>
    <row r="74" spans="1:36" ht="15" customHeight="1" x14ac:dyDescent="0.3">
      <c r="A74" s="926"/>
      <c r="B74" s="609"/>
      <c r="C74" s="962"/>
      <c r="D74" s="1968"/>
      <c r="E74" s="1968"/>
      <c r="F74" s="1968"/>
      <c r="G74" s="2444"/>
      <c r="H74" s="2380"/>
      <c r="I74" s="2380"/>
      <c r="J74" s="2380"/>
      <c r="K74" s="2380"/>
      <c r="L74" s="2380"/>
      <c r="M74" s="2380"/>
      <c r="N74" s="2380"/>
      <c r="O74" s="2380"/>
      <c r="P74" s="2445"/>
      <c r="Q74" s="1970"/>
      <c r="R74" s="1970"/>
      <c r="S74" s="1970"/>
      <c r="T74" s="980"/>
      <c r="U74" s="609"/>
      <c r="V74" s="926"/>
      <c r="W74" s="926"/>
      <c r="X74" s="926"/>
      <c r="Y74" s="926"/>
      <c r="Z74" s="926"/>
      <c r="AA74" s="926"/>
      <c r="AB74" s="926"/>
      <c r="AC74" s="926"/>
      <c r="AD74" s="926"/>
      <c r="AE74" s="926"/>
      <c r="AF74" s="926"/>
      <c r="AG74" s="926"/>
      <c r="AH74" s="926"/>
      <c r="AI74" s="926"/>
      <c r="AJ74" s="926"/>
    </row>
    <row r="75" spans="1:36" ht="15" customHeight="1" x14ac:dyDescent="0.3">
      <c r="A75" s="926"/>
      <c r="B75" s="609"/>
      <c r="C75" s="962"/>
      <c r="D75" s="1968"/>
      <c r="E75" s="1968"/>
      <c r="F75" s="1968"/>
      <c r="G75" s="2444"/>
      <c r="H75" s="2380"/>
      <c r="I75" s="2380"/>
      <c r="J75" s="2380"/>
      <c r="K75" s="2380"/>
      <c r="L75" s="2380"/>
      <c r="M75" s="2380"/>
      <c r="N75" s="2380"/>
      <c r="O75" s="2380"/>
      <c r="P75" s="2445"/>
      <c r="Q75" s="1970"/>
      <c r="R75" s="1970"/>
      <c r="S75" s="1970"/>
      <c r="T75" s="980"/>
      <c r="U75" s="609"/>
      <c r="V75" s="926"/>
      <c r="W75" s="926"/>
      <c r="X75" s="926"/>
      <c r="Y75" s="926"/>
      <c r="Z75" s="926"/>
      <c r="AA75" s="926"/>
      <c r="AB75" s="926"/>
      <c r="AC75" s="926"/>
      <c r="AD75" s="926"/>
      <c r="AE75" s="926"/>
      <c r="AF75" s="926"/>
      <c r="AG75" s="926"/>
      <c r="AH75" s="926"/>
      <c r="AI75" s="926"/>
      <c r="AJ75" s="926"/>
    </row>
    <row r="76" spans="1:36" ht="15" customHeight="1" x14ac:dyDescent="0.3">
      <c r="A76" s="926"/>
      <c r="B76" s="609"/>
      <c r="C76" s="962"/>
      <c r="D76" s="1968"/>
      <c r="E76" s="1968"/>
      <c r="F76" s="1968"/>
      <c r="G76" s="2444"/>
      <c r="H76" s="2380"/>
      <c r="I76" s="2380"/>
      <c r="J76" s="2380"/>
      <c r="K76" s="2380"/>
      <c r="L76" s="2380"/>
      <c r="M76" s="2380"/>
      <c r="N76" s="2380"/>
      <c r="O76" s="2380"/>
      <c r="P76" s="2445"/>
      <c r="Q76" s="1970"/>
      <c r="R76" s="1970"/>
      <c r="S76" s="1970"/>
      <c r="T76" s="980"/>
      <c r="U76" s="609"/>
      <c r="V76" s="926"/>
      <c r="W76" s="926"/>
      <c r="X76" s="926"/>
      <c r="Y76" s="926"/>
      <c r="Z76" s="926"/>
      <c r="AA76" s="926"/>
      <c r="AB76" s="926"/>
      <c r="AC76" s="926"/>
      <c r="AD76" s="926"/>
      <c r="AE76" s="926"/>
      <c r="AF76" s="926"/>
      <c r="AG76" s="926"/>
      <c r="AH76" s="926"/>
      <c r="AI76" s="926"/>
      <c r="AJ76" s="926"/>
    </row>
    <row r="77" spans="1:36" ht="15" customHeight="1" x14ac:dyDescent="0.3">
      <c r="A77" s="926"/>
      <c r="B77" s="609"/>
      <c r="C77" s="962"/>
      <c r="D77" s="1968"/>
      <c r="E77" s="1968"/>
      <c r="F77" s="1968"/>
      <c r="G77" s="2444"/>
      <c r="H77" s="2380"/>
      <c r="I77" s="2380"/>
      <c r="J77" s="2380"/>
      <c r="K77" s="2380"/>
      <c r="L77" s="2380"/>
      <c r="M77" s="2380"/>
      <c r="N77" s="2380"/>
      <c r="O77" s="2380"/>
      <c r="P77" s="2445"/>
      <c r="Q77" s="1970"/>
      <c r="R77" s="1970"/>
      <c r="S77" s="1970"/>
      <c r="T77" s="980"/>
      <c r="U77" s="609"/>
      <c r="V77" s="926"/>
      <c r="W77" s="926"/>
      <c r="X77" s="926"/>
      <c r="Y77" s="926"/>
      <c r="Z77" s="926"/>
      <c r="AA77" s="926"/>
      <c r="AB77" s="926"/>
      <c r="AC77" s="926"/>
      <c r="AD77" s="926"/>
      <c r="AE77" s="926"/>
      <c r="AF77" s="926"/>
      <c r="AG77" s="926"/>
      <c r="AH77" s="926"/>
      <c r="AI77" s="926"/>
      <c r="AJ77" s="926"/>
    </row>
    <row r="78" spans="1:36" ht="15" customHeight="1" thickBot="1" x14ac:dyDescent="0.35">
      <c r="A78" s="926"/>
      <c r="B78" s="609"/>
      <c r="C78" s="962"/>
      <c r="D78" s="1160"/>
      <c r="E78" s="1160"/>
      <c r="F78" s="1160"/>
      <c r="G78" s="2446"/>
      <c r="H78" s="2447"/>
      <c r="I78" s="2447"/>
      <c r="J78" s="2447"/>
      <c r="K78" s="2447"/>
      <c r="L78" s="2447"/>
      <c r="M78" s="2447"/>
      <c r="N78" s="2447"/>
      <c r="O78" s="2447"/>
      <c r="P78" s="2448"/>
      <c r="Q78" s="1160"/>
      <c r="R78" s="1160"/>
      <c r="S78" s="1160"/>
      <c r="T78" s="980"/>
      <c r="U78" s="609"/>
      <c r="V78" s="926"/>
      <c r="W78" s="926"/>
      <c r="X78" s="926"/>
      <c r="Y78" s="926"/>
      <c r="Z78" s="926"/>
      <c r="AA78" s="926"/>
      <c r="AB78" s="926"/>
      <c r="AC78" s="926"/>
      <c r="AD78" s="926"/>
      <c r="AE78" s="926"/>
      <c r="AF78" s="926"/>
      <c r="AG78" s="926"/>
      <c r="AH78" s="926"/>
      <c r="AI78" s="926"/>
      <c r="AJ78" s="926"/>
    </row>
    <row r="79" spans="1:36" ht="15" customHeight="1" thickBot="1" x14ac:dyDescent="0.35">
      <c r="A79" s="926"/>
      <c r="B79" s="609"/>
      <c r="C79" s="964"/>
      <c r="D79" s="965"/>
      <c r="E79" s="965"/>
      <c r="F79" s="965"/>
      <c r="G79" s="965"/>
      <c r="H79" s="965"/>
      <c r="I79" s="965"/>
      <c r="J79" s="965"/>
      <c r="K79" s="965"/>
      <c r="L79" s="965"/>
      <c r="M79" s="965"/>
      <c r="N79" s="965"/>
      <c r="O79" s="965"/>
      <c r="P79" s="965"/>
      <c r="Q79" s="1743"/>
      <c r="R79" s="1743"/>
      <c r="S79" s="1743"/>
      <c r="T79" s="983"/>
      <c r="U79" s="609"/>
      <c r="V79" s="926"/>
      <c r="W79" s="926"/>
      <c r="X79" s="926"/>
      <c r="Y79" s="926"/>
      <c r="Z79" s="926"/>
      <c r="AA79" s="926"/>
      <c r="AB79" s="926"/>
      <c r="AC79" s="926"/>
      <c r="AD79" s="926"/>
      <c r="AE79" s="926"/>
      <c r="AF79" s="926"/>
      <c r="AG79" s="926"/>
      <c r="AH79" s="926"/>
      <c r="AI79" s="926"/>
      <c r="AJ79" s="926"/>
    </row>
    <row r="80" spans="1:36" x14ac:dyDescent="0.3">
      <c r="A80" s="926"/>
      <c r="B80" s="609"/>
      <c r="C80" s="609"/>
      <c r="D80" s="609"/>
      <c r="E80" s="609"/>
      <c r="F80" s="609"/>
      <c r="G80" s="609"/>
      <c r="H80" s="609"/>
      <c r="I80" s="609"/>
      <c r="J80" s="609"/>
      <c r="K80" s="609"/>
      <c r="L80" s="609"/>
      <c r="M80" s="609"/>
      <c r="N80" s="609"/>
      <c r="O80" s="609"/>
      <c r="P80" s="609"/>
      <c r="Q80" s="609"/>
      <c r="R80" s="609"/>
      <c r="S80" s="609"/>
      <c r="T80" s="609"/>
      <c r="U80" s="609"/>
      <c r="V80" s="926"/>
      <c r="W80" s="926"/>
      <c r="X80" s="926"/>
      <c r="Y80" s="926"/>
      <c r="Z80" s="926"/>
      <c r="AA80" s="926"/>
      <c r="AB80" s="926"/>
      <c r="AC80" s="926"/>
      <c r="AD80" s="926"/>
      <c r="AE80" s="926"/>
      <c r="AF80" s="926"/>
      <c r="AG80" s="926"/>
      <c r="AH80" s="926"/>
      <c r="AI80" s="926"/>
      <c r="AJ80" s="926"/>
    </row>
    <row r="81" spans="1:36"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ht="15.75" customHeight="1" thickBot="1" x14ac:dyDescent="0.35">
      <c r="A82" s="926"/>
      <c r="B82" s="926"/>
      <c r="C82" s="923"/>
      <c r="D82" s="923"/>
      <c r="E82" s="923"/>
      <c r="F82" s="2345" t="s">
        <v>0</v>
      </c>
      <c r="G82" s="2346"/>
      <c r="H82" s="2345" t="s">
        <v>1</v>
      </c>
      <c r="I82" s="2346"/>
      <c r="J82" s="2345" t="s">
        <v>2</v>
      </c>
      <c r="K82" s="2346"/>
      <c r="L82" s="2345" t="s">
        <v>3</v>
      </c>
      <c r="M82" s="2346"/>
      <c r="N82" s="2345" t="s">
        <v>4</v>
      </c>
      <c r="O82" s="2346"/>
      <c r="P82" s="2345" t="s">
        <v>5</v>
      </c>
      <c r="Q82" s="2346"/>
      <c r="R82" s="1739"/>
      <c r="S82" s="926"/>
      <c r="T82" s="926"/>
      <c r="U82" s="926"/>
      <c r="V82" s="926"/>
      <c r="W82" s="926"/>
      <c r="X82" s="926"/>
      <c r="Y82" s="926"/>
      <c r="Z82" s="926"/>
      <c r="AA82" s="926"/>
      <c r="AB82" s="926"/>
      <c r="AC82" s="926"/>
      <c r="AD82" s="926"/>
      <c r="AE82" s="926"/>
      <c r="AF82" s="926"/>
      <c r="AG82" s="926"/>
      <c r="AH82" s="926"/>
      <c r="AI82" s="926"/>
      <c r="AJ82" s="926"/>
    </row>
    <row r="83" spans="1:36" ht="16.8" thickTop="1" thickBot="1" x14ac:dyDescent="0.35">
      <c r="A83" s="926"/>
      <c r="B83" s="926"/>
      <c r="C83" s="923"/>
      <c r="D83" s="923"/>
      <c r="E83" s="923"/>
      <c r="F83" s="2347"/>
      <c r="G83" s="2348"/>
      <c r="H83" s="2347"/>
      <c r="I83" s="2348"/>
      <c r="J83" s="2347"/>
      <c r="K83" s="2348"/>
      <c r="L83" s="2347"/>
      <c r="M83" s="2348"/>
      <c r="N83" s="2347"/>
      <c r="O83" s="2348"/>
      <c r="P83" s="2347"/>
      <c r="Q83" s="2348"/>
      <c r="R83" s="1739"/>
      <c r="S83" s="926"/>
      <c r="T83" s="926"/>
      <c r="U83" s="926"/>
      <c r="V83" s="926"/>
      <c r="W83" s="926"/>
      <c r="X83" s="926"/>
      <c r="Y83" s="926"/>
      <c r="Z83" s="926"/>
      <c r="AA83" s="926"/>
      <c r="AB83" s="926"/>
      <c r="AC83" s="926"/>
      <c r="AD83" s="926"/>
      <c r="AE83" s="926"/>
      <c r="AF83" s="926"/>
      <c r="AG83" s="926"/>
      <c r="AH83" s="926"/>
      <c r="AI83" s="926"/>
      <c r="AJ83" s="926"/>
    </row>
    <row r="84" spans="1:36" ht="16.95" customHeight="1" thickTop="1" thickBot="1" x14ac:dyDescent="0.35">
      <c r="A84" s="926"/>
      <c r="B84" s="926"/>
      <c r="C84" s="2345" t="s">
        <v>6</v>
      </c>
      <c r="D84" s="2351"/>
      <c r="E84" s="923"/>
      <c r="F84" s="2349"/>
      <c r="G84" s="2350"/>
      <c r="H84" s="2349"/>
      <c r="I84" s="2350"/>
      <c r="J84" s="2349"/>
      <c r="K84" s="2350"/>
      <c r="L84" s="2349"/>
      <c r="M84" s="2350"/>
      <c r="N84" s="2349"/>
      <c r="O84" s="2350"/>
      <c r="P84" s="2349"/>
      <c r="Q84" s="2350"/>
      <c r="R84" s="926"/>
      <c r="S84" s="2356" t="s">
        <v>7</v>
      </c>
      <c r="T84" s="2357"/>
      <c r="U84" s="926"/>
      <c r="V84" s="926"/>
      <c r="W84" s="926"/>
      <c r="X84" s="926"/>
      <c r="Y84" s="926"/>
      <c r="Z84" s="926"/>
      <c r="AA84" s="926"/>
      <c r="AB84" s="926"/>
      <c r="AC84" s="926"/>
      <c r="AD84" s="926"/>
      <c r="AE84" s="926"/>
      <c r="AF84" s="926"/>
      <c r="AG84" s="926"/>
      <c r="AH84" s="926"/>
      <c r="AI84" s="926"/>
      <c r="AJ84" s="926"/>
    </row>
    <row r="85" spans="1:36" ht="15.75" customHeight="1" thickTop="1" thickBot="1" x14ac:dyDescent="0.35">
      <c r="A85" s="926"/>
      <c r="B85" s="926"/>
      <c r="C85" s="2352"/>
      <c r="D85" s="2353"/>
      <c r="E85" s="923"/>
      <c r="F85" s="926"/>
      <c r="G85" s="2362" t="s">
        <v>8</v>
      </c>
      <c r="H85" s="2363"/>
      <c r="I85" s="2345" t="s">
        <v>9</v>
      </c>
      <c r="J85" s="2346"/>
      <c r="K85" s="2345" t="s">
        <v>10</v>
      </c>
      <c r="L85" s="2346"/>
      <c r="M85" s="2345" t="s">
        <v>11</v>
      </c>
      <c r="N85" s="2346"/>
      <c r="O85" s="2345" t="s">
        <v>12</v>
      </c>
      <c r="P85" s="2346"/>
      <c r="Q85" s="926"/>
      <c r="R85" s="926"/>
      <c r="S85" s="2358"/>
      <c r="T85" s="2359"/>
      <c r="U85" s="926"/>
      <c r="V85" s="926"/>
      <c r="W85" s="926"/>
      <c r="X85" s="926"/>
      <c r="Y85" s="926"/>
      <c r="Z85" s="926"/>
      <c r="AA85" s="926"/>
      <c r="AB85" s="926"/>
      <c r="AC85" s="926"/>
      <c r="AD85" s="926"/>
      <c r="AE85" s="926"/>
      <c r="AF85" s="926"/>
      <c r="AG85" s="926"/>
      <c r="AH85" s="926"/>
      <c r="AI85" s="926"/>
      <c r="AJ85" s="926"/>
    </row>
    <row r="86" spans="1:36" ht="16.8" thickTop="1" thickBot="1" x14ac:dyDescent="0.35">
      <c r="A86" s="926"/>
      <c r="B86" s="926"/>
      <c r="C86" s="2354"/>
      <c r="D86" s="2355"/>
      <c r="E86" s="923"/>
      <c r="F86" s="926"/>
      <c r="G86" s="2364"/>
      <c r="H86" s="2365"/>
      <c r="I86" s="2347"/>
      <c r="J86" s="2348"/>
      <c r="K86" s="2347"/>
      <c r="L86" s="2348"/>
      <c r="M86" s="2347"/>
      <c r="N86" s="2348"/>
      <c r="O86" s="2347"/>
      <c r="P86" s="2348"/>
      <c r="Q86" s="926"/>
      <c r="R86" s="926"/>
      <c r="S86" s="2360"/>
      <c r="T86" s="2361"/>
      <c r="U86" s="926"/>
      <c r="V86" s="926"/>
      <c r="W86" s="926"/>
      <c r="X86" s="926"/>
      <c r="Y86" s="926"/>
      <c r="Z86" s="926"/>
      <c r="AA86" s="926"/>
      <c r="AB86" s="926"/>
      <c r="AC86" s="926"/>
      <c r="AD86" s="926"/>
      <c r="AE86" s="926"/>
      <c r="AF86" s="926"/>
      <c r="AG86" s="926"/>
      <c r="AH86" s="926"/>
      <c r="AI86" s="926"/>
      <c r="AJ86" s="926"/>
    </row>
    <row r="87" spans="1:36" ht="16.8" thickTop="1" thickBot="1" x14ac:dyDescent="0.35">
      <c r="A87" s="926"/>
      <c r="B87" s="926"/>
      <c r="C87" s="923"/>
      <c r="D87" s="923"/>
      <c r="E87" s="923"/>
      <c r="F87" s="926"/>
      <c r="G87" s="2366"/>
      <c r="H87" s="2367"/>
      <c r="I87" s="2349"/>
      <c r="J87" s="2350"/>
      <c r="K87" s="2349"/>
      <c r="L87" s="2350"/>
      <c r="M87" s="2349"/>
      <c r="N87" s="2350"/>
      <c r="O87" s="2349"/>
      <c r="P87" s="2350"/>
      <c r="Q87" s="923"/>
      <c r="R87" s="923"/>
      <c r="S87" s="926"/>
      <c r="T87" s="926"/>
      <c r="U87" s="926"/>
      <c r="V87" s="926"/>
      <c r="W87" s="926"/>
      <c r="X87" s="926"/>
      <c r="Y87" s="926"/>
      <c r="Z87" s="926"/>
      <c r="AA87" s="926"/>
      <c r="AB87" s="926"/>
      <c r="AC87" s="926"/>
      <c r="AD87" s="926"/>
      <c r="AE87" s="926"/>
      <c r="AF87" s="926"/>
      <c r="AG87" s="926"/>
      <c r="AH87" s="926"/>
      <c r="AI87" s="926"/>
      <c r="AJ87" s="926"/>
    </row>
    <row r="88" spans="1:36"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row r="93" spans="1:36" x14ac:dyDescent="0.3">
      <c r="A93" s="926"/>
      <c r="B93" s="926"/>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row>
    <row r="94" spans="1:36" x14ac:dyDescent="0.3">
      <c r="A94" s="926"/>
      <c r="B94" s="926"/>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row>
    <row r="95" spans="1:36" x14ac:dyDescent="0.3">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row>
    <row r="96" spans="1:36" x14ac:dyDescent="0.3">
      <c r="A96" s="926"/>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row>
    <row r="97" spans="1:36" x14ac:dyDescent="0.3">
      <c r="A97" s="926"/>
      <c r="B97" s="926"/>
      <c r="C97" s="926"/>
      <c r="D97" s="926"/>
      <c r="E97" s="926"/>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row>
    <row r="98" spans="1:36" x14ac:dyDescent="0.3">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row>
    <row r="99" spans="1:36" x14ac:dyDescent="0.3">
      <c r="A99" s="926"/>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row>
    <row r="100" spans="1:36" x14ac:dyDescent="0.3">
      <c r="A100" s="926"/>
      <c r="B100" s="926"/>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row>
    <row r="101" spans="1:36" x14ac:dyDescent="0.3">
      <c r="A101" s="926"/>
      <c r="B101" s="926"/>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row>
    <row r="102" spans="1:36" x14ac:dyDescent="0.3">
      <c r="A102" s="926"/>
      <c r="B102" s="926"/>
      <c r="C102" s="926"/>
      <c r="D102" s="926"/>
      <c r="E102" s="926"/>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row>
    <row r="103" spans="1:36" x14ac:dyDescent="0.3">
      <c r="A103" s="926"/>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row>
    <row r="104" spans="1:36" x14ac:dyDescent="0.3">
      <c r="A104" s="926"/>
      <c r="B104" s="926"/>
      <c r="C104" s="926"/>
      <c r="D104" s="926"/>
      <c r="E104" s="926"/>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row>
    <row r="105" spans="1:36" x14ac:dyDescent="0.3">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row>
    <row r="106" spans="1:36" x14ac:dyDescent="0.3">
      <c r="A106" s="926"/>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row>
    <row r="120" spans="54:78" x14ac:dyDescent="0.3">
      <c r="BB120" s="82" t="s">
        <v>99</v>
      </c>
      <c r="BC120" s="82" t="s">
        <v>100</v>
      </c>
      <c r="BD120" s="82" t="s">
        <v>101</v>
      </c>
      <c r="BE120" s="82" t="s">
        <v>102</v>
      </c>
      <c r="BF120" s="82" t="s">
        <v>103</v>
      </c>
      <c r="BG120" s="82" t="s">
        <v>104</v>
      </c>
      <c r="BH120" s="82" t="s">
        <v>105</v>
      </c>
      <c r="BI120" s="82" t="s">
        <v>106</v>
      </c>
      <c r="BJ120" s="82" t="s">
        <v>107</v>
      </c>
      <c r="BK120" s="82" t="s">
        <v>108</v>
      </c>
      <c r="BL120" s="82" t="s">
        <v>109</v>
      </c>
      <c r="BM120" s="82" t="s">
        <v>110</v>
      </c>
      <c r="BN120" s="82" t="s">
        <v>111</v>
      </c>
      <c r="BP120" s="82" t="s">
        <v>355</v>
      </c>
    </row>
    <row r="121" spans="54:78" x14ac:dyDescent="0.3">
      <c r="BB121" t="s">
        <v>356</v>
      </c>
      <c r="BC121">
        <f t="shared" ref="BC121" si="0">IF(BK121=1,BD121,BE121)</f>
        <v>1</v>
      </c>
      <c r="BD121" s="607">
        <f>K65</f>
        <v>0</v>
      </c>
      <c r="BE121">
        <f t="shared" ref="BE121:BE136" si="1">INDEX(UDD,MATCH($BB121,UDN,0))</f>
        <v>1</v>
      </c>
      <c r="BF121" t="b">
        <f>ISBLANK(K65)</f>
        <v>1</v>
      </c>
      <c r="BG121" t="str">
        <f t="shared" ref="BG121:BG136" si="2">INDEX(UDUnit,MATCH($BB121,UDN,0))</f>
        <v>multiplier</v>
      </c>
      <c r="BH121" t="str">
        <f t="shared" ref="BH121:BH136" si="3">INDEX(UDF_Unit,MATCH($BB121,UDN,0))</f>
        <v>multiplier</v>
      </c>
      <c r="BI121">
        <f t="shared" ref="BI121:BI136" si="4">INDEX(UDMin,MATCH($BB121,UDN,0))</f>
        <v>0.1</v>
      </c>
      <c r="BJ121">
        <f t="shared" ref="BJ121:BJ136" si="5">INDEX(UDMax,MATCH($BB121,UDN,0))</f>
        <v>3</v>
      </c>
      <c r="BK121">
        <f>IF(AND(ISNUMBER(BD121), BI121&lt;= BD121, BD121&lt;=BJ121),1,0)</f>
        <v>0</v>
      </c>
      <c r="BL121" t="str">
        <f t="shared" ref="BL121:BL136" si="6">INDEX(UD_Desc,MATCH($BB121,UDN,0))</f>
        <v>The routine equipment (tractors) cost adjustment factor</v>
      </c>
      <c r="BM121" t="str">
        <f>IF(BK121,"No", "Yes")</f>
        <v>Yes</v>
      </c>
      <c r="BN121" t="str">
        <f>IF(BF121,"Using default", IF(BK121=1,"Input accepted", "Input invalid, using default"))</f>
        <v>Using default</v>
      </c>
      <c r="BT121" s="2632" t="s">
        <v>357</v>
      </c>
      <c r="BU121" s="2632"/>
      <c r="BV121" s="2632"/>
      <c r="BW121" s="2632"/>
      <c r="BX121" s="2632"/>
      <c r="BY121" s="2632"/>
      <c r="BZ121" s="2632"/>
    </row>
    <row r="122" spans="54:78" x14ac:dyDescent="0.3">
      <c r="BB122" t="s">
        <v>358</v>
      </c>
      <c r="BC122">
        <f>IF(BK122=1,BD122,BE122)</f>
        <v>1</v>
      </c>
      <c r="BD122" s="607">
        <f>K68</f>
        <v>0</v>
      </c>
      <c r="BE122">
        <f>INDEX(UDD,MATCH($BB122,UDN,0))</f>
        <v>1</v>
      </c>
      <c r="BF122" t="b">
        <f>ISBLANK(K68)</f>
        <v>1</v>
      </c>
      <c r="BG122" t="str">
        <f>INDEX(UDUnit,MATCH($BB122,UDN,0))</f>
        <v>multiplier</v>
      </c>
      <c r="BH122" t="str">
        <f>INDEX(UDF_Unit,MATCH($BB122,UDN,0))</f>
        <v>multiplier</v>
      </c>
      <c r="BI122">
        <f>INDEX(UDMin,MATCH($BB122,UDN,0))</f>
        <v>0.1</v>
      </c>
      <c r="BJ122">
        <f>INDEX(UDMax,MATCH($BB122,UDN,0))</f>
        <v>3</v>
      </c>
      <c r="BK122">
        <f>IF(AND(ISNUMBER(BD122), BI122&lt;= BD122, BD122&lt;=BJ122),1,0)</f>
        <v>0</v>
      </c>
      <c r="BL122" t="str">
        <f>INDEX(UD_Desc,MATCH($BB122,UDN,0))</f>
        <v>The construction cost adjustment factor</v>
      </c>
      <c r="BM122" t="str">
        <f>IF(BK122,"No", "Yes")</f>
        <v>Yes</v>
      </c>
      <c r="BN122" t="str">
        <f>IF(BF122,"Using default", IF(BK122=1,"Input accepted", "Input invalid, using default"))</f>
        <v>Using default</v>
      </c>
      <c r="BT122" s="608" t="s">
        <v>359</v>
      </c>
      <c r="BU122" s="608">
        <v>0.01</v>
      </c>
      <c r="BV122" s="608"/>
      <c r="BW122" s="608"/>
      <c r="BX122" s="608"/>
      <c r="BY122" s="608"/>
      <c r="BZ122" s="608"/>
    </row>
    <row r="123" spans="54:78" x14ac:dyDescent="0.3">
      <c r="BB123" t="s">
        <v>360</v>
      </c>
      <c r="BE123">
        <f t="shared" si="1"/>
        <v>111300</v>
      </c>
      <c r="BG123" t="str">
        <f t="shared" si="2"/>
        <v>$ (Equipment)</v>
      </c>
      <c r="BH123" t="str">
        <f t="shared" si="3"/>
        <v>$ (Equipment)</v>
      </c>
      <c r="BI123">
        <f t="shared" si="4"/>
        <v>77900</v>
      </c>
      <c r="BJ123">
        <f t="shared" si="5"/>
        <v>144700</v>
      </c>
      <c r="BL123" t="str">
        <f t="shared" si="6"/>
        <v>Tractor 85 hp</v>
      </c>
      <c r="BM123" t="str">
        <f t="shared" ref="BM123:BM136" si="7">IF(BK123,"No", "Yes")</f>
        <v>Yes</v>
      </c>
      <c r="BP123">
        <f t="shared" ref="BP123:BP136" si="8">BE123/UDV.adj.routine_equip_cost</f>
        <v>111300</v>
      </c>
      <c r="BT123" s="608" t="s">
        <v>361</v>
      </c>
      <c r="BU123" s="608">
        <v>3</v>
      </c>
      <c r="BV123" s="608"/>
      <c r="BW123" s="608"/>
      <c r="BX123" s="608"/>
      <c r="BY123" s="608"/>
      <c r="BZ123" s="608"/>
    </row>
    <row r="124" spans="54:78" x14ac:dyDescent="0.3">
      <c r="BB124" s="1031" t="s">
        <v>362</v>
      </c>
      <c r="BC124" s="1031"/>
      <c r="BD124" s="1031"/>
      <c r="BE124" s="1031">
        <f t="shared" si="1"/>
        <v>136600</v>
      </c>
      <c r="BF124" s="1031"/>
      <c r="BG124" s="1031" t="str">
        <f t="shared" si="2"/>
        <v>$ (Equipment)</v>
      </c>
      <c r="BH124" s="1031" t="str">
        <f t="shared" si="3"/>
        <v>$ (Equipment)</v>
      </c>
      <c r="BI124" s="1031">
        <f t="shared" si="4"/>
        <v>95600</v>
      </c>
      <c r="BJ124" s="1031">
        <f t="shared" si="5"/>
        <v>177500</v>
      </c>
      <c r="BK124" s="1031"/>
      <c r="BL124" s="1031" t="str">
        <f t="shared" si="6"/>
        <v>Tractor 94 hp</v>
      </c>
      <c r="BM124" s="1031" t="str">
        <f t="shared" si="7"/>
        <v>Yes</v>
      </c>
      <c r="BN124" s="1031"/>
      <c r="BO124" s="1031"/>
      <c r="BP124" s="1031">
        <f t="shared" si="8"/>
        <v>136600</v>
      </c>
      <c r="BT124" t="s">
        <v>363</v>
      </c>
      <c r="BU124">
        <f>UDV.adj.routine_equip_cost</f>
        <v>1</v>
      </c>
      <c r="BV124" s="608"/>
      <c r="BW124" s="608"/>
      <c r="BX124" s="608"/>
      <c r="BY124" s="608"/>
      <c r="BZ124" s="608"/>
    </row>
    <row r="125" spans="54:78" x14ac:dyDescent="0.3">
      <c r="BB125" s="1031" t="s">
        <v>364</v>
      </c>
      <c r="BC125" s="1031"/>
      <c r="BD125" s="1031"/>
      <c r="BE125" s="1031">
        <f t="shared" si="1"/>
        <v>283300</v>
      </c>
      <c r="BF125" s="1031"/>
      <c r="BG125" s="1031" t="str">
        <f t="shared" si="2"/>
        <v>$ (Equipment)</v>
      </c>
      <c r="BH125" s="1031" t="str">
        <f t="shared" si="3"/>
        <v>$ (Equipment)</v>
      </c>
      <c r="BI125" s="1031">
        <f t="shared" si="4"/>
        <v>198300</v>
      </c>
      <c r="BJ125" s="1031">
        <f t="shared" si="5"/>
        <v>368200</v>
      </c>
      <c r="BK125" s="1031"/>
      <c r="BL125" s="1031" t="str">
        <f t="shared" si="6"/>
        <v>Tractor 160 hp</v>
      </c>
      <c r="BM125" s="1031" t="str">
        <f t="shared" si="7"/>
        <v>Yes</v>
      </c>
      <c r="BN125" s="1031"/>
      <c r="BO125" s="1031"/>
      <c r="BP125" s="1031">
        <f t="shared" si="8"/>
        <v>283300</v>
      </c>
      <c r="BV125" s="608"/>
      <c r="BW125" s="608"/>
      <c r="BX125" s="608"/>
      <c r="BY125" s="608"/>
      <c r="BZ125" s="608"/>
    </row>
    <row r="126" spans="54:78" x14ac:dyDescent="0.3">
      <c r="BB126" s="1031" t="s">
        <v>365</v>
      </c>
      <c r="BC126" s="1031"/>
      <c r="BD126" s="1031"/>
      <c r="BE126" s="1031">
        <f t="shared" si="1"/>
        <v>313600</v>
      </c>
      <c r="BF126" s="1031"/>
      <c r="BG126" s="1031" t="str">
        <f t="shared" si="2"/>
        <v>$ (Equipment)</v>
      </c>
      <c r="BH126" s="1031" t="str">
        <f t="shared" si="3"/>
        <v>$ (Equipment)</v>
      </c>
      <c r="BI126" s="1031">
        <f t="shared" si="4"/>
        <v>219500</v>
      </c>
      <c r="BJ126" s="1031">
        <f t="shared" si="5"/>
        <v>407700</v>
      </c>
      <c r="BK126" s="1031"/>
      <c r="BL126" s="1031" t="str">
        <f t="shared" si="6"/>
        <v>Tractor 180 hp</v>
      </c>
      <c r="BM126" s="1031" t="str">
        <f t="shared" si="7"/>
        <v>Yes</v>
      </c>
      <c r="BN126" s="1031"/>
      <c r="BO126" s="1031"/>
      <c r="BP126" s="1031">
        <f t="shared" si="8"/>
        <v>313600</v>
      </c>
      <c r="BT126" s="608" t="s">
        <v>366</v>
      </c>
      <c r="BU126" s="608">
        <v>1</v>
      </c>
      <c r="BV126" s="608"/>
      <c r="BW126" s="608"/>
      <c r="BX126" s="608"/>
      <c r="BY126" s="608"/>
      <c r="BZ126" s="608"/>
    </row>
    <row r="127" spans="54:78" x14ac:dyDescent="0.3">
      <c r="BB127" s="1031" t="s">
        <v>367</v>
      </c>
      <c r="BC127" s="1031"/>
      <c r="BD127" s="1031"/>
      <c r="BE127" s="1031">
        <f t="shared" si="1"/>
        <v>404700</v>
      </c>
      <c r="BF127" s="1031"/>
      <c r="BG127" s="1031" t="str">
        <f t="shared" si="2"/>
        <v>$ (Equipment)</v>
      </c>
      <c r="BH127" s="1031" t="str">
        <f t="shared" si="3"/>
        <v>$ (Equipment)</v>
      </c>
      <c r="BI127" s="1031">
        <f t="shared" si="4"/>
        <v>283300</v>
      </c>
      <c r="BJ127" s="1031">
        <f t="shared" si="5"/>
        <v>526100</v>
      </c>
      <c r="BK127" s="1031"/>
      <c r="BL127" s="1031" t="str">
        <f t="shared" si="6"/>
        <v>Tractor 250 hp</v>
      </c>
      <c r="BM127" s="1031" t="str">
        <f t="shared" si="7"/>
        <v>Yes</v>
      </c>
      <c r="BN127" s="1031"/>
      <c r="BO127" s="1031"/>
      <c r="BP127" s="1031">
        <f t="shared" si="8"/>
        <v>404700</v>
      </c>
      <c r="BT127" s="608"/>
      <c r="BU127" s="608"/>
      <c r="BV127" s="608"/>
      <c r="BW127" s="608"/>
      <c r="BX127" s="608"/>
      <c r="BY127" s="608"/>
      <c r="BZ127" s="608"/>
    </row>
    <row r="128" spans="54:78" x14ac:dyDescent="0.3">
      <c r="BB128" s="1031" t="s">
        <v>368</v>
      </c>
      <c r="BC128" s="1031"/>
      <c r="BD128" s="1031"/>
      <c r="BE128" s="1031">
        <f t="shared" si="1"/>
        <v>490700</v>
      </c>
      <c r="BF128" s="1031"/>
      <c r="BG128" s="1031" t="str">
        <f t="shared" si="2"/>
        <v>$ (Equipment)</v>
      </c>
      <c r="BH128" s="1031" t="str">
        <f t="shared" si="3"/>
        <v>$ (Equipment)</v>
      </c>
      <c r="BI128" s="1031">
        <f t="shared" si="4"/>
        <v>343500</v>
      </c>
      <c r="BJ128" s="1031">
        <f t="shared" si="5"/>
        <v>637900</v>
      </c>
      <c r="BK128" s="1031"/>
      <c r="BL128" s="1031" t="str">
        <f t="shared" si="6"/>
        <v>Tractor 340 hp</v>
      </c>
      <c r="BM128" s="1031" t="str">
        <f t="shared" si="7"/>
        <v>Yes</v>
      </c>
      <c r="BN128" s="1031"/>
      <c r="BO128" s="1031"/>
      <c r="BP128" s="1031">
        <f t="shared" si="8"/>
        <v>490700</v>
      </c>
      <c r="BT128" s="608"/>
      <c r="BU128" s="608" t="s">
        <v>41</v>
      </c>
      <c r="BV128" s="608" t="s">
        <v>39</v>
      </c>
      <c r="BW128" s="608" t="s">
        <v>42</v>
      </c>
      <c r="BX128" s="608" t="s">
        <v>369</v>
      </c>
      <c r="BY128" s="608" t="s">
        <v>370</v>
      </c>
      <c r="BZ128" s="608" t="s">
        <v>371</v>
      </c>
    </row>
    <row r="129" spans="54:78" x14ac:dyDescent="0.3">
      <c r="BB129" t="s">
        <v>372</v>
      </c>
      <c r="BE129">
        <f t="shared" si="1"/>
        <v>637400</v>
      </c>
      <c r="BG129" t="str">
        <f t="shared" si="2"/>
        <v>$ (Equipment)</v>
      </c>
      <c r="BH129" t="str">
        <f t="shared" si="3"/>
        <v>$ (Equipment)</v>
      </c>
      <c r="BI129">
        <f t="shared" si="4"/>
        <v>446100</v>
      </c>
      <c r="BJ129">
        <f t="shared" si="5"/>
        <v>828600</v>
      </c>
      <c r="BL129" t="str">
        <f t="shared" si="6"/>
        <v>Tractor 580 hp</v>
      </c>
      <c r="BM129" t="str">
        <f t="shared" si="7"/>
        <v>Yes</v>
      </c>
      <c r="BP129">
        <f t="shared" si="8"/>
        <v>637400</v>
      </c>
      <c r="BS129" t="s">
        <v>373</v>
      </c>
      <c r="BT129" s="608" t="s">
        <v>374</v>
      </c>
      <c r="BU129" s="608">
        <f t="shared" ref="BU129:BU135" si="9">BX129*$BU$122</f>
        <v>680</v>
      </c>
      <c r="BV129" s="608">
        <f t="shared" ref="BV129:BV135" si="10">BY129*$BU$126</f>
        <v>85000</v>
      </c>
      <c r="BW129" s="608">
        <f t="shared" ref="BW129:BW135" si="11">BZ129*$BU$123</f>
        <v>306000</v>
      </c>
      <c r="BX129" s="608">
        <v>68000</v>
      </c>
      <c r="BY129" s="608">
        <v>85000</v>
      </c>
      <c r="BZ129" s="608">
        <v>102000</v>
      </c>
    </row>
    <row r="130" spans="54:78" x14ac:dyDescent="0.3">
      <c r="BB130" t="s">
        <v>375</v>
      </c>
      <c r="BE130">
        <f t="shared" si="1"/>
        <v>59700</v>
      </c>
      <c r="BG130" t="str">
        <f t="shared" si="2"/>
        <v>$ (Equipment)</v>
      </c>
      <c r="BH130" t="str">
        <f t="shared" si="3"/>
        <v>$ (Equipment)</v>
      </c>
      <c r="BI130">
        <f t="shared" si="4"/>
        <v>49600</v>
      </c>
      <c r="BJ130">
        <f t="shared" si="5"/>
        <v>90000</v>
      </c>
      <c r="BL130" t="str">
        <f t="shared" si="6"/>
        <v>Skid steer loader</v>
      </c>
      <c r="BM130" t="str">
        <f t="shared" si="7"/>
        <v>Yes</v>
      </c>
      <c r="BP130">
        <f t="shared" si="8"/>
        <v>59700</v>
      </c>
      <c r="BS130" t="s">
        <v>376</v>
      </c>
      <c r="BT130" s="608" t="s">
        <v>377</v>
      </c>
      <c r="BU130" s="608">
        <f t="shared" si="9"/>
        <v>840</v>
      </c>
      <c r="BV130" s="608">
        <f t="shared" si="10"/>
        <v>105000</v>
      </c>
      <c r="BW130" s="608">
        <f t="shared" si="11"/>
        <v>378000</v>
      </c>
      <c r="BX130" s="608">
        <v>84000</v>
      </c>
      <c r="BY130" s="608">
        <v>105000</v>
      </c>
      <c r="BZ130" s="608">
        <v>126000</v>
      </c>
    </row>
    <row r="131" spans="54:78" x14ac:dyDescent="0.3">
      <c r="BB131" t="s">
        <v>378</v>
      </c>
      <c r="BE131">
        <f t="shared" si="1"/>
        <v>58700</v>
      </c>
      <c r="BG131" t="str">
        <f t="shared" si="2"/>
        <v>$ (Equipment)</v>
      </c>
      <c r="BH131" t="str">
        <f t="shared" si="3"/>
        <v>$ (Equipment)</v>
      </c>
      <c r="BI131">
        <f t="shared" si="4"/>
        <v>33400</v>
      </c>
      <c r="BJ131">
        <f t="shared" si="5"/>
        <v>84000</v>
      </c>
      <c r="BL131" t="str">
        <f t="shared" si="6"/>
        <v>Pick up truck</v>
      </c>
      <c r="BM131" t="str">
        <f t="shared" si="7"/>
        <v>Yes</v>
      </c>
      <c r="BP131">
        <f t="shared" si="8"/>
        <v>58700</v>
      </c>
      <c r="BS131" t="s">
        <v>379</v>
      </c>
      <c r="BT131" s="608" t="s">
        <v>380</v>
      </c>
      <c r="BU131" s="608">
        <f t="shared" si="9"/>
        <v>1760</v>
      </c>
      <c r="BV131" s="608">
        <f t="shared" si="10"/>
        <v>220000</v>
      </c>
      <c r="BW131" s="608">
        <f t="shared" si="11"/>
        <v>792000</v>
      </c>
      <c r="BX131" s="608">
        <v>176000</v>
      </c>
      <c r="BY131" s="608">
        <v>220000</v>
      </c>
      <c r="BZ131" s="608">
        <v>264000</v>
      </c>
    </row>
    <row r="132" spans="54:78" x14ac:dyDescent="0.3">
      <c r="BB132" t="s">
        <v>381</v>
      </c>
      <c r="BE132">
        <f t="shared" si="1"/>
        <v>136600</v>
      </c>
      <c r="BG132" t="str">
        <f t="shared" si="2"/>
        <v>$ (Equipment)</v>
      </c>
      <c r="BH132" t="str">
        <f t="shared" si="3"/>
        <v>$ (Equipment)</v>
      </c>
      <c r="BI132">
        <f t="shared" si="4"/>
        <v>95600</v>
      </c>
      <c r="BJ132">
        <f t="shared" si="5"/>
        <v>177500</v>
      </c>
      <c r="BL132" t="str">
        <f t="shared" si="6"/>
        <v>Cost of the tanker used for land application of manure</v>
      </c>
      <c r="BM132" t="str">
        <f t="shared" si="7"/>
        <v>Yes</v>
      </c>
      <c r="BP132">
        <f t="shared" si="8"/>
        <v>136600</v>
      </c>
      <c r="BS132" t="s">
        <v>382</v>
      </c>
      <c r="BT132" s="608" t="s">
        <v>383</v>
      </c>
      <c r="BU132" s="608">
        <f t="shared" si="9"/>
        <v>1920</v>
      </c>
      <c r="BV132" s="608">
        <f t="shared" si="10"/>
        <v>240000</v>
      </c>
      <c r="BW132" s="608">
        <f t="shared" si="11"/>
        <v>864000</v>
      </c>
      <c r="BX132" s="608">
        <v>192000</v>
      </c>
      <c r="BY132" s="608">
        <v>240000</v>
      </c>
      <c r="BZ132" s="608">
        <v>288000</v>
      </c>
    </row>
    <row r="133" spans="54:78" x14ac:dyDescent="0.3">
      <c r="BB133" s="1031" t="s">
        <v>384</v>
      </c>
      <c r="BC133" s="1031"/>
      <c r="BD133" s="1031"/>
      <c r="BE133" s="1031">
        <f t="shared" si="1"/>
        <v>80900</v>
      </c>
      <c r="BF133" s="1031"/>
      <c r="BG133" s="1031" t="str">
        <f t="shared" si="2"/>
        <v>$ (Equipment)</v>
      </c>
      <c r="BH133" s="1031" t="str">
        <f t="shared" si="3"/>
        <v>$ (Equipment)</v>
      </c>
      <c r="BI133" s="1031">
        <f t="shared" si="4"/>
        <v>56700</v>
      </c>
      <c r="BJ133" s="1031">
        <f t="shared" si="5"/>
        <v>105200</v>
      </c>
      <c r="BK133" s="1031"/>
      <c r="BL133" s="1031" t="str">
        <f t="shared" si="6"/>
        <v>Boom toolbar</v>
      </c>
      <c r="BM133" s="1031" t="str">
        <f t="shared" si="7"/>
        <v>Yes</v>
      </c>
      <c r="BN133" s="1031"/>
      <c r="BO133" s="1031"/>
      <c r="BP133" s="1031">
        <f t="shared" si="8"/>
        <v>80900</v>
      </c>
      <c r="BS133" t="s">
        <v>385</v>
      </c>
      <c r="BT133" s="608" t="s">
        <v>386</v>
      </c>
      <c r="BU133" s="608">
        <f t="shared" si="9"/>
        <v>2480</v>
      </c>
      <c r="BV133" s="608">
        <f t="shared" si="10"/>
        <v>310000</v>
      </c>
      <c r="BW133" s="608">
        <f t="shared" si="11"/>
        <v>1116000</v>
      </c>
      <c r="BX133" s="608">
        <v>248000</v>
      </c>
      <c r="BY133" s="608">
        <v>310000</v>
      </c>
      <c r="BZ133" s="608">
        <v>372000</v>
      </c>
    </row>
    <row r="134" spans="54:78" x14ac:dyDescent="0.3">
      <c r="BB134" s="1031" t="s">
        <v>387</v>
      </c>
      <c r="BC134" s="1031"/>
      <c r="BD134" s="1031"/>
      <c r="BE134" s="1031">
        <f t="shared" si="1"/>
        <v>80900</v>
      </c>
      <c r="BF134" s="1031"/>
      <c r="BG134" s="1031" t="str">
        <f t="shared" si="2"/>
        <v>$ (Equipment)</v>
      </c>
      <c r="BH134" s="1031" t="str">
        <f t="shared" si="3"/>
        <v>$ (Equipment)</v>
      </c>
      <c r="BI134" s="1031">
        <f t="shared" si="4"/>
        <v>56700</v>
      </c>
      <c r="BJ134" s="1031">
        <f t="shared" si="5"/>
        <v>105200</v>
      </c>
      <c r="BK134" s="1031"/>
      <c r="BL134" s="1031" t="str">
        <f t="shared" si="6"/>
        <v>Injection toolbar</v>
      </c>
      <c r="BM134" s="1031" t="str">
        <f t="shared" si="7"/>
        <v>Yes</v>
      </c>
      <c r="BN134" s="1031"/>
      <c r="BO134" s="1031"/>
      <c r="BP134" s="1031">
        <f t="shared" si="8"/>
        <v>80900</v>
      </c>
      <c r="BS134" t="s">
        <v>388</v>
      </c>
      <c r="BT134" s="608" t="s">
        <v>389</v>
      </c>
      <c r="BU134" s="608">
        <f t="shared" si="9"/>
        <v>3000</v>
      </c>
      <c r="BV134" s="608">
        <f t="shared" si="10"/>
        <v>375000</v>
      </c>
      <c r="BW134" s="608">
        <f t="shared" si="11"/>
        <v>1350000</v>
      </c>
      <c r="BX134" s="608">
        <v>300000</v>
      </c>
      <c r="BY134" s="608">
        <v>375000</v>
      </c>
      <c r="BZ134" s="608">
        <v>450000</v>
      </c>
    </row>
    <row r="135" spans="54:78" x14ac:dyDescent="0.3">
      <c r="BB135" s="1031" t="s">
        <v>390</v>
      </c>
      <c r="BC135" s="1031"/>
      <c r="BD135" s="1031"/>
      <c r="BE135" s="1031">
        <f t="shared" si="1"/>
        <v>65800</v>
      </c>
      <c r="BF135" s="1031"/>
      <c r="BG135" s="1031" t="str">
        <f t="shared" si="2"/>
        <v>$ (Equipment)</v>
      </c>
      <c r="BH135" s="1031" t="str">
        <f t="shared" si="3"/>
        <v>$ (Equipment)</v>
      </c>
      <c r="BI135" s="1031">
        <f t="shared" si="4"/>
        <v>46000</v>
      </c>
      <c r="BJ135" s="1031">
        <f t="shared" si="5"/>
        <v>85500</v>
      </c>
      <c r="BK135" s="1031"/>
      <c r="BL135" s="1031" t="str">
        <f t="shared" si="6"/>
        <v>Box spreader</v>
      </c>
      <c r="BM135" s="1031" t="str">
        <f t="shared" si="7"/>
        <v>Yes</v>
      </c>
      <c r="BN135" s="1031"/>
      <c r="BO135" s="1031"/>
      <c r="BP135" s="1031">
        <f t="shared" si="8"/>
        <v>65800</v>
      </c>
      <c r="BS135" t="s">
        <v>391</v>
      </c>
      <c r="BT135" s="608" t="s">
        <v>392</v>
      </c>
      <c r="BU135" s="608">
        <f t="shared" si="9"/>
        <v>3880</v>
      </c>
      <c r="BV135" s="608">
        <f t="shared" si="10"/>
        <v>485000</v>
      </c>
      <c r="BW135" s="608">
        <f t="shared" si="11"/>
        <v>1746000</v>
      </c>
      <c r="BX135" s="608">
        <v>388000</v>
      </c>
      <c r="BY135" s="608">
        <v>485000</v>
      </c>
      <c r="BZ135" s="608">
        <v>582000</v>
      </c>
    </row>
    <row r="136" spans="54:78" x14ac:dyDescent="0.3">
      <c r="BB136" s="1031" t="s">
        <v>393</v>
      </c>
      <c r="BC136" s="1031"/>
      <c r="BD136" s="1031"/>
      <c r="BE136" s="1031">
        <f t="shared" si="1"/>
        <v>7500</v>
      </c>
      <c r="BF136" s="1031"/>
      <c r="BG136" s="1031" t="str">
        <f t="shared" si="2"/>
        <v>$ (Equipment)</v>
      </c>
      <c r="BH136" s="1031" t="str">
        <f t="shared" si="3"/>
        <v>$ (Equipment)</v>
      </c>
      <c r="BI136" s="1031">
        <f t="shared" si="4"/>
        <v>4000</v>
      </c>
      <c r="BJ136" s="1031">
        <f t="shared" si="5"/>
        <v>9500</v>
      </c>
      <c r="BK136" s="1031"/>
      <c r="BL136" s="1031" t="str">
        <f t="shared" si="6"/>
        <v>Front end loader</v>
      </c>
      <c r="BM136" s="1031" t="str">
        <f t="shared" si="7"/>
        <v>Yes</v>
      </c>
      <c r="BN136" s="1031"/>
      <c r="BO136" s="1031"/>
      <c r="BP136" s="1031">
        <f t="shared" si="8"/>
        <v>7500</v>
      </c>
      <c r="BS136" t="s">
        <v>394</v>
      </c>
      <c r="BU136" s="608">
        <f t="shared" ref="BU136:BU145" si="12">BX136*$BU$122</f>
        <v>476</v>
      </c>
      <c r="BV136" s="608">
        <f t="shared" ref="BV136:BV145" si="13">BY136*$BU$126</f>
        <v>68000</v>
      </c>
      <c r="BW136" s="608">
        <f t="shared" ref="BW136:BW145" si="14">BZ136*$BU$123</f>
        <v>265200</v>
      </c>
      <c r="BX136">
        <v>47600</v>
      </c>
      <c r="BY136">
        <v>68000</v>
      </c>
      <c r="BZ136">
        <v>88400</v>
      </c>
    </row>
    <row r="137" spans="54:78" x14ac:dyDescent="0.3">
      <c r="BS137" t="s">
        <v>395</v>
      </c>
      <c r="BU137" s="608">
        <f t="shared" si="12"/>
        <v>420</v>
      </c>
      <c r="BV137" s="608">
        <f t="shared" si="13"/>
        <v>60000</v>
      </c>
      <c r="BW137" s="608">
        <f t="shared" si="14"/>
        <v>234000</v>
      </c>
      <c r="BX137">
        <v>42000</v>
      </c>
      <c r="BY137">
        <v>60000</v>
      </c>
      <c r="BZ137">
        <v>78000</v>
      </c>
    </row>
    <row r="138" spans="54:78" x14ac:dyDescent="0.3">
      <c r="BS138" t="s">
        <v>396</v>
      </c>
      <c r="BU138" s="608">
        <f t="shared" si="12"/>
        <v>420</v>
      </c>
      <c r="BV138" s="608">
        <f t="shared" si="13"/>
        <v>60000</v>
      </c>
      <c r="BW138" s="608">
        <f t="shared" si="14"/>
        <v>234000</v>
      </c>
      <c r="BX138">
        <v>42000</v>
      </c>
      <c r="BY138">
        <v>60000</v>
      </c>
      <c r="BZ138">
        <v>78000</v>
      </c>
    </row>
    <row r="139" spans="54:78" x14ac:dyDescent="0.3">
      <c r="BL139" s="82" t="s">
        <v>127</v>
      </c>
      <c r="BN139">
        <f>COUNTIF(BN121:BN121,"Input invalid, using default")</f>
        <v>0</v>
      </c>
      <c r="BS139" t="s">
        <v>397</v>
      </c>
      <c r="BU139" s="608">
        <f t="shared" si="12"/>
        <v>455</v>
      </c>
      <c r="BV139" s="608">
        <f t="shared" si="13"/>
        <v>65000</v>
      </c>
      <c r="BW139" s="608">
        <f t="shared" si="14"/>
        <v>253500</v>
      </c>
      <c r="BX139">
        <v>45500</v>
      </c>
      <c r="BY139">
        <v>65000</v>
      </c>
      <c r="BZ139">
        <v>84500</v>
      </c>
    </row>
    <row r="140" spans="54:78" x14ac:dyDescent="0.3">
      <c r="BL140" t="s">
        <v>398</v>
      </c>
      <c r="BS140" t="s">
        <v>399</v>
      </c>
      <c r="BU140" s="608">
        <f t="shared" si="12"/>
        <v>455</v>
      </c>
      <c r="BV140" s="608">
        <f t="shared" si="13"/>
        <v>65000</v>
      </c>
      <c r="BW140" s="608">
        <f t="shared" si="14"/>
        <v>253500</v>
      </c>
      <c r="BX140">
        <v>45500</v>
      </c>
      <c r="BY140">
        <v>65000</v>
      </c>
      <c r="BZ140">
        <v>84500</v>
      </c>
    </row>
    <row r="141" spans="54:78" x14ac:dyDescent="0.3">
      <c r="BL141" t="s">
        <v>131</v>
      </c>
      <c r="BS141" t="s">
        <v>400</v>
      </c>
      <c r="BU141" s="608">
        <f t="shared" si="12"/>
        <v>343</v>
      </c>
      <c r="BV141" s="608">
        <f t="shared" si="13"/>
        <v>49000</v>
      </c>
      <c r="BW141" s="608">
        <f t="shared" si="14"/>
        <v>191100</v>
      </c>
      <c r="BX141">
        <v>34300</v>
      </c>
      <c r="BY141">
        <v>49000</v>
      </c>
      <c r="BZ141">
        <v>63700</v>
      </c>
    </row>
    <row r="142" spans="54:78" x14ac:dyDescent="0.3">
      <c r="BS142" t="s">
        <v>401</v>
      </c>
      <c r="BU142" s="608">
        <f t="shared" si="12"/>
        <v>105</v>
      </c>
      <c r="BV142" s="608">
        <f t="shared" si="13"/>
        <v>15000</v>
      </c>
      <c r="BW142" s="608">
        <f t="shared" si="14"/>
        <v>58500</v>
      </c>
      <c r="BX142">
        <v>10500</v>
      </c>
      <c r="BY142">
        <v>15000</v>
      </c>
      <c r="BZ142">
        <v>19500</v>
      </c>
    </row>
    <row r="143" spans="54:78" x14ac:dyDescent="0.3">
      <c r="BL143" t="str">
        <f>IF(BN139&gt;0,BL141,BL140)</f>
        <v>You have answered all of the questions for this page. Press the "Next page" button below to move to the operational expenses page.</v>
      </c>
      <c r="BS143" t="s">
        <v>402</v>
      </c>
      <c r="BU143" s="608">
        <f t="shared" si="12"/>
        <v>280</v>
      </c>
      <c r="BV143" s="608">
        <f t="shared" si="13"/>
        <v>40000</v>
      </c>
      <c r="BW143" s="608">
        <f t="shared" si="14"/>
        <v>156000</v>
      </c>
      <c r="BX143">
        <v>28000</v>
      </c>
      <c r="BY143">
        <v>40000</v>
      </c>
      <c r="BZ143">
        <v>52000</v>
      </c>
    </row>
    <row r="144" spans="54:78" x14ac:dyDescent="0.3">
      <c r="BS144" t="s">
        <v>403</v>
      </c>
      <c r="BU144" s="608">
        <f t="shared" si="12"/>
        <v>336</v>
      </c>
      <c r="BV144" s="608">
        <f t="shared" si="13"/>
        <v>48000</v>
      </c>
      <c r="BW144" s="608">
        <f t="shared" si="14"/>
        <v>187200</v>
      </c>
      <c r="BX144">
        <v>33600</v>
      </c>
      <c r="BY144">
        <v>48000</v>
      </c>
      <c r="BZ144">
        <v>62400</v>
      </c>
    </row>
    <row r="145" spans="71:78" x14ac:dyDescent="0.3">
      <c r="BS145" t="s">
        <v>404</v>
      </c>
      <c r="BU145" s="608">
        <f t="shared" si="12"/>
        <v>392</v>
      </c>
      <c r="BV145" s="608">
        <f t="shared" si="13"/>
        <v>56000</v>
      </c>
      <c r="BW145" s="608">
        <f t="shared" si="14"/>
        <v>218400</v>
      </c>
      <c r="BX145">
        <v>39200</v>
      </c>
      <c r="BY145">
        <v>56000</v>
      </c>
      <c r="BZ145">
        <v>72800</v>
      </c>
    </row>
  </sheetData>
  <mergeCells count="72">
    <mergeCell ref="P2:Q4"/>
    <mergeCell ref="G5:H7"/>
    <mergeCell ref="I5:J7"/>
    <mergeCell ref="K5:L7"/>
    <mergeCell ref="M5:N7"/>
    <mergeCell ref="O5:P7"/>
    <mergeCell ref="C4:D6"/>
    <mergeCell ref="S4:T6"/>
    <mergeCell ref="D11:S16"/>
    <mergeCell ref="E60:R63"/>
    <mergeCell ref="P40:S43"/>
    <mergeCell ref="D44:L47"/>
    <mergeCell ref="M44:O47"/>
    <mergeCell ref="P44:S47"/>
    <mergeCell ref="D48:L51"/>
    <mergeCell ref="M48:O51"/>
    <mergeCell ref="P48:S51"/>
    <mergeCell ref="F2:G4"/>
    <mergeCell ref="H2:I4"/>
    <mergeCell ref="J2:K4"/>
    <mergeCell ref="L2:M4"/>
    <mergeCell ref="N2:O4"/>
    <mergeCell ref="M64:N64"/>
    <mergeCell ref="O64:P64"/>
    <mergeCell ref="K64:L64"/>
    <mergeCell ref="I64:J64"/>
    <mergeCell ref="G64:H64"/>
    <mergeCell ref="Q64:R64"/>
    <mergeCell ref="G54:P58"/>
    <mergeCell ref="G18:P24"/>
    <mergeCell ref="D26:S30"/>
    <mergeCell ref="D31:L31"/>
    <mergeCell ref="M31:O31"/>
    <mergeCell ref="P31:S31"/>
    <mergeCell ref="D32:L35"/>
    <mergeCell ref="M32:O35"/>
    <mergeCell ref="P32:S35"/>
    <mergeCell ref="D36:L39"/>
    <mergeCell ref="M36:O39"/>
    <mergeCell ref="P36:S39"/>
    <mergeCell ref="D40:L43"/>
    <mergeCell ref="M40:O43"/>
    <mergeCell ref="E64:F64"/>
    <mergeCell ref="Q65:R67"/>
    <mergeCell ref="E68:F70"/>
    <mergeCell ref="M68:N70"/>
    <mergeCell ref="O68:P70"/>
    <mergeCell ref="K68:L70"/>
    <mergeCell ref="I68:J70"/>
    <mergeCell ref="G68:H70"/>
    <mergeCell ref="Q68:R70"/>
    <mergeCell ref="E65:F67"/>
    <mergeCell ref="M65:N67"/>
    <mergeCell ref="O65:P67"/>
    <mergeCell ref="K65:L67"/>
    <mergeCell ref="I65:J67"/>
    <mergeCell ref="G65:H67"/>
    <mergeCell ref="C84:D86"/>
    <mergeCell ref="G73:P78"/>
    <mergeCell ref="BT121:BZ121"/>
    <mergeCell ref="G85:H87"/>
    <mergeCell ref="I85:J87"/>
    <mergeCell ref="K85:L87"/>
    <mergeCell ref="M85:N87"/>
    <mergeCell ref="O85:P87"/>
    <mergeCell ref="F82:G84"/>
    <mergeCell ref="H82:I84"/>
    <mergeCell ref="S84:T86"/>
    <mergeCell ref="J82:K84"/>
    <mergeCell ref="L82:M84"/>
    <mergeCell ref="N82:O84"/>
    <mergeCell ref="P82:Q84"/>
  </mergeCells>
  <conditionalFormatting sqref="E65:J70 M65:R70">
    <cfRule type="expression" dxfId="2" priority="1">
      <formula>$Q65="Input invalid, using default"</formula>
    </cfRule>
  </conditionalFormatting>
  <hyperlinks>
    <hyperlink ref="F2:G4" location="UI.Welcome!A1" tooltip="Click to go to welcome page" display="Welcome Page" xr:uid="{45005B42-BA5F-4BD9-8D9C-96F1CC228BB7}"/>
    <hyperlink ref="H2:I4" location="UI.Farm!A1" tooltip="Click to go to farm inputs page" display="Farm Info" xr:uid="{E5E677CA-9F93-43EE-A517-E386DB6F49C7}"/>
    <hyperlink ref="I5:J7" location="UI.OpExpenses!A1" tooltip="Click to go to operational expenses page" display="Operational Expenses" xr:uid="{3E1C68B7-4E4C-4646-B4B4-AAC16911D04A}"/>
    <hyperlink ref="K5:L7" location="UI.Priorities!A1" tooltip="Click to go to priorities page" display="Priorities" xr:uid="{A59820D1-3A65-4330-B2F5-C2CFFB2D37A8}"/>
    <hyperlink ref="J2:K4" location="UI.Animals!A1" tooltip="Click to go to animals input page" display="Animals" xr:uid="{D8CF5B69-79B2-45A3-B1A3-CCADEBEAB798}"/>
    <hyperlink ref="P2:Q4" location="UI.Tractor!A1" tooltip="Click to go to tractor properties" display="Tractor Properties" xr:uid="{76BA7CB8-0252-425A-AFF7-7BB53AE8960D}"/>
    <hyperlink ref="N2:O4" location="UI.Streams!A1" tooltip="Click to go to the excess manure page" display="Excess Manure Streams" xr:uid="{62482588-2BD2-4F5E-9942-E0425C95C188}"/>
    <hyperlink ref="L2:M4" location="UI.Manure!A1" tooltip="Click to go to the manure characteristics page" display="Manure Characteristics" xr:uid="{EA24DA9A-14A5-4947-A40A-8E66D73154C6}"/>
    <hyperlink ref="O5:P7" location="UI.Inputs!A1" tooltip="Click to go to input results summary" display="Inputs Summary" xr:uid="{CD9AB679-734B-48F7-8463-194FC6B42B43}"/>
    <hyperlink ref="C4:D6" location="Results.Summary!A1" tooltip="Click to go to results summary page" display="Results Summary" xr:uid="{437ADB2F-137E-4623-8B11-B6447748DB8D}"/>
    <hyperlink ref="G5:H7" location="UI.Cap!A1" tooltip="Click to go to capital expenses page" display="Capital Expenses" xr:uid="{30D8F001-A58C-4FB0-AD43-2F42C11EE956}"/>
    <hyperlink ref="S4:T6" location="UI.OpExpenses!A1" tooltip="Click to go to operational expenses page" display="Operational Expenses" xr:uid="{AAD602A5-A473-4A1A-9228-531974663296}"/>
    <hyperlink ref="M5:N7" location="UI.Choice!A1" tooltip="Click to go to scenario choice page" display="Scenario Choices" xr:uid="{B5DE3EEF-F8D2-4311-9062-18990721A7F8}"/>
    <hyperlink ref="F82:G84" location="UI.Welcome!A1" tooltip="Click to go to welcome page" display="Welcome Page" xr:uid="{B75E70F2-0863-4367-8696-38BC1D097E8D}"/>
    <hyperlink ref="H82:I84" location="UI.Farm!A1" tooltip="Click to go to farm inputs page" display="Farm Info" xr:uid="{9BF36899-C24D-4CF1-8AF4-0AD6CDFE5ABC}"/>
    <hyperlink ref="I85:J87" location="UI.OpExpenses!A1" tooltip="Click to go to operational expenses page" display="Operational Expenses" xr:uid="{F29591C9-9F65-4E45-8DEC-394CAE833AD3}"/>
    <hyperlink ref="K85:L87" location="UI.Priorities!A1" tooltip="Click to go to priorities page" display="Priorities" xr:uid="{8A4F6DEC-51A9-4B4E-990E-D267352209BE}"/>
    <hyperlink ref="J82:K84" location="UI.Animals!A1" tooltip="Click to go to animals input page" display="Animals" xr:uid="{C34DF83F-87BF-4BF3-A553-09BC1E1AB3F9}"/>
    <hyperlink ref="P82:Q84" location="UI.Tractor!A1" tooltip="Click to go to tractor properties" display="Tractor Properties" xr:uid="{6AFA10B4-4B7D-461F-B3CE-078CCA49984E}"/>
    <hyperlink ref="N82:O84" location="UI.Streams!A1" tooltip="Click to go to the excess manure page" display="Excess Manure Streams" xr:uid="{7A00F981-8B79-428A-A86E-4456AD511139}"/>
    <hyperlink ref="L82:M84" location="UI.Manure!A1" tooltip="Click to go to the manure characteristics page" display="Manure Characteristics" xr:uid="{67A2B8E4-4E2D-40C5-A43E-77AD3F540799}"/>
    <hyperlink ref="O85:P87" location="UI.Inputs!A1" tooltip="Click to go to input results summary" display="Inputs Summary" xr:uid="{75392F33-6061-4C67-A033-661D9B813DBE}"/>
    <hyperlink ref="C84:D86" location="Results.Summary!A1" tooltip="Click to go to results summary page" display="Results Summary" xr:uid="{F9E18877-51D4-4712-9CA4-68195C0AA4C3}"/>
    <hyperlink ref="G85:H87" location="UI.Cap!A1" tooltip="Click to go to capital expenses page" display="Capital Expenses" xr:uid="{63502C13-BF6C-4052-B69F-5FCA897333C3}"/>
    <hyperlink ref="S84:T86" location="UI.OpExpenses!A1" tooltip="Click to go to operational expenses page" display="Operational Expenses" xr:uid="{C2C27A67-0279-401A-B476-24760BBDA13C}"/>
    <hyperlink ref="M85:N87" location="UI.Choice!A1" tooltip="Click to go to scenario choice page" display="Scenario Choices" xr:uid="{C9E901CC-012D-4F68-B5E8-CF79601F08E5}"/>
  </hyperlinks>
  <printOptions horizontalCentered="1" verticalCentered="1"/>
  <pageMargins left="0.7" right="0.7" top="0.75" bottom="0.75" header="0.3" footer="0.3"/>
  <pageSetup scale="5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F762-52E8-4065-B88A-21EE562F1B9C}">
  <sheetPr codeName="Sheet46">
    <tabColor rgb="FF00B0F0"/>
  </sheetPr>
  <dimension ref="A1:BN119"/>
  <sheetViews>
    <sheetView workbookViewId="0">
      <selection activeCell="K5" sqref="K5:L7"/>
    </sheetView>
  </sheetViews>
  <sheetFormatPr defaultColWidth="9.44140625" defaultRowHeight="14.4" x14ac:dyDescent="0.3"/>
  <cols>
    <col min="2" max="2" width="2.5546875" customWidth="1"/>
    <col min="3" max="3" width="9.44140625" customWidth="1"/>
    <col min="20" max="20" width="9.44140625" customWidth="1"/>
    <col min="21" max="21" width="2.5546875" customWidth="1"/>
    <col min="54" max="54" width="27.44140625" bestFit="1" customWidth="1"/>
    <col min="55" max="55" width="12.5546875" bestFit="1" customWidth="1"/>
    <col min="56" max="56" width="10.88671875" bestFit="1" customWidth="1"/>
    <col min="57" max="57" width="13.88671875" bestFit="1" customWidth="1"/>
    <col min="58" max="58" width="12.109375" bestFit="1" customWidth="1"/>
    <col min="59" max="59" width="10.88671875" bestFit="1" customWidth="1"/>
    <col min="60" max="60" width="11" bestFit="1" customWidth="1"/>
    <col min="61" max="61" width="10.33203125" bestFit="1" customWidth="1"/>
    <col min="62" max="62" width="10.5546875" bestFit="1" customWidth="1"/>
    <col min="63" max="63" width="18.44140625" bestFit="1" customWidth="1"/>
    <col min="64" max="64" width="11.109375" bestFit="1" customWidth="1"/>
    <col min="65" max="65" width="13.33203125" bestFit="1" customWidth="1"/>
  </cols>
  <sheetData>
    <row r="1" spans="1:36" x14ac:dyDescent="0.3">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row>
    <row r="2" spans="1:36" ht="15" customHeight="1" thickBot="1" x14ac:dyDescent="0.35">
      <c r="A2" s="926"/>
      <c r="B2" s="926"/>
      <c r="C2" s="923"/>
      <c r="D2" s="923"/>
      <c r="E2" s="923"/>
      <c r="F2" s="2345" t="s">
        <v>0</v>
      </c>
      <c r="G2" s="2346"/>
      <c r="H2" s="2345" t="s">
        <v>1</v>
      </c>
      <c r="I2" s="2346"/>
      <c r="J2" s="2345" t="s">
        <v>2</v>
      </c>
      <c r="K2" s="2346"/>
      <c r="L2" s="2345" t="s">
        <v>3</v>
      </c>
      <c r="M2" s="2346"/>
      <c r="N2" s="2345" t="s">
        <v>4</v>
      </c>
      <c r="O2" s="2346"/>
      <c r="P2" s="2345" t="s">
        <v>5</v>
      </c>
      <c r="Q2" s="2346"/>
      <c r="R2" s="1739"/>
      <c r="S2" s="926"/>
      <c r="T2" s="926"/>
      <c r="U2" s="926"/>
      <c r="V2" s="926"/>
      <c r="W2" s="926"/>
      <c r="X2" s="926"/>
      <c r="Y2" s="926"/>
      <c r="Z2" s="926"/>
      <c r="AA2" s="926"/>
      <c r="AB2" s="926"/>
      <c r="AC2" s="926"/>
      <c r="AD2" s="926"/>
      <c r="AE2" s="926"/>
      <c r="AF2" s="926"/>
      <c r="AG2" s="926"/>
      <c r="AH2" s="926"/>
      <c r="AI2" s="926"/>
      <c r="AJ2" s="926"/>
    </row>
    <row r="3" spans="1:36" ht="15" customHeight="1" thickTop="1" thickBot="1" x14ac:dyDescent="0.35">
      <c r="A3" s="926"/>
      <c r="B3" s="926"/>
      <c r="C3" s="923"/>
      <c r="D3" s="923"/>
      <c r="E3" s="923"/>
      <c r="F3" s="2347"/>
      <c r="G3" s="2348"/>
      <c r="H3" s="2347"/>
      <c r="I3" s="2348"/>
      <c r="J3" s="2347"/>
      <c r="K3" s="2348"/>
      <c r="L3" s="2347"/>
      <c r="M3" s="2348"/>
      <c r="N3" s="2347"/>
      <c r="O3" s="2348"/>
      <c r="P3" s="2347"/>
      <c r="Q3" s="2348"/>
      <c r="R3" s="1739"/>
      <c r="S3" s="926"/>
      <c r="T3" s="926"/>
      <c r="U3" s="926"/>
      <c r="V3" s="926"/>
      <c r="W3" s="926"/>
      <c r="X3" s="926"/>
      <c r="Y3" s="926"/>
      <c r="Z3" s="926"/>
      <c r="AA3" s="926"/>
      <c r="AB3" s="926"/>
      <c r="AC3" s="926"/>
      <c r="AD3" s="926"/>
      <c r="AE3" s="926"/>
      <c r="AF3" s="926"/>
      <c r="AG3" s="926"/>
      <c r="AH3" s="926"/>
      <c r="AI3" s="926"/>
      <c r="AJ3" s="926"/>
    </row>
    <row r="4" spans="1:36" ht="15" customHeight="1" thickTop="1" thickBot="1" x14ac:dyDescent="0.35">
      <c r="A4" s="926"/>
      <c r="B4" s="926"/>
      <c r="C4" s="2345" t="s">
        <v>6</v>
      </c>
      <c r="D4" s="2351"/>
      <c r="E4" s="923"/>
      <c r="F4" s="2349"/>
      <c r="G4" s="2350"/>
      <c r="H4" s="2349"/>
      <c r="I4" s="2350"/>
      <c r="J4" s="2349"/>
      <c r="K4" s="2350"/>
      <c r="L4" s="2349"/>
      <c r="M4" s="2350"/>
      <c r="N4" s="2349"/>
      <c r="O4" s="2350"/>
      <c r="P4" s="2349"/>
      <c r="Q4" s="2350"/>
      <c r="R4" s="926"/>
      <c r="S4" s="2356" t="s">
        <v>7</v>
      </c>
      <c r="T4" s="2357"/>
      <c r="U4" s="926"/>
      <c r="V4" s="926"/>
      <c r="W4" s="926"/>
      <c r="X4" s="926"/>
      <c r="Y4" s="926"/>
      <c r="Z4" s="926"/>
      <c r="AA4" s="926"/>
      <c r="AB4" s="926"/>
      <c r="AC4" s="926"/>
      <c r="AD4" s="926"/>
      <c r="AE4" s="926"/>
      <c r="AF4" s="926"/>
      <c r="AG4" s="926"/>
      <c r="AH4" s="926"/>
      <c r="AI4" s="926"/>
      <c r="AJ4" s="926"/>
    </row>
    <row r="5" spans="1:36" ht="15" customHeight="1" thickTop="1" thickBot="1" x14ac:dyDescent="0.35">
      <c r="A5" s="926"/>
      <c r="B5" s="926"/>
      <c r="C5" s="2352"/>
      <c r="D5" s="2353"/>
      <c r="E5" s="923"/>
      <c r="F5" s="926"/>
      <c r="G5" s="2345" t="s">
        <v>8</v>
      </c>
      <c r="H5" s="2346"/>
      <c r="I5" s="2362" t="s">
        <v>9</v>
      </c>
      <c r="J5" s="2363"/>
      <c r="K5" s="2345" t="s">
        <v>10</v>
      </c>
      <c r="L5" s="2346"/>
      <c r="M5" s="2345" t="s">
        <v>11</v>
      </c>
      <c r="N5" s="2346"/>
      <c r="O5" s="2345" t="s">
        <v>12</v>
      </c>
      <c r="P5" s="2346"/>
      <c r="Q5" s="926"/>
      <c r="R5" s="926"/>
      <c r="S5" s="2358"/>
      <c r="T5" s="2359"/>
      <c r="U5" s="926"/>
      <c r="V5" s="926"/>
      <c r="W5" s="926"/>
      <c r="X5" s="926"/>
      <c r="Y5" s="926"/>
      <c r="Z5" s="926"/>
      <c r="AA5" s="926"/>
      <c r="AB5" s="926"/>
      <c r="AC5" s="926"/>
      <c r="AD5" s="926"/>
      <c r="AE5" s="926"/>
      <c r="AF5" s="926"/>
      <c r="AG5" s="926"/>
      <c r="AH5" s="926"/>
      <c r="AI5" s="926"/>
      <c r="AJ5" s="926"/>
    </row>
    <row r="6" spans="1:36" ht="15" customHeight="1" thickTop="1" thickBot="1" x14ac:dyDescent="0.35">
      <c r="A6" s="926"/>
      <c r="B6" s="926"/>
      <c r="C6" s="2354"/>
      <c r="D6" s="2355"/>
      <c r="E6" s="923"/>
      <c r="F6" s="926"/>
      <c r="G6" s="2347"/>
      <c r="H6" s="2348"/>
      <c r="I6" s="2364"/>
      <c r="J6" s="2365"/>
      <c r="K6" s="2347"/>
      <c r="L6" s="2348"/>
      <c r="M6" s="2347"/>
      <c r="N6" s="2348"/>
      <c r="O6" s="2347"/>
      <c r="P6" s="2348"/>
      <c r="Q6" s="926"/>
      <c r="R6" s="926"/>
      <c r="S6" s="2360"/>
      <c r="T6" s="2361"/>
      <c r="U6" s="926"/>
      <c r="V6" s="926"/>
      <c r="W6" s="926"/>
      <c r="X6" s="926"/>
      <c r="Y6" s="926"/>
      <c r="Z6" s="926"/>
      <c r="AA6" s="926"/>
      <c r="AB6" s="926"/>
      <c r="AC6" s="926"/>
      <c r="AD6" s="926"/>
      <c r="AE6" s="926"/>
      <c r="AF6" s="926"/>
      <c r="AG6" s="926"/>
      <c r="AH6" s="926"/>
      <c r="AI6" s="926"/>
      <c r="AJ6" s="926"/>
    </row>
    <row r="7" spans="1:36" ht="15" customHeight="1" thickTop="1" thickBot="1" x14ac:dyDescent="0.35">
      <c r="A7" s="926"/>
      <c r="B7" s="926"/>
      <c r="C7" s="923"/>
      <c r="D7" s="923"/>
      <c r="E7" s="923"/>
      <c r="F7" s="926"/>
      <c r="G7" s="2349"/>
      <c r="H7" s="2350"/>
      <c r="I7" s="2366"/>
      <c r="J7" s="2367"/>
      <c r="K7" s="2349"/>
      <c r="L7" s="2350"/>
      <c r="M7" s="2349"/>
      <c r="N7" s="2350"/>
      <c r="O7" s="2349"/>
      <c r="P7" s="2350"/>
      <c r="Q7" s="923"/>
      <c r="R7" s="923"/>
      <c r="S7" s="926"/>
      <c r="T7" s="926"/>
      <c r="U7" s="926"/>
      <c r="V7" s="926"/>
      <c r="W7" s="926"/>
      <c r="X7" s="926"/>
      <c r="Y7" s="926"/>
      <c r="Z7" s="926"/>
      <c r="AA7" s="926"/>
      <c r="AB7" s="926"/>
      <c r="AC7" s="926"/>
      <c r="AD7" s="926"/>
      <c r="AE7" s="926"/>
      <c r="AF7" s="926"/>
      <c r="AG7" s="926"/>
      <c r="AH7" s="926"/>
      <c r="AI7" s="926"/>
      <c r="AJ7" s="926"/>
    </row>
    <row r="8" spans="1:36" ht="15" customHeight="1" x14ac:dyDescent="0.3">
      <c r="A8" s="926"/>
      <c r="B8" s="926"/>
      <c r="C8" s="924"/>
      <c r="D8" s="924"/>
      <c r="E8" s="924"/>
      <c r="F8" s="924"/>
      <c r="G8" s="924"/>
      <c r="H8" s="924"/>
      <c r="I8" s="924"/>
      <c r="J8" s="924"/>
      <c r="K8" s="924"/>
      <c r="L8" s="924"/>
      <c r="M8" s="924"/>
      <c r="N8" s="924"/>
      <c r="O8" s="924"/>
      <c r="P8" s="924"/>
      <c r="Q8" s="924"/>
      <c r="R8" s="924"/>
      <c r="S8" s="924"/>
      <c r="T8" s="923"/>
      <c r="U8" s="926"/>
      <c r="V8" s="926"/>
      <c r="W8" s="926"/>
      <c r="X8" s="926"/>
      <c r="Y8" s="926"/>
      <c r="Z8" s="926"/>
      <c r="AA8" s="926"/>
      <c r="AB8" s="926"/>
      <c r="AC8" s="926"/>
      <c r="AD8" s="926"/>
      <c r="AE8" s="926"/>
      <c r="AF8" s="926"/>
      <c r="AG8" s="926"/>
      <c r="AH8" s="926"/>
      <c r="AI8" s="926"/>
      <c r="AJ8" s="926"/>
    </row>
    <row r="9" spans="1:36" ht="15" customHeight="1" thickBot="1" x14ac:dyDescent="0.35">
      <c r="A9" s="926"/>
      <c r="B9" s="609"/>
      <c r="C9" s="609"/>
      <c r="D9" s="609"/>
      <c r="E9" s="609"/>
      <c r="F9" s="609"/>
      <c r="G9" s="609"/>
      <c r="H9" s="609"/>
      <c r="I9" s="609"/>
      <c r="J9" s="609"/>
      <c r="K9" s="609"/>
      <c r="L9" s="609"/>
      <c r="M9" s="609"/>
      <c r="N9" s="609"/>
      <c r="O9" s="609"/>
      <c r="P9" s="609"/>
      <c r="Q9" s="609"/>
      <c r="R9" s="609"/>
      <c r="S9" s="609"/>
      <c r="T9" s="609"/>
      <c r="U9" s="609"/>
      <c r="V9" s="926"/>
      <c r="W9" s="926"/>
      <c r="X9" s="926"/>
      <c r="Y9" s="926"/>
      <c r="Z9" s="926"/>
      <c r="AA9" s="926"/>
      <c r="AB9" s="926"/>
      <c r="AC9" s="926"/>
      <c r="AD9" s="926"/>
      <c r="AE9" s="926"/>
      <c r="AF9" s="926"/>
      <c r="AG9" s="926"/>
      <c r="AH9" s="926"/>
      <c r="AI9" s="926"/>
      <c r="AJ9" s="926"/>
    </row>
    <row r="10" spans="1:36" ht="15" customHeight="1" thickBot="1" x14ac:dyDescent="0.35">
      <c r="A10" s="926"/>
      <c r="B10" s="609"/>
      <c r="C10" s="959"/>
      <c r="D10" s="960"/>
      <c r="E10" s="960"/>
      <c r="F10" s="960"/>
      <c r="G10" s="960"/>
      <c r="H10" s="960"/>
      <c r="I10" s="960"/>
      <c r="J10" s="960"/>
      <c r="K10" s="960"/>
      <c r="L10" s="960"/>
      <c r="M10" s="960"/>
      <c r="N10" s="960"/>
      <c r="O10" s="960"/>
      <c r="P10" s="960"/>
      <c r="Q10" s="960"/>
      <c r="R10" s="960"/>
      <c r="S10" s="960"/>
      <c r="T10" s="961"/>
      <c r="U10" s="609"/>
      <c r="V10" s="926"/>
      <c r="W10" s="926"/>
      <c r="X10" s="926"/>
      <c r="Y10" s="926"/>
      <c r="Z10" s="926"/>
      <c r="AA10" s="926"/>
      <c r="AB10" s="926"/>
      <c r="AC10" s="926"/>
      <c r="AD10" s="926"/>
      <c r="AE10" s="926"/>
      <c r="AF10" s="926"/>
      <c r="AG10" s="926"/>
      <c r="AH10" s="926"/>
      <c r="AI10" s="926"/>
      <c r="AJ10" s="926"/>
    </row>
    <row r="11" spans="1:36" ht="15" customHeight="1" x14ac:dyDescent="0.3">
      <c r="A11" s="926"/>
      <c r="B11" s="609"/>
      <c r="C11" s="962"/>
      <c r="D11" s="2597" t="s">
        <v>405</v>
      </c>
      <c r="E11" s="2598"/>
      <c r="F11" s="2598"/>
      <c r="G11" s="2598"/>
      <c r="H11" s="2598"/>
      <c r="I11" s="2598"/>
      <c r="J11" s="2598"/>
      <c r="K11" s="2598"/>
      <c r="L11" s="2598"/>
      <c r="M11" s="2598"/>
      <c r="N11" s="2598"/>
      <c r="O11" s="2598"/>
      <c r="P11" s="2598"/>
      <c r="Q11" s="2598"/>
      <c r="R11" s="2598"/>
      <c r="S11" s="2599"/>
      <c r="T11" s="963"/>
      <c r="U11" s="609"/>
      <c r="V11" s="926"/>
      <c r="W11" s="926"/>
      <c r="X11" s="926"/>
      <c r="Y11" s="926"/>
      <c r="Z11" s="926"/>
      <c r="AA11" s="926"/>
      <c r="AB11" s="926"/>
      <c r="AC11" s="926"/>
      <c r="AD11" s="926"/>
      <c r="AE11" s="926"/>
      <c r="AF11" s="926"/>
      <c r="AG11" s="926"/>
      <c r="AH11" s="926"/>
      <c r="AI11" s="926"/>
      <c r="AJ11" s="926"/>
    </row>
    <row r="12" spans="1:36" ht="15" customHeight="1" x14ac:dyDescent="0.3">
      <c r="A12" s="926"/>
      <c r="B12" s="609"/>
      <c r="C12" s="962"/>
      <c r="D12" s="2600"/>
      <c r="E12" s="2601"/>
      <c r="F12" s="2601"/>
      <c r="G12" s="2601"/>
      <c r="H12" s="2601"/>
      <c r="I12" s="2601"/>
      <c r="J12" s="2601"/>
      <c r="K12" s="2601"/>
      <c r="L12" s="2601"/>
      <c r="M12" s="2601"/>
      <c r="N12" s="2601"/>
      <c r="O12" s="2601"/>
      <c r="P12" s="2601"/>
      <c r="Q12" s="2601"/>
      <c r="R12" s="2601"/>
      <c r="S12" s="2602"/>
      <c r="T12" s="963"/>
      <c r="U12" s="609"/>
      <c r="V12" s="926"/>
      <c r="W12" s="926"/>
      <c r="X12" s="926"/>
      <c r="Y12" s="926"/>
      <c r="Z12" s="926"/>
      <c r="AA12" s="926"/>
      <c r="AB12" s="926"/>
      <c r="AC12" s="926"/>
      <c r="AD12" s="926"/>
      <c r="AE12" s="926"/>
      <c r="AF12" s="926"/>
      <c r="AG12" s="926"/>
      <c r="AH12" s="926"/>
      <c r="AI12" s="926"/>
      <c r="AJ12" s="926"/>
    </row>
    <row r="13" spans="1:36" ht="15" customHeight="1" x14ac:dyDescent="0.3">
      <c r="A13" s="926"/>
      <c r="B13" s="609"/>
      <c r="C13" s="962"/>
      <c r="D13" s="2600"/>
      <c r="E13" s="2601"/>
      <c r="F13" s="2601"/>
      <c r="G13" s="2601"/>
      <c r="H13" s="2601"/>
      <c r="I13" s="2601"/>
      <c r="J13" s="2601"/>
      <c r="K13" s="2601"/>
      <c r="L13" s="2601"/>
      <c r="M13" s="2601"/>
      <c r="N13" s="2601"/>
      <c r="O13" s="2601"/>
      <c r="P13" s="2601"/>
      <c r="Q13" s="2601"/>
      <c r="R13" s="2601"/>
      <c r="S13" s="2602"/>
      <c r="T13" s="963"/>
      <c r="U13" s="609"/>
      <c r="V13" s="926"/>
      <c r="W13" s="926"/>
      <c r="X13" s="926"/>
      <c r="Y13" s="926"/>
      <c r="Z13" s="926"/>
      <c r="AA13" s="926"/>
      <c r="AB13" s="926"/>
      <c r="AC13" s="926"/>
      <c r="AD13" s="926"/>
      <c r="AE13" s="926"/>
      <c r="AF13" s="926"/>
      <c r="AG13" s="926"/>
      <c r="AH13" s="926"/>
      <c r="AI13" s="926"/>
      <c r="AJ13" s="926"/>
    </row>
    <row r="14" spans="1:36" ht="15" customHeight="1" x14ac:dyDescent="0.3">
      <c r="A14" s="926"/>
      <c r="B14" s="609"/>
      <c r="C14" s="962"/>
      <c r="D14" s="2600"/>
      <c r="E14" s="2601"/>
      <c r="F14" s="2601"/>
      <c r="G14" s="2601"/>
      <c r="H14" s="2601"/>
      <c r="I14" s="2601"/>
      <c r="J14" s="2601"/>
      <c r="K14" s="2601"/>
      <c r="L14" s="2601"/>
      <c r="M14" s="2601"/>
      <c r="N14" s="2601"/>
      <c r="O14" s="2601"/>
      <c r="P14" s="2601"/>
      <c r="Q14" s="2601"/>
      <c r="R14" s="2601"/>
      <c r="S14" s="2602"/>
      <c r="T14" s="963"/>
      <c r="U14" s="609"/>
      <c r="V14" s="926"/>
      <c r="W14" s="926"/>
      <c r="X14" s="926"/>
      <c r="Y14" s="926"/>
      <c r="Z14" s="926"/>
      <c r="AA14" s="926"/>
      <c r="AB14" s="926"/>
      <c r="AC14" s="926"/>
      <c r="AD14" s="926"/>
      <c r="AE14" s="926"/>
      <c r="AF14" s="926"/>
      <c r="AG14" s="926"/>
      <c r="AH14" s="926"/>
      <c r="AI14" s="926"/>
      <c r="AJ14" s="926"/>
    </row>
    <row r="15" spans="1:36" ht="15" customHeight="1" x14ac:dyDescent="0.3">
      <c r="A15" s="926"/>
      <c r="B15" s="609"/>
      <c r="C15" s="962"/>
      <c r="D15" s="2600"/>
      <c r="E15" s="2601"/>
      <c r="F15" s="2601"/>
      <c r="G15" s="2601"/>
      <c r="H15" s="2601"/>
      <c r="I15" s="2601"/>
      <c r="J15" s="2601"/>
      <c r="K15" s="2601"/>
      <c r="L15" s="2601"/>
      <c r="M15" s="2601"/>
      <c r="N15" s="2601"/>
      <c r="O15" s="2601"/>
      <c r="P15" s="2601"/>
      <c r="Q15" s="2601"/>
      <c r="R15" s="2601"/>
      <c r="S15" s="2602"/>
      <c r="T15" s="963"/>
      <c r="U15" s="609"/>
      <c r="V15" s="926"/>
      <c r="W15" s="926"/>
      <c r="X15" s="926"/>
      <c r="Y15" s="926"/>
      <c r="Z15" s="926"/>
      <c r="AA15" s="926"/>
      <c r="AB15" s="926"/>
      <c r="AC15" s="926"/>
      <c r="AD15" s="926"/>
      <c r="AE15" s="926"/>
      <c r="AF15" s="926"/>
      <c r="AG15" s="926"/>
      <c r="AH15" s="926"/>
      <c r="AI15" s="926"/>
      <c r="AJ15" s="926"/>
    </row>
    <row r="16" spans="1:36" ht="15" customHeight="1" thickBot="1" x14ac:dyDescent="0.35">
      <c r="A16" s="926"/>
      <c r="B16" s="609"/>
      <c r="C16" s="962"/>
      <c r="D16" s="2603"/>
      <c r="E16" s="2604"/>
      <c r="F16" s="2604"/>
      <c r="G16" s="2604"/>
      <c r="H16" s="2604"/>
      <c r="I16" s="2604"/>
      <c r="J16" s="2604"/>
      <c r="K16" s="2604"/>
      <c r="L16" s="2604"/>
      <c r="M16" s="2604"/>
      <c r="N16" s="2604"/>
      <c r="O16" s="2604"/>
      <c r="P16" s="2604"/>
      <c r="Q16" s="2604"/>
      <c r="R16" s="2604"/>
      <c r="S16" s="2605"/>
      <c r="T16" s="963"/>
      <c r="U16" s="609"/>
      <c r="V16" s="926"/>
      <c r="W16" s="926"/>
      <c r="X16" s="926"/>
      <c r="Y16" s="926"/>
      <c r="Z16" s="926"/>
      <c r="AA16" s="926"/>
      <c r="AB16" s="926"/>
      <c r="AC16" s="926"/>
      <c r="AD16" s="926"/>
      <c r="AE16" s="926"/>
      <c r="AF16" s="926"/>
      <c r="AG16" s="926"/>
      <c r="AH16" s="926"/>
      <c r="AI16" s="926"/>
      <c r="AJ16" s="926"/>
    </row>
    <row r="17" spans="1:36" ht="15" customHeight="1" thickBot="1" x14ac:dyDescent="0.35">
      <c r="A17" s="926"/>
      <c r="B17" s="609"/>
      <c r="C17" s="962"/>
      <c r="D17" s="40"/>
      <c r="E17" s="40"/>
      <c r="F17" s="40"/>
      <c r="G17" s="40"/>
      <c r="H17" s="40"/>
      <c r="I17" s="40"/>
      <c r="J17" s="40"/>
      <c r="K17" s="40"/>
      <c r="L17" s="40"/>
      <c r="M17" s="40"/>
      <c r="N17" s="40"/>
      <c r="O17" s="40"/>
      <c r="P17" s="40"/>
      <c r="Q17" s="40"/>
      <c r="R17" s="40"/>
      <c r="S17" s="40"/>
      <c r="T17" s="963"/>
      <c r="U17" s="609"/>
      <c r="V17" s="926"/>
      <c r="W17" s="926"/>
      <c r="X17" s="926"/>
      <c r="Y17" s="926"/>
      <c r="Z17" s="926"/>
      <c r="AA17" s="926"/>
      <c r="AB17" s="926"/>
      <c r="AC17" s="926"/>
      <c r="AD17" s="926"/>
      <c r="AE17" s="926"/>
      <c r="AF17" s="926"/>
      <c r="AG17" s="926"/>
      <c r="AH17" s="926"/>
      <c r="AI17" s="926"/>
      <c r="AJ17" s="926"/>
    </row>
    <row r="18" spans="1:36" ht="15" customHeight="1" thickTop="1" x14ac:dyDescent="0.3">
      <c r="A18" s="926"/>
      <c r="B18" s="609"/>
      <c r="C18" s="962"/>
      <c r="D18" s="40"/>
      <c r="E18" s="40"/>
      <c r="F18" s="40"/>
      <c r="G18" s="2376" t="s">
        <v>406</v>
      </c>
      <c r="H18" s="2377"/>
      <c r="I18" s="2377"/>
      <c r="J18" s="2377"/>
      <c r="K18" s="2377"/>
      <c r="L18" s="2377"/>
      <c r="M18" s="2377"/>
      <c r="N18" s="2377"/>
      <c r="O18" s="2377"/>
      <c r="P18" s="2378"/>
      <c r="Q18" s="40"/>
      <c r="R18" s="40"/>
      <c r="S18" s="40"/>
      <c r="T18" s="963"/>
      <c r="U18" s="609"/>
      <c r="V18" s="926"/>
      <c r="W18" s="926"/>
      <c r="X18" s="926"/>
      <c r="Y18" s="926"/>
      <c r="Z18" s="926"/>
      <c r="AA18" s="926"/>
      <c r="AB18" s="926"/>
      <c r="AC18" s="926"/>
      <c r="AD18" s="926"/>
      <c r="AE18" s="926"/>
      <c r="AF18" s="926"/>
      <c r="AG18" s="926"/>
      <c r="AH18" s="926"/>
      <c r="AI18" s="926"/>
      <c r="AJ18" s="926"/>
    </row>
    <row r="19" spans="1:36" ht="15" customHeight="1" x14ac:dyDescent="0.3">
      <c r="A19" s="926"/>
      <c r="B19" s="609"/>
      <c r="C19" s="962"/>
      <c r="D19" s="40"/>
      <c r="E19" s="40"/>
      <c r="F19" s="40"/>
      <c r="G19" s="2379"/>
      <c r="H19" s="2380"/>
      <c r="I19" s="2380"/>
      <c r="J19" s="2380"/>
      <c r="K19" s="2380"/>
      <c r="L19" s="2380"/>
      <c r="M19" s="2380"/>
      <c r="N19" s="2380"/>
      <c r="O19" s="2380"/>
      <c r="P19" s="2381"/>
      <c r="Q19" s="40"/>
      <c r="R19" s="40"/>
      <c r="S19" s="40"/>
      <c r="T19" s="963"/>
      <c r="U19" s="609"/>
      <c r="V19" s="926"/>
      <c r="W19" s="926"/>
      <c r="X19" s="926"/>
      <c r="Y19" s="926"/>
      <c r="Z19" s="926"/>
      <c r="AA19" s="926"/>
      <c r="AB19" s="926"/>
      <c r="AC19" s="926"/>
      <c r="AD19" s="926"/>
      <c r="AE19" s="926"/>
      <c r="AF19" s="926"/>
      <c r="AG19" s="926"/>
      <c r="AH19" s="926"/>
      <c r="AI19" s="926"/>
      <c r="AJ19" s="926"/>
    </row>
    <row r="20" spans="1:36" ht="15" customHeight="1" x14ac:dyDescent="0.3">
      <c r="A20" s="926"/>
      <c r="B20" s="609"/>
      <c r="C20" s="962"/>
      <c r="D20" s="40"/>
      <c r="E20" s="40"/>
      <c r="F20" s="40"/>
      <c r="G20" s="2379"/>
      <c r="H20" s="2380"/>
      <c r="I20" s="2380"/>
      <c r="J20" s="2380"/>
      <c r="K20" s="2380"/>
      <c r="L20" s="2380"/>
      <c r="M20" s="2380"/>
      <c r="N20" s="2380"/>
      <c r="O20" s="2380"/>
      <c r="P20" s="2381"/>
      <c r="Q20" s="40"/>
      <c r="R20" s="40"/>
      <c r="S20" s="40"/>
      <c r="T20" s="963"/>
      <c r="U20" s="609"/>
      <c r="V20" s="926"/>
      <c r="W20" s="926"/>
      <c r="X20" s="926"/>
      <c r="Y20" s="926"/>
      <c r="Z20" s="926"/>
      <c r="AA20" s="926"/>
      <c r="AB20" s="926"/>
      <c r="AC20" s="926"/>
      <c r="AD20" s="926"/>
      <c r="AE20" s="926"/>
      <c r="AF20" s="926"/>
      <c r="AG20" s="926"/>
      <c r="AH20" s="926"/>
      <c r="AI20" s="926"/>
      <c r="AJ20" s="926"/>
    </row>
    <row r="21" spans="1:36" ht="15" customHeight="1" x14ac:dyDescent="0.3">
      <c r="A21" s="926"/>
      <c r="B21" s="609"/>
      <c r="C21" s="962"/>
      <c r="D21" s="40"/>
      <c r="E21" s="40"/>
      <c r="F21" s="40"/>
      <c r="G21" s="2379"/>
      <c r="H21" s="2380"/>
      <c r="I21" s="2380"/>
      <c r="J21" s="2380"/>
      <c r="K21" s="2380"/>
      <c r="L21" s="2380"/>
      <c r="M21" s="2380"/>
      <c r="N21" s="2380"/>
      <c r="O21" s="2380"/>
      <c r="P21" s="2381"/>
      <c r="Q21" s="40"/>
      <c r="R21" s="40"/>
      <c r="S21" s="40"/>
      <c r="T21" s="963"/>
      <c r="U21" s="609"/>
      <c r="V21" s="926"/>
      <c r="W21" s="926"/>
      <c r="X21" s="926"/>
      <c r="Y21" s="926"/>
      <c r="Z21" s="926"/>
      <c r="AA21" s="926"/>
      <c r="AB21" s="926"/>
      <c r="AC21" s="926"/>
      <c r="AD21" s="926"/>
      <c r="AE21" s="926"/>
      <c r="AF21" s="926"/>
      <c r="AG21" s="926"/>
      <c r="AH21" s="926"/>
      <c r="AI21" s="926"/>
      <c r="AJ21" s="926"/>
    </row>
    <row r="22" spans="1:36" ht="15" customHeight="1" x14ac:dyDescent="0.3">
      <c r="A22" s="926"/>
      <c r="B22" s="609"/>
      <c r="C22" s="962"/>
      <c r="D22" s="40"/>
      <c r="E22" s="40"/>
      <c r="F22" s="40"/>
      <c r="G22" s="2379"/>
      <c r="H22" s="2380"/>
      <c r="I22" s="2380"/>
      <c r="J22" s="2380"/>
      <c r="K22" s="2380"/>
      <c r="L22" s="2380"/>
      <c r="M22" s="2380"/>
      <c r="N22" s="2380"/>
      <c r="O22" s="2380"/>
      <c r="P22" s="2381"/>
      <c r="Q22" s="40"/>
      <c r="R22" s="40"/>
      <c r="S22" s="40"/>
      <c r="T22" s="963"/>
      <c r="U22" s="609"/>
      <c r="V22" s="926"/>
      <c r="W22" s="926"/>
      <c r="X22" s="926"/>
      <c r="Y22" s="926"/>
      <c r="Z22" s="926"/>
      <c r="AA22" s="926"/>
      <c r="AB22" s="926"/>
      <c r="AC22" s="926"/>
      <c r="AD22" s="926"/>
      <c r="AE22" s="926"/>
      <c r="AF22" s="926"/>
      <c r="AG22" s="926"/>
      <c r="AH22" s="926"/>
      <c r="AI22" s="926"/>
      <c r="AJ22" s="926"/>
    </row>
    <row r="23" spans="1:36" ht="15" customHeight="1" x14ac:dyDescent="0.3">
      <c r="A23" s="926"/>
      <c r="B23" s="609"/>
      <c r="C23" s="962"/>
      <c r="D23" s="40"/>
      <c r="E23" s="40"/>
      <c r="F23" s="40"/>
      <c r="G23" s="2379"/>
      <c r="H23" s="2380"/>
      <c r="I23" s="2380"/>
      <c r="J23" s="2380"/>
      <c r="K23" s="2380"/>
      <c r="L23" s="2380"/>
      <c r="M23" s="2380"/>
      <c r="N23" s="2380"/>
      <c r="O23" s="2380"/>
      <c r="P23" s="2381"/>
      <c r="Q23" s="40"/>
      <c r="R23" s="40"/>
      <c r="S23" s="40"/>
      <c r="T23" s="963"/>
      <c r="U23" s="609"/>
      <c r="V23" s="926"/>
      <c r="W23" s="926"/>
      <c r="X23" s="926"/>
      <c r="Y23" s="926"/>
      <c r="Z23" s="926"/>
      <c r="AA23" s="926"/>
      <c r="AB23" s="926"/>
      <c r="AC23" s="926"/>
      <c r="AD23" s="926"/>
      <c r="AE23" s="926"/>
      <c r="AF23" s="926"/>
      <c r="AG23" s="926"/>
      <c r="AH23" s="926"/>
      <c r="AI23" s="926"/>
      <c r="AJ23" s="926"/>
    </row>
    <row r="24" spans="1:36" ht="15" customHeight="1" x14ac:dyDescent="0.3">
      <c r="A24" s="926"/>
      <c r="B24" s="609"/>
      <c r="C24" s="962"/>
      <c r="D24" s="40"/>
      <c r="E24" s="40"/>
      <c r="F24" s="40"/>
      <c r="G24" s="2379"/>
      <c r="H24" s="2380"/>
      <c r="I24" s="2380"/>
      <c r="J24" s="2380"/>
      <c r="K24" s="2380"/>
      <c r="L24" s="2380"/>
      <c r="M24" s="2380"/>
      <c r="N24" s="2380"/>
      <c r="O24" s="2380"/>
      <c r="P24" s="2381"/>
      <c r="Q24" s="40"/>
      <c r="R24" s="40"/>
      <c r="S24" s="40"/>
      <c r="T24" s="963"/>
      <c r="U24" s="609"/>
      <c r="V24" s="926"/>
      <c r="W24" s="926"/>
      <c r="X24" s="926"/>
      <c r="Y24" s="926"/>
      <c r="Z24" s="926"/>
      <c r="AA24" s="926"/>
      <c r="AB24" s="926"/>
      <c r="AC24" s="926"/>
      <c r="AD24" s="926"/>
      <c r="AE24" s="926"/>
      <c r="AF24" s="926"/>
      <c r="AG24" s="926"/>
      <c r="AH24" s="926"/>
      <c r="AI24" s="926"/>
      <c r="AJ24" s="926"/>
    </row>
    <row r="25" spans="1:36" ht="15" customHeight="1" x14ac:dyDescent="0.3">
      <c r="A25" s="926"/>
      <c r="B25" s="609"/>
      <c r="C25" s="962"/>
      <c r="D25" s="40"/>
      <c r="E25" s="40"/>
      <c r="F25" s="40"/>
      <c r="G25" s="2379"/>
      <c r="H25" s="2380"/>
      <c r="I25" s="2380"/>
      <c r="J25" s="2380"/>
      <c r="K25" s="2380"/>
      <c r="L25" s="2380"/>
      <c r="M25" s="2380"/>
      <c r="N25" s="2380"/>
      <c r="O25" s="2380"/>
      <c r="P25" s="2381"/>
      <c r="Q25" s="40"/>
      <c r="R25" s="40"/>
      <c r="S25" s="40"/>
      <c r="T25" s="963"/>
      <c r="U25" s="609"/>
      <c r="V25" s="926"/>
      <c r="W25" s="926"/>
      <c r="X25" s="926"/>
      <c r="Y25" s="926"/>
      <c r="Z25" s="926"/>
      <c r="AA25" s="926"/>
      <c r="AB25" s="926"/>
      <c r="AC25" s="926"/>
      <c r="AD25" s="926"/>
      <c r="AE25" s="926"/>
      <c r="AF25" s="926"/>
      <c r="AG25" s="926"/>
      <c r="AH25" s="926"/>
      <c r="AI25" s="926"/>
      <c r="AJ25" s="926"/>
    </row>
    <row r="26" spans="1:36" ht="15" customHeight="1" thickBot="1" x14ac:dyDescent="0.35">
      <c r="A26" s="926"/>
      <c r="B26" s="609"/>
      <c r="C26" s="962"/>
      <c r="D26" s="40"/>
      <c r="E26" s="40"/>
      <c r="F26" s="40"/>
      <c r="G26" s="2382"/>
      <c r="H26" s="2383"/>
      <c r="I26" s="2383"/>
      <c r="J26" s="2383"/>
      <c r="K26" s="2383"/>
      <c r="L26" s="2383"/>
      <c r="M26" s="2383"/>
      <c r="N26" s="2383"/>
      <c r="O26" s="2383"/>
      <c r="P26" s="2384"/>
      <c r="Q26" s="40"/>
      <c r="R26" s="40"/>
      <c r="S26" s="40"/>
      <c r="T26" s="963"/>
      <c r="U26" s="609"/>
      <c r="V26" s="926"/>
      <c r="W26" s="926"/>
      <c r="X26" s="926"/>
      <c r="Y26" s="926"/>
      <c r="Z26" s="926"/>
      <c r="AA26" s="926"/>
      <c r="AB26" s="926"/>
      <c r="AC26" s="926"/>
      <c r="AD26" s="926"/>
      <c r="AE26" s="926"/>
      <c r="AF26" s="926"/>
      <c r="AG26" s="926"/>
      <c r="AH26" s="926"/>
      <c r="AI26" s="926"/>
      <c r="AJ26" s="926"/>
    </row>
    <row r="27" spans="1:36" ht="15" customHeight="1" thickTop="1" x14ac:dyDescent="0.3">
      <c r="A27" s="926"/>
      <c r="B27" s="609"/>
      <c r="C27" s="962"/>
      <c r="D27" s="40"/>
      <c r="E27" s="40"/>
      <c r="F27" s="40"/>
      <c r="G27" s="40"/>
      <c r="H27" s="40"/>
      <c r="I27" s="40"/>
      <c r="J27" s="40"/>
      <c r="K27" s="40"/>
      <c r="L27" s="40"/>
      <c r="M27" s="40"/>
      <c r="N27" s="40"/>
      <c r="O27" s="40"/>
      <c r="P27" s="40"/>
      <c r="Q27" s="40"/>
      <c r="R27" s="40"/>
      <c r="S27" s="40"/>
      <c r="T27" s="963"/>
      <c r="U27" s="609"/>
      <c r="V27" s="926"/>
      <c r="W27" s="926"/>
      <c r="X27" s="926"/>
      <c r="Y27" s="926"/>
      <c r="Z27" s="926"/>
      <c r="AA27" s="926"/>
      <c r="AB27" s="926"/>
      <c r="AC27" s="926"/>
      <c r="AD27" s="926"/>
      <c r="AE27" s="926"/>
      <c r="AF27" s="926"/>
      <c r="AG27" s="926"/>
      <c r="AH27" s="926"/>
      <c r="AI27" s="926"/>
      <c r="AJ27" s="926"/>
    </row>
    <row r="28" spans="1:36" ht="15" customHeight="1" x14ac:dyDescent="0.3">
      <c r="A28" s="926"/>
      <c r="B28" s="609"/>
      <c r="C28" s="962"/>
      <c r="D28" s="40"/>
      <c r="E28" s="2566" t="s">
        <v>407</v>
      </c>
      <c r="F28" s="2566"/>
      <c r="G28" s="2566"/>
      <c r="H28" s="2566"/>
      <c r="I28" s="2566"/>
      <c r="J28" s="2566"/>
      <c r="K28" s="2566"/>
      <c r="L28" s="2566"/>
      <c r="M28" s="2566"/>
      <c r="N28" s="2566"/>
      <c r="O28" s="2566"/>
      <c r="P28" s="2566"/>
      <c r="Q28" s="2566"/>
      <c r="R28" s="2566"/>
      <c r="S28" s="40"/>
      <c r="T28" s="963"/>
      <c r="U28" s="609"/>
      <c r="V28" s="926"/>
      <c r="W28" s="926"/>
      <c r="X28" s="926"/>
      <c r="Y28" s="926"/>
      <c r="Z28" s="926"/>
      <c r="AA28" s="926"/>
      <c r="AB28" s="926"/>
      <c r="AC28" s="926"/>
      <c r="AD28" s="926"/>
      <c r="AE28" s="926"/>
      <c r="AF28" s="926"/>
      <c r="AG28" s="926"/>
      <c r="AH28" s="926"/>
      <c r="AI28" s="926"/>
      <c r="AJ28" s="926"/>
    </row>
    <row r="29" spans="1:36" ht="15" customHeight="1" x14ac:dyDescent="0.3">
      <c r="A29" s="926"/>
      <c r="B29" s="609"/>
      <c r="C29" s="962"/>
      <c r="D29" s="40"/>
      <c r="E29" s="2566"/>
      <c r="F29" s="2566"/>
      <c r="G29" s="2566"/>
      <c r="H29" s="2566"/>
      <c r="I29" s="2566"/>
      <c r="J29" s="2566"/>
      <c r="K29" s="2566"/>
      <c r="L29" s="2566"/>
      <c r="M29" s="2566"/>
      <c r="N29" s="2566"/>
      <c r="O29" s="2566"/>
      <c r="P29" s="2566"/>
      <c r="Q29" s="2566"/>
      <c r="R29" s="2566"/>
      <c r="S29" s="40"/>
      <c r="T29" s="963"/>
      <c r="U29" s="609"/>
      <c r="V29" s="926"/>
      <c r="W29" s="926"/>
      <c r="X29" s="926"/>
      <c r="Y29" s="926"/>
      <c r="Z29" s="926"/>
      <c r="AA29" s="926"/>
      <c r="AB29" s="926"/>
      <c r="AC29" s="926"/>
      <c r="AD29" s="926"/>
      <c r="AE29" s="926"/>
      <c r="AF29" s="926"/>
      <c r="AG29" s="926"/>
      <c r="AH29" s="926"/>
      <c r="AI29" s="926"/>
      <c r="AJ29" s="926"/>
    </row>
    <row r="30" spans="1:36" ht="15" customHeight="1" x14ac:dyDescent="0.3">
      <c r="A30" s="926"/>
      <c r="B30" s="609"/>
      <c r="C30" s="962"/>
      <c r="D30" s="40"/>
      <c r="E30" s="2566"/>
      <c r="F30" s="2566"/>
      <c r="G30" s="2566"/>
      <c r="H30" s="2566"/>
      <c r="I30" s="2566"/>
      <c r="J30" s="2566"/>
      <c r="K30" s="2566"/>
      <c r="L30" s="2566"/>
      <c r="M30" s="2566"/>
      <c r="N30" s="2566"/>
      <c r="O30" s="2566"/>
      <c r="P30" s="2566"/>
      <c r="Q30" s="2566"/>
      <c r="R30" s="2566"/>
      <c r="S30" s="40"/>
      <c r="T30" s="963"/>
      <c r="U30" s="609"/>
      <c r="V30" s="926"/>
      <c r="W30" s="926"/>
      <c r="X30" s="926"/>
      <c r="Y30" s="926"/>
      <c r="Z30" s="926"/>
      <c r="AA30" s="926"/>
      <c r="AB30" s="926"/>
      <c r="AC30" s="926"/>
      <c r="AD30" s="926"/>
      <c r="AE30" s="926"/>
      <c r="AF30" s="926"/>
      <c r="AG30" s="926"/>
      <c r="AH30" s="926"/>
      <c r="AI30" s="926"/>
      <c r="AJ30" s="926"/>
    </row>
    <row r="31" spans="1:36" ht="15" customHeight="1" x14ac:dyDescent="0.3">
      <c r="A31" s="926"/>
      <c r="B31" s="609"/>
      <c r="C31" s="962"/>
      <c r="D31" s="40"/>
      <c r="E31" s="2681"/>
      <c r="F31" s="2681"/>
      <c r="G31" s="2681"/>
      <c r="H31" s="2681"/>
      <c r="I31" s="2681"/>
      <c r="J31" s="2681"/>
      <c r="K31" s="2681"/>
      <c r="L31" s="2681"/>
      <c r="M31" s="2681"/>
      <c r="N31" s="2681"/>
      <c r="O31" s="2681"/>
      <c r="P31" s="2681"/>
      <c r="Q31" s="2681"/>
      <c r="R31" s="2681"/>
      <c r="S31" s="40"/>
      <c r="T31" s="963"/>
      <c r="U31" s="609"/>
      <c r="V31" s="926"/>
      <c r="W31" s="926"/>
      <c r="X31" s="926"/>
      <c r="Y31" s="926"/>
      <c r="Z31" s="926"/>
      <c r="AA31" s="926"/>
      <c r="AB31" s="926"/>
      <c r="AC31" s="926"/>
      <c r="AD31" s="926"/>
      <c r="AE31" s="926"/>
      <c r="AF31" s="926"/>
      <c r="AG31" s="926"/>
      <c r="AH31" s="926"/>
      <c r="AI31" s="926"/>
      <c r="AJ31" s="926"/>
    </row>
    <row r="32" spans="1:36" ht="15" customHeight="1" x14ac:dyDescent="0.3">
      <c r="A32" s="926"/>
      <c r="B32" s="609"/>
      <c r="C32" s="962"/>
      <c r="D32" s="40"/>
      <c r="E32" s="2397" t="s">
        <v>352</v>
      </c>
      <c r="F32" s="2397"/>
      <c r="G32" s="2397" t="s">
        <v>38</v>
      </c>
      <c r="H32" s="2397"/>
      <c r="I32" s="2397" t="s">
        <v>39</v>
      </c>
      <c r="J32" s="2397"/>
      <c r="K32" s="2397" t="s">
        <v>40</v>
      </c>
      <c r="L32" s="2397"/>
      <c r="M32" s="2397" t="s">
        <v>41</v>
      </c>
      <c r="N32" s="2397"/>
      <c r="O32" s="2397" t="s">
        <v>42</v>
      </c>
      <c r="P32" s="2397"/>
      <c r="Q32" s="2397" t="s">
        <v>43</v>
      </c>
      <c r="R32" s="2397"/>
      <c r="S32" s="40"/>
      <c r="T32" s="963"/>
      <c r="U32" s="609"/>
      <c r="V32" s="926"/>
      <c r="W32" s="926"/>
      <c r="X32" s="926"/>
      <c r="Y32" s="926"/>
      <c r="Z32" s="926"/>
      <c r="AA32" s="926"/>
      <c r="AB32" s="926"/>
      <c r="AC32" s="926"/>
      <c r="AD32" s="926"/>
      <c r="AE32" s="926"/>
      <c r="AF32" s="926"/>
      <c r="AG32" s="926"/>
      <c r="AH32" s="926"/>
      <c r="AI32" s="926"/>
      <c r="AJ32" s="926"/>
    </row>
    <row r="33" spans="1:36" ht="15" customHeight="1" x14ac:dyDescent="0.3">
      <c r="A33" s="926"/>
      <c r="B33" s="609"/>
      <c r="C33" s="962"/>
      <c r="D33" s="40"/>
      <c r="E33" s="2680" t="s">
        <v>408</v>
      </c>
      <c r="F33" s="2680"/>
      <c r="G33" s="2679" t="str">
        <f>BG105</f>
        <v>$/hr</v>
      </c>
      <c r="H33" s="2679"/>
      <c r="I33" s="2676">
        <f>BE105</f>
        <v>23.66</v>
      </c>
      <c r="J33" s="2676"/>
      <c r="K33" s="2677"/>
      <c r="L33" s="2677"/>
      <c r="M33" s="2676">
        <f>BI105</f>
        <v>10</v>
      </c>
      <c r="N33" s="2676"/>
      <c r="O33" s="2676">
        <f>BJ105</f>
        <v>75</v>
      </c>
      <c r="P33" s="2676"/>
      <c r="Q33" s="2398" t="str">
        <f>BN105</f>
        <v>Using default</v>
      </c>
      <c r="R33" s="2398"/>
      <c r="S33" s="40"/>
      <c r="T33" s="963"/>
      <c r="U33" s="609"/>
      <c r="V33" s="926"/>
      <c r="W33" s="926"/>
      <c r="X33" s="926"/>
      <c r="Y33" s="926"/>
      <c r="Z33" s="926"/>
      <c r="AA33" s="926"/>
      <c r="AB33" s="926"/>
      <c r="AC33" s="926"/>
      <c r="AD33" s="926"/>
      <c r="AE33" s="926"/>
      <c r="AF33" s="926"/>
      <c r="AG33" s="926"/>
      <c r="AH33" s="926"/>
      <c r="AI33" s="926"/>
      <c r="AJ33" s="926"/>
    </row>
    <row r="34" spans="1:36" ht="15" customHeight="1" x14ac:dyDescent="0.3">
      <c r="A34" s="926"/>
      <c r="B34" s="609"/>
      <c r="C34" s="962"/>
      <c r="D34" s="40"/>
      <c r="E34" s="2680"/>
      <c r="F34" s="2680"/>
      <c r="G34" s="2679"/>
      <c r="H34" s="2679"/>
      <c r="I34" s="2676"/>
      <c r="J34" s="2676"/>
      <c r="K34" s="2677"/>
      <c r="L34" s="2677"/>
      <c r="M34" s="2676"/>
      <c r="N34" s="2676"/>
      <c r="O34" s="2676"/>
      <c r="P34" s="2676"/>
      <c r="Q34" s="2398"/>
      <c r="R34" s="2398"/>
      <c r="S34" s="40"/>
      <c r="T34" s="963"/>
      <c r="U34" s="609"/>
      <c r="V34" s="926"/>
      <c r="W34" s="926"/>
      <c r="X34" s="926"/>
      <c r="Y34" s="926"/>
      <c r="Z34" s="926"/>
      <c r="AA34" s="926"/>
      <c r="AB34" s="926"/>
      <c r="AC34" s="926"/>
      <c r="AD34" s="926"/>
      <c r="AE34" s="926"/>
      <c r="AF34" s="926"/>
      <c r="AG34" s="926"/>
      <c r="AH34" s="926"/>
      <c r="AI34" s="926"/>
      <c r="AJ34" s="926"/>
    </row>
    <row r="35" spans="1:36" ht="15" customHeight="1" x14ac:dyDescent="0.3">
      <c r="A35" s="926"/>
      <c r="B35" s="609"/>
      <c r="C35" s="962"/>
      <c r="D35" s="40"/>
      <c r="E35" s="2680"/>
      <c r="F35" s="2680"/>
      <c r="G35" s="2679"/>
      <c r="H35" s="2679"/>
      <c r="I35" s="2676"/>
      <c r="J35" s="2676"/>
      <c r="K35" s="2677"/>
      <c r="L35" s="2677"/>
      <c r="M35" s="2676"/>
      <c r="N35" s="2676"/>
      <c r="O35" s="2676"/>
      <c r="P35" s="2676"/>
      <c r="Q35" s="2398"/>
      <c r="R35" s="2398"/>
      <c r="S35" s="40"/>
      <c r="T35" s="963"/>
      <c r="U35" s="609"/>
      <c r="V35" s="926"/>
      <c r="W35" s="926"/>
      <c r="X35" s="926"/>
      <c r="Y35" s="926"/>
      <c r="Z35" s="926"/>
      <c r="AA35" s="926"/>
      <c r="AB35" s="926"/>
      <c r="AC35" s="926"/>
      <c r="AD35" s="926"/>
      <c r="AE35" s="926"/>
      <c r="AF35" s="926"/>
      <c r="AG35" s="926"/>
      <c r="AH35" s="926"/>
      <c r="AI35" s="926"/>
      <c r="AJ35" s="926"/>
    </row>
    <row r="36" spans="1:36" ht="15" customHeight="1" x14ac:dyDescent="0.3">
      <c r="A36" s="926"/>
      <c r="B36" s="609"/>
      <c r="C36" s="962"/>
      <c r="D36" s="40"/>
      <c r="E36" s="2578" t="s">
        <v>409</v>
      </c>
      <c r="F36" s="2578"/>
      <c r="G36" s="2679" t="str">
        <f>BG106</f>
        <v>$/kWh</v>
      </c>
      <c r="H36" s="2679"/>
      <c r="I36" s="2676">
        <f>BE106</f>
        <v>6.8591666666666662E-2</v>
      </c>
      <c r="J36" s="2676"/>
      <c r="K36" s="2677"/>
      <c r="L36" s="2677"/>
      <c r="M36" s="2676">
        <f>BI106</f>
        <v>1.2619999999999999E-2</v>
      </c>
      <c r="N36" s="2676"/>
      <c r="O36" s="2676">
        <f>BJ106</f>
        <v>1.8839999999999999</v>
      </c>
      <c r="P36" s="2676"/>
      <c r="Q36" s="2398" t="str">
        <f>BN106</f>
        <v>Using default</v>
      </c>
      <c r="R36" s="2398"/>
      <c r="S36" s="40"/>
      <c r="T36" s="963"/>
      <c r="U36" s="609"/>
      <c r="V36" s="926"/>
      <c r="W36" s="926"/>
      <c r="X36" s="926"/>
      <c r="Y36" s="926"/>
      <c r="Z36" s="926"/>
      <c r="AA36" s="926"/>
      <c r="AB36" s="926"/>
      <c r="AC36" s="926"/>
      <c r="AD36" s="926"/>
      <c r="AE36" s="926"/>
      <c r="AF36" s="926"/>
      <c r="AG36" s="926"/>
      <c r="AH36" s="926"/>
      <c r="AI36" s="926"/>
      <c r="AJ36" s="926"/>
    </row>
    <row r="37" spans="1:36" ht="15" customHeight="1" x14ac:dyDescent="0.3">
      <c r="A37" s="926"/>
      <c r="B37" s="609"/>
      <c r="C37" s="962"/>
      <c r="D37" s="40"/>
      <c r="E37" s="2578"/>
      <c r="F37" s="2578"/>
      <c r="G37" s="2679"/>
      <c r="H37" s="2679"/>
      <c r="I37" s="2676"/>
      <c r="J37" s="2676"/>
      <c r="K37" s="2677"/>
      <c r="L37" s="2677"/>
      <c r="M37" s="2676"/>
      <c r="N37" s="2676"/>
      <c r="O37" s="2676"/>
      <c r="P37" s="2676"/>
      <c r="Q37" s="2398"/>
      <c r="R37" s="2398"/>
      <c r="S37" s="40"/>
      <c r="T37" s="963"/>
      <c r="U37" s="609"/>
      <c r="V37" s="926"/>
      <c r="W37" s="926"/>
      <c r="X37" s="926"/>
      <c r="Y37" s="926"/>
      <c r="Z37" s="926"/>
      <c r="AA37" s="926"/>
      <c r="AB37" s="926"/>
      <c r="AC37" s="926"/>
      <c r="AD37" s="926"/>
      <c r="AE37" s="926"/>
      <c r="AF37" s="926"/>
      <c r="AG37" s="926"/>
      <c r="AH37" s="926"/>
      <c r="AI37" s="926"/>
      <c r="AJ37" s="926"/>
    </row>
    <row r="38" spans="1:36" ht="15" customHeight="1" x14ac:dyDescent="0.3">
      <c r="A38" s="926"/>
      <c r="B38" s="609"/>
      <c r="C38" s="962"/>
      <c r="D38" s="40"/>
      <c r="E38" s="2578"/>
      <c r="F38" s="2578"/>
      <c r="G38" s="2679"/>
      <c r="H38" s="2679"/>
      <c r="I38" s="2676"/>
      <c r="J38" s="2676"/>
      <c r="K38" s="2677"/>
      <c r="L38" s="2677"/>
      <c r="M38" s="2676"/>
      <c r="N38" s="2676"/>
      <c r="O38" s="2676"/>
      <c r="P38" s="2676"/>
      <c r="Q38" s="2398"/>
      <c r="R38" s="2398"/>
      <c r="S38" s="40"/>
      <c r="T38" s="963"/>
      <c r="U38" s="609"/>
      <c r="V38" s="926"/>
      <c r="W38" s="926"/>
      <c r="X38" s="926"/>
      <c r="Y38" s="926"/>
      <c r="Z38" s="926"/>
      <c r="AA38" s="926"/>
      <c r="AB38" s="926"/>
      <c r="AC38" s="926"/>
      <c r="AD38" s="926"/>
      <c r="AE38" s="926"/>
      <c r="AF38" s="926"/>
      <c r="AG38" s="926"/>
      <c r="AH38" s="926"/>
      <c r="AI38" s="926"/>
      <c r="AJ38" s="926"/>
    </row>
    <row r="39" spans="1:36" ht="15" customHeight="1" x14ac:dyDescent="0.3">
      <c r="A39" s="926"/>
      <c r="B39" s="609"/>
      <c r="C39" s="962"/>
      <c r="D39" s="40"/>
      <c r="E39" s="2578" t="s">
        <v>410</v>
      </c>
      <c r="F39" s="2578"/>
      <c r="G39" s="2679" t="str">
        <f>BG107</f>
        <v>$/gal</v>
      </c>
      <c r="H39" s="2679"/>
      <c r="I39" s="2676">
        <f>BE107</f>
        <v>3.6964905660377356</v>
      </c>
      <c r="J39" s="2676"/>
      <c r="K39" s="2677"/>
      <c r="L39" s="2677"/>
      <c r="M39" s="2676">
        <f>BI107</f>
        <v>0.25</v>
      </c>
      <c r="N39" s="2676"/>
      <c r="O39" s="2676">
        <f>BJ107</f>
        <v>15</v>
      </c>
      <c r="P39" s="2676"/>
      <c r="Q39" s="2398" t="str">
        <f>BN107</f>
        <v>Using default</v>
      </c>
      <c r="R39" s="2398"/>
      <c r="S39" s="40"/>
      <c r="T39" s="963"/>
      <c r="U39" s="609"/>
      <c r="V39" s="926"/>
      <c r="W39" s="926"/>
      <c r="X39" s="926"/>
      <c r="Y39" s="926"/>
      <c r="Z39" s="926"/>
      <c r="AA39" s="926"/>
      <c r="AB39" s="926"/>
      <c r="AC39" s="926"/>
      <c r="AD39" s="926"/>
      <c r="AE39" s="926"/>
      <c r="AF39" s="926"/>
      <c r="AG39" s="926"/>
      <c r="AH39" s="926"/>
      <c r="AI39" s="926"/>
      <c r="AJ39" s="926"/>
    </row>
    <row r="40" spans="1:36" ht="15" customHeight="1" x14ac:dyDescent="0.3">
      <c r="A40" s="926"/>
      <c r="B40" s="609"/>
      <c r="C40" s="962"/>
      <c r="D40" s="40"/>
      <c r="E40" s="2578"/>
      <c r="F40" s="2578"/>
      <c r="G40" s="2679"/>
      <c r="H40" s="2679"/>
      <c r="I40" s="2676"/>
      <c r="J40" s="2676"/>
      <c r="K40" s="2677"/>
      <c r="L40" s="2677"/>
      <c r="M40" s="2676"/>
      <c r="N40" s="2676"/>
      <c r="O40" s="2676"/>
      <c r="P40" s="2676"/>
      <c r="Q40" s="2398"/>
      <c r="R40" s="2398"/>
      <c r="S40" s="40"/>
      <c r="T40" s="963"/>
      <c r="U40" s="609"/>
      <c r="V40" s="926"/>
      <c r="W40" s="926"/>
      <c r="X40" s="926"/>
      <c r="Y40" s="926"/>
      <c r="Z40" s="926"/>
      <c r="AA40" s="926"/>
      <c r="AB40" s="926"/>
      <c r="AC40" s="926"/>
      <c r="AD40" s="926"/>
      <c r="AE40" s="926"/>
      <c r="AF40" s="926"/>
      <c r="AG40" s="926"/>
      <c r="AH40" s="926"/>
      <c r="AI40" s="926"/>
      <c r="AJ40" s="926"/>
    </row>
    <row r="41" spans="1:36" ht="15" customHeight="1" x14ac:dyDescent="0.3">
      <c r="A41" s="926"/>
      <c r="B41" s="609"/>
      <c r="C41" s="962"/>
      <c r="D41" s="40"/>
      <c r="E41" s="2578"/>
      <c r="F41" s="2578"/>
      <c r="G41" s="2679"/>
      <c r="H41" s="2679"/>
      <c r="I41" s="2676"/>
      <c r="J41" s="2676"/>
      <c r="K41" s="2677"/>
      <c r="L41" s="2677"/>
      <c r="M41" s="2676"/>
      <c r="N41" s="2676"/>
      <c r="O41" s="2676"/>
      <c r="P41" s="2676"/>
      <c r="Q41" s="2398"/>
      <c r="R41" s="2398"/>
      <c r="S41" s="40"/>
      <c r="T41" s="963"/>
      <c r="U41" s="609"/>
      <c r="V41" s="926"/>
      <c r="W41" s="926"/>
      <c r="X41" s="926"/>
      <c r="Y41" s="926"/>
      <c r="Z41" s="926"/>
      <c r="AA41" s="926"/>
      <c r="AB41" s="926"/>
      <c r="AC41" s="926"/>
      <c r="AD41" s="926"/>
      <c r="AE41" s="926"/>
      <c r="AF41" s="926"/>
      <c r="AG41" s="926"/>
      <c r="AH41" s="926"/>
      <c r="AI41" s="926"/>
      <c r="AJ41" s="926"/>
    </row>
    <row r="42" spans="1:36" ht="15" customHeight="1" x14ac:dyDescent="0.3">
      <c r="A42" s="926"/>
      <c r="B42" s="609"/>
      <c r="C42" s="962"/>
      <c r="D42" s="40"/>
      <c r="E42" s="2578" t="s">
        <v>411</v>
      </c>
      <c r="F42" s="2578"/>
      <c r="G42" s="2679" t="str">
        <f>BG108</f>
        <v>$/gal</v>
      </c>
      <c r="H42" s="2679"/>
      <c r="I42" s="2676">
        <f>BE108</f>
        <v>3.2422641509433965</v>
      </c>
      <c r="J42" s="2676"/>
      <c r="K42" s="2677"/>
      <c r="L42" s="2677"/>
      <c r="M42" s="2676">
        <f>BI108</f>
        <v>0.25</v>
      </c>
      <c r="N42" s="2676"/>
      <c r="O42" s="2676">
        <f>BJ108</f>
        <v>15</v>
      </c>
      <c r="P42" s="2676"/>
      <c r="Q42" s="2398" t="str">
        <f>BN108</f>
        <v>Using default</v>
      </c>
      <c r="R42" s="2398"/>
      <c r="S42" s="40"/>
      <c r="T42" s="963"/>
      <c r="U42" s="609"/>
      <c r="V42" s="926"/>
      <c r="W42" s="926"/>
      <c r="X42" s="926"/>
      <c r="Y42" s="926"/>
      <c r="Z42" s="926"/>
      <c r="AA42" s="926"/>
      <c r="AB42" s="926"/>
      <c r="AC42" s="926"/>
      <c r="AD42" s="926"/>
      <c r="AE42" s="926"/>
      <c r="AF42" s="926"/>
      <c r="AG42" s="926"/>
      <c r="AH42" s="926"/>
      <c r="AI42" s="926"/>
      <c r="AJ42" s="926"/>
    </row>
    <row r="43" spans="1:36" ht="15" customHeight="1" x14ac:dyDescent="0.3">
      <c r="A43" s="926"/>
      <c r="B43" s="609"/>
      <c r="C43" s="962"/>
      <c r="D43" s="40"/>
      <c r="E43" s="2578"/>
      <c r="F43" s="2578"/>
      <c r="G43" s="2679"/>
      <c r="H43" s="2679"/>
      <c r="I43" s="2676"/>
      <c r="J43" s="2676"/>
      <c r="K43" s="2677"/>
      <c r="L43" s="2677"/>
      <c r="M43" s="2676"/>
      <c r="N43" s="2676"/>
      <c r="O43" s="2676"/>
      <c r="P43" s="2676"/>
      <c r="Q43" s="2398"/>
      <c r="R43" s="2398"/>
      <c r="S43" s="40"/>
      <c r="T43" s="963"/>
      <c r="U43" s="609"/>
      <c r="V43" s="926"/>
      <c r="W43" s="926"/>
      <c r="X43" s="926"/>
      <c r="Y43" s="926"/>
      <c r="Z43" s="926"/>
      <c r="AA43" s="926"/>
      <c r="AB43" s="926"/>
      <c r="AC43" s="926"/>
      <c r="AD43" s="926"/>
      <c r="AE43" s="926"/>
      <c r="AF43" s="926"/>
      <c r="AG43" s="926"/>
      <c r="AH43" s="926"/>
      <c r="AI43" s="926"/>
      <c r="AJ43" s="926"/>
    </row>
    <row r="44" spans="1:36" ht="15" customHeight="1" x14ac:dyDescent="0.3">
      <c r="A44" s="926"/>
      <c r="B44" s="609"/>
      <c r="C44" s="962"/>
      <c r="D44" s="40"/>
      <c r="E44" s="2578"/>
      <c r="F44" s="2578"/>
      <c r="G44" s="2679"/>
      <c r="H44" s="2679"/>
      <c r="I44" s="2676"/>
      <c r="J44" s="2676"/>
      <c r="K44" s="2677"/>
      <c r="L44" s="2677"/>
      <c r="M44" s="2676"/>
      <c r="N44" s="2676"/>
      <c r="O44" s="2676"/>
      <c r="P44" s="2676"/>
      <c r="Q44" s="2398"/>
      <c r="R44" s="2398"/>
      <c r="S44" s="40"/>
      <c r="T44" s="963"/>
      <c r="U44" s="609"/>
      <c r="V44" s="926"/>
      <c r="W44" s="926"/>
      <c r="X44" s="926"/>
      <c r="Y44" s="926"/>
      <c r="Z44" s="926"/>
      <c r="AA44" s="926"/>
      <c r="AB44" s="926"/>
      <c r="AC44" s="926"/>
      <c r="AD44" s="926"/>
      <c r="AE44" s="926"/>
      <c r="AF44" s="926"/>
      <c r="AG44" s="926"/>
      <c r="AH44" s="926"/>
      <c r="AI44" s="926"/>
      <c r="AJ44" s="926"/>
    </row>
    <row r="45" spans="1:36" ht="15" customHeight="1" x14ac:dyDescent="0.3">
      <c r="A45" s="926"/>
      <c r="B45" s="609"/>
      <c r="C45" s="962"/>
      <c r="D45" s="40"/>
      <c r="E45" s="2578" t="s">
        <v>412</v>
      </c>
      <c r="F45" s="2578"/>
      <c r="G45" s="2679" t="str">
        <f>BG109</f>
        <v>$/lb</v>
      </c>
      <c r="H45" s="2679"/>
      <c r="I45" s="2676">
        <f>BE109</f>
        <v>0.53</v>
      </c>
      <c r="J45" s="2676"/>
      <c r="K45" s="2677"/>
      <c r="L45" s="2677"/>
      <c r="M45" s="2676">
        <f>BI109</f>
        <v>0.1</v>
      </c>
      <c r="N45" s="2676"/>
      <c r="O45" s="2676">
        <f>BJ109</f>
        <v>1</v>
      </c>
      <c r="P45" s="2676"/>
      <c r="Q45" s="2398" t="str">
        <f>BN109</f>
        <v>Using default</v>
      </c>
      <c r="R45" s="2398"/>
      <c r="S45" s="40"/>
      <c r="T45" s="963"/>
      <c r="U45" s="609"/>
      <c r="V45" s="926"/>
      <c r="W45" s="926"/>
      <c r="X45" s="926"/>
      <c r="Y45" s="926"/>
      <c r="Z45" s="926"/>
      <c r="AA45" s="926"/>
      <c r="AB45" s="926"/>
      <c r="AC45" s="926"/>
      <c r="AD45" s="926"/>
      <c r="AE45" s="926"/>
      <c r="AF45" s="926"/>
      <c r="AG45" s="926"/>
      <c r="AH45" s="926"/>
      <c r="AI45" s="926"/>
      <c r="AJ45" s="926"/>
    </row>
    <row r="46" spans="1:36" ht="15" customHeight="1" x14ac:dyDescent="0.3">
      <c r="A46" s="926"/>
      <c r="B46" s="609"/>
      <c r="C46" s="962"/>
      <c r="D46" s="40"/>
      <c r="E46" s="2578"/>
      <c r="F46" s="2578"/>
      <c r="G46" s="2679"/>
      <c r="H46" s="2679"/>
      <c r="I46" s="2676"/>
      <c r="J46" s="2676"/>
      <c r="K46" s="2677"/>
      <c r="L46" s="2677"/>
      <c r="M46" s="2676"/>
      <c r="N46" s="2676"/>
      <c r="O46" s="2676"/>
      <c r="P46" s="2676"/>
      <c r="Q46" s="2398"/>
      <c r="R46" s="2398"/>
      <c r="S46" s="40"/>
      <c r="T46" s="963"/>
      <c r="U46" s="609"/>
      <c r="V46" s="926"/>
      <c r="W46" s="926"/>
      <c r="X46" s="926"/>
      <c r="Y46" s="926"/>
      <c r="Z46" s="926"/>
      <c r="AA46" s="926"/>
      <c r="AB46" s="926"/>
      <c r="AC46" s="926"/>
      <c r="AD46" s="926"/>
      <c r="AE46" s="926"/>
      <c r="AF46" s="926"/>
      <c r="AG46" s="926"/>
      <c r="AH46" s="926"/>
      <c r="AI46" s="926"/>
      <c r="AJ46" s="926"/>
    </row>
    <row r="47" spans="1:36" ht="15" customHeight="1" x14ac:dyDescent="0.3">
      <c r="A47" s="926"/>
      <c r="B47" s="609"/>
      <c r="C47" s="962"/>
      <c r="D47" s="40"/>
      <c r="E47" s="2578"/>
      <c r="F47" s="2578"/>
      <c r="G47" s="2679"/>
      <c r="H47" s="2679"/>
      <c r="I47" s="2676"/>
      <c r="J47" s="2676"/>
      <c r="K47" s="2677"/>
      <c r="L47" s="2677"/>
      <c r="M47" s="2676"/>
      <c r="N47" s="2676"/>
      <c r="O47" s="2676"/>
      <c r="P47" s="2676"/>
      <c r="Q47" s="2398"/>
      <c r="R47" s="2398"/>
      <c r="S47" s="40"/>
      <c r="T47" s="963"/>
      <c r="U47" s="609"/>
      <c r="V47" s="926"/>
      <c r="W47" s="926"/>
      <c r="X47" s="926"/>
      <c r="Y47" s="926"/>
      <c r="Z47" s="926"/>
      <c r="AA47" s="926"/>
      <c r="AB47" s="926"/>
      <c r="AC47" s="926"/>
      <c r="AD47" s="926"/>
      <c r="AE47" s="926"/>
      <c r="AF47" s="926"/>
      <c r="AG47" s="926"/>
      <c r="AH47" s="926"/>
      <c r="AI47" s="926"/>
      <c r="AJ47" s="926"/>
    </row>
    <row r="48" spans="1:36" ht="15" customHeight="1" x14ac:dyDescent="0.3">
      <c r="A48" s="926"/>
      <c r="B48" s="609"/>
      <c r="C48" s="962"/>
      <c r="D48" s="40"/>
      <c r="E48" s="2578" t="s">
        <v>413</v>
      </c>
      <c r="F48" s="2578"/>
      <c r="G48" s="2679" t="str">
        <f>BG110</f>
        <v>$/lb</v>
      </c>
      <c r="H48" s="2679"/>
      <c r="I48" s="2676">
        <f>BE110</f>
        <v>0.53</v>
      </c>
      <c r="J48" s="2676"/>
      <c r="K48" s="2677"/>
      <c r="L48" s="2677"/>
      <c r="M48" s="2676">
        <f>BI110</f>
        <v>0.1</v>
      </c>
      <c r="N48" s="2676"/>
      <c r="O48" s="2676">
        <f>BJ110</f>
        <v>1</v>
      </c>
      <c r="P48" s="2676"/>
      <c r="Q48" s="2398" t="str">
        <f>BN110</f>
        <v>Using default</v>
      </c>
      <c r="R48" s="2398"/>
      <c r="S48" s="40"/>
      <c r="T48" s="963"/>
      <c r="U48" s="609"/>
      <c r="V48" s="926"/>
      <c r="W48" s="926"/>
      <c r="X48" s="926"/>
      <c r="Y48" s="926"/>
      <c r="Z48" s="926"/>
      <c r="AA48" s="926"/>
      <c r="AB48" s="926"/>
      <c r="AC48" s="926"/>
      <c r="AD48" s="926"/>
      <c r="AE48" s="926"/>
      <c r="AF48" s="926"/>
      <c r="AG48" s="926"/>
      <c r="AH48" s="926"/>
      <c r="AI48" s="926"/>
      <c r="AJ48" s="926"/>
    </row>
    <row r="49" spans="1:36" ht="15" customHeight="1" x14ac:dyDescent="0.3">
      <c r="A49" s="926"/>
      <c r="B49" s="609"/>
      <c r="C49" s="962"/>
      <c r="D49" s="40"/>
      <c r="E49" s="2578"/>
      <c r="F49" s="2578"/>
      <c r="G49" s="2679"/>
      <c r="H49" s="2679"/>
      <c r="I49" s="2676"/>
      <c r="J49" s="2676"/>
      <c r="K49" s="2677"/>
      <c r="L49" s="2677"/>
      <c r="M49" s="2676"/>
      <c r="N49" s="2676"/>
      <c r="O49" s="2676"/>
      <c r="P49" s="2676"/>
      <c r="Q49" s="2398"/>
      <c r="R49" s="2398"/>
      <c r="S49" s="40"/>
      <c r="T49" s="963"/>
      <c r="U49" s="609"/>
      <c r="V49" s="926"/>
      <c r="W49" s="926"/>
      <c r="X49" s="926"/>
      <c r="Y49" s="926"/>
      <c r="Z49" s="926"/>
      <c r="AA49" s="926"/>
      <c r="AB49" s="926"/>
      <c r="AC49" s="926"/>
      <c r="AD49" s="926"/>
      <c r="AE49" s="926"/>
      <c r="AF49" s="926"/>
      <c r="AG49" s="926"/>
      <c r="AH49" s="926"/>
      <c r="AI49" s="926"/>
      <c r="AJ49" s="926"/>
    </row>
    <row r="50" spans="1:36" ht="15" customHeight="1" x14ac:dyDescent="0.3">
      <c r="A50" s="926"/>
      <c r="B50" s="609"/>
      <c r="C50" s="962"/>
      <c r="D50" s="40"/>
      <c r="E50" s="2578"/>
      <c r="F50" s="2578"/>
      <c r="G50" s="2679"/>
      <c r="H50" s="2679"/>
      <c r="I50" s="2676"/>
      <c r="J50" s="2676"/>
      <c r="K50" s="2677"/>
      <c r="L50" s="2677"/>
      <c r="M50" s="2676"/>
      <c r="N50" s="2676"/>
      <c r="O50" s="2676"/>
      <c r="P50" s="2676"/>
      <c r="Q50" s="2398"/>
      <c r="R50" s="2398"/>
      <c r="S50" s="40"/>
      <c r="T50" s="963"/>
      <c r="U50" s="609"/>
      <c r="V50" s="926"/>
      <c r="W50" s="926"/>
      <c r="X50" s="926"/>
      <c r="Y50" s="926"/>
      <c r="Z50" s="926"/>
      <c r="AA50" s="926"/>
      <c r="AB50" s="926"/>
      <c r="AC50" s="926"/>
      <c r="AD50" s="926"/>
      <c r="AE50" s="926"/>
      <c r="AF50" s="926"/>
      <c r="AG50" s="926"/>
      <c r="AH50" s="926"/>
      <c r="AI50" s="926"/>
      <c r="AJ50" s="926"/>
    </row>
    <row r="51" spans="1:36" ht="15" customHeight="1" x14ac:dyDescent="0.3">
      <c r="A51" s="926"/>
      <c r="B51" s="609"/>
      <c r="C51" s="962"/>
      <c r="D51" s="40"/>
      <c r="E51" s="2578" t="s">
        <v>414</v>
      </c>
      <c r="F51" s="2578"/>
      <c r="G51" s="2679" t="str">
        <f>BG111</f>
        <v>$/lb</v>
      </c>
      <c r="H51" s="2679"/>
      <c r="I51" s="2676">
        <f>BE111</f>
        <v>0.45</v>
      </c>
      <c r="J51" s="2676"/>
      <c r="K51" s="2677"/>
      <c r="L51" s="2677"/>
      <c r="M51" s="2676">
        <f>BI111</f>
        <v>0.1</v>
      </c>
      <c r="N51" s="2676"/>
      <c r="O51" s="2676">
        <f>BJ111</f>
        <v>1</v>
      </c>
      <c r="P51" s="2676"/>
      <c r="Q51" s="2398" t="str">
        <f>BN111</f>
        <v>Using default</v>
      </c>
      <c r="R51" s="2398"/>
      <c r="S51" s="40"/>
      <c r="T51" s="963"/>
      <c r="U51" s="609"/>
      <c r="V51" s="926"/>
      <c r="W51" s="926"/>
      <c r="X51" s="926"/>
      <c r="Y51" s="926"/>
      <c r="Z51" s="926"/>
      <c r="AA51" s="926"/>
      <c r="AB51" s="926"/>
      <c r="AC51" s="926"/>
      <c r="AD51" s="926"/>
      <c r="AE51" s="926"/>
      <c r="AF51" s="926"/>
      <c r="AG51" s="926"/>
      <c r="AH51" s="926"/>
      <c r="AI51" s="926"/>
      <c r="AJ51" s="926"/>
    </row>
    <row r="52" spans="1:36" ht="15" customHeight="1" x14ac:dyDescent="0.3">
      <c r="A52" s="926"/>
      <c r="B52" s="609"/>
      <c r="C52" s="962"/>
      <c r="D52" s="40"/>
      <c r="E52" s="2578"/>
      <c r="F52" s="2578"/>
      <c r="G52" s="2679"/>
      <c r="H52" s="2679"/>
      <c r="I52" s="2676"/>
      <c r="J52" s="2676"/>
      <c r="K52" s="2677"/>
      <c r="L52" s="2677"/>
      <c r="M52" s="2676"/>
      <c r="N52" s="2676"/>
      <c r="O52" s="2676"/>
      <c r="P52" s="2676"/>
      <c r="Q52" s="2398"/>
      <c r="R52" s="2398"/>
      <c r="S52" s="40"/>
      <c r="T52" s="963"/>
      <c r="U52" s="609"/>
      <c r="V52" s="926"/>
      <c r="W52" s="926"/>
      <c r="X52" s="926"/>
      <c r="Y52" s="926"/>
      <c r="Z52" s="926"/>
      <c r="AA52" s="926"/>
      <c r="AB52" s="926"/>
      <c r="AC52" s="926"/>
      <c r="AD52" s="926"/>
      <c r="AE52" s="926"/>
      <c r="AF52" s="926"/>
      <c r="AG52" s="926"/>
      <c r="AH52" s="926"/>
      <c r="AI52" s="926"/>
      <c r="AJ52" s="926"/>
    </row>
    <row r="53" spans="1:36" ht="15" customHeight="1" x14ac:dyDescent="0.3">
      <c r="A53" s="926"/>
      <c r="B53" s="609"/>
      <c r="C53" s="962"/>
      <c r="D53" s="40"/>
      <c r="E53" s="2578"/>
      <c r="F53" s="2578"/>
      <c r="G53" s="2679"/>
      <c r="H53" s="2679"/>
      <c r="I53" s="2676"/>
      <c r="J53" s="2676"/>
      <c r="K53" s="2677"/>
      <c r="L53" s="2677"/>
      <c r="M53" s="2676"/>
      <c r="N53" s="2676"/>
      <c r="O53" s="2676"/>
      <c r="P53" s="2676"/>
      <c r="Q53" s="2398"/>
      <c r="R53" s="2398"/>
      <c r="S53" s="40"/>
      <c r="T53" s="963"/>
      <c r="U53" s="609"/>
      <c r="V53" s="926"/>
      <c r="W53" s="926"/>
      <c r="X53" s="926"/>
      <c r="Y53" s="926"/>
      <c r="Z53" s="926"/>
      <c r="AA53" s="926"/>
      <c r="AB53" s="926"/>
      <c r="AC53" s="926"/>
      <c r="AD53" s="926"/>
      <c r="AE53" s="926"/>
      <c r="AF53" s="926"/>
      <c r="AG53" s="926"/>
      <c r="AH53" s="926"/>
      <c r="AI53" s="926"/>
      <c r="AJ53" s="926"/>
    </row>
    <row r="54" spans="1:36" ht="15" customHeight="1" x14ac:dyDescent="0.3">
      <c r="A54" s="926"/>
      <c r="B54" s="609"/>
      <c r="C54" s="962"/>
      <c r="D54" s="40"/>
      <c r="E54" s="2578" t="s">
        <v>415</v>
      </c>
      <c r="F54" s="2578"/>
      <c r="G54" s="2679" t="str">
        <f>BG112</f>
        <v>$/1000 gal</v>
      </c>
      <c r="H54" s="2679"/>
      <c r="I54" s="2678">
        <f>BE112</f>
        <v>3.858144828221536</v>
      </c>
      <c r="J54" s="2678"/>
      <c r="K54" s="2677"/>
      <c r="L54" s="2677"/>
      <c r="M54" s="2678">
        <f>BI112</f>
        <v>6.0000000000000001E-3</v>
      </c>
      <c r="N54" s="2678"/>
      <c r="O54" s="2678">
        <f>BJ112</f>
        <v>14.536999999999999</v>
      </c>
      <c r="P54" s="2678"/>
      <c r="Q54" s="2398" t="str">
        <f>BN112</f>
        <v>Using default</v>
      </c>
      <c r="R54" s="2398"/>
      <c r="S54" s="40"/>
      <c r="T54" s="963"/>
      <c r="U54" s="609"/>
      <c r="V54" s="926"/>
      <c r="W54" s="926"/>
      <c r="X54" s="926"/>
      <c r="Y54" s="926"/>
      <c r="Z54" s="926"/>
      <c r="AA54" s="926"/>
      <c r="AB54" s="926"/>
      <c r="AC54" s="926"/>
      <c r="AD54" s="926"/>
      <c r="AE54" s="926"/>
      <c r="AF54" s="926"/>
      <c r="AG54" s="926"/>
      <c r="AH54" s="926"/>
      <c r="AI54" s="926"/>
      <c r="AJ54" s="926"/>
    </row>
    <row r="55" spans="1:36" ht="15" customHeight="1" x14ac:dyDescent="0.3">
      <c r="A55" s="926"/>
      <c r="B55" s="609"/>
      <c r="C55" s="962"/>
      <c r="D55" s="40"/>
      <c r="E55" s="2578"/>
      <c r="F55" s="2578"/>
      <c r="G55" s="2679"/>
      <c r="H55" s="2679"/>
      <c r="I55" s="2678"/>
      <c r="J55" s="2678"/>
      <c r="K55" s="2677"/>
      <c r="L55" s="2677"/>
      <c r="M55" s="2678"/>
      <c r="N55" s="2678"/>
      <c r="O55" s="2678"/>
      <c r="P55" s="2678"/>
      <c r="Q55" s="2398"/>
      <c r="R55" s="2398"/>
      <c r="S55" s="40"/>
      <c r="T55" s="963"/>
      <c r="U55" s="609"/>
      <c r="V55" s="926"/>
      <c r="W55" s="926"/>
      <c r="X55" s="926"/>
      <c r="Y55" s="926"/>
      <c r="Z55" s="926"/>
      <c r="AA55" s="926"/>
      <c r="AB55" s="926"/>
      <c r="AC55" s="926"/>
      <c r="AD55" s="926"/>
      <c r="AE55" s="926"/>
      <c r="AF55" s="926"/>
      <c r="AG55" s="926"/>
      <c r="AH55" s="926"/>
      <c r="AI55" s="926"/>
      <c r="AJ55" s="926"/>
    </row>
    <row r="56" spans="1:36" ht="15" customHeight="1" x14ac:dyDescent="0.3">
      <c r="A56" s="926"/>
      <c r="B56" s="609"/>
      <c r="C56" s="962"/>
      <c r="D56" s="40"/>
      <c r="E56" s="2578"/>
      <c r="F56" s="2578"/>
      <c r="G56" s="2679"/>
      <c r="H56" s="2679"/>
      <c r="I56" s="2678"/>
      <c r="J56" s="2678"/>
      <c r="K56" s="2677"/>
      <c r="L56" s="2677"/>
      <c r="M56" s="2678"/>
      <c r="N56" s="2678"/>
      <c r="O56" s="2678"/>
      <c r="P56" s="2678"/>
      <c r="Q56" s="2398"/>
      <c r="R56" s="2398"/>
      <c r="S56" s="40"/>
      <c r="T56" s="963"/>
      <c r="U56" s="609"/>
      <c r="V56" s="926"/>
      <c r="W56" s="926"/>
      <c r="X56" s="926"/>
      <c r="Y56" s="926"/>
      <c r="Z56" s="926"/>
      <c r="AA56" s="926"/>
      <c r="AB56" s="926"/>
      <c r="AC56" s="926"/>
      <c r="AD56" s="926"/>
      <c r="AE56" s="926"/>
      <c r="AF56" s="926"/>
      <c r="AG56" s="926"/>
      <c r="AH56" s="926"/>
      <c r="AI56" s="926"/>
      <c r="AJ56" s="926"/>
    </row>
    <row r="57" spans="1:36" ht="15" customHeight="1" x14ac:dyDescent="0.3">
      <c r="A57" s="926"/>
      <c r="B57" s="609"/>
      <c r="C57" s="962"/>
      <c r="D57" s="40"/>
      <c r="E57" s="40"/>
      <c r="F57" s="40"/>
      <c r="G57" s="40"/>
      <c r="H57" s="40"/>
      <c r="I57" s="40"/>
      <c r="J57" s="40"/>
      <c r="K57" s="40"/>
      <c r="L57" s="40"/>
      <c r="M57" s="40"/>
      <c r="N57" s="40"/>
      <c r="O57" s="40"/>
      <c r="P57" s="40"/>
      <c r="Q57" s="40"/>
      <c r="R57" s="40"/>
      <c r="S57" s="40"/>
      <c r="T57" s="963"/>
      <c r="U57" s="609"/>
      <c r="V57" s="926"/>
      <c r="W57" s="926"/>
      <c r="X57" s="926"/>
      <c r="Y57" s="926"/>
      <c r="Z57" s="926"/>
      <c r="AA57" s="926"/>
      <c r="AB57" s="926"/>
      <c r="AC57" s="926"/>
      <c r="AD57" s="926"/>
      <c r="AE57" s="926"/>
      <c r="AF57" s="926"/>
      <c r="AG57" s="926"/>
      <c r="AH57" s="926"/>
      <c r="AI57" s="926"/>
      <c r="AJ57" s="926"/>
    </row>
    <row r="58" spans="1:36" ht="15" customHeight="1" thickBot="1" x14ac:dyDescent="0.35">
      <c r="A58" s="926"/>
      <c r="B58" s="609"/>
      <c r="C58" s="962"/>
      <c r="D58" s="40"/>
      <c r="E58" s="40"/>
      <c r="F58" s="40"/>
      <c r="G58" s="40"/>
      <c r="H58" s="40"/>
      <c r="I58" s="40"/>
      <c r="J58" s="40"/>
      <c r="K58" s="40"/>
      <c r="L58" s="2574"/>
      <c r="M58" s="2574"/>
      <c r="N58" s="2574"/>
      <c r="O58" s="2574"/>
      <c r="P58" s="2574"/>
      <c r="Q58" s="2575"/>
      <c r="R58" s="2575"/>
      <c r="S58" s="40"/>
      <c r="T58" s="963"/>
      <c r="U58" s="609"/>
      <c r="V58" s="926"/>
      <c r="W58" s="926"/>
      <c r="X58" s="926"/>
      <c r="Y58" s="926"/>
      <c r="Z58" s="926"/>
      <c r="AA58" s="926"/>
      <c r="AB58" s="926"/>
      <c r="AC58" s="926"/>
      <c r="AD58" s="926"/>
      <c r="AE58" s="926"/>
      <c r="AF58" s="926"/>
      <c r="AG58" s="926"/>
      <c r="AH58" s="926"/>
      <c r="AI58" s="926"/>
      <c r="AJ58" s="926"/>
    </row>
    <row r="59" spans="1:36" ht="15" customHeight="1" thickTop="1" x14ac:dyDescent="0.3">
      <c r="A59" s="926"/>
      <c r="B59" s="609"/>
      <c r="C59" s="962"/>
      <c r="D59" s="40"/>
      <c r="E59" s="40"/>
      <c r="F59" s="40"/>
      <c r="G59" s="2376" t="str">
        <f>BK119</f>
        <v>You have answered all of the operations questions for this page. Press the "Next page" button to move to the priorities page.</v>
      </c>
      <c r="H59" s="2377"/>
      <c r="I59" s="2377"/>
      <c r="J59" s="2377"/>
      <c r="K59" s="2377"/>
      <c r="L59" s="2377"/>
      <c r="M59" s="2377"/>
      <c r="N59" s="2377"/>
      <c r="O59" s="2377"/>
      <c r="P59" s="2378"/>
      <c r="Q59" s="40"/>
      <c r="R59" s="40"/>
      <c r="S59" s="40"/>
      <c r="T59" s="963"/>
      <c r="U59" s="609"/>
      <c r="V59" s="926"/>
      <c r="W59" s="926"/>
      <c r="X59" s="926"/>
      <c r="Y59" s="926"/>
      <c r="Z59" s="926"/>
      <c r="AA59" s="926"/>
      <c r="AB59" s="926"/>
      <c r="AC59" s="926"/>
      <c r="AD59" s="926"/>
      <c r="AE59" s="926"/>
      <c r="AF59" s="926"/>
      <c r="AG59" s="926"/>
      <c r="AH59" s="926"/>
      <c r="AI59" s="926"/>
      <c r="AJ59" s="926"/>
    </row>
    <row r="60" spans="1:36" ht="15" customHeight="1" x14ac:dyDescent="0.3">
      <c r="A60" s="926"/>
      <c r="B60" s="609"/>
      <c r="C60" s="962"/>
      <c r="D60" s="40"/>
      <c r="E60" s="40"/>
      <c r="F60" s="40"/>
      <c r="G60" s="2379"/>
      <c r="H60" s="2380"/>
      <c r="I60" s="2380"/>
      <c r="J60" s="2380"/>
      <c r="K60" s="2380"/>
      <c r="L60" s="2380"/>
      <c r="M60" s="2380"/>
      <c r="N60" s="2380"/>
      <c r="O60" s="2380"/>
      <c r="P60" s="2381"/>
      <c r="Q60" s="40"/>
      <c r="R60" s="40"/>
      <c r="S60" s="40"/>
      <c r="T60" s="963"/>
      <c r="U60" s="609"/>
      <c r="V60" s="926"/>
      <c r="W60" s="926"/>
      <c r="X60" s="926"/>
      <c r="Y60" s="926"/>
      <c r="Z60" s="926"/>
      <c r="AA60" s="926"/>
      <c r="AB60" s="926"/>
      <c r="AC60" s="926"/>
      <c r="AD60" s="926"/>
      <c r="AE60" s="926"/>
      <c r="AF60" s="926"/>
      <c r="AG60" s="926"/>
      <c r="AH60" s="926"/>
      <c r="AI60" s="926"/>
      <c r="AJ60" s="926"/>
    </row>
    <row r="61" spans="1:36" ht="15" customHeight="1" x14ac:dyDescent="0.3">
      <c r="A61" s="926"/>
      <c r="B61" s="609"/>
      <c r="C61" s="962"/>
      <c r="D61" s="40"/>
      <c r="E61" s="40"/>
      <c r="F61" s="40"/>
      <c r="G61" s="2379"/>
      <c r="H61" s="2380"/>
      <c r="I61" s="2380"/>
      <c r="J61" s="2380"/>
      <c r="K61" s="2380"/>
      <c r="L61" s="2380"/>
      <c r="M61" s="2380"/>
      <c r="N61" s="2380"/>
      <c r="O61" s="2380"/>
      <c r="P61" s="2381"/>
      <c r="Q61" s="40"/>
      <c r="R61" s="40"/>
      <c r="S61" s="40"/>
      <c r="T61" s="963"/>
      <c r="U61" s="609"/>
      <c r="V61" s="926"/>
      <c r="W61" s="926"/>
      <c r="X61" s="926"/>
      <c r="Y61" s="926"/>
      <c r="Z61" s="926"/>
      <c r="AA61" s="926"/>
      <c r="AB61" s="926"/>
      <c r="AC61" s="926"/>
      <c r="AD61" s="926"/>
      <c r="AE61" s="926"/>
      <c r="AF61" s="926"/>
      <c r="AG61" s="926"/>
      <c r="AH61" s="926"/>
      <c r="AI61" s="926"/>
      <c r="AJ61" s="926"/>
    </row>
    <row r="62" spans="1:36" ht="15.75" customHeight="1" x14ac:dyDescent="0.3">
      <c r="A62" s="926"/>
      <c r="B62" s="609"/>
      <c r="C62" s="962"/>
      <c r="D62" s="40"/>
      <c r="E62" s="40"/>
      <c r="F62" s="40"/>
      <c r="G62" s="2379"/>
      <c r="H62" s="2380"/>
      <c r="I62" s="2380"/>
      <c r="J62" s="2380"/>
      <c r="K62" s="2380"/>
      <c r="L62" s="2380"/>
      <c r="M62" s="2380"/>
      <c r="N62" s="2380"/>
      <c r="O62" s="2380"/>
      <c r="P62" s="2381"/>
      <c r="Q62" s="40"/>
      <c r="R62" s="40"/>
      <c r="S62" s="40"/>
      <c r="T62" s="963"/>
      <c r="U62" s="609"/>
      <c r="V62" s="926"/>
      <c r="W62" s="926"/>
      <c r="X62" s="926"/>
      <c r="Y62" s="926"/>
      <c r="Z62" s="926"/>
      <c r="AA62" s="926"/>
      <c r="AB62" s="926"/>
      <c r="AC62" s="926"/>
      <c r="AD62" s="926"/>
      <c r="AE62" s="926"/>
      <c r="AF62" s="926"/>
      <c r="AG62" s="926"/>
      <c r="AH62" s="926"/>
      <c r="AI62" s="926"/>
      <c r="AJ62" s="926"/>
    </row>
    <row r="63" spans="1:36" ht="15.75" customHeight="1" thickBot="1" x14ac:dyDescent="0.35">
      <c r="A63" s="926"/>
      <c r="B63" s="609"/>
      <c r="C63" s="962"/>
      <c r="D63" s="40"/>
      <c r="E63" s="40"/>
      <c r="F63" s="40"/>
      <c r="G63" s="2382"/>
      <c r="H63" s="2383"/>
      <c r="I63" s="2383"/>
      <c r="J63" s="2383"/>
      <c r="K63" s="2383"/>
      <c r="L63" s="2383"/>
      <c r="M63" s="2383"/>
      <c r="N63" s="2383"/>
      <c r="O63" s="2383"/>
      <c r="P63" s="2384"/>
      <c r="Q63" s="40"/>
      <c r="R63" s="40"/>
      <c r="S63" s="40"/>
      <c r="T63" s="963"/>
      <c r="U63" s="609"/>
      <c r="V63" s="926"/>
      <c r="W63" s="926"/>
      <c r="X63" s="926"/>
      <c r="Y63" s="926"/>
      <c r="Z63" s="926"/>
      <c r="AA63" s="926"/>
      <c r="AB63" s="926"/>
      <c r="AC63" s="926"/>
      <c r="AD63" s="926"/>
      <c r="AE63" s="926"/>
      <c r="AF63" s="926"/>
      <c r="AG63" s="926"/>
      <c r="AH63" s="926"/>
      <c r="AI63" s="926"/>
      <c r="AJ63" s="926"/>
    </row>
    <row r="64" spans="1:36" ht="15" thickTop="1" x14ac:dyDescent="0.3">
      <c r="A64" s="926"/>
      <c r="B64" s="609"/>
      <c r="C64" s="962"/>
      <c r="D64" s="40"/>
      <c r="E64" s="40"/>
      <c r="F64" s="40"/>
      <c r="G64" s="40"/>
      <c r="H64" s="40"/>
      <c r="I64" s="40"/>
      <c r="J64" s="40"/>
      <c r="K64" s="40"/>
      <c r="L64" s="40"/>
      <c r="M64" s="40"/>
      <c r="N64" s="40"/>
      <c r="O64" s="40"/>
      <c r="P64" s="40"/>
      <c r="Q64" s="40"/>
      <c r="R64" s="40"/>
      <c r="S64" s="40"/>
      <c r="T64" s="963"/>
      <c r="U64" s="609"/>
      <c r="V64" s="926"/>
      <c r="W64" s="926"/>
      <c r="X64" s="926"/>
      <c r="Y64" s="926"/>
      <c r="Z64" s="926"/>
      <c r="AA64" s="926"/>
      <c r="AB64" s="926"/>
      <c r="AC64" s="926"/>
      <c r="AD64" s="926"/>
      <c r="AE64" s="926"/>
      <c r="AF64" s="926"/>
      <c r="AG64" s="926"/>
      <c r="AH64" s="926"/>
      <c r="AI64" s="926"/>
      <c r="AJ64" s="926"/>
    </row>
    <row r="65" spans="1:36" ht="15.75" customHeight="1" thickBot="1" x14ac:dyDescent="0.35">
      <c r="A65" s="926"/>
      <c r="B65" s="609"/>
      <c r="C65" s="964"/>
      <c r="D65" s="965"/>
      <c r="E65" s="965"/>
      <c r="F65" s="965"/>
      <c r="G65" s="965"/>
      <c r="H65" s="965"/>
      <c r="I65" s="965"/>
      <c r="J65" s="965"/>
      <c r="K65" s="965"/>
      <c r="L65" s="965"/>
      <c r="M65" s="965"/>
      <c r="N65" s="965"/>
      <c r="O65" s="965"/>
      <c r="P65" s="965"/>
      <c r="Q65" s="965"/>
      <c r="R65" s="965"/>
      <c r="S65" s="965"/>
      <c r="T65" s="966"/>
      <c r="U65" s="609"/>
      <c r="V65" s="926"/>
      <c r="W65" s="926"/>
      <c r="X65" s="926"/>
      <c r="Y65" s="926"/>
      <c r="Z65" s="926"/>
      <c r="AA65" s="926"/>
      <c r="AB65" s="926"/>
      <c r="AC65" s="926"/>
      <c r="AD65" s="926"/>
      <c r="AE65" s="926"/>
      <c r="AF65" s="926"/>
      <c r="AG65" s="926"/>
      <c r="AH65" s="926"/>
      <c r="AI65" s="926"/>
      <c r="AJ65" s="926"/>
    </row>
    <row r="66" spans="1:36" x14ac:dyDescent="0.3">
      <c r="A66" s="926"/>
      <c r="B66" s="609"/>
      <c r="C66" s="609"/>
      <c r="D66" s="609"/>
      <c r="E66" s="609"/>
      <c r="F66" s="609"/>
      <c r="G66" s="609"/>
      <c r="H66" s="609"/>
      <c r="I66" s="609"/>
      <c r="J66" s="609"/>
      <c r="K66" s="609"/>
      <c r="L66" s="609"/>
      <c r="M66" s="609"/>
      <c r="N66" s="609"/>
      <c r="O66" s="609"/>
      <c r="P66" s="609"/>
      <c r="Q66" s="609"/>
      <c r="R66" s="609"/>
      <c r="S66" s="609"/>
      <c r="T66" s="609"/>
      <c r="U66" s="609"/>
      <c r="V66" s="926"/>
      <c r="W66" s="926"/>
      <c r="X66" s="926"/>
      <c r="Y66" s="926"/>
      <c r="Z66" s="926"/>
      <c r="AA66" s="926"/>
      <c r="AB66" s="926"/>
      <c r="AC66" s="926"/>
      <c r="AD66" s="926"/>
      <c r="AE66" s="926"/>
      <c r="AF66" s="926"/>
      <c r="AG66" s="926"/>
      <c r="AH66" s="926"/>
      <c r="AI66" s="926"/>
      <c r="AJ66" s="926"/>
    </row>
    <row r="67" spans="1:36" ht="16.2" thickBot="1" x14ac:dyDescent="0.35">
      <c r="A67" s="926"/>
      <c r="B67" s="926"/>
      <c r="C67" s="923"/>
      <c r="D67" s="923"/>
      <c r="E67" s="923"/>
      <c r="F67" s="923"/>
      <c r="G67" s="923"/>
      <c r="H67" s="923"/>
      <c r="I67" s="923"/>
      <c r="J67" s="923"/>
      <c r="K67" s="923"/>
      <c r="L67" s="923"/>
      <c r="M67" s="923"/>
      <c r="N67" s="923"/>
      <c r="O67" s="923"/>
      <c r="P67" s="923"/>
      <c r="Q67" s="923"/>
      <c r="R67" s="923"/>
      <c r="S67" s="923"/>
      <c r="T67" s="923"/>
      <c r="U67" s="926"/>
      <c r="V67" s="926"/>
      <c r="W67" s="926"/>
      <c r="X67" s="926"/>
      <c r="Y67" s="926"/>
      <c r="Z67" s="926"/>
      <c r="AA67" s="926"/>
      <c r="AB67" s="926"/>
      <c r="AC67" s="926"/>
      <c r="AD67" s="926"/>
      <c r="AE67" s="926"/>
      <c r="AF67" s="926"/>
      <c r="AG67" s="926"/>
      <c r="AH67" s="926"/>
      <c r="AI67" s="926"/>
      <c r="AJ67" s="926"/>
    </row>
    <row r="68" spans="1:36" ht="16.5" customHeight="1" thickBot="1" x14ac:dyDescent="0.35">
      <c r="A68" s="926"/>
      <c r="B68" s="926"/>
      <c r="C68" s="923"/>
      <c r="D68" s="923"/>
      <c r="E68" s="923"/>
      <c r="F68" s="2345" t="s">
        <v>0</v>
      </c>
      <c r="G68" s="2346"/>
      <c r="H68" s="2345" t="s">
        <v>1</v>
      </c>
      <c r="I68" s="2346"/>
      <c r="J68" s="2345" t="s">
        <v>2</v>
      </c>
      <c r="K68" s="2346"/>
      <c r="L68" s="2345" t="s">
        <v>3</v>
      </c>
      <c r="M68" s="2346"/>
      <c r="N68" s="2345" t="s">
        <v>4</v>
      </c>
      <c r="O68" s="2346"/>
      <c r="P68" s="2345" t="s">
        <v>5</v>
      </c>
      <c r="Q68" s="2346"/>
      <c r="R68" s="1739"/>
      <c r="S68" s="926"/>
      <c r="T68" s="926"/>
      <c r="U68" s="926"/>
      <c r="V68" s="926"/>
      <c r="W68" s="926"/>
      <c r="X68" s="926"/>
      <c r="Y68" s="926"/>
      <c r="Z68" s="926"/>
      <c r="AA68" s="926"/>
      <c r="AB68" s="926"/>
      <c r="AC68" s="926"/>
      <c r="AD68" s="926"/>
      <c r="AE68" s="926"/>
      <c r="AF68" s="926"/>
      <c r="AG68" s="926"/>
      <c r="AH68" s="926"/>
      <c r="AI68" s="926"/>
      <c r="AJ68" s="926"/>
    </row>
    <row r="69" spans="1:36" ht="16.8" thickTop="1" thickBot="1" x14ac:dyDescent="0.35">
      <c r="A69" s="926"/>
      <c r="B69" s="926"/>
      <c r="C69" s="923"/>
      <c r="D69" s="923"/>
      <c r="E69" s="923"/>
      <c r="F69" s="2347"/>
      <c r="G69" s="2348"/>
      <c r="H69" s="2347"/>
      <c r="I69" s="2348"/>
      <c r="J69" s="2347"/>
      <c r="K69" s="2348"/>
      <c r="L69" s="2347"/>
      <c r="M69" s="2348"/>
      <c r="N69" s="2347"/>
      <c r="O69" s="2348"/>
      <c r="P69" s="2347"/>
      <c r="Q69" s="2348"/>
      <c r="R69" s="1739"/>
      <c r="S69" s="926"/>
      <c r="T69" s="926"/>
      <c r="U69" s="926"/>
      <c r="V69" s="926"/>
      <c r="W69" s="926"/>
      <c r="X69" s="926"/>
      <c r="Y69" s="926"/>
      <c r="Z69" s="926"/>
      <c r="AA69" s="926"/>
      <c r="AB69" s="926"/>
      <c r="AC69" s="926"/>
      <c r="AD69" s="926"/>
      <c r="AE69" s="926"/>
      <c r="AF69" s="926"/>
      <c r="AG69" s="926"/>
      <c r="AH69" s="926"/>
      <c r="AI69" s="926"/>
      <c r="AJ69" s="926"/>
    </row>
    <row r="70" spans="1:36" ht="17.25" customHeight="1" thickTop="1" thickBot="1" x14ac:dyDescent="0.35">
      <c r="A70" s="926"/>
      <c r="B70" s="926"/>
      <c r="C70" s="2345" t="s">
        <v>6</v>
      </c>
      <c r="D70" s="2351"/>
      <c r="E70" s="923"/>
      <c r="F70" s="2349"/>
      <c r="G70" s="2350"/>
      <c r="H70" s="2349"/>
      <c r="I70" s="2350"/>
      <c r="J70" s="2349"/>
      <c r="K70" s="2350"/>
      <c r="L70" s="2349"/>
      <c r="M70" s="2350"/>
      <c r="N70" s="2349"/>
      <c r="O70" s="2350"/>
      <c r="P70" s="2349"/>
      <c r="Q70" s="2350"/>
      <c r="R70" s="926"/>
      <c r="S70" s="2356" t="s">
        <v>7</v>
      </c>
      <c r="T70" s="2357"/>
      <c r="U70" s="926"/>
      <c r="V70" s="926"/>
      <c r="W70" s="926"/>
      <c r="X70" s="926"/>
      <c r="Y70" s="926"/>
      <c r="Z70" s="926"/>
      <c r="AA70" s="926"/>
      <c r="AB70" s="926"/>
      <c r="AC70" s="926"/>
      <c r="AD70" s="926"/>
      <c r="AE70" s="926"/>
      <c r="AF70" s="926"/>
      <c r="AG70" s="926"/>
      <c r="AH70" s="926"/>
      <c r="AI70" s="926"/>
      <c r="AJ70" s="926"/>
    </row>
    <row r="71" spans="1:36" ht="17.25" customHeight="1" thickTop="1" thickBot="1" x14ac:dyDescent="0.35">
      <c r="A71" s="926"/>
      <c r="B71" s="926"/>
      <c r="C71" s="2352"/>
      <c r="D71" s="2353"/>
      <c r="E71" s="923"/>
      <c r="F71" s="926"/>
      <c r="G71" s="2345" t="s">
        <v>8</v>
      </c>
      <c r="H71" s="2346"/>
      <c r="I71" s="2362" t="s">
        <v>9</v>
      </c>
      <c r="J71" s="2363"/>
      <c r="K71" s="2345" t="s">
        <v>10</v>
      </c>
      <c r="L71" s="2346"/>
      <c r="M71" s="2345" t="s">
        <v>11</v>
      </c>
      <c r="N71" s="2346"/>
      <c r="O71" s="2345" t="s">
        <v>12</v>
      </c>
      <c r="P71" s="2346"/>
      <c r="Q71" s="926"/>
      <c r="R71" s="926"/>
      <c r="S71" s="2358"/>
      <c r="T71" s="2359"/>
      <c r="U71" s="926"/>
      <c r="V71" s="926"/>
      <c r="W71" s="926"/>
      <c r="X71" s="926"/>
      <c r="Y71" s="926"/>
      <c r="Z71" s="926"/>
      <c r="AA71" s="926"/>
      <c r="AB71" s="926"/>
      <c r="AC71" s="926"/>
      <c r="AD71" s="926"/>
      <c r="AE71" s="926"/>
      <c r="AF71" s="926"/>
      <c r="AG71" s="926"/>
      <c r="AH71" s="926"/>
      <c r="AI71" s="926"/>
      <c r="AJ71" s="926"/>
    </row>
    <row r="72" spans="1:36" ht="16.8" thickTop="1" thickBot="1" x14ac:dyDescent="0.35">
      <c r="A72" s="926"/>
      <c r="B72" s="926"/>
      <c r="C72" s="2354"/>
      <c r="D72" s="2355"/>
      <c r="E72" s="923"/>
      <c r="F72" s="926"/>
      <c r="G72" s="2347"/>
      <c r="H72" s="2348"/>
      <c r="I72" s="2364"/>
      <c r="J72" s="2365"/>
      <c r="K72" s="2347"/>
      <c r="L72" s="2348"/>
      <c r="M72" s="2347"/>
      <c r="N72" s="2348"/>
      <c r="O72" s="2347"/>
      <c r="P72" s="2348"/>
      <c r="Q72" s="926"/>
      <c r="R72" s="926"/>
      <c r="S72" s="2360"/>
      <c r="T72" s="2361"/>
      <c r="U72" s="926"/>
      <c r="V72" s="926"/>
      <c r="W72" s="926"/>
      <c r="X72" s="926"/>
      <c r="Y72" s="926"/>
      <c r="Z72" s="926"/>
      <c r="AA72" s="926"/>
      <c r="AB72" s="926"/>
      <c r="AC72" s="926"/>
      <c r="AD72" s="926"/>
      <c r="AE72" s="926"/>
      <c r="AF72" s="926"/>
      <c r="AG72" s="926"/>
      <c r="AH72" s="926"/>
      <c r="AI72" s="926"/>
      <c r="AJ72" s="926"/>
    </row>
    <row r="73" spans="1:36" ht="16.8" thickTop="1" thickBot="1" x14ac:dyDescent="0.35">
      <c r="A73" s="926"/>
      <c r="B73" s="926"/>
      <c r="C73" s="923"/>
      <c r="D73" s="923"/>
      <c r="E73" s="923"/>
      <c r="F73" s="926"/>
      <c r="G73" s="2349"/>
      <c r="H73" s="2350"/>
      <c r="I73" s="2366"/>
      <c r="J73" s="2367"/>
      <c r="K73" s="2349"/>
      <c r="L73" s="2350"/>
      <c r="M73" s="2349"/>
      <c r="N73" s="2350"/>
      <c r="O73" s="2349"/>
      <c r="P73" s="2350"/>
      <c r="Q73" s="923"/>
      <c r="R73" s="923"/>
      <c r="S73" s="926"/>
      <c r="T73" s="926"/>
      <c r="U73" s="926"/>
      <c r="V73" s="926"/>
      <c r="W73" s="926"/>
      <c r="X73" s="926"/>
      <c r="Y73" s="926"/>
      <c r="Z73" s="926"/>
      <c r="AA73" s="926"/>
      <c r="AB73" s="926"/>
      <c r="AC73" s="926"/>
      <c r="AD73" s="926"/>
      <c r="AE73" s="926"/>
      <c r="AF73" s="926"/>
      <c r="AG73" s="926"/>
      <c r="AH73" s="926"/>
      <c r="AI73" s="926"/>
      <c r="AJ73" s="926"/>
    </row>
    <row r="74" spans="1:36" x14ac:dyDescent="0.3">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row>
    <row r="75" spans="1:36" x14ac:dyDescent="0.3">
      <c r="A75" s="926"/>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row>
    <row r="76" spans="1:36" x14ac:dyDescent="0.3">
      <c r="A76" s="926"/>
      <c r="B76" s="926"/>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row>
    <row r="77" spans="1:36" x14ac:dyDescent="0.3">
      <c r="A77" s="926"/>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row>
    <row r="78" spans="1:36" x14ac:dyDescent="0.3">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row>
    <row r="79" spans="1:36" x14ac:dyDescent="0.3">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row>
    <row r="80" spans="1:36" x14ac:dyDescent="0.3">
      <c r="A80" s="926"/>
      <c r="B80" s="926"/>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row>
    <row r="81" spans="1:36" x14ac:dyDescent="0.3">
      <c r="A81" s="926"/>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row>
    <row r="82" spans="1:36" x14ac:dyDescent="0.3">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row>
    <row r="83" spans="1:36" x14ac:dyDescent="0.3">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row>
    <row r="84" spans="1:36" x14ac:dyDescent="0.3">
      <c r="A84" s="926"/>
      <c r="B84" s="926"/>
      <c r="C84" s="926"/>
      <c r="D84" s="926"/>
      <c r="E84" s="926"/>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row>
    <row r="85" spans="1:36" x14ac:dyDescent="0.3">
      <c r="A85" s="926"/>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row>
    <row r="86" spans="1:36" x14ac:dyDescent="0.3">
      <c r="A86" s="926"/>
      <c r="B86" s="926"/>
      <c r="C86" s="926"/>
      <c r="D86" s="926"/>
      <c r="E86" s="926"/>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row>
    <row r="87" spans="1:36" x14ac:dyDescent="0.3">
      <c r="A87" s="926"/>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row>
    <row r="88" spans="1:36" x14ac:dyDescent="0.3">
      <c r="A88" s="926"/>
      <c r="B88" s="926"/>
      <c r="C88" s="926"/>
      <c r="D88" s="926"/>
      <c r="E88" s="926"/>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row>
    <row r="89" spans="1:36" x14ac:dyDescent="0.3">
      <c r="A89" s="926"/>
      <c r="B89" s="926"/>
      <c r="C89" s="926"/>
      <c r="D89" s="926"/>
      <c r="E89" s="926"/>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row>
    <row r="90" spans="1:36" x14ac:dyDescent="0.3">
      <c r="A90" s="926"/>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row>
    <row r="91" spans="1:36" x14ac:dyDescent="0.3">
      <c r="A91" s="926"/>
      <c r="B91" s="926"/>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row>
    <row r="92" spans="1:36" x14ac:dyDescent="0.3">
      <c r="A92" s="926"/>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row>
    <row r="93" spans="1:36" x14ac:dyDescent="0.3">
      <c r="A93" s="926"/>
      <c r="B93" s="926"/>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row>
    <row r="94" spans="1:36" x14ac:dyDescent="0.3">
      <c r="A94" s="926"/>
      <c r="B94" s="926"/>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row>
    <row r="95" spans="1:36" x14ac:dyDescent="0.3">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row>
    <row r="96" spans="1:36" x14ac:dyDescent="0.3">
      <c r="A96" s="926"/>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row>
    <row r="103" spans="54:66" x14ac:dyDescent="0.3">
      <c r="BB103" t="s">
        <v>98</v>
      </c>
    </row>
    <row r="104" spans="54:66" x14ac:dyDescent="0.3">
      <c r="BB104" s="82" t="s">
        <v>99</v>
      </c>
      <c r="BC104" s="82" t="s">
        <v>100</v>
      </c>
      <c r="BD104" s="82" t="s">
        <v>101</v>
      </c>
      <c r="BE104" s="82" t="s">
        <v>102</v>
      </c>
      <c r="BF104" s="82" t="s">
        <v>103</v>
      </c>
      <c r="BG104" s="82" t="s">
        <v>104</v>
      </c>
      <c r="BH104" s="82" t="s">
        <v>105</v>
      </c>
      <c r="BI104" s="82" t="s">
        <v>106</v>
      </c>
      <c r="BJ104" s="82" t="s">
        <v>107</v>
      </c>
      <c r="BK104" s="82" t="s">
        <v>108</v>
      </c>
      <c r="BL104" s="82" t="s">
        <v>109</v>
      </c>
      <c r="BM104" s="82" t="s">
        <v>110</v>
      </c>
      <c r="BN104" s="82" t="s">
        <v>111</v>
      </c>
    </row>
    <row r="105" spans="54:66" x14ac:dyDescent="0.3">
      <c r="BB105" t="s">
        <v>416</v>
      </c>
      <c r="BC105">
        <f>IF(BK105=1,BD105,BE105)</f>
        <v>23.66</v>
      </c>
      <c r="BD105" t="str">
        <f>IF(BF105,"",K33)</f>
        <v/>
      </c>
      <c r="BE105">
        <f t="shared" ref="BE105:BE111" si="0">INDEX(UDD,MATCH($BB105,UDN,0))</f>
        <v>23.66</v>
      </c>
      <c r="BF105" t="b">
        <f>ISBLANK(K33)</f>
        <v>1</v>
      </c>
      <c r="BG105" t="str">
        <f t="shared" ref="BG105:BG111" si="1">INDEX(UDUnit,MATCH($BB105,UDN,0))</f>
        <v>$/hr</v>
      </c>
      <c r="BH105" t="str">
        <f t="shared" ref="BH105:BH111" si="2">INDEX(UDF_Unit,MATCH($BB105,UDN,0))</f>
        <v>$/hr</v>
      </c>
      <c r="BI105">
        <f t="shared" ref="BI105:BI111" si="3">INDEX(UDMin,MATCH($BB105,UDN,0))</f>
        <v>10</v>
      </c>
      <c r="BJ105">
        <f t="shared" ref="BJ105:BJ111" si="4">INDEX(UDMax,MATCH($BB105,UDN,0))</f>
        <v>75</v>
      </c>
      <c r="BK105">
        <f>IF(AND(ISNUMBER(BD105),BI105&lt;=BD105,BD105&lt;=BJ105),1,0)</f>
        <v>0</v>
      </c>
      <c r="BL105" t="str">
        <f t="shared" ref="BL105:BL111" si="5">INDEX(UD_Desc,MATCH($BB105,UDN,0))</f>
        <v>The non-specialized labor cost for the chosen state or an override by user</v>
      </c>
      <c r="BM105" t="str">
        <f>IF(BK105=1,"No", "Yes")</f>
        <v>Yes</v>
      </c>
      <c r="BN105" t="str">
        <f>IF(BF105,"Using default", IF(BK105=1,"Input accepted", "Input invalid, using default"))</f>
        <v>Using default</v>
      </c>
    </row>
    <row r="106" spans="54:66" x14ac:dyDescent="0.3">
      <c r="BB106" t="s">
        <v>417</v>
      </c>
      <c r="BC106">
        <f t="shared" ref="BC106:BC111" si="6">IF(BK106=1,BD106,BE106)</f>
        <v>6.8591666666666662E-2</v>
      </c>
      <c r="BD106" t="str">
        <f>IF(BF106,"",K36)</f>
        <v/>
      </c>
      <c r="BE106">
        <f t="shared" si="0"/>
        <v>6.8591666666666662E-2</v>
      </c>
      <c r="BF106" t="b">
        <f>ISBLANK(K36)</f>
        <v>1</v>
      </c>
      <c r="BG106" t="str">
        <f t="shared" si="1"/>
        <v>$/kWh</v>
      </c>
      <c r="BH106" t="str">
        <f t="shared" si="2"/>
        <v>$/kWh</v>
      </c>
      <c r="BI106">
        <f t="shared" si="3"/>
        <v>1.2619999999999999E-2</v>
      </c>
      <c r="BJ106">
        <f t="shared" si="4"/>
        <v>1.8839999999999999</v>
      </c>
      <c r="BK106">
        <f t="shared" ref="BK106:BK111" si="7">IF(AND(ISNUMBER(BD106),BI106&lt;=BD106,BD106&lt;=BJ106),1,0)</f>
        <v>0</v>
      </c>
      <c r="BL106" t="str">
        <f t="shared" si="5"/>
        <v>The utility electricity cost for on-farm usage</v>
      </c>
      <c r="BM106" t="str">
        <f t="shared" ref="BM106:BM111" si="8">IF(BK106=1,"No", "Yes")</f>
        <v>Yes</v>
      </c>
      <c r="BN106" t="str">
        <f t="shared" ref="BN106:BN111" si="9">IF(BF106,"Using default", IF(BK106=1,"Input accepted", "Input invalid, using default"))</f>
        <v>Using default</v>
      </c>
    </row>
    <row r="107" spans="54:66" x14ac:dyDescent="0.3">
      <c r="BB107" t="s">
        <v>418</v>
      </c>
      <c r="BC107">
        <f t="shared" si="6"/>
        <v>3.6964905660377356</v>
      </c>
      <c r="BD107" t="str">
        <f>IF(BF107,"",K39)</f>
        <v/>
      </c>
      <c r="BE107">
        <f t="shared" si="0"/>
        <v>3.6964905660377356</v>
      </c>
      <c r="BF107" t="b">
        <f>ISBLANK(K39)</f>
        <v>1</v>
      </c>
      <c r="BG107" t="str">
        <f t="shared" si="1"/>
        <v>$/gal</v>
      </c>
      <c r="BH107" t="str">
        <f t="shared" si="2"/>
        <v>$/gal</v>
      </c>
      <c r="BI107">
        <f t="shared" si="3"/>
        <v>0.25</v>
      </c>
      <c r="BJ107">
        <f t="shared" si="4"/>
        <v>15</v>
      </c>
      <c r="BK107">
        <f t="shared" si="7"/>
        <v>0</v>
      </c>
      <c r="BL107" t="str">
        <f t="shared" si="5"/>
        <v>The diesel cost for the chosen state or an override by user</v>
      </c>
      <c r="BM107" t="str">
        <f t="shared" si="8"/>
        <v>Yes</v>
      </c>
      <c r="BN107" t="str">
        <f t="shared" si="9"/>
        <v>Using default</v>
      </c>
    </row>
    <row r="108" spans="54:66" x14ac:dyDescent="0.3">
      <c r="BB108" t="s">
        <v>419</v>
      </c>
      <c r="BC108">
        <f t="shared" si="6"/>
        <v>3.2422641509433965</v>
      </c>
      <c r="BD108" t="str">
        <f>IF(BF108,"",K42)</f>
        <v/>
      </c>
      <c r="BE108">
        <f t="shared" si="0"/>
        <v>3.2422641509433965</v>
      </c>
      <c r="BF108" t="b">
        <f>ISBLANK(K42)</f>
        <v>1</v>
      </c>
      <c r="BG108" t="str">
        <f t="shared" si="1"/>
        <v>$/gal</v>
      </c>
      <c r="BH108" t="str">
        <f t="shared" si="2"/>
        <v>$/gal</v>
      </c>
      <c r="BI108">
        <f t="shared" si="3"/>
        <v>0.25</v>
      </c>
      <c r="BJ108">
        <f t="shared" si="4"/>
        <v>15</v>
      </c>
      <c r="BK108">
        <f t="shared" si="7"/>
        <v>0</v>
      </c>
      <c r="BL108" t="str">
        <f t="shared" si="5"/>
        <v>The gasoline cost for the chosen state or an override by user</v>
      </c>
      <c r="BM108" t="str">
        <f t="shared" si="8"/>
        <v>Yes</v>
      </c>
      <c r="BN108" t="str">
        <f t="shared" si="9"/>
        <v>Using default</v>
      </c>
    </row>
    <row r="109" spans="54:66" x14ac:dyDescent="0.3">
      <c r="BB109" t="s">
        <v>420</v>
      </c>
      <c r="BC109">
        <f t="shared" si="6"/>
        <v>0.53</v>
      </c>
      <c r="BD109" t="str">
        <f>IF(BF109,"",K45)</f>
        <v/>
      </c>
      <c r="BE109">
        <f t="shared" si="0"/>
        <v>0.53</v>
      </c>
      <c r="BF109" t="b">
        <f>ISBLANK(K45)</f>
        <v>1</v>
      </c>
      <c r="BG109" t="str">
        <f t="shared" si="1"/>
        <v>$/lb</v>
      </c>
      <c r="BH109" t="str">
        <f t="shared" si="2"/>
        <v>$/lb</v>
      </c>
      <c r="BI109">
        <f t="shared" si="3"/>
        <v>0.1</v>
      </c>
      <c r="BJ109">
        <f t="shared" si="4"/>
        <v>1</v>
      </c>
      <c r="BK109">
        <f t="shared" si="7"/>
        <v>0</v>
      </c>
      <c r="BL109" t="str">
        <f t="shared" si="5"/>
        <v>Cost of N (nitrogen) based fertilizer</v>
      </c>
      <c r="BM109" t="str">
        <f t="shared" si="8"/>
        <v>Yes</v>
      </c>
      <c r="BN109" t="str">
        <f t="shared" si="9"/>
        <v>Using default</v>
      </c>
    </row>
    <row r="110" spans="54:66" x14ac:dyDescent="0.3">
      <c r="BB110" t="s">
        <v>421</v>
      </c>
      <c r="BC110">
        <f t="shared" si="6"/>
        <v>0.53</v>
      </c>
      <c r="BD110" t="str">
        <f>IF(BF110,"",K48)</f>
        <v/>
      </c>
      <c r="BE110">
        <f t="shared" si="0"/>
        <v>0.53</v>
      </c>
      <c r="BF110" t="b">
        <f>ISBLANK(K48)</f>
        <v>1</v>
      </c>
      <c r="BG110" t="str">
        <f t="shared" si="1"/>
        <v>$/lb</v>
      </c>
      <c r="BH110" t="str">
        <f t="shared" si="2"/>
        <v>$/lb</v>
      </c>
      <c r="BI110">
        <f t="shared" si="3"/>
        <v>0.1</v>
      </c>
      <c r="BJ110">
        <f t="shared" si="4"/>
        <v>1</v>
      </c>
      <c r="BK110">
        <f t="shared" si="7"/>
        <v>0</v>
      </c>
      <c r="BL110" t="str">
        <f t="shared" si="5"/>
        <v>Cost of P2O5 (phosphorus) based fertilizer</v>
      </c>
      <c r="BM110" t="str">
        <f t="shared" si="8"/>
        <v>Yes</v>
      </c>
      <c r="BN110" t="str">
        <f t="shared" si="9"/>
        <v>Using default</v>
      </c>
    </row>
    <row r="111" spans="54:66" x14ac:dyDescent="0.3">
      <c r="BB111" t="s">
        <v>422</v>
      </c>
      <c r="BC111">
        <f t="shared" si="6"/>
        <v>0.45</v>
      </c>
      <c r="BD111" t="str">
        <f>IF(BF111,"",K51)</f>
        <v/>
      </c>
      <c r="BE111">
        <f t="shared" si="0"/>
        <v>0.45</v>
      </c>
      <c r="BF111" t="b">
        <f>ISBLANK(K51)</f>
        <v>1</v>
      </c>
      <c r="BG111" t="str">
        <f t="shared" si="1"/>
        <v>$/lb</v>
      </c>
      <c r="BH111" t="str">
        <f t="shared" si="2"/>
        <v>$/lb</v>
      </c>
      <c r="BI111">
        <f t="shared" si="3"/>
        <v>0.1</v>
      </c>
      <c r="BJ111">
        <f t="shared" si="4"/>
        <v>1</v>
      </c>
      <c r="BK111">
        <f t="shared" si="7"/>
        <v>0</v>
      </c>
      <c r="BL111" t="str">
        <f t="shared" si="5"/>
        <v>Cost of K2O (potassium) based fertilizer</v>
      </c>
      <c r="BM111" t="str">
        <f t="shared" si="8"/>
        <v>Yes</v>
      </c>
      <c r="BN111" t="str">
        <f t="shared" si="9"/>
        <v>Using default</v>
      </c>
    </row>
    <row r="112" spans="54:66" x14ac:dyDescent="0.3">
      <c r="BB112" t="s">
        <v>423</v>
      </c>
      <c r="BC112">
        <f>IF(BK112=1,BD112,BE112)</f>
        <v>3.858144828221536</v>
      </c>
      <c r="BD112" t="str">
        <f>IF(BF112,"",K54)</f>
        <v/>
      </c>
      <c r="BE112">
        <f>INDEX(UDD,MATCH($BB112,UDN,0))</f>
        <v>3.858144828221536</v>
      </c>
      <c r="BF112" t="b">
        <f>ISBLANK(K54)</f>
        <v>1</v>
      </c>
      <c r="BG112" t="str">
        <f>INDEX(UDUnit,MATCH($BB112,UDN,0))</f>
        <v>$/1000 gal</v>
      </c>
      <c r="BH112" t="str">
        <f>INDEX(UDF_Unit,MATCH($BB112,UDN,0))</f>
        <v>$/1000 gal</v>
      </c>
      <c r="BI112">
        <f>INDEX(UDMin,MATCH($BB112,UDN,0))</f>
        <v>6.0000000000000001E-3</v>
      </c>
      <c r="BJ112">
        <f>INDEX(UDMax,MATCH($BB112,UDN,0))</f>
        <v>14.536999999999999</v>
      </c>
      <c r="BK112">
        <f>IF(AND(ISNUMBER(BD112),BI112&lt;=BD112,BD112&lt;=BJ112),1,0)</f>
        <v>0</v>
      </c>
      <c r="BL112" t="str">
        <f>INDEX(UD_Desc,MATCH($BB112,UDN,0))</f>
        <v>Average cost of obtaining water for farm usage</v>
      </c>
      <c r="BM112" t="str">
        <f>IF(BK112=1,"No", "Yes")</f>
        <v>Yes</v>
      </c>
      <c r="BN112" t="str">
        <f>IF(BF112,"Using default", IF(BK112=1,"Input accepted", "Input invalid, using default"))</f>
        <v>Using default</v>
      </c>
    </row>
    <row r="115" spans="63:65" x14ac:dyDescent="0.3">
      <c r="BK115" s="82" t="s">
        <v>127</v>
      </c>
      <c r="BM115">
        <f>COUNTIF(BN105:BN111,"Input invalid, using default")</f>
        <v>0</v>
      </c>
    </row>
    <row r="116" spans="63:65" x14ac:dyDescent="0.3">
      <c r="BK116" t="s">
        <v>424</v>
      </c>
    </row>
    <row r="117" spans="63:65" x14ac:dyDescent="0.3">
      <c r="BK117" t="s">
        <v>131</v>
      </c>
    </row>
    <row r="119" spans="63:65" x14ac:dyDescent="0.3">
      <c r="BK119" t="str">
        <f>IF(BM115&gt;0,BK117,BK116)</f>
        <v>You have answered all of the operations questions for this page. Press the "Next page" button to move to the priorities page.</v>
      </c>
    </row>
  </sheetData>
  <mergeCells count="95">
    <mergeCell ref="Q54:R56"/>
    <mergeCell ref="G36:H38"/>
    <mergeCell ref="Q36:R38"/>
    <mergeCell ref="G39:H41"/>
    <mergeCell ref="Q39:R41"/>
    <mergeCell ref="Q42:R44"/>
    <mergeCell ref="G45:H47"/>
    <mergeCell ref="Q45:R47"/>
    <mergeCell ref="G42:H44"/>
    <mergeCell ref="G48:H50"/>
    <mergeCell ref="Q48:R50"/>
    <mergeCell ref="G51:H53"/>
    <mergeCell ref="Q51:R53"/>
    <mergeCell ref="E33:F35"/>
    <mergeCell ref="M33:N35"/>
    <mergeCell ref="O33:P35"/>
    <mergeCell ref="K33:L35"/>
    <mergeCell ref="G18:P26"/>
    <mergeCell ref="E28:R31"/>
    <mergeCell ref="E32:F32"/>
    <mergeCell ref="M32:N32"/>
    <mergeCell ref="O32:P32"/>
    <mergeCell ref="K32:L32"/>
    <mergeCell ref="I32:J32"/>
    <mergeCell ref="G32:H32"/>
    <mergeCell ref="Q32:R32"/>
    <mergeCell ref="I33:J35"/>
    <mergeCell ref="G33:H35"/>
    <mergeCell ref="Q33:R35"/>
    <mergeCell ref="D11:S16"/>
    <mergeCell ref="I5:J7"/>
    <mergeCell ref="K5:L7"/>
    <mergeCell ref="M5:N7"/>
    <mergeCell ref="F2:G4"/>
    <mergeCell ref="H2:I4"/>
    <mergeCell ref="J2:K4"/>
    <mergeCell ref="L2:M4"/>
    <mergeCell ref="N2:O4"/>
    <mergeCell ref="P2:Q4"/>
    <mergeCell ref="C4:D6"/>
    <mergeCell ref="S4:T6"/>
    <mergeCell ref="G5:H7"/>
    <mergeCell ref="O5:P7"/>
    <mergeCell ref="E54:F56"/>
    <mergeCell ref="M54:N56"/>
    <mergeCell ref="O54:P56"/>
    <mergeCell ref="K54:L56"/>
    <mergeCell ref="I54:J56"/>
    <mergeCell ref="G54:H56"/>
    <mergeCell ref="E39:F41"/>
    <mergeCell ref="M39:N41"/>
    <mergeCell ref="O39:P41"/>
    <mergeCell ref="K39:L41"/>
    <mergeCell ref="I39:J41"/>
    <mergeCell ref="E36:F38"/>
    <mergeCell ref="M36:N38"/>
    <mergeCell ref="O36:P38"/>
    <mergeCell ref="K36:L38"/>
    <mergeCell ref="I36:J38"/>
    <mergeCell ref="E45:F47"/>
    <mergeCell ref="M45:N47"/>
    <mergeCell ref="O45:P47"/>
    <mergeCell ref="K45:L47"/>
    <mergeCell ref="I45:J47"/>
    <mergeCell ref="E42:F44"/>
    <mergeCell ref="M42:N44"/>
    <mergeCell ref="O42:P44"/>
    <mergeCell ref="K42:L44"/>
    <mergeCell ref="I42:J44"/>
    <mergeCell ref="E51:F53"/>
    <mergeCell ref="M51:N53"/>
    <mergeCell ref="O51:P53"/>
    <mergeCell ref="K51:L53"/>
    <mergeCell ref="I51:J53"/>
    <mergeCell ref="E48:F50"/>
    <mergeCell ref="M48:N50"/>
    <mergeCell ref="O48:P50"/>
    <mergeCell ref="K48:L50"/>
    <mergeCell ref="I48:J50"/>
    <mergeCell ref="L58:P58"/>
    <mergeCell ref="Q58:R58"/>
    <mergeCell ref="G59:P63"/>
    <mergeCell ref="F68:G70"/>
    <mergeCell ref="H68:I70"/>
    <mergeCell ref="J68:K70"/>
    <mergeCell ref="L68:M70"/>
    <mergeCell ref="N68:O70"/>
    <mergeCell ref="P68:Q70"/>
    <mergeCell ref="C70:D72"/>
    <mergeCell ref="S70:T72"/>
    <mergeCell ref="G71:H73"/>
    <mergeCell ref="I71:J73"/>
    <mergeCell ref="K71:L73"/>
    <mergeCell ref="M71:N73"/>
    <mergeCell ref="O71:P73"/>
  </mergeCells>
  <conditionalFormatting sqref="E33:J56 M33:R56">
    <cfRule type="expression" dxfId="1" priority="1">
      <formula>$Q33="Input invalid, using default"</formula>
    </cfRule>
  </conditionalFormatting>
  <hyperlinks>
    <hyperlink ref="F2:G4" location="UI.Welcome!A1" tooltip="Click to go to welcome page" display="Welcome Page" xr:uid="{A67E187E-2E4D-48ED-B2F8-4AFB467D8656}"/>
    <hyperlink ref="H2:I4" location="UI.Farm!A1" tooltip="Click to go to farm inputs page" display="Farm Info" xr:uid="{3A300A47-A05E-4198-8B2B-D8AF6CC934DC}"/>
    <hyperlink ref="K5:L7" location="UI.Priorities!A1" tooltip="Click to go to priorities page" display="Priorities" xr:uid="{F947DA10-AA76-4581-B2F8-82E47893E1CD}"/>
    <hyperlink ref="J2:K4" location="UI.Animals!A1" tooltip="Click to go to animals input page" display="Animals" xr:uid="{34B3576F-8DC7-4A40-B353-3E38D9BAA39C}"/>
    <hyperlink ref="P2:Q4" location="UI.Tractor!A1" tooltip="Click to go to tractor properties" display="Tractor Properties" xr:uid="{7DB8147D-05F9-4B1D-BABC-5A77F7A6329D}"/>
    <hyperlink ref="N2:O4" location="UI.Streams!A1" tooltip="Click to go to the excess manure page" display="Excess Manure Streams" xr:uid="{4DC14A11-FA43-4E74-9513-5AC7292589F2}"/>
    <hyperlink ref="G5:H7" location="UI.Cap!A1" tooltip="Click to go to capital expenses page" display="Capital Expenses" xr:uid="{688981EE-F4F9-4FA9-B963-A82BE6989550}"/>
    <hyperlink ref="L2:M4" location="UI.Manure!A1" tooltip="Click to go to the manure characteristics page" display="Manure Characteristics" xr:uid="{15461A17-3A1A-47BB-A524-23A6EB7E4202}"/>
    <hyperlink ref="O5:P7" location="UI.Inputs!A1" tooltip="Click to go to input results summary" display="Inputs Summary" xr:uid="{6529C90F-A861-4EF8-A3B7-F57CBD47D8B0}"/>
    <hyperlink ref="C4:D6" location="Results.Summary!A1" tooltip="Click to go to results summary page" display="Results Summary" xr:uid="{41F44DFE-7F99-4B38-ABBB-E7A74F50D11F}"/>
    <hyperlink ref="I5:J7" location="UI.OpExpenses!A1" tooltip="Click to go to operational expenses page" display="Operational Expenses" xr:uid="{9D4D4A13-5BBB-439A-8687-819D99FF3A97}"/>
    <hyperlink ref="S4:T6" location="UI.Priorities!A1" tooltip="Click to go to priorities page" display="Priorities" xr:uid="{2F010786-1FC2-4D30-88BA-852E978C53ED}"/>
    <hyperlink ref="M5:N7" location="UI.Choice!A1" tooltip="Click to go to scenario choice page" display="Scenario Choices" xr:uid="{F61808B3-9965-4D00-9306-FB19504F1DB6}"/>
    <hyperlink ref="F68:G70" location="UI.Welcome!A1" tooltip="Click to go to welcome page" display="Welcome Page" xr:uid="{FC229E30-A92C-4EFA-97CC-8BA0F631BBEB}"/>
    <hyperlink ref="H68:I70" location="UI.Farm!A1" tooltip="Click to go to farm inputs page" display="Farm Info" xr:uid="{13E7A4AB-14C2-40AE-B042-00FFD0247D25}"/>
    <hyperlink ref="K71:L73" location="UI.Priorities!A1" tooltip="Click to go to priorities page" display="Priorities" xr:uid="{B91DA674-D0C5-49A5-AA3C-D12D85579449}"/>
    <hyperlink ref="J68:K70" location="UI.Animals!A1" tooltip="Click to go to animals input page" display="Animals" xr:uid="{B55E938D-5F9D-48F1-94D1-BEB9FF47ED08}"/>
    <hyperlink ref="P68:Q70" location="UI.Tractor!A1" tooltip="Click to go to tractor properties" display="Tractor Properties" xr:uid="{7A898B34-C74C-4215-8F53-A82ED579933F}"/>
    <hyperlink ref="N68:O70" location="UI.Streams!A1" tooltip="Click to go to the excess manure page" display="Excess Manure Streams" xr:uid="{E64FDC72-82C6-405F-A37A-2686AE0765CD}"/>
    <hyperlink ref="G71:H73" location="UI.Cap!A1" tooltip="Click to go to capital expenses page" display="Capital Expenses" xr:uid="{AFB2BC9A-C983-4449-9EC8-7D60C34273FB}"/>
    <hyperlink ref="L68:M70" location="UI.Manure!A1" tooltip="Click to go to the manure characteristics page" display="Manure Characteristics" xr:uid="{AFA97A9D-5A16-4CBF-BD34-66384EDBBA99}"/>
    <hyperlink ref="O71:P73" location="UI.Inputs!A1" tooltip="Click to go to input results summary" display="Inputs Summary" xr:uid="{42E924C8-3FFC-4BB4-B3B6-83A1717FB3D2}"/>
    <hyperlink ref="C70:D72" location="Results.Summary!A1" tooltip="Click to go to results summary page" display="Results Summary" xr:uid="{46817291-6F61-4EF1-83FB-DBC3CDE67863}"/>
    <hyperlink ref="I71:J73" location="UI.OpExpenses!A1" tooltip="Click to go to operational expenses page" display="Operational Expenses" xr:uid="{1A0477A2-B9C2-47B3-8107-7F38289E5144}"/>
    <hyperlink ref="S70:T72" location="UI.Priorities!A1" tooltip="Click to go to priorities page" display="Priorities" xr:uid="{6527006E-1B8E-4C19-B5E6-BFC2376C1F0E}"/>
    <hyperlink ref="M71:N73" location="UI.Choice!A1" tooltip="Click to go to scenario choice page" display="Scenario Choices" xr:uid="{3F1C6256-496B-44A3-BA64-74636F9C1B91}"/>
  </hyperlinks>
  <pageMargins left="0.7" right="0.7" top="0.75" bottom="0.75" header="0.3" footer="0.3"/>
  <pageSetup scale="4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4F9B68D43F38468F19EDD55F4DA175" ma:contentTypeVersion="18" ma:contentTypeDescription="Create a new document." ma:contentTypeScope="" ma:versionID="24e7c49292d8d56f47b2577251f434e6">
  <xsd:schema xmlns:xsd="http://www.w3.org/2001/XMLSchema" xmlns:xs="http://www.w3.org/2001/XMLSchema" xmlns:p="http://schemas.microsoft.com/office/2006/metadata/properties" xmlns:ns2="b31bf16c-81fb-413d-9dd7-9da3f241011f" xmlns:ns3="5765d884-59a1-41a5-bf8c-33dd8ab2f458" targetNamespace="http://schemas.microsoft.com/office/2006/metadata/properties" ma:root="true" ma:fieldsID="9399cfa0f1253c2e3d749569a70d21e7" ns2:_="" ns3:_="">
    <xsd:import namespace="b31bf16c-81fb-413d-9dd7-9da3f241011f"/>
    <xsd:import namespace="5765d884-59a1-41a5-bf8c-33dd8ab2f4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CR"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1bf16c-81fb-413d-9dd7-9da3f24101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d03f021-7260-47c4-a966-efcc8f4531e6"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65d884-59a1-41a5-bf8c-33dd8ab2f45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28af919-4974-470d-a8ba-c9ccfb5e1e7f}" ma:internalName="TaxCatchAll" ma:showField="CatchAllData" ma:web="5765d884-59a1-41a5-bf8c-33dd8ab2f4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31bf16c-81fb-413d-9dd7-9da3f241011f">
      <Terms xmlns="http://schemas.microsoft.com/office/infopath/2007/PartnerControls"/>
    </lcf76f155ced4ddcb4097134ff3c332f>
    <TaxCatchAll xmlns="5765d884-59a1-41a5-bf8c-33dd8ab2f45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0F9FB5-47AC-4069-888E-D5E1785FA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1bf16c-81fb-413d-9dd7-9da3f241011f"/>
    <ds:schemaRef ds:uri="5765d884-59a1-41a5-bf8c-33dd8ab2f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BAAFBE-D7F8-4B2F-8FC5-116646C03172}">
  <ds:schemaRefs>
    <ds:schemaRef ds:uri="http://schemas.microsoft.com/office/2006/metadata/properties"/>
    <ds:schemaRef ds:uri="http://schemas.microsoft.com/office/infopath/2007/PartnerControls"/>
    <ds:schemaRef ds:uri="b31bf16c-81fb-413d-9dd7-9da3f241011f"/>
    <ds:schemaRef ds:uri="5765d884-59a1-41a5-bf8c-33dd8ab2f458"/>
  </ds:schemaRefs>
</ds:datastoreItem>
</file>

<file path=customXml/itemProps3.xml><?xml version="1.0" encoding="utf-8"?>
<ds:datastoreItem xmlns:ds="http://schemas.openxmlformats.org/officeDocument/2006/customXml" ds:itemID="{A80612DA-C089-4A16-AC9A-2A8CD1AD8991}">
  <ds:schemaRefs>
    <ds:schemaRef ds:uri="http://schemas.microsoft.com/sharepoint/v3/contenttype/forms"/>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941</vt:i4>
      </vt:variant>
    </vt:vector>
  </HeadingPairs>
  <TitlesOfParts>
    <vt:vector size="1012" baseType="lpstr">
      <vt:lpstr>UI.Welcome</vt:lpstr>
      <vt:lpstr>UI.Example</vt:lpstr>
      <vt:lpstr>UI.Farm</vt:lpstr>
      <vt:lpstr>UI.Animals</vt:lpstr>
      <vt:lpstr>UI.Manure</vt:lpstr>
      <vt:lpstr>UI.Streams</vt:lpstr>
      <vt:lpstr>UI.Tractor</vt:lpstr>
      <vt:lpstr>UI.Cap</vt:lpstr>
      <vt:lpstr>UI.OpExpenses</vt:lpstr>
      <vt:lpstr>UI.Priorities</vt:lpstr>
      <vt:lpstr>UI.Choice</vt:lpstr>
      <vt:lpstr>UI.Inputs</vt:lpstr>
      <vt:lpstr>Results.Summary</vt:lpstr>
      <vt:lpstr>Results.Scenarios</vt:lpstr>
      <vt:lpstr>Results.Econ</vt:lpstr>
      <vt:lpstr>Results.Env</vt:lpstr>
      <vt:lpstr>Results.Tech</vt:lpstr>
      <vt:lpstr>Results.Resources</vt:lpstr>
      <vt:lpstr>Results.Nutrients</vt:lpstr>
      <vt:lpstr>UD</vt:lpstr>
      <vt:lpstr>Units</vt:lpstr>
      <vt:lpstr>Plot.Tables</vt:lpstr>
      <vt:lpstr>UI.Styles</vt:lpstr>
      <vt:lpstr>Econ.Equations</vt:lpstr>
      <vt:lpstr>Econ.inputsTable</vt:lpstr>
      <vt:lpstr>Econ.Tables</vt:lpstr>
      <vt:lpstr>Utilities&amp;Labor</vt:lpstr>
      <vt:lpstr>Drops</vt:lpstr>
      <vt:lpstr>T.Electricity</vt:lpstr>
      <vt:lpstr>T.Regional_Data</vt:lpstr>
      <vt:lpstr>T.MCF</vt:lpstr>
      <vt:lpstr>Swine_Scenarios_Tech</vt:lpstr>
      <vt:lpstr>Cover_Size</vt:lpstr>
      <vt:lpstr>Lagoon_Design</vt:lpstr>
      <vt:lpstr>Output.Rankings</vt:lpstr>
      <vt:lpstr>Regressions</vt:lpstr>
      <vt:lpstr>EconResultsDetail</vt:lpstr>
      <vt:lpstr>EconIntermediate</vt:lpstr>
      <vt:lpstr>EconResultsSummary</vt:lpstr>
      <vt:lpstr>Sc.Table</vt:lpstr>
      <vt:lpstr>Sc.Ranked</vt:lpstr>
      <vt:lpstr>PT.waste_generation</vt:lpstr>
      <vt:lpstr>PT.deep_pit</vt:lpstr>
      <vt:lpstr>PT.shallow_flush</vt:lpstr>
      <vt:lpstr>PT.shallow_scrape</vt:lpstr>
      <vt:lpstr>PT.shallow_plug</vt:lpstr>
      <vt:lpstr>PT.reception_pit</vt:lpstr>
      <vt:lpstr>PT.slope_screen</vt:lpstr>
      <vt:lpstr>PT.anaer_digest</vt:lpstr>
      <vt:lpstr>PT.cover_digest</vt:lpstr>
      <vt:lpstr>PT.anaer_lagoon</vt:lpstr>
      <vt:lpstr>PT.storage_tank</vt:lpstr>
      <vt:lpstr>PT.composting</vt:lpstr>
      <vt:lpstr>Solid_Sep_Design</vt:lpstr>
      <vt:lpstr>LCA_PT_Template</vt:lpstr>
      <vt:lpstr>TT_PT_Template</vt:lpstr>
      <vt:lpstr>LCIA Summary output</vt:lpstr>
      <vt:lpstr>Sc1</vt:lpstr>
      <vt:lpstr>Sc2</vt:lpstr>
      <vt:lpstr>Sc3</vt:lpstr>
      <vt:lpstr>Sc4</vt:lpstr>
      <vt:lpstr>Sc5</vt:lpstr>
      <vt:lpstr>Sc6</vt:lpstr>
      <vt:lpstr>Sc7</vt:lpstr>
      <vt:lpstr>Sc8</vt:lpstr>
      <vt:lpstr>Sc9</vt:lpstr>
      <vt:lpstr>Sc10</vt:lpstr>
      <vt:lpstr>Sc11</vt:lpstr>
      <vt:lpstr>Sc12</vt:lpstr>
      <vt:lpstr>Sc13</vt:lpstr>
      <vt:lpstr>Sc14</vt:lpstr>
      <vt:lpstr>DROPS.crops.apply_for</vt:lpstr>
      <vt:lpstr>DROPS.crops.apply_method</vt:lpstr>
      <vt:lpstr>DROPS.econ_manure.export_concern</vt:lpstr>
      <vt:lpstr>DROPS.example.dropdown</vt:lpstr>
      <vt:lpstr>DROPS.land_application.distance</vt:lpstr>
      <vt:lpstr>DROPS.recharge_events.water_type_pullplug</vt:lpstr>
      <vt:lpstr>DROPS.storage_tank.agi_type</vt:lpstr>
      <vt:lpstr>DROPS.tanker.size</vt:lpstr>
      <vt:lpstr>DROPS.tractor.application_time</vt:lpstr>
      <vt:lpstr>DROPS.tractor.distance_from_field</vt:lpstr>
      <vt:lpstr>DROPS.u.env_results_type</vt:lpstr>
      <vt:lpstr>DROPS.u.state</vt:lpstr>
      <vt:lpstr>DROPS.u.state_climate_zone</vt:lpstr>
      <vt:lpstr>DROPS.u.state_region</vt:lpstr>
      <vt:lpstr>DROPS.u.unit_system</vt:lpstr>
      <vt:lpstr>DROPS.YES_NO</vt:lpstr>
      <vt:lpstr>econ_build.metal_building</vt:lpstr>
      <vt:lpstr>front_end_loader_bucket_capacity</vt:lpstr>
      <vt:lpstr>front_end_loader_bucket_fill_rate</vt:lpstr>
      <vt:lpstr>front_end_loader_hp</vt:lpstr>
      <vt:lpstr>Results.Econ!Print_Area</vt:lpstr>
      <vt:lpstr>Results.Env!Print_Area</vt:lpstr>
      <vt:lpstr>Results.Nutrients!Print_Area</vt:lpstr>
      <vt:lpstr>Results.Resources!Print_Area</vt:lpstr>
      <vt:lpstr>Results.Scenarios!Print_Area</vt:lpstr>
      <vt:lpstr>Results.Summary!Print_Area</vt:lpstr>
      <vt:lpstr>Results.Tech!Print_Area</vt:lpstr>
      <vt:lpstr>UI.Animals!Print_Area</vt:lpstr>
      <vt:lpstr>UI.Cap!Print_Area</vt:lpstr>
      <vt:lpstr>UI.Choice!Print_Area</vt:lpstr>
      <vt:lpstr>UI.Farm!Print_Area</vt:lpstr>
      <vt:lpstr>UI.Inputs!Print_Area</vt:lpstr>
      <vt:lpstr>UI.Manure!Print_Area</vt:lpstr>
      <vt:lpstr>UI.OpExpenses!Print_Area</vt:lpstr>
      <vt:lpstr>UI.Priorities!Print_Area</vt:lpstr>
      <vt:lpstr>UI.Streams!Print_Area</vt:lpstr>
      <vt:lpstr>UI.Tractor!Print_Area</vt:lpstr>
      <vt:lpstr>UI.Welcome!Print_Area</vt:lpstr>
      <vt:lpstr>Results.Env!Print_Titles</vt:lpstr>
      <vt:lpstr>Results.Nutrients!Print_Titles</vt:lpstr>
      <vt:lpstr>Results.Resources!Print_Titles</vt:lpstr>
      <vt:lpstr>Results.Scenarios!Print_Titles</vt:lpstr>
      <vt:lpstr>UI.Farm!Print_Titles</vt:lpstr>
      <vt:lpstr>SC.Table.Baselines</vt:lpstr>
      <vt:lpstr>SC.Table.Rank</vt:lpstr>
      <vt:lpstr>SC.Table.Scenario_Desc</vt:lpstr>
      <vt:lpstr>SC.Table.Scenario_ID</vt:lpstr>
      <vt:lpstr>SC.Table.Scenario_Properties</vt:lpstr>
      <vt:lpstr>SC.Table.True_ID</vt:lpstr>
      <vt:lpstr>SC.Table.True_Scenario_Properties</vt:lpstr>
      <vt:lpstr>TO.AHP.RANKS</vt:lpstr>
      <vt:lpstr>UC.495_rule</vt:lpstr>
      <vt:lpstr>UC.acre_to_ft2</vt:lpstr>
      <vt:lpstr>UC.acre_to_hectare</vt:lpstr>
      <vt:lpstr>UC.acre_to_m2</vt:lpstr>
      <vt:lpstr>UC.BTU_to_MJ</vt:lpstr>
      <vt:lpstr>UC.cm_to_in</vt:lpstr>
      <vt:lpstr>UC.day_to_hour</vt:lpstr>
      <vt:lpstr>UC.day_to_year</vt:lpstr>
      <vt:lpstr>UC.ft_to_in</vt:lpstr>
      <vt:lpstr>UC.ft_to_m</vt:lpstr>
      <vt:lpstr>UC.ft2_to_m2</vt:lpstr>
      <vt:lpstr>UC.ft3_to_bushel</vt:lpstr>
      <vt:lpstr>UC.ft3_to_L</vt:lpstr>
      <vt:lpstr>UC.ft3_to_m3</vt:lpstr>
      <vt:lpstr>UC.g_to_lb</vt:lpstr>
      <vt:lpstr>UC.gal_to_ft3</vt:lpstr>
      <vt:lpstr>UC.gal_to_L</vt:lpstr>
      <vt:lpstr>UC.gal_to_m3</vt:lpstr>
      <vt:lpstr>UC.hectare_to_acre</vt:lpstr>
      <vt:lpstr>UC.hour_to_day</vt:lpstr>
      <vt:lpstr>UC.hour_to_min</vt:lpstr>
      <vt:lpstr>UC.hour_to_sec</vt:lpstr>
      <vt:lpstr>UC.hp_to_kW</vt:lpstr>
      <vt:lpstr>UC.in_to_cm</vt:lpstr>
      <vt:lpstr>UC.in_to_m</vt:lpstr>
      <vt:lpstr>UC.K_to_K2O</vt:lpstr>
      <vt:lpstr>UC.K2O_to_K</vt:lpstr>
      <vt:lpstr>UC.kg_to_lb</vt:lpstr>
      <vt:lpstr>UC.km_to_mile</vt:lpstr>
      <vt:lpstr>UC.kWh_to_MJ</vt:lpstr>
      <vt:lpstr>UC.L_to_ft3</vt:lpstr>
      <vt:lpstr>UC.L_to_gal</vt:lpstr>
      <vt:lpstr>UC.L_to_m3</vt:lpstr>
      <vt:lpstr>UC.lb_to_g</vt:lpstr>
      <vt:lpstr>UC.lb_to_kg</vt:lpstr>
      <vt:lpstr>UC.lb_to_mg</vt:lpstr>
      <vt:lpstr>UC.m_to_ft</vt:lpstr>
      <vt:lpstr>UC.m2_to_acre</vt:lpstr>
      <vt:lpstr>UC.m2_to_ft2</vt:lpstr>
      <vt:lpstr>UC.m3_to_bushel</vt:lpstr>
      <vt:lpstr>UC.m3_to_ft3</vt:lpstr>
      <vt:lpstr>UC.m3_to_gal</vt:lpstr>
      <vt:lpstr>UC.m3_to_L</vt:lpstr>
      <vt:lpstr>UC.m3_to_yd3</vt:lpstr>
      <vt:lpstr>UC.mile_to_ft</vt:lpstr>
      <vt:lpstr>UC.mile_to_km</vt:lpstr>
      <vt:lpstr>UC.min_to_hour</vt:lpstr>
      <vt:lpstr>UC.min_to_sec</vt:lpstr>
      <vt:lpstr>UC.MJ_to_BTU</vt:lpstr>
      <vt:lpstr>UC.MJ_to_kWh</vt:lpstr>
      <vt:lpstr>UC.MJ_to_MMBTU</vt:lpstr>
      <vt:lpstr>UC.month_to_day</vt:lpstr>
      <vt:lpstr>UC.N_to_N2O</vt:lpstr>
      <vt:lpstr>UC.N_to_NH3</vt:lpstr>
      <vt:lpstr>UC.N_to_NH4</vt:lpstr>
      <vt:lpstr>UC.N_to_NO3</vt:lpstr>
      <vt:lpstr>UC.N2O_to_N</vt:lpstr>
      <vt:lpstr>UC.NH3_to_N</vt:lpstr>
      <vt:lpstr>UC.NH4_to_N</vt:lpstr>
      <vt:lpstr>UC.NO3_to_N</vt:lpstr>
      <vt:lpstr>UC.P_to_P2O5</vt:lpstr>
      <vt:lpstr>UC.P_to_PO4</vt:lpstr>
      <vt:lpstr>UC.P2O5_to_P</vt:lpstr>
      <vt:lpstr>UC.PO4_to_P</vt:lpstr>
      <vt:lpstr>UC.pump_US</vt:lpstr>
      <vt:lpstr>UC.sec_to_hour</vt:lpstr>
      <vt:lpstr>UC.sec_to_min</vt:lpstr>
      <vt:lpstr>UC.ton_to_kg</vt:lpstr>
      <vt:lpstr>UC.ton_to_lb</vt:lpstr>
      <vt:lpstr>UC.ton_to_tonne</vt:lpstr>
      <vt:lpstr>UC.tonne_to_kg</vt:lpstr>
      <vt:lpstr>UC.tonne_to_lb</vt:lpstr>
      <vt:lpstr>UC.tonne_to_ton</vt:lpstr>
      <vt:lpstr>UC.week_to_day</vt:lpstr>
      <vt:lpstr>UC.yd3_to_ft3</vt:lpstr>
      <vt:lpstr>UC.yd3_to_m3</vt:lpstr>
      <vt:lpstr>UC.year_to_day</vt:lpstr>
      <vt:lpstr>UC.year_to_hour</vt:lpstr>
      <vt:lpstr>UC.year_to_week</vt:lpstr>
      <vt:lpstr>UD_Desc</vt:lpstr>
      <vt:lpstr>UDC</vt:lpstr>
      <vt:lpstr>UDD</vt:lpstr>
      <vt:lpstr>UDF_Unit</vt:lpstr>
      <vt:lpstr>UDMax</vt:lpstr>
      <vt:lpstr>UDMin</vt:lpstr>
      <vt:lpstr>UDN</vt:lpstr>
      <vt:lpstr>UDU</vt:lpstr>
      <vt:lpstr>UDUnit</vt:lpstr>
      <vt:lpstr>UDV</vt:lpstr>
      <vt:lpstr>UDV.adj.construction_cost</vt:lpstr>
      <vt:lpstr>UDV.adj.routine_equip_cost</vt:lpstr>
      <vt:lpstr>UDV.adj.special_tech_cost</vt:lpstr>
      <vt:lpstr>UDV.anaer_digest.CH4_fraction</vt:lpstr>
      <vt:lpstr>UDV.anaer_digest.CH4_kWhr</vt:lpstr>
      <vt:lpstr>UDV.anaer_digest.CH4_MJ</vt:lpstr>
      <vt:lpstr>UDV.anaer_digest.gas_fraction</vt:lpstr>
      <vt:lpstr>UDV.anaer_digest.gas_gen</vt:lpstr>
      <vt:lpstr>UDV.anaer_digest.HRT</vt:lpstr>
      <vt:lpstr>UDV.anaer_digest.max_height</vt:lpstr>
      <vt:lpstr>UDV.anaer_digest.min_count</vt:lpstr>
      <vt:lpstr>UDV.anaer_digest.N_retained</vt:lpstr>
      <vt:lpstr>UDV.anaer_digest.ratio_h_r</vt:lpstr>
      <vt:lpstr>UDV.anaer_digest.sludge_fraction</vt:lpstr>
      <vt:lpstr>UDV.anaer_digest.sludge_time</vt:lpstr>
      <vt:lpstr>UDV.anaer_digest.storage_safety_factor</vt:lpstr>
      <vt:lpstr>UDV.anaer_digest.vs_reduced</vt:lpstr>
      <vt:lpstr>UDV.anaer_digest_effluent.K</vt:lpstr>
      <vt:lpstr>UDV.anaer_digest_effluent.N</vt:lpstr>
      <vt:lpstr>UDV.anaer_digest_effluent.P</vt:lpstr>
      <vt:lpstr>UDV.anaer_digest_effluent.TAN</vt:lpstr>
      <vt:lpstr>UDV.anaer_digest_effluent.TS</vt:lpstr>
      <vt:lpstr>UDV.anaer_digest_effluent.VS</vt:lpstr>
      <vt:lpstr>UDV.anaer_digest_liquid.prop</vt:lpstr>
      <vt:lpstr>UDV.anaer_digest_sludge.K</vt:lpstr>
      <vt:lpstr>UDV.anaer_digest_sludge.N</vt:lpstr>
      <vt:lpstr>UDV.anaer_digest_sludge.P</vt:lpstr>
      <vt:lpstr>UDV.anaer_digest_sludge.prop</vt:lpstr>
      <vt:lpstr>UDV.anaer_digest_sludge.TS</vt:lpstr>
      <vt:lpstr>UDV.anaer_lagoon.agitation</vt:lpstr>
      <vt:lpstr>UDV.anaer_lagoon.berm_width</vt:lpstr>
      <vt:lpstr>UDV.anaer_lagoon.depth</vt:lpstr>
      <vt:lpstr>UDV.anaer_lagoon.effluent_K</vt:lpstr>
      <vt:lpstr>UDV.anaer_lagoon.effluent_N</vt:lpstr>
      <vt:lpstr>UDV.anaer_lagoon.effluent_P</vt:lpstr>
      <vt:lpstr>UDV.anaer_lagoon.effluent_removal</vt:lpstr>
      <vt:lpstr>UDV.anaer_lagoon.effluent_TAN</vt:lpstr>
      <vt:lpstr>UDV.anaer_lagoon.effluent_time</vt:lpstr>
      <vt:lpstr>UDV.anaer_lagoon.effluent_TS</vt:lpstr>
      <vt:lpstr>UDV.anaer_lagoon.effluent_TS_lost</vt:lpstr>
      <vt:lpstr>UDV.anaer_lagoon.effluent_TS_target</vt:lpstr>
      <vt:lpstr>UDV.anaer_lagoon.effluent_VS</vt:lpstr>
      <vt:lpstr>UDV.anaer_lagoon.evap_modifier</vt:lpstr>
      <vt:lpstr>UDV.anaer_lagoon.evap_modifier_flush</vt:lpstr>
      <vt:lpstr>UDV.anaer_lagoon.evap_modifier_ob</vt:lpstr>
      <vt:lpstr>UDV.anaer_lagoon.evap_modifier_scrape</vt:lpstr>
      <vt:lpstr>UDV.anaer_lagoon.evap_modifier_sl</vt:lpstr>
      <vt:lpstr>UDV.anaer_lagoon.freeboard</vt:lpstr>
      <vt:lpstr>UDV.anaer_lagoon.HRT</vt:lpstr>
      <vt:lpstr>UDV.anaer_lagoon.irrigation_events</vt:lpstr>
      <vt:lpstr>UDV.anaer_lagoon.liquid_events</vt:lpstr>
      <vt:lpstr>UDV.anaer_lagoon.N_loss_atmosphere</vt:lpstr>
      <vt:lpstr>UDV.anaer_lagoon.N_retained</vt:lpstr>
      <vt:lpstr>UDV.anaer_lagoon.pump_and_motor_efficiency</vt:lpstr>
      <vt:lpstr>UDV.anaer_lagoon.recycle_pump_flowrate</vt:lpstr>
      <vt:lpstr>UDV.anaer_lagoon.recycle_pump_headloss</vt:lpstr>
      <vt:lpstr>UDV.anaer_lagoon.slope</vt:lpstr>
      <vt:lpstr>UDV.anaer_lagoon.sludge_accumulation_ratio</vt:lpstr>
      <vt:lpstr>UDV.anaer_lagoon.sludge_accumulation_ratio_base</vt:lpstr>
      <vt:lpstr>UDV.anaer_lagoon.sludge_accumulation_ratio_sol_sep</vt:lpstr>
      <vt:lpstr>UDV.anaer_lagoon.sludge_accumulation_ratio_storage_modifier</vt:lpstr>
      <vt:lpstr>UDV.anaer_lagoon.sludge_events</vt:lpstr>
      <vt:lpstr>UDV.anaer_lagoon.sludge_K</vt:lpstr>
      <vt:lpstr>UDV.anaer_lagoon.sludge_N</vt:lpstr>
      <vt:lpstr>UDV.anaer_lagoon.sludge_N_retained</vt:lpstr>
      <vt:lpstr>UDV.anaer_lagoon.sludge_P</vt:lpstr>
      <vt:lpstr>UDV.anaer_lagoon.sludge_time</vt:lpstr>
      <vt:lpstr>UDV.anaer_lagoon.sludge_toggle</vt:lpstr>
      <vt:lpstr>UDV.anaer_lagoon.sludge_TS</vt:lpstr>
      <vt:lpstr>UDV.anaer_lagoon.treatment_toggle</vt:lpstr>
      <vt:lpstr>UDV.anaer_lagoon.volume_sludge</vt:lpstr>
      <vt:lpstr>UDV.anaer_lagoon.VS_loading_rate</vt:lpstr>
      <vt:lpstr>UDV.anaer_lagoon.VSLR_multiplier</vt:lpstr>
      <vt:lpstr>UDV.anaer_lagoon.VSLR_odor_multiplier</vt:lpstr>
      <vt:lpstr>UDV.anaer_lagoon.VSLR_solids_multiplier</vt:lpstr>
      <vt:lpstr>UDV.animal.a_count</vt:lpstr>
      <vt:lpstr>UDV.animal.a_K</vt:lpstr>
      <vt:lpstr>UDV.animal.a_K2O</vt:lpstr>
      <vt:lpstr>UDV.animal.a_manure</vt:lpstr>
      <vt:lpstr>UDV.animal.a_N</vt:lpstr>
      <vt:lpstr>UDV.animal.a_P</vt:lpstr>
      <vt:lpstr>UDV.animal.a_P2O5</vt:lpstr>
      <vt:lpstr>UDV.animal.a_TAN</vt:lpstr>
      <vt:lpstr>UDV.animal.a_treated</vt:lpstr>
      <vt:lpstr>UDV.animal.a_TS</vt:lpstr>
      <vt:lpstr>UDV.animal.a_VS</vt:lpstr>
      <vt:lpstr>UDV.animal.a_weight</vt:lpstr>
      <vt:lpstr>UDV.animal.abcde_count</vt:lpstr>
      <vt:lpstr>UDV.animal.b_count</vt:lpstr>
      <vt:lpstr>UDV.animal.b_K</vt:lpstr>
      <vt:lpstr>UDV.animal.b_K2O</vt:lpstr>
      <vt:lpstr>UDV.animal.b_manure</vt:lpstr>
      <vt:lpstr>UDV.animal.b_N</vt:lpstr>
      <vt:lpstr>UDV.animal.b_P</vt:lpstr>
      <vt:lpstr>UDV.animal.b_P2O5</vt:lpstr>
      <vt:lpstr>UDV.animal.b_TAN</vt:lpstr>
      <vt:lpstr>UDV.animal.b_treated</vt:lpstr>
      <vt:lpstr>UDV.animal.b_TS</vt:lpstr>
      <vt:lpstr>UDV.animal.b_VS</vt:lpstr>
      <vt:lpstr>UDV.animal.b_weight</vt:lpstr>
      <vt:lpstr>UDV.animal.c_count</vt:lpstr>
      <vt:lpstr>UDV.animal.c_K</vt:lpstr>
      <vt:lpstr>UDV.animal.c_K2O</vt:lpstr>
      <vt:lpstr>UDV.animal.c_manure</vt:lpstr>
      <vt:lpstr>UDV.animal.c_N</vt:lpstr>
      <vt:lpstr>UDV.animal.c_P</vt:lpstr>
      <vt:lpstr>UDV.animal.c_P2O5</vt:lpstr>
      <vt:lpstr>UDV.animal.c_TAN</vt:lpstr>
      <vt:lpstr>UDV.animal.c_treated</vt:lpstr>
      <vt:lpstr>UDV.animal.c_TS</vt:lpstr>
      <vt:lpstr>UDV.animal.c_VS</vt:lpstr>
      <vt:lpstr>UDV.animal.c_weight</vt:lpstr>
      <vt:lpstr>UDV.animal.d_count</vt:lpstr>
      <vt:lpstr>UDV.animal.d_K</vt:lpstr>
      <vt:lpstr>UDV.animal.d_K2O</vt:lpstr>
      <vt:lpstr>UDV.animal.d_manure</vt:lpstr>
      <vt:lpstr>UDV.animal.d_N</vt:lpstr>
      <vt:lpstr>UDV.animal.d_P</vt:lpstr>
      <vt:lpstr>UDV.animal.d_P2O5</vt:lpstr>
      <vt:lpstr>UDV.animal.d_TAN</vt:lpstr>
      <vt:lpstr>UDV.animal.d_treated</vt:lpstr>
      <vt:lpstr>UDV.animal.d_TS</vt:lpstr>
      <vt:lpstr>UDV.animal.d_VS</vt:lpstr>
      <vt:lpstr>UDV.animal.d_weight</vt:lpstr>
      <vt:lpstr>UDV.animal.e_count</vt:lpstr>
      <vt:lpstr>UDV.animal.e_K</vt:lpstr>
      <vt:lpstr>UDV.animal.e_K2O</vt:lpstr>
      <vt:lpstr>UDV.animal.e_manure</vt:lpstr>
      <vt:lpstr>UDV.animal.e_N</vt:lpstr>
      <vt:lpstr>UDV.animal.e_P</vt:lpstr>
      <vt:lpstr>UDV.animal.e_P2O5</vt:lpstr>
      <vt:lpstr>UDV.animal.e_TAN</vt:lpstr>
      <vt:lpstr>UDV.animal.e_treated</vt:lpstr>
      <vt:lpstr>UDV.animal.e_TS</vt:lpstr>
      <vt:lpstr>UDV.animal.e_VS</vt:lpstr>
      <vt:lpstr>UDV.animal.e_weight</vt:lpstr>
      <vt:lpstr>UDV.animal.K2O</vt:lpstr>
      <vt:lpstr>UDV.animal.manure</vt:lpstr>
      <vt:lpstr>UDV.animal.N</vt:lpstr>
      <vt:lpstr>UDV.animal.P2O5</vt:lpstr>
      <vt:lpstr>UDV.animal.TAN</vt:lpstr>
      <vt:lpstr>UDV.animal.total</vt:lpstr>
      <vt:lpstr>UDV.animal.TS</vt:lpstr>
      <vt:lpstr>UDV.animal.VS</vt:lpstr>
      <vt:lpstr>UDV.animal_d_weight</vt:lpstr>
      <vt:lpstr>UDV.barn_recharge.N_loss</vt:lpstr>
      <vt:lpstr>UDV.barn_scrape.N_loss</vt:lpstr>
      <vt:lpstr>UDV.bed_organic.density</vt:lpstr>
      <vt:lpstr>UDV.bed_organic.dry_matter</vt:lpstr>
      <vt:lpstr>UDV.bed_organic.fraction_recycled</vt:lpstr>
      <vt:lpstr>UDV.bed_organic.usage</vt:lpstr>
      <vt:lpstr>UDV.bed_sand.density</vt:lpstr>
      <vt:lpstr>UDV.bed_sand.dry_matter</vt:lpstr>
      <vt:lpstr>UDV.bed_sand.usage</vt:lpstr>
      <vt:lpstr>UDV.box_spreader.capacity</vt:lpstr>
      <vt:lpstr>UDV.box_spreader.hp</vt:lpstr>
      <vt:lpstr>UDV.box_spreader.time_spreader_to_field</vt:lpstr>
      <vt:lpstr>UDV.compost.area_safety_factor</vt:lpstr>
      <vt:lpstr>UDV.compost.carbon_K_remaining</vt:lpstr>
      <vt:lpstr>UDV.compost.carbon_N_remaining</vt:lpstr>
      <vt:lpstr>UDV.compost.carbon_P_remaining</vt:lpstr>
      <vt:lpstr>UDV.compost.carbon_TS_remaining</vt:lpstr>
      <vt:lpstr>UDV.compost.density_bulk</vt:lpstr>
      <vt:lpstr>UDV.compost.density_carbon</vt:lpstr>
      <vt:lpstr>UDV.compost.emit_CH4</vt:lpstr>
      <vt:lpstr>UDV.compost.emit_CO2</vt:lpstr>
      <vt:lpstr>UDV.compost.emit_N2O</vt:lpstr>
      <vt:lpstr>UDV.compost.final_density</vt:lpstr>
      <vt:lpstr>UDV.compost.fraction_carbon</vt:lpstr>
      <vt:lpstr>UDV.compost.fraction_compost_area</vt:lpstr>
      <vt:lpstr>UDV.compost.fraction_dry_final</vt:lpstr>
      <vt:lpstr>UDV.compost.fraction_fine_compost</vt:lpstr>
      <vt:lpstr>UDV.compost.fraction_screened_compost</vt:lpstr>
      <vt:lpstr>UDV.compost.fraction_volume_loss</vt:lpstr>
      <vt:lpstr>UDV.compost.fraction_wet_final</vt:lpstr>
      <vt:lpstr>UDV.compost.height_row</vt:lpstr>
      <vt:lpstr>UDV.compost.K_carbon</vt:lpstr>
      <vt:lpstr>UDV.compost.K_loss</vt:lpstr>
      <vt:lpstr>UDV.compost.length_row</vt:lpstr>
      <vt:lpstr>UDV.compost.manure_K_remaining</vt:lpstr>
      <vt:lpstr>UDV.compost.manure_N_remaining</vt:lpstr>
      <vt:lpstr>UDV.compost.manure_P_remaining</vt:lpstr>
      <vt:lpstr>UDV.compost.manure_TS_remaining</vt:lpstr>
      <vt:lpstr>UDV.compost.manure_VS_remaining</vt:lpstr>
      <vt:lpstr>UDV.compost.mc_carbon</vt:lpstr>
      <vt:lpstr>UDV.compost.mc_compost</vt:lpstr>
      <vt:lpstr>UDV.compost.N_carbon</vt:lpstr>
      <vt:lpstr>UDV.compost.N_loss</vt:lpstr>
      <vt:lpstr>UDV.compost.P_carbon</vt:lpstr>
      <vt:lpstr>UDV.compost.P_loss</vt:lpstr>
      <vt:lpstr>UDV.compost.screening_fuel</vt:lpstr>
      <vt:lpstr>UDV.compost.screening_rate</vt:lpstr>
      <vt:lpstr>UDV.compost.time</vt:lpstr>
      <vt:lpstr>UDV.compost.time_curing_to_spreader</vt:lpstr>
      <vt:lpstr>UDV.compost.time_screen_to_storage</vt:lpstr>
      <vt:lpstr>UDV.compost.time_storage_to_compost</vt:lpstr>
      <vt:lpstr>UDV.compost.volume_day0_to_cured</vt:lpstr>
      <vt:lpstr>UDV.compost.volume_day0_to_screening</vt:lpstr>
      <vt:lpstr>UDV.compost.width_row</vt:lpstr>
      <vt:lpstr>UDV.compost_density</vt:lpstr>
      <vt:lpstr>UDV.compost_emit.CH4</vt:lpstr>
      <vt:lpstr>UDV.compost_emit.CO2</vt:lpstr>
      <vt:lpstr>UDV.compost_emit.N2O</vt:lpstr>
      <vt:lpstr>UDV.cover_digest.berm_width</vt:lpstr>
      <vt:lpstr>UDV.cover_digest.CH4_fraction</vt:lpstr>
      <vt:lpstr>UDV.cover_digest.depth</vt:lpstr>
      <vt:lpstr>UDV.cover_digest.freeboard</vt:lpstr>
      <vt:lpstr>UDV.cover_digest.gas_fraction</vt:lpstr>
      <vt:lpstr>UDV.cover_digest.gas_gen</vt:lpstr>
      <vt:lpstr>UDV.cover_digest.HRT</vt:lpstr>
      <vt:lpstr>UDV.cover_digest.liquid_prop</vt:lpstr>
      <vt:lpstr>UDV.cover_digest.N_retained</vt:lpstr>
      <vt:lpstr>UDV.cover_digest.slope</vt:lpstr>
      <vt:lpstr>UDV.cover_digest.sludge_prop</vt:lpstr>
      <vt:lpstr>UDV.cover_digest.storage_safety_factor</vt:lpstr>
      <vt:lpstr>UDV.cover_digest.VS_loading_rate</vt:lpstr>
      <vt:lpstr>UDV.cover_digest.vs_reduced</vt:lpstr>
      <vt:lpstr>UDV.cover_digest.VSLR_multiplier</vt:lpstr>
      <vt:lpstr>UDV.cover_digest.VSLR_odor_multiplier</vt:lpstr>
      <vt:lpstr>UDV.cover_digest.VSLR_solids_multiplier</vt:lpstr>
      <vt:lpstr>UDV.cover_lagoon.CH4_fraction</vt:lpstr>
      <vt:lpstr>UDV.cover_lagoon.CH4_kWhr</vt:lpstr>
      <vt:lpstr>UDV.cover_lagoon.effluent_K</vt:lpstr>
      <vt:lpstr>UDV.cover_lagoon.effluent_N</vt:lpstr>
      <vt:lpstr>UDV.cover_lagoon.effluent_P</vt:lpstr>
      <vt:lpstr>UDV.cover_lagoon.effluent_TAN</vt:lpstr>
      <vt:lpstr>UDV.cover_lagoon.effluent_time</vt:lpstr>
      <vt:lpstr>UDV.cover_lagoon.effluent_TS</vt:lpstr>
      <vt:lpstr>UDV.cover_lagoon.effluent_VS</vt:lpstr>
      <vt:lpstr>UDV.cover_lagoon.gas_fraction</vt:lpstr>
      <vt:lpstr>UDV.cover_lagoon.gas_gen</vt:lpstr>
      <vt:lpstr>UDV.cover_lagoon.liquid_events</vt:lpstr>
      <vt:lpstr>UDV.cover_lagoon.sludge_accumulation_ratio</vt:lpstr>
      <vt:lpstr>UDV.cover_lagoon.sludge_events</vt:lpstr>
      <vt:lpstr>UDV.cover_lagoon.sludge_fraction</vt:lpstr>
      <vt:lpstr>UDV.cover_lagoon.sludge_K</vt:lpstr>
      <vt:lpstr>UDV.cover_lagoon.sludge_N</vt:lpstr>
      <vt:lpstr>UDV.cover_lagoon.sludge_P</vt:lpstr>
      <vt:lpstr>UDV.cover_lagoon.sludge_time</vt:lpstr>
      <vt:lpstr>UDV.cover_lagoon.sludge_TS</vt:lpstr>
      <vt:lpstr>UDV.crops.acres_available</vt:lpstr>
      <vt:lpstr>UDV.crops.application_max_irrigation</vt:lpstr>
      <vt:lpstr>UDV.crops.application_max_liquids</vt:lpstr>
      <vt:lpstr>UDV.crops.application_max_sludge</vt:lpstr>
      <vt:lpstr>UDV.crops.application_wait_irrigation</vt:lpstr>
      <vt:lpstr>UDV.crops.application_wait_liquids</vt:lpstr>
      <vt:lpstr>UDV.crops.application_wait_sludge</vt:lpstr>
      <vt:lpstr>UDV.crops.apply_for</vt:lpstr>
      <vt:lpstr>UDV.crops.apply_method</vt:lpstr>
      <vt:lpstr>UDV.crops.K_avail</vt:lpstr>
      <vt:lpstr>UDV.crops.K_lost</vt:lpstr>
      <vt:lpstr>UDV.crops.K_need</vt:lpstr>
      <vt:lpstr>UDV.crops.K2O_avail_injection</vt:lpstr>
      <vt:lpstr>UDV.crops.K2O_avail_surface</vt:lpstr>
      <vt:lpstr>UDV.crops.N_avail</vt:lpstr>
      <vt:lpstr>UDV.crops.N_avail_injection</vt:lpstr>
      <vt:lpstr>UDV.crops.N_avail_surface</vt:lpstr>
      <vt:lpstr>UDV.crops.N_lost</vt:lpstr>
      <vt:lpstr>UDV.crops.N_need</vt:lpstr>
      <vt:lpstr>UDV.crops.P_avail</vt:lpstr>
      <vt:lpstr>UDV.crops.P_lost</vt:lpstr>
      <vt:lpstr>UDV.crops.P_need</vt:lpstr>
      <vt:lpstr>UDV.crops.P2O5_avail_injection</vt:lpstr>
      <vt:lpstr>UDV.crops.P2O5_avail_surface</vt:lpstr>
      <vt:lpstr>UDV.density.manure</vt:lpstr>
      <vt:lpstr>UDV.dhl.agitation_trailer</vt:lpstr>
      <vt:lpstr>UDV.dhl.agitation_trailer_fuel</vt:lpstr>
      <vt:lpstr>UDV.dhl.agitation_utilization</vt:lpstr>
      <vt:lpstr>UDV.dhl.application_maneuver_factor</vt:lpstr>
      <vt:lpstr>UDV.dhl.applicator_pump_size</vt:lpstr>
      <vt:lpstr>UDV.dhl.booster_pump</vt:lpstr>
      <vt:lpstr>UDV.dhl.booster_pump_fuel</vt:lpstr>
      <vt:lpstr>UDV.dhl.booster_utilization</vt:lpstr>
      <vt:lpstr>UDV.dhl.diesel_powered_pump_size</vt:lpstr>
      <vt:lpstr>UDV.dhl.distance_booster</vt:lpstr>
      <vt:lpstr>UDV.dhl.hose_mover</vt:lpstr>
      <vt:lpstr>UDV.dhl.hose_mover_fuel</vt:lpstr>
      <vt:lpstr>UDV.dhl.hose_mover_utilization</vt:lpstr>
      <vt:lpstr>UDV.dhl.lead_pump</vt:lpstr>
      <vt:lpstr>UDV.dhl.lead_pump_fuel</vt:lpstr>
      <vt:lpstr>UDV.dhl.lead_utilization</vt:lpstr>
      <vt:lpstr>UDV.dhl.pick_up</vt:lpstr>
      <vt:lpstr>UDV.dhl.pick_up_fuel</vt:lpstr>
      <vt:lpstr>UDV.dhl.pickup_fuel</vt:lpstr>
      <vt:lpstr>UDV.dhl.pickup_utilization</vt:lpstr>
      <vt:lpstr>UDV.dhl.speed_applicator</vt:lpstr>
      <vt:lpstr>UDV.dhl.toolbar_utilization</vt:lpstr>
      <vt:lpstr>UDV.dhl.tractor_applicator</vt:lpstr>
      <vt:lpstr>UDV.dhl.tractor_applicator_hp</vt:lpstr>
      <vt:lpstr>UDV.dhl.tractor_pulley_hp</vt:lpstr>
      <vt:lpstr>UDV.dhl.width_toolbar</vt:lpstr>
      <vt:lpstr>UDV.dpss.agitation</vt:lpstr>
      <vt:lpstr>UDV.dpss.depth</vt:lpstr>
      <vt:lpstr>UDV.dpss.effluent_K</vt:lpstr>
      <vt:lpstr>UDV.dpss.effluent_N</vt:lpstr>
      <vt:lpstr>UDV.dpss.effluent_P</vt:lpstr>
      <vt:lpstr>UDV.dpss.effluent_TAN</vt:lpstr>
      <vt:lpstr>UDV.dpss.effluent_time</vt:lpstr>
      <vt:lpstr>UDV.dpss.effluent_TS</vt:lpstr>
      <vt:lpstr>UDV.dpss.effluent_VS</vt:lpstr>
      <vt:lpstr>UDV.dpss.HRT</vt:lpstr>
      <vt:lpstr>UDV.dpss.removal_events</vt:lpstr>
      <vt:lpstr>UDV.dpss.width</vt:lpstr>
      <vt:lpstr>UDV.dpss_aer.agitation</vt:lpstr>
      <vt:lpstr>UDV.dpss_aer.depth</vt:lpstr>
      <vt:lpstr>UDV.dpss_aer.drive_motor_hp</vt:lpstr>
      <vt:lpstr>UDV.dpss_aer.drive_per_area</vt:lpstr>
      <vt:lpstr>UDV.dpss_aer.effluent_K</vt:lpstr>
      <vt:lpstr>UDV.dpss_aer.effluent_N</vt:lpstr>
      <vt:lpstr>UDV.dpss_aer.effluent_P</vt:lpstr>
      <vt:lpstr>UDV.dpss_aer.effluent_TAN</vt:lpstr>
      <vt:lpstr>UDV.dpss_aer.effluent_time</vt:lpstr>
      <vt:lpstr>UDV.dpss_aer.effluent_TS</vt:lpstr>
      <vt:lpstr>UDV.dpss_aer.effluent_VS</vt:lpstr>
      <vt:lpstr>UDV.dpss_aer.HRT</vt:lpstr>
      <vt:lpstr>UDV.dpss_aer.motor_per_drive</vt:lpstr>
      <vt:lpstr>UDV.dpss_aer.removal_events</vt:lpstr>
      <vt:lpstr>UDV.dpss_aer.time_aeration</vt:lpstr>
      <vt:lpstr>UDV.dpss_aer.width</vt:lpstr>
      <vt:lpstr>UDV.econ_agi.diesel_trailer</vt:lpstr>
      <vt:lpstr>UDV.econ_agi.electric_pump</vt:lpstr>
      <vt:lpstr>UDV.econ_agi.pto</vt:lpstr>
      <vt:lpstr>UDV.econ_agi.pump_motor</vt:lpstr>
      <vt:lpstr>UDV.econ_attachments.scraper</vt:lpstr>
      <vt:lpstr>UDV.econ_auto_scrape.chain</vt:lpstr>
      <vt:lpstr>UDV.econ_auto_scrape.install</vt:lpstr>
      <vt:lpstr>UDV.econ_box_spreader.one_size</vt:lpstr>
      <vt:lpstr>UDV.econ_build.compost_building</vt:lpstr>
      <vt:lpstr>UDV.econ_build.concrete_sand_lane</vt:lpstr>
      <vt:lpstr>UDV.econ_build.concrete_slab_no_side</vt:lpstr>
      <vt:lpstr>UDV.econ_build.covered_building_cost</vt:lpstr>
      <vt:lpstr>UDV.econ_build.covered_building_size</vt:lpstr>
      <vt:lpstr>UDV.econ_build.metal_building</vt:lpstr>
      <vt:lpstr>UDV.econ_capital.interest_rate</vt:lpstr>
      <vt:lpstr>UDV.econ_centrifuge.158ft3</vt:lpstr>
      <vt:lpstr>UDV.econ_centrifuge.209ft3</vt:lpstr>
      <vt:lpstr>UDV.econ_centrifuge.452ft3</vt:lpstr>
      <vt:lpstr>UDV.econ_cng.connected</vt:lpstr>
      <vt:lpstr>UDV.econ_cng.on_farm_use_no_grid_pct</vt:lpstr>
      <vt:lpstr>UDV.econ_cng.on_farm_use_yes_grid_pct</vt:lpstr>
      <vt:lpstr>UDV.econ_cng.scrub_effic</vt:lpstr>
      <vt:lpstr>UDV.econ_cng.sell_to_grid_no_grid_pct</vt:lpstr>
      <vt:lpstr>UDV.econ_cng.sell_to_grid_price</vt:lpstr>
      <vt:lpstr>UDV.econ_cng.sell_to_grid_yes_grid_pct</vt:lpstr>
      <vt:lpstr>UDV.econ_compost.wood_chips</vt:lpstr>
      <vt:lpstr>UDV.econ_compost_vessel.20.0ft</vt:lpstr>
      <vt:lpstr>UDV.econ_compost_vessel.9.8ft</vt:lpstr>
      <vt:lpstr>UDV.econ_elec.connected</vt:lpstr>
      <vt:lpstr>UDV.econ_elec.generation_equipment</vt:lpstr>
      <vt:lpstr>UDV.econ_elec.grid_connection</vt:lpstr>
      <vt:lpstr>UDV.econ_elec.on_farm_use_no_grid_pct</vt:lpstr>
      <vt:lpstr>UDV.econ_elec.on_farm_use_yes_grid_pct</vt:lpstr>
      <vt:lpstr>UDV.econ_elec.sell_to_grid_no_grid_pct</vt:lpstr>
      <vt:lpstr>UDV.econ_elec.sell_to_grid_price</vt:lpstr>
      <vt:lpstr>UDV.econ_elec.sell_to_grid_yes_grid_pct</vt:lpstr>
      <vt:lpstr>UDV.econ_energy.carbon_credits</vt:lpstr>
      <vt:lpstr>UDV.econ_energy.renewable_energy_credits</vt:lpstr>
      <vt:lpstr>UDV.econ_fertilizer.K2O</vt:lpstr>
      <vt:lpstr>UDV.econ_fertilizer.N</vt:lpstr>
      <vt:lpstr>UDV.econ_fertilizer.P2O5</vt:lpstr>
      <vt:lpstr>UDV.econ_hose.hose_drag_flex_660ft</vt:lpstr>
      <vt:lpstr>UDV.econ_hose.hose_pulley</vt:lpstr>
      <vt:lpstr>UDV.econ_hose.hose_reel_hydraulic</vt:lpstr>
      <vt:lpstr>UDV.econ_liner.lagoon_geomembrane</vt:lpstr>
      <vt:lpstr>UDV.econ_manure.compost_export_cost</vt:lpstr>
      <vt:lpstr>UDV.econ_manure.compost_export_pct</vt:lpstr>
      <vt:lpstr>UDV.econ_manure.compost_give_cost</vt:lpstr>
      <vt:lpstr>UDV.econ_manure.compost_give_pct</vt:lpstr>
      <vt:lpstr>UDV.econ_manure.compost_sell_pct</vt:lpstr>
      <vt:lpstr>UDV.econ_manure.compost_sell_price</vt:lpstr>
      <vt:lpstr>UDV.econ_manure.export_concern</vt:lpstr>
      <vt:lpstr>UDV.econ_manure.liquid_export_cost</vt:lpstr>
      <vt:lpstr>UDV.econ_manure.liquid_export_pct</vt:lpstr>
      <vt:lpstr>UDV.econ_manure.liquid_give_cost</vt:lpstr>
      <vt:lpstr>UDV.econ_manure.liquid_give_pct</vt:lpstr>
      <vt:lpstr>UDV.econ_manure.liquid_sell_pct</vt:lpstr>
      <vt:lpstr>UDV.econ_manure.liquid_sell_price</vt:lpstr>
      <vt:lpstr>UDV.econ_manure.liquid_to_ton</vt:lpstr>
      <vt:lpstr>UDV.econ_manure.sep_solids_export_cost</vt:lpstr>
      <vt:lpstr>UDV.econ_manure.sep_solids_export_pct</vt:lpstr>
      <vt:lpstr>UDV.econ_manure.sep_solids_give_cost</vt:lpstr>
      <vt:lpstr>UDV.econ_manure.sep_solids_give_pct</vt:lpstr>
      <vt:lpstr>UDV.econ_manure.sep_solids_sell_pct</vt:lpstr>
      <vt:lpstr>UDV.econ_manure.sep_solids_sell_price</vt:lpstr>
      <vt:lpstr>UDV.econ_manure.set_solids_export_cost</vt:lpstr>
      <vt:lpstr>UDV.econ_manure.set_solids_export_pct</vt:lpstr>
      <vt:lpstr>UDV.econ_manure.set_solids_give_cost</vt:lpstr>
      <vt:lpstr>UDV.econ_manure.set_solids_give_pct</vt:lpstr>
      <vt:lpstr>UDV.econ_manure.set_solids_sell_pct</vt:lpstr>
      <vt:lpstr>UDV.econ_manure.set_solids_sell_price</vt:lpstr>
      <vt:lpstr>UDV.econ_manure.sludge_export_cost</vt:lpstr>
      <vt:lpstr>UDV.econ_manure.sludge_export_pct</vt:lpstr>
      <vt:lpstr>UDV.econ_manure.sludge_give_cost</vt:lpstr>
      <vt:lpstr>UDV.econ_manure.sludge_give_pct</vt:lpstr>
      <vt:lpstr>UDV.econ_manure.sludge_sell_pct</vt:lpstr>
      <vt:lpstr>UDV.econ_manure.sludge_sell_price</vt:lpstr>
      <vt:lpstr>UDV.econ_manure.sludge_to_ton</vt:lpstr>
      <vt:lpstr>UDV.econ_manure.slurry_export_cost</vt:lpstr>
      <vt:lpstr>UDV.econ_manure.slurry_export_pct</vt:lpstr>
      <vt:lpstr>UDV.econ_manure.slurry_give_cost</vt:lpstr>
      <vt:lpstr>UDV.econ_manure.slurry_give_pct</vt:lpstr>
      <vt:lpstr>UDV.econ_manure.slurry_sell_pct</vt:lpstr>
      <vt:lpstr>UDV.econ_manure.slurry_sell_price</vt:lpstr>
      <vt:lpstr>UDV.econ_manure.slurry_to_ton</vt:lpstr>
      <vt:lpstr>UDV.econ_methane.fate</vt:lpstr>
      <vt:lpstr>UDV.econ_motor.100hp</vt:lpstr>
      <vt:lpstr>UDV.econ_motor.10hp</vt:lpstr>
      <vt:lpstr>UDV.econ_motor.11hp</vt:lpstr>
      <vt:lpstr>UDV.econ_motor.12hp</vt:lpstr>
      <vt:lpstr>UDV.econ_motor.15hp</vt:lpstr>
      <vt:lpstr>UDV.econ_motor.1hp</vt:lpstr>
      <vt:lpstr>UDV.econ_motor.26hp</vt:lpstr>
      <vt:lpstr>UDV.econ_motor.2hp</vt:lpstr>
      <vt:lpstr>UDV.econ_motor.35hp</vt:lpstr>
      <vt:lpstr>UDV.econ_motor.3hp</vt:lpstr>
      <vt:lpstr>UDV.econ_motor.4hp</vt:lpstr>
      <vt:lpstr>UDV.econ_motor.5hp</vt:lpstr>
      <vt:lpstr>UDV.econ_motor.6hp</vt:lpstr>
      <vt:lpstr>UDV.econ_motor.75hp</vt:lpstr>
      <vt:lpstr>UDV.econ_motor.7hp</vt:lpstr>
      <vt:lpstr>UDV.econ_motor.8hp</vt:lpstr>
      <vt:lpstr>UDV.econ_motor.9hp</vt:lpstr>
      <vt:lpstr>UDV.econ_pipe.12in_underground_flush</vt:lpstr>
      <vt:lpstr>UDV.econ_pipe.manure</vt:lpstr>
      <vt:lpstr>UDV.econ_power.drive_unit</vt:lpstr>
      <vt:lpstr>UDV.econ_pump.diesel_booster</vt:lpstr>
      <vt:lpstr>UDV.econ_pump.diesel_lead</vt:lpstr>
      <vt:lpstr>UDV.econ_pump.non_pto_flush</vt:lpstr>
      <vt:lpstr>UDV.econ_pump.side_mount_double</vt:lpstr>
      <vt:lpstr>UDV.econ_pump.side_mount_quad</vt:lpstr>
      <vt:lpstr>UDV.econ_pump.side_mount_single</vt:lpstr>
      <vt:lpstr>UDV.econ_pump.tractor_pto</vt:lpstr>
      <vt:lpstr>UDV.econ_rds.138ft</vt:lpstr>
      <vt:lpstr>UDV.econ_rds.188ft</vt:lpstr>
      <vt:lpstr>UDV.econ_rds.94ft</vt:lpstr>
      <vt:lpstr>UDV.econ_roller_press.24in</vt:lpstr>
      <vt:lpstr>UDV.econ_roller_press.36in</vt:lpstr>
      <vt:lpstr>UDV.econ_roller_press.48in</vt:lpstr>
      <vt:lpstr>UDV.econ_roller_press.72in</vt:lpstr>
      <vt:lpstr>UDV.econ_screw_press.double_15hp</vt:lpstr>
      <vt:lpstr>UDV.econ_screw_press.single_10hp</vt:lpstr>
      <vt:lpstr>UDV.econ_screw_press.single_15hp</vt:lpstr>
      <vt:lpstr>UDV.econ_skid_steer.loader</vt:lpstr>
      <vt:lpstr>UDV.econ_slope_screen.32ft</vt:lpstr>
      <vt:lpstr>UDV.econ_slope_screen.64ft</vt:lpstr>
      <vt:lpstr>UDV.econ_slope_screen.96ft</vt:lpstr>
      <vt:lpstr>UDV.econ_tanker.cost</vt:lpstr>
      <vt:lpstr>UDV.econ_toolbar.boom</vt:lpstr>
      <vt:lpstr>UDV.econ_toolbar.injection</vt:lpstr>
      <vt:lpstr>UDV.econ_toolbar.loader</vt:lpstr>
      <vt:lpstr>UDV.econ_toolbar.rake</vt:lpstr>
      <vt:lpstr>UDV.econ_toolbar.rotary_tiller_13ft</vt:lpstr>
      <vt:lpstr>UDV.econ_toolbar.rotary_tiller_20ft</vt:lpstr>
      <vt:lpstr>UDV.econ_toolbar.rotary_tiller_6ft</vt:lpstr>
      <vt:lpstr>UDV.econ_tractor.160hp</vt:lpstr>
      <vt:lpstr>UDV.econ_tractor.180hp</vt:lpstr>
      <vt:lpstr>UDV.econ_tractor.250hp</vt:lpstr>
      <vt:lpstr>UDV.econ_tractor.340hp</vt:lpstr>
      <vt:lpstr>UDV.econ_tractor.580hp</vt:lpstr>
      <vt:lpstr>UDV.econ_tractor.85hp</vt:lpstr>
      <vt:lpstr>UDV.econ_tractor.94hp</vt:lpstr>
      <vt:lpstr>UDV.econ_transfer_channel.chain</vt:lpstr>
      <vt:lpstr>UDV.econ_transfer_channel.install</vt:lpstr>
      <vt:lpstr>UDV.econ_transfer_channel.pipe_and_install</vt:lpstr>
      <vt:lpstr>UDV.econ_transfer_trolley.20.0ft</vt:lpstr>
      <vt:lpstr>UDV.econ_transfer_trolley.9.8ft</vt:lpstr>
      <vt:lpstr>UDV.econ_truck.pickup</vt:lpstr>
      <vt:lpstr>UDV.effluent_AD_pond.N</vt:lpstr>
      <vt:lpstr>UDV.effluent_CL_pond.N</vt:lpstr>
      <vt:lpstr>UDV.electricity.avg_cost</vt:lpstr>
      <vt:lpstr>UDV.emit_CH4.BD</vt:lpstr>
      <vt:lpstr>UDV.emit_CH4.CO2e_cf</vt:lpstr>
      <vt:lpstr>UDV.emit_CH4.combustion_ratio</vt:lpstr>
      <vt:lpstr>UDV.emit_CH4.density</vt:lpstr>
      <vt:lpstr>UDV.emit_CH4.IPCC</vt:lpstr>
      <vt:lpstr>UDV.emit_CH4.MCF</vt:lpstr>
      <vt:lpstr>UDV.emit_CH4.MCF_anaer_digest</vt:lpstr>
      <vt:lpstr>UDV.emit_CH4.MCF_anaer_lagoon</vt:lpstr>
      <vt:lpstr>UDV.emit_CH4.MCF_cover_digest</vt:lpstr>
      <vt:lpstr>UDV.emit_CH4.MCF_shallow_flush</vt:lpstr>
      <vt:lpstr>UDV.emit_CH4.MCF_shallow_plug</vt:lpstr>
      <vt:lpstr>UDV.emit_CH4.MCF_shallow_scrape</vt:lpstr>
      <vt:lpstr>UDV.emit_CH4.MCF_shallow_scrape_compost</vt:lpstr>
      <vt:lpstr>UDV.emit_CH4.MCF_slurry_dpss</vt:lpstr>
      <vt:lpstr>UDV.emit_CH4.MCF_slurry_dpss_aerated</vt:lpstr>
      <vt:lpstr>UDV.emit_CH4.MCF_solids</vt:lpstr>
      <vt:lpstr>UDV.emit_CH4.MCF_solids_cover_compact</vt:lpstr>
      <vt:lpstr>UDV.emit_CH4.MCF_storage_tank</vt:lpstr>
      <vt:lpstr>UDV.emit_CH4.MCF_windrow_compost_intense</vt:lpstr>
      <vt:lpstr>UDV.emit_CH4.MCF_windrow_compost_passive</vt:lpstr>
      <vt:lpstr>UDV.emit_CH4.MS</vt:lpstr>
      <vt:lpstr>UDV.emit_CH4.VS_days</vt:lpstr>
      <vt:lpstr>UDV.emit_gas.FA</vt:lpstr>
      <vt:lpstr>UDV.emit_gas.FA_head</vt:lpstr>
      <vt:lpstr>UDV.emit_N2O_direct.CO2e_cf</vt:lpstr>
      <vt:lpstr>UDV.emit_N2O_direct.EF</vt:lpstr>
      <vt:lpstr>UDV.emit_N2O_direct.ef3_anaer_digest</vt:lpstr>
      <vt:lpstr>UDV.emit_N2O_direct.ef3_anaer_lagoon</vt:lpstr>
      <vt:lpstr>UDV.emit_N2O_direct.ef3_bedded_pack</vt:lpstr>
      <vt:lpstr>UDV.emit_N2O_direct.ef3_cover_digest</vt:lpstr>
      <vt:lpstr>UDV.emit_N2O_direct.ef3_cover_lagoon</vt:lpstr>
      <vt:lpstr>UDV.emit_N2O_direct.ef3_pit</vt:lpstr>
      <vt:lpstr>UDV.emit_N2O_direct.ef3_pit_aerated</vt:lpstr>
      <vt:lpstr>UDV.emit_N2O_direct.ef3_pond_crust</vt:lpstr>
      <vt:lpstr>UDV.emit_N2O_direct.ef3_pond_no_crust</vt:lpstr>
      <vt:lpstr>UDV.emit_N2O_direct.ef3_shallow_flush</vt:lpstr>
      <vt:lpstr>UDV.emit_N2O_direct.ef3_shallow_plug</vt:lpstr>
      <vt:lpstr>UDV.emit_N2O_direct.ef3_shallow_scrape</vt:lpstr>
      <vt:lpstr>UDV.emit_N2O_direct.ef3_solids</vt:lpstr>
      <vt:lpstr>UDV.emit_N2O_direct.ef3_storage_tank</vt:lpstr>
      <vt:lpstr>UDV.emit_N2O_direct.ef3_windrow</vt:lpstr>
      <vt:lpstr>UDV.emit_N2O_direct.fraction_MMS</vt:lpstr>
      <vt:lpstr>UDV.emit_N2O_direct.N_days</vt:lpstr>
      <vt:lpstr>UDV.emit_N2O_direct.N_to_N2O</vt:lpstr>
      <vt:lpstr>UDV.emit_N2O_indirect.CO2E</vt:lpstr>
      <vt:lpstr>UDV.emit_N2O_indirect.EF</vt:lpstr>
      <vt:lpstr>UDV.emit_N2O_indirect.ef4</vt:lpstr>
      <vt:lpstr>UDV.emit_N2O_indirect.fraction_NH4</vt:lpstr>
      <vt:lpstr>UDV.emit_N2O_indirect.N_days</vt:lpstr>
      <vt:lpstr>UDV.emit_N2O_indirect.N_to_N2O</vt:lpstr>
      <vt:lpstr>UDV.emit_NH3.lossfrac_anaer_digest</vt:lpstr>
      <vt:lpstr>UDV.emit_NH3.lossfrac_anaer_lagoon</vt:lpstr>
      <vt:lpstr>UDV.emit_NH3.lossfrac_bedded_pack</vt:lpstr>
      <vt:lpstr>UDV.emit_NH3.lossfrac_cover_digest</vt:lpstr>
      <vt:lpstr>UDV.emit_NH3.lossfrac_cover_lagoon</vt:lpstr>
      <vt:lpstr>UDV.emit_NH3.lossfrac_pit_aerated</vt:lpstr>
      <vt:lpstr>UDV.emit_NH3.lossfrac_pit_no_air</vt:lpstr>
      <vt:lpstr>UDV.emit_NH3.lossfrac_pond_crust</vt:lpstr>
      <vt:lpstr>UDV.emit_NH3.lossfrac_pond_no_crust</vt:lpstr>
      <vt:lpstr>UDV.emit_NH3.lossfrac_shallow_flush</vt:lpstr>
      <vt:lpstr>UDV.emit_NH3.lossfrac_shallow_plug</vt:lpstr>
      <vt:lpstr>UDV.emit_NH3.lossfrac_shallow_scrape</vt:lpstr>
      <vt:lpstr>UDV.emit_NH3.lossfrac_solids</vt:lpstr>
      <vt:lpstr>UDV.emit_NH3.lossfrac_storage_tank</vt:lpstr>
      <vt:lpstr>UDV.emit_NH3.lossfrac_windrow</vt:lpstr>
      <vt:lpstr>UDV.emit_NH3_N_proportion.TAN_days</vt:lpstr>
      <vt:lpstr>UDV.emit_NH3_N_proportion_TAN.EF</vt:lpstr>
      <vt:lpstr>UDV.energy.CH4_MJ</vt:lpstr>
      <vt:lpstr>UDV.energy.CH4_MMBTU</vt:lpstr>
      <vt:lpstr>UDV.energy.CH4_to_energy</vt:lpstr>
      <vt:lpstr>UDV.fac_lagoon_AD_eff.N</vt:lpstr>
      <vt:lpstr>UDV.fac_lagoon_AD_sludge.N</vt:lpstr>
      <vt:lpstr>UDV.fac_lagoon_CL_eff.N</vt:lpstr>
      <vt:lpstr>UDV.fac_lagoon_CL_sludge.N</vt:lpstr>
      <vt:lpstr>UDV.flush_waste.max_pump_time</vt:lpstr>
      <vt:lpstr>UDV.flush_waste.tank_flushes</vt:lpstr>
      <vt:lpstr>UDV.flush_waste.tank_volume</vt:lpstr>
      <vt:lpstr>UDV.front_end_loader.bucket_capacity</vt:lpstr>
      <vt:lpstr>UDV.front_end_loader.bucket_fill_rate</vt:lpstr>
      <vt:lpstr>UDV.front_end_loader.hp</vt:lpstr>
      <vt:lpstr>UDV.fuel.diesel_avg_cost</vt:lpstr>
      <vt:lpstr>UDV.fuel.gasoline_avg_cost</vt:lpstr>
      <vt:lpstr>UDV.fuel.naturalgas_avg_cost</vt:lpstr>
      <vt:lpstr>UDV.fuel.propane_avg_cost</vt:lpstr>
      <vt:lpstr>UDV.handling_manure.a_deeppit</vt:lpstr>
      <vt:lpstr>UDV.handling_manure.a_flush</vt:lpstr>
      <vt:lpstr>UDV.handling_manure.a_pullplug</vt:lpstr>
      <vt:lpstr>UDV.handling_manure.a_scrape</vt:lpstr>
      <vt:lpstr>UDV.handling_manure.b_deeppit</vt:lpstr>
      <vt:lpstr>UDV.handling_manure.b_flush</vt:lpstr>
      <vt:lpstr>UDV.handling_manure.b_pullplug</vt:lpstr>
      <vt:lpstr>UDV.handling_manure.b_scrape</vt:lpstr>
      <vt:lpstr>UDV.handling_manure.c_deeppit</vt:lpstr>
      <vt:lpstr>UDV.handling_manure.c_flush</vt:lpstr>
      <vt:lpstr>UDV.handling_manure.c_pullplug</vt:lpstr>
      <vt:lpstr>UDV.handling_manure.c_scrape</vt:lpstr>
      <vt:lpstr>UDV.handling_manure.d_deeppit</vt:lpstr>
      <vt:lpstr>UDV.handling_manure.d_flush</vt:lpstr>
      <vt:lpstr>UDV.handling_manure.d_pullplug</vt:lpstr>
      <vt:lpstr>UDV.handling_manure.d_scrape</vt:lpstr>
      <vt:lpstr>UDV.handling_manure.distance_pump_to_barn</vt:lpstr>
      <vt:lpstr>UDV.handling_manure.distance_pump_to_split</vt:lpstr>
      <vt:lpstr>UDV.handling_manure.distance_split_to_barn</vt:lpstr>
      <vt:lpstr>UDV.handling_manure.e_deeppit</vt:lpstr>
      <vt:lpstr>UDV.handling_manure.e_flush</vt:lpstr>
      <vt:lpstr>UDV.handling_manure.e_pullplug</vt:lpstr>
      <vt:lpstr>UDV.handling_manure.e_scrape</vt:lpstr>
      <vt:lpstr>UDV.handling_manure.flow_deeppit</vt:lpstr>
      <vt:lpstr>UDV.handling_manure.flow_flush</vt:lpstr>
      <vt:lpstr>UDV.handling_manure.flow_pullplug</vt:lpstr>
      <vt:lpstr>UDV.handling_manure.flow_scrape</vt:lpstr>
      <vt:lpstr>UDV.handling_manure.head_per_barn</vt:lpstr>
      <vt:lpstr>UDV.incline_removal.density_dry</vt:lpstr>
      <vt:lpstr>UDV.incline_removal.density_wet</vt:lpstr>
      <vt:lpstr>UDV.incline_removal.fraction_solar_dry</vt:lpstr>
      <vt:lpstr>UDV.incline_removal.K</vt:lpstr>
      <vt:lpstr>UDV.incline_removal.P</vt:lpstr>
      <vt:lpstr>UDV.incline_removal.TAN</vt:lpstr>
      <vt:lpstr>UDV.incline_removal.TKN</vt:lpstr>
      <vt:lpstr>UDV.incline_removal.TS</vt:lpstr>
      <vt:lpstr>UDV.incline_removal.VS</vt:lpstr>
      <vt:lpstr>UDV.incline_removal.wet_solids</vt:lpstr>
      <vt:lpstr>UDV.irrigation.allocation</vt:lpstr>
      <vt:lpstr>UDV.irrigation.fraction_applied</vt:lpstr>
      <vt:lpstr>UDV.irrigation.pump_flowrate</vt:lpstr>
      <vt:lpstr>UDV.irrigation.pump_power</vt:lpstr>
      <vt:lpstr>UDV.labor.non_specialized_cost</vt:lpstr>
      <vt:lpstr>UDV.labor.specialized_cost</vt:lpstr>
      <vt:lpstr>UDV.labor.tractor_x</vt:lpstr>
      <vt:lpstr>UDV.land_application.agitation_tractor_power</vt:lpstr>
      <vt:lpstr>UDV.land_application.avg_distance</vt:lpstr>
      <vt:lpstr>UDV.land_application.distance</vt:lpstr>
      <vt:lpstr>UDV.land_application.field_maneuver_time</vt:lpstr>
      <vt:lpstr>UDV.land_application.max_distance</vt:lpstr>
      <vt:lpstr>UDV.land_application.storage_agitation_max_time</vt:lpstr>
      <vt:lpstr>UDV.land_application.storage_maneuver_time</vt:lpstr>
      <vt:lpstr>UDV.land_application.storage_pump_max_time</vt:lpstr>
      <vt:lpstr>UDV.land_application.storage_to_tanker_load_rate</vt:lpstr>
      <vt:lpstr>UDV.land_application.tanker_loaded_speed</vt:lpstr>
      <vt:lpstr>UDV.land_application.tanker_pump_power</vt:lpstr>
      <vt:lpstr>UDV.land_application.tanker_tractor_power</vt:lpstr>
      <vt:lpstr>UDV.land_application.tanker_unload_rate</vt:lpstr>
      <vt:lpstr>UDV.land_application.tanker_unloaded_speed</vt:lpstr>
      <vt:lpstr>UDV.land_application.tanker_volume</vt:lpstr>
      <vt:lpstr>UDV.land_application.volume</vt:lpstr>
      <vt:lpstr>UDV.lca.CO2_toggle</vt:lpstr>
      <vt:lpstr>UDV.lca.diesel_combustion_gwp</vt:lpstr>
      <vt:lpstr>UDV.lca.diesel_ef</vt:lpstr>
      <vt:lpstr>UDV.lca.diesel_gwp</vt:lpstr>
      <vt:lpstr>UDV.lca.diesel_land</vt:lpstr>
      <vt:lpstr>UDV.lca.diesel_wf</vt:lpstr>
      <vt:lpstr>UDV.lca.electricity_ef</vt:lpstr>
      <vt:lpstr>UDV.lca.electricity_gwp</vt:lpstr>
      <vt:lpstr>UDV.lca.electricity_land</vt:lpstr>
      <vt:lpstr>UDV.lca.electricity_wf</vt:lpstr>
      <vt:lpstr>UDV.lca.K2O_ef</vt:lpstr>
      <vt:lpstr>UDV.lca.K2O_gwp</vt:lpstr>
      <vt:lpstr>UDV.lca.K2O_KCI</vt:lpstr>
      <vt:lpstr>UDV.lca.K2O_land</vt:lpstr>
      <vt:lpstr>UDV.lca.K2O_wf</vt:lpstr>
      <vt:lpstr>UDV.lca.MJ_per_gal_diesel</vt:lpstr>
      <vt:lpstr>UDV.lca.MJ_per_kg_oil_eq</vt:lpstr>
      <vt:lpstr>UDV.lca.P2O5_ef</vt:lpstr>
      <vt:lpstr>UDV.lca.P2O5_gwp</vt:lpstr>
      <vt:lpstr>UDV.lca.P2O5_land</vt:lpstr>
      <vt:lpstr>UDV.lca.P2O5_TSP</vt:lpstr>
      <vt:lpstr>UDV.lca.P2O5_wf</vt:lpstr>
      <vt:lpstr>UDV.lca.sand_ef</vt:lpstr>
      <vt:lpstr>UDV.lca.sand_gwp</vt:lpstr>
      <vt:lpstr>UDV.lca.sand_land</vt:lpstr>
      <vt:lpstr>UDV.lca.sand_wf</vt:lpstr>
      <vt:lpstr>UDV.lca.urea_ef</vt:lpstr>
      <vt:lpstr>UDV.lca.urea_gwp</vt:lpstr>
      <vt:lpstr>UDV.lca.urea_land</vt:lpstr>
      <vt:lpstr>UDV.lca.urea_n_content</vt:lpstr>
      <vt:lpstr>UDV.lca.urea_wf</vt:lpstr>
      <vt:lpstr>UDV.lca.water_ef</vt:lpstr>
      <vt:lpstr>UDV.lca.water_gwp</vt:lpstr>
      <vt:lpstr>UDV.lca.water_land</vt:lpstr>
      <vt:lpstr>UDV.lca.water_wf</vt:lpstr>
      <vt:lpstr>UDV.manure.removal_factor</vt:lpstr>
      <vt:lpstr>UDV.manure_transfer_channel.length_per_animal</vt:lpstr>
      <vt:lpstr>UDV.OPEX_labor.irrigation</vt:lpstr>
      <vt:lpstr>UDV.OPEX_labor.tractor_active</vt:lpstr>
      <vt:lpstr>UDV.OPEX_labor.tractor_stationary</vt:lpstr>
      <vt:lpstr>UDV.pullplug.time_recharge</vt:lpstr>
      <vt:lpstr>UDV.rain.drainage_area</vt:lpstr>
      <vt:lpstr>UDV.rain.evaporation</vt:lpstr>
      <vt:lpstr>UDV.rain.regular</vt:lpstr>
      <vt:lpstr>UDV.rain.storm2524</vt:lpstr>
      <vt:lpstr>UDV.reception_pit.agitation_motor_hp</vt:lpstr>
      <vt:lpstr>UDV.reception_pit.concrete_thickness</vt:lpstr>
      <vt:lpstr>UDV.reception_pit.depth</vt:lpstr>
      <vt:lpstr>UDV.reception_pit.pump_flowrate</vt:lpstr>
      <vt:lpstr>UDV.reception_pit.pump_hours</vt:lpstr>
      <vt:lpstr>UDV.reception_pit.removal_time</vt:lpstr>
      <vt:lpstr>UDV.reception_pit.width</vt:lpstr>
      <vt:lpstr>UDV.recharge_event.draining_pullplug</vt:lpstr>
      <vt:lpstr>UDV.recharge_event.water_type_pullplug</vt:lpstr>
      <vt:lpstr>UDV.rfw.fraction_recycled</vt:lpstr>
      <vt:lpstr>UDV.rfw.K</vt:lpstr>
      <vt:lpstr>UDV.rfw.K2O</vt:lpstr>
      <vt:lpstr>UDV.rfw.N</vt:lpstr>
      <vt:lpstr>UDV.rfw.P</vt:lpstr>
      <vt:lpstr>UDV.rfw.P2O5</vt:lpstr>
      <vt:lpstr>UDV.rfw.TAN</vt:lpstr>
      <vt:lpstr>UDV.rfw.TS</vt:lpstr>
      <vt:lpstr>UDV.rfw.VS</vt:lpstr>
      <vt:lpstr>UDV.scrape_auto.head_per_alley</vt:lpstr>
      <vt:lpstr>UDV.scrape_auto.interval</vt:lpstr>
      <vt:lpstr>UDV.scrape_auto.lanes_per_driver</vt:lpstr>
      <vt:lpstr>UDV.scrape_auto.length_per_driver</vt:lpstr>
      <vt:lpstr>UDV.scrape_auto.length_per_head</vt:lpstr>
      <vt:lpstr>UDV.scrape_auto.motors_per_driver</vt:lpstr>
      <vt:lpstr>UDV.scrape_auto.scrape_per_day</vt:lpstr>
      <vt:lpstr>UDV.scrape_auto.scrapers_per_driver</vt:lpstr>
      <vt:lpstr>UDV.scrape_auto.size_motor</vt:lpstr>
      <vt:lpstr>UDV.scrape_auto.speed</vt:lpstr>
      <vt:lpstr>UDV.scrape_auto.stalls_per_width</vt:lpstr>
      <vt:lpstr>UDV.scrape_auto.tc_length_per_driver</vt:lpstr>
      <vt:lpstr>UDV.scrape_auto.tc_length_per_motor</vt:lpstr>
      <vt:lpstr>UDV.scrape_auto.tc_scrape_per_day</vt:lpstr>
      <vt:lpstr>UDV.scrape_auto.width_stall</vt:lpstr>
      <vt:lpstr>UDV.scrape_vaccum.volume_unloading_rate</vt:lpstr>
      <vt:lpstr>UDV.separated_solids.bucket_capacity</vt:lpstr>
      <vt:lpstr>UDV.separated_solids.bucket_fill_rate</vt:lpstr>
      <vt:lpstr>UDV.separated_solids.concrete_thickness</vt:lpstr>
      <vt:lpstr>UDV.separated_solids.density_solids</vt:lpstr>
      <vt:lpstr>UDV.separated_solids.excess_pile_height</vt:lpstr>
      <vt:lpstr>UDV.separated_solids.interval_land_application</vt:lpstr>
      <vt:lpstr>UDV.separated_solids.interval_solids_moving</vt:lpstr>
      <vt:lpstr>UDV.separated_solids.N_retained</vt:lpstr>
      <vt:lpstr>UDV.separated_solids.spreader_capacity</vt:lpstr>
      <vt:lpstr>UDV.separated_solids.storage_days</vt:lpstr>
      <vt:lpstr>UDV.separated_solids.storage_safety_factor</vt:lpstr>
      <vt:lpstr>UDV.separated_solids.time_separator_to_storage</vt:lpstr>
      <vt:lpstr>UDV.separated_solids.time_spreader_to_field</vt:lpstr>
      <vt:lpstr>UDV.separated_solids.time_storage_to_spreader</vt:lpstr>
      <vt:lpstr>UDV.separated_solids.tractor_mover_hp</vt:lpstr>
      <vt:lpstr>UDV.separated_solids.tractor_spreader_hp</vt:lpstr>
      <vt:lpstr>UDV.separation_land_sand.tractor_mover_hp</vt:lpstr>
      <vt:lpstr>UDV.shallow_pit.depth</vt:lpstr>
      <vt:lpstr>UDV.shallow_pit.flush_liquids_storage</vt:lpstr>
      <vt:lpstr>UDV.shallow_pit.flush_N_remaining</vt:lpstr>
      <vt:lpstr>UDV.shallow_pit.flush_storage</vt:lpstr>
      <vt:lpstr>UDV.shallow_pit.flush_waste_storage</vt:lpstr>
      <vt:lpstr>UDV.shallow_pit.length</vt:lpstr>
      <vt:lpstr>UDV.shallow_pit.plug_liquids_storage</vt:lpstr>
      <vt:lpstr>UDV.shallow_pit.plug_N_remaining</vt:lpstr>
      <vt:lpstr>UDV.shallow_pit.plug_waste_storage</vt:lpstr>
      <vt:lpstr>UDV.shallow_pit.scrape_compost_storage</vt:lpstr>
      <vt:lpstr>UDV.shallow_pit.scrape_liquids_storage</vt:lpstr>
      <vt:lpstr>UDV.shallow_pit.scrape_N_remaining</vt:lpstr>
      <vt:lpstr>UDV.shallow_pit.scrape_waste_storage</vt:lpstr>
      <vt:lpstr>UDV.shallow_pit.waste_storage</vt:lpstr>
      <vt:lpstr>UDV.sprinkler.adj_water_used</vt:lpstr>
      <vt:lpstr>UDV.sprinkler.cycles</vt:lpstr>
      <vt:lpstr>UDV.sprinkler.evaporative_cooling</vt:lpstr>
      <vt:lpstr>UDV.sprinkler.flow</vt:lpstr>
      <vt:lpstr>UDV.sprinkler.fresh_water_used</vt:lpstr>
      <vt:lpstr>UDV.sprinkler.on_time</vt:lpstr>
      <vt:lpstr>UDV.sprinkler.used</vt:lpstr>
      <vt:lpstr>UDV.storage_facilities.max_depth</vt:lpstr>
      <vt:lpstr>UDV.storage_pond.pump_and_motor_efficiency</vt:lpstr>
      <vt:lpstr>UDV.storage_pond.recycle_pump_flowrate</vt:lpstr>
      <vt:lpstr>UDV.storage_pond.recycle_pump_headloss</vt:lpstr>
      <vt:lpstr>UDV.storage_tank.agi_type</vt:lpstr>
      <vt:lpstr>UDV.storage_tank.depth</vt:lpstr>
      <vt:lpstr>UDV.storage_tank.depth_freeboard</vt:lpstr>
      <vt:lpstr>UDV.storage_tank.depth_residual</vt:lpstr>
      <vt:lpstr>UDV.storage_tank.effluent_K_retained</vt:lpstr>
      <vt:lpstr>UDV.storage_tank.effluent_N_retained</vt:lpstr>
      <vt:lpstr>UDV.storage_tank.effluent_P_retained</vt:lpstr>
      <vt:lpstr>UDV.storage_tank.effluent_TS_lost</vt:lpstr>
      <vt:lpstr>UDV.storage_tank.effluent_TS_target</vt:lpstr>
      <vt:lpstr>UDV.storage_tank.HRT</vt:lpstr>
      <vt:lpstr>UDV.storage_tank.max_radius</vt:lpstr>
      <vt:lpstr>UDV.storage_tank.min_radius</vt:lpstr>
      <vt:lpstr>UDV.storage_tank.removal_events</vt:lpstr>
      <vt:lpstr>UDV.storage_tank_eff.K</vt:lpstr>
      <vt:lpstr>UDV.storage_tank_eff.N</vt:lpstr>
      <vt:lpstr>UDV.storage_tank_eff.P</vt:lpstr>
      <vt:lpstr>UDV.storage_tank_eff.TAN</vt:lpstr>
      <vt:lpstr>UDV.storage_tank_eff.TS</vt:lpstr>
      <vt:lpstr>UDV.storage_tank_eff.VS</vt:lpstr>
      <vt:lpstr>UDV.tractor.application_time_non_sludge</vt:lpstr>
      <vt:lpstr>UDV.tractor.application_time_sludge</vt:lpstr>
      <vt:lpstr>UDV.tractor.application_time_sludge_multiplier</vt:lpstr>
      <vt:lpstr>UDV.tractor.fuel_efficiency</vt:lpstr>
      <vt:lpstr>UDV.tractor.max_usage_daily</vt:lpstr>
      <vt:lpstr>UDV.tractor.max_usage_yearly</vt:lpstr>
      <vt:lpstr>UDV.tractor.min_usage_yearly</vt:lpstr>
      <vt:lpstr>UDV.u.alt1_rank</vt:lpstr>
      <vt:lpstr>UDV.u.alt2_rank</vt:lpstr>
      <vt:lpstr>UDV.u.alt3_rank</vt:lpstr>
      <vt:lpstr>UDV.u.alt4_rank</vt:lpstr>
      <vt:lpstr>UDV.u.baseline_rank</vt:lpstr>
      <vt:lpstr>UDV.u.env_results_type</vt:lpstr>
      <vt:lpstr>UDV.u.farm_alt1</vt:lpstr>
      <vt:lpstr>UDV.u.farm_alt2</vt:lpstr>
      <vt:lpstr>UDV.u.farm_alt3</vt:lpstr>
      <vt:lpstr>UDV.u.farm_alt4</vt:lpstr>
      <vt:lpstr>UDV.u.farm_baseline</vt:lpstr>
      <vt:lpstr>UDV.u.farm_name</vt:lpstr>
      <vt:lpstr>UDV.u.state</vt:lpstr>
      <vt:lpstr>UDV.u.state_abrv</vt:lpstr>
      <vt:lpstr>UDV.u.state_climate_zone</vt:lpstr>
      <vt:lpstr>UDV.u.state_region</vt:lpstr>
      <vt:lpstr>UDV.u.state_temp_days</vt:lpstr>
      <vt:lpstr>UDV.u.unit_index</vt:lpstr>
      <vt:lpstr>UDV.u.unit_system</vt:lpstr>
      <vt:lpstr>UDV.water.avg_cost</vt:lpstr>
      <vt:lpstr>UDV.water.irrigation_amount</vt:lpstr>
      <vt:lpstr>UDV.weight.cost_capex</vt:lpstr>
      <vt:lpstr>UDV.weight.cost_fert</vt:lpstr>
      <vt:lpstr>UDV.weight.cost_net</vt:lpstr>
      <vt:lpstr>UDV.weight.cost_opex</vt:lpstr>
      <vt:lpstr>UDV.weight.cost_revenues</vt:lpstr>
      <vt:lpstr>UDV.weight.cost_savings</vt:lpstr>
      <vt:lpstr>UDV.weight.env_carbon</vt:lpstr>
      <vt:lpstr>UDV.weight.env_energy</vt:lpstr>
      <vt:lpstr>UDV.weight.env_land</vt:lpstr>
      <vt:lpstr>UDV.weight.env_nitrogen</vt:lpstr>
      <vt:lpstr>UDV.weight.env_phos</vt:lpstr>
      <vt:lpstr>UDV.weight.env_water</vt:lpstr>
      <vt:lpstr>UDV.weight.tech_adoption</vt:lpstr>
      <vt:lpstr>UDV.weight.tech_integrity</vt:lpstr>
      <vt:lpstr>UDV.weight.tech_labor</vt:lpstr>
      <vt:lpstr>UDV.weight.tech_land</vt:lpstr>
      <vt:lpstr>UDV.weight.tech_reliability</vt:lpstr>
      <vt:lpstr>UDV.weight.tech_transport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Sudharsan Varma Vempalli</dc:creator>
  <cp:keywords/>
  <dc:description/>
  <cp:lastModifiedBy>Erin Scott</cp:lastModifiedBy>
  <cp:revision/>
  <dcterms:created xsi:type="dcterms:W3CDTF">2019-11-07T14:42:21Z</dcterms:created>
  <dcterms:modified xsi:type="dcterms:W3CDTF">2025-09-12T12:32:39Z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0x0101006F4F9B68D43F38468F19EDD55F4DA175</vt:lpwstr>
  </property>
  <property fmtid="{D5CDD505-2E9C-101B-9397-08002B2CF9AE}" pid="3" name="MediaServiceImageTags">
    <vt:lpwstr/>
  </property>
</Properties>
</file>